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filterPrivacy="1" codeName="ThisWorkbook" defaultThemeVersion="124226"/>
  <xr:revisionPtr revIDLastSave="368" documentId="8_{7BB66B7D-DFA8-4E60-873A-75E38CD4CBA4}" xr6:coauthVersionLast="47" xr6:coauthVersionMax="47" xr10:uidLastSave="{FB9B99A7-881D-400A-9D2D-0AD2E588EF4B}"/>
  <bookViews>
    <workbookView xWindow="-120" yWindow="-120" windowWidth="38640" windowHeight="21240" firstSheet="8" activeTab="8" xr2:uid="{00000000-000D-0000-FFFF-FFFF00000000}"/>
  </bookViews>
  <sheets>
    <sheet name="DICTIONARY-1" sheetId="164" state="hidden" r:id="rId1"/>
    <sheet name="DICTIONARY-2" sheetId="166" state="hidden" r:id="rId2"/>
    <sheet name="DICTIONARY-3" sheetId="167" state="hidden" r:id="rId3"/>
    <sheet name="DICTIONARY-4" sheetId="169" state="hidden" r:id="rId4"/>
    <sheet name="DICTIONARY-5" sheetId="168" state="hidden" r:id="rId5"/>
    <sheet name="DICTIONARY-6" sheetId="172" state="hidden" r:id="rId6"/>
    <sheet name="DICTIONARY-7" sheetId="177" state="hidden" r:id="rId7"/>
    <sheet name="CORE-SET" sheetId="9" state="hidden" r:id="rId8"/>
    <sheet name="VAG 2023" sheetId="165" r:id="rId9"/>
    <sheet name="SETTINGS" sheetId="7" r:id="rId10"/>
    <sheet name="LIST" sheetId="155" r:id="rId11"/>
    <sheet name="01 | BETA 200" sheetId="156" r:id="rId12"/>
    <sheet name="01 | BETA 200 TS" sheetId="10" r:id="rId13"/>
    <sheet name="01 | EKOplus" sheetId="11" r:id="rId14"/>
    <sheet name="01 | EKOplus EA-PA" sheetId="14" r:id="rId15"/>
    <sheet name="01 | EKOplus PE" sheetId="17" r:id="rId16"/>
    <sheet name="01 | EKOplus BAIO" sheetId="18" r:id="rId17"/>
    <sheet name="01 | EKOplus SPIG" sheetId="19" r:id="rId18"/>
    <sheet name="01 | EKOplus RS" sheetId="21" r:id="rId19"/>
    <sheet name="01 | EKOplus WW" sheetId="23" r:id="rId20"/>
    <sheet name="01 | EKOplus SW" sheetId="160" r:id="rId21"/>
    <sheet name="01 | EKOplus FIRE" sheetId="22" r:id="rId22"/>
    <sheet name="01 | IKOplus EPP" sheetId="174" r:id="rId23"/>
    <sheet name="01 | IKOplus" sheetId="24" r:id="rId24"/>
    <sheet name="01 | IKOplus RS" sheetId="25" r:id="rId25"/>
    <sheet name="01 | IKOplus TRAFO" sheetId="27" r:id="rId26"/>
    <sheet name="02 | MONO SE" sheetId="30" r:id="rId27"/>
    <sheet name="02 | MONO HL" sheetId="29" r:id="rId28"/>
    <sheet name="02 | ZETA" sheetId="31" r:id="rId29"/>
    <sheet name="02 | ZETA EA-PA" sheetId="32" r:id="rId30"/>
    <sheet name="02 | ZETAcontrol" sheetId="36" r:id="rId31"/>
    <sheet name="02 | ERIplus" sheetId="39" r:id="rId32"/>
    <sheet name="02 | EROXplus" sheetId="37" r:id="rId33"/>
    <sheet name="02 | EROXplus-O" sheetId="171" r:id="rId34"/>
    <sheet name="02 | REMO SETS" sheetId="41" r:id="rId35"/>
    <sheet name="02 | HADE PRA-G" sheetId="48" r:id="rId36"/>
    <sheet name="03 | HYDRUS G" sheetId="56" r:id="rId37"/>
    <sheet name="03 | NOVA" sheetId="49" r:id="rId38"/>
    <sheet name="03 | RIGUS" sheetId="53" r:id="rId39"/>
    <sheet name="03 | HYDR ACCESSORIES" sheetId="58" r:id="rId40"/>
    <sheet name="04 | DRILLING SETS" sheetId="59" r:id="rId41"/>
    <sheet name="04 | CLAMP" sheetId="69" r:id="rId42"/>
    <sheet name="04 | HOD-M" sheetId="60" r:id="rId43"/>
    <sheet name="04 | HOD-G" sheetId="63" r:id="rId44"/>
    <sheet name="04 | HOD-K" sheetId="66" r:id="rId45"/>
    <sheet name="04 | TERRA-M" sheetId="70" r:id="rId46"/>
    <sheet name="04 | TERRA-K" sheetId="71" r:id="rId47"/>
    <sheet name="04 | VALVES" sheetId="72" r:id="rId48"/>
    <sheet name="04 | HODlock-TERRAlock-M" sheetId="74" r:id="rId49"/>
    <sheet name="04 | HODlock-TERRAlock-K" sheetId="75" r:id="rId50"/>
    <sheet name="04 | HODlock-TERRAlock FITTING" sheetId="76" r:id="rId51"/>
    <sheet name="04 | HODlock-TERRAlock VALVES" sheetId="77" r:id="rId52"/>
    <sheet name="05 | SKR" sheetId="79" r:id="rId53"/>
    <sheet name="05 | RETO-STOP" sheetId="80" r:id="rId54"/>
    <sheet name="05 | RETA" sheetId="81" r:id="rId55"/>
    <sheet name="05 | LIMU-STOP" sheetId="82" r:id="rId56"/>
    <sheet name="05 | KRV" sheetId="83" r:id="rId57"/>
    <sheet name="05 | TOP-STOP" sheetId="84" r:id="rId58"/>
    <sheet name="05 | ZETKA" sheetId="85" r:id="rId59"/>
    <sheet name="05 | HADE PIPE" sheetId="87" r:id="rId60"/>
    <sheet name="05 | HADE WALL" sheetId="88" r:id="rId61"/>
    <sheet name="05 | HADE FLANGE" sheetId="89" r:id="rId62"/>
    <sheet name="06 | EKN H" sheetId="90" r:id="rId63"/>
    <sheet name="06 | EKN M PRP-SE" sheetId="91" r:id="rId64"/>
    <sheet name="06 | CEREX 300-W HL" sheetId="96" r:id="rId65"/>
    <sheet name="06 | CEREX 300-W GHW" sheetId="97" r:id="rId66"/>
    <sheet name="06 | CEREX 300-W FLOAT" sheetId="98" r:id="rId67"/>
    <sheet name="06 | CEREX 300-L HL" sheetId="92" r:id="rId68"/>
    <sheet name="06 | CEREX 300-L GHW" sheetId="95" r:id="rId69"/>
    <sheet name="06 | COUNTERFLANGE" sheetId="99" r:id="rId70"/>
    <sheet name="06 | CEREX 300-L BS" sheetId="161" r:id="rId71"/>
    <sheet name="06 | CEREX 300-W BS" sheetId="162" r:id="rId72"/>
    <sheet name="07 | DUOJET" sheetId="101" r:id="rId73"/>
    <sheet name="07 | FLOWJET" sheetId="104" r:id="rId74"/>
    <sheet name="07 | BEV" sheetId="105" r:id="rId75"/>
    <sheet name="07 | HILL" sheetId="108" r:id="rId76"/>
    <sheet name="07 | TWINJET" sheetId="159" r:id="rId77"/>
    <sheet name="07 | BEV-E" sheetId="173" r:id="rId78"/>
    <sheet name="09 | PICO H" sheetId="109" r:id="rId79"/>
    <sheet name="09 | PICO M" sheetId="110" r:id="rId80"/>
    <sheet name="09 | DURA" sheetId="111" r:id="rId81"/>
    <sheet name="10 | FORTE" sheetId="112" r:id="rId82"/>
    <sheet name="10 | SAK" sheetId="114" r:id="rId83"/>
    <sheet name="10 | VARIplus-DJ" sheetId="115" r:id="rId84"/>
    <sheet name="10 | MONTY" sheetId="116" r:id="rId85"/>
    <sheet name="10 | VAF" sheetId="117" r:id="rId86"/>
    <sheet name="10 | VARIplus-RFA" sheetId="118" r:id="rId87"/>
    <sheet name="10 | VARIplus-RC" sheetId="119" r:id="rId88"/>
    <sheet name="11 | LADA" sheetId="120" r:id="rId89"/>
    <sheet name="11 | PATENTplus" sheetId="123" r:id="rId90"/>
    <sheet name="11 | TELEMAX EG" sheetId="130" r:id="rId91"/>
    <sheet name="11 | VA-TELESKOP" sheetId="125" r:id="rId92"/>
    <sheet name="11 | RAMBO" sheetId="126" r:id="rId93"/>
    <sheet name="11 | KEYS" sheetId="129" r:id="rId94"/>
    <sheet name="11 | HANDWHEEL" sheetId="128" r:id="rId95"/>
    <sheet name="11 | ROTOP MOBITORQ" sheetId="127" r:id="rId96"/>
    <sheet name="12 | BAIO BETA 200" sheetId="131" r:id="rId97"/>
    <sheet name="12 | BAIO HYDRUS" sheetId="132" r:id="rId98"/>
    <sheet name="12 | BAIO BEV" sheetId="133" r:id="rId99"/>
    <sheet name="12 | BAIO FITTINGS" sheetId="134" r:id="rId100"/>
    <sheet name="12 | BAIO GKS-TYTON" sheetId="136" r:id="rId101"/>
    <sheet name="12 | BAIOstop" sheetId="135" r:id="rId102"/>
    <sheet name="12 | BAIO STIFFENER" sheetId="137" r:id="rId103"/>
    <sheet name="12 | BAIOanti-twist" sheetId="138" r:id="rId104"/>
    <sheet name="13 | GAS EKOplus" sheetId="139" r:id="rId105"/>
    <sheet name="13 | GAS EKOplus PE" sheetId="140" r:id="rId106"/>
    <sheet name="13 | GAS EKOplus RS" sheetId="143" r:id="rId107"/>
    <sheet name="13 | GAS EKN M" sheetId="144" r:id="rId108"/>
    <sheet name="13 | GAS CEREX 300-L HL" sheetId="149" r:id="rId109"/>
    <sheet name="13 | GAS CEREX 300-L GHW" sheetId="152" r:id="rId110"/>
    <sheet name="13 | GAS CEREX 300-W HL" sheetId="145" r:id="rId111"/>
    <sheet name="13 | GAS CEREX 300-W GHW" sheetId="148" r:id="rId112"/>
    <sheet name="13 | GAS RAMBO" sheetId="153" r:id="rId113"/>
  </sheets>
  <definedNames>
    <definedName name="_00_HOME">'VAG 2023'!$A$1</definedName>
    <definedName name="_00_LIST">LIST!$A$1</definedName>
    <definedName name="_00_SETTINGS">SETTINGS!$A$1</definedName>
    <definedName name="_01_BETA_200">'01 | BETA 200'!$A$1</definedName>
    <definedName name="_01_BETA_200_TS">'01 | BETA 200 TS'!$A$1</definedName>
    <definedName name="_01_EKOplus">'01 | EKOplus'!$A$1</definedName>
    <definedName name="_01_EKOplus___FIREWATER">'01 | EKOplus FIRE'!$A$1</definedName>
    <definedName name="_01_EKOplus___SEA_WATER">'01 | EKOplus SW'!$A$1</definedName>
    <definedName name="_01_EKOplus___WASTE_WATER">'01 | EKOplus WW'!$A$1</definedName>
    <definedName name="_01_EKOplus___With_actuator__for_actuator">'01 | EKOplus EA-PA'!$A$1</definedName>
    <definedName name="_01_EKOplus___With_BAIO_sockets">'01 | EKOplus BAIO'!$A$1</definedName>
    <definedName name="_01_EKOplus___With_rising_stem">'01 | EKOplus RS'!$A$1</definedName>
    <definedName name="_01_EKOplus___With_spigots">'01 | EKOplus SPIG'!$A$1</definedName>
    <definedName name="_01_EKOplus_PE">'01 | EKOplus PE'!$A$1</definedName>
    <definedName name="_01_IKOplus">'01 | IKOplus'!$A$1</definedName>
    <definedName name="_01_IKOplus___With_rising_stem">'01 | IKOplus RS'!$A$1</definedName>
    <definedName name="_01_IKOplus_EPP">'01 | IKOplus EPP'!$A$1</definedName>
    <definedName name="_01_IKOplus_TRAFO___OIL">'01 | IKOplus TRAFO'!$A$1</definedName>
    <definedName name="_02_ERIplus">'02 | ERIplus'!$A$1</definedName>
    <definedName name="_02_EROXplus">'02 | EROXplus'!$A$1</definedName>
    <definedName name="_02_EROXplus_O">'02 | EROXplus-O'!$A$1</definedName>
    <definedName name="_02_HADE_PRA_G">'02 | HADE PRA-G'!$A$1</definedName>
    <definedName name="_02_MONO___For_underground_installation">'02 | MONO SE'!$A$1</definedName>
    <definedName name="_02_MONO___With_quick_operation_lever">'02 | MONO HL'!$A$1</definedName>
    <definedName name="_02_REMO_Sets">'02 | REMO SETS'!$A$1</definedName>
    <definedName name="_02_ZETA">'02 | ZETA'!$A$1</definedName>
    <definedName name="_02_ZETA_With_actuator_for_actuator">'02 | ZETA EA-PA'!$A$1</definedName>
    <definedName name="_02_ZETAcontrol">'02 | ZETAcontrol'!$A$1</definedName>
    <definedName name="_03_Hydrant_accessories">'03 | HYDR ACCESSORIES'!$A$1</definedName>
    <definedName name="_03_HYDRUS_G">'03 | HYDRUS G'!$A$1</definedName>
    <definedName name="_03_NOVA">'03 | NOVA'!$A$1</definedName>
    <definedName name="_03_RIGUS">'03 | RIGUS'!$A$1</definedName>
    <definedName name="_04_Clamp">'04 | CLAMP'!$A$1</definedName>
    <definedName name="_04_Drilling_sets">'04 | DRILLING SETS'!$A$1</definedName>
    <definedName name="_04_HOD_G___Ductile_Iron">'04 | HOD-G'!$A$1</definedName>
    <definedName name="_04_HOD_K___PVC__PE">'04 | HOD-K'!$A$1</definedName>
    <definedName name="_04_HOD_M___Steel__cast_iron__concrete">'04 | HOD-M'!$A$1</definedName>
    <definedName name="_04_LOCK_System___Plug_fittings">'04 | HODlock-TERRAlock FITTING'!$A$1</definedName>
    <definedName name="_04_LOCK_System___PVC__PE">'04 | HODlock-TERRAlock-K'!$A$1</definedName>
    <definedName name="_04_LOCK_System___Shut_off_valves">'04 | HODlock-TERRAlock VALVES'!$A$1</definedName>
    <definedName name="_04_LOCK_System___Steel__cast_iron__concrete">'04 | HODlock-TERRAlock-M'!$A$1</definedName>
    <definedName name="_04_Shut_off_valves">'04 | VALVES'!$A$1</definedName>
    <definedName name="_04_TERRA_K___PVC__PE">'04 | TERRA-K'!$A$1</definedName>
    <definedName name="_04_TERRA_M___Steel__cast_iron__concrete">'04 | TERRA-M'!$A$1</definedName>
    <definedName name="_05_HADE___Installation_on_flange">'05 | HADE FLANGE'!$A$1</definedName>
    <definedName name="_05_HADE___Plug_in_type">'05 | HADE PIPE'!$A$1</definedName>
    <definedName name="_05_HADE___Wall_mounted">'05 | HADE WALL'!$A$1</definedName>
    <definedName name="_05_KRV">'05 | KRV'!$A$1</definedName>
    <definedName name="_05_LIMU_STOP">'05 | LIMU-STOP'!$A$1</definedName>
    <definedName name="_05_RETA">'05 | RETA'!$A$1</definedName>
    <definedName name="_05_RETO_STOP">'05 | RETO-STOP'!$A$1</definedName>
    <definedName name="_05_SKR">'05 | SKR'!$A$1</definedName>
    <definedName name="_05_TOP_STOP">'05 | TOP-STOP'!$A$1</definedName>
    <definedName name="_05_ZAKA" localSheetId="6">#REF!</definedName>
    <definedName name="_05_ZAKA">#REF!</definedName>
    <definedName name="_05_ZETKA">'05 | ZETKA'!$A$1</definedName>
    <definedName name="_06_ALKA___CRUDE_OIL">#REF!</definedName>
    <definedName name="_06_CEREX_300_L___Bare_shaft">'06 | CEREX 300-L BS'!$A$1</definedName>
    <definedName name="_06_CEREX_300_L___Hand_lever">'06 | CEREX 300-L HL'!$A$1</definedName>
    <definedName name="_06_CEREX_300_L___Hand_wheel">'06 | CEREX 300-L GHW'!$A$1</definedName>
    <definedName name="_06_CEREX_300_W___Bare_shaft">'06 | CEREX 300-W BS'!$A$1</definedName>
    <definedName name="_06_CEREX_300_W___Float">'06 | CEREX 300-W FLOAT'!$A$1</definedName>
    <definedName name="_06_CEREX_300_W___Hand_lever">'06 | CEREX 300-W HL'!$A$1</definedName>
    <definedName name="_06_CEREX_300_W___Hand_wheel">'06 | CEREX 300-W GHW'!$A$1</definedName>
    <definedName name="_06_Counter_flange">'06 | COUNTERFLANGE'!$A$1</definedName>
    <definedName name="_06_EKN_H">'06 | EKN H'!$A$1</definedName>
    <definedName name="_06_EKN_M___For_underground_installation">'06 | EKN M PRP-SE'!$A$1</definedName>
    <definedName name="_07_BEV">'07 | BEV'!$A$1</definedName>
    <definedName name="_07_BEV_E">'07 | BEV-E'!$A$1</definedName>
    <definedName name="_07_DUOJET">'07 | DUOJET'!$A$1</definedName>
    <definedName name="_07_FLOWJET_PE">'07 | FLOWJET'!$A$1</definedName>
    <definedName name="_07_HILL">'07 | HILL'!$A$1</definedName>
    <definedName name="_07_TWINJET">'07 | TWINJET'!$A$1</definedName>
    <definedName name="_08_BEV_E">'07 | BEV-E'!$A$1</definedName>
    <definedName name="_08_DURA">'09 | DURA'!$A$1</definedName>
    <definedName name="_08_PICO_H">'09 | PICO H'!$A$1</definedName>
    <definedName name="_08_PICO_M">'09 | PICO M'!$A$1</definedName>
    <definedName name="_09_FORTE">'10 | FORTE'!$A$1</definedName>
    <definedName name="_09_MONTY">'10 | MONTY'!$A$1</definedName>
    <definedName name="_09_SAK">'10 | SAK'!$A$1</definedName>
    <definedName name="_09_VAF">'10 | VAF'!$A$1</definedName>
    <definedName name="_09_VARIplus_DJ">'10 | VARIplus-DJ'!$A$1</definedName>
    <definedName name="_09_VARIplus_RC">'10 | VARIplus-RC'!$A$1</definedName>
    <definedName name="_09_VARIplus_RFA">'10 | VARIplus-RFA'!$A$1</definedName>
    <definedName name="_10_Hand_wheel">'11 | HANDWHEEL'!$A$1</definedName>
    <definedName name="_10_LADA___Rigid">'11 | LADA'!$A$1</definedName>
    <definedName name="_10_Operating_keys">'11 | KEYS'!$A$1</definedName>
    <definedName name="_10_PATENTplus___Telescopic">'11 | PATENTplus'!$A$1</definedName>
    <definedName name="_10_RAMBO">'11 | RAMBO'!$A$1</definedName>
    <definedName name="_10_ROTOP_MOBITORQ">'11 | ROTOP MOBITORQ'!$A$1</definedName>
    <definedName name="_10_TELEMAX_EG___Telescopic">'11 | TELEMAX EG'!$A$1</definedName>
    <definedName name="_10_VA_TELESKOP___Telescopic_for_EKN">'11 | VA-TELESKOP'!$A$1</definedName>
    <definedName name="_11_BAIO___BAIO_Fittings">'12 | BAIO FITTINGS'!$A$1</definedName>
    <definedName name="_11_BAIO___Sealing_rings">'12 | BAIO GKS-TYTON'!$A$1</definedName>
    <definedName name="_11_BAIO_BETA_200">'12 | BAIO BETA 200'!$A$1</definedName>
    <definedName name="_11_BAIO_BEV">'12 | BAIO BEV'!$A$1</definedName>
    <definedName name="_11_BAIO_HYDRUS_G">'12 | BAIO HYDRUS'!$A$1</definedName>
    <definedName name="_11_BAIO_Split_ring_stiffener">'12 | BAIO STIFFENER'!$A$1</definedName>
    <definedName name="_11_BAIOanti_twist">'12 | BAIOanti-twist'!$A$1</definedName>
    <definedName name="_11_BAIOstop">'12 | BAIOstop'!$A$1</definedName>
    <definedName name="_12_CEREX_300_L___Hand_lever">'13 | GAS CEREX 300-L HL'!$A$1</definedName>
    <definedName name="_12_CEREX_300_L___Hand_wheel">'13 | GAS CEREX 300-L GHW'!$A$1</definedName>
    <definedName name="_12_CEREX_300_W___Hand_lever">'13 | GAS CEREX 300-W HL'!$A$1</definedName>
    <definedName name="_12_CEREX_300_W___Hand_wheel">'13 | GAS CEREX 300-W GHW'!$A$1</definedName>
    <definedName name="_12_EKN_M">'13 | GAS EKN M'!$A$1</definedName>
    <definedName name="_12_EKOplus">'13 | GAS EKOplus'!$A$1</definedName>
    <definedName name="_12_EKOplus___With_BAIO_sockets">#REF!</definedName>
    <definedName name="_12_EKOplus___With_rising_stem">'13 | GAS EKOplus RS'!$A$1</definedName>
    <definedName name="_12_EKOplus_PE">'13 | GAS EKOplus PE'!$A$1</definedName>
    <definedName name="_12_RAMBO">'13 | GAS RAMBO'!$A$1</definedName>
    <definedName name="_xlnm._FilterDatabase" localSheetId="10" hidden="1">LIST!$A$5:$AG$2828</definedName>
    <definedName name="Accessories">'VAG 2023'!$AX$1</definedName>
    <definedName name="ADD.DISCOUNT">LIST!$H$1</definedName>
    <definedName name="AirValves">'VAG 2023'!$AI$1</definedName>
    <definedName name="BAIOsystem">'VAG 2023'!$BC$1</definedName>
    <definedName name="ButterflyValves_BallValves">'VAG 2023'!$AD$1</definedName>
    <definedName name="ControlValves">'VAG 2023'!$AN$1</definedName>
    <definedName name="CURR_1.SEARCH.NEW">'CORE-SET'!$M$2</definedName>
    <definedName name="CURR_1.SEARCH.OLD">'CORE-SET'!$L$2</definedName>
    <definedName name="CURR_2.SEARCH.NEW">'CORE-SET'!$M$3</definedName>
    <definedName name="CURR_2.SEARCH.OLD">'CORE-SET'!$L$3</definedName>
    <definedName name="CURRENCY.CODE_1">SETTINGS!$G$7</definedName>
    <definedName name="CURRENCY.CODE_2">SETTINGS!$G$8</definedName>
    <definedName name="CURRENCY.FORMAT_1">'CORE-SET'!$E$1</definedName>
    <definedName name="CURRENCY.FORMAT_2">'CORE-SET'!$F$1</definedName>
    <definedName name="EXC.RATE.SWITCH">'CORE-SET'!$I$1</definedName>
    <definedName name="EXC.RATE_1">SETTINGS!$H$7</definedName>
    <definedName name="EXC.RATE_2">SETTINGS!$H$8</definedName>
    <definedName name="GasValves">'VAG 2023'!$BH$1</definedName>
    <definedName name="GateValves">'VAG 2023'!$E$1</definedName>
    <definedName name="HouseConnectionValves">'VAG 2023'!$T$1</definedName>
    <definedName name="Hydrants">'VAG 2023'!$O$1</definedName>
    <definedName name="KnifeGateValves_Penstocks">'VAG 2023'!$J$1</definedName>
    <definedName name="MAT.SURCHARGE">LIST!$J$1</definedName>
    <definedName name="NonReturnValves_FlapValves">'VAG 2023'!$Y$1</definedName>
    <definedName name="OtherValves">'VAG 2023'!$AS$1</definedName>
    <definedName name="_xlnm.Print_Titles" localSheetId="10">LIST!$3:$4</definedName>
    <definedName name="SET.LANGUAGE">'CORE-SET'!$B$1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075" i="155" l="1"/>
  <c r="P2076" i="155"/>
  <c r="M2078" i="155"/>
  <c r="K2078" i="155"/>
  <c r="I2078" i="155"/>
  <c r="I2077" i="155"/>
  <c r="M2077" i="155" s="1"/>
  <c r="K2076" i="155"/>
  <c r="I2076" i="155"/>
  <c r="M2076" i="155" s="1"/>
  <c r="I2075" i="155"/>
  <c r="K2074" i="155"/>
  <c r="I2074" i="155"/>
  <c r="M2074" i="155" s="1"/>
  <c r="G39" i="168"/>
  <c r="F39" i="168"/>
  <c r="A39" i="168"/>
  <c r="D25" i="104"/>
  <c r="G27" i="104"/>
  <c r="F27" i="104"/>
  <c r="G115" i="167"/>
  <c r="F115" i="167"/>
  <c r="A115" i="167"/>
  <c r="AH6" i="165" s="1"/>
  <c r="G114" i="167"/>
  <c r="F114" i="167"/>
  <c r="A114" i="167"/>
  <c r="P2075" i="155" l="1"/>
  <c r="P2074" i="155"/>
  <c r="P2078" i="155"/>
  <c r="P2077" i="155"/>
  <c r="M2075" i="155"/>
  <c r="K2077" i="155"/>
  <c r="K153" i="155"/>
  <c r="I153" i="155"/>
  <c r="M153" i="155" s="1"/>
  <c r="I195" i="155"/>
  <c r="G213" i="168"/>
  <c r="F213" i="168"/>
  <c r="A213" i="168"/>
  <c r="D10" i="125" s="1"/>
  <c r="A4" i="10"/>
  <c r="A4" i="11"/>
  <c r="A4" i="14"/>
  <c r="A4" i="17"/>
  <c r="A4" i="18"/>
  <c r="A4" i="19"/>
  <c r="A4" i="21"/>
  <c r="A4" i="23"/>
  <c r="A4" i="160"/>
  <c r="A4" i="22"/>
  <c r="A4" i="174"/>
  <c r="A4" i="24"/>
  <c r="A4" i="25"/>
  <c r="A4" i="27"/>
  <c r="A4" i="30"/>
  <c r="A4" i="29"/>
  <c r="A4" i="31"/>
  <c r="A4" i="32"/>
  <c r="A4" i="36"/>
  <c r="A4" i="39"/>
  <c r="A4" i="37"/>
  <c r="A4" i="171"/>
  <c r="A4" i="41"/>
  <c r="A4" i="48"/>
  <c r="A4" i="56"/>
  <c r="A4" i="49"/>
  <c r="A4" i="53"/>
  <c r="A4" i="58"/>
  <c r="A4" i="59"/>
  <c r="A4" i="69"/>
  <c r="A4" i="60"/>
  <c r="A4" i="63"/>
  <c r="A4" i="66"/>
  <c r="A4" i="70"/>
  <c r="A4" i="71"/>
  <c r="A4" i="72"/>
  <c r="A4" i="74"/>
  <c r="A4" i="75"/>
  <c r="A4" i="76"/>
  <c r="A4" i="77"/>
  <c r="A4" i="79"/>
  <c r="A4" i="80"/>
  <c r="A4" i="81"/>
  <c r="A4" i="82"/>
  <c r="A4" i="83"/>
  <c r="A4" i="84"/>
  <c r="A4" i="85"/>
  <c r="A4" i="87"/>
  <c r="A4" i="88"/>
  <c r="A4" i="89"/>
  <c r="A4" i="90"/>
  <c r="A4" i="91"/>
  <c r="A4" i="96"/>
  <c r="A4" i="97"/>
  <c r="A4" i="98"/>
  <c r="A4" i="92"/>
  <c r="A4" i="95"/>
  <c r="A4" i="99"/>
  <c r="A4" i="161"/>
  <c r="A4" i="162"/>
  <c r="A4" i="101"/>
  <c r="A4" i="104"/>
  <c r="A4" i="105"/>
  <c r="A4" i="108"/>
  <c r="A4" i="159"/>
  <c r="A4" i="173"/>
  <c r="A4" i="109"/>
  <c r="A4" i="110"/>
  <c r="A4" i="111"/>
  <c r="A4" i="112"/>
  <c r="A4" i="114"/>
  <c r="A4" i="115"/>
  <c r="A4" i="116"/>
  <c r="A4" i="117"/>
  <c r="A4" i="118"/>
  <c r="A4" i="119"/>
  <c r="A4" i="120"/>
  <c r="A4" i="123"/>
  <c r="A4" i="130"/>
  <c r="A4" i="125"/>
  <c r="A4" i="126"/>
  <c r="A4" i="129"/>
  <c r="A4" i="128"/>
  <c r="A4" i="127"/>
  <c r="A4" i="131"/>
  <c r="A4" i="132"/>
  <c r="A4" i="133"/>
  <c r="A4" i="134"/>
  <c r="A4" i="136"/>
  <c r="A4" i="135"/>
  <c r="A4" i="137"/>
  <c r="A4" i="138"/>
  <c r="A4" i="139"/>
  <c r="A4" i="140"/>
  <c r="A4" i="143"/>
  <c r="A4" i="144"/>
  <c r="A4" i="149"/>
  <c r="A4" i="152"/>
  <c r="A4" i="145"/>
  <c r="A4" i="148"/>
  <c r="A4" i="153"/>
  <c r="A4" i="156"/>
  <c r="A93" i="177"/>
  <c r="A92" i="177"/>
  <c r="A91" i="177"/>
  <c r="A90" i="177"/>
  <c r="A89" i="177"/>
  <c r="A88" i="177"/>
  <c r="A87" i="177"/>
  <c r="A86" i="177"/>
  <c r="A85" i="177"/>
  <c r="A84" i="177"/>
  <c r="A83" i="177"/>
  <c r="A82" i="177"/>
  <c r="A81" i="177"/>
  <c r="A80" i="177"/>
  <c r="A79" i="177"/>
  <c r="A78" i="177"/>
  <c r="A77" i="177"/>
  <c r="A76" i="177"/>
  <c r="A75" i="177"/>
  <c r="A74" i="177"/>
  <c r="A73" i="177"/>
  <c r="A72" i="177"/>
  <c r="A71" i="177"/>
  <c r="A70" i="177"/>
  <c r="A69" i="177"/>
  <c r="A68" i="177"/>
  <c r="A67" i="177"/>
  <c r="A66" i="177"/>
  <c r="A65" i="177"/>
  <c r="A64" i="177"/>
  <c r="A63" i="177"/>
  <c r="A62" i="177"/>
  <c r="A61" i="177"/>
  <c r="A60" i="177"/>
  <c r="A59" i="177"/>
  <c r="A58" i="177"/>
  <c r="A57" i="177"/>
  <c r="A56" i="177"/>
  <c r="A55" i="177"/>
  <c r="A54" i="177"/>
  <c r="A53" i="177"/>
  <c r="A52" i="177"/>
  <c r="A51" i="177"/>
  <c r="A50" i="177"/>
  <c r="A49" i="177"/>
  <c r="A48" i="177"/>
  <c r="A47" i="177"/>
  <c r="A46" i="177"/>
  <c r="A45" i="177"/>
  <c r="A44" i="177"/>
  <c r="A43" i="177"/>
  <c r="A42" i="177"/>
  <c r="A41" i="177"/>
  <c r="A40" i="177"/>
  <c r="A39" i="177"/>
  <c r="A38" i="177"/>
  <c r="A37" i="177"/>
  <c r="A36" i="177"/>
  <c r="A35" i="177"/>
  <c r="A34" i="177"/>
  <c r="A33" i="177"/>
  <c r="A32" i="177"/>
  <c r="A31" i="177"/>
  <c r="A30" i="177"/>
  <c r="A29" i="177"/>
  <c r="A28" i="177"/>
  <c r="A27" i="177"/>
  <c r="A26" i="177"/>
  <c r="A25" i="177"/>
  <c r="A24" i="177"/>
  <c r="A23" i="177"/>
  <c r="A22" i="177"/>
  <c r="A21" i="177"/>
  <c r="A20" i="177"/>
  <c r="A19" i="177"/>
  <c r="A18" i="177"/>
  <c r="A17" i="177"/>
  <c r="A16" i="177"/>
  <c r="A15" i="177"/>
  <c r="A14" i="177"/>
  <c r="A13" i="177"/>
  <c r="A12" i="177"/>
  <c r="A11" i="177"/>
  <c r="A10" i="177"/>
  <c r="A9" i="177"/>
  <c r="A8" i="177"/>
  <c r="A7" i="177"/>
  <c r="A6" i="177"/>
  <c r="A5" i="177"/>
  <c r="A4" i="177"/>
  <c r="A3" i="177"/>
  <c r="A2" i="177"/>
  <c r="A76" i="172"/>
  <c r="A75" i="172"/>
  <c r="A74" i="172"/>
  <c r="A73" i="172"/>
  <c r="A72" i="172"/>
  <c r="A71" i="172"/>
  <c r="A70" i="172"/>
  <c r="A69" i="172"/>
  <c r="A68" i="172"/>
  <c r="A67" i="172"/>
  <c r="A66" i="172"/>
  <c r="A65" i="172"/>
  <c r="A64" i="172"/>
  <c r="A63" i="172"/>
  <c r="A62" i="172"/>
  <c r="A61" i="172"/>
  <c r="A60" i="172"/>
  <c r="A59" i="172"/>
  <c r="A58" i="172"/>
  <c r="A57" i="172"/>
  <c r="A56" i="172"/>
  <c r="A55" i="172"/>
  <c r="A54" i="172"/>
  <c r="A53" i="172"/>
  <c r="A52" i="172"/>
  <c r="A51" i="172"/>
  <c r="A50" i="172"/>
  <c r="A49" i="172"/>
  <c r="A48" i="172"/>
  <c r="A47" i="172"/>
  <c r="A46" i="172"/>
  <c r="A45" i="172"/>
  <c r="A44" i="172"/>
  <c r="A43" i="172"/>
  <c r="A42" i="172"/>
  <c r="A41" i="172"/>
  <c r="A40" i="172"/>
  <c r="A39" i="172"/>
  <c r="A38" i="172"/>
  <c r="A37" i="172"/>
  <c r="A36" i="172"/>
  <c r="A35" i="172"/>
  <c r="A34" i="172"/>
  <c r="A33" i="172"/>
  <c r="A32" i="172"/>
  <c r="A31" i="172"/>
  <c r="A30" i="172"/>
  <c r="A29" i="172"/>
  <c r="A28" i="172"/>
  <c r="A27" i="172"/>
  <c r="A26" i="172"/>
  <c r="A25" i="172"/>
  <c r="A24" i="172"/>
  <c r="A23" i="172"/>
  <c r="A22" i="172"/>
  <c r="A21" i="172"/>
  <c r="A20" i="172"/>
  <c r="A19" i="172"/>
  <c r="A18" i="172"/>
  <c r="A17" i="172"/>
  <c r="A16" i="172"/>
  <c r="A15" i="172"/>
  <c r="A14" i="172"/>
  <c r="A13" i="172"/>
  <c r="A12" i="172"/>
  <c r="A11" i="172"/>
  <c r="A10" i="172"/>
  <c r="A9" i="172"/>
  <c r="A8" i="172"/>
  <c r="A7" i="172"/>
  <c r="R2075" i="155" s="1"/>
  <c r="A6" i="172"/>
  <c r="A5" i="172"/>
  <c r="A4" i="172"/>
  <c r="A3" i="172"/>
  <c r="A2" i="172"/>
  <c r="A212" i="168"/>
  <c r="A211" i="168"/>
  <c r="A210" i="168"/>
  <c r="A209" i="168"/>
  <c r="A208" i="168"/>
  <c r="A207" i="168"/>
  <c r="A206" i="168"/>
  <c r="A205" i="168"/>
  <c r="A204" i="168"/>
  <c r="A203" i="168"/>
  <c r="A202" i="168"/>
  <c r="A201" i="168"/>
  <c r="A200" i="168"/>
  <c r="A199" i="168"/>
  <c r="A198" i="168"/>
  <c r="A197" i="168"/>
  <c r="A196" i="168"/>
  <c r="A195" i="168"/>
  <c r="A194" i="168"/>
  <c r="A193" i="168"/>
  <c r="A192" i="168"/>
  <c r="A191" i="168"/>
  <c r="A190" i="168"/>
  <c r="A189" i="168"/>
  <c r="A188" i="168"/>
  <c r="A187" i="168"/>
  <c r="A186" i="168"/>
  <c r="A185" i="168"/>
  <c r="A184" i="168"/>
  <c r="A183" i="168"/>
  <c r="A182" i="168"/>
  <c r="A181" i="168"/>
  <c r="A180" i="168"/>
  <c r="A179" i="168"/>
  <c r="A178" i="168"/>
  <c r="A177" i="168"/>
  <c r="A176" i="168"/>
  <c r="A175" i="168"/>
  <c r="A174" i="168"/>
  <c r="A173" i="168"/>
  <c r="A172" i="168"/>
  <c r="A171" i="168"/>
  <c r="A170" i="168"/>
  <c r="A169" i="168"/>
  <c r="A168" i="168"/>
  <c r="A167" i="168"/>
  <c r="A166" i="168"/>
  <c r="A165" i="168"/>
  <c r="A164" i="168"/>
  <c r="A163" i="168"/>
  <c r="A162" i="168"/>
  <c r="A161" i="168"/>
  <c r="A160" i="168"/>
  <c r="A159" i="168"/>
  <c r="A158" i="168"/>
  <c r="A157" i="168"/>
  <c r="A156" i="168"/>
  <c r="A155" i="168"/>
  <c r="A154" i="168"/>
  <c r="A153" i="168"/>
  <c r="A152" i="168"/>
  <c r="A151" i="168"/>
  <c r="A150" i="168"/>
  <c r="A149" i="168"/>
  <c r="B25" i="104" s="1"/>
  <c r="A148" i="168"/>
  <c r="A147" i="168"/>
  <c r="A146" i="168"/>
  <c r="A145" i="168"/>
  <c r="A144" i="168"/>
  <c r="A143" i="168"/>
  <c r="A142" i="168"/>
  <c r="A141" i="168"/>
  <c r="A140" i="168"/>
  <c r="A139" i="168"/>
  <c r="A138" i="168"/>
  <c r="A137" i="168"/>
  <c r="A136" i="168"/>
  <c r="A135" i="168"/>
  <c r="A134" i="168"/>
  <c r="A133" i="168"/>
  <c r="A132" i="168"/>
  <c r="A131" i="168"/>
  <c r="A130" i="168"/>
  <c r="A129" i="168"/>
  <c r="A128" i="168"/>
  <c r="A127" i="168"/>
  <c r="A126" i="168"/>
  <c r="A125" i="168"/>
  <c r="A124" i="168"/>
  <c r="A123" i="168"/>
  <c r="A122" i="168"/>
  <c r="A121" i="168"/>
  <c r="A120" i="168"/>
  <c r="A119" i="168"/>
  <c r="A118" i="168"/>
  <c r="A117" i="168"/>
  <c r="A116" i="168"/>
  <c r="A115" i="168"/>
  <c r="A114" i="168"/>
  <c r="A113" i="168"/>
  <c r="A112" i="168"/>
  <c r="A111" i="168"/>
  <c r="A110" i="168"/>
  <c r="A109" i="168"/>
  <c r="A108" i="168"/>
  <c r="A107" i="168"/>
  <c r="A106" i="168"/>
  <c r="A105" i="168"/>
  <c r="A104" i="168"/>
  <c r="A103" i="168"/>
  <c r="A102" i="168"/>
  <c r="A101" i="168"/>
  <c r="A100" i="168"/>
  <c r="A99" i="168"/>
  <c r="A98" i="168"/>
  <c r="A97" i="168"/>
  <c r="A96" i="168"/>
  <c r="A95" i="168"/>
  <c r="A94" i="168"/>
  <c r="A93" i="168"/>
  <c r="A92" i="168"/>
  <c r="A91" i="168"/>
  <c r="A90" i="168"/>
  <c r="A89" i="168"/>
  <c r="A88" i="168"/>
  <c r="A87" i="168"/>
  <c r="A86" i="168"/>
  <c r="A85" i="168"/>
  <c r="A84" i="168"/>
  <c r="A83" i="168"/>
  <c r="A82" i="168"/>
  <c r="A81" i="168"/>
  <c r="A80" i="168"/>
  <c r="A79" i="168"/>
  <c r="A78" i="168"/>
  <c r="A77" i="168"/>
  <c r="A76" i="168"/>
  <c r="A75" i="168"/>
  <c r="A74" i="168"/>
  <c r="A73" i="168"/>
  <c r="A72" i="168"/>
  <c r="A71" i="168"/>
  <c r="A70" i="168"/>
  <c r="A69" i="168"/>
  <c r="A68" i="168"/>
  <c r="A67" i="168"/>
  <c r="A66" i="168"/>
  <c r="A65" i="168"/>
  <c r="A52" i="58" s="1"/>
  <c r="A64" i="168"/>
  <c r="A63" i="168"/>
  <c r="A62" i="168"/>
  <c r="A61" i="168"/>
  <c r="A60" i="168"/>
  <c r="A59" i="168"/>
  <c r="A58" i="168"/>
  <c r="A57" i="168"/>
  <c r="A56" i="168"/>
  <c r="A55" i="168"/>
  <c r="A54" i="168"/>
  <c r="A53" i="168"/>
  <c r="A52" i="168"/>
  <c r="A51" i="168"/>
  <c r="A50" i="168"/>
  <c r="A49" i="168"/>
  <c r="A48" i="168"/>
  <c r="A47" i="168"/>
  <c r="A46" i="168"/>
  <c r="A45" i="168"/>
  <c r="A44" i="168"/>
  <c r="A43" i="168"/>
  <c r="A42" i="168"/>
  <c r="A41" i="168"/>
  <c r="A40" i="168"/>
  <c r="A38" i="168"/>
  <c r="A37" i="168"/>
  <c r="A36" i="168"/>
  <c r="A35" i="168"/>
  <c r="A34" i="168"/>
  <c r="A33" i="168"/>
  <c r="A32" i="168"/>
  <c r="A31" i="168"/>
  <c r="A30" i="168"/>
  <c r="A29" i="168"/>
  <c r="A28" i="168"/>
  <c r="A27" i="168"/>
  <c r="A26" i="168"/>
  <c r="A25" i="168"/>
  <c r="A24" i="168"/>
  <c r="A23" i="168"/>
  <c r="AG153" i="155" s="1"/>
  <c r="A22" i="168"/>
  <c r="A21" i="168"/>
  <c r="A20" i="168"/>
  <c r="A19" i="168"/>
  <c r="A18" i="168"/>
  <c r="A17" i="168"/>
  <c r="A16" i="168"/>
  <c r="A15" i="168"/>
  <c r="A14" i="168"/>
  <c r="A13" i="168"/>
  <c r="AD153" i="155" s="1"/>
  <c r="A12" i="168"/>
  <c r="A10" i="168"/>
  <c r="A9" i="168"/>
  <c r="A8" i="168"/>
  <c r="A7" i="168"/>
  <c r="A6" i="168"/>
  <c r="A5" i="168"/>
  <c r="A4" i="168"/>
  <c r="A2" i="168"/>
  <c r="A33" i="169"/>
  <c r="A32" i="169"/>
  <c r="A31" i="169"/>
  <c r="A30" i="169"/>
  <c r="A29" i="169"/>
  <c r="A28" i="169"/>
  <c r="A27" i="169"/>
  <c r="T153" i="155" s="1"/>
  <c r="A26" i="169"/>
  <c r="A25" i="169"/>
  <c r="A24" i="169"/>
  <c r="A23" i="169"/>
  <c r="A22" i="169"/>
  <c r="A21" i="169"/>
  <c r="A20" i="169"/>
  <c r="T195" i="155" s="1"/>
  <c r="A19" i="169"/>
  <c r="A18" i="169"/>
  <c r="A17" i="169"/>
  <c r="A16" i="169"/>
  <c r="A15" i="169"/>
  <c r="A14" i="169"/>
  <c r="A13" i="169"/>
  <c r="A12" i="169"/>
  <c r="A11" i="169"/>
  <c r="S153" i="155" s="1"/>
  <c r="A10" i="169"/>
  <c r="A9" i="169"/>
  <c r="A8" i="169"/>
  <c r="A7" i="169"/>
  <c r="A6" i="169"/>
  <c r="A5" i="169"/>
  <c r="A4" i="169"/>
  <c r="S195" i="155" s="1"/>
  <c r="A3" i="169"/>
  <c r="A2" i="169"/>
  <c r="A352" i="167"/>
  <c r="A351" i="167"/>
  <c r="A350" i="167"/>
  <c r="A349" i="167"/>
  <c r="A348" i="167"/>
  <c r="A347" i="167"/>
  <c r="A346" i="167"/>
  <c r="A345" i="167"/>
  <c r="A344" i="167"/>
  <c r="A343" i="167"/>
  <c r="A342" i="167"/>
  <c r="A341" i="167"/>
  <c r="A340" i="167"/>
  <c r="A339" i="167"/>
  <c r="A338" i="167"/>
  <c r="A337" i="167"/>
  <c r="A336" i="167"/>
  <c r="A335" i="167"/>
  <c r="A334" i="167"/>
  <c r="A333" i="167"/>
  <c r="A332" i="167"/>
  <c r="A331" i="167"/>
  <c r="A330" i="167"/>
  <c r="A329" i="167"/>
  <c r="A328" i="167"/>
  <c r="A327" i="167"/>
  <c r="A326" i="167"/>
  <c r="A325" i="167"/>
  <c r="A324" i="167"/>
  <c r="A323" i="167"/>
  <c r="A322" i="167"/>
  <c r="A321" i="167"/>
  <c r="A320" i="167"/>
  <c r="A319" i="167"/>
  <c r="A318" i="167"/>
  <c r="A317" i="167"/>
  <c r="A316" i="167"/>
  <c r="A315" i="167"/>
  <c r="A314" i="167"/>
  <c r="A313" i="167"/>
  <c r="A312" i="167"/>
  <c r="A311" i="167"/>
  <c r="A310" i="167"/>
  <c r="A309" i="167"/>
  <c r="A308" i="167"/>
  <c r="A307" i="167"/>
  <c r="A306" i="167"/>
  <c r="A305" i="167"/>
  <c r="A304" i="167"/>
  <c r="A303" i="167"/>
  <c r="A302" i="167"/>
  <c r="A301" i="167"/>
  <c r="A300" i="167"/>
  <c r="A299" i="167"/>
  <c r="A298" i="167"/>
  <c r="A297" i="167"/>
  <c r="A296" i="167"/>
  <c r="A295" i="167"/>
  <c r="A294" i="167"/>
  <c r="A293" i="167"/>
  <c r="A292" i="167"/>
  <c r="A291" i="167"/>
  <c r="A290" i="167"/>
  <c r="A289" i="167"/>
  <c r="A288" i="167"/>
  <c r="A287" i="167"/>
  <c r="A286" i="167"/>
  <c r="A285" i="167"/>
  <c r="A284" i="167"/>
  <c r="A283" i="167"/>
  <c r="A282" i="167"/>
  <c r="A281" i="167"/>
  <c r="A280" i="167"/>
  <c r="A279" i="167"/>
  <c r="A278" i="167"/>
  <c r="A277" i="167"/>
  <c r="A276" i="167"/>
  <c r="A275" i="167"/>
  <c r="A274" i="167"/>
  <c r="A273" i="167"/>
  <c r="A272" i="167"/>
  <c r="A271" i="167"/>
  <c r="A270" i="167"/>
  <c r="A269" i="167"/>
  <c r="A268" i="167"/>
  <c r="A267" i="167"/>
  <c r="A266" i="167"/>
  <c r="A265" i="167"/>
  <c r="A264" i="167"/>
  <c r="A263" i="167"/>
  <c r="A262" i="167"/>
  <c r="A261" i="167"/>
  <c r="A260" i="167"/>
  <c r="A259" i="167"/>
  <c r="A258" i="167"/>
  <c r="A257" i="167"/>
  <c r="A256" i="167"/>
  <c r="A255" i="167"/>
  <c r="A254" i="167"/>
  <c r="A253" i="167"/>
  <c r="A252" i="167"/>
  <c r="A251" i="167"/>
  <c r="A250" i="167"/>
  <c r="A249" i="167"/>
  <c r="A248" i="167"/>
  <c r="A247" i="167"/>
  <c r="A246" i="167"/>
  <c r="A245" i="167"/>
  <c r="A244" i="167"/>
  <c r="A243" i="167"/>
  <c r="A7" i="39" s="1"/>
  <c r="A242" i="167"/>
  <c r="A241" i="167"/>
  <c r="A240" i="167"/>
  <c r="A239" i="167"/>
  <c r="A237" i="167"/>
  <c r="A236" i="167"/>
  <c r="A235" i="167"/>
  <c r="A234" i="167"/>
  <c r="A233" i="167"/>
  <c r="A232" i="167"/>
  <c r="A231" i="167"/>
  <c r="A230" i="167"/>
  <c r="A229" i="167"/>
  <c r="A228" i="167"/>
  <c r="A227" i="167"/>
  <c r="A226" i="167"/>
  <c r="A224" i="167"/>
  <c r="A223" i="167"/>
  <c r="A222" i="167"/>
  <c r="A221" i="167"/>
  <c r="A220" i="167"/>
  <c r="A219" i="167"/>
  <c r="A218" i="167"/>
  <c r="A217" i="167"/>
  <c r="A216" i="167"/>
  <c r="A215" i="167"/>
  <c r="A214" i="167"/>
  <c r="A213" i="167"/>
  <c r="A212" i="167"/>
  <c r="A211" i="167"/>
  <c r="A210" i="167"/>
  <c r="A209" i="167"/>
  <c r="A208" i="167"/>
  <c r="A207" i="167"/>
  <c r="A206" i="167"/>
  <c r="A205" i="167"/>
  <c r="A204" i="167"/>
  <c r="A203" i="167"/>
  <c r="A202" i="167"/>
  <c r="A201" i="167"/>
  <c r="A200" i="167"/>
  <c r="A199" i="167"/>
  <c r="A198" i="167"/>
  <c r="A197" i="167"/>
  <c r="A196" i="167"/>
  <c r="A195" i="167"/>
  <c r="A194" i="167"/>
  <c r="A193" i="167"/>
  <c r="A192" i="167"/>
  <c r="A191" i="167"/>
  <c r="A190" i="167"/>
  <c r="A189" i="167"/>
  <c r="A188" i="167"/>
  <c r="A187" i="167"/>
  <c r="Q153" i="155" s="1"/>
  <c r="A186" i="167"/>
  <c r="A185" i="167"/>
  <c r="A184" i="167"/>
  <c r="A183" i="167"/>
  <c r="A182" i="167"/>
  <c r="A181" i="167"/>
  <c r="A180" i="167"/>
  <c r="A179" i="167"/>
  <c r="A178" i="167"/>
  <c r="A177" i="167"/>
  <c r="A176" i="167"/>
  <c r="A175" i="167"/>
  <c r="A174" i="167"/>
  <c r="A173" i="167"/>
  <c r="A172" i="167"/>
  <c r="A171" i="167"/>
  <c r="A170" i="167"/>
  <c r="A169" i="167"/>
  <c r="A168" i="167"/>
  <c r="A167" i="167"/>
  <c r="A166" i="167"/>
  <c r="A165" i="167"/>
  <c r="A164" i="167"/>
  <c r="A163" i="167"/>
  <c r="A162" i="167"/>
  <c r="A161" i="167"/>
  <c r="A160" i="167"/>
  <c r="A159" i="167"/>
  <c r="A158" i="167"/>
  <c r="A157" i="167"/>
  <c r="A156" i="167"/>
  <c r="A155" i="167"/>
  <c r="A154" i="167"/>
  <c r="A153" i="167"/>
  <c r="A152" i="167"/>
  <c r="A151" i="167"/>
  <c r="A150" i="167"/>
  <c r="A149" i="167"/>
  <c r="A148" i="167"/>
  <c r="A147" i="167"/>
  <c r="A146" i="167"/>
  <c r="A145" i="167"/>
  <c r="A144" i="167"/>
  <c r="A143" i="167"/>
  <c r="A142" i="167"/>
  <c r="A141" i="167"/>
  <c r="A140" i="167"/>
  <c r="A139" i="167"/>
  <c r="A138" i="167"/>
  <c r="A137" i="167"/>
  <c r="A136" i="167"/>
  <c r="A135" i="167"/>
  <c r="A134" i="167"/>
  <c r="A133" i="167"/>
  <c r="A132" i="167"/>
  <c r="A131" i="167"/>
  <c r="A130" i="167"/>
  <c r="A129" i="167"/>
  <c r="A128" i="167"/>
  <c r="A127" i="167"/>
  <c r="A126" i="167"/>
  <c r="A125" i="167"/>
  <c r="A124" i="167"/>
  <c r="A123" i="167"/>
  <c r="A122" i="167"/>
  <c r="A121" i="167"/>
  <c r="A120" i="167"/>
  <c r="A119" i="167"/>
  <c r="A118" i="167"/>
  <c r="A117" i="167"/>
  <c r="A116" i="167"/>
  <c r="A113" i="167"/>
  <c r="A112" i="167"/>
  <c r="A111" i="167"/>
  <c r="A110" i="167"/>
  <c r="A109" i="167"/>
  <c r="A108" i="167"/>
  <c r="A107" i="167"/>
  <c r="A106" i="167"/>
  <c r="A105" i="167"/>
  <c r="A104" i="167"/>
  <c r="A103" i="167"/>
  <c r="A102" i="167"/>
  <c r="A101" i="167"/>
  <c r="A100" i="167"/>
  <c r="A99" i="167"/>
  <c r="A98" i="167"/>
  <c r="A97" i="167"/>
  <c r="A96" i="167"/>
  <c r="A95" i="167"/>
  <c r="A94" i="167"/>
  <c r="A93" i="167"/>
  <c r="A92" i="167"/>
  <c r="A91" i="167"/>
  <c r="A90" i="167"/>
  <c r="A89" i="167"/>
  <c r="A88" i="167"/>
  <c r="A87" i="167"/>
  <c r="A86" i="167"/>
  <c r="A85" i="167"/>
  <c r="A84" i="167"/>
  <c r="A83" i="167"/>
  <c r="A82" i="167"/>
  <c r="A81" i="167"/>
  <c r="A80" i="167"/>
  <c r="A79" i="167"/>
  <c r="A78" i="167"/>
  <c r="A77" i="167"/>
  <c r="A76" i="167"/>
  <c r="A75" i="167"/>
  <c r="A74" i="167"/>
  <c r="A73" i="167"/>
  <c r="A72" i="167"/>
  <c r="A71" i="167"/>
  <c r="A70" i="167"/>
  <c r="A69" i="167"/>
  <c r="A68" i="167"/>
  <c r="A67" i="167"/>
  <c r="A66" i="167"/>
  <c r="A65" i="167"/>
  <c r="A64" i="167"/>
  <c r="A63" i="167"/>
  <c r="A62" i="167"/>
  <c r="A61" i="167"/>
  <c r="A60" i="167"/>
  <c r="A59" i="167"/>
  <c r="A58" i="167"/>
  <c r="A57" i="167"/>
  <c r="A56" i="167"/>
  <c r="A55" i="167"/>
  <c r="A54" i="167"/>
  <c r="A53" i="167"/>
  <c r="A52" i="167"/>
  <c r="A51" i="167"/>
  <c r="A50" i="167"/>
  <c r="A49" i="167"/>
  <c r="A46" i="167"/>
  <c r="A45" i="167"/>
  <c r="A44" i="167"/>
  <c r="A43" i="167"/>
  <c r="A42" i="167"/>
  <c r="A41" i="167"/>
  <c r="A40" i="167"/>
  <c r="A39" i="167"/>
  <c r="A38" i="167"/>
  <c r="A37" i="167"/>
  <c r="A36" i="167"/>
  <c r="A35" i="167"/>
  <c r="A34" i="167"/>
  <c r="A33" i="167"/>
  <c r="A32" i="167"/>
  <c r="A31" i="167"/>
  <c r="A30" i="167"/>
  <c r="A29" i="167"/>
  <c r="A28" i="167"/>
  <c r="A27" i="167"/>
  <c r="A26" i="167"/>
  <c r="A25" i="167"/>
  <c r="A24" i="167"/>
  <c r="A23" i="167"/>
  <c r="A22" i="167"/>
  <c r="A21" i="167"/>
  <c r="A20" i="167"/>
  <c r="A19" i="167"/>
  <c r="A18" i="167"/>
  <c r="A17" i="167"/>
  <c r="A16" i="167"/>
  <c r="A15" i="167"/>
  <c r="A14" i="167"/>
  <c r="A13" i="167"/>
  <c r="A12" i="167"/>
  <c r="A11" i="167"/>
  <c r="A10" i="167"/>
  <c r="A9" i="167"/>
  <c r="A8" i="167"/>
  <c r="A7" i="167"/>
  <c r="A6" i="167"/>
  <c r="A5" i="167"/>
  <c r="A4" i="167"/>
  <c r="A3" i="167"/>
  <c r="A2" i="167"/>
  <c r="A42" i="166"/>
  <c r="A41" i="166"/>
  <c r="A40" i="166"/>
  <c r="A39" i="166"/>
  <c r="A38" i="166"/>
  <c r="A37" i="166"/>
  <c r="A36" i="166"/>
  <c r="A35" i="166"/>
  <c r="A34" i="166"/>
  <c r="A33" i="166"/>
  <c r="A32" i="166"/>
  <c r="A31" i="166"/>
  <c r="A30" i="166"/>
  <c r="A29" i="166"/>
  <c r="E27" i="104" s="1"/>
  <c r="A28" i="166"/>
  <c r="D27" i="104" s="1"/>
  <c r="A27" i="166"/>
  <c r="A26" i="166"/>
  <c r="A25" i="166"/>
  <c r="A24" i="166"/>
  <c r="A23" i="166"/>
  <c r="A22" i="166"/>
  <c r="A20" i="166"/>
  <c r="A19" i="166"/>
  <c r="A17" i="166"/>
  <c r="A16" i="166"/>
  <c r="A15" i="166"/>
  <c r="A14" i="166"/>
  <c r="A13" i="166"/>
  <c r="A12" i="166"/>
  <c r="A11" i="166"/>
  <c r="A10" i="166"/>
  <c r="A9" i="166"/>
  <c r="A8" i="166"/>
  <c r="A7" i="166"/>
  <c r="A6" i="166"/>
  <c r="A5" i="166"/>
  <c r="A4" i="166"/>
  <c r="A3" i="166"/>
  <c r="C25" i="104" s="1"/>
  <c r="A2" i="166"/>
  <c r="A25" i="104" s="1"/>
  <c r="A37" i="164"/>
  <c r="A36" i="164"/>
  <c r="A35" i="164"/>
  <c r="A34" i="164"/>
  <c r="A33" i="164"/>
  <c r="A32" i="164"/>
  <c r="A31" i="164"/>
  <c r="A30" i="164"/>
  <c r="A29" i="164"/>
  <c r="A28" i="164"/>
  <c r="A27" i="164"/>
  <c r="A26" i="164"/>
  <c r="A25" i="164"/>
  <c r="A24" i="164"/>
  <c r="A23" i="164"/>
  <c r="A22" i="164"/>
  <c r="A21" i="164"/>
  <c r="A20" i="164"/>
  <c r="A19" i="164"/>
  <c r="A18" i="164"/>
  <c r="A17" i="164"/>
  <c r="A16" i="164"/>
  <c r="A15" i="164"/>
  <c r="A14" i="164"/>
  <c r="A13" i="164"/>
  <c r="A12" i="164"/>
  <c r="A11" i="164"/>
  <c r="A10" i="164"/>
  <c r="A9" i="164"/>
  <c r="A8" i="164"/>
  <c r="A7" i="164"/>
  <c r="A6" i="164"/>
  <c r="A5" i="164"/>
  <c r="B4" i="37" s="1"/>
  <c r="A4" i="164"/>
  <c r="A3" i="164"/>
  <c r="A2" i="164"/>
  <c r="I11" i="153"/>
  <c r="E11" i="153"/>
  <c r="K12" i="148"/>
  <c r="G12" i="148"/>
  <c r="K46" i="145"/>
  <c r="G46" i="145"/>
  <c r="K29" i="145"/>
  <c r="G29" i="145"/>
  <c r="K12" i="145"/>
  <c r="G12" i="145"/>
  <c r="K12" i="152"/>
  <c r="G12" i="152"/>
  <c r="K48" i="149"/>
  <c r="G48" i="149"/>
  <c r="K30" i="149"/>
  <c r="G30" i="149"/>
  <c r="K12" i="149"/>
  <c r="G12" i="149"/>
  <c r="G12" i="144"/>
  <c r="G12" i="143"/>
  <c r="R12" i="140"/>
  <c r="M12" i="140"/>
  <c r="H12" i="140"/>
  <c r="G40" i="139"/>
  <c r="Q12" i="139"/>
  <c r="L12" i="139"/>
  <c r="G12" i="139"/>
  <c r="E13" i="138"/>
  <c r="J12" i="137"/>
  <c r="F12" i="137"/>
  <c r="F34" i="135"/>
  <c r="F22" i="135"/>
  <c r="F12" i="135"/>
  <c r="F41" i="136"/>
  <c r="F25" i="136"/>
  <c r="F11" i="136"/>
  <c r="H378" i="134"/>
  <c r="H364" i="134"/>
  <c r="H332" i="134"/>
  <c r="H318" i="134"/>
  <c r="H301" i="134"/>
  <c r="H284" i="134"/>
  <c r="H273" i="134"/>
  <c r="H262" i="134"/>
  <c r="H250" i="134"/>
  <c r="H238" i="134"/>
  <c r="H212" i="134"/>
  <c r="H196" i="134"/>
  <c r="H183" i="134"/>
  <c r="H167" i="134"/>
  <c r="M153" i="134"/>
  <c r="H153" i="134"/>
  <c r="M136" i="134"/>
  <c r="H136" i="134"/>
  <c r="M120" i="134"/>
  <c r="H120" i="134"/>
  <c r="H105" i="134"/>
  <c r="H84" i="134"/>
  <c r="H67" i="134"/>
  <c r="H46" i="134"/>
  <c r="H27" i="134"/>
  <c r="H12" i="134"/>
  <c r="F13" i="133"/>
  <c r="J12" i="132"/>
  <c r="F12" i="132"/>
  <c r="G31" i="131"/>
  <c r="G21" i="131"/>
  <c r="G11" i="131"/>
  <c r="F28" i="127"/>
  <c r="F11" i="127"/>
  <c r="G53" i="128"/>
  <c r="G41" i="128"/>
  <c r="G27" i="128"/>
  <c r="K11" i="128"/>
  <c r="G11" i="128"/>
  <c r="D39" i="129"/>
  <c r="D28" i="129"/>
  <c r="D17" i="129"/>
  <c r="D11" i="129"/>
  <c r="I11" i="126"/>
  <c r="E11" i="126"/>
  <c r="H12" i="125"/>
  <c r="F12" i="130"/>
  <c r="F44" i="123"/>
  <c r="K31" i="123"/>
  <c r="F31" i="123"/>
  <c r="K22" i="123"/>
  <c r="F22" i="123"/>
  <c r="K12" i="123"/>
  <c r="F12" i="123"/>
  <c r="F59" i="120"/>
  <c r="F43" i="120"/>
  <c r="K23" i="120"/>
  <c r="F23" i="120"/>
  <c r="K12" i="120"/>
  <c r="F12" i="120"/>
  <c r="F12" i="119"/>
  <c r="G11" i="118"/>
  <c r="N12" i="117"/>
  <c r="H12" i="117"/>
  <c r="L11" i="116"/>
  <c r="H11" i="116"/>
  <c r="M48" i="115"/>
  <c r="H48" i="115"/>
  <c r="M12" i="115"/>
  <c r="H12" i="115"/>
  <c r="F11" i="114"/>
  <c r="G33" i="112"/>
  <c r="K11" i="112"/>
  <c r="G11" i="112"/>
  <c r="K12" i="111"/>
  <c r="G12" i="111"/>
  <c r="G12" i="110"/>
  <c r="K12" i="109"/>
  <c r="G12" i="109"/>
  <c r="F42" i="173"/>
  <c r="F27" i="173"/>
  <c r="F12" i="173"/>
  <c r="L12" i="159"/>
  <c r="G12" i="159"/>
  <c r="G18" i="108"/>
  <c r="G11" i="108"/>
  <c r="K32" i="105"/>
  <c r="G32" i="105"/>
  <c r="K12" i="105"/>
  <c r="G12" i="105"/>
  <c r="G12" i="104"/>
  <c r="L46" i="101"/>
  <c r="G46" i="101"/>
  <c r="L29" i="101"/>
  <c r="G29" i="101"/>
  <c r="L12" i="101"/>
  <c r="G12" i="101"/>
  <c r="K36" i="162"/>
  <c r="G36" i="162"/>
  <c r="K12" i="162"/>
  <c r="G12" i="162"/>
  <c r="K42" i="161"/>
  <c r="G42" i="161"/>
  <c r="K12" i="161"/>
  <c r="G12" i="161"/>
  <c r="G12" i="99"/>
  <c r="K41" i="95"/>
  <c r="G41" i="95"/>
  <c r="K12" i="95"/>
  <c r="G12" i="95"/>
  <c r="K83" i="92"/>
  <c r="G83" i="92"/>
  <c r="K74" i="92"/>
  <c r="G74" i="92"/>
  <c r="K56" i="92"/>
  <c r="G56" i="92"/>
  <c r="K43" i="92"/>
  <c r="G43" i="92"/>
  <c r="K25" i="92"/>
  <c r="G25" i="92"/>
  <c r="K12" i="92"/>
  <c r="G12" i="92"/>
  <c r="L25" i="98"/>
  <c r="G25" i="98"/>
  <c r="L12" i="98"/>
  <c r="G12" i="98"/>
  <c r="K35" i="97"/>
  <c r="G35" i="97"/>
  <c r="K12" i="97"/>
  <c r="G12" i="97"/>
  <c r="K79" i="96"/>
  <c r="G79" i="96"/>
  <c r="K70" i="96"/>
  <c r="G70" i="96"/>
  <c r="K53" i="96"/>
  <c r="G53" i="96"/>
  <c r="K41" i="96"/>
  <c r="G41" i="96"/>
  <c r="K24" i="96"/>
  <c r="G24" i="96"/>
  <c r="K12" i="96"/>
  <c r="G12" i="96"/>
  <c r="L12" i="91"/>
  <c r="G12" i="91"/>
  <c r="K36" i="90"/>
  <c r="G36" i="90"/>
  <c r="K12" i="90"/>
  <c r="G12" i="90"/>
  <c r="F35" i="89"/>
  <c r="F11" i="89"/>
  <c r="I36" i="88"/>
  <c r="E36" i="88"/>
  <c r="I12" i="88"/>
  <c r="E12" i="88"/>
  <c r="E27" i="87"/>
  <c r="E11" i="87"/>
  <c r="K11" i="85"/>
  <c r="G11" i="85"/>
  <c r="G11" i="84"/>
  <c r="G11" i="83"/>
  <c r="K56" i="82"/>
  <c r="G56" i="82"/>
  <c r="K34" i="82"/>
  <c r="G34" i="82"/>
  <c r="G12" i="82"/>
  <c r="K73" i="81"/>
  <c r="G73" i="81"/>
  <c r="K55" i="81"/>
  <c r="G55" i="81"/>
  <c r="K32" i="81"/>
  <c r="G32" i="81"/>
  <c r="K14" i="81"/>
  <c r="G14" i="81"/>
  <c r="G35" i="80"/>
  <c r="G12" i="80"/>
  <c r="G44" i="79"/>
  <c r="G28" i="79"/>
  <c r="G12" i="79"/>
  <c r="F22" i="77"/>
  <c r="J12" i="77"/>
  <c r="F12" i="77"/>
  <c r="F27" i="76"/>
  <c r="F12" i="76"/>
  <c r="F29" i="75"/>
  <c r="F12" i="75"/>
  <c r="E33" i="74"/>
  <c r="E21" i="74"/>
  <c r="E13" i="74"/>
  <c r="G75" i="72"/>
  <c r="G65" i="72"/>
  <c r="G51" i="72"/>
  <c r="G40" i="72"/>
  <c r="G25" i="72"/>
  <c r="K11" i="72"/>
  <c r="G11" i="72"/>
  <c r="H43" i="71"/>
  <c r="H30" i="71"/>
  <c r="H12" i="71"/>
  <c r="F25" i="70"/>
  <c r="F13" i="70"/>
  <c r="L97" i="66"/>
  <c r="G97" i="66"/>
  <c r="L78" i="66"/>
  <c r="G78" i="66"/>
  <c r="L68" i="66"/>
  <c r="G68" i="66"/>
  <c r="L56" i="66"/>
  <c r="G56" i="66"/>
  <c r="L43" i="66"/>
  <c r="G43" i="66"/>
  <c r="L33" i="66"/>
  <c r="G33" i="66"/>
  <c r="L12" i="66"/>
  <c r="G12" i="66"/>
  <c r="L92" i="63"/>
  <c r="G92" i="63"/>
  <c r="L75" i="63"/>
  <c r="G75" i="63"/>
  <c r="L67" i="63"/>
  <c r="G67" i="63"/>
  <c r="L57" i="63"/>
  <c r="G57" i="63"/>
  <c r="L46" i="63"/>
  <c r="G46" i="63"/>
  <c r="L38" i="63"/>
  <c r="G38" i="63"/>
  <c r="G21" i="63"/>
  <c r="L12" i="63"/>
  <c r="G12" i="63"/>
  <c r="J48" i="60"/>
  <c r="F48" i="60"/>
  <c r="N30" i="60"/>
  <c r="J30" i="60"/>
  <c r="F30" i="60"/>
  <c r="F13" i="60"/>
  <c r="J12" i="69"/>
  <c r="F12" i="69"/>
  <c r="D21" i="59"/>
  <c r="D11" i="59"/>
  <c r="F56" i="58"/>
  <c r="F45" i="58"/>
  <c r="F30" i="58"/>
  <c r="F15" i="58"/>
  <c r="H11" i="53"/>
  <c r="H90" i="49"/>
  <c r="H69" i="49"/>
  <c r="H50" i="49"/>
  <c r="L33" i="49"/>
  <c r="H33" i="49"/>
  <c r="L11" i="49"/>
  <c r="H11" i="49"/>
  <c r="K53" i="56"/>
  <c r="G53" i="56"/>
  <c r="K35" i="56"/>
  <c r="G35" i="56"/>
  <c r="K20" i="56"/>
  <c r="G20" i="56"/>
  <c r="K12" i="56"/>
  <c r="G12" i="56"/>
  <c r="F38" i="48"/>
  <c r="J12" i="48"/>
  <c r="F12" i="48"/>
  <c r="M181" i="41"/>
  <c r="I181" i="41"/>
  <c r="E181" i="41"/>
  <c r="M157" i="41"/>
  <c r="I157" i="41"/>
  <c r="E157" i="41"/>
  <c r="M133" i="41"/>
  <c r="I133" i="41"/>
  <c r="E133" i="41"/>
  <c r="M108" i="41"/>
  <c r="I108" i="41"/>
  <c r="E108" i="41"/>
  <c r="M84" i="41"/>
  <c r="I84" i="41"/>
  <c r="E84" i="41"/>
  <c r="M60" i="41"/>
  <c r="I60" i="41"/>
  <c r="E60" i="41"/>
  <c r="M36" i="41"/>
  <c r="I36" i="41"/>
  <c r="E36" i="41"/>
  <c r="E12" i="41"/>
  <c r="F12" i="171"/>
  <c r="F12" i="37"/>
  <c r="J12" i="39"/>
  <c r="F12" i="39"/>
  <c r="G12" i="36"/>
  <c r="K126" i="32"/>
  <c r="G126" i="32"/>
  <c r="K106" i="32"/>
  <c r="G106" i="32"/>
  <c r="K86" i="32"/>
  <c r="G86" i="32"/>
  <c r="K60" i="32"/>
  <c r="G60" i="32"/>
  <c r="K35" i="32"/>
  <c r="G35" i="32"/>
  <c r="K11" i="32"/>
  <c r="G11" i="32"/>
  <c r="K41" i="31"/>
  <c r="G41" i="31"/>
  <c r="K12" i="31"/>
  <c r="G12" i="31"/>
  <c r="G12" i="29"/>
  <c r="M12" i="30"/>
  <c r="H12" i="30"/>
  <c r="G12" i="27"/>
  <c r="G27" i="25"/>
  <c r="M12" i="25"/>
  <c r="G12" i="25"/>
  <c r="G27" i="24"/>
  <c r="M12" i="24"/>
  <c r="G12" i="24"/>
  <c r="G25" i="174"/>
  <c r="G12" i="174"/>
  <c r="O12" i="22"/>
  <c r="K12" i="22"/>
  <c r="G12" i="22"/>
  <c r="O12" i="160"/>
  <c r="J12" i="160"/>
  <c r="F12" i="160"/>
  <c r="Q12" i="23"/>
  <c r="L12" i="23"/>
  <c r="G12" i="23"/>
  <c r="L12" i="21"/>
  <c r="G12" i="21"/>
  <c r="L12" i="19"/>
  <c r="G12" i="19"/>
  <c r="M15" i="18"/>
  <c r="H15" i="18"/>
  <c r="M12" i="17"/>
  <c r="H12" i="17"/>
  <c r="L85" i="14"/>
  <c r="G85" i="14"/>
  <c r="L47" i="14"/>
  <c r="G47" i="14"/>
  <c r="L12" i="14"/>
  <c r="G12" i="14"/>
  <c r="L86" i="11"/>
  <c r="G86" i="11"/>
  <c r="L66" i="11"/>
  <c r="G66" i="11"/>
  <c r="L44" i="11"/>
  <c r="G44" i="11"/>
  <c r="Q12" i="11"/>
  <c r="L12" i="11"/>
  <c r="G12" i="11"/>
  <c r="M12" i="10"/>
  <c r="H12" i="10"/>
  <c r="Q12" i="156"/>
  <c r="L12" i="156"/>
  <c r="G12" i="156"/>
  <c r="M4" i="155"/>
  <c r="K4" i="155"/>
  <c r="H11" i="153"/>
  <c r="D11" i="153"/>
  <c r="J12" i="148"/>
  <c r="F12" i="148"/>
  <c r="J46" i="145"/>
  <c r="F46" i="145"/>
  <c r="J29" i="145"/>
  <c r="F29" i="145"/>
  <c r="J12" i="145"/>
  <c r="F12" i="145"/>
  <c r="J12" i="152"/>
  <c r="F12" i="152"/>
  <c r="J48" i="149"/>
  <c r="F48" i="149"/>
  <c r="J30" i="149"/>
  <c r="F30" i="149"/>
  <c r="J12" i="149"/>
  <c r="F12" i="149"/>
  <c r="F12" i="144"/>
  <c r="F12" i="143"/>
  <c r="Q12" i="140"/>
  <c r="L12" i="140"/>
  <c r="G12" i="140"/>
  <c r="F40" i="139"/>
  <c r="P12" i="139"/>
  <c r="K12" i="139"/>
  <c r="F12" i="139"/>
  <c r="D13" i="138"/>
  <c r="I12" i="137"/>
  <c r="E12" i="137"/>
  <c r="E34" i="135"/>
  <c r="E22" i="135"/>
  <c r="E12" i="135"/>
  <c r="E41" i="136"/>
  <c r="E25" i="136"/>
  <c r="E11" i="136"/>
  <c r="G378" i="134"/>
  <c r="G364" i="134"/>
  <c r="G332" i="134"/>
  <c r="G318" i="134"/>
  <c r="G301" i="134"/>
  <c r="G284" i="134"/>
  <c r="G273" i="134"/>
  <c r="G262" i="134"/>
  <c r="G250" i="134"/>
  <c r="G238" i="134"/>
  <c r="G212" i="134"/>
  <c r="G196" i="134"/>
  <c r="G183" i="134"/>
  <c r="G167" i="134"/>
  <c r="L153" i="134"/>
  <c r="G153" i="134"/>
  <c r="L136" i="134"/>
  <c r="G136" i="134"/>
  <c r="L120" i="134"/>
  <c r="G120" i="134"/>
  <c r="G105" i="134"/>
  <c r="G84" i="134"/>
  <c r="G67" i="134"/>
  <c r="G46" i="134"/>
  <c r="G27" i="134"/>
  <c r="G12" i="134"/>
  <c r="E13" i="133"/>
  <c r="I12" i="132"/>
  <c r="E12" i="132"/>
  <c r="F31" i="131"/>
  <c r="F21" i="131"/>
  <c r="F11" i="131"/>
  <c r="E28" i="127"/>
  <c r="E11" i="127"/>
  <c r="F53" i="128"/>
  <c r="F41" i="128"/>
  <c r="F27" i="128"/>
  <c r="J11" i="128"/>
  <c r="F11" i="128"/>
  <c r="C39" i="129"/>
  <c r="C28" i="129"/>
  <c r="C17" i="129"/>
  <c r="C11" i="129"/>
  <c r="H11" i="126"/>
  <c r="D11" i="126"/>
  <c r="G12" i="125"/>
  <c r="E12" i="130"/>
  <c r="E44" i="123"/>
  <c r="J31" i="123"/>
  <c r="E31" i="123"/>
  <c r="J22" i="123"/>
  <c r="E22" i="123"/>
  <c r="J12" i="123"/>
  <c r="E12" i="123"/>
  <c r="E59" i="120"/>
  <c r="E43" i="120"/>
  <c r="J23" i="120"/>
  <c r="E23" i="120"/>
  <c r="J12" i="120"/>
  <c r="E12" i="120"/>
  <c r="E12" i="119"/>
  <c r="F11" i="118"/>
  <c r="M12" i="117"/>
  <c r="G12" i="117"/>
  <c r="K11" i="116"/>
  <c r="G11" i="116"/>
  <c r="L48" i="115"/>
  <c r="G48" i="115"/>
  <c r="L12" i="115"/>
  <c r="G12" i="115"/>
  <c r="E11" i="114"/>
  <c r="F33" i="112"/>
  <c r="J11" i="112"/>
  <c r="F11" i="112"/>
  <c r="J12" i="111"/>
  <c r="F12" i="111"/>
  <c r="F12" i="110"/>
  <c r="J12" i="109"/>
  <c r="F12" i="109"/>
  <c r="E42" i="173"/>
  <c r="E27" i="173"/>
  <c r="E12" i="173"/>
  <c r="K12" i="159"/>
  <c r="F12" i="159"/>
  <c r="F18" i="108"/>
  <c r="F11" i="108"/>
  <c r="J32" i="105"/>
  <c r="F32" i="105"/>
  <c r="J12" i="105"/>
  <c r="F12" i="105"/>
  <c r="F12" i="104"/>
  <c r="K46" i="101"/>
  <c r="F46" i="101"/>
  <c r="K29" i="101"/>
  <c r="F29" i="101"/>
  <c r="K12" i="101"/>
  <c r="F12" i="101"/>
  <c r="J36" i="162"/>
  <c r="F36" i="162"/>
  <c r="J12" i="162"/>
  <c r="F12" i="162"/>
  <c r="J42" i="161"/>
  <c r="F42" i="161"/>
  <c r="J12" i="161"/>
  <c r="F12" i="161"/>
  <c r="F12" i="99"/>
  <c r="J41" i="95"/>
  <c r="F41" i="95"/>
  <c r="J12" i="95"/>
  <c r="F12" i="95"/>
  <c r="J83" i="92"/>
  <c r="F83" i="92"/>
  <c r="J74" i="92"/>
  <c r="F74" i="92"/>
  <c r="J56" i="92"/>
  <c r="F56" i="92"/>
  <c r="J43" i="92"/>
  <c r="F43" i="92"/>
  <c r="J25" i="92"/>
  <c r="F25" i="92"/>
  <c r="J12" i="92"/>
  <c r="F12" i="92"/>
  <c r="K25" i="98"/>
  <c r="F25" i="98"/>
  <c r="K12" i="98"/>
  <c r="F12" i="98"/>
  <c r="J35" i="97"/>
  <c r="F35" i="97"/>
  <c r="J12" i="97"/>
  <c r="F12" i="97"/>
  <c r="J79" i="96"/>
  <c r="F79" i="96"/>
  <c r="J70" i="96"/>
  <c r="F70" i="96"/>
  <c r="J53" i="96"/>
  <c r="F53" i="96"/>
  <c r="J41" i="96"/>
  <c r="F41" i="96"/>
  <c r="J24" i="96"/>
  <c r="F24" i="96"/>
  <c r="J12" i="96"/>
  <c r="F12" i="96"/>
  <c r="K12" i="91"/>
  <c r="F12" i="91"/>
  <c r="J36" i="90"/>
  <c r="F36" i="90"/>
  <c r="J12" i="90"/>
  <c r="F12" i="90"/>
  <c r="E35" i="89"/>
  <c r="E11" i="89"/>
  <c r="H36" i="88"/>
  <c r="D36" i="88"/>
  <c r="H12" i="88"/>
  <c r="D12" i="88"/>
  <c r="D27" i="87"/>
  <c r="D11" i="87"/>
  <c r="J11" i="85"/>
  <c r="F11" i="85"/>
  <c r="F11" i="84"/>
  <c r="F11" i="83"/>
  <c r="J56" i="82"/>
  <c r="F56" i="82"/>
  <c r="J34" i="82"/>
  <c r="F34" i="82"/>
  <c r="F12" i="82"/>
  <c r="J73" i="81"/>
  <c r="F73" i="81"/>
  <c r="J55" i="81"/>
  <c r="F55" i="81"/>
  <c r="J32" i="81"/>
  <c r="F32" i="81"/>
  <c r="J14" i="81"/>
  <c r="F14" i="81"/>
  <c r="F35" i="80"/>
  <c r="F12" i="80"/>
  <c r="F44" i="79"/>
  <c r="F28" i="79"/>
  <c r="F12" i="79"/>
  <c r="E22" i="77"/>
  <c r="I12" i="77"/>
  <c r="E12" i="77"/>
  <c r="E27" i="76"/>
  <c r="E12" i="76"/>
  <c r="E29" i="75"/>
  <c r="E12" i="75"/>
  <c r="D33" i="74"/>
  <c r="D21" i="74"/>
  <c r="D13" i="74"/>
  <c r="F75" i="72"/>
  <c r="F65" i="72"/>
  <c r="F51" i="72"/>
  <c r="F40" i="72"/>
  <c r="F25" i="72"/>
  <c r="J11" i="72"/>
  <c r="F11" i="72"/>
  <c r="G43" i="71"/>
  <c r="G30" i="71"/>
  <c r="G12" i="71"/>
  <c r="E25" i="70"/>
  <c r="E13" i="70"/>
  <c r="K97" i="66"/>
  <c r="F97" i="66"/>
  <c r="K78" i="66"/>
  <c r="F78" i="66"/>
  <c r="K68" i="66"/>
  <c r="F68" i="66"/>
  <c r="K56" i="66"/>
  <c r="F56" i="66"/>
  <c r="K43" i="66"/>
  <c r="F43" i="66"/>
  <c r="K33" i="66"/>
  <c r="F33" i="66"/>
  <c r="K12" i="66"/>
  <c r="F12" i="66"/>
  <c r="K92" i="63"/>
  <c r="F92" i="63"/>
  <c r="K75" i="63"/>
  <c r="F75" i="63"/>
  <c r="K67" i="63"/>
  <c r="F67" i="63"/>
  <c r="K57" i="63"/>
  <c r="F57" i="63"/>
  <c r="K46" i="63"/>
  <c r="F46" i="63"/>
  <c r="K38" i="63"/>
  <c r="F38" i="63"/>
  <c r="F21" i="63"/>
  <c r="K12" i="63"/>
  <c r="F12" i="63"/>
  <c r="I48" i="60"/>
  <c r="E48" i="60"/>
  <c r="M30" i="60"/>
  <c r="I30" i="60"/>
  <c r="E30" i="60"/>
  <c r="E13" i="60"/>
  <c r="I12" i="69"/>
  <c r="E12" i="69"/>
  <c r="C21" i="59"/>
  <c r="C11" i="59"/>
  <c r="E56" i="58"/>
  <c r="E45" i="58"/>
  <c r="E30" i="58"/>
  <c r="E15" i="58"/>
  <c r="G11" i="53"/>
  <c r="G90" i="49"/>
  <c r="G69" i="49"/>
  <c r="G50" i="49"/>
  <c r="K33" i="49"/>
  <c r="G33" i="49"/>
  <c r="K11" i="49"/>
  <c r="G11" i="49"/>
  <c r="J53" i="56"/>
  <c r="F53" i="56"/>
  <c r="J35" i="56"/>
  <c r="F35" i="56"/>
  <c r="J20" i="56"/>
  <c r="F20" i="56"/>
  <c r="J12" i="56"/>
  <c r="F12" i="56"/>
  <c r="E38" i="48"/>
  <c r="I12" i="48"/>
  <c r="E12" i="48"/>
  <c r="L181" i="41"/>
  <c r="H181" i="41"/>
  <c r="D181" i="41"/>
  <c r="L157" i="41"/>
  <c r="H157" i="41"/>
  <c r="D157" i="41"/>
  <c r="L133" i="41"/>
  <c r="H133" i="41"/>
  <c r="D133" i="41"/>
  <c r="L108" i="41"/>
  <c r="H108" i="41"/>
  <c r="D108" i="41"/>
  <c r="L84" i="41"/>
  <c r="H84" i="41"/>
  <c r="D84" i="41"/>
  <c r="L60" i="41"/>
  <c r="H60" i="41"/>
  <c r="D60" i="41"/>
  <c r="L36" i="41"/>
  <c r="H36" i="41"/>
  <c r="D36" i="41"/>
  <c r="D12" i="41"/>
  <c r="E12" i="171"/>
  <c r="E12" i="37"/>
  <c r="I12" i="39"/>
  <c r="E12" i="39"/>
  <c r="F12" i="36"/>
  <c r="J126" i="32"/>
  <c r="F126" i="32"/>
  <c r="J106" i="32"/>
  <c r="F106" i="32"/>
  <c r="J86" i="32"/>
  <c r="F86" i="32"/>
  <c r="J60" i="32"/>
  <c r="F60" i="32"/>
  <c r="J35" i="32"/>
  <c r="F35" i="32"/>
  <c r="J11" i="32"/>
  <c r="F11" i="32"/>
  <c r="J41" i="31"/>
  <c r="F41" i="31"/>
  <c r="J12" i="31"/>
  <c r="F12" i="31"/>
  <c r="F12" i="29"/>
  <c r="L12" i="30"/>
  <c r="G12" i="30"/>
  <c r="F12" i="27"/>
  <c r="F27" i="25"/>
  <c r="L12" i="25"/>
  <c r="F12" i="25"/>
  <c r="F27" i="24"/>
  <c r="L12" i="24"/>
  <c r="F12" i="24"/>
  <c r="F25" i="174"/>
  <c r="F12" i="174"/>
  <c r="N12" i="22"/>
  <c r="J12" i="22"/>
  <c r="F12" i="22"/>
  <c r="N12" i="160"/>
  <c r="I12" i="160"/>
  <c r="E12" i="160"/>
  <c r="P12" i="23"/>
  <c r="K12" i="23"/>
  <c r="F12" i="23"/>
  <c r="K12" i="21"/>
  <c r="F12" i="21"/>
  <c r="K12" i="19"/>
  <c r="F12" i="19"/>
  <c r="L15" i="18"/>
  <c r="G15" i="18"/>
  <c r="L12" i="17"/>
  <c r="G12" i="17"/>
  <c r="K85" i="14"/>
  <c r="F85" i="14"/>
  <c r="K47" i="14"/>
  <c r="F47" i="14"/>
  <c r="K12" i="14"/>
  <c r="F12" i="14"/>
  <c r="K86" i="11"/>
  <c r="F86" i="11"/>
  <c r="K66" i="11"/>
  <c r="F66" i="11"/>
  <c r="K44" i="11"/>
  <c r="F44" i="11"/>
  <c r="P12" i="11"/>
  <c r="K12" i="11"/>
  <c r="F12" i="11"/>
  <c r="L12" i="10"/>
  <c r="G12" i="10"/>
  <c r="P12" i="156"/>
  <c r="K12" i="156"/>
  <c r="F12" i="156"/>
  <c r="L4" i="155"/>
  <c r="J4" i="155"/>
  <c r="T2075" i="155" l="1"/>
  <c r="T2074" i="155"/>
  <c r="T2078" i="155"/>
  <c r="T2077" i="155"/>
  <c r="T2076" i="155"/>
  <c r="A21" i="104"/>
  <c r="AD2074" i="155"/>
  <c r="AD2076" i="155"/>
  <c r="AD2077" i="155"/>
  <c r="AD2078" i="155"/>
  <c r="AD2075" i="155"/>
  <c r="AG2075" i="155"/>
  <c r="AG2074" i="155"/>
  <c r="AG2078" i="155"/>
  <c r="AG2076" i="155"/>
  <c r="AG2077" i="155"/>
  <c r="R153" i="155"/>
  <c r="R361" i="155"/>
  <c r="R152" i="155"/>
  <c r="R320" i="155"/>
  <c r="R87" i="155"/>
  <c r="R279" i="155"/>
  <c r="R86" i="155"/>
  <c r="R195" i="155"/>
  <c r="R194" i="155"/>
  <c r="R2430" i="155"/>
  <c r="S2077" i="155"/>
  <c r="S2075" i="155"/>
  <c r="S2074" i="155"/>
  <c r="S2076" i="155"/>
  <c r="S2078" i="155"/>
  <c r="A22" i="104"/>
  <c r="R897" i="155"/>
  <c r="Q2076" i="155"/>
  <c r="Q2075" i="155"/>
  <c r="Q2074" i="155"/>
  <c r="Q2077" i="155"/>
  <c r="Q2078" i="155"/>
  <c r="R2078" i="155"/>
  <c r="R2074" i="155"/>
  <c r="R2420" i="155"/>
  <c r="R2076" i="155"/>
  <c r="R2077" i="155"/>
  <c r="M195" i="155"/>
  <c r="AD195" i="155"/>
  <c r="AG195" i="155"/>
  <c r="K195" i="155"/>
  <c r="R2425" i="155"/>
  <c r="R2421" i="155"/>
  <c r="R2426" i="155"/>
  <c r="R2419" i="155"/>
  <c r="R2427" i="155"/>
  <c r="R2422" i="155"/>
  <c r="R2428" i="155"/>
  <c r="R2423" i="155"/>
  <c r="R2429" i="155"/>
  <c r="P195" i="155"/>
  <c r="P153" i="155"/>
  <c r="R2424" i="155"/>
  <c r="Q195" i="155"/>
  <c r="R2823" i="155"/>
  <c r="B4" i="132"/>
  <c r="B4" i="139"/>
  <c r="B4" i="41"/>
  <c r="B4" i="59"/>
  <c r="B4" i="71"/>
  <c r="B4" i="79"/>
  <c r="B4" i="85"/>
  <c r="B4" i="96"/>
  <c r="B4" i="161"/>
  <c r="B4" i="108"/>
  <c r="B4" i="112"/>
  <c r="B4" i="119"/>
  <c r="B4" i="129"/>
  <c r="B4" i="134"/>
  <c r="B4" i="140"/>
  <c r="B4" i="145"/>
  <c r="B4" i="125"/>
  <c r="B4" i="171"/>
  <c r="B4" i="58"/>
  <c r="B4" i="70"/>
  <c r="B4" i="77"/>
  <c r="B4" i="84"/>
  <c r="B4" i="91"/>
  <c r="B4" i="99"/>
  <c r="B4" i="105"/>
  <c r="B4" i="111"/>
  <c r="B4" i="118"/>
  <c r="B4" i="126"/>
  <c r="B4" i="152"/>
  <c r="B4" i="48"/>
  <c r="B4" i="69"/>
  <c r="B4" i="72"/>
  <c r="B4" i="80"/>
  <c r="B4" i="87"/>
  <c r="B4" i="97"/>
  <c r="B4" i="162"/>
  <c r="B4" i="159"/>
  <c r="B4" i="114"/>
  <c r="B4" i="120"/>
  <c r="B4" i="128"/>
  <c r="B4" i="136"/>
  <c r="B4" i="148"/>
  <c r="R31" i="155"/>
  <c r="R27" i="155"/>
  <c r="R9" i="155"/>
  <c r="R12" i="155"/>
  <c r="R19" i="155"/>
  <c r="R14" i="155"/>
  <c r="R33" i="155"/>
  <c r="R8" i="155"/>
  <c r="R15" i="155"/>
  <c r="R21" i="155"/>
  <c r="R6" i="155"/>
  <c r="R25" i="155"/>
  <c r="R10" i="155"/>
  <c r="R30" i="155"/>
  <c r="R20" i="155"/>
  <c r="R11" i="155"/>
  <c r="R32" i="155"/>
  <c r="R24" i="155"/>
  <c r="R7" i="155"/>
  <c r="R13" i="155"/>
  <c r="R23" i="155"/>
  <c r="R28" i="155"/>
  <c r="R16" i="155"/>
  <c r="R29" i="155"/>
  <c r="R22" i="155"/>
  <c r="R17" i="155"/>
  <c r="R26" i="155"/>
  <c r="R18" i="155"/>
  <c r="B4" i="66"/>
  <c r="B4" i="83"/>
  <c r="B4" i="95"/>
  <c r="B4" i="110"/>
  <c r="B4" i="149"/>
  <c r="B4" i="56"/>
  <c r="B4" i="60"/>
  <c r="B4" i="74"/>
  <c r="B4" i="81"/>
  <c r="B4" i="88"/>
  <c r="B4" i="98"/>
  <c r="B4" i="173"/>
  <c r="B4" i="115"/>
  <c r="B4" i="123"/>
  <c r="B4" i="127"/>
  <c r="B4" i="135"/>
  <c r="B4" i="143"/>
  <c r="B4" i="153"/>
  <c r="B4" i="53"/>
  <c r="B4" i="76"/>
  <c r="B4" i="90"/>
  <c r="B4" i="104"/>
  <c r="B4" i="117"/>
  <c r="B4" i="138"/>
  <c r="B4" i="133"/>
  <c r="B4" i="49"/>
  <c r="B4" i="63"/>
  <c r="B4" i="75"/>
  <c r="B4" i="82"/>
  <c r="B4" i="89"/>
  <c r="B4" i="92"/>
  <c r="B4" i="101"/>
  <c r="B4" i="109"/>
  <c r="B4" i="116"/>
  <c r="B4" i="130"/>
  <c r="B4" i="131"/>
  <c r="B4" i="137"/>
  <c r="B4" i="144"/>
  <c r="B4" i="17"/>
  <c r="B4" i="22"/>
  <c r="B4" i="29"/>
  <c r="B4" i="18"/>
  <c r="B4" i="174"/>
  <c r="B4" i="31"/>
  <c r="B4" i="19"/>
  <c r="B4" i="24"/>
  <c r="B4" i="32"/>
  <c r="B4" i="156"/>
  <c r="B4" i="10"/>
  <c r="B4" i="21"/>
  <c r="B4" i="25"/>
  <c r="B4" i="36"/>
  <c r="B4" i="11"/>
  <c r="B4" i="23"/>
  <c r="B4" i="27"/>
  <c r="B4" i="39"/>
  <c r="B4" i="14"/>
  <c r="B4" i="160"/>
  <c r="B4" i="30"/>
  <c r="AA4" i="165"/>
  <c r="I1620" i="155"/>
  <c r="I1619" i="155"/>
  <c r="I1618" i="155"/>
  <c r="I1617" i="155"/>
  <c r="I1616" i="155"/>
  <c r="I1615" i="155"/>
  <c r="I1614" i="155"/>
  <c r="I1613" i="155"/>
  <c r="I1612" i="155"/>
  <c r="I1611" i="155"/>
  <c r="I1610" i="155"/>
  <c r="I1609" i="155"/>
  <c r="I1608" i="155"/>
  <c r="I1607" i="155"/>
  <c r="I1606" i="155"/>
  <c r="I1605" i="155"/>
  <c r="I1604" i="155"/>
  <c r="I1603" i="155"/>
  <c r="I1602" i="155"/>
  <c r="I1601" i="155"/>
  <c r="I1600" i="155"/>
  <c r="I1599" i="155"/>
  <c r="I1598" i="155"/>
  <c r="I1597" i="155"/>
  <c r="I1596" i="155"/>
  <c r="I1595" i="155"/>
  <c r="I1594" i="155"/>
  <c r="I1593" i="155"/>
  <c r="I1592" i="155"/>
  <c r="I1591" i="155"/>
  <c r="I1590" i="155"/>
  <c r="I1589" i="155"/>
  <c r="I1588" i="155"/>
  <c r="I1587" i="155"/>
  <c r="I1586" i="155"/>
  <c r="I1585" i="155"/>
  <c r="I1584" i="155"/>
  <c r="I1583" i="155"/>
  <c r="I1582" i="155"/>
  <c r="I1581" i="155"/>
  <c r="I1580" i="155"/>
  <c r="I1579" i="155"/>
  <c r="I1578" i="155"/>
  <c r="I1577" i="155"/>
  <c r="I1576" i="155"/>
  <c r="I1575" i="155"/>
  <c r="I1574" i="155"/>
  <c r="I1573" i="155"/>
  <c r="I1572" i="155"/>
  <c r="I1571" i="155"/>
  <c r="I828" i="155"/>
  <c r="I829" i="155"/>
  <c r="I830" i="155"/>
  <c r="I831" i="155"/>
  <c r="I832" i="155"/>
  <c r="I833" i="155"/>
  <c r="I834" i="155"/>
  <c r="I835" i="155"/>
  <c r="G11" i="164" l="1"/>
  <c r="F11" i="164"/>
  <c r="B4" i="7"/>
  <c r="I1855" i="155"/>
  <c r="I1854" i="155"/>
  <c r="I1853" i="155"/>
  <c r="I1852" i="155"/>
  <c r="I1851" i="155"/>
  <c r="I1850" i="155"/>
  <c r="I1849" i="155"/>
  <c r="I1848" i="155"/>
  <c r="I1847" i="155"/>
  <c r="I1846" i="155"/>
  <c r="I1845" i="155"/>
  <c r="I1844" i="155"/>
  <c r="I1843" i="155"/>
  <c r="I1842" i="155"/>
  <c r="I1841" i="155"/>
  <c r="I1840" i="155"/>
  <c r="I1839" i="155"/>
  <c r="I1838" i="155"/>
  <c r="I1837" i="155"/>
  <c r="I1836" i="155"/>
  <c r="I1835" i="155"/>
  <c r="I1834" i="155"/>
  <c r="I1833" i="155"/>
  <c r="I1832" i="155"/>
  <c r="I1831" i="155"/>
  <c r="I1830" i="155"/>
  <c r="I1829" i="155"/>
  <c r="I1828" i="155"/>
  <c r="I1827" i="155"/>
  <c r="I1826" i="155"/>
  <c r="I1825" i="155"/>
  <c r="I1824" i="155"/>
  <c r="I1823" i="155"/>
  <c r="I1822" i="155"/>
  <c r="I1821" i="155"/>
  <c r="I1820" i="155"/>
  <c r="I1819" i="155"/>
  <c r="I1818" i="155"/>
  <c r="I1817" i="155"/>
  <c r="I1816" i="155"/>
  <c r="I1815" i="155"/>
  <c r="I1814" i="155"/>
  <c r="I1813" i="155"/>
  <c r="I1812" i="155"/>
  <c r="I1811" i="155"/>
  <c r="I1810" i="155"/>
  <c r="I1809" i="155"/>
  <c r="I1808" i="155"/>
  <c r="I1807" i="155"/>
  <c r="I1806" i="155"/>
  <c r="I1805" i="155"/>
  <c r="I1804" i="155"/>
  <c r="I1803" i="155"/>
  <c r="I1802" i="155"/>
  <c r="I1801" i="155"/>
  <c r="I1800" i="155"/>
  <c r="I1799" i="155"/>
  <c r="I1798" i="155"/>
  <c r="I1797" i="155"/>
  <c r="I1796" i="155"/>
  <c r="I1795" i="155"/>
  <c r="I1794" i="155"/>
  <c r="I1793" i="155"/>
  <c r="I1792" i="155"/>
  <c r="I1791" i="155"/>
  <c r="I1790" i="155"/>
  <c r="I1789" i="155"/>
  <c r="I1788" i="155"/>
  <c r="I1787" i="155"/>
  <c r="I1786" i="155"/>
  <c r="I1785" i="155"/>
  <c r="I1784" i="155"/>
  <c r="I1783" i="155"/>
  <c r="I1782" i="155"/>
  <c r="I1781" i="155"/>
  <c r="I1780" i="155"/>
  <c r="I1779" i="155"/>
  <c r="I1778" i="155"/>
  <c r="I1777" i="155"/>
  <c r="I1776" i="155"/>
  <c r="I1775" i="155"/>
  <c r="I1774" i="155"/>
  <c r="I1773" i="155"/>
  <c r="I1772" i="155"/>
  <c r="I1771" i="155"/>
  <c r="I1770" i="155"/>
  <c r="I1769" i="155"/>
  <c r="I1768" i="155"/>
  <c r="I2828" i="155"/>
  <c r="I2827" i="155"/>
  <c r="I2826" i="155"/>
  <c r="I2825" i="155"/>
  <c r="I2823" i="155"/>
  <c r="I2821" i="155"/>
  <c r="I2819" i="155"/>
  <c r="I2817" i="155"/>
  <c r="I2815" i="155"/>
  <c r="I2813" i="155"/>
  <c r="I2811" i="155"/>
  <c r="I2824" i="155"/>
  <c r="I2822" i="155"/>
  <c r="I2820" i="155"/>
  <c r="I2818" i="155"/>
  <c r="I2816" i="155"/>
  <c r="I2814" i="155"/>
  <c r="I2812" i="155"/>
  <c r="I2810" i="155"/>
  <c r="I2809" i="155"/>
  <c r="I2808" i="155"/>
  <c r="I2807" i="155"/>
  <c r="I2806" i="155"/>
  <c r="I2805" i="155"/>
  <c r="I2804" i="155"/>
  <c r="I2803" i="155"/>
  <c r="I2802" i="155"/>
  <c r="I2801" i="155"/>
  <c r="I2800" i="155"/>
  <c r="I2799" i="155"/>
  <c r="I2798" i="155"/>
  <c r="I2797" i="155"/>
  <c r="I2796" i="155"/>
  <c r="I2795" i="155"/>
  <c r="I2794" i="155"/>
  <c r="I2793" i="155"/>
  <c r="I2792" i="155"/>
  <c r="I2791" i="155"/>
  <c r="I2790" i="155"/>
  <c r="I2789" i="155"/>
  <c r="I2788" i="155"/>
  <c r="I2787" i="155"/>
  <c r="I2786" i="155"/>
  <c r="I2785" i="155"/>
  <c r="I2784" i="155"/>
  <c r="I2783" i="155"/>
  <c r="I2782" i="155"/>
  <c r="I2781" i="155"/>
  <c r="I2780" i="155"/>
  <c r="I2779" i="155"/>
  <c r="I2778" i="155"/>
  <c r="I2777" i="155"/>
  <c r="I2776" i="155"/>
  <c r="I2775" i="155"/>
  <c r="I2774" i="155"/>
  <c r="I2773" i="155"/>
  <c r="I2772" i="155"/>
  <c r="I2771" i="155"/>
  <c r="I2770" i="155"/>
  <c r="I2769" i="155"/>
  <c r="I2768" i="155"/>
  <c r="I2767" i="155"/>
  <c r="I2766" i="155"/>
  <c r="I2765" i="155"/>
  <c r="I2764" i="155"/>
  <c r="I2763" i="155"/>
  <c r="I2762" i="155"/>
  <c r="I2761" i="155"/>
  <c r="I2760" i="155"/>
  <c r="I2759" i="155"/>
  <c r="I2758" i="155"/>
  <c r="I2757" i="155"/>
  <c r="I2756" i="155"/>
  <c r="I2755" i="155"/>
  <c r="I2754" i="155"/>
  <c r="I2753" i="155"/>
  <c r="I2752" i="155"/>
  <c r="I2751" i="155"/>
  <c r="I2750" i="155"/>
  <c r="I2749" i="155"/>
  <c r="I2748" i="155"/>
  <c r="I2747" i="155"/>
  <c r="I2746" i="155"/>
  <c r="I2745" i="155"/>
  <c r="I2744" i="155"/>
  <c r="I2743" i="155"/>
  <c r="I2742" i="155"/>
  <c r="I2741" i="155"/>
  <c r="I2740" i="155"/>
  <c r="I2739" i="155"/>
  <c r="I2738" i="155"/>
  <c r="I2737" i="155"/>
  <c r="I2736" i="155"/>
  <c r="I2735" i="155"/>
  <c r="I2734" i="155"/>
  <c r="I2733" i="155"/>
  <c r="I2732" i="155"/>
  <c r="I2731" i="155"/>
  <c r="I2730" i="155"/>
  <c r="I2729" i="155"/>
  <c r="I2728" i="155"/>
  <c r="I2727" i="155"/>
  <c r="I2726" i="155"/>
  <c r="I2725" i="155"/>
  <c r="I2724" i="155"/>
  <c r="I2723" i="155"/>
  <c r="I2722" i="155"/>
  <c r="I2721" i="155"/>
  <c r="I2720" i="155"/>
  <c r="I2719" i="155"/>
  <c r="I2718" i="155"/>
  <c r="I2717" i="155"/>
  <c r="I2716" i="155"/>
  <c r="I2715" i="155"/>
  <c r="I2714" i="155"/>
  <c r="I2713" i="155"/>
  <c r="I2712" i="155"/>
  <c r="I2711" i="155"/>
  <c r="I2710" i="155"/>
  <c r="I2709" i="155"/>
  <c r="I2708" i="155"/>
  <c r="I2707" i="155"/>
  <c r="I2706" i="155"/>
  <c r="I2705" i="155"/>
  <c r="I2704" i="155"/>
  <c r="I2703" i="155"/>
  <c r="I2702" i="155"/>
  <c r="I2701" i="155"/>
  <c r="I2700" i="155"/>
  <c r="I2699" i="155"/>
  <c r="I2698" i="155"/>
  <c r="I2697" i="155"/>
  <c r="I2696" i="155"/>
  <c r="I2695" i="155"/>
  <c r="I2694" i="155"/>
  <c r="I2693" i="155"/>
  <c r="I2692" i="155"/>
  <c r="I2691" i="155"/>
  <c r="I2690" i="155"/>
  <c r="I2689" i="155"/>
  <c r="I2688" i="155"/>
  <c r="I2687" i="155"/>
  <c r="I2686" i="155"/>
  <c r="I2685" i="155"/>
  <c r="I2684" i="155"/>
  <c r="I2683" i="155"/>
  <c r="I2682" i="155"/>
  <c r="I2681" i="155"/>
  <c r="I2680" i="155"/>
  <c r="I2679" i="155"/>
  <c r="I2678" i="155"/>
  <c r="I2677" i="155"/>
  <c r="I2676" i="155"/>
  <c r="I2675" i="155"/>
  <c r="I2674" i="155"/>
  <c r="I2673" i="155"/>
  <c r="I2672" i="155"/>
  <c r="I2671" i="155"/>
  <c r="I2670" i="155"/>
  <c r="I2669" i="155"/>
  <c r="I2668" i="155"/>
  <c r="I2667" i="155"/>
  <c r="I2666" i="155"/>
  <c r="I2665" i="155"/>
  <c r="I2664" i="155"/>
  <c r="I2663" i="155"/>
  <c r="I2662" i="155"/>
  <c r="I2661" i="155"/>
  <c r="I2660" i="155"/>
  <c r="I2659" i="155"/>
  <c r="I2658" i="155"/>
  <c r="I2657" i="155"/>
  <c r="I2656" i="155"/>
  <c r="I2655" i="155"/>
  <c r="I2654" i="155"/>
  <c r="I2653" i="155"/>
  <c r="I2652" i="155"/>
  <c r="I2651" i="155"/>
  <c r="I2650" i="155"/>
  <c r="I2649" i="155"/>
  <c r="I2648" i="155"/>
  <c r="I2647" i="155"/>
  <c r="I2646" i="155"/>
  <c r="I2645" i="155"/>
  <c r="I2644" i="155"/>
  <c r="I2643" i="155"/>
  <c r="I2642" i="155"/>
  <c r="I2641" i="155"/>
  <c r="I2640" i="155"/>
  <c r="I2639" i="155"/>
  <c r="I2638" i="155"/>
  <c r="I2637" i="155"/>
  <c r="I2636" i="155"/>
  <c r="I2635" i="155"/>
  <c r="I2634" i="155"/>
  <c r="I2633" i="155"/>
  <c r="I2632" i="155"/>
  <c r="I2631" i="155"/>
  <c r="I2630" i="155"/>
  <c r="I2629" i="155"/>
  <c r="I2628" i="155"/>
  <c r="I2627" i="155"/>
  <c r="I2626" i="155"/>
  <c r="I2625" i="155"/>
  <c r="I2624" i="155"/>
  <c r="I2623" i="155"/>
  <c r="I2622" i="155"/>
  <c r="I2621" i="155"/>
  <c r="I2620" i="155"/>
  <c r="I2619" i="155"/>
  <c r="I2618" i="155"/>
  <c r="I2617" i="155"/>
  <c r="I2616" i="155"/>
  <c r="I2615" i="155"/>
  <c r="I2614" i="155"/>
  <c r="I2613" i="155"/>
  <c r="I2612" i="155"/>
  <c r="I2611" i="155"/>
  <c r="I2610" i="155"/>
  <c r="I2609" i="155"/>
  <c r="I2608" i="155"/>
  <c r="I2607" i="155"/>
  <c r="I2606" i="155"/>
  <c r="I2605" i="155"/>
  <c r="I2604" i="155"/>
  <c r="I2603" i="155"/>
  <c r="I2602" i="155"/>
  <c r="I2601" i="155"/>
  <c r="I2600" i="155"/>
  <c r="I2599" i="155"/>
  <c r="I2598" i="155"/>
  <c r="I2597" i="155"/>
  <c r="I2596" i="155"/>
  <c r="I2595" i="155"/>
  <c r="I2594" i="155"/>
  <c r="I2593" i="155"/>
  <c r="I2592" i="155"/>
  <c r="I2591" i="155"/>
  <c r="I2590" i="155"/>
  <c r="I2589" i="155"/>
  <c r="I2588" i="155"/>
  <c r="I2587" i="155"/>
  <c r="I2586" i="155"/>
  <c r="I2585" i="155"/>
  <c r="I2584" i="155"/>
  <c r="I2583" i="155"/>
  <c r="I2582" i="155"/>
  <c r="I2581" i="155"/>
  <c r="I2580" i="155"/>
  <c r="I2579" i="155"/>
  <c r="I2578" i="155"/>
  <c r="I2577" i="155"/>
  <c r="I2576" i="155"/>
  <c r="I2575" i="155"/>
  <c r="I2574" i="155"/>
  <c r="I2573" i="155"/>
  <c r="I2572" i="155"/>
  <c r="I2571" i="155"/>
  <c r="I2570" i="155"/>
  <c r="I2569" i="155"/>
  <c r="I2568" i="155"/>
  <c r="I2567" i="155"/>
  <c r="I2566" i="155"/>
  <c r="I2565" i="155"/>
  <c r="I2564" i="155"/>
  <c r="I2563" i="155"/>
  <c r="I2562" i="155"/>
  <c r="I2561" i="155"/>
  <c r="I2560" i="155"/>
  <c r="I2559" i="155"/>
  <c r="I2558" i="155"/>
  <c r="I2557" i="155"/>
  <c r="I2556" i="155"/>
  <c r="I2555" i="155"/>
  <c r="I2554" i="155"/>
  <c r="I2553" i="155"/>
  <c r="I2552" i="155"/>
  <c r="I2551" i="155"/>
  <c r="I2550" i="155"/>
  <c r="I2549" i="155"/>
  <c r="I2548" i="155"/>
  <c r="I2547" i="155"/>
  <c r="I2546" i="155"/>
  <c r="I2545" i="155"/>
  <c r="I2544" i="155"/>
  <c r="I2543" i="155"/>
  <c r="I2542" i="155"/>
  <c r="I2541" i="155"/>
  <c r="I2540" i="155"/>
  <c r="I2539" i="155"/>
  <c r="I2538" i="155"/>
  <c r="I2537" i="155"/>
  <c r="I2536" i="155"/>
  <c r="I2535" i="155"/>
  <c r="I2534" i="155"/>
  <c r="I2533" i="155"/>
  <c r="I2532" i="155"/>
  <c r="I2531" i="155"/>
  <c r="I2530" i="155"/>
  <c r="I2529" i="155"/>
  <c r="I2528" i="155"/>
  <c r="I2527" i="155"/>
  <c r="I2526" i="155"/>
  <c r="I2525" i="155"/>
  <c r="I2524" i="155"/>
  <c r="I2523" i="155"/>
  <c r="I2522" i="155"/>
  <c r="I2521" i="155"/>
  <c r="I2520" i="155"/>
  <c r="I2519" i="155"/>
  <c r="I2518" i="155"/>
  <c r="I2517" i="155"/>
  <c r="I2516" i="155"/>
  <c r="I2515" i="155"/>
  <c r="I2514" i="155"/>
  <c r="I2513" i="155"/>
  <c r="I2512" i="155"/>
  <c r="I2511" i="155"/>
  <c r="I2510" i="155"/>
  <c r="I2509" i="155"/>
  <c r="I2508" i="155"/>
  <c r="I2507" i="155"/>
  <c r="I2506" i="155"/>
  <c r="I2505" i="155"/>
  <c r="I2504" i="155"/>
  <c r="I2503" i="155"/>
  <c r="I2502" i="155"/>
  <c r="I2501" i="155"/>
  <c r="I2500" i="155"/>
  <c r="I2499" i="155"/>
  <c r="I2498" i="155"/>
  <c r="I2497" i="155"/>
  <c r="I2496" i="155"/>
  <c r="I2495" i="155"/>
  <c r="I2494" i="155"/>
  <c r="I2493" i="155"/>
  <c r="I2492" i="155"/>
  <c r="I2491" i="155"/>
  <c r="I2490" i="155"/>
  <c r="I2489" i="155"/>
  <c r="I2488" i="155"/>
  <c r="I2487" i="155"/>
  <c r="I2486" i="155"/>
  <c r="I2485" i="155"/>
  <c r="I2484" i="155"/>
  <c r="I2483" i="155"/>
  <c r="I2482" i="155"/>
  <c r="I2481" i="155"/>
  <c r="I2480" i="155"/>
  <c r="I2479" i="155"/>
  <c r="I2478" i="155"/>
  <c r="I2477" i="155"/>
  <c r="I2476" i="155"/>
  <c r="I2475" i="155"/>
  <c r="I2474" i="155"/>
  <c r="I2473" i="155"/>
  <c r="I2472" i="155"/>
  <c r="I2471" i="155"/>
  <c r="I2470" i="155"/>
  <c r="I2469" i="155"/>
  <c r="I2468" i="155"/>
  <c r="I2467" i="155"/>
  <c r="I2466" i="155"/>
  <c r="I2465" i="155"/>
  <c r="I2464" i="155"/>
  <c r="I2463" i="155"/>
  <c r="I2462" i="155"/>
  <c r="I2461" i="155"/>
  <c r="I2460" i="155"/>
  <c r="I2459" i="155"/>
  <c r="I2458" i="155"/>
  <c r="I2457" i="155"/>
  <c r="I2456" i="155"/>
  <c r="I2455" i="155"/>
  <c r="I2454" i="155"/>
  <c r="I2453" i="155"/>
  <c r="I2452" i="155"/>
  <c r="I2451" i="155"/>
  <c r="I2450" i="155"/>
  <c r="I2449" i="155"/>
  <c r="I2448" i="155"/>
  <c r="I2447" i="155"/>
  <c r="I2446" i="155"/>
  <c r="I2445" i="155"/>
  <c r="I2444" i="155"/>
  <c r="I2443" i="155"/>
  <c r="I2442" i="155"/>
  <c r="I2441" i="155"/>
  <c r="I2440" i="155"/>
  <c r="I2439" i="155"/>
  <c r="I2438" i="155"/>
  <c r="I2437" i="155"/>
  <c r="I2436" i="155"/>
  <c r="I2435" i="155"/>
  <c r="I2434" i="155"/>
  <c r="I2433" i="155"/>
  <c r="I2432" i="155"/>
  <c r="I2431" i="155"/>
  <c r="I2430" i="155"/>
  <c r="I2429" i="155"/>
  <c r="I2428" i="155"/>
  <c r="I2427" i="155"/>
  <c r="I2426" i="155"/>
  <c r="I2425" i="155"/>
  <c r="I2424" i="155"/>
  <c r="I2423" i="155"/>
  <c r="I2422" i="155"/>
  <c r="I2421" i="155"/>
  <c r="I2420" i="155"/>
  <c r="I2419" i="155"/>
  <c r="I2418" i="155"/>
  <c r="I2417" i="155"/>
  <c r="I2416" i="155"/>
  <c r="I2415" i="155"/>
  <c r="I2414" i="155"/>
  <c r="I2413" i="155"/>
  <c r="I2412" i="155"/>
  <c r="I2411" i="155"/>
  <c r="I2410" i="155"/>
  <c r="I2409" i="155"/>
  <c r="I2408" i="155"/>
  <c r="I2407" i="155"/>
  <c r="I2406" i="155"/>
  <c r="I2405" i="155"/>
  <c r="I2404" i="155"/>
  <c r="I2403" i="155"/>
  <c r="I2402" i="155"/>
  <c r="I2401" i="155"/>
  <c r="I2400" i="155"/>
  <c r="I2399" i="155"/>
  <c r="I2398" i="155"/>
  <c r="I2397" i="155"/>
  <c r="I2396" i="155"/>
  <c r="I2395" i="155"/>
  <c r="I2394" i="155"/>
  <c r="I2393" i="155"/>
  <c r="I2392" i="155"/>
  <c r="I2391" i="155"/>
  <c r="I2390" i="155"/>
  <c r="I2389" i="155"/>
  <c r="I2388" i="155"/>
  <c r="I2387" i="155"/>
  <c r="I2386" i="155"/>
  <c r="I2385" i="155"/>
  <c r="I2384" i="155"/>
  <c r="I2383" i="155"/>
  <c r="I2382" i="155"/>
  <c r="I2381" i="155"/>
  <c r="I2380" i="155"/>
  <c r="I2379" i="155"/>
  <c r="I2378" i="155"/>
  <c r="I2377" i="155"/>
  <c r="I2376" i="155"/>
  <c r="I2375" i="155"/>
  <c r="I2374" i="155"/>
  <c r="I2373" i="155"/>
  <c r="I2372" i="155"/>
  <c r="I2371" i="155"/>
  <c r="I2370" i="155"/>
  <c r="I2369" i="155"/>
  <c r="I2368" i="155"/>
  <c r="I2367" i="155"/>
  <c r="I2366" i="155"/>
  <c r="I2365" i="155"/>
  <c r="I2364" i="155"/>
  <c r="I2363" i="155"/>
  <c r="I2362" i="155"/>
  <c r="I2361" i="155"/>
  <c r="I2360" i="155"/>
  <c r="I2359" i="155"/>
  <c r="I2358" i="155"/>
  <c r="I2357" i="155"/>
  <c r="I2356" i="155"/>
  <c r="I2355" i="155"/>
  <c r="I2354" i="155"/>
  <c r="I2353" i="155"/>
  <c r="I2352" i="155"/>
  <c r="I2351" i="155"/>
  <c r="I2350" i="155"/>
  <c r="I2349" i="155"/>
  <c r="I2348" i="155"/>
  <c r="I2347" i="155"/>
  <c r="I2346" i="155"/>
  <c r="I2345" i="155"/>
  <c r="I2344" i="155"/>
  <c r="I2343" i="155"/>
  <c r="I2342" i="155"/>
  <c r="I2341" i="155"/>
  <c r="I2340" i="155"/>
  <c r="I2339" i="155"/>
  <c r="I2338" i="155"/>
  <c r="I2337" i="155"/>
  <c r="I2336" i="155"/>
  <c r="I2335" i="155"/>
  <c r="I2334" i="155"/>
  <c r="I2333" i="155"/>
  <c r="I2332" i="155"/>
  <c r="I2331" i="155"/>
  <c r="I2330" i="155"/>
  <c r="I2329" i="155"/>
  <c r="I2328" i="155"/>
  <c r="I2327" i="155"/>
  <c r="I2326" i="155"/>
  <c r="I2325" i="155"/>
  <c r="I2324" i="155"/>
  <c r="I2323" i="155"/>
  <c r="I2322" i="155"/>
  <c r="I2321" i="155"/>
  <c r="I2320" i="155"/>
  <c r="I2319" i="155"/>
  <c r="I2318" i="155"/>
  <c r="I2317" i="155"/>
  <c r="I2316" i="155"/>
  <c r="I2315" i="155"/>
  <c r="I2314" i="155"/>
  <c r="I2313" i="155"/>
  <c r="I2312" i="155"/>
  <c r="I2311" i="155"/>
  <c r="I2310" i="155"/>
  <c r="I2309" i="155"/>
  <c r="I2308" i="155"/>
  <c r="I2307" i="155"/>
  <c r="I2306" i="155"/>
  <c r="I2305" i="155"/>
  <c r="I2304" i="155"/>
  <c r="I2303" i="155"/>
  <c r="I2302" i="155"/>
  <c r="I2301" i="155"/>
  <c r="I2300" i="155"/>
  <c r="I2299" i="155"/>
  <c r="I2298" i="155"/>
  <c r="I2297" i="155"/>
  <c r="I2296" i="155"/>
  <c r="I2295" i="155"/>
  <c r="I2294" i="155"/>
  <c r="I2293" i="155"/>
  <c r="I2292" i="155"/>
  <c r="I2291" i="155"/>
  <c r="I2290" i="155"/>
  <c r="I2289" i="155"/>
  <c r="I2288" i="155"/>
  <c r="I2287" i="155"/>
  <c r="I2286" i="155"/>
  <c r="I2285" i="155"/>
  <c r="I2284" i="155"/>
  <c r="I2283" i="155"/>
  <c r="I2282" i="155"/>
  <c r="I2281" i="155"/>
  <c r="I2280" i="155"/>
  <c r="I2279" i="155"/>
  <c r="I2278" i="155"/>
  <c r="I2277" i="155"/>
  <c r="I2276" i="155"/>
  <c r="I2275" i="155"/>
  <c r="I2274" i="155"/>
  <c r="I2273" i="155"/>
  <c r="I2272" i="155"/>
  <c r="I2271" i="155"/>
  <c r="I2270" i="155"/>
  <c r="I2269" i="155"/>
  <c r="I2268" i="155"/>
  <c r="I2267" i="155"/>
  <c r="I2266" i="155"/>
  <c r="I2265" i="155"/>
  <c r="I2264" i="155"/>
  <c r="I2263" i="155"/>
  <c r="I2262" i="155"/>
  <c r="I2261" i="155"/>
  <c r="I2260" i="155"/>
  <c r="I2259" i="155"/>
  <c r="I2258" i="155"/>
  <c r="I2257" i="155"/>
  <c r="I2256" i="155"/>
  <c r="I2255" i="155"/>
  <c r="I2254" i="155"/>
  <c r="I2253" i="155"/>
  <c r="I2252" i="155"/>
  <c r="I2251" i="155"/>
  <c r="I2250" i="155"/>
  <c r="I2249" i="155"/>
  <c r="I2248" i="155"/>
  <c r="I2247" i="155"/>
  <c r="I2246" i="155"/>
  <c r="I2245" i="155"/>
  <c r="I2244" i="155"/>
  <c r="I2243" i="155"/>
  <c r="I2242" i="155"/>
  <c r="I2241" i="155"/>
  <c r="I2240" i="155"/>
  <c r="I2239" i="155"/>
  <c r="I2238" i="155"/>
  <c r="I2237" i="155"/>
  <c r="I2236" i="155"/>
  <c r="I2235" i="155"/>
  <c r="I2234" i="155"/>
  <c r="I2233" i="155"/>
  <c r="I2232" i="155"/>
  <c r="I2231" i="155"/>
  <c r="I2230" i="155"/>
  <c r="I2229" i="155"/>
  <c r="I2228" i="155"/>
  <c r="I2227" i="155"/>
  <c r="I2226" i="155"/>
  <c r="I2225" i="155"/>
  <c r="I2224" i="155"/>
  <c r="I2223" i="155"/>
  <c r="I2222" i="155"/>
  <c r="I2221" i="155"/>
  <c r="I2220" i="155"/>
  <c r="I2219" i="155"/>
  <c r="I2218" i="155"/>
  <c r="I2217" i="155"/>
  <c r="I2216" i="155"/>
  <c r="I2215" i="155"/>
  <c r="I2214" i="155"/>
  <c r="I2213" i="155"/>
  <c r="I2212" i="155"/>
  <c r="I2211" i="155"/>
  <c r="I2210" i="155"/>
  <c r="I2209" i="155"/>
  <c r="I2208" i="155"/>
  <c r="I2207" i="155"/>
  <c r="I2206" i="155"/>
  <c r="I2205" i="155"/>
  <c r="I2204" i="155"/>
  <c r="I2203" i="155"/>
  <c r="I2202" i="155"/>
  <c r="I2201" i="155"/>
  <c r="I2200" i="155"/>
  <c r="I2199" i="155"/>
  <c r="I2198" i="155"/>
  <c r="I2197" i="155"/>
  <c r="I2196" i="155"/>
  <c r="I2195" i="155"/>
  <c r="I2194" i="155"/>
  <c r="I2193" i="155"/>
  <c r="I2192" i="155"/>
  <c r="I2191" i="155"/>
  <c r="I2190" i="155"/>
  <c r="I2189" i="155"/>
  <c r="I2188" i="155"/>
  <c r="I2187" i="155"/>
  <c r="I2186" i="155"/>
  <c r="I2185" i="155"/>
  <c r="I2184" i="155"/>
  <c r="I2183" i="155"/>
  <c r="I2182" i="155"/>
  <c r="I2181" i="155"/>
  <c r="I2180" i="155"/>
  <c r="I2179" i="155"/>
  <c r="I2178" i="155"/>
  <c r="I2177" i="155"/>
  <c r="I2176" i="155"/>
  <c r="I2175" i="155"/>
  <c r="I2174" i="155"/>
  <c r="I2173" i="155"/>
  <c r="I2172" i="155"/>
  <c r="I2171" i="155"/>
  <c r="I2170" i="155"/>
  <c r="I2169" i="155"/>
  <c r="I2168" i="155"/>
  <c r="I2167" i="155"/>
  <c r="I2166" i="155"/>
  <c r="I2165" i="155"/>
  <c r="I2164" i="155"/>
  <c r="I2163" i="155"/>
  <c r="I2162" i="155"/>
  <c r="I2161" i="155"/>
  <c r="I2160" i="155"/>
  <c r="I2159" i="155"/>
  <c r="I2158" i="155"/>
  <c r="I2157" i="155"/>
  <c r="I2156" i="155"/>
  <c r="I2155" i="155"/>
  <c r="I2154" i="155"/>
  <c r="I2153" i="155"/>
  <c r="I2152" i="155"/>
  <c r="I2151" i="155"/>
  <c r="I2150" i="155"/>
  <c r="I2149" i="155"/>
  <c r="I2148" i="155"/>
  <c r="I2147" i="155"/>
  <c r="I2146" i="155"/>
  <c r="I2145" i="155"/>
  <c r="I2144" i="155"/>
  <c r="I2143" i="155"/>
  <c r="I2142" i="155"/>
  <c r="I2141" i="155"/>
  <c r="I2140" i="155"/>
  <c r="I2139" i="155"/>
  <c r="I2138" i="155"/>
  <c r="I2137" i="155"/>
  <c r="I2136" i="155"/>
  <c r="I2135" i="155"/>
  <c r="I2134" i="155"/>
  <c r="I2133" i="155"/>
  <c r="I2132" i="155"/>
  <c r="I2131" i="155"/>
  <c r="I2130" i="155"/>
  <c r="I2129" i="155"/>
  <c r="I2128" i="155"/>
  <c r="I2127" i="155"/>
  <c r="I2126" i="155"/>
  <c r="I2125" i="155"/>
  <c r="I2124" i="155"/>
  <c r="I2123" i="155"/>
  <c r="I2122" i="155"/>
  <c r="I2121" i="155"/>
  <c r="I2120" i="155"/>
  <c r="I2119" i="155"/>
  <c r="I2118" i="155"/>
  <c r="I2117" i="155"/>
  <c r="I2116" i="155"/>
  <c r="I2115" i="155"/>
  <c r="I2114" i="155"/>
  <c r="I2113" i="155"/>
  <c r="I2112" i="155"/>
  <c r="I2111" i="155"/>
  <c r="I2110" i="155"/>
  <c r="I2109" i="155"/>
  <c r="I2108" i="155"/>
  <c r="I2107" i="155"/>
  <c r="I2106" i="155"/>
  <c r="I2105" i="155"/>
  <c r="I2104" i="155"/>
  <c r="I2103" i="155"/>
  <c r="I2102" i="155"/>
  <c r="I2101" i="155"/>
  <c r="I2100" i="155"/>
  <c r="I2099" i="155"/>
  <c r="I2098" i="155"/>
  <c r="I2097" i="155"/>
  <c r="I2096" i="155"/>
  <c r="I2095" i="155"/>
  <c r="I2094" i="155"/>
  <c r="I2093" i="155"/>
  <c r="I2092" i="155"/>
  <c r="I2091" i="155"/>
  <c r="I2090" i="155"/>
  <c r="I2089" i="155"/>
  <c r="I2088" i="155"/>
  <c r="I2087" i="155"/>
  <c r="I2086" i="155"/>
  <c r="I2085" i="155"/>
  <c r="I2084" i="155"/>
  <c r="I2083" i="155"/>
  <c r="I2082" i="155"/>
  <c r="I2081" i="155"/>
  <c r="I2080" i="155"/>
  <c r="I2079" i="155"/>
  <c r="I2073" i="155"/>
  <c r="I2072" i="155"/>
  <c r="I2071" i="155"/>
  <c r="I2070" i="155"/>
  <c r="I2069" i="155"/>
  <c r="I2068" i="155"/>
  <c r="I2067" i="155"/>
  <c r="I2066" i="155"/>
  <c r="I2065" i="155"/>
  <c r="I2064" i="155"/>
  <c r="I2063" i="155"/>
  <c r="I2062" i="155"/>
  <c r="I2061" i="155"/>
  <c r="I2060" i="155"/>
  <c r="I2059" i="155"/>
  <c r="I2058" i="155"/>
  <c r="I2057" i="155"/>
  <c r="I2056" i="155"/>
  <c r="I2055" i="155"/>
  <c r="I2054" i="155"/>
  <c r="I2053" i="155"/>
  <c r="I2052" i="155"/>
  <c r="I2051" i="155"/>
  <c r="I2050" i="155"/>
  <c r="I2049" i="155"/>
  <c r="I2048" i="155"/>
  <c r="I2047" i="155"/>
  <c r="I2046" i="155"/>
  <c r="I2045" i="155"/>
  <c r="I2044" i="155"/>
  <c r="I2043" i="155"/>
  <c r="I2042" i="155"/>
  <c r="I2041" i="155"/>
  <c r="I2040" i="155"/>
  <c r="I2039" i="155"/>
  <c r="I2038" i="155"/>
  <c r="I2037" i="155"/>
  <c r="I2036" i="155"/>
  <c r="I2035" i="155"/>
  <c r="I2034" i="155"/>
  <c r="I2033" i="155"/>
  <c r="I2032" i="155"/>
  <c r="I2031" i="155"/>
  <c r="I2030" i="155"/>
  <c r="I2029" i="155"/>
  <c r="I2028" i="155"/>
  <c r="I2027" i="155"/>
  <c r="I2026" i="155"/>
  <c r="I2025" i="155"/>
  <c r="I2024" i="155"/>
  <c r="I2023" i="155"/>
  <c r="I2022" i="155"/>
  <c r="I2021" i="155"/>
  <c r="I2020" i="155"/>
  <c r="I2019" i="155"/>
  <c r="I2018" i="155"/>
  <c r="I2017" i="155"/>
  <c r="I2016" i="155"/>
  <c r="I2015" i="155"/>
  <c r="I2014" i="155"/>
  <c r="I2013" i="155"/>
  <c r="I2012" i="155"/>
  <c r="I2011" i="155"/>
  <c r="I2010" i="155"/>
  <c r="I2009" i="155"/>
  <c r="I2008" i="155"/>
  <c r="I2007" i="155"/>
  <c r="I2006" i="155"/>
  <c r="I2005" i="155"/>
  <c r="I2004" i="155"/>
  <c r="I2003" i="155"/>
  <c r="I2002" i="155"/>
  <c r="I2001" i="155"/>
  <c r="I2000" i="155"/>
  <c r="I1999" i="155"/>
  <c r="I1998" i="155"/>
  <c r="I1997" i="155"/>
  <c r="I1996" i="155"/>
  <c r="I1995" i="155"/>
  <c r="I1994" i="155"/>
  <c r="I1993" i="155"/>
  <c r="I1992" i="155"/>
  <c r="I1991" i="155"/>
  <c r="I1990" i="155"/>
  <c r="I1989" i="155"/>
  <c r="I1988" i="155"/>
  <c r="I1987" i="155"/>
  <c r="I1986" i="155"/>
  <c r="I1985" i="155"/>
  <c r="I1984" i="155"/>
  <c r="I1983" i="155"/>
  <c r="I1982" i="155"/>
  <c r="I1981" i="155"/>
  <c r="I1980" i="155"/>
  <c r="I1979" i="155"/>
  <c r="I1978" i="155"/>
  <c r="I1977" i="155"/>
  <c r="I1976" i="155"/>
  <c r="I1975" i="155"/>
  <c r="I1974" i="155"/>
  <c r="I1973" i="155"/>
  <c r="I1972" i="155"/>
  <c r="I1971" i="155"/>
  <c r="I1970" i="155"/>
  <c r="I1969" i="155"/>
  <c r="I1968" i="155"/>
  <c r="I1967" i="155"/>
  <c r="I1966" i="155"/>
  <c r="I1965" i="155"/>
  <c r="I1964" i="155"/>
  <c r="I1963" i="155"/>
  <c r="I1962" i="155"/>
  <c r="I1961" i="155"/>
  <c r="I1960" i="155"/>
  <c r="I1959" i="155"/>
  <c r="I1958" i="155"/>
  <c r="I1957" i="155"/>
  <c r="I1956" i="155"/>
  <c r="I1955" i="155"/>
  <c r="I1954" i="155"/>
  <c r="I1953" i="155"/>
  <c r="I1952" i="155"/>
  <c r="I1951" i="155"/>
  <c r="I1950" i="155"/>
  <c r="I1949" i="155"/>
  <c r="I1948" i="155"/>
  <c r="I1947" i="155"/>
  <c r="I1946" i="155"/>
  <c r="I1945" i="155"/>
  <c r="I1944" i="155"/>
  <c r="I1943" i="155"/>
  <c r="I1942" i="155"/>
  <c r="I1941" i="155"/>
  <c r="I1940" i="155"/>
  <c r="I1939" i="155"/>
  <c r="I1938" i="155"/>
  <c r="I1937" i="155"/>
  <c r="I1936" i="155"/>
  <c r="I1935" i="155"/>
  <c r="I1934" i="155"/>
  <c r="I1933" i="155"/>
  <c r="I1932" i="155"/>
  <c r="I1931" i="155"/>
  <c r="I1930" i="155"/>
  <c r="I1929" i="155"/>
  <c r="I1928" i="155"/>
  <c r="I1927" i="155"/>
  <c r="I1926" i="155"/>
  <c r="I1925" i="155"/>
  <c r="I1924" i="155"/>
  <c r="I1923" i="155"/>
  <c r="I1922" i="155"/>
  <c r="I1921" i="155"/>
  <c r="I1920" i="155"/>
  <c r="I1919" i="155"/>
  <c r="I1918" i="155"/>
  <c r="I1917" i="155"/>
  <c r="I1916" i="155"/>
  <c r="I1915" i="155"/>
  <c r="I1914" i="155"/>
  <c r="I1913" i="155"/>
  <c r="I1912" i="155"/>
  <c r="I1911" i="155"/>
  <c r="I1910" i="155"/>
  <c r="I1909" i="155"/>
  <c r="I1908" i="155"/>
  <c r="I1907" i="155"/>
  <c r="I1906" i="155"/>
  <c r="I1905" i="155"/>
  <c r="I1904" i="155"/>
  <c r="I1903" i="155"/>
  <c r="I1902" i="155"/>
  <c r="I1901" i="155"/>
  <c r="I1900" i="155"/>
  <c r="I1899" i="155"/>
  <c r="I1898" i="155"/>
  <c r="I1897" i="155"/>
  <c r="I1896" i="155"/>
  <c r="I1895" i="155"/>
  <c r="I1894" i="155"/>
  <c r="I1893" i="155"/>
  <c r="I1892" i="155"/>
  <c r="I1891" i="155"/>
  <c r="I1890" i="155"/>
  <c r="I1889" i="155"/>
  <c r="I1888" i="155"/>
  <c r="I1887" i="155"/>
  <c r="I1886" i="155"/>
  <c r="I1885" i="155"/>
  <c r="I1884" i="155"/>
  <c r="I1883" i="155"/>
  <c r="I1882" i="155"/>
  <c r="I1881" i="155"/>
  <c r="I1880" i="155"/>
  <c r="I1879" i="155"/>
  <c r="I1878" i="155"/>
  <c r="I1877" i="155"/>
  <c r="I1876" i="155"/>
  <c r="I1875" i="155"/>
  <c r="I1874" i="155"/>
  <c r="I1873" i="155"/>
  <c r="I1872" i="155"/>
  <c r="I1871" i="155"/>
  <c r="I1870" i="155"/>
  <c r="I1869" i="155"/>
  <c r="I1868" i="155"/>
  <c r="I1867" i="155"/>
  <c r="I1866" i="155"/>
  <c r="I1865" i="155"/>
  <c r="I1864" i="155"/>
  <c r="I1863" i="155"/>
  <c r="I1862" i="155"/>
  <c r="I1861" i="155"/>
  <c r="I1860" i="155"/>
  <c r="I1859" i="155"/>
  <c r="I1858" i="155"/>
  <c r="I1857" i="155"/>
  <c r="I1856" i="155"/>
  <c r="I1767" i="155"/>
  <c r="I1766" i="155"/>
  <c r="I1765" i="155"/>
  <c r="I1764" i="155"/>
  <c r="I1763" i="155"/>
  <c r="I1762" i="155"/>
  <c r="I1761" i="155"/>
  <c r="I1760" i="155"/>
  <c r="I1759" i="155"/>
  <c r="I1758" i="155"/>
  <c r="I1757" i="155"/>
  <c r="I1756" i="155"/>
  <c r="I1755" i="155"/>
  <c r="I1754" i="155"/>
  <c r="I1753" i="155"/>
  <c r="I1752" i="155"/>
  <c r="I1751" i="155"/>
  <c r="I1750" i="155"/>
  <c r="I1749" i="155"/>
  <c r="I1748" i="155"/>
  <c r="I1747" i="155"/>
  <c r="I1746" i="155"/>
  <c r="I1745" i="155"/>
  <c r="I1744" i="155"/>
  <c r="I1743" i="155"/>
  <c r="I1742" i="155"/>
  <c r="I1741" i="155"/>
  <c r="I1740" i="155"/>
  <c r="I1739" i="155"/>
  <c r="I1738" i="155"/>
  <c r="I1737" i="155"/>
  <c r="I1736" i="155"/>
  <c r="I1735" i="155"/>
  <c r="I1734" i="155"/>
  <c r="I1733" i="155"/>
  <c r="I1732" i="155"/>
  <c r="I1731" i="155"/>
  <c r="I1730" i="155"/>
  <c r="I1729" i="155"/>
  <c r="I1728" i="155"/>
  <c r="I1727" i="155"/>
  <c r="I1726" i="155"/>
  <c r="I1725" i="155"/>
  <c r="I1724" i="155"/>
  <c r="I1723" i="155"/>
  <c r="I1722" i="155"/>
  <c r="I1721" i="155"/>
  <c r="I1720" i="155"/>
  <c r="I1719" i="155"/>
  <c r="I1718" i="155"/>
  <c r="I1717" i="155"/>
  <c r="I1716" i="155"/>
  <c r="I1715" i="155"/>
  <c r="I1714" i="155"/>
  <c r="I1713" i="155"/>
  <c r="I1712" i="155"/>
  <c r="I1711" i="155"/>
  <c r="I1710" i="155"/>
  <c r="I1709" i="155"/>
  <c r="I1708" i="155"/>
  <c r="I1707" i="155"/>
  <c r="I1706" i="155"/>
  <c r="I1705" i="155"/>
  <c r="I1704" i="155"/>
  <c r="I1703" i="155"/>
  <c r="I1702" i="155"/>
  <c r="I1701" i="155"/>
  <c r="I1700" i="155"/>
  <c r="I1699" i="155"/>
  <c r="I1698" i="155"/>
  <c r="I1697" i="155"/>
  <c r="I1696" i="155"/>
  <c r="I1695" i="155"/>
  <c r="I1694" i="155"/>
  <c r="I1693" i="155"/>
  <c r="I1692" i="155"/>
  <c r="I1691" i="155"/>
  <c r="I1690" i="155"/>
  <c r="I1689" i="155"/>
  <c r="I1688" i="155"/>
  <c r="I1687" i="155"/>
  <c r="I1686" i="155"/>
  <c r="I1685" i="155"/>
  <c r="I1684" i="155"/>
  <c r="I1683" i="155"/>
  <c r="I1682" i="155"/>
  <c r="I1681" i="155"/>
  <c r="I1680" i="155"/>
  <c r="I1679" i="155"/>
  <c r="I1678" i="155"/>
  <c r="I1677" i="155"/>
  <c r="I1676" i="155"/>
  <c r="I1675" i="155"/>
  <c r="I1674" i="155"/>
  <c r="I1673" i="155"/>
  <c r="I1672" i="155"/>
  <c r="I1671" i="155"/>
  <c r="I1670" i="155"/>
  <c r="I1669" i="155"/>
  <c r="I1668" i="155"/>
  <c r="I1667" i="155"/>
  <c r="I1666" i="155"/>
  <c r="I1665" i="155"/>
  <c r="I1664" i="155"/>
  <c r="I1663" i="155"/>
  <c r="I1662" i="155"/>
  <c r="I1661" i="155"/>
  <c r="I1660" i="155"/>
  <c r="I1659" i="155"/>
  <c r="I1658" i="155"/>
  <c r="I1657" i="155"/>
  <c r="I1656" i="155"/>
  <c r="I1655" i="155"/>
  <c r="I1654" i="155"/>
  <c r="I1653" i="155"/>
  <c r="I1652" i="155"/>
  <c r="I1651" i="155"/>
  <c r="I1650" i="155"/>
  <c r="I1649" i="155"/>
  <c r="I1648" i="155"/>
  <c r="I1647" i="155"/>
  <c r="I1646" i="155"/>
  <c r="I1645" i="155"/>
  <c r="I1644" i="155"/>
  <c r="I1643" i="155"/>
  <c r="I1642" i="155"/>
  <c r="I1641" i="155"/>
  <c r="I1640" i="155"/>
  <c r="I1639" i="155"/>
  <c r="I1638" i="155"/>
  <c r="I1637" i="155"/>
  <c r="I1636" i="155"/>
  <c r="I1635" i="155"/>
  <c r="I1634" i="155"/>
  <c r="I1633" i="155"/>
  <c r="I1632" i="155"/>
  <c r="I1631" i="155"/>
  <c r="I1630" i="155"/>
  <c r="I1629" i="155"/>
  <c r="I1628" i="155"/>
  <c r="I1627" i="155"/>
  <c r="I1626" i="155"/>
  <c r="I1625" i="155"/>
  <c r="I1624" i="155"/>
  <c r="I1623" i="155"/>
  <c r="I1622" i="155"/>
  <c r="I1621" i="155"/>
  <c r="I1570" i="155"/>
  <c r="I1569" i="155"/>
  <c r="I1568" i="155"/>
  <c r="I1567" i="155"/>
  <c r="I1566" i="155"/>
  <c r="I1565" i="155"/>
  <c r="I1564" i="155"/>
  <c r="I1563" i="155"/>
  <c r="I1562" i="155"/>
  <c r="I1561" i="155"/>
  <c r="I1560" i="155"/>
  <c r="I1559" i="155"/>
  <c r="I1558" i="155"/>
  <c r="I1557" i="155"/>
  <c r="I1556" i="155"/>
  <c r="I1555" i="155"/>
  <c r="I1554" i="155"/>
  <c r="I1553" i="155"/>
  <c r="I1552" i="155"/>
  <c r="I1551" i="155"/>
  <c r="I1550" i="155"/>
  <c r="I1549" i="155"/>
  <c r="I1548" i="155"/>
  <c r="I1547" i="155"/>
  <c r="I1546" i="155"/>
  <c r="I1545" i="155"/>
  <c r="I1544" i="155"/>
  <c r="I1543" i="155"/>
  <c r="I1542" i="155"/>
  <c r="I1541" i="155"/>
  <c r="I1540" i="155"/>
  <c r="I1539" i="155"/>
  <c r="I1538" i="155"/>
  <c r="I1537" i="155"/>
  <c r="I1536" i="155"/>
  <c r="I1535" i="155"/>
  <c r="I1534" i="155"/>
  <c r="I1533" i="155"/>
  <c r="I1532" i="155"/>
  <c r="I1531" i="155"/>
  <c r="I1530" i="155"/>
  <c r="I1529" i="155"/>
  <c r="I1528" i="155"/>
  <c r="I1527" i="155"/>
  <c r="I1526" i="155"/>
  <c r="I1525" i="155"/>
  <c r="I1524" i="155"/>
  <c r="I1523" i="155"/>
  <c r="I1522" i="155"/>
  <c r="I1521" i="155"/>
  <c r="I1520" i="155"/>
  <c r="I1519" i="155"/>
  <c r="I1518" i="155"/>
  <c r="I1517" i="155"/>
  <c r="I1516" i="155"/>
  <c r="I1515" i="155"/>
  <c r="I1514" i="155"/>
  <c r="I1513" i="155"/>
  <c r="I1512" i="155"/>
  <c r="I1511" i="155"/>
  <c r="I1510" i="155"/>
  <c r="I1509" i="155"/>
  <c r="I1508" i="155"/>
  <c r="I1507" i="155"/>
  <c r="I1506" i="155"/>
  <c r="I1505" i="155"/>
  <c r="I1504" i="155"/>
  <c r="I1503" i="155"/>
  <c r="I1502" i="155"/>
  <c r="I1501" i="155"/>
  <c r="I1500" i="155"/>
  <c r="I1499" i="155"/>
  <c r="I1498" i="155"/>
  <c r="I1497" i="155"/>
  <c r="I1496" i="155"/>
  <c r="I1495" i="155"/>
  <c r="I1494" i="155"/>
  <c r="I1493" i="155"/>
  <c r="I1492" i="155"/>
  <c r="I1491" i="155"/>
  <c r="I1490" i="155"/>
  <c r="I1489" i="155"/>
  <c r="I1488" i="155"/>
  <c r="I1487" i="155"/>
  <c r="I1486" i="155"/>
  <c r="I1485" i="155"/>
  <c r="I1484" i="155"/>
  <c r="I1483" i="155"/>
  <c r="I1482" i="155"/>
  <c r="I1481" i="155"/>
  <c r="I1480" i="155"/>
  <c r="I1479" i="155"/>
  <c r="I1478" i="155"/>
  <c r="I1477" i="155"/>
  <c r="I1476" i="155"/>
  <c r="I1475" i="155"/>
  <c r="I1474" i="155"/>
  <c r="I1473" i="155"/>
  <c r="I1472" i="155"/>
  <c r="I1471" i="155"/>
  <c r="I1470" i="155"/>
  <c r="I1469" i="155"/>
  <c r="I1468" i="155"/>
  <c r="I1467" i="155"/>
  <c r="I1466" i="155"/>
  <c r="I1465" i="155"/>
  <c r="I1464" i="155"/>
  <c r="I1463" i="155"/>
  <c r="I1462" i="155"/>
  <c r="I1461" i="155"/>
  <c r="I1460" i="155"/>
  <c r="I1459" i="155"/>
  <c r="I1458" i="155"/>
  <c r="I1457" i="155"/>
  <c r="I1456" i="155"/>
  <c r="I1455" i="155"/>
  <c r="I1454" i="155"/>
  <c r="I1453" i="155"/>
  <c r="I1452" i="155"/>
  <c r="I1451" i="155"/>
  <c r="I1450" i="155"/>
  <c r="I1449" i="155"/>
  <c r="I1448" i="155"/>
  <c r="I1447" i="155"/>
  <c r="I1446" i="155"/>
  <c r="I1445" i="155"/>
  <c r="I1444" i="155"/>
  <c r="I1443" i="155"/>
  <c r="I1442" i="155"/>
  <c r="I1441" i="155"/>
  <c r="I1440" i="155"/>
  <c r="I1439" i="155"/>
  <c r="I1438" i="155"/>
  <c r="I1437" i="155"/>
  <c r="I1436" i="155"/>
  <c r="I1435" i="155"/>
  <c r="I1434" i="155"/>
  <c r="I1433" i="155"/>
  <c r="I1432" i="155"/>
  <c r="I1431" i="155"/>
  <c r="I1430" i="155"/>
  <c r="I1429" i="155"/>
  <c r="I1428" i="155"/>
  <c r="I1427" i="155"/>
  <c r="I1426" i="155"/>
  <c r="I1425" i="155"/>
  <c r="I1424" i="155"/>
  <c r="I1423" i="155"/>
  <c r="I1422" i="155"/>
  <c r="I1421" i="155"/>
  <c r="I1420" i="155"/>
  <c r="I1419" i="155"/>
  <c r="I1418" i="155"/>
  <c r="I1417" i="155"/>
  <c r="I1416" i="155"/>
  <c r="I1415" i="155"/>
  <c r="I1414" i="155"/>
  <c r="I1413" i="155"/>
  <c r="I1412" i="155"/>
  <c r="I1411" i="155"/>
  <c r="I1410" i="155"/>
  <c r="I1409" i="155"/>
  <c r="I1408" i="155"/>
  <c r="I1407" i="155"/>
  <c r="I1406" i="155"/>
  <c r="I1405" i="155"/>
  <c r="I1404" i="155"/>
  <c r="I1403" i="155"/>
  <c r="I1402" i="155"/>
  <c r="I1401" i="155"/>
  <c r="I1400" i="155"/>
  <c r="I1399" i="155"/>
  <c r="I1398" i="155"/>
  <c r="I1397" i="155"/>
  <c r="I1396" i="155"/>
  <c r="I1395" i="155"/>
  <c r="I1394" i="155"/>
  <c r="I1393" i="155"/>
  <c r="I1392" i="155"/>
  <c r="I1391" i="155"/>
  <c r="I1390" i="155"/>
  <c r="I1389" i="155"/>
  <c r="I1388" i="155"/>
  <c r="I1387" i="155"/>
  <c r="I1386" i="155"/>
  <c r="I1385" i="155"/>
  <c r="I1384" i="155"/>
  <c r="I1383" i="155"/>
  <c r="I1382" i="155"/>
  <c r="I1381" i="155"/>
  <c r="I1380" i="155"/>
  <c r="I1379" i="155"/>
  <c r="I1378" i="155"/>
  <c r="I1377" i="155"/>
  <c r="I1376" i="155"/>
  <c r="I1375" i="155"/>
  <c r="I1374" i="155"/>
  <c r="I1373" i="155"/>
  <c r="I1372" i="155"/>
  <c r="I1371" i="155"/>
  <c r="I1370" i="155"/>
  <c r="I1369" i="155"/>
  <c r="I1368" i="155"/>
  <c r="I1367" i="155"/>
  <c r="I1366" i="155"/>
  <c r="I1365" i="155"/>
  <c r="I1364" i="155"/>
  <c r="I1363" i="155"/>
  <c r="I1362" i="155"/>
  <c r="I1361" i="155"/>
  <c r="I1360" i="155"/>
  <c r="I1359" i="155"/>
  <c r="I1358" i="155"/>
  <c r="I1357" i="155"/>
  <c r="I1356" i="155"/>
  <c r="I1355" i="155"/>
  <c r="I1354" i="155"/>
  <c r="I1353" i="155"/>
  <c r="I1352" i="155"/>
  <c r="I1351" i="155"/>
  <c r="I1350" i="155"/>
  <c r="I1349" i="155"/>
  <c r="I1348" i="155"/>
  <c r="I1347" i="155"/>
  <c r="I1346" i="155"/>
  <c r="I1345" i="155"/>
  <c r="I1344" i="155"/>
  <c r="I1343" i="155"/>
  <c r="I1342" i="155"/>
  <c r="I1341" i="155"/>
  <c r="I1340" i="155"/>
  <c r="I1339" i="155"/>
  <c r="I1338" i="155"/>
  <c r="I1337" i="155"/>
  <c r="I1336" i="155"/>
  <c r="I1335" i="155"/>
  <c r="I1334" i="155"/>
  <c r="I1333" i="155"/>
  <c r="I1332" i="155"/>
  <c r="I1331" i="155"/>
  <c r="I1330" i="155"/>
  <c r="I1329" i="155"/>
  <c r="I1328" i="155"/>
  <c r="I1327" i="155"/>
  <c r="I1326" i="155"/>
  <c r="I1325" i="155"/>
  <c r="I1324" i="155"/>
  <c r="I1323" i="155"/>
  <c r="I1322" i="155"/>
  <c r="I1321" i="155"/>
  <c r="I1320" i="155"/>
  <c r="I1319" i="155"/>
  <c r="I1318" i="155"/>
  <c r="I1317" i="155"/>
  <c r="I1316" i="155"/>
  <c r="I1315" i="155"/>
  <c r="I1314" i="155"/>
  <c r="I1313" i="155"/>
  <c r="I1312" i="155"/>
  <c r="I1311" i="155"/>
  <c r="I1310" i="155"/>
  <c r="I1309" i="155"/>
  <c r="I1308" i="155"/>
  <c r="I1307" i="155"/>
  <c r="I1306" i="155"/>
  <c r="I1305" i="155"/>
  <c r="I1304" i="155"/>
  <c r="I1303" i="155"/>
  <c r="I1302" i="155"/>
  <c r="I1301" i="155"/>
  <c r="I1300" i="155"/>
  <c r="I1299" i="155"/>
  <c r="I1298" i="155"/>
  <c r="I1297" i="155"/>
  <c r="I1296" i="155"/>
  <c r="I1295" i="155"/>
  <c r="I1294" i="155"/>
  <c r="I1293" i="155"/>
  <c r="I1292" i="155"/>
  <c r="I1291" i="155"/>
  <c r="I1290" i="155"/>
  <c r="I1289" i="155"/>
  <c r="I1288" i="155"/>
  <c r="I1287" i="155"/>
  <c r="I1286" i="155"/>
  <c r="I1285" i="155"/>
  <c r="I1284" i="155"/>
  <c r="I1283" i="155"/>
  <c r="I1282" i="155"/>
  <c r="I1281" i="155"/>
  <c r="I1280" i="155"/>
  <c r="I1279" i="155"/>
  <c r="I1278" i="155"/>
  <c r="I1277" i="155"/>
  <c r="I1276" i="155"/>
  <c r="I1275" i="155"/>
  <c r="I1274" i="155"/>
  <c r="I1273" i="155"/>
  <c r="I1272" i="155"/>
  <c r="I1271" i="155"/>
  <c r="I1270" i="155"/>
  <c r="I1269" i="155"/>
  <c r="I1268" i="155"/>
  <c r="I1267" i="155"/>
  <c r="I1266" i="155"/>
  <c r="I1265" i="155"/>
  <c r="I1264" i="155"/>
  <c r="I1263" i="155"/>
  <c r="I1262" i="155"/>
  <c r="I1261" i="155"/>
  <c r="I1260" i="155"/>
  <c r="I1259" i="155"/>
  <c r="I1258" i="155"/>
  <c r="I1257" i="155"/>
  <c r="I1256" i="155"/>
  <c r="I1255" i="155"/>
  <c r="I1254" i="155"/>
  <c r="I1253" i="155"/>
  <c r="I1252" i="155"/>
  <c r="I1251" i="155"/>
  <c r="I1250" i="155"/>
  <c r="I1249" i="155"/>
  <c r="I1248" i="155"/>
  <c r="I1247" i="155"/>
  <c r="I1246" i="155"/>
  <c r="I1245" i="155"/>
  <c r="I1244" i="155"/>
  <c r="I1243" i="155"/>
  <c r="I1242" i="155"/>
  <c r="I1241" i="155"/>
  <c r="I1240" i="155"/>
  <c r="I1239" i="155"/>
  <c r="I1238" i="155"/>
  <c r="I1237" i="155"/>
  <c r="I1236" i="155"/>
  <c r="I1235" i="155"/>
  <c r="I1234" i="155"/>
  <c r="I1233" i="155"/>
  <c r="I1232" i="155"/>
  <c r="I1231" i="155"/>
  <c r="I1230" i="155"/>
  <c r="I1229" i="155"/>
  <c r="I1228" i="155"/>
  <c r="I1227" i="155"/>
  <c r="I1226" i="155"/>
  <c r="I1225" i="155"/>
  <c r="I1224" i="155"/>
  <c r="I1223" i="155"/>
  <c r="I1222" i="155"/>
  <c r="I1221" i="155"/>
  <c r="I1220" i="155"/>
  <c r="I1219" i="155"/>
  <c r="I1218" i="155"/>
  <c r="I1217" i="155"/>
  <c r="I1216" i="155"/>
  <c r="I1215" i="155"/>
  <c r="I1214" i="155"/>
  <c r="I1213" i="155"/>
  <c r="I1212" i="155"/>
  <c r="I1211" i="155"/>
  <c r="I1210" i="155"/>
  <c r="I1209" i="155"/>
  <c r="I1208" i="155"/>
  <c r="I1207" i="155"/>
  <c r="I1206" i="155"/>
  <c r="I1205" i="155"/>
  <c r="I1204" i="155"/>
  <c r="I1203" i="155"/>
  <c r="I1202" i="155"/>
  <c r="I1201" i="155"/>
  <c r="I1200" i="155"/>
  <c r="I1199" i="155"/>
  <c r="I1198" i="155"/>
  <c r="I1197" i="155"/>
  <c r="I1196" i="155"/>
  <c r="I1195" i="155"/>
  <c r="I1194" i="155"/>
  <c r="I1193" i="155"/>
  <c r="I1192" i="155"/>
  <c r="I1191" i="155"/>
  <c r="I1190" i="155"/>
  <c r="I1189" i="155"/>
  <c r="I1188" i="155"/>
  <c r="I1187" i="155"/>
  <c r="I1186" i="155"/>
  <c r="I1185" i="155"/>
  <c r="I1184" i="155"/>
  <c r="I1183" i="155"/>
  <c r="I1182" i="155"/>
  <c r="I1181" i="155"/>
  <c r="I1180" i="155"/>
  <c r="I1179" i="155"/>
  <c r="I1178" i="155"/>
  <c r="I1177" i="155"/>
  <c r="I1176" i="155"/>
  <c r="I1175" i="155"/>
  <c r="I1174" i="155"/>
  <c r="I1173" i="155"/>
  <c r="I1172" i="155"/>
  <c r="I1171" i="155"/>
  <c r="I1170" i="155"/>
  <c r="I1169" i="155"/>
  <c r="I1168" i="155"/>
  <c r="I1167" i="155"/>
  <c r="I1166" i="155"/>
  <c r="I1165" i="155"/>
  <c r="I1164" i="155"/>
  <c r="I1163" i="155"/>
  <c r="I1162" i="155"/>
  <c r="I1161" i="155"/>
  <c r="I1160" i="155"/>
  <c r="I1159" i="155"/>
  <c r="I1158" i="155"/>
  <c r="I1157" i="155"/>
  <c r="I1156" i="155"/>
  <c r="I1155" i="155"/>
  <c r="I1154" i="155"/>
  <c r="I1153" i="155"/>
  <c r="I1152" i="155"/>
  <c r="I1151" i="155"/>
  <c r="I1150" i="155"/>
  <c r="I1149" i="155"/>
  <c r="I1148" i="155"/>
  <c r="I1147" i="155"/>
  <c r="I1146" i="155"/>
  <c r="I1145" i="155"/>
  <c r="I1144" i="155"/>
  <c r="I1143" i="155"/>
  <c r="I1142" i="155"/>
  <c r="I1141" i="155"/>
  <c r="I1140" i="155"/>
  <c r="I1139" i="155"/>
  <c r="I1138" i="155"/>
  <c r="I1137" i="155"/>
  <c r="I1136" i="155"/>
  <c r="I1135" i="155"/>
  <c r="I1134" i="155"/>
  <c r="I1133" i="155"/>
  <c r="I1132" i="155"/>
  <c r="I1131" i="155"/>
  <c r="I1130" i="155"/>
  <c r="I1129" i="155"/>
  <c r="I1128" i="155"/>
  <c r="I1127" i="155"/>
  <c r="I1126" i="155"/>
  <c r="I1125" i="155"/>
  <c r="I1124" i="155"/>
  <c r="I1123" i="155"/>
  <c r="I1122" i="155"/>
  <c r="I1121" i="155"/>
  <c r="I1120" i="155"/>
  <c r="I1119" i="155"/>
  <c r="I1118" i="155"/>
  <c r="I1117" i="155"/>
  <c r="I1116" i="155"/>
  <c r="I1115" i="155"/>
  <c r="I1114" i="155"/>
  <c r="I1113" i="155"/>
  <c r="I1112" i="155"/>
  <c r="I1111" i="155"/>
  <c r="I1110" i="155"/>
  <c r="I1109" i="155"/>
  <c r="I1108" i="155"/>
  <c r="I1107" i="155"/>
  <c r="I1106" i="155"/>
  <c r="I1105" i="155"/>
  <c r="I1104" i="155"/>
  <c r="I1103" i="155"/>
  <c r="I1102" i="155"/>
  <c r="I1101" i="155"/>
  <c r="I1100" i="155"/>
  <c r="I1099" i="155"/>
  <c r="I1098" i="155"/>
  <c r="I1097" i="155"/>
  <c r="I1096" i="155"/>
  <c r="I1095" i="155"/>
  <c r="I1094" i="155"/>
  <c r="I1093" i="155"/>
  <c r="I1092" i="155"/>
  <c r="I1091" i="155"/>
  <c r="I1090" i="155"/>
  <c r="I1089" i="155"/>
  <c r="I1088" i="155"/>
  <c r="I1087" i="155"/>
  <c r="I1086" i="155"/>
  <c r="I1085" i="155"/>
  <c r="I1084" i="155"/>
  <c r="I1083" i="155"/>
  <c r="I1082" i="155"/>
  <c r="I1081" i="155"/>
  <c r="I1080" i="155"/>
  <c r="I1079" i="155"/>
  <c r="I1078" i="155"/>
  <c r="I1077" i="155"/>
  <c r="I1076" i="155"/>
  <c r="I1075" i="155"/>
  <c r="I1074" i="155"/>
  <c r="I1073" i="155"/>
  <c r="I1072" i="155"/>
  <c r="I1071" i="155"/>
  <c r="I1070" i="155"/>
  <c r="I1069" i="155"/>
  <c r="I1068" i="155"/>
  <c r="I1067" i="155"/>
  <c r="I1066" i="155"/>
  <c r="I1065" i="155"/>
  <c r="I1064" i="155"/>
  <c r="I1063" i="155"/>
  <c r="I1062" i="155"/>
  <c r="I1061" i="155"/>
  <c r="I1060" i="155"/>
  <c r="I1059" i="155"/>
  <c r="I1058" i="155"/>
  <c r="I1057" i="155"/>
  <c r="I1056" i="155"/>
  <c r="I1055" i="155"/>
  <c r="I1054" i="155"/>
  <c r="I1053" i="155"/>
  <c r="I1052" i="155"/>
  <c r="I1051" i="155"/>
  <c r="I1050" i="155"/>
  <c r="I1049" i="155"/>
  <c r="I1048" i="155"/>
  <c r="I1047" i="155"/>
  <c r="I1046" i="155"/>
  <c r="I1045" i="155"/>
  <c r="I1044" i="155"/>
  <c r="I1043" i="155"/>
  <c r="I1042" i="155"/>
  <c r="I1041" i="155"/>
  <c r="I1040" i="155"/>
  <c r="I1039" i="155"/>
  <c r="I1038" i="155"/>
  <c r="I1037" i="155"/>
  <c r="I1036" i="155"/>
  <c r="I1035" i="155"/>
  <c r="I1034" i="155"/>
  <c r="I1033" i="155"/>
  <c r="I1032" i="155"/>
  <c r="I1031" i="155"/>
  <c r="I1030" i="155"/>
  <c r="I1029" i="155"/>
  <c r="I1028" i="155"/>
  <c r="I1027" i="155"/>
  <c r="I1026" i="155"/>
  <c r="I1025" i="155"/>
  <c r="I1024" i="155"/>
  <c r="I1023" i="155"/>
  <c r="I1022" i="155"/>
  <c r="I1021" i="155"/>
  <c r="I1020" i="155"/>
  <c r="I1019" i="155"/>
  <c r="I1018" i="155"/>
  <c r="I1017" i="155"/>
  <c r="I1016" i="155"/>
  <c r="I1015" i="155"/>
  <c r="I1014" i="155"/>
  <c r="I1013" i="155"/>
  <c r="I1012" i="155"/>
  <c r="I1011" i="155"/>
  <c r="I1010" i="155"/>
  <c r="I1009" i="155"/>
  <c r="I1008" i="155"/>
  <c r="I1007" i="155"/>
  <c r="I1006" i="155"/>
  <c r="I1005" i="155"/>
  <c r="I1004" i="155"/>
  <c r="I1003" i="155"/>
  <c r="I1002" i="155"/>
  <c r="I1001" i="155"/>
  <c r="I1000" i="155"/>
  <c r="I999" i="155"/>
  <c r="I998" i="155"/>
  <c r="I997" i="155"/>
  <c r="I996" i="155"/>
  <c r="I995" i="155"/>
  <c r="I994" i="155"/>
  <c r="I993" i="155"/>
  <c r="I992" i="155"/>
  <c r="I991" i="155"/>
  <c r="I990" i="155"/>
  <c r="I989" i="155"/>
  <c r="I988" i="155"/>
  <c r="I987" i="155"/>
  <c r="I986" i="155"/>
  <c r="I985" i="155"/>
  <c r="I984" i="155"/>
  <c r="I983" i="155"/>
  <c r="I982" i="155"/>
  <c r="I981" i="155"/>
  <c r="I980" i="155"/>
  <c r="I979" i="155"/>
  <c r="I978" i="155"/>
  <c r="I977" i="155"/>
  <c r="I976" i="155"/>
  <c r="I975" i="155"/>
  <c r="I974" i="155"/>
  <c r="I973" i="155"/>
  <c r="I972" i="155"/>
  <c r="I971" i="155"/>
  <c r="I970" i="155"/>
  <c r="I969" i="155"/>
  <c r="I968" i="155"/>
  <c r="I967" i="155"/>
  <c r="I966" i="155"/>
  <c r="I965" i="155"/>
  <c r="I964" i="155"/>
  <c r="I963" i="155"/>
  <c r="I962" i="155"/>
  <c r="I961" i="155"/>
  <c r="I960" i="155"/>
  <c r="I959" i="155"/>
  <c r="I958" i="155"/>
  <c r="I957" i="155"/>
  <c r="I956" i="155"/>
  <c r="I955" i="155"/>
  <c r="I954" i="155"/>
  <c r="I953" i="155"/>
  <c r="I952" i="155"/>
  <c r="I951" i="155"/>
  <c r="I950" i="155"/>
  <c r="I949" i="155"/>
  <c r="I948" i="155"/>
  <c r="I947" i="155"/>
  <c r="I946" i="155"/>
  <c r="I945" i="155"/>
  <c r="I944" i="155"/>
  <c r="I943" i="155"/>
  <c r="I942" i="155"/>
  <c r="I941" i="155"/>
  <c r="I940" i="155"/>
  <c r="I939" i="155"/>
  <c r="I938" i="155"/>
  <c r="I937" i="155"/>
  <c r="I936" i="155"/>
  <c r="I935" i="155"/>
  <c r="I934" i="155"/>
  <c r="I933" i="155"/>
  <c r="I932" i="155"/>
  <c r="I931" i="155"/>
  <c r="I930" i="155"/>
  <c r="I929" i="155"/>
  <c r="I928" i="155"/>
  <c r="I927" i="155"/>
  <c r="I926" i="155"/>
  <c r="I925" i="155"/>
  <c r="I924" i="155"/>
  <c r="I923" i="155"/>
  <c r="I922" i="155"/>
  <c r="I921" i="155"/>
  <c r="I920" i="155"/>
  <c r="I919" i="155"/>
  <c r="I918" i="155"/>
  <c r="I917" i="155"/>
  <c r="I916" i="155"/>
  <c r="I915" i="155"/>
  <c r="I914" i="155"/>
  <c r="I913" i="155"/>
  <c r="I912" i="155"/>
  <c r="I911" i="155"/>
  <c r="I910" i="155"/>
  <c r="I909" i="155"/>
  <c r="I908" i="155"/>
  <c r="I907" i="155"/>
  <c r="I906" i="155"/>
  <c r="I905" i="155"/>
  <c r="I904" i="155"/>
  <c r="I903" i="155"/>
  <c r="I902" i="155"/>
  <c r="I901" i="155"/>
  <c r="I900" i="155"/>
  <c r="I899" i="155"/>
  <c r="I898" i="155"/>
  <c r="I897" i="155"/>
  <c r="I896" i="155"/>
  <c r="I895" i="155"/>
  <c r="I894" i="155"/>
  <c r="I893" i="155"/>
  <c r="I892" i="155"/>
  <c r="I891" i="155"/>
  <c r="I890" i="155"/>
  <c r="I889" i="155"/>
  <c r="I888" i="155"/>
  <c r="I887" i="155"/>
  <c r="I886" i="155"/>
  <c r="I885" i="155"/>
  <c r="I884" i="155"/>
  <c r="I883" i="155"/>
  <c r="I882" i="155"/>
  <c r="I881" i="155"/>
  <c r="I880" i="155"/>
  <c r="I879" i="155"/>
  <c r="I878" i="155"/>
  <c r="I877" i="155"/>
  <c r="I876" i="155"/>
  <c r="I875" i="155"/>
  <c r="I874" i="155"/>
  <c r="I873" i="155"/>
  <c r="I872" i="155"/>
  <c r="I871" i="155"/>
  <c r="I870" i="155"/>
  <c r="I869" i="155"/>
  <c r="I868" i="155"/>
  <c r="I867" i="155"/>
  <c r="I866" i="155"/>
  <c r="I865" i="155"/>
  <c r="I864" i="155"/>
  <c r="I863" i="155"/>
  <c r="I862" i="155"/>
  <c r="I861" i="155"/>
  <c r="I860" i="155"/>
  <c r="I859" i="155"/>
  <c r="I858" i="155"/>
  <c r="I857" i="155"/>
  <c r="I856" i="155"/>
  <c r="I855" i="155"/>
  <c r="I854" i="155"/>
  <c r="I853" i="155"/>
  <c r="I852" i="155"/>
  <c r="I851" i="155"/>
  <c r="I850" i="155"/>
  <c r="I849" i="155"/>
  <c r="I848" i="155"/>
  <c r="I847" i="155"/>
  <c r="I846" i="155"/>
  <c r="I845" i="155"/>
  <c r="I844" i="155"/>
  <c r="I843" i="155"/>
  <c r="I842" i="155"/>
  <c r="I841" i="155"/>
  <c r="I840" i="155"/>
  <c r="I839" i="155"/>
  <c r="I838" i="155"/>
  <c r="I837" i="155"/>
  <c r="I836" i="155"/>
  <c r="I827" i="155"/>
  <c r="I826" i="155"/>
  <c r="I825" i="155"/>
  <c r="I824" i="155"/>
  <c r="I823" i="155"/>
  <c r="I822" i="155"/>
  <c r="I821" i="155"/>
  <c r="I820" i="155"/>
  <c r="I819" i="155"/>
  <c r="I818" i="155"/>
  <c r="I817" i="155"/>
  <c r="I816" i="155"/>
  <c r="I815" i="155"/>
  <c r="I814" i="155"/>
  <c r="I813" i="155"/>
  <c r="I812" i="155"/>
  <c r="I811" i="155"/>
  <c r="I810" i="155"/>
  <c r="I809" i="155"/>
  <c r="I808" i="155"/>
  <c r="I807" i="155"/>
  <c r="I806" i="155"/>
  <c r="I805" i="155"/>
  <c r="I804" i="155"/>
  <c r="I803" i="155"/>
  <c r="I802" i="155"/>
  <c r="I801" i="155"/>
  <c r="I800" i="155"/>
  <c r="I799" i="155"/>
  <c r="I798" i="155"/>
  <c r="I797" i="155"/>
  <c r="I796" i="155"/>
  <c r="I795" i="155"/>
  <c r="I794" i="155"/>
  <c r="I793" i="155"/>
  <c r="I792" i="155"/>
  <c r="I791" i="155"/>
  <c r="I790" i="155"/>
  <c r="I789" i="155"/>
  <c r="I788" i="155"/>
  <c r="I787" i="155"/>
  <c r="I786" i="155"/>
  <c r="I785" i="155"/>
  <c r="I784" i="155"/>
  <c r="I783" i="155"/>
  <c r="I782" i="155"/>
  <c r="I781" i="155"/>
  <c r="I780" i="155"/>
  <c r="I779" i="155"/>
  <c r="I778" i="155"/>
  <c r="I777" i="155"/>
  <c r="I776" i="155"/>
  <c r="I775" i="155"/>
  <c r="I774" i="155"/>
  <c r="I773" i="155"/>
  <c r="I772" i="155"/>
  <c r="I771" i="155"/>
  <c r="I770" i="155"/>
  <c r="I769" i="155"/>
  <c r="I768" i="155"/>
  <c r="I767" i="155"/>
  <c r="I766" i="155"/>
  <c r="I765" i="155"/>
  <c r="I764" i="155"/>
  <c r="I763" i="155"/>
  <c r="I762" i="155"/>
  <c r="I761" i="155"/>
  <c r="I760" i="155"/>
  <c r="I759" i="155"/>
  <c r="I758" i="155"/>
  <c r="I757" i="155"/>
  <c r="I756" i="155"/>
  <c r="I755" i="155"/>
  <c r="I754" i="155"/>
  <c r="I753" i="155"/>
  <c r="I752" i="155"/>
  <c r="I751" i="155"/>
  <c r="I750" i="155"/>
  <c r="I749" i="155"/>
  <c r="I748" i="155"/>
  <c r="I747" i="155"/>
  <c r="I746" i="155"/>
  <c r="I745" i="155"/>
  <c r="I744" i="155"/>
  <c r="I743" i="155"/>
  <c r="I742" i="155"/>
  <c r="I741" i="155"/>
  <c r="I740" i="155"/>
  <c r="I739" i="155"/>
  <c r="I738" i="155"/>
  <c r="I737" i="155"/>
  <c r="I736" i="155"/>
  <c r="I735" i="155"/>
  <c r="I734" i="155"/>
  <c r="I733" i="155"/>
  <c r="I732" i="155"/>
  <c r="I731" i="155"/>
  <c r="I730" i="155"/>
  <c r="I729" i="155"/>
  <c r="I728" i="155"/>
  <c r="I727" i="155"/>
  <c r="I726" i="155"/>
  <c r="I725" i="155"/>
  <c r="I724" i="155"/>
  <c r="I723" i="155"/>
  <c r="I722" i="155"/>
  <c r="I721" i="155"/>
  <c r="I720" i="155"/>
  <c r="I719" i="155"/>
  <c r="I718" i="155"/>
  <c r="I717" i="155"/>
  <c r="I716" i="155"/>
  <c r="I715" i="155"/>
  <c r="I714" i="155"/>
  <c r="I713" i="155"/>
  <c r="I712" i="155"/>
  <c r="I711" i="155"/>
  <c r="I710" i="155"/>
  <c r="I709" i="155"/>
  <c r="I708" i="155"/>
  <c r="I707" i="155"/>
  <c r="I706" i="155"/>
  <c r="I705" i="155"/>
  <c r="I704" i="155"/>
  <c r="I703" i="155"/>
  <c r="I702" i="155"/>
  <c r="I701" i="155"/>
  <c r="I700" i="155"/>
  <c r="I699" i="155"/>
  <c r="I698" i="155"/>
  <c r="I697" i="155"/>
  <c r="I696" i="155"/>
  <c r="I695" i="155"/>
  <c r="I694" i="155"/>
  <c r="I693" i="155"/>
  <c r="I692" i="155"/>
  <c r="I691" i="155"/>
  <c r="I690" i="155"/>
  <c r="I689" i="155"/>
  <c r="I688" i="155"/>
  <c r="I687" i="155"/>
  <c r="I686" i="155"/>
  <c r="I685" i="155"/>
  <c r="I684" i="155"/>
  <c r="I683" i="155"/>
  <c r="I682" i="155"/>
  <c r="I681" i="155"/>
  <c r="I680" i="155"/>
  <c r="I679" i="155"/>
  <c r="I678" i="155"/>
  <c r="I677" i="155"/>
  <c r="I676" i="155"/>
  <c r="I675" i="155"/>
  <c r="I674" i="155"/>
  <c r="I673" i="155"/>
  <c r="I672" i="155"/>
  <c r="I671" i="155"/>
  <c r="I670" i="155"/>
  <c r="I669" i="155"/>
  <c r="I668" i="155"/>
  <c r="I667" i="155"/>
  <c r="I666" i="155"/>
  <c r="I665" i="155"/>
  <c r="I664" i="155"/>
  <c r="I663" i="155"/>
  <c r="I662" i="155"/>
  <c r="I661" i="155"/>
  <c r="I660" i="155"/>
  <c r="I659" i="155"/>
  <c r="I658" i="155"/>
  <c r="I657" i="155"/>
  <c r="I656" i="155"/>
  <c r="I655" i="155"/>
  <c r="I654" i="155"/>
  <c r="I653" i="155"/>
  <c r="I652" i="155"/>
  <c r="I651" i="155"/>
  <c r="I650" i="155"/>
  <c r="I649" i="155"/>
  <c r="I648" i="155"/>
  <c r="I647" i="155"/>
  <c r="I646" i="155"/>
  <c r="I645" i="155"/>
  <c r="I644" i="155"/>
  <c r="I643" i="155"/>
  <c r="I642" i="155"/>
  <c r="I641" i="155"/>
  <c r="I640" i="155"/>
  <c r="I639" i="155"/>
  <c r="I638" i="155"/>
  <c r="I637" i="155"/>
  <c r="I636" i="155"/>
  <c r="I635" i="155"/>
  <c r="I634" i="155"/>
  <c r="I633" i="155"/>
  <c r="I632" i="155"/>
  <c r="I631" i="155"/>
  <c r="I630" i="155"/>
  <c r="I629" i="155"/>
  <c r="I628" i="155"/>
  <c r="I627" i="155"/>
  <c r="I626" i="155"/>
  <c r="I625" i="155"/>
  <c r="I624" i="155"/>
  <c r="I623" i="155"/>
  <c r="I622" i="155"/>
  <c r="I621" i="155"/>
  <c r="I620" i="155"/>
  <c r="I619" i="155"/>
  <c r="I618" i="155"/>
  <c r="I617" i="155"/>
  <c r="I616" i="155"/>
  <c r="I615" i="155"/>
  <c r="I614" i="155"/>
  <c r="I613" i="155"/>
  <c r="I612" i="155"/>
  <c r="I611" i="155"/>
  <c r="I610" i="155"/>
  <c r="I609" i="155"/>
  <c r="I608" i="155"/>
  <c r="I607" i="155"/>
  <c r="I606" i="155"/>
  <c r="I605" i="155"/>
  <c r="I604" i="155"/>
  <c r="I603" i="155"/>
  <c r="I602" i="155"/>
  <c r="I601" i="155"/>
  <c r="I600" i="155"/>
  <c r="I599" i="155"/>
  <c r="I598" i="155"/>
  <c r="I597" i="155"/>
  <c r="I596" i="155"/>
  <c r="I595" i="155"/>
  <c r="I594" i="155"/>
  <c r="I593" i="155"/>
  <c r="I592" i="155"/>
  <c r="I591" i="155"/>
  <c r="I590" i="155"/>
  <c r="I589" i="155"/>
  <c r="I588" i="155"/>
  <c r="I587" i="155"/>
  <c r="I586" i="155"/>
  <c r="I585" i="155"/>
  <c r="I584" i="155"/>
  <c r="I583" i="155"/>
  <c r="I582" i="155"/>
  <c r="I581" i="155"/>
  <c r="I580" i="155"/>
  <c r="I579" i="155"/>
  <c r="I578" i="155"/>
  <c r="I577" i="155"/>
  <c r="I576" i="155"/>
  <c r="I575" i="155"/>
  <c r="I574" i="155"/>
  <c r="I573" i="155"/>
  <c r="I572" i="155"/>
  <c r="I571" i="155"/>
  <c r="I570" i="155"/>
  <c r="I569" i="155"/>
  <c r="I568" i="155"/>
  <c r="I567" i="155"/>
  <c r="I566" i="155"/>
  <c r="I565" i="155"/>
  <c r="I564" i="155"/>
  <c r="I563" i="155"/>
  <c r="I562" i="155"/>
  <c r="I561" i="155"/>
  <c r="I560" i="155"/>
  <c r="I559" i="155"/>
  <c r="I558" i="155"/>
  <c r="I557" i="155"/>
  <c r="I556" i="155"/>
  <c r="I555" i="155"/>
  <c r="I554" i="155"/>
  <c r="I553" i="155"/>
  <c r="I552" i="155"/>
  <c r="I551" i="155"/>
  <c r="I550" i="155"/>
  <c r="I549" i="155"/>
  <c r="I548" i="155"/>
  <c r="I547" i="155"/>
  <c r="I546" i="155"/>
  <c r="I545" i="155"/>
  <c r="I544" i="155"/>
  <c r="I543" i="155"/>
  <c r="I542" i="155"/>
  <c r="I541" i="155"/>
  <c r="I540" i="155"/>
  <c r="I539" i="155"/>
  <c r="I538" i="155"/>
  <c r="I537" i="155"/>
  <c r="I536" i="155"/>
  <c r="I535" i="155"/>
  <c r="I534" i="155"/>
  <c r="I533" i="155"/>
  <c r="I532" i="155"/>
  <c r="I531" i="155"/>
  <c r="I530" i="155"/>
  <c r="I529" i="155"/>
  <c r="I528" i="155"/>
  <c r="I527" i="155"/>
  <c r="I526" i="155"/>
  <c r="I525" i="155"/>
  <c r="I524" i="155"/>
  <c r="I523" i="155"/>
  <c r="I522" i="155"/>
  <c r="I521" i="155"/>
  <c r="I520" i="155"/>
  <c r="I519" i="155"/>
  <c r="I518" i="155"/>
  <c r="I517" i="155"/>
  <c r="I516" i="155"/>
  <c r="I515" i="155"/>
  <c r="I514" i="155"/>
  <c r="I513" i="155"/>
  <c r="I512" i="155"/>
  <c r="I511" i="155"/>
  <c r="I510" i="155"/>
  <c r="I509" i="155"/>
  <c r="I508" i="155"/>
  <c r="I507" i="155"/>
  <c r="I506" i="155"/>
  <c r="I505" i="155"/>
  <c r="I504" i="155"/>
  <c r="I503" i="155"/>
  <c r="I502" i="155"/>
  <c r="I501" i="155"/>
  <c r="I500" i="155"/>
  <c r="I499" i="155"/>
  <c r="I498" i="155"/>
  <c r="I497" i="155"/>
  <c r="I496" i="155"/>
  <c r="I495" i="155"/>
  <c r="I494" i="155"/>
  <c r="I493" i="155"/>
  <c r="I492" i="155"/>
  <c r="I491" i="155"/>
  <c r="I490" i="155"/>
  <c r="I489" i="155"/>
  <c r="I488" i="155"/>
  <c r="I487" i="155"/>
  <c r="I486" i="155"/>
  <c r="I485" i="155"/>
  <c r="I484" i="155"/>
  <c r="I483" i="155"/>
  <c r="I482" i="155"/>
  <c r="I481" i="155"/>
  <c r="I480" i="155"/>
  <c r="I479" i="155"/>
  <c r="I478" i="155"/>
  <c r="I477" i="155"/>
  <c r="I476" i="155"/>
  <c r="I475" i="155"/>
  <c r="I474" i="155"/>
  <c r="I473" i="155"/>
  <c r="I472" i="155"/>
  <c r="I471" i="155"/>
  <c r="I470" i="155"/>
  <c r="I469" i="155"/>
  <c r="I468" i="155"/>
  <c r="I467" i="155"/>
  <c r="I466" i="155"/>
  <c r="I465" i="155"/>
  <c r="I464" i="155"/>
  <c r="I463" i="155"/>
  <c r="I462" i="155"/>
  <c r="I461" i="155"/>
  <c r="I460" i="155"/>
  <c r="I459" i="155"/>
  <c r="I458" i="155"/>
  <c r="I457" i="155"/>
  <c r="I456" i="155"/>
  <c r="I455" i="155"/>
  <c r="I454" i="155"/>
  <c r="I453" i="155"/>
  <c r="I452" i="155"/>
  <c r="I451" i="155"/>
  <c r="I450" i="155"/>
  <c r="I449" i="155"/>
  <c r="I448" i="155"/>
  <c r="I447" i="155"/>
  <c r="I446" i="155"/>
  <c r="I445" i="155"/>
  <c r="I444" i="155"/>
  <c r="I443" i="155"/>
  <c r="I442" i="155"/>
  <c r="I441" i="155"/>
  <c r="I440" i="155"/>
  <c r="I439" i="155"/>
  <c r="I438" i="155"/>
  <c r="I437" i="155"/>
  <c r="I436" i="155"/>
  <c r="I435" i="155"/>
  <c r="I434" i="155"/>
  <c r="I433" i="155"/>
  <c r="I432" i="155"/>
  <c r="I431" i="155"/>
  <c r="I430" i="155"/>
  <c r="I429" i="155"/>
  <c r="I428" i="155"/>
  <c r="I427" i="155"/>
  <c r="I426" i="155"/>
  <c r="I425" i="155"/>
  <c r="I424" i="155"/>
  <c r="I423" i="155"/>
  <c r="I422" i="155"/>
  <c r="I421" i="155"/>
  <c r="I420" i="155"/>
  <c r="I419" i="155"/>
  <c r="I418" i="155"/>
  <c r="I417" i="155"/>
  <c r="I416" i="155"/>
  <c r="I415" i="155"/>
  <c r="I414" i="155"/>
  <c r="I413" i="155"/>
  <c r="I412" i="155"/>
  <c r="I411" i="155"/>
  <c r="I410" i="155"/>
  <c r="I409" i="155"/>
  <c r="I408" i="155"/>
  <c r="I407" i="155"/>
  <c r="I406" i="155"/>
  <c r="I405" i="155"/>
  <c r="I404" i="155"/>
  <c r="I403" i="155"/>
  <c r="I402" i="155"/>
  <c r="I401" i="155"/>
  <c r="I400" i="155"/>
  <c r="I399" i="155"/>
  <c r="I398" i="155"/>
  <c r="I397" i="155"/>
  <c r="I396" i="155"/>
  <c r="I395" i="155"/>
  <c r="I394" i="155"/>
  <c r="I393" i="155"/>
  <c r="I392" i="155"/>
  <c r="I391" i="155"/>
  <c r="I390" i="155"/>
  <c r="I389" i="155"/>
  <c r="I388" i="155"/>
  <c r="I387" i="155"/>
  <c r="I386" i="155"/>
  <c r="I385" i="155"/>
  <c r="I384" i="155"/>
  <c r="I383" i="155"/>
  <c r="I382" i="155"/>
  <c r="I381" i="155"/>
  <c r="I380" i="155"/>
  <c r="I379" i="155"/>
  <c r="I378" i="155"/>
  <c r="I377" i="155"/>
  <c r="I376" i="155"/>
  <c r="I375" i="155"/>
  <c r="I374" i="155"/>
  <c r="I373" i="155"/>
  <c r="I372" i="155"/>
  <c r="I371" i="155"/>
  <c r="I370" i="155"/>
  <c r="I369" i="155"/>
  <c r="I368" i="155"/>
  <c r="I367" i="155"/>
  <c r="I366" i="155"/>
  <c r="I365" i="155"/>
  <c r="I364" i="155"/>
  <c r="I363" i="155"/>
  <c r="I362" i="155"/>
  <c r="I361" i="155"/>
  <c r="I360" i="155"/>
  <c r="I359" i="155"/>
  <c r="I358" i="155"/>
  <c r="I357" i="155"/>
  <c r="I356" i="155"/>
  <c r="I355" i="155"/>
  <c r="I354" i="155"/>
  <c r="I353" i="155"/>
  <c r="I352" i="155"/>
  <c r="I351" i="155"/>
  <c r="I350" i="155"/>
  <c r="I349" i="155"/>
  <c r="I348" i="155"/>
  <c r="I347" i="155"/>
  <c r="I346" i="155"/>
  <c r="I345" i="155"/>
  <c r="I344" i="155"/>
  <c r="I343" i="155"/>
  <c r="I342" i="155"/>
  <c r="I341" i="155"/>
  <c r="I340" i="155"/>
  <c r="I339" i="155"/>
  <c r="I338" i="155"/>
  <c r="I337" i="155"/>
  <c r="I336" i="155"/>
  <c r="I335" i="155"/>
  <c r="I334" i="155"/>
  <c r="I333" i="155"/>
  <c r="I332" i="155"/>
  <c r="I331" i="155"/>
  <c r="I330" i="155"/>
  <c r="I329" i="155"/>
  <c r="I328" i="155"/>
  <c r="I327" i="155"/>
  <c r="I326" i="155"/>
  <c r="I325" i="155"/>
  <c r="I324" i="155"/>
  <c r="I323" i="155"/>
  <c r="I322" i="155"/>
  <c r="I321" i="155"/>
  <c r="I320" i="155"/>
  <c r="I319" i="155"/>
  <c r="I318" i="155"/>
  <c r="I317" i="155"/>
  <c r="I316" i="155"/>
  <c r="I315" i="155"/>
  <c r="I314" i="155"/>
  <c r="I313" i="155"/>
  <c r="I312" i="155"/>
  <c r="I311" i="155"/>
  <c r="I310" i="155"/>
  <c r="I309" i="155"/>
  <c r="I308" i="155"/>
  <c r="I307" i="155"/>
  <c r="I306" i="155"/>
  <c r="I305" i="155"/>
  <c r="I304" i="155"/>
  <c r="I303" i="155"/>
  <c r="I302" i="155"/>
  <c r="I301" i="155"/>
  <c r="I300" i="155"/>
  <c r="I299" i="155"/>
  <c r="I298" i="155"/>
  <c r="I297" i="155"/>
  <c r="I296" i="155"/>
  <c r="I295" i="155"/>
  <c r="I294" i="155"/>
  <c r="I293" i="155"/>
  <c r="I292" i="155"/>
  <c r="I291" i="155"/>
  <c r="I290" i="155"/>
  <c r="I289" i="155"/>
  <c r="I288" i="155"/>
  <c r="I287" i="155"/>
  <c r="I286" i="155"/>
  <c r="I285" i="155"/>
  <c r="I284" i="155"/>
  <c r="I283" i="155"/>
  <c r="I282" i="155"/>
  <c r="I281" i="155"/>
  <c r="I280" i="155"/>
  <c r="I279" i="155"/>
  <c r="I278" i="155"/>
  <c r="I277" i="155"/>
  <c r="I276" i="155"/>
  <c r="I275" i="155"/>
  <c r="I274" i="155"/>
  <c r="I273" i="155"/>
  <c r="I272" i="155"/>
  <c r="I271" i="155"/>
  <c r="I270" i="155"/>
  <c r="I269" i="155"/>
  <c r="I268" i="155"/>
  <c r="I267" i="155"/>
  <c r="I266" i="155"/>
  <c r="I265" i="155"/>
  <c r="I264" i="155"/>
  <c r="I263" i="155"/>
  <c r="I262" i="155"/>
  <c r="I261" i="155"/>
  <c r="I260" i="155"/>
  <c r="I259" i="155"/>
  <c r="I258" i="155"/>
  <c r="I257" i="155"/>
  <c r="I256" i="155"/>
  <c r="I255" i="155"/>
  <c r="I254" i="155"/>
  <c r="I253" i="155"/>
  <c r="I252" i="155"/>
  <c r="I251" i="155"/>
  <c r="I250" i="155"/>
  <c r="I249" i="155"/>
  <c r="I248" i="155"/>
  <c r="I247" i="155"/>
  <c r="I246" i="155"/>
  <c r="I245" i="155"/>
  <c r="I244" i="155"/>
  <c r="I243" i="155"/>
  <c r="I242" i="155"/>
  <c r="I241" i="155"/>
  <c r="I240" i="155"/>
  <c r="I239" i="155"/>
  <c r="I238" i="155"/>
  <c r="I237" i="155"/>
  <c r="I236" i="155"/>
  <c r="I235" i="155"/>
  <c r="I234" i="155"/>
  <c r="I233" i="155"/>
  <c r="I232" i="155"/>
  <c r="I231" i="155"/>
  <c r="I230" i="155"/>
  <c r="I229" i="155"/>
  <c r="I228" i="155"/>
  <c r="I227" i="155"/>
  <c r="I226" i="155"/>
  <c r="I225" i="155"/>
  <c r="I224" i="155"/>
  <c r="I223" i="155"/>
  <c r="I222" i="155"/>
  <c r="I221" i="155"/>
  <c r="I220" i="155"/>
  <c r="I219" i="155"/>
  <c r="I218" i="155"/>
  <c r="I217" i="155"/>
  <c r="I216" i="155"/>
  <c r="I215" i="155"/>
  <c r="I214" i="155"/>
  <c r="I213" i="155"/>
  <c r="I212" i="155"/>
  <c r="I211" i="155"/>
  <c r="I210" i="155"/>
  <c r="I209" i="155"/>
  <c r="I208" i="155"/>
  <c r="I207" i="155"/>
  <c r="I206" i="155"/>
  <c r="I205" i="155"/>
  <c r="I204" i="155"/>
  <c r="I203" i="155"/>
  <c r="I202" i="155"/>
  <c r="I201" i="155"/>
  <c r="I200" i="155"/>
  <c r="I199" i="155"/>
  <c r="I198" i="155"/>
  <c r="I197" i="155"/>
  <c r="I196" i="155"/>
  <c r="I194" i="155"/>
  <c r="I193" i="155"/>
  <c r="I192" i="155"/>
  <c r="I191" i="155"/>
  <c r="I190" i="155"/>
  <c r="I189" i="155"/>
  <c r="I188" i="155"/>
  <c r="I187" i="155"/>
  <c r="I186" i="155"/>
  <c r="I185" i="155"/>
  <c r="I184" i="155"/>
  <c r="I183" i="155"/>
  <c r="I182" i="155"/>
  <c r="I181" i="155"/>
  <c r="I180" i="155"/>
  <c r="I179" i="155"/>
  <c r="I178" i="155"/>
  <c r="I177" i="155"/>
  <c r="I176" i="155"/>
  <c r="I175" i="155"/>
  <c r="I174" i="155"/>
  <c r="I173" i="155"/>
  <c r="I172" i="155"/>
  <c r="I171" i="155"/>
  <c r="I170" i="155"/>
  <c r="I169" i="155"/>
  <c r="I168" i="155"/>
  <c r="I167" i="155"/>
  <c r="I166" i="155"/>
  <c r="I165" i="155"/>
  <c r="I164" i="155"/>
  <c r="I163" i="155"/>
  <c r="I162" i="155"/>
  <c r="I161" i="155"/>
  <c r="I160" i="155"/>
  <c r="I159" i="155"/>
  <c r="I158" i="155"/>
  <c r="I157" i="155"/>
  <c r="I156" i="155"/>
  <c r="I155" i="155"/>
  <c r="I154" i="155"/>
  <c r="I152" i="155"/>
  <c r="I151" i="155"/>
  <c r="I150" i="155"/>
  <c r="I149" i="155"/>
  <c r="I148" i="155"/>
  <c r="I147" i="155"/>
  <c r="I146" i="155"/>
  <c r="I145" i="155"/>
  <c r="I144" i="155"/>
  <c r="I143" i="155"/>
  <c r="I142" i="155"/>
  <c r="I141" i="155"/>
  <c r="I140" i="155"/>
  <c r="I139" i="155"/>
  <c r="I138" i="155"/>
  <c r="I137" i="155"/>
  <c r="I136" i="155"/>
  <c r="I135" i="155"/>
  <c r="I134" i="155"/>
  <c r="I133" i="155"/>
  <c r="I132" i="155"/>
  <c r="I131" i="155"/>
  <c r="I130" i="155"/>
  <c r="I129" i="155"/>
  <c r="I128" i="155"/>
  <c r="I127" i="155"/>
  <c r="I126" i="155"/>
  <c r="I125" i="155"/>
  <c r="I124" i="155"/>
  <c r="I123" i="155"/>
  <c r="I122" i="155"/>
  <c r="I121" i="155"/>
  <c r="I120" i="155"/>
  <c r="I119" i="155"/>
  <c r="I118" i="155"/>
  <c r="I117" i="155"/>
  <c r="I116" i="155"/>
  <c r="I115" i="155"/>
  <c r="I114" i="155"/>
  <c r="I113" i="155"/>
  <c r="I112" i="155"/>
  <c r="I111" i="155"/>
  <c r="I110" i="155"/>
  <c r="I109" i="155"/>
  <c r="I108" i="155"/>
  <c r="I107" i="155"/>
  <c r="I106" i="155"/>
  <c r="I105" i="155"/>
  <c r="I104" i="155"/>
  <c r="I103" i="155"/>
  <c r="I102" i="155"/>
  <c r="I101" i="155"/>
  <c r="I100" i="155"/>
  <c r="I99" i="155"/>
  <c r="I98" i="155"/>
  <c r="I97" i="155"/>
  <c r="I96" i="155"/>
  <c r="I95" i="155"/>
  <c r="I94" i="155"/>
  <c r="I93" i="155"/>
  <c r="I92" i="155"/>
  <c r="I91" i="155"/>
  <c r="I90" i="155"/>
  <c r="I89" i="155"/>
  <c r="I88" i="155"/>
  <c r="I87" i="155"/>
  <c r="I86" i="155"/>
  <c r="I85" i="155"/>
  <c r="I84" i="155"/>
  <c r="I83" i="155"/>
  <c r="I82" i="155"/>
  <c r="I81" i="155"/>
  <c r="I80" i="155"/>
  <c r="I79" i="155"/>
  <c r="I78" i="155"/>
  <c r="I77" i="155"/>
  <c r="I76" i="155"/>
  <c r="I75" i="155"/>
  <c r="I74" i="155"/>
  <c r="I73" i="155"/>
  <c r="I72" i="155"/>
  <c r="I71" i="155"/>
  <c r="I70" i="155"/>
  <c r="I69" i="155"/>
  <c r="I68" i="155"/>
  <c r="I67" i="155"/>
  <c r="I66" i="155"/>
  <c r="I65" i="155"/>
  <c r="I64" i="155"/>
  <c r="I63" i="155"/>
  <c r="I62" i="155"/>
  <c r="I61" i="155"/>
  <c r="I60" i="155"/>
  <c r="I59" i="155"/>
  <c r="I58" i="155"/>
  <c r="I57" i="155"/>
  <c r="I56" i="155"/>
  <c r="I55" i="155"/>
  <c r="I54" i="155"/>
  <c r="I53" i="155"/>
  <c r="I52" i="155"/>
  <c r="I51" i="155"/>
  <c r="I50" i="155"/>
  <c r="I49" i="155"/>
  <c r="I48" i="155"/>
  <c r="I47" i="155"/>
  <c r="I46" i="155"/>
  <c r="I45" i="155"/>
  <c r="I44" i="155"/>
  <c r="I43" i="155"/>
  <c r="I42" i="155"/>
  <c r="I41" i="155"/>
  <c r="I40" i="155"/>
  <c r="I39" i="155"/>
  <c r="I38" i="155"/>
  <c r="I37" i="155"/>
  <c r="I36" i="155"/>
  <c r="I35" i="155"/>
  <c r="I34" i="155"/>
  <c r="I33" i="155"/>
  <c r="I32" i="155"/>
  <c r="I31" i="155"/>
  <c r="I30" i="155"/>
  <c r="I29" i="155"/>
  <c r="I28" i="155"/>
  <c r="I27" i="155"/>
  <c r="I26" i="155"/>
  <c r="I25" i="155"/>
  <c r="I24" i="155"/>
  <c r="I23" i="155"/>
  <c r="I22" i="155"/>
  <c r="I21" i="155"/>
  <c r="I20" i="155"/>
  <c r="I19" i="155"/>
  <c r="I18" i="155"/>
  <c r="I17" i="155"/>
  <c r="I16" i="155"/>
  <c r="I15" i="155"/>
  <c r="I14" i="155"/>
  <c r="I13" i="155"/>
  <c r="I12" i="155"/>
  <c r="I11" i="155"/>
  <c r="I10" i="155"/>
  <c r="I9" i="155"/>
  <c r="I8" i="155"/>
  <c r="I7" i="155"/>
  <c r="I6" i="155"/>
  <c r="F77" i="177" l="1"/>
  <c r="G77" i="177"/>
  <c r="F78" i="177"/>
  <c r="G78" i="177"/>
  <c r="F79" i="177"/>
  <c r="G79" i="177"/>
  <c r="F80" i="177"/>
  <c r="G80" i="177"/>
  <c r="F81" i="177"/>
  <c r="G81" i="177"/>
  <c r="F82" i="177"/>
  <c r="G82" i="177"/>
  <c r="F83" i="177"/>
  <c r="G83" i="177"/>
  <c r="F84" i="177"/>
  <c r="G84" i="177"/>
  <c r="F85" i="177"/>
  <c r="G85" i="177"/>
  <c r="F86" i="177"/>
  <c r="G86" i="177"/>
  <c r="F87" i="177"/>
  <c r="G87" i="177"/>
  <c r="F88" i="177"/>
  <c r="G88" i="177"/>
  <c r="F89" i="177"/>
  <c r="G89" i="177"/>
  <c r="F90" i="177"/>
  <c r="G90" i="177"/>
  <c r="F91" i="177"/>
  <c r="G91" i="177"/>
  <c r="F92" i="177"/>
  <c r="G92" i="177"/>
  <c r="F93" i="177"/>
  <c r="G93" i="17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G76" i="177"/>
  <c r="F76" i="177"/>
  <c r="C80" i="7" s="1"/>
  <c r="G75" i="177"/>
  <c r="F75" i="177"/>
  <c r="C79" i="7" s="1"/>
  <c r="G74" i="177"/>
  <c r="F74" i="177"/>
  <c r="C78" i="7" s="1"/>
  <c r="G73" i="177"/>
  <c r="F73" i="177"/>
  <c r="C77" i="7" s="1"/>
  <c r="G72" i="177"/>
  <c r="F72" i="177"/>
  <c r="C76" i="7" s="1"/>
  <c r="G71" i="177"/>
  <c r="F71" i="177"/>
  <c r="C75" i="7" s="1"/>
  <c r="G70" i="177"/>
  <c r="F70" i="177"/>
  <c r="C74" i="7" s="1"/>
  <c r="G69" i="177"/>
  <c r="F69" i="177"/>
  <c r="C73" i="7" s="1"/>
  <c r="G68" i="177"/>
  <c r="F68" i="177"/>
  <c r="C72" i="7" s="1"/>
  <c r="G67" i="177"/>
  <c r="F67" i="177"/>
  <c r="C71" i="7" s="1"/>
  <c r="G66" i="177"/>
  <c r="F66" i="177"/>
  <c r="C70" i="7" s="1"/>
  <c r="G65" i="177"/>
  <c r="F65" i="177"/>
  <c r="C69" i="7" s="1"/>
  <c r="G64" i="177"/>
  <c r="F64" i="177"/>
  <c r="C68" i="7" s="1"/>
  <c r="G63" i="177"/>
  <c r="F63" i="177"/>
  <c r="C67" i="7" s="1"/>
  <c r="G62" i="177"/>
  <c r="F62" i="177"/>
  <c r="C66" i="7" s="1"/>
  <c r="G61" i="177"/>
  <c r="F61" i="177"/>
  <c r="C65" i="7" s="1"/>
  <c r="G60" i="177"/>
  <c r="F60" i="177"/>
  <c r="C64" i="7" s="1"/>
  <c r="G59" i="177"/>
  <c r="F59" i="177"/>
  <c r="C63" i="7" s="1"/>
  <c r="G58" i="177"/>
  <c r="F58" i="177"/>
  <c r="C62" i="7" s="1"/>
  <c r="G57" i="177"/>
  <c r="F57" i="177"/>
  <c r="C61" i="7" s="1"/>
  <c r="G56" i="177"/>
  <c r="F56" i="177"/>
  <c r="C60" i="7" s="1"/>
  <c r="G55" i="177"/>
  <c r="F55" i="177"/>
  <c r="C59" i="7" s="1"/>
  <c r="G54" i="177"/>
  <c r="F54" i="177"/>
  <c r="C58" i="7" s="1"/>
  <c r="G53" i="177"/>
  <c r="F53" i="177"/>
  <c r="C57" i="7" s="1"/>
  <c r="G52" i="177"/>
  <c r="F52" i="177"/>
  <c r="C56" i="7" s="1"/>
  <c r="G51" i="177"/>
  <c r="F51" i="177"/>
  <c r="C55" i="7" s="1"/>
  <c r="G50" i="177"/>
  <c r="F50" i="177"/>
  <c r="G49" i="177"/>
  <c r="F49" i="177"/>
  <c r="C54" i="7" s="1"/>
  <c r="G48" i="177"/>
  <c r="F48" i="177"/>
  <c r="C53" i="7" s="1"/>
  <c r="G47" i="177"/>
  <c r="F47" i="177"/>
  <c r="C52" i="7" s="1"/>
  <c r="G46" i="177"/>
  <c r="F46" i="177"/>
  <c r="C51" i="7" s="1"/>
  <c r="G45" i="177"/>
  <c r="F45" i="177"/>
  <c r="C50" i="7" s="1"/>
  <c r="G44" i="177"/>
  <c r="F44" i="177"/>
  <c r="C49" i="7" s="1"/>
  <c r="G43" i="177"/>
  <c r="F43" i="177"/>
  <c r="C48" i="7" s="1"/>
  <c r="G42" i="177"/>
  <c r="F42" i="177"/>
  <c r="C47" i="7" s="1"/>
  <c r="G41" i="177"/>
  <c r="F41" i="177"/>
  <c r="C46" i="7" s="1"/>
  <c r="G40" i="177"/>
  <c r="F40" i="177"/>
  <c r="C45" i="7" s="1"/>
  <c r="G39" i="177"/>
  <c r="F39" i="177"/>
  <c r="C44" i="7" s="1"/>
  <c r="G38" i="177"/>
  <c r="F38" i="177"/>
  <c r="C43" i="7" s="1"/>
  <c r="G37" i="177"/>
  <c r="F37" i="177"/>
  <c r="C42" i="7" s="1"/>
  <c r="G36" i="177"/>
  <c r="F36" i="177"/>
  <c r="C41" i="7" s="1"/>
  <c r="G35" i="177"/>
  <c r="F35" i="177"/>
  <c r="C40" i="7" s="1"/>
  <c r="G34" i="177"/>
  <c r="F34" i="177"/>
  <c r="C39" i="7" s="1"/>
  <c r="G33" i="177"/>
  <c r="F33" i="177"/>
  <c r="C38" i="7" s="1"/>
  <c r="G32" i="177"/>
  <c r="F32" i="177"/>
  <c r="C37" i="7" s="1"/>
  <c r="G31" i="177"/>
  <c r="F31" i="177"/>
  <c r="C36" i="7" s="1"/>
  <c r="G30" i="177"/>
  <c r="F30" i="177"/>
  <c r="C35" i="7" s="1"/>
  <c r="G29" i="177"/>
  <c r="F29" i="177"/>
  <c r="C34" i="7" s="1"/>
  <c r="G28" i="177"/>
  <c r="F28" i="177"/>
  <c r="C33" i="7" s="1"/>
  <c r="G27" i="177"/>
  <c r="F27" i="177"/>
  <c r="C32" i="7" s="1"/>
  <c r="G26" i="177"/>
  <c r="F26" i="177"/>
  <c r="C31" i="7" s="1"/>
  <c r="G25" i="177"/>
  <c r="F25" i="177"/>
  <c r="C30" i="7" s="1"/>
  <c r="G24" i="177"/>
  <c r="F24" i="177"/>
  <c r="C29" i="7" s="1"/>
  <c r="G23" i="177"/>
  <c r="F23" i="177"/>
  <c r="C28" i="7" s="1"/>
  <c r="G22" i="177"/>
  <c r="F22" i="177"/>
  <c r="C27" i="7" s="1"/>
  <c r="G21" i="177"/>
  <c r="F21" i="177"/>
  <c r="C26" i="7" s="1"/>
  <c r="G20" i="177"/>
  <c r="F20" i="177"/>
  <c r="C25" i="7" s="1"/>
  <c r="G19" i="177"/>
  <c r="F19" i="177"/>
  <c r="C24" i="7" s="1"/>
  <c r="G18" i="177"/>
  <c r="F18" i="177"/>
  <c r="C23" i="7" s="1"/>
  <c r="G17" i="177"/>
  <c r="F17" i="177"/>
  <c r="C22" i="7" s="1"/>
  <c r="G16" i="177"/>
  <c r="F16" i="177"/>
  <c r="C21" i="7" s="1"/>
  <c r="G15" i="177"/>
  <c r="F15" i="177"/>
  <c r="C20" i="7" s="1"/>
  <c r="G14" i="177"/>
  <c r="F14" i="177"/>
  <c r="C19" i="7" s="1"/>
  <c r="G13" i="177"/>
  <c r="F13" i="177"/>
  <c r="C18" i="7" s="1"/>
  <c r="G12" i="177"/>
  <c r="F12" i="177"/>
  <c r="C17" i="7" s="1"/>
  <c r="H195" i="155" s="1"/>
  <c r="G11" i="177"/>
  <c r="F11" i="177"/>
  <c r="C16" i="7" s="1"/>
  <c r="G10" i="177"/>
  <c r="F10" i="177"/>
  <c r="C15" i="7" s="1"/>
  <c r="G9" i="177"/>
  <c r="F9" i="177"/>
  <c r="C14" i="7" s="1"/>
  <c r="G8" i="177"/>
  <c r="F8" i="177"/>
  <c r="C13" i="7" s="1"/>
  <c r="G7" i="177"/>
  <c r="G6" i="177"/>
  <c r="F6" i="177"/>
  <c r="C11" i="7" s="1"/>
  <c r="G5" i="177"/>
  <c r="F5" i="177"/>
  <c r="C10" i="7" s="1"/>
  <c r="G4" i="177"/>
  <c r="F4" i="177"/>
  <c r="C9" i="7" s="1"/>
  <c r="G3" i="177"/>
  <c r="F3" i="177"/>
  <c r="C8" i="7" s="1"/>
  <c r="G2" i="177"/>
  <c r="F2" i="177"/>
  <c r="C7" i="7" s="1"/>
  <c r="H2074" i="155" l="1"/>
  <c r="H2077" i="155"/>
  <c r="H2076" i="155"/>
  <c r="H2078" i="155"/>
  <c r="H2075" i="155"/>
  <c r="A23" i="104"/>
  <c r="H1618" i="155"/>
  <c r="H1614" i="155"/>
  <c r="H1610" i="155"/>
  <c r="H1606" i="155"/>
  <c r="H1602" i="155"/>
  <c r="H1598" i="155"/>
  <c r="H1594" i="155"/>
  <c r="H1590" i="155"/>
  <c r="H1586" i="155"/>
  <c r="H1582" i="155"/>
  <c r="H1578" i="155"/>
  <c r="H1574" i="155"/>
  <c r="H1585" i="155"/>
  <c r="H1577" i="155"/>
  <c r="H1619" i="155"/>
  <c r="H1615" i="155"/>
  <c r="H1611" i="155"/>
  <c r="H1607" i="155"/>
  <c r="H1603" i="155"/>
  <c r="H1599" i="155"/>
  <c r="H1595" i="155"/>
  <c r="H1591" i="155"/>
  <c r="H1587" i="155"/>
  <c r="H1583" i="155"/>
  <c r="H1579" i="155"/>
  <c r="H1575" i="155"/>
  <c r="H1571" i="155"/>
  <c r="H1589" i="155"/>
  <c r="H1581" i="155"/>
  <c r="H1573" i="155"/>
  <c r="H1620" i="155"/>
  <c r="H1616" i="155"/>
  <c r="H1612" i="155"/>
  <c r="H1608" i="155"/>
  <c r="H1604" i="155"/>
  <c r="H1600" i="155"/>
  <c r="H1596" i="155"/>
  <c r="H1592" i="155"/>
  <c r="H1588" i="155"/>
  <c r="H1584" i="155"/>
  <c r="H1580" i="155"/>
  <c r="H1576" i="155"/>
  <c r="H1572" i="155"/>
  <c r="H1597" i="155"/>
  <c r="H1617" i="155"/>
  <c r="H1613" i="155"/>
  <c r="H1609" i="155"/>
  <c r="H1605" i="155"/>
  <c r="H1601" i="155"/>
  <c r="H1593" i="155"/>
  <c r="H830" i="155"/>
  <c r="H834" i="155"/>
  <c r="H829" i="155"/>
  <c r="H831" i="155"/>
  <c r="H835" i="155"/>
  <c r="H828" i="155"/>
  <c r="H836" i="155"/>
  <c r="H832" i="155"/>
  <c r="H833" i="155"/>
  <c r="H1120" i="155"/>
  <c r="H1143" i="155"/>
  <c r="H1119" i="155"/>
  <c r="H323" i="155"/>
  <c r="H327" i="155"/>
  <c r="H331" i="155"/>
  <c r="H335" i="155"/>
  <c r="H339" i="155"/>
  <c r="H343" i="155"/>
  <c r="H347" i="155"/>
  <c r="H351" i="155"/>
  <c r="H355" i="155"/>
  <c r="H359" i="155"/>
  <c r="H324" i="155"/>
  <c r="H328" i="155"/>
  <c r="H332" i="155"/>
  <c r="H336" i="155"/>
  <c r="H340" i="155"/>
  <c r="H344" i="155"/>
  <c r="H348" i="155"/>
  <c r="H352" i="155"/>
  <c r="H356" i="155"/>
  <c r="H360" i="155"/>
  <c r="H321" i="155"/>
  <c r="H325" i="155"/>
  <c r="H329" i="155"/>
  <c r="H333" i="155"/>
  <c r="H337" i="155"/>
  <c r="H341" i="155"/>
  <c r="H345" i="155"/>
  <c r="H349" i="155"/>
  <c r="H353" i="155"/>
  <c r="H357" i="155"/>
  <c r="H361" i="155"/>
  <c r="H322" i="155"/>
  <c r="H326" i="155"/>
  <c r="H330" i="155"/>
  <c r="H334" i="155"/>
  <c r="H338" i="155"/>
  <c r="H342" i="155"/>
  <c r="H346" i="155"/>
  <c r="H350" i="155"/>
  <c r="H354" i="155"/>
  <c r="H358" i="155"/>
  <c r="H679" i="155"/>
  <c r="H683" i="155"/>
  <c r="H687" i="155"/>
  <c r="H691" i="155"/>
  <c r="H695" i="155"/>
  <c r="H699" i="155"/>
  <c r="H680" i="155"/>
  <c r="H684" i="155"/>
  <c r="H688" i="155"/>
  <c r="H692" i="155"/>
  <c r="H696" i="155"/>
  <c r="H700" i="155"/>
  <c r="H681" i="155"/>
  <c r="H685" i="155"/>
  <c r="H689" i="155"/>
  <c r="H693" i="155"/>
  <c r="H697" i="155"/>
  <c r="H682" i="155"/>
  <c r="H686" i="155"/>
  <c r="H690" i="155"/>
  <c r="H694" i="155"/>
  <c r="H698" i="155"/>
  <c r="H933" i="155"/>
  <c r="H937" i="155"/>
  <c r="H941" i="155"/>
  <c r="H945" i="155"/>
  <c r="H949" i="155"/>
  <c r="H953" i="155"/>
  <c r="H957" i="155"/>
  <c r="H961" i="155"/>
  <c r="H965" i="155"/>
  <c r="H969" i="155"/>
  <c r="H973" i="155"/>
  <c r="H977" i="155"/>
  <c r="H981" i="155"/>
  <c r="H985" i="155"/>
  <c r="H989" i="155"/>
  <c r="H993" i="155"/>
  <c r="H997" i="155"/>
  <c r="H1001" i="155"/>
  <c r="H1005" i="155"/>
  <c r="H1009" i="155"/>
  <c r="H1013" i="155"/>
  <c r="H1017" i="155"/>
  <c r="H1021" i="155"/>
  <c r="H1025" i="155"/>
  <c r="H1029" i="155"/>
  <c r="H1033" i="155"/>
  <c r="H1037" i="155"/>
  <c r="H1041" i="155"/>
  <c r="H1045" i="155"/>
  <c r="H1049" i="155"/>
  <c r="H1053" i="155"/>
  <c r="H1057" i="155"/>
  <c r="H1061" i="155"/>
  <c r="H1065" i="155"/>
  <c r="H1069" i="155"/>
  <c r="H1073" i="155"/>
  <c r="H1077" i="155"/>
  <c r="H1081" i="155"/>
  <c r="H1085" i="155"/>
  <c r="H1089" i="155"/>
  <c r="H1093" i="155"/>
  <c r="H1097" i="155"/>
  <c r="H1101" i="155"/>
  <c r="H1105" i="155"/>
  <c r="H1109" i="155"/>
  <c r="H934" i="155"/>
  <c r="H938" i="155"/>
  <c r="H942" i="155"/>
  <c r="H946" i="155"/>
  <c r="H950" i="155"/>
  <c r="H954" i="155"/>
  <c r="H958" i="155"/>
  <c r="H962" i="155"/>
  <c r="H966" i="155"/>
  <c r="H970" i="155"/>
  <c r="H974" i="155"/>
  <c r="H978" i="155"/>
  <c r="H982" i="155"/>
  <c r="H986" i="155"/>
  <c r="H990" i="155"/>
  <c r="H994" i="155"/>
  <c r="H998" i="155"/>
  <c r="H1002" i="155"/>
  <c r="H1006" i="155"/>
  <c r="H1010" i="155"/>
  <c r="H1014" i="155"/>
  <c r="H1018" i="155"/>
  <c r="H1022" i="155"/>
  <c r="H1026" i="155"/>
  <c r="H1030" i="155"/>
  <c r="H1034" i="155"/>
  <c r="H1038" i="155"/>
  <c r="H1042" i="155"/>
  <c r="H1046" i="155"/>
  <c r="H1050" i="155"/>
  <c r="H1054" i="155"/>
  <c r="H1058" i="155"/>
  <c r="H1062" i="155"/>
  <c r="H1066" i="155"/>
  <c r="H1070" i="155"/>
  <c r="H1074" i="155"/>
  <c r="H1078" i="155"/>
  <c r="H1082" i="155"/>
  <c r="H1086" i="155"/>
  <c r="H1090" i="155"/>
  <c r="H1094" i="155"/>
  <c r="H1098" i="155"/>
  <c r="H1102" i="155"/>
  <c r="H1106" i="155"/>
  <c r="H1110" i="155"/>
  <c r="H935" i="155"/>
  <c r="H939" i="155"/>
  <c r="H943" i="155"/>
  <c r="H947" i="155"/>
  <c r="H951" i="155"/>
  <c r="H955" i="155"/>
  <c r="H959" i="155"/>
  <c r="H963" i="155"/>
  <c r="H967" i="155"/>
  <c r="H971" i="155"/>
  <c r="H975" i="155"/>
  <c r="H979" i="155"/>
  <c r="H983" i="155"/>
  <c r="H987" i="155"/>
  <c r="H991" i="155"/>
  <c r="H995" i="155"/>
  <c r="H999" i="155"/>
  <c r="H1003" i="155"/>
  <c r="H1007" i="155"/>
  <c r="H1011" i="155"/>
  <c r="H1015" i="155"/>
  <c r="H1019" i="155"/>
  <c r="H1023" i="155"/>
  <c r="H1027" i="155"/>
  <c r="H1031" i="155"/>
  <c r="H1035" i="155"/>
  <c r="H1039" i="155"/>
  <c r="H1043" i="155"/>
  <c r="H1047" i="155"/>
  <c r="H1051" i="155"/>
  <c r="H1055" i="155"/>
  <c r="H1059" i="155"/>
  <c r="H1063" i="155"/>
  <c r="H1067" i="155"/>
  <c r="H1071" i="155"/>
  <c r="H1075" i="155"/>
  <c r="H1079" i="155"/>
  <c r="H1083" i="155"/>
  <c r="H1087" i="155"/>
  <c r="H1091" i="155"/>
  <c r="H1095" i="155"/>
  <c r="H1099" i="155"/>
  <c r="H1103" i="155"/>
  <c r="H1107" i="155"/>
  <c r="H1111" i="155"/>
  <c r="H932" i="155"/>
  <c r="H936" i="155"/>
  <c r="H940" i="155"/>
  <c r="H944" i="155"/>
  <c r="H948" i="155"/>
  <c r="H952" i="155"/>
  <c r="H956" i="155"/>
  <c r="H960" i="155"/>
  <c r="H964" i="155"/>
  <c r="H968" i="155"/>
  <c r="H972" i="155"/>
  <c r="H976" i="155"/>
  <c r="H980" i="155"/>
  <c r="H984" i="155"/>
  <c r="H988" i="155"/>
  <c r="H992" i="155"/>
  <c r="H996" i="155"/>
  <c r="H1000" i="155"/>
  <c r="H1004" i="155"/>
  <c r="H1008" i="155"/>
  <c r="H1012" i="155"/>
  <c r="H1016" i="155"/>
  <c r="H1020" i="155"/>
  <c r="H1024" i="155"/>
  <c r="H1028" i="155"/>
  <c r="H1032" i="155"/>
  <c r="H1036" i="155"/>
  <c r="H1040" i="155"/>
  <c r="H1044" i="155"/>
  <c r="H1048" i="155"/>
  <c r="H1052" i="155"/>
  <c r="H1056" i="155"/>
  <c r="H1060" i="155"/>
  <c r="H1064" i="155"/>
  <c r="H1068" i="155"/>
  <c r="H1072" i="155"/>
  <c r="H1076" i="155"/>
  <c r="H1080" i="155"/>
  <c r="H1084" i="155"/>
  <c r="H1088" i="155"/>
  <c r="H1092" i="155"/>
  <c r="H1096" i="155"/>
  <c r="H1100" i="155"/>
  <c r="H1104" i="155"/>
  <c r="H1108" i="155"/>
  <c r="H1117" i="155"/>
  <c r="H1114" i="155"/>
  <c r="H1118" i="155"/>
  <c r="H1115" i="155"/>
  <c r="H1116" i="155"/>
  <c r="H1533" i="155"/>
  <c r="H1537" i="155"/>
  <c r="H1541" i="155"/>
  <c r="H1545" i="155"/>
  <c r="H1549" i="155"/>
  <c r="H1553" i="155"/>
  <c r="H1557" i="155"/>
  <c r="H1561" i="155"/>
  <c r="H1565" i="155"/>
  <c r="H1569" i="155"/>
  <c r="H1534" i="155"/>
  <c r="H1538" i="155"/>
  <c r="H1542" i="155"/>
  <c r="H1546" i="155"/>
  <c r="H1550" i="155"/>
  <c r="H1554" i="155"/>
  <c r="H1558" i="155"/>
  <c r="H1562" i="155"/>
  <c r="H1566" i="155"/>
  <c r="H1570" i="155"/>
  <c r="H1535" i="155"/>
  <c r="H1539" i="155"/>
  <c r="H1543" i="155"/>
  <c r="H1547" i="155"/>
  <c r="H1551" i="155"/>
  <c r="H1555" i="155"/>
  <c r="H1559" i="155"/>
  <c r="H1563" i="155"/>
  <c r="H1567" i="155"/>
  <c r="H1532" i="155"/>
  <c r="H1536" i="155"/>
  <c r="H1540" i="155"/>
  <c r="H1544" i="155"/>
  <c r="H1548" i="155"/>
  <c r="H1552" i="155"/>
  <c r="H1556" i="155"/>
  <c r="H1560" i="155"/>
  <c r="H1564" i="155"/>
  <c r="H1568" i="155"/>
  <c r="H2810" i="155"/>
  <c r="H2818" i="155"/>
  <c r="H2811" i="155"/>
  <c r="H2819" i="155"/>
  <c r="H2812" i="155"/>
  <c r="H2820" i="155"/>
  <c r="H2813" i="155"/>
  <c r="H2821" i="155"/>
  <c r="H2808" i="155"/>
  <c r="H2814" i="155"/>
  <c r="H2822" i="155"/>
  <c r="H2815" i="155"/>
  <c r="H2823" i="155"/>
  <c r="H2809" i="155"/>
  <c r="H2816" i="155"/>
  <c r="H2824" i="155"/>
  <c r="H2817" i="155"/>
  <c r="H2825" i="155"/>
  <c r="H1129" i="155"/>
  <c r="H1133" i="155"/>
  <c r="H1137" i="155"/>
  <c r="H1130" i="155"/>
  <c r="H1134" i="155"/>
  <c r="H1138" i="155"/>
  <c r="H1131" i="155"/>
  <c r="H1135" i="155"/>
  <c r="H1139" i="155"/>
  <c r="H1132" i="155"/>
  <c r="H1136" i="155"/>
  <c r="H1140" i="155"/>
  <c r="H2467" i="155"/>
  <c r="H2471" i="155"/>
  <c r="H2475" i="155"/>
  <c r="H2479" i="155"/>
  <c r="H2468" i="155"/>
  <c r="H2472" i="155"/>
  <c r="H2476" i="155"/>
  <c r="H2480" i="155"/>
  <c r="H2465" i="155"/>
  <c r="H2469" i="155"/>
  <c r="H2473" i="155"/>
  <c r="H2477" i="155"/>
  <c r="H2466" i="155"/>
  <c r="H2470" i="155"/>
  <c r="H2474" i="155"/>
  <c r="H2478" i="155"/>
  <c r="H37" i="155"/>
  <c r="H41" i="155"/>
  <c r="H34" i="155"/>
  <c r="H38" i="155"/>
  <c r="H42" i="155"/>
  <c r="H35" i="155"/>
  <c r="H39" i="155"/>
  <c r="H43" i="155"/>
  <c r="H36" i="155"/>
  <c r="H40" i="155"/>
  <c r="H1141" i="155"/>
  <c r="H1142" i="155"/>
  <c r="H2154" i="155"/>
  <c r="H2158" i="155"/>
  <c r="H2162" i="155"/>
  <c r="H2166" i="155"/>
  <c r="H2170" i="155"/>
  <c r="H2174" i="155"/>
  <c r="H2178" i="155"/>
  <c r="H2182" i="155"/>
  <c r="H2155" i="155"/>
  <c r="H2159" i="155"/>
  <c r="H2163" i="155"/>
  <c r="H2167" i="155"/>
  <c r="H2171" i="155"/>
  <c r="H2175" i="155"/>
  <c r="H2179" i="155"/>
  <c r="H2183" i="155"/>
  <c r="H2156" i="155"/>
  <c r="H2160" i="155"/>
  <c r="H2164" i="155"/>
  <c r="H2168" i="155"/>
  <c r="H2172" i="155"/>
  <c r="H2176" i="155"/>
  <c r="H2180" i="155"/>
  <c r="H2153" i="155"/>
  <c r="H2157" i="155"/>
  <c r="H2161" i="155"/>
  <c r="H2165" i="155"/>
  <c r="H2169" i="155"/>
  <c r="H2173" i="155"/>
  <c r="H2177" i="155"/>
  <c r="H2181" i="155"/>
  <c r="H2711" i="155"/>
  <c r="H2715" i="155"/>
  <c r="H2719" i="155"/>
  <c r="H2723" i="155"/>
  <c r="H2727" i="155"/>
  <c r="H2731" i="155"/>
  <c r="H2735" i="155"/>
  <c r="H2739" i="155"/>
  <c r="H2743" i="155"/>
  <c r="H2747" i="155"/>
  <c r="H2751" i="155"/>
  <c r="H2755" i="155"/>
  <c r="H2759" i="155"/>
  <c r="H2763" i="155"/>
  <c r="H2767" i="155"/>
  <c r="H2771" i="155"/>
  <c r="H2775" i="155"/>
  <c r="H2778" i="155"/>
  <c r="H2782" i="155"/>
  <c r="H2786" i="155"/>
  <c r="H2790" i="155"/>
  <c r="H2794" i="155"/>
  <c r="H2798" i="155"/>
  <c r="H2802" i="155"/>
  <c r="H2806" i="155"/>
  <c r="H2712" i="155"/>
  <c r="H2716" i="155"/>
  <c r="H2720" i="155"/>
  <c r="H2724" i="155"/>
  <c r="H2728" i="155"/>
  <c r="H2732" i="155"/>
  <c r="H2736" i="155"/>
  <c r="H2740" i="155"/>
  <c r="H2744" i="155"/>
  <c r="H2748" i="155"/>
  <c r="H2752" i="155"/>
  <c r="H2756" i="155"/>
  <c r="H2760" i="155"/>
  <c r="H2764" i="155"/>
  <c r="H2768" i="155"/>
  <c r="H2772" i="155"/>
  <c r="H2779" i="155"/>
  <c r="H2783" i="155"/>
  <c r="H2787" i="155"/>
  <c r="H2791" i="155"/>
  <c r="H2795" i="155"/>
  <c r="H2799" i="155"/>
  <c r="H2803" i="155"/>
  <c r="H2807" i="155"/>
  <c r="H2709" i="155"/>
  <c r="H2713" i="155"/>
  <c r="H2717" i="155"/>
  <c r="H2721" i="155"/>
  <c r="H2725" i="155"/>
  <c r="H2729" i="155"/>
  <c r="H2733" i="155"/>
  <c r="H2737" i="155"/>
  <c r="H2741" i="155"/>
  <c r="H2745" i="155"/>
  <c r="H2749" i="155"/>
  <c r="H2753" i="155"/>
  <c r="H2757" i="155"/>
  <c r="H2761" i="155"/>
  <c r="H2765" i="155"/>
  <c r="H2769" i="155"/>
  <c r="H2773" i="155"/>
  <c r="H2776" i="155"/>
  <c r="H2780" i="155"/>
  <c r="H2784" i="155"/>
  <c r="H2788" i="155"/>
  <c r="H2792" i="155"/>
  <c r="H2796" i="155"/>
  <c r="H2800" i="155"/>
  <c r="H2804" i="155"/>
  <c r="H2710" i="155"/>
  <c r="H2714" i="155"/>
  <c r="H2718" i="155"/>
  <c r="H2722" i="155"/>
  <c r="H2726" i="155"/>
  <c r="H2730" i="155"/>
  <c r="H2734" i="155"/>
  <c r="H2738" i="155"/>
  <c r="H2742" i="155"/>
  <c r="H2746" i="155"/>
  <c r="H2750" i="155"/>
  <c r="H2754" i="155"/>
  <c r="H2758" i="155"/>
  <c r="H2762" i="155"/>
  <c r="H2766" i="155"/>
  <c r="H2770" i="155"/>
  <c r="H2774" i="155"/>
  <c r="H2777" i="155"/>
  <c r="H2781" i="155"/>
  <c r="H2785" i="155"/>
  <c r="H2789" i="155"/>
  <c r="H2793" i="155"/>
  <c r="H2797" i="155"/>
  <c r="H2801" i="155"/>
  <c r="H2805" i="155"/>
  <c r="H1149" i="155"/>
  <c r="H1153" i="155"/>
  <c r="H1157" i="155"/>
  <c r="H1161" i="155"/>
  <c r="H1146" i="155"/>
  <c r="H1150" i="155"/>
  <c r="H1158" i="155"/>
  <c r="H1147" i="155"/>
  <c r="H1151" i="155"/>
  <c r="H1155" i="155"/>
  <c r="H1159" i="155"/>
  <c r="H1148" i="155"/>
  <c r="H1152" i="155"/>
  <c r="H1156" i="155"/>
  <c r="H1160" i="155"/>
  <c r="H1145" i="155"/>
  <c r="H1165" i="155"/>
  <c r="H1162" i="155"/>
  <c r="H1166" i="155"/>
  <c r="H1163" i="155"/>
  <c r="H1167" i="155"/>
  <c r="H1144" i="155"/>
  <c r="H1164" i="155"/>
  <c r="H2069" i="155"/>
  <c r="H2073" i="155"/>
  <c r="H2070" i="155"/>
  <c r="H2071" i="155"/>
  <c r="H2068" i="155"/>
  <c r="H2072" i="155"/>
  <c r="H2082" i="155"/>
  <c r="H2086" i="155"/>
  <c r="H2090" i="155"/>
  <c r="H2079" i="155"/>
  <c r="H2083" i="155"/>
  <c r="H2087" i="155"/>
  <c r="H2080" i="155"/>
  <c r="H2084" i="155"/>
  <c r="H2088" i="155"/>
  <c r="H2081" i="155"/>
  <c r="H2085" i="155"/>
  <c r="H2089" i="155"/>
  <c r="H2491" i="155"/>
  <c r="H2492" i="155"/>
  <c r="H2489" i="155"/>
  <c r="H2490" i="155"/>
  <c r="H2025" i="155"/>
  <c r="H2029" i="155"/>
  <c r="H2033" i="155"/>
  <c r="H2037" i="155"/>
  <c r="H2026" i="155"/>
  <c r="H2030" i="155"/>
  <c r="H2034" i="155"/>
  <c r="H2038" i="155"/>
  <c r="H2027" i="155"/>
  <c r="H2031" i="155"/>
  <c r="H2035" i="155"/>
  <c r="H2039" i="155"/>
  <c r="H2028" i="155"/>
  <c r="H2032" i="155"/>
  <c r="H2036" i="155"/>
  <c r="H2040" i="155"/>
  <c r="H1233" i="155"/>
  <c r="H1237" i="155"/>
  <c r="H1241" i="155"/>
  <c r="H1245" i="155"/>
  <c r="H1249" i="155"/>
  <c r="H1253" i="155"/>
  <c r="H1257" i="155"/>
  <c r="H1261" i="155"/>
  <c r="H1265" i="155"/>
  <c r="H1269" i="155"/>
  <c r="H1273" i="155"/>
  <c r="H1277" i="155"/>
  <c r="H1281" i="155"/>
  <c r="H1285" i="155"/>
  <c r="H1289" i="155"/>
  <c r="H1293" i="155"/>
  <c r="H1297" i="155"/>
  <c r="H1301" i="155"/>
  <c r="H1230" i="155"/>
  <c r="H1234" i="155"/>
  <c r="H1238" i="155"/>
  <c r="H1242" i="155"/>
  <c r="H1246" i="155"/>
  <c r="H1250" i="155"/>
  <c r="H1254" i="155"/>
  <c r="H1258" i="155"/>
  <c r="H1262" i="155"/>
  <c r="H1266" i="155"/>
  <c r="H1270" i="155"/>
  <c r="H1274" i="155"/>
  <c r="H1278" i="155"/>
  <c r="H1282" i="155"/>
  <c r="H1286" i="155"/>
  <c r="H1290" i="155"/>
  <c r="H1294" i="155"/>
  <c r="H1298" i="155"/>
  <c r="H1231" i="155"/>
  <c r="H1235" i="155"/>
  <c r="H1239" i="155"/>
  <c r="H1243" i="155"/>
  <c r="H1247" i="155"/>
  <c r="H1251" i="155"/>
  <c r="H1255" i="155"/>
  <c r="H1259" i="155"/>
  <c r="H1263" i="155"/>
  <c r="H1267" i="155"/>
  <c r="H1271" i="155"/>
  <c r="H1275" i="155"/>
  <c r="H1279" i="155"/>
  <c r="H1283" i="155"/>
  <c r="H1287" i="155"/>
  <c r="H1291" i="155"/>
  <c r="H1295" i="155"/>
  <c r="H1299" i="155"/>
  <c r="H1232" i="155"/>
  <c r="H1236" i="155"/>
  <c r="H1240" i="155"/>
  <c r="H1244" i="155"/>
  <c r="H1248" i="155"/>
  <c r="H1252" i="155"/>
  <c r="H1256" i="155"/>
  <c r="H1260" i="155"/>
  <c r="H1264" i="155"/>
  <c r="H1268" i="155"/>
  <c r="H1272" i="155"/>
  <c r="H1276" i="155"/>
  <c r="H1280" i="155"/>
  <c r="H1284" i="155"/>
  <c r="H1288" i="155"/>
  <c r="H1292" i="155"/>
  <c r="H1296" i="155"/>
  <c r="H1300" i="155"/>
  <c r="H2186" i="155"/>
  <c r="H2190" i="155"/>
  <c r="H2187" i="155"/>
  <c r="H2191" i="155"/>
  <c r="H2184" i="155"/>
  <c r="H2188" i="155"/>
  <c r="H2185" i="155"/>
  <c r="H2189" i="155"/>
  <c r="H1385" i="155"/>
  <c r="H1389" i="155"/>
  <c r="H1393" i="155"/>
  <c r="H1397" i="155"/>
  <c r="H1401" i="155"/>
  <c r="H1386" i="155"/>
  <c r="H1390" i="155"/>
  <c r="H1394" i="155"/>
  <c r="H1398" i="155"/>
  <c r="H1402" i="155"/>
  <c r="H1387" i="155"/>
  <c r="H1391" i="155"/>
  <c r="H1395" i="155"/>
  <c r="H1399" i="155"/>
  <c r="H1403" i="155"/>
  <c r="H1388" i="155"/>
  <c r="H1392" i="155"/>
  <c r="H1396" i="155"/>
  <c r="H1400" i="155"/>
  <c r="H1404" i="155"/>
  <c r="H787" i="155"/>
  <c r="H791" i="155"/>
  <c r="H795" i="155"/>
  <c r="H799" i="155"/>
  <c r="H803" i="155"/>
  <c r="H807" i="155"/>
  <c r="H811" i="155"/>
  <c r="H815" i="155"/>
  <c r="H819" i="155"/>
  <c r="H788" i="155"/>
  <c r="H792" i="155"/>
  <c r="H796" i="155"/>
  <c r="H800" i="155"/>
  <c r="H804" i="155"/>
  <c r="H808" i="155"/>
  <c r="H812" i="155"/>
  <c r="H816" i="155"/>
  <c r="H789" i="155"/>
  <c r="H793" i="155"/>
  <c r="H797" i="155"/>
  <c r="H801" i="155"/>
  <c r="H805" i="155"/>
  <c r="H809" i="155"/>
  <c r="H813" i="155"/>
  <c r="H817" i="155"/>
  <c r="H790" i="155"/>
  <c r="H794" i="155"/>
  <c r="H798" i="155"/>
  <c r="H802" i="155"/>
  <c r="H806" i="155"/>
  <c r="H810" i="155"/>
  <c r="H814" i="155"/>
  <c r="H818" i="155"/>
  <c r="H1405" i="155"/>
  <c r="H1409" i="155"/>
  <c r="H1413" i="155"/>
  <c r="H1417" i="155"/>
  <c r="H1421" i="155"/>
  <c r="H1425" i="155"/>
  <c r="H1429" i="155"/>
  <c r="H1433" i="155"/>
  <c r="H1437" i="155"/>
  <c r="H1441" i="155"/>
  <c r="H1445" i="155"/>
  <c r="H1449" i="155"/>
  <c r="H1453" i="155"/>
  <c r="H1457" i="155"/>
  <c r="H1461" i="155"/>
  <c r="H1465" i="155"/>
  <c r="H1469" i="155"/>
  <c r="H1473" i="155"/>
  <c r="H1477" i="155"/>
  <c r="H1481" i="155"/>
  <c r="H1485" i="155"/>
  <c r="H1489" i="155"/>
  <c r="H1493" i="155"/>
  <c r="H1497" i="155"/>
  <c r="H1501" i="155"/>
  <c r="H1505" i="155"/>
  <c r="H1509" i="155"/>
  <c r="H1513" i="155"/>
  <c r="H1517" i="155"/>
  <c r="H1521" i="155"/>
  <c r="H1525" i="155"/>
  <c r="H1529" i="155"/>
  <c r="H1406" i="155"/>
  <c r="H1410" i="155"/>
  <c r="H1414" i="155"/>
  <c r="H1418" i="155"/>
  <c r="H1422" i="155"/>
  <c r="H1426" i="155"/>
  <c r="H1430" i="155"/>
  <c r="H1434" i="155"/>
  <c r="H1438" i="155"/>
  <c r="H1442" i="155"/>
  <c r="H1446" i="155"/>
  <c r="H1450" i="155"/>
  <c r="H1454" i="155"/>
  <c r="H1458" i="155"/>
  <c r="H1462" i="155"/>
  <c r="H1466" i="155"/>
  <c r="H1470" i="155"/>
  <c r="H1474" i="155"/>
  <c r="H1478" i="155"/>
  <c r="H1482" i="155"/>
  <c r="H1486" i="155"/>
  <c r="H1490" i="155"/>
  <c r="H1494" i="155"/>
  <c r="H1498" i="155"/>
  <c r="H1502" i="155"/>
  <c r="H1506" i="155"/>
  <c r="H1510" i="155"/>
  <c r="H1514" i="155"/>
  <c r="H1518" i="155"/>
  <c r="H1522" i="155"/>
  <c r="H1526" i="155"/>
  <c r="H1530" i="155"/>
  <c r="H1407" i="155"/>
  <c r="H1411" i="155"/>
  <c r="H1415" i="155"/>
  <c r="H1419" i="155"/>
  <c r="H1423" i="155"/>
  <c r="H1427" i="155"/>
  <c r="H1431" i="155"/>
  <c r="H1435" i="155"/>
  <c r="H1439" i="155"/>
  <c r="H1443" i="155"/>
  <c r="H1447" i="155"/>
  <c r="H1451" i="155"/>
  <c r="H1455" i="155"/>
  <c r="H1459" i="155"/>
  <c r="H1463" i="155"/>
  <c r="H1467" i="155"/>
  <c r="H1471" i="155"/>
  <c r="H1475" i="155"/>
  <c r="H1479" i="155"/>
  <c r="H1483" i="155"/>
  <c r="H1487" i="155"/>
  <c r="H1491" i="155"/>
  <c r="H1495" i="155"/>
  <c r="H1499" i="155"/>
  <c r="H1503" i="155"/>
  <c r="H1507" i="155"/>
  <c r="H1511" i="155"/>
  <c r="H1515" i="155"/>
  <c r="H1519" i="155"/>
  <c r="H1523" i="155"/>
  <c r="H1527" i="155"/>
  <c r="H1531" i="155"/>
  <c r="H1408" i="155"/>
  <c r="H1412" i="155"/>
  <c r="H1416" i="155"/>
  <c r="H1420" i="155"/>
  <c r="H1424" i="155"/>
  <c r="H1428" i="155"/>
  <c r="H1432" i="155"/>
  <c r="H1436" i="155"/>
  <c r="H1440" i="155"/>
  <c r="H1444" i="155"/>
  <c r="H1448" i="155"/>
  <c r="H1452" i="155"/>
  <c r="H1456" i="155"/>
  <c r="H1460" i="155"/>
  <c r="H1464" i="155"/>
  <c r="H1468" i="155"/>
  <c r="H1472" i="155"/>
  <c r="H1476" i="155"/>
  <c r="H1480" i="155"/>
  <c r="H1484" i="155"/>
  <c r="H1488" i="155"/>
  <c r="H1492" i="155"/>
  <c r="H1496" i="155"/>
  <c r="H1500" i="155"/>
  <c r="H1504" i="155"/>
  <c r="H1508" i="155"/>
  <c r="H1512" i="155"/>
  <c r="H1516" i="155"/>
  <c r="H1520" i="155"/>
  <c r="H1524" i="155"/>
  <c r="H1528" i="155"/>
  <c r="H2142" i="155"/>
  <c r="H2146" i="155"/>
  <c r="H2150" i="155"/>
  <c r="H2139" i="155"/>
  <c r="H2143" i="155"/>
  <c r="H2147" i="155"/>
  <c r="H2151" i="155"/>
  <c r="H2140" i="155"/>
  <c r="H2144" i="155"/>
  <c r="H2148" i="155"/>
  <c r="H2152" i="155"/>
  <c r="H2141" i="155"/>
  <c r="H2145" i="155"/>
  <c r="H2149" i="155"/>
  <c r="H851" i="155"/>
  <c r="H855" i="155"/>
  <c r="H852" i="155"/>
  <c r="H856" i="155"/>
  <c r="H853" i="155"/>
  <c r="H857" i="155"/>
  <c r="H850" i="155"/>
  <c r="H854" i="155"/>
  <c r="H858" i="155"/>
  <c r="H865" i="155"/>
  <c r="H866" i="155"/>
  <c r="H863" i="155"/>
  <c r="H867" i="155"/>
  <c r="H864" i="155"/>
  <c r="H885" i="155"/>
  <c r="H882" i="155"/>
  <c r="H886" i="155"/>
  <c r="H883" i="155"/>
  <c r="H887" i="155"/>
  <c r="H884" i="155"/>
  <c r="H823" i="155"/>
  <c r="H827" i="155"/>
  <c r="H839" i="155"/>
  <c r="H843" i="155"/>
  <c r="H847" i="155"/>
  <c r="H820" i="155"/>
  <c r="H824" i="155"/>
  <c r="H840" i="155"/>
  <c r="H844" i="155"/>
  <c r="H848" i="155"/>
  <c r="H821" i="155"/>
  <c r="H825" i="155"/>
  <c r="H837" i="155"/>
  <c r="H841" i="155"/>
  <c r="H845" i="155"/>
  <c r="H849" i="155"/>
  <c r="H822" i="155"/>
  <c r="H826" i="155"/>
  <c r="H838" i="155"/>
  <c r="H842" i="155"/>
  <c r="H846" i="155"/>
  <c r="H2483" i="155"/>
  <c r="H2487" i="155"/>
  <c r="H2484" i="155"/>
  <c r="H2488" i="155"/>
  <c r="H2481" i="155"/>
  <c r="H2485" i="155"/>
  <c r="H2482" i="155"/>
  <c r="H2486" i="155"/>
  <c r="H2387" i="155"/>
  <c r="H2391" i="155"/>
  <c r="H2395" i="155"/>
  <c r="H2399" i="155"/>
  <c r="H2403" i="155"/>
  <c r="H2407" i="155"/>
  <c r="H2411" i="155"/>
  <c r="H2415" i="155"/>
  <c r="H2419" i="155"/>
  <c r="H2423" i="155"/>
  <c r="H2427" i="155"/>
  <c r="H2384" i="155"/>
  <c r="H2388" i="155"/>
  <c r="H2392" i="155"/>
  <c r="H2396" i="155"/>
  <c r="H2400" i="155"/>
  <c r="H2404" i="155"/>
  <c r="H2408" i="155"/>
  <c r="H2412" i="155"/>
  <c r="H2416" i="155"/>
  <c r="H2420" i="155"/>
  <c r="H2424" i="155"/>
  <c r="H2428" i="155"/>
  <c r="H2385" i="155"/>
  <c r="H2389" i="155"/>
  <c r="H2393" i="155"/>
  <c r="H2397" i="155"/>
  <c r="H2401" i="155"/>
  <c r="H2405" i="155"/>
  <c r="H2409" i="155"/>
  <c r="H2413" i="155"/>
  <c r="H2417" i="155"/>
  <c r="H2421" i="155"/>
  <c r="H2425" i="155"/>
  <c r="H2429" i="155"/>
  <c r="H2386" i="155"/>
  <c r="H2390" i="155"/>
  <c r="H2394" i="155"/>
  <c r="H2398" i="155"/>
  <c r="H2402" i="155"/>
  <c r="H2406" i="155"/>
  <c r="H2410" i="155"/>
  <c r="H2414" i="155"/>
  <c r="H2418" i="155"/>
  <c r="H2422" i="155"/>
  <c r="H2426" i="155"/>
  <c r="H2430" i="155"/>
  <c r="H901" i="155"/>
  <c r="H898" i="155"/>
  <c r="H899" i="155"/>
  <c r="H900" i="155"/>
  <c r="H786" i="155"/>
  <c r="H2431" i="155"/>
  <c r="H2435" i="155"/>
  <c r="H2826" i="155"/>
  <c r="H2432" i="155"/>
  <c r="H2436" i="155"/>
  <c r="H2827" i="155"/>
  <c r="H2433" i="155"/>
  <c r="H2437" i="155"/>
  <c r="H2828" i="155"/>
  <c r="H2434" i="155"/>
  <c r="H2274" i="155"/>
  <c r="H2278" i="155"/>
  <c r="H2282" i="155"/>
  <c r="H2286" i="155"/>
  <c r="H2290" i="155"/>
  <c r="H2275" i="155"/>
  <c r="H2279" i="155"/>
  <c r="H2283" i="155"/>
  <c r="H2287" i="155"/>
  <c r="H2291" i="155"/>
  <c r="H2272" i="155"/>
  <c r="H2276" i="155"/>
  <c r="H2280" i="155"/>
  <c r="H2284" i="155"/>
  <c r="H2288" i="155"/>
  <c r="H2292" i="155"/>
  <c r="H2273" i="155"/>
  <c r="H2277" i="155"/>
  <c r="H2281" i="155"/>
  <c r="H2285" i="155"/>
  <c r="H2289" i="155"/>
  <c r="H2293" i="155"/>
  <c r="H1623" i="155"/>
  <c r="H1627" i="155"/>
  <c r="H1631" i="155"/>
  <c r="H1635" i="155"/>
  <c r="H1639" i="155"/>
  <c r="H1643" i="155"/>
  <c r="H1647" i="155"/>
  <c r="H1651" i="155"/>
  <c r="H1655" i="155"/>
  <c r="H1659" i="155"/>
  <c r="H1663" i="155"/>
  <c r="H1667" i="155"/>
  <c r="H1671" i="155"/>
  <c r="H1675" i="155"/>
  <c r="H1679" i="155"/>
  <c r="H1683" i="155"/>
  <c r="H1687" i="155"/>
  <c r="H1691" i="155"/>
  <c r="H1695" i="155"/>
  <c r="H1699" i="155"/>
  <c r="H1703" i="155"/>
  <c r="H1707" i="155"/>
  <c r="H1711" i="155"/>
  <c r="H1715" i="155"/>
  <c r="H1719" i="155"/>
  <c r="H1723" i="155"/>
  <c r="H1727" i="155"/>
  <c r="H1731" i="155"/>
  <c r="H1735" i="155"/>
  <c r="H1739" i="155"/>
  <c r="H1743" i="155"/>
  <c r="H1747" i="155"/>
  <c r="H1751" i="155"/>
  <c r="H1755" i="155"/>
  <c r="H1759" i="155"/>
  <c r="H1763" i="155"/>
  <c r="H1767" i="155"/>
  <c r="H1859" i="155"/>
  <c r="H1863" i="155"/>
  <c r="H1867" i="155"/>
  <c r="H1871" i="155"/>
  <c r="H1875" i="155"/>
  <c r="H1879" i="155"/>
  <c r="H1883" i="155"/>
  <c r="H1887" i="155"/>
  <c r="H1891" i="155"/>
  <c r="H1895" i="155"/>
  <c r="H1899" i="155"/>
  <c r="H1903" i="155"/>
  <c r="H1907" i="155"/>
  <c r="H1911" i="155"/>
  <c r="H1915" i="155"/>
  <c r="H1919" i="155"/>
  <c r="H1923" i="155"/>
  <c r="H1927" i="155"/>
  <c r="H1931" i="155"/>
  <c r="H1935" i="155"/>
  <c r="H1939" i="155"/>
  <c r="H1943" i="155"/>
  <c r="H1947" i="155"/>
  <c r="H1951" i="155"/>
  <c r="H1955" i="155"/>
  <c r="H1959" i="155"/>
  <c r="H1963" i="155"/>
  <c r="H1967" i="155"/>
  <c r="H1971" i="155"/>
  <c r="H1975" i="155"/>
  <c r="H1979" i="155"/>
  <c r="H1983" i="155"/>
  <c r="H1987" i="155"/>
  <c r="H1991" i="155"/>
  <c r="H1995" i="155"/>
  <c r="H1999" i="155"/>
  <c r="H2003" i="155"/>
  <c r="H2007" i="155"/>
  <c r="H2011" i="155"/>
  <c r="H2015" i="155"/>
  <c r="H1624" i="155"/>
  <c r="H1628" i="155"/>
  <c r="H1632" i="155"/>
  <c r="H1636" i="155"/>
  <c r="H1640" i="155"/>
  <c r="H1644" i="155"/>
  <c r="H1648" i="155"/>
  <c r="H1652" i="155"/>
  <c r="H1656" i="155"/>
  <c r="H1660" i="155"/>
  <c r="H1664" i="155"/>
  <c r="H1668" i="155"/>
  <c r="H1672" i="155"/>
  <c r="H1676" i="155"/>
  <c r="H1680" i="155"/>
  <c r="H1684" i="155"/>
  <c r="H1688" i="155"/>
  <c r="H1692" i="155"/>
  <c r="H1696" i="155"/>
  <c r="H1700" i="155"/>
  <c r="H1704" i="155"/>
  <c r="H1708" i="155"/>
  <c r="H1712" i="155"/>
  <c r="H1716" i="155"/>
  <c r="H1720" i="155"/>
  <c r="H1724" i="155"/>
  <c r="H1728" i="155"/>
  <c r="H1732" i="155"/>
  <c r="H1736" i="155"/>
  <c r="H1740" i="155"/>
  <c r="H1744" i="155"/>
  <c r="H1748" i="155"/>
  <c r="H1752" i="155"/>
  <c r="H1756" i="155"/>
  <c r="H1760" i="155"/>
  <c r="H1764" i="155"/>
  <c r="H1856" i="155"/>
  <c r="H1860" i="155"/>
  <c r="H1864" i="155"/>
  <c r="H1868" i="155"/>
  <c r="H1872" i="155"/>
  <c r="H1876" i="155"/>
  <c r="H1880" i="155"/>
  <c r="H1884" i="155"/>
  <c r="H1888" i="155"/>
  <c r="H1892" i="155"/>
  <c r="H1896" i="155"/>
  <c r="H1900" i="155"/>
  <c r="H1904" i="155"/>
  <c r="H1908" i="155"/>
  <c r="H1912" i="155"/>
  <c r="H1916" i="155"/>
  <c r="H1920" i="155"/>
  <c r="H1924" i="155"/>
  <c r="H1928" i="155"/>
  <c r="H1932" i="155"/>
  <c r="H1936" i="155"/>
  <c r="H1940" i="155"/>
  <c r="H1944" i="155"/>
  <c r="H1948" i="155"/>
  <c r="H1952" i="155"/>
  <c r="H1956" i="155"/>
  <c r="H1960" i="155"/>
  <c r="H1964" i="155"/>
  <c r="H1968" i="155"/>
  <c r="H1972" i="155"/>
  <c r="H1976" i="155"/>
  <c r="H1980" i="155"/>
  <c r="H1984" i="155"/>
  <c r="H1988" i="155"/>
  <c r="H1992" i="155"/>
  <c r="H1996" i="155"/>
  <c r="H2000" i="155"/>
  <c r="H2004" i="155"/>
  <c r="H2008" i="155"/>
  <c r="H2012" i="155"/>
  <c r="H1621" i="155"/>
  <c r="H1625" i="155"/>
  <c r="H1629" i="155"/>
  <c r="H1633" i="155"/>
  <c r="H1637" i="155"/>
  <c r="H1641" i="155"/>
  <c r="H1645" i="155"/>
  <c r="H1649" i="155"/>
  <c r="H1653" i="155"/>
  <c r="H1657" i="155"/>
  <c r="H1661" i="155"/>
  <c r="H1665" i="155"/>
  <c r="H1669" i="155"/>
  <c r="H1673" i="155"/>
  <c r="H1677" i="155"/>
  <c r="H1681" i="155"/>
  <c r="H1685" i="155"/>
  <c r="H1689" i="155"/>
  <c r="H1693" i="155"/>
  <c r="H1697" i="155"/>
  <c r="H1701" i="155"/>
  <c r="H1705" i="155"/>
  <c r="H1709" i="155"/>
  <c r="H1713" i="155"/>
  <c r="H1717" i="155"/>
  <c r="H1721" i="155"/>
  <c r="H1725" i="155"/>
  <c r="H1729" i="155"/>
  <c r="H1733" i="155"/>
  <c r="H1737" i="155"/>
  <c r="H1741" i="155"/>
  <c r="H1745" i="155"/>
  <c r="H1749" i="155"/>
  <c r="H1753" i="155"/>
  <c r="H1757" i="155"/>
  <c r="H1761" i="155"/>
  <c r="H1765" i="155"/>
  <c r="H1857" i="155"/>
  <c r="H1861" i="155"/>
  <c r="H1865" i="155"/>
  <c r="H1869" i="155"/>
  <c r="H1873" i="155"/>
  <c r="H1877" i="155"/>
  <c r="H1881" i="155"/>
  <c r="H1885" i="155"/>
  <c r="H1889" i="155"/>
  <c r="H1893" i="155"/>
  <c r="H1897" i="155"/>
  <c r="H1901" i="155"/>
  <c r="H1905" i="155"/>
  <c r="H1909" i="155"/>
  <c r="H1913" i="155"/>
  <c r="H1917" i="155"/>
  <c r="H1921" i="155"/>
  <c r="H1925" i="155"/>
  <c r="H1929" i="155"/>
  <c r="H1933" i="155"/>
  <c r="H1937" i="155"/>
  <c r="H1941" i="155"/>
  <c r="H1945" i="155"/>
  <c r="H1949" i="155"/>
  <c r="H1953" i="155"/>
  <c r="H1957" i="155"/>
  <c r="H1961" i="155"/>
  <c r="H1965" i="155"/>
  <c r="H1969" i="155"/>
  <c r="H1973" i="155"/>
  <c r="H1977" i="155"/>
  <c r="H1981" i="155"/>
  <c r="H1985" i="155"/>
  <c r="H1989" i="155"/>
  <c r="H1993" i="155"/>
  <c r="H1997" i="155"/>
  <c r="H2001" i="155"/>
  <c r="H2005" i="155"/>
  <c r="H2009" i="155"/>
  <c r="H2013" i="155"/>
  <c r="H1622" i="155"/>
  <c r="H1626" i="155"/>
  <c r="H1630" i="155"/>
  <c r="H1634" i="155"/>
  <c r="H1638" i="155"/>
  <c r="H1642" i="155"/>
  <c r="H1646" i="155"/>
  <c r="H1650" i="155"/>
  <c r="H1654" i="155"/>
  <c r="H1658" i="155"/>
  <c r="H1662" i="155"/>
  <c r="H1666" i="155"/>
  <c r="H1670" i="155"/>
  <c r="H1674" i="155"/>
  <c r="H1678" i="155"/>
  <c r="H1682" i="155"/>
  <c r="H1686" i="155"/>
  <c r="H1690" i="155"/>
  <c r="H1694" i="155"/>
  <c r="H1698" i="155"/>
  <c r="H1702" i="155"/>
  <c r="H1706" i="155"/>
  <c r="H1710" i="155"/>
  <c r="H1714" i="155"/>
  <c r="H1718" i="155"/>
  <c r="H1722" i="155"/>
  <c r="H1726" i="155"/>
  <c r="H1730" i="155"/>
  <c r="H1734" i="155"/>
  <c r="H1738" i="155"/>
  <c r="H1742" i="155"/>
  <c r="H1746" i="155"/>
  <c r="H1750" i="155"/>
  <c r="H1754" i="155"/>
  <c r="H1758" i="155"/>
  <c r="H1762" i="155"/>
  <c r="H1766" i="155"/>
  <c r="H1858" i="155"/>
  <c r="H1862" i="155"/>
  <c r="H1866" i="155"/>
  <c r="H1870" i="155"/>
  <c r="H1874" i="155"/>
  <c r="H1878" i="155"/>
  <c r="H1882" i="155"/>
  <c r="H1886" i="155"/>
  <c r="H1890" i="155"/>
  <c r="H1894" i="155"/>
  <c r="H1898" i="155"/>
  <c r="H1902" i="155"/>
  <c r="H1906" i="155"/>
  <c r="H1910" i="155"/>
  <c r="H1914" i="155"/>
  <c r="H1918" i="155"/>
  <c r="H1922" i="155"/>
  <c r="H1926" i="155"/>
  <c r="H1930" i="155"/>
  <c r="H1934" i="155"/>
  <c r="H1938" i="155"/>
  <c r="H1942" i="155"/>
  <c r="H1946" i="155"/>
  <c r="H1950" i="155"/>
  <c r="H1954" i="155"/>
  <c r="H1958" i="155"/>
  <c r="H1962" i="155"/>
  <c r="H1966" i="155"/>
  <c r="H1970" i="155"/>
  <c r="H1974" i="155"/>
  <c r="H1978" i="155"/>
  <c r="H1982" i="155"/>
  <c r="H1986" i="155"/>
  <c r="H1990" i="155"/>
  <c r="H1994" i="155"/>
  <c r="H1998" i="155"/>
  <c r="H2002" i="155"/>
  <c r="H2006" i="155"/>
  <c r="H2010" i="155"/>
  <c r="H2014" i="155"/>
  <c r="H1768" i="155"/>
  <c r="H1772" i="155"/>
  <c r="H1776" i="155"/>
  <c r="H1780" i="155"/>
  <c r="H1784" i="155"/>
  <c r="H1788" i="155"/>
  <c r="H1792" i="155"/>
  <c r="H1796" i="155"/>
  <c r="H1800" i="155"/>
  <c r="H1804" i="155"/>
  <c r="H1808" i="155"/>
  <c r="H1812" i="155"/>
  <c r="H1816" i="155"/>
  <c r="H1820" i="155"/>
  <c r="H1824" i="155"/>
  <c r="H1828" i="155"/>
  <c r="H1832" i="155"/>
  <c r="H1836" i="155"/>
  <c r="H1840" i="155"/>
  <c r="H1844" i="155"/>
  <c r="H1848" i="155"/>
  <c r="H1852" i="155"/>
  <c r="H1769" i="155"/>
  <c r="H1773" i="155"/>
  <c r="H1777" i="155"/>
  <c r="H1781" i="155"/>
  <c r="H1785" i="155"/>
  <c r="H1789" i="155"/>
  <c r="H1793" i="155"/>
  <c r="H1797" i="155"/>
  <c r="H1801" i="155"/>
  <c r="H1805" i="155"/>
  <c r="H1809" i="155"/>
  <c r="H1813" i="155"/>
  <c r="H1817" i="155"/>
  <c r="H1821" i="155"/>
  <c r="H1825" i="155"/>
  <c r="H1829" i="155"/>
  <c r="H1833" i="155"/>
  <c r="H1837" i="155"/>
  <c r="H1841" i="155"/>
  <c r="H1845" i="155"/>
  <c r="H1849" i="155"/>
  <c r="H1853" i="155"/>
  <c r="H1770" i="155"/>
  <c r="H1774" i="155"/>
  <c r="H1778" i="155"/>
  <c r="H1782" i="155"/>
  <c r="H1786" i="155"/>
  <c r="H1790" i="155"/>
  <c r="H1794" i="155"/>
  <c r="H1798" i="155"/>
  <c r="H1802" i="155"/>
  <c r="H1806" i="155"/>
  <c r="H1810" i="155"/>
  <c r="H1814" i="155"/>
  <c r="H1818" i="155"/>
  <c r="H1822" i="155"/>
  <c r="H1826" i="155"/>
  <c r="H1830" i="155"/>
  <c r="H1834" i="155"/>
  <c r="H1838" i="155"/>
  <c r="H1842" i="155"/>
  <c r="H1846" i="155"/>
  <c r="H1850" i="155"/>
  <c r="H1854" i="155"/>
  <c r="H1771" i="155"/>
  <c r="H1775" i="155"/>
  <c r="H1779" i="155"/>
  <c r="H1783" i="155"/>
  <c r="H1787" i="155"/>
  <c r="H1791" i="155"/>
  <c r="H1795" i="155"/>
  <c r="H1799" i="155"/>
  <c r="H1803" i="155"/>
  <c r="H1807" i="155"/>
  <c r="H1811" i="155"/>
  <c r="H1815" i="155"/>
  <c r="H1819" i="155"/>
  <c r="H1823" i="155"/>
  <c r="H1827" i="155"/>
  <c r="H1831" i="155"/>
  <c r="H1835" i="155"/>
  <c r="H1839" i="155"/>
  <c r="H1843" i="155"/>
  <c r="H1847" i="155"/>
  <c r="H1851" i="155"/>
  <c r="H1855" i="155"/>
  <c r="H9" i="155"/>
  <c r="H13" i="155"/>
  <c r="H17" i="155"/>
  <c r="H21" i="155"/>
  <c r="H25" i="155"/>
  <c r="H29" i="155"/>
  <c r="H33" i="155"/>
  <c r="H10" i="155"/>
  <c r="H14" i="155"/>
  <c r="H18" i="155"/>
  <c r="H22" i="155"/>
  <c r="H26" i="155"/>
  <c r="H30" i="155"/>
  <c r="H7" i="155"/>
  <c r="H11" i="155"/>
  <c r="H15" i="155"/>
  <c r="H19" i="155"/>
  <c r="H23" i="155"/>
  <c r="H27" i="155"/>
  <c r="H31" i="155"/>
  <c r="H8" i="155"/>
  <c r="H12" i="155"/>
  <c r="H16" i="155"/>
  <c r="H20" i="155"/>
  <c r="H24" i="155"/>
  <c r="H28" i="155"/>
  <c r="H32" i="155"/>
  <c r="H6" i="155"/>
  <c r="H2294" i="155"/>
  <c r="H2298" i="155"/>
  <c r="H2302" i="155"/>
  <c r="H2306" i="155"/>
  <c r="H2295" i="155"/>
  <c r="H2299" i="155"/>
  <c r="H2303" i="155"/>
  <c r="H2307" i="155"/>
  <c r="H2296" i="155"/>
  <c r="H2300" i="155"/>
  <c r="H2304" i="155"/>
  <c r="H2308" i="155"/>
  <c r="H2297" i="155"/>
  <c r="H2301" i="155"/>
  <c r="H2305" i="155"/>
  <c r="H2309" i="155"/>
  <c r="H735" i="155"/>
  <c r="H739" i="155"/>
  <c r="H743" i="155"/>
  <c r="H747" i="155"/>
  <c r="H751" i="155"/>
  <c r="H755" i="155"/>
  <c r="H759" i="155"/>
  <c r="H763" i="155"/>
  <c r="H767" i="155"/>
  <c r="H771" i="155"/>
  <c r="H775" i="155"/>
  <c r="H779" i="155"/>
  <c r="H783" i="155"/>
  <c r="H736" i="155"/>
  <c r="H740" i="155"/>
  <c r="H744" i="155"/>
  <c r="H748" i="155"/>
  <c r="H752" i="155"/>
  <c r="H756" i="155"/>
  <c r="H760" i="155"/>
  <c r="H764" i="155"/>
  <c r="H768" i="155"/>
  <c r="H772" i="155"/>
  <c r="H776" i="155"/>
  <c r="H780" i="155"/>
  <c r="H784" i="155"/>
  <c r="H733" i="155"/>
  <c r="H737" i="155"/>
  <c r="H741" i="155"/>
  <c r="H745" i="155"/>
  <c r="H749" i="155"/>
  <c r="H753" i="155"/>
  <c r="H757" i="155"/>
  <c r="H761" i="155"/>
  <c r="H765" i="155"/>
  <c r="H769" i="155"/>
  <c r="H773" i="155"/>
  <c r="H777" i="155"/>
  <c r="H781" i="155"/>
  <c r="H785" i="155"/>
  <c r="H734" i="155"/>
  <c r="H738" i="155"/>
  <c r="H742" i="155"/>
  <c r="H746" i="155"/>
  <c r="H750" i="155"/>
  <c r="H754" i="155"/>
  <c r="H758" i="155"/>
  <c r="H762" i="155"/>
  <c r="H766" i="155"/>
  <c r="H770" i="155"/>
  <c r="H774" i="155"/>
  <c r="H778" i="155"/>
  <c r="H782" i="155"/>
  <c r="H2130" i="155"/>
  <c r="H2134" i="155"/>
  <c r="H2138" i="155"/>
  <c r="H2127" i="155"/>
  <c r="H2131" i="155"/>
  <c r="H2135" i="155"/>
  <c r="H2128" i="155"/>
  <c r="H2132" i="155"/>
  <c r="H2136" i="155"/>
  <c r="H2129" i="155"/>
  <c r="H2133" i="155"/>
  <c r="H2137" i="155"/>
  <c r="H283" i="155"/>
  <c r="H287" i="155"/>
  <c r="H291" i="155"/>
  <c r="H295" i="155"/>
  <c r="H299" i="155"/>
  <c r="H303" i="155"/>
  <c r="H307" i="155"/>
  <c r="H311" i="155"/>
  <c r="H315" i="155"/>
  <c r="H319" i="155"/>
  <c r="H280" i="155"/>
  <c r="H284" i="155"/>
  <c r="H288" i="155"/>
  <c r="H292" i="155"/>
  <c r="H296" i="155"/>
  <c r="H304" i="155"/>
  <c r="H308" i="155"/>
  <c r="H312" i="155"/>
  <c r="H316" i="155"/>
  <c r="H320" i="155"/>
  <c r="H281" i="155"/>
  <c r="H285" i="155"/>
  <c r="H289" i="155"/>
  <c r="H293" i="155"/>
  <c r="H297" i="155"/>
  <c r="H301" i="155"/>
  <c r="H305" i="155"/>
  <c r="H309" i="155"/>
  <c r="H313" i="155"/>
  <c r="H317" i="155"/>
  <c r="H282" i="155"/>
  <c r="H286" i="155"/>
  <c r="H290" i="155"/>
  <c r="H294" i="155"/>
  <c r="H298" i="155"/>
  <c r="H302" i="155"/>
  <c r="H306" i="155"/>
  <c r="H310" i="155"/>
  <c r="H314" i="155"/>
  <c r="H318" i="155"/>
  <c r="H403" i="155"/>
  <c r="H407" i="155"/>
  <c r="H411" i="155"/>
  <c r="H415" i="155"/>
  <c r="H419" i="155"/>
  <c r="H423" i="155"/>
  <c r="H427" i="155"/>
  <c r="H431" i="155"/>
  <c r="H435" i="155"/>
  <c r="H439" i="155"/>
  <c r="H443" i="155"/>
  <c r="H447" i="155"/>
  <c r="H451" i="155"/>
  <c r="H455" i="155"/>
  <c r="H459" i="155"/>
  <c r="H463" i="155"/>
  <c r="H467" i="155"/>
  <c r="H471" i="155"/>
  <c r="H475" i="155"/>
  <c r="H479" i="155"/>
  <c r="H483" i="155"/>
  <c r="H487" i="155"/>
  <c r="H491" i="155"/>
  <c r="H404" i="155"/>
  <c r="H408" i="155"/>
  <c r="H412" i="155"/>
  <c r="H416" i="155"/>
  <c r="H420" i="155"/>
  <c r="H424" i="155"/>
  <c r="H428" i="155"/>
  <c r="H432" i="155"/>
  <c r="H436" i="155"/>
  <c r="H440" i="155"/>
  <c r="H444" i="155"/>
  <c r="H448" i="155"/>
  <c r="H452" i="155"/>
  <c r="H456" i="155"/>
  <c r="H460" i="155"/>
  <c r="H464" i="155"/>
  <c r="H468" i="155"/>
  <c r="H472" i="155"/>
  <c r="H476" i="155"/>
  <c r="H480" i="155"/>
  <c r="H484" i="155"/>
  <c r="H488" i="155"/>
  <c r="H401" i="155"/>
  <c r="H405" i="155"/>
  <c r="H409" i="155"/>
  <c r="H413" i="155"/>
  <c r="H417" i="155"/>
  <c r="H421" i="155"/>
  <c r="H425" i="155"/>
  <c r="H429" i="155"/>
  <c r="H433" i="155"/>
  <c r="H437" i="155"/>
  <c r="H441" i="155"/>
  <c r="H445" i="155"/>
  <c r="H449" i="155"/>
  <c r="H453" i="155"/>
  <c r="H457" i="155"/>
  <c r="H461" i="155"/>
  <c r="H465" i="155"/>
  <c r="H469" i="155"/>
  <c r="H473" i="155"/>
  <c r="H477" i="155"/>
  <c r="H481" i="155"/>
  <c r="H485" i="155"/>
  <c r="H489" i="155"/>
  <c r="H402" i="155"/>
  <c r="H406" i="155"/>
  <c r="H410" i="155"/>
  <c r="H414" i="155"/>
  <c r="H418" i="155"/>
  <c r="H422" i="155"/>
  <c r="H426" i="155"/>
  <c r="H430" i="155"/>
  <c r="H434" i="155"/>
  <c r="H438" i="155"/>
  <c r="H442" i="155"/>
  <c r="H446" i="155"/>
  <c r="H450" i="155"/>
  <c r="H454" i="155"/>
  <c r="H458" i="155"/>
  <c r="H462" i="155"/>
  <c r="H466" i="155"/>
  <c r="H470" i="155"/>
  <c r="H474" i="155"/>
  <c r="H478" i="155"/>
  <c r="H482" i="155"/>
  <c r="H486" i="155"/>
  <c r="H490" i="155"/>
  <c r="H703" i="155"/>
  <c r="H707" i="155"/>
  <c r="H711" i="155"/>
  <c r="H715" i="155"/>
  <c r="H719" i="155"/>
  <c r="H723" i="155"/>
  <c r="H727" i="155"/>
  <c r="H731" i="155"/>
  <c r="H704" i="155"/>
  <c r="H708" i="155"/>
  <c r="H712" i="155"/>
  <c r="H716" i="155"/>
  <c r="H720" i="155"/>
  <c r="H724" i="155"/>
  <c r="H728" i="155"/>
  <c r="H732" i="155"/>
  <c r="H701" i="155"/>
  <c r="H705" i="155"/>
  <c r="H709" i="155"/>
  <c r="H713" i="155"/>
  <c r="H717" i="155"/>
  <c r="H721" i="155"/>
  <c r="H725" i="155"/>
  <c r="H729" i="155"/>
  <c r="H702" i="155"/>
  <c r="H706" i="155"/>
  <c r="H710" i="155"/>
  <c r="H714" i="155"/>
  <c r="H718" i="155"/>
  <c r="H722" i="155"/>
  <c r="H726" i="155"/>
  <c r="H730" i="155"/>
  <c r="H519" i="155"/>
  <c r="H523" i="155"/>
  <c r="H527" i="155"/>
  <c r="H531" i="155"/>
  <c r="H535" i="155"/>
  <c r="H539" i="155"/>
  <c r="H543" i="155"/>
  <c r="H547" i="155"/>
  <c r="H551" i="155"/>
  <c r="H555" i="155"/>
  <c r="H559" i="155"/>
  <c r="H563" i="155"/>
  <c r="H567" i="155"/>
  <c r="H591" i="155"/>
  <c r="H595" i="155"/>
  <c r="H599" i="155"/>
  <c r="H603" i="155"/>
  <c r="H607" i="155"/>
  <c r="H671" i="155"/>
  <c r="H675" i="155"/>
  <c r="H520" i="155"/>
  <c r="H524" i="155"/>
  <c r="H528" i="155"/>
  <c r="H532" i="155"/>
  <c r="H536" i="155"/>
  <c r="H540" i="155"/>
  <c r="H544" i="155"/>
  <c r="H548" i="155"/>
  <c r="H552" i="155"/>
  <c r="H556" i="155"/>
  <c r="H560" i="155"/>
  <c r="H564" i="155"/>
  <c r="H568" i="155"/>
  <c r="H592" i="155"/>
  <c r="H596" i="155"/>
  <c r="H600" i="155"/>
  <c r="H604" i="155"/>
  <c r="H608" i="155"/>
  <c r="H672" i="155"/>
  <c r="H676" i="155"/>
  <c r="H517" i="155"/>
  <c r="H521" i="155"/>
  <c r="H525" i="155"/>
  <c r="H529" i="155"/>
  <c r="H533" i="155"/>
  <c r="H537" i="155"/>
  <c r="H541" i="155"/>
  <c r="H545" i="155"/>
  <c r="H549" i="155"/>
  <c r="H553" i="155"/>
  <c r="H557" i="155"/>
  <c r="H561" i="155"/>
  <c r="H565" i="155"/>
  <c r="H589" i="155"/>
  <c r="H593" i="155"/>
  <c r="H597" i="155"/>
  <c r="H601" i="155"/>
  <c r="H605" i="155"/>
  <c r="H669" i="155"/>
  <c r="H673" i="155"/>
  <c r="H677" i="155"/>
  <c r="H518" i="155"/>
  <c r="H522" i="155"/>
  <c r="H526" i="155"/>
  <c r="H530" i="155"/>
  <c r="H534" i="155"/>
  <c r="H538" i="155"/>
  <c r="H542" i="155"/>
  <c r="H546" i="155"/>
  <c r="H550" i="155"/>
  <c r="H554" i="155"/>
  <c r="H558" i="155"/>
  <c r="H562" i="155"/>
  <c r="H566" i="155"/>
  <c r="H590" i="155"/>
  <c r="H594" i="155"/>
  <c r="H598" i="155"/>
  <c r="H602" i="155"/>
  <c r="H606" i="155"/>
  <c r="H670" i="155"/>
  <c r="H674" i="155"/>
  <c r="H678" i="155"/>
  <c r="H571" i="155"/>
  <c r="H575" i="155"/>
  <c r="H579" i="155"/>
  <c r="H583" i="155"/>
  <c r="H587" i="155"/>
  <c r="H572" i="155"/>
  <c r="H576" i="155"/>
  <c r="H580" i="155"/>
  <c r="H584" i="155"/>
  <c r="H588" i="155"/>
  <c r="H569" i="155"/>
  <c r="H573" i="155"/>
  <c r="H577" i="155"/>
  <c r="H581" i="155"/>
  <c r="H585" i="155"/>
  <c r="H570" i="155"/>
  <c r="H574" i="155"/>
  <c r="H578" i="155"/>
  <c r="H582" i="155"/>
  <c r="H586" i="155"/>
  <c r="H902" i="155"/>
  <c r="H903" i="155"/>
  <c r="H219" i="155"/>
  <c r="H223" i="155"/>
  <c r="H227" i="155"/>
  <c r="H216" i="155"/>
  <c r="H220" i="155"/>
  <c r="H224" i="155"/>
  <c r="H217" i="155"/>
  <c r="H221" i="155"/>
  <c r="H225" i="155"/>
  <c r="H218" i="155"/>
  <c r="H222" i="155"/>
  <c r="H226" i="155"/>
  <c r="H154" i="155"/>
  <c r="H158" i="155"/>
  <c r="H162" i="155"/>
  <c r="H166" i="155"/>
  <c r="H170" i="155"/>
  <c r="H174" i="155"/>
  <c r="H178" i="155"/>
  <c r="H182" i="155"/>
  <c r="H186" i="155"/>
  <c r="H190" i="155"/>
  <c r="H194" i="155"/>
  <c r="H199" i="155"/>
  <c r="H203" i="155"/>
  <c r="H207" i="155"/>
  <c r="H211" i="155"/>
  <c r="H215" i="155"/>
  <c r="H155" i="155"/>
  <c r="H159" i="155"/>
  <c r="H163" i="155"/>
  <c r="H167" i="155"/>
  <c r="H171" i="155"/>
  <c r="H175" i="155"/>
  <c r="H179" i="155"/>
  <c r="H183" i="155"/>
  <c r="H187" i="155"/>
  <c r="H191" i="155"/>
  <c r="H196" i="155"/>
  <c r="H200" i="155"/>
  <c r="H204" i="155"/>
  <c r="H208" i="155"/>
  <c r="H212" i="155"/>
  <c r="H151" i="155"/>
  <c r="H156" i="155"/>
  <c r="H160" i="155"/>
  <c r="H164" i="155"/>
  <c r="H168" i="155"/>
  <c r="H172" i="155"/>
  <c r="H176" i="155"/>
  <c r="H180" i="155"/>
  <c r="H184" i="155"/>
  <c r="H188" i="155"/>
  <c r="H192" i="155"/>
  <c r="H197" i="155"/>
  <c r="H201" i="155"/>
  <c r="H205" i="155"/>
  <c r="H209" i="155"/>
  <c r="H213" i="155"/>
  <c r="H157" i="155"/>
  <c r="H161" i="155"/>
  <c r="H165" i="155"/>
  <c r="H169" i="155"/>
  <c r="H173" i="155"/>
  <c r="H177" i="155"/>
  <c r="H181" i="155"/>
  <c r="H185" i="155"/>
  <c r="H189" i="155"/>
  <c r="H193" i="155"/>
  <c r="H198" i="155"/>
  <c r="H202" i="155"/>
  <c r="H206" i="155"/>
  <c r="H210" i="155"/>
  <c r="H214" i="155"/>
  <c r="H495" i="155"/>
  <c r="H499" i="155"/>
  <c r="H503" i="155"/>
  <c r="H507" i="155"/>
  <c r="H511" i="155"/>
  <c r="H515" i="155"/>
  <c r="H492" i="155"/>
  <c r="H496" i="155"/>
  <c r="H500" i="155"/>
  <c r="H504" i="155"/>
  <c r="H508" i="155"/>
  <c r="H512" i="155"/>
  <c r="H516" i="155"/>
  <c r="H493" i="155"/>
  <c r="H497" i="155"/>
  <c r="H501" i="155"/>
  <c r="H505" i="155"/>
  <c r="H509" i="155"/>
  <c r="H513" i="155"/>
  <c r="H494" i="155"/>
  <c r="H498" i="155"/>
  <c r="H502" i="155"/>
  <c r="H506" i="155"/>
  <c r="H510" i="155"/>
  <c r="H514" i="155"/>
  <c r="H611" i="155"/>
  <c r="H615" i="155"/>
  <c r="H619" i="155"/>
  <c r="H623" i="155"/>
  <c r="H627" i="155"/>
  <c r="H631" i="155"/>
  <c r="H635" i="155"/>
  <c r="H639" i="155"/>
  <c r="H643" i="155"/>
  <c r="H647" i="155"/>
  <c r="H651" i="155"/>
  <c r="H655" i="155"/>
  <c r="H659" i="155"/>
  <c r="H663" i="155"/>
  <c r="H667" i="155"/>
  <c r="H612" i="155"/>
  <c r="H616" i="155"/>
  <c r="H620" i="155"/>
  <c r="H624" i="155"/>
  <c r="H628" i="155"/>
  <c r="H632" i="155"/>
  <c r="H636" i="155"/>
  <c r="H640" i="155"/>
  <c r="H644" i="155"/>
  <c r="H648" i="155"/>
  <c r="H652" i="155"/>
  <c r="H656" i="155"/>
  <c r="H660" i="155"/>
  <c r="H664" i="155"/>
  <c r="H668" i="155"/>
  <c r="H609" i="155"/>
  <c r="H613" i="155"/>
  <c r="H617" i="155"/>
  <c r="H621" i="155"/>
  <c r="H625" i="155"/>
  <c r="H629" i="155"/>
  <c r="H633" i="155"/>
  <c r="H637" i="155"/>
  <c r="H641" i="155"/>
  <c r="H645" i="155"/>
  <c r="H649" i="155"/>
  <c r="H653" i="155"/>
  <c r="H657" i="155"/>
  <c r="H661" i="155"/>
  <c r="H665" i="155"/>
  <c r="H610" i="155"/>
  <c r="H614" i="155"/>
  <c r="H618" i="155"/>
  <c r="H622" i="155"/>
  <c r="H626" i="155"/>
  <c r="H630" i="155"/>
  <c r="H634" i="155"/>
  <c r="H638" i="155"/>
  <c r="H642" i="155"/>
  <c r="H646" i="155"/>
  <c r="H650" i="155"/>
  <c r="H654" i="155"/>
  <c r="H658" i="155"/>
  <c r="H662" i="155"/>
  <c r="H666" i="155"/>
  <c r="H905" i="155"/>
  <c r="H909" i="155"/>
  <c r="H913" i="155"/>
  <c r="H917" i="155"/>
  <c r="H921" i="155"/>
  <c r="H925" i="155"/>
  <c r="H929" i="155"/>
  <c r="H1121" i="155"/>
  <c r="H1125" i="155"/>
  <c r="H906" i="155"/>
  <c r="H910" i="155"/>
  <c r="H914" i="155"/>
  <c r="H918" i="155"/>
  <c r="H922" i="155"/>
  <c r="H926" i="155"/>
  <c r="H930" i="155"/>
  <c r="H1122" i="155"/>
  <c r="H1126" i="155"/>
  <c r="H907" i="155"/>
  <c r="H911" i="155"/>
  <c r="H915" i="155"/>
  <c r="H919" i="155"/>
  <c r="H923" i="155"/>
  <c r="H927" i="155"/>
  <c r="H931" i="155"/>
  <c r="H1123" i="155"/>
  <c r="H1127" i="155"/>
  <c r="H904" i="155"/>
  <c r="H908" i="155"/>
  <c r="H912" i="155"/>
  <c r="H916" i="155"/>
  <c r="H920" i="155"/>
  <c r="H924" i="155"/>
  <c r="H928" i="155"/>
  <c r="H1124" i="155"/>
  <c r="H1128" i="155"/>
  <c r="H1113" i="155"/>
  <c r="H1154" i="155"/>
  <c r="H1112" i="155"/>
  <c r="H2495" i="155"/>
  <c r="H2499" i="155"/>
  <c r="H2503" i="155"/>
  <c r="H2507" i="155"/>
  <c r="H2511" i="155"/>
  <c r="H2515" i="155"/>
  <c r="H2519" i="155"/>
  <c r="H2523" i="155"/>
  <c r="H2527" i="155"/>
  <c r="H2531" i="155"/>
  <c r="H2535" i="155"/>
  <c r="H2539" i="155"/>
  <c r="H2543" i="155"/>
  <c r="H2547" i="155"/>
  <c r="H2551" i="155"/>
  <c r="H2555" i="155"/>
  <c r="H2559" i="155"/>
  <c r="H2563" i="155"/>
  <c r="H2567" i="155"/>
  <c r="H2571" i="155"/>
  <c r="H2575" i="155"/>
  <c r="H2579" i="155"/>
  <c r="H2583" i="155"/>
  <c r="H2587" i="155"/>
  <c r="H2591" i="155"/>
  <c r="H2595" i="155"/>
  <c r="H2599" i="155"/>
  <c r="H2603" i="155"/>
  <c r="H2607" i="155"/>
  <c r="H2611" i="155"/>
  <c r="H2615" i="155"/>
  <c r="H2619" i="155"/>
  <c r="H2623" i="155"/>
  <c r="H2627" i="155"/>
  <c r="H2631" i="155"/>
  <c r="H2635" i="155"/>
  <c r="H2639" i="155"/>
  <c r="H2643" i="155"/>
  <c r="H2647" i="155"/>
  <c r="H2651" i="155"/>
  <c r="H2655" i="155"/>
  <c r="H2659" i="155"/>
  <c r="H2663" i="155"/>
  <c r="H2667" i="155"/>
  <c r="H2671" i="155"/>
  <c r="H2675" i="155"/>
  <c r="H2679" i="155"/>
  <c r="H2683" i="155"/>
  <c r="H2687" i="155"/>
  <c r="H2691" i="155"/>
  <c r="H2695" i="155"/>
  <c r="H2699" i="155"/>
  <c r="H2703" i="155"/>
  <c r="H2707" i="155"/>
  <c r="H2496" i="155"/>
  <c r="H2500" i="155"/>
  <c r="H2504" i="155"/>
  <c r="H2508" i="155"/>
  <c r="H2512" i="155"/>
  <c r="H2516" i="155"/>
  <c r="H2520" i="155"/>
  <c r="H2524" i="155"/>
  <c r="H2528" i="155"/>
  <c r="H2532" i="155"/>
  <c r="H2536" i="155"/>
  <c r="H2540" i="155"/>
  <c r="H2544" i="155"/>
  <c r="H2548" i="155"/>
  <c r="H2552" i="155"/>
  <c r="H2556" i="155"/>
  <c r="H2560" i="155"/>
  <c r="H2564" i="155"/>
  <c r="H2568" i="155"/>
  <c r="H2572" i="155"/>
  <c r="H2576" i="155"/>
  <c r="H2580" i="155"/>
  <c r="H2584" i="155"/>
  <c r="H2588" i="155"/>
  <c r="H2592" i="155"/>
  <c r="H2596" i="155"/>
  <c r="H2600" i="155"/>
  <c r="H2604" i="155"/>
  <c r="H2608" i="155"/>
  <c r="H2612" i="155"/>
  <c r="H2616" i="155"/>
  <c r="H2620" i="155"/>
  <c r="H2624" i="155"/>
  <c r="H2628" i="155"/>
  <c r="H2632" i="155"/>
  <c r="H2636" i="155"/>
  <c r="H2640" i="155"/>
  <c r="H2644" i="155"/>
  <c r="H2648" i="155"/>
  <c r="H2652" i="155"/>
  <c r="H2656" i="155"/>
  <c r="H2660" i="155"/>
  <c r="H2664" i="155"/>
  <c r="H2668" i="155"/>
  <c r="H2672" i="155"/>
  <c r="H2676" i="155"/>
  <c r="H2680" i="155"/>
  <c r="H2684" i="155"/>
  <c r="H2688" i="155"/>
  <c r="H2692" i="155"/>
  <c r="H2696" i="155"/>
  <c r="H2700" i="155"/>
  <c r="H2704" i="155"/>
  <c r="H2708" i="155"/>
  <c r="H2493" i="155"/>
  <c r="H2497" i="155"/>
  <c r="H2501" i="155"/>
  <c r="H2505" i="155"/>
  <c r="H2509" i="155"/>
  <c r="H2513" i="155"/>
  <c r="H2517" i="155"/>
  <c r="H2521" i="155"/>
  <c r="H2525" i="155"/>
  <c r="H2529" i="155"/>
  <c r="H2533" i="155"/>
  <c r="H2537" i="155"/>
  <c r="H2541" i="155"/>
  <c r="H2545" i="155"/>
  <c r="H2549" i="155"/>
  <c r="H2553" i="155"/>
  <c r="H2557" i="155"/>
  <c r="H2561" i="155"/>
  <c r="H2565" i="155"/>
  <c r="H2569" i="155"/>
  <c r="H2573" i="155"/>
  <c r="H2577" i="155"/>
  <c r="H2581" i="155"/>
  <c r="H2585" i="155"/>
  <c r="H2589" i="155"/>
  <c r="H2593" i="155"/>
  <c r="H2597" i="155"/>
  <c r="H2601" i="155"/>
  <c r="H2605" i="155"/>
  <c r="H2609" i="155"/>
  <c r="H2613" i="155"/>
  <c r="H2617" i="155"/>
  <c r="H2621" i="155"/>
  <c r="H2625" i="155"/>
  <c r="H2629" i="155"/>
  <c r="H2633" i="155"/>
  <c r="H2637" i="155"/>
  <c r="H2641" i="155"/>
  <c r="H2645" i="155"/>
  <c r="H2649" i="155"/>
  <c r="H2653" i="155"/>
  <c r="H2657" i="155"/>
  <c r="H2661" i="155"/>
  <c r="H2665" i="155"/>
  <c r="H2669" i="155"/>
  <c r="H2673" i="155"/>
  <c r="H2677" i="155"/>
  <c r="H2681" i="155"/>
  <c r="H2685" i="155"/>
  <c r="H2689" i="155"/>
  <c r="H2693" i="155"/>
  <c r="H2697" i="155"/>
  <c r="H2701" i="155"/>
  <c r="H2705" i="155"/>
  <c r="H2494" i="155"/>
  <c r="H2498" i="155"/>
  <c r="H2502" i="155"/>
  <c r="H2506" i="155"/>
  <c r="H2510" i="155"/>
  <c r="H2514" i="155"/>
  <c r="H2518" i="155"/>
  <c r="H2522" i="155"/>
  <c r="H2526" i="155"/>
  <c r="H2530" i="155"/>
  <c r="H2534" i="155"/>
  <c r="H2538" i="155"/>
  <c r="H2542" i="155"/>
  <c r="H2546" i="155"/>
  <c r="H2550" i="155"/>
  <c r="H2554" i="155"/>
  <c r="H2558" i="155"/>
  <c r="H2562" i="155"/>
  <c r="H2566" i="155"/>
  <c r="H2570" i="155"/>
  <c r="H2574" i="155"/>
  <c r="H2578" i="155"/>
  <c r="H2582" i="155"/>
  <c r="H2586" i="155"/>
  <c r="H2590" i="155"/>
  <c r="H2594" i="155"/>
  <c r="H2598" i="155"/>
  <c r="H2602" i="155"/>
  <c r="H2606" i="155"/>
  <c r="H2610" i="155"/>
  <c r="H2614" i="155"/>
  <c r="H2618" i="155"/>
  <c r="H2622" i="155"/>
  <c r="H2626" i="155"/>
  <c r="H2630" i="155"/>
  <c r="H2634" i="155"/>
  <c r="H2638" i="155"/>
  <c r="H2642" i="155"/>
  <c r="H2646" i="155"/>
  <c r="H2650" i="155"/>
  <c r="H2654" i="155"/>
  <c r="H2658" i="155"/>
  <c r="H2662" i="155"/>
  <c r="H2666" i="155"/>
  <c r="H2670" i="155"/>
  <c r="H2674" i="155"/>
  <c r="H2678" i="155"/>
  <c r="H2682" i="155"/>
  <c r="H2686" i="155"/>
  <c r="H2690" i="155"/>
  <c r="H2694" i="155"/>
  <c r="H2698" i="155"/>
  <c r="H2702" i="155"/>
  <c r="H2706" i="155"/>
  <c r="H2041" i="155"/>
  <c r="H2045" i="155"/>
  <c r="H2049" i="155"/>
  <c r="H2053" i="155"/>
  <c r="H2057" i="155"/>
  <c r="H2061" i="155"/>
  <c r="H2065" i="155"/>
  <c r="H2042" i="155"/>
  <c r="H2046" i="155"/>
  <c r="H2050" i="155"/>
  <c r="H2054" i="155"/>
  <c r="H2058" i="155"/>
  <c r="H2062" i="155"/>
  <c r="H2066" i="155"/>
  <c r="H2043" i="155"/>
  <c r="H2047" i="155"/>
  <c r="H2051" i="155"/>
  <c r="H2055" i="155"/>
  <c r="H2059" i="155"/>
  <c r="H2063" i="155"/>
  <c r="H2067" i="155"/>
  <c r="H2044" i="155"/>
  <c r="H2048" i="155"/>
  <c r="H2052" i="155"/>
  <c r="H2056" i="155"/>
  <c r="H2060" i="155"/>
  <c r="H2064" i="155"/>
  <c r="H2094" i="155"/>
  <c r="H2098" i="155"/>
  <c r="H2095" i="155"/>
  <c r="H2099" i="155"/>
  <c r="H2096" i="155"/>
  <c r="H2093" i="155"/>
  <c r="H2097" i="155"/>
  <c r="H2102" i="155"/>
  <c r="H2100" i="155"/>
  <c r="H2101" i="155"/>
  <c r="H1373" i="155"/>
  <c r="H1377" i="155"/>
  <c r="H1381" i="155"/>
  <c r="H1370" i="155"/>
  <c r="H1374" i="155"/>
  <c r="H1378" i="155"/>
  <c r="H1382" i="155"/>
  <c r="H1371" i="155"/>
  <c r="H1375" i="155"/>
  <c r="H1379" i="155"/>
  <c r="H1383" i="155"/>
  <c r="H1372" i="155"/>
  <c r="H1376" i="155"/>
  <c r="H1380" i="155"/>
  <c r="H1384" i="155"/>
  <c r="H1365" i="155"/>
  <c r="H1369" i="155"/>
  <c r="H1362" i="155"/>
  <c r="H1366" i="155"/>
  <c r="H1363" i="155"/>
  <c r="H1367" i="155"/>
  <c r="H1364" i="155"/>
  <c r="H1368" i="155"/>
  <c r="H1205" i="155"/>
  <c r="H1209" i="155"/>
  <c r="H1213" i="155"/>
  <c r="H1217" i="155"/>
  <c r="H1221" i="155"/>
  <c r="H1225" i="155"/>
  <c r="H1229" i="155"/>
  <c r="H1206" i="155"/>
  <c r="H1210" i="155"/>
  <c r="H1214" i="155"/>
  <c r="H1218" i="155"/>
  <c r="H1222" i="155"/>
  <c r="H1226" i="155"/>
  <c r="H1207" i="155"/>
  <c r="H1211" i="155"/>
  <c r="H1215" i="155"/>
  <c r="H1219" i="155"/>
  <c r="H1223" i="155"/>
  <c r="H1227" i="155"/>
  <c r="H1204" i="155"/>
  <c r="H1208" i="155"/>
  <c r="H1212" i="155"/>
  <c r="H1216" i="155"/>
  <c r="H1220" i="155"/>
  <c r="H1224" i="155"/>
  <c r="H1228" i="155"/>
  <c r="H1169" i="155"/>
  <c r="H1173" i="155"/>
  <c r="H1177" i="155"/>
  <c r="H1181" i="155"/>
  <c r="H1185" i="155"/>
  <c r="H1189" i="155"/>
  <c r="H1193" i="155"/>
  <c r="H1197" i="155"/>
  <c r="H1201" i="155"/>
  <c r="H1170" i="155"/>
  <c r="H1174" i="155"/>
  <c r="H1178" i="155"/>
  <c r="H1182" i="155"/>
  <c r="H1186" i="155"/>
  <c r="H1190" i="155"/>
  <c r="H1194" i="155"/>
  <c r="H1198" i="155"/>
  <c r="H1202" i="155"/>
  <c r="H1171" i="155"/>
  <c r="H1175" i="155"/>
  <c r="H1179" i="155"/>
  <c r="H1183" i="155"/>
  <c r="H1187" i="155"/>
  <c r="H1191" i="155"/>
  <c r="H1195" i="155"/>
  <c r="H1199" i="155"/>
  <c r="H1203" i="155"/>
  <c r="H1168" i="155"/>
  <c r="H1172" i="155"/>
  <c r="H1176" i="155"/>
  <c r="H1180" i="155"/>
  <c r="H1184" i="155"/>
  <c r="H1188" i="155"/>
  <c r="H1192" i="155"/>
  <c r="H1196" i="155"/>
  <c r="H1200" i="155"/>
  <c r="H1305" i="155"/>
  <c r="H1309" i="155"/>
  <c r="H1313" i="155"/>
  <c r="H1317" i="155"/>
  <c r="H1321" i="155"/>
  <c r="H1325" i="155"/>
  <c r="H1329" i="155"/>
  <c r="H1333" i="155"/>
  <c r="H1337" i="155"/>
  <c r="H1341" i="155"/>
  <c r="H1345" i="155"/>
  <c r="H1349" i="155"/>
  <c r="H1353" i="155"/>
  <c r="H1357" i="155"/>
  <c r="H1361" i="155"/>
  <c r="H1302" i="155"/>
  <c r="H1306" i="155"/>
  <c r="H1310" i="155"/>
  <c r="H1314" i="155"/>
  <c r="H1318" i="155"/>
  <c r="H1322" i="155"/>
  <c r="H1326" i="155"/>
  <c r="H1330" i="155"/>
  <c r="H1334" i="155"/>
  <c r="H1338" i="155"/>
  <c r="H1342" i="155"/>
  <c r="H1346" i="155"/>
  <c r="H1350" i="155"/>
  <c r="H1354" i="155"/>
  <c r="H1358" i="155"/>
  <c r="H1303" i="155"/>
  <c r="H1307" i="155"/>
  <c r="H1311" i="155"/>
  <c r="H1315" i="155"/>
  <c r="H1319" i="155"/>
  <c r="H1323" i="155"/>
  <c r="H1327" i="155"/>
  <c r="H1331" i="155"/>
  <c r="H1335" i="155"/>
  <c r="H1339" i="155"/>
  <c r="H1343" i="155"/>
  <c r="H1347" i="155"/>
  <c r="H1351" i="155"/>
  <c r="H1355" i="155"/>
  <c r="H1359" i="155"/>
  <c r="H1304" i="155"/>
  <c r="H1308" i="155"/>
  <c r="H1312" i="155"/>
  <c r="H1316" i="155"/>
  <c r="H1320" i="155"/>
  <c r="H1324" i="155"/>
  <c r="H1328" i="155"/>
  <c r="H1332" i="155"/>
  <c r="H1336" i="155"/>
  <c r="H1340" i="155"/>
  <c r="H1344" i="155"/>
  <c r="H1348" i="155"/>
  <c r="H1352" i="155"/>
  <c r="H1356" i="155"/>
  <c r="H1360" i="155"/>
  <c r="H2106" i="155"/>
  <c r="H2110" i="155"/>
  <c r="H2114" i="155"/>
  <c r="H2118" i="155"/>
  <c r="H2122" i="155"/>
  <c r="H2126" i="155"/>
  <c r="H2103" i="155"/>
  <c r="H2107" i="155"/>
  <c r="H2111" i="155"/>
  <c r="H2115" i="155"/>
  <c r="H2119" i="155"/>
  <c r="H2123" i="155"/>
  <c r="H2104" i="155"/>
  <c r="H2108" i="155"/>
  <c r="H2112" i="155"/>
  <c r="H2116" i="155"/>
  <c r="H2120" i="155"/>
  <c r="H2124" i="155"/>
  <c r="H2105" i="155"/>
  <c r="H2109" i="155"/>
  <c r="H2113" i="155"/>
  <c r="H2117" i="155"/>
  <c r="H2121" i="155"/>
  <c r="H2125" i="155"/>
  <c r="H869" i="155"/>
  <c r="H873" i="155"/>
  <c r="H877" i="155"/>
  <c r="H881" i="155"/>
  <c r="H870" i="155"/>
  <c r="H874" i="155"/>
  <c r="H878" i="155"/>
  <c r="H871" i="155"/>
  <c r="H875" i="155"/>
  <c r="H879" i="155"/>
  <c r="H868" i="155"/>
  <c r="H872" i="155"/>
  <c r="H876" i="155"/>
  <c r="H880" i="155"/>
  <c r="H859" i="155"/>
  <c r="H860" i="155"/>
  <c r="H861" i="155"/>
  <c r="H862" i="155"/>
  <c r="H2350" i="155"/>
  <c r="H2354" i="155"/>
  <c r="H2358" i="155"/>
  <c r="H2362" i="155"/>
  <c r="H2351" i="155"/>
  <c r="H2355" i="155"/>
  <c r="H2359" i="155"/>
  <c r="H2363" i="155"/>
  <c r="H2352" i="155"/>
  <c r="H2356" i="155"/>
  <c r="H2360" i="155"/>
  <c r="H2364" i="155"/>
  <c r="H2368" i="155"/>
  <c r="H2353" i="155"/>
  <c r="H2357" i="155"/>
  <c r="H2361" i="155"/>
  <c r="H2365" i="155"/>
  <c r="H2366" i="155"/>
  <c r="H2371" i="155"/>
  <c r="H2375" i="155"/>
  <c r="H2379" i="155"/>
  <c r="H2383" i="155"/>
  <c r="H2367" i="155"/>
  <c r="H2372" i="155"/>
  <c r="H2376" i="155"/>
  <c r="H2380" i="155"/>
  <c r="H2369" i="155"/>
  <c r="H2373" i="155"/>
  <c r="H2377" i="155"/>
  <c r="H2381" i="155"/>
  <c r="H2370" i="155"/>
  <c r="H2374" i="155"/>
  <c r="H2378" i="155"/>
  <c r="H2382" i="155"/>
  <c r="H2194" i="155"/>
  <c r="H2198" i="155"/>
  <c r="H2202" i="155"/>
  <c r="H2206" i="155"/>
  <c r="H2210" i="155"/>
  <c r="H2214" i="155"/>
  <c r="H2218" i="155"/>
  <c r="H2222" i="155"/>
  <c r="H2226" i="155"/>
  <c r="H2230" i="155"/>
  <c r="H2234" i="155"/>
  <c r="H2238" i="155"/>
  <c r="H2242" i="155"/>
  <c r="H2246" i="155"/>
  <c r="H2250" i="155"/>
  <c r="H2254" i="155"/>
  <c r="H2258" i="155"/>
  <c r="H2262" i="155"/>
  <c r="H2266" i="155"/>
  <c r="H2270" i="155"/>
  <c r="H2310" i="155"/>
  <c r="H2314" i="155"/>
  <c r="H2318" i="155"/>
  <c r="H2322" i="155"/>
  <c r="H2326" i="155"/>
  <c r="H2330" i="155"/>
  <c r="H2334" i="155"/>
  <c r="H2338" i="155"/>
  <c r="H2342" i="155"/>
  <c r="H2346" i="155"/>
  <c r="H2195" i="155"/>
  <c r="H2199" i="155"/>
  <c r="H2203" i="155"/>
  <c r="H2207" i="155"/>
  <c r="H2211" i="155"/>
  <c r="H2215" i="155"/>
  <c r="H2219" i="155"/>
  <c r="H2223" i="155"/>
  <c r="H2227" i="155"/>
  <c r="H2231" i="155"/>
  <c r="H2235" i="155"/>
  <c r="H2239" i="155"/>
  <c r="H2243" i="155"/>
  <c r="H2247" i="155"/>
  <c r="H2251" i="155"/>
  <c r="H2255" i="155"/>
  <c r="H2259" i="155"/>
  <c r="H2263" i="155"/>
  <c r="H2267" i="155"/>
  <c r="H2271" i="155"/>
  <c r="H2311" i="155"/>
  <c r="H2315" i="155"/>
  <c r="H2319" i="155"/>
  <c r="H2323" i="155"/>
  <c r="H2327" i="155"/>
  <c r="H2331" i="155"/>
  <c r="H2335" i="155"/>
  <c r="H2339" i="155"/>
  <c r="H2343" i="155"/>
  <c r="H2347" i="155"/>
  <c r="H2192" i="155"/>
  <c r="H2196" i="155"/>
  <c r="H2200" i="155"/>
  <c r="H2204" i="155"/>
  <c r="H2208" i="155"/>
  <c r="H2212" i="155"/>
  <c r="H2216" i="155"/>
  <c r="H2220" i="155"/>
  <c r="H2224" i="155"/>
  <c r="H2228" i="155"/>
  <c r="H2232" i="155"/>
  <c r="H2236" i="155"/>
  <c r="H2240" i="155"/>
  <c r="H2244" i="155"/>
  <c r="H2248" i="155"/>
  <c r="H2252" i="155"/>
  <c r="H2256" i="155"/>
  <c r="H2260" i="155"/>
  <c r="H2264" i="155"/>
  <c r="H2268" i="155"/>
  <c r="H2312" i="155"/>
  <c r="H2316" i="155"/>
  <c r="H2320" i="155"/>
  <c r="H2324" i="155"/>
  <c r="H2328" i="155"/>
  <c r="H2332" i="155"/>
  <c r="H2336" i="155"/>
  <c r="H2340" i="155"/>
  <c r="H2344" i="155"/>
  <c r="H2348" i="155"/>
  <c r="H2193" i="155"/>
  <c r="H2197" i="155"/>
  <c r="H2201" i="155"/>
  <c r="H2205" i="155"/>
  <c r="H2209" i="155"/>
  <c r="H2213" i="155"/>
  <c r="H2217" i="155"/>
  <c r="H2221" i="155"/>
  <c r="H2225" i="155"/>
  <c r="H2229" i="155"/>
  <c r="H2233" i="155"/>
  <c r="H2237" i="155"/>
  <c r="H2241" i="155"/>
  <c r="H2245" i="155"/>
  <c r="H2249" i="155"/>
  <c r="H2253" i="155"/>
  <c r="H2257" i="155"/>
  <c r="H2261" i="155"/>
  <c r="H2265" i="155"/>
  <c r="H2269" i="155"/>
  <c r="H2313" i="155"/>
  <c r="H2317" i="155"/>
  <c r="H2321" i="155"/>
  <c r="H2325" i="155"/>
  <c r="H2329" i="155"/>
  <c r="H2333" i="155"/>
  <c r="H2337" i="155"/>
  <c r="H2341" i="155"/>
  <c r="H2345" i="155"/>
  <c r="H2349" i="155"/>
  <c r="H2019" i="155"/>
  <c r="H2023" i="155"/>
  <c r="H2016" i="155"/>
  <c r="H2020" i="155"/>
  <c r="H2024" i="155"/>
  <c r="H2091" i="155"/>
  <c r="H2017" i="155"/>
  <c r="H2021" i="155"/>
  <c r="H2092" i="155"/>
  <c r="H2018" i="155"/>
  <c r="H2022" i="155"/>
  <c r="H2463" i="155"/>
  <c r="H2464" i="155"/>
  <c r="H2461" i="155"/>
  <c r="H2462" i="155"/>
  <c r="H2439" i="155"/>
  <c r="H2443" i="155"/>
  <c r="H2447" i="155"/>
  <c r="H2451" i="155"/>
  <c r="H2455" i="155"/>
  <c r="H2459" i="155"/>
  <c r="H2440" i="155"/>
  <c r="H2444" i="155"/>
  <c r="H2448" i="155"/>
  <c r="H2452" i="155"/>
  <c r="H2456" i="155"/>
  <c r="H2460" i="155"/>
  <c r="H2441" i="155"/>
  <c r="H2445" i="155"/>
  <c r="H2449" i="155"/>
  <c r="H2453" i="155"/>
  <c r="H2457" i="155"/>
  <c r="H2438" i="155"/>
  <c r="H2442" i="155"/>
  <c r="H2446" i="155"/>
  <c r="H2450" i="155"/>
  <c r="H2454" i="155"/>
  <c r="H2458" i="155"/>
  <c r="H889" i="155"/>
  <c r="H893" i="155"/>
  <c r="H897" i="155"/>
  <c r="H890" i="155"/>
  <c r="H894" i="155"/>
  <c r="H891" i="155"/>
  <c r="H895" i="155"/>
  <c r="H888" i="155"/>
  <c r="H892" i="155"/>
  <c r="H896" i="155"/>
  <c r="G53" i="167" l="1"/>
  <c r="F53" i="167"/>
  <c r="P897" i="155"/>
  <c r="C54" i="58" l="1"/>
  <c r="A50" i="58"/>
  <c r="G33" i="166"/>
  <c r="F33" i="166"/>
  <c r="J3" i="155"/>
  <c r="G4" i="164"/>
  <c r="F4" i="164"/>
  <c r="I1" i="155"/>
  <c r="M3" i="9" l="1"/>
  <c r="M2" i="9"/>
  <c r="L3" i="9"/>
  <c r="F352" i="167" l="1"/>
  <c r="G352" i="167"/>
  <c r="C10" i="125" l="1"/>
  <c r="D35" i="90"/>
  <c r="H35" i="90"/>
  <c r="C11" i="168" l="1"/>
  <c r="C3" i="168"/>
  <c r="D11" i="27"/>
  <c r="C55" i="58"/>
  <c r="H11" i="109"/>
  <c r="C238" i="167"/>
  <c r="C225" i="167"/>
  <c r="C48" i="167"/>
  <c r="C47" i="167"/>
  <c r="X8" i="165"/>
  <c r="AR6" i="165"/>
  <c r="AR10" i="165"/>
  <c r="AC11" i="165"/>
  <c r="B54" i="58"/>
  <c r="C21" i="166"/>
  <c r="C18" i="166"/>
  <c r="B5" i="7"/>
  <c r="B1" i="155"/>
  <c r="C6" i="7" l="1"/>
  <c r="D17" i="165"/>
  <c r="AD897" i="155"/>
  <c r="AD1583" i="155"/>
  <c r="AD1574" i="155"/>
  <c r="AD830" i="155"/>
  <c r="AD1582" i="155"/>
  <c r="AD1581" i="155"/>
  <c r="AD1573" i="155"/>
  <c r="AD1572" i="155"/>
  <c r="AD831" i="155"/>
  <c r="AD1580" i="155"/>
  <c r="AD1571" i="155"/>
  <c r="AD832" i="155"/>
  <c r="AD1588" i="155"/>
  <c r="AD1587" i="155"/>
  <c r="AD1579" i="155"/>
  <c r="AD1578" i="155"/>
  <c r="AD1586" i="155"/>
  <c r="AD1577" i="155"/>
  <c r="AD834" i="155"/>
  <c r="AD828" i="155"/>
  <c r="AD1585" i="155"/>
  <c r="AD1584" i="155"/>
  <c r="AD1576" i="155"/>
  <c r="AD1575" i="155"/>
  <c r="AD833" i="155"/>
  <c r="AD829" i="155"/>
  <c r="AD835" i="155"/>
  <c r="Q831" i="155"/>
  <c r="Q830" i="155"/>
  <c r="Q835" i="155"/>
  <c r="Q829" i="155"/>
  <c r="Q833" i="155"/>
  <c r="Q834" i="155"/>
  <c r="Q832" i="155"/>
  <c r="Q828" i="155"/>
  <c r="AD1612" i="155"/>
  <c r="AD1609" i="155"/>
  <c r="AD1606" i="155"/>
  <c r="AD1611" i="155"/>
  <c r="AD1608" i="155"/>
  <c r="AD1605" i="155"/>
  <c r="AD1596" i="155"/>
  <c r="AD1593" i="155"/>
  <c r="AD1613" i="155"/>
  <c r="AD1610" i="155"/>
  <c r="AD1607" i="155"/>
  <c r="AD1592" i="155"/>
  <c r="AD1591" i="155"/>
  <c r="AD1590" i="155"/>
  <c r="AD1589" i="155"/>
  <c r="AD1595" i="155"/>
  <c r="AD1594" i="155"/>
  <c r="AD1597" i="155"/>
  <c r="Q1619" i="155"/>
  <c r="Q1616" i="155"/>
  <c r="Q1613" i="155"/>
  <c r="Q1610" i="155"/>
  <c r="Q1607" i="155"/>
  <c r="Q1604" i="155"/>
  <c r="Q1601" i="155"/>
  <c r="Q1598" i="155"/>
  <c r="Q1595" i="155"/>
  <c r="Q1592" i="155"/>
  <c r="Q1589" i="155"/>
  <c r="Q1586" i="155"/>
  <c r="Q1583" i="155"/>
  <c r="Q1580" i="155"/>
  <c r="Q1577" i="155"/>
  <c r="Q1574" i="155"/>
  <c r="Q1620" i="155"/>
  <c r="Q1617" i="155"/>
  <c r="Q1614" i="155"/>
  <c r="Q1611" i="155"/>
  <c r="Q1608" i="155"/>
  <c r="Q1605" i="155"/>
  <c r="Q1602" i="155"/>
  <c r="Q1599" i="155"/>
  <c r="Q1596" i="155"/>
  <c r="Q1593" i="155"/>
  <c r="Q1590" i="155"/>
  <c r="Q1587" i="155"/>
  <c r="Q1584" i="155"/>
  <c r="Q1581" i="155"/>
  <c r="Q1578" i="155"/>
  <c r="Q1575" i="155"/>
  <c r="Q1572" i="155"/>
  <c r="Q1588" i="155"/>
  <c r="Q1579" i="155"/>
  <c r="Q1571" i="155"/>
  <c r="Q1615" i="155"/>
  <c r="Q1612" i="155"/>
  <c r="Q1609" i="155"/>
  <c r="Q1606" i="155"/>
  <c r="Q1603" i="155"/>
  <c r="Q1597" i="155"/>
  <c r="Q1585" i="155"/>
  <c r="Q1576" i="155"/>
  <c r="Q1600" i="155"/>
  <c r="Q1591" i="155"/>
  <c r="Q1582" i="155"/>
  <c r="Q1573" i="155"/>
  <c r="Q1618" i="155"/>
  <c r="Q1594" i="155"/>
  <c r="S834" i="155"/>
  <c r="S828" i="155"/>
  <c r="S835" i="155"/>
  <c r="S829" i="155"/>
  <c r="S830" i="155"/>
  <c r="S832" i="155"/>
  <c r="S831" i="155"/>
  <c r="S833" i="155"/>
  <c r="AG1619" i="155"/>
  <c r="AG1616" i="155"/>
  <c r="AG1613" i="155"/>
  <c r="AG1610" i="155"/>
  <c r="AG1607" i="155"/>
  <c r="AG1604" i="155"/>
  <c r="AG1601" i="155"/>
  <c r="AG1598" i="155"/>
  <c r="AG1595" i="155"/>
  <c r="AG1592" i="155"/>
  <c r="AG1589" i="155"/>
  <c r="AG1586" i="155"/>
  <c r="AG1583" i="155"/>
  <c r="AG1580" i="155"/>
  <c r="AG1577" i="155"/>
  <c r="AG1574" i="155"/>
  <c r="AG1571" i="155"/>
  <c r="AG1620" i="155"/>
  <c r="AG1617" i="155"/>
  <c r="AG1614" i="155"/>
  <c r="AG1611" i="155"/>
  <c r="AG1608" i="155"/>
  <c r="AG1605" i="155"/>
  <c r="AG1602" i="155"/>
  <c r="AG1599" i="155"/>
  <c r="AG1596" i="155"/>
  <c r="AG1593" i="155"/>
  <c r="AG1590" i="155"/>
  <c r="AG1587" i="155"/>
  <c r="AG1584" i="155"/>
  <c r="AG1581" i="155"/>
  <c r="AG1578" i="155"/>
  <c r="AG1575" i="155"/>
  <c r="AG1572" i="155"/>
  <c r="AG1615" i="155"/>
  <c r="AG1600" i="155"/>
  <c r="AG1591" i="155"/>
  <c r="AG1582" i="155"/>
  <c r="AG1573" i="155"/>
  <c r="AG831" i="155"/>
  <c r="AG832" i="155"/>
  <c r="AG1594" i="155"/>
  <c r="AG1588" i="155"/>
  <c r="AG1579" i="155"/>
  <c r="AG833" i="155"/>
  <c r="AG1618" i="155"/>
  <c r="AG1597" i="155"/>
  <c r="AG1585" i="155"/>
  <c r="AG1576" i="155"/>
  <c r="AG835" i="155"/>
  <c r="AG829" i="155"/>
  <c r="AG1612" i="155"/>
  <c r="AG1609" i="155"/>
  <c r="AG1606" i="155"/>
  <c r="AG1603" i="155"/>
  <c r="AG834" i="155"/>
  <c r="AG830" i="155"/>
  <c r="AG828" i="155"/>
  <c r="AC7" i="165"/>
  <c r="R1619" i="155"/>
  <c r="P1618" i="155"/>
  <c r="R1616" i="155"/>
  <c r="P1615" i="155"/>
  <c r="R1613" i="155"/>
  <c r="P1612" i="155"/>
  <c r="R1610" i="155"/>
  <c r="P1609" i="155"/>
  <c r="R1607" i="155"/>
  <c r="P1606" i="155"/>
  <c r="R1604" i="155"/>
  <c r="P1603" i="155"/>
  <c r="R1620" i="155"/>
  <c r="P1619" i="155"/>
  <c r="R1617" i="155"/>
  <c r="P1616" i="155"/>
  <c r="P1620" i="155"/>
  <c r="R1618" i="155"/>
  <c r="P1617" i="155"/>
  <c r="R1615" i="155"/>
  <c r="P1614" i="155"/>
  <c r="R1612" i="155"/>
  <c r="P1611" i="155"/>
  <c r="R1609" i="155"/>
  <c r="P1608" i="155"/>
  <c r="R1606" i="155"/>
  <c r="P1605" i="155"/>
  <c r="R1603" i="155"/>
  <c r="P1602" i="155"/>
  <c r="R1600" i="155"/>
  <c r="P1599" i="155"/>
  <c r="R1597" i="155"/>
  <c r="P1596" i="155"/>
  <c r="R1594" i="155"/>
  <c r="P1593" i="155"/>
  <c r="R1596" i="155"/>
  <c r="P1595" i="155"/>
  <c r="P1594" i="155"/>
  <c r="P1589" i="155"/>
  <c r="R1587" i="155"/>
  <c r="P1580" i="155"/>
  <c r="R1578" i="155"/>
  <c r="R1598" i="155"/>
  <c r="P1588" i="155"/>
  <c r="P1587" i="155"/>
  <c r="R1586" i="155"/>
  <c r="R1585" i="155"/>
  <c r="P1579" i="155"/>
  <c r="P1578" i="155"/>
  <c r="R1577" i="155"/>
  <c r="R1576" i="155"/>
  <c r="P1571" i="155"/>
  <c r="P1598" i="155"/>
  <c r="P1597" i="155"/>
  <c r="R1584" i="155"/>
  <c r="R1599" i="155"/>
  <c r="P1586" i="155"/>
  <c r="P1577" i="155"/>
  <c r="R1575" i="155"/>
  <c r="P1613" i="155"/>
  <c r="P1610" i="155"/>
  <c r="P1607" i="155"/>
  <c r="P1604" i="155"/>
  <c r="R1601" i="155"/>
  <c r="R1592" i="155"/>
  <c r="R1591" i="155"/>
  <c r="P1585" i="155"/>
  <c r="P1584" i="155"/>
  <c r="R1583" i="155"/>
  <c r="R1582" i="155"/>
  <c r="R1614" i="155"/>
  <c r="R1611" i="155"/>
  <c r="R1608" i="155"/>
  <c r="R1605" i="155"/>
  <c r="R1602" i="155"/>
  <c r="P1601" i="155"/>
  <c r="P1600" i="155"/>
  <c r="R1593" i="155"/>
  <c r="P1592" i="155"/>
  <c r="R1590" i="155"/>
  <c r="P1583" i="155"/>
  <c r="R1581" i="155"/>
  <c r="P1574" i="155"/>
  <c r="R1572" i="155"/>
  <c r="R1595" i="155"/>
  <c r="P1591" i="155"/>
  <c r="P1590" i="155"/>
  <c r="R1589" i="155"/>
  <c r="R1588" i="155"/>
  <c r="P1582" i="155"/>
  <c r="P1581" i="155"/>
  <c r="R1580" i="155"/>
  <c r="R1579" i="155"/>
  <c r="P1573" i="155"/>
  <c r="R1574" i="155"/>
  <c r="P1576" i="155"/>
  <c r="R1573" i="155"/>
  <c r="R1571" i="155"/>
  <c r="P1575" i="155"/>
  <c r="P1572" i="155"/>
  <c r="T1620" i="155"/>
  <c r="T1617" i="155"/>
  <c r="T1614" i="155"/>
  <c r="T1611" i="155"/>
  <c r="T1608" i="155"/>
  <c r="T1605" i="155"/>
  <c r="T1602" i="155"/>
  <c r="T1618" i="155"/>
  <c r="T1615" i="155"/>
  <c r="T1619" i="155"/>
  <c r="T1616" i="155"/>
  <c r="T1613" i="155"/>
  <c r="T1610" i="155"/>
  <c r="T1607" i="155"/>
  <c r="T1604" i="155"/>
  <c r="T1601" i="155"/>
  <c r="T1598" i="155"/>
  <c r="T1595" i="155"/>
  <c r="T1592" i="155"/>
  <c r="T1612" i="155"/>
  <c r="T1609" i="155"/>
  <c r="T1606" i="155"/>
  <c r="T1603" i="155"/>
  <c r="T1597" i="155"/>
  <c r="T1585" i="155"/>
  <c r="T1576" i="155"/>
  <c r="T1599" i="155"/>
  <c r="T1584" i="155"/>
  <c r="T1583" i="155"/>
  <c r="T1575" i="155"/>
  <c r="T1574" i="155"/>
  <c r="T1591" i="155"/>
  <c r="T1600" i="155"/>
  <c r="T1582" i="155"/>
  <c r="T1573" i="155"/>
  <c r="T1593" i="155"/>
  <c r="T1590" i="155"/>
  <c r="T1589" i="155"/>
  <c r="T1581" i="155"/>
  <c r="T1580" i="155"/>
  <c r="T1594" i="155"/>
  <c r="T1588" i="155"/>
  <c r="T1579" i="155"/>
  <c r="T1596" i="155"/>
  <c r="T1587" i="155"/>
  <c r="T1586" i="155"/>
  <c r="T1578" i="155"/>
  <c r="T1577" i="155"/>
  <c r="T1571" i="155"/>
  <c r="T1572" i="155"/>
  <c r="B3" i="155"/>
  <c r="T835" i="155"/>
  <c r="T829" i="155"/>
  <c r="T830" i="155"/>
  <c r="T831" i="155"/>
  <c r="T833" i="155"/>
  <c r="T834" i="155"/>
  <c r="T828" i="155"/>
  <c r="T832" i="155"/>
  <c r="A3" i="155"/>
  <c r="S1620" i="155"/>
  <c r="S1617" i="155"/>
  <c r="S1614" i="155"/>
  <c r="S1611" i="155"/>
  <c r="S1608" i="155"/>
  <c r="S1605" i="155"/>
  <c r="S1602" i="155"/>
  <c r="S1599" i="155"/>
  <c r="S1596" i="155"/>
  <c r="S1593" i="155"/>
  <c r="S1590" i="155"/>
  <c r="S1587" i="155"/>
  <c r="S1584" i="155"/>
  <c r="S1581" i="155"/>
  <c r="S1578" i="155"/>
  <c r="S1575" i="155"/>
  <c r="S1572" i="155"/>
  <c r="S1618" i="155"/>
  <c r="S1615" i="155"/>
  <c r="S1612" i="155"/>
  <c r="S1609" i="155"/>
  <c r="S1606" i="155"/>
  <c r="S1603" i="155"/>
  <c r="S1600" i="155"/>
  <c r="S1597" i="155"/>
  <c r="S1594" i="155"/>
  <c r="S1591" i="155"/>
  <c r="S1588" i="155"/>
  <c r="S1585" i="155"/>
  <c r="S1582" i="155"/>
  <c r="S1579" i="155"/>
  <c r="S1576" i="155"/>
  <c r="S1573" i="155"/>
  <c r="S1598" i="155"/>
  <c r="S1586" i="155"/>
  <c r="S1577" i="155"/>
  <c r="S1601" i="155"/>
  <c r="S1592" i="155"/>
  <c r="S1619" i="155"/>
  <c r="S1613" i="155"/>
  <c r="S1610" i="155"/>
  <c r="S1607" i="155"/>
  <c r="S1604" i="155"/>
  <c r="S1583" i="155"/>
  <c r="S1574" i="155"/>
  <c r="S1616" i="155"/>
  <c r="S1595" i="155"/>
  <c r="S1589" i="155"/>
  <c r="S1580" i="155"/>
  <c r="S1571" i="155"/>
  <c r="AD1618" i="155"/>
  <c r="AD1615" i="155"/>
  <c r="AD1603" i="155"/>
  <c r="AD1619" i="155"/>
  <c r="AD1616" i="155"/>
  <c r="AD1620" i="155"/>
  <c r="AD1617" i="155"/>
  <c r="AD1614" i="155"/>
  <c r="AD1602" i="155"/>
  <c r="AD1599" i="155"/>
  <c r="AD1604" i="155"/>
  <c r="AD1601" i="155"/>
  <c r="AD1600" i="155"/>
  <c r="AD1598" i="155"/>
  <c r="D11" i="174"/>
  <c r="D24" i="174"/>
  <c r="A6" i="24"/>
  <c r="A17" i="74"/>
  <c r="A8" i="162"/>
  <c r="A8" i="148"/>
  <c r="A8" i="152"/>
  <c r="A8" i="144"/>
  <c r="A36" i="139"/>
  <c r="A8" i="135"/>
  <c r="A360" i="134"/>
  <c r="A280" i="134"/>
  <c r="A234" i="134"/>
  <c r="A163" i="134"/>
  <c r="A101" i="134"/>
  <c r="A23" i="134"/>
  <c r="A7" i="131"/>
  <c r="A8" i="161"/>
  <c r="A42" i="145"/>
  <c r="A44" i="149"/>
  <c r="A8" i="143"/>
  <c r="A8" i="139"/>
  <c r="A328" i="134"/>
  <c r="A208" i="134"/>
  <c r="A8" i="134"/>
  <c r="A37" i="136"/>
  <c r="A80" i="134"/>
  <c r="A25" i="145"/>
  <c r="A26" i="149"/>
  <c r="A9" i="138"/>
  <c r="A7" i="136"/>
  <c r="A314" i="134"/>
  <c r="A258" i="134"/>
  <c r="A192" i="134"/>
  <c r="A132" i="134"/>
  <c r="A63" i="134"/>
  <c r="A9" i="133"/>
  <c r="A7" i="153"/>
  <c r="A8" i="145"/>
  <c r="A8" i="149"/>
  <c r="A8" i="140"/>
  <c r="A8" i="137"/>
  <c r="A374" i="134"/>
  <c r="A297" i="134"/>
  <c r="A246" i="134"/>
  <c r="A179" i="134"/>
  <c r="A116" i="134"/>
  <c r="A42" i="134"/>
  <c r="A8" i="132"/>
  <c r="A269" i="134"/>
  <c r="A149" i="134"/>
  <c r="A7" i="127"/>
  <c r="A7" i="128"/>
  <c r="A7" i="126"/>
  <c r="A8" i="123"/>
  <c r="A8" i="117"/>
  <c r="A8" i="115"/>
  <c r="A8" i="111"/>
  <c r="A23" i="173"/>
  <c r="A27" i="105"/>
  <c r="A25" i="101"/>
  <c r="A8" i="99"/>
  <c r="A8" i="96"/>
  <c r="A8" i="125"/>
  <c r="A7" i="114"/>
  <c r="A8" i="110"/>
  <c r="A8" i="105"/>
  <c r="A8" i="101"/>
  <c r="A8" i="91"/>
  <c r="A35" i="129"/>
  <c r="A8" i="97"/>
  <c r="A37" i="128"/>
  <c r="A24" i="129"/>
  <c r="A8" i="130"/>
  <c r="A39" i="120"/>
  <c r="A8" i="119"/>
  <c r="A29" i="112"/>
  <c r="A8" i="109"/>
  <c r="A8" i="159"/>
  <c r="A8" i="104"/>
  <c r="A70" i="92"/>
  <c r="A66" i="96"/>
  <c r="A8" i="90"/>
  <c r="A23" i="128"/>
  <c r="A7" i="129"/>
  <c r="A40" i="123"/>
  <c r="A8" i="120"/>
  <c r="A7" i="118"/>
  <c r="A7" i="112"/>
  <c r="A38" i="173"/>
  <c r="A7" i="108"/>
  <c r="A42" i="101"/>
  <c r="A8" i="98"/>
  <c r="A39" i="92"/>
  <c r="A37" i="96"/>
  <c r="A7" i="89"/>
  <c r="A8" i="92"/>
  <c r="A8" i="88"/>
  <c r="A49" i="128"/>
  <c r="A55" i="120"/>
  <c r="A7" i="116"/>
  <c r="A8" i="173"/>
  <c r="A8" i="95"/>
  <c r="A7" i="87"/>
  <c r="H7" i="85"/>
  <c r="A44" i="115"/>
  <c r="A8" i="17"/>
  <c r="A8" i="23"/>
  <c r="A46" i="49"/>
  <c r="A8" i="160"/>
  <c r="A7" i="84"/>
  <c r="A8" i="29"/>
  <c r="A43" i="60"/>
  <c r="A29" i="66"/>
  <c r="A86" i="49"/>
  <c r="A61" i="72"/>
  <c r="A39" i="71"/>
  <c r="A16" i="74"/>
  <c r="A49" i="56"/>
  <c r="A8" i="24"/>
  <c r="A8" i="31"/>
  <c r="A17" i="59"/>
  <c r="A8" i="75"/>
  <c r="A128" i="41"/>
  <c r="A8" i="41"/>
  <c r="A8" i="70"/>
  <c r="A30" i="82"/>
  <c r="A51" i="58"/>
  <c r="A80" i="32"/>
  <c r="A7" i="85"/>
  <c r="A7" i="53"/>
  <c r="A8" i="39"/>
  <c r="A7" i="83"/>
  <c r="A8" i="30"/>
  <c r="A93" i="66"/>
  <c r="A8" i="63"/>
  <c r="A21" i="72"/>
  <c r="A81" i="14"/>
  <c r="A47" i="72"/>
  <c r="A8" i="81"/>
  <c r="A8" i="174"/>
  <c r="A8" i="37"/>
  <c r="A7" i="32"/>
  <c r="A23" i="76"/>
  <c r="A25" i="71"/>
  <c r="A32" i="41"/>
  <c r="A177" i="41"/>
  <c r="A20" i="70"/>
  <c r="A8" i="82"/>
  <c r="A41" i="58"/>
  <c r="A8" i="69"/>
  <c r="A8" i="48"/>
  <c r="A31" i="32"/>
  <c r="A8" i="36"/>
  <c r="A8" i="79"/>
  <c r="A88" i="63"/>
  <c r="A34" i="63"/>
  <c r="A8" i="66"/>
  <c r="A7" i="72"/>
  <c r="A43" i="14"/>
  <c r="A28" i="74"/>
  <c r="A49" i="81"/>
  <c r="A8" i="27"/>
  <c r="A8" i="171"/>
  <c r="A37" i="31"/>
  <c r="A8" i="74"/>
  <c r="A8" i="76"/>
  <c r="H7" i="72"/>
  <c r="A56" i="41"/>
  <c r="A80" i="41"/>
  <c r="A31" i="80"/>
  <c r="A52" i="82"/>
  <c r="A26" i="58"/>
  <c r="A8" i="10"/>
  <c r="A7" i="49"/>
  <c r="A8" i="156"/>
  <c r="A8" i="71"/>
  <c r="A29" i="49"/>
  <c r="A25" i="60"/>
  <c r="A8" i="60"/>
  <c r="A65" i="49"/>
  <c r="A71" i="72"/>
  <c r="A18" i="77"/>
  <c r="A8" i="56"/>
  <c r="A8" i="25"/>
  <c r="A56" i="32"/>
  <c r="A7" i="59"/>
  <c r="A8" i="77"/>
  <c r="A25" i="75"/>
  <c r="A36" i="72"/>
  <c r="A104" i="41"/>
  <c r="A153" i="41"/>
  <c r="A8" i="80"/>
  <c r="A11" i="58"/>
  <c r="A7" i="24"/>
  <c r="A7" i="174"/>
  <c r="G3" i="155"/>
  <c r="F7" i="177"/>
  <c r="C12" i="7" s="1"/>
  <c r="H153" i="155" s="1"/>
  <c r="D25" i="174"/>
  <c r="D12" i="174"/>
  <c r="C56" i="58"/>
  <c r="C10" i="110"/>
  <c r="C23" i="174"/>
  <c r="C10" i="174"/>
  <c r="R411" i="155"/>
  <c r="R415" i="155"/>
  <c r="R480" i="155"/>
  <c r="R474" i="155"/>
  <c r="R478" i="155"/>
  <c r="R465" i="155"/>
  <c r="R469" i="155"/>
  <c r="R453" i="155"/>
  <c r="R457" i="155"/>
  <c r="R461" i="155"/>
  <c r="R449" i="155"/>
  <c r="R446" i="155"/>
  <c r="R423" i="155"/>
  <c r="R427" i="155"/>
  <c r="R431" i="155"/>
  <c r="R435" i="155"/>
  <c r="R439" i="155"/>
  <c r="R416" i="155"/>
  <c r="R420" i="155"/>
  <c r="R404" i="155"/>
  <c r="R408" i="155"/>
  <c r="D10" i="174"/>
  <c r="A6" i="174"/>
  <c r="R414" i="155"/>
  <c r="R477" i="155"/>
  <c r="R468" i="155"/>
  <c r="R460" i="155"/>
  <c r="R445" i="155"/>
  <c r="R426" i="155"/>
  <c r="R434" i="155"/>
  <c r="R422" i="155"/>
  <c r="R403" i="155"/>
  <c r="P421" i="155"/>
  <c r="P417" i="155"/>
  <c r="P413" i="155"/>
  <c r="P409" i="155"/>
  <c r="P407" i="155"/>
  <c r="P403" i="155"/>
  <c r="R412" i="155"/>
  <c r="R409" i="155"/>
  <c r="R481" i="155"/>
  <c r="R475" i="155"/>
  <c r="R472" i="155"/>
  <c r="R466" i="155"/>
  <c r="R470" i="155"/>
  <c r="R454" i="155"/>
  <c r="R458" i="155"/>
  <c r="R452" i="155"/>
  <c r="R443" i="155"/>
  <c r="R447" i="155"/>
  <c r="R424" i="155"/>
  <c r="R428" i="155"/>
  <c r="R432" i="155"/>
  <c r="R436" i="155"/>
  <c r="R440" i="155"/>
  <c r="R417" i="155"/>
  <c r="R421" i="155"/>
  <c r="R405" i="155"/>
  <c r="R401" i="155"/>
  <c r="P420" i="155"/>
  <c r="P418" i="155"/>
  <c r="P416" i="155"/>
  <c r="P414" i="155"/>
  <c r="P412" i="155"/>
  <c r="P410" i="155"/>
  <c r="P408" i="155"/>
  <c r="P406" i="155"/>
  <c r="P404" i="155"/>
  <c r="P402" i="155"/>
  <c r="R413" i="155"/>
  <c r="R479" i="155"/>
  <c r="R476" i="155"/>
  <c r="R463" i="155"/>
  <c r="R467" i="155"/>
  <c r="R471" i="155"/>
  <c r="R455" i="155"/>
  <c r="R459" i="155"/>
  <c r="R450" i="155"/>
  <c r="R444" i="155"/>
  <c r="R448" i="155"/>
  <c r="R425" i="155"/>
  <c r="R429" i="155"/>
  <c r="R433" i="155"/>
  <c r="R437" i="155"/>
  <c r="R441" i="155"/>
  <c r="R418" i="155"/>
  <c r="R402" i="155"/>
  <c r="R406" i="155"/>
  <c r="R410" i="155"/>
  <c r="R473" i="155"/>
  <c r="R464" i="155"/>
  <c r="R462" i="155"/>
  <c r="R456" i="155"/>
  <c r="R451" i="155"/>
  <c r="R442" i="155"/>
  <c r="R430" i="155"/>
  <c r="R438" i="155"/>
  <c r="R419" i="155"/>
  <c r="R407" i="155"/>
  <c r="P419" i="155"/>
  <c r="P415" i="155"/>
  <c r="P411" i="155"/>
  <c r="P405" i="155"/>
  <c r="P401" i="155"/>
  <c r="D23" i="174"/>
  <c r="AG419" i="155"/>
  <c r="AG415" i="155"/>
  <c r="AG411" i="155"/>
  <c r="AG407" i="155"/>
  <c r="AG403" i="155"/>
  <c r="AG420" i="155"/>
  <c r="AG412" i="155"/>
  <c r="AG418" i="155"/>
  <c r="AG414" i="155"/>
  <c r="AG410" i="155"/>
  <c r="AG406" i="155"/>
  <c r="AG402" i="155"/>
  <c r="AG421" i="155"/>
  <c r="AG417" i="155"/>
  <c r="AG413" i="155"/>
  <c r="AG409" i="155"/>
  <c r="AG405" i="155"/>
  <c r="AG401" i="155"/>
  <c r="AG416" i="155"/>
  <c r="AG408" i="155"/>
  <c r="AG404" i="155"/>
  <c r="F82" i="41"/>
  <c r="J106" i="41"/>
  <c r="J131" i="41"/>
  <c r="F58" i="41"/>
  <c r="J34" i="41"/>
  <c r="F106" i="41"/>
  <c r="F131" i="41"/>
  <c r="J155" i="41"/>
  <c r="F34" i="41"/>
  <c r="J58" i="41"/>
  <c r="F155" i="41"/>
  <c r="J82" i="41"/>
  <c r="Q897" i="155"/>
  <c r="C35" i="41"/>
  <c r="G59" i="41"/>
  <c r="K83" i="41"/>
  <c r="G156" i="41"/>
  <c r="C180" i="41"/>
  <c r="K156" i="41"/>
  <c r="C59" i="41"/>
  <c r="G83" i="41"/>
  <c r="K107" i="41"/>
  <c r="K132" i="41"/>
  <c r="C156" i="41"/>
  <c r="K59" i="41"/>
  <c r="C107" i="41"/>
  <c r="C132" i="41"/>
  <c r="K35" i="41"/>
  <c r="C83" i="41"/>
  <c r="G107" i="41"/>
  <c r="G132" i="41"/>
  <c r="K180" i="41"/>
  <c r="G35" i="41"/>
  <c r="G180" i="41"/>
  <c r="A36" i="58"/>
  <c r="A23" i="174"/>
  <c r="A10" i="174"/>
  <c r="A54" i="58"/>
  <c r="Q786" i="155"/>
  <c r="Q420" i="155"/>
  <c r="Q418" i="155"/>
  <c r="Q416" i="155"/>
  <c r="Q414" i="155"/>
  <c r="Q412" i="155"/>
  <c r="Q410" i="155"/>
  <c r="Q408" i="155"/>
  <c r="Q406" i="155"/>
  <c r="Q404" i="155"/>
  <c r="Q402" i="155"/>
  <c r="Q421" i="155"/>
  <c r="Q419" i="155"/>
  <c r="Q417" i="155"/>
  <c r="Q415" i="155"/>
  <c r="Q413" i="155"/>
  <c r="Q411" i="155"/>
  <c r="Q409" i="155"/>
  <c r="Q407" i="155"/>
  <c r="Q405" i="155"/>
  <c r="Q403" i="155"/>
  <c r="Q401" i="155"/>
  <c r="B57" i="58"/>
  <c r="C34" i="41"/>
  <c r="K82" i="41"/>
  <c r="G106" i="41"/>
  <c r="C131" i="41"/>
  <c r="C155" i="41"/>
  <c r="G34" i="41"/>
  <c r="G131" i="41"/>
  <c r="C10" i="41"/>
  <c r="K58" i="41"/>
  <c r="G82" i="41"/>
  <c r="C106" i="41"/>
  <c r="K179" i="41"/>
  <c r="K106" i="41"/>
  <c r="C179" i="41"/>
  <c r="K34" i="41"/>
  <c r="G58" i="41"/>
  <c r="C82" i="41"/>
  <c r="K131" i="41"/>
  <c r="K155" i="41"/>
  <c r="G179" i="41"/>
  <c r="C58" i="41"/>
  <c r="G155" i="41"/>
  <c r="T421" i="155"/>
  <c r="T419" i="155"/>
  <c r="T417" i="155"/>
  <c r="T415" i="155"/>
  <c r="T413" i="155"/>
  <c r="T411" i="155"/>
  <c r="T409" i="155"/>
  <c r="T407" i="155"/>
  <c r="T405" i="155"/>
  <c r="T403" i="155"/>
  <c r="T401" i="155"/>
  <c r="T420" i="155"/>
  <c r="T418" i="155"/>
  <c r="T416" i="155"/>
  <c r="T414" i="155"/>
  <c r="T412" i="155"/>
  <c r="T410" i="155"/>
  <c r="T408" i="155"/>
  <c r="T406" i="155"/>
  <c r="T404" i="155"/>
  <c r="T402" i="155"/>
  <c r="S420" i="155"/>
  <c r="S416" i="155"/>
  <c r="S412" i="155"/>
  <c r="S408" i="155"/>
  <c r="S404" i="155"/>
  <c r="S421" i="155"/>
  <c r="S419" i="155"/>
  <c r="S417" i="155"/>
  <c r="S415" i="155"/>
  <c r="S413" i="155"/>
  <c r="S411" i="155"/>
  <c r="S409" i="155"/>
  <c r="S407" i="155"/>
  <c r="S405" i="155"/>
  <c r="S403" i="155"/>
  <c r="S401" i="155"/>
  <c r="S418" i="155"/>
  <c r="S414" i="155"/>
  <c r="S410" i="155"/>
  <c r="S406" i="155"/>
  <c r="S402" i="155"/>
  <c r="E25" i="174"/>
  <c r="E12" i="174"/>
  <c r="D56" i="58"/>
  <c r="B10" i="110"/>
  <c r="B23" i="174"/>
  <c r="B10" i="174"/>
  <c r="R485" i="155"/>
  <c r="R489" i="155"/>
  <c r="R486" i="155"/>
  <c r="R490" i="155"/>
  <c r="R483" i="155"/>
  <c r="R487" i="155"/>
  <c r="R491" i="155"/>
  <c r="R484" i="155"/>
  <c r="R488" i="155"/>
  <c r="R482" i="155"/>
  <c r="F7" i="7"/>
  <c r="AD402" i="155"/>
  <c r="AD408" i="155"/>
  <c r="AD414" i="155"/>
  <c r="AD420" i="155"/>
  <c r="AD403" i="155"/>
  <c r="AD409" i="155"/>
  <c r="AD415" i="155"/>
  <c r="AD421" i="155"/>
  <c r="AD404" i="155"/>
  <c r="AD410" i="155"/>
  <c r="AD416" i="155"/>
  <c r="AD401" i="155"/>
  <c r="AD405" i="155"/>
  <c r="AD411" i="155"/>
  <c r="AD417" i="155"/>
  <c r="AD406" i="155"/>
  <c r="AD412" i="155"/>
  <c r="AD418" i="155"/>
  <c r="AD407" i="155"/>
  <c r="AD413" i="155"/>
  <c r="AD419" i="155"/>
  <c r="A7" i="90"/>
  <c r="H24" i="90"/>
  <c r="I43" i="90"/>
  <c r="H43" i="90"/>
  <c r="I24" i="90"/>
  <c r="I10" i="91"/>
  <c r="R1558" i="155"/>
  <c r="R1566" i="155"/>
  <c r="R1559" i="155"/>
  <c r="R1567" i="155"/>
  <c r="R1560" i="155"/>
  <c r="R1568" i="155"/>
  <c r="R1561" i="155"/>
  <c r="R1569" i="155"/>
  <c r="R1562" i="155"/>
  <c r="R1570" i="155"/>
  <c r="R1563" i="155"/>
  <c r="R1557" i="155"/>
  <c r="R1564" i="155"/>
  <c r="R1556" i="155"/>
  <c r="R1565" i="155"/>
  <c r="R1555" i="155"/>
  <c r="R1547" i="155"/>
  <c r="R1540" i="155"/>
  <c r="R1532" i="155"/>
  <c r="R1554" i="155"/>
  <c r="R1546" i="155"/>
  <c r="R1541" i="155"/>
  <c r="R1552" i="155"/>
  <c r="R1543" i="155"/>
  <c r="R1537" i="155"/>
  <c r="H34" i="90"/>
  <c r="R1539" i="155"/>
  <c r="R1553" i="155"/>
  <c r="R1544" i="155"/>
  <c r="R1534" i="155"/>
  <c r="R1551" i="155"/>
  <c r="R1545" i="155"/>
  <c r="R1535" i="155"/>
  <c r="R1549" i="155"/>
  <c r="R1542" i="155"/>
  <c r="R1536" i="155"/>
  <c r="R1550" i="155"/>
  <c r="R1538" i="155"/>
  <c r="R1533" i="155"/>
  <c r="R1548" i="155"/>
  <c r="T1533" i="155"/>
  <c r="T1537" i="155"/>
  <c r="T1541" i="155"/>
  <c r="T1545" i="155"/>
  <c r="T1549" i="155"/>
  <c r="T1553" i="155"/>
  <c r="T1552" i="155"/>
  <c r="T1534" i="155"/>
  <c r="T1538" i="155"/>
  <c r="T1542" i="155"/>
  <c r="T1546" i="155"/>
  <c r="T1550" i="155"/>
  <c r="T1554" i="155"/>
  <c r="T1535" i="155"/>
  <c r="T1539" i="155"/>
  <c r="T1543" i="155"/>
  <c r="T1547" i="155"/>
  <c r="T1551" i="155"/>
  <c r="T1555" i="155"/>
  <c r="T1532" i="155"/>
  <c r="T1536" i="155"/>
  <c r="T1540" i="155"/>
  <c r="T1544" i="155"/>
  <c r="T1548" i="155"/>
  <c r="S1533" i="155"/>
  <c r="S1537" i="155"/>
  <c r="S1541" i="155"/>
  <c r="S1545" i="155"/>
  <c r="S1549" i="155"/>
  <c r="S1553" i="155"/>
  <c r="S1534" i="155"/>
  <c r="S1538" i="155"/>
  <c r="S1542" i="155"/>
  <c r="S1546" i="155"/>
  <c r="S1550" i="155"/>
  <c r="S1554" i="155"/>
  <c r="S1532" i="155"/>
  <c r="S1535" i="155"/>
  <c r="S1539" i="155"/>
  <c r="S1543" i="155"/>
  <c r="S1547" i="155"/>
  <c r="S1551" i="155"/>
  <c r="S1555" i="155"/>
  <c r="S1536" i="155"/>
  <c r="S1540" i="155"/>
  <c r="S1544" i="155"/>
  <c r="S1548" i="155"/>
  <c r="S1552" i="155"/>
  <c r="D11" i="90"/>
  <c r="H11" i="90"/>
  <c r="H36" i="90"/>
  <c r="H12" i="90"/>
  <c r="D36" i="90"/>
  <c r="D12" i="90"/>
  <c r="I36" i="90"/>
  <c r="E36" i="90"/>
  <c r="E12" i="90"/>
  <c r="I12" i="90"/>
  <c r="P786" i="155"/>
  <c r="R786" i="155"/>
  <c r="B781" i="155"/>
  <c r="B775" i="155"/>
  <c r="B769" i="155"/>
  <c r="B763" i="155"/>
  <c r="B757" i="155"/>
  <c r="B751" i="155"/>
  <c r="B745" i="155"/>
  <c r="B739" i="155"/>
  <c r="B733" i="155"/>
  <c r="R780" i="155"/>
  <c r="R774" i="155"/>
  <c r="R768" i="155"/>
  <c r="R762" i="155"/>
  <c r="R756" i="155"/>
  <c r="R750" i="155"/>
  <c r="R744" i="155"/>
  <c r="B780" i="155"/>
  <c r="B774" i="155"/>
  <c r="B768" i="155"/>
  <c r="B762" i="155"/>
  <c r="B756" i="155"/>
  <c r="B750" i="155"/>
  <c r="B744" i="155"/>
  <c r="B738" i="155"/>
  <c r="R784" i="155"/>
  <c r="R778" i="155"/>
  <c r="R773" i="155"/>
  <c r="R766" i="155"/>
  <c r="R760" i="155"/>
  <c r="R754" i="155"/>
  <c r="R749" i="155"/>
  <c r="R743" i="155"/>
  <c r="B785" i="155"/>
  <c r="B779" i="155"/>
  <c r="B773" i="155"/>
  <c r="B767" i="155"/>
  <c r="B761" i="155"/>
  <c r="B755" i="155"/>
  <c r="B749" i="155"/>
  <c r="B743" i="155"/>
  <c r="B737" i="155"/>
  <c r="R785" i="155"/>
  <c r="R779" i="155"/>
  <c r="R772" i="155"/>
  <c r="R767" i="155"/>
  <c r="R761" i="155"/>
  <c r="R755" i="155"/>
  <c r="R748" i="155"/>
  <c r="R742" i="155"/>
  <c r="B784" i="155"/>
  <c r="B778" i="155"/>
  <c r="B772" i="155"/>
  <c r="B766" i="155"/>
  <c r="B760" i="155"/>
  <c r="B754" i="155"/>
  <c r="B748" i="155"/>
  <c r="B742" i="155"/>
  <c r="B736" i="155"/>
  <c r="R783" i="155"/>
  <c r="R777" i="155"/>
  <c r="R771" i="155"/>
  <c r="R765" i="155"/>
  <c r="R759" i="155"/>
  <c r="R753" i="155"/>
  <c r="R747" i="155"/>
  <c r="R741" i="155"/>
  <c r="B783" i="155"/>
  <c r="B777" i="155"/>
  <c r="B771" i="155"/>
  <c r="B765" i="155"/>
  <c r="B759" i="155"/>
  <c r="B753" i="155"/>
  <c r="B747" i="155"/>
  <c r="B741" i="155"/>
  <c r="B735" i="155"/>
  <c r="R781" i="155"/>
  <c r="R776" i="155"/>
  <c r="R769" i="155"/>
  <c r="R763" i="155"/>
  <c r="R757" i="155"/>
  <c r="R752" i="155"/>
  <c r="B782" i="155"/>
  <c r="B746" i="155"/>
  <c r="R764" i="155"/>
  <c r="B776" i="155"/>
  <c r="B740" i="155"/>
  <c r="R758" i="155"/>
  <c r="B770" i="155"/>
  <c r="B734" i="155"/>
  <c r="R751" i="155"/>
  <c r="B764" i="155"/>
  <c r="R782" i="155"/>
  <c r="R746" i="155"/>
  <c r="B758" i="155"/>
  <c r="R775" i="155"/>
  <c r="R745" i="155"/>
  <c r="B752" i="155"/>
  <c r="R770" i="155"/>
  <c r="R896" i="155"/>
  <c r="R890" i="155"/>
  <c r="R891" i="155"/>
  <c r="R889" i="155"/>
  <c r="R888" i="155"/>
  <c r="D34" i="90"/>
  <c r="H10" i="90"/>
  <c r="D10" i="90"/>
  <c r="R892" i="155"/>
  <c r="R895" i="155"/>
  <c r="R894" i="155"/>
  <c r="R893" i="155"/>
  <c r="B46" i="58"/>
  <c r="P2636" i="155"/>
  <c r="P2632" i="155"/>
  <c r="P2628" i="155"/>
  <c r="P2624" i="155"/>
  <c r="P2620" i="155"/>
  <c r="P2616" i="155"/>
  <c r="P2612" i="155"/>
  <c r="P2608" i="155"/>
  <c r="P2604" i="155"/>
  <c r="P2600" i="155"/>
  <c r="P2596" i="155"/>
  <c r="P2592" i="155"/>
  <c r="P2588" i="155"/>
  <c r="P2584" i="155"/>
  <c r="P2580" i="155"/>
  <c r="P2576" i="155"/>
  <c r="P2572" i="155"/>
  <c r="P2568" i="155"/>
  <c r="P2564" i="155"/>
  <c r="P2560" i="155"/>
  <c r="P2556" i="155"/>
  <c r="P2552" i="155"/>
  <c r="P2548" i="155"/>
  <c r="P2544" i="155"/>
  <c r="P2540" i="155"/>
  <c r="P2536" i="155"/>
  <c r="P2532" i="155"/>
  <c r="P2528" i="155"/>
  <c r="P2524" i="155"/>
  <c r="P2520" i="155"/>
  <c r="P2516" i="155"/>
  <c r="P2512" i="155"/>
  <c r="P2508" i="155"/>
  <c r="P2504" i="155"/>
  <c r="P2500" i="155"/>
  <c r="P2496" i="155"/>
  <c r="P2625" i="155"/>
  <c r="P2609" i="155"/>
  <c r="P2597" i="155"/>
  <c r="P2585" i="155"/>
  <c r="P2573" i="155"/>
  <c r="P2561" i="155"/>
  <c r="P2549" i="155"/>
  <c r="P2537" i="155"/>
  <c r="P2525" i="155"/>
  <c r="P2513" i="155"/>
  <c r="P2501" i="155"/>
  <c r="P2635" i="155"/>
  <c r="P2631" i="155"/>
  <c r="P2627" i="155"/>
  <c r="P2623" i="155"/>
  <c r="P2619" i="155"/>
  <c r="P2615" i="155"/>
  <c r="P2611" i="155"/>
  <c r="P2607" i="155"/>
  <c r="P2603" i="155"/>
  <c r="P2599" i="155"/>
  <c r="P2595" i="155"/>
  <c r="P2591" i="155"/>
  <c r="P2587" i="155"/>
  <c r="P2583" i="155"/>
  <c r="P2579" i="155"/>
  <c r="P2575" i="155"/>
  <c r="P2571" i="155"/>
  <c r="P2567" i="155"/>
  <c r="P2563" i="155"/>
  <c r="P2559" i="155"/>
  <c r="P2555" i="155"/>
  <c r="P2551" i="155"/>
  <c r="P2547" i="155"/>
  <c r="P2543" i="155"/>
  <c r="P2539" i="155"/>
  <c r="P2535" i="155"/>
  <c r="P2531" i="155"/>
  <c r="P2527" i="155"/>
  <c r="P2523" i="155"/>
  <c r="P2519" i="155"/>
  <c r="P2515" i="155"/>
  <c r="P2511" i="155"/>
  <c r="P2507" i="155"/>
  <c r="P2503" i="155"/>
  <c r="P2499" i="155"/>
  <c r="P2495" i="155"/>
  <c r="P2629" i="155"/>
  <c r="P2605" i="155"/>
  <c r="P2593" i="155"/>
  <c r="P2581" i="155"/>
  <c r="P2569" i="155"/>
  <c r="P2557" i="155"/>
  <c r="P2545" i="155"/>
  <c r="P2533" i="155"/>
  <c r="P2521" i="155"/>
  <c r="P2505" i="155"/>
  <c r="P2493" i="155"/>
  <c r="P2634" i="155"/>
  <c r="P2630" i="155"/>
  <c r="P2626" i="155"/>
  <c r="P2622" i="155"/>
  <c r="P2618" i="155"/>
  <c r="P2614" i="155"/>
  <c r="P2610" i="155"/>
  <c r="P2606" i="155"/>
  <c r="P2602" i="155"/>
  <c r="P2598" i="155"/>
  <c r="P2594" i="155"/>
  <c r="P2590" i="155"/>
  <c r="P2586" i="155"/>
  <c r="P2582" i="155"/>
  <c r="P2578" i="155"/>
  <c r="P2574" i="155"/>
  <c r="P2570" i="155"/>
  <c r="P2566" i="155"/>
  <c r="P2562" i="155"/>
  <c r="P2558" i="155"/>
  <c r="P2554" i="155"/>
  <c r="P2550" i="155"/>
  <c r="P2546" i="155"/>
  <c r="P2542" i="155"/>
  <c r="P2538" i="155"/>
  <c r="P2534" i="155"/>
  <c r="P2530" i="155"/>
  <c r="P2526" i="155"/>
  <c r="P2522" i="155"/>
  <c r="P2518" i="155"/>
  <c r="P2514" i="155"/>
  <c r="P2510" i="155"/>
  <c r="P2506" i="155"/>
  <c r="P2502" i="155"/>
  <c r="P2498" i="155"/>
  <c r="P2494" i="155"/>
  <c r="P2633" i="155"/>
  <c r="P2621" i="155"/>
  <c r="P2617" i="155"/>
  <c r="P2613" i="155"/>
  <c r="P2601" i="155"/>
  <c r="P2589" i="155"/>
  <c r="P2577" i="155"/>
  <c r="P2565" i="155"/>
  <c r="P2553" i="155"/>
  <c r="P2541" i="155"/>
  <c r="P2529" i="155"/>
  <c r="P2517" i="155"/>
  <c r="P2509" i="155"/>
  <c r="P2497" i="155"/>
  <c r="D11" i="109"/>
  <c r="D11" i="110"/>
  <c r="A6" i="58"/>
  <c r="R2058" i="155"/>
  <c r="R2054" i="155"/>
  <c r="R2050" i="155"/>
  <c r="R2046" i="155"/>
  <c r="R2042" i="155"/>
  <c r="P2058" i="155"/>
  <c r="P2054" i="155"/>
  <c r="I27" i="101"/>
  <c r="R2052" i="155"/>
  <c r="R2044" i="155"/>
  <c r="P2056" i="155"/>
  <c r="A23" i="101"/>
  <c r="R2055" i="155"/>
  <c r="R2047" i="155"/>
  <c r="R2067" i="155"/>
  <c r="P2059" i="155"/>
  <c r="P2051" i="155"/>
  <c r="R2057" i="155"/>
  <c r="R2053" i="155"/>
  <c r="R2049" i="155"/>
  <c r="R2045" i="155"/>
  <c r="R2041" i="155"/>
  <c r="P2057" i="155"/>
  <c r="P2053" i="155"/>
  <c r="D27" i="101"/>
  <c r="R2060" i="155"/>
  <c r="R2056" i="155"/>
  <c r="R2048" i="155"/>
  <c r="P2060" i="155"/>
  <c r="P2052" i="155"/>
  <c r="R2059" i="155"/>
  <c r="R2051" i="155"/>
  <c r="R2043" i="155"/>
  <c r="P2055" i="155"/>
  <c r="R2066" i="155"/>
  <c r="R2062" i="155"/>
  <c r="R2064" i="155"/>
  <c r="R2065" i="155"/>
  <c r="R2061" i="155"/>
  <c r="R2063" i="155"/>
  <c r="A79" i="32"/>
  <c r="A30" i="32"/>
  <c r="A6" i="32"/>
  <c r="A55" i="32"/>
  <c r="F8" i="7"/>
  <c r="K24" i="90" l="1"/>
  <c r="J24" i="90"/>
  <c r="K43" i="90"/>
  <c r="J43" i="90"/>
  <c r="A8" i="21"/>
  <c r="A8" i="22"/>
  <c r="A8" i="19"/>
  <c r="A82" i="11"/>
  <c r="A8" i="18"/>
  <c r="A62" i="11"/>
  <c r="A8" i="11"/>
  <c r="A8" i="14"/>
  <c r="H45" i="155"/>
  <c r="H49" i="155"/>
  <c r="H53" i="155"/>
  <c r="H57" i="155"/>
  <c r="H61" i="155"/>
  <c r="H65" i="155"/>
  <c r="H69" i="155"/>
  <c r="H73" i="155"/>
  <c r="H77" i="155"/>
  <c r="H81" i="155"/>
  <c r="H85" i="155"/>
  <c r="H89" i="155"/>
  <c r="H93" i="155"/>
  <c r="H97" i="155"/>
  <c r="H101" i="155"/>
  <c r="H105" i="155"/>
  <c r="H109" i="155"/>
  <c r="H113" i="155"/>
  <c r="H117" i="155"/>
  <c r="H121" i="155"/>
  <c r="H125" i="155"/>
  <c r="H129" i="155"/>
  <c r="H133" i="155"/>
  <c r="H137" i="155"/>
  <c r="H141" i="155"/>
  <c r="H145" i="155"/>
  <c r="H149" i="155"/>
  <c r="H231" i="155"/>
  <c r="H235" i="155"/>
  <c r="H239" i="155"/>
  <c r="H243" i="155"/>
  <c r="H247" i="155"/>
  <c r="H251" i="155"/>
  <c r="H255" i="155"/>
  <c r="H259" i="155"/>
  <c r="H263" i="155"/>
  <c r="H267" i="155"/>
  <c r="H271" i="155"/>
  <c r="H275" i="155"/>
  <c r="H279" i="155"/>
  <c r="H363" i="155"/>
  <c r="H367" i="155"/>
  <c r="H371" i="155"/>
  <c r="H375" i="155"/>
  <c r="H379" i="155"/>
  <c r="H383" i="155"/>
  <c r="H387" i="155"/>
  <c r="H391" i="155"/>
  <c r="H395" i="155"/>
  <c r="H399" i="155"/>
  <c r="H46" i="155"/>
  <c r="H50" i="155"/>
  <c r="H54" i="155"/>
  <c r="H58" i="155"/>
  <c r="H62" i="155"/>
  <c r="H66" i="155"/>
  <c r="H70" i="155"/>
  <c r="H74" i="155"/>
  <c r="H78" i="155"/>
  <c r="H82" i="155"/>
  <c r="H86" i="155"/>
  <c r="H90" i="155"/>
  <c r="H94" i="155"/>
  <c r="H98" i="155"/>
  <c r="H102" i="155"/>
  <c r="H106" i="155"/>
  <c r="H110" i="155"/>
  <c r="H114" i="155"/>
  <c r="H118" i="155"/>
  <c r="H122" i="155"/>
  <c r="H126" i="155"/>
  <c r="H130" i="155"/>
  <c r="H134" i="155"/>
  <c r="H138" i="155"/>
  <c r="H142" i="155"/>
  <c r="H146" i="155"/>
  <c r="H150" i="155"/>
  <c r="H228" i="155"/>
  <c r="H232" i="155"/>
  <c r="H236" i="155"/>
  <c r="H240" i="155"/>
  <c r="H244" i="155"/>
  <c r="H248" i="155"/>
  <c r="H252" i="155"/>
  <c r="H256" i="155"/>
  <c r="H260" i="155"/>
  <c r="H264" i="155"/>
  <c r="H268" i="155"/>
  <c r="H272" i="155"/>
  <c r="H276" i="155"/>
  <c r="H300" i="155"/>
  <c r="H364" i="155"/>
  <c r="H368" i="155"/>
  <c r="H372" i="155"/>
  <c r="H376" i="155"/>
  <c r="H380" i="155"/>
  <c r="H384" i="155"/>
  <c r="H388" i="155"/>
  <c r="H392" i="155"/>
  <c r="H396" i="155"/>
  <c r="H400" i="155"/>
  <c r="H47" i="155"/>
  <c r="H51" i="155"/>
  <c r="H55" i="155"/>
  <c r="H59" i="155"/>
  <c r="H63" i="155"/>
  <c r="H67" i="155"/>
  <c r="H71" i="155"/>
  <c r="H75" i="155"/>
  <c r="H79" i="155"/>
  <c r="H83" i="155"/>
  <c r="H87" i="155"/>
  <c r="H91" i="155"/>
  <c r="H95" i="155"/>
  <c r="H99" i="155"/>
  <c r="H103" i="155"/>
  <c r="H107" i="155"/>
  <c r="H111" i="155"/>
  <c r="H115" i="155"/>
  <c r="H119" i="155"/>
  <c r="H123" i="155"/>
  <c r="H127" i="155"/>
  <c r="H131" i="155"/>
  <c r="H135" i="155"/>
  <c r="H139" i="155"/>
  <c r="H143" i="155"/>
  <c r="H147" i="155"/>
  <c r="H229" i="155"/>
  <c r="H233" i="155"/>
  <c r="H237" i="155"/>
  <c r="H241" i="155"/>
  <c r="H245" i="155"/>
  <c r="H249" i="155"/>
  <c r="H253" i="155"/>
  <c r="H257" i="155"/>
  <c r="H261" i="155"/>
  <c r="H265" i="155"/>
  <c r="H269" i="155"/>
  <c r="H273" i="155"/>
  <c r="H277" i="155"/>
  <c r="H365" i="155"/>
  <c r="H369" i="155"/>
  <c r="H373" i="155"/>
  <c r="H377" i="155"/>
  <c r="H381" i="155"/>
  <c r="H385" i="155"/>
  <c r="H389" i="155"/>
  <c r="H393" i="155"/>
  <c r="H397" i="155"/>
  <c r="H44" i="155"/>
  <c r="H48" i="155"/>
  <c r="H52" i="155"/>
  <c r="H56" i="155"/>
  <c r="H60" i="155"/>
  <c r="H64" i="155"/>
  <c r="H68" i="155"/>
  <c r="H72" i="155"/>
  <c r="H76" i="155"/>
  <c r="H80" i="155"/>
  <c r="H84" i="155"/>
  <c r="H88" i="155"/>
  <c r="H92" i="155"/>
  <c r="H96" i="155"/>
  <c r="H100" i="155"/>
  <c r="H104" i="155"/>
  <c r="H108" i="155"/>
  <c r="H112" i="155"/>
  <c r="H116" i="155"/>
  <c r="H120" i="155"/>
  <c r="H124" i="155"/>
  <c r="H128" i="155"/>
  <c r="H132" i="155"/>
  <c r="H136" i="155"/>
  <c r="H140" i="155"/>
  <c r="H144" i="155"/>
  <c r="H148" i="155"/>
  <c r="H152" i="155"/>
  <c r="H230" i="155"/>
  <c r="H234" i="155"/>
  <c r="H238" i="155"/>
  <c r="H242" i="155"/>
  <c r="H246" i="155"/>
  <c r="H250" i="155"/>
  <c r="H254" i="155"/>
  <c r="H258" i="155"/>
  <c r="H262" i="155"/>
  <c r="H266" i="155"/>
  <c r="H270" i="155"/>
  <c r="H274" i="155"/>
  <c r="H278" i="155"/>
  <c r="H362" i="155"/>
  <c r="H366" i="155"/>
  <c r="H370" i="155"/>
  <c r="H374" i="155"/>
  <c r="H378" i="155"/>
  <c r="H382" i="155"/>
  <c r="H386" i="155"/>
  <c r="H390" i="155"/>
  <c r="H394" i="155"/>
  <c r="H398" i="155"/>
  <c r="G5" i="164"/>
  <c r="F5" i="164"/>
  <c r="G3" i="164"/>
  <c r="F3" i="164"/>
  <c r="G42" i="166"/>
  <c r="F42" i="166"/>
  <c r="I4" i="155" l="1"/>
  <c r="H3" i="9" l="1"/>
  <c r="H2" i="9"/>
  <c r="G76" i="172" l="1"/>
  <c r="F76" i="172"/>
  <c r="A187" i="134" l="1"/>
  <c r="A61" i="128"/>
  <c r="A60" i="128"/>
  <c r="A52" i="60"/>
  <c r="A78" i="92"/>
  <c r="A21" i="87"/>
  <c r="A33" i="71"/>
  <c r="A82" i="63"/>
  <c r="A34" i="119"/>
  <c r="A72" i="14"/>
  <c r="A28" i="156"/>
  <c r="A25" i="10"/>
  <c r="A24" i="10"/>
  <c r="C41" i="173"/>
  <c r="A24" i="112"/>
  <c r="C26" i="173"/>
  <c r="H11" i="111"/>
  <c r="D11" i="111"/>
  <c r="H6" i="7"/>
  <c r="G6" i="7"/>
  <c r="A99" i="63"/>
  <c r="A56" i="72"/>
  <c r="A17" i="76"/>
  <c r="A33" i="118"/>
  <c r="A388" i="134"/>
  <c r="R2383" i="155" l="1"/>
  <c r="R2382" i="155"/>
  <c r="R2380" i="155"/>
  <c r="R2381" i="155"/>
  <c r="A36" i="161"/>
  <c r="A83" i="96"/>
  <c r="A309" i="134"/>
  <c r="A57" i="134"/>
  <c r="A127" i="134"/>
  <c r="D12" i="111"/>
  <c r="D12" i="110"/>
  <c r="D12" i="109"/>
  <c r="H12" i="111"/>
  <c r="H12" i="109"/>
  <c r="D10" i="110"/>
  <c r="A99" i="49"/>
  <c r="I12" i="111"/>
  <c r="I12" i="109"/>
  <c r="E12" i="111"/>
  <c r="E12" i="109"/>
  <c r="E12" i="110"/>
  <c r="H10" i="111"/>
  <c r="D10" i="111"/>
  <c r="H10" i="109"/>
  <c r="D10" i="109"/>
  <c r="AG485" i="155"/>
  <c r="S8" i="165"/>
  <c r="AW6" i="165"/>
  <c r="H10" i="112"/>
  <c r="AH10" i="165"/>
  <c r="AW7" i="165"/>
  <c r="A389" i="134"/>
  <c r="A87" i="92"/>
  <c r="A292" i="134"/>
  <c r="A95" i="134"/>
  <c r="AW5" i="165"/>
  <c r="A308" i="134"/>
  <c r="A17" i="134"/>
  <c r="A19" i="71"/>
  <c r="BG13" i="165"/>
  <c r="A106" i="66"/>
  <c r="D13" i="165"/>
  <c r="BG6" i="165"/>
  <c r="AG852" i="155"/>
  <c r="D91" i="63"/>
  <c r="D84" i="32"/>
  <c r="A32" i="136"/>
  <c r="S16" i="165"/>
  <c r="X15" i="165"/>
  <c r="AG488" i="155"/>
  <c r="A29" i="56"/>
  <c r="C47" i="60"/>
  <c r="A27" i="129"/>
  <c r="B10" i="173"/>
  <c r="A32" i="173"/>
  <c r="A17" i="173"/>
  <c r="B25" i="173"/>
  <c r="T2095" i="155"/>
  <c r="T2093" i="155"/>
  <c r="T2094" i="155"/>
  <c r="A7" i="173"/>
  <c r="A37" i="173"/>
  <c r="A22" i="173"/>
  <c r="D42" i="173"/>
  <c r="D27" i="173"/>
  <c r="D12" i="173"/>
  <c r="A10" i="173"/>
  <c r="A25" i="173"/>
  <c r="R1143" i="155"/>
  <c r="R1144" i="155"/>
  <c r="S2094" i="155"/>
  <c r="S2095" i="155"/>
  <c r="S2093" i="155"/>
  <c r="D10" i="112"/>
  <c r="AG2095" i="155"/>
  <c r="AG2093" i="155"/>
  <c r="AG2094" i="155"/>
  <c r="C42" i="173"/>
  <c r="C27" i="173"/>
  <c r="C12" i="173"/>
  <c r="P2095" i="155"/>
  <c r="P2093" i="155"/>
  <c r="R2094" i="155"/>
  <c r="R2098" i="155"/>
  <c r="P2094" i="155"/>
  <c r="R2096" i="155"/>
  <c r="R2097" i="155"/>
  <c r="R2095" i="155"/>
  <c r="R2093" i="155"/>
  <c r="Q2094" i="155"/>
  <c r="Q2095" i="155"/>
  <c r="Q2093" i="155"/>
  <c r="AD2095" i="155"/>
  <c r="AD2093" i="155"/>
  <c r="AD2094" i="155"/>
  <c r="D124" i="32"/>
  <c r="AC10" i="165"/>
  <c r="AW8" i="165"/>
  <c r="A36" i="173"/>
  <c r="C40" i="173"/>
  <c r="C25" i="173"/>
  <c r="A21" i="173"/>
  <c r="A6" i="173"/>
  <c r="C10" i="173"/>
  <c r="A21" i="83"/>
  <c r="A54" i="71"/>
  <c r="A98" i="63"/>
  <c r="A27" i="56"/>
  <c r="AG489" i="155"/>
  <c r="I5" i="165"/>
  <c r="R1108" i="155"/>
  <c r="R1102" i="155"/>
  <c r="R1096" i="155"/>
  <c r="R1090" i="155"/>
  <c r="R1084" i="155"/>
  <c r="R1078" i="155"/>
  <c r="R1072" i="155"/>
  <c r="R1066" i="155"/>
  <c r="R1060" i="155"/>
  <c r="R1054" i="155"/>
  <c r="R1048" i="155"/>
  <c r="R1042" i="155"/>
  <c r="R1036" i="155"/>
  <c r="R1030" i="155"/>
  <c r="R1024" i="155"/>
  <c r="R1018" i="155"/>
  <c r="R1012" i="155"/>
  <c r="R1006" i="155"/>
  <c r="R1000" i="155"/>
  <c r="R994" i="155"/>
  <c r="R988" i="155"/>
  <c r="R982" i="155"/>
  <c r="R976" i="155"/>
  <c r="R970" i="155"/>
  <c r="R964" i="155"/>
  <c r="R958" i="155"/>
  <c r="R957" i="155"/>
  <c r="R951" i="155"/>
  <c r="R945" i="155"/>
  <c r="R939" i="155"/>
  <c r="R933" i="155"/>
  <c r="R1107" i="155"/>
  <c r="R1101" i="155"/>
  <c r="R1095" i="155"/>
  <c r="R1089" i="155"/>
  <c r="R1083" i="155"/>
  <c r="R1077" i="155"/>
  <c r="R1071" i="155"/>
  <c r="R1065" i="155"/>
  <c r="R1059" i="155"/>
  <c r="R1053" i="155"/>
  <c r="R1047" i="155"/>
  <c r="R1041" i="155"/>
  <c r="R1035" i="155"/>
  <c r="R1029" i="155"/>
  <c r="R1023" i="155"/>
  <c r="R1017" i="155"/>
  <c r="R1011" i="155"/>
  <c r="R1005" i="155"/>
  <c r="R999" i="155"/>
  <c r="R993" i="155"/>
  <c r="R987" i="155"/>
  <c r="R981" i="155"/>
  <c r="R975" i="155"/>
  <c r="R969" i="155"/>
  <c r="R963" i="155"/>
  <c r="R956" i="155"/>
  <c r="R950" i="155"/>
  <c r="R944" i="155"/>
  <c r="R938" i="155"/>
  <c r="R932" i="155"/>
  <c r="R1106" i="155"/>
  <c r="R1100" i="155"/>
  <c r="R1094" i="155"/>
  <c r="R1088" i="155"/>
  <c r="R1082" i="155"/>
  <c r="R1076" i="155"/>
  <c r="R1070" i="155"/>
  <c r="R1064" i="155"/>
  <c r="R1058" i="155"/>
  <c r="R1052" i="155"/>
  <c r="R1046" i="155"/>
  <c r="R1040" i="155"/>
  <c r="R1034" i="155"/>
  <c r="R1028" i="155"/>
  <c r="R1022" i="155"/>
  <c r="R1016" i="155"/>
  <c r="R1010" i="155"/>
  <c r="R1004" i="155"/>
  <c r="R998" i="155"/>
  <c r="R992" i="155"/>
  <c r="R986" i="155"/>
  <c r="R980" i="155"/>
  <c r="R974" i="155"/>
  <c r="R968" i="155"/>
  <c r="R962" i="155"/>
  <c r="R955" i="155"/>
  <c r="R949" i="155"/>
  <c r="R943" i="155"/>
  <c r="R937" i="155"/>
  <c r="R1111" i="155"/>
  <c r="R1105" i="155"/>
  <c r="R1099" i="155"/>
  <c r="R1093" i="155"/>
  <c r="R1087" i="155"/>
  <c r="R1081" i="155"/>
  <c r="R1075" i="155"/>
  <c r="R1069" i="155"/>
  <c r="R1063" i="155"/>
  <c r="R1057" i="155"/>
  <c r="R1051" i="155"/>
  <c r="R1045" i="155"/>
  <c r="R1039" i="155"/>
  <c r="R1033" i="155"/>
  <c r="R1027" i="155"/>
  <c r="R1021" i="155"/>
  <c r="R1015" i="155"/>
  <c r="R1009" i="155"/>
  <c r="R1003" i="155"/>
  <c r="R997" i="155"/>
  <c r="R991" i="155"/>
  <c r="R985" i="155"/>
  <c r="R979" i="155"/>
  <c r="R973" i="155"/>
  <c r="R967" i="155"/>
  <c r="R961" i="155"/>
  <c r="R954" i="155"/>
  <c r="R948" i="155"/>
  <c r="R942" i="155"/>
  <c r="R936" i="155"/>
  <c r="R1109" i="155"/>
  <c r="R1097" i="155"/>
  <c r="R1091" i="155"/>
  <c r="R1079" i="155"/>
  <c r="R1073" i="155"/>
  <c r="R1061" i="155"/>
  <c r="R1049" i="155"/>
  <c r="R1037" i="155"/>
  <c r="R1025" i="155"/>
  <c r="R1013" i="155"/>
  <c r="R1001" i="155"/>
  <c r="R989" i="155"/>
  <c r="R977" i="155"/>
  <c r="R965" i="155"/>
  <c r="R946" i="155"/>
  <c r="R934" i="155"/>
  <c r="R1110" i="155"/>
  <c r="R1104" i="155"/>
  <c r="R1098" i="155"/>
  <c r="R1092" i="155"/>
  <c r="R1086" i="155"/>
  <c r="R1080" i="155"/>
  <c r="R1074" i="155"/>
  <c r="R1068" i="155"/>
  <c r="R1062" i="155"/>
  <c r="R1056" i="155"/>
  <c r="R1050" i="155"/>
  <c r="R1044" i="155"/>
  <c r="R1038" i="155"/>
  <c r="R1032" i="155"/>
  <c r="R1026" i="155"/>
  <c r="R1020" i="155"/>
  <c r="R1014" i="155"/>
  <c r="R1008" i="155"/>
  <c r="R1002" i="155"/>
  <c r="R996" i="155"/>
  <c r="R990" i="155"/>
  <c r="R984" i="155"/>
  <c r="R978" i="155"/>
  <c r="R972" i="155"/>
  <c r="R966" i="155"/>
  <c r="R960" i="155"/>
  <c r="R953" i="155"/>
  <c r="R947" i="155"/>
  <c r="R941" i="155"/>
  <c r="R935" i="155"/>
  <c r="R1103" i="155"/>
  <c r="R1085" i="155"/>
  <c r="R1067" i="155"/>
  <c r="R1055" i="155"/>
  <c r="R1043" i="155"/>
  <c r="R1031" i="155"/>
  <c r="R1019" i="155"/>
  <c r="R1007" i="155"/>
  <c r="R995" i="155"/>
  <c r="R983" i="155"/>
  <c r="R971" i="155"/>
  <c r="R959" i="155"/>
  <c r="R952" i="155"/>
  <c r="R940" i="155"/>
  <c r="A30" i="56"/>
  <c r="R2163" i="155"/>
  <c r="R2161" i="155"/>
  <c r="R2160" i="155"/>
  <c r="R2162" i="155"/>
  <c r="R2174" i="155"/>
  <c r="R2173" i="155"/>
  <c r="R2172" i="155"/>
  <c r="R2171" i="155"/>
  <c r="A23" i="66"/>
  <c r="D15" i="165"/>
  <c r="A40" i="49"/>
  <c r="AC12" i="165"/>
  <c r="R1927" i="155"/>
  <c r="R1921" i="155"/>
  <c r="R1925" i="155"/>
  <c r="R1924" i="155"/>
  <c r="R1923" i="155"/>
  <c r="R1922" i="155"/>
  <c r="R1926" i="155"/>
  <c r="R1920" i="155"/>
  <c r="R2659" i="155"/>
  <c r="R2653" i="155"/>
  <c r="R2647" i="155"/>
  <c r="R2658" i="155"/>
  <c r="R2652" i="155"/>
  <c r="R2646" i="155"/>
  <c r="R2657" i="155"/>
  <c r="R2651" i="155"/>
  <c r="R2645" i="155"/>
  <c r="R2656" i="155"/>
  <c r="R2650" i="155"/>
  <c r="R2660" i="155"/>
  <c r="R2648" i="155"/>
  <c r="R2661" i="155"/>
  <c r="R2655" i="155"/>
  <c r="R2649" i="155"/>
  <c r="R2654" i="155"/>
  <c r="A105" i="66"/>
  <c r="A37" i="21"/>
  <c r="R1410" i="155"/>
  <c r="R1409" i="155"/>
  <c r="R1408" i="155"/>
  <c r="R1407" i="155"/>
  <c r="R1405" i="155"/>
  <c r="R1412" i="155"/>
  <c r="R1406" i="155"/>
  <c r="R1411" i="155"/>
  <c r="A36" i="75"/>
  <c r="A38" i="11"/>
  <c r="R1416" i="155"/>
  <c r="R1415" i="155"/>
  <c r="R1414" i="155"/>
  <c r="R1419" i="155"/>
  <c r="R1413" i="155"/>
  <c r="R1418" i="155"/>
  <c r="R1417" i="155"/>
  <c r="R1155" i="155"/>
  <c r="R1154" i="155"/>
  <c r="R1148" i="155"/>
  <c r="R1153" i="155"/>
  <c r="R1147" i="155"/>
  <c r="R1145" i="155"/>
  <c r="R1152" i="155"/>
  <c r="R1146" i="155"/>
  <c r="R1151" i="155"/>
  <c r="R1150" i="155"/>
  <c r="R1149" i="155"/>
  <c r="R1682" i="155"/>
  <c r="R1684" i="155"/>
  <c r="R1683" i="155"/>
  <c r="R1681" i="155"/>
  <c r="R1680" i="155"/>
  <c r="R1679" i="155"/>
  <c r="R1678" i="155"/>
  <c r="R1677" i="155"/>
  <c r="R2665" i="155"/>
  <c r="R2664" i="155"/>
  <c r="R2663" i="155"/>
  <c r="R2662" i="155"/>
  <c r="R2666" i="155"/>
  <c r="A78" i="49"/>
  <c r="A21" i="53"/>
  <c r="A31" i="72"/>
  <c r="D40" i="128"/>
  <c r="A19" i="75"/>
  <c r="A28" i="63"/>
  <c r="A21" i="58"/>
  <c r="R1116" i="155"/>
  <c r="R1115" i="155"/>
  <c r="R1114" i="155"/>
  <c r="R1119" i="155"/>
  <c r="R1117" i="155"/>
  <c r="R1112" i="155"/>
  <c r="R1118" i="155"/>
  <c r="R1113" i="155"/>
  <c r="R2683" i="155"/>
  <c r="R2677" i="155"/>
  <c r="R2671" i="155"/>
  <c r="R2682" i="155"/>
  <c r="R2676" i="155"/>
  <c r="R2670" i="155"/>
  <c r="R2687" i="155"/>
  <c r="R2681" i="155"/>
  <c r="R2675" i="155"/>
  <c r="R2669" i="155"/>
  <c r="R2686" i="155"/>
  <c r="R2680" i="155"/>
  <c r="R2674" i="155"/>
  <c r="R2668" i="155"/>
  <c r="R2678" i="155"/>
  <c r="R2685" i="155"/>
  <c r="R2679" i="155"/>
  <c r="R2673" i="155"/>
  <c r="R2667" i="155"/>
  <c r="R2684" i="155"/>
  <c r="R2672" i="155"/>
  <c r="AG880" i="155"/>
  <c r="D20" i="131"/>
  <c r="R1156" i="155"/>
  <c r="A18" i="132"/>
  <c r="A37" i="115"/>
  <c r="A36" i="87"/>
  <c r="A41" i="56"/>
  <c r="A39" i="49"/>
  <c r="A57" i="49"/>
  <c r="R1290" i="155"/>
  <c r="R1286" i="155"/>
  <c r="R1289" i="155"/>
  <c r="R1285" i="155"/>
  <c r="R1291" i="155"/>
  <c r="R1292" i="155"/>
  <c r="R1288" i="155"/>
  <c r="R1284" i="155"/>
  <c r="R1287" i="155"/>
  <c r="I6" i="165"/>
  <c r="R1228" i="155"/>
  <c r="R1224" i="155"/>
  <c r="R1220" i="155"/>
  <c r="R1216" i="155"/>
  <c r="R1212" i="155"/>
  <c r="R1208" i="155"/>
  <c r="R1204" i="155"/>
  <c r="R1227" i="155"/>
  <c r="R1223" i="155"/>
  <c r="R1219" i="155"/>
  <c r="R1215" i="155"/>
  <c r="R1211" i="155"/>
  <c r="R1207" i="155"/>
  <c r="R1226" i="155"/>
  <c r="R1222" i="155"/>
  <c r="R1218" i="155"/>
  <c r="R1214" i="155"/>
  <c r="R1210" i="155"/>
  <c r="R1206" i="155"/>
  <c r="R1221" i="155"/>
  <c r="R1205" i="155"/>
  <c r="R1217" i="155"/>
  <c r="R1229" i="155"/>
  <c r="R1213" i="155"/>
  <c r="R1225" i="155"/>
  <c r="R1209" i="155"/>
  <c r="R1381" i="155"/>
  <c r="R1377" i="155"/>
  <c r="R1373" i="155"/>
  <c r="R1384" i="155"/>
  <c r="R1380" i="155"/>
  <c r="R1376" i="155"/>
  <c r="R1372" i="155"/>
  <c r="R1383" i="155"/>
  <c r="R1379" i="155"/>
  <c r="R1375" i="155"/>
  <c r="R1371" i="155"/>
  <c r="R1374" i="155"/>
  <c r="R1370" i="155"/>
  <c r="R1382" i="155"/>
  <c r="R1378" i="155"/>
  <c r="BB9" i="165"/>
  <c r="D12" i="165"/>
  <c r="D19" i="165"/>
  <c r="R1404" i="155"/>
  <c r="R1400" i="155"/>
  <c r="R1396" i="155"/>
  <c r="R1392" i="155"/>
  <c r="R1388" i="155"/>
  <c r="R1403" i="155"/>
  <c r="R1399" i="155"/>
  <c r="R1395" i="155"/>
  <c r="R1391" i="155"/>
  <c r="R1387" i="155"/>
  <c r="R1402" i="155"/>
  <c r="R1398" i="155"/>
  <c r="R1394" i="155"/>
  <c r="R1390" i="155"/>
  <c r="R1386" i="155"/>
  <c r="R1393" i="155"/>
  <c r="R1389" i="155"/>
  <c r="R1401" i="155"/>
  <c r="R1385" i="155"/>
  <c r="R1397" i="155"/>
  <c r="R1163" i="155"/>
  <c r="R1358" i="155"/>
  <c r="R1354" i="155"/>
  <c r="R1350" i="155"/>
  <c r="R1346" i="155"/>
  <c r="R1342" i="155"/>
  <c r="R1338" i="155"/>
  <c r="R1334" i="155"/>
  <c r="R1330" i="155"/>
  <c r="R1326" i="155"/>
  <c r="R1322" i="155"/>
  <c r="R1318" i="155"/>
  <c r="R1314" i="155"/>
  <c r="R1310" i="155"/>
  <c r="R1306" i="155"/>
  <c r="R1302" i="155"/>
  <c r="R1361" i="155"/>
  <c r="R1357" i="155"/>
  <c r="R1353" i="155"/>
  <c r="R1349" i="155"/>
  <c r="R1345" i="155"/>
  <c r="R1341" i="155"/>
  <c r="R1337" i="155"/>
  <c r="R1333" i="155"/>
  <c r="R1329" i="155"/>
  <c r="R1325" i="155"/>
  <c r="R1321" i="155"/>
  <c r="R1317" i="155"/>
  <c r="R1313" i="155"/>
  <c r="R1309" i="155"/>
  <c r="R1305" i="155"/>
  <c r="R1360" i="155"/>
  <c r="R1356" i="155"/>
  <c r="R1352" i="155"/>
  <c r="R1348" i="155"/>
  <c r="R1344" i="155"/>
  <c r="R1340" i="155"/>
  <c r="R1336" i="155"/>
  <c r="R1332" i="155"/>
  <c r="R1328" i="155"/>
  <c r="R1324" i="155"/>
  <c r="R1320" i="155"/>
  <c r="R1316" i="155"/>
  <c r="R1312" i="155"/>
  <c r="R1308" i="155"/>
  <c r="R1304" i="155"/>
  <c r="R1347" i="155"/>
  <c r="R1331" i="155"/>
  <c r="R1315" i="155"/>
  <c r="R1359" i="155"/>
  <c r="R1343" i="155"/>
  <c r="R1327" i="155"/>
  <c r="R1311" i="155"/>
  <c r="R1355" i="155"/>
  <c r="R1339" i="155"/>
  <c r="R1323" i="155"/>
  <c r="R1307" i="155"/>
  <c r="R1351" i="155"/>
  <c r="R1335" i="155"/>
  <c r="R1319" i="155"/>
  <c r="R1303" i="155"/>
  <c r="D14" i="165"/>
  <c r="R316" i="155"/>
  <c r="R312" i="155"/>
  <c r="R308" i="155"/>
  <c r="R304" i="155"/>
  <c r="R300" i="155"/>
  <c r="R296" i="155"/>
  <c r="R292" i="155"/>
  <c r="R288" i="155"/>
  <c r="R284" i="155"/>
  <c r="R280" i="155"/>
  <c r="R319" i="155"/>
  <c r="R315" i="155"/>
  <c r="R311" i="155"/>
  <c r="R307" i="155"/>
  <c r="R303" i="155"/>
  <c r="R299" i="155"/>
  <c r="R295" i="155"/>
  <c r="R291" i="155"/>
  <c r="R287" i="155"/>
  <c r="R283" i="155"/>
  <c r="R314" i="155"/>
  <c r="R306" i="155"/>
  <c r="R298" i="155"/>
  <c r="R290" i="155"/>
  <c r="R282" i="155"/>
  <c r="R285" i="155"/>
  <c r="R313" i="155"/>
  <c r="R305" i="155"/>
  <c r="R297" i="155"/>
  <c r="R289" i="155"/>
  <c r="R281" i="155"/>
  <c r="R318" i="155"/>
  <c r="R310" i="155"/>
  <c r="R302" i="155"/>
  <c r="R294" i="155"/>
  <c r="R286" i="155"/>
  <c r="R317" i="155"/>
  <c r="R309" i="155"/>
  <c r="R301" i="155"/>
  <c r="R293" i="155"/>
  <c r="R506" i="155"/>
  <c r="R502" i="155"/>
  <c r="R494" i="155"/>
  <c r="R498" i="155"/>
  <c r="R511" i="155"/>
  <c r="R515" i="155"/>
  <c r="R509" i="155"/>
  <c r="R505" i="155"/>
  <c r="R501" i="155"/>
  <c r="R495" i="155"/>
  <c r="R499" i="155"/>
  <c r="R512" i="155"/>
  <c r="R516" i="155"/>
  <c r="R508" i="155"/>
  <c r="R504" i="155"/>
  <c r="R492" i="155"/>
  <c r="R496" i="155"/>
  <c r="R500" i="155"/>
  <c r="R513" i="155"/>
  <c r="R507" i="155"/>
  <c r="R503" i="155"/>
  <c r="R493" i="155"/>
  <c r="R497" i="155"/>
  <c r="R510" i="155"/>
  <c r="R514" i="155"/>
  <c r="R1366" i="155"/>
  <c r="R1362" i="155"/>
  <c r="R1369" i="155"/>
  <c r="R1365" i="155"/>
  <c r="R1368" i="155"/>
  <c r="R1364" i="155"/>
  <c r="R1367" i="155"/>
  <c r="R1363" i="155"/>
  <c r="A26" i="56"/>
  <c r="A60" i="56"/>
  <c r="A23" i="30"/>
  <c r="A38" i="21"/>
  <c r="A39" i="11"/>
  <c r="AG864" i="155"/>
  <c r="D18" i="165"/>
  <c r="D10" i="128"/>
  <c r="A34" i="123"/>
  <c r="A19" i="53"/>
  <c r="A62" i="56"/>
  <c r="A36" i="160"/>
  <c r="A37" i="14"/>
  <c r="AG868" i="155"/>
  <c r="BG11" i="165"/>
  <c r="A9" i="74"/>
  <c r="A26" i="60"/>
  <c r="A10" i="18"/>
  <c r="A21" i="70"/>
  <c r="A9" i="60"/>
  <c r="A9" i="18"/>
  <c r="A29" i="74"/>
  <c r="A9" i="70"/>
  <c r="A44" i="60"/>
  <c r="AG876" i="155"/>
  <c r="A19" i="133"/>
  <c r="A65" i="120"/>
  <c r="A22" i="105"/>
  <c r="A36" i="23"/>
  <c r="AG886" i="155"/>
  <c r="S11" i="165"/>
  <c r="A87" i="66"/>
  <c r="AC6" i="165"/>
  <c r="BB8" i="165"/>
  <c r="A31" i="171"/>
  <c r="S15" i="165"/>
  <c r="X14" i="165"/>
  <c r="I8" i="165"/>
  <c r="D52" i="128"/>
  <c r="S9" i="165"/>
  <c r="A49" i="120"/>
  <c r="H104" i="32"/>
  <c r="A23" i="49"/>
  <c r="I96" i="66"/>
  <c r="D30" i="131"/>
  <c r="AC9" i="165"/>
  <c r="AG856" i="155"/>
  <c r="AG872" i="155"/>
  <c r="AG882" i="155"/>
  <c r="AG860" i="155"/>
  <c r="A66" i="161"/>
  <c r="A20" i="132"/>
  <c r="H10" i="128"/>
  <c r="A50" i="123"/>
  <c r="A73" i="115"/>
  <c r="A32" i="76"/>
  <c r="I91" i="63"/>
  <c r="G47" i="60"/>
  <c r="A63" i="56"/>
  <c r="H84" i="32"/>
  <c r="H124" i="32"/>
  <c r="S14" i="165"/>
  <c r="A80" i="49"/>
  <c r="A30" i="162"/>
  <c r="A50" i="145"/>
  <c r="D26" i="128"/>
  <c r="A26" i="125"/>
  <c r="A33" i="120"/>
  <c r="A22" i="117"/>
  <c r="D96" i="66"/>
  <c r="D104" i="32"/>
  <c r="A21" i="29"/>
  <c r="S10" i="165"/>
  <c r="A54" i="162"/>
  <c r="A52" i="149"/>
  <c r="A23" i="130"/>
  <c r="A24" i="116"/>
  <c r="A74" i="96"/>
  <c r="S7" i="165"/>
  <c r="BG12" i="165"/>
  <c r="A52" i="136"/>
  <c r="D10" i="131"/>
  <c r="A42" i="69"/>
  <c r="A22" i="53"/>
  <c r="A43" i="56"/>
  <c r="A31" i="37"/>
  <c r="A22" i="18"/>
  <c r="AG486" i="155"/>
  <c r="AG490" i="155"/>
  <c r="BG5" i="165"/>
  <c r="AC13" i="165"/>
  <c r="BG8" i="165"/>
  <c r="BG9" i="165"/>
  <c r="BG10" i="165"/>
  <c r="S13" i="165"/>
  <c r="AG883" i="155"/>
  <c r="AG887" i="155"/>
  <c r="AG853" i="155"/>
  <c r="AG857" i="155"/>
  <c r="AG861" i="155"/>
  <c r="AG865" i="155"/>
  <c r="AG869" i="155"/>
  <c r="AG873" i="155"/>
  <c r="AG877" i="155"/>
  <c r="AG881" i="155"/>
  <c r="AG483" i="155"/>
  <c r="A37" i="49"/>
  <c r="A59" i="49"/>
  <c r="A18" i="134"/>
  <c r="A58" i="134"/>
  <c r="A96" i="134"/>
  <c r="A143" i="134"/>
  <c r="A203" i="134"/>
  <c r="BG7" i="165"/>
  <c r="A22" i="137"/>
  <c r="A26" i="17"/>
  <c r="AG487" i="155"/>
  <c r="AG491" i="155"/>
  <c r="D8" i="165"/>
  <c r="AC8" i="165"/>
  <c r="D10" i="165"/>
  <c r="D11" i="165"/>
  <c r="X13" i="165"/>
  <c r="AG884" i="155"/>
  <c r="AG850" i="155"/>
  <c r="AG854" i="155"/>
  <c r="AG858" i="155"/>
  <c r="AG862" i="155"/>
  <c r="AG866" i="155"/>
  <c r="AG870" i="155"/>
  <c r="AG874" i="155"/>
  <c r="AG878" i="155"/>
  <c r="A20" i="49"/>
  <c r="A36" i="134"/>
  <c r="A74" i="134"/>
  <c r="A110" i="134"/>
  <c r="A144" i="134"/>
  <c r="A229" i="134"/>
  <c r="AG482" i="155"/>
  <c r="A27" i="140"/>
  <c r="A45" i="135"/>
  <c r="A101" i="49"/>
  <c r="AG484" i="155"/>
  <c r="AG885" i="155"/>
  <c r="AG851" i="155"/>
  <c r="AG855" i="155"/>
  <c r="AG859" i="155"/>
  <c r="AG863" i="155"/>
  <c r="AG867" i="155"/>
  <c r="AG871" i="155"/>
  <c r="AG875" i="155"/>
  <c r="AG879" i="155"/>
  <c r="A22" i="49"/>
  <c r="A37" i="134"/>
  <c r="A75" i="134"/>
  <c r="A111" i="134"/>
  <c r="A174" i="134"/>
  <c r="G150" i="168"/>
  <c r="G2" i="164" l="1"/>
  <c r="E94" i="168" l="1"/>
  <c r="E86" i="168" l="1"/>
  <c r="D267" i="167" l="1"/>
  <c r="E267" i="167"/>
  <c r="D73" i="172" l="1"/>
  <c r="E8" i="172" l="1"/>
  <c r="E238" i="167" l="1"/>
  <c r="D238" i="167"/>
  <c r="B238" i="167"/>
  <c r="A238" i="167" s="1"/>
  <c r="R739" i="155" l="1"/>
  <c r="E223" i="167"/>
  <c r="R740" i="155" l="1"/>
  <c r="R737" i="155"/>
  <c r="R734" i="155"/>
  <c r="R738" i="155"/>
  <c r="R733" i="155"/>
  <c r="R735" i="155"/>
  <c r="R736" i="155"/>
  <c r="E207" i="167"/>
  <c r="E202" i="167"/>
  <c r="E201" i="167"/>
  <c r="F75" i="172" l="1"/>
  <c r="F74" i="172"/>
  <c r="F73" i="172"/>
  <c r="F72" i="172"/>
  <c r="F71" i="172"/>
  <c r="F70" i="172"/>
  <c r="F69" i="172"/>
  <c r="F68" i="172"/>
  <c r="F67" i="172"/>
  <c r="F66" i="172"/>
  <c r="F65" i="172"/>
  <c r="F64" i="172"/>
  <c r="F63" i="172"/>
  <c r="F62" i="172"/>
  <c r="F61" i="172"/>
  <c r="F60" i="172"/>
  <c r="F59" i="172"/>
  <c r="F58" i="172"/>
  <c r="F57" i="172"/>
  <c r="F56" i="172"/>
  <c r="F55" i="172"/>
  <c r="F54" i="172"/>
  <c r="F53" i="172"/>
  <c r="F52" i="172"/>
  <c r="F51" i="172"/>
  <c r="F50" i="172"/>
  <c r="F49" i="172"/>
  <c r="F48" i="172"/>
  <c r="F47" i="172"/>
  <c r="F46" i="172"/>
  <c r="F45" i="172"/>
  <c r="F44" i="172"/>
  <c r="F43" i="172"/>
  <c r="F42" i="172"/>
  <c r="F41" i="172"/>
  <c r="F40" i="172"/>
  <c r="F39" i="172"/>
  <c r="F38" i="172"/>
  <c r="F37" i="172"/>
  <c r="F36" i="172"/>
  <c r="F35" i="172"/>
  <c r="F34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F6" i="172"/>
  <c r="F5" i="172"/>
  <c r="F4" i="172"/>
  <c r="F3" i="172"/>
  <c r="F2" i="172"/>
  <c r="F212" i="168"/>
  <c r="F211" i="168"/>
  <c r="F210" i="168"/>
  <c r="F209" i="168"/>
  <c r="F208" i="168"/>
  <c r="F207" i="168"/>
  <c r="F206" i="168"/>
  <c r="F205" i="168"/>
  <c r="F204" i="168"/>
  <c r="F203" i="168"/>
  <c r="F202" i="168"/>
  <c r="F201" i="168"/>
  <c r="F200" i="168"/>
  <c r="F199" i="168"/>
  <c r="F198" i="168"/>
  <c r="F197" i="168"/>
  <c r="F196" i="168"/>
  <c r="F195" i="168"/>
  <c r="F194" i="168"/>
  <c r="F193" i="168"/>
  <c r="F192" i="168"/>
  <c r="F191" i="168"/>
  <c r="F190" i="168"/>
  <c r="F189" i="168"/>
  <c r="F188" i="168"/>
  <c r="F187" i="168"/>
  <c r="F186" i="168"/>
  <c r="F185" i="168"/>
  <c r="F184" i="168"/>
  <c r="F183" i="168"/>
  <c r="F182" i="168"/>
  <c r="F181" i="168"/>
  <c r="F180" i="168"/>
  <c r="F179" i="168"/>
  <c r="F178" i="168"/>
  <c r="F177" i="168"/>
  <c r="F176" i="168"/>
  <c r="F175" i="168"/>
  <c r="F174" i="168"/>
  <c r="F173" i="168"/>
  <c r="F172" i="168"/>
  <c r="F171" i="168"/>
  <c r="F170" i="168"/>
  <c r="F169" i="168"/>
  <c r="F168" i="168"/>
  <c r="F167" i="168"/>
  <c r="F166" i="168"/>
  <c r="F165" i="168"/>
  <c r="F164" i="168"/>
  <c r="F163" i="168"/>
  <c r="F162" i="168"/>
  <c r="F161" i="168"/>
  <c r="F160" i="168"/>
  <c r="F159" i="168"/>
  <c r="F158" i="168"/>
  <c r="F157" i="168"/>
  <c r="F156" i="168"/>
  <c r="F155" i="168"/>
  <c r="F154" i="168"/>
  <c r="F153" i="168"/>
  <c r="F152" i="168"/>
  <c r="F151" i="168"/>
  <c r="F150" i="168"/>
  <c r="F149" i="168"/>
  <c r="F148" i="168"/>
  <c r="F147" i="168"/>
  <c r="F146" i="168"/>
  <c r="F145" i="168"/>
  <c r="F144" i="168"/>
  <c r="F143" i="168"/>
  <c r="F142" i="168"/>
  <c r="F141" i="168"/>
  <c r="F140" i="168"/>
  <c r="F139" i="168"/>
  <c r="F138" i="168"/>
  <c r="F137" i="168"/>
  <c r="F136" i="168"/>
  <c r="F135" i="168"/>
  <c r="F134" i="168"/>
  <c r="F133" i="168"/>
  <c r="F132" i="168"/>
  <c r="F131" i="168"/>
  <c r="F130" i="168"/>
  <c r="F129" i="168"/>
  <c r="F128" i="168"/>
  <c r="F127" i="168"/>
  <c r="F126" i="168"/>
  <c r="F125" i="168"/>
  <c r="F124" i="168"/>
  <c r="F123" i="168"/>
  <c r="F122" i="168"/>
  <c r="F121" i="168"/>
  <c r="F120" i="168"/>
  <c r="F119" i="168"/>
  <c r="F118" i="168"/>
  <c r="F117" i="168"/>
  <c r="F116" i="168"/>
  <c r="F115" i="168"/>
  <c r="F114" i="168"/>
  <c r="F113" i="168"/>
  <c r="F112" i="168"/>
  <c r="F111" i="168"/>
  <c r="F110" i="168"/>
  <c r="F109" i="168"/>
  <c r="F108" i="168"/>
  <c r="F107" i="168"/>
  <c r="F106" i="168"/>
  <c r="F105" i="168"/>
  <c r="F104" i="168"/>
  <c r="F103" i="168"/>
  <c r="F102" i="168"/>
  <c r="F101" i="168"/>
  <c r="F100" i="168"/>
  <c r="F99" i="168"/>
  <c r="F98" i="168"/>
  <c r="F97" i="168"/>
  <c r="F96" i="168"/>
  <c r="F95" i="168"/>
  <c r="F94" i="168"/>
  <c r="F93" i="168"/>
  <c r="F92" i="168"/>
  <c r="F91" i="168"/>
  <c r="F90" i="168"/>
  <c r="F89" i="168"/>
  <c r="F88" i="168"/>
  <c r="F87" i="168"/>
  <c r="F86" i="168"/>
  <c r="F85" i="168"/>
  <c r="F84" i="168"/>
  <c r="F83" i="168"/>
  <c r="F82" i="168"/>
  <c r="F81" i="168"/>
  <c r="F80" i="168"/>
  <c r="F79" i="168"/>
  <c r="F78" i="168"/>
  <c r="F77" i="168"/>
  <c r="F76" i="168"/>
  <c r="F75" i="168"/>
  <c r="F74" i="168"/>
  <c r="F73" i="168"/>
  <c r="F72" i="168"/>
  <c r="F71" i="168"/>
  <c r="F70" i="168"/>
  <c r="F69" i="168"/>
  <c r="F68" i="168"/>
  <c r="F67" i="168"/>
  <c r="F66" i="168"/>
  <c r="F65" i="168"/>
  <c r="F64" i="168"/>
  <c r="F63" i="168"/>
  <c r="F62" i="168"/>
  <c r="F61" i="168"/>
  <c r="F60" i="168"/>
  <c r="F59" i="168"/>
  <c r="F58" i="168"/>
  <c r="F57" i="168"/>
  <c r="F56" i="168"/>
  <c r="F55" i="168"/>
  <c r="F54" i="168"/>
  <c r="F53" i="168"/>
  <c r="F52" i="168"/>
  <c r="F51" i="168"/>
  <c r="F50" i="168"/>
  <c r="F49" i="168"/>
  <c r="F48" i="168"/>
  <c r="F47" i="168"/>
  <c r="F46" i="168"/>
  <c r="F45" i="168"/>
  <c r="F44" i="168"/>
  <c r="F43" i="168"/>
  <c r="F42" i="168"/>
  <c r="F41" i="168"/>
  <c r="F40" i="168"/>
  <c r="F38" i="168"/>
  <c r="F37" i="168"/>
  <c r="F36" i="168"/>
  <c r="F35" i="168"/>
  <c r="F34" i="168"/>
  <c r="F33" i="168"/>
  <c r="F32" i="168"/>
  <c r="F31" i="168"/>
  <c r="F30" i="168"/>
  <c r="F29" i="168"/>
  <c r="F28" i="168"/>
  <c r="F27" i="168"/>
  <c r="F26" i="168"/>
  <c r="F25" i="168"/>
  <c r="F24" i="168"/>
  <c r="F23" i="168"/>
  <c r="F22" i="168"/>
  <c r="F21" i="168"/>
  <c r="F20" i="168"/>
  <c r="F19" i="168"/>
  <c r="F18" i="168"/>
  <c r="F17" i="168"/>
  <c r="F16" i="168"/>
  <c r="F15" i="168"/>
  <c r="F14" i="168"/>
  <c r="F13" i="168"/>
  <c r="F12" i="168"/>
  <c r="F10" i="168"/>
  <c r="F9" i="168"/>
  <c r="F8" i="168"/>
  <c r="F7" i="168"/>
  <c r="F6" i="168"/>
  <c r="F5" i="168"/>
  <c r="F4" i="168"/>
  <c r="F2" i="168"/>
  <c r="F33" i="169"/>
  <c r="F32" i="169"/>
  <c r="F31" i="169"/>
  <c r="F30" i="169"/>
  <c r="F29" i="169"/>
  <c r="F28" i="169"/>
  <c r="F27" i="169"/>
  <c r="F26" i="169"/>
  <c r="F25" i="169"/>
  <c r="F24" i="169"/>
  <c r="F23" i="169"/>
  <c r="F22" i="169"/>
  <c r="F21" i="169"/>
  <c r="F20" i="169"/>
  <c r="F19" i="169"/>
  <c r="F18" i="169"/>
  <c r="F17" i="169"/>
  <c r="F16" i="169"/>
  <c r="F15" i="169"/>
  <c r="F14" i="169"/>
  <c r="F13" i="169"/>
  <c r="F12" i="169"/>
  <c r="F11" i="169"/>
  <c r="F10" i="169"/>
  <c r="F9" i="169"/>
  <c r="F8" i="169"/>
  <c r="F7" i="169"/>
  <c r="F6" i="169"/>
  <c r="F5" i="169"/>
  <c r="F4" i="169"/>
  <c r="F3" i="169"/>
  <c r="F2" i="169"/>
  <c r="F351" i="167"/>
  <c r="F350" i="167"/>
  <c r="F349" i="167"/>
  <c r="F348" i="167"/>
  <c r="F347" i="167"/>
  <c r="F346" i="167"/>
  <c r="F345" i="167"/>
  <c r="F344" i="167"/>
  <c r="F343" i="167"/>
  <c r="F342" i="167"/>
  <c r="F341" i="167"/>
  <c r="F340" i="167"/>
  <c r="F339" i="167"/>
  <c r="F338" i="167"/>
  <c r="F337" i="167"/>
  <c r="F336" i="167"/>
  <c r="F335" i="167"/>
  <c r="F334" i="167"/>
  <c r="F333" i="167"/>
  <c r="F332" i="167"/>
  <c r="F331" i="167"/>
  <c r="F330" i="167"/>
  <c r="F329" i="167"/>
  <c r="F328" i="167"/>
  <c r="F327" i="167"/>
  <c r="F326" i="167"/>
  <c r="F325" i="167"/>
  <c r="F324" i="167"/>
  <c r="F323" i="167"/>
  <c r="F322" i="167"/>
  <c r="F321" i="167"/>
  <c r="F320" i="167"/>
  <c r="F319" i="167"/>
  <c r="F318" i="167"/>
  <c r="F317" i="167"/>
  <c r="F316" i="167"/>
  <c r="F315" i="167"/>
  <c r="F314" i="167"/>
  <c r="F313" i="167"/>
  <c r="F312" i="167"/>
  <c r="F311" i="167"/>
  <c r="F310" i="167"/>
  <c r="F309" i="167"/>
  <c r="F308" i="167"/>
  <c r="F307" i="167"/>
  <c r="F306" i="167"/>
  <c r="F305" i="167"/>
  <c r="F304" i="167"/>
  <c r="F303" i="167"/>
  <c r="F302" i="167"/>
  <c r="F301" i="167"/>
  <c r="F300" i="167"/>
  <c r="F299" i="167"/>
  <c r="F298" i="167"/>
  <c r="F297" i="167"/>
  <c r="F296" i="167"/>
  <c r="F295" i="167"/>
  <c r="F294" i="167"/>
  <c r="F293" i="167"/>
  <c r="F292" i="167"/>
  <c r="F291" i="167"/>
  <c r="F290" i="167"/>
  <c r="F289" i="167"/>
  <c r="F288" i="167"/>
  <c r="F287" i="167"/>
  <c r="F286" i="167"/>
  <c r="F285" i="167"/>
  <c r="F284" i="167"/>
  <c r="F283" i="167"/>
  <c r="F282" i="167"/>
  <c r="F281" i="167"/>
  <c r="F280" i="167"/>
  <c r="F279" i="167"/>
  <c r="F278" i="167"/>
  <c r="F277" i="167"/>
  <c r="F276" i="167"/>
  <c r="F275" i="167"/>
  <c r="F274" i="167"/>
  <c r="F273" i="167"/>
  <c r="F272" i="167"/>
  <c r="F271" i="167"/>
  <c r="F270" i="167"/>
  <c r="F269" i="167"/>
  <c r="F268" i="167"/>
  <c r="F267" i="167"/>
  <c r="F266" i="167"/>
  <c r="F265" i="167"/>
  <c r="F264" i="167"/>
  <c r="F263" i="167"/>
  <c r="F262" i="167"/>
  <c r="F261" i="167"/>
  <c r="F260" i="167"/>
  <c r="F259" i="167"/>
  <c r="F258" i="167"/>
  <c r="F257" i="167"/>
  <c r="F256" i="167"/>
  <c r="F255" i="167"/>
  <c r="F254" i="167"/>
  <c r="F253" i="167"/>
  <c r="F252" i="167"/>
  <c r="F251" i="167"/>
  <c r="F250" i="167"/>
  <c r="F249" i="167"/>
  <c r="F248" i="167"/>
  <c r="F247" i="167"/>
  <c r="F246" i="167"/>
  <c r="F245" i="167"/>
  <c r="F244" i="167"/>
  <c r="F243" i="167"/>
  <c r="F242" i="167"/>
  <c r="F241" i="167"/>
  <c r="F240" i="167"/>
  <c r="F239" i="167"/>
  <c r="F238" i="167"/>
  <c r="F237" i="167"/>
  <c r="F236" i="167"/>
  <c r="F235" i="167"/>
  <c r="F234" i="167"/>
  <c r="F233" i="167"/>
  <c r="F232" i="167"/>
  <c r="F231" i="167"/>
  <c r="F230" i="167"/>
  <c r="F229" i="167"/>
  <c r="F228" i="167"/>
  <c r="F227" i="167"/>
  <c r="F226" i="167"/>
  <c r="F224" i="167"/>
  <c r="F223" i="167"/>
  <c r="F222" i="167"/>
  <c r="F221" i="167"/>
  <c r="F220" i="167"/>
  <c r="F219" i="167"/>
  <c r="F218" i="167"/>
  <c r="F217" i="167"/>
  <c r="F216" i="167"/>
  <c r="F215" i="167"/>
  <c r="F214" i="167"/>
  <c r="F213" i="167"/>
  <c r="F212" i="167"/>
  <c r="F211" i="167"/>
  <c r="F210" i="167"/>
  <c r="F209" i="167"/>
  <c r="F208" i="167"/>
  <c r="F207" i="167"/>
  <c r="F206" i="167"/>
  <c r="F205" i="167"/>
  <c r="F204" i="167"/>
  <c r="F203" i="167"/>
  <c r="F202" i="167"/>
  <c r="F201" i="167"/>
  <c r="F200" i="167"/>
  <c r="F199" i="167"/>
  <c r="F198" i="167"/>
  <c r="F197" i="167"/>
  <c r="F196" i="167"/>
  <c r="F195" i="167"/>
  <c r="F194" i="167"/>
  <c r="F193" i="167"/>
  <c r="F192" i="167"/>
  <c r="F191" i="167"/>
  <c r="F190" i="167"/>
  <c r="F189" i="167"/>
  <c r="F188" i="167"/>
  <c r="F187" i="167"/>
  <c r="F186" i="167"/>
  <c r="F185" i="167"/>
  <c r="F184" i="167"/>
  <c r="F183" i="167"/>
  <c r="F182" i="167"/>
  <c r="F181" i="167"/>
  <c r="F180" i="167"/>
  <c r="F179" i="167"/>
  <c r="F178" i="167"/>
  <c r="F177" i="167"/>
  <c r="F176" i="167"/>
  <c r="F175" i="167"/>
  <c r="F174" i="167"/>
  <c r="F173" i="167"/>
  <c r="F172" i="167"/>
  <c r="F171" i="167"/>
  <c r="F170" i="167"/>
  <c r="F169" i="167"/>
  <c r="F168" i="167"/>
  <c r="F167" i="167"/>
  <c r="F166" i="167"/>
  <c r="F165" i="167"/>
  <c r="F164" i="167"/>
  <c r="F163" i="167"/>
  <c r="F162" i="167"/>
  <c r="F161" i="167"/>
  <c r="F160" i="167"/>
  <c r="F159" i="167"/>
  <c r="F158" i="167"/>
  <c r="F157" i="167"/>
  <c r="F156" i="167"/>
  <c r="F155" i="167"/>
  <c r="F154" i="167"/>
  <c r="F153" i="167"/>
  <c r="F152" i="167"/>
  <c r="F151" i="167"/>
  <c r="F150" i="167"/>
  <c r="F149" i="167"/>
  <c r="F148" i="167"/>
  <c r="F147" i="167"/>
  <c r="F146" i="167"/>
  <c r="F145" i="167"/>
  <c r="F144" i="167"/>
  <c r="F143" i="167"/>
  <c r="F142" i="167"/>
  <c r="F141" i="167"/>
  <c r="F140" i="167"/>
  <c r="F139" i="167"/>
  <c r="F138" i="167"/>
  <c r="F137" i="167"/>
  <c r="F136" i="167"/>
  <c r="F135" i="167"/>
  <c r="F134" i="167"/>
  <c r="F133" i="167"/>
  <c r="F132" i="167"/>
  <c r="F131" i="167"/>
  <c r="F130" i="167"/>
  <c r="F129" i="167"/>
  <c r="F128" i="167"/>
  <c r="F127" i="167"/>
  <c r="F126" i="167"/>
  <c r="F125" i="167"/>
  <c r="F124" i="167"/>
  <c r="F123" i="167"/>
  <c r="F122" i="167"/>
  <c r="F121" i="167"/>
  <c r="F120" i="167"/>
  <c r="F119" i="167"/>
  <c r="F118" i="167"/>
  <c r="F117" i="167"/>
  <c r="F116" i="167"/>
  <c r="F113" i="167"/>
  <c r="F112" i="167"/>
  <c r="F111" i="167"/>
  <c r="F110" i="167"/>
  <c r="F109" i="167"/>
  <c r="F108" i="167"/>
  <c r="F107" i="167"/>
  <c r="F106" i="167"/>
  <c r="F105" i="167"/>
  <c r="F104" i="167"/>
  <c r="F103" i="167"/>
  <c r="F102" i="167"/>
  <c r="F101" i="167"/>
  <c r="F100" i="167"/>
  <c r="F99" i="167"/>
  <c r="F98" i="167"/>
  <c r="F97" i="167"/>
  <c r="F96" i="167"/>
  <c r="F95" i="167"/>
  <c r="F94" i="167"/>
  <c r="F93" i="167"/>
  <c r="F92" i="167"/>
  <c r="F91" i="167"/>
  <c r="F90" i="167"/>
  <c r="F89" i="167"/>
  <c r="F88" i="167"/>
  <c r="F87" i="167"/>
  <c r="F86" i="167"/>
  <c r="F85" i="167"/>
  <c r="F84" i="167"/>
  <c r="F83" i="167"/>
  <c r="F82" i="167"/>
  <c r="F81" i="167"/>
  <c r="F80" i="167"/>
  <c r="F79" i="167"/>
  <c r="F78" i="167"/>
  <c r="F77" i="167"/>
  <c r="F76" i="167"/>
  <c r="F75" i="167"/>
  <c r="F74" i="167"/>
  <c r="F73" i="167"/>
  <c r="F72" i="167"/>
  <c r="F71" i="167"/>
  <c r="F70" i="167"/>
  <c r="F69" i="167"/>
  <c r="F68" i="167"/>
  <c r="F67" i="167"/>
  <c r="F66" i="167"/>
  <c r="F65" i="167"/>
  <c r="F64" i="167"/>
  <c r="F63" i="167"/>
  <c r="F62" i="167"/>
  <c r="F61" i="167"/>
  <c r="F60" i="167"/>
  <c r="F59" i="167"/>
  <c r="F58" i="167"/>
  <c r="F57" i="167"/>
  <c r="F56" i="167"/>
  <c r="F55" i="167"/>
  <c r="F54" i="167"/>
  <c r="F52" i="167"/>
  <c r="F51" i="167"/>
  <c r="F50" i="167"/>
  <c r="F49" i="167"/>
  <c r="F46" i="167"/>
  <c r="F45" i="167"/>
  <c r="F44" i="167"/>
  <c r="F43" i="167"/>
  <c r="F42" i="167"/>
  <c r="F41" i="167"/>
  <c r="F40" i="167"/>
  <c r="F39" i="167"/>
  <c r="F38" i="167"/>
  <c r="F37" i="167"/>
  <c r="F36" i="167"/>
  <c r="F35" i="167"/>
  <c r="F34" i="167"/>
  <c r="F33" i="167"/>
  <c r="F32" i="167"/>
  <c r="F31" i="167"/>
  <c r="F30" i="167"/>
  <c r="F29" i="167"/>
  <c r="F28" i="167"/>
  <c r="F27" i="167"/>
  <c r="F26" i="167"/>
  <c r="F25" i="167"/>
  <c r="F24" i="167"/>
  <c r="F23" i="167"/>
  <c r="F22" i="167"/>
  <c r="F21" i="167"/>
  <c r="F20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F4" i="167"/>
  <c r="F3" i="167"/>
  <c r="F2" i="167"/>
  <c r="F37" i="164"/>
  <c r="F36" i="164"/>
  <c r="F35" i="164"/>
  <c r="F34" i="164"/>
  <c r="F33" i="164"/>
  <c r="F32" i="164"/>
  <c r="F31" i="164"/>
  <c r="F30" i="164"/>
  <c r="F29" i="164"/>
  <c r="F28" i="164"/>
  <c r="F27" i="164"/>
  <c r="F26" i="164"/>
  <c r="F25" i="164"/>
  <c r="F24" i="164"/>
  <c r="F23" i="164"/>
  <c r="F22" i="164"/>
  <c r="F21" i="164"/>
  <c r="F20" i="164"/>
  <c r="F19" i="164"/>
  <c r="F18" i="164"/>
  <c r="F17" i="164"/>
  <c r="F16" i="164"/>
  <c r="F15" i="164"/>
  <c r="F14" i="164"/>
  <c r="F13" i="164"/>
  <c r="F12" i="164"/>
  <c r="F10" i="164"/>
  <c r="F9" i="164"/>
  <c r="F8" i="164"/>
  <c r="F7" i="164"/>
  <c r="F6" i="164"/>
  <c r="F2" i="164"/>
  <c r="F41" i="166"/>
  <c r="F40" i="166"/>
  <c r="F39" i="166"/>
  <c r="F38" i="166"/>
  <c r="F37" i="166"/>
  <c r="F36" i="166"/>
  <c r="F35" i="166"/>
  <c r="F34" i="166"/>
  <c r="F32" i="166"/>
  <c r="F31" i="166"/>
  <c r="F30" i="166"/>
  <c r="F29" i="166"/>
  <c r="F28" i="166"/>
  <c r="F27" i="166"/>
  <c r="F26" i="166"/>
  <c r="F25" i="166"/>
  <c r="F24" i="166"/>
  <c r="F23" i="166"/>
  <c r="F22" i="166"/>
  <c r="F20" i="166"/>
  <c r="F19" i="166"/>
  <c r="F17" i="166"/>
  <c r="F16" i="166"/>
  <c r="F15" i="166"/>
  <c r="F14" i="166"/>
  <c r="F13" i="166"/>
  <c r="F12" i="166"/>
  <c r="F11" i="166"/>
  <c r="F10" i="166"/>
  <c r="F9" i="166"/>
  <c r="F8" i="166"/>
  <c r="F7" i="166"/>
  <c r="F6" i="166"/>
  <c r="F5" i="166"/>
  <c r="F4" i="166"/>
  <c r="F3" i="166"/>
  <c r="F2" i="166"/>
  <c r="G267" i="167" l="1"/>
  <c r="G313" i="167" l="1"/>
  <c r="G190" i="168" l="1"/>
  <c r="G75" i="172"/>
  <c r="G74" i="172"/>
  <c r="G73" i="172"/>
  <c r="G72" i="172"/>
  <c r="G71" i="172"/>
  <c r="G70" i="172"/>
  <c r="G69" i="172"/>
  <c r="G68" i="172"/>
  <c r="G67" i="172"/>
  <c r="G66" i="172"/>
  <c r="G65" i="172"/>
  <c r="G64" i="172"/>
  <c r="G63" i="172"/>
  <c r="G62" i="172"/>
  <c r="G61" i="172"/>
  <c r="G60" i="172"/>
  <c r="G59" i="172"/>
  <c r="G58" i="172"/>
  <c r="G57" i="172"/>
  <c r="G238" i="167"/>
  <c r="G31" i="168"/>
  <c r="G38" i="168"/>
  <c r="G191" i="168" l="1"/>
  <c r="G192" i="168"/>
  <c r="G6" i="172"/>
  <c r="G292" i="167"/>
  <c r="G51" i="168"/>
  <c r="G37" i="168" l="1"/>
  <c r="G56" i="172"/>
  <c r="G55" i="172"/>
  <c r="G54" i="172"/>
  <c r="G53" i="172"/>
  <c r="G52" i="172"/>
  <c r="G51" i="172"/>
  <c r="G50" i="172"/>
  <c r="G49" i="172"/>
  <c r="G48" i="172"/>
  <c r="G47" i="172"/>
  <c r="G46" i="172"/>
  <c r="G45" i="172"/>
  <c r="G44" i="172"/>
  <c r="G36" i="168"/>
  <c r="G23" i="172"/>
  <c r="G22" i="172"/>
  <c r="G12" i="168"/>
  <c r="G37" i="172"/>
  <c r="G188" i="168"/>
  <c r="G32" i="172" l="1"/>
  <c r="G31" i="172"/>
  <c r="E18" i="166"/>
  <c r="D18" i="166"/>
  <c r="B18" i="166"/>
  <c r="A18" i="166" s="1"/>
  <c r="D12" i="125" s="1"/>
  <c r="G17" i="166"/>
  <c r="D41" i="172"/>
  <c r="F18" i="166" l="1"/>
  <c r="G10" i="166"/>
  <c r="D21" i="166"/>
  <c r="E21" i="166"/>
  <c r="B21" i="166"/>
  <c r="A21" i="166" s="1"/>
  <c r="G20" i="166"/>
  <c r="G343" i="167"/>
  <c r="G49" i="168"/>
  <c r="G5" i="172"/>
  <c r="G11" i="172"/>
  <c r="G59" i="168"/>
  <c r="G201" i="168"/>
  <c r="G3" i="172"/>
  <c r="C12" i="110" l="1"/>
  <c r="C25" i="174"/>
  <c r="C12" i="174"/>
  <c r="F21" i="166"/>
  <c r="G7" i="172"/>
  <c r="G9" i="172"/>
  <c r="B12" i="173" l="1"/>
  <c r="B27" i="173"/>
  <c r="G43" i="172"/>
  <c r="G42" i="172"/>
  <c r="G41" i="172"/>
  <c r="G40" i="172"/>
  <c r="G39" i="172"/>
  <c r="G38" i="172"/>
  <c r="G36" i="172"/>
  <c r="G35" i="172"/>
  <c r="G34" i="172"/>
  <c r="G33" i="172"/>
  <c r="G30" i="172"/>
  <c r="G29" i="172"/>
  <c r="G28" i="172"/>
  <c r="G27" i="172"/>
  <c r="G26" i="172"/>
  <c r="G25" i="172"/>
  <c r="G24" i="172"/>
  <c r="G21" i="172"/>
  <c r="G20" i="172"/>
  <c r="G19" i="172"/>
  <c r="G18" i="172"/>
  <c r="G17" i="172"/>
  <c r="G16" i="172"/>
  <c r="G15" i="172"/>
  <c r="G14" i="172"/>
  <c r="G13" i="172"/>
  <c r="G12" i="172"/>
  <c r="G10" i="172"/>
  <c r="G8" i="172"/>
  <c r="G4" i="172"/>
  <c r="G2" i="172"/>
  <c r="G41" i="166" l="1"/>
  <c r="G351" i="167" l="1"/>
  <c r="G289" i="167" l="1"/>
  <c r="S12" i="165"/>
  <c r="G218" i="167"/>
  <c r="G217" i="167"/>
  <c r="G37" i="164"/>
  <c r="G57" i="168"/>
  <c r="D208" i="167"/>
  <c r="D207" i="167"/>
  <c r="G42" i="168"/>
  <c r="G212" i="168"/>
  <c r="G211" i="168"/>
  <c r="G210" i="168"/>
  <c r="G209" i="168"/>
  <c r="G208" i="168"/>
  <c r="G207" i="168"/>
  <c r="G206" i="168"/>
  <c r="G205" i="168"/>
  <c r="G204" i="168"/>
  <c r="G203" i="168"/>
  <c r="G202" i="168"/>
  <c r="G200" i="168"/>
  <c r="G199" i="168"/>
  <c r="G198" i="168"/>
  <c r="G197" i="168"/>
  <c r="G196" i="168"/>
  <c r="G195" i="168"/>
  <c r="G194" i="168"/>
  <c r="G193" i="168"/>
  <c r="G189" i="168"/>
  <c r="G187" i="168"/>
  <c r="G186" i="168"/>
  <c r="G185" i="168"/>
  <c r="G184" i="168"/>
  <c r="G183" i="168"/>
  <c r="G182" i="168"/>
  <c r="G181" i="168"/>
  <c r="G180" i="168"/>
  <c r="G179" i="168"/>
  <c r="G178" i="168"/>
  <c r="G177" i="168"/>
  <c r="G176" i="168"/>
  <c r="G175" i="168"/>
  <c r="G174" i="168"/>
  <c r="G173" i="168"/>
  <c r="G172" i="168"/>
  <c r="G171" i="168"/>
  <c r="G170" i="168"/>
  <c r="G169" i="168"/>
  <c r="G168" i="168"/>
  <c r="G167" i="168"/>
  <c r="G166" i="168"/>
  <c r="G165" i="168"/>
  <c r="G164" i="168"/>
  <c r="G163" i="168"/>
  <c r="G162" i="168"/>
  <c r="G161" i="168"/>
  <c r="G160" i="168"/>
  <c r="G159" i="168"/>
  <c r="G158" i="168"/>
  <c r="G157" i="168"/>
  <c r="G156" i="168"/>
  <c r="G155" i="168"/>
  <c r="G154" i="168"/>
  <c r="G153" i="168"/>
  <c r="G152" i="168"/>
  <c r="G151" i="168"/>
  <c r="G149" i="168"/>
  <c r="G148" i="168"/>
  <c r="G147" i="168"/>
  <c r="G146" i="168"/>
  <c r="G145" i="168"/>
  <c r="G144" i="168"/>
  <c r="G143" i="168"/>
  <c r="G142" i="168"/>
  <c r="G141" i="168"/>
  <c r="G140" i="168"/>
  <c r="G139" i="168"/>
  <c r="G138" i="168"/>
  <c r="G137" i="168"/>
  <c r="G136" i="168"/>
  <c r="G135" i="168"/>
  <c r="G134" i="168"/>
  <c r="G133" i="168"/>
  <c r="G132" i="168"/>
  <c r="G131" i="168"/>
  <c r="G130" i="168"/>
  <c r="G129" i="168"/>
  <c r="G128" i="168"/>
  <c r="G127" i="168"/>
  <c r="G126" i="168"/>
  <c r="G125" i="168"/>
  <c r="G124" i="168"/>
  <c r="G123" i="168"/>
  <c r="G122" i="168"/>
  <c r="G121" i="168"/>
  <c r="G120" i="168"/>
  <c r="G119" i="168"/>
  <c r="G118" i="168"/>
  <c r="G117" i="168"/>
  <c r="G116" i="168"/>
  <c r="G115" i="168"/>
  <c r="G114" i="168"/>
  <c r="G113" i="168"/>
  <c r="G112" i="168"/>
  <c r="G111" i="168"/>
  <c r="G110" i="168"/>
  <c r="G109" i="168"/>
  <c r="G108" i="168"/>
  <c r="G107" i="168"/>
  <c r="G106" i="168"/>
  <c r="G105" i="168"/>
  <c r="G104" i="168"/>
  <c r="G103" i="168"/>
  <c r="G102" i="168"/>
  <c r="G101" i="168"/>
  <c r="G100" i="168"/>
  <c r="G99" i="168"/>
  <c r="G98" i="168"/>
  <c r="G97" i="168"/>
  <c r="G96" i="168"/>
  <c r="G95" i="168"/>
  <c r="G94" i="168"/>
  <c r="G93" i="168"/>
  <c r="G92" i="168"/>
  <c r="G91" i="168"/>
  <c r="G90" i="168"/>
  <c r="G89" i="168"/>
  <c r="G88" i="168"/>
  <c r="G87" i="168"/>
  <c r="G86" i="168"/>
  <c r="G85" i="168"/>
  <c r="G84" i="168"/>
  <c r="G83" i="168"/>
  <c r="G82" i="168"/>
  <c r="G81" i="168"/>
  <c r="G80" i="168"/>
  <c r="G79" i="168"/>
  <c r="G78" i="168"/>
  <c r="G77" i="168"/>
  <c r="G76" i="168"/>
  <c r="G75" i="168"/>
  <c r="G74" i="168"/>
  <c r="G73" i="168"/>
  <c r="G72" i="168"/>
  <c r="G71" i="168"/>
  <c r="G70" i="168"/>
  <c r="G69" i="168"/>
  <c r="G68" i="168"/>
  <c r="G67" i="168"/>
  <c r="G66" i="168"/>
  <c r="G65" i="168"/>
  <c r="G64" i="168"/>
  <c r="G63" i="168"/>
  <c r="G62" i="168"/>
  <c r="G61" i="168"/>
  <c r="G60" i="168"/>
  <c r="G58" i="168"/>
  <c r="G56" i="168"/>
  <c r="G55" i="168"/>
  <c r="G54" i="168"/>
  <c r="G53" i="168"/>
  <c r="G52" i="168"/>
  <c r="G50" i="168"/>
  <c r="G48" i="168"/>
  <c r="G47" i="168"/>
  <c r="G46" i="168"/>
  <c r="G45" i="168"/>
  <c r="G44" i="168"/>
  <c r="G43" i="168"/>
  <c r="G41" i="168"/>
  <c r="G40" i="168"/>
  <c r="G35" i="168"/>
  <c r="G34" i="168"/>
  <c r="G33" i="168"/>
  <c r="G32" i="168"/>
  <c r="G30" i="168"/>
  <c r="G29" i="168"/>
  <c r="G28" i="168"/>
  <c r="G27" i="168"/>
  <c r="G26" i="168"/>
  <c r="G25" i="168"/>
  <c r="G24" i="168"/>
  <c r="G23" i="168"/>
  <c r="G22" i="168"/>
  <c r="G21" i="168"/>
  <c r="G20" i="168"/>
  <c r="G19" i="168"/>
  <c r="G18" i="168"/>
  <c r="G17" i="168"/>
  <c r="G16" i="168"/>
  <c r="G15" i="168"/>
  <c r="G14" i="168"/>
  <c r="G13" i="168"/>
  <c r="G11" i="168"/>
  <c r="G10" i="168"/>
  <c r="G9" i="168"/>
  <c r="G8" i="168"/>
  <c r="G7" i="168"/>
  <c r="G6" i="168"/>
  <c r="G5" i="168"/>
  <c r="G4" i="168"/>
  <c r="G3" i="168"/>
  <c r="G2" i="168"/>
  <c r="G33" i="169"/>
  <c r="G32" i="169"/>
  <c r="G31" i="169"/>
  <c r="G30" i="169"/>
  <c r="G29" i="169"/>
  <c r="G28" i="169"/>
  <c r="G27" i="169"/>
  <c r="G26" i="169"/>
  <c r="G25" i="169"/>
  <c r="G24" i="169"/>
  <c r="G23" i="169"/>
  <c r="G22" i="169"/>
  <c r="G21" i="169"/>
  <c r="G20" i="169"/>
  <c r="G19" i="169"/>
  <c r="G18" i="169"/>
  <c r="G17" i="169"/>
  <c r="G16" i="169"/>
  <c r="G15" i="169"/>
  <c r="G14" i="169"/>
  <c r="G13" i="169"/>
  <c r="G12" i="169"/>
  <c r="G11" i="169"/>
  <c r="G10" i="169"/>
  <c r="G9" i="169"/>
  <c r="G8" i="169"/>
  <c r="G7" i="169"/>
  <c r="G6" i="169"/>
  <c r="G5" i="169"/>
  <c r="G4" i="169"/>
  <c r="G3" i="169"/>
  <c r="G2" i="169"/>
  <c r="G350" i="167"/>
  <c r="G349" i="167"/>
  <c r="G348" i="167"/>
  <c r="G347" i="167"/>
  <c r="G346" i="167"/>
  <c r="G345" i="167"/>
  <c r="G344" i="167"/>
  <c r="G342" i="167"/>
  <c r="G341" i="167"/>
  <c r="G340" i="167"/>
  <c r="G339" i="167"/>
  <c r="G338" i="167"/>
  <c r="G337" i="167"/>
  <c r="G336" i="167"/>
  <c r="G335" i="167"/>
  <c r="G334" i="167"/>
  <c r="G333" i="167"/>
  <c r="G332" i="167"/>
  <c r="G331" i="167"/>
  <c r="G330" i="167"/>
  <c r="G329" i="167"/>
  <c r="G328" i="167"/>
  <c r="G327" i="167"/>
  <c r="G326" i="167"/>
  <c r="G325" i="167"/>
  <c r="G324" i="167"/>
  <c r="G323" i="167"/>
  <c r="G322" i="167"/>
  <c r="G321" i="167"/>
  <c r="G320" i="167"/>
  <c r="G319" i="167"/>
  <c r="G318" i="167"/>
  <c r="G317" i="167"/>
  <c r="G316" i="167"/>
  <c r="G315" i="167"/>
  <c r="G314" i="167"/>
  <c r="G312" i="167"/>
  <c r="G311" i="167"/>
  <c r="G310" i="167"/>
  <c r="G309" i="167"/>
  <c r="G308" i="167"/>
  <c r="G307" i="167"/>
  <c r="G306" i="167"/>
  <c r="G305" i="167"/>
  <c r="G304" i="167"/>
  <c r="G87" i="167"/>
  <c r="G86" i="167"/>
  <c r="G85" i="167"/>
  <c r="G84" i="167"/>
  <c r="G83" i="167"/>
  <c r="G82" i="167"/>
  <c r="G81" i="167"/>
  <c r="G80" i="167"/>
  <c r="G79" i="167"/>
  <c r="G78" i="167"/>
  <c r="G77" i="167"/>
  <c r="G76" i="167"/>
  <c r="G75" i="167"/>
  <c r="G74" i="167"/>
  <c r="G73" i="167"/>
  <c r="G72" i="167"/>
  <c r="G71" i="167"/>
  <c r="G70" i="167"/>
  <c r="G69" i="167"/>
  <c r="G68" i="167"/>
  <c r="G67" i="167"/>
  <c r="G66" i="167"/>
  <c r="G65" i="167"/>
  <c r="G303" i="167"/>
  <c r="G302" i="167"/>
  <c r="G301" i="167"/>
  <c r="G300" i="167"/>
  <c r="G299" i="167"/>
  <c r="G298" i="167"/>
  <c r="G297" i="167"/>
  <c r="G296" i="167"/>
  <c r="G295" i="167"/>
  <c r="G294" i="167"/>
  <c r="G293" i="167"/>
  <c r="G291" i="167"/>
  <c r="G290" i="167"/>
  <c r="G288" i="167"/>
  <c r="G287" i="167"/>
  <c r="G286" i="167"/>
  <c r="G285" i="167"/>
  <c r="G284" i="167"/>
  <c r="G283" i="167"/>
  <c r="G282" i="167"/>
  <c r="G281" i="167"/>
  <c r="G280" i="167"/>
  <c r="G279" i="167"/>
  <c r="G278" i="167"/>
  <c r="G277" i="167"/>
  <c r="G276" i="167"/>
  <c r="G275" i="167"/>
  <c r="G274" i="167"/>
  <c r="G273" i="167"/>
  <c r="G272" i="167"/>
  <c r="G271" i="167"/>
  <c r="G270" i="167"/>
  <c r="G269" i="167"/>
  <c r="G268" i="167"/>
  <c r="G266" i="167"/>
  <c r="G265" i="167"/>
  <c r="G264" i="167"/>
  <c r="G263" i="167"/>
  <c r="G262" i="167"/>
  <c r="G261" i="167"/>
  <c r="G260" i="167"/>
  <c r="G259" i="167"/>
  <c r="G258" i="167"/>
  <c r="G257" i="167"/>
  <c r="G256" i="167"/>
  <c r="G255" i="167"/>
  <c r="G254" i="167"/>
  <c r="G253" i="167"/>
  <c r="G252" i="167"/>
  <c r="G251" i="167"/>
  <c r="G250" i="167"/>
  <c r="G249" i="167"/>
  <c r="G248" i="167"/>
  <c r="G247" i="167"/>
  <c r="G246" i="167"/>
  <c r="G245" i="167"/>
  <c r="G244" i="167"/>
  <c r="G243" i="167"/>
  <c r="G242" i="167"/>
  <c r="G241" i="167"/>
  <c r="G240" i="167"/>
  <c r="G239" i="167"/>
  <c r="G237" i="167"/>
  <c r="G236" i="167"/>
  <c r="G235" i="167"/>
  <c r="G234" i="167"/>
  <c r="G233" i="167"/>
  <c r="G232" i="167"/>
  <c r="G231" i="167"/>
  <c r="G230" i="167"/>
  <c r="G229" i="167"/>
  <c r="G228" i="167"/>
  <c r="G227" i="167"/>
  <c r="G226" i="167"/>
  <c r="G225" i="167"/>
  <c r="G224" i="167"/>
  <c r="G223" i="167"/>
  <c r="G222" i="167"/>
  <c r="G221" i="167"/>
  <c r="G220" i="167"/>
  <c r="G219" i="167"/>
  <c r="G216" i="167"/>
  <c r="G215" i="167"/>
  <c r="G214" i="167"/>
  <c r="G213" i="167"/>
  <c r="G212" i="167"/>
  <c r="G211" i="167"/>
  <c r="G210" i="167"/>
  <c r="G209" i="167"/>
  <c r="G208" i="167"/>
  <c r="G207" i="167"/>
  <c r="G206" i="167"/>
  <c r="G205" i="167"/>
  <c r="G204" i="167"/>
  <c r="G203" i="167"/>
  <c r="G202" i="167"/>
  <c r="G201" i="167"/>
  <c r="G200" i="167"/>
  <c r="G199" i="167"/>
  <c r="G198" i="167"/>
  <c r="G197" i="167"/>
  <c r="G196" i="167"/>
  <c r="G195" i="167"/>
  <c r="G194" i="167"/>
  <c r="G193" i="167"/>
  <c r="G192" i="167"/>
  <c r="G191" i="167"/>
  <c r="G190" i="167"/>
  <c r="G189" i="167"/>
  <c r="G188" i="167"/>
  <c r="G187" i="167"/>
  <c r="G186" i="167"/>
  <c r="G185" i="167"/>
  <c r="G184" i="167"/>
  <c r="G183" i="167"/>
  <c r="G182" i="167"/>
  <c r="G181" i="167"/>
  <c r="G180" i="167"/>
  <c r="G179" i="167"/>
  <c r="G178" i="167"/>
  <c r="G177" i="167"/>
  <c r="G176" i="167"/>
  <c r="G175" i="167"/>
  <c r="G174" i="167"/>
  <c r="G173" i="167"/>
  <c r="G172" i="167"/>
  <c r="G171" i="167"/>
  <c r="G170" i="167"/>
  <c r="G169" i="167"/>
  <c r="G168" i="167"/>
  <c r="G167" i="167"/>
  <c r="G166" i="167"/>
  <c r="G165" i="167"/>
  <c r="G164" i="167"/>
  <c r="G163" i="167"/>
  <c r="G162" i="167"/>
  <c r="G161" i="167"/>
  <c r="G160" i="167"/>
  <c r="G159" i="167"/>
  <c r="G158" i="167"/>
  <c r="G157" i="167"/>
  <c r="G156" i="167"/>
  <c r="G155" i="167"/>
  <c r="G154" i="167"/>
  <c r="G153" i="167"/>
  <c r="G152" i="167"/>
  <c r="G151" i="167"/>
  <c r="G150" i="167"/>
  <c r="G149" i="167"/>
  <c r="G148" i="167"/>
  <c r="G147" i="167"/>
  <c r="G146" i="167"/>
  <c r="G145" i="167"/>
  <c r="G144" i="167"/>
  <c r="G143" i="167"/>
  <c r="G142" i="167"/>
  <c r="G141" i="167"/>
  <c r="G140" i="167"/>
  <c r="G139" i="167"/>
  <c r="G138" i="167"/>
  <c r="G137" i="167"/>
  <c r="G136" i="167"/>
  <c r="G135" i="167"/>
  <c r="G134" i="167"/>
  <c r="G133" i="167"/>
  <c r="G132" i="167"/>
  <c r="G131" i="167"/>
  <c r="G130" i="167"/>
  <c r="G129" i="167"/>
  <c r="G128" i="167"/>
  <c r="G127" i="167"/>
  <c r="G126" i="167"/>
  <c r="G125" i="167"/>
  <c r="G124" i="167"/>
  <c r="G123" i="167"/>
  <c r="G122" i="167"/>
  <c r="G121" i="167"/>
  <c r="G120" i="167"/>
  <c r="G119" i="167"/>
  <c r="G118" i="167"/>
  <c r="G117" i="167"/>
  <c r="G116" i="167"/>
  <c r="G113" i="167"/>
  <c r="G112" i="167"/>
  <c r="G111" i="167"/>
  <c r="G110" i="167"/>
  <c r="G109" i="167"/>
  <c r="G108" i="167"/>
  <c r="G107" i="167"/>
  <c r="G106" i="167"/>
  <c r="G105" i="167"/>
  <c r="G104" i="167"/>
  <c r="G103" i="167"/>
  <c r="G102" i="167"/>
  <c r="G101" i="167"/>
  <c r="G100" i="167"/>
  <c r="G99" i="167"/>
  <c r="G98" i="167"/>
  <c r="G97" i="167"/>
  <c r="G96" i="167"/>
  <c r="G95" i="167"/>
  <c r="G94" i="167"/>
  <c r="G93" i="167"/>
  <c r="G92" i="167"/>
  <c r="G91" i="167"/>
  <c r="G90" i="167"/>
  <c r="G89" i="167"/>
  <c r="G88" i="167"/>
  <c r="G64" i="167"/>
  <c r="G63" i="167"/>
  <c r="G62" i="167"/>
  <c r="G61" i="167"/>
  <c r="G60" i="167"/>
  <c r="G59" i="167"/>
  <c r="G58" i="167"/>
  <c r="G57" i="167"/>
  <c r="G56" i="167"/>
  <c r="G55" i="167"/>
  <c r="G54" i="167"/>
  <c r="G52" i="167"/>
  <c r="G51" i="167"/>
  <c r="G50" i="167"/>
  <c r="G49" i="167"/>
  <c r="G48" i="167"/>
  <c r="G47" i="167"/>
  <c r="G46" i="167"/>
  <c r="G45" i="167"/>
  <c r="G44" i="167"/>
  <c r="G43" i="167"/>
  <c r="G42" i="167"/>
  <c r="G41" i="167"/>
  <c r="G40" i="167"/>
  <c r="G39" i="167"/>
  <c r="G38" i="167"/>
  <c r="G37" i="167"/>
  <c r="G36" i="167"/>
  <c r="G35" i="167"/>
  <c r="G34" i="167"/>
  <c r="G33" i="167"/>
  <c r="G32" i="167"/>
  <c r="G31" i="167"/>
  <c r="G30" i="167"/>
  <c r="G29" i="167"/>
  <c r="G28" i="167"/>
  <c r="G27" i="167"/>
  <c r="G26" i="167"/>
  <c r="G25" i="167"/>
  <c r="G24" i="167"/>
  <c r="G23" i="167"/>
  <c r="G22" i="167"/>
  <c r="G21" i="167"/>
  <c r="G20" i="167"/>
  <c r="G19" i="167"/>
  <c r="G18" i="167"/>
  <c r="G17" i="167"/>
  <c r="G16" i="167"/>
  <c r="G15" i="167"/>
  <c r="G14" i="167"/>
  <c r="G13" i="167"/>
  <c r="G12" i="167"/>
  <c r="G11" i="167"/>
  <c r="G10" i="167"/>
  <c r="G9" i="167"/>
  <c r="G8" i="167"/>
  <c r="G7" i="167"/>
  <c r="G6" i="167"/>
  <c r="G5" i="167"/>
  <c r="G4" i="167"/>
  <c r="G3" i="167"/>
  <c r="G2" i="167"/>
  <c r="G40" i="166"/>
  <c r="G39" i="166"/>
  <c r="G38" i="166"/>
  <c r="G37" i="166"/>
  <c r="G36" i="166"/>
  <c r="G35" i="166"/>
  <c r="G34" i="166"/>
  <c r="G32" i="166"/>
  <c r="G31" i="166"/>
  <c r="G30" i="166"/>
  <c r="G29" i="166"/>
  <c r="G28" i="166"/>
  <c r="G27" i="166"/>
  <c r="G26" i="166"/>
  <c r="G25" i="166"/>
  <c r="G24" i="166"/>
  <c r="G23" i="166"/>
  <c r="G22" i="166"/>
  <c r="G21" i="166"/>
  <c r="G19" i="166"/>
  <c r="G18" i="166"/>
  <c r="G16" i="166"/>
  <c r="G15" i="166"/>
  <c r="G14" i="166"/>
  <c r="G13" i="166"/>
  <c r="G12" i="166"/>
  <c r="G11" i="166"/>
  <c r="G9" i="166"/>
  <c r="G8" i="166"/>
  <c r="G7" i="166"/>
  <c r="G6" i="166"/>
  <c r="G5" i="166"/>
  <c r="G4" i="166"/>
  <c r="G3" i="166"/>
  <c r="G2" i="166"/>
  <c r="G6" i="164"/>
  <c r="G7" i="164"/>
  <c r="G8" i="164"/>
  <c r="G9" i="164"/>
  <c r="G10" i="164"/>
  <c r="G12" i="164"/>
  <c r="G13" i="164"/>
  <c r="G14" i="164"/>
  <c r="G15" i="164"/>
  <c r="G16" i="164"/>
  <c r="G17" i="164"/>
  <c r="G18" i="164"/>
  <c r="G19" i="164"/>
  <c r="G20" i="164"/>
  <c r="G21" i="164"/>
  <c r="G22" i="164"/>
  <c r="G23" i="164"/>
  <c r="G24" i="164"/>
  <c r="G25" i="164"/>
  <c r="G26" i="164"/>
  <c r="G27" i="164"/>
  <c r="G28" i="164"/>
  <c r="G29" i="164"/>
  <c r="G30" i="164"/>
  <c r="G31" i="164"/>
  <c r="G32" i="164"/>
  <c r="G33" i="164"/>
  <c r="G34" i="164"/>
  <c r="G35" i="164"/>
  <c r="G36" i="164"/>
  <c r="D86" i="168" l="1"/>
  <c r="D94" i="168"/>
  <c r="A147" i="41" l="1"/>
  <c r="A30" i="171"/>
  <c r="A33" i="48"/>
  <c r="A74" i="41"/>
  <c r="A171" i="41"/>
  <c r="A122" i="41"/>
  <c r="A26" i="41"/>
  <c r="A98" i="41"/>
  <c r="A30" i="37"/>
  <c r="A25" i="39"/>
  <c r="A50" i="41"/>
  <c r="A195" i="41"/>
  <c r="I9" i="98"/>
  <c r="N9" i="23"/>
  <c r="I83" i="11"/>
  <c r="N9" i="11"/>
  <c r="O9" i="140"/>
  <c r="I9" i="19"/>
  <c r="J9" i="10"/>
  <c r="N9" i="139"/>
  <c r="J12" i="18"/>
  <c r="I63" i="11"/>
  <c r="N9" i="156"/>
  <c r="I22" i="98"/>
  <c r="L9" i="160"/>
  <c r="J9" i="17"/>
  <c r="I41" i="11"/>
  <c r="R3" i="155"/>
  <c r="B10" i="171"/>
  <c r="A45" i="49"/>
  <c r="A7" i="171"/>
  <c r="C11" i="39"/>
  <c r="A10" i="171"/>
  <c r="BB5" i="165"/>
  <c r="BB6" i="165"/>
  <c r="S5" i="165"/>
  <c r="N8" i="165"/>
  <c r="C31" i="112"/>
  <c r="C16" i="108"/>
  <c r="R1203" i="155" l="1"/>
  <c r="R1199" i="155"/>
  <c r="R1195" i="155"/>
  <c r="R1191" i="155"/>
  <c r="R1187" i="155"/>
  <c r="R1183" i="155"/>
  <c r="R1179" i="155"/>
  <c r="R1175" i="155"/>
  <c r="R1171" i="155"/>
  <c r="R1169" i="155"/>
  <c r="R1200" i="155"/>
  <c r="R1196" i="155"/>
  <c r="R1192" i="155"/>
  <c r="R1188" i="155"/>
  <c r="R1184" i="155"/>
  <c r="R1180" i="155"/>
  <c r="R1176" i="155"/>
  <c r="R1172" i="155"/>
  <c r="R1168" i="155"/>
  <c r="R1202" i="155"/>
  <c r="R1198" i="155"/>
  <c r="R1194" i="155"/>
  <c r="R1190" i="155"/>
  <c r="R1186" i="155"/>
  <c r="R1182" i="155"/>
  <c r="R1178" i="155"/>
  <c r="R1174" i="155"/>
  <c r="R1170" i="155"/>
  <c r="R1201" i="155"/>
  <c r="R1197" i="155"/>
  <c r="R1193" i="155"/>
  <c r="R1189" i="155"/>
  <c r="R1185" i="155"/>
  <c r="R1181" i="155"/>
  <c r="R1177" i="155"/>
  <c r="R1173" i="155"/>
  <c r="R2377" i="155"/>
  <c r="R2376" i="155"/>
  <c r="R2379" i="155"/>
  <c r="R2378" i="155"/>
  <c r="R2409" i="155"/>
  <c r="R2406" i="155"/>
  <c r="R2408" i="155"/>
  <c r="R2407" i="155"/>
  <c r="R41" i="155"/>
  <c r="R37" i="155"/>
  <c r="R43" i="155"/>
  <c r="R39" i="155"/>
  <c r="R35" i="155"/>
  <c r="R42" i="155"/>
  <c r="R34" i="155"/>
  <c r="R40" i="155"/>
  <c r="R38" i="155"/>
  <c r="R36" i="155"/>
  <c r="R2819" i="155"/>
  <c r="R2811" i="155"/>
  <c r="R2818" i="155"/>
  <c r="R2810" i="155"/>
  <c r="R2825" i="155"/>
  <c r="R2817" i="155"/>
  <c r="R2824" i="155"/>
  <c r="R2816" i="155"/>
  <c r="R2809" i="155"/>
  <c r="R2815" i="155"/>
  <c r="R2822" i="155"/>
  <c r="R2814" i="155"/>
  <c r="R2808" i="155"/>
  <c r="R2821" i="155"/>
  <c r="R2813" i="155"/>
  <c r="R2820" i="155"/>
  <c r="R2812" i="155"/>
  <c r="R224" i="155"/>
  <c r="R220" i="155"/>
  <c r="R216" i="155"/>
  <c r="R227" i="155"/>
  <c r="R226" i="155"/>
  <c r="R222" i="155"/>
  <c r="R218" i="155"/>
  <c r="R225" i="155"/>
  <c r="R217" i="155"/>
  <c r="R223" i="155"/>
  <c r="R221" i="155"/>
  <c r="R219" i="155"/>
  <c r="R2773" i="155"/>
  <c r="R2769" i="155"/>
  <c r="R2765" i="155"/>
  <c r="R2761" i="155"/>
  <c r="R2757" i="155"/>
  <c r="R2753" i="155"/>
  <c r="R2772" i="155"/>
  <c r="R2768" i="155"/>
  <c r="R2764" i="155"/>
  <c r="R2760" i="155"/>
  <c r="R2756" i="155"/>
  <c r="R2752" i="155"/>
  <c r="R2775" i="155"/>
  <c r="R2771" i="155"/>
  <c r="R2767" i="155"/>
  <c r="R2763" i="155"/>
  <c r="R2759" i="155"/>
  <c r="R2755" i="155"/>
  <c r="R2751" i="155"/>
  <c r="R2774" i="155"/>
  <c r="R2770" i="155"/>
  <c r="R2766" i="155"/>
  <c r="R2762" i="155"/>
  <c r="R2758" i="155"/>
  <c r="R2754" i="155"/>
  <c r="R2750" i="155"/>
  <c r="R678" i="155"/>
  <c r="R674" i="155"/>
  <c r="R670" i="155"/>
  <c r="R677" i="155"/>
  <c r="R673" i="155"/>
  <c r="R669" i="155"/>
  <c r="R676" i="155"/>
  <c r="R672" i="155"/>
  <c r="R671" i="155"/>
  <c r="R675" i="155"/>
  <c r="R1512" i="155"/>
  <c r="R1508" i="155"/>
  <c r="R1504" i="155"/>
  <c r="R1500" i="155"/>
  <c r="R1496" i="155"/>
  <c r="R1511" i="155"/>
  <c r="R1507" i="155"/>
  <c r="R1503" i="155"/>
  <c r="R1499" i="155"/>
  <c r="R1495" i="155"/>
  <c r="R1510" i="155"/>
  <c r="R1506" i="155"/>
  <c r="R1502" i="155"/>
  <c r="R1498" i="155"/>
  <c r="R1494" i="155"/>
  <c r="R1501" i="155"/>
  <c r="R1497" i="155"/>
  <c r="R1509" i="155"/>
  <c r="R1505" i="155"/>
  <c r="R229" i="155"/>
  <c r="R231" i="155"/>
  <c r="R232" i="155"/>
  <c r="R230" i="155"/>
  <c r="R228" i="155"/>
  <c r="R698" i="155"/>
  <c r="R694" i="155"/>
  <c r="R690" i="155"/>
  <c r="R686" i="155"/>
  <c r="R682" i="155"/>
  <c r="R697" i="155"/>
  <c r="R693" i="155"/>
  <c r="R689" i="155"/>
  <c r="R685" i="155"/>
  <c r="R681" i="155"/>
  <c r="R700" i="155"/>
  <c r="R696" i="155"/>
  <c r="R692" i="155"/>
  <c r="R688" i="155"/>
  <c r="R684" i="155"/>
  <c r="R680" i="155"/>
  <c r="R687" i="155"/>
  <c r="R699" i="155"/>
  <c r="R683" i="155"/>
  <c r="R695" i="155"/>
  <c r="R679" i="155"/>
  <c r="R691" i="155"/>
  <c r="R2021" i="155"/>
  <c r="R2017" i="155"/>
  <c r="R2024" i="155"/>
  <c r="R2020" i="155"/>
  <c r="R2016" i="155"/>
  <c r="R2023" i="155"/>
  <c r="R2019" i="155"/>
  <c r="R2022" i="155"/>
  <c r="R2018" i="155"/>
  <c r="R2150" i="155"/>
  <c r="R2146" i="155"/>
  <c r="R2142" i="155"/>
  <c r="R2149" i="155"/>
  <c r="R2145" i="155"/>
  <c r="R2141" i="155"/>
  <c r="R2152" i="155"/>
  <c r="R2148" i="155"/>
  <c r="R2144" i="155"/>
  <c r="R2140" i="155"/>
  <c r="R2143" i="155"/>
  <c r="R2139" i="155"/>
  <c r="R2151" i="155"/>
  <c r="R2147" i="155"/>
  <c r="R714" i="155"/>
  <c r="R710" i="155"/>
  <c r="R706" i="155"/>
  <c r="R702" i="155"/>
  <c r="R713" i="155"/>
  <c r="R709" i="155"/>
  <c r="R705" i="155"/>
  <c r="R701" i="155"/>
  <c r="R716" i="155"/>
  <c r="R712" i="155"/>
  <c r="R708" i="155"/>
  <c r="R704" i="155"/>
  <c r="R703" i="155"/>
  <c r="R715" i="155"/>
  <c r="R711" i="155"/>
  <c r="R707" i="155"/>
  <c r="R1530" i="155"/>
  <c r="R1526" i="155"/>
  <c r="R1522" i="155"/>
  <c r="R1518" i="155"/>
  <c r="R1514" i="155"/>
  <c r="R1528" i="155"/>
  <c r="R1523" i="155"/>
  <c r="R1517" i="155"/>
  <c r="R1527" i="155"/>
  <c r="R1521" i="155"/>
  <c r="R1516" i="155"/>
  <c r="R1531" i="155"/>
  <c r="R1525" i="155"/>
  <c r="R1520" i="155"/>
  <c r="R1515" i="155"/>
  <c r="R1519" i="155"/>
  <c r="R1513" i="155"/>
  <c r="R1529" i="155"/>
  <c r="R1524" i="155"/>
  <c r="R1301" i="155"/>
  <c r="R1297" i="155"/>
  <c r="R1293" i="155"/>
  <c r="R1281" i="155"/>
  <c r="R1277" i="155"/>
  <c r="R1273" i="155"/>
  <c r="R1269" i="155"/>
  <c r="R1265" i="155"/>
  <c r="R1261" i="155"/>
  <c r="R1257" i="155"/>
  <c r="R1253" i="155"/>
  <c r="R1249" i="155"/>
  <c r="R1245" i="155"/>
  <c r="R1241" i="155"/>
  <c r="R1237" i="155"/>
  <c r="R1233" i="155"/>
  <c r="R1300" i="155"/>
  <c r="R1295" i="155"/>
  <c r="R1279" i="155"/>
  <c r="R1274" i="155"/>
  <c r="R1268" i="155"/>
  <c r="R1263" i="155"/>
  <c r="R1258" i="155"/>
  <c r="R1252" i="155"/>
  <c r="R1247" i="155"/>
  <c r="R1242" i="155"/>
  <c r="R1236" i="155"/>
  <c r="R1231" i="155"/>
  <c r="R1299" i="155"/>
  <c r="R1294" i="155"/>
  <c r="R1283" i="155"/>
  <c r="R1278" i="155"/>
  <c r="R1272" i="155"/>
  <c r="R1267" i="155"/>
  <c r="R1262" i="155"/>
  <c r="R1256" i="155"/>
  <c r="R1251" i="155"/>
  <c r="R1246" i="155"/>
  <c r="R1240" i="155"/>
  <c r="R1235" i="155"/>
  <c r="R1230" i="155"/>
  <c r="R1298" i="155"/>
  <c r="R1282" i="155"/>
  <c r="R1276" i="155"/>
  <c r="R1271" i="155"/>
  <c r="R1266" i="155"/>
  <c r="R1260" i="155"/>
  <c r="R1255" i="155"/>
  <c r="R1250" i="155"/>
  <c r="R1244" i="155"/>
  <c r="R1239" i="155"/>
  <c r="R1234" i="155"/>
  <c r="R1296" i="155"/>
  <c r="R1275" i="155"/>
  <c r="R1254" i="155"/>
  <c r="R1232" i="155"/>
  <c r="R1270" i="155"/>
  <c r="R1248" i="155"/>
  <c r="R1264" i="155"/>
  <c r="R1243" i="155"/>
  <c r="R1280" i="155"/>
  <c r="R1259" i="155"/>
  <c r="R1238" i="155"/>
  <c r="R1855" i="155"/>
  <c r="R1851" i="155"/>
  <c r="R1847" i="155"/>
  <c r="R1843" i="155"/>
  <c r="R1854" i="155"/>
  <c r="R1850" i="155"/>
  <c r="R1853" i="155"/>
  <c r="R1849" i="155"/>
  <c r="R1845" i="155"/>
  <c r="R1841" i="155"/>
  <c r="R1844" i="155"/>
  <c r="R1838" i="155"/>
  <c r="R1834" i="155"/>
  <c r="R1830" i="155"/>
  <c r="R1826" i="155"/>
  <c r="R1822" i="155"/>
  <c r="R1818" i="155"/>
  <c r="R1814" i="155"/>
  <c r="R1810" i="155"/>
  <c r="R1806" i="155"/>
  <c r="R1802" i="155"/>
  <c r="R1798" i="155"/>
  <c r="R1794" i="155"/>
  <c r="R1790" i="155"/>
  <c r="R1786" i="155"/>
  <c r="R1782" i="155"/>
  <c r="R1778" i="155"/>
  <c r="R1774" i="155"/>
  <c r="R1770" i="155"/>
  <c r="R1852" i="155"/>
  <c r="R1842" i="155"/>
  <c r="R1837" i="155"/>
  <c r="R1833" i="155"/>
  <c r="R1829" i="155"/>
  <c r="R1825" i="155"/>
  <c r="R1821" i="155"/>
  <c r="R1817" i="155"/>
  <c r="R1813" i="155"/>
  <c r="R1809" i="155"/>
  <c r="R1805" i="155"/>
  <c r="R1801" i="155"/>
  <c r="R1797" i="155"/>
  <c r="R1793" i="155"/>
  <c r="R1789" i="155"/>
  <c r="R1785" i="155"/>
  <c r="R1781" i="155"/>
  <c r="R1777" i="155"/>
  <c r="R1773" i="155"/>
  <c r="R1769" i="155"/>
  <c r="R1848" i="155"/>
  <c r="R1840" i="155"/>
  <c r="R1836" i="155"/>
  <c r="R1832" i="155"/>
  <c r="R1828" i="155"/>
  <c r="R1824" i="155"/>
  <c r="R1820" i="155"/>
  <c r="R1816" i="155"/>
  <c r="R1812" i="155"/>
  <c r="R1808" i="155"/>
  <c r="R1804" i="155"/>
  <c r="R1800" i="155"/>
  <c r="R1796" i="155"/>
  <c r="R1792" i="155"/>
  <c r="R1788" i="155"/>
  <c r="R1784" i="155"/>
  <c r="R1780" i="155"/>
  <c r="R1776" i="155"/>
  <c r="R1772" i="155"/>
  <c r="R1768" i="155"/>
  <c r="R1846" i="155"/>
  <c r="R1827" i="155"/>
  <c r="R1811" i="155"/>
  <c r="R1795" i="155"/>
  <c r="R1779" i="155"/>
  <c r="R1839" i="155"/>
  <c r="R1823" i="155"/>
  <c r="R1807" i="155"/>
  <c r="R1791" i="155"/>
  <c r="R1775" i="155"/>
  <c r="R1835" i="155"/>
  <c r="R1819" i="155"/>
  <c r="R1803" i="155"/>
  <c r="R1787" i="155"/>
  <c r="R1771" i="155"/>
  <c r="R1783" i="155"/>
  <c r="R1917" i="155"/>
  <c r="R1913" i="155"/>
  <c r="R1909" i="155"/>
  <c r="R1905" i="155"/>
  <c r="R1885" i="155"/>
  <c r="R1881" i="155"/>
  <c r="R1877" i="155"/>
  <c r="R1873" i="155"/>
  <c r="R2003" i="155"/>
  <c r="R1999" i="155"/>
  <c r="R1995" i="155"/>
  <c r="R1981" i="155"/>
  <c r="R1977" i="155"/>
  <c r="R1973" i="155"/>
  <c r="R1831" i="155"/>
  <c r="R1916" i="155"/>
  <c r="R1912" i="155"/>
  <c r="R1908" i="155"/>
  <c r="R1904" i="155"/>
  <c r="R1884" i="155"/>
  <c r="R1880" i="155"/>
  <c r="R1876" i="155"/>
  <c r="R1872" i="155"/>
  <c r="R2002" i="155"/>
  <c r="R1998" i="155"/>
  <c r="R1994" i="155"/>
  <c r="R1980" i="155"/>
  <c r="R1976" i="155"/>
  <c r="R1972" i="155"/>
  <c r="R1815" i="155"/>
  <c r="R1919" i="155"/>
  <c r="R1915" i="155"/>
  <c r="R1911" i="155"/>
  <c r="R1907" i="155"/>
  <c r="R1887" i="155"/>
  <c r="R1883" i="155"/>
  <c r="R1879" i="155"/>
  <c r="R1875" i="155"/>
  <c r="R2005" i="155"/>
  <c r="R2001" i="155"/>
  <c r="R1997" i="155"/>
  <c r="R1983" i="155"/>
  <c r="R1979" i="155"/>
  <c r="R1975" i="155"/>
  <c r="R1918" i="155"/>
  <c r="R1886" i="155"/>
  <c r="R2004" i="155"/>
  <c r="R1978" i="155"/>
  <c r="R1799" i="155"/>
  <c r="R1914" i="155"/>
  <c r="R1882" i="155"/>
  <c r="R2000" i="155"/>
  <c r="R1974" i="155"/>
  <c r="R1910" i="155"/>
  <c r="R1878" i="155"/>
  <c r="R1996" i="155"/>
  <c r="R1906" i="155"/>
  <c r="R1874" i="155"/>
  <c r="R1982" i="155"/>
  <c r="R2642" i="155"/>
  <c r="R2638" i="155"/>
  <c r="R2641" i="155"/>
  <c r="R2637" i="155"/>
  <c r="R2644" i="155"/>
  <c r="R2640" i="155"/>
  <c r="R2643" i="155"/>
  <c r="R2639" i="155"/>
  <c r="R360" i="155"/>
  <c r="R356" i="155"/>
  <c r="R352" i="155"/>
  <c r="R348" i="155"/>
  <c r="R344" i="155"/>
  <c r="R340" i="155"/>
  <c r="R336" i="155"/>
  <c r="R332" i="155"/>
  <c r="R328" i="155"/>
  <c r="R324" i="155"/>
  <c r="R65" i="155"/>
  <c r="R61" i="155"/>
  <c r="R57" i="155"/>
  <c r="R53" i="155"/>
  <c r="R49" i="155"/>
  <c r="R45" i="155"/>
  <c r="R85" i="155"/>
  <c r="R81" i="155"/>
  <c r="R77" i="155"/>
  <c r="R73" i="155"/>
  <c r="R69" i="155"/>
  <c r="R99" i="155"/>
  <c r="R95" i="155"/>
  <c r="R91" i="155"/>
  <c r="R111" i="155"/>
  <c r="R107" i="155"/>
  <c r="R103" i="155"/>
  <c r="R148" i="155"/>
  <c r="R144" i="155"/>
  <c r="R140" i="155"/>
  <c r="R136" i="155"/>
  <c r="R132" i="155"/>
  <c r="R128" i="155"/>
  <c r="R124" i="155"/>
  <c r="R120" i="155"/>
  <c r="R116" i="155"/>
  <c r="R112" i="155"/>
  <c r="R234" i="155"/>
  <c r="R277" i="155"/>
  <c r="R273" i="155"/>
  <c r="R269" i="155"/>
  <c r="R265" i="155"/>
  <c r="R261" i="155"/>
  <c r="R257" i="155"/>
  <c r="R253" i="155"/>
  <c r="R249" i="155"/>
  <c r="R245" i="155"/>
  <c r="R241" i="155"/>
  <c r="R237" i="155"/>
  <c r="R359" i="155"/>
  <c r="R355" i="155"/>
  <c r="R351" i="155"/>
  <c r="R347" i="155"/>
  <c r="R343" i="155"/>
  <c r="R339" i="155"/>
  <c r="R335" i="155"/>
  <c r="R331" i="155"/>
  <c r="R327" i="155"/>
  <c r="R323" i="155"/>
  <c r="R64" i="155"/>
  <c r="R60" i="155"/>
  <c r="R56" i="155"/>
  <c r="R52" i="155"/>
  <c r="R48" i="155"/>
  <c r="R44" i="155"/>
  <c r="R84" i="155"/>
  <c r="R80" i="155"/>
  <c r="R76" i="155"/>
  <c r="R72" i="155"/>
  <c r="R68" i="155"/>
  <c r="R98" i="155"/>
  <c r="R94" i="155"/>
  <c r="R90" i="155"/>
  <c r="R110" i="155"/>
  <c r="R106" i="155"/>
  <c r="R102" i="155"/>
  <c r="R151" i="155"/>
  <c r="R147" i="155"/>
  <c r="R143" i="155"/>
  <c r="R139" i="155"/>
  <c r="R135" i="155"/>
  <c r="R131" i="155"/>
  <c r="R127" i="155"/>
  <c r="R123" i="155"/>
  <c r="R119" i="155"/>
  <c r="R115" i="155"/>
  <c r="R358" i="155"/>
  <c r="R354" i="155"/>
  <c r="R350" i="155"/>
  <c r="R346" i="155"/>
  <c r="R342" i="155"/>
  <c r="R338" i="155"/>
  <c r="R334" i="155"/>
  <c r="R330" i="155"/>
  <c r="R326" i="155"/>
  <c r="R322" i="155"/>
  <c r="R63" i="155"/>
  <c r="R59" i="155"/>
  <c r="R55" i="155"/>
  <c r="R51" i="155"/>
  <c r="R47" i="155"/>
  <c r="R83" i="155"/>
  <c r="R79" i="155"/>
  <c r="R75" i="155"/>
  <c r="R71" i="155"/>
  <c r="R67" i="155"/>
  <c r="R97" i="155"/>
  <c r="R93" i="155"/>
  <c r="R89" i="155"/>
  <c r="R109" i="155"/>
  <c r="R105" i="155"/>
  <c r="R101" i="155"/>
  <c r="R150" i="155"/>
  <c r="R146" i="155"/>
  <c r="R142" i="155"/>
  <c r="R138" i="155"/>
  <c r="R134" i="155"/>
  <c r="R130" i="155"/>
  <c r="R126" i="155"/>
  <c r="R122" i="155"/>
  <c r="R118" i="155"/>
  <c r="R114" i="155"/>
  <c r="R236" i="155"/>
  <c r="R275" i="155"/>
  <c r="R271" i="155"/>
  <c r="R267" i="155"/>
  <c r="R263" i="155"/>
  <c r="R259" i="155"/>
  <c r="R255" i="155"/>
  <c r="R251" i="155"/>
  <c r="R247" i="155"/>
  <c r="R243" i="155"/>
  <c r="R239" i="155"/>
  <c r="R357" i="155"/>
  <c r="R341" i="155"/>
  <c r="R325" i="155"/>
  <c r="R50" i="155"/>
  <c r="R78" i="155"/>
  <c r="R96" i="155"/>
  <c r="R104" i="155"/>
  <c r="R141" i="155"/>
  <c r="R125" i="155"/>
  <c r="R235" i="155"/>
  <c r="R274" i="155"/>
  <c r="R266" i="155"/>
  <c r="R258" i="155"/>
  <c r="R250" i="155"/>
  <c r="R242" i="155"/>
  <c r="R353" i="155"/>
  <c r="R337" i="155"/>
  <c r="R321" i="155"/>
  <c r="R62" i="155"/>
  <c r="R46" i="155"/>
  <c r="R74" i="155"/>
  <c r="R92" i="155"/>
  <c r="R100" i="155"/>
  <c r="R137" i="155"/>
  <c r="R121" i="155"/>
  <c r="R233" i="155"/>
  <c r="R272" i="155"/>
  <c r="R264" i="155"/>
  <c r="R256" i="155"/>
  <c r="R248" i="155"/>
  <c r="R240" i="155"/>
  <c r="R349" i="155"/>
  <c r="R333" i="155"/>
  <c r="R58" i="155"/>
  <c r="R70" i="155"/>
  <c r="R88" i="155"/>
  <c r="R149" i="155"/>
  <c r="R133" i="155"/>
  <c r="R117" i="155"/>
  <c r="R278" i="155"/>
  <c r="R270" i="155"/>
  <c r="R262" i="155"/>
  <c r="R254" i="155"/>
  <c r="R246" i="155"/>
  <c r="R238" i="155"/>
  <c r="R66" i="155"/>
  <c r="R113" i="155"/>
  <c r="R268" i="155"/>
  <c r="R108" i="155"/>
  <c r="R260" i="155"/>
  <c r="R345" i="155"/>
  <c r="R54" i="155"/>
  <c r="R145" i="155"/>
  <c r="R252" i="155"/>
  <c r="R2749" i="155"/>
  <c r="R2745" i="155"/>
  <c r="R2741" i="155"/>
  <c r="R2737" i="155"/>
  <c r="R2733" i="155"/>
  <c r="R2729" i="155"/>
  <c r="R129" i="155"/>
  <c r="R2747" i="155"/>
  <c r="R2742" i="155"/>
  <c r="R2736" i="155"/>
  <c r="R2731" i="155"/>
  <c r="R2726" i="155"/>
  <c r="R2722" i="155"/>
  <c r="R2718" i="155"/>
  <c r="R2714" i="155"/>
  <c r="R2710" i="155"/>
  <c r="R2804" i="155"/>
  <c r="R2800" i="155"/>
  <c r="R2796" i="155"/>
  <c r="R2792" i="155"/>
  <c r="R2788" i="155"/>
  <c r="R2784" i="155"/>
  <c r="R2780" i="155"/>
  <c r="R2776" i="155"/>
  <c r="R276" i="155"/>
  <c r="R2746" i="155"/>
  <c r="R2740" i="155"/>
  <c r="R2735" i="155"/>
  <c r="R2730" i="155"/>
  <c r="R2725" i="155"/>
  <c r="R2721" i="155"/>
  <c r="R2717" i="155"/>
  <c r="R2713" i="155"/>
  <c r="R2709" i="155"/>
  <c r="R2807" i="155"/>
  <c r="R2803" i="155"/>
  <c r="R2799" i="155"/>
  <c r="R2795" i="155"/>
  <c r="R2791" i="155"/>
  <c r="R2787" i="155"/>
  <c r="R2783" i="155"/>
  <c r="R2779" i="155"/>
  <c r="R329" i="155"/>
  <c r="R244" i="155"/>
  <c r="R2744" i="155"/>
  <c r="R2739" i="155"/>
  <c r="R2734" i="155"/>
  <c r="R2728" i="155"/>
  <c r="R2724" i="155"/>
  <c r="R2720" i="155"/>
  <c r="R2716" i="155"/>
  <c r="R2712" i="155"/>
  <c r="R2806" i="155"/>
  <c r="R2802" i="155"/>
  <c r="R2798" i="155"/>
  <c r="R2794" i="155"/>
  <c r="R2790" i="155"/>
  <c r="R2786" i="155"/>
  <c r="R2782" i="155"/>
  <c r="R2778" i="155"/>
  <c r="R82" i="155"/>
  <c r="R2748" i="155"/>
  <c r="R2743" i="155"/>
  <c r="R2738" i="155"/>
  <c r="R2732" i="155"/>
  <c r="R2727" i="155"/>
  <c r="R2723" i="155"/>
  <c r="R2719" i="155"/>
  <c r="R2715" i="155"/>
  <c r="R2711" i="155"/>
  <c r="R2805" i="155"/>
  <c r="R2801" i="155"/>
  <c r="R2797" i="155"/>
  <c r="R2793" i="155"/>
  <c r="R2789" i="155"/>
  <c r="R2785" i="155"/>
  <c r="R2781" i="155"/>
  <c r="R2777" i="155"/>
  <c r="R542" i="155"/>
  <c r="R538" i="155"/>
  <c r="R528" i="155"/>
  <c r="R524" i="155"/>
  <c r="R520" i="155"/>
  <c r="R568" i="155"/>
  <c r="R564" i="155"/>
  <c r="R560" i="155"/>
  <c r="R556" i="155"/>
  <c r="R552" i="155"/>
  <c r="R608" i="155"/>
  <c r="R604" i="155"/>
  <c r="R600" i="155"/>
  <c r="R596" i="155"/>
  <c r="R592" i="155"/>
  <c r="R541" i="155"/>
  <c r="R537" i="155"/>
  <c r="R527" i="155"/>
  <c r="R523" i="155"/>
  <c r="R519" i="155"/>
  <c r="R567" i="155"/>
  <c r="R563" i="155"/>
  <c r="R559" i="155"/>
  <c r="R555" i="155"/>
  <c r="R551" i="155"/>
  <c r="R607" i="155"/>
  <c r="R603" i="155"/>
  <c r="R599" i="155"/>
  <c r="R595" i="155"/>
  <c r="R591" i="155"/>
  <c r="R548" i="155"/>
  <c r="R540" i="155"/>
  <c r="R536" i="155"/>
  <c r="R526" i="155"/>
  <c r="R522" i="155"/>
  <c r="R518" i="155"/>
  <c r="R566" i="155"/>
  <c r="R562" i="155"/>
  <c r="R558" i="155"/>
  <c r="R554" i="155"/>
  <c r="R550" i="155"/>
  <c r="R606" i="155"/>
  <c r="R602" i="155"/>
  <c r="R598" i="155"/>
  <c r="R594" i="155"/>
  <c r="R590" i="155"/>
  <c r="R539" i="155"/>
  <c r="R517" i="155"/>
  <c r="R553" i="155"/>
  <c r="R597" i="155"/>
  <c r="R529" i="155"/>
  <c r="R565" i="155"/>
  <c r="R549" i="155"/>
  <c r="R593" i="155"/>
  <c r="R525" i="155"/>
  <c r="R561" i="155"/>
  <c r="R605" i="155"/>
  <c r="R589" i="155"/>
  <c r="R521" i="155"/>
  <c r="R543" i="155"/>
  <c r="R585" i="155"/>
  <c r="R574" i="155"/>
  <c r="R570" i="155"/>
  <c r="R666" i="155"/>
  <c r="R662" i="155"/>
  <c r="R658" i="155"/>
  <c r="R654" i="155"/>
  <c r="R650" i="155"/>
  <c r="R639" i="155"/>
  <c r="R635" i="155"/>
  <c r="R624" i="155"/>
  <c r="R613" i="155"/>
  <c r="R609" i="155"/>
  <c r="R533" i="155"/>
  <c r="R581" i="155"/>
  <c r="R577" i="155"/>
  <c r="R646" i="155"/>
  <c r="R642" i="155"/>
  <c r="R632" i="155"/>
  <c r="R628" i="155"/>
  <c r="R618" i="155"/>
  <c r="R557" i="155"/>
  <c r="R546" i="155"/>
  <c r="R588" i="155"/>
  <c r="R584" i="155"/>
  <c r="R573" i="155"/>
  <c r="R569" i="155"/>
  <c r="R665" i="155"/>
  <c r="R661" i="155"/>
  <c r="R657" i="155"/>
  <c r="R653" i="155"/>
  <c r="R649" i="155"/>
  <c r="R638" i="155"/>
  <c r="R627" i="155"/>
  <c r="R623" i="155"/>
  <c r="R612" i="155"/>
  <c r="R532" i="155"/>
  <c r="R580" i="155"/>
  <c r="R576" i="155"/>
  <c r="R645" i="155"/>
  <c r="R641" i="155"/>
  <c r="R631" i="155"/>
  <c r="R621" i="155"/>
  <c r="R617" i="155"/>
  <c r="R651" i="155"/>
  <c r="R625" i="155"/>
  <c r="R610" i="155"/>
  <c r="R530" i="155"/>
  <c r="R647" i="155"/>
  <c r="R633" i="155"/>
  <c r="R619" i="155"/>
  <c r="R601" i="155"/>
  <c r="R545" i="155"/>
  <c r="R587" i="155"/>
  <c r="R583" i="155"/>
  <c r="R572" i="155"/>
  <c r="R668" i="155"/>
  <c r="R664" i="155"/>
  <c r="R660" i="155"/>
  <c r="R656" i="155"/>
  <c r="R652" i="155"/>
  <c r="R648" i="155"/>
  <c r="R637" i="155"/>
  <c r="R626" i="155"/>
  <c r="R622" i="155"/>
  <c r="R611" i="155"/>
  <c r="R535" i="155"/>
  <c r="R531" i="155"/>
  <c r="R579" i="155"/>
  <c r="R575" i="155"/>
  <c r="R644" i="155"/>
  <c r="R634" i="155"/>
  <c r="R630" i="155"/>
  <c r="R620" i="155"/>
  <c r="R616" i="155"/>
  <c r="R547" i="155"/>
  <c r="R544" i="155"/>
  <c r="R586" i="155"/>
  <c r="R582" i="155"/>
  <c r="R571" i="155"/>
  <c r="R667" i="155"/>
  <c r="R663" i="155"/>
  <c r="R659" i="155"/>
  <c r="R655" i="155"/>
  <c r="R640" i="155"/>
  <c r="R636" i="155"/>
  <c r="R614" i="155"/>
  <c r="R534" i="155"/>
  <c r="R578" i="155"/>
  <c r="R643" i="155"/>
  <c r="R629" i="155"/>
  <c r="R615" i="155"/>
  <c r="R1473" i="155"/>
  <c r="R1469" i="155"/>
  <c r="R1465" i="155"/>
  <c r="R1461" i="155"/>
  <c r="R1472" i="155"/>
  <c r="R1467" i="155"/>
  <c r="R1462" i="155"/>
  <c r="R1471" i="155"/>
  <c r="R1466" i="155"/>
  <c r="R1460" i="155"/>
  <c r="R1475" i="155"/>
  <c r="R1470" i="155"/>
  <c r="R1464" i="155"/>
  <c r="R1459" i="155"/>
  <c r="R1468" i="155"/>
  <c r="R1463" i="155"/>
  <c r="R1458" i="155"/>
  <c r="R1474" i="155"/>
  <c r="R2478" i="155"/>
  <c r="R2474" i="155"/>
  <c r="R2470" i="155"/>
  <c r="R2466" i="155"/>
  <c r="R2477" i="155"/>
  <c r="R2473" i="155"/>
  <c r="R2469" i="155"/>
  <c r="R2465" i="155"/>
  <c r="R2480" i="155"/>
  <c r="R2476" i="155"/>
  <c r="R2472" i="155"/>
  <c r="R2468" i="155"/>
  <c r="R2471" i="155"/>
  <c r="R2467" i="155"/>
  <c r="R2479" i="155"/>
  <c r="R2475" i="155"/>
  <c r="R730" i="155"/>
  <c r="R726" i="155"/>
  <c r="R722" i="155"/>
  <c r="R718" i="155"/>
  <c r="R729" i="155"/>
  <c r="R725" i="155"/>
  <c r="R721" i="155"/>
  <c r="R717" i="155"/>
  <c r="R732" i="155"/>
  <c r="R728" i="155"/>
  <c r="R724" i="155"/>
  <c r="R720" i="155"/>
  <c r="R719" i="155"/>
  <c r="R731" i="155"/>
  <c r="R727" i="155"/>
  <c r="R723" i="155"/>
  <c r="R1438" i="155"/>
  <c r="R1434" i="155"/>
  <c r="R1430" i="155"/>
  <c r="R1426" i="155"/>
  <c r="R1422" i="155"/>
  <c r="R1437" i="155"/>
  <c r="R1432" i="155"/>
  <c r="R1427" i="155"/>
  <c r="R1421" i="155"/>
  <c r="R1436" i="155"/>
  <c r="R1431" i="155"/>
  <c r="R1425" i="155"/>
  <c r="R1420" i="155"/>
  <c r="R1435" i="155"/>
  <c r="R1429" i="155"/>
  <c r="R1424" i="155"/>
  <c r="R1428" i="155"/>
  <c r="R1423" i="155"/>
  <c r="R1433" i="155"/>
  <c r="R805" i="155"/>
  <c r="R801" i="155"/>
  <c r="R797" i="155"/>
  <c r="R793" i="155"/>
  <c r="R789" i="155"/>
  <c r="R804" i="155"/>
  <c r="R800" i="155"/>
  <c r="R796" i="155"/>
  <c r="R792" i="155"/>
  <c r="R788" i="155"/>
  <c r="R803" i="155"/>
  <c r="R799" i="155"/>
  <c r="R795" i="155"/>
  <c r="R791" i="155"/>
  <c r="R787" i="155"/>
  <c r="R798" i="155"/>
  <c r="R794" i="155"/>
  <c r="R790" i="155"/>
  <c r="R802" i="155"/>
  <c r="R2432" i="155"/>
  <c r="R2431" i="155"/>
  <c r="R2827" i="155"/>
  <c r="R2826" i="155"/>
  <c r="R2828" i="155"/>
  <c r="R1674" i="155"/>
  <c r="R1670" i="155"/>
  <c r="R1666" i="155"/>
  <c r="R1648" i="155"/>
  <c r="R1644" i="155"/>
  <c r="R1640" i="155"/>
  <c r="R1636" i="155"/>
  <c r="R1739" i="155"/>
  <c r="R1735" i="155"/>
  <c r="R1724" i="155"/>
  <c r="R1720" i="155"/>
  <c r="R1762" i="155"/>
  <c r="R1758" i="155"/>
  <c r="R1754" i="155"/>
  <c r="R1750" i="155"/>
  <c r="R1673" i="155"/>
  <c r="R1669" i="155"/>
  <c r="R1665" i="155"/>
  <c r="R1647" i="155"/>
  <c r="R1643" i="155"/>
  <c r="R1639" i="155"/>
  <c r="R1635" i="155"/>
  <c r="R1738" i="155"/>
  <c r="R1734" i="155"/>
  <c r="R1723" i="155"/>
  <c r="R1719" i="155"/>
  <c r="R1761" i="155"/>
  <c r="R1757" i="155"/>
  <c r="R1753" i="155"/>
  <c r="R1749" i="155"/>
  <c r="R1676" i="155"/>
  <c r="R1672" i="155"/>
  <c r="R1668" i="155"/>
  <c r="R1664" i="155"/>
  <c r="R1646" i="155"/>
  <c r="R1642" i="155"/>
  <c r="R1638" i="155"/>
  <c r="R1741" i="155"/>
  <c r="R1737" i="155"/>
  <c r="R1733" i="155"/>
  <c r="R1722" i="155"/>
  <c r="R1718" i="155"/>
  <c r="R1760" i="155"/>
  <c r="R1756" i="155"/>
  <c r="R1752" i="155"/>
  <c r="R1671" i="155"/>
  <c r="R1641" i="155"/>
  <c r="R1725" i="155"/>
  <c r="R1755" i="155"/>
  <c r="R1667" i="155"/>
  <c r="R1637" i="155"/>
  <c r="R1721" i="155"/>
  <c r="R1751" i="155"/>
  <c r="R1663" i="155"/>
  <c r="R1740" i="155"/>
  <c r="R1717" i="155"/>
  <c r="R1675" i="155"/>
  <c r="R1645" i="155"/>
  <c r="R1736" i="155"/>
  <c r="R1759" i="155"/>
  <c r="R2634" i="155"/>
  <c r="R2630" i="155"/>
  <c r="R2626" i="155"/>
  <c r="R2622" i="155"/>
  <c r="R2633" i="155"/>
  <c r="R2629" i="155"/>
  <c r="R2625" i="155"/>
  <c r="R2621" i="155"/>
  <c r="R2617" i="155"/>
  <c r="R2613" i="155"/>
  <c r="R2609" i="155"/>
  <c r="R2605" i="155"/>
  <c r="R2601" i="155"/>
  <c r="R2597" i="155"/>
  <c r="R2593" i="155"/>
  <c r="R2589" i="155"/>
  <c r="R2585" i="155"/>
  <c r="R2581" i="155"/>
  <c r="R2577" i="155"/>
  <c r="R2573" i="155"/>
  <c r="R2569" i="155"/>
  <c r="R2565" i="155"/>
  <c r="R2561" i="155"/>
  <c r="R2557" i="155"/>
  <c r="R2553" i="155"/>
  <c r="R2549" i="155"/>
  <c r="R2545" i="155"/>
  <c r="R2541" i="155"/>
  <c r="R2537" i="155"/>
  <c r="R2533" i="155"/>
  <c r="R2529" i="155"/>
  <c r="R2525" i="155"/>
  <c r="R2521" i="155"/>
  <c r="R2517" i="155"/>
  <c r="R2513" i="155"/>
  <c r="R2509" i="155"/>
  <c r="R2505" i="155"/>
  <c r="R2636" i="155"/>
  <c r="R2632" i="155"/>
  <c r="R2628" i="155"/>
  <c r="R2624" i="155"/>
  <c r="R2620" i="155"/>
  <c r="R2616" i="155"/>
  <c r="R2612" i="155"/>
  <c r="R2608" i="155"/>
  <c r="R2604" i="155"/>
  <c r="R2600" i="155"/>
  <c r="R2596" i="155"/>
  <c r="R2592" i="155"/>
  <c r="R2588" i="155"/>
  <c r="R2584" i="155"/>
  <c r="R2580" i="155"/>
  <c r="R2576" i="155"/>
  <c r="R2572" i="155"/>
  <c r="R2568" i="155"/>
  <c r="R2564" i="155"/>
  <c r="R2560" i="155"/>
  <c r="R2556" i="155"/>
  <c r="R2552" i="155"/>
  <c r="R2548" i="155"/>
  <c r="R2544" i="155"/>
  <c r="R2540" i="155"/>
  <c r="R2536" i="155"/>
  <c r="R2532" i="155"/>
  <c r="R2528" i="155"/>
  <c r="R2524" i="155"/>
  <c r="R2520" i="155"/>
  <c r="R2516" i="155"/>
  <c r="R2512" i="155"/>
  <c r="R2508" i="155"/>
  <c r="R2504" i="155"/>
  <c r="R2500" i="155"/>
  <c r="R2496" i="155"/>
  <c r="R2635" i="155"/>
  <c r="R2619" i="155"/>
  <c r="R2611" i="155"/>
  <c r="R2603" i="155"/>
  <c r="R2595" i="155"/>
  <c r="R2587" i="155"/>
  <c r="R2579" i="155"/>
  <c r="R2571" i="155"/>
  <c r="R2563" i="155"/>
  <c r="R2555" i="155"/>
  <c r="R2547" i="155"/>
  <c r="R2539" i="155"/>
  <c r="R2531" i="155"/>
  <c r="R2523" i="155"/>
  <c r="R2515" i="155"/>
  <c r="R2507" i="155"/>
  <c r="R2501" i="155"/>
  <c r="R2495" i="155"/>
  <c r="R2631" i="155"/>
  <c r="R2618" i="155"/>
  <c r="R2610" i="155"/>
  <c r="R2602" i="155"/>
  <c r="R2594" i="155"/>
  <c r="R2586" i="155"/>
  <c r="R2578" i="155"/>
  <c r="R2570" i="155"/>
  <c r="R2562" i="155"/>
  <c r="R2554" i="155"/>
  <c r="R2546" i="155"/>
  <c r="R2538" i="155"/>
  <c r="R2530" i="155"/>
  <c r="R2522" i="155"/>
  <c r="R2514" i="155"/>
  <c r="R2506" i="155"/>
  <c r="R2499" i="155"/>
  <c r="R2494" i="155"/>
  <c r="R2627" i="155"/>
  <c r="R2615" i="155"/>
  <c r="R2607" i="155"/>
  <c r="R2599" i="155"/>
  <c r="R2591" i="155"/>
  <c r="R2583" i="155"/>
  <c r="R2575" i="155"/>
  <c r="R2567" i="155"/>
  <c r="R2559" i="155"/>
  <c r="R2551" i="155"/>
  <c r="R2543" i="155"/>
  <c r="R2535" i="155"/>
  <c r="R2527" i="155"/>
  <c r="R2519" i="155"/>
  <c r="R2511" i="155"/>
  <c r="R2503" i="155"/>
  <c r="R2498" i="155"/>
  <c r="R2493" i="155"/>
  <c r="R2623" i="155"/>
  <c r="R2614" i="155"/>
  <c r="R2606" i="155"/>
  <c r="R2598" i="155"/>
  <c r="R2590" i="155"/>
  <c r="R2582" i="155"/>
  <c r="R2574" i="155"/>
  <c r="R2566" i="155"/>
  <c r="R2558" i="155"/>
  <c r="R2550" i="155"/>
  <c r="R2542" i="155"/>
  <c r="R2534" i="155"/>
  <c r="R2526" i="155"/>
  <c r="R2518" i="155"/>
  <c r="R2510" i="155"/>
  <c r="R2502" i="155"/>
  <c r="R2497" i="155"/>
  <c r="H11" i="160"/>
  <c r="R1162" i="155"/>
  <c r="R1161" i="155"/>
  <c r="R1157" i="155"/>
  <c r="R1160" i="155"/>
  <c r="R1159" i="155"/>
  <c r="R1158" i="155"/>
  <c r="R1140" i="155"/>
  <c r="R1138" i="155"/>
  <c r="R1132" i="155"/>
  <c r="R1139" i="155"/>
  <c r="R1133" i="155"/>
  <c r="R1129" i="155"/>
  <c r="R1135" i="155"/>
  <c r="R1137" i="155"/>
  <c r="R1131" i="155"/>
  <c r="R1134" i="155"/>
  <c r="R1136" i="155"/>
  <c r="R1130" i="155"/>
  <c r="R1141" i="155"/>
  <c r="R1142" i="155"/>
  <c r="R865" i="155"/>
  <c r="R864" i="155"/>
  <c r="R867" i="155"/>
  <c r="R863" i="155"/>
  <c r="R866" i="155"/>
  <c r="R918" i="155"/>
  <c r="R912" i="155"/>
  <c r="R907" i="155"/>
  <c r="R917" i="155"/>
  <c r="R911" i="155"/>
  <c r="R906" i="155"/>
  <c r="R915" i="155"/>
  <c r="R909" i="155"/>
  <c r="R914" i="155"/>
  <c r="R908" i="155"/>
  <c r="Q819" i="155"/>
  <c r="D11" i="160"/>
  <c r="R215" i="155"/>
  <c r="R211" i="155"/>
  <c r="R207" i="155"/>
  <c r="R203" i="155"/>
  <c r="R199" i="155"/>
  <c r="R190" i="155"/>
  <c r="R186" i="155"/>
  <c r="R182" i="155"/>
  <c r="R178" i="155"/>
  <c r="R174" i="155"/>
  <c r="R170" i="155"/>
  <c r="R166" i="155"/>
  <c r="R162" i="155"/>
  <c r="R158" i="155"/>
  <c r="R154" i="155"/>
  <c r="R213" i="155"/>
  <c r="R205" i="155"/>
  <c r="R197" i="155"/>
  <c r="R188" i="155"/>
  <c r="R180" i="155"/>
  <c r="R172" i="155"/>
  <c r="R164" i="155"/>
  <c r="R156" i="155"/>
  <c r="R208" i="155"/>
  <c r="R200" i="155"/>
  <c r="R191" i="155"/>
  <c r="R183" i="155"/>
  <c r="R175" i="155"/>
  <c r="R167" i="155"/>
  <c r="R159" i="155"/>
  <c r="R214" i="155"/>
  <c r="R210" i="155"/>
  <c r="R206" i="155"/>
  <c r="R202" i="155"/>
  <c r="R198" i="155"/>
  <c r="R193" i="155"/>
  <c r="R189" i="155"/>
  <c r="R185" i="155"/>
  <c r="R181" i="155"/>
  <c r="R177" i="155"/>
  <c r="R173" i="155"/>
  <c r="R169" i="155"/>
  <c r="R165" i="155"/>
  <c r="R161" i="155"/>
  <c r="R157" i="155"/>
  <c r="R209" i="155"/>
  <c r="R201" i="155"/>
  <c r="R192" i="155"/>
  <c r="R184" i="155"/>
  <c r="R176" i="155"/>
  <c r="R168" i="155"/>
  <c r="R160" i="155"/>
  <c r="R212" i="155"/>
  <c r="R204" i="155"/>
  <c r="R196" i="155"/>
  <c r="R187" i="155"/>
  <c r="R179" i="155"/>
  <c r="R171" i="155"/>
  <c r="R163" i="155"/>
  <c r="R155" i="155"/>
  <c r="R400" i="155"/>
  <c r="R396" i="155"/>
  <c r="R392" i="155"/>
  <c r="R388" i="155"/>
  <c r="R384" i="155"/>
  <c r="R380" i="155"/>
  <c r="R376" i="155"/>
  <c r="R372" i="155"/>
  <c r="R368" i="155"/>
  <c r="R364" i="155"/>
  <c r="R399" i="155"/>
  <c r="R395" i="155"/>
  <c r="R391" i="155"/>
  <c r="R387" i="155"/>
  <c r="R383" i="155"/>
  <c r="R379" i="155"/>
  <c r="R375" i="155"/>
  <c r="R371" i="155"/>
  <c r="R367" i="155"/>
  <c r="R363" i="155"/>
  <c r="R389" i="155"/>
  <c r="R377" i="155"/>
  <c r="R369" i="155"/>
  <c r="R398" i="155"/>
  <c r="R394" i="155"/>
  <c r="R390" i="155"/>
  <c r="R386" i="155"/>
  <c r="R382" i="155"/>
  <c r="R378" i="155"/>
  <c r="R374" i="155"/>
  <c r="R370" i="155"/>
  <c r="R366" i="155"/>
  <c r="R362" i="155"/>
  <c r="R397" i="155"/>
  <c r="R393" i="155"/>
  <c r="R385" i="155"/>
  <c r="R381" i="155"/>
  <c r="R373" i="155"/>
  <c r="R365" i="155"/>
  <c r="R1903" i="155"/>
  <c r="R1899" i="155"/>
  <c r="R1895" i="155"/>
  <c r="R1891" i="155"/>
  <c r="R1869" i="155"/>
  <c r="R1865" i="155"/>
  <c r="R1861" i="155"/>
  <c r="R1857" i="155"/>
  <c r="R2013" i="155"/>
  <c r="R2009" i="155"/>
  <c r="R1993" i="155"/>
  <c r="R1989" i="155"/>
  <c r="R1985" i="155"/>
  <c r="R1947" i="155"/>
  <c r="R1943" i="155"/>
  <c r="R1939" i="155"/>
  <c r="R1935" i="155"/>
  <c r="R1931" i="155"/>
  <c r="R1900" i="155"/>
  <c r="R1888" i="155"/>
  <c r="R1866" i="155"/>
  <c r="R2006" i="155"/>
  <c r="R1902" i="155"/>
  <c r="R1898" i="155"/>
  <c r="R1894" i="155"/>
  <c r="R1890" i="155"/>
  <c r="R1868" i="155"/>
  <c r="R1864" i="155"/>
  <c r="R1860" i="155"/>
  <c r="R1856" i="155"/>
  <c r="R2012" i="155"/>
  <c r="R2008" i="155"/>
  <c r="R1992" i="155"/>
  <c r="R1988" i="155"/>
  <c r="R1984" i="155"/>
  <c r="R1946" i="155"/>
  <c r="R1942" i="155"/>
  <c r="R1938" i="155"/>
  <c r="R1934" i="155"/>
  <c r="R1930" i="155"/>
  <c r="R1896" i="155"/>
  <c r="R1862" i="155"/>
  <c r="R2014" i="155"/>
  <c r="R1901" i="155"/>
  <c r="R1897" i="155"/>
  <c r="R1893" i="155"/>
  <c r="R1889" i="155"/>
  <c r="R1871" i="155"/>
  <c r="R1867" i="155"/>
  <c r="R1863" i="155"/>
  <c r="R1859" i="155"/>
  <c r="R2015" i="155"/>
  <c r="R2011" i="155"/>
  <c r="R2007" i="155"/>
  <c r="R1991" i="155"/>
  <c r="R1987" i="155"/>
  <c r="R1949" i="155"/>
  <c r="R1945" i="155"/>
  <c r="R1941" i="155"/>
  <c r="R1937" i="155"/>
  <c r="R1933" i="155"/>
  <c r="R1929" i="155"/>
  <c r="R1892" i="155"/>
  <c r="R1870" i="155"/>
  <c r="R1858" i="155"/>
  <c r="R2010" i="155"/>
  <c r="R1944" i="155"/>
  <c r="R1928" i="155"/>
  <c r="R1986" i="155"/>
  <c r="R1948" i="155"/>
  <c r="R1940" i="155"/>
  <c r="R1932" i="155"/>
  <c r="R1990" i="155"/>
  <c r="R1936" i="155"/>
  <c r="R1660" i="155"/>
  <c r="R1656" i="155"/>
  <c r="R1652" i="155"/>
  <c r="R1634" i="155"/>
  <c r="R1630" i="155"/>
  <c r="R1626" i="155"/>
  <c r="R1622" i="155"/>
  <c r="R1748" i="155"/>
  <c r="R1744" i="155"/>
  <c r="R1730" i="155"/>
  <c r="R1726" i="155"/>
  <c r="R1700" i="155"/>
  <c r="R1696" i="155"/>
  <c r="R1692" i="155"/>
  <c r="R1688" i="155"/>
  <c r="R1653" i="155"/>
  <c r="R1623" i="155"/>
  <c r="R1659" i="155"/>
  <c r="R1655" i="155"/>
  <c r="R1651" i="155"/>
  <c r="R1633" i="155"/>
  <c r="R1629" i="155"/>
  <c r="R1625" i="155"/>
  <c r="R1621" i="155"/>
  <c r="R1747" i="155"/>
  <c r="R1743" i="155"/>
  <c r="R1729" i="155"/>
  <c r="R1699" i="155"/>
  <c r="R1695" i="155"/>
  <c r="R1691" i="155"/>
  <c r="R1687" i="155"/>
  <c r="R1661" i="155"/>
  <c r="R1649" i="155"/>
  <c r="R1631" i="155"/>
  <c r="R1745" i="155"/>
  <c r="R1662" i="155"/>
  <c r="R1658" i="155"/>
  <c r="R1654" i="155"/>
  <c r="R1650" i="155"/>
  <c r="R1632" i="155"/>
  <c r="R1628" i="155"/>
  <c r="R1624" i="155"/>
  <c r="R1746" i="155"/>
  <c r="R1742" i="155"/>
  <c r="R1732" i="155"/>
  <c r="R1728" i="155"/>
  <c r="R1698" i="155"/>
  <c r="R1694" i="155"/>
  <c r="R1690" i="155"/>
  <c r="R1686" i="155"/>
  <c r="R1657" i="155"/>
  <c r="R1627" i="155"/>
  <c r="R1727" i="155"/>
  <c r="R1685" i="155"/>
  <c r="R1689" i="155"/>
  <c r="R1697" i="155"/>
  <c r="R1731" i="155"/>
  <c r="R1693" i="155"/>
  <c r="R2191" i="155"/>
  <c r="R2187" i="155"/>
  <c r="R2190" i="155"/>
  <c r="R2186" i="155"/>
  <c r="R2184" i="155"/>
  <c r="R2189" i="155"/>
  <c r="R2185" i="155"/>
  <c r="R2188" i="155"/>
  <c r="R1969" i="155"/>
  <c r="R1965" i="155"/>
  <c r="R1961" i="155"/>
  <c r="R1957" i="155"/>
  <c r="R1953" i="155"/>
  <c r="R1962" i="155"/>
  <c r="R1954" i="155"/>
  <c r="R1968" i="155"/>
  <c r="R1964" i="155"/>
  <c r="R1960" i="155"/>
  <c r="R1956" i="155"/>
  <c r="R1952" i="155"/>
  <c r="R1970" i="155"/>
  <c r="R1971" i="155"/>
  <c r="R1967" i="155"/>
  <c r="R1963" i="155"/>
  <c r="R1959" i="155"/>
  <c r="R1955" i="155"/>
  <c r="R1951" i="155"/>
  <c r="R1966" i="155"/>
  <c r="R1958" i="155"/>
  <c r="R1950" i="155"/>
  <c r="R1716" i="155"/>
  <c r="R1712" i="155"/>
  <c r="R1708" i="155"/>
  <c r="R1704" i="155"/>
  <c r="R1709" i="155"/>
  <c r="R1715" i="155"/>
  <c r="R1711" i="155"/>
  <c r="R1707" i="155"/>
  <c r="R1703" i="155"/>
  <c r="R1701" i="155"/>
  <c r="R1714" i="155"/>
  <c r="R1710" i="155"/>
  <c r="R1706" i="155"/>
  <c r="R1702" i="155"/>
  <c r="R1713" i="155"/>
  <c r="R1705" i="155"/>
  <c r="R1767" i="155"/>
  <c r="R1763" i="155"/>
  <c r="R1764" i="155"/>
  <c r="R1766" i="155"/>
  <c r="R1765" i="155"/>
  <c r="R2092" i="155"/>
  <c r="R2091" i="155"/>
  <c r="R2375" i="155"/>
  <c r="R2359" i="155"/>
  <c r="R2370" i="155"/>
  <c r="R2354" i="155"/>
  <c r="R2361" i="155"/>
  <c r="R2356" i="155"/>
  <c r="R2358" i="155"/>
  <c r="R2365" i="155"/>
  <c r="R2372" i="155"/>
  <c r="R2371" i="155"/>
  <c r="R2355" i="155"/>
  <c r="R2366" i="155"/>
  <c r="R2350" i="155"/>
  <c r="R2373" i="155"/>
  <c r="R2357" i="155"/>
  <c r="R2352" i="155"/>
  <c r="R2367" i="155"/>
  <c r="R2351" i="155"/>
  <c r="R2362" i="155"/>
  <c r="R2369" i="155"/>
  <c r="R2353" i="155"/>
  <c r="R2368" i="155"/>
  <c r="R2364" i="155"/>
  <c r="R2363" i="155"/>
  <c r="R2374" i="155"/>
  <c r="R2360" i="155"/>
  <c r="R2399" i="155"/>
  <c r="R2394" i="155"/>
  <c r="R2401" i="155"/>
  <c r="R2385" i="155"/>
  <c r="R2400" i="155"/>
  <c r="R2392" i="155"/>
  <c r="R2388" i="155"/>
  <c r="R2403" i="155"/>
  <c r="R2404" i="155"/>
  <c r="R2395" i="155"/>
  <c r="R2390" i="155"/>
  <c r="R2397" i="155"/>
  <c r="R2396" i="155"/>
  <c r="R2384" i="155"/>
  <c r="R2387" i="155"/>
  <c r="R2398" i="155"/>
  <c r="R2405" i="155"/>
  <c r="R2391" i="155"/>
  <c r="R2402" i="155"/>
  <c r="R2386" i="155"/>
  <c r="R2393" i="155"/>
  <c r="R2389" i="155"/>
  <c r="R2418" i="155"/>
  <c r="R2413" i="155"/>
  <c r="R2414" i="155"/>
  <c r="R2416" i="155"/>
  <c r="R2411" i="155"/>
  <c r="R2410" i="155"/>
  <c r="R2412" i="155"/>
  <c r="R2415" i="155"/>
  <c r="R2417" i="155"/>
  <c r="R2434" i="155"/>
  <c r="R2433" i="155"/>
  <c r="R2435" i="155"/>
  <c r="R2460" i="155"/>
  <c r="R2456" i="155"/>
  <c r="R2451" i="155"/>
  <c r="R2447" i="155"/>
  <c r="R2442" i="155"/>
  <c r="R2438" i="155"/>
  <c r="R2459" i="155"/>
  <c r="R2454" i="155"/>
  <c r="R2450" i="155"/>
  <c r="R2446" i="155"/>
  <c r="R2455" i="155"/>
  <c r="R2441" i="155"/>
  <c r="R2458" i="155"/>
  <c r="R2453" i="155"/>
  <c r="R2449" i="155"/>
  <c r="R2445" i="155"/>
  <c r="R2444" i="155"/>
  <c r="R2440" i="155"/>
  <c r="R2457" i="155"/>
  <c r="R2452" i="155"/>
  <c r="R2448" i="155"/>
  <c r="R2443" i="155"/>
  <c r="R2439" i="155"/>
  <c r="R901" i="155"/>
  <c r="R900" i="155"/>
  <c r="A22" i="129"/>
  <c r="R898" i="155"/>
  <c r="R899" i="155"/>
  <c r="R2089" i="155"/>
  <c r="R2087" i="155"/>
  <c r="R2090" i="155"/>
  <c r="R2088" i="155"/>
  <c r="R2085" i="155"/>
  <c r="R2083" i="155"/>
  <c r="R2086" i="155"/>
  <c r="R2084" i="155"/>
  <c r="R2081" i="155"/>
  <c r="R2079" i="155"/>
  <c r="R2082" i="155"/>
  <c r="R2080" i="155"/>
  <c r="R2492" i="155"/>
  <c r="R2489" i="155"/>
  <c r="R2491" i="155"/>
  <c r="R2490" i="155"/>
  <c r="R2291" i="155"/>
  <c r="R2287" i="155"/>
  <c r="R2283" i="155"/>
  <c r="R2279" i="155"/>
  <c r="R2275" i="155"/>
  <c r="R2290" i="155"/>
  <c r="R2286" i="155"/>
  <c r="R2282" i="155"/>
  <c r="R2278" i="155"/>
  <c r="R2274" i="155"/>
  <c r="R2293" i="155"/>
  <c r="R2289" i="155"/>
  <c r="R2285" i="155"/>
  <c r="R2281" i="155"/>
  <c r="R2277" i="155"/>
  <c r="R2273" i="155"/>
  <c r="R2292" i="155"/>
  <c r="R2276" i="155"/>
  <c r="R2280" i="155"/>
  <c r="R2288" i="155"/>
  <c r="R2272" i="155"/>
  <c r="R2284" i="155"/>
  <c r="R2269" i="155"/>
  <c r="R2265" i="155"/>
  <c r="R2261" i="155"/>
  <c r="R2257" i="155"/>
  <c r="R2253" i="155"/>
  <c r="R2249" i="155"/>
  <c r="R2245" i="155"/>
  <c r="R2241" i="155"/>
  <c r="R2237" i="155"/>
  <c r="R2233" i="155"/>
  <c r="R2229" i="155"/>
  <c r="R2225" i="155"/>
  <c r="R2221" i="155"/>
  <c r="R2217" i="155"/>
  <c r="R2213" i="155"/>
  <c r="R2209" i="155"/>
  <c r="R2205" i="155"/>
  <c r="R2201" i="155"/>
  <c r="R2197" i="155"/>
  <c r="R2193" i="155"/>
  <c r="R2268" i="155"/>
  <c r="R2264" i="155"/>
  <c r="R2260" i="155"/>
  <c r="R2256" i="155"/>
  <c r="R2252" i="155"/>
  <c r="R2248" i="155"/>
  <c r="R2244" i="155"/>
  <c r="R2240" i="155"/>
  <c r="R2236" i="155"/>
  <c r="R2232" i="155"/>
  <c r="R2228" i="155"/>
  <c r="R2224" i="155"/>
  <c r="R2220" i="155"/>
  <c r="R2216" i="155"/>
  <c r="R2212" i="155"/>
  <c r="R2208" i="155"/>
  <c r="R2204" i="155"/>
  <c r="R2200" i="155"/>
  <c r="R2196" i="155"/>
  <c r="R2192" i="155"/>
  <c r="R2271" i="155"/>
  <c r="R2267" i="155"/>
  <c r="R2263" i="155"/>
  <c r="R2259" i="155"/>
  <c r="R2255" i="155"/>
  <c r="R2251" i="155"/>
  <c r="R2247" i="155"/>
  <c r="R2243" i="155"/>
  <c r="R2239" i="155"/>
  <c r="R2235" i="155"/>
  <c r="R2231" i="155"/>
  <c r="R2227" i="155"/>
  <c r="R2223" i="155"/>
  <c r="R2219" i="155"/>
  <c r="R2215" i="155"/>
  <c r="R2211" i="155"/>
  <c r="R2207" i="155"/>
  <c r="R2203" i="155"/>
  <c r="R2199" i="155"/>
  <c r="R2195" i="155"/>
  <c r="R2270" i="155"/>
  <c r="R2254" i="155"/>
  <c r="R2238" i="155"/>
  <c r="R2222" i="155"/>
  <c r="R2206" i="155"/>
  <c r="R2226" i="155"/>
  <c r="R2266" i="155"/>
  <c r="R2250" i="155"/>
  <c r="R2234" i="155"/>
  <c r="R2218" i="155"/>
  <c r="R2202" i="155"/>
  <c r="R2242" i="155"/>
  <c r="R2194" i="155"/>
  <c r="R2262" i="155"/>
  <c r="R2246" i="155"/>
  <c r="R2230" i="155"/>
  <c r="R2214" i="155"/>
  <c r="R2198" i="155"/>
  <c r="R2258" i="155"/>
  <c r="R2210" i="155"/>
  <c r="R2309" i="155"/>
  <c r="R2305" i="155"/>
  <c r="R2301" i="155"/>
  <c r="R2297" i="155"/>
  <c r="R2308" i="155"/>
  <c r="R2304" i="155"/>
  <c r="R2300" i="155"/>
  <c r="R2296" i="155"/>
  <c r="R2307" i="155"/>
  <c r="R2303" i="155"/>
  <c r="R2299" i="155"/>
  <c r="R2295" i="155"/>
  <c r="R2298" i="155"/>
  <c r="R2294" i="155"/>
  <c r="R2306" i="155"/>
  <c r="R2302" i="155"/>
  <c r="R2180" i="155"/>
  <c r="R2176" i="155"/>
  <c r="R2183" i="155"/>
  <c r="R2179" i="155"/>
  <c r="R2175" i="155"/>
  <c r="R2182" i="155"/>
  <c r="R2178" i="155"/>
  <c r="R2177" i="155"/>
  <c r="R2181" i="155"/>
  <c r="R2126" i="155"/>
  <c r="R2122" i="155"/>
  <c r="R2118" i="155"/>
  <c r="R2114" i="155"/>
  <c r="R2110" i="155"/>
  <c r="R2106" i="155"/>
  <c r="R2120" i="155"/>
  <c r="R2112" i="155"/>
  <c r="R2104" i="155"/>
  <c r="R2123" i="155"/>
  <c r="R2115" i="155"/>
  <c r="R2103" i="155"/>
  <c r="R2125" i="155"/>
  <c r="R2121" i="155"/>
  <c r="R2117" i="155"/>
  <c r="R2113" i="155"/>
  <c r="R2109" i="155"/>
  <c r="R2105" i="155"/>
  <c r="R2124" i="155"/>
  <c r="R2116" i="155"/>
  <c r="R2108" i="155"/>
  <c r="R2119" i="155"/>
  <c r="R2107" i="155"/>
  <c r="R2111" i="155"/>
  <c r="R2138" i="155"/>
  <c r="R2134" i="155"/>
  <c r="R2130" i="155"/>
  <c r="R2132" i="155"/>
  <c r="R2131" i="155"/>
  <c r="R2137" i="155"/>
  <c r="R2133" i="155"/>
  <c r="R2129" i="155"/>
  <c r="R2136" i="155"/>
  <c r="R2128" i="155"/>
  <c r="R2135" i="155"/>
  <c r="R2127" i="155"/>
  <c r="R2170" i="155"/>
  <c r="R2166" i="155"/>
  <c r="R2169" i="155"/>
  <c r="R2165" i="155"/>
  <c r="R2167" i="155"/>
  <c r="R2168" i="155"/>
  <c r="R2164" i="155"/>
  <c r="E83" i="134"/>
  <c r="J47" i="115"/>
  <c r="E47" i="115"/>
  <c r="J11" i="115"/>
  <c r="E11" i="115"/>
  <c r="A78" i="134"/>
  <c r="R2487" i="155"/>
  <c r="R2483" i="155"/>
  <c r="R2486" i="155"/>
  <c r="R2482" i="155"/>
  <c r="R2485" i="155"/>
  <c r="R2481" i="155"/>
  <c r="R2484" i="155"/>
  <c r="R2488" i="155"/>
  <c r="R2348" i="155"/>
  <c r="R2344" i="155"/>
  <c r="R2340" i="155"/>
  <c r="R2336" i="155"/>
  <c r="R2332" i="155"/>
  <c r="R2347" i="155"/>
  <c r="R2343" i="155"/>
  <c r="R2339" i="155"/>
  <c r="R2335" i="155"/>
  <c r="R2331" i="155"/>
  <c r="R2346" i="155"/>
  <c r="R2342" i="155"/>
  <c r="R2338" i="155"/>
  <c r="R2334" i="155"/>
  <c r="R2330" i="155"/>
  <c r="R2337" i="155"/>
  <c r="R2349" i="155"/>
  <c r="R2333" i="155"/>
  <c r="R2341" i="155"/>
  <c r="R2345" i="155"/>
  <c r="R2703" i="155"/>
  <c r="R2699" i="155"/>
  <c r="R2695" i="155"/>
  <c r="R2691" i="155"/>
  <c r="R2692" i="155"/>
  <c r="R2702" i="155"/>
  <c r="R2698" i="155"/>
  <c r="R2694" i="155"/>
  <c r="R2690" i="155"/>
  <c r="R2700" i="155"/>
  <c r="R2696" i="155"/>
  <c r="R2688" i="155"/>
  <c r="R2701" i="155"/>
  <c r="R2697" i="155"/>
  <c r="R2693" i="155"/>
  <c r="R2689" i="155"/>
  <c r="R2706" i="155"/>
  <c r="R2705" i="155"/>
  <c r="R2708" i="155"/>
  <c r="R2704" i="155"/>
  <c r="R2707" i="155"/>
  <c r="R2437" i="155"/>
  <c r="R2436" i="155"/>
  <c r="A6" i="126"/>
  <c r="R819" i="155"/>
  <c r="R815" i="155"/>
  <c r="R811" i="155"/>
  <c r="R807" i="155"/>
  <c r="R818" i="155"/>
  <c r="R814" i="155"/>
  <c r="R810" i="155"/>
  <c r="R806" i="155"/>
  <c r="R816" i="155"/>
  <c r="R812" i="155"/>
  <c r="R808" i="155"/>
  <c r="R817" i="155"/>
  <c r="R813" i="155"/>
  <c r="R809" i="155"/>
  <c r="R857" i="155"/>
  <c r="R853" i="155"/>
  <c r="R854" i="155"/>
  <c r="R856" i="155"/>
  <c r="R852" i="155"/>
  <c r="R858" i="155"/>
  <c r="R855" i="155"/>
  <c r="R851" i="155"/>
  <c r="R850" i="155"/>
  <c r="R881" i="155"/>
  <c r="R877" i="155"/>
  <c r="R880" i="155"/>
  <c r="R876" i="155"/>
  <c r="R879" i="155"/>
  <c r="R875" i="155"/>
  <c r="R878" i="155"/>
  <c r="R873" i="155"/>
  <c r="R869" i="155"/>
  <c r="R872" i="155"/>
  <c r="R868" i="155"/>
  <c r="R874" i="155"/>
  <c r="R871" i="155"/>
  <c r="R870" i="155"/>
  <c r="R861" i="155"/>
  <c r="R860" i="155"/>
  <c r="R859" i="155"/>
  <c r="R862" i="155"/>
  <c r="R887" i="155"/>
  <c r="R883" i="155"/>
  <c r="R886" i="155"/>
  <c r="R882" i="155"/>
  <c r="R884" i="155"/>
  <c r="R885" i="155"/>
  <c r="I14" i="165"/>
  <c r="R1126" i="155"/>
  <c r="R1123" i="155"/>
  <c r="R1127" i="155"/>
  <c r="R1122" i="155"/>
  <c r="R1128" i="155"/>
  <c r="R1120" i="155"/>
  <c r="R1125" i="155"/>
  <c r="R1124" i="155"/>
  <c r="R1121" i="155"/>
  <c r="R1167" i="155"/>
  <c r="R1166" i="155"/>
  <c r="R1165" i="155"/>
  <c r="R1164" i="155"/>
  <c r="R1485" i="155"/>
  <c r="P1493" i="155"/>
  <c r="P1489" i="155"/>
  <c r="P1485" i="155"/>
  <c r="P1481" i="155"/>
  <c r="P1477" i="155"/>
  <c r="P1492" i="155"/>
  <c r="P1488" i="155"/>
  <c r="P1484" i="155"/>
  <c r="P1480" i="155"/>
  <c r="P1476" i="155"/>
  <c r="P1486" i="155"/>
  <c r="P1478" i="155"/>
  <c r="P1491" i="155"/>
  <c r="P1487" i="155"/>
  <c r="P1483" i="155"/>
  <c r="P1479" i="155"/>
  <c r="P1490" i="155"/>
  <c r="P1482" i="155"/>
  <c r="R1491" i="155"/>
  <c r="R1487" i="155"/>
  <c r="R1483" i="155"/>
  <c r="R1479" i="155"/>
  <c r="R1457" i="155"/>
  <c r="R1453" i="155"/>
  <c r="R1449" i="155"/>
  <c r="R1445" i="155"/>
  <c r="R1441" i="155"/>
  <c r="R1490" i="155"/>
  <c r="R1486" i="155"/>
  <c r="R1482" i="155"/>
  <c r="R1478" i="155"/>
  <c r="R1456" i="155"/>
  <c r="R1452" i="155"/>
  <c r="R1448" i="155"/>
  <c r="R1444" i="155"/>
  <c r="R1440" i="155"/>
  <c r="R1488" i="155"/>
  <c r="R1480" i="155"/>
  <c r="R1454" i="155"/>
  <c r="R1446" i="155"/>
  <c r="R1493" i="155"/>
  <c r="R1489" i="155"/>
  <c r="R1481" i="155"/>
  <c r="R1477" i="155"/>
  <c r="R1455" i="155"/>
  <c r="R1451" i="155"/>
  <c r="R1447" i="155"/>
  <c r="R1443" i="155"/>
  <c r="R1439" i="155"/>
  <c r="R1492" i="155"/>
  <c r="R1484" i="155"/>
  <c r="R1476" i="155"/>
  <c r="R1450" i="155"/>
  <c r="R1442" i="155"/>
  <c r="R2025" i="155"/>
  <c r="R2037" i="155"/>
  <c r="R2033" i="155"/>
  <c r="R2029" i="155"/>
  <c r="R2034" i="155"/>
  <c r="R2027" i="155"/>
  <c r="R2036" i="155"/>
  <c r="R2038" i="155"/>
  <c r="R2031" i="155"/>
  <c r="R2040" i="155"/>
  <c r="R2039" i="155"/>
  <c r="R2026" i="155"/>
  <c r="R2035" i="155"/>
  <c r="R2028" i="155"/>
  <c r="R2030" i="155"/>
  <c r="R2032" i="155"/>
  <c r="R2068" i="155"/>
  <c r="R2072" i="155"/>
  <c r="R2070" i="155"/>
  <c r="R2069" i="155"/>
  <c r="R2071" i="155"/>
  <c r="R2073" i="155"/>
  <c r="R2100" i="155"/>
  <c r="R2102" i="155"/>
  <c r="R2101" i="155"/>
  <c r="R2099" i="155"/>
  <c r="R2159" i="155"/>
  <c r="R2155" i="155"/>
  <c r="R2158" i="155"/>
  <c r="R2154" i="155"/>
  <c r="R2157" i="155"/>
  <c r="R2153" i="155"/>
  <c r="R2156" i="155"/>
  <c r="R2329" i="155"/>
  <c r="R2312" i="155"/>
  <c r="R2315" i="155"/>
  <c r="R2318" i="155"/>
  <c r="R2317" i="155"/>
  <c r="R2322" i="155"/>
  <c r="R2321" i="155"/>
  <c r="R2327" i="155"/>
  <c r="R2311" i="155"/>
  <c r="R2314" i="155"/>
  <c r="R2328" i="155"/>
  <c r="R2319" i="155"/>
  <c r="R2325" i="155"/>
  <c r="R2313" i="155"/>
  <c r="R2323" i="155"/>
  <c r="R2326" i="155"/>
  <c r="R2310" i="155"/>
  <c r="R2324" i="155"/>
  <c r="R2320" i="155"/>
  <c r="R2316" i="155"/>
  <c r="R903" i="155"/>
  <c r="X5" i="165"/>
  <c r="AR7" i="165"/>
  <c r="X6" i="165"/>
  <c r="X11" i="165"/>
  <c r="AH9" i="165"/>
  <c r="AR9" i="165"/>
  <c r="X10" i="165"/>
  <c r="AH8" i="165"/>
  <c r="AR13" i="165"/>
  <c r="X7" i="165"/>
  <c r="X12" i="165"/>
  <c r="AH5" i="165"/>
  <c r="AH7" i="165"/>
  <c r="AM5" i="165"/>
  <c r="AR8" i="165"/>
  <c r="AR11" i="165"/>
  <c r="R2461" i="155"/>
  <c r="R2464" i="155"/>
  <c r="R2462" i="155"/>
  <c r="R2463" i="155"/>
  <c r="AC14" i="165"/>
  <c r="AM7" i="165"/>
  <c r="X9" i="165"/>
  <c r="AM6" i="165"/>
  <c r="AR5" i="165"/>
  <c r="AR12" i="165"/>
  <c r="AC5" i="165"/>
  <c r="P891" i="155"/>
  <c r="C13" i="58"/>
  <c r="P888" i="155"/>
  <c r="P890" i="155"/>
  <c r="P889" i="155"/>
  <c r="A9" i="58"/>
  <c r="N6" i="165"/>
  <c r="N5" i="165"/>
  <c r="R902" i="155"/>
  <c r="R929" i="155"/>
  <c r="R925" i="155"/>
  <c r="R921" i="155"/>
  <c r="R913" i="155"/>
  <c r="R905" i="155"/>
  <c r="R922" i="155"/>
  <c r="R928" i="155"/>
  <c r="R924" i="155"/>
  <c r="R920" i="155"/>
  <c r="R916" i="155"/>
  <c r="R904" i="155"/>
  <c r="R926" i="155"/>
  <c r="R931" i="155"/>
  <c r="R927" i="155"/>
  <c r="R923" i="155"/>
  <c r="R919" i="155"/>
  <c r="R930" i="155"/>
  <c r="R910" i="155"/>
  <c r="S6" i="165"/>
  <c r="E10" i="116"/>
  <c r="A102" i="32"/>
  <c r="BB12" i="165"/>
  <c r="BB7" i="165"/>
  <c r="BB10" i="165"/>
  <c r="AW11" i="165"/>
  <c r="N7" i="165"/>
  <c r="I10" i="165"/>
  <c r="I9" i="165"/>
  <c r="I11" i="165"/>
  <c r="A122" i="32"/>
  <c r="G10" i="137"/>
  <c r="C10" i="137"/>
  <c r="C12" i="171"/>
  <c r="H126" i="32"/>
  <c r="D126" i="32"/>
  <c r="H86" i="32"/>
  <c r="D106" i="32"/>
  <c r="H106" i="32"/>
  <c r="D86" i="32"/>
  <c r="H60" i="32"/>
  <c r="D60" i="32"/>
  <c r="H35" i="32"/>
  <c r="H11" i="32"/>
  <c r="D35" i="32"/>
  <c r="A124" i="32"/>
  <c r="A104" i="32"/>
  <c r="A84" i="32"/>
  <c r="A58" i="32"/>
  <c r="A33" i="32"/>
  <c r="D12" i="171"/>
  <c r="E126" i="32"/>
  <c r="I86" i="32"/>
  <c r="I106" i="32"/>
  <c r="E86" i="32"/>
  <c r="I126" i="32"/>
  <c r="E106" i="32"/>
  <c r="I60" i="32"/>
  <c r="E60" i="32"/>
  <c r="I35" i="32"/>
  <c r="I11" i="32"/>
  <c r="E35" i="32"/>
  <c r="B12" i="171"/>
  <c r="C106" i="32"/>
  <c r="C86" i="32"/>
  <c r="C126" i="32"/>
  <c r="C60" i="32"/>
  <c r="C35" i="32"/>
  <c r="C124" i="32"/>
  <c r="C84" i="32"/>
  <c r="C104" i="32"/>
  <c r="C58" i="32"/>
  <c r="C33" i="32"/>
  <c r="D125" i="32"/>
  <c r="D85" i="32"/>
  <c r="H85" i="32"/>
  <c r="H105" i="32"/>
  <c r="D59" i="32"/>
  <c r="H125" i="32"/>
  <c r="D105" i="32"/>
  <c r="H59" i="32"/>
  <c r="D34" i="32"/>
  <c r="H10" i="32"/>
  <c r="H34" i="32"/>
  <c r="D10" i="32"/>
  <c r="A82" i="32"/>
  <c r="D58" i="32"/>
  <c r="H58" i="32"/>
  <c r="H9" i="32"/>
  <c r="D33" i="32"/>
  <c r="H33" i="32"/>
  <c r="B104" i="32"/>
  <c r="B124" i="32"/>
  <c r="B84" i="32"/>
  <c r="B58" i="32"/>
  <c r="B33" i="32"/>
  <c r="AW12" i="165"/>
  <c r="A54" i="120"/>
  <c r="A38" i="120"/>
  <c r="A7" i="120"/>
  <c r="A7" i="130"/>
  <c r="A39" i="123"/>
  <c r="A7" i="123"/>
  <c r="A7" i="125"/>
  <c r="I10" i="116"/>
  <c r="N9" i="165"/>
  <c r="AW10" i="165"/>
  <c r="AW9" i="165"/>
  <c r="BB11" i="165"/>
  <c r="A21" i="76"/>
  <c r="A6" i="76"/>
  <c r="C11" i="171"/>
  <c r="I12" i="165"/>
  <c r="C10" i="171"/>
  <c r="A6" i="171"/>
  <c r="I13" i="165"/>
  <c r="A79" i="14"/>
  <c r="A41" i="14"/>
  <c r="I7" i="165"/>
  <c r="D10" i="108"/>
  <c r="D17" i="108"/>
  <c r="A7" i="133"/>
  <c r="A7" i="105"/>
  <c r="D65" i="11"/>
  <c r="D85" i="11"/>
  <c r="D11" i="19"/>
  <c r="A256" i="134"/>
  <c r="A232" i="134"/>
  <c r="A130" i="134"/>
  <c r="A41" i="60"/>
  <c r="A86" i="63"/>
  <c r="A91" i="66"/>
  <c r="B225" i="167"/>
  <c r="A225" i="167" s="1"/>
  <c r="F225" i="167" l="1"/>
  <c r="E30" i="164"/>
  <c r="D30" i="164"/>
  <c r="E257" i="167" l="1"/>
  <c r="D257" i="167"/>
  <c r="C11" i="37" l="1"/>
  <c r="A7" i="137"/>
  <c r="C14" i="58" l="1"/>
  <c r="B377" i="134" l="1"/>
  <c r="A23" i="129"/>
  <c r="A249" i="134" l="1"/>
  <c r="A237" i="134"/>
  <c r="A272" i="134"/>
  <c r="A104" i="134"/>
  <c r="A261" i="134"/>
  <c r="A83" i="134"/>
  <c r="B104" i="134"/>
  <c r="B83" i="134"/>
  <c r="A6" i="129"/>
  <c r="A34" i="129"/>
  <c r="C9" i="128"/>
  <c r="C39" i="128"/>
  <c r="C42" i="123"/>
  <c r="C29" i="123"/>
  <c r="C21" i="120"/>
  <c r="D32" i="112"/>
  <c r="Q2125" i="155"/>
  <c r="H29" i="123" l="1"/>
  <c r="C10" i="123"/>
  <c r="H20" i="123"/>
  <c r="C20" i="123"/>
  <c r="H10" i="123"/>
  <c r="C10" i="120"/>
  <c r="C41" i="120"/>
  <c r="H10" i="120"/>
  <c r="C57" i="120"/>
  <c r="H21" i="120"/>
  <c r="Q2130" i="155"/>
  <c r="Q2138" i="155"/>
  <c r="Q2110" i="155"/>
  <c r="Q2118" i="155"/>
  <c r="Q2126" i="155"/>
  <c r="Q2127" i="155"/>
  <c r="Q2131" i="155"/>
  <c r="Q2135" i="155"/>
  <c r="Q2103" i="155"/>
  <c r="Q2107" i="155"/>
  <c r="Q2111" i="155"/>
  <c r="Q2115" i="155"/>
  <c r="Q2119" i="155"/>
  <c r="Q2123" i="155"/>
  <c r="Q2134" i="155"/>
  <c r="Q2106" i="155"/>
  <c r="Q2114" i="155"/>
  <c r="Q2122" i="155"/>
  <c r="Q2128" i="155"/>
  <c r="Q2132" i="155"/>
  <c r="Q2136" i="155"/>
  <c r="Q2104" i="155"/>
  <c r="Q2108" i="155"/>
  <c r="Q2112" i="155"/>
  <c r="Q2116" i="155"/>
  <c r="Q2120" i="155"/>
  <c r="Q2124" i="155"/>
  <c r="Q2129" i="155"/>
  <c r="Q2133" i="155"/>
  <c r="Q2137" i="155"/>
  <c r="Q2105" i="155"/>
  <c r="Q2109" i="155"/>
  <c r="Q2113" i="155"/>
  <c r="Q2117" i="155"/>
  <c r="Q2121" i="155"/>
  <c r="B11" i="88" l="1"/>
  <c r="B35" i="88"/>
  <c r="Q1371" i="155"/>
  <c r="Q1364" i="155"/>
  <c r="C10" i="89" l="1"/>
  <c r="Q1367" i="155"/>
  <c r="Q1374" i="155"/>
  <c r="Q1363" i="155"/>
  <c r="Q1382" i="155"/>
  <c r="Q1378" i="155"/>
  <c r="Q1369" i="155"/>
  <c r="Q1365" i="155"/>
  <c r="Q1384" i="155"/>
  <c r="Q1380" i="155"/>
  <c r="Q1376" i="155"/>
  <c r="Q1372" i="155"/>
  <c r="Q1362" i="155"/>
  <c r="Q1366" i="155"/>
  <c r="Q1370" i="155"/>
  <c r="Q1381" i="155"/>
  <c r="Q1377" i="155"/>
  <c r="Q1373" i="155"/>
  <c r="Q1368" i="155"/>
  <c r="Q1383" i="155"/>
  <c r="Q1379" i="155"/>
  <c r="Q1375" i="155"/>
  <c r="A7" i="81"/>
  <c r="A46" i="72"/>
  <c r="A48" i="81" l="1"/>
  <c r="E3" i="168"/>
  <c r="D3" i="168"/>
  <c r="B3" i="168"/>
  <c r="A3" i="168" s="1"/>
  <c r="F3" i="168" l="1"/>
  <c r="B26" i="87"/>
  <c r="B10" i="87"/>
  <c r="P1119" i="155"/>
  <c r="P1113" i="155"/>
  <c r="C28" i="75"/>
  <c r="A66" i="81" l="1"/>
  <c r="A31" i="90"/>
  <c r="A30" i="143"/>
  <c r="A36" i="95"/>
  <c r="A76" i="11"/>
  <c r="A51" i="32"/>
  <c r="A84" i="81"/>
  <c r="A30" i="139"/>
  <c r="A39" i="25"/>
  <c r="A25" i="81"/>
  <c r="A53" i="97"/>
  <c r="A52" i="139"/>
  <c r="A39" i="24"/>
  <c r="A30" i="97"/>
  <c r="A65" i="95"/>
  <c r="A43" i="81"/>
  <c r="A75" i="32"/>
  <c r="A141" i="32"/>
  <c r="A26" i="32"/>
  <c r="A50" i="32"/>
  <c r="D165" i="134"/>
  <c r="D151" i="134"/>
  <c r="D118" i="134"/>
  <c r="A7" i="60"/>
  <c r="A7" i="74"/>
  <c r="D271" i="134"/>
  <c r="C23" i="72"/>
  <c r="A28" i="66"/>
  <c r="A24" i="71"/>
  <c r="A7" i="71"/>
  <c r="A27" i="74"/>
  <c r="A92" i="66"/>
  <c r="A7" i="75"/>
  <c r="A24" i="75"/>
  <c r="C95" i="66"/>
  <c r="C38" i="72"/>
  <c r="B46" i="60"/>
  <c r="H90" i="63"/>
  <c r="H95" i="66"/>
  <c r="C73" i="72"/>
  <c r="C51" i="128"/>
  <c r="C90" i="63"/>
  <c r="C25" i="128"/>
  <c r="A24" i="60"/>
  <c r="A7" i="66"/>
  <c r="A87" i="63"/>
  <c r="A33" i="63"/>
  <c r="A7" i="63"/>
  <c r="A42" i="60"/>
  <c r="A7" i="70"/>
  <c r="A19" i="70"/>
  <c r="D11" i="63"/>
  <c r="I11" i="66"/>
  <c r="I11" i="63"/>
  <c r="C24" i="70"/>
  <c r="D20" i="63"/>
  <c r="B32" i="74"/>
  <c r="C12" i="60"/>
  <c r="D11" i="66"/>
  <c r="P1112" i="155"/>
  <c r="P1116" i="155"/>
  <c r="P1117" i="155"/>
  <c r="P1114" i="155"/>
  <c r="P1118" i="155"/>
  <c r="P1115" i="155"/>
  <c r="H10" i="63"/>
  <c r="C44" i="63"/>
  <c r="C65" i="63"/>
  <c r="C10" i="66"/>
  <c r="C41" i="66"/>
  <c r="C66" i="66"/>
  <c r="B11" i="70"/>
  <c r="C63" i="72"/>
  <c r="I134" i="134"/>
  <c r="D236" i="134"/>
  <c r="B11" i="60"/>
  <c r="C19" i="63"/>
  <c r="H44" i="63"/>
  <c r="H65" i="63"/>
  <c r="H10" i="66"/>
  <c r="H41" i="66"/>
  <c r="H66" i="66"/>
  <c r="B23" i="70"/>
  <c r="D248" i="134"/>
  <c r="B28" i="60"/>
  <c r="C36" i="63"/>
  <c r="C55" i="63"/>
  <c r="C73" i="63"/>
  <c r="C31" i="66"/>
  <c r="C54" i="66"/>
  <c r="C76" i="66"/>
  <c r="D10" i="71"/>
  <c r="I118" i="134"/>
  <c r="I151" i="134"/>
  <c r="D260" i="134"/>
  <c r="C10" i="63"/>
  <c r="H36" i="63"/>
  <c r="H55" i="63"/>
  <c r="H73" i="63"/>
  <c r="H31" i="66"/>
  <c r="H54" i="66"/>
  <c r="H76" i="66"/>
  <c r="C9" i="72"/>
  <c r="D134" i="134"/>
  <c r="B43" i="58"/>
  <c r="H31" i="105"/>
  <c r="B28" i="58" l="1"/>
  <c r="E10" i="53" l="1"/>
  <c r="D47" i="167"/>
  <c r="E47" i="167"/>
  <c r="D48" i="167"/>
  <c r="E48" i="167"/>
  <c r="B48" i="167"/>
  <c r="A48" i="167" s="1"/>
  <c r="B47" i="167"/>
  <c r="A47" i="167" s="1"/>
  <c r="R833" i="155" l="1"/>
  <c r="P833" i="155"/>
  <c r="R834" i="155"/>
  <c r="P832" i="155"/>
  <c r="R835" i="155"/>
  <c r="P835" i="155"/>
  <c r="P834" i="155"/>
  <c r="R832" i="155"/>
  <c r="F47" i="167"/>
  <c r="F48" i="167"/>
  <c r="E32" i="49"/>
  <c r="E89" i="49"/>
  <c r="E10" i="49"/>
  <c r="E49" i="49"/>
  <c r="E68" i="49"/>
  <c r="R828" i="155" l="1"/>
  <c r="R829" i="155"/>
  <c r="P831" i="155"/>
  <c r="R831" i="155"/>
  <c r="P829" i="155"/>
  <c r="R830" i="155"/>
  <c r="P830" i="155"/>
  <c r="P828" i="155"/>
  <c r="R844" i="155"/>
  <c r="R838" i="155"/>
  <c r="R847" i="155"/>
  <c r="R836" i="155"/>
  <c r="R826" i="155"/>
  <c r="R846" i="155"/>
  <c r="R837" i="155"/>
  <c r="R825" i="155"/>
  <c r="R824" i="155"/>
  <c r="R827" i="155"/>
  <c r="R849" i="155"/>
  <c r="R841" i="155"/>
  <c r="R840" i="155"/>
  <c r="R839" i="155"/>
  <c r="R848" i="155"/>
  <c r="R820" i="155"/>
  <c r="R822" i="155"/>
  <c r="R843" i="155"/>
  <c r="R845" i="155"/>
  <c r="R842" i="155"/>
  <c r="R821" i="155"/>
  <c r="R823" i="155"/>
  <c r="A155" i="41"/>
  <c r="A106" i="41"/>
  <c r="A58" i="41"/>
  <c r="A10" i="41"/>
  <c r="A179" i="41"/>
  <c r="A82" i="41"/>
  <c r="A131" i="41"/>
  <c r="A34" i="41"/>
  <c r="A10" i="37"/>
  <c r="A10" i="39"/>
  <c r="H11" i="31" l="1"/>
  <c r="E258" i="167"/>
  <c r="D258" i="167"/>
  <c r="A7" i="144"/>
  <c r="A7" i="18" l="1"/>
  <c r="A7" i="19"/>
  <c r="A7" i="27"/>
  <c r="A22" i="87"/>
  <c r="D11" i="31"/>
  <c r="A7" i="25"/>
  <c r="Q2434" i="155" l="1"/>
  <c r="Q2091" i="155"/>
  <c r="C14" i="18"/>
  <c r="Q2431" i="155"/>
  <c r="Q2826" i="155"/>
  <c r="Q2828" i="155"/>
  <c r="Q2433" i="155"/>
  <c r="Q2432" i="155"/>
  <c r="Q2827" i="155"/>
  <c r="A7" i="91" l="1"/>
  <c r="D34" i="80"/>
  <c r="C11" i="76"/>
  <c r="C12" i="133"/>
  <c r="D6" i="165"/>
  <c r="D11" i="168"/>
  <c r="E11" i="168"/>
  <c r="B11" i="168"/>
  <c r="A11" i="168" s="1"/>
  <c r="AC153" i="155" l="1"/>
  <c r="AC195" i="155"/>
  <c r="F11" i="168"/>
  <c r="D11" i="80"/>
  <c r="D11" i="105"/>
  <c r="H11" i="105"/>
  <c r="I10" i="101"/>
  <c r="D10" i="101"/>
  <c r="C11" i="75"/>
  <c r="I28" i="101"/>
  <c r="D28" i="101"/>
  <c r="A51" i="82"/>
  <c r="A29" i="82"/>
  <c r="A7" i="82"/>
  <c r="A7" i="80"/>
  <c r="A30" i="80"/>
  <c r="A7" i="79"/>
  <c r="C26" i="76"/>
  <c r="B12" i="74"/>
  <c r="B20" i="74"/>
  <c r="AC1618" i="155" l="1"/>
  <c r="AC1615" i="155"/>
  <c r="AC1612" i="155"/>
  <c r="AC1609" i="155"/>
  <c r="AC1606" i="155"/>
  <c r="AC1603" i="155"/>
  <c r="AC1600" i="155"/>
  <c r="AC1597" i="155"/>
  <c r="AC1594" i="155"/>
  <c r="AC1591" i="155"/>
  <c r="AC1588" i="155"/>
  <c r="AC1585" i="155"/>
  <c r="AC1582" i="155"/>
  <c r="AC1579" i="155"/>
  <c r="AC1576" i="155"/>
  <c r="AC1573" i="155"/>
  <c r="AC1619" i="155"/>
  <c r="AC1616" i="155"/>
  <c r="AC1613" i="155"/>
  <c r="AC1610" i="155"/>
  <c r="AC1607" i="155"/>
  <c r="AC1604" i="155"/>
  <c r="AC1601" i="155"/>
  <c r="AC1598" i="155"/>
  <c r="AC1595" i="155"/>
  <c r="AC1592" i="155"/>
  <c r="AC1589" i="155"/>
  <c r="AC1586" i="155"/>
  <c r="AC1583" i="155"/>
  <c r="AC1580" i="155"/>
  <c r="AC1577" i="155"/>
  <c r="AC1574" i="155"/>
  <c r="AC1571" i="155"/>
  <c r="AC1599" i="155"/>
  <c r="AC1584" i="155"/>
  <c r="AC1575" i="155"/>
  <c r="AC1617" i="155"/>
  <c r="AC1593" i="155"/>
  <c r="AC1590" i="155"/>
  <c r="AC1581" i="155"/>
  <c r="AC1572" i="155"/>
  <c r="AC1614" i="155"/>
  <c r="AC1611" i="155"/>
  <c r="AC1608" i="155"/>
  <c r="AC1605" i="155"/>
  <c r="AC1602" i="155"/>
  <c r="AC1596" i="155"/>
  <c r="AC1587" i="155"/>
  <c r="AC1578" i="155"/>
  <c r="AC1620" i="155"/>
  <c r="AC420" i="155"/>
  <c r="AC416" i="155"/>
  <c r="AC412" i="155"/>
  <c r="AC408" i="155"/>
  <c r="AC404" i="155"/>
  <c r="AC419" i="155"/>
  <c r="AC415" i="155"/>
  <c r="AC411" i="155"/>
  <c r="AC407" i="155"/>
  <c r="AC403" i="155"/>
  <c r="AC418" i="155"/>
  <c r="AC414" i="155"/>
  <c r="AC410" i="155"/>
  <c r="AC406" i="155"/>
  <c r="AC402" i="155"/>
  <c r="AC421" i="155"/>
  <c r="AC405" i="155"/>
  <c r="AC417" i="155"/>
  <c r="AC401" i="155"/>
  <c r="AC413" i="155"/>
  <c r="AC409" i="155"/>
  <c r="Q2182" i="155"/>
  <c r="Q2178" i="155"/>
  <c r="Q2181" i="155"/>
  <c r="Q2177" i="155"/>
  <c r="Q2180" i="155"/>
  <c r="Q2176" i="155"/>
  <c r="Q2179" i="155"/>
  <c r="Q2175" i="155"/>
  <c r="Q2183" i="155"/>
  <c r="P673" i="155" l="1"/>
  <c r="D10" i="36"/>
  <c r="D10" i="27"/>
  <c r="P488" i="155"/>
  <c r="P484" i="155"/>
  <c r="P676" i="155"/>
  <c r="P491" i="155"/>
  <c r="P487" i="155"/>
  <c r="P483" i="155"/>
  <c r="P672" i="155"/>
  <c r="P490" i="155"/>
  <c r="P486" i="155"/>
  <c r="P482" i="155"/>
  <c r="P489" i="155"/>
  <c r="P485" i="155"/>
  <c r="P669" i="155"/>
  <c r="P675" i="155"/>
  <c r="P671" i="155"/>
  <c r="P678" i="155"/>
  <c r="P674" i="155"/>
  <c r="P670" i="155"/>
  <c r="P677" i="155"/>
  <c r="D9" i="165"/>
  <c r="P2097" i="155"/>
  <c r="B34" i="58"/>
  <c r="E13" i="18" l="1"/>
  <c r="J10" i="140"/>
  <c r="E10" i="140"/>
  <c r="P1025" i="155"/>
  <c r="P961" i="155"/>
  <c r="P933" i="155"/>
  <c r="P892" i="155"/>
  <c r="A25" i="58"/>
  <c r="C28" i="58"/>
  <c r="P896" i="155"/>
  <c r="C43" i="58"/>
  <c r="A40" i="58"/>
  <c r="P860" i="155"/>
  <c r="P847" i="155"/>
  <c r="P845" i="155"/>
  <c r="D10" i="22"/>
  <c r="P229" i="155"/>
  <c r="P217" i="155"/>
  <c r="E10" i="17"/>
  <c r="P363" i="155"/>
  <c r="L10" i="22"/>
  <c r="H10" i="22"/>
  <c r="P35" i="155"/>
  <c r="E10" i="10"/>
  <c r="P41" i="155"/>
  <c r="P37" i="155"/>
  <c r="P42" i="155"/>
  <c r="P38" i="155"/>
  <c r="P232" i="155"/>
  <c r="P34" i="155"/>
  <c r="P40" i="155"/>
  <c r="P36" i="155"/>
  <c r="P43" i="155"/>
  <c r="P39" i="155"/>
  <c r="P394" i="155"/>
  <c r="P386" i="155"/>
  <c r="P374" i="155"/>
  <c r="P366" i="155"/>
  <c r="P216" i="155"/>
  <c r="P362" i="155"/>
  <c r="P397" i="155"/>
  <c r="P393" i="155"/>
  <c r="P389" i="155"/>
  <c r="P385" i="155"/>
  <c r="P381" i="155"/>
  <c r="P377" i="155"/>
  <c r="P373" i="155"/>
  <c r="P369" i="155"/>
  <c r="P365" i="155"/>
  <c r="P398" i="155"/>
  <c r="P390" i="155"/>
  <c r="P378" i="155"/>
  <c r="P370" i="155"/>
  <c r="P224" i="155"/>
  <c r="P400" i="155"/>
  <c r="P396" i="155"/>
  <c r="P392" i="155"/>
  <c r="P388" i="155"/>
  <c r="P384" i="155"/>
  <c r="P380" i="155"/>
  <c r="P376" i="155"/>
  <c r="P372" i="155"/>
  <c r="P368" i="155"/>
  <c r="P364" i="155"/>
  <c r="P382" i="155"/>
  <c r="P220" i="155"/>
  <c r="P399" i="155"/>
  <c r="P395" i="155"/>
  <c r="P391" i="155"/>
  <c r="P387" i="155"/>
  <c r="P383" i="155"/>
  <c r="P379" i="155"/>
  <c r="P375" i="155"/>
  <c r="P371" i="155"/>
  <c r="P367" i="155"/>
  <c r="P231" i="155"/>
  <c r="P227" i="155"/>
  <c r="P223" i="155"/>
  <c r="P219" i="155"/>
  <c r="P230" i="155"/>
  <c r="P226" i="155"/>
  <c r="P222" i="155"/>
  <c r="P218" i="155"/>
  <c r="P228" i="155"/>
  <c r="P225" i="155"/>
  <c r="P221" i="155"/>
  <c r="P2096" i="155"/>
  <c r="P2099" i="155"/>
  <c r="P2098" i="155"/>
  <c r="P879" i="155"/>
  <c r="P878" i="155"/>
  <c r="P876" i="155"/>
  <c r="P880" i="155"/>
  <c r="P877" i="155"/>
  <c r="P881" i="155"/>
  <c r="P875" i="155"/>
  <c r="P851" i="155"/>
  <c r="P855" i="155"/>
  <c r="P850" i="155"/>
  <c r="P854" i="155"/>
  <c r="P858" i="155"/>
  <c r="P852" i="155"/>
  <c r="P856" i="155"/>
  <c r="P853" i="155"/>
  <c r="P857" i="155"/>
  <c r="P865" i="155"/>
  <c r="P866" i="155"/>
  <c r="P863" i="155"/>
  <c r="P867" i="155"/>
  <c r="P864" i="155"/>
  <c r="P869" i="155"/>
  <c r="P873" i="155"/>
  <c r="P870" i="155"/>
  <c r="P874" i="155"/>
  <c r="P871" i="155"/>
  <c r="P868" i="155"/>
  <c r="P872" i="155"/>
  <c r="P859" i="155"/>
  <c r="P862" i="155"/>
  <c r="P861" i="155"/>
  <c r="P824" i="155"/>
  <c r="P836" i="155"/>
  <c r="P820" i="155"/>
  <c r="P840" i="155"/>
  <c r="P842" i="155"/>
  <c r="P848" i="155"/>
  <c r="P821" i="155"/>
  <c r="P843" i="155"/>
  <c r="P825" i="155"/>
  <c r="P837" i="155"/>
  <c r="P841" i="155"/>
  <c r="P849" i="155"/>
  <c r="P822" i="155"/>
  <c r="P844" i="155"/>
  <c r="P826" i="155"/>
  <c r="P838" i="155"/>
  <c r="P846" i="155"/>
  <c r="P823" i="155"/>
  <c r="P827" i="155"/>
  <c r="P839" i="155"/>
  <c r="P894" i="155"/>
  <c r="P893" i="155"/>
  <c r="P895" i="155"/>
  <c r="P992" i="155"/>
  <c r="P976" i="155"/>
  <c r="P958" i="155"/>
  <c r="P960" i="155"/>
  <c r="P1008" i="155"/>
  <c r="P1022" i="155"/>
  <c r="P1007" i="155"/>
  <c r="P991" i="155"/>
  <c r="P975" i="155"/>
  <c r="P959" i="155"/>
  <c r="P1016" i="155"/>
  <c r="P1000" i="155"/>
  <c r="P984" i="155"/>
  <c r="P968" i="155"/>
  <c r="P948" i="155"/>
  <c r="P1015" i="155"/>
  <c r="P999" i="155"/>
  <c r="P983" i="155"/>
  <c r="P967" i="155"/>
  <c r="P944" i="155"/>
  <c r="P1108" i="155"/>
  <c r="P1087" i="155"/>
  <c r="P1066" i="155"/>
  <c r="P1050" i="155"/>
  <c r="P1034" i="155"/>
  <c r="P1023" i="155"/>
  <c r="P1091" i="155"/>
  <c r="P1075" i="155"/>
  <c r="P1059" i="155"/>
  <c r="P1032" i="155"/>
  <c r="P1098" i="155"/>
  <c r="P1082" i="155"/>
  <c r="P1071" i="155"/>
  <c r="P1055" i="155"/>
  <c r="P1039" i="155"/>
  <c r="P1102" i="155"/>
  <c r="P1070" i="155"/>
  <c r="P1054" i="155"/>
  <c r="P1043" i="155"/>
  <c r="P1027" i="155"/>
  <c r="P1111" i="155"/>
  <c r="P1106" i="155"/>
  <c r="P1100" i="155"/>
  <c r="P1095" i="155"/>
  <c r="P1090" i="155"/>
  <c r="P1084" i="155"/>
  <c r="P1079" i="155"/>
  <c r="P1074" i="155"/>
  <c r="P1068" i="155"/>
  <c r="P1063" i="155"/>
  <c r="P1058" i="155"/>
  <c r="P1052" i="155"/>
  <c r="P1047" i="155"/>
  <c r="P1042" i="155"/>
  <c r="P1036" i="155"/>
  <c r="P1031" i="155"/>
  <c r="P1026" i="155"/>
  <c r="P1020" i="155"/>
  <c r="P1012" i="155"/>
  <c r="P1004" i="155"/>
  <c r="P996" i="155"/>
  <c r="P988" i="155"/>
  <c r="P980" i="155"/>
  <c r="P972" i="155"/>
  <c r="P964" i="155"/>
  <c r="P956" i="155"/>
  <c r="P940" i="155"/>
  <c r="P1103" i="155"/>
  <c r="P1092" i="155"/>
  <c r="P1076" i="155"/>
  <c r="P1060" i="155"/>
  <c r="P1044" i="155"/>
  <c r="P1028" i="155"/>
  <c r="P1107" i="155"/>
  <c r="P1096" i="155"/>
  <c r="P1086" i="155"/>
  <c r="P1080" i="155"/>
  <c r="P1064" i="155"/>
  <c r="P1048" i="155"/>
  <c r="P1038" i="155"/>
  <c r="P1110" i="155"/>
  <c r="P1104" i="155"/>
  <c r="P1099" i="155"/>
  <c r="P1094" i="155"/>
  <c r="P1088" i="155"/>
  <c r="P1083" i="155"/>
  <c r="P1078" i="155"/>
  <c r="P1072" i="155"/>
  <c r="P1067" i="155"/>
  <c r="P1062" i="155"/>
  <c r="P1056" i="155"/>
  <c r="P1051" i="155"/>
  <c r="P1046" i="155"/>
  <c r="P1040" i="155"/>
  <c r="P1035" i="155"/>
  <c r="P1030" i="155"/>
  <c r="P1024" i="155"/>
  <c r="P1019" i="155"/>
  <c r="P1011" i="155"/>
  <c r="P1003" i="155"/>
  <c r="P995" i="155"/>
  <c r="P987" i="155"/>
  <c r="P979" i="155"/>
  <c r="P971" i="155"/>
  <c r="P963" i="155"/>
  <c r="P952" i="155"/>
  <c r="P936" i="155"/>
  <c r="P1018" i="155"/>
  <c r="P1014" i="155"/>
  <c r="P1010" i="155"/>
  <c r="P1006" i="155"/>
  <c r="P1002" i="155"/>
  <c r="P998" i="155"/>
  <c r="P994" i="155"/>
  <c r="P990" i="155"/>
  <c r="P986" i="155"/>
  <c r="P982" i="155"/>
  <c r="P978" i="155"/>
  <c r="P974" i="155"/>
  <c r="P970" i="155"/>
  <c r="P966" i="155"/>
  <c r="P962" i="155"/>
  <c r="P932" i="155"/>
  <c r="P954" i="155"/>
  <c r="P950" i="155"/>
  <c r="P946" i="155"/>
  <c r="P942" i="155"/>
  <c r="P938" i="155"/>
  <c r="P934" i="155"/>
  <c r="P955" i="155"/>
  <c r="P951" i="155"/>
  <c r="P947" i="155"/>
  <c r="P943" i="155"/>
  <c r="P939" i="155"/>
  <c r="P935" i="155"/>
  <c r="P1109" i="155"/>
  <c r="P1105" i="155"/>
  <c r="P1101" i="155"/>
  <c r="P1097" i="155"/>
  <c r="P1093" i="155"/>
  <c r="P1089" i="155"/>
  <c r="P1085" i="155"/>
  <c r="P1081" i="155"/>
  <c r="P1077" i="155"/>
  <c r="P1073" i="155"/>
  <c r="P1069" i="155"/>
  <c r="P1065" i="155"/>
  <c r="P1061" i="155"/>
  <c r="P1057" i="155"/>
  <c r="P1053" i="155"/>
  <c r="P1049" i="155"/>
  <c r="P1045" i="155"/>
  <c r="P1041" i="155"/>
  <c r="P1037" i="155"/>
  <c r="P1033" i="155"/>
  <c r="P1029" i="155"/>
  <c r="P1021" i="155"/>
  <c r="P1017" i="155"/>
  <c r="P1013" i="155"/>
  <c r="P1009" i="155"/>
  <c r="P1005" i="155"/>
  <c r="P1001" i="155"/>
  <c r="P997" i="155"/>
  <c r="P993" i="155"/>
  <c r="P989" i="155"/>
  <c r="P985" i="155"/>
  <c r="P981" i="155"/>
  <c r="P977" i="155"/>
  <c r="P973" i="155"/>
  <c r="P969" i="155"/>
  <c r="P965" i="155"/>
  <c r="P957" i="155"/>
  <c r="P953" i="155"/>
  <c r="P949" i="155"/>
  <c r="P945" i="155"/>
  <c r="P941" i="155"/>
  <c r="P937" i="155"/>
  <c r="D10" i="91" l="1"/>
  <c r="D10" i="144"/>
  <c r="P2193" i="155"/>
  <c r="J10" i="115"/>
  <c r="E10" i="115"/>
  <c r="E46" i="115"/>
  <c r="J46" i="115"/>
  <c r="P2313" i="155"/>
  <c r="D9" i="118"/>
  <c r="P2333" i="155"/>
  <c r="C10" i="119"/>
  <c r="D34" i="162"/>
  <c r="D10" i="148"/>
  <c r="D27" i="145"/>
  <c r="D10" i="98"/>
  <c r="D10" i="97"/>
  <c r="D68" i="96"/>
  <c r="D39" i="96"/>
  <c r="D10" i="96"/>
  <c r="H10" i="162"/>
  <c r="H44" i="145"/>
  <c r="H10" i="145"/>
  <c r="H33" i="97"/>
  <c r="H77" i="96"/>
  <c r="H51" i="96"/>
  <c r="H22" i="96"/>
  <c r="D10" i="162"/>
  <c r="D44" i="145"/>
  <c r="D10" i="145"/>
  <c r="D33" i="97"/>
  <c r="D77" i="96"/>
  <c r="D51" i="96"/>
  <c r="D22" i="96"/>
  <c r="H34" i="162"/>
  <c r="H10" i="148"/>
  <c r="H27" i="145"/>
  <c r="D23" i="98"/>
  <c r="H10" i="97"/>
  <c r="H68" i="96"/>
  <c r="H39" i="96"/>
  <c r="H10" i="96"/>
  <c r="P2065" i="155"/>
  <c r="I44" i="101"/>
  <c r="D44" i="101"/>
  <c r="D11" i="99"/>
  <c r="A7" i="99"/>
  <c r="D10" i="161"/>
  <c r="D46" i="149"/>
  <c r="D10" i="149"/>
  <c r="D10" i="95"/>
  <c r="D72" i="92"/>
  <c r="D41" i="92"/>
  <c r="H40" i="161"/>
  <c r="H10" i="152"/>
  <c r="H28" i="149"/>
  <c r="H39" i="95"/>
  <c r="H81" i="92"/>
  <c r="H54" i="92"/>
  <c r="H23" i="92"/>
  <c r="D40" i="161"/>
  <c r="D10" i="152"/>
  <c r="D28" i="149"/>
  <c r="D39" i="95"/>
  <c r="D81" i="92"/>
  <c r="D54" i="92"/>
  <c r="D23" i="92"/>
  <c r="H10" i="161"/>
  <c r="H46" i="149"/>
  <c r="H10" i="149"/>
  <c r="H10" i="95"/>
  <c r="H72" i="92"/>
  <c r="H41" i="92"/>
  <c r="H10" i="92"/>
  <c r="D10" i="92"/>
  <c r="P1853" i="155"/>
  <c r="P1407" i="155"/>
  <c r="B9" i="87"/>
  <c r="P1459" i="155"/>
  <c r="B34" i="88"/>
  <c r="P1449" i="155"/>
  <c r="B10" i="88"/>
  <c r="P1495" i="155"/>
  <c r="C9" i="89"/>
  <c r="P1418" i="155"/>
  <c r="B25" i="87"/>
  <c r="P1530" i="155"/>
  <c r="C33" i="89"/>
  <c r="C10" i="77"/>
  <c r="D49" i="72"/>
  <c r="G10" i="77"/>
  <c r="C25" i="76"/>
  <c r="C10" i="76"/>
  <c r="C10" i="75"/>
  <c r="C27" i="75"/>
  <c r="B31" i="74"/>
  <c r="C10" i="48"/>
  <c r="P819" i="155"/>
  <c r="P809" i="155"/>
  <c r="P813" i="155"/>
  <c r="P817" i="155"/>
  <c r="P790" i="155"/>
  <c r="P794" i="155"/>
  <c r="P798" i="155"/>
  <c r="P802" i="155"/>
  <c r="P787" i="155"/>
  <c r="P806" i="155"/>
  <c r="P810" i="155"/>
  <c r="P814" i="155"/>
  <c r="P818" i="155"/>
  <c r="P791" i="155"/>
  <c r="P795" i="155"/>
  <c r="P799" i="155"/>
  <c r="P803" i="155"/>
  <c r="P807" i="155"/>
  <c r="P811" i="155"/>
  <c r="P815" i="155"/>
  <c r="P788" i="155"/>
  <c r="P792" i="155"/>
  <c r="P796" i="155"/>
  <c r="P800" i="155"/>
  <c r="P804" i="155"/>
  <c r="P808" i="155"/>
  <c r="P812" i="155"/>
  <c r="P816" i="155"/>
  <c r="P789" i="155"/>
  <c r="P793" i="155"/>
  <c r="P797" i="155"/>
  <c r="P801" i="155"/>
  <c r="P805" i="155"/>
  <c r="P1157" i="155"/>
  <c r="P1161" i="155"/>
  <c r="P1149" i="155"/>
  <c r="P1153" i="155"/>
  <c r="P1163" i="155"/>
  <c r="P1162" i="155"/>
  <c r="P1151" i="155"/>
  <c r="P1165" i="155"/>
  <c r="P1152" i="155"/>
  <c r="P1166" i="155"/>
  <c r="P1158" i="155"/>
  <c r="P1146" i="155"/>
  <c r="P1150" i="155"/>
  <c r="P1154" i="155"/>
  <c r="P1164" i="155"/>
  <c r="P1159" i="155"/>
  <c r="P1147" i="155"/>
  <c r="P1155" i="155"/>
  <c r="P1160" i="155"/>
  <c r="P1148" i="155"/>
  <c r="P1156" i="155"/>
  <c r="P1526" i="155"/>
  <c r="P1508" i="155"/>
  <c r="P1500" i="155"/>
  <c r="P1475" i="155"/>
  <c r="P1506" i="155"/>
  <c r="P1498" i="155"/>
  <c r="P1522" i="155"/>
  <c r="P1467" i="155"/>
  <c r="P1453" i="155"/>
  <c r="P1512" i="155"/>
  <c r="P1504" i="155"/>
  <c r="P1496" i="155"/>
  <c r="P1435" i="155"/>
  <c r="P1445" i="155"/>
  <c r="P1510" i="155"/>
  <c r="P1502" i="155"/>
  <c r="P1427" i="155"/>
  <c r="P1514" i="155"/>
  <c r="P1518" i="155"/>
  <c r="P1515" i="155"/>
  <c r="P1519" i="155"/>
  <c r="P1516" i="155"/>
  <c r="P1520" i="155"/>
  <c r="P1513" i="155"/>
  <c r="P1528" i="155"/>
  <c r="P1524" i="155"/>
  <c r="P1517" i="155"/>
  <c r="P1411" i="155"/>
  <c r="P1415" i="155"/>
  <c r="P1419" i="155"/>
  <c r="P1416" i="155"/>
  <c r="P1413" i="155"/>
  <c r="P1417" i="155"/>
  <c r="P1460" i="155"/>
  <c r="P1464" i="155"/>
  <c r="P1468" i="155"/>
  <c r="P1472" i="155"/>
  <c r="P1458" i="155"/>
  <c r="P1461" i="155"/>
  <c r="P1465" i="155"/>
  <c r="P1469" i="155"/>
  <c r="P1473" i="155"/>
  <c r="P1462" i="155"/>
  <c r="P1466" i="155"/>
  <c r="P1470" i="155"/>
  <c r="P1474" i="155"/>
  <c r="P1494" i="155"/>
  <c r="P1509" i="155"/>
  <c r="P1505" i="155"/>
  <c r="P1501" i="155"/>
  <c r="P1497" i="155"/>
  <c r="P1531" i="155"/>
  <c r="P1527" i="155"/>
  <c r="P1523" i="155"/>
  <c r="P1420" i="155"/>
  <c r="P1423" i="155"/>
  <c r="P1463" i="155"/>
  <c r="P1408" i="155"/>
  <c r="P1412" i="155"/>
  <c r="P1409" i="155"/>
  <c r="P1405" i="155"/>
  <c r="P1406" i="155"/>
  <c r="P1410" i="155"/>
  <c r="P1442" i="155"/>
  <c r="P1446" i="155"/>
  <c r="P1450" i="155"/>
  <c r="P1454" i="155"/>
  <c r="P1424" i="155"/>
  <c r="P1428" i="155"/>
  <c r="P1432" i="155"/>
  <c r="P1436" i="155"/>
  <c r="P1443" i="155"/>
  <c r="P1447" i="155"/>
  <c r="P1451" i="155"/>
  <c r="P1455" i="155"/>
  <c r="P1421" i="155"/>
  <c r="P1425" i="155"/>
  <c r="P1429" i="155"/>
  <c r="P1433" i="155"/>
  <c r="P1437" i="155"/>
  <c r="P1440" i="155"/>
  <c r="P1444" i="155"/>
  <c r="P1448" i="155"/>
  <c r="P1452" i="155"/>
  <c r="P1456" i="155"/>
  <c r="P1439" i="155"/>
  <c r="P1422" i="155"/>
  <c r="P1426" i="155"/>
  <c r="P1430" i="155"/>
  <c r="P1434" i="155"/>
  <c r="P1438" i="155"/>
  <c r="P1511" i="155"/>
  <c r="P1507" i="155"/>
  <c r="P1503" i="155"/>
  <c r="P1499" i="155"/>
  <c r="P1529" i="155"/>
  <c r="P1525" i="155"/>
  <c r="P1521" i="155"/>
  <c r="P1431" i="155"/>
  <c r="P1471" i="155"/>
  <c r="P1457" i="155"/>
  <c r="P1441" i="155"/>
  <c r="P1414" i="155"/>
  <c r="P1749" i="155"/>
  <c r="P1708" i="155"/>
  <c r="P1761" i="155"/>
  <c r="P1687" i="155"/>
  <c r="P1700" i="155"/>
  <c r="P1753" i="155"/>
  <c r="P1691" i="155"/>
  <c r="P1716" i="155"/>
  <c r="P1757" i="155"/>
  <c r="P1695" i="155"/>
  <c r="P1724" i="155"/>
  <c r="P1751" i="155"/>
  <c r="P1755" i="155"/>
  <c r="P1759" i="155"/>
  <c r="P1685" i="155"/>
  <c r="P1689" i="155"/>
  <c r="P1693" i="155"/>
  <c r="P1697" i="155"/>
  <c r="P1704" i="155"/>
  <c r="P1712" i="155"/>
  <c r="P1720" i="155"/>
  <c r="P1728" i="155"/>
  <c r="P1736" i="155"/>
  <c r="P1744" i="155"/>
  <c r="P1624" i="155"/>
  <c r="P1632" i="155"/>
  <c r="P1640" i="155"/>
  <c r="P1648" i="155"/>
  <c r="P1656" i="155"/>
  <c r="P1665" i="155"/>
  <c r="P1676" i="155"/>
  <c r="P1933" i="155"/>
  <c r="P1944" i="155"/>
  <c r="P1954" i="155"/>
  <c r="P1965" i="155"/>
  <c r="P1976" i="155"/>
  <c r="P1986" i="155"/>
  <c r="P1997" i="155"/>
  <c r="P2013" i="155"/>
  <c r="P1874" i="155"/>
  <c r="P1896" i="155"/>
  <c r="P1917" i="155"/>
  <c r="P1778" i="155"/>
  <c r="P1800" i="155"/>
  <c r="P1821" i="155"/>
  <c r="P1842" i="155"/>
  <c r="P1752" i="155"/>
  <c r="P1756" i="155"/>
  <c r="P1760" i="155"/>
  <c r="P1686" i="155"/>
  <c r="P1690" i="155"/>
  <c r="P1694" i="155"/>
  <c r="P1698" i="155"/>
  <c r="P1706" i="155"/>
  <c r="P1714" i="155"/>
  <c r="P1722" i="155"/>
  <c r="P1730" i="155"/>
  <c r="P1738" i="155"/>
  <c r="P1746" i="155"/>
  <c r="P1626" i="155"/>
  <c r="P1634" i="155"/>
  <c r="P1642" i="155"/>
  <c r="P1650" i="155"/>
  <c r="P1658" i="155"/>
  <c r="P1668" i="155"/>
  <c r="P1679" i="155"/>
  <c r="P1936" i="155"/>
  <c r="P1946" i="155"/>
  <c r="P1957" i="155"/>
  <c r="P1968" i="155"/>
  <c r="P1978" i="155"/>
  <c r="P1989" i="155"/>
  <c r="P2000" i="155"/>
  <c r="P1858" i="155"/>
  <c r="P1880" i="155"/>
  <c r="P1901" i="155"/>
  <c r="P1922" i="155"/>
  <c r="P1784" i="155"/>
  <c r="P1805" i="155"/>
  <c r="P1826" i="155"/>
  <c r="P1848" i="155"/>
  <c r="P1732" i="155"/>
  <c r="P1740" i="155"/>
  <c r="P1748" i="155"/>
  <c r="P1628" i="155"/>
  <c r="P1636" i="155"/>
  <c r="P1644" i="155"/>
  <c r="P1652" i="155"/>
  <c r="P1660" i="155"/>
  <c r="P1671" i="155"/>
  <c r="P1681" i="155"/>
  <c r="P1928" i="155"/>
  <c r="P1938" i="155"/>
  <c r="P1949" i="155"/>
  <c r="P1960" i="155"/>
  <c r="P1970" i="155"/>
  <c r="P1981" i="155"/>
  <c r="P1992" i="155"/>
  <c r="P2002" i="155"/>
  <c r="P1864" i="155"/>
  <c r="P1885" i="155"/>
  <c r="P1906" i="155"/>
  <c r="P1768" i="155"/>
  <c r="P1789" i="155"/>
  <c r="P1810" i="155"/>
  <c r="P1832" i="155"/>
  <c r="P1855" i="155"/>
  <c r="P1851" i="155"/>
  <c r="P1847" i="155"/>
  <c r="P1843" i="155"/>
  <c r="P1839" i="155"/>
  <c r="P1835" i="155"/>
  <c r="P1831" i="155"/>
  <c r="P1827" i="155"/>
  <c r="P1823" i="155"/>
  <c r="P1819" i="155"/>
  <c r="P1815" i="155"/>
  <c r="P1811" i="155"/>
  <c r="P1807" i="155"/>
  <c r="P1803" i="155"/>
  <c r="P1799" i="155"/>
  <c r="P1795" i="155"/>
  <c r="P1791" i="155"/>
  <c r="P1787" i="155"/>
  <c r="P1783" i="155"/>
  <c r="P1779" i="155"/>
  <c r="P1775" i="155"/>
  <c r="P1771" i="155"/>
  <c r="P1927" i="155"/>
  <c r="P1923" i="155"/>
  <c r="P1919" i="155"/>
  <c r="P1915" i="155"/>
  <c r="P1911" i="155"/>
  <c r="P1907" i="155"/>
  <c r="P1903" i="155"/>
  <c r="P1899" i="155"/>
  <c r="P1895" i="155"/>
  <c r="P1891" i="155"/>
  <c r="P1887" i="155"/>
  <c r="P1883" i="155"/>
  <c r="P1879" i="155"/>
  <c r="P1875" i="155"/>
  <c r="P1871" i="155"/>
  <c r="P1867" i="155"/>
  <c r="P1863" i="155"/>
  <c r="P1859" i="155"/>
  <c r="P2015" i="155"/>
  <c r="P2011" i="155"/>
  <c r="P2007" i="155"/>
  <c r="P2003" i="155"/>
  <c r="P1999" i="155"/>
  <c r="P1995" i="155"/>
  <c r="P1991" i="155"/>
  <c r="P1987" i="155"/>
  <c r="P1983" i="155"/>
  <c r="P1979" i="155"/>
  <c r="P1975" i="155"/>
  <c r="P1971" i="155"/>
  <c r="P1967" i="155"/>
  <c r="P1963" i="155"/>
  <c r="P1959" i="155"/>
  <c r="P1955" i="155"/>
  <c r="P1951" i="155"/>
  <c r="P1947" i="155"/>
  <c r="P1943" i="155"/>
  <c r="P1939" i="155"/>
  <c r="P1935" i="155"/>
  <c r="P1931" i="155"/>
  <c r="P1852" i="155"/>
  <c r="P1846" i="155"/>
  <c r="P1841" i="155"/>
  <c r="P1836" i="155"/>
  <c r="P1830" i="155"/>
  <c r="P1825" i="155"/>
  <c r="P1820" i="155"/>
  <c r="P1814" i="155"/>
  <c r="P1809" i="155"/>
  <c r="P1804" i="155"/>
  <c r="P1798" i="155"/>
  <c r="P1793" i="155"/>
  <c r="P1788" i="155"/>
  <c r="P1782" i="155"/>
  <c r="P1777" i="155"/>
  <c r="P1772" i="155"/>
  <c r="P1926" i="155"/>
  <c r="P1921" i="155"/>
  <c r="P1916" i="155"/>
  <c r="P1910" i="155"/>
  <c r="P1905" i="155"/>
  <c r="P1900" i="155"/>
  <c r="P1894" i="155"/>
  <c r="P1889" i="155"/>
  <c r="P1884" i="155"/>
  <c r="P1878" i="155"/>
  <c r="P1873" i="155"/>
  <c r="P1868" i="155"/>
  <c r="P1862" i="155"/>
  <c r="P1857" i="155"/>
  <c r="P2012" i="155"/>
  <c r="P2006" i="155"/>
  <c r="P2001" i="155"/>
  <c r="P1996" i="155"/>
  <c r="P1990" i="155"/>
  <c r="P1985" i="155"/>
  <c r="P1980" i="155"/>
  <c r="P1974" i="155"/>
  <c r="P1969" i="155"/>
  <c r="P1964" i="155"/>
  <c r="P1958" i="155"/>
  <c r="P1953" i="155"/>
  <c r="P1948" i="155"/>
  <c r="P1942" i="155"/>
  <c r="P1937" i="155"/>
  <c r="P1932" i="155"/>
  <c r="P1850" i="155"/>
  <c r="P1845" i="155"/>
  <c r="P1840" i="155"/>
  <c r="P1834" i="155"/>
  <c r="P1829" i="155"/>
  <c r="P1824" i="155"/>
  <c r="P1818" i="155"/>
  <c r="P1813" i="155"/>
  <c r="P1808" i="155"/>
  <c r="P1802" i="155"/>
  <c r="P1797" i="155"/>
  <c r="P1792" i="155"/>
  <c r="P1786" i="155"/>
  <c r="P1781" i="155"/>
  <c r="P1776" i="155"/>
  <c r="P1770" i="155"/>
  <c r="P1925" i="155"/>
  <c r="P1920" i="155"/>
  <c r="P1914" i="155"/>
  <c r="P1909" i="155"/>
  <c r="P1904" i="155"/>
  <c r="P1898" i="155"/>
  <c r="P1893" i="155"/>
  <c r="P1888" i="155"/>
  <c r="P1882" i="155"/>
  <c r="P1877" i="155"/>
  <c r="P1872" i="155"/>
  <c r="P1866" i="155"/>
  <c r="P1861" i="155"/>
  <c r="P1856" i="155"/>
  <c r="P2010" i="155"/>
  <c r="P2005" i="155"/>
  <c r="P1854" i="155"/>
  <c r="P1849" i="155"/>
  <c r="P1844" i="155"/>
  <c r="P1838" i="155"/>
  <c r="P1833" i="155"/>
  <c r="P1828" i="155"/>
  <c r="P1822" i="155"/>
  <c r="P1817" i="155"/>
  <c r="P1812" i="155"/>
  <c r="P1806" i="155"/>
  <c r="P1801" i="155"/>
  <c r="P1796" i="155"/>
  <c r="P1790" i="155"/>
  <c r="P1785" i="155"/>
  <c r="P1780" i="155"/>
  <c r="P1774" i="155"/>
  <c r="P1769" i="155"/>
  <c r="P1924" i="155"/>
  <c r="P1918" i="155"/>
  <c r="P1913" i="155"/>
  <c r="P1908" i="155"/>
  <c r="P1902" i="155"/>
  <c r="P1897" i="155"/>
  <c r="P1892" i="155"/>
  <c r="P1886" i="155"/>
  <c r="P1881" i="155"/>
  <c r="P1876" i="155"/>
  <c r="P1870" i="155"/>
  <c r="P1865" i="155"/>
  <c r="P1860" i="155"/>
  <c r="P2014" i="155"/>
  <c r="P2009" i="155"/>
  <c r="P2004" i="155"/>
  <c r="P1998" i="155"/>
  <c r="P1993" i="155"/>
  <c r="P1988" i="155"/>
  <c r="P1982" i="155"/>
  <c r="P1977" i="155"/>
  <c r="P1972" i="155"/>
  <c r="P1966" i="155"/>
  <c r="P1961" i="155"/>
  <c r="P1956" i="155"/>
  <c r="P1950" i="155"/>
  <c r="P1945" i="155"/>
  <c r="P1940" i="155"/>
  <c r="P1934" i="155"/>
  <c r="P1929" i="155"/>
  <c r="P1682" i="155"/>
  <c r="P1678" i="155"/>
  <c r="P1674" i="155"/>
  <c r="P1670" i="155"/>
  <c r="P1666" i="155"/>
  <c r="P1662" i="155"/>
  <c r="P1680" i="155"/>
  <c r="P1675" i="155"/>
  <c r="P1669" i="155"/>
  <c r="P1664" i="155"/>
  <c r="P1659" i="155"/>
  <c r="P1655" i="155"/>
  <c r="P1651" i="155"/>
  <c r="P1647" i="155"/>
  <c r="P1643" i="155"/>
  <c r="P1639" i="155"/>
  <c r="P1635" i="155"/>
  <c r="P1631" i="155"/>
  <c r="P1627" i="155"/>
  <c r="P1623" i="155"/>
  <c r="P1747" i="155"/>
  <c r="P1743" i="155"/>
  <c r="P1739" i="155"/>
  <c r="P1735" i="155"/>
  <c r="P1731" i="155"/>
  <c r="P1727" i="155"/>
  <c r="P1723" i="155"/>
  <c r="P1719" i="155"/>
  <c r="P1715" i="155"/>
  <c r="P1711" i="155"/>
  <c r="P1707" i="155"/>
  <c r="P1703" i="155"/>
  <c r="P1699" i="155"/>
  <c r="P1683" i="155"/>
  <c r="P1677" i="155"/>
  <c r="P1672" i="155"/>
  <c r="P1667" i="155"/>
  <c r="P1661" i="155"/>
  <c r="P1657" i="155"/>
  <c r="P1653" i="155"/>
  <c r="P1649" i="155"/>
  <c r="P1645" i="155"/>
  <c r="P1641" i="155"/>
  <c r="P1637" i="155"/>
  <c r="P1633" i="155"/>
  <c r="P1629" i="155"/>
  <c r="P1625" i="155"/>
  <c r="P1621" i="155"/>
  <c r="P1745" i="155"/>
  <c r="P1741" i="155"/>
  <c r="P1737" i="155"/>
  <c r="P1733" i="155"/>
  <c r="P1729" i="155"/>
  <c r="P1725" i="155"/>
  <c r="P1721" i="155"/>
  <c r="P1717" i="155"/>
  <c r="P1713" i="155"/>
  <c r="P1709" i="155"/>
  <c r="P1705" i="155"/>
  <c r="P1701" i="155"/>
  <c r="P1750" i="155"/>
  <c r="P1754" i="155"/>
  <c r="P1758" i="155"/>
  <c r="P1762" i="155"/>
  <c r="P1688" i="155"/>
  <c r="P1692" i="155"/>
  <c r="P1696" i="155"/>
  <c r="P1702" i="155"/>
  <c r="P1710" i="155"/>
  <c r="P1718" i="155"/>
  <c r="P1726" i="155"/>
  <c r="P1734" i="155"/>
  <c r="P1742" i="155"/>
  <c r="P1622" i="155"/>
  <c r="P1630" i="155"/>
  <c r="P1638" i="155"/>
  <c r="P1646" i="155"/>
  <c r="P1654" i="155"/>
  <c r="P1663" i="155"/>
  <c r="P1673" i="155"/>
  <c r="P1684" i="155"/>
  <c r="P1930" i="155"/>
  <c r="P1941" i="155"/>
  <c r="P1952" i="155"/>
  <c r="P1962" i="155"/>
  <c r="P1973" i="155"/>
  <c r="P1984" i="155"/>
  <c r="P1994" i="155"/>
  <c r="P2008" i="155"/>
  <c r="P1869" i="155"/>
  <c r="P1890" i="155"/>
  <c r="P1912" i="155"/>
  <c r="P1773" i="155"/>
  <c r="P1794" i="155"/>
  <c r="P1816" i="155"/>
  <c r="P1837" i="155"/>
  <c r="P2061" i="155"/>
  <c r="P2063" i="155"/>
  <c r="P2066" i="155"/>
  <c r="P2062" i="155"/>
  <c r="P2064" i="155"/>
  <c r="P2817" i="155"/>
  <c r="P1566" i="155"/>
  <c r="P2824" i="155"/>
  <c r="P1558" i="155"/>
  <c r="P2816" i="155"/>
  <c r="P1563" i="155"/>
  <c r="P2825" i="155"/>
  <c r="P2809" i="155"/>
  <c r="P1553" i="155"/>
  <c r="P1543" i="155"/>
  <c r="P1544" i="155"/>
  <c r="P2823" i="155"/>
  <c r="P2815" i="155"/>
  <c r="P2822" i="155"/>
  <c r="P2814" i="155"/>
  <c r="P1556" i="155"/>
  <c r="P1564" i="155"/>
  <c r="P1569" i="155"/>
  <c r="P1561" i="155"/>
  <c r="P1555" i="155"/>
  <c r="P1552" i="155"/>
  <c r="P1548" i="155"/>
  <c r="P1542" i="155"/>
  <c r="P1534" i="155"/>
  <c r="P1535" i="155"/>
  <c r="P1533" i="155"/>
  <c r="P1549" i="155"/>
  <c r="P1536" i="155"/>
  <c r="P1537" i="155"/>
  <c r="P2821" i="155"/>
  <c r="P2813" i="155"/>
  <c r="P2820" i="155"/>
  <c r="P2812" i="155"/>
  <c r="P1570" i="155"/>
  <c r="P1562" i="155"/>
  <c r="P1567" i="155"/>
  <c r="P1559" i="155"/>
  <c r="P1554" i="155"/>
  <c r="P1551" i="155"/>
  <c r="P1547" i="155"/>
  <c r="P1540" i="155"/>
  <c r="P1532" i="155"/>
  <c r="P1541" i="155"/>
  <c r="P2808" i="155"/>
  <c r="P2819" i="155"/>
  <c r="P2811" i="155"/>
  <c r="P2818" i="155"/>
  <c r="P2810" i="155"/>
  <c r="P1568" i="155"/>
  <c r="P1560" i="155"/>
  <c r="P1565" i="155"/>
  <c r="P1557" i="155"/>
  <c r="P1550" i="155"/>
  <c r="P1545" i="155"/>
  <c r="P1538" i="155"/>
  <c r="P1546" i="155"/>
  <c r="P1539" i="155"/>
  <c r="P2327" i="155"/>
  <c r="P2319" i="155"/>
  <c r="P2311" i="155"/>
  <c r="P2267" i="155"/>
  <c r="P2259" i="155"/>
  <c r="P2251" i="155"/>
  <c r="P2240" i="155"/>
  <c r="P2224" i="155"/>
  <c r="P2208" i="155"/>
  <c r="P2316" i="155"/>
  <c r="P2324" i="155"/>
  <c r="P2192" i="155"/>
  <c r="P2264" i="155"/>
  <c r="P2256" i="155"/>
  <c r="P2248" i="155"/>
  <c r="P2236" i="155"/>
  <c r="P2220" i="155"/>
  <c r="P2204" i="155"/>
  <c r="P2323" i="155"/>
  <c r="P2315" i="155"/>
  <c r="P2271" i="155"/>
  <c r="P2263" i="155"/>
  <c r="P2255" i="155"/>
  <c r="P2247" i="155"/>
  <c r="P2232" i="155"/>
  <c r="P2216" i="155"/>
  <c r="P2200" i="155"/>
  <c r="P2328" i="155"/>
  <c r="P2320" i="155"/>
  <c r="P2312" i="155"/>
  <c r="P2268" i="155"/>
  <c r="P2260" i="155"/>
  <c r="P2252" i="155"/>
  <c r="P2244" i="155"/>
  <c r="P2228" i="155"/>
  <c r="P2212" i="155"/>
  <c r="P2196" i="155"/>
  <c r="P2344" i="155"/>
  <c r="P2336" i="155"/>
  <c r="P2332" i="155"/>
  <c r="P2339" i="155"/>
  <c r="P2331" i="155"/>
  <c r="P2243" i="155"/>
  <c r="P2239" i="155"/>
  <c r="P2235" i="155"/>
  <c r="P2231" i="155"/>
  <c r="P2227" i="155"/>
  <c r="P2223" i="155"/>
  <c r="P2219" i="155"/>
  <c r="P2215" i="155"/>
  <c r="P2211" i="155"/>
  <c r="P2207" i="155"/>
  <c r="P2203" i="155"/>
  <c r="P2199" i="155"/>
  <c r="P2195" i="155"/>
  <c r="P2340" i="155"/>
  <c r="P2343" i="155"/>
  <c r="P2335" i="155"/>
  <c r="P2330" i="155"/>
  <c r="P2346" i="155"/>
  <c r="P2342" i="155"/>
  <c r="P2338" i="155"/>
  <c r="P2334" i="155"/>
  <c r="P2310" i="155"/>
  <c r="P2326" i="155"/>
  <c r="P2322" i="155"/>
  <c r="P2318" i="155"/>
  <c r="P2314" i="155"/>
  <c r="P2270" i="155"/>
  <c r="P2266" i="155"/>
  <c r="P2262" i="155"/>
  <c r="P2258" i="155"/>
  <c r="P2254" i="155"/>
  <c r="P2250" i="155"/>
  <c r="P2246" i="155"/>
  <c r="P2242" i="155"/>
  <c r="P2238" i="155"/>
  <c r="P2234" i="155"/>
  <c r="P2230" i="155"/>
  <c r="P2226" i="155"/>
  <c r="P2222" i="155"/>
  <c r="P2218" i="155"/>
  <c r="P2214" i="155"/>
  <c r="P2210" i="155"/>
  <c r="P2206" i="155"/>
  <c r="P2202" i="155"/>
  <c r="P2198" i="155"/>
  <c r="P2194" i="155"/>
  <c r="P2348" i="155"/>
  <c r="P2347" i="155"/>
  <c r="P2349" i="155"/>
  <c r="P2345" i="155"/>
  <c r="P2341" i="155"/>
  <c r="P2337" i="155"/>
  <c r="P2329" i="155"/>
  <c r="P2325" i="155"/>
  <c r="P2321" i="155"/>
  <c r="P2317" i="155"/>
  <c r="P2269" i="155"/>
  <c r="P2265" i="155"/>
  <c r="P2261" i="155"/>
  <c r="P2257" i="155"/>
  <c r="P2253" i="155"/>
  <c r="P2249" i="155"/>
  <c r="P2245" i="155"/>
  <c r="P2241" i="155"/>
  <c r="P2237" i="155"/>
  <c r="P2233" i="155"/>
  <c r="P2229" i="155"/>
  <c r="P2225" i="155"/>
  <c r="P2221" i="155"/>
  <c r="P2217" i="155"/>
  <c r="P2213" i="155"/>
  <c r="P2209" i="155"/>
  <c r="P2205" i="155"/>
  <c r="P2201" i="155"/>
  <c r="P2197" i="155"/>
  <c r="E10" i="134" l="1"/>
  <c r="E299" i="134"/>
  <c r="E248" i="134"/>
  <c r="E181" i="134"/>
  <c r="J134" i="134"/>
  <c r="E103" i="134"/>
  <c r="E25" i="134"/>
  <c r="E330" i="134"/>
  <c r="E210" i="134"/>
  <c r="J118" i="134"/>
  <c r="E260" i="134"/>
  <c r="E151" i="134"/>
  <c r="E44" i="134"/>
  <c r="E362" i="134"/>
  <c r="E282" i="134"/>
  <c r="E236" i="134"/>
  <c r="E165" i="134"/>
  <c r="E134" i="134"/>
  <c r="E82" i="134"/>
  <c r="E271" i="134"/>
  <c r="J151" i="134"/>
  <c r="E65" i="134"/>
  <c r="E316" i="134"/>
  <c r="E194" i="134"/>
  <c r="E118" i="134"/>
  <c r="P2691" i="155"/>
  <c r="P2699" i="155"/>
  <c r="P2692" i="155"/>
  <c r="P2700" i="155"/>
  <c r="P2695" i="155"/>
  <c r="P2703" i="155"/>
  <c r="P2688" i="155"/>
  <c r="P2696" i="155"/>
  <c r="P2689" i="155"/>
  <c r="P2693" i="155"/>
  <c r="P2697" i="155"/>
  <c r="P2701" i="155"/>
  <c r="P2690" i="155"/>
  <c r="P2694" i="155"/>
  <c r="P2698" i="155"/>
  <c r="P2702" i="155"/>
  <c r="C11" i="77" l="1"/>
  <c r="A9" i="153"/>
  <c r="B9" i="153"/>
  <c r="P2067" i="155"/>
  <c r="E41" i="71"/>
  <c r="D5" i="165"/>
  <c r="D7" i="165" l="1"/>
  <c r="D16" i="165"/>
  <c r="F9" i="126"/>
  <c r="F9" i="153"/>
  <c r="I10" i="156"/>
  <c r="D10" i="156"/>
  <c r="D10" i="143"/>
  <c r="D51" i="72"/>
  <c r="C41" i="136"/>
  <c r="E51" i="72"/>
  <c r="D41" i="136"/>
  <c r="B32" i="58"/>
  <c r="A26" i="127"/>
  <c r="A9" i="127"/>
  <c r="A9" i="129"/>
  <c r="A37" i="129"/>
  <c r="A26" i="129"/>
  <c r="A15" i="129"/>
  <c r="A9" i="126"/>
  <c r="A27" i="109"/>
  <c r="A28" i="109"/>
  <c r="C10" i="130"/>
  <c r="E10" i="125"/>
  <c r="K10" i="117"/>
  <c r="E10" i="117"/>
  <c r="E9" i="116"/>
  <c r="I9" i="116"/>
  <c r="C9" i="114"/>
  <c r="B9" i="126"/>
  <c r="G11" i="77"/>
  <c r="D31" i="105"/>
  <c r="A6" i="109"/>
  <c r="A6" i="110"/>
  <c r="D31" i="112"/>
  <c r="H9" i="112"/>
  <c r="D9" i="112"/>
  <c r="I10" i="159"/>
  <c r="D10" i="159"/>
  <c r="D10" i="105"/>
  <c r="H30" i="105"/>
  <c r="D30" i="105"/>
  <c r="H10" i="105"/>
  <c r="Q2092" i="155"/>
  <c r="D16" i="108"/>
  <c r="D9" i="108"/>
  <c r="B33" i="58"/>
  <c r="D10" i="99"/>
  <c r="A6" i="99"/>
  <c r="D10" i="104"/>
  <c r="D9" i="84"/>
  <c r="A6" i="84"/>
  <c r="D9" i="85"/>
  <c r="D9" i="83"/>
  <c r="A6" i="83"/>
  <c r="D32" i="82"/>
  <c r="H32" i="82"/>
  <c r="H54" i="82"/>
  <c r="D10" i="82"/>
  <c r="D54" i="82"/>
  <c r="D71" i="81"/>
  <c r="H30" i="81"/>
  <c r="H71" i="81"/>
  <c r="H53" i="81"/>
  <c r="H12" i="81"/>
  <c r="D53" i="81"/>
  <c r="D12" i="81"/>
  <c r="D30" i="81"/>
  <c r="D10" i="80"/>
  <c r="D33" i="80"/>
  <c r="D26" i="79"/>
  <c r="D10" i="79"/>
  <c r="D42" i="79"/>
  <c r="B19" i="74"/>
  <c r="C20" i="77"/>
  <c r="P1143" i="155"/>
  <c r="B11" i="74"/>
  <c r="E10" i="71"/>
  <c r="E42" i="71"/>
  <c r="C23" i="70"/>
  <c r="C11" i="70"/>
  <c r="E28" i="71"/>
  <c r="D95" i="66"/>
  <c r="D66" i="66"/>
  <c r="D41" i="66"/>
  <c r="D10" i="66"/>
  <c r="D73" i="63"/>
  <c r="D55" i="63"/>
  <c r="D36" i="63"/>
  <c r="G46" i="60"/>
  <c r="C28" i="60"/>
  <c r="I76" i="66"/>
  <c r="I54" i="66"/>
  <c r="I31" i="66"/>
  <c r="I90" i="63"/>
  <c r="I65" i="63"/>
  <c r="I44" i="63"/>
  <c r="D19" i="63"/>
  <c r="C46" i="60"/>
  <c r="C11" i="60"/>
  <c r="D76" i="66"/>
  <c r="D54" i="66"/>
  <c r="D31" i="66"/>
  <c r="D90" i="63"/>
  <c r="D65" i="63"/>
  <c r="D44" i="63"/>
  <c r="I10" i="63"/>
  <c r="K28" i="60"/>
  <c r="I95" i="66"/>
  <c r="I66" i="66"/>
  <c r="I41" i="66"/>
  <c r="I10" i="66"/>
  <c r="I73" i="63"/>
  <c r="I55" i="63"/>
  <c r="I36" i="63"/>
  <c r="D10" i="63"/>
  <c r="G28" i="60"/>
  <c r="D14" i="18"/>
  <c r="P1141" i="155"/>
  <c r="D63" i="72"/>
  <c r="P1140" i="155"/>
  <c r="D23" i="72"/>
  <c r="D38" i="72"/>
  <c r="H9" i="72"/>
  <c r="D9" i="72"/>
  <c r="P1142" i="155"/>
  <c r="D73" i="72"/>
  <c r="G10" i="69"/>
  <c r="C10" i="69"/>
  <c r="B31" i="58"/>
  <c r="C10" i="37"/>
  <c r="P783" i="155"/>
  <c r="P780" i="155"/>
  <c r="P777" i="155"/>
  <c r="P784" i="155"/>
  <c r="P781" i="155"/>
  <c r="P778" i="155"/>
  <c r="P785" i="155"/>
  <c r="P782" i="155"/>
  <c r="P779" i="155"/>
  <c r="P769" i="155"/>
  <c r="P766" i="155"/>
  <c r="P763" i="155"/>
  <c r="P759" i="155"/>
  <c r="P756" i="155"/>
  <c r="P753" i="155"/>
  <c r="P770" i="155"/>
  <c r="P767" i="155"/>
  <c r="P764" i="155"/>
  <c r="P760" i="155"/>
  <c r="P757" i="155"/>
  <c r="P754" i="155"/>
  <c r="P751" i="155"/>
  <c r="P776" i="155"/>
  <c r="P772" i="155"/>
  <c r="P765" i="155"/>
  <c r="P746" i="155"/>
  <c r="P744" i="155"/>
  <c r="P742" i="155"/>
  <c r="P739" i="155"/>
  <c r="P737" i="155"/>
  <c r="P773" i="155"/>
  <c r="P758" i="155"/>
  <c r="P750" i="155"/>
  <c r="P740" i="155"/>
  <c r="P738" i="155"/>
  <c r="P736" i="155"/>
  <c r="P774" i="155"/>
  <c r="P768" i="155"/>
  <c r="P762" i="155"/>
  <c r="P749" i="155"/>
  <c r="P747" i="155"/>
  <c r="P775" i="155"/>
  <c r="P771" i="155"/>
  <c r="P761" i="155"/>
  <c r="P755" i="155"/>
  <c r="P752" i="155"/>
  <c r="P748" i="155"/>
  <c r="P743" i="155"/>
  <c r="P733" i="155"/>
  <c r="P735" i="155"/>
  <c r="P734" i="155"/>
  <c r="P741" i="155"/>
  <c r="P745" i="155"/>
  <c r="G10" i="39"/>
  <c r="C10" i="39"/>
  <c r="D10" i="31"/>
  <c r="H10" i="31"/>
  <c r="D9" i="32"/>
  <c r="H39" i="31"/>
  <c r="D39" i="31"/>
  <c r="Q2437" i="155"/>
  <c r="Q2435" i="155"/>
  <c r="Q2436" i="155"/>
  <c r="D10" i="24"/>
  <c r="D25" i="24"/>
  <c r="J10" i="24"/>
  <c r="E10" i="30"/>
  <c r="D10" i="29"/>
  <c r="J10" i="30"/>
  <c r="D83" i="14"/>
  <c r="D10" i="160"/>
  <c r="I10" i="139"/>
  <c r="D10" i="19"/>
  <c r="D84" i="11"/>
  <c r="D10" i="11"/>
  <c r="I45" i="14"/>
  <c r="D10" i="139"/>
  <c r="D64" i="11"/>
  <c r="D45" i="14"/>
  <c r="I10" i="23"/>
  <c r="I10" i="14"/>
  <c r="D42" i="11"/>
  <c r="I83" i="14"/>
  <c r="H10" i="160"/>
  <c r="D38" i="139"/>
  <c r="D10" i="23"/>
  <c r="D10" i="14"/>
  <c r="I10" i="11"/>
  <c r="P493" i="155"/>
  <c r="P497" i="155"/>
  <c r="P501" i="155"/>
  <c r="P505" i="155"/>
  <c r="P509" i="155"/>
  <c r="P513" i="155"/>
  <c r="P492" i="155"/>
  <c r="P494" i="155"/>
  <c r="P498" i="155"/>
  <c r="P502" i="155"/>
  <c r="P506" i="155"/>
  <c r="P510" i="155"/>
  <c r="P514" i="155"/>
  <c r="P496" i="155"/>
  <c r="P500" i="155"/>
  <c r="P508" i="155"/>
  <c r="P512" i="155"/>
  <c r="P495" i="155"/>
  <c r="P499" i="155"/>
  <c r="P503" i="155"/>
  <c r="P507" i="155"/>
  <c r="P511" i="155"/>
  <c r="P515" i="155"/>
  <c r="P504" i="155"/>
  <c r="P516" i="155"/>
  <c r="P613" i="155"/>
  <c r="P617" i="155"/>
  <c r="P621" i="155"/>
  <c r="P625" i="155"/>
  <c r="P629" i="155"/>
  <c r="P633" i="155"/>
  <c r="P637" i="155"/>
  <c r="P641" i="155"/>
  <c r="P645" i="155"/>
  <c r="P649" i="155"/>
  <c r="P653" i="155"/>
  <c r="P657" i="155"/>
  <c r="P661" i="155"/>
  <c r="P665" i="155"/>
  <c r="P589" i="155"/>
  <c r="P593" i="155"/>
  <c r="P597" i="155"/>
  <c r="P601" i="155"/>
  <c r="P605" i="155"/>
  <c r="P549" i="155"/>
  <c r="P553" i="155"/>
  <c r="P557" i="155"/>
  <c r="P561" i="155"/>
  <c r="P565" i="155"/>
  <c r="P569" i="155"/>
  <c r="P573" i="155"/>
  <c r="P577" i="155"/>
  <c r="P581" i="155"/>
  <c r="P585" i="155"/>
  <c r="P517" i="155"/>
  <c r="P521" i="155"/>
  <c r="P525" i="155"/>
  <c r="P529" i="155"/>
  <c r="P533" i="155"/>
  <c r="P537" i="155"/>
  <c r="P541" i="155"/>
  <c r="P545" i="155"/>
  <c r="P609" i="155"/>
  <c r="P610" i="155"/>
  <c r="P614" i="155"/>
  <c r="P618" i="155"/>
  <c r="P622" i="155"/>
  <c r="P626" i="155"/>
  <c r="P630" i="155"/>
  <c r="P634" i="155"/>
  <c r="P638" i="155"/>
  <c r="P642" i="155"/>
  <c r="P646" i="155"/>
  <c r="P650" i="155"/>
  <c r="P654" i="155"/>
  <c r="P658" i="155"/>
  <c r="P662" i="155"/>
  <c r="P666" i="155"/>
  <c r="P590" i="155"/>
  <c r="P594" i="155"/>
  <c r="P598" i="155"/>
  <c r="P602" i="155"/>
  <c r="P606" i="155"/>
  <c r="P550" i="155"/>
  <c r="P554" i="155"/>
  <c r="P558" i="155"/>
  <c r="P562" i="155"/>
  <c r="P566" i="155"/>
  <c r="P570" i="155"/>
  <c r="P574" i="155"/>
  <c r="P578" i="155"/>
  <c r="P582" i="155"/>
  <c r="P586" i="155"/>
  <c r="P518" i="155"/>
  <c r="P522" i="155"/>
  <c r="P526" i="155"/>
  <c r="P530" i="155"/>
  <c r="P534" i="155"/>
  <c r="P538" i="155"/>
  <c r="P542" i="155"/>
  <c r="P546" i="155"/>
  <c r="P612" i="155"/>
  <c r="P620" i="155"/>
  <c r="P624" i="155"/>
  <c r="P632" i="155"/>
  <c r="P611" i="155"/>
  <c r="P615" i="155"/>
  <c r="P619" i="155"/>
  <c r="P623" i="155"/>
  <c r="P627" i="155"/>
  <c r="P631" i="155"/>
  <c r="P635" i="155"/>
  <c r="P639" i="155"/>
  <c r="P643" i="155"/>
  <c r="P647" i="155"/>
  <c r="P651" i="155"/>
  <c r="P655" i="155"/>
  <c r="P659" i="155"/>
  <c r="P663" i="155"/>
  <c r="P667" i="155"/>
  <c r="P591" i="155"/>
  <c r="P595" i="155"/>
  <c r="P599" i="155"/>
  <c r="P603" i="155"/>
  <c r="P607" i="155"/>
  <c r="P551" i="155"/>
  <c r="P555" i="155"/>
  <c r="P559" i="155"/>
  <c r="P563" i="155"/>
  <c r="P567" i="155"/>
  <c r="P571" i="155"/>
  <c r="P575" i="155"/>
  <c r="P579" i="155"/>
  <c r="P583" i="155"/>
  <c r="P587" i="155"/>
  <c r="P519" i="155"/>
  <c r="P523" i="155"/>
  <c r="P527" i="155"/>
  <c r="P531" i="155"/>
  <c r="P535" i="155"/>
  <c r="P539" i="155"/>
  <c r="P543" i="155"/>
  <c r="P547" i="155"/>
  <c r="P616" i="155"/>
  <c r="P628" i="155"/>
  <c r="P640" i="155"/>
  <c r="P636" i="155"/>
  <c r="P656" i="155"/>
  <c r="P592" i="155"/>
  <c r="P608" i="155"/>
  <c r="P564" i="155"/>
  <c r="P580" i="155"/>
  <c r="P524" i="155"/>
  <c r="P540" i="155"/>
  <c r="P644" i="155"/>
  <c r="P660" i="155"/>
  <c r="P596" i="155"/>
  <c r="P552" i="155"/>
  <c r="P568" i="155"/>
  <c r="P584" i="155"/>
  <c r="P528" i="155"/>
  <c r="P544" i="155"/>
  <c r="P648" i="155"/>
  <c r="P664" i="155"/>
  <c r="P600" i="155"/>
  <c r="P556" i="155"/>
  <c r="P572" i="155"/>
  <c r="P588" i="155"/>
  <c r="P532" i="155"/>
  <c r="P548" i="155"/>
  <c r="P652" i="155"/>
  <c r="P668" i="155"/>
  <c r="P604" i="155"/>
  <c r="P560" i="155"/>
  <c r="P576" i="155"/>
  <c r="P520" i="155"/>
  <c r="P536" i="155"/>
  <c r="P453" i="155"/>
  <c r="P457" i="155"/>
  <c r="P461" i="155"/>
  <c r="P465" i="155"/>
  <c r="P469" i="155"/>
  <c r="P473" i="155"/>
  <c r="P477" i="155"/>
  <c r="P481" i="155"/>
  <c r="P425" i="155"/>
  <c r="P429" i="155"/>
  <c r="P433" i="155"/>
  <c r="P437" i="155"/>
  <c r="P441" i="155"/>
  <c r="P445" i="155"/>
  <c r="P449" i="155"/>
  <c r="P454" i="155"/>
  <c r="P458" i="155"/>
  <c r="P462" i="155"/>
  <c r="P466" i="155"/>
  <c r="P470" i="155"/>
  <c r="P474" i="155"/>
  <c r="P478" i="155"/>
  <c r="P422" i="155"/>
  <c r="P426" i="155"/>
  <c r="P430" i="155"/>
  <c r="P434" i="155"/>
  <c r="P438" i="155"/>
  <c r="P442" i="155"/>
  <c r="P446" i="155"/>
  <c r="P450" i="155"/>
  <c r="P456" i="155"/>
  <c r="P460" i="155"/>
  <c r="P468" i="155"/>
  <c r="P476" i="155"/>
  <c r="P424" i="155"/>
  <c r="P432" i="155"/>
  <c r="P440" i="155"/>
  <c r="P448" i="155"/>
  <c r="P455" i="155"/>
  <c r="P459" i="155"/>
  <c r="P463" i="155"/>
  <c r="P467" i="155"/>
  <c r="P471" i="155"/>
  <c r="P475" i="155"/>
  <c r="P479" i="155"/>
  <c r="P423" i="155"/>
  <c r="P427" i="155"/>
  <c r="P431" i="155"/>
  <c r="P435" i="155"/>
  <c r="P439" i="155"/>
  <c r="P443" i="155"/>
  <c r="P447" i="155"/>
  <c r="P451" i="155"/>
  <c r="P452" i="155"/>
  <c r="P464" i="155"/>
  <c r="P472" i="155"/>
  <c r="P480" i="155"/>
  <c r="P428" i="155"/>
  <c r="P436" i="155"/>
  <c r="P444" i="155"/>
  <c r="P680" i="155"/>
  <c r="P684" i="155"/>
  <c r="P688" i="155"/>
  <c r="P692" i="155"/>
  <c r="P696" i="155"/>
  <c r="P700" i="155"/>
  <c r="P681" i="155"/>
  <c r="P685" i="155"/>
  <c r="P689" i="155"/>
  <c r="P693" i="155"/>
  <c r="P697" i="155"/>
  <c r="P679" i="155"/>
  <c r="P682" i="155"/>
  <c r="P686" i="155"/>
  <c r="P690" i="155"/>
  <c r="P694" i="155"/>
  <c r="P698" i="155"/>
  <c r="P683" i="155"/>
  <c r="P699" i="155"/>
  <c r="P687" i="155"/>
  <c r="P691" i="155"/>
  <c r="P695" i="155"/>
  <c r="P702" i="155"/>
  <c r="P706" i="155"/>
  <c r="P710" i="155"/>
  <c r="P714" i="155"/>
  <c r="P718" i="155"/>
  <c r="P722" i="155"/>
  <c r="P726" i="155"/>
  <c r="P730" i="155"/>
  <c r="P703" i="155"/>
  <c r="P707" i="155"/>
  <c r="P711" i="155"/>
  <c r="P715" i="155"/>
  <c r="P719" i="155"/>
  <c r="P723" i="155"/>
  <c r="P727" i="155"/>
  <c r="P731" i="155"/>
  <c r="P704" i="155"/>
  <c r="P708" i="155"/>
  <c r="P712" i="155"/>
  <c r="P716" i="155"/>
  <c r="P720" i="155"/>
  <c r="P724" i="155"/>
  <c r="P728" i="155"/>
  <c r="P732" i="155"/>
  <c r="P705" i="155"/>
  <c r="P721" i="155"/>
  <c r="P709" i="155"/>
  <c r="P725" i="155"/>
  <c r="P713" i="155"/>
  <c r="P729" i="155"/>
  <c r="P717" i="155"/>
  <c r="P701" i="155"/>
  <c r="P2026" i="155"/>
  <c r="P2030" i="155"/>
  <c r="P2034" i="155"/>
  <c r="P2038" i="155"/>
  <c r="P2033" i="155"/>
  <c r="P2025" i="155"/>
  <c r="P2027" i="155"/>
  <c r="P2031" i="155"/>
  <c r="P2035" i="155"/>
  <c r="P2039" i="155"/>
  <c r="P2029" i="155"/>
  <c r="P2037" i="155"/>
  <c r="P2028" i="155"/>
  <c r="P2032" i="155"/>
  <c r="P2036" i="155"/>
  <c r="P2040" i="155"/>
  <c r="P7" i="155"/>
  <c r="P11" i="155"/>
  <c r="P15" i="155"/>
  <c r="P19" i="155"/>
  <c r="P23" i="155"/>
  <c r="P27" i="155"/>
  <c r="P31" i="155"/>
  <c r="P14" i="155"/>
  <c r="P26" i="155"/>
  <c r="P6" i="155"/>
  <c r="P8" i="155"/>
  <c r="P12" i="155"/>
  <c r="P16" i="155"/>
  <c r="P20" i="155"/>
  <c r="P24" i="155"/>
  <c r="P28" i="155"/>
  <c r="P32" i="155"/>
  <c r="P10" i="155"/>
  <c r="P18" i="155"/>
  <c r="P30" i="155"/>
  <c r="P9" i="155"/>
  <c r="P13" i="155"/>
  <c r="P17" i="155"/>
  <c r="P21" i="155"/>
  <c r="P25" i="155"/>
  <c r="P29" i="155"/>
  <c r="P33" i="155"/>
  <c r="P22" i="155"/>
  <c r="P883" i="155"/>
  <c r="P887" i="155"/>
  <c r="P884" i="155"/>
  <c r="P882" i="155"/>
  <c r="P886" i="155"/>
  <c r="P885" i="155"/>
  <c r="Q893" i="155"/>
  <c r="Q889" i="155"/>
  <c r="Q894" i="155"/>
  <c r="Q890" i="155"/>
  <c r="Q896" i="155"/>
  <c r="Q892" i="155"/>
  <c r="Q888" i="155"/>
  <c r="Q895" i="155"/>
  <c r="Q891" i="155"/>
  <c r="P905" i="155"/>
  <c r="P909" i="155"/>
  <c r="P913" i="155"/>
  <c r="P917" i="155"/>
  <c r="P921" i="155"/>
  <c r="P925" i="155"/>
  <c r="P929" i="155"/>
  <c r="P907" i="155"/>
  <c r="P911" i="155"/>
  <c r="P915" i="155"/>
  <c r="P919" i="155"/>
  <c r="P923" i="155"/>
  <c r="P927" i="155"/>
  <c r="P931" i="155"/>
  <c r="P908" i="155"/>
  <c r="P912" i="155"/>
  <c r="P916" i="155"/>
  <c r="P920" i="155"/>
  <c r="P924" i="155"/>
  <c r="P928" i="155"/>
  <c r="P906" i="155"/>
  <c r="P910" i="155"/>
  <c r="P914" i="155"/>
  <c r="P918" i="155"/>
  <c r="P922" i="155"/>
  <c r="P926" i="155"/>
  <c r="P930" i="155"/>
  <c r="P904" i="155"/>
  <c r="P1122" i="155"/>
  <c r="P1126" i="155"/>
  <c r="P1124" i="155"/>
  <c r="P1128" i="155"/>
  <c r="P1121" i="155"/>
  <c r="P1125" i="155"/>
  <c r="P1120" i="155"/>
  <c r="P1123" i="155"/>
  <c r="P1127" i="155"/>
  <c r="P1137" i="155"/>
  <c r="P1136" i="155"/>
  <c r="P1133" i="155"/>
  <c r="P1131" i="155"/>
  <c r="P1132" i="155"/>
  <c r="P1138" i="155"/>
  <c r="P1130" i="155"/>
  <c r="P1134" i="155"/>
  <c r="P1139" i="155"/>
  <c r="P1135" i="155"/>
  <c r="P1129" i="155"/>
  <c r="P1144" i="155"/>
  <c r="P1167" i="155"/>
  <c r="P1145" i="155"/>
  <c r="P1205" i="155"/>
  <c r="P1209" i="155"/>
  <c r="P1213" i="155"/>
  <c r="P1217" i="155"/>
  <c r="P1221" i="155"/>
  <c r="P1225" i="155"/>
  <c r="P1229" i="155"/>
  <c r="P1206" i="155"/>
  <c r="P1210" i="155"/>
  <c r="P1214" i="155"/>
  <c r="P1218" i="155"/>
  <c r="P1222" i="155"/>
  <c r="P1226" i="155"/>
  <c r="P1204" i="155"/>
  <c r="P1207" i="155"/>
  <c r="P1211" i="155"/>
  <c r="P1215" i="155"/>
  <c r="P1219" i="155"/>
  <c r="P1223" i="155"/>
  <c r="P1227" i="155"/>
  <c r="P1220" i="155"/>
  <c r="P1208" i="155"/>
  <c r="P1224" i="155"/>
  <c r="P1212" i="155"/>
  <c r="P1228" i="155"/>
  <c r="P1216" i="155"/>
  <c r="P1373" i="155"/>
  <c r="P1377" i="155"/>
  <c r="P1381" i="155"/>
  <c r="P1370" i="155"/>
  <c r="P1374" i="155"/>
  <c r="P1378" i="155"/>
  <c r="P1382" i="155"/>
  <c r="P1371" i="155"/>
  <c r="P1375" i="155"/>
  <c r="P1379" i="155"/>
  <c r="P1383" i="155"/>
  <c r="P1380" i="155"/>
  <c r="P1384" i="155"/>
  <c r="P1372" i="155"/>
  <c r="P1376" i="155"/>
  <c r="P1233" i="155"/>
  <c r="P1237" i="155"/>
  <c r="P1241" i="155"/>
  <c r="P1245" i="155"/>
  <c r="P1249" i="155"/>
  <c r="P1253" i="155"/>
  <c r="P1257" i="155"/>
  <c r="P1261" i="155"/>
  <c r="P1265" i="155"/>
  <c r="P1269" i="155"/>
  <c r="P1273" i="155"/>
  <c r="P1277" i="155"/>
  <c r="P1281" i="155"/>
  <c r="P1285" i="155"/>
  <c r="P1289" i="155"/>
  <c r="P1293" i="155"/>
  <c r="P1297" i="155"/>
  <c r="P1301" i="155"/>
  <c r="P1234" i="155"/>
  <c r="P1238" i="155"/>
  <c r="P1242" i="155"/>
  <c r="P1246" i="155"/>
  <c r="P1250" i="155"/>
  <c r="P1254" i="155"/>
  <c r="P1258" i="155"/>
  <c r="P1262" i="155"/>
  <c r="P1266" i="155"/>
  <c r="P1270" i="155"/>
  <c r="P1274" i="155"/>
  <c r="P1278" i="155"/>
  <c r="P1282" i="155"/>
  <c r="P1286" i="155"/>
  <c r="P1290" i="155"/>
  <c r="P1294" i="155"/>
  <c r="P1298" i="155"/>
  <c r="P1230" i="155"/>
  <c r="P1231" i="155"/>
  <c r="P1235" i="155"/>
  <c r="P1239" i="155"/>
  <c r="P1243" i="155"/>
  <c r="P1247" i="155"/>
  <c r="P1251" i="155"/>
  <c r="P1255" i="155"/>
  <c r="P1259" i="155"/>
  <c r="P1263" i="155"/>
  <c r="P1267" i="155"/>
  <c r="P1271" i="155"/>
  <c r="P1275" i="155"/>
  <c r="P1279" i="155"/>
  <c r="P1283" i="155"/>
  <c r="P1287" i="155"/>
  <c r="P1291" i="155"/>
  <c r="P1295" i="155"/>
  <c r="P1299" i="155"/>
  <c r="P1236" i="155"/>
  <c r="P1252" i="155"/>
  <c r="P1268" i="155"/>
  <c r="P1284" i="155"/>
  <c r="P1300" i="155"/>
  <c r="P1240" i="155"/>
  <c r="P1256" i="155"/>
  <c r="P1272" i="155"/>
  <c r="P1288" i="155"/>
  <c r="P1244" i="155"/>
  <c r="P1260" i="155"/>
  <c r="P1276" i="155"/>
  <c r="P1292" i="155"/>
  <c r="P1232" i="155"/>
  <c r="P1248" i="155"/>
  <c r="P1264" i="155"/>
  <c r="P1280" i="155"/>
  <c r="P1296" i="155"/>
  <c r="P1389" i="155"/>
  <c r="P1393" i="155"/>
  <c r="P1397" i="155"/>
  <c r="P1401" i="155"/>
  <c r="P1385" i="155"/>
  <c r="P1386" i="155"/>
  <c r="P1390" i="155"/>
  <c r="P1394" i="155"/>
  <c r="P1398" i="155"/>
  <c r="P1402" i="155"/>
  <c r="P1387" i="155"/>
  <c r="P1391" i="155"/>
  <c r="P1395" i="155"/>
  <c r="P1399" i="155"/>
  <c r="P1403" i="155"/>
  <c r="P1396" i="155"/>
  <c r="P1400" i="155"/>
  <c r="P1388" i="155"/>
  <c r="P1404" i="155"/>
  <c r="P1392" i="155"/>
  <c r="P1305" i="155"/>
  <c r="P1309" i="155"/>
  <c r="P1313" i="155"/>
  <c r="P1317" i="155"/>
  <c r="P1321" i="155"/>
  <c r="P1325" i="155"/>
  <c r="P1329" i="155"/>
  <c r="P1333" i="155"/>
  <c r="P1337" i="155"/>
  <c r="P1341" i="155"/>
  <c r="P1345" i="155"/>
  <c r="P1349" i="155"/>
  <c r="P1353" i="155"/>
  <c r="P1357" i="155"/>
  <c r="P1361" i="155"/>
  <c r="P1306" i="155"/>
  <c r="P1310" i="155"/>
  <c r="P1314" i="155"/>
  <c r="P1318" i="155"/>
  <c r="P1322" i="155"/>
  <c r="P1326" i="155"/>
  <c r="P1330" i="155"/>
  <c r="P1334" i="155"/>
  <c r="P1338" i="155"/>
  <c r="P1342" i="155"/>
  <c r="P1346" i="155"/>
  <c r="P1350" i="155"/>
  <c r="P1354" i="155"/>
  <c r="P1358" i="155"/>
  <c r="P1302" i="155"/>
  <c r="P1303" i="155"/>
  <c r="P1307" i="155"/>
  <c r="P1311" i="155"/>
  <c r="P1315" i="155"/>
  <c r="P1319" i="155"/>
  <c r="P1323" i="155"/>
  <c r="P1327" i="155"/>
  <c r="P1331" i="155"/>
  <c r="P1335" i="155"/>
  <c r="P1339" i="155"/>
  <c r="P1343" i="155"/>
  <c r="P1347" i="155"/>
  <c r="P1351" i="155"/>
  <c r="P1355" i="155"/>
  <c r="P1359" i="155"/>
  <c r="P1316" i="155"/>
  <c r="P1332" i="155"/>
  <c r="P1348" i="155"/>
  <c r="P1304" i="155"/>
  <c r="P1320" i="155"/>
  <c r="P1336" i="155"/>
  <c r="P1352" i="155"/>
  <c r="P1308" i="155"/>
  <c r="P1324" i="155"/>
  <c r="P1340" i="155"/>
  <c r="P1356" i="155"/>
  <c r="P1312" i="155"/>
  <c r="P1328" i="155"/>
  <c r="P1344" i="155"/>
  <c r="P1360" i="155"/>
  <c r="P1169" i="155"/>
  <c r="P1173" i="155"/>
  <c r="P1177" i="155"/>
  <c r="P1181" i="155"/>
  <c r="P1185" i="155"/>
  <c r="P1189" i="155"/>
  <c r="P1193" i="155"/>
  <c r="P1197" i="155"/>
  <c r="P1201" i="155"/>
  <c r="P1170" i="155"/>
  <c r="P1174" i="155"/>
  <c r="P1178" i="155"/>
  <c r="P1182" i="155"/>
  <c r="P1186" i="155"/>
  <c r="P1190" i="155"/>
  <c r="P1194" i="155"/>
  <c r="P1198" i="155"/>
  <c r="P1202" i="155"/>
  <c r="P1171" i="155"/>
  <c r="P1175" i="155"/>
  <c r="P1179" i="155"/>
  <c r="P1183" i="155"/>
  <c r="P1187" i="155"/>
  <c r="P1191" i="155"/>
  <c r="P1195" i="155"/>
  <c r="P1199" i="155"/>
  <c r="P1203" i="155"/>
  <c r="P1172" i="155"/>
  <c r="P1188" i="155"/>
  <c r="P1168" i="155"/>
  <c r="P1192" i="155"/>
  <c r="P1176" i="155"/>
  <c r="P1180" i="155"/>
  <c r="P1196" i="155"/>
  <c r="P1184" i="155"/>
  <c r="P1200" i="155"/>
  <c r="P1365" i="155"/>
  <c r="P1369" i="155"/>
  <c r="P1366" i="155"/>
  <c r="P1362" i="155"/>
  <c r="P1363" i="155"/>
  <c r="P1367" i="155"/>
  <c r="P1364" i="155"/>
  <c r="P1368" i="155"/>
  <c r="P1766" i="155"/>
  <c r="P1767" i="155"/>
  <c r="P1764" i="155"/>
  <c r="P1763" i="155"/>
  <c r="P1765" i="155"/>
  <c r="P2018" i="155"/>
  <c r="P2022" i="155"/>
  <c r="P2019" i="155"/>
  <c r="P2024" i="155"/>
  <c r="P2020" i="155"/>
  <c r="P2016" i="155"/>
  <c r="P2021" i="155"/>
  <c r="P2017" i="155"/>
  <c r="P2023" i="155"/>
  <c r="P2105" i="155"/>
  <c r="P2109" i="155"/>
  <c r="P2113" i="155"/>
  <c r="P2117" i="155"/>
  <c r="P2121" i="155"/>
  <c r="P2125" i="155"/>
  <c r="P2104" i="155"/>
  <c r="P2112" i="155"/>
  <c r="P2120" i="155"/>
  <c r="P2106" i="155"/>
  <c r="P2110" i="155"/>
  <c r="P2114" i="155"/>
  <c r="P2118" i="155"/>
  <c r="P2122" i="155"/>
  <c r="P2126" i="155"/>
  <c r="P2107" i="155"/>
  <c r="P2111" i="155"/>
  <c r="P2115" i="155"/>
  <c r="P2119" i="155"/>
  <c r="P2123" i="155"/>
  <c r="P2103" i="155"/>
  <c r="P2108" i="155"/>
  <c r="P2116" i="155"/>
  <c r="P2124" i="155"/>
  <c r="P2042" i="155"/>
  <c r="P2046" i="155"/>
  <c r="P2050" i="155"/>
  <c r="P2045" i="155"/>
  <c r="P2043" i="155"/>
  <c r="P2047" i="155"/>
  <c r="P2044" i="155"/>
  <c r="P2048" i="155"/>
  <c r="P2049" i="155"/>
  <c r="P2041" i="155"/>
  <c r="P2129" i="155"/>
  <c r="P2133" i="155"/>
  <c r="P2137" i="155"/>
  <c r="P2128" i="155"/>
  <c r="P2130" i="155"/>
  <c r="P2134" i="155"/>
  <c r="P2138" i="155"/>
  <c r="P2136" i="155"/>
  <c r="P2131" i="155"/>
  <c r="P2135" i="155"/>
  <c r="P2127" i="155"/>
  <c r="P2132" i="155"/>
  <c r="P2168" i="155"/>
  <c r="P2172" i="155"/>
  <c r="P2154" i="155"/>
  <c r="P2158" i="155"/>
  <c r="P2162" i="155"/>
  <c r="P2177" i="155"/>
  <c r="P2181" i="155"/>
  <c r="P2171" i="155"/>
  <c r="P2161" i="155"/>
  <c r="P2164" i="155"/>
  <c r="P2165" i="155"/>
  <c r="P2169" i="155"/>
  <c r="P2173" i="155"/>
  <c r="P2155" i="155"/>
  <c r="P2159" i="155"/>
  <c r="P2163" i="155"/>
  <c r="P2178" i="155"/>
  <c r="P2182" i="155"/>
  <c r="P2157" i="155"/>
  <c r="P2180" i="155"/>
  <c r="P2166" i="155"/>
  <c r="P2170" i="155"/>
  <c r="P2174" i="155"/>
  <c r="P2156" i="155"/>
  <c r="P2160" i="155"/>
  <c r="P2175" i="155"/>
  <c r="P2179" i="155"/>
  <c r="P2183" i="155"/>
  <c r="P2167" i="155"/>
  <c r="P2153" i="155"/>
  <c r="P2176" i="155"/>
  <c r="P2101" i="155"/>
  <c r="P2102" i="155"/>
  <c r="P2100" i="155"/>
  <c r="P2141" i="155"/>
  <c r="P2145" i="155"/>
  <c r="P2149" i="155"/>
  <c r="P2139" i="155"/>
  <c r="P2144" i="155"/>
  <c r="P2142" i="155"/>
  <c r="P2146" i="155"/>
  <c r="P2150" i="155"/>
  <c r="P2152" i="155"/>
  <c r="P2143" i="155"/>
  <c r="P2147" i="155"/>
  <c r="P2151" i="155"/>
  <c r="P2140" i="155"/>
  <c r="P2148" i="155"/>
  <c r="P2185" i="155"/>
  <c r="P2189" i="155"/>
  <c r="P2186" i="155"/>
  <c r="P2190" i="155"/>
  <c r="P2184" i="155"/>
  <c r="P2187" i="155"/>
  <c r="P2191" i="155"/>
  <c r="P2188" i="155"/>
  <c r="P2082" i="155"/>
  <c r="P2086" i="155"/>
  <c r="P2090" i="155"/>
  <c r="P2085" i="155"/>
  <c r="P2083" i="155"/>
  <c r="P2087" i="155"/>
  <c r="P2091" i="155"/>
  <c r="P2089" i="155"/>
  <c r="P2080" i="155"/>
  <c r="P2084" i="155"/>
  <c r="P2088" i="155"/>
  <c r="P2092" i="155"/>
  <c r="P2081" i="155"/>
  <c r="P2079" i="155"/>
  <c r="P2069" i="155"/>
  <c r="P2073" i="155"/>
  <c r="P2072" i="155"/>
  <c r="P2070" i="155"/>
  <c r="P2068" i="155"/>
  <c r="P2071" i="155"/>
  <c r="P2297" i="155"/>
  <c r="P2301" i="155"/>
  <c r="P2305" i="155"/>
  <c r="P2309" i="155"/>
  <c r="P2299" i="155"/>
  <c r="P2307" i="155"/>
  <c r="P2304" i="155"/>
  <c r="P2298" i="155"/>
  <c r="P2302" i="155"/>
  <c r="P2306" i="155"/>
  <c r="P2294" i="155"/>
  <c r="P2303" i="155"/>
  <c r="P2300" i="155"/>
  <c r="P2295" i="155"/>
  <c r="P2296" i="155"/>
  <c r="P2308" i="155"/>
  <c r="P2273" i="155"/>
  <c r="P2277" i="155"/>
  <c r="P2281" i="155"/>
  <c r="P2285" i="155"/>
  <c r="P2289" i="155"/>
  <c r="P2293" i="155"/>
  <c r="P2279" i="155"/>
  <c r="P2291" i="155"/>
  <c r="P2288" i="155"/>
  <c r="P2274" i="155"/>
  <c r="P2278" i="155"/>
  <c r="P2282" i="155"/>
  <c r="P2286" i="155"/>
  <c r="P2290" i="155"/>
  <c r="P2272" i="155"/>
  <c r="P2275" i="155"/>
  <c r="P2283" i="155"/>
  <c r="P2287" i="155"/>
  <c r="P2276" i="155"/>
  <c r="P2280" i="155"/>
  <c r="P2284" i="155"/>
  <c r="P2292" i="155"/>
  <c r="P2386" i="155"/>
  <c r="P2390" i="155"/>
  <c r="P2394" i="155"/>
  <c r="P2398" i="155"/>
  <c r="P2402" i="155"/>
  <c r="P2406" i="155"/>
  <c r="P2384" i="155"/>
  <c r="P2396" i="155"/>
  <c r="P2408" i="155"/>
  <c r="P2389" i="155"/>
  <c r="P2405" i="155"/>
  <c r="P2387" i="155"/>
  <c r="P2391" i="155"/>
  <c r="P2395" i="155"/>
  <c r="P2399" i="155"/>
  <c r="P2403" i="155"/>
  <c r="P2407" i="155"/>
  <c r="P2388" i="155"/>
  <c r="P2392" i="155"/>
  <c r="P2404" i="155"/>
  <c r="P2393" i="155"/>
  <c r="P2401" i="155"/>
  <c r="P2400" i="155"/>
  <c r="P2385" i="155"/>
  <c r="P2397" i="155"/>
  <c r="P2409" i="155"/>
  <c r="P2414" i="155"/>
  <c r="P2418" i="155"/>
  <c r="P2412" i="155"/>
  <c r="P2417" i="155"/>
  <c r="P2411" i="155"/>
  <c r="P2415" i="155"/>
  <c r="P2410" i="155"/>
  <c r="P2416" i="155"/>
  <c r="P2413" i="155"/>
  <c r="P2422" i="155"/>
  <c r="P2426" i="155"/>
  <c r="P2430" i="155"/>
  <c r="P2420" i="155"/>
  <c r="P2428" i="155"/>
  <c r="P2429" i="155"/>
  <c r="P2423" i="155"/>
  <c r="P2427" i="155"/>
  <c r="P2419" i="155"/>
  <c r="P2424" i="155"/>
  <c r="P2425" i="155"/>
  <c r="P2421" i="155"/>
  <c r="P2354" i="155"/>
  <c r="P2358" i="155"/>
  <c r="P2362" i="155"/>
  <c r="P2366" i="155"/>
  <c r="P2370" i="155"/>
  <c r="P2374" i="155"/>
  <c r="P2378" i="155"/>
  <c r="P2382" i="155"/>
  <c r="P2360" i="155"/>
  <c r="P2368" i="155"/>
  <c r="P2376" i="155"/>
  <c r="P2350" i="155"/>
  <c r="P2353" i="155"/>
  <c r="P2365" i="155"/>
  <c r="P2377" i="155"/>
  <c r="P2351" i="155"/>
  <c r="P2355" i="155"/>
  <c r="P2359" i="155"/>
  <c r="P2363" i="155"/>
  <c r="P2367" i="155"/>
  <c r="P2371" i="155"/>
  <c r="P2375" i="155"/>
  <c r="P2379" i="155"/>
  <c r="P2383" i="155"/>
  <c r="P2356" i="155"/>
  <c r="P2364" i="155"/>
  <c r="P2372" i="155"/>
  <c r="P2380" i="155"/>
  <c r="P2357" i="155"/>
  <c r="P2361" i="155"/>
  <c r="P2373" i="155"/>
  <c r="P2381" i="155"/>
  <c r="P2352" i="155"/>
  <c r="P2369" i="155"/>
  <c r="P2434" i="155"/>
  <c r="P2431" i="155"/>
  <c r="P2827" i="155"/>
  <c r="P2432" i="155"/>
  <c r="P2828" i="155"/>
  <c r="P2433" i="155"/>
  <c r="P2826" i="155"/>
  <c r="P358" i="155"/>
  <c r="P354" i="155"/>
  <c r="P350" i="155"/>
  <c r="P346" i="155"/>
  <c r="P342" i="155"/>
  <c r="P338" i="155"/>
  <c r="P334" i="155"/>
  <c r="P330" i="155"/>
  <c r="P326" i="155"/>
  <c r="P322" i="155"/>
  <c r="P63" i="155"/>
  <c r="P59" i="155"/>
  <c r="P55" i="155"/>
  <c r="P51" i="155"/>
  <c r="P47" i="155"/>
  <c r="P87" i="155"/>
  <c r="P83" i="155"/>
  <c r="P79" i="155"/>
  <c r="P75" i="155"/>
  <c r="P71" i="155"/>
  <c r="P67" i="155"/>
  <c r="P97" i="155"/>
  <c r="P93" i="155"/>
  <c r="P89" i="155"/>
  <c r="P109" i="155"/>
  <c r="P105" i="155"/>
  <c r="P101" i="155"/>
  <c r="P213" i="155"/>
  <c r="P209" i="155"/>
  <c r="P205" i="155"/>
  <c r="P201" i="155"/>
  <c r="P197" i="155"/>
  <c r="P192" i="155"/>
  <c r="P188" i="155"/>
  <c r="P184" i="155"/>
  <c r="P180" i="155"/>
  <c r="P176" i="155"/>
  <c r="P172" i="155"/>
  <c r="P168" i="155"/>
  <c r="P164" i="155"/>
  <c r="P160" i="155"/>
  <c r="P156" i="155"/>
  <c r="P151" i="155"/>
  <c r="P147" i="155"/>
  <c r="P143" i="155"/>
  <c r="P139" i="155"/>
  <c r="P135" i="155"/>
  <c r="P131" i="155"/>
  <c r="P127" i="155"/>
  <c r="P123" i="155"/>
  <c r="P119" i="155"/>
  <c r="P115" i="155"/>
  <c r="P233" i="155"/>
  <c r="P361" i="155"/>
  <c r="P357" i="155"/>
  <c r="P353" i="155"/>
  <c r="P349" i="155"/>
  <c r="P345" i="155"/>
  <c r="P341" i="155"/>
  <c r="P337" i="155"/>
  <c r="P333" i="155"/>
  <c r="P329" i="155"/>
  <c r="P325" i="155"/>
  <c r="P321" i="155"/>
  <c r="P62" i="155"/>
  <c r="P58" i="155"/>
  <c r="P54" i="155"/>
  <c r="P50" i="155"/>
  <c r="P46" i="155"/>
  <c r="P86" i="155"/>
  <c r="P82" i="155"/>
  <c r="P78" i="155"/>
  <c r="P74" i="155"/>
  <c r="P70" i="155"/>
  <c r="P66" i="155"/>
  <c r="P96" i="155"/>
  <c r="P92" i="155"/>
  <c r="P88" i="155"/>
  <c r="P108" i="155"/>
  <c r="P104" i="155"/>
  <c r="P100" i="155"/>
  <c r="P212" i="155"/>
  <c r="P208" i="155"/>
  <c r="P204" i="155"/>
  <c r="P200" i="155"/>
  <c r="P196" i="155"/>
  <c r="P191" i="155"/>
  <c r="P187" i="155"/>
  <c r="P183" i="155"/>
  <c r="P179" i="155"/>
  <c r="P175" i="155"/>
  <c r="P171" i="155"/>
  <c r="P167" i="155"/>
  <c r="P163" i="155"/>
  <c r="P159" i="155"/>
  <c r="P155" i="155"/>
  <c r="P150" i="155"/>
  <c r="P146" i="155"/>
  <c r="P142" i="155"/>
  <c r="P138" i="155"/>
  <c r="P134" i="155"/>
  <c r="P130" i="155"/>
  <c r="P126" i="155"/>
  <c r="P122" i="155"/>
  <c r="P118" i="155"/>
  <c r="P114" i="155"/>
  <c r="P236" i="155"/>
  <c r="P279" i="155"/>
  <c r="P360" i="155"/>
  <c r="P352" i="155"/>
  <c r="P344" i="155"/>
  <c r="P336" i="155"/>
  <c r="P328" i="155"/>
  <c r="P65" i="155"/>
  <c r="P57" i="155"/>
  <c r="P49" i="155"/>
  <c r="P85" i="155"/>
  <c r="P77" i="155"/>
  <c r="P69" i="155"/>
  <c r="P95" i="155"/>
  <c r="P111" i="155"/>
  <c r="P103" i="155"/>
  <c r="P211" i="155"/>
  <c r="P203" i="155"/>
  <c r="P194" i="155"/>
  <c r="P186" i="155"/>
  <c r="P178" i="155"/>
  <c r="P170" i="155"/>
  <c r="P162" i="155"/>
  <c r="P154" i="155"/>
  <c r="P145" i="155"/>
  <c r="P137" i="155"/>
  <c r="P129" i="155"/>
  <c r="P121" i="155"/>
  <c r="P113" i="155"/>
  <c r="P278" i="155"/>
  <c r="P274" i="155"/>
  <c r="P270" i="155"/>
  <c r="P266" i="155"/>
  <c r="P262" i="155"/>
  <c r="P258" i="155"/>
  <c r="P254" i="155"/>
  <c r="P250" i="155"/>
  <c r="P246" i="155"/>
  <c r="P242" i="155"/>
  <c r="P238" i="155"/>
  <c r="P317" i="155"/>
  <c r="P313" i="155"/>
  <c r="P309" i="155"/>
  <c r="P305" i="155"/>
  <c r="P301" i="155"/>
  <c r="P297" i="155"/>
  <c r="P293" i="155"/>
  <c r="P289" i="155"/>
  <c r="P285" i="155"/>
  <c r="P281" i="155"/>
  <c r="P2747" i="155"/>
  <c r="P2743" i="155"/>
  <c r="P2739" i="155"/>
  <c r="P2735" i="155"/>
  <c r="P2731" i="155"/>
  <c r="P2727" i="155"/>
  <c r="P2723" i="155"/>
  <c r="P2719" i="155"/>
  <c r="P2715" i="155"/>
  <c r="P2711" i="155"/>
  <c r="P2774" i="155"/>
  <c r="P2770" i="155"/>
  <c r="P359" i="155"/>
  <c r="P351" i="155"/>
  <c r="P343" i="155"/>
  <c r="P335" i="155"/>
  <c r="P327" i="155"/>
  <c r="P64" i="155"/>
  <c r="P56" i="155"/>
  <c r="P48" i="155"/>
  <c r="P84" i="155"/>
  <c r="P76" i="155"/>
  <c r="P68" i="155"/>
  <c r="P94" i="155"/>
  <c r="P110" i="155"/>
  <c r="P102" i="155"/>
  <c r="P210" i="155"/>
  <c r="P202" i="155"/>
  <c r="P193" i="155"/>
  <c r="P185" i="155"/>
  <c r="P177" i="155"/>
  <c r="P169" i="155"/>
  <c r="P161" i="155"/>
  <c r="P152" i="155"/>
  <c r="P144" i="155"/>
  <c r="P136" i="155"/>
  <c r="P128" i="155"/>
  <c r="P120" i="155"/>
  <c r="P112" i="155"/>
  <c r="P277" i="155"/>
  <c r="P273" i="155"/>
  <c r="P269" i="155"/>
  <c r="P265" i="155"/>
  <c r="P261" i="155"/>
  <c r="P257" i="155"/>
  <c r="P253" i="155"/>
  <c r="P249" i="155"/>
  <c r="P245" i="155"/>
  <c r="P241" i="155"/>
  <c r="P237" i="155"/>
  <c r="P320" i="155"/>
  <c r="P316" i="155"/>
  <c r="P312" i="155"/>
  <c r="P308" i="155"/>
  <c r="P304" i="155"/>
  <c r="P300" i="155"/>
  <c r="P296" i="155"/>
  <c r="P292" i="155"/>
  <c r="P288" i="155"/>
  <c r="P284" i="155"/>
  <c r="P280" i="155"/>
  <c r="P2746" i="155"/>
  <c r="P2742" i="155"/>
  <c r="P2738" i="155"/>
  <c r="P2734" i="155"/>
  <c r="P2730" i="155"/>
  <c r="P2726" i="155"/>
  <c r="P2722" i="155"/>
  <c r="P2718" i="155"/>
  <c r="P2714" i="155"/>
  <c r="P2710" i="155"/>
  <c r="P2773" i="155"/>
  <c r="P2769" i="155"/>
  <c r="P348" i="155"/>
  <c r="P332" i="155"/>
  <c r="P61" i="155"/>
  <c r="P45" i="155"/>
  <c r="P73" i="155"/>
  <c r="P91" i="155"/>
  <c r="P215" i="155"/>
  <c r="P199" i="155"/>
  <c r="P182" i="155"/>
  <c r="P166" i="155"/>
  <c r="P149" i="155"/>
  <c r="P133" i="155"/>
  <c r="P117" i="155"/>
  <c r="P276" i="155"/>
  <c r="P268" i="155"/>
  <c r="P260" i="155"/>
  <c r="P252" i="155"/>
  <c r="P244" i="155"/>
  <c r="P319" i="155"/>
  <c r="P311" i="155"/>
  <c r="P303" i="155"/>
  <c r="P295" i="155"/>
  <c r="P287" i="155"/>
  <c r="P2749" i="155"/>
  <c r="P2741" i="155"/>
  <c r="P2733" i="155"/>
  <c r="P2725" i="155"/>
  <c r="P2717" i="155"/>
  <c r="P2709" i="155"/>
  <c r="P2768" i="155"/>
  <c r="P2764" i="155"/>
  <c r="P2760" i="155"/>
  <c r="P2756" i="155"/>
  <c r="P2752" i="155"/>
  <c r="P2807" i="155"/>
  <c r="P2803" i="155"/>
  <c r="P2799" i="155"/>
  <c r="P2795" i="155"/>
  <c r="P2791" i="155"/>
  <c r="P2787" i="155"/>
  <c r="P2783" i="155"/>
  <c r="P2779" i="155"/>
  <c r="P356" i="155"/>
  <c r="P324" i="155"/>
  <c r="P53" i="155"/>
  <c r="P99" i="155"/>
  <c r="P207" i="155"/>
  <c r="P174" i="155"/>
  <c r="P141" i="155"/>
  <c r="P272" i="155"/>
  <c r="P256" i="155"/>
  <c r="P240" i="155"/>
  <c r="P315" i="155"/>
  <c r="P299" i="155"/>
  <c r="P283" i="155"/>
  <c r="P2737" i="155"/>
  <c r="P2713" i="155"/>
  <c r="P2766" i="155"/>
  <c r="P2758" i="155"/>
  <c r="P2750" i="155"/>
  <c r="P2805" i="155"/>
  <c r="P2797" i="155"/>
  <c r="P2789" i="155"/>
  <c r="P2781" i="155"/>
  <c r="P355" i="155"/>
  <c r="P339" i="155"/>
  <c r="P323" i="155"/>
  <c r="P52" i="155"/>
  <c r="P80" i="155"/>
  <c r="P106" i="155"/>
  <c r="P189" i="155"/>
  <c r="P157" i="155"/>
  <c r="P124" i="155"/>
  <c r="P234" i="155"/>
  <c r="P263" i="155"/>
  <c r="P247" i="155"/>
  <c r="P306" i="155"/>
  <c r="P290" i="155"/>
  <c r="P2744" i="155"/>
  <c r="P2728" i="155"/>
  <c r="P2712" i="155"/>
  <c r="P2765" i="155"/>
  <c r="P2757" i="155"/>
  <c r="P347" i="155"/>
  <c r="P331" i="155"/>
  <c r="P60" i="155"/>
  <c r="P44" i="155"/>
  <c r="P72" i="155"/>
  <c r="P90" i="155"/>
  <c r="P214" i="155"/>
  <c r="P198" i="155"/>
  <c r="P181" i="155"/>
  <c r="P165" i="155"/>
  <c r="P148" i="155"/>
  <c r="P132" i="155"/>
  <c r="P116" i="155"/>
  <c r="P275" i="155"/>
  <c r="P267" i="155"/>
  <c r="P259" i="155"/>
  <c r="P251" i="155"/>
  <c r="P243" i="155"/>
  <c r="P318" i="155"/>
  <c r="P310" i="155"/>
  <c r="P302" i="155"/>
  <c r="P294" i="155"/>
  <c r="P286" i="155"/>
  <c r="P2748" i="155"/>
  <c r="P2740" i="155"/>
  <c r="P2732" i="155"/>
  <c r="P2724" i="155"/>
  <c r="P2716" i="155"/>
  <c r="P2775" i="155"/>
  <c r="P2767" i="155"/>
  <c r="P2763" i="155"/>
  <c r="P2759" i="155"/>
  <c r="P2755" i="155"/>
  <c r="P2751" i="155"/>
  <c r="P2806" i="155"/>
  <c r="P2802" i="155"/>
  <c r="P2798" i="155"/>
  <c r="P2794" i="155"/>
  <c r="P2790" i="155"/>
  <c r="P2786" i="155"/>
  <c r="P2782" i="155"/>
  <c r="P2778" i="155"/>
  <c r="P340" i="155"/>
  <c r="P81" i="155"/>
  <c r="P107" i="155"/>
  <c r="P190" i="155"/>
  <c r="P158" i="155"/>
  <c r="P125" i="155"/>
  <c r="P235" i="155"/>
  <c r="P264" i="155"/>
  <c r="P248" i="155"/>
  <c r="P307" i="155"/>
  <c r="P291" i="155"/>
  <c r="P2745" i="155"/>
  <c r="P2729" i="155"/>
  <c r="P2721" i="155"/>
  <c r="P2772" i="155"/>
  <c r="P2762" i="155"/>
  <c r="P2754" i="155"/>
  <c r="P2801" i="155"/>
  <c r="P2793" i="155"/>
  <c r="P2785" i="155"/>
  <c r="P2777" i="155"/>
  <c r="P98" i="155"/>
  <c r="P206" i="155"/>
  <c r="P173" i="155"/>
  <c r="P140" i="155"/>
  <c r="P271" i="155"/>
  <c r="P255" i="155"/>
  <c r="P239" i="155"/>
  <c r="P314" i="155"/>
  <c r="P298" i="155"/>
  <c r="P282" i="155"/>
  <c r="P2736" i="155"/>
  <c r="P2720" i="155"/>
  <c r="P2771" i="155"/>
  <c r="P2761" i="155"/>
  <c r="P2753" i="155"/>
  <c r="P2796" i="155"/>
  <c r="P2780" i="155"/>
  <c r="P2784" i="155"/>
  <c r="P2792" i="155"/>
  <c r="P2776" i="155"/>
  <c r="P2804" i="155"/>
  <c r="P2788" i="155"/>
  <c r="P2800" i="155"/>
  <c r="P2435" i="155"/>
  <c r="P2436" i="155"/>
  <c r="P2437" i="155"/>
  <c r="D20" i="56"/>
  <c r="H20" i="56"/>
  <c r="E20" i="56"/>
  <c r="I20" i="56"/>
  <c r="S2794" i="155" l="1"/>
  <c r="S2782" i="155"/>
  <c r="S2798" i="155"/>
  <c r="S2746" i="155"/>
  <c r="S2778" i="155"/>
  <c r="S2742" i="155"/>
  <c r="S2786" i="155"/>
  <c r="S2802" i="155"/>
  <c r="S2139" i="155"/>
  <c r="S2790" i="155"/>
  <c r="S2806" i="155"/>
  <c r="S2143" i="155"/>
  <c r="S400" i="155"/>
  <c r="S396" i="155"/>
  <c r="S392" i="155"/>
  <c r="S388" i="155"/>
  <c r="S384" i="155"/>
  <c r="S380" i="155"/>
  <c r="S376" i="155"/>
  <c r="S372" i="155"/>
  <c r="S368" i="155"/>
  <c r="S364" i="155"/>
  <c r="S450" i="155"/>
  <c r="S446" i="155"/>
  <c r="S442" i="155"/>
  <c r="S438" i="155"/>
  <c r="S434" i="155"/>
  <c r="S430" i="155"/>
  <c r="S426" i="155"/>
  <c r="S422" i="155"/>
  <c r="S478" i="155"/>
  <c r="S474" i="155"/>
  <c r="S470" i="155"/>
  <c r="S466" i="155"/>
  <c r="S462" i="155"/>
  <c r="S458" i="155"/>
  <c r="S454" i="155"/>
  <c r="S490" i="155"/>
  <c r="S486" i="155"/>
  <c r="S482" i="155"/>
  <c r="S542" i="155"/>
  <c r="S538" i="155"/>
  <c r="S528" i="155"/>
  <c r="S524" i="155"/>
  <c r="S520" i="155"/>
  <c r="S678" i="155"/>
  <c r="S674" i="155"/>
  <c r="S670" i="155"/>
  <c r="S399" i="155"/>
  <c r="S395" i="155"/>
  <c r="S391" i="155"/>
  <c r="S387" i="155"/>
  <c r="S383" i="155"/>
  <c r="S379" i="155"/>
  <c r="S375" i="155"/>
  <c r="S371" i="155"/>
  <c r="S367" i="155"/>
  <c r="S363" i="155"/>
  <c r="S449" i="155"/>
  <c r="S445" i="155"/>
  <c r="S441" i="155"/>
  <c r="S437" i="155"/>
  <c r="S433" i="155"/>
  <c r="S429" i="155"/>
  <c r="S425" i="155"/>
  <c r="S481" i="155"/>
  <c r="S477" i="155"/>
  <c r="S473" i="155"/>
  <c r="S469" i="155"/>
  <c r="S465" i="155"/>
  <c r="S461" i="155"/>
  <c r="S457" i="155"/>
  <c r="S453" i="155"/>
  <c r="S489" i="155"/>
  <c r="S485" i="155"/>
  <c r="S541" i="155"/>
  <c r="S537" i="155"/>
  <c r="S527" i="155"/>
  <c r="S523" i="155"/>
  <c r="S519" i="155"/>
  <c r="S677" i="155"/>
  <c r="S673" i="155"/>
  <c r="S669" i="155"/>
  <c r="S2779" i="155"/>
  <c r="S2783" i="155"/>
  <c r="S2787" i="155"/>
  <c r="S2791" i="155"/>
  <c r="S2795" i="155"/>
  <c r="S2799" i="155"/>
  <c r="S2803" i="155"/>
  <c r="S2807" i="155"/>
  <c r="S2743" i="155"/>
  <c r="S2747" i="155"/>
  <c r="S2140" i="155"/>
  <c r="S2144" i="155"/>
  <c r="S776" i="155"/>
  <c r="S671" i="155"/>
  <c r="S517" i="155"/>
  <c r="S525" i="155"/>
  <c r="S539" i="155"/>
  <c r="S483" i="155"/>
  <c r="S491" i="155"/>
  <c r="S459" i="155"/>
  <c r="S467" i="155"/>
  <c r="S475" i="155"/>
  <c r="S423" i="155"/>
  <c r="S431" i="155"/>
  <c r="S439" i="155"/>
  <c r="S447" i="155"/>
  <c r="S365" i="155"/>
  <c r="S373" i="155"/>
  <c r="S381" i="155"/>
  <c r="S389" i="155"/>
  <c r="S397" i="155"/>
  <c r="S773" i="155"/>
  <c r="S522" i="155"/>
  <c r="S488" i="155"/>
  <c r="S464" i="155"/>
  <c r="S480" i="155"/>
  <c r="S436" i="155"/>
  <c r="S362" i="155"/>
  <c r="S378" i="155"/>
  <c r="S2776" i="155"/>
  <c r="S2780" i="155"/>
  <c r="S2784" i="155"/>
  <c r="S2788" i="155"/>
  <c r="S2792" i="155"/>
  <c r="S2796" i="155"/>
  <c r="S2800" i="155"/>
  <c r="S2804" i="155"/>
  <c r="S2740" i="155"/>
  <c r="S2744" i="155"/>
  <c r="S2748" i="155"/>
  <c r="S2141" i="155"/>
  <c r="S2145" i="155"/>
  <c r="S748" i="155"/>
  <c r="S750" i="155"/>
  <c r="S752" i="155"/>
  <c r="S775" i="155"/>
  <c r="S672" i="155"/>
  <c r="S518" i="155"/>
  <c r="S526" i="155"/>
  <c r="S540" i="155"/>
  <c r="S484" i="155"/>
  <c r="S452" i="155"/>
  <c r="S460" i="155"/>
  <c r="S468" i="155"/>
  <c r="S476" i="155"/>
  <c r="S424" i="155"/>
  <c r="S432" i="155"/>
  <c r="S440" i="155"/>
  <c r="S448" i="155"/>
  <c r="S366" i="155"/>
  <c r="S374" i="155"/>
  <c r="S382" i="155"/>
  <c r="S390" i="155"/>
  <c r="S398" i="155"/>
  <c r="S771" i="155"/>
  <c r="S676" i="155"/>
  <c r="S536" i="155"/>
  <c r="S456" i="155"/>
  <c r="S472" i="155"/>
  <c r="S428" i="155"/>
  <c r="S444" i="155"/>
  <c r="S370" i="155"/>
  <c r="S386" i="155"/>
  <c r="S394" i="155"/>
  <c r="S2777" i="155"/>
  <c r="S2781" i="155"/>
  <c r="S2785" i="155"/>
  <c r="S2789" i="155"/>
  <c r="S2793" i="155"/>
  <c r="S2797" i="155"/>
  <c r="S2801" i="155"/>
  <c r="S2805" i="155"/>
  <c r="S2741" i="155"/>
  <c r="S2745" i="155"/>
  <c r="S2749" i="155"/>
  <c r="S2142" i="155"/>
  <c r="S747" i="155"/>
  <c r="S749" i="155"/>
  <c r="S751" i="155"/>
  <c r="S772" i="155"/>
  <c r="S774" i="155"/>
  <c r="S675" i="155"/>
  <c r="S521" i="155"/>
  <c r="S529" i="155"/>
  <c r="S487" i="155"/>
  <c r="S455" i="155"/>
  <c r="S463" i="155"/>
  <c r="S471" i="155"/>
  <c r="S479" i="155"/>
  <c r="S427" i="155"/>
  <c r="S435" i="155"/>
  <c r="S443" i="155"/>
  <c r="S451" i="155"/>
  <c r="S369" i="155"/>
  <c r="S377" i="155"/>
  <c r="S385" i="155"/>
  <c r="S393" i="155"/>
  <c r="D11" i="144" l="1"/>
  <c r="A7" i="138"/>
  <c r="A7" i="135"/>
  <c r="A16" i="129"/>
  <c r="A10" i="129"/>
  <c r="A31" i="127"/>
  <c r="A30" i="127"/>
  <c r="A29" i="127"/>
  <c r="A23" i="127"/>
  <c r="A22" i="127"/>
  <c r="A21" i="127"/>
  <c r="A20" i="127"/>
  <c r="A19" i="127"/>
  <c r="A18" i="127"/>
  <c r="A16" i="127"/>
  <c r="A13" i="127"/>
  <c r="A12" i="127"/>
  <c r="A14" i="153"/>
  <c r="A13" i="153"/>
  <c r="A12" i="153"/>
  <c r="A7" i="117"/>
  <c r="C10" i="114"/>
  <c r="B31" i="112"/>
  <c r="A30" i="109"/>
  <c r="A29" i="109"/>
  <c r="A28" i="105"/>
  <c r="A7" i="159"/>
  <c r="C34" i="89"/>
  <c r="A56" i="89"/>
  <c r="A7" i="88"/>
  <c r="A26" i="71"/>
  <c r="C12" i="70"/>
  <c r="D50" i="72"/>
  <c r="G11" i="69"/>
  <c r="C11" i="69"/>
  <c r="I32" i="49"/>
  <c r="I31" i="49"/>
  <c r="E31" i="49"/>
  <c r="I9" i="49"/>
  <c r="A129" i="41"/>
  <c r="D11" i="29"/>
  <c r="J11" i="30"/>
  <c r="E11" i="30"/>
  <c r="L11" i="22"/>
  <c r="H11" i="22"/>
  <c r="D11" i="22"/>
  <c r="A97" i="14"/>
  <c r="A74" i="14"/>
  <c r="A6" i="153"/>
  <c r="A7" i="10"/>
  <c r="C21" i="77"/>
  <c r="A7" i="69"/>
  <c r="A85" i="49"/>
  <c r="A64" i="49"/>
  <c r="G11" i="132"/>
  <c r="C11" i="132"/>
  <c r="A126" i="41"/>
  <c r="A54" i="41"/>
  <c r="A30" i="41"/>
  <c r="A7" i="37"/>
  <c r="G11" i="39"/>
  <c r="A81" i="11"/>
  <c r="Q2464" i="155"/>
  <c r="Q2463" i="155"/>
  <c r="Q2461" i="155"/>
  <c r="H9" i="85"/>
  <c r="A6" i="118"/>
  <c r="A6" i="114"/>
  <c r="A28" i="112"/>
  <c r="A6" i="111"/>
  <c r="A6" i="108"/>
  <c r="A6" i="159"/>
  <c r="A6" i="85"/>
  <c r="A37" i="71"/>
  <c r="A6" i="69"/>
  <c r="A23" i="75"/>
  <c r="A6" i="36"/>
  <c r="A16" i="59"/>
  <c r="A358" i="134"/>
  <c r="A326" i="134"/>
  <c r="A312" i="134"/>
  <c r="A295" i="134"/>
  <c r="A278" i="134"/>
  <c r="A267" i="134"/>
  <c r="A244" i="134"/>
  <c r="C23" i="136"/>
  <c r="A6" i="138"/>
  <c r="B10" i="117"/>
  <c r="A39" i="136"/>
  <c r="A6" i="59" l="1"/>
  <c r="A27" i="17"/>
  <c r="A6" i="119"/>
  <c r="Q1159" i="155"/>
  <c r="Q1158" i="155"/>
  <c r="Q1156" i="155"/>
  <c r="Q1161" i="155"/>
  <c r="Q1157" i="155"/>
  <c r="Q1160" i="155"/>
  <c r="A31" i="162"/>
  <c r="A55" i="162"/>
  <c r="A67" i="161"/>
  <c r="A37" i="161"/>
  <c r="A7" i="162"/>
  <c r="A7" i="161"/>
  <c r="O10" i="140"/>
  <c r="D25" i="128"/>
  <c r="J13" i="18"/>
  <c r="I42" i="11"/>
  <c r="Q2458" i="155"/>
  <c r="Q2454" i="155"/>
  <c r="Q2450" i="155"/>
  <c r="Q2446" i="155"/>
  <c r="Q2442" i="155"/>
  <c r="Q2438" i="155"/>
  <c r="D51" i="128"/>
  <c r="N10" i="23"/>
  <c r="Q2456" i="155"/>
  <c r="Q2448" i="155"/>
  <c r="Q2440" i="155"/>
  <c r="D39" i="128"/>
  <c r="I64" i="11"/>
  <c r="N10" i="156"/>
  <c r="Q2455" i="155"/>
  <c r="Q2447" i="155"/>
  <c r="Q2439" i="155"/>
  <c r="N10" i="139"/>
  <c r="H9" i="128"/>
  <c r="L10" i="160"/>
  <c r="J10" i="17"/>
  <c r="N10" i="11"/>
  <c r="Q2457" i="155"/>
  <c r="Q2453" i="155"/>
  <c r="Q2449" i="155"/>
  <c r="Q2445" i="155"/>
  <c r="Q2441" i="155"/>
  <c r="D9" i="128"/>
  <c r="I84" i="11"/>
  <c r="J10" i="10"/>
  <c r="Q2460" i="155"/>
  <c r="Q2452" i="155"/>
  <c r="Q2444" i="155"/>
  <c r="I10" i="19"/>
  <c r="Q2459" i="155"/>
  <c r="Q2451" i="155"/>
  <c r="Q2443" i="155"/>
  <c r="A36" i="128"/>
  <c r="A48" i="128"/>
  <c r="A22" i="128"/>
  <c r="A6" i="128"/>
  <c r="AA3" i="155"/>
  <c r="A151" i="41"/>
  <c r="A7" i="140"/>
  <c r="A78" i="41"/>
  <c r="A175" i="41"/>
  <c r="A102" i="41"/>
  <c r="A176" i="41"/>
  <c r="A55" i="41"/>
  <c r="A79" i="41"/>
  <c r="A127" i="41"/>
  <c r="A7" i="41"/>
  <c r="A31" i="41"/>
  <c r="A152" i="41"/>
  <c r="A103" i="41"/>
  <c r="A6" i="161"/>
  <c r="A6" i="162"/>
  <c r="A6" i="41"/>
  <c r="C10" i="140"/>
  <c r="C10" i="17"/>
  <c r="B41" i="136"/>
  <c r="C12" i="17"/>
  <c r="B12" i="17"/>
  <c r="C12" i="140"/>
  <c r="B12" i="140"/>
  <c r="D10" i="17"/>
  <c r="I10" i="140"/>
  <c r="D10" i="140"/>
  <c r="I12" i="140"/>
  <c r="D12" i="140"/>
  <c r="D12" i="17"/>
  <c r="B11" i="138"/>
  <c r="A6" i="137"/>
  <c r="A8" i="138"/>
  <c r="A7" i="156"/>
  <c r="A7" i="160"/>
  <c r="A7" i="143"/>
  <c r="A6" i="160"/>
  <c r="A6" i="156"/>
  <c r="A7" i="139"/>
  <c r="A40" i="145"/>
  <c r="A42" i="149"/>
  <c r="A6" i="144"/>
  <c r="A6" i="139"/>
  <c r="A23" i="145"/>
  <c r="A24" i="149"/>
  <c r="A6" i="145"/>
  <c r="A6" i="149"/>
  <c r="A6" i="143"/>
  <c r="A6" i="148"/>
  <c r="A6" i="152"/>
  <c r="A6" i="140"/>
  <c r="D11" i="139"/>
  <c r="D11" i="143"/>
  <c r="D39" i="139"/>
  <c r="E11" i="17"/>
  <c r="J11" i="140"/>
  <c r="E11" i="140"/>
  <c r="I11" i="139"/>
  <c r="A7" i="119"/>
  <c r="E14" i="18"/>
  <c r="A34" i="139"/>
  <c r="A6" i="135"/>
  <c r="C32" i="135"/>
  <c r="C20" i="135"/>
  <c r="C10" i="135"/>
  <c r="A372" i="134"/>
  <c r="B49" i="72"/>
  <c r="B39" i="136"/>
  <c r="C9" i="136"/>
  <c r="C39" i="136"/>
  <c r="A6" i="136"/>
  <c r="A36" i="136"/>
  <c r="C299" i="134"/>
  <c r="B181" i="134"/>
  <c r="B118" i="134"/>
  <c r="B44" i="134"/>
  <c r="B194" i="134"/>
  <c r="B65" i="134"/>
  <c r="C282" i="134"/>
  <c r="B165" i="134"/>
  <c r="C103" i="134"/>
  <c r="B25" i="134"/>
  <c r="C210" i="134"/>
  <c r="B151" i="134"/>
  <c r="C82" i="134"/>
  <c r="C10" i="134"/>
  <c r="B134" i="134"/>
  <c r="A49" i="72"/>
  <c r="A210" i="134"/>
  <c r="A194" i="134"/>
  <c r="A65" i="134"/>
  <c r="B330" i="134"/>
  <c r="C248" i="134"/>
  <c r="B316" i="134"/>
  <c r="C236" i="134"/>
  <c r="C271" i="134"/>
  <c r="B362" i="134"/>
  <c r="C260" i="134"/>
  <c r="A373" i="134"/>
  <c r="A245" i="134"/>
  <c r="A62" i="134"/>
  <c r="A115" i="134"/>
  <c r="A178" i="134"/>
  <c r="A313" i="134"/>
  <c r="A131" i="134"/>
  <c r="A191" i="134"/>
  <c r="A327" i="134"/>
  <c r="A148" i="134"/>
  <c r="A257" i="134"/>
  <c r="A279" i="134"/>
  <c r="A162" i="134"/>
  <c r="A268" i="134"/>
  <c r="A359" i="134"/>
  <c r="A233" i="134"/>
  <c r="A41" i="134"/>
  <c r="A79" i="134"/>
  <c r="A296" i="134"/>
  <c r="A100" i="134"/>
  <c r="A7" i="134"/>
  <c r="A207" i="134"/>
  <c r="A10" i="58"/>
  <c r="A22" i="134"/>
  <c r="B11" i="134"/>
  <c r="B211" i="134"/>
  <c r="E211" i="134"/>
  <c r="A206" i="134"/>
  <c r="E376" i="134"/>
  <c r="E11" i="134"/>
  <c r="A6" i="134"/>
  <c r="J152" i="134"/>
  <c r="E152" i="134"/>
  <c r="E166" i="134"/>
  <c r="A147" i="134"/>
  <c r="A161" i="134"/>
  <c r="E317" i="134"/>
  <c r="J135" i="134"/>
  <c r="E135" i="134"/>
  <c r="E300" i="134"/>
  <c r="E26" i="134"/>
  <c r="A21" i="134"/>
  <c r="E104" i="134"/>
  <c r="A99" i="134"/>
  <c r="E182" i="134"/>
  <c r="A177" i="134"/>
  <c r="E272" i="134"/>
  <c r="E261" i="134"/>
  <c r="E331" i="134"/>
  <c r="E66" i="134"/>
  <c r="A61" i="134"/>
  <c r="B249" i="134"/>
  <c r="B237" i="134"/>
  <c r="E249" i="134"/>
  <c r="E237" i="134"/>
  <c r="E45" i="134"/>
  <c r="A40" i="134"/>
  <c r="E119" i="134"/>
  <c r="J119" i="134"/>
  <c r="A114" i="134"/>
  <c r="E195" i="134"/>
  <c r="A190" i="134"/>
  <c r="E283" i="134"/>
  <c r="E363" i="134"/>
  <c r="E377" i="134"/>
  <c r="B25" i="128"/>
  <c r="B39" i="128"/>
  <c r="B9" i="128"/>
  <c r="B51" i="128"/>
  <c r="B12" i="117"/>
  <c r="B33" i="112"/>
  <c r="A8" i="133"/>
  <c r="A7" i="77"/>
  <c r="A7" i="132"/>
  <c r="A22" i="76"/>
  <c r="A7" i="76"/>
  <c r="A6" i="133"/>
  <c r="C11" i="133"/>
  <c r="A6" i="132"/>
  <c r="D11" i="23"/>
  <c r="D11" i="21"/>
  <c r="D46" i="14"/>
  <c r="D11" i="11"/>
  <c r="D11" i="156"/>
  <c r="D84" i="14"/>
  <c r="D11" i="14"/>
  <c r="A13" i="126"/>
  <c r="A38" i="129"/>
  <c r="I11" i="11"/>
  <c r="I11" i="23"/>
  <c r="D43" i="11"/>
  <c r="I11" i="156"/>
  <c r="I84" i="14"/>
  <c r="I11" i="14"/>
  <c r="I46" i="14"/>
  <c r="I11" i="21"/>
  <c r="G10" i="132"/>
  <c r="C10" i="132"/>
  <c r="A12" i="126"/>
  <c r="A6" i="18"/>
  <c r="D9" i="131"/>
  <c r="A6" i="131"/>
  <c r="D19" i="131"/>
  <c r="D29" i="131"/>
  <c r="C36" i="48"/>
  <c r="A33" i="129"/>
  <c r="C43" i="123"/>
  <c r="C58" i="120"/>
  <c r="H30" i="123"/>
  <c r="H11" i="123"/>
  <c r="C22" i="120"/>
  <c r="C21" i="123"/>
  <c r="C30" i="123"/>
  <c r="C11" i="123"/>
  <c r="H11" i="120"/>
  <c r="E11" i="125"/>
  <c r="H21" i="123"/>
  <c r="C42" i="120"/>
  <c r="C11" i="120"/>
  <c r="C11" i="130"/>
  <c r="H22" i="120"/>
  <c r="A45" i="72"/>
  <c r="A17" i="127"/>
  <c r="A6" i="127"/>
  <c r="C9" i="127"/>
  <c r="A38" i="123"/>
  <c r="A6" i="130"/>
  <c r="A6" i="123"/>
  <c r="A37" i="120"/>
  <c r="A6" i="120"/>
  <c r="A53" i="120"/>
  <c r="D10" i="118"/>
  <c r="C11" i="119"/>
  <c r="A15" i="126"/>
  <c r="A14" i="126"/>
  <c r="A42" i="115"/>
  <c r="A6" i="115"/>
  <c r="A6" i="117"/>
  <c r="A6" i="116"/>
  <c r="K11" i="117"/>
  <c r="E11" i="117"/>
  <c r="A7" i="115"/>
  <c r="A43" i="115"/>
  <c r="A26" i="110"/>
  <c r="A26" i="109"/>
  <c r="A21" i="111"/>
  <c r="A7" i="104"/>
  <c r="A7" i="101"/>
  <c r="A41" i="101"/>
  <c r="A24" i="101"/>
  <c r="B10" i="159"/>
  <c r="B10" i="101"/>
  <c r="B10" i="104"/>
  <c r="B27" i="101"/>
  <c r="B44" i="101"/>
  <c r="A7" i="109"/>
  <c r="A7" i="111"/>
  <c r="A7" i="110"/>
  <c r="A6" i="112"/>
  <c r="A70" i="72"/>
  <c r="I10" i="98"/>
  <c r="I23" i="98"/>
  <c r="A64" i="96"/>
  <c r="A35" i="96"/>
  <c r="A37" i="92"/>
  <c r="A6" i="96"/>
  <c r="A6" i="92"/>
  <c r="A6" i="97"/>
  <c r="A6" i="98"/>
  <c r="A6" i="95"/>
  <c r="A68" i="92"/>
  <c r="A6" i="101"/>
  <c r="A40" i="101"/>
  <c r="A6" i="105"/>
  <c r="A28" i="49"/>
  <c r="D45" i="101"/>
  <c r="I45" i="101"/>
  <c r="B18" i="56"/>
  <c r="C10" i="104"/>
  <c r="B10" i="132"/>
  <c r="B10" i="130"/>
  <c r="G20" i="123"/>
  <c r="B57" i="120"/>
  <c r="G10" i="120"/>
  <c r="C88" i="49"/>
  <c r="C9" i="49"/>
  <c r="C10" i="56"/>
  <c r="B10" i="123"/>
  <c r="B42" i="123"/>
  <c r="B20" i="123"/>
  <c r="B41" i="120"/>
  <c r="B10" i="120"/>
  <c r="C67" i="49"/>
  <c r="C51" i="56"/>
  <c r="I10" i="30"/>
  <c r="B10" i="125"/>
  <c r="C31" i="49"/>
  <c r="C18" i="56"/>
  <c r="G29" i="123"/>
  <c r="G10" i="123"/>
  <c r="G21" i="120"/>
  <c r="C10" i="105"/>
  <c r="C48" i="49"/>
  <c r="C33" i="56"/>
  <c r="D10" i="30"/>
  <c r="B11" i="133"/>
  <c r="B29" i="123"/>
  <c r="B21" i="120"/>
  <c r="C9" i="53"/>
  <c r="A7" i="23"/>
  <c r="A42" i="14"/>
  <c r="A7" i="22"/>
  <c r="A7" i="11"/>
  <c r="A7" i="14"/>
  <c r="A7" i="21"/>
  <c r="A35" i="139"/>
  <c r="A80" i="14"/>
  <c r="H73" i="92"/>
  <c r="D11" i="98"/>
  <c r="H42" i="92"/>
  <c r="D42" i="92"/>
  <c r="H11" i="96"/>
  <c r="D11" i="95"/>
  <c r="H69" i="96"/>
  <c r="D73" i="92"/>
  <c r="H11" i="161"/>
  <c r="D40" i="96"/>
  <c r="D24" i="98"/>
  <c r="D11" i="162"/>
  <c r="H40" i="96"/>
  <c r="H11" i="92"/>
  <c r="D11" i="97"/>
  <c r="H11" i="162"/>
  <c r="D11" i="92"/>
  <c r="H11" i="95"/>
  <c r="D11" i="161"/>
  <c r="D69" i="96"/>
  <c r="D11" i="96"/>
  <c r="H11" i="97"/>
  <c r="H35" i="162"/>
  <c r="D23" i="96"/>
  <c r="H34" i="97"/>
  <c r="D40" i="95"/>
  <c r="H78" i="96"/>
  <c r="D29" i="149"/>
  <c r="H24" i="92"/>
  <c r="H41" i="161"/>
  <c r="D78" i="96"/>
  <c r="H28" i="145"/>
  <c r="D11" i="145"/>
  <c r="H11" i="148"/>
  <c r="D34" i="97"/>
  <c r="H47" i="149"/>
  <c r="D55" i="92"/>
  <c r="D35" i="162"/>
  <c r="H23" i="96"/>
  <c r="D45" i="145"/>
  <c r="H29" i="149"/>
  <c r="D47" i="149"/>
  <c r="H55" i="92"/>
  <c r="D24" i="92"/>
  <c r="H40" i="95"/>
  <c r="D28" i="145"/>
  <c r="H11" i="149"/>
  <c r="H45" i="145"/>
  <c r="D11" i="149"/>
  <c r="H11" i="152"/>
  <c r="D11" i="152"/>
  <c r="D52" i="96"/>
  <c r="H11" i="145"/>
  <c r="H82" i="92"/>
  <c r="D41" i="161"/>
  <c r="D11" i="148"/>
  <c r="D82" i="92"/>
  <c r="H52" i="96"/>
  <c r="E11" i="10"/>
  <c r="D10" i="85"/>
  <c r="A7" i="148"/>
  <c r="A41" i="145"/>
  <c r="A7" i="97"/>
  <c r="A36" i="96"/>
  <c r="A7" i="96"/>
  <c r="A24" i="145"/>
  <c r="A65" i="96"/>
  <c r="A7" i="145"/>
  <c r="A7" i="98"/>
  <c r="A6" i="90"/>
  <c r="I11" i="91"/>
  <c r="D11" i="91"/>
  <c r="A6" i="88"/>
  <c r="A6" i="87"/>
  <c r="A6" i="89"/>
  <c r="G10" i="48"/>
  <c r="F34" i="88"/>
  <c r="F10" i="88"/>
  <c r="H55" i="82"/>
  <c r="H33" i="82"/>
  <c r="D33" i="82"/>
  <c r="D55" i="82"/>
  <c r="A47" i="81"/>
  <c r="A28" i="82"/>
  <c r="A6" i="82"/>
  <c r="A50" i="82"/>
  <c r="A10" i="81"/>
  <c r="A51" i="81"/>
  <c r="A69" i="81"/>
  <c r="A28" i="81"/>
  <c r="C51" i="72"/>
  <c r="B51" i="72"/>
  <c r="B12" i="77"/>
  <c r="H72" i="81"/>
  <c r="H31" i="81"/>
  <c r="D72" i="81"/>
  <c r="D31" i="81"/>
  <c r="H54" i="81"/>
  <c r="D13" i="81"/>
  <c r="D54" i="81"/>
  <c r="H13" i="81"/>
  <c r="A6" i="80"/>
  <c r="A6" i="81"/>
  <c r="A6" i="79"/>
  <c r="A29" i="80"/>
  <c r="A35" i="72"/>
  <c r="A6" i="77"/>
  <c r="Q1167" i="155"/>
  <c r="A17" i="77"/>
  <c r="B11" i="76"/>
  <c r="A11" i="76"/>
  <c r="B29" i="71"/>
  <c r="B26" i="76"/>
  <c r="A26" i="76"/>
  <c r="A6" i="74"/>
  <c r="A6" i="75"/>
  <c r="A26" i="74"/>
  <c r="A38" i="71"/>
  <c r="D24" i="72"/>
  <c r="D10" i="72"/>
  <c r="D39" i="72"/>
  <c r="H10" i="72"/>
  <c r="A20" i="72"/>
  <c r="A6" i="11"/>
  <c r="A6" i="72"/>
  <c r="A60" i="72"/>
  <c r="E29" i="71"/>
  <c r="E11" i="71"/>
  <c r="C10" i="71"/>
  <c r="C28" i="71"/>
  <c r="D67" i="66"/>
  <c r="D66" i="63"/>
  <c r="I66" i="63"/>
  <c r="I77" i="66"/>
  <c r="I74" i="63"/>
  <c r="G29" i="60"/>
  <c r="D77" i="66"/>
  <c r="D74" i="63"/>
  <c r="I67" i="66"/>
  <c r="I55" i="66"/>
  <c r="K29" i="60"/>
  <c r="D55" i="66"/>
  <c r="D56" i="63"/>
  <c r="I56" i="63"/>
  <c r="A32" i="63"/>
  <c r="A23" i="71"/>
  <c r="A6" i="71"/>
  <c r="A6" i="70"/>
  <c r="A18" i="70"/>
  <c r="A6" i="66"/>
  <c r="A27" i="66"/>
  <c r="A6" i="60"/>
  <c r="A23" i="60"/>
  <c r="A6" i="63"/>
  <c r="P902" i="155"/>
  <c r="A9" i="59"/>
  <c r="P903" i="155"/>
  <c r="A19" i="59"/>
  <c r="E67" i="49"/>
  <c r="E9" i="49"/>
  <c r="E9" i="53"/>
  <c r="E88" i="49"/>
  <c r="E48" i="49"/>
  <c r="I10" i="49"/>
  <c r="A7" i="56"/>
  <c r="A48" i="56"/>
  <c r="A58" i="56"/>
  <c r="A39" i="56"/>
  <c r="D34" i="56"/>
  <c r="H34" i="56"/>
  <c r="H19" i="56"/>
  <c r="D19" i="56"/>
  <c r="H11" i="56"/>
  <c r="D11" i="56"/>
  <c r="H52" i="56"/>
  <c r="D52" i="56"/>
  <c r="A6" i="27"/>
  <c r="A6" i="56"/>
  <c r="A47" i="56"/>
  <c r="B131" i="41"/>
  <c r="J179" i="41"/>
  <c r="B155" i="41"/>
  <c r="B106" i="41"/>
  <c r="B58" i="41"/>
  <c r="F179" i="41"/>
  <c r="B34" i="41"/>
  <c r="B179" i="41"/>
  <c r="B82" i="41"/>
  <c r="D51" i="56"/>
  <c r="D18" i="56"/>
  <c r="D10" i="56"/>
  <c r="D33" i="56"/>
  <c r="H18" i="56"/>
  <c r="H33" i="56"/>
  <c r="H51" i="56"/>
  <c r="H10" i="56"/>
  <c r="A7" i="48"/>
  <c r="A6" i="48"/>
  <c r="B10" i="39"/>
  <c r="B10" i="48"/>
  <c r="B10" i="41"/>
  <c r="B10" i="37"/>
  <c r="A18" i="56"/>
  <c r="A10" i="22"/>
  <c r="B10" i="135"/>
  <c r="B10" i="119"/>
  <c r="B25" i="76"/>
  <c r="B41" i="71"/>
  <c r="B76" i="66"/>
  <c r="B31" i="66"/>
  <c r="B65" i="63"/>
  <c r="B19" i="63"/>
  <c r="C13" i="18"/>
  <c r="C9" i="118"/>
  <c r="B66" i="66"/>
  <c r="B55" i="63"/>
  <c r="B32" i="135"/>
  <c r="B9" i="136"/>
  <c r="A25" i="87"/>
  <c r="B27" i="75"/>
  <c r="B10" i="71"/>
  <c r="B54" i="66"/>
  <c r="B90" i="63"/>
  <c r="B44" i="63"/>
  <c r="B10" i="69"/>
  <c r="B20" i="135"/>
  <c r="B376" i="134"/>
  <c r="A9" i="87"/>
  <c r="B10" i="75"/>
  <c r="B95" i="66"/>
  <c r="B41" i="66"/>
  <c r="B73" i="63"/>
  <c r="B36" i="63"/>
  <c r="D13" i="18"/>
  <c r="B10" i="137"/>
  <c r="B23" i="136"/>
  <c r="B10" i="76"/>
  <c r="B28" i="71"/>
  <c r="B10" i="66"/>
  <c r="B10" i="63"/>
  <c r="A6" i="37"/>
  <c r="A6" i="39"/>
  <c r="H40" i="31"/>
  <c r="D40" i="31"/>
  <c r="D11" i="36"/>
  <c r="A7" i="36"/>
  <c r="A36" i="31"/>
  <c r="A7" i="31"/>
  <c r="A7" i="17"/>
  <c r="A61" i="11"/>
  <c r="A6" i="29"/>
  <c r="A6" i="31"/>
  <c r="A35" i="31"/>
  <c r="D25" i="25"/>
  <c r="D10" i="25"/>
  <c r="J10" i="25"/>
  <c r="A6" i="30"/>
  <c r="A6" i="25"/>
  <c r="A7" i="30"/>
  <c r="A6" i="22"/>
  <c r="A6" i="91"/>
  <c r="A7" i="29"/>
  <c r="I10" i="21"/>
  <c r="D10" i="21"/>
  <c r="A6" i="21"/>
  <c r="A6" i="19"/>
  <c r="A6" i="17"/>
  <c r="A80" i="11"/>
  <c r="A6" i="14"/>
  <c r="A60" i="11"/>
  <c r="J11" i="25"/>
  <c r="D11" i="25"/>
  <c r="D26" i="24"/>
  <c r="D26" i="25"/>
  <c r="B13" i="133"/>
  <c r="B12" i="125"/>
  <c r="B31" i="123"/>
  <c r="B12" i="123"/>
  <c r="B23" i="120"/>
  <c r="C11" i="53"/>
  <c r="C33" i="49"/>
  <c r="C20" i="56"/>
  <c r="B12" i="132"/>
  <c r="B12" i="130"/>
  <c r="G22" i="123"/>
  <c r="B59" i="120"/>
  <c r="C90" i="49"/>
  <c r="C12" i="56"/>
  <c r="B44" i="123"/>
  <c r="B22" i="123"/>
  <c r="B43" i="120"/>
  <c r="B12" i="120"/>
  <c r="C69" i="49"/>
  <c r="C53" i="56"/>
  <c r="I12" i="30"/>
  <c r="G31" i="123"/>
  <c r="G12" i="123"/>
  <c r="G23" i="120"/>
  <c r="C12" i="105"/>
  <c r="C50" i="49"/>
  <c r="C35" i="56"/>
  <c r="D12" i="30"/>
  <c r="G12" i="120"/>
  <c r="C11" i="49"/>
  <c r="J11" i="24"/>
  <c r="D11" i="24"/>
  <c r="A75" i="14"/>
  <c r="A98" i="14"/>
  <c r="Q451" i="155"/>
  <c r="Q447" i="155"/>
  <c r="Q443" i="155"/>
  <c r="Q439" i="155"/>
  <c r="Q435" i="155"/>
  <c r="Q431" i="155"/>
  <c r="Q427" i="155"/>
  <c r="Q423" i="155"/>
  <c r="Q479" i="155"/>
  <c r="Q475" i="155"/>
  <c r="Q471" i="155"/>
  <c r="Q467" i="155"/>
  <c r="Q463" i="155"/>
  <c r="Q459" i="155"/>
  <c r="Q455" i="155"/>
  <c r="Q491" i="155"/>
  <c r="Q487" i="155"/>
  <c r="Q483" i="155"/>
  <c r="Q450" i="155"/>
  <c r="Q446" i="155"/>
  <c r="Q442" i="155"/>
  <c r="Q438" i="155"/>
  <c r="Q434" i="155"/>
  <c r="Q430" i="155"/>
  <c r="Q426" i="155"/>
  <c r="Q422" i="155"/>
  <c r="Q478" i="155"/>
  <c r="Q474" i="155"/>
  <c r="Q470" i="155"/>
  <c r="Q466" i="155"/>
  <c r="Q462" i="155"/>
  <c r="Q458" i="155"/>
  <c r="Q454" i="155"/>
  <c r="Q490" i="155"/>
  <c r="Q486" i="155"/>
  <c r="Q482" i="155"/>
  <c r="Q449" i="155"/>
  <c r="Q445" i="155"/>
  <c r="Q441" i="155"/>
  <c r="Q437" i="155"/>
  <c r="Q433" i="155"/>
  <c r="Q429" i="155"/>
  <c r="Q425" i="155"/>
  <c r="Q481" i="155"/>
  <c r="Q477" i="155"/>
  <c r="Q473" i="155"/>
  <c r="Q469" i="155"/>
  <c r="Q465" i="155"/>
  <c r="Q461" i="155"/>
  <c r="Q457" i="155"/>
  <c r="Q453" i="155"/>
  <c r="Q489" i="155"/>
  <c r="Q485" i="155"/>
  <c r="Q448" i="155"/>
  <c r="Q432" i="155"/>
  <c r="Q476" i="155"/>
  <c r="Q460" i="155"/>
  <c r="Q484" i="155"/>
  <c r="Q464" i="155"/>
  <c r="Q444" i="155"/>
  <c r="Q428" i="155"/>
  <c r="Q472" i="155"/>
  <c r="Q456" i="155"/>
  <c r="Q436" i="155"/>
  <c r="Q488" i="155"/>
  <c r="Q440" i="155"/>
  <c r="Q424" i="155"/>
  <c r="Q468" i="155"/>
  <c r="Q452" i="155"/>
  <c r="Q480" i="155"/>
  <c r="Q847" i="155"/>
  <c r="Q843" i="155"/>
  <c r="Q839" i="155"/>
  <c r="Q827" i="155"/>
  <c r="Q823" i="155"/>
  <c r="Q2488" i="155"/>
  <c r="Q2484" i="155"/>
  <c r="Q846" i="155"/>
  <c r="Q842" i="155"/>
  <c r="Q838" i="155"/>
  <c r="Q826" i="155"/>
  <c r="Q822" i="155"/>
  <c r="Q2487" i="155"/>
  <c r="Q2483" i="155"/>
  <c r="Q849" i="155"/>
  <c r="Q845" i="155"/>
  <c r="Q841" i="155"/>
  <c r="Q837" i="155"/>
  <c r="Q825" i="155"/>
  <c r="Q821" i="155"/>
  <c r="Q2486" i="155"/>
  <c r="Q2482" i="155"/>
  <c r="Q836" i="155"/>
  <c r="Q2481" i="155"/>
  <c r="Q848" i="155"/>
  <c r="Q824" i="155"/>
  <c r="Q844" i="155"/>
  <c r="Q820" i="155"/>
  <c r="Q840" i="155"/>
  <c r="Q2485" i="155"/>
  <c r="Q1126" i="155"/>
  <c r="Q1122" i="155"/>
  <c r="Q1125" i="155"/>
  <c r="Q1121" i="155"/>
  <c r="Q1128" i="155"/>
  <c r="Q1124" i="155"/>
  <c r="Q1120" i="155"/>
  <c r="Q1127" i="155"/>
  <c r="Q1123" i="155"/>
  <c r="Q1141" i="155"/>
  <c r="Q1142" i="155"/>
  <c r="Q2149" i="155"/>
  <c r="Q2145" i="155"/>
  <c r="Q2141" i="155"/>
  <c r="Q2152" i="155"/>
  <c r="Q2148" i="155"/>
  <c r="Q2144" i="155"/>
  <c r="Q2140" i="155"/>
  <c r="Q2151" i="155"/>
  <c r="Q2147" i="155"/>
  <c r="Q2143" i="155"/>
  <c r="Q2139" i="155"/>
  <c r="Q2150" i="155"/>
  <c r="Q2146" i="155"/>
  <c r="Q2142" i="155"/>
  <c r="Q2327" i="155"/>
  <c r="Q2323" i="155"/>
  <c r="Q2319" i="155"/>
  <c r="Q2315" i="155"/>
  <c r="Q2311" i="155"/>
  <c r="Q2326" i="155"/>
  <c r="Q2322" i="155"/>
  <c r="Q2318" i="155"/>
  <c r="Q2314" i="155"/>
  <c r="Q2310" i="155"/>
  <c r="Q2329" i="155"/>
  <c r="Q2325" i="155"/>
  <c r="Q2321" i="155"/>
  <c r="Q2317" i="155"/>
  <c r="Q2313" i="155"/>
  <c r="Q2328" i="155"/>
  <c r="Q2312" i="155"/>
  <c r="Q2324" i="155"/>
  <c r="Q2320" i="155"/>
  <c r="Q2316" i="155"/>
  <c r="Q898" i="155"/>
  <c r="Q901" i="155"/>
  <c r="Q900" i="155"/>
  <c r="Q899" i="155"/>
  <c r="Q2665" i="155"/>
  <c r="Q2661" i="155"/>
  <c r="Q2657" i="155"/>
  <c r="Q2653" i="155"/>
  <c r="Q2649" i="155"/>
  <c r="Q2645" i="155"/>
  <c r="Q2664" i="155"/>
  <c r="Q2660" i="155"/>
  <c r="Q2656" i="155"/>
  <c r="Q2652" i="155"/>
  <c r="Q2648" i="155"/>
  <c r="Q2663" i="155"/>
  <c r="Q2659" i="155"/>
  <c r="Q2655" i="155"/>
  <c r="Q2651" i="155"/>
  <c r="Q2647" i="155"/>
  <c r="Q2654" i="155"/>
  <c r="Q2666" i="155"/>
  <c r="Q2650" i="155"/>
  <c r="Q2662" i="155"/>
  <c r="Q2646" i="155"/>
  <c r="Q2658" i="155"/>
  <c r="Q1402" i="155"/>
  <c r="Q1398" i="155"/>
  <c r="Q1401" i="155"/>
  <c r="Q1397" i="155"/>
  <c r="Q1404" i="155"/>
  <c r="Q1400" i="155"/>
  <c r="Q1396" i="155"/>
  <c r="Q1403" i="155"/>
  <c r="Q1399" i="155"/>
  <c r="Q1395" i="155"/>
  <c r="Q513" i="155"/>
  <c r="Q509" i="155"/>
  <c r="Q505" i="155"/>
  <c r="Q501" i="155"/>
  <c r="Q497" i="155"/>
  <c r="Q493" i="155"/>
  <c r="Q546" i="155"/>
  <c r="Q542" i="155"/>
  <c r="Q538" i="155"/>
  <c r="Q534" i="155"/>
  <c r="Q530" i="155"/>
  <c r="Q526" i="155"/>
  <c r="Q522" i="155"/>
  <c r="Q518" i="155"/>
  <c r="Q586" i="155"/>
  <c r="Q582" i="155"/>
  <c r="Q578" i="155"/>
  <c r="Q574" i="155"/>
  <c r="Q570" i="155"/>
  <c r="Q566" i="155"/>
  <c r="Q562" i="155"/>
  <c r="Q558" i="155"/>
  <c r="Q554" i="155"/>
  <c r="Q550" i="155"/>
  <c r="Q606" i="155"/>
  <c r="Q602" i="155"/>
  <c r="Q598" i="155"/>
  <c r="Q594" i="155"/>
  <c r="Q590" i="155"/>
  <c r="Q666" i="155"/>
  <c r="Q662" i="155"/>
  <c r="Q658" i="155"/>
  <c r="Q654" i="155"/>
  <c r="Q650" i="155"/>
  <c r="Q646" i="155"/>
  <c r="Q642" i="155"/>
  <c r="Q638" i="155"/>
  <c r="Q634" i="155"/>
  <c r="Q630" i="155"/>
  <c r="Q626" i="155"/>
  <c r="Q622" i="155"/>
  <c r="Q618" i="155"/>
  <c r="Q614" i="155"/>
  <c r="Q610" i="155"/>
  <c r="Q676" i="155"/>
  <c r="Q672" i="155"/>
  <c r="Q516" i="155"/>
  <c r="Q512" i="155"/>
  <c r="Q508" i="155"/>
  <c r="Q504" i="155"/>
  <c r="Q500" i="155"/>
  <c r="Q496" i="155"/>
  <c r="Q492" i="155"/>
  <c r="Q545" i="155"/>
  <c r="Q541" i="155"/>
  <c r="Q537" i="155"/>
  <c r="Q533" i="155"/>
  <c r="Q529" i="155"/>
  <c r="Q525" i="155"/>
  <c r="Q521" i="155"/>
  <c r="Q517" i="155"/>
  <c r="Q585" i="155"/>
  <c r="Q581" i="155"/>
  <c r="Q577" i="155"/>
  <c r="Q573" i="155"/>
  <c r="Q569" i="155"/>
  <c r="Q565" i="155"/>
  <c r="Q561" i="155"/>
  <c r="Q557" i="155"/>
  <c r="Q553" i="155"/>
  <c r="Q549" i="155"/>
  <c r="Q605" i="155"/>
  <c r="Q601" i="155"/>
  <c r="Q597" i="155"/>
  <c r="Q593" i="155"/>
  <c r="Q589" i="155"/>
  <c r="Q665" i="155"/>
  <c r="Q661" i="155"/>
  <c r="Q657" i="155"/>
  <c r="Q653" i="155"/>
  <c r="Q649" i="155"/>
  <c r="Q645" i="155"/>
  <c r="Q641" i="155"/>
  <c r="Q637" i="155"/>
  <c r="Q633" i="155"/>
  <c r="Q629" i="155"/>
  <c r="Q625" i="155"/>
  <c r="Q621" i="155"/>
  <c r="Q617" i="155"/>
  <c r="Q613" i="155"/>
  <c r="Q609" i="155"/>
  <c r="Q675" i="155"/>
  <c r="Q671" i="155"/>
  <c r="Q515" i="155"/>
  <c r="Q511" i="155"/>
  <c r="Q507" i="155"/>
  <c r="Q503" i="155"/>
  <c r="Q499" i="155"/>
  <c r="Q495" i="155"/>
  <c r="Q548" i="155"/>
  <c r="Q544" i="155"/>
  <c r="Q540" i="155"/>
  <c r="Q536" i="155"/>
  <c r="Q532" i="155"/>
  <c r="Q528" i="155"/>
  <c r="Q524" i="155"/>
  <c r="Q520" i="155"/>
  <c r="Q588" i="155"/>
  <c r="Q584" i="155"/>
  <c r="Q580" i="155"/>
  <c r="Q576" i="155"/>
  <c r="Q572" i="155"/>
  <c r="Q568" i="155"/>
  <c r="Q564" i="155"/>
  <c r="Q560" i="155"/>
  <c r="Q556" i="155"/>
  <c r="Q552" i="155"/>
  <c r="Q608" i="155"/>
  <c r="Q604" i="155"/>
  <c r="Q600" i="155"/>
  <c r="Q596" i="155"/>
  <c r="Q592" i="155"/>
  <c r="Q668" i="155"/>
  <c r="Q664" i="155"/>
  <c r="Q660" i="155"/>
  <c r="Q656" i="155"/>
  <c r="Q652" i="155"/>
  <c r="Q648" i="155"/>
  <c r="Q644" i="155"/>
  <c r="Q640" i="155"/>
  <c r="Q636" i="155"/>
  <c r="Q632" i="155"/>
  <c r="Q628" i="155"/>
  <c r="Q624" i="155"/>
  <c r="Q620" i="155"/>
  <c r="Q616" i="155"/>
  <c r="Q612" i="155"/>
  <c r="Q678" i="155"/>
  <c r="Q674" i="155"/>
  <c r="Q670" i="155"/>
  <c r="Q502" i="155"/>
  <c r="Q543" i="155"/>
  <c r="Q527" i="155"/>
  <c r="Q583" i="155"/>
  <c r="Q567" i="155"/>
  <c r="Q551" i="155"/>
  <c r="Q595" i="155"/>
  <c r="Q659" i="155"/>
  <c r="Q643" i="155"/>
  <c r="Q627" i="155"/>
  <c r="Q611" i="155"/>
  <c r="Q531" i="155"/>
  <c r="Q555" i="155"/>
  <c r="Q647" i="155"/>
  <c r="Q669" i="155"/>
  <c r="Q514" i="155"/>
  <c r="Q498" i="155"/>
  <c r="Q539" i="155"/>
  <c r="Q523" i="155"/>
  <c r="Q579" i="155"/>
  <c r="Q563" i="155"/>
  <c r="Q607" i="155"/>
  <c r="Q591" i="155"/>
  <c r="Q655" i="155"/>
  <c r="Q639" i="155"/>
  <c r="Q623" i="155"/>
  <c r="Q677" i="155"/>
  <c r="Q506" i="155"/>
  <c r="Q587" i="155"/>
  <c r="Q599" i="155"/>
  <c r="Q631" i="155"/>
  <c r="Q510" i="155"/>
  <c r="Q494" i="155"/>
  <c r="Q535" i="155"/>
  <c r="Q519" i="155"/>
  <c r="Q575" i="155"/>
  <c r="Q559" i="155"/>
  <c r="Q603" i="155"/>
  <c r="Q667" i="155"/>
  <c r="Q651" i="155"/>
  <c r="Q635" i="155"/>
  <c r="Q619" i="155"/>
  <c r="Q673" i="155"/>
  <c r="Q547" i="155"/>
  <c r="Q571" i="155"/>
  <c r="Q663" i="155"/>
  <c r="Q615" i="155"/>
  <c r="Q954" i="155"/>
  <c r="Q950" i="155"/>
  <c r="Q946" i="155"/>
  <c r="Q942" i="155"/>
  <c r="Q938" i="155"/>
  <c r="Q934" i="155"/>
  <c r="Q1021" i="155"/>
  <c r="Q1017" i="155"/>
  <c r="Q1013" i="155"/>
  <c r="Q1009" i="155"/>
  <c r="Q1005" i="155"/>
  <c r="Q1001" i="155"/>
  <c r="Q997" i="155"/>
  <c r="Q993" i="155"/>
  <c r="Q989" i="155"/>
  <c r="Q985" i="155"/>
  <c r="Q981" i="155"/>
  <c r="Q977" i="155"/>
  <c r="Q973" i="155"/>
  <c r="Q969" i="155"/>
  <c r="Q965" i="155"/>
  <c r="Q961" i="155"/>
  <c r="Q1111" i="155"/>
  <c r="Q1107" i="155"/>
  <c r="Q1103" i="155"/>
  <c r="Q1099" i="155"/>
  <c r="Q1095" i="155"/>
  <c r="Q1091" i="155"/>
  <c r="Q1087" i="155"/>
  <c r="Q1083" i="155"/>
  <c r="Q1079" i="155"/>
  <c r="Q1075" i="155"/>
  <c r="Q1071" i="155"/>
  <c r="Q1067" i="155"/>
  <c r="Q1063" i="155"/>
  <c r="Q1059" i="155"/>
  <c r="Q1055" i="155"/>
  <c r="Q1051" i="155"/>
  <c r="Q1047" i="155"/>
  <c r="Q1043" i="155"/>
  <c r="Q1039" i="155"/>
  <c r="Q1035" i="155"/>
  <c r="Q1031" i="155"/>
  <c r="Q1027" i="155"/>
  <c r="Q1023" i="155"/>
  <c r="Q1118" i="155"/>
  <c r="Q1114" i="155"/>
  <c r="Q1155" i="155"/>
  <c r="Q1151" i="155"/>
  <c r="Q1147" i="155"/>
  <c r="Q957" i="155"/>
  <c r="Q953" i="155"/>
  <c r="Q949" i="155"/>
  <c r="Q945" i="155"/>
  <c r="Q941" i="155"/>
  <c r="Q937" i="155"/>
  <c r="Q933" i="155"/>
  <c r="Q1020" i="155"/>
  <c r="Q1016" i="155"/>
  <c r="Q1012" i="155"/>
  <c r="Q1008" i="155"/>
  <c r="Q1004" i="155"/>
  <c r="Q1000" i="155"/>
  <c r="Q996" i="155"/>
  <c r="Q992" i="155"/>
  <c r="Q988" i="155"/>
  <c r="Q984" i="155"/>
  <c r="Q980" i="155"/>
  <c r="Q976" i="155"/>
  <c r="Q972" i="155"/>
  <c r="Q968" i="155"/>
  <c r="Q964" i="155"/>
  <c r="Q960" i="155"/>
  <c r="Q1110" i="155"/>
  <c r="Q1106" i="155"/>
  <c r="Q1102" i="155"/>
  <c r="Q1098" i="155"/>
  <c r="Q1094" i="155"/>
  <c r="Q1090" i="155"/>
  <c r="Q1086" i="155"/>
  <c r="Q1082" i="155"/>
  <c r="Q1078" i="155"/>
  <c r="Q1074" i="155"/>
  <c r="Q1070" i="155"/>
  <c r="Q1066" i="155"/>
  <c r="Q1062" i="155"/>
  <c r="Q1058" i="155"/>
  <c r="Q1054" i="155"/>
  <c r="Q1050" i="155"/>
  <c r="Q1046" i="155"/>
  <c r="Q1042" i="155"/>
  <c r="Q1038" i="155"/>
  <c r="Q1034" i="155"/>
  <c r="Q1030" i="155"/>
  <c r="Q1026" i="155"/>
  <c r="Q1113" i="155"/>
  <c r="Q1117" i="155"/>
  <c r="Q1145" i="155"/>
  <c r="Q1154" i="155"/>
  <c r="Q1150" i="155"/>
  <c r="Q1146" i="155"/>
  <c r="Q956" i="155"/>
  <c r="Q952" i="155"/>
  <c r="Q948" i="155"/>
  <c r="Q944" i="155"/>
  <c r="Q940" i="155"/>
  <c r="Q936" i="155"/>
  <c r="Q932" i="155"/>
  <c r="Q1019" i="155"/>
  <c r="Q1015" i="155"/>
  <c r="Q1011" i="155"/>
  <c r="Q1007" i="155"/>
  <c r="Q1003" i="155"/>
  <c r="Q999" i="155"/>
  <c r="Q995" i="155"/>
  <c r="Q991" i="155"/>
  <c r="Q987" i="155"/>
  <c r="Q983" i="155"/>
  <c r="Q979" i="155"/>
  <c r="Q975" i="155"/>
  <c r="Q971" i="155"/>
  <c r="Q967" i="155"/>
  <c r="Q963" i="155"/>
  <c r="Q959" i="155"/>
  <c r="Q1109" i="155"/>
  <c r="Q1105" i="155"/>
  <c r="Q1101" i="155"/>
  <c r="Q1097" i="155"/>
  <c r="Q1093" i="155"/>
  <c r="Q1089" i="155"/>
  <c r="Q1085" i="155"/>
  <c r="Q1081" i="155"/>
  <c r="Q1077" i="155"/>
  <c r="Q1073" i="155"/>
  <c r="Q1069" i="155"/>
  <c r="Q1065" i="155"/>
  <c r="Q1061" i="155"/>
  <c r="Q1057" i="155"/>
  <c r="Q1053" i="155"/>
  <c r="Q1049" i="155"/>
  <c r="Q1045" i="155"/>
  <c r="Q1041" i="155"/>
  <c r="Q1037" i="155"/>
  <c r="Q1033" i="155"/>
  <c r="Q1029" i="155"/>
  <c r="Q1025" i="155"/>
  <c r="Q1112" i="155"/>
  <c r="Q1116" i="155"/>
  <c r="Q1144" i="155"/>
  <c r="Q1153" i="155"/>
  <c r="Q1149" i="155"/>
  <c r="Q951" i="155"/>
  <c r="Q935" i="155"/>
  <c r="Q1010" i="155"/>
  <c r="Q994" i="155"/>
  <c r="Q978" i="155"/>
  <c r="Q962" i="155"/>
  <c r="Q1100" i="155"/>
  <c r="Q1084" i="155"/>
  <c r="Q1068" i="155"/>
  <c r="Q1052" i="155"/>
  <c r="Q1036" i="155"/>
  <c r="Q1119" i="155"/>
  <c r="Q1148" i="155"/>
  <c r="Q947" i="155"/>
  <c r="Q1022" i="155"/>
  <c r="Q1006" i="155"/>
  <c r="Q990" i="155"/>
  <c r="Q974" i="155"/>
  <c r="Q958" i="155"/>
  <c r="Q1096" i="155"/>
  <c r="Q1080" i="155"/>
  <c r="Q1064" i="155"/>
  <c r="Q1048" i="155"/>
  <c r="Q1032" i="155"/>
  <c r="Q1115" i="155"/>
  <c r="Q943" i="155"/>
  <c r="Q1018" i="155"/>
  <c r="Q1002" i="155"/>
  <c r="Q986" i="155"/>
  <c r="Q970" i="155"/>
  <c r="Q1108" i="155"/>
  <c r="Q1092" i="155"/>
  <c r="Q1076" i="155"/>
  <c r="Q1060" i="155"/>
  <c r="Q1044" i="155"/>
  <c r="Q1028" i="155"/>
  <c r="Q1143" i="155"/>
  <c r="Q955" i="155"/>
  <c r="Q982" i="155"/>
  <c r="Q1072" i="155"/>
  <c r="Q1152" i="155"/>
  <c r="Q1088" i="155"/>
  <c r="Q1024" i="155"/>
  <c r="Q939" i="155"/>
  <c r="Q966" i="155"/>
  <c r="Q1056" i="155"/>
  <c r="Q998" i="155"/>
  <c r="Q1014" i="155"/>
  <c r="Q1104" i="155"/>
  <c r="Q1040" i="155"/>
  <c r="Q1200" i="155"/>
  <c r="Q1196" i="155"/>
  <c r="Q1192" i="155"/>
  <c r="Q1188" i="155"/>
  <c r="Q1184" i="155"/>
  <c r="Q1180" i="155"/>
  <c r="Q1176" i="155"/>
  <c r="Q1172" i="155"/>
  <c r="Q1168" i="155"/>
  <c r="Q1226" i="155"/>
  <c r="Q1222" i="155"/>
  <c r="Q1218" i="155"/>
  <c r="Q1214" i="155"/>
  <c r="Q1210" i="155"/>
  <c r="Q1206" i="155"/>
  <c r="Q1300" i="155"/>
  <c r="Q1296" i="155"/>
  <c r="Q1292" i="155"/>
  <c r="Q1288" i="155"/>
  <c r="Q1284" i="155"/>
  <c r="Q1280" i="155"/>
  <c r="Q1276" i="155"/>
  <c r="Q1272" i="155"/>
  <c r="Q1268" i="155"/>
  <c r="Q1264" i="155"/>
  <c r="Q1203" i="155"/>
  <c r="Q1199" i="155"/>
  <c r="Q1195" i="155"/>
  <c r="Q1191" i="155"/>
  <c r="Q1187" i="155"/>
  <c r="Q1183" i="155"/>
  <c r="Q1179" i="155"/>
  <c r="Q1175" i="155"/>
  <c r="Q1171" i="155"/>
  <c r="Q1229" i="155"/>
  <c r="Q1225" i="155"/>
  <c r="Q1221" i="155"/>
  <c r="Q1217" i="155"/>
  <c r="Q1213" i="155"/>
  <c r="Q1209" i="155"/>
  <c r="Q1205" i="155"/>
  <c r="Q1299" i="155"/>
  <c r="Q1295" i="155"/>
  <c r="Q1291" i="155"/>
  <c r="Q1287" i="155"/>
  <c r="Q1283" i="155"/>
  <c r="Q1279" i="155"/>
  <c r="Q1275" i="155"/>
  <c r="Q1271" i="155"/>
  <c r="Q1267" i="155"/>
  <c r="Q1263" i="155"/>
  <c r="Q1202" i="155"/>
  <c r="Q1198" i="155"/>
  <c r="Q1194" i="155"/>
  <c r="Q1190" i="155"/>
  <c r="Q1186" i="155"/>
  <c r="Q1182" i="155"/>
  <c r="Q1178" i="155"/>
  <c r="Q1174" i="155"/>
  <c r="Q1170" i="155"/>
  <c r="Q1228" i="155"/>
  <c r="Q1224" i="155"/>
  <c r="Q1220" i="155"/>
  <c r="Q1216" i="155"/>
  <c r="Q1212" i="155"/>
  <c r="Q1208" i="155"/>
  <c r="Q1204" i="155"/>
  <c r="Q1298" i="155"/>
  <c r="Q1294" i="155"/>
  <c r="Q1290" i="155"/>
  <c r="Q1286" i="155"/>
  <c r="Q1282" i="155"/>
  <c r="Q1278" i="155"/>
  <c r="Q1274" i="155"/>
  <c r="Q1270" i="155"/>
  <c r="Q1266" i="155"/>
  <c r="Q1262" i="155"/>
  <c r="Q1201" i="155"/>
  <c r="Q1185" i="155"/>
  <c r="Q1169" i="155"/>
  <c r="Q1215" i="155"/>
  <c r="Q1297" i="155"/>
  <c r="Q1281" i="155"/>
  <c r="Q1265" i="155"/>
  <c r="Q1258" i="155"/>
  <c r="Q1254" i="155"/>
  <c r="Q1250" i="155"/>
  <c r="Q1246" i="155"/>
  <c r="Q1242" i="155"/>
  <c r="Q1238" i="155"/>
  <c r="Q1234" i="155"/>
  <c r="Q1230" i="155"/>
  <c r="Q1358" i="155"/>
  <c r="Q1354" i="155"/>
  <c r="Q1350" i="155"/>
  <c r="Q1346" i="155"/>
  <c r="Q1342" i="155"/>
  <c r="Q1338" i="155"/>
  <c r="Q1334" i="155"/>
  <c r="Q1330" i="155"/>
  <c r="Q1326" i="155"/>
  <c r="Q1322" i="155"/>
  <c r="Q1318" i="155"/>
  <c r="Q1314" i="155"/>
  <c r="Q1310" i="155"/>
  <c r="Q1306" i="155"/>
  <c r="Q1302" i="155"/>
  <c r="Q1394" i="155"/>
  <c r="Q1390" i="155"/>
  <c r="Q1386" i="155"/>
  <c r="Q1197" i="155"/>
  <c r="Q1181" i="155"/>
  <c r="Q1227" i="155"/>
  <c r="Q1211" i="155"/>
  <c r="Q1293" i="155"/>
  <c r="Q1277" i="155"/>
  <c r="Q1261" i="155"/>
  <c r="Q1257" i="155"/>
  <c r="Q1253" i="155"/>
  <c r="Q1249" i="155"/>
  <c r="Q1245" i="155"/>
  <c r="Q1241" i="155"/>
  <c r="Q1237" i="155"/>
  <c r="Q1233" i="155"/>
  <c r="Q1361" i="155"/>
  <c r="Q1357" i="155"/>
  <c r="Q1353" i="155"/>
  <c r="Q1349" i="155"/>
  <c r="Q1345" i="155"/>
  <c r="Q1341" i="155"/>
  <c r="Q1337" i="155"/>
  <c r="Q1333" i="155"/>
  <c r="Q1329" i="155"/>
  <c r="Q1325" i="155"/>
  <c r="Q1321" i="155"/>
  <c r="Q1317" i="155"/>
  <c r="Q1313" i="155"/>
  <c r="Q1309" i="155"/>
  <c r="Q1305" i="155"/>
  <c r="Q1393" i="155"/>
  <c r="Q1389" i="155"/>
  <c r="Q1385" i="155"/>
  <c r="Q1193" i="155"/>
  <c r="Q1177" i="155"/>
  <c r="Q1223" i="155"/>
  <c r="Q1207" i="155"/>
  <c r="Q1289" i="155"/>
  <c r="Q1273" i="155"/>
  <c r="Q1260" i="155"/>
  <c r="Q1256" i="155"/>
  <c r="Q1252" i="155"/>
  <c r="Q1248" i="155"/>
  <c r="Q1244" i="155"/>
  <c r="Q1240" i="155"/>
  <c r="Q1236" i="155"/>
  <c r="Q1232" i="155"/>
  <c r="Q1360" i="155"/>
  <c r="Q1356" i="155"/>
  <c r="Q1352" i="155"/>
  <c r="Q1348" i="155"/>
  <c r="Q1344" i="155"/>
  <c r="Q1340" i="155"/>
  <c r="Q1336" i="155"/>
  <c r="Q1332" i="155"/>
  <c r="Q1328" i="155"/>
  <c r="Q1324" i="155"/>
  <c r="Q1320" i="155"/>
  <c r="Q1316" i="155"/>
  <c r="Q1312" i="155"/>
  <c r="Q1308" i="155"/>
  <c r="Q1304" i="155"/>
  <c r="Q1392" i="155"/>
  <c r="Q1388" i="155"/>
  <c r="Q1189" i="155"/>
  <c r="Q1285" i="155"/>
  <c r="Q1251" i="155"/>
  <c r="Q1235" i="155"/>
  <c r="Q1351" i="155"/>
  <c r="Q1335" i="155"/>
  <c r="Q1319" i="155"/>
  <c r="Q1303" i="155"/>
  <c r="Q1387" i="155"/>
  <c r="Q1173" i="155"/>
  <c r="Q1269" i="155"/>
  <c r="Q1247" i="155"/>
  <c r="Q1231" i="155"/>
  <c r="Q1347" i="155"/>
  <c r="Q1331" i="155"/>
  <c r="Q1315" i="155"/>
  <c r="Q1219" i="155"/>
  <c r="Q1259" i="155"/>
  <c r="Q1243" i="155"/>
  <c r="Q1359" i="155"/>
  <c r="Q1343" i="155"/>
  <c r="Q1327" i="155"/>
  <c r="Q1311" i="155"/>
  <c r="Q1355" i="155"/>
  <c r="Q1307" i="155"/>
  <c r="Q1301" i="155"/>
  <c r="Q1339" i="155"/>
  <c r="Q1391" i="155"/>
  <c r="Q1239" i="155"/>
  <c r="Q1255" i="155"/>
  <c r="Q1323" i="155"/>
  <c r="Q2097" i="155"/>
  <c r="Q2038" i="155"/>
  <c r="Q2034" i="155"/>
  <c r="Q2030" i="155"/>
  <c r="Q2026" i="155"/>
  <c r="Q2065" i="155"/>
  <c r="Q2061" i="155"/>
  <c r="Q2057" i="155"/>
  <c r="Q2053" i="155"/>
  <c r="Q2049" i="155"/>
  <c r="Q2045" i="155"/>
  <c r="Q2041" i="155"/>
  <c r="Q2070" i="155"/>
  <c r="Q2096" i="155"/>
  <c r="Q2037" i="155"/>
  <c r="Q2033" i="155"/>
  <c r="Q2029" i="155"/>
  <c r="Q2025" i="155"/>
  <c r="Q2064" i="155"/>
  <c r="Q2060" i="155"/>
  <c r="Q2056" i="155"/>
  <c r="Q2052" i="155"/>
  <c r="Q2048" i="155"/>
  <c r="Q2044" i="155"/>
  <c r="Q2073" i="155"/>
  <c r="Q2069" i="155"/>
  <c r="Q2099" i="155"/>
  <c r="Q2040" i="155"/>
  <c r="Q2036" i="155"/>
  <c r="Q2032" i="155"/>
  <c r="Q2028" i="155"/>
  <c r="Q2067" i="155"/>
  <c r="Q2063" i="155"/>
  <c r="Q2059" i="155"/>
  <c r="Q2055" i="155"/>
  <c r="Q2051" i="155"/>
  <c r="Q2047" i="155"/>
  <c r="Q2043" i="155"/>
  <c r="Q2072" i="155"/>
  <c r="Q2068" i="155"/>
  <c r="Q2098" i="155"/>
  <c r="Q2027" i="155"/>
  <c r="Q2054" i="155"/>
  <c r="Q2071" i="155"/>
  <c r="Q2039" i="155"/>
  <c r="Q2066" i="155"/>
  <c r="Q2050" i="155"/>
  <c r="Q2035" i="155"/>
  <c r="Q2062" i="155"/>
  <c r="Q2046" i="155"/>
  <c r="Q2042" i="155"/>
  <c r="Q2031" i="155"/>
  <c r="Q2058" i="155"/>
  <c r="Q2161" i="155"/>
  <c r="Q2157" i="155"/>
  <c r="Q2153" i="155"/>
  <c r="Q2171" i="155"/>
  <c r="Q2167" i="155"/>
  <c r="Q2162" i="155"/>
  <c r="Q2156" i="155"/>
  <c r="Q2173" i="155"/>
  <c r="Q2168" i="155"/>
  <c r="Q2160" i="155"/>
  <c r="Q2155" i="155"/>
  <c r="Q2172" i="155"/>
  <c r="Q2166" i="155"/>
  <c r="Q2159" i="155"/>
  <c r="Q2154" i="155"/>
  <c r="Q2170" i="155"/>
  <c r="Q2165" i="155"/>
  <c r="Q2158" i="155"/>
  <c r="Q2174" i="155"/>
  <c r="Q2169" i="155"/>
  <c r="Q2163" i="155"/>
  <c r="Q2164" i="155"/>
  <c r="Q2347" i="155"/>
  <c r="Q2343" i="155"/>
  <c r="Q2339" i="155"/>
  <c r="Q2335" i="155"/>
  <c r="Q2331" i="155"/>
  <c r="Q2346" i="155"/>
  <c r="Q2342" i="155"/>
  <c r="Q2338" i="155"/>
  <c r="Q2334" i="155"/>
  <c r="Q2330" i="155"/>
  <c r="Q2349" i="155"/>
  <c r="Q2345" i="155"/>
  <c r="Q2341" i="155"/>
  <c r="Q2337" i="155"/>
  <c r="Q2333" i="155"/>
  <c r="Q2344" i="155"/>
  <c r="Q2340" i="155"/>
  <c r="Q2336" i="155"/>
  <c r="Q2348" i="155"/>
  <c r="Q2332" i="155"/>
  <c r="Q2635" i="155"/>
  <c r="Q2631" i="155"/>
  <c r="Q2627" i="155"/>
  <c r="Q2623" i="155"/>
  <c r="Q2619" i="155"/>
  <c r="Q2615" i="155"/>
  <c r="Q2611" i="155"/>
  <c r="Q2607" i="155"/>
  <c r="Q2603" i="155"/>
  <c r="Q2599" i="155"/>
  <c r="Q2595" i="155"/>
  <c r="Q2591" i="155"/>
  <c r="Q2587" i="155"/>
  <c r="Q2583" i="155"/>
  <c r="Q2579" i="155"/>
  <c r="Q2575" i="155"/>
  <c r="Q2571" i="155"/>
  <c r="Q2567" i="155"/>
  <c r="Q2563" i="155"/>
  <c r="Q2559" i="155"/>
  <c r="Q2555" i="155"/>
  <c r="Q2551" i="155"/>
  <c r="Q2547" i="155"/>
  <c r="Q2543" i="155"/>
  <c r="Q2539" i="155"/>
  <c r="Q2535" i="155"/>
  <c r="Q2531" i="155"/>
  <c r="Q2527" i="155"/>
  <c r="Q2523" i="155"/>
  <c r="Q2519" i="155"/>
  <c r="Q2515" i="155"/>
  <c r="Q2511" i="155"/>
  <c r="Q2507" i="155"/>
  <c r="Q2503" i="155"/>
  <c r="Q2499" i="155"/>
  <c r="Q2495" i="155"/>
  <c r="Q2634" i="155"/>
  <c r="Q2630" i="155"/>
  <c r="Q2626" i="155"/>
  <c r="Q2622" i="155"/>
  <c r="Q2618" i="155"/>
  <c r="Q2614" i="155"/>
  <c r="Q2610" i="155"/>
  <c r="Q2606" i="155"/>
  <c r="Q2602" i="155"/>
  <c r="Q2598" i="155"/>
  <c r="Q2594" i="155"/>
  <c r="Q2590" i="155"/>
  <c r="Q2586" i="155"/>
  <c r="Q2582" i="155"/>
  <c r="Q2578" i="155"/>
  <c r="Q2574" i="155"/>
  <c r="Q2570" i="155"/>
  <c r="Q2566" i="155"/>
  <c r="Q2562" i="155"/>
  <c r="Q2558" i="155"/>
  <c r="Q2554" i="155"/>
  <c r="Q2550" i="155"/>
  <c r="Q2546" i="155"/>
  <c r="Q2542" i="155"/>
  <c r="Q2538" i="155"/>
  <c r="Q2534" i="155"/>
  <c r="Q2530" i="155"/>
  <c r="Q2526" i="155"/>
  <c r="Q2522" i="155"/>
  <c r="Q2518" i="155"/>
  <c r="Q2514" i="155"/>
  <c r="Q2510" i="155"/>
  <c r="Q2506" i="155"/>
  <c r="Q2502" i="155"/>
  <c r="Q2498" i="155"/>
  <c r="Q2494" i="155"/>
  <c r="Q2633" i="155"/>
  <c r="Q2629" i="155"/>
  <c r="Q2625" i="155"/>
  <c r="Q2621" i="155"/>
  <c r="Q2617" i="155"/>
  <c r="Q2613" i="155"/>
  <c r="Q2609" i="155"/>
  <c r="Q2605" i="155"/>
  <c r="Q2601" i="155"/>
  <c r="Q2597" i="155"/>
  <c r="Q2593" i="155"/>
  <c r="Q2589" i="155"/>
  <c r="Q2585" i="155"/>
  <c r="Q2581" i="155"/>
  <c r="Q2577" i="155"/>
  <c r="Q2573" i="155"/>
  <c r="Q2569" i="155"/>
  <c r="Q2565" i="155"/>
  <c r="Q2561" i="155"/>
  <c r="Q2557" i="155"/>
  <c r="Q2553" i="155"/>
  <c r="Q2549" i="155"/>
  <c r="Q2545" i="155"/>
  <c r="Q2541" i="155"/>
  <c r="Q2537" i="155"/>
  <c r="Q2533" i="155"/>
  <c r="Q2529" i="155"/>
  <c r="Q2525" i="155"/>
  <c r="Q2521" i="155"/>
  <c r="Q2517" i="155"/>
  <c r="Q2513" i="155"/>
  <c r="Q2509" i="155"/>
  <c r="Q2505" i="155"/>
  <c r="Q2501" i="155"/>
  <c r="Q2497" i="155"/>
  <c r="Q2493" i="155"/>
  <c r="Q2624" i="155"/>
  <c r="Q2608" i="155"/>
  <c r="Q2592" i="155"/>
  <c r="Q2576" i="155"/>
  <c r="Q2560" i="155"/>
  <c r="Q2544" i="155"/>
  <c r="Q2528" i="155"/>
  <c r="Q2512" i="155"/>
  <c r="Q2496" i="155"/>
  <c r="Q2636" i="155"/>
  <c r="Q2620" i="155"/>
  <c r="Q2604" i="155"/>
  <c r="Q2588" i="155"/>
  <c r="Q2572" i="155"/>
  <c r="Q2556" i="155"/>
  <c r="Q2540" i="155"/>
  <c r="Q2524" i="155"/>
  <c r="Q2508" i="155"/>
  <c r="Q2632" i="155"/>
  <c r="Q2616" i="155"/>
  <c r="Q2600" i="155"/>
  <c r="Q2584" i="155"/>
  <c r="Q2568" i="155"/>
  <c r="Q2552" i="155"/>
  <c r="Q2536" i="155"/>
  <c r="Q2520" i="155"/>
  <c r="Q2504" i="155"/>
  <c r="Q2596" i="155"/>
  <c r="Q2532" i="155"/>
  <c r="Q2580" i="155"/>
  <c r="Q2516" i="155"/>
  <c r="Q2628" i="155"/>
  <c r="Q2564" i="155"/>
  <c r="Q2500" i="155"/>
  <c r="Q2612" i="155"/>
  <c r="Q2548" i="155"/>
  <c r="Q2643" i="155"/>
  <c r="Q2639" i="155"/>
  <c r="Q2642" i="155"/>
  <c r="Q2638" i="155"/>
  <c r="Q2641" i="155"/>
  <c r="Q2637" i="155"/>
  <c r="Q2640" i="155"/>
  <c r="Q2644" i="155"/>
  <c r="Q1767" i="155"/>
  <c r="Q1763" i="155"/>
  <c r="Q1766" i="155"/>
  <c r="Q1765" i="155"/>
  <c r="Q1764" i="155"/>
  <c r="Q732" i="155"/>
  <c r="Q728" i="155"/>
  <c r="Q724" i="155"/>
  <c r="Q720" i="155"/>
  <c r="Q716" i="155"/>
  <c r="Q712" i="155"/>
  <c r="Q708" i="155"/>
  <c r="Q704" i="155"/>
  <c r="Q700" i="155"/>
  <c r="Q696" i="155"/>
  <c r="Q692" i="155"/>
  <c r="Q688" i="155"/>
  <c r="Q684" i="155"/>
  <c r="Q680" i="155"/>
  <c r="Q803" i="155"/>
  <c r="Q799" i="155"/>
  <c r="Q795" i="155"/>
  <c r="Q791" i="155"/>
  <c r="Q787" i="155"/>
  <c r="Q731" i="155"/>
  <c r="Q727" i="155"/>
  <c r="Q723" i="155"/>
  <c r="Q719" i="155"/>
  <c r="Q715" i="155"/>
  <c r="Q711" i="155"/>
  <c r="Q707" i="155"/>
  <c r="Q703" i="155"/>
  <c r="Q699" i="155"/>
  <c r="Q695" i="155"/>
  <c r="Q691" i="155"/>
  <c r="Q687" i="155"/>
  <c r="Q683" i="155"/>
  <c r="Q679" i="155"/>
  <c r="Q802" i="155"/>
  <c r="Q798" i="155"/>
  <c r="Q794" i="155"/>
  <c r="Q790" i="155"/>
  <c r="Q730" i="155"/>
  <c r="Q726" i="155"/>
  <c r="Q722" i="155"/>
  <c r="Q718" i="155"/>
  <c r="Q714" i="155"/>
  <c r="Q710" i="155"/>
  <c r="Q706" i="155"/>
  <c r="Q702" i="155"/>
  <c r="Q698" i="155"/>
  <c r="Q694" i="155"/>
  <c r="Q690" i="155"/>
  <c r="Q686" i="155"/>
  <c r="Q682" i="155"/>
  <c r="Q805" i="155"/>
  <c r="Q801" i="155"/>
  <c r="Q797" i="155"/>
  <c r="Q793" i="155"/>
  <c r="Q789" i="155"/>
  <c r="Q725" i="155"/>
  <c r="Q709" i="155"/>
  <c r="Q693" i="155"/>
  <c r="Q804" i="155"/>
  <c r="Q788" i="155"/>
  <c r="Q713" i="155"/>
  <c r="Q792" i="155"/>
  <c r="Q721" i="155"/>
  <c r="Q705" i="155"/>
  <c r="Q689" i="155"/>
  <c r="Q800" i="155"/>
  <c r="Q729" i="155"/>
  <c r="Q697" i="155"/>
  <c r="Q717" i="155"/>
  <c r="Q701" i="155"/>
  <c r="Q685" i="155"/>
  <c r="Q796" i="155"/>
  <c r="Q681" i="155"/>
  <c r="Q928" i="155"/>
  <c r="Q924" i="155"/>
  <c r="Q920" i="155"/>
  <c r="Q916" i="155"/>
  <c r="Q912" i="155"/>
  <c r="Q908" i="155"/>
  <c r="Q904" i="155"/>
  <c r="Q931" i="155"/>
  <c r="Q927" i="155"/>
  <c r="Q923" i="155"/>
  <c r="Q919" i="155"/>
  <c r="Q915" i="155"/>
  <c r="Q911" i="155"/>
  <c r="Q907" i="155"/>
  <c r="Q930" i="155"/>
  <c r="Q926" i="155"/>
  <c r="Q922" i="155"/>
  <c r="Q918" i="155"/>
  <c r="Q914" i="155"/>
  <c r="Q910" i="155"/>
  <c r="Q906" i="155"/>
  <c r="Q929" i="155"/>
  <c r="Q913" i="155"/>
  <c r="Q925" i="155"/>
  <c r="Q909" i="155"/>
  <c r="Q921" i="155"/>
  <c r="Q905" i="155"/>
  <c r="Q917" i="155"/>
  <c r="Q1418" i="155"/>
  <c r="Q1414" i="155"/>
  <c r="Q1410" i="155"/>
  <c r="Q1406" i="155"/>
  <c r="Q1473" i="155"/>
  <c r="Q1469" i="155"/>
  <c r="Q1465" i="155"/>
  <c r="Q1461" i="155"/>
  <c r="Q1438" i="155"/>
  <c r="Q1434" i="155"/>
  <c r="Q1430" i="155"/>
  <c r="Q1426" i="155"/>
  <c r="Q1422" i="155"/>
  <c r="Q1530" i="155"/>
  <c r="Q1526" i="155"/>
  <c r="Q1522" i="155"/>
  <c r="Q1518" i="155"/>
  <c r="Q1514" i="155"/>
  <c r="Q1510" i="155"/>
  <c r="Q1506" i="155"/>
  <c r="Q1502" i="155"/>
  <c r="Q1498" i="155"/>
  <c r="Q1494" i="155"/>
  <c r="Q1417" i="155"/>
  <c r="Q1413" i="155"/>
  <c r="Q1409" i="155"/>
  <c r="Q1405" i="155"/>
  <c r="Q1472" i="155"/>
  <c r="Q1468" i="155"/>
  <c r="Q1464" i="155"/>
  <c r="Q1460" i="155"/>
  <c r="Q1437" i="155"/>
  <c r="Q1433" i="155"/>
  <c r="Q1429" i="155"/>
  <c r="Q1425" i="155"/>
  <c r="Q1421" i="155"/>
  <c r="Q1529" i="155"/>
  <c r="Q1525" i="155"/>
  <c r="Q1521" i="155"/>
  <c r="Q1517" i="155"/>
  <c r="Q1513" i="155"/>
  <c r="Q1509" i="155"/>
  <c r="Q1505" i="155"/>
  <c r="Q1501" i="155"/>
  <c r="Q1497" i="155"/>
  <c r="Q1416" i="155"/>
  <c r="Q1412" i="155"/>
  <c r="Q1408" i="155"/>
  <c r="Q1475" i="155"/>
  <c r="Q1471" i="155"/>
  <c r="Q1467" i="155"/>
  <c r="Q1463" i="155"/>
  <c r="Q1459" i="155"/>
  <c r="Q1436" i="155"/>
  <c r="Q1432" i="155"/>
  <c r="Q1428" i="155"/>
  <c r="Q1424" i="155"/>
  <c r="Q1420" i="155"/>
  <c r="Q1528" i="155"/>
  <c r="Q1524" i="155"/>
  <c r="Q1520" i="155"/>
  <c r="Q1516" i="155"/>
  <c r="Q1512" i="155"/>
  <c r="Q1508" i="155"/>
  <c r="Q1504" i="155"/>
  <c r="Q1500" i="155"/>
  <c r="Q1496" i="155"/>
  <c r="Q1407" i="155"/>
  <c r="Q1462" i="155"/>
  <c r="Q1427" i="155"/>
  <c r="Q1523" i="155"/>
  <c r="Q1507" i="155"/>
  <c r="Q1419" i="155"/>
  <c r="Q1474" i="155"/>
  <c r="Q1458" i="155"/>
  <c r="Q1423" i="155"/>
  <c r="Q1519" i="155"/>
  <c r="Q1503" i="155"/>
  <c r="Q1415" i="155"/>
  <c r="Q1470" i="155"/>
  <c r="Q1435" i="155"/>
  <c r="Q1531" i="155"/>
  <c r="Q1515" i="155"/>
  <c r="Q1499" i="155"/>
  <c r="Q1431" i="155"/>
  <c r="Q1527" i="155"/>
  <c r="Q1411" i="155"/>
  <c r="Q1511" i="155"/>
  <c r="Q1495" i="155"/>
  <c r="Q1466" i="155"/>
  <c r="Q2088" i="155"/>
  <c r="Q2084" i="155"/>
  <c r="Q2080" i="155"/>
  <c r="Q2490" i="155"/>
  <c r="Q2087" i="155"/>
  <c r="Q2083" i="155"/>
  <c r="Q2079" i="155"/>
  <c r="Q2489" i="155"/>
  <c r="Q2090" i="155"/>
  <c r="Q2086" i="155"/>
  <c r="Q2082" i="155"/>
  <c r="Q2492" i="155"/>
  <c r="Q2089" i="155"/>
  <c r="Q2085" i="155"/>
  <c r="Q2081" i="155"/>
  <c r="Q2491" i="155"/>
  <c r="Q2191" i="155"/>
  <c r="Q2190" i="155"/>
  <c r="Q2189" i="155"/>
  <c r="Q2185" i="155"/>
  <c r="Q2187" i="155"/>
  <c r="Q2186" i="155"/>
  <c r="Q2184" i="155"/>
  <c r="Q2188" i="155"/>
  <c r="Q2383" i="155"/>
  <c r="Q2379" i="155"/>
  <c r="Q2375" i="155"/>
  <c r="Q2371" i="155"/>
  <c r="Q2367" i="155"/>
  <c r="Q2363" i="155"/>
  <c r="Q2382" i="155"/>
  <c r="Q2378" i="155"/>
  <c r="Q2374" i="155"/>
  <c r="Q2370" i="155"/>
  <c r="Q2366" i="155"/>
  <c r="Q2362" i="155"/>
  <c r="Q2381" i="155"/>
  <c r="Q2377" i="155"/>
  <c r="Q2373" i="155"/>
  <c r="Q2369" i="155"/>
  <c r="Q2365" i="155"/>
  <c r="Q2361" i="155"/>
  <c r="Q2376" i="155"/>
  <c r="Q2360" i="155"/>
  <c r="Q2356" i="155"/>
  <c r="Q2352" i="155"/>
  <c r="Q2408" i="155"/>
  <c r="Q2404" i="155"/>
  <c r="Q2400" i="155"/>
  <c r="Q2396" i="155"/>
  <c r="Q2392" i="155"/>
  <c r="Q2388" i="155"/>
  <c r="Q2384" i="155"/>
  <c r="Q2415" i="155"/>
  <c r="Q2411" i="155"/>
  <c r="Q2428" i="155"/>
  <c r="Q2424" i="155"/>
  <c r="Q2420" i="155"/>
  <c r="Q2372" i="155"/>
  <c r="Q2359" i="155"/>
  <c r="Q2355" i="155"/>
  <c r="Q2351" i="155"/>
  <c r="Q2407" i="155"/>
  <c r="Q2403" i="155"/>
  <c r="Q2399" i="155"/>
  <c r="Q2395" i="155"/>
  <c r="Q2391" i="155"/>
  <c r="Q2387" i="155"/>
  <c r="Q2418" i="155"/>
  <c r="Q2414" i="155"/>
  <c r="Q2410" i="155"/>
  <c r="Q2427" i="155"/>
  <c r="Q2423" i="155"/>
  <c r="Q2419" i="155"/>
  <c r="Q2368" i="155"/>
  <c r="Q2358" i="155"/>
  <c r="Q2354" i="155"/>
  <c r="Q2350" i="155"/>
  <c r="Q2406" i="155"/>
  <c r="Q2402" i="155"/>
  <c r="Q2398" i="155"/>
  <c r="Q2394" i="155"/>
  <c r="Q2390" i="155"/>
  <c r="Q2386" i="155"/>
  <c r="Q2417" i="155"/>
  <c r="Q2413" i="155"/>
  <c r="Q2430" i="155"/>
  <c r="Q2426" i="155"/>
  <c r="Q2422" i="155"/>
  <c r="Q2364" i="155"/>
  <c r="Q2405" i="155"/>
  <c r="Q2389" i="155"/>
  <c r="Q2429" i="155"/>
  <c r="Q2357" i="155"/>
  <c r="Q2401" i="155"/>
  <c r="Q2385" i="155"/>
  <c r="Q2425" i="155"/>
  <c r="Q2353" i="155"/>
  <c r="Q2397" i="155"/>
  <c r="Q2416" i="155"/>
  <c r="Q2421" i="155"/>
  <c r="Q2380" i="155"/>
  <c r="Q2409" i="155"/>
  <c r="Q2393" i="155"/>
  <c r="Q2412" i="155"/>
  <c r="Q2684" i="155"/>
  <c r="Q2680" i="155"/>
  <c r="Q2676" i="155"/>
  <c r="Q2672" i="155"/>
  <c r="Q2668" i="155"/>
  <c r="Q2706" i="155"/>
  <c r="Q2687" i="155"/>
  <c r="Q2683" i="155"/>
  <c r="Q2679" i="155"/>
  <c r="Q2675" i="155"/>
  <c r="Q2671" i="155"/>
  <c r="Q2667" i="155"/>
  <c r="Q2705" i="155"/>
  <c r="Q2686" i="155"/>
  <c r="Q2682" i="155"/>
  <c r="Q2678" i="155"/>
  <c r="Q2674" i="155"/>
  <c r="Q2670" i="155"/>
  <c r="Q2708" i="155"/>
  <c r="Q2704" i="155"/>
  <c r="Q2681" i="155"/>
  <c r="Q2707" i="155"/>
  <c r="Q2677" i="155"/>
  <c r="Q2673" i="155"/>
  <c r="Q2685" i="155"/>
  <c r="Q2669" i="155"/>
  <c r="Q2022" i="155"/>
  <c r="Q2018" i="155"/>
  <c r="Q2021" i="155"/>
  <c r="Q2017" i="155"/>
  <c r="Q2024" i="155"/>
  <c r="Q2020" i="155"/>
  <c r="Q2016" i="155"/>
  <c r="Q2023" i="155"/>
  <c r="Q2019" i="155"/>
  <c r="Q361" i="155"/>
  <c r="Q357" i="155"/>
  <c r="Q353" i="155"/>
  <c r="Q349" i="155"/>
  <c r="Q345" i="155"/>
  <c r="Q341" i="155"/>
  <c r="Q337" i="155"/>
  <c r="Q333" i="155"/>
  <c r="Q329" i="155"/>
  <c r="Q325" i="155"/>
  <c r="Q321" i="155"/>
  <c r="Q30" i="155"/>
  <c r="Q26" i="155"/>
  <c r="Q22" i="155"/>
  <c r="Q18" i="155"/>
  <c r="Q14" i="155"/>
  <c r="Q10" i="155"/>
  <c r="Q6" i="155"/>
  <c r="Q62" i="155"/>
  <c r="Q58" i="155"/>
  <c r="Q54" i="155"/>
  <c r="Q50" i="155"/>
  <c r="Q46" i="155"/>
  <c r="Q86" i="155"/>
  <c r="Q82" i="155"/>
  <c r="Q78" i="155"/>
  <c r="Q74" i="155"/>
  <c r="Q70" i="155"/>
  <c r="Q66" i="155"/>
  <c r="Q96" i="155"/>
  <c r="Q92" i="155"/>
  <c r="Q88" i="155"/>
  <c r="Q108" i="155"/>
  <c r="Q104" i="155"/>
  <c r="Q100" i="155"/>
  <c r="Q212" i="155"/>
  <c r="Q208" i="155"/>
  <c r="Q204" i="155"/>
  <c r="Q200" i="155"/>
  <c r="Q196" i="155"/>
  <c r="Q191" i="155"/>
  <c r="Q360" i="155"/>
  <c r="Q356" i="155"/>
  <c r="Q352" i="155"/>
  <c r="Q348" i="155"/>
  <c r="Q344" i="155"/>
  <c r="Q340" i="155"/>
  <c r="Q336" i="155"/>
  <c r="Q332" i="155"/>
  <c r="Q328" i="155"/>
  <c r="Q324" i="155"/>
  <c r="Q33" i="155"/>
  <c r="Q29" i="155"/>
  <c r="Q25" i="155"/>
  <c r="Q21" i="155"/>
  <c r="Q17" i="155"/>
  <c r="Q13" i="155"/>
  <c r="Q9" i="155"/>
  <c r="Q65" i="155"/>
  <c r="Q61" i="155"/>
  <c r="Q57" i="155"/>
  <c r="Q53" i="155"/>
  <c r="Q49" i="155"/>
  <c r="Q45" i="155"/>
  <c r="Q85" i="155"/>
  <c r="Q81" i="155"/>
  <c r="Q77" i="155"/>
  <c r="Q73" i="155"/>
  <c r="Q69" i="155"/>
  <c r="Q99" i="155"/>
  <c r="Q95" i="155"/>
  <c r="Q91" i="155"/>
  <c r="Q111" i="155"/>
  <c r="Q107" i="155"/>
  <c r="Q103" i="155"/>
  <c r="Q215" i="155"/>
  <c r="Q211" i="155"/>
  <c r="Q207" i="155"/>
  <c r="Q203" i="155"/>
  <c r="Q199" i="155"/>
  <c r="Q194" i="155"/>
  <c r="Q190" i="155"/>
  <c r="Q359" i="155"/>
  <c r="Q355" i="155"/>
  <c r="Q351" i="155"/>
  <c r="Q347" i="155"/>
  <c r="Q343" i="155"/>
  <c r="Q339" i="155"/>
  <c r="Q335" i="155"/>
  <c r="Q331" i="155"/>
  <c r="Q327" i="155"/>
  <c r="Q323" i="155"/>
  <c r="Q32" i="155"/>
  <c r="Q28" i="155"/>
  <c r="Q24" i="155"/>
  <c r="Q20" i="155"/>
  <c r="Q16" i="155"/>
  <c r="Q12" i="155"/>
  <c r="Q8" i="155"/>
  <c r="Q64" i="155"/>
  <c r="Q60" i="155"/>
  <c r="Q56" i="155"/>
  <c r="Q52" i="155"/>
  <c r="Q48" i="155"/>
  <c r="Q44" i="155"/>
  <c r="Q84" i="155"/>
  <c r="Q80" i="155"/>
  <c r="Q76" i="155"/>
  <c r="Q72" i="155"/>
  <c r="Q68" i="155"/>
  <c r="Q98" i="155"/>
  <c r="Q94" i="155"/>
  <c r="Q90" i="155"/>
  <c r="Q110" i="155"/>
  <c r="Q106" i="155"/>
  <c r="Q102" i="155"/>
  <c r="Q214" i="155"/>
  <c r="Q210" i="155"/>
  <c r="Q206" i="155"/>
  <c r="Q202" i="155"/>
  <c r="Q198" i="155"/>
  <c r="Q193" i="155"/>
  <c r="Q189" i="155"/>
  <c r="Q358" i="155"/>
  <c r="Q342" i="155"/>
  <c r="Q326" i="155"/>
  <c r="Q23" i="155"/>
  <c r="Q7" i="155"/>
  <c r="Q51" i="155"/>
  <c r="Q79" i="155"/>
  <c r="Q97" i="155"/>
  <c r="Q105" i="155"/>
  <c r="Q205" i="155"/>
  <c r="Q188" i="155"/>
  <c r="Q184" i="155"/>
  <c r="Q180" i="155"/>
  <c r="Q176" i="155"/>
  <c r="Q172" i="155"/>
  <c r="Q168" i="155"/>
  <c r="Q164" i="155"/>
  <c r="Q160" i="155"/>
  <c r="Q156" i="155"/>
  <c r="Q151" i="155"/>
  <c r="Q147" i="155"/>
  <c r="Q143" i="155"/>
  <c r="Q139" i="155"/>
  <c r="Q135" i="155"/>
  <c r="Q131" i="155"/>
  <c r="Q127" i="155"/>
  <c r="Q123" i="155"/>
  <c r="Q119" i="155"/>
  <c r="Q115" i="155"/>
  <c r="Q227" i="155"/>
  <c r="Q223" i="155"/>
  <c r="Q219" i="155"/>
  <c r="Q232" i="155"/>
  <c r="Q228" i="155"/>
  <c r="Q233" i="155"/>
  <c r="Q276" i="155"/>
  <c r="Q272" i="155"/>
  <c r="Q268" i="155"/>
  <c r="Q264" i="155"/>
  <c r="Q260" i="155"/>
  <c r="Q256" i="155"/>
  <c r="Q252" i="155"/>
  <c r="Q248" i="155"/>
  <c r="Q244" i="155"/>
  <c r="Q240" i="155"/>
  <c r="Q400" i="155"/>
  <c r="Q396" i="155"/>
  <c r="Q392" i="155"/>
  <c r="Q388" i="155"/>
  <c r="Q384" i="155"/>
  <c r="Q380" i="155"/>
  <c r="Q376" i="155"/>
  <c r="Q372" i="155"/>
  <c r="Q368" i="155"/>
  <c r="Q364" i="155"/>
  <c r="Q319" i="155"/>
  <c r="Q315" i="155"/>
  <c r="Q311" i="155"/>
  <c r="Q307" i="155"/>
  <c r="Q303" i="155"/>
  <c r="Q299" i="155"/>
  <c r="Q295" i="155"/>
  <c r="Q291" i="155"/>
  <c r="Q287" i="155"/>
  <c r="Q283" i="155"/>
  <c r="Q43" i="155"/>
  <c r="Q39" i="155"/>
  <c r="Q35" i="155"/>
  <c r="Q1138" i="155"/>
  <c r="Q1134" i="155"/>
  <c r="Q1130" i="155"/>
  <c r="Q1164" i="155"/>
  <c r="Q2479" i="155"/>
  <c r="Q2475" i="155"/>
  <c r="Q2471" i="155"/>
  <c r="Q2467" i="155"/>
  <c r="Q2748" i="155"/>
  <c r="Q2744" i="155"/>
  <c r="Q2740" i="155"/>
  <c r="Q2736" i="155"/>
  <c r="Q2732" i="155"/>
  <c r="Q2728" i="155"/>
  <c r="Q2724" i="155"/>
  <c r="Q2720" i="155"/>
  <c r="Q2716" i="155"/>
  <c r="Q2712" i="155"/>
  <c r="Q2775" i="155"/>
  <c r="Q2771" i="155"/>
  <c r="Q2767" i="155"/>
  <c r="Q2763" i="155"/>
  <c r="Q2759" i="155"/>
  <c r="Q2755" i="155"/>
  <c r="Q2751" i="155"/>
  <c r="Q2806" i="155"/>
  <c r="Q2802" i="155"/>
  <c r="Q2798" i="155"/>
  <c r="Q2794" i="155"/>
  <c r="Q2790" i="155"/>
  <c r="Q2786" i="155"/>
  <c r="Q2782" i="155"/>
  <c r="Q2778" i="155"/>
  <c r="Q346" i="155"/>
  <c r="Q11" i="155"/>
  <c r="Q67" i="155"/>
  <c r="Q192" i="155"/>
  <c r="Q177" i="155"/>
  <c r="Q161" i="155"/>
  <c r="Q148" i="155"/>
  <c r="Q136" i="155"/>
  <c r="Q124" i="155"/>
  <c r="Q224" i="155"/>
  <c r="Q234" i="155"/>
  <c r="Q269" i="155"/>
  <c r="Q257" i="155"/>
  <c r="Q245" i="155"/>
  <c r="Q393" i="155"/>
  <c r="Q381" i="155"/>
  <c r="Q365" i="155"/>
  <c r="Q312" i="155"/>
  <c r="Q300" i="155"/>
  <c r="Q288" i="155"/>
  <c r="Q40" i="155"/>
  <c r="Q1135" i="155"/>
  <c r="Q2476" i="155"/>
  <c r="Q2749" i="155"/>
  <c r="Q2737" i="155"/>
  <c r="Q2725" i="155"/>
  <c r="Q2713" i="155"/>
  <c r="Q2768" i="155"/>
  <c r="Q2760" i="155"/>
  <c r="Q2795" i="155"/>
  <c r="Q2783" i="155"/>
  <c r="Q354" i="155"/>
  <c r="Q338" i="155"/>
  <c r="Q322" i="155"/>
  <c r="Q19" i="155"/>
  <c r="Q63" i="155"/>
  <c r="Q47" i="155"/>
  <c r="Q75" i="155"/>
  <c r="Q93" i="155"/>
  <c r="Q101" i="155"/>
  <c r="Q201" i="155"/>
  <c r="Q187" i="155"/>
  <c r="Q183" i="155"/>
  <c r="Q179" i="155"/>
  <c r="Q175" i="155"/>
  <c r="Q171" i="155"/>
  <c r="Q167" i="155"/>
  <c r="Q163" i="155"/>
  <c r="Q159" i="155"/>
  <c r="Q155" i="155"/>
  <c r="Q150" i="155"/>
  <c r="Q146" i="155"/>
  <c r="Q142" i="155"/>
  <c r="Q138" i="155"/>
  <c r="Q134" i="155"/>
  <c r="Q130" i="155"/>
  <c r="Q126" i="155"/>
  <c r="Q122" i="155"/>
  <c r="Q118" i="155"/>
  <c r="Q114" i="155"/>
  <c r="Q226" i="155"/>
  <c r="Q222" i="155"/>
  <c r="Q218" i="155"/>
  <c r="Q231" i="155"/>
  <c r="Q236" i="155"/>
  <c r="Q279" i="155"/>
  <c r="Q275" i="155"/>
  <c r="Q271" i="155"/>
  <c r="Q267" i="155"/>
  <c r="Q263" i="155"/>
  <c r="Q259" i="155"/>
  <c r="Q255" i="155"/>
  <c r="Q251" i="155"/>
  <c r="Q247" i="155"/>
  <c r="Q243" i="155"/>
  <c r="Q239" i="155"/>
  <c r="Q399" i="155"/>
  <c r="Q395" i="155"/>
  <c r="Q391" i="155"/>
  <c r="Q387" i="155"/>
  <c r="Q383" i="155"/>
  <c r="Q379" i="155"/>
  <c r="Q375" i="155"/>
  <c r="Q371" i="155"/>
  <c r="Q367" i="155"/>
  <c r="Q363" i="155"/>
  <c r="Q318" i="155"/>
  <c r="Q314" i="155"/>
  <c r="Q310" i="155"/>
  <c r="Q306" i="155"/>
  <c r="Q302" i="155"/>
  <c r="Q298" i="155"/>
  <c r="Q294" i="155"/>
  <c r="Q290" i="155"/>
  <c r="Q286" i="155"/>
  <c r="Q282" i="155"/>
  <c r="Q42" i="155"/>
  <c r="Q38" i="155"/>
  <c r="Q34" i="155"/>
  <c r="Q1137" i="155"/>
  <c r="Q1133" i="155"/>
  <c r="Q1129" i="155"/>
  <c r="Q1163" i="155"/>
  <c r="Q2478" i="155"/>
  <c r="Q2474" i="155"/>
  <c r="Q2470" i="155"/>
  <c r="Q2466" i="155"/>
  <c r="Q2747" i="155"/>
  <c r="Q2743" i="155"/>
  <c r="Q2739" i="155"/>
  <c r="Q2735" i="155"/>
  <c r="Q2731" i="155"/>
  <c r="Q2727" i="155"/>
  <c r="Q2723" i="155"/>
  <c r="Q2719" i="155"/>
  <c r="Q2715" i="155"/>
  <c r="Q2711" i="155"/>
  <c r="Q2774" i="155"/>
  <c r="Q2770" i="155"/>
  <c r="Q2766" i="155"/>
  <c r="Q2762" i="155"/>
  <c r="Q2758" i="155"/>
  <c r="Q2754" i="155"/>
  <c r="Q2750" i="155"/>
  <c r="Q2805" i="155"/>
  <c r="Q2801" i="155"/>
  <c r="Q2797" i="155"/>
  <c r="Q2793" i="155"/>
  <c r="Q2789" i="155"/>
  <c r="Q2785" i="155"/>
  <c r="Q2781" i="155"/>
  <c r="Q2777" i="155"/>
  <c r="Q330" i="155"/>
  <c r="Q55" i="155"/>
  <c r="Q109" i="155"/>
  <c r="Q185" i="155"/>
  <c r="Q169" i="155"/>
  <c r="Q157" i="155"/>
  <c r="Q144" i="155"/>
  <c r="Q132" i="155"/>
  <c r="Q120" i="155"/>
  <c r="Q112" i="155"/>
  <c r="Q229" i="155"/>
  <c r="Q273" i="155"/>
  <c r="Q261" i="155"/>
  <c r="Q253" i="155"/>
  <c r="Q241" i="155"/>
  <c r="Q397" i="155"/>
  <c r="Q385" i="155"/>
  <c r="Q373" i="155"/>
  <c r="Q320" i="155"/>
  <c r="Q308" i="155"/>
  <c r="Q296" i="155"/>
  <c r="Q284" i="155"/>
  <c r="Q36" i="155"/>
  <c r="Q1131" i="155"/>
  <c r="Q2480" i="155"/>
  <c r="Q2468" i="155"/>
  <c r="Q2741" i="155"/>
  <c r="Q2729" i="155"/>
  <c r="Q2717" i="155"/>
  <c r="Q2709" i="155"/>
  <c r="Q2764" i="155"/>
  <c r="Q2752" i="155"/>
  <c r="Q2803" i="155"/>
  <c r="Q2791" i="155"/>
  <c r="Q2779" i="155"/>
  <c r="Q350" i="155"/>
  <c r="Q334" i="155"/>
  <c r="Q31" i="155"/>
  <c r="Q15" i="155"/>
  <c r="Q59" i="155"/>
  <c r="Q87" i="155"/>
  <c r="Q71" i="155"/>
  <c r="Q89" i="155"/>
  <c r="Q213" i="155"/>
  <c r="Q197" i="155"/>
  <c r="Q186" i="155"/>
  <c r="Q182" i="155"/>
  <c r="Q178" i="155"/>
  <c r="Q174" i="155"/>
  <c r="Q170" i="155"/>
  <c r="Q166" i="155"/>
  <c r="Q162" i="155"/>
  <c r="Q158" i="155"/>
  <c r="Q154" i="155"/>
  <c r="Q149" i="155"/>
  <c r="Q145" i="155"/>
  <c r="Q141" i="155"/>
  <c r="Q137" i="155"/>
  <c r="Q133" i="155"/>
  <c r="Q129" i="155"/>
  <c r="Q125" i="155"/>
  <c r="Q121" i="155"/>
  <c r="Q117" i="155"/>
  <c r="Q113" i="155"/>
  <c r="Q225" i="155"/>
  <c r="Q221" i="155"/>
  <c r="Q217" i="155"/>
  <c r="Q230" i="155"/>
  <c r="Q235" i="155"/>
  <c r="Q278" i="155"/>
  <c r="Q274" i="155"/>
  <c r="Q270" i="155"/>
  <c r="Q266" i="155"/>
  <c r="Q262" i="155"/>
  <c r="Q258" i="155"/>
  <c r="Q254" i="155"/>
  <c r="Q250" i="155"/>
  <c r="Q246" i="155"/>
  <c r="Q242" i="155"/>
  <c r="Q238" i="155"/>
  <c r="Q398" i="155"/>
  <c r="Q394" i="155"/>
  <c r="Q390" i="155"/>
  <c r="Q386" i="155"/>
  <c r="Q382" i="155"/>
  <c r="Q378" i="155"/>
  <c r="Q374" i="155"/>
  <c r="Q370" i="155"/>
  <c r="Q366" i="155"/>
  <c r="Q362" i="155"/>
  <c r="Q317" i="155"/>
  <c r="Q313" i="155"/>
  <c r="Q309" i="155"/>
  <c r="Q305" i="155"/>
  <c r="Q301" i="155"/>
  <c r="Q297" i="155"/>
  <c r="Q293" i="155"/>
  <c r="Q289" i="155"/>
  <c r="Q285" i="155"/>
  <c r="Q281" i="155"/>
  <c r="Q41" i="155"/>
  <c r="Q37" i="155"/>
  <c r="Q1140" i="155"/>
  <c r="Q1136" i="155"/>
  <c r="Q1132" i="155"/>
  <c r="Q1166" i="155"/>
  <c r="Q1162" i="155"/>
  <c r="Q2477" i="155"/>
  <c r="Q2473" i="155"/>
  <c r="Q2469" i="155"/>
  <c r="Q2465" i="155"/>
  <c r="Q2746" i="155"/>
  <c r="Q2742" i="155"/>
  <c r="Q2738" i="155"/>
  <c r="Q2734" i="155"/>
  <c r="Q2730" i="155"/>
  <c r="Q2726" i="155"/>
  <c r="Q2722" i="155"/>
  <c r="Q2718" i="155"/>
  <c r="Q2714" i="155"/>
  <c r="Q2710" i="155"/>
  <c r="Q2773" i="155"/>
  <c r="Q2769" i="155"/>
  <c r="Q2765" i="155"/>
  <c r="Q2761" i="155"/>
  <c r="Q2757" i="155"/>
  <c r="Q2753" i="155"/>
  <c r="Q2804" i="155"/>
  <c r="Q2800" i="155"/>
  <c r="Q2796" i="155"/>
  <c r="Q2792" i="155"/>
  <c r="Q2788" i="155"/>
  <c r="Q2784" i="155"/>
  <c r="Q2780" i="155"/>
  <c r="Q2776" i="155"/>
  <c r="Q27" i="155"/>
  <c r="Q83" i="155"/>
  <c r="Q209" i="155"/>
  <c r="Q181" i="155"/>
  <c r="Q173" i="155"/>
  <c r="Q165" i="155"/>
  <c r="Q152" i="155"/>
  <c r="Q140" i="155"/>
  <c r="Q128" i="155"/>
  <c r="Q116" i="155"/>
  <c r="Q220" i="155"/>
  <c r="Q216" i="155"/>
  <c r="Q277" i="155"/>
  <c r="Q265" i="155"/>
  <c r="Q249" i="155"/>
  <c r="Q237" i="155"/>
  <c r="Q389" i="155"/>
  <c r="Q377" i="155"/>
  <c r="Q369" i="155"/>
  <c r="Q316" i="155"/>
  <c r="Q304" i="155"/>
  <c r="Q292" i="155"/>
  <c r="Q280" i="155"/>
  <c r="Q1139" i="155"/>
  <c r="Q1165" i="155"/>
  <c r="Q2472" i="155"/>
  <c r="Q2745" i="155"/>
  <c r="Q2733" i="155"/>
  <c r="Q2721" i="155"/>
  <c r="Q2772" i="155"/>
  <c r="Q2756" i="155"/>
  <c r="Q2807" i="155"/>
  <c r="Q2799" i="155"/>
  <c r="Q2787" i="155"/>
  <c r="Q785" i="155"/>
  <c r="Q782" i="155"/>
  <c r="Q779" i="155"/>
  <c r="Q776" i="155"/>
  <c r="Q774" i="155"/>
  <c r="Q772" i="155"/>
  <c r="Q768" i="155"/>
  <c r="Q765" i="155"/>
  <c r="Q762" i="155"/>
  <c r="Q746" i="155"/>
  <c r="Q744" i="155"/>
  <c r="Q742" i="155"/>
  <c r="Q739" i="155"/>
  <c r="Q737" i="155"/>
  <c r="Q735" i="155"/>
  <c r="Q734" i="155"/>
  <c r="Q769" i="155"/>
  <c r="Q766" i="155"/>
  <c r="Q763" i="155"/>
  <c r="Q759" i="155"/>
  <c r="Q756" i="155"/>
  <c r="Q753" i="155"/>
  <c r="Q740" i="155"/>
  <c r="Q738" i="155"/>
  <c r="Q736" i="155"/>
  <c r="Q783" i="155"/>
  <c r="Q780" i="155"/>
  <c r="Q777" i="155"/>
  <c r="Q770" i="155"/>
  <c r="Q767" i="155"/>
  <c r="Q764" i="155"/>
  <c r="Q760" i="155"/>
  <c r="Q757" i="155"/>
  <c r="Q754" i="155"/>
  <c r="Q751" i="155"/>
  <c r="Q749" i="155"/>
  <c r="Q747" i="155"/>
  <c r="Q781" i="155"/>
  <c r="Q775" i="155"/>
  <c r="Q761" i="155"/>
  <c r="Q748" i="155"/>
  <c r="Q743" i="155"/>
  <c r="Q778" i="155"/>
  <c r="Q773" i="155"/>
  <c r="Q758" i="155"/>
  <c r="Q784" i="155"/>
  <c r="Q750" i="155"/>
  <c r="Q745" i="155"/>
  <c r="Q741" i="155"/>
  <c r="Q771" i="155"/>
  <c r="Q755" i="155"/>
  <c r="Q752" i="155"/>
  <c r="Q733" i="155"/>
  <c r="Q902" i="155"/>
  <c r="Q903" i="155"/>
  <c r="Q1853" i="155"/>
  <c r="Q1849" i="155"/>
  <c r="Q1845" i="155"/>
  <c r="Q1841" i="155"/>
  <c r="Q1837" i="155"/>
  <c r="Q1833" i="155"/>
  <c r="Q1829" i="155"/>
  <c r="Q1825" i="155"/>
  <c r="Q1821" i="155"/>
  <c r="Q1817" i="155"/>
  <c r="Q1813" i="155"/>
  <c r="Q1809" i="155"/>
  <c r="Q1805" i="155"/>
  <c r="Q1801" i="155"/>
  <c r="Q1797" i="155"/>
  <c r="Q1852" i="155"/>
  <c r="Q1848" i="155"/>
  <c r="Q1844" i="155"/>
  <c r="Q1840" i="155"/>
  <c r="Q1836" i="155"/>
  <c r="Q1832" i="155"/>
  <c r="Q1828" i="155"/>
  <c r="Q1824" i="155"/>
  <c r="Q1820" i="155"/>
  <c r="Q1816" i="155"/>
  <c r="Q1812" i="155"/>
  <c r="Q1808" i="155"/>
  <c r="Q1804" i="155"/>
  <c r="Q1800" i="155"/>
  <c r="Q1796" i="155"/>
  <c r="Q1792" i="155"/>
  <c r="Q1788" i="155"/>
  <c r="Q1784" i="155"/>
  <c r="Q1780" i="155"/>
  <c r="Q1776" i="155"/>
  <c r="Q1772" i="155"/>
  <c r="Q1768" i="155"/>
  <c r="Q1553" i="155"/>
  <c r="Q1851" i="155"/>
  <c r="Q1843" i="155"/>
  <c r="Q1835" i="155"/>
  <c r="Q1827" i="155"/>
  <c r="Q1819" i="155"/>
  <c r="Q1811" i="155"/>
  <c r="Q1803" i="155"/>
  <c r="Q1795" i="155"/>
  <c r="Q1790" i="155"/>
  <c r="Q1785" i="155"/>
  <c r="Q1779" i="155"/>
  <c r="Q1774" i="155"/>
  <c r="Q1769" i="155"/>
  <c r="Q1552" i="155"/>
  <c r="Q1548" i="155"/>
  <c r="Q1542" i="155"/>
  <c r="Q1534" i="155"/>
  <c r="Q1535" i="155"/>
  <c r="Q1566" i="155"/>
  <c r="Q1558" i="155"/>
  <c r="Q1563" i="155"/>
  <c r="Q1556" i="155"/>
  <c r="Q1924" i="155"/>
  <c r="Q1920" i="155"/>
  <c r="Q1916" i="155"/>
  <c r="Q1912" i="155"/>
  <c r="Q1908" i="155"/>
  <c r="Q1904" i="155"/>
  <c r="Q1900" i="155"/>
  <c r="Q1896" i="155"/>
  <c r="Q1892" i="155"/>
  <c r="Q1888" i="155"/>
  <c r="Q1884" i="155"/>
  <c r="Q1880" i="155"/>
  <c r="Q1876" i="155"/>
  <c r="Q1872" i="155"/>
  <c r="Q1868" i="155"/>
  <c r="Q1864" i="155"/>
  <c r="Q1860" i="155"/>
  <c r="Q1856" i="155"/>
  <c r="Q2012" i="155"/>
  <c r="Q2008" i="155"/>
  <c r="Q2004" i="155"/>
  <c r="Q2000" i="155"/>
  <c r="Q1996" i="155"/>
  <c r="Q1992" i="155"/>
  <c r="Q1988" i="155"/>
  <c r="Q1984" i="155"/>
  <c r="Q1980" i="155"/>
  <c r="Q1976" i="155"/>
  <c r="Q1972" i="155"/>
  <c r="Q1968" i="155"/>
  <c r="Q1964" i="155"/>
  <c r="Q1960" i="155"/>
  <c r="Q1956" i="155"/>
  <c r="Q1952" i="155"/>
  <c r="Q1948" i="155"/>
  <c r="Q1944" i="155"/>
  <c r="Q1940" i="155"/>
  <c r="Q1936" i="155"/>
  <c r="Q1932" i="155"/>
  <c r="Q1928" i="155"/>
  <c r="Q1681" i="155"/>
  <c r="Q1677" i="155"/>
  <c r="Q1673" i="155"/>
  <c r="Q1669" i="155"/>
  <c r="Q1665" i="155"/>
  <c r="Q1661" i="155"/>
  <c r="Q1657" i="155"/>
  <c r="Q1653" i="155"/>
  <c r="Q1649" i="155"/>
  <c r="Q1645" i="155"/>
  <c r="Q1641" i="155"/>
  <c r="Q1637" i="155"/>
  <c r="Q1633" i="155"/>
  <c r="Q1629" i="155"/>
  <c r="Q1625" i="155"/>
  <c r="Q1621" i="155"/>
  <c r="Q1745" i="155"/>
  <c r="Q1741" i="155"/>
  <c r="Q1737" i="155"/>
  <c r="Q1733" i="155"/>
  <c r="Q1729" i="155"/>
  <c r="Q1725" i="155"/>
  <c r="Q1721" i="155"/>
  <c r="Q1717" i="155"/>
  <c r="Q1713" i="155"/>
  <c r="Q1709" i="155"/>
  <c r="Q1705" i="155"/>
  <c r="Q1701" i="155"/>
  <c r="Q1697" i="155"/>
  <c r="Q1693" i="155"/>
  <c r="Q1689" i="155"/>
  <c r="Q1685" i="155"/>
  <c r="Q1759" i="155"/>
  <c r="Q1755" i="155"/>
  <c r="Q1751" i="155"/>
  <c r="Q2823" i="155"/>
  <c r="Q2815" i="155"/>
  <c r="Q2822" i="155"/>
  <c r="Q2814" i="155"/>
  <c r="Q2808" i="155"/>
  <c r="Q1850" i="155"/>
  <c r="Q1842" i="155"/>
  <c r="Q1834" i="155"/>
  <c r="Q1826" i="155"/>
  <c r="Q1818" i="155"/>
  <c r="Q1810" i="155"/>
  <c r="Q1802" i="155"/>
  <c r="Q1794" i="155"/>
  <c r="Q1789" i="155"/>
  <c r="Q1783" i="155"/>
  <c r="Q1778" i="155"/>
  <c r="Q1773" i="155"/>
  <c r="Q1555" i="155"/>
  <c r="Q1551" i="155"/>
  <c r="Q1547" i="155"/>
  <c r="Q1540" i="155"/>
  <c r="Q1532" i="155"/>
  <c r="Q1541" i="155"/>
  <c r="Q1533" i="155"/>
  <c r="Q1564" i="155"/>
  <c r="Q1569" i="155"/>
  <c r="Q1561" i="155"/>
  <c r="Q1927" i="155"/>
  <c r="Q1923" i="155"/>
  <c r="Q1919" i="155"/>
  <c r="Q1915" i="155"/>
  <c r="Q1911" i="155"/>
  <c r="Q1907" i="155"/>
  <c r="Q1903" i="155"/>
  <c r="Q1899" i="155"/>
  <c r="Q1895" i="155"/>
  <c r="Q1891" i="155"/>
  <c r="Q1887" i="155"/>
  <c r="Q1883" i="155"/>
  <c r="Q1879" i="155"/>
  <c r="Q1875" i="155"/>
  <c r="Q1871" i="155"/>
  <c r="Q1867" i="155"/>
  <c r="Q1863" i="155"/>
  <c r="Q1859" i="155"/>
  <c r="Q2015" i="155"/>
  <c r="Q2011" i="155"/>
  <c r="Q2007" i="155"/>
  <c r="Q2003" i="155"/>
  <c r="Q1999" i="155"/>
  <c r="Q1995" i="155"/>
  <c r="Q1991" i="155"/>
  <c r="Q1987" i="155"/>
  <c r="Q1983" i="155"/>
  <c r="Q1979" i="155"/>
  <c r="Q1975" i="155"/>
  <c r="Q1971" i="155"/>
  <c r="Q1967" i="155"/>
  <c r="Q1963" i="155"/>
  <c r="Q1959" i="155"/>
  <c r="Q1955" i="155"/>
  <c r="Q1951" i="155"/>
  <c r="Q1947" i="155"/>
  <c r="Q1943" i="155"/>
  <c r="Q1939" i="155"/>
  <c r="Q1935" i="155"/>
  <c r="Q1931" i="155"/>
  <c r="Q1684" i="155"/>
  <c r="Q1680" i="155"/>
  <c r="Q1676" i="155"/>
  <c r="Q1672" i="155"/>
  <c r="Q1668" i="155"/>
  <c r="Q1664" i="155"/>
  <c r="Q1660" i="155"/>
  <c r="Q1656" i="155"/>
  <c r="Q1652" i="155"/>
  <c r="Q1648" i="155"/>
  <c r="Q1644" i="155"/>
  <c r="Q1640" i="155"/>
  <c r="Q1636" i="155"/>
  <c r="Q1632" i="155"/>
  <c r="Q1628" i="155"/>
  <c r="Q1624" i="155"/>
  <c r="Q1748" i="155"/>
  <c r="Q1744" i="155"/>
  <c r="Q1740" i="155"/>
  <c r="Q1736" i="155"/>
  <c r="Q1732" i="155"/>
  <c r="Q1728" i="155"/>
  <c r="Q1724" i="155"/>
  <c r="Q1720" i="155"/>
  <c r="Q1716" i="155"/>
  <c r="Q1712" i="155"/>
  <c r="Q1708" i="155"/>
  <c r="Q1704" i="155"/>
  <c r="Q1700" i="155"/>
  <c r="Q1696" i="155"/>
  <c r="Q1692" i="155"/>
  <c r="Q1688" i="155"/>
  <c r="Q1762" i="155"/>
  <c r="Q1758" i="155"/>
  <c r="Q1754" i="155"/>
  <c r="Q1750" i="155"/>
  <c r="Q2821" i="155"/>
  <c r="Q2813" i="155"/>
  <c r="Q2820" i="155"/>
  <c r="Q2812" i="155"/>
  <c r="Q1855" i="155"/>
  <c r="Q1847" i="155"/>
  <c r="Q1839" i="155"/>
  <c r="Q1831" i="155"/>
  <c r="Q1823" i="155"/>
  <c r="Q1815" i="155"/>
  <c r="Q1807" i="155"/>
  <c r="Q1799" i="155"/>
  <c r="Q1793" i="155"/>
  <c r="Q1787" i="155"/>
  <c r="Q1782" i="155"/>
  <c r="Q1777" i="155"/>
  <c r="Q1771" i="155"/>
  <c r="Q1554" i="155"/>
  <c r="Q1550" i="155"/>
  <c r="Q1545" i="155"/>
  <c r="Q1538" i="155"/>
  <c r="Q1546" i="155"/>
  <c r="Q1539" i="155"/>
  <c r="Q1570" i="155"/>
  <c r="Q1562" i="155"/>
  <c r="Q1567" i="155"/>
  <c r="Q1559" i="155"/>
  <c r="Q1926" i="155"/>
  <c r="Q1922" i="155"/>
  <c r="Q1918" i="155"/>
  <c r="Q1914" i="155"/>
  <c r="Q1910" i="155"/>
  <c r="Q1906" i="155"/>
  <c r="Q1902" i="155"/>
  <c r="Q1898" i="155"/>
  <c r="Q1894" i="155"/>
  <c r="Q1890" i="155"/>
  <c r="Q1886" i="155"/>
  <c r="Q1882" i="155"/>
  <c r="Q1878" i="155"/>
  <c r="Q1874" i="155"/>
  <c r="Q1870" i="155"/>
  <c r="Q1866" i="155"/>
  <c r="Q1862" i="155"/>
  <c r="Q1858" i="155"/>
  <c r="Q2014" i="155"/>
  <c r="Q2010" i="155"/>
  <c r="Q2006" i="155"/>
  <c r="Q2002" i="155"/>
  <c r="Q1998" i="155"/>
  <c r="Q1994" i="155"/>
  <c r="Q1990" i="155"/>
  <c r="Q1986" i="155"/>
  <c r="Q1982" i="155"/>
  <c r="Q1978" i="155"/>
  <c r="Q1974" i="155"/>
  <c r="Q1970" i="155"/>
  <c r="Q1966" i="155"/>
  <c r="Q1962" i="155"/>
  <c r="Q1958" i="155"/>
  <c r="Q1954" i="155"/>
  <c r="Q1950" i="155"/>
  <c r="Q1946" i="155"/>
  <c r="Q1942" i="155"/>
  <c r="Q1938" i="155"/>
  <c r="Q1934" i="155"/>
  <c r="Q1930" i="155"/>
  <c r="Q1683" i="155"/>
  <c r="Q1679" i="155"/>
  <c r="Q1675" i="155"/>
  <c r="Q1671" i="155"/>
  <c r="Q1667" i="155"/>
  <c r="Q1663" i="155"/>
  <c r="Q1659" i="155"/>
  <c r="Q1655" i="155"/>
  <c r="Q1651" i="155"/>
  <c r="Q1647" i="155"/>
  <c r="Q1643" i="155"/>
  <c r="Q1639" i="155"/>
  <c r="Q1635" i="155"/>
  <c r="Q1631" i="155"/>
  <c r="Q1627" i="155"/>
  <c r="Q1623" i="155"/>
  <c r="Q1747" i="155"/>
  <c r="Q1743" i="155"/>
  <c r="Q1739" i="155"/>
  <c r="Q1735" i="155"/>
  <c r="Q1731" i="155"/>
  <c r="Q1727" i="155"/>
  <c r="Q1723" i="155"/>
  <c r="Q1719" i="155"/>
  <c r="Q1715" i="155"/>
  <c r="Q1711" i="155"/>
  <c r="Q1707" i="155"/>
  <c r="Q1703" i="155"/>
  <c r="Q1699" i="155"/>
  <c r="Q1695" i="155"/>
  <c r="Q1691" i="155"/>
  <c r="Q1687" i="155"/>
  <c r="Q1761" i="155"/>
  <c r="Q1757" i="155"/>
  <c r="Q1753" i="155"/>
  <c r="Q1749" i="155"/>
  <c r="Q2819" i="155"/>
  <c r="Q2811" i="155"/>
  <c r="Q2818" i="155"/>
  <c r="Q2810" i="155"/>
  <c r="Q1830" i="155"/>
  <c r="Q1798" i="155"/>
  <c r="Q1775" i="155"/>
  <c r="Q1543" i="155"/>
  <c r="Q1568" i="155"/>
  <c r="Q1925" i="155"/>
  <c r="Q1909" i="155"/>
  <c r="Q1893" i="155"/>
  <c r="Q1877" i="155"/>
  <c r="Q1861" i="155"/>
  <c r="Q2005" i="155"/>
  <c r="Q1989" i="155"/>
  <c r="Q1973" i="155"/>
  <c r="Q1957" i="155"/>
  <c r="Q1941" i="155"/>
  <c r="Q1682" i="155"/>
  <c r="Q1666" i="155"/>
  <c r="Q1650" i="155"/>
  <c r="Q1634" i="155"/>
  <c r="Q1746" i="155"/>
  <c r="Q1730" i="155"/>
  <c r="Q1714" i="155"/>
  <c r="Q1698" i="155"/>
  <c r="Q1760" i="155"/>
  <c r="Q2817" i="155"/>
  <c r="Q1854" i="155"/>
  <c r="Q1822" i="155"/>
  <c r="Q1791" i="155"/>
  <c r="Q1770" i="155"/>
  <c r="Q1536" i="155"/>
  <c r="Q1560" i="155"/>
  <c r="Q1921" i="155"/>
  <c r="Q1905" i="155"/>
  <c r="Q1889" i="155"/>
  <c r="Q1873" i="155"/>
  <c r="Q1857" i="155"/>
  <c r="Q2001" i="155"/>
  <c r="Q1985" i="155"/>
  <c r="Q1969" i="155"/>
  <c r="Q1953" i="155"/>
  <c r="Q1937" i="155"/>
  <c r="Q1678" i="155"/>
  <c r="Q1662" i="155"/>
  <c r="Q1646" i="155"/>
  <c r="Q1630" i="155"/>
  <c r="Q1742" i="155"/>
  <c r="Q1726" i="155"/>
  <c r="Q1710" i="155"/>
  <c r="Q1694" i="155"/>
  <c r="Q1756" i="155"/>
  <c r="Q2824" i="155"/>
  <c r="Q1846" i="155"/>
  <c r="Q1814" i="155"/>
  <c r="Q1786" i="155"/>
  <c r="Q1544" i="155"/>
  <c r="Q1565" i="155"/>
  <c r="Q1917" i="155"/>
  <c r="Q1901" i="155"/>
  <c r="Q1885" i="155"/>
  <c r="Q1869" i="155"/>
  <c r="Q2013" i="155"/>
  <c r="Q1997" i="155"/>
  <c r="Q1981" i="155"/>
  <c r="Q1965" i="155"/>
  <c r="Q1949" i="155"/>
  <c r="Q1933" i="155"/>
  <c r="Q1674" i="155"/>
  <c r="Q1658" i="155"/>
  <c r="Q1642" i="155"/>
  <c r="Q1626" i="155"/>
  <c r="Q1738" i="155"/>
  <c r="Q1722" i="155"/>
  <c r="Q1706" i="155"/>
  <c r="Q1690" i="155"/>
  <c r="Q1752" i="155"/>
  <c r="Q2816" i="155"/>
  <c r="Q1838" i="155"/>
  <c r="Q1537" i="155"/>
  <c r="Q1881" i="155"/>
  <c r="Q1977" i="155"/>
  <c r="Q1670" i="155"/>
  <c r="Q1734" i="155"/>
  <c r="Q2825" i="155"/>
  <c r="Q1806" i="155"/>
  <c r="Q1557" i="155"/>
  <c r="Q1865" i="155"/>
  <c r="Q1961" i="155"/>
  <c r="Q1654" i="155"/>
  <c r="Q1718" i="155"/>
  <c r="Q2809" i="155"/>
  <c r="Q1781" i="155"/>
  <c r="Q1913" i="155"/>
  <c r="Q2009" i="155"/>
  <c r="Q1945" i="155"/>
  <c r="Q1638" i="155"/>
  <c r="Q1702" i="155"/>
  <c r="Q1929" i="155"/>
  <c r="Q1549" i="155"/>
  <c r="Q1622" i="155"/>
  <c r="Q1993" i="155"/>
  <c r="Q1897" i="155"/>
  <c r="Q1686" i="155"/>
  <c r="Q2101" i="155"/>
  <c r="Q2100" i="155"/>
  <c r="Q2102" i="155"/>
  <c r="Q2269" i="155"/>
  <c r="Q2265" i="155"/>
  <c r="Q2261" i="155"/>
  <c r="Q2257" i="155"/>
  <c r="Q2253" i="155"/>
  <c r="Q2249" i="155"/>
  <c r="Q2245" i="155"/>
  <c r="Q2241" i="155"/>
  <c r="Q2237" i="155"/>
  <c r="Q2233" i="155"/>
  <c r="Q2229" i="155"/>
  <c r="Q2225" i="155"/>
  <c r="Q2221" i="155"/>
  <c r="Q2217" i="155"/>
  <c r="Q2213" i="155"/>
  <c r="Q2209" i="155"/>
  <c r="Q2205" i="155"/>
  <c r="Q2201" i="155"/>
  <c r="Q2197" i="155"/>
  <c r="Q2193" i="155"/>
  <c r="Q2291" i="155"/>
  <c r="Q2287" i="155"/>
  <c r="Q2283" i="155"/>
  <c r="Q2279" i="155"/>
  <c r="Q2275" i="155"/>
  <c r="Q2309" i="155"/>
  <c r="Q2305" i="155"/>
  <c r="Q2301" i="155"/>
  <c r="Q2297" i="155"/>
  <c r="Q2268" i="155"/>
  <c r="Q2264" i="155"/>
  <c r="Q2260" i="155"/>
  <c r="Q2256" i="155"/>
  <c r="Q2252" i="155"/>
  <c r="Q2248" i="155"/>
  <c r="Q2244" i="155"/>
  <c r="Q2240" i="155"/>
  <c r="Q2236" i="155"/>
  <c r="Q2232" i="155"/>
  <c r="Q2228" i="155"/>
  <c r="Q2224" i="155"/>
  <c r="Q2220" i="155"/>
  <c r="Q2216" i="155"/>
  <c r="Q2212" i="155"/>
  <c r="Q2208" i="155"/>
  <c r="Q2204" i="155"/>
  <c r="Q2200" i="155"/>
  <c r="Q2196" i="155"/>
  <c r="Q2192" i="155"/>
  <c r="Q2290" i="155"/>
  <c r="Q2286" i="155"/>
  <c r="Q2282" i="155"/>
  <c r="Q2278" i="155"/>
  <c r="Q2274" i="155"/>
  <c r="Q2308" i="155"/>
  <c r="Q2304" i="155"/>
  <c r="Q2300" i="155"/>
  <c r="Q2296" i="155"/>
  <c r="Q2271" i="155"/>
  <c r="Q2267" i="155"/>
  <c r="Q2263" i="155"/>
  <c r="Q2259" i="155"/>
  <c r="Q2255" i="155"/>
  <c r="Q2251" i="155"/>
  <c r="Q2247" i="155"/>
  <c r="Q2243" i="155"/>
  <c r="Q2239" i="155"/>
  <c r="Q2235" i="155"/>
  <c r="Q2231" i="155"/>
  <c r="Q2227" i="155"/>
  <c r="Q2223" i="155"/>
  <c r="Q2219" i="155"/>
  <c r="Q2215" i="155"/>
  <c r="Q2211" i="155"/>
  <c r="Q2207" i="155"/>
  <c r="Q2203" i="155"/>
  <c r="Q2199" i="155"/>
  <c r="Q2195" i="155"/>
  <c r="Q2293" i="155"/>
  <c r="Q2289" i="155"/>
  <c r="Q2285" i="155"/>
  <c r="Q2281" i="155"/>
  <c r="Q2277" i="155"/>
  <c r="Q2273" i="155"/>
  <c r="Q2307" i="155"/>
  <c r="Q2303" i="155"/>
  <c r="Q2299" i="155"/>
  <c r="Q2295" i="155"/>
  <c r="Q2258" i="155"/>
  <c r="Q2242" i="155"/>
  <c r="Q2226" i="155"/>
  <c r="Q2210" i="155"/>
  <c r="Q2194" i="155"/>
  <c r="Q2280" i="155"/>
  <c r="Q2302" i="155"/>
  <c r="Q2270" i="155"/>
  <c r="Q2254" i="155"/>
  <c r="Q2238" i="155"/>
  <c r="Q2222" i="155"/>
  <c r="Q2206" i="155"/>
  <c r="Q2292" i="155"/>
  <c r="Q2276" i="155"/>
  <c r="Q2298" i="155"/>
  <c r="Q2266" i="155"/>
  <c r="Q2250" i="155"/>
  <c r="Q2234" i="155"/>
  <c r="Q2218" i="155"/>
  <c r="Q2202" i="155"/>
  <c r="Q2288" i="155"/>
  <c r="Q2272" i="155"/>
  <c r="Q2294" i="155"/>
  <c r="Q2246" i="155"/>
  <c r="Q2284" i="155"/>
  <c r="Q2230" i="155"/>
  <c r="Q2306" i="155"/>
  <c r="Q2214" i="155"/>
  <c r="Q2262" i="155"/>
  <c r="Q2198" i="155"/>
  <c r="Q2700" i="155"/>
  <c r="Q2696" i="155"/>
  <c r="Q2692" i="155"/>
  <c r="Q2688" i="155"/>
  <c r="Q2703" i="155"/>
  <c r="Q2699" i="155"/>
  <c r="Q2695" i="155"/>
  <c r="Q2691" i="155"/>
  <c r="Q2702" i="155"/>
  <c r="Q2698" i="155"/>
  <c r="Q2694" i="155"/>
  <c r="Q2690" i="155"/>
  <c r="Q2697" i="155"/>
  <c r="Q2693" i="155"/>
  <c r="Q2689" i="155"/>
  <c r="Q2701" i="155"/>
  <c r="Q818" i="155"/>
  <c r="Q814" i="155"/>
  <c r="Q810" i="155"/>
  <c r="Q806" i="155"/>
  <c r="Q1490" i="155"/>
  <c r="Q1486" i="155"/>
  <c r="Q1482" i="155"/>
  <c r="Q1478" i="155"/>
  <c r="Q1456" i="155"/>
  <c r="Q1452" i="155"/>
  <c r="Q1448" i="155"/>
  <c r="Q1444" i="155"/>
  <c r="Q1440" i="155"/>
  <c r="Q817" i="155"/>
  <c r="Q813" i="155"/>
  <c r="Q809" i="155"/>
  <c r="Q1493" i="155"/>
  <c r="Q1489" i="155"/>
  <c r="Q1485" i="155"/>
  <c r="Q1481" i="155"/>
  <c r="Q1477" i="155"/>
  <c r="Q1455" i="155"/>
  <c r="Q1451" i="155"/>
  <c r="Q1447" i="155"/>
  <c r="Q1443" i="155"/>
  <c r="Q1439" i="155"/>
  <c r="Q816" i="155"/>
  <c r="Q812" i="155"/>
  <c r="Q808" i="155"/>
  <c r="Q1492" i="155"/>
  <c r="Q1488" i="155"/>
  <c r="Q1484" i="155"/>
  <c r="Q1480" i="155"/>
  <c r="Q1476" i="155"/>
  <c r="Q1454" i="155"/>
  <c r="Q1450" i="155"/>
  <c r="Q1446" i="155"/>
  <c r="Q1442" i="155"/>
  <c r="Q811" i="155"/>
  <c r="Q1483" i="155"/>
  <c r="Q1449" i="155"/>
  <c r="Q807" i="155"/>
  <c r="Q1479" i="155"/>
  <c r="Q1445" i="155"/>
  <c r="Q1491" i="155"/>
  <c r="Q1457" i="155"/>
  <c r="Q1441" i="155"/>
  <c r="Q1453" i="155"/>
  <c r="Q815" i="155"/>
  <c r="Q1487" i="155"/>
  <c r="AD361" i="155"/>
  <c r="AD357" i="155"/>
  <c r="AD353" i="155"/>
  <c r="AD349" i="155"/>
  <c r="AD345" i="155"/>
  <c r="AD341" i="155"/>
  <c r="AD337" i="155"/>
  <c r="AD333" i="155"/>
  <c r="AD329" i="155"/>
  <c r="AD325" i="155"/>
  <c r="AD321" i="155"/>
  <c r="AD360" i="155"/>
  <c r="AD356" i="155"/>
  <c r="AD352" i="155"/>
  <c r="AD348" i="155"/>
  <c r="AD344" i="155"/>
  <c r="AD340" i="155"/>
  <c r="AD336" i="155"/>
  <c r="AD332" i="155"/>
  <c r="AD328" i="155"/>
  <c r="AD324" i="155"/>
  <c r="AD359" i="155"/>
  <c r="AD355" i="155"/>
  <c r="AD351" i="155"/>
  <c r="AD347" i="155"/>
  <c r="AD343" i="155"/>
  <c r="AD339" i="155"/>
  <c r="AD335" i="155"/>
  <c r="AD331" i="155"/>
  <c r="AD327" i="155"/>
  <c r="AD323" i="155"/>
  <c r="AD354" i="155"/>
  <c r="AD338" i="155"/>
  <c r="AD322" i="155"/>
  <c r="AD350" i="155"/>
  <c r="AD334" i="155"/>
  <c r="AD346" i="155"/>
  <c r="AD330" i="155"/>
  <c r="AD358" i="155"/>
  <c r="AD342" i="155"/>
  <c r="AD326" i="155"/>
  <c r="AG732" i="155"/>
  <c r="AG728" i="155"/>
  <c r="AG724" i="155"/>
  <c r="AG720" i="155"/>
  <c r="AG716" i="155"/>
  <c r="AG712" i="155"/>
  <c r="AG708" i="155"/>
  <c r="AG704" i="155"/>
  <c r="AG700" i="155"/>
  <c r="AG696" i="155"/>
  <c r="AG692" i="155"/>
  <c r="AG688" i="155"/>
  <c r="AG684" i="155"/>
  <c r="AG680" i="155"/>
  <c r="AG731" i="155"/>
  <c r="AG727" i="155"/>
  <c r="AG723" i="155"/>
  <c r="AG719" i="155"/>
  <c r="AG715" i="155"/>
  <c r="AG711" i="155"/>
  <c r="AG707" i="155"/>
  <c r="AG703" i="155"/>
  <c r="AG699" i="155"/>
  <c r="AG695" i="155"/>
  <c r="AG691" i="155"/>
  <c r="AG687" i="155"/>
  <c r="AG683" i="155"/>
  <c r="AG679" i="155"/>
  <c r="AG726" i="155"/>
  <c r="AG718" i="155"/>
  <c r="AG710" i="155"/>
  <c r="AG702" i="155"/>
  <c r="AG694" i="155"/>
  <c r="AG686" i="155"/>
  <c r="AG785" i="155"/>
  <c r="AG782" i="155"/>
  <c r="AG779" i="155"/>
  <c r="AG776" i="155"/>
  <c r="AG774" i="155"/>
  <c r="AG772" i="155"/>
  <c r="AG768" i="155"/>
  <c r="AG765" i="155"/>
  <c r="AG762" i="155"/>
  <c r="AG746" i="155"/>
  <c r="AG744" i="155"/>
  <c r="AG742" i="155"/>
  <c r="AG739" i="155"/>
  <c r="AG737" i="155"/>
  <c r="AG735" i="155"/>
  <c r="AG734" i="155"/>
  <c r="AG725" i="155"/>
  <c r="AG717" i="155"/>
  <c r="AG709" i="155"/>
  <c r="AG701" i="155"/>
  <c r="AG693" i="155"/>
  <c r="AG685" i="155"/>
  <c r="AG769" i="155"/>
  <c r="AG766" i="155"/>
  <c r="AG763" i="155"/>
  <c r="AG759" i="155"/>
  <c r="AG756" i="155"/>
  <c r="AG753" i="155"/>
  <c r="AG740" i="155"/>
  <c r="AG738" i="155"/>
  <c r="AG736" i="155"/>
  <c r="AG721" i="155"/>
  <c r="AG705" i="155"/>
  <c r="AG689" i="155"/>
  <c r="AG784" i="155"/>
  <c r="AG778" i="155"/>
  <c r="AG773" i="155"/>
  <c r="AG758" i="155"/>
  <c r="AG750" i="155"/>
  <c r="AG745" i="155"/>
  <c r="AG741" i="155"/>
  <c r="AG730" i="155"/>
  <c r="AG714" i="155"/>
  <c r="AG698" i="155"/>
  <c r="AG682" i="155"/>
  <c r="AG780" i="155"/>
  <c r="AG767" i="155"/>
  <c r="AG757" i="155"/>
  <c r="AG751" i="155"/>
  <c r="AG747" i="155"/>
  <c r="AG729" i="155"/>
  <c r="AG713" i="155"/>
  <c r="AG697" i="155"/>
  <c r="AG681" i="155"/>
  <c r="AG781" i="155"/>
  <c r="AG775" i="155"/>
  <c r="AG771" i="155"/>
  <c r="AG761" i="155"/>
  <c r="AG755" i="155"/>
  <c r="AG752" i="155"/>
  <c r="AG748" i="155"/>
  <c r="AG743" i="155"/>
  <c r="AG783" i="155"/>
  <c r="AG770" i="155"/>
  <c r="AG754" i="155"/>
  <c r="AG749" i="155"/>
  <c r="AG722" i="155"/>
  <c r="AG760" i="155"/>
  <c r="AG706" i="155"/>
  <c r="AG733" i="155"/>
  <c r="AG777" i="155"/>
  <c r="AG764" i="155"/>
  <c r="AG690" i="155"/>
  <c r="AD489" i="155"/>
  <c r="AD485" i="155"/>
  <c r="AD488" i="155"/>
  <c r="AD484" i="155"/>
  <c r="AD491" i="155"/>
  <c r="AD487" i="155"/>
  <c r="AD483" i="155"/>
  <c r="AD482" i="155"/>
  <c r="AD490" i="155"/>
  <c r="AD486" i="155"/>
  <c r="AD397" i="155"/>
  <c r="AD393" i="155"/>
  <c r="AD389" i="155"/>
  <c r="AD385" i="155"/>
  <c r="AD381" i="155"/>
  <c r="AD377" i="155"/>
  <c r="AD373" i="155"/>
  <c r="AD369" i="155"/>
  <c r="AD365" i="155"/>
  <c r="AD400" i="155"/>
  <c r="AD396" i="155"/>
  <c r="AD392" i="155"/>
  <c r="AD388" i="155"/>
  <c r="AD384" i="155"/>
  <c r="AD380" i="155"/>
  <c r="AD376" i="155"/>
  <c r="AD372" i="155"/>
  <c r="AD368" i="155"/>
  <c r="AD364" i="155"/>
  <c r="AD399" i="155"/>
  <c r="AD395" i="155"/>
  <c r="AD391" i="155"/>
  <c r="AD387" i="155"/>
  <c r="AD383" i="155"/>
  <c r="AD379" i="155"/>
  <c r="AD375" i="155"/>
  <c r="AD371" i="155"/>
  <c r="AD367" i="155"/>
  <c r="AD363" i="155"/>
  <c r="AD386" i="155"/>
  <c r="AD370" i="155"/>
  <c r="AD398" i="155"/>
  <c r="AD382" i="155"/>
  <c r="AD366" i="155"/>
  <c r="AD394" i="155"/>
  <c r="AD378" i="155"/>
  <c r="AD362" i="155"/>
  <c r="AD390" i="155"/>
  <c r="AD374" i="155"/>
  <c r="AC106" i="155"/>
  <c r="AC102" i="155"/>
  <c r="AC105" i="155"/>
  <c r="AC101" i="155"/>
  <c r="AC104" i="155"/>
  <c r="AC100" i="155"/>
  <c r="AC107" i="155"/>
  <c r="AC103" i="155"/>
  <c r="AD1299" i="155"/>
  <c r="AD1295" i="155"/>
  <c r="AD1291" i="155"/>
  <c r="AD1287" i="155"/>
  <c r="AD1265" i="155"/>
  <c r="AD1261" i="155"/>
  <c r="AD1257" i="155"/>
  <c r="AD1253" i="155"/>
  <c r="AD1249" i="155"/>
  <c r="AD1292" i="155"/>
  <c r="AD1258" i="155"/>
  <c r="AD1298" i="155"/>
  <c r="AD1294" i="155"/>
  <c r="AD1290" i="155"/>
  <c r="AD1286" i="155"/>
  <c r="AD1264" i="155"/>
  <c r="AD1260" i="155"/>
  <c r="AD1256" i="155"/>
  <c r="AD1252" i="155"/>
  <c r="AD1248" i="155"/>
  <c r="AD1296" i="155"/>
  <c r="AD1284" i="155"/>
  <c r="AD1254" i="155"/>
  <c r="AD1301" i="155"/>
  <c r="AD1297" i="155"/>
  <c r="AD1293" i="155"/>
  <c r="AD1289" i="155"/>
  <c r="AD1285" i="155"/>
  <c r="AD1263" i="155"/>
  <c r="AD1259" i="155"/>
  <c r="AD1255" i="155"/>
  <c r="AD1251" i="155"/>
  <c r="AD1300" i="155"/>
  <c r="AD1288" i="155"/>
  <c r="AD1262" i="155"/>
  <c r="AD1250" i="155"/>
  <c r="AD449" i="155"/>
  <c r="AD445" i="155"/>
  <c r="AD441" i="155"/>
  <c r="AD437" i="155"/>
  <c r="AD433" i="155"/>
  <c r="AD429" i="155"/>
  <c r="AD425" i="155"/>
  <c r="AD481" i="155"/>
  <c r="AD477" i="155"/>
  <c r="AD473" i="155"/>
  <c r="AD469" i="155"/>
  <c r="AD465" i="155"/>
  <c r="AD461" i="155"/>
  <c r="AD457" i="155"/>
  <c r="AD453" i="155"/>
  <c r="AD2173" i="155"/>
  <c r="AD2169" i="155"/>
  <c r="AD2165" i="155"/>
  <c r="AD2291" i="155"/>
  <c r="AD2287" i="155"/>
  <c r="AD2283" i="155"/>
  <c r="AD448" i="155"/>
  <c r="AD444" i="155"/>
  <c r="AD440" i="155"/>
  <c r="AD436" i="155"/>
  <c r="AD432" i="155"/>
  <c r="AD428" i="155"/>
  <c r="AD424" i="155"/>
  <c r="AD480" i="155"/>
  <c r="AD476" i="155"/>
  <c r="AD472" i="155"/>
  <c r="AD468" i="155"/>
  <c r="AD464" i="155"/>
  <c r="AD460" i="155"/>
  <c r="AD456" i="155"/>
  <c r="AD452" i="155"/>
  <c r="AD2172" i="155"/>
  <c r="AD2168" i="155"/>
  <c r="AD2164" i="155"/>
  <c r="AD2290" i="155"/>
  <c r="AD2286" i="155"/>
  <c r="AD451" i="155"/>
  <c r="AD447" i="155"/>
  <c r="AD443" i="155"/>
  <c r="AD439" i="155"/>
  <c r="AD435" i="155"/>
  <c r="AD431" i="155"/>
  <c r="AD427" i="155"/>
  <c r="AD423" i="155"/>
  <c r="AD479" i="155"/>
  <c r="AD475" i="155"/>
  <c r="AD471" i="155"/>
  <c r="AD467" i="155"/>
  <c r="AD463" i="155"/>
  <c r="AD459" i="155"/>
  <c r="AD455" i="155"/>
  <c r="AD672" i="155"/>
  <c r="AD2171" i="155"/>
  <c r="AD2167" i="155"/>
  <c r="AD2293" i="155"/>
  <c r="AD2289" i="155"/>
  <c r="AD2285" i="155"/>
  <c r="AD450" i="155"/>
  <c r="AD434" i="155"/>
  <c r="AD478" i="155"/>
  <c r="AD462" i="155"/>
  <c r="AD2170" i="155"/>
  <c r="AD2284" i="155"/>
  <c r="AD446" i="155"/>
  <c r="AD430" i="155"/>
  <c r="AD474" i="155"/>
  <c r="AD458" i="155"/>
  <c r="AD2166" i="155"/>
  <c r="AD442" i="155"/>
  <c r="AD426" i="155"/>
  <c r="AD470" i="155"/>
  <c r="AD454" i="155"/>
  <c r="AD2292" i="155"/>
  <c r="AD2174" i="155"/>
  <c r="AD438" i="155"/>
  <c r="AD2288" i="155"/>
  <c r="AD422" i="155"/>
  <c r="AD466" i="155"/>
  <c r="AG451" i="155"/>
  <c r="AG447" i="155"/>
  <c r="AG443" i="155"/>
  <c r="AG439" i="155"/>
  <c r="AG435" i="155"/>
  <c r="AG431" i="155"/>
  <c r="AG427" i="155"/>
  <c r="AG423" i="155"/>
  <c r="AG479" i="155"/>
  <c r="AG475" i="155"/>
  <c r="AG471" i="155"/>
  <c r="AG467" i="155"/>
  <c r="AG463" i="155"/>
  <c r="AG459" i="155"/>
  <c r="AG455" i="155"/>
  <c r="AG1301" i="155"/>
  <c r="AG1297" i="155"/>
  <c r="AG1293" i="155"/>
  <c r="AG1289" i="155"/>
  <c r="AG1285" i="155"/>
  <c r="AG450" i="155"/>
  <c r="AG446" i="155"/>
  <c r="AG442" i="155"/>
  <c r="AG438" i="155"/>
  <c r="AG434" i="155"/>
  <c r="AG430" i="155"/>
  <c r="AG426" i="155"/>
  <c r="AG422" i="155"/>
  <c r="AG478" i="155"/>
  <c r="AG474" i="155"/>
  <c r="AG470" i="155"/>
  <c r="AG466" i="155"/>
  <c r="AG462" i="155"/>
  <c r="AG458" i="155"/>
  <c r="AG454" i="155"/>
  <c r="AG1300" i="155"/>
  <c r="AG1296" i="155"/>
  <c r="AG1292" i="155"/>
  <c r="AG1288" i="155"/>
  <c r="AG448" i="155"/>
  <c r="AG440" i="155"/>
  <c r="AG432" i="155"/>
  <c r="AG424" i="155"/>
  <c r="AG476" i="155"/>
  <c r="AG468" i="155"/>
  <c r="AG460" i="155"/>
  <c r="AG452" i="155"/>
  <c r="AG1294" i="155"/>
  <c r="AG1286" i="155"/>
  <c r="AG1263" i="155"/>
  <c r="AG1259" i="155"/>
  <c r="AG1255" i="155"/>
  <c r="AG1251" i="155"/>
  <c r="AG2172" i="155"/>
  <c r="AG2168" i="155"/>
  <c r="AG2164" i="155"/>
  <c r="AG2290" i="155"/>
  <c r="AG2286" i="155"/>
  <c r="AG445" i="155"/>
  <c r="AG437" i="155"/>
  <c r="AG429" i="155"/>
  <c r="AG481" i="155"/>
  <c r="AG473" i="155"/>
  <c r="AG465" i="155"/>
  <c r="AG457" i="155"/>
  <c r="AG1299" i="155"/>
  <c r="AG1291" i="155"/>
  <c r="AG1284" i="155"/>
  <c r="AG1262" i="155"/>
  <c r="AG1258" i="155"/>
  <c r="AG1254" i="155"/>
  <c r="AG1250" i="155"/>
  <c r="AG2171" i="155"/>
  <c r="AG2167" i="155"/>
  <c r="AG2293" i="155"/>
  <c r="AG2289" i="155"/>
  <c r="AG2285" i="155"/>
  <c r="AG444" i="155"/>
  <c r="AG428" i="155"/>
  <c r="AG472" i="155"/>
  <c r="AG456" i="155"/>
  <c r="AG1290" i="155"/>
  <c r="AG1261" i="155"/>
  <c r="AG1253" i="155"/>
  <c r="AG2174" i="155"/>
  <c r="AG2166" i="155"/>
  <c r="AG2288" i="155"/>
  <c r="AG441" i="155"/>
  <c r="AG425" i="155"/>
  <c r="AG469" i="155"/>
  <c r="AG453" i="155"/>
  <c r="AG1287" i="155"/>
  <c r="AG1260" i="155"/>
  <c r="AG1252" i="155"/>
  <c r="AG2173" i="155"/>
  <c r="AG2165" i="155"/>
  <c r="AG2287" i="155"/>
  <c r="AG436" i="155"/>
  <c r="AG480" i="155"/>
  <c r="AG464" i="155"/>
  <c r="AG1298" i="155"/>
  <c r="AG1265" i="155"/>
  <c r="AG1257" i="155"/>
  <c r="AG1249" i="155"/>
  <c r="AG2170" i="155"/>
  <c r="AG2292" i="155"/>
  <c r="AG2284" i="155"/>
  <c r="AG449" i="155"/>
  <c r="AG1295" i="155"/>
  <c r="AG2169" i="155"/>
  <c r="AG433" i="155"/>
  <c r="AG1264" i="155"/>
  <c r="AG2291" i="155"/>
  <c r="AG477" i="155"/>
  <c r="AG1256" i="155"/>
  <c r="AG2283" i="155"/>
  <c r="AG461" i="155"/>
  <c r="AG1248" i="155"/>
  <c r="AD2661" i="155"/>
  <c r="AD2657" i="155"/>
  <c r="AD2660" i="155"/>
  <c r="AD2656" i="155"/>
  <c r="AD2659" i="155"/>
  <c r="AD2655" i="155"/>
  <c r="AD2658" i="155"/>
  <c r="AD2654" i="155"/>
  <c r="AC1228" i="155"/>
  <c r="AC1224" i="155"/>
  <c r="AC1220" i="155"/>
  <c r="AC1216" i="155"/>
  <c r="AC1212" i="155"/>
  <c r="AC1208" i="155"/>
  <c r="AC1204" i="155"/>
  <c r="AC1298" i="155"/>
  <c r="AC1294" i="155"/>
  <c r="AC1290" i="155"/>
  <c r="AC1286" i="155"/>
  <c r="AC1282" i="155"/>
  <c r="AC1278" i="155"/>
  <c r="AC1274" i="155"/>
  <c r="AC1270" i="155"/>
  <c r="AC1266" i="155"/>
  <c r="AC1262" i="155"/>
  <c r="AC1258" i="155"/>
  <c r="AC1254" i="155"/>
  <c r="AC1250" i="155"/>
  <c r="AC1246" i="155"/>
  <c r="AC1242" i="155"/>
  <c r="AC1238" i="155"/>
  <c r="AC1234" i="155"/>
  <c r="AC1230" i="155"/>
  <c r="AC1358" i="155"/>
  <c r="AC1354" i="155"/>
  <c r="AC1350" i="155"/>
  <c r="AC1346" i="155"/>
  <c r="AC1342" i="155"/>
  <c r="AC1338" i="155"/>
  <c r="AC1334" i="155"/>
  <c r="AC1330" i="155"/>
  <c r="AC1326" i="155"/>
  <c r="AC1322" i="155"/>
  <c r="AC1318" i="155"/>
  <c r="AC1313" i="155"/>
  <c r="AC1309" i="155"/>
  <c r="AC1305" i="155"/>
  <c r="AC1369" i="155"/>
  <c r="AC1365" i="155"/>
  <c r="AC1384" i="155"/>
  <c r="AC1380" i="155"/>
  <c r="AC1376" i="155"/>
  <c r="AC1372" i="155"/>
  <c r="AC513" i="155"/>
  <c r="AC503" i="155"/>
  <c r="AC1394" i="155"/>
  <c r="AC1390" i="155"/>
  <c r="AC1386" i="155"/>
  <c r="AC1855" i="155"/>
  <c r="AC1851" i="155"/>
  <c r="AC1847" i="155"/>
  <c r="AC1843" i="155"/>
  <c r="AC1839" i="155"/>
  <c r="AC1835" i="155"/>
  <c r="AC1831" i="155"/>
  <c r="AC1827" i="155"/>
  <c r="AC1823" i="155"/>
  <c r="AC1819" i="155"/>
  <c r="AC1815" i="155"/>
  <c r="AC1811" i="155"/>
  <c r="AC1807" i="155"/>
  <c r="AC1803" i="155"/>
  <c r="AC1799" i="155"/>
  <c r="AC1795" i="155"/>
  <c r="AC1791" i="155"/>
  <c r="AC1787" i="155"/>
  <c r="AC1783" i="155"/>
  <c r="AC1779" i="155"/>
  <c r="AC1775" i="155"/>
  <c r="AC1771" i="155"/>
  <c r="AC516" i="155"/>
  <c r="AC509" i="155"/>
  <c r="AC502" i="155"/>
  <c r="AC498" i="155"/>
  <c r="AC548" i="155"/>
  <c r="AC544" i="155"/>
  <c r="AC540" i="155"/>
  <c r="AC536" i="155"/>
  <c r="AC532" i="155"/>
  <c r="AC528" i="155"/>
  <c r="AC524" i="155"/>
  <c r="AC520" i="155"/>
  <c r="AC588" i="155"/>
  <c r="AC584" i="155"/>
  <c r="AC580" i="155"/>
  <c r="AC576" i="155"/>
  <c r="AC572" i="155"/>
  <c r="AC568" i="155"/>
  <c r="AC564" i="155"/>
  <c r="AC560" i="155"/>
  <c r="AC556" i="155"/>
  <c r="AC552" i="155"/>
  <c r="AC608" i="155"/>
  <c r="AC604" i="155"/>
  <c r="AC600" i="155"/>
  <c r="AC596" i="155"/>
  <c r="AC592" i="155"/>
  <c r="AC668" i="155"/>
  <c r="AC664" i="155"/>
  <c r="AC660" i="155"/>
  <c r="AC656" i="155"/>
  <c r="AC652" i="155"/>
  <c r="AC648" i="155"/>
  <c r="AC644" i="155"/>
  <c r="AC640" i="155"/>
  <c r="AC636" i="155"/>
  <c r="AC632" i="155"/>
  <c r="AC628" i="155"/>
  <c r="AC624" i="155"/>
  <c r="AC620" i="155"/>
  <c r="AC616" i="155"/>
  <c r="AC612" i="155"/>
  <c r="AC678" i="155"/>
  <c r="AC674" i="155"/>
  <c r="AC670" i="155"/>
  <c r="AC1925" i="155"/>
  <c r="AC1921" i="155"/>
  <c r="AC1917" i="155"/>
  <c r="AC1913" i="155"/>
  <c r="AC1909" i="155"/>
  <c r="AC1905" i="155"/>
  <c r="AC1901" i="155"/>
  <c r="AC1897" i="155"/>
  <c r="AC1893" i="155"/>
  <c r="AC1889" i="155"/>
  <c r="AC1885" i="155"/>
  <c r="AC1881" i="155"/>
  <c r="AC1877" i="155"/>
  <c r="AC1873" i="155"/>
  <c r="AC1869" i="155"/>
  <c r="AC1865" i="155"/>
  <c r="AC1861" i="155"/>
  <c r="AC1857" i="155"/>
  <c r="AC2013" i="155"/>
  <c r="AC2009" i="155"/>
  <c r="AC2005" i="155"/>
  <c r="AC2001" i="155"/>
  <c r="AC1997" i="155"/>
  <c r="AC1993" i="155"/>
  <c r="AC1989" i="155"/>
  <c r="AC1985" i="155"/>
  <c r="AC1981" i="155"/>
  <c r="AC1977" i="155"/>
  <c r="AC1973" i="155"/>
  <c r="AC1969" i="155"/>
  <c r="AC1965" i="155"/>
  <c r="AC1961" i="155"/>
  <c r="AC1957" i="155"/>
  <c r="AC1953" i="155"/>
  <c r="AC1949" i="155"/>
  <c r="AC1945" i="155"/>
  <c r="AC1941" i="155"/>
  <c r="AC1937" i="155"/>
  <c r="AC1933" i="155"/>
  <c r="AC1929" i="155"/>
  <c r="AC1682" i="155"/>
  <c r="AC1678" i="155"/>
  <c r="AC1674" i="155"/>
  <c r="AC1670" i="155"/>
  <c r="AC1666" i="155"/>
  <c r="AC1662" i="155"/>
  <c r="AC1658" i="155"/>
  <c r="AC1654" i="155"/>
  <c r="AC1650" i="155"/>
  <c r="AC1646" i="155"/>
  <c r="AC1642" i="155"/>
  <c r="AC1638" i="155"/>
  <c r="AC1634" i="155"/>
  <c r="AC1630" i="155"/>
  <c r="AC1626" i="155"/>
  <c r="AC1622" i="155"/>
  <c r="AC1746" i="155"/>
  <c r="AC1742" i="155"/>
  <c r="AC1738" i="155"/>
  <c r="AC1734" i="155"/>
  <c r="AC1730" i="155"/>
  <c r="AC1726" i="155"/>
  <c r="AC1722" i="155"/>
  <c r="AC1718" i="155"/>
  <c r="AC1714" i="155"/>
  <c r="AC1710" i="155"/>
  <c r="AC1706" i="155"/>
  <c r="AC1702" i="155"/>
  <c r="AC1698" i="155"/>
  <c r="AC1694" i="155"/>
  <c r="AC1690" i="155"/>
  <c r="AC1686" i="155"/>
  <c r="AC1760" i="155"/>
  <c r="AC1756" i="155"/>
  <c r="AC1752" i="155"/>
  <c r="AC2126" i="155"/>
  <c r="AC2122" i="155"/>
  <c r="AC2118" i="155"/>
  <c r="AC2114" i="155"/>
  <c r="AC2110" i="155"/>
  <c r="AC2106" i="155"/>
  <c r="AC2138" i="155"/>
  <c r="AC2134" i="155"/>
  <c r="AC2130" i="155"/>
  <c r="AC2152" i="155"/>
  <c r="AC2148" i="155"/>
  <c r="AC2144" i="155"/>
  <c r="AC2140" i="155"/>
  <c r="AC2161" i="155"/>
  <c r="AC2157" i="155"/>
  <c r="AC2153" i="155"/>
  <c r="AC2171" i="155"/>
  <c r="AC2167" i="155"/>
  <c r="AC361" i="155"/>
  <c r="AC357" i="155"/>
  <c r="AC353" i="155"/>
  <c r="AC349" i="155"/>
  <c r="AC345" i="155"/>
  <c r="AC33" i="155"/>
  <c r="AC29" i="155"/>
  <c r="AC25" i="155"/>
  <c r="AC21" i="155"/>
  <c r="AC85" i="155"/>
  <c r="AC81" i="155"/>
  <c r="AC77" i="155"/>
  <c r="AC73" i="155"/>
  <c r="AC69" i="155"/>
  <c r="AC99" i="155"/>
  <c r="AC95" i="155"/>
  <c r="AC91" i="155"/>
  <c r="AC215" i="155"/>
  <c r="AC211" i="155"/>
  <c r="AC207" i="155"/>
  <c r="AC192" i="155"/>
  <c r="AC188" i="155"/>
  <c r="AC184" i="155"/>
  <c r="AC180" i="155"/>
  <c r="AC176" i="155"/>
  <c r="AC150" i="155"/>
  <c r="AC146" i="155"/>
  <c r="AC142" i="155"/>
  <c r="AC138" i="155"/>
  <c r="AC134" i="155"/>
  <c r="AC318" i="155"/>
  <c r="AC314" i="155"/>
  <c r="AC310" i="155"/>
  <c r="AC306" i="155"/>
  <c r="AC302" i="155"/>
  <c r="AC41" i="155"/>
  <c r="AC37" i="155"/>
  <c r="AC451" i="155"/>
  <c r="AC447" i="155"/>
  <c r="AC443" i="155"/>
  <c r="AC479" i="155"/>
  <c r="AC475" i="155"/>
  <c r="AC1317" i="155"/>
  <c r="AC2736" i="155"/>
  <c r="AC2732" i="155"/>
  <c r="AC2728" i="155"/>
  <c r="AC2807" i="155"/>
  <c r="AC2803" i="155"/>
  <c r="AC2799" i="155"/>
  <c r="AC2795" i="155"/>
  <c r="AC339" i="155"/>
  <c r="AC335" i="155"/>
  <c r="AC331" i="155"/>
  <c r="AC327" i="155"/>
  <c r="AC323" i="155"/>
  <c r="AC18" i="155"/>
  <c r="AC14" i="155"/>
  <c r="AC10" i="155"/>
  <c r="AC6" i="155"/>
  <c r="AC62" i="155"/>
  <c r="AC58" i="155"/>
  <c r="AC54" i="155"/>
  <c r="AC50" i="155"/>
  <c r="AC46" i="155"/>
  <c r="AC204" i="155"/>
  <c r="AC200" i="155"/>
  <c r="AC196" i="155"/>
  <c r="AC171" i="155"/>
  <c r="AC167" i="155"/>
  <c r="AC163" i="155"/>
  <c r="AC159" i="155"/>
  <c r="AC155" i="155"/>
  <c r="AC130" i="155"/>
  <c r="AC126" i="155"/>
  <c r="AC122" i="155"/>
  <c r="AC118" i="155"/>
  <c r="AC114" i="155"/>
  <c r="AC278" i="155"/>
  <c r="AC274" i="155"/>
  <c r="AC270" i="155"/>
  <c r="AC266" i="155"/>
  <c r="AC262" i="155"/>
  <c r="AC258" i="155"/>
  <c r="AC254" i="155"/>
  <c r="AC250" i="155"/>
  <c r="AC246" i="155"/>
  <c r="AC242" i="155"/>
  <c r="AC238" i="155"/>
  <c r="AC398" i="155"/>
  <c r="AC394" i="155"/>
  <c r="AC390" i="155"/>
  <c r="AC386" i="155"/>
  <c r="AC382" i="155"/>
  <c r="AC378" i="155"/>
  <c r="AC374" i="155"/>
  <c r="AC370" i="155"/>
  <c r="AC366" i="155"/>
  <c r="AC362" i="155"/>
  <c r="AC297" i="155"/>
  <c r="AC293" i="155"/>
  <c r="AC289" i="155"/>
  <c r="AC285" i="155"/>
  <c r="AC281" i="155"/>
  <c r="AC439" i="155"/>
  <c r="AC435" i="155"/>
  <c r="AC431" i="155"/>
  <c r="AC427" i="155"/>
  <c r="AC423" i="155"/>
  <c r="AC469" i="155"/>
  <c r="AC465" i="155"/>
  <c r="AC461" i="155"/>
  <c r="AC457" i="155"/>
  <c r="AC453" i="155"/>
  <c r="AC489" i="155"/>
  <c r="AC485" i="155"/>
  <c r="AC1201" i="155"/>
  <c r="AC1197" i="155"/>
  <c r="AC1227" i="155"/>
  <c r="AC1223" i="155"/>
  <c r="AC1219" i="155"/>
  <c r="AC1215" i="155"/>
  <c r="AC1211" i="155"/>
  <c r="AC1207" i="155"/>
  <c r="AC1301" i="155"/>
  <c r="AC1297" i="155"/>
  <c r="AC1293" i="155"/>
  <c r="AC1289" i="155"/>
  <c r="AC1285" i="155"/>
  <c r="AC1281" i="155"/>
  <c r="AC1277" i="155"/>
  <c r="AC1273" i="155"/>
  <c r="AC1269" i="155"/>
  <c r="AC1265" i="155"/>
  <c r="AC1261" i="155"/>
  <c r="AC1257" i="155"/>
  <c r="AC1253" i="155"/>
  <c r="AC1249" i="155"/>
  <c r="AC1245" i="155"/>
  <c r="AC1241" i="155"/>
  <c r="AC1237" i="155"/>
  <c r="AC1233" i="155"/>
  <c r="AC1361" i="155"/>
  <c r="AC1357" i="155"/>
  <c r="AC1353" i="155"/>
  <c r="AC1349" i="155"/>
  <c r="AC1345" i="155"/>
  <c r="AC1341" i="155"/>
  <c r="AC1337" i="155"/>
  <c r="AC1333" i="155"/>
  <c r="AC1329" i="155"/>
  <c r="AC1325" i="155"/>
  <c r="AC1321" i="155"/>
  <c r="AC1316" i="155"/>
  <c r="AC1312" i="155"/>
  <c r="AC1308" i="155"/>
  <c r="AC1304" i="155"/>
  <c r="AC1368" i="155"/>
  <c r="AC1364" i="155"/>
  <c r="AC1383" i="155"/>
  <c r="AC1379" i="155"/>
  <c r="AC1375" i="155"/>
  <c r="AC1371" i="155"/>
  <c r="AC512" i="155"/>
  <c r="AC496" i="155"/>
  <c r="AC1393" i="155"/>
  <c r="AC1389" i="155"/>
  <c r="AC1385" i="155"/>
  <c r="AC1854" i="155"/>
  <c r="AC1850" i="155"/>
  <c r="AC1846" i="155"/>
  <c r="AC1842" i="155"/>
  <c r="AC1838" i="155"/>
  <c r="AC1834" i="155"/>
  <c r="AC1830" i="155"/>
  <c r="AC1826" i="155"/>
  <c r="AC1822" i="155"/>
  <c r="AC1818" i="155"/>
  <c r="AC1814" i="155"/>
  <c r="AC1810" i="155"/>
  <c r="AC1806" i="155"/>
  <c r="AC1802" i="155"/>
  <c r="AC1798" i="155"/>
  <c r="AC1794" i="155"/>
  <c r="AC1790" i="155"/>
  <c r="AC1786" i="155"/>
  <c r="AC1782" i="155"/>
  <c r="AC1778" i="155"/>
  <c r="AC1774" i="155"/>
  <c r="AC1770" i="155"/>
  <c r="AC515" i="155"/>
  <c r="AC508" i="155"/>
  <c r="AC501" i="155"/>
  <c r="AC497" i="155"/>
  <c r="AC547" i="155"/>
  <c r="AC543" i="155"/>
  <c r="AC539" i="155"/>
  <c r="AC535" i="155"/>
  <c r="AC531" i="155"/>
  <c r="AC527" i="155"/>
  <c r="AC523" i="155"/>
  <c r="AC519" i="155"/>
  <c r="AC587" i="155"/>
  <c r="AC583" i="155"/>
  <c r="AC579" i="155"/>
  <c r="AC575" i="155"/>
  <c r="AC571" i="155"/>
  <c r="AC567" i="155"/>
  <c r="AC563" i="155"/>
  <c r="AC559" i="155"/>
  <c r="AC555" i="155"/>
  <c r="AC551" i="155"/>
  <c r="AC607" i="155"/>
  <c r="AC603" i="155"/>
  <c r="AC599" i="155"/>
  <c r="AC595" i="155"/>
  <c r="AC591" i="155"/>
  <c r="AC667" i="155"/>
  <c r="AC663" i="155"/>
  <c r="AC659" i="155"/>
  <c r="AC655" i="155"/>
  <c r="AC651" i="155"/>
  <c r="AC647" i="155"/>
  <c r="AC643" i="155"/>
  <c r="AC639" i="155"/>
  <c r="AC635" i="155"/>
  <c r="AC631" i="155"/>
  <c r="AC627" i="155"/>
  <c r="AC623" i="155"/>
  <c r="AC619" i="155"/>
  <c r="AC615" i="155"/>
  <c r="AC611" i="155"/>
  <c r="AC677" i="155"/>
  <c r="AC673" i="155"/>
  <c r="AC669" i="155"/>
  <c r="AC1924" i="155"/>
  <c r="AC1920" i="155"/>
  <c r="AC1916" i="155"/>
  <c r="AC1912" i="155"/>
  <c r="AC1908" i="155"/>
  <c r="AC1904" i="155"/>
  <c r="AC1900" i="155"/>
  <c r="AC1896" i="155"/>
  <c r="AC1892" i="155"/>
  <c r="AC1888" i="155"/>
  <c r="AC1884" i="155"/>
  <c r="AC1880" i="155"/>
  <c r="AC1876" i="155"/>
  <c r="AC1872" i="155"/>
  <c r="AC1868" i="155"/>
  <c r="AC1864" i="155"/>
  <c r="AC1860" i="155"/>
  <c r="AC1856" i="155"/>
  <c r="AC2012" i="155"/>
  <c r="AC2008" i="155"/>
  <c r="AC2004" i="155"/>
  <c r="AC2000" i="155"/>
  <c r="AC1996" i="155"/>
  <c r="AC1992" i="155"/>
  <c r="AC1988" i="155"/>
  <c r="AC1984" i="155"/>
  <c r="AC1980" i="155"/>
  <c r="AC1976" i="155"/>
  <c r="AC1972" i="155"/>
  <c r="AC1968" i="155"/>
  <c r="AC1964" i="155"/>
  <c r="AC1960" i="155"/>
  <c r="AC1956" i="155"/>
  <c r="AC1952" i="155"/>
  <c r="AC1948" i="155"/>
  <c r="AC1944" i="155"/>
  <c r="AC1940" i="155"/>
  <c r="AC1936" i="155"/>
  <c r="AC1932" i="155"/>
  <c r="AC1928" i="155"/>
  <c r="AC1681" i="155"/>
  <c r="AC1677" i="155"/>
  <c r="AC1673" i="155"/>
  <c r="AC1669" i="155"/>
  <c r="AC1665" i="155"/>
  <c r="AC1661" i="155"/>
  <c r="AC1657" i="155"/>
  <c r="AC1653" i="155"/>
  <c r="AC1649" i="155"/>
  <c r="AC1645" i="155"/>
  <c r="AC1641" i="155"/>
  <c r="AC1637" i="155"/>
  <c r="AC1633" i="155"/>
  <c r="AC1629" i="155"/>
  <c r="AC1625" i="155"/>
  <c r="AC1621" i="155"/>
  <c r="AC1745" i="155"/>
  <c r="AC1741" i="155"/>
  <c r="AC1737" i="155"/>
  <c r="AC1733" i="155"/>
  <c r="AC1729" i="155"/>
  <c r="AC1725" i="155"/>
  <c r="AC1721" i="155"/>
  <c r="AC1717" i="155"/>
  <c r="AC1713" i="155"/>
  <c r="AC1709" i="155"/>
  <c r="AC1705" i="155"/>
  <c r="AC1701" i="155"/>
  <c r="AC1697" i="155"/>
  <c r="AC1693" i="155"/>
  <c r="AC1689" i="155"/>
  <c r="AC1685" i="155"/>
  <c r="AC1759" i="155"/>
  <c r="AC1755" i="155"/>
  <c r="AC1751" i="155"/>
  <c r="AC2125" i="155"/>
  <c r="AC2121" i="155"/>
  <c r="AC2117" i="155"/>
  <c r="AC2113" i="155"/>
  <c r="AC2109" i="155"/>
  <c r="AC2105" i="155"/>
  <c r="AC2137" i="155"/>
  <c r="AC2133" i="155"/>
  <c r="AC2129" i="155"/>
  <c r="AC2151" i="155"/>
  <c r="AC2147" i="155"/>
  <c r="AC2143" i="155"/>
  <c r="AC2139" i="155"/>
  <c r="AC2160" i="155"/>
  <c r="AC2156" i="155"/>
  <c r="AC2174" i="155"/>
  <c r="AC2170" i="155"/>
  <c r="AC2166" i="155"/>
  <c r="AC360" i="155"/>
  <c r="AC356" i="155"/>
  <c r="AC352" i="155"/>
  <c r="AC348" i="155"/>
  <c r="AC344" i="155"/>
  <c r="AC32" i="155"/>
  <c r="AC28" i="155"/>
  <c r="AC24" i="155"/>
  <c r="AC20" i="155"/>
  <c r="AC84" i="155"/>
  <c r="AC80" i="155"/>
  <c r="AC76" i="155"/>
  <c r="AC72" i="155"/>
  <c r="AC68" i="155"/>
  <c r="AC98" i="155"/>
  <c r="AC94" i="155"/>
  <c r="AC90" i="155"/>
  <c r="AC214" i="155"/>
  <c r="AC210" i="155"/>
  <c r="AC206" i="155"/>
  <c r="AC191" i="155"/>
  <c r="AC187" i="155"/>
  <c r="AC183" i="155"/>
  <c r="AC179" i="155"/>
  <c r="AC175" i="155"/>
  <c r="AC149" i="155"/>
  <c r="AC145" i="155"/>
  <c r="AC141" i="155"/>
  <c r="AC137" i="155"/>
  <c r="AC133" i="155"/>
  <c r="AC317" i="155"/>
  <c r="AC313" i="155"/>
  <c r="AC309" i="155"/>
  <c r="AC305" i="155"/>
  <c r="AC301" i="155"/>
  <c r="AC40" i="155"/>
  <c r="AC36" i="155"/>
  <c r="AC450" i="155"/>
  <c r="AC446" i="155"/>
  <c r="AC442" i="155"/>
  <c r="AC478" i="155"/>
  <c r="AC474" i="155"/>
  <c r="AC2739" i="155"/>
  <c r="AC2735" i="155"/>
  <c r="AC2731" i="155"/>
  <c r="AC2727" i="155"/>
  <c r="AC2806" i="155"/>
  <c r="AC2802" i="155"/>
  <c r="AC2798" i="155"/>
  <c r="AC2794" i="155"/>
  <c r="AC338" i="155"/>
  <c r="AC334" i="155"/>
  <c r="AC330" i="155"/>
  <c r="AC326" i="155"/>
  <c r="AC322" i="155"/>
  <c r="AC17" i="155"/>
  <c r="AC13" i="155"/>
  <c r="AC9" i="155"/>
  <c r="AC65" i="155"/>
  <c r="AC61" i="155"/>
  <c r="AC57" i="155"/>
  <c r="AC53" i="155"/>
  <c r="AC49" i="155"/>
  <c r="AC45" i="155"/>
  <c r="AC203" i="155"/>
  <c r="AC199" i="155"/>
  <c r="AC174" i="155"/>
  <c r="AC170" i="155"/>
  <c r="AC166" i="155"/>
  <c r="AC162" i="155"/>
  <c r="AC158" i="155"/>
  <c r="AC154" i="155"/>
  <c r="AC129" i="155"/>
  <c r="AC125" i="155"/>
  <c r="AC121" i="155"/>
  <c r="AC117" i="155"/>
  <c r="AC113" i="155"/>
  <c r="AC277" i="155"/>
  <c r="AC273" i="155"/>
  <c r="AC269" i="155"/>
  <c r="AC265" i="155"/>
  <c r="AC261" i="155"/>
  <c r="AC257" i="155"/>
  <c r="AC253" i="155"/>
  <c r="AC249" i="155"/>
  <c r="AC245" i="155"/>
  <c r="AC241" i="155"/>
  <c r="AC237" i="155"/>
  <c r="AC397" i="155"/>
  <c r="AC393" i="155"/>
  <c r="AC389" i="155"/>
  <c r="AC385" i="155"/>
  <c r="AC381" i="155"/>
  <c r="AC377" i="155"/>
  <c r="AC373" i="155"/>
  <c r="AC369" i="155"/>
  <c r="AC365" i="155"/>
  <c r="AC300" i="155"/>
  <c r="AC296" i="155"/>
  <c r="AC292" i="155"/>
  <c r="AC288" i="155"/>
  <c r="AC284" i="155"/>
  <c r="AC280" i="155"/>
  <c r="AC438" i="155"/>
  <c r="AC434" i="155"/>
  <c r="AC430" i="155"/>
  <c r="AC426" i="155"/>
  <c r="AC422" i="155"/>
  <c r="AC468" i="155"/>
  <c r="AC464" i="155"/>
  <c r="AC460" i="155"/>
  <c r="AC456" i="155"/>
  <c r="AC452" i="155"/>
  <c r="AC488" i="155"/>
  <c r="AC484" i="155"/>
  <c r="AC1200" i="155"/>
  <c r="AC1196" i="155"/>
  <c r="AC1226" i="155"/>
  <c r="AC1222" i="155"/>
  <c r="AC1218" i="155"/>
  <c r="AC1214" i="155"/>
  <c r="AC1210" i="155"/>
  <c r="AC1206" i="155"/>
  <c r="AC1300" i="155"/>
  <c r="AC1296" i="155"/>
  <c r="AC1292" i="155"/>
  <c r="AC1288" i="155"/>
  <c r="AC1284" i="155"/>
  <c r="AC1280" i="155"/>
  <c r="AC1276" i="155"/>
  <c r="AC1272" i="155"/>
  <c r="AC1268" i="155"/>
  <c r="AC1264" i="155"/>
  <c r="AC1260" i="155"/>
  <c r="AC1256" i="155"/>
  <c r="AC1252" i="155"/>
  <c r="AC1248" i="155"/>
  <c r="AC1244" i="155"/>
  <c r="AC1240" i="155"/>
  <c r="AC1236" i="155"/>
  <c r="AC1232" i="155"/>
  <c r="AC1360" i="155"/>
  <c r="AC1356" i="155"/>
  <c r="AC1352" i="155"/>
  <c r="AC1348" i="155"/>
  <c r="AC1344" i="155"/>
  <c r="AC1340" i="155"/>
  <c r="AC1336" i="155"/>
  <c r="AC1332" i="155"/>
  <c r="AC1328" i="155"/>
  <c r="AC1324" i="155"/>
  <c r="AC1320" i="155"/>
  <c r="AC1315" i="155"/>
  <c r="AC1311" i="155"/>
  <c r="AC1307" i="155"/>
  <c r="AC1303" i="155"/>
  <c r="AC1367" i="155"/>
  <c r="AC1363" i="155"/>
  <c r="AC1382" i="155"/>
  <c r="AC1378" i="155"/>
  <c r="AC1374" i="155"/>
  <c r="AC1370" i="155"/>
  <c r="AC505" i="155"/>
  <c r="AC495" i="155"/>
  <c r="AC1392" i="155"/>
  <c r="AC1388" i="155"/>
  <c r="AC1853" i="155"/>
  <c r="AC1849" i="155"/>
  <c r="AC1845" i="155"/>
  <c r="AC1841" i="155"/>
  <c r="AC1837" i="155"/>
  <c r="AC1833" i="155"/>
  <c r="AC1829" i="155"/>
  <c r="AC1825" i="155"/>
  <c r="AC1821" i="155"/>
  <c r="AC1817" i="155"/>
  <c r="AC1813" i="155"/>
  <c r="AC1809" i="155"/>
  <c r="AC1805" i="155"/>
  <c r="AC1801" i="155"/>
  <c r="AC1797" i="155"/>
  <c r="AC1793" i="155"/>
  <c r="AC1789" i="155"/>
  <c r="AC1785" i="155"/>
  <c r="AC1781" i="155"/>
  <c r="AC1777" i="155"/>
  <c r="AC1773" i="155"/>
  <c r="AC1769" i="155"/>
  <c r="AC511" i="155"/>
  <c r="AC507" i="155"/>
  <c r="AC500" i="155"/>
  <c r="AC493" i="155"/>
  <c r="AC546" i="155"/>
  <c r="AC542" i="155"/>
  <c r="AC538" i="155"/>
  <c r="AC534" i="155"/>
  <c r="AC530" i="155"/>
  <c r="AC526" i="155"/>
  <c r="AC522" i="155"/>
  <c r="AC518" i="155"/>
  <c r="AC586" i="155"/>
  <c r="AC582" i="155"/>
  <c r="AC578" i="155"/>
  <c r="AC574" i="155"/>
  <c r="AC570" i="155"/>
  <c r="AC566" i="155"/>
  <c r="AC562" i="155"/>
  <c r="AC558" i="155"/>
  <c r="AC554" i="155"/>
  <c r="AC550" i="155"/>
  <c r="AC606" i="155"/>
  <c r="AC602" i="155"/>
  <c r="AC598" i="155"/>
  <c r="AC594" i="155"/>
  <c r="AC590" i="155"/>
  <c r="AC666" i="155"/>
  <c r="AC662" i="155"/>
  <c r="AC658" i="155"/>
  <c r="AC654" i="155"/>
  <c r="AC650" i="155"/>
  <c r="AC646" i="155"/>
  <c r="AC642" i="155"/>
  <c r="AC638" i="155"/>
  <c r="AC634" i="155"/>
  <c r="AC630" i="155"/>
  <c r="AC626" i="155"/>
  <c r="AC622" i="155"/>
  <c r="AC618" i="155"/>
  <c r="AC614" i="155"/>
  <c r="AC610" i="155"/>
  <c r="AC676" i="155"/>
  <c r="AC672" i="155"/>
  <c r="AC1927" i="155"/>
  <c r="AC1923" i="155"/>
  <c r="AC1919" i="155"/>
  <c r="AC1915" i="155"/>
  <c r="AC1911" i="155"/>
  <c r="AC1907" i="155"/>
  <c r="AC1903" i="155"/>
  <c r="AC1899" i="155"/>
  <c r="AC1895" i="155"/>
  <c r="AC1891" i="155"/>
  <c r="AC1887" i="155"/>
  <c r="AC1883" i="155"/>
  <c r="AC1879" i="155"/>
  <c r="AC1875" i="155"/>
  <c r="AC1871" i="155"/>
  <c r="AC1867" i="155"/>
  <c r="AC1863" i="155"/>
  <c r="AC1859" i="155"/>
  <c r="AC2015" i="155"/>
  <c r="AC2011" i="155"/>
  <c r="AC2007" i="155"/>
  <c r="AC2003" i="155"/>
  <c r="AC1999" i="155"/>
  <c r="AC1995" i="155"/>
  <c r="AC1991" i="155"/>
  <c r="AC1987" i="155"/>
  <c r="AC1983" i="155"/>
  <c r="AC1979" i="155"/>
  <c r="AC1975" i="155"/>
  <c r="AC1971" i="155"/>
  <c r="AC1967" i="155"/>
  <c r="AC1963" i="155"/>
  <c r="AC1959" i="155"/>
  <c r="AC1955" i="155"/>
  <c r="AC1951" i="155"/>
  <c r="AC1947" i="155"/>
  <c r="AC1943" i="155"/>
  <c r="AC1939" i="155"/>
  <c r="AC1935" i="155"/>
  <c r="AC1931" i="155"/>
  <c r="AC1684" i="155"/>
  <c r="AC1680" i="155"/>
  <c r="AC1676" i="155"/>
  <c r="AC1672" i="155"/>
  <c r="AC1668" i="155"/>
  <c r="AC1664" i="155"/>
  <c r="AC1660" i="155"/>
  <c r="AC1229" i="155"/>
  <c r="AC1213" i="155"/>
  <c r="AC1295" i="155"/>
  <c r="AC1279" i="155"/>
  <c r="AC1263" i="155"/>
  <c r="AC1247" i="155"/>
  <c r="AC1231" i="155"/>
  <c r="AC1347" i="155"/>
  <c r="AC1331" i="155"/>
  <c r="AC1314" i="155"/>
  <c r="AC1366" i="155"/>
  <c r="AC1373" i="155"/>
  <c r="AC1391" i="155"/>
  <c r="AC1848" i="155"/>
  <c r="AC1832" i="155"/>
  <c r="AC1816" i="155"/>
  <c r="AC1800" i="155"/>
  <c r="AC1784" i="155"/>
  <c r="AC1768" i="155"/>
  <c r="AC492" i="155"/>
  <c r="AC533" i="155"/>
  <c r="AC517" i="155"/>
  <c r="AC573" i="155"/>
  <c r="AC557" i="155"/>
  <c r="AC601" i="155"/>
  <c r="AC665" i="155"/>
  <c r="AC649" i="155"/>
  <c r="AC633" i="155"/>
  <c r="AC617" i="155"/>
  <c r="AC671" i="155"/>
  <c r="AC1914" i="155"/>
  <c r="AC1898" i="155"/>
  <c r="AC1882" i="155"/>
  <c r="AC1866" i="155"/>
  <c r="AC2010" i="155"/>
  <c r="AC1994" i="155"/>
  <c r="AC1978" i="155"/>
  <c r="AC1962" i="155"/>
  <c r="AC1946" i="155"/>
  <c r="AC1930" i="155"/>
  <c r="AC1671" i="155"/>
  <c r="AC1656" i="155"/>
  <c r="AC1648" i="155"/>
  <c r="AC1640" i="155"/>
  <c r="AC1632" i="155"/>
  <c r="AC1624" i="155"/>
  <c r="AC1744" i="155"/>
  <c r="AC1736" i="155"/>
  <c r="AC1728" i="155"/>
  <c r="AC1720" i="155"/>
  <c r="AC1712" i="155"/>
  <c r="AC1704" i="155"/>
  <c r="AC1696" i="155"/>
  <c r="AC1688" i="155"/>
  <c r="AC1758" i="155"/>
  <c r="AC1750" i="155"/>
  <c r="AC2120" i="155"/>
  <c r="AC2112" i="155"/>
  <c r="AC2104" i="155"/>
  <c r="AC2132" i="155"/>
  <c r="AC2150" i="155"/>
  <c r="AC2142" i="155"/>
  <c r="AC2159" i="155"/>
  <c r="AC2173" i="155"/>
  <c r="AC2165" i="155"/>
  <c r="AC355" i="155"/>
  <c r="AC347" i="155"/>
  <c r="AC31" i="155"/>
  <c r="AC23" i="155"/>
  <c r="AC83" i="155"/>
  <c r="AC75" i="155"/>
  <c r="AC67" i="155"/>
  <c r="AC93" i="155"/>
  <c r="AC213" i="155"/>
  <c r="AC194" i="155"/>
  <c r="AC186" i="155"/>
  <c r="AC178" i="155"/>
  <c r="AC148" i="155"/>
  <c r="AC140" i="155"/>
  <c r="AC320" i="155"/>
  <c r="AC312" i="155"/>
  <c r="AC304" i="155"/>
  <c r="AC39" i="155"/>
  <c r="AC449" i="155"/>
  <c r="AC481" i="155"/>
  <c r="AC473" i="155"/>
  <c r="AC2734" i="155"/>
  <c r="AC2726" i="155"/>
  <c r="AC2801" i="155"/>
  <c r="AC2793" i="155"/>
  <c r="AC337" i="155"/>
  <c r="AC329" i="155"/>
  <c r="AC321" i="155"/>
  <c r="AC12" i="155"/>
  <c r="AC64" i="155"/>
  <c r="AC56" i="155"/>
  <c r="AC48" i="155"/>
  <c r="AC202" i="155"/>
  <c r="AC173" i="155"/>
  <c r="AC165" i="155"/>
  <c r="AC157" i="155"/>
  <c r="AC128" i="155"/>
  <c r="AC120" i="155"/>
  <c r="AC112" i="155"/>
  <c r="AC272" i="155"/>
  <c r="AC264" i="155"/>
  <c r="AC256" i="155"/>
  <c r="AC248" i="155"/>
  <c r="AC240" i="155"/>
  <c r="AC396" i="155"/>
  <c r="AC388" i="155"/>
  <c r="AC380" i="155"/>
  <c r="AC372" i="155"/>
  <c r="AC364" i="155"/>
  <c r="AC295" i="155"/>
  <c r="AC287" i="155"/>
  <c r="AC441" i="155"/>
  <c r="AC433" i="155"/>
  <c r="AC425" i="155"/>
  <c r="AC467" i="155"/>
  <c r="AC459" i="155"/>
  <c r="AC491" i="155"/>
  <c r="AC483" i="155"/>
  <c r="AC1199" i="155"/>
  <c r="AC1193" i="155"/>
  <c r="AC1189" i="155"/>
  <c r="AC1185" i="155"/>
  <c r="AC1181" i="155"/>
  <c r="AC1177" i="155"/>
  <c r="AC1173" i="155"/>
  <c r="AC1169" i="155"/>
  <c r="AC1550" i="155"/>
  <c r="AC1545" i="155"/>
  <c r="AC1538" i="155"/>
  <c r="AC1546" i="155"/>
  <c r="AC1539" i="155"/>
  <c r="AC1570" i="155"/>
  <c r="AC1562" i="155"/>
  <c r="AC1567" i="155"/>
  <c r="AC1559" i="155"/>
  <c r="AC2748" i="155"/>
  <c r="AC2744" i="155"/>
  <c r="AC2740" i="155"/>
  <c r="AC2721" i="155"/>
  <c r="AC2717" i="155"/>
  <c r="AC2713" i="155"/>
  <c r="AC2709" i="155"/>
  <c r="AC2788" i="155"/>
  <c r="AC2784" i="155"/>
  <c r="AC2780" i="155"/>
  <c r="AC2776" i="155"/>
  <c r="AC2819" i="155"/>
  <c r="AC2811" i="155"/>
  <c r="AC2818" i="155"/>
  <c r="AC2810" i="155"/>
  <c r="AC1217" i="155"/>
  <c r="AC1283" i="155"/>
  <c r="AC1251" i="155"/>
  <c r="AC1351" i="155"/>
  <c r="AC1319" i="155"/>
  <c r="AC1377" i="155"/>
  <c r="AC1836" i="155"/>
  <c r="AC1804" i="155"/>
  <c r="AC1772" i="155"/>
  <c r="AC537" i="155"/>
  <c r="AC577" i="155"/>
  <c r="AC605" i="155"/>
  <c r="AC637" i="155"/>
  <c r="AC675" i="155"/>
  <c r="AC1886" i="155"/>
  <c r="AC2014" i="155"/>
  <c r="AC1982" i="155"/>
  <c r="AC1950" i="155"/>
  <c r="AC1675" i="155"/>
  <c r="AC1659" i="155"/>
  <c r="AC1635" i="155"/>
  <c r="AC1747" i="155"/>
  <c r="AC1731" i="155"/>
  <c r="AC1715" i="155"/>
  <c r="AC1699" i="155"/>
  <c r="AC1761" i="155"/>
  <c r="AC2123" i="155"/>
  <c r="AC2107" i="155"/>
  <c r="AC2127" i="155"/>
  <c r="AC2162" i="155"/>
  <c r="AC2168" i="155"/>
  <c r="AC350" i="155"/>
  <c r="AC26" i="155"/>
  <c r="AC78" i="155"/>
  <c r="AC96" i="155"/>
  <c r="AC208" i="155"/>
  <c r="AC181" i="155"/>
  <c r="AC143" i="155"/>
  <c r="AC315" i="155"/>
  <c r="AC34" i="155"/>
  <c r="AC476" i="155"/>
  <c r="AC2729" i="155"/>
  <c r="AC2796" i="155"/>
  <c r="AC340" i="155"/>
  <c r="AC324" i="155"/>
  <c r="AC7" i="155"/>
  <c r="AC51" i="155"/>
  <c r="AC197" i="155"/>
  <c r="AC160" i="155"/>
  <c r="AC123" i="155"/>
  <c r="AC275" i="155"/>
  <c r="AC259" i="155"/>
  <c r="AC243" i="155"/>
  <c r="AC391" i="155"/>
  <c r="AC375" i="155"/>
  <c r="AC298" i="155"/>
  <c r="AC282" i="155"/>
  <c r="AC428" i="155"/>
  <c r="AC462" i="155"/>
  <c r="AC486" i="155"/>
  <c r="AC1202" i="155"/>
  <c r="AC1190" i="155"/>
  <c r="AC1182" i="155"/>
  <c r="AC1174" i="155"/>
  <c r="AC1554" i="155"/>
  <c r="AC1547" i="155"/>
  <c r="AC1532" i="155"/>
  <c r="AC1533" i="155"/>
  <c r="AC1569" i="155"/>
  <c r="AC2749" i="155"/>
  <c r="AC2741" i="155"/>
  <c r="AC2718" i="155"/>
  <c r="AC2710" i="155"/>
  <c r="AC2785" i="155"/>
  <c r="AC2777" i="155"/>
  <c r="AC2813" i="155"/>
  <c r="AC2812" i="155"/>
  <c r="AC1225" i="155"/>
  <c r="AC1209" i="155"/>
  <c r="AC1291" i="155"/>
  <c r="AC1275" i="155"/>
  <c r="AC1259" i="155"/>
  <c r="AC1243" i="155"/>
  <c r="AC1359" i="155"/>
  <c r="AC1343" i="155"/>
  <c r="AC1327" i="155"/>
  <c r="AC1310" i="155"/>
  <c r="AC1362" i="155"/>
  <c r="AC514" i="155"/>
  <c r="AC1387" i="155"/>
  <c r="AC1844" i="155"/>
  <c r="AC1828" i="155"/>
  <c r="AC1812" i="155"/>
  <c r="AC1796" i="155"/>
  <c r="AC1780" i="155"/>
  <c r="AC510" i="155"/>
  <c r="AC545" i="155"/>
  <c r="AC529" i="155"/>
  <c r="AC585" i="155"/>
  <c r="AC569" i="155"/>
  <c r="AC553" i="155"/>
  <c r="AC597" i="155"/>
  <c r="AC661" i="155"/>
  <c r="AC645" i="155"/>
  <c r="AC629" i="155"/>
  <c r="AC613" i="155"/>
  <c r="AC1926" i="155"/>
  <c r="AC1910" i="155"/>
  <c r="AC1894" i="155"/>
  <c r="AC1878" i="155"/>
  <c r="AC1862" i="155"/>
  <c r="AC2006" i="155"/>
  <c r="AC1990" i="155"/>
  <c r="AC1974" i="155"/>
  <c r="AC1958" i="155"/>
  <c r="AC1942" i="155"/>
  <c r="AC1683" i="155"/>
  <c r="AC1667" i="155"/>
  <c r="AC1655" i="155"/>
  <c r="AC1647" i="155"/>
  <c r="AC1639" i="155"/>
  <c r="AC1631" i="155"/>
  <c r="AC1623" i="155"/>
  <c r="AC1743" i="155"/>
  <c r="AC1735" i="155"/>
  <c r="AC1727" i="155"/>
  <c r="AC1719" i="155"/>
  <c r="AC1711" i="155"/>
  <c r="AC1703" i="155"/>
  <c r="AC1695" i="155"/>
  <c r="AC1687" i="155"/>
  <c r="AC1757" i="155"/>
  <c r="AC1749" i="155"/>
  <c r="AC2119" i="155"/>
  <c r="AC2111" i="155"/>
  <c r="AC2103" i="155"/>
  <c r="AC2131" i="155"/>
  <c r="AC2149" i="155"/>
  <c r="AC2141" i="155"/>
  <c r="AC2158" i="155"/>
  <c r="AC2172" i="155"/>
  <c r="AC2164" i="155"/>
  <c r="AC354" i="155"/>
  <c r="AC346" i="155"/>
  <c r="AC30" i="155"/>
  <c r="AC22" i="155"/>
  <c r="AC82" i="155"/>
  <c r="AC74" i="155"/>
  <c r="AC66" i="155"/>
  <c r="AC92" i="155"/>
  <c r="AC212" i="155"/>
  <c r="AC193" i="155"/>
  <c r="AC185" i="155"/>
  <c r="AC177" i="155"/>
  <c r="AC147" i="155"/>
  <c r="AC139" i="155"/>
  <c r="AC319" i="155"/>
  <c r="AC311" i="155"/>
  <c r="AC303" i="155"/>
  <c r="AC38" i="155"/>
  <c r="AC448" i="155"/>
  <c r="AC480" i="155"/>
  <c r="AC472" i="155"/>
  <c r="AC2733" i="155"/>
  <c r="AC2725" i="155"/>
  <c r="AC2800" i="155"/>
  <c r="AC2792" i="155"/>
  <c r="AC336" i="155"/>
  <c r="AC328" i="155"/>
  <c r="AC19" i="155"/>
  <c r="AC11" i="155"/>
  <c r="AC63" i="155"/>
  <c r="AC55" i="155"/>
  <c r="AC47" i="155"/>
  <c r="AC201" i="155"/>
  <c r="AC172" i="155"/>
  <c r="AC164" i="155"/>
  <c r="AC156" i="155"/>
  <c r="AC127" i="155"/>
  <c r="AC119" i="155"/>
  <c r="AC279" i="155"/>
  <c r="AC271" i="155"/>
  <c r="AC263" i="155"/>
  <c r="AC255" i="155"/>
  <c r="AC247" i="155"/>
  <c r="AC239" i="155"/>
  <c r="AC395" i="155"/>
  <c r="AC387" i="155"/>
  <c r="AC379" i="155"/>
  <c r="AC371" i="155"/>
  <c r="AC363" i="155"/>
  <c r="AC294" i="155"/>
  <c r="AC286" i="155"/>
  <c r="AC440" i="155"/>
  <c r="AC432" i="155"/>
  <c r="AC424" i="155"/>
  <c r="AC466" i="155"/>
  <c r="AC458" i="155"/>
  <c r="AC490" i="155"/>
  <c r="AC482" i="155"/>
  <c r="AC1198" i="155"/>
  <c r="AC1192" i="155"/>
  <c r="AC1188" i="155"/>
  <c r="AC1184" i="155"/>
  <c r="AC1180" i="155"/>
  <c r="AC1176" i="155"/>
  <c r="AC1172" i="155"/>
  <c r="AC1168" i="155"/>
  <c r="AC1553" i="155"/>
  <c r="AC1549" i="155"/>
  <c r="AC1543" i="155"/>
  <c r="AC1536" i="155"/>
  <c r="AC1544" i="155"/>
  <c r="AC1537" i="155"/>
  <c r="AC1568" i="155"/>
  <c r="AC1560" i="155"/>
  <c r="AC1565" i="155"/>
  <c r="AC1557" i="155"/>
  <c r="AC2747" i="155"/>
  <c r="AC2743" i="155"/>
  <c r="AC2724" i="155"/>
  <c r="AC2720" i="155"/>
  <c r="AC2716" i="155"/>
  <c r="AC2712" i="155"/>
  <c r="AC2791" i="155"/>
  <c r="AC2787" i="155"/>
  <c r="AC2783" i="155"/>
  <c r="AC2779" i="155"/>
  <c r="AC2825" i="155"/>
  <c r="AC2817" i="155"/>
  <c r="AC2824" i="155"/>
  <c r="AC2816" i="155"/>
  <c r="AC2809" i="155"/>
  <c r="AC2789" i="155"/>
  <c r="AC1221" i="155"/>
  <c r="AC1205" i="155"/>
  <c r="AC1287" i="155"/>
  <c r="AC1271" i="155"/>
  <c r="AC1255" i="155"/>
  <c r="AC1239" i="155"/>
  <c r="AC1355" i="155"/>
  <c r="AC1339" i="155"/>
  <c r="AC1323" i="155"/>
  <c r="AC1306" i="155"/>
  <c r="AC1381" i="155"/>
  <c r="AC504" i="155"/>
  <c r="AC1840" i="155"/>
  <c r="AC1824" i="155"/>
  <c r="AC1808" i="155"/>
  <c r="AC1792" i="155"/>
  <c r="AC1776" i="155"/>
  <c r="AC506" i="155"/>
  <c r="AC541" i="155"/>
  <c r="AC525" i="155"/>
  <c r="AC581" i="155"/>
  <c r="AC565" i="155"/>
  <c r="AC549" i="155"/>
  <c r="AC593" i="155"/>
  <c r="AC657" i="155"/>
  <c r="AC641" i="155"/>
  <c r="AC625" i="155"/>
  <c r="AC609" i="155"/>
  <c r="AC1922" i="155"/>
  <c r="AC1906" i="155"/>
  <c r="AC1890" i="155"/>
  <c r="AC1874" i="155"/>
  <c r="AC1858" i="155"/>
  <c r="AC2002" i="155"/>
  <c r="AC1986" i="155"/>
  <c r="AC1970" i="155"/>
  <c r="AC1954" i="155"/>
  <c r="AC1938" i="155"/>
  <c r="AC1679" i="155"/>
  <c r="AC1663" i="155"/>
  <c r="AC1652" i="155"/>
  <c r="AC1644" i="155"/>
  <c r="AC1636" i="155"/>
  <c r="AC1628" i="155"/>
  <c r="AC1748" i="155"/>
  <c r="AC1740" i="155"/>
  <c r="AC1732" i="155"/>
  <c r="AC1724" i="155"/>
  <c r="AC1716" i="155"/>
  <c r="AC1708" i="155"/>
  <c r="AC1700" i="155"/>
  <c r="AC1692" i="155"/>
  <c r="AC1762" i="155"/>
  <c r="AC1754" i="155"/>
  <c r="AC2124" i="155"/>
  <c r="AC2116" i="155"/>
  <c r="AC2108" i="155"/>
  <c r="AC2136" i="155"/>
  <c r="AC2128" i="155"/>
  <c r="AC2146" i="155"/>
  <c r="AC2163" i="155"/>
  <c r="AC2155" i="155"/>
  <c r="AC2169" i="155"/>
  <c r="AC359" i="155"/>
  <c r="AC351" i="155"/>
  <c r="AC343" i="155"/>
  <c r="AC27" i="155"/>
  <c r="AC87" i="155"/>
  <c r="AC79" i="155"/>
  <c r="AC71" i="155"/>
  <c r="AC97" i="155"/>
  <c r="AC89" i="155"/>
  <c r="AC209" i="155"/>
  <c r="AC190" i="155"/>
  <c r="AC182" i="155"/>
  <c r="AC152" i="155"/>
  <c r="AC144" i="155"/>
  <c r="AC136" i="155"/>
  <c r="AC316" i="155"/>
  <c r="AC308" i="155"/>
  <c r="AC43" i="155"/>
  <c r="AC35" i="155"/>
  <c r="AC445" i="155"/>
  <c r="AC477" i="155"/>
  <c r="AC2738" i="155"/>
  <c r="AC2730" i="155"/>
  <c r="AC2805" i="155"/>
  <c r="AC2797" i="155"/>
  <c r="AC341" i="155"/>
  <c r="AC333" i="155"/>
  <c r="AC325" i="155"/>
  <c r="AC16" i="155"/>
  <c r="AC8" i="155"/>
  <c r="AC60" i="155"/>
  <c r="AC52" i="155"/>
  <c r="AC44" i="155"/>
  <c r="AC198" i="155"/>
  <c r="AC169" i="155"/>
  <c r="AC161" i="155"/>
  <c r="AC132" i="155"/>
  <c r="AC124" i="155"/>
  <c r="AC116" i="155"/>
  <c r="AC276" i="155"/>
  <c r="AC268" i="155"/>
  <c r="AC260" i="155"/>
  <c r="AC252" i="155"/>
  <c r="AC244" i="155"/>
  <c r="AC400" i="155"/>
  <c r="AC392" i="155"/>
  <c r="AC384" i="155"/>
  <c r="AC376" i="155"/>
  <c r="AC368" i="155"/>
  <c r="AC299" i="155"/>
  <c r="AC291" i="155"/>
  <c r="AC283" i="155"/>
  <c r="AC437" i="155"/>
  <c r="AC429" i="155"/>
  <c r="AC471" i="155"/>
  <c r="AC463" i="155"/>
  <c r="AC455" i="155"/>
  <c r="AC487" i="155"/>
  <c r="AC1203" i="155"/>
  <c r="AC1195" i="155"/>
  <c r="AC1191" i="155"/>
  <c r="AC1187" i="155"/>
  <c r="AC1183" i="155"/>
  <c r="AC1179" i="155"/>
  <c r="AC1175" i="155"/>
  <c r="AC1171" i="155"/>
  <c r="AC1555" i="155"/>
  <c r="AC1552" i="155"/>
  <c r="AC1548" i="155"/>
  <c r="AC1542" i="155"/>
  <c r="AC1534" i="155"/>
  <c r="AC1535" i="155"/>
  <c r="AC1566" i="155"/>
  <c r="AC1558" i="155"/>
  <c r="AC1563" i="155"/>
  <c r="AC1556" i="155"/>
  <c r="AC2746" i="155"/>
  <c r="AC2742" i="155"/>
  <c r="AC2723" i="155"/>
  <c r="AC2719" i="155"/>
  <c r="AC2715" i="155"/>
  <c r="AC2711" i="155"/>
  <c r="AC2790" i="155"/>
  <c r="AC2786" i="155"/>
  <c r="AC2782" i="155"/>
  <c r="AC2778" i="155"/>
  <c r="AC2823" i="155"/>
  <c r="AC2815" i="155"/>
  <c r="AC2822" i="155"/>
  <c r="AC2814" i="155"/>
  <c r="AC2808" i="155"/>
  <c r="AC1299" i="155"/>
  <c r="AC1267" i="155"/>
  <c r="AC1235" i="155"/>
  <c r="AC1335" i="155"/>
  <c r="AC1302" i="155"/>
  <c r="AC494" i="155"/>
  <c r="AC1852" i="155"/>
  <c r="AC1820" i="155"/>
  <c r="AC1788" i="155"/>
  <c r="AC499" i="155"/>
  <c r="AC521" i="155"/>
  <c r="AC561" i="155"/>
  <c r="AC589" i="155"/>
  <c r="AC653" i="155"/>
  <c r="AC621" i="155"/>
  <c r="AC1918" i="155"/>
  <c r="AC1902" i="155"/>
  <c r="AC1870" i="155"/>
  <c r="AC1998" i="155"/>
  <c r="AC1966" i="155"/>
  <c r="AC1934" i="155"/>
  <c r="AC1651" i="155"/>
  <c r="AC1643" i="155"/>
  <c r="AC1627" i="155"/>
  <c r="AC1739" i="155"/>
  <c r="AC1723" i="155"/>
  <c r="AC1707" i="155"/>
  <c r="AC1691" i="155"/>
  <c r="AC1753" i="155"/>
  <c r="AC2115" i="155"/>
  <c r="AC2135" i="155"/>
  <c r="AC2145" i="155"/>
  <c r="AC2154" i="155"/>
  <c r="AC358" i="155"/>
  <c r="AC342" i="155"/>
  <c r="AC86" i="155"/>
  <c r="AC70" i="155"/>
  <c r="AC88" i="155"/>
  <c r="AC189" i="155"/>
  <c r="AC151" i="155"/>
  <c r="AC135" i="155"/>
  <c r="AC307" i="155"/>
  <c r="AC42" i="155"/>
  <c r="AC444" i="155"/>
  <c r="AC2737" i="155"/>
  <c r="AC2804" i="155"/>
  <c r="AC332" i="155"/>
  <c r="AC15" i="155"/>
  <c r="AC59" i="155"/>
  <c r="AC205" i="155"/>
  <c r="AC168" i="155"/>
  <c r="AC131" i="155"/>
  <c r="AC115" i="155"/>
  <c r="AC267" i="155"/>
  <c r="AC251" i="155"/>
  <c r="AC399" i="155"/>
  <c r="AC383" i="155"/>
  <c r="AC367" i="155"/>
  <c r="AC290" i="155"/>
  <c r="AC436" i="155"/>
  <c r="AC470" i="155"/>
  <c r="AC454" i="155"/>
  <c r="AC1194" i="155"/>
  <c r="AC1186" i="155"/>
  <c r="AC1178" i="155"/>
  <c r="AC1170" i="155"/>
  <c r="AC1551" i="155"/>
  <c r="AC1540" i="155"/>
  <c r="AC1541" i="155"/>
  <c r="AC1564" i="155"/>
  <c r="AC1561" i="155"/>
  <c r="AC2745" i="155"/>
  <c r="AC2722" i="155"/>
  <c r="AC2714" i="155"/>
  <c r="AC2781" i="155"/>
  <c r="AC2821" i="155"/>
  <c r="AC2820" i="155"/>
  <c r="AG2099" i="155"/>
  <c r="AG1855" i="155"/>
  <c r="AG1851" i="155"/>
  <c r="AG1847" i="155"/>
  <c r="AG1843" i="155"/>
  <c r="AG1839" i="155"/>
  <c r="AG1835" i="155"/>
  <c r="AG1831" i="155"/>
  <c r="AG1827" i="155"/>
  <c r="AG1823" i="155"/>
  <c r="AG1819" i="155"/>
  <c r="AG1815" i="155"/>
  <c r="AG1811" i="155"/>
  <c r="AG1807" i="155"/>
  <c r="AG1803" i="155"/>
  <c r="AG1799" i="155"/>
  <c r="AG1795" i="155"/>
  <c r="AG1791" i="155"/>
  <c r="AG1787" i="155"/>
  <c r="AG1783" i="155"/>
  <c r="AG1779" i="155"/>
  <c r="AG1775" i="155"/>
  <c r="AG1771" i="155"/>
  <c r="AG361" i="155"/>
  <c r="AG357" i="155"/>
  <c r="AG353" i="155"/>
  <c r="AG349" i="155"/>
  <c r="AG345" i="155"/>
  <c r="AG341" i="155"/>
  <c r="AG337" i="155"/>
  <c r="AG333" i="155"/>
  <c r="AG329" i="155"/>
  <c r="AG325" i="155"/>
  <c r="AG321" i="155"/>
  <c r="AG2037" i="155"/>
  <c r="AG2033" i="155"/>
  <c r="AG2029" i="155"/>
  <c r="AG2025" i="155"/>
  <c r="AG30" i="155"/>
  <c r="AG26" i="155"/>
  <c r="AG22" i="155"/>
  <c r="AG18" i="155"/>
  <c r="AG14" i="155"/>
  <c r="AG10" i="155"/>
  <c r="AG6" i="155"/>
  <c r="AG62" i="155"/>
  <c r="AG58" i="155"/>
  <c r="AG54" i="155"/>
  <c r="AG50" i="155"/>
  <c r="AG46" i="155"/>
  <c r="AG86" i="155"/>
  <c r="AG82" i="155"/>
  <c r="AG78" i="155"/>
  <c r="AG74" i="155"/>
  <c r="AG70" i="155"/>
  <c r="AG66" i="155"/>
  <c r="AG96" i="155"/>
  <c r="AG92" i="155"/>
  <c r="AG88" i="155"/>
  <c r="AG108" i="155"/>
  <c r="AG2098" i="155"/>
  <c r="AG1854" i="155"/>
  <c r="AG1850" i="155"/>
  <c r="AG1846" i="155"/>
  <c r="AG1842" i="155"/>
  <c r="AG1838" i="155"/>
  <c r="AG1834" i="155"/>
  <c r="AG1830" i="155"/>
  <c r="AG1826" i="155"/>
  <c r="AG1822" i="155"/>
  <c r="AG1818" i="155"/>
  <c r="AG1814" i="155"/>
  <c r="AG1810" i="155"/>
  <c r="AG1806" i="155"/>
  <c r="AG1802" i="155"/>
  <c r="AG1798" i="155"/>
  <c r="AG1794" i="155"/>
  <c r="AG1790" i="155"/>
  <c r="AG1786" i="155"/>
  <c r="AG1782" i="155"/>
  <c r="AG1778" i="155"/>
  <c r="AG1774" i="155"/>
  <c r="AG1770" i="155"/>
  <c r="AG360" i="155"/>
  <c r="AG356" i="155"/>
  <c r="AG352" i="155"/>
  <c r="AG348" i="155"/>
  <c r="AG344" i="155"/>
  <c r="AG340" i="155"/>
  <c r="AG336" i="155"/>
  <c r="AG332" i="155"/>
  <c r="AG328" i="155"/>
  <c r="AG324" i="155"/>
  <c r="AG2040" i="155"/>
  <c r="AG2036" i="155"/>
  <c r="AG2032" i="155"/>
  <c r="AG2028" i="155"/>
  <c r="AG33" i="155"/>
  <c r="AG29" i="155"/>
  <c r="AG25" i="155"/>
  <c r="AG21" i="155"/>
  <c r="AG17" i="155"/>
  <c r="AG13" i="155"/>
  <c r="AG9" i="155"/>
  <c r="AG65" i="155"/>
  <c r="AG61" i="155"/>
  <c r="AG57" i="155"/>
  <c r="AG53" i="155"/>
  <c r="AG49" i="155"/>
  <c r="AG45" i="155"/>
  <c r="AG85" i="155"/>
  <c r="AG81" i="155"/>
  <c r="AG77" i="155"/>
  <c r="AG73" i="155"/>
  <c r="AG69" i="155"/>
  <c r="AG99" i="155"/>
  <c r="AG95" i="155"/>
  <c r="AG91" i="155"/>
  <c r="AG111" i="155"/>
  <c r="AG107" i="155"/>
  <c r="AG2097" i="155"/>
  <c r="AG1853" i="155"/>
  <c r="AG1845" i="155"/>
  <c r="AG1837" i="155"/>
  <c r="AG1829" i="155"/>
  <c r="AG1821" i="155"/>
  <c r="AG1813" i="155"/>
  <c r="AG1805" i="155"/>
  <c r="AG1797" i="155"/>
  <c r="AG1789" i="155"/>
  <c r="AG1781" i="155"/>
  <c r="AG1773" i="155"/>
  <c r="AG359" i="155"/>
  <c r="AG351" i="155"/>
  <c r="AG343" i="155"/>
  <c r="AG335" i="155"/>
  <c r="AG327" i="155"/>
  <c r="AG2039" i="155"/>
  <c r="AG2031" i="155"/>
  <c r="AG32" i="155"/>
  <c r="AG24" i="155"/>
  <c r="AG16" i="155"/>
  <c r="AG8" i="155"/>
  <c r="AG60" i="155"/>
  <c r="AG52" i="155"/>
  <c r="AG44" i="155"/>
  <c r="AG80" i="155"/>
  <c r="AG72" i="155"/>
  <c r="AG98" i="155"/>
  <c r="AG90" i="155"/>
  <c r="AG106" i="155"/>
  <c r="AG102" i="155"/>
  <c r="AG214" i="155"/>
  <c r="AG210" i="155"/>
  <c r="AG206" i="155"/>
  <c r="AG202" i="155"/>
  <c r="AG198" i="155"/>
  <c r="AG193" i="155"/>
  <c r="AG189" i="155"/>
  <c r="AG185" i="155"/>
  <c r="AG181" i="155"/>
  <c r="AG177" i="155"/>
  <c r="AG173" i="155"/>
  <c r="AG169" i="155"/>
  <c r="AG165" i="155"/>
  <c r="AG161" i="155"/>
  <c r="AG2096" i="155"/>
  <c r="AG1852" i="155"/>
  <c r="AG1844" i="155"/>
  <c r="AG1836" i="155"/>
  <c r="AG1828" i="155"/>
  <c r="AG1820" i="155"/>
  <c r="AG1812" i="155"/>
  <c r="AG1804" i="155"/>
  <c r="AG1796" i="155"/>
  <c r="AG1788" i="155"/>
  <c r="AG1780" i="155"/>
  <c r="AG1772" i="155"/>
  <c r="AG358" i="155"/>
  <c r="AG350" i="155"/>
  <c r="AG342" i="155"/>
  <c r="AG334" i="155"/>
  <c r="AG326" i="155"/>
  <c r="AG2038" i="155"/>
  <c r="AG2030" i="155"/>
  <c r="AG31" i="155"/>
  <c r="AG23" i="155"/>
  <c r="AG15" i="155"/>
  <c r="AG7" i="155"/>
  <c r="AG59" i="155"/>
  <c r="AG51" i="155"/>
  <c r="AG87" i="155"/>
  <c r="AG79" i="155"/>
  <c r="AG71" i="155"/>
  <c r="AG97" i="155"/>
  <c r="AG89" i="155"/>
  <c r="AG105" i="155"/>
  <c r="AG101" i="155"/>
  <c r="AG213" i="155"/>
  <c r="AG209" i="155"/>
  <c r="AG205" i="155"/>
  <c r="AG201" i="155"/>
  <c r="AG197" i="155"/>
  <c r="AG192" i="155"/>
  <c r="AG188" i="155"/>
  <c r="AG184" i="155"/>
  <c r="AG180" i="155"/>
  <c r="AG176" i="155"/>
  <c r="AG172" i="155"/>
  <c r="AG168" i="155"/>
  <c r="AG164" i="155"/>
  <c r="AG160" i="155"/>
  <c r="AG1849" i="155"/>
  <c r="AG1841" i="155"/>
  <c r="AG1833" i="155"/>
  <c r="AG1825" i="155"/>
  <c r="AG1817" i="155"/>
  <c r="AG1809" i="155"/>
  <c r="AG1801" i="155"/>
  <c r="AG1793" i="155"/>
  <c r="AG1785" i="155"/>
  <c r="AG1777" i="155"/>
  <c r="AG1769" i="155"/>
  <c r="AG355" i="155"/>
  <c r="AG347" i="155"/>
  <c r="AG339" i="155"/>
  <c r="AG331" i="155"/>
  <c r="AG323" i="155"/>
  <c r="AG2035" i="155"/>
  <c r="AG2027" i="155"/>
  <c r="AG28" i="155"/>
  <c r="AG20" i="155"/>
  <c r="AG12" i="155"/>
  <c r="AG64" i="155"/>
  <c r="AG56" i="155"/>
  <c r="AG48" i="155"/>
  <c r="AG84" i="155"/>
  <c r="AG76" i="155"/>
  <c r="AG68" i="155"/>
  <c r="AG94" i="155"/>
  <c r="AG110" i="155"/>
  <c r="AG104" i="155"/>
  <c r="AG100" i="155"/>
  <c r="AG212" i="155"/>
  <c r="AG208" i="155"/>
  <c r="AG204" i="155"/>
  <c r="AG200" i="155"/>
  <c r="AG196" i="155"/>
  <c r="AG191" i="155"/>
  <c r="AG187" i="155"/>
  <c r="AG183" i="155"/>
  <c r="AG179" i="155"/>
  <c r="AG175" i="155"/>
  <c r="AG171" i="155"/>
  <c r="AG167" i="155"/>
  <c r="AG163" i="155"/>
  <c r="AG159" i="155"/>
  <c r="AG155" i="155"/>
  <c r="AG1840" i="155"/>
  <c r="AG1808" i="155"/>
  <c r="AG1776" i="155"/>
  <c r="AG338" i="155"/>
  <c r="AG2026" i="155"/>
  <c r="AG63" i="155"/>
  <c r="AG75" i="155"/>
  <c r="AG103" i="155"/>
  <c r="AG203" i="155"/>
  <c r="AG186" i="155"/>
  <c r="AG170" i="155"/>
  <c r="AG157" i="155"/>
  <c r="AG151" i="155"/>
  <c r="AG147" i="155"/>
  <c r="AG143" i="155"/>
  <c r="AG139" i="155"/>
  <c r="AG135" i="155"/>
  <c r="AG131" i="155"/>
  <c r="AG127" i="155"/>
  <c r="AG123" i="155"/>
  <c r="AG119" i="155"/>
  <c r="AG115" i="155"/>
  <c r="AG227" i="155"/>
  <c r="AG223" i="155"/>
  <c r="AG219" i="155"/>
  <c r="AG232" i="155"/>
  <c r="AG228" i="155"/>
  <c r="AG233" i="155"/>
  <c r="AG276" i="155"/>
  <c r="AG272" i="155"/>
  <c r="AG268" i="155"/>
  <c r="AG264" i="155"/>
  <c r="AG260" i="155"/>
  <c r="AG256" i="155"/>
  <c r="AG252" i="155"/>
  <c r="AG248" i="155"/>
  <c r="AG244" i="155"/>
  <c r="AG240" i="155"/>
  <c r="AG400" i="155"/>
  <c r="AG396" i="155"/>
  <c r="AG392" i="155"/>
  <c r="AG388" i="155"/>
  <c r="AG384" i="155"/>
  <c r="AG380" i="155"/>
  <c r="AG376" i="155"/>
  <c r="AG372" i="155"/>
  <c r="AG368" i="155"/>
  <c r="AG364" i="155"/>
  <c r="AG319" i="155"/>
  <c r="AG315" i="155"/>
  <c r="AG311" i="155"/>
  <c r="AG307" i="155"/>
  <c r="AG303" i="155"/>
  <c r="AG299" i="155"/>
  <c r="AG295" i="155"/>
  <c r="AG291" i="155"/>
  <c r="AG287" i="155"/>
  <c r="AG283" i="155"/>
  <c r="AG43" i="155"/>
  <c r="AG39" i="155"/>
  <c r="AG35" i="155"/>
  <c r="AG514" i="155"/>
  <c r="AG510" i="155"/>
  <c r="AG506" i="155"/>
  <c r="AG502" i="155"/>
  <c r="AG498" i="155"/>
  <c r="AG494" i="155"/>
  <c r="AG547" i="155"/>
  <c r="AG543" i="155"/>
  <c r="AG539" i="155"/>
  <c r="AG535" i="155"/>
  <c r="AG531" i="155"/>
  <c r="AG527" i="155"/>
  <c r="AG523" i="155"/>
  <c r="AG519" i="155"/>
  <c r="AG587" i="155"/>
  <c r="AG583" i="155"/>
  <c r="AG579" i="155"/>
  <c r="AG575" i="155"/>
  <c r="AG571" i="155"/>
  <c r="AG567" i="155"/>
  <c r="AG563" i="155"/>
  <c r="AG559" i="155"/>
  <c r="AG555" i="155"/>
  <c r="AG551" i="155"/>
  <c r="AG607" i="155"/>
  <c r="AG603" i="155"/>
  <c r="AG599" i="155"/>
  <c r="AG595" i="155"/>
  <c r="AG591" i="155"/>
  <c r="AG667" i="155"/>
  <c r="AG663" i="155"/>
  <c r="AG659" i="155"/>
  <c r="AG655" i="155"/>
  <c r="AG651" i="155"/>
  <c r="AG647" i="155"/>
  <c r="AG643" i="155"/>
  <c r="AG639" i="155"/>
  <c r="AG635" i="155"/>
  <c r="AG631" i="155"/>
  <c r="AG627" i="155"/>
  <c r="AG623" i="155"/>
  <c r="AG619" i="155"/>
  <c r="AG615" i="155"/>
  <c r="AG611" i="155"/>
  <c r="AG677" i="155"/>
  <c r="AG673" i="155"/>
  <c r="AG669" i="155"/>
  <c r="AG846" i="155"/>
  <c r="AG842" i="155"/>
  <c r="AG838" i="155"/>
  <c r="AG826" i="155"/>
  <c r="AG822" i="155"/>
  <c r="AG890" i="155"/>
  <c r="AG956" i="155"/>
  <c r="AG952" i="155"/>
  <c r="AG948" i="155"/>
  <c r="AG944" i="155"/>
  <c r="AG940" i="155"/>
  <c r="AG936" i="155"/>
  <c r="AG932" i="155"/>
  <c r="AG1019" i="155"/>
  <c r="AG1015" i="155"/>
  <c r="AG1011" i="155"/>
  <c r="AG1007" i="155"/>
  <c r="AG1003" i="155"/>
  <c r="AG999" i="155"/>
  <c r="AG995" i="155"/>
  <c r="AG991" i="155"/>
  <c r="AG987" i="155"/>
  <c r="AG983" i="155"/>
  <c r="AG979" i="155"/>
  <c r="AG975" i="155"/>
  <c r="AG971" i="155"/>
  <c r="AG967" i="155"/>
  <c r="AG963" i="155"/>
  <c r="AG959" i="155"/>
  <c r="AG1109" i="155"/>
  <c r="AG1105" i="155"/>
  <c r="AG1101" i="155"/>
  <c r="AG1097" i="155"/>
  <c r="AG1093" i="155"/>
  <c r="AG1089" i="155"/>
  <c r="AG1085" i="155"/>
  <c r="AG1081" i="155"/>
  <c r="AG1077" i="155"/>
  <c r="AG1073" i="155"/>
  <c r="AG1069" i="155"/>
  <c r="AG1065" i="155"/>
  <c r="AG1061" i="155"/>
  <c r="AG1057" i="155"/>
  <c r="AG1053" i="155"/>
  <c r="AG1049" i="155"/>
  <c r="AG1045" i="155"/>
  <c r="AG1041" i="155"/>
  <c r="AG1037" i="155"/>
  <c r="AG1033" i="155"/>
  <c r="AG1029" i="155"/>
  <c r="AG1025" i="155"/>
  <c r="AG1112" i="155"/>
  <c r="AG1115" i="155"/>
  <c r="AG1137" i="155"/>
  <c r="AG1133" i="155"/>
  <c r="AG1129" i="155"/>
  <c r="AG1155" i="155"/>
  <c r="AG1832" i="155"/>
  <c r="AG1800" i="155"/>
  <c r="AG1768" i="155"/>
  <c r="AG330" i="155"/>
  <c r="AG27" i="155"/>
  <c r="AG55" i="155"/>
  <c r="AG67" i="155"/>
  <c r="AG215" i="155"/>
  <c r="AG199" i="155"/>
  <c r="AG182" i="155"/>
  <c r="AG166" i="155"/>
  <c r="AG156" i="155"/>
  <c r="AG150" i="155"/>
  <c r="AG146" i="155"/>
  <c r="AG142" i="155"/>
  <c r="AG138" i="155"/>
  <c r="AG134" i="155"/>
  <c r="AG130" i="155"/>
  <c r="AG126" i="155"/>
  <c r="AG122" i="155"/>
  <c r="AG118" i="155"/>
  <c r="AG114" i="155"/>
  <c r="AG226" i="155"/>
  <c r="AG222" i="155"/>
  <c r="AG218" i="155"/>
  <c r="AG231" i="155"/>
  <c r="AG236" i="155"/>
  <c r="AG279" i="155"/>
  <c r="AG275" i="155"/>
  <c r="AG271" i="155"/>
  <c r="AG267" i="155"/>
  <c r="AG263" i="155"/>
  <c r="AG259" i="155"/>
  <c r="AG255" i="155"/>
  <c r="AG251" i="155"/>
  <c r="AG247" i="155"/>
  <c r="AG243" i="155"/>
  <c r="AG239" i="155"/>
  <c r="AG399" i="155"/>
  <c r="AG395" i="155"/>
  <c r="AG391" i="155"/>
  <c r="AG387" i="155"/>
  <c r="AG383" i="155"/>
  <c r="AG379" i="155"/>
  <c r="AG375" i="155"/>
  <c r="AG371" i="155"/>
  <c r="AG367" i="155"/>
  <c r="AG363" i="155"/>
  <c r="AG318" i="155"/>
  <c r="AG314" i="155"/>
  <c r="AG310" i="155"/>
  <c r="AG306" i="155"/>
  <c r="AG302" i="155"/>
  <c r="AG298" i="155"/>
  <c r="AG294" i="155"/>
  <c r="AG290" i="155"/>
  <c r="AG286" i="155"/>
  <c r="AG282" i="155"/>
  <c r="AG42" i="155"/>
  <c r="AG38" i="155"/>
  <c r="AG34" i="155"/>
  <c r="AG513" i="155"/>
  <c r="AG509" i="155"/>
  <c r="AG505" i="155"/>
  <c r="AG501" i="155"/>
  <c r="AG497" i="155"/>
  <c r="AG493" i="155"/>
  <c r="AG546" i="155"/>
  <c r="AG542" i="155"/>
  <c r="AG538" i="155"/>
  <c r="AG534" i="155"/>
  <c r="AG530" i="155"/>
  <c r="AG526" i="155"/>
  <c r="AG522" i="155"/>
  <c r="AG518" i="155"/>
  <c r="AG586" i="155"/>
  <c r="AG582" i="155"/>
  <c r="AG578" i="155"/>
  <c r="AG574" i="155"/>
  <c r="AG570" i="155"/>
  <c r="AG566" i="155"/>
  <c r="AG562" i="155"/>
  <c r="AG558" i="155"/>
  <c r="AG554" i="155"/>
  <c r="AG550" i="155"/>
  <c r="AG606" i="155"/>
  <c r="AG602" i="155"/>
  <c r="AG598" i="155"/>
  <c r="AG594" i="155"/>
  <c r="AG590" i="155"/>
  <c r="AG666" i="155"/>
  <c r="AG662" i="155"/>
  <c r="AG658" i="155"/>
  <c r="AG654" i="155"/>
  <c r="AG650" i="155"/>
  <c r="AG646" i="155"/>
  <c r="AG642" i="155"/>
  <c r="AG638" i="155"/>
  <c r="AG634" i="155"/>
  <c r="AG630" i="155"/>
  <c r="AG626" i="155"/>
  <c r="AG622" i="155"/>
  <c r="AG618" i="155"/>
  <c r="AG614" i="155"/>
  <c r="AG610" i="155"/>
  <c r="AG676" i="155"/>
  <c r="AG672" i="155"/>
  <c r="AG849" i="155"/>
  <c r="AG845" i="155"/>
  <c r="AG841" i="155"/>
  <c r="AG837" i="155"/>
  <c r="AG825" i="155"/>
  <c r="AG821" i="155"/>
  <c r="AG889" i="155"/>
  <c r="AG955" i="155"/>
  <c r="AG951" i="155"/>
  <c r="AG947" i="155"/>
  <c r="AG943" i="155"/>
  <c r="AG939" i="155"/>
  <c r="AG935" i="155"/>
  <c r="AG1022" i="155"/>
  <c r="AG1018" i="155"/>
  <c r="AG1014" i="155"/>
  <c r="AG1010" i="155"/>
  <c r="AG1006" i="155"/>
  <c r="AG1002" i="155"/>
  <c r="AG998" i="155"/>
  <c r="AG994" i="155"/>
  <c r="AG990" i="155"/>
  <c r="AG986" i="155"/>
  <c r="AG982" i="155"/>
  <c r="AG978" i="155"/>
  <c r="AG974" i="155"/>
  <c r="AG970" i="155"/>
  <c r="AG966" i="155"/>
  <c r="AG962" i="155"/>
  <c r="AG958" i="155"/>
  <c r="AG1108" i="155"/>
  <c r="AG1104" i="155"/>
  <c r="AG1100" i="155"/>
  <c r="AG1096" i="155"/>
  <c r="AG1092" i="155"/>
  <c r="AG1088" i="155"/>
  <c r="AG1084" i="155"/>
  <c r="AG1080" i="155"/>
  <c r="AG1076" i="155"/>
  <c r="AG1072" i="155"/>
  <c r="AG1068" i="155"/>
  <c r="AG1064" i="155"/>
  <c r="AG1060" i="155"/>
  <c r="AG1056" i="155"/>
  <c r="AG1052" i="155"/>
  <c r="AG1048" i="155"/>
  <c r="AG1044" i="155"/>
  <c r="AG1040" i="155"/>
  <c r="AG1036" i="155"/>
  <c r="AG1032" i="155"/>
  <c r="AG1028" i="155"/>
  <c r="AG1024" i="155"/>
  <c r="AG1118" i="155"/>
  <c r="AG1114" i="155"/>
  <c r="AG1136" i="155"/>
  <c r="AG1132" i="155"/>
  <c r="AG1145" i="155"/>
  <c r="AG1154" i="155"/>
  <c r="AG1824" i="155"/>
  <c r="AG1792" i="155"/>
  <c r="AG354" i="155"/>
  <c r="AG322" i="155"/>
  <c r="AG19" i="155"/>
  <c r="AG47" i="155"/>
  <c r="AG93" i="155"/>
  <c r="AG211" i="155"/>
  <c r="AG194" i="155"/>
  <c r="AG178" i="155"/>
  <c r="AG162" i="155"/>
  <c r="AG154" i="155"/>
  <c r="AG149" i="155"/>
  <c r="AG145" i="155"/>
  <c r="AG141" i="155"/>
  <c r="AG137" i="155"/>
  <c r="AG133" i="155"/>
  <c r="AG129" i="155"/>
  <c r="AG125" i="155"/>
  <c r="AG121" i="155"/>
  <c r="AG117" i="155"/>
  <c r="AG113" i="155"/>
  <c r="AG225" i="155"/>
  <c r="AG221" i="155"/>
  <c r="AG217" i="155"/>
  <c r="AG230" i="155"/>
  <c r="AG235" i="155"/>
  <c r="AG278" i="155"/>
  <c r="AG274" i="155"/>
  <c r="AG270" i="155"/>
  <c r="AG266" i="155"/>
  <c r="AG262" i="155"/>
  <c r="AG258" i="155"/>
  <c r="AG254" i="155"/>
  <c r="AG250" i="155"/>
  <c r="AG246" i="155"/>
  <c r="AG242" i="155"/>
  <c r="AG238" i="155"/>
  <c r="AG398" i="155"/>
  <c r="AG394" i="155"/>
  <c r="AG390" i="155"/>
  <c r="AG386" i="155"/>
  <c r="AG382" i="155"/>
  <c r="AG378" i="155"/>
  <c r="AG374" i="155"/>
  <c r="AG370" i="155"/>
  <c r="AG366" i="155"/>
  <c r="AG362" i="155"/>
  <c r="AG317" i="155"/>
  <c r="AG313" i="155"/>
  <c r="AG309" i="155"/>
  <c r="AG305" i="155"/>
  <c r="AG301" i="155"/>
  <c r="AG297" i="155"/>
  <c r="AG293" i="155"/>
  <c r="AG289" i="155"/>
  <c r="AG285" i="155"/>
  <c r="AG281" i="155"/>
  <c r="AG41" i="155"/>
  <c r="AG37" i="155"/>
  <c r="AG516" i="155"/>
  <c r="AG512" i="155"/>
  <c r="AG508" i="155"/>
  <c r="AG504" i="155"/>
  <c r="AG500" i="155"/>
  <c r="AG496" i="155"/>
  <c r="AG492" i="155"/>
  <c r="AG545" i="155"/>
  <c r="AG541" i="155"/>
  <c r="AG537" i="155"/>
  <c r="AG533" i="155"/>
  <c r="AG529" i="155"/>
  <c r="AG525" i="155"/>
  <c r="AG521" i="155"/>
  <c r="AG517" i="155"/>
  <c r="AG585" i="155"/>
  <c r="AG581" i="155"/>
  <c r="AG577" i="155"/>
  <c r="AG573" i="155"/>
  <c r="AG569" i="155"/>
  <c r="AG565" i="155"/>
  <c r="AG561" i="155"/>
  <c r="AG557" i="155"/>
  <c r="AG553" i="155"/>
  <c r="AG549" i="155"/>
  <c r="AG605" i="155"/>
  <c r="AG601" i="155"/>
  <c r="AG597" i="155"/>
  <c r="AG593" i="155"/>
  <c r="AG589" i="155"/>
  <c r="AG665" i="155"/>
  <c r="AG661" i="155"/>
  <c r="AG657" i="155"/>
  <c r="AG653" i="155"/>
  <c r="AG649" i="155"/>
  <c r="AG645" i="155"/>
  <c r="AG641" i="155"/>
  <c r="AG637" i="155"/>
  <c r="AG633" i="155"/>
  <c r="AG629" i="155"/>
  <c r="AG625" i="155"/>
  <c r="AG621" i="155"/>
  <c r="AG617" i="155"/>
  <c r="AG613" i="155"/>
  <c r="AG609" i="155"/>
  <c r="AG675" i="155"/>
  <c r="AG671" i="155"/>
  <c r="AG848" i="155"/>
  <c r="AG844" i="155"/>
  <c r="AG840" i="155"/>
  <c r="AG836" i="155"/>
  <c r="AG824" i="155"/>
  <c r="AG820" i="155"/>
  <c r="AG888" i="155"/>
  <c r="AG954" i="155"/>
  <c r="AG950" i="155"/>
  <c r="AG946" i="155"/>
  <c r="AG942" i="155"/>
  <c r="AG938" i="155"/>
  <c r="AG934" i="155"/>
  <c r="AG1021" i="155"/>
  <c r="AG1017" i="155"/>
  <c r="AG1013" i="155"/>
  <c r="AG1009" i="155"/>
  <c r="AG1005" i="155"/>
  <c r="AG1001" i="155"/>
  <c r="AG997" i="155"/>
  <c r="AG993" i="155"/>
  <c r="AG989" i="155"/>
  <c r="AG985" i="155"/>
  <c r="AG981" i="155"/>
  <c r="AG977" i="155"/>
  <c r="AG973" i="155"/>
  <c r="AG969" i="155"/>
  <c r="AG965" i="155"/>
  <c r="AG961" i="155"/>
  <c r="AG1111" i="155"/>
  <c r="AG1107" i="155"/>
  <c r="AG1103" i="155"/>
  <c r="AG1099" i="155"/>
  <c r="AG1095" i="155"/>
  <c r="AG1091" i="155"/>
  <c r="AG1087" i="155"/>
  <c r="AG1083" i="155"/>
  <c r="AG1079" i="155"/>
  <c r="AG1075" i="155"/>
  <c r="AG1071" i="155"/>
  <c r="AG1067" i="155"/>
  <c r="AG1063" i="155"/>
  <c r="AG1059" i="155"/>
  <c r="AG1055" i="155"/>
  <c r="AG1051" i="155"/>
  <c r="AG1047" i="155"/>
  <c r="AG1043" i="155"/>
  <c r="AG1039" i="155"/>
  <c r="AG1035" i="155"/>
  <c r="AG1031" i="155"/>
  <c r="AG1027" i="155"/>
  <c r="AG1023" i="155"/>
  <c r="AG1117" i="155"/>
  <c r="AG346" i="155"/>
  <c r="AG109" i="155"/>
  <c r="AG158" i="155"/>
  <c r="AG140" i="155"/>
  <c r="AG124" i="155"/>
  <c r="AG224" i="155"/>
  <c r="AG234" i="155"/>
  <c r="AG265" i="155"/>
  <c r="AG249" i="155"/>
  <c r="AG397" i="155"/>
  <c r="AG381" i="155"/>
  <c r="AG365" i="155"/>
  <c r="AG308" i="155"/>
  <c r="AG292" i="155"/>
  <c r="AG40" i="155"/>
  <c r="AG507" i="155"/>
  <c r="AG548" i="155"/>
  <c r="AG532" i="155"/>
  <c r="AG588" i="155"/>
  <c r="AG572" i="155"/>
  <c r="AG556" i="155"/>
  <c r="AG600" i="155"/>
  <c r="AG664" i="155"/>
  <c r="AG648" i="155"/>
  <c r="AG632" i="155"/>
  <c r="AG616" i="155"/>
  <c r="AG670" i="155"/>
  <c r="AG827" i="155"/>
  <c r="AG953" i="155"/>
  <c r="AG937" i="155"/>
  <c r="AG1012" i="155"/>
  <c r="AG996" i="155"/>
  <c r="AG980" i="155"/>
  <c r="AG964" i="155"/>
  <c r="AG1102" i="155"/>
  <c r="AG1086" i="155"/>
  <c r="AG1070" i="155"/>
  <c r="AG1054" i="155"/>
  <c r="AG1038" i="155"/>
  <c r="AG1113" i="155"/>
  <c r="AG1135" i="155"/>
  <c r="AG1144" i="155"/>
  <c r="AG1151" i="155"/>
  <c r="AG1147" i="155"/>
  <c r="AG1165" i="155"/>
  <c r="AG1203" i="155"/>
  <c r="AG1199" i="155"/>
  <c r="AG1195" i="155"/>
  <c r="AG1191" i="155"/>
  <c r="AG1187" i="155"/>
  <c r="AG1183" i="155"/>
  <c r="AG1179" i="155"/>
  <c r="AG1175" i="155"/>
  <c r="AG1171" i="155"/>
  <c r="AG1229" i="155"/>
  <c r="AG1225" i="155"/>
  <c r="AG1221" i="155"/>
  <c r="AG1217" i="155"/>
  <c r="AG1213" i="155"/>
  <c r="AG1209" i="155"/>
  <c r="AG1205" i="155"/>
  <c r="AG1281" i="155"/>
  <c r="AG1277" i="155"/>
  <c r="AG1273" i="155"/>
  <c r="AG1269" i="155"/>
  <c r="AG1247" i="155"/>
  <c r="AG1243" i="155"/>
  <c r="AG1239" i="155"/>
  <c r="AG1235" i="155"/>
  <c r="AG1231" i="155"/>
  <c r="AG1359" i="155"/>
  <c r="AG1355" i="155"/>
  <c r="AG1351" i="155"/>
  <c r="AG1347" i="155"/>
  <c r="AG1343" i="155"/>
  <c r="AG1339" i="155"/>
  <c r="AG1335" i="155"/>
  <c r="AG1331" i="155"/>
  <c r="AG1327" i="155"/>
  <c r="AG1323" i="155"/>
  <c r="AG1319" i="155"/>
  <c r="AG1315" i="155"/>
  <c r="AG1311" i="155"/>
  <c r="AG1307" i="155"/>
  <c r="AG1303" i="155"/>
  <c r="AG1367" i="155"/>
  <c r="AG1363" i="155"/>
  <c r="AG1382" i="155"/>
  <c r="AG1378" i="155"/>
  <c r="AG1374" i="155"/>
  <c r="AG1370" i="155"/>
  <c r="AG1401" i="155"/>
  <c r="AG1397" i="155"/>
  <c r="AG1393" i="155"/>
  <c r="AG1389" i="155"/>
  <c r="AG1385" i="155"/>
  <c r="AG1554" i="155"/>
  <c r="AG1551" i="155"/>
  <c r="AG1547" i="155"/>
  <c r="AG1540" i="155"/>
  <c r="AG1532" i="155"/>
  <c r="AG1541" i="155"/>
  <c r="AG1533" i="155"/>
  <c r="AG1564" i="155"/>
  <c r="AG1569" i="155"/>
  <c r="AG1561" i="155"/>
  <c r="AG2024" i="155"/>
  <c r="AG2020" i="155"/>
  <c r="AG2016" i="155"/>
  <c r="AG1924" i="155"/>
  <c r="AG1920" i="155"/>
  <c r="AG1916" i="155"/>
  <c r="AG1912" i="155"/>
  <c r="AG1908" i="155"/>
  <c r="AG1904" i="155"/>
  <c r="AG1900" i="155"/>
  <c r="AG1896" i="155"/>
  <c r="AG1892" i="155"/>
  <c r="AG1888" i="155"/>
  <c r="AG1884" i="155"/>
  <c r="AG1880" i="155"/>
  <c r="AG1876" i="155"/>
  <c r="AG1872" i="155"/>
  <c r="AG1868" i="155"/>
  <c r="AG1864" i="155"/>
  <c r="AG1860" i="155"/>
  <c r="AG1856" i="155"/>
  <c r="AG2012" i="155"/>
  <c r="AG2008" i="155"/>
  <c r="AG2004" i="155"/>
  <c r="AG2000" i="155"/>
  <c r="AG1996" i="155"/>
  <c r="AG1992" i="155"/>
  <c r="AG1988" i="155"/>
  <c r="AG1984" i="155"/>
  <c r="AG1980" i="155"/>
  <c r="AG1976" i="155"/>
  <c r="AG1972" i="155"/>
  <c r="AG1968" i="155"/>
  <c r="AG1964" i="155"/>
  <c r="AG1960" i="155"/>
  <c r="AG1956" i="155"/>
  <c r="AG1952" i="155"/>
  <c r="AG1948" i="155"/>
  <c r="AG1944" i="155"/>
  <c r="AG1940" i="155"/>
  <c r="AG1936" i="155"/>
  <c r="AG1932" i="155"/>
  <c r="AG1928" i="155"/>
  <c r="AG1681" i="155"/>
  <c r="AG1677" i="155"/>
  <c r="AG1673" i="155"/>
  <c r="AG1669" i="155"/>
  <c r="AG1665" i="155"/>
  <c r="AG1661" i="155"/>
  <c r="AG1657" i="155"/>
  <c r="AG1653" i="155"/>
  <c r="AG1649" i="155"/>
  <c r="AG1645" i="155"/>
  <c r="AG1641" i="155"/>
  <c r="AG1637" i="155"/>
  <c r="AG1633" i="155"/>
  <c r="AG1629" i="155"/>
  <c r="AG1625" i="155"/>
  <c r="AG1621" i="155"/>
  <c r="AG1745" i="155"/>
  <c r="AG1741" i="155"/>
  <c r="AG1737" i="155"/>
  <c r="AG1733" i="155"/>
  <c r="AG1729" i="155"/>
  <c r="AG1725" i="155"/>
  <c r="AG1721" i="155"/>
  <c r="AG1717" i="155"/>
  <c r="AG1713" i="155"/>
  <c r="AG1709" i="155"/>
  <c r="AG1705" i="155"/>
  <c r="AG1701" i="155"/>
  <c r="AG1697" i="155"/>
  <c r="AG1693" i="155"/>
  <c r="AG1689" i="155"/>
  <c r="AG1685" i="155"/>
  <c r="AG1759" i="155"/>
  <c r="AG1755" i="155"/>
  <c r="AG1751" i="155"/>
  <c r="AG1766" i="155"/>
  <c r="AG2067" i="155"/>
  <c r="AG2063" i="155"/>
  <c r="AG2059" i="155"/>
  <c r="AG2055" i="155"/>
  <c r="AG2051" i="155"/>
  <c r="AG2047" i="155"/>
  <c r="AG2043" i="155"/>
  <c r="AG2088" i="155"/>
  <c r="AG2084" i="155"/>
  <c r="AG2080" i="155"/>
  <c r="AG2100" i="155"/>
  <c r="AG2123" i="155"/>
  <c r="AG2119" i="155"/>
  <c r="AG2115" i="155"/>
  <c r="AG2111" i="155"/>
  <c r="AG2107" i="155"/>
  <c r="AG2103" i="155"/>
  <c r="AG2135" i="155"/>
  <c r="AG2131" i="155"/>
  <c r="AG2127" i="155"/>
  <c r="AG2149" i="155"/>
  <c r="AG2145" i="155"/>
  <c r="AG2141" i="155"/>
  <c r="AG2162" i="155"/>
  <c r="AG2158" i="155"/>
  <c r="AG2154" i="155"/>
  <c r="AG2189" i="155"/>
  <c r="AG2185" i="155"/>
  <c r="AG2269" i="155"/>
  <c r="AG2265" i="155"/>
  <c r="AG2261" i="155"/>
  <c r="AG2257" i="155"/>
  <c r="AG2253" i="155"/>
  <c r="AG2249" i="155"/>
  <c r="AG2245" i="155"/>
  <c r="AG2241" i="155"/>
  <c r="AG2237" i="155"/>
  <c r="AG2233" i="155"/>
  <c r="AG2229" i="155"/>
  <c r="AG2225" i="155"/>
  <c r="AG2221" i="155"/>
  <c r="AG2217" i="155"/>
  <c r="AG2213" i="155"/>
  <c r="AG2209" i="155"/>
  <c r="AG2205" i="155"/>
  <c r="AG2201" i="155"/>
  <c r="AG2197" i="155"/>
  <c r="AG2193" i="155"/>
  <c r="AG2280" i="155"/>
  <c r="AG2276" i="155"/>
  <c r="AG2272" i="155"/>
  <c r="AG2306" i="155"/>
  <c r="AG2302" i="155"/>
  <c r="AG2298" i="155"/>
  <c r="AG2294" i="155"/>
  <c r="AG2326" i="155"/>
  <c r="AG2322" i="155"/>
  <c r="AG2318" i="155"/>
  <c r="AG2314" i="155"/>
  <c r="AG2310" i="155"/>
  <c r="AG2346" i="155"/>
  <c r="AG2342" i="155"/>
  <c r="AG2338" i="155"/>
  <c r="AG2334" i="155"/>
  <c r="AG2330" i="155"/>
  <c r="AG2380" i="155"/>
  <c r="AG2376" i="155"/>
  <c r="AG2372" i="155"/>
  <c r="AG2368" i="155"/>
  <c r="AG2364" i="155"/>
  <c r="AG2360" i="155"/>
  <c r="AG2356" i="155"/>
  <c r="AG2352" i="155"/>
  <c r="AG2479" i="155"/>
  <c r="AG2475" i="155"/>
  <c r="AG2471" i="155"/>
  <c r="AG2467" i="155"/>
  <c r="AG2487" i="155"/>
  <c r="AG2483" i="155"/>
  <c r="AG2491" i="155"/>
  <c r="AG2643" i="155"/>
  <c r="AG2639" i="155"/>
  <c r="AG2635" i="155"/>
  <c r="AG2631" i="155"/>
  <c r="AG2627" i="155"/>
  <c r="AG2623" i="155"/>
  <c r="AG2619" i="155"/>
  <c r="AG2615" i="155"/>
  <c r="AG2611" i="155"/>
  <c r="AG2607" i="155"/>
  <c r="AG2603" i="155"/>
  <c r="AG2599" i="155"/>
  <c r="AG2595" i="155"/>
  <c r="AG2591" i="155"/>
  <c r="AG2587" i="155"/>
  <c r="AG2583" i="155"/>
  <c r="AG2579" i="155"/>
  <c r="AG2575" i="155"/>
  <c r="AG2571" i="155"/>
  <c r="AG2567" i="155"/>
  <c r="AG2563" i="155"/>
  <c r="AG2559" i="155"/>
  <c r="AG2555" i="155"/>
  <c r="AG2551" i="155"/>
  <c r="AG2547" i="155"/>
  <c r="AG2543" i="155"/>
  <c r="AG2539" i="155"/>
  <c r="AG2535" i="155"/>
  <c r="AG2531" i="155"/>
  <c r="AG2527" i="155"/>
  <c r="AG2523" i="155"/>
  <c r="AG2519" i="155"/>
  <c r="AG2515" i="155"/>
  <c r="AG2511" i="155"/>
  <c r="AG2507" i="155"/>
  <c r="AG2503" i="155"/>
  <c r="AG2499" i="155"/>
  <c r="AG2495" i="155"/>
  <c r="AG2686" i="155"/>
  <c r="AG2682" i="155"/>
  <c r="AG2678" i="155"/>
  <c r="AG2674" i="155"/>
  <c r="AG2670" i="155"/>
  <c r="AG2749" i="155"/>
  <c r="AG2745" i="155"/>
  <c r="AG2741" i="155"/>
  <c r="AG2737" i="155"/>
  <c r="AG2733" i="155"/>
  <c r="AG2729" i="155"/>
  <c r="AG2725" i="155"/>
  <c r="AG2721" i="155"/>
  <c r="AG2717" i="155"/>
  <c r="AG2713" i="155"/>
  <c r="AG2709" i="155"/>
  <c r="AG2772" i="155"/>
  <c r="AG2768" i="155"/>
  <c r="AG2764" i="155"/>
  <c r="AG2760" i="155"/>
  <c r="AG2756" i="155"/>
  <c r="AG2752" i="155"/>
  <c r="AG2807" i="155"/>
  <c r="AG2803" i="155"/>
  <c r="AG2799" i="155"/>
  <c r="AG2795" i="155"/>
  <c r="AG2791" i="155"/>
  <c r="AG2787" i="155"/>
  <c r="AG2783" i="155"/>
  <c r="AG2779" i="155"/>
  <c r="AG2825" i="155"/>
  <c r="AG2817" i="155"/>
  <c r="AG2824" i="155"/>
  <c r="AG1848" i="155"/>
  <c r="AG2034" i="155"/>
  <c r="AG207" i="155"/>
  <c r="AG152" i="155"/>
  <c r="AG136" i="155"/>
  <c r="AG120" i="155"/>
  <c r="AG220" i="155"/>
  <c r="AG277" i="155"/>
  <c r="AG261" i="155"/>
  <c r="AG245" i="155"/>
  <c r="AG393" i="155"/>
  <c r="AG377" i="155"/>
  <c r="AG320" i="155"/>
  <c r="AG304" i="155"/>
  <c r="AG288" i="155"/>
  <c r="AG36" i="155"/>
  <c r="AG503" i="155"/>
  <c r="AG544" i="155"/>
  <c r="AG528" i="155"/>
  <c r="AG584" i="155"/>
  <c r="AG568" i="155"/>
  <c r="AG552" i="155"/>
  <c r="AG596" i="155"/>
  <c r="AG660" i="155"/>
  <c r="AG644" i="155"/>
  <c r="AG628" i="155"/>
  <c r="AG612" i="155"/>
  <c r="AG847" i="155"/>
  <c r="AG823" i="155"/>
  <c r="AG949" i="155"/>
  <c r="AG933" i="155"/>
  <c r="AG1008" i="155"/>
  <c r="AG992" i="155"/>
  <c r="AG976" i="155"/>
  <c r="AG960" i="155"/>
  <c r="AG1098" i="155"/>
  <c r="AG1082" i="155"/>
  <c r="AG1066" i="155"/>
  <c r="AG1050" i="155"/>
  <c r="AG1034" i="155"/>
  <c r="AG1116" i="155"/>
  <c r="AG1134" i="155"/>
  <c r="AG1143" i="155"/>
  <c r="AG1150" i="155"/>
  <c r="AG1146" i="155"/>
  <c r="AG1164" i="155"/>
  <c r="AG1202" i="155"/>
  <c r="AG1198" i="155"/>
  <c r="AG1194" i="155"/>
  <c r="AG1190" i="155"/>
  <c r="AG1186" i="155"/>
  <c r="AG1182" i="155"/>
  <c r="AG1178" i="155"/>
  <c r="AG1174" i="155"/>
  <c r="AG1170" i="155"/>
  <c r="AG1228" i="155"/>
  <c r="AG1224" i="155"/>
  <c r="AG1220" i="155"/>
  <c r="AG1216" i="155"/>
  <c r="AG1212" i="155"/>
  <c r="AG1208" i="155"/>
  <c r="AG1204" i="155"/>
  <c r="AG1280" i="155"/>
  <c r="AG1276" i="155"/>
  <c r="AG1272" i="155"/>
  <c r="AG1268" i="155"/>
  <c r="AG1246" i="155"/>
  <c r="AG1242" i="155"/>
  <c r="AG1238" i="155"/>
  <c r="AG1234" i="155"/>
  <c r="AG1230" i="155"/>
  <c r="AG1358" i="155"/>
  <c r="AG1354" i="155"/>
  <c r="AG1350" i="155"/>
  <c r="AG1346" i="155"/>
  <c r="AG1342" i="155"/>
  <c r="AG1338" i="155"/>
  <c r="AG1334" i="155"/>
  <c r="AG1330" i="155"/>
  <c r="AG1326" i="155"/>
  <c r="AG1322" i="155"/>
  <c r="AG1318" i="155"/>
  <c r="AG1314" i="155"/>
  <c r="AG1310" i="155"/>
  <c r="AG1306" i="155"/>
  <c r="AG1302" i="155"/>
  <c r="AG1366" i="155"/>
  <c r="AG1362" i="155"/>
  <c r="AG1381" i="155"/>
  <c r="AG1377" i="155"/>
  <c r="AG1373" i="155"/>
  <c r="AG1404" i="155"/>
  <c r="AG1400" i="155"/>
  <c r="AG1396" i="155"/>
  <c r="AG1392" i="155"/>
  <c r="AG1388" i="155"/>
  <c r="AG1550" i="155"/>
  <c r="AG1545" i="155"/>
  <c r="AG1538" i="155"/>
  <c r="AG1546" i="155"/>
  <c r="AG1539" i="155"/>
  <c r="AG1570" i="155"/>
  <c r="AG1562" i="155"/>
  <c r="AG1567" i="155"/>
  <c r="AG1559" i="155"/>
  <c r="AG2023" i="155"/>
  <c r="AG2019" i="155"/>
  <c r="AG1927" i="155"/>
  <c r="AG1923" i="155"/>
  <c r="AG1919" i="155"/>
  <c r="AG1915" i="155"/>
  <c r="AG1911" i="155"/>
  <c r="AG1907" i="155"/>
  <c r="AG1903" i="155"/>
  <c r="AG1899" i="155"/>
  <c r="AG1895" i="155"/>
  <c r="AG1891" i="155"/>
  <c r="AG1887" i="155"/>
  <c r="AG1883" i="155"/>
  <c r="AG1879" i="155"/>
  <c r="AG1875" i="155"/>
  <c r="AG1871" i="155"/>
  <c r="AG1867" i="155"/>
  <c r="AG1863" i="155"/>
  <c r="AG1859" i="155"/>
  <c r="AG2015" i="155"/>
  <c r="AG2011" i="155"/>
  <c r="AG2007" i="155"/>
  <c r="AG2003" i="155"/>
  <c r="AG1999" i="155"/>
  <c r="AG1995" i="155"/>
  <c r="AG1991" i="155"/>
  <c r="AG1987" i="155"/>
  <c r="AG1983" i="155"/>
  <c r="AG1979" i="155"/>
  <c r="AG1975" i="155"/>
  <c r="AG1971" i="155"/>
  <c r="AG1967" i="155"/>
  <c r="AG1963" i="155"/>
  <c r="AG1959" i="155"/>
  <c r="AG1955" i="155"/>
  <c r="AG1951" i="155"/>
  <c r="AG1947" i="155"/>
  <c r="AG1943" i="155"/>
  <c r="AG1939" i="155"/>
  <c r="AG1935" i="155"/>
  <c r="AG1931" i="155"/>
  <c r="AG1684" i="155"/>
  <c r="AG1680" i="155"/>
  <c r="AG1676" i="155"/>
  <c r="AG1672" i="155"/>
  <c r="AG1668" i="155"/>
  <c r="AG1664" i="155"/>
  <c r="AG1660" i="155"/>
  <c r="AG1656" i="155"/>
  <c r="AG1652" i="155"/>
  <c r="AG1648" i="155"/>
  <c r="AG1644" i="155"/>
  <c r="AG1640" i="155"/>
  <c r="AG1636" i="155"/>
  <c r="AG1632" i="155"/>
  <c r="AG1628" i="155"/>
  <c r="AG1624" i="155"/>
  <c r="AG1748" i="155"/>
  <c r="AG1744" i="155"/>
  <c r="AG1740" i="155"/>
  <c r="AG1736" i="155"/>
  <c r="AG1732" i="155"/>
  <c r="AG1728" i="155"/>
  <c r="AG1724" i="155"/>
  <c r="AG1720" i="155"/>
  <c r="AG1716" i="155"/>
  <c r="AG1712" i="155"/>
  <c r="AG1708" i="155"/>
  <c r="AG1704" i="155"/>
  <c r="AG1700" i="155"/>
  <c r="AG1696" i="155"/>
  <c r="AG1692" i="155"/>
  <c r="AG1688" i="155"/>
  <c r="AG1762" i="155"/>
  <c r="AG1758" i="155"/>
  <c r="AG1754" i="155"/>
  <c r="AG1750" i="155"/>
  <c r="AG1765" i="155"/>
  <c r="AG2066" i="155"/>
  <c r="AG2062" i="155"/>
  <c r="AG2058" i="155"/>
  <c r="AG2054" i="155"/>
  <c r="AG2050" i="155"/>
  <c r="AG2046" i="155"/>
  <c r="AG2042" i="155"/>
  <c r="AG2087" i="155"/>
  <c r="AG2083" i="155"/>
  <c r="AG2079" i="155"/>
  <c r="AG2126" i="155"/>
  <c r="AG2122" i="155"/>
  <c r="AG2118" i="155"/>
  <c r="AG2114" i="155"/>
  <c r="AG2110" i="155"/>
  <c r="AG2106" i="155"/>
  <c r="AG2138" i="155"/>
  <c r="AG2134" i="155"/>
  <c r="AG2130" i="155"/>
  <c r="AG2152" i="155"/>
  <c r="AG2148" i="155"/>
  <c r="AG2144" i="155"/>
  <c r="AG2140" i="155"/>
  <c r="AG2161" i="155"/>
  <c r="AG2157" i="155"/>
  <c r="AG2153" i="155"/>
  <c r="AG2188" i="155"/>
  <c r="AG2184" i="155"/>
  <c r="AG2268" i="155"/>
  <c r="AG2264" i="155"/>
  <c r="AG2260" i="155"/>
  <c r="AG2256" i="155"/>
  <c r="AG2252" i="155"/>
  <c r="AG2248" i="155"/>
  <c r="AG2244" i="155"/>
  <c r="AG2240" i="155"/>
  <c r="AG2236" i="155"/>
  <c r="AG2232" i="155"/>
  <c r="AG2228" i="155"/>
  <c r="AG2224" i="155"/>
  <c r="AG2220" i="155"/>
  <c r="AG2216" i="155"/>
  <c r="AG2212" i="155"/>
  <c r="AG2208" i="155"/>
  <c r="AG2204" i="155"/>
  <c r="AG2200" i="155"/>
  <c r="AG2196" i="155"/>
  <c r="AG2192" i="155"/>
  <c r="AG2279" i="155"/>
  <c r="AG2275" i="155"/>
  <c r="AG2309" i="155"/>
  <c r="AG2305" i="155"/>
  <c r="AG2301" i="155"/>
  <c r="AG2297" i="155"/>
  <c r="AG2329" i="155"/>
  <c r="AG2325" i="155"/>
  <c r="AG2321" i="155"/>
  <c r="AG2317" i="155"/>
  <c r="AG2313" i="155"/>
  <c r="AG2349" i="155"/>
  <c r="AG2345" i="155"/>
  <c r="AG2341" i="155"/>
  <c r="AG2337" i="155"/>
  <c r="AG2333" i="155"/>
  <c r="AG2383" i="155"/>
  <c r="AG2379" i="155"/>
  <c r="AG2375" i="155"/>
  <c r="AG2371" i="155"/>
  <c r="AG2367" i="155"/>
  <c r="AG2363" i="155"/>
  <c r="AG2359" i="155"/>
  <c r="AG2355" i="155"/>
  <c r="AG2351" i="155"/>
  <c r="AG2478" i="155"/>
  <c r="AG2474" i="155"/>
  <c r="AG2470" i="155"/>
  <c r="AG2466" i="155"/>
  <c r="AG2486" i="155"/>
  <c r="AG2482" i="155"/>
  <c r="AG2490" i="155"/>
  <c r="AG2642" i="155"/>
  <c r="AG2638" i="155"/>
  <c r="AG2634" i="155"/>
  <c r="AG2630" i="155"/>
  <c r="AG2626" i="155"/>
  <c r="AG2622" i="155"/>
  <c r="AG2618" i="155"/>
  <c r="AG2614" i="155"/>
  <c r="AG2610" i="155"/>
  <c r="AG2606" i="155"/>
  <c r="AG2602" i="155"/>
  <c r="AG2598" i="155"/>
  <c r="AG2594" i="155"/>
  <c r="AG2590" i="155"/>
  <c r="AG2586" i="155"/>
  <c r="AG2582" i="155"/>
  <c r="AG2578" i="155"/>
  <c r="AG2574" i="155"/>
  <c r="AG2570" i="155"/>
  <c r="AG2566" i="155"/>
  <c r="AG2562" i="155"/>
  <c r="AG2558" i="155"/>
  <c r="AG2554" i="155"/>
  <c r="AG2550" i="155"/>
  <c r="AG2546" i="155"/>
  <c r="AG2542" i="155"/>
  <c r="AG2538" i="155"/>
  <c r="AG2534" i="155"/>
  <c r="AG2530" i="155"/>
  <c r="AG2526" i="155"/>
  <c r="AG2522" i="155"/>
  <c r="AG2518" i="155"/>
  <c r="AG2514" i="155"/>
  <c r="AG2510" i="155"/>
  <c r="AG2506" i="155"/>
  <c r="AG2502" i="155"/>
  <c r="AG2498" i="155"/>
  <c r="AG2494" i="155"/>
  <c r="AG2685" i="155"/>
  <c r="AG2681" i="155"/>
  <c r="AG2677" i="155"/>
  <c r="AG2673" i="155"/>
  <c r="AG2669" i="155"/>
  <c r="AG2748" i="155"/>
  <c r="AG2744" i="155"/>
  <c r="AG2740" i="155"/>
  <c r="AG2736" i="155"/>
  <c r="AG2732" i="155"/>
  <c r="AG2728" i="155"/>
  <c r="AG2724" i="155"/>
  <c r="AG2720" i="155"/>
  <c r="AG2716" i="155"/>
  <c r="AG2712" i="155"/>
  <c r="AG2775" i="155"/>
  <c r="AG2771" i="155"/>
  <c r="AG2767" i="155"/>
  <c r="AG2763" i="155"/>
  <c r="AG2759" i="155"/>
  <c r="AG2755" i="155"/>
  <c r="AG2751" i="155"/>
  <c r="AG2806" i="155"/>
  <c r="AG2802" i="155"/>
  <c r="AG2798" i="155"/>
  <c r="AG2794" i="155"/>
  <c r="AG2790" i="155"/>
  <c r="AG2786" i="155"/>
  <c r="AG2782" i="155"/>
  <c r="AG2778" i="155"/>
  <c r="AG2823" i="155"/>
  <c r="AG2815" i="155"/>
  <c r="AG2822" i="155"/>
  <c r="AG1816" i="155"/>
  <c r="AG11" i="155"/>
  <c r="AG190" i="155"/>
  <c r="AG148" i="155"/>
  <c r="AG132" i="155"/>
  <c r="AG116" i="155"/>
  <c r="AG216" i="155"/>
  <c r="AG273" i="155"/>
  <c r="AG257" i="155"/>
  <c r="AG241" i="155"/>
  <c r="AG389" i="155"/>
  <c r="AG373" i="155"/>
  <c r="AG316" i="155"/>
  <c r="AG300" i="155"/>
  <c r="AG284" i="155"/>
  <c r="AG515" i="155"/>
  <c r="AG499" i="155"/>
  <c r="AG540" i="155"/>
  <c r="AG524" i="155"/>
  <c r="AG580" i="155"/>
  <c r="AG564" i="155"/>
  <c r="AG608" i="155"/>
  <c r="AG592" i="155"/>
  <c r="AG656" i="155"/>
  <c r="AG640" i="155"/>
  <c r="AG624" i="155"/>
  <c r="AG678" i="155"/>
  <c r="AG843" i="155"/>
  <c r="AG891" i="155"/>
  <c r="AG945" i="155"/>
  <c r="AG1020" i="155"/>
  <c r="AG1004" i="155"/>
  <c r="AG988" i="155"/>
  <c r="AG972" i="155"/>
  <c r="AG1110" i="155"/>
  <c r="AG1094" i="155"/>
  <c r="AG1078" i="155"/>
  <c r="AG1062" i="155"/>
  <c r="AG1046" i="155"/>
  <c r="AG1030" i="155"/>
  <c r="AG1139" i="155"/>
  <c r="AG1131" i="155"/>
  <c r="AG1153" i="155"/>
  <c r="AG1149" i="155"/>
  <c r="AG1167" i="155"/>
  <c r="AG1163" i="155"/>
  <c r="AG1201" i="155"/>
  <c r="AG1197" i="155"/>
  <c r="AG1193" i="155"/>
  <c r="AG1189" i="155"/>
  <c r="AG1185" i="155"/>
  <c r="AG1181" i="155"/>
  <c r="AG1177" i="155"/>
  <c r="AG1173" i="155"/>
  <c r="AG1169" i="155"/>
  <c r="AG1227" i="155"/>
  <c r="AG1223" i="155"/>
  <c r="AG1219" i="155"/>
  <c r="AG1215" i="155"/>
  <c r="AG1211" i="155"/>
  <c r="AG1207" i="155"/>
  <c r="AG1283" i="155"/>
  <c r="AG1279" i="155"/>
  <c r="AG1275" i="155"/>
  <c r="AG1271" i="155"/>
  <c r="AG1267" i="155"/>
  <c r="AG1245" i="155"/>
  <c r="AG1241" i="155"/>
  <c r="AG1237" i="155"/>
  <c r="AG1233" i="155"/>
  <c r="AG1361" i="155"/>
  <c r="AG1357" i="155"/>
  <c r="AG1353" i="155"/>
  <c r="AG1349" i="155"/>
  <c r="AG1345" i="155"/>
  <c r="AG1341" i="155"/>
  <c r="AG1337" i="155"/>
  <c r="AG1333" i="155"/>
  <c r="AG1329" i="155"/>
  <c r="AG1325" i="155"/>
  <c r="AG1321" i="155"/>
  <c r="AG1317" i="155"/>
  <c r="AG1313" i="155"/>
  <c r="AG1309" i="155"/>
  <c r="AG1305" i="155"/>
  <c r="AG1369" i="155"/>
  <c r="AG1365" i="155"/>
  <c r="AG1384" i="155"/>
  <c r="AG1380" i="155"/>
  <c r="AG1376" i="155"/>
  <c r="AG1372" i="155"/>
  <c r="AG1403" i="155"/>
  <c r="AG1399" i="155"/>
  <c r="AG1395" i="155"/>
  <c r="AG1391" i="155"/>
  <c r="AG1387" i="155"/>
  <c r="AG1553" i="155"/>
  <c r="AG1549" i="155"/>
  <c r="AG1543" i="155"/>
  <c r="AG1536" i="155"/>
  <c r="AG1544" i="155"/>
  <c r="AG1537" i="155"/>
  <c r="AG1568" i="155"/>
  <c r="AG1560" i="155"/>
  <c r="AG1565" i="155"/>
  <c r="AG1557" i="155"/>
  <c r="AG2022" i="155"/>
  <c r="AG2018" i="155"/>
  <c r="AG1926" i="155"/>
  <c r="AG1922" i="155"/>
  <c r="AG1918" i="155"/>
  <c r="AG1914" i="155"/>
  <c r="AG1910" i="155"/>
  <c r="AG1906" i="155"/>
  <c r="AG1902" i="155"/>
  <c r="AG1898" i="155"/>
  <c r="AG1894" i="155"/>
  <c r="AG1890" i="155"/>
  <c r="AG1886" i="155"/>
  <c r="AG1882" i="155"/>
  <c r="AG1878" i="155"/>
  <c r="AG1874" i="155"/>
  <c r="AG1870" i="155"/>
  <c r="AG1866" i="155"/>
  <c r="AG1862" i="155"/>
  <c r="AG1858" i="155"/>
  <c r="AG2014" i="155"/>
  <c r="AG2010" i="155"/>
  <c r="AG2006" i="155"/>
  <c r="AG2002" i="155"/>
  <c r="AG1998" i="155"/>
  <c r="AG1994" i="155"/>
  <c r="AG1990" i="155"/>
  <c r="AG1986" i="155"/>
  <c r="AG1982" i="155"/>
  <c r="AG1978" i="155"/>
  <c r="AG1974" i="155"/>
  <c r="AG1970" i="155"/>
  <c r="AG1966" i="155"/>
  <c r="AG1962" i="155"/>
  <c r="AG1958" i="155"/>
  <c r="AG1954" i="155"/>
  <c r="AG1950" i="155"/>
  <c r="AG1946" i="155"/>
  <c r="AG1942" i="155"/>
  <c r="AG1938" i="155"/>
  <c r="AG1934" i="155"/>
  <c r="AG1930" i="155"/>
  <c r="AG1683" i="155"/>
  <c r="AG1679" i="155"/>
  <c r="AG1675" i="155"/>
  <c r="AG1671" i="155"/>
  <c r="AG1667" i="155"/>
  <c r="AG1663" i="155"/>
  <c r="AG1659" i="155"/>
  <c r="AG1655" i="155"/>
  <c r="AG1651" i="155"/>
  <c r="AG1647" i="155"/>
  <c r="AG1643" i="155"/>
  <c r="AG1639" i="155"/>
  <c r="AG1635" i="155"/>
  <c r="AG1631" i="155"/>
  <c r="AG1627" i="155"/>
  <c r="AG1623" i="155"/>
  <c r="AG1747" i="155"/>
  <c r="AG1743" i="155"/>
  <c r="AG1739" i="155"/>
  <c r="AG1735" i="155"/>
  <c r="AG1731" i="155"/>
  <c r="AG1727" i="155"/>
  <c r="AG1723" i="155"/>
  <c r="AG1719" i="155"/>
  <c r="AG1715" i="155"/>
  <c r="AG1711" i="155"/>
  <c r="AG1707" i="155"/>
  <c r="AG1703" i="155"/>
  <c r="AG1699" i="155"/>
  <c r="AG1695" i="155"/>
  <c r="AG1691" i="155"/>
  <c r="AG1687" i="155"/>
  <c r="AG1761" i="155"/>
  <c r="AG1757" i="155"/>
  <c r="AG1753" i="155"/>
  <c r="AG1749" i="155"/>
  <c r="AG1764" i="155"/>
  <c r="AG2065" i="155"/>
  <c r="AG2061" i="155"/>
  <c r="AG2057" i="155"/>
  <c r="AG2053" i="155"/>
  <c r="AG2049" i="155"/>
  <c r="AG2045" i="155"/>
  <c r="AG2090" i="155"/>
  <c r="AG2086" i="155"/>
  <c r="AG2082" i="155"/>
  <c r="AG2102" i="155"/>
  <c r="AG2125" i="155"/>
  <c r="AG2121" i="155"/>
  <c r="AG2117" i="155"/>
  <c r="AG2113" i="155"/>
  <c r="AG2109" i="155"/>
  <c r="AG2105" i="155"/>
  <c r="AG2137" i="155"/>
  <c r="AG2133" i="155"/>
  <c r="AG2129" i="155"/>
  <c r="AG2151" i="155"/>
  <c r="AG2147" i="155"/>
  <c r="AG2143" i="155"/>
  <c r="AG2139" i="155"/>
  <c r="AG2160" i="155"/>
  <c r="AG2156" i="155"/>
  <c r="AG2191" i="155"/>
  <c r="AG2187" i="155"/>
  <c r="AG2271" i="155"/>
  <c r="AG2267" i="155"/>
  <c r="AG2263" i="155"/>
  <c r="AG2259" i="155"/>
  <c r="AG2255" i="155"/>
  <c r="AG2251" i="155"/>
  <c r="AG2247" i="155"/>
  <c r="AG2243" i="155"/>
  <c r="AG2239" i="155"/>
  <c r="AG2235" i="155"/>
  <c r="AG2231" i="155"/>
  <c r="AG2227" i="155"/>
  <c r="AG2223" i="155"/>
  <c r="AG2219" i="155"/>
  <c r="AG2215" i="155"/>
  <c r="AG2211" i="155"/>
  <c r="AG2207" i="155"/>
  <c r="AG2203" i="155"/>
  <c r="AG2199" i="155"/>
  <c r="AG2195" i="155"/>
  <c r="AG2282" i="155"/>
  <c r="AG2278" i="155"/>
  <c r="AG2274" i="155"/>
  <c r="AG2308" i="155"/>
  <c r="AG2304" i="155"/>
  <c r="AG2300" i="155"/>
  <c r="AG2296" i="155"/>
  <c r="AG2328" i="155"/>
  <c r="AG2324" i="155"/>
  <c r="AG2320" i="155"/>
  <c r="AG2316" i="155"/>
  <c r="AG2312" i="155"/>
  <c r="AG2348" i="155"/>
  <c r="AG2344" i="155"/>
  <c r="AG2340" i="155"/>
  <c r="AG2336" i="155"/>
  <c r="AG2332" i="155"/>
  <c r="AG2382" i="155"/>
  <c r="AG2378" i="155"/>
  <c r="AG2374" i="155"/>
  <c r="AG2370" i="155"/>
  <c r="AG2366" i="155"/>
  <c r="AG2362" i="155"/>
  <c r="AG2358" i="155"/>
  <c r="AG2354" i="155"/>
  <c r="AG2350" i="155"/>
  <c r="AG2477" i="155"/>
  <c r="AG2473" i="155"/>
  <c r="AG2469" i="155"/>
  <c r="AG2465" i="155"/>
  <c r="AG2485" i="155"/>
  <c r="AG2481" i="155"/>
  <c r="AG2489" i="155"/>
  <c r="AG2641" i="155"/>
  <c r="AG2637" i="155"/>
  <c r="AG2633" i="155"/>
  <c r="AG2629" i="155"/>
  <c r="AG2625" i="155"/>
  <c r="AG2621" i="155"/>
  <c r="AG2617" i="155"/>
  <c r="AG2613" i="155"/>
  <c r="AG2609" i="155"/>
  <c r="AG2605" i="155"/>
  <c r="AG2601" i="155"/>
  <c r="AG2597" i="155"/>
  <c r="AG2593" i="155"/>
  <c r="AG2589" i="155"/>
  <c r="AG2585" i="155"/>
  <c r="AG2581" i="155"/>
  <c r="AG2577" i="155"/>
  <c r="AG2573" i="155"/>
  <c r="AG2569" i="155"/>
  <c r="AG2565" i="155"/>
  <c r="AG2561" i="155"/>
  <c r="AG2557" i="155"/>
  <c r="AG2553" i="155"/>
  <c r="AG2549" i="155"/>
  <c r="AG2545" i="155"/>
  <c r="AG2541" i="155"/>
  <c r="AG2537" i="155"/>
  <c r="AG2533" i="155"/>
  <c r="AG2529" i="155"/>
  <c r="AG2525" i="155"/>
  <c r="AG2521" i="155"/>
  <c r="AG2517" i="155"/>
  <c r="AG2513" i="155"/>
  <c r="AG2509" i="155"/>
  <c r="AG2505" i="155"/>
  <c r="AG2501" i="155"/>
  <c r="AG2497" i="155"/>
  <c r="AG2493" i="155"/>
  <c r="AG2684" i="155"/>
  <c r="AG2680" i="155"/>
  <c r="AG2676" i="155"/>
  <c r="AG2672" i="155"/>
  <c r="AG2668" i="155"/>
  <c r="AG2747" i="155"/>
  <c r="AG2743" i="155"/>
  <c r="AG2739" i="155"/>
  <c r="AG2735" i="155"/>
  <c r="AG2731" i="155"/>
  <c r="AG2727" i="155"/>
  <c r="AG2723" i="155"/>
  <c r="AG2719" i="155"/>
  <c r="AG2715" i="155"/>
  <c r="AG2711" i="155"/>
  <c r="AG2774" i="155"/>
  <c r="AG2770" i="155"/>
  <c r="AG2766" i="155"/>
  <c r="AG2762" i="155"/>
  <c r="AG2758" i="155"/>
  <c r="AG2754" i="155"/>
  <c r="AG2750" i="155"/>
  <c r="AG2805" i="155"/>
  <c r="AG2801" i="155"/>
  <c r="AG2797" i="155"/>
  <c r="AG2793" i="155"/>
  <c r="AG2789" i="155"/>
  <c r="AG2785" i="155"/>
  <c r="AG174" i="155"/>
  <c r="AG229" i="155"/>
  <c r="AG385" i="155"/>
  <c r="AG280" i="155"/>
  <c r="AG520" i="155"/>
  <c r="AG668" i="155"/>
  <c r="AG674" i="155"/>
  <c r="AG1016" i="155"/>
  <c r="AG1106" i="155"/>
  <c r="AG1042" i="155"/>
  <c r="AG1152" i="155"/>
  <c r="AG1200" i="155"/>
  <c r="AG1184" i="155"/>
  <c r="AG1168" i="155"/>
  <c r="AG1214" i="155"/>
  <c r="AG1278" i="155"/>
  <c r="AG1244" i="155"/>
  <c r="AG1360" i="155"/>
  <c r="AG1344" i="155"/>
  <c r="AG1328" i="155"/>
  <c r="AG1312" i="155"/>
  <c r="AG1364" i="155"/>
  <c r="AG1371" i="155"/>
  <c r="AG1390" i="155"/>
  <c r="AG1552" i="155"/>
  <c r="AG1563" i="155"/>
  <c r="AG1925" i="155"/>
  <c r="AG1909" i="155"/>
  <c r="AG1893" i="155"/>
  <c r="AG1877" i="155"/>
  <c r="AG1861" i="155"/>
  <c r="AG2005" i="155"/>
  <c r="AG1989" i="155"/>
  <c r="AG1973" i="155"/>
  <c r="AG1957" i="155"/>
  <c r="AG1941" i="155"/>
  <c r="AG1682" i="155"/>
  <c r="AG1666" i="155"/>
  <c r="AG1650" i="155"/>
  <c r="AG1634" i="155"/>
  <c r="AG1746" i="155"/>
  <c r="AG1730" i="155"/>
  <c r="AG1714" i="155"/>
  <c r="AG1698" i="155"/>
  <c r="AG1760" i="155"/>
  <c r="AG1763" i="155"/>
  <c r="AG2052" i="155"/>
  <c r="AG2085" i="155"/>
  <c r="AG2120" i="155"/>
  <c r="AG2104" i="155"/>
  <c r="AG2150" i="155"/>
  <c r="AG2159" i="155"/>
  <c r="AG2270" i="155"/>
  <c r="AG2254" i="155"/>
  <c r="AG2238" i="155"/>
  <c r="AG2222" i="155"/>
  <c r="AG2206" i="155"/>
  <c r="AG2281" i="155"/>
  <c r="AG2303" i="155"/>
  <c r="AG2323" i="155"/>
  <c r="AG2347" i="155"/>
  <c r="AG2331" i="155"/>
  <c r="AG2369" i="155"/>
  <c r="AG2353" i="155"/>
  <c r="AG2468" i="155"/>
  <c r="AG2644" i="155"/>
  <c r="AG2628" i="155"/>
  <c r="AG2612" i="155"/>
  <c r="AG2596" i="155"/>
  <c r="AG2580" i="155"/>
  <c r="AG2564" i="155"/>
  <c r="AG2548" i="155"/>
  <c r="AG2532" i="155"/>
  <c r="AG2516" i="155"/>
  <c r="AG2500" i="155"/>
  <c r="AG2679" i="155"/>
  <c r="AG2746" i="155"/>
  <c r="AG2730" i="155"/>
  <c r="AG2714" i="155"/>
  <c r="AG2765" i="155"/>
  <c r="AG2796" i="155"/>
  <c r="AG2781" i="155"/>
  <c r="AG2821" i="155"/>
  <c r="AG2820" i="155"/>
  <c r="AG2812" i="155"/>
  <c r="AG1977" i="155"/>
  <c r="AG2056" i="155"/>
  <c r="AG2128" i="155"/>
  <c r="AG2258" i="155"/>
  <c r="AG2210" i="155"/>
  <c r="AG2327" i="155"/>
  <c r="AG2373" i="155"/>
  <c r="AG2492" i="155"/>
  <c r="AG2600" i="155"/>
  <c r="AG2552" i="155"/>
  <c r="AG2504" i="155"/>
  <c r="AG2734" i="155"/>
  <c r="AG2753" i="155"/>
  <c r="AG2776" i="155"/>
  <c r="AG2808" i="155"/>
  <c r="AG144" i="155"/>
  <c r="AG269" i="155"/>
  <c r="AG369" i="155"/>
  <c r="AG511" i="155"/>
  <c r="AG576" i="155"/>
  <c r="AG652" i="155"/>
  <c r="AG839" i="155"/>
  <c r="AG1000" i="155"/>
  <c r="AG1090" i="155"/>
  <c r="AG1026" i="155"/>
  <c r="AG1148" i="155"/>
  <c r="AG1196" i="155"/>
  <c r="AG1180" i="155"/>
  <c r="AG1226" i="155"/>
  <c r="AG1210" i="155"/>
  <c r="AG1274" i="155"/>
  <c r="AG1240" i="155"/>
  <c r="AG1356" i="155"/>
  <c r="AG1340" i="155"/>
  <c r="AG1324" i="155"/>
  <c r="AG1308" i="155"/>
  <c r="AG1383" i="155"/>
  <c r="AG1402" i="155"/>
  <c r="AG1386" i="155"/>
  <c r="AG1548" i="155"/>
  <c r="AG1535" i="155"/>
  <c r="AG1556" i="155"/>
  <c r="AG1921" i="155"/>
  <c r="AG1905" i="155"/>
  <c r="AG1889" i="155"/>
  <c r="AG1873" i="155"/>
  <c r="AG1857" i="155"/>
  <c r="AG2001" i="155"/>
  <c r="AG1985" i="155"/>
  <c r="AG1969" i="155"/>
  <c r="AG1953" i="155"/>
  <c r="AG1937" i="155"/>
  <c r="AG1678" i="155"/>
  <c r="AG1662" i="155"/>
  <c r="AG1646" i="155"/>
  <c r="AG1630" i="155"/>
  <c r="AG1742" i="155"/>
  <c r="AG1726" i="155"/>
  <c r="AG1710" i="155"/>
  <c r="AG1694" i="155"/>
  <c r="AG1756" i="155"/>
  <c r="AG2064" i="155"/>
  <c r="AG2048" i="155"/>
  <c r="AG2081" i="155"/>
  <c r="AG2116" i="155"/>
  <c r="AG2136" i="155"/>
  <c r="AG2146" i="155"/>
  <c r="AG2155" i="155"/>
  <c r="AG2266" i="155"/>
  <c r="AG2250" i="155"/>
  <c r="AG2234" i="155"/>
  <c r="AG2218" i="155"/>
  <c r="AG2202" i="155"/>
  <c r="AG2277" i="155"/>
  <c r="AG2299" i="155"/>
  <c r="AG2319" i="155"/>
  <c r="AG2343" i="155"/>
  <c r="AG2381" i="155"/>
  <c r="AG2365" i="155"/>
  <c r="AG2480" i="155"/>
  <c r="AG2488" i="155"/>
  <c r="AG2640" i="155"/>
  <c r="AG2624" i="155"/>
  <c r="AG2608" i="155"/>
  <c r="AG2592" i="155"/>
  <c r="AG2576" i="155"/>
  <c r="AG2560" i="155"/>
  <c r="AG2544" i="155"/>
  <c r="AG2528" i="155"/>
  <c r="AG2512" i="155"/>
  <c r="AG2496" i="155"/>
  <c r="AG2675" i="155"/>
  <c r="AG2742" i="155"/>
  <c r="AG2726" i="155"/>
  <c r="AG2710" i="155"/>
  <c r="AG2761" i="155"/>
  <c r="AG2792" i="155"/>
  <c r="AG2780" i="155"/>
  <c r="AG2819" i="155"/>
  <c r="AG2818" i="155"/>
  <c r="AG2810" i="155"/>
  <c r="AG112" i="155"/>
  <c r="AG536" i="155"/>
  <c r="AG620" i="155"/>
  <c r="AG968" i="155"/>
  <c r="AG1130" i="155"/>
  <c r="AG1188" i="155"/>
  <c r="AG1218" i="155"/>
  <c r="AG1266" i="155"/>
  <c r="AG1348" i="155"/>
  <c r="AG1316" i="155"/>
  <c r="AG1375" i="155"/>
  <c r="AG1555" i="155"/>
  <c r="AG1558" i="155"/>
  <c r="AG1913" i="155"/>
  <c r="AG1881" i="155"/>
  <c r="AG2009" i="155"/>
  <c r="AG1961" i="155"/>
  <c r="AG1929" i="155"/>
  <c r="AG1654" i="155"/>
  <c r="AG1622" i="155"/>
  <c r="AG1718" i="155"/>
  <c r="AG1686" i="155"/>
  <c r="AG2089" i="155"/>
  <c r="AG2108" i="155"/>
  <c r="AG2186" i="155"/>
  <c r="AG2226" i="155"/>
  <c r="AG2307" i="155"/>
  <c r="AG2335" i="155"/>
  <c r="AG2472" i="155"/>
  <c r="AG2616" i="155"/>
  <c r="AG2568" i="155"/>
  <c r="AG2520" i="155"/>
  <c r="AG2667" i="155"/>
  <c r="AG2769" i="155"/>
  <c r="AG2784" i="155"/>
  <c r="AG2811" i="155"/>
  <c r="AG1784" i="155"/>
  <c r="AG128" i="155"/>
  <c r="AG253" i="155"/>
  <c r="AG312" i="155"/>
  <c r="AG495" i="155"/>
  <c r="AG560" i="155"/>
  <c r="AG636" i="155"/>
  <c r="AG957" i="155"/>
  <c r="AG984" i="155"/>
  <c r="AG1074" i="155"/>
  <c r="AG1138" i="155"/>
  <c r="AG1166" i="155"/>
  <c r="AG1192" i="155"/>
  <c r="AG1176" i="155"/>
  <c r="AG1222" i="155"/>
  <c r="AG1206" i="155"/>
  <c r="AG1270" i="155"/>
  <c r="AG1236" i="155"/>
  <c r="AG1352" i="155"/>
  <c r="AG1336" i="155"/>
  <c r="AG1320" i="155"/>
  <c r="AG1304" i="155"/>
  <c r="AG1379" i="155"/>
  <c r="AG1398" i="155"/>
  <c r="AG1542" i="155"/>
  <c r="AG1566" i="155"/>
  <c r="AG2021" i="155"/>
  <c r="AG1917" i="155"/>
  <c r="AG1901" i="155"/>
  <c r="AG1885" i="155"/>
  <c r="AG1869" i="155"/>
  <c r="AG2013" i="155"/>
  <c r="AG1997" i="155"/>
  <c r="AG1981" i="155"/>
  <c r="AG1965" i="155"/>
  <c r="AG1949" i="155"/>
  <c r="AG1933" i="155"/>
  <c r="AG1674" i="155"/>
  <c r="AG1658" i="155"/>
  <c r="AG1642" i="155"/>
  <c r="AG1626" i="155"/>
  <c r="AG1738" i="155"/>
  <c r="AG1722" i="155"/>
  <c r="AG1706" i="155"/>
  <c r="AG1690" i="155"/>
  <c r="AG1752" i="155"/>
  <c r="AG2060" i="155"/>
  <c r="AG2044" i="155"/>
  <c r="AG2101" i="155"/>
  <c r="AG2112" i="155"/>
  <c r="AG2132" i="155"/>
  <c r="AG2142" i="155"/>
  <c r="AG2190" i="155"/>
  <c r="AG2262" i="155"/>
  <c r="AG2246" i="155"/>
  <c r="AG2230" i="155"/>
  <c r="AG2214" i="155"/>
  <c r="AG2198" i="155"/>
  <c r="AG2273" i="155"/>
  <c r="AG2295" i="155"/>
  <c r="AG2315" i="155"/>
  <c r="AG2339" i="155"/>
  <c r="AG2377" i="155"/>
  <c r="AG2361" i="155"/>
  <c r="AG2476" i="155"/>
  <c r="AG2484" i="155"/>
  <c r="AG2636" i="155"/>
  <c r="AG2620" i="155"/>
  <c r="AG2604" i="155"/>
  <c r="AG2588" i="155"/>
  <c r="AG2572" i="155"/>
  <c r="AG2556" i="155"/>
  <c r="AG2540" i="155"/>
  <c r="AG2524" i="155"/>
  <c r="AG2508" i="155"/>
  <c r="AG2687" i="155"/>
  <c r="AG2671" i="155"/>
  <c r="AG2738" i="155"/>
  <c r="AG2722" i="155"/>
  <c r="AG2773" i="155"/>
  <c r="AG2757" i="155"/>
  <c r="AG2804" i="155"/>
  <c r="AG2788" i="155"/>
  <c r="AG2777" i="155"/>
  <c r="AG2813" i="155"/>
  <c r="AG2816" i="155"/>
  <c r="AG2809" i="155"/>
  <c r="AG83" i="155"/>
  <c r="AG237" i="155"/>
  <c r="AG296" i="155"/>
  <c r="AG604" i="155"/>
  <c r="AG941" i="155"/>
  <c r="AG1058" i="155"/>
  <c r="AG1162" i="155"/>
  <c r="AG1172" i="155"/>
  <c r="AG1282" i="155"/>
  <c r="AG1232" i="155"/>
  <c r="AG1332" i="155"/>
  <c r="AG1368" i="155"/>
  <c r="AG1394" i="155"/>
  <c r="AG1534" i="155"/>
  <c r="AG2017" i="155"/>
  <c r="AG1897" i="155"/>
  <c r="AG1865" i="155"/>
  <c r="AG1993" i="155"/>
  <c r="AG1945" i="155"/>
  <c r="AG1670" i="155"/>
  <c r="AG1638" i="155"/>
  <c r="AG1734" i="155"/>
  <c r="AG1702" i="155"/>
  <c r="AG1767" i="155"/>
  <c r="AG2124" i="155"/>
  <c r="AG2163" i="155"/>
  <c r="AG2242" i="155"/>
  <c r="AG2194" i="155"/>
  <c r="AG2311" i="155"/>
  <c r="AG2357" i="155"/>
  <c r="AG2632" i="155"/>
  <c r="AG2584" i="155"/>
  <c r="AG2536" i="155"/>
  <c r="AG2683" i="155"/>
  <c r="AG2718" i="155"/>
  <c r="AG2800" i="155"/>
  <c r="AG2814" i="155"/>
  <c r="AD2097" i="155"/>
  <c r="AD1809" i="155"/>
  <c r="AD1805" i="155"/>
  <c r="AD1801" i="155"/>
  <c r="AD1797" i="155"/>
  <c r="AD1793" i="155"/>
  <c r="AD1789" i="155"/>
  <c r="AD1785" i="155"/>
  <c r="AD1781" i="155"/>
  <c r="AD1777" i="155"/>
  <c r="AD1773" i="155"/>
  <c r="AD1769" i="155"/>
  <c r="AD2038" i="155"/>
  <c r="AD2034" i="155"/>
  <c r="AD2030" i="155"/>
  <c r="AD2026" i="155"/>
  <c r="AD31" i="155"/>
  <c r="AD27" i="155"/>
  <c r="AD23" i="155"/>
  <c r="AD19" i="155"/>
  <c r="AD15" i="155"/>
  <c r="AD11" i="155"/>
  <c r="AD7" i="155"/>
  <c r="AD63" i="155"/>
  <c r="AD59" i="155"/>
  <c r="AD55" i="155"/>
  <c r="AD51" i="155"/>
  <c r="AD47" i="155"/>
  <c r="AD87" i="155"/>
  <c r="AD83" i="155"/>
  <c r="AD79" i="155"/>
  <c r="AD75" i="155"/>
  <c r="AD71" i="155"/>
  <c r="AD67" i="155"/>
  <c r="AD97" i="155"/>
  <c r="AD93" i="155"/>
  <c r="AD89" i="155"/>
  <c r="AD109" i="155"/>
  <c r="AD105" i="155"/>
  <c r="AD101" i="155"/>
  <c r="AD213" i="155"/>
  <c r="AD209" i="155"/>
  <c r="AD205" i="155"/>
  <c r="AD201" i="155"/>
  <c r="AD197" i="155"/>
  <c r="AD192" i="155"/>
  <c r="AD188" i="155"/>
  <c r="AD184" i="155"/>
  <c r="AD180" i="155"/>
  <c r="AD176" i="155"/>
  <c r="AD172" i="155"/>
  <c r="AD168" i="155"/>
  <c r="AD164" i="155"/>
  <c r="AD160" i="155"/>
  <c r="AD156" i="155"/>
  <c r="AD151" i="155"/>
  <c r="AD147" i="155"/>
  <c r="AD143" i="155"/>
  <c r="AD139" i="155"/>
  <c r="AD135" i="155"/>
  <c r="AD131" i="155"/>
  <c r="AD127" i="155"/>
  <c r="AD123" i="155"/>
  <c r="AD119" i="155"/>
  <c r="AD115" i="155"/>
  <c r="AD227" i="155"/>
  <c r="AD223" i="155"/>
  <c r="AD219" i="155"/>
  <c r="AD232" i="155"/>
  <c r="AD228" i="155"/>
  <c r="AD233" i="155"/>
  <c r="AD276" i="155"/>
  <c r="AD272" i="155"/>
  <c r="AD268" i="155"/>
  <c r="AD264" i="155"/>
  <c r="AD260" i="155"/>
  <c r="AD256" i="155"/>
  <c r="AD252" i="155"/>
  <c r="AD248" i="155"/>
  <c r="AD244" i="155"/>
  <c r="AD240" i="155"/>
  <c r="AD43" i="155"/>
  <c r="AD39" i="155"/>
  <c r="AD35" i="155"/>
  <c r="AD879" i="155"/>
  <c r="AD875" i="155"/>
  <c r="AD2096" i="155"/>
  <c r="AD1808" i="155"/>
  <c r="AD1804" i="155"/>
  <c r="AD1800" i="155"/>
  <c r="AD1796" i="155"/>
  <c r="AD1792" i="155"/>
  <c r="AD1788" i="155"/>
  <c r="AD1784" i="155"/>
  <c r="AD1780" i="155"/>
  <c r="AD1776" i="155"/>
  <c r="AD1772" i="155"/>
  <c r="AD1768" i="155"/>
  <c r="AD2037" i="155"/>
  <c r="AD2033" i="155"/>
  <c r="AD2029" i="155"/>
  <c r="AD2025" i="155"/>
  <c r="AD30" i="155"/>
  <c r="AD26" i="155"/>
  <c r="AD22" i="155"/>
  <c r="AD18" i="155"/>
  <c r="AD14" i="155"/>
  <c r="AD10" i="155"/>
  <c r="AD6" i="155"/>
  <c r="AD62" i="155"/>
  <c r="AD58" i="155"/>
  <c r="AD54" i="155"/>
  <c r="AD50" i="155"/>
  <c r="AD46" i="155"/>
  <c r="AD86" i="155"/>
  <c r="AD82" i="155"/>
  <c r="AD78" i="155"/>
  <c r="AD74" i="155"/>
  <c r="AD70" i="155"/>
  <c r="AD66" i="155"/>
  <c r="AD96" i="155"/>
  <c r="AD92" i="155"/>
  <c r="AD88" i="155"/>
  <c r="AD108" i="155"/>
  <c r="AD104" i="155"/>
  <c r="AD100" i="155"/>
  <c r="AD212" i="155"/>
  <c r="AD208" i="155"/>
  <c r="AD204" i="155"/>
  <c r="AD200" i="155"/>
  <c r="AD196" i="155"/>
  <c r="AD191" i="155"/>
  <c r="AD187" i="155"/>
  <c r="AD183" i="155"/>
  <c r="AD179" i="155"/>
  <c r="AD175" i="155"/>
  <c r="AD171" i="155"/>
  <c r="AD167" i="155"/>
  <c r="AD163" i="155"/>
  <c r="AD159" i="155"/>
  <c r="AD155" i="155"/>
  <c r="AD150" i="155"/>
  <c r="AD146" i="155"/>
  <c r="AD142" i="155"/>
  <c r="AD138" i="155"/>
  <c r="AD134" i="155"/>
  <c r="AD130" i="155"/>
  <c r="AD126" i="155"/>
  <c r="AD122" i="155"/>
  <c r="AD118" i="155"/>
  <c r="AD114" i="155"/>
  <c r="AD226" i="155"/>
  <c r="AD222" i="155"/>
  <c r="AD218" i="155"/>
  <c r="AD231" i="155"/>
  <c r="AD236" i="155"/>
  <c r="AD279" i="155"/>
  <c r="AD275" i="155"/>
  <c r="AD271" i="155"/>
  <c r="AD267" i="155"/>
  <c r="AD263" i="155"/>
  <c r="AD259" i="155"/>
  <c r="AD255" i="155"/>
  <c r="AD251" i="155"/>
  <c r="AD247" i="155"/>
  <c r="AD243" i="155"/>
  <c r="AD239" i="155"/>
  <c r="AD42" i="155"/>
  <c r="AD38" i="155"/>
  <c r="AD34" i="155"/>
  <c r="AD878" i="155"/>
  <c r="AD874" i="155"/>
  <c r="AD2099" i="155"/>
  <c r="AD1811" i="155"/>
  <c r="AD1807" i="155"/>
  <c r="AD1803" i="155"/>
  <c r="AD1799" i="155"/>
  <c r="AD1795" i="155"/>
  <c r="AD1791" i="155"/>
  <c r="AD1787" i="155"/>
  <c r="AD1783" i="155"/>
  <c r="AD1779" i="155"/>
  <c r="AD1775" i="155"/>
  <c r="AD1771" i="155"/>
  <c r="AD2040" i="155"/>
  <c r="AD2036" i="155"/>
  <c r="AD2032" i="155"/>
  <c r="AD2028" i="155"/>
  <c r="AD33" i="155"/>
  <c r="AD29" i="155"/>
  <c r="AD25" i="155"/>
  <c r="AD21" i="155"/>
  <c r="AD17" i="155"/>
  <c r="AD13" i="155"/>
  <c r="AD9" i="155"/>
  <c r="AD65" i="155"/>
  <c r="AD61" i="155"/>
  <c r="AD57" i="155"/>
  <c r="AD53" i="155"/>
  <c r="AD49" i="155"/>
  <c r="AD45" i="155"/>
  <c r="AD85" i="155"/>
  <c r="AD81" i="155"/>
  <c r="AD77" i="155"/>
  <c r="AD73" i="155"/>
  <c r="AD69" i="155"/>
  <c r="AD99" i="155"/>
  <c r="AD95" i="155"/>
  <c r="AD91" i="155"/>
  <c r="AD111" i="155"/>
  <c r="AD107" i="155"/>
  <c r="AD103" i="155"/>
  <c r="AD215" i="155"/>
  <c r="AD211" i="155"/>
  <c r="AD207" i="155"/>
  <c r="AD203" i="155"/>
  <c r="AD199" i="155"/>
  <c r="AD194" i="155"/>
  <c r="AD190" i="155"/>
  <c r="AD186" i="155"/>
  <c r="AD182" i="155"/>
  <c r="AD178" i="155"/>
  <c r="AD174" i="155"/>
  <c r="AD170" i="155"/>
  <c r="AD166" i="155"/>
  <c r="AD162" i="155"/>
  <c r="AD158" i="155"/>
  <c r="AD154" i="155"/>
  <c r="AD149" i="155"/>
  <c r="AD145" i="155"/>
  <c r="AD141" i="155"/>
  <c r="AD137" i="155"/>
  <c r="AD133" i="155"/>
  <c r="AD129" i="155"/>
  <c r="AD125" i="155"/>
  <c r="AD121" i="155"/>
  <c r="AD117" i="155"/>
  <c r="AD113" i="155"/>
  <c r="AD225" i="155"/>
  <c r="AD221" i="155"/>
  <c r="AD217" i="155"/>
  <c r="AD230" i="155"/>
  <c r="AD235" i="155"/>
  <c r="AD278" i="155"/>
  <c r="AD274" i="155"/>
  <c r="AD270" i="155"/>
  <c r="AD266" i="155"/>
  <c r="AD262" i="155"/>
  <c r="AD258" i="155"/>
  <c r="AD254" i="155"/>
  <c r="AD250" i="155"/>
  <c r="AD246" i="155"/>
  <c r="AD242" i="155"/>
  <c r="AD238" i="155"/>
  <c r="AD41" i="155"/>
  <c r="AD37" i="155"/>
  <c r="AD881" i="155"/>
  <c r="AD877" i="155"/>
  <c r="AD2098" i="155"/>
  <c r="AD1810" i="155"/>
  <c r="AD1794" i="155"/>
  <c r="AD1778" i="155"/>
  <c r="AD2035" i="155"/>
  <c r="AD28" i="155"/>
  <c r="AD12" i="155"/>
  <c r="AD56" i="155"/>
  <c r="AD84" i="155"/>
  <c r="AD68" i="155"/>
  <c r="AD110" i="155"/>
  <c r="AD210" i="155"/>
  <c r="AD193" i="155"/>
  <c r="AD177" i="155"/>
  <c r="AD161" i="155"/>
  <c r="AD144" i="155"/>
  <c r="AD128" i="155"/>
  <c r="AD112" i="155"/>
  <c r="AD229" i="155"/>
  <c r="AD269" i="155"/>
  <c r="AD253" i="155"/>
  <c r="AD237" i="155"/>
  <c r="AD876" i="155"/>
  <c r="AD870" i="155"/>
  <c r="AD866" i="155"/>
  <c r="AD862" i="155"/>
  <c r="AD858" i="155"/>
  <c r="AD854" i="155"/>
  <c r="AD850" i="155"/>
  <c r="AD884" i="155"/>
  <c r="AD848" i="155"/>
  <c r="AD844" i="155"/>
  <c r="AD840" i="155"/>
  <c r="AD836" i="155"/>
  <c r="AD824" i="155"/>
  <c r="AD820" i="155"/>
  <c r="AD888" i="155"/>
  <c r="AD954" i="155"/>
  <c r="AD950" i="155"/>
  <c r="AD946" i="155"/>
  <c r="AD942" i="155"/>
  <c r="AD938" i="155"/>
  <c r="AD934" i="155"/>
  <c r="AD1021" i="155"/>
  <c r="AD1017" i="155"/>
  <c r="AD1013" i="155"/>
  <c r="AD1009" i="155"/>
  <c r="AD1005" i="155"/>
  <c r="AD1001" i="155"/>
  <c r="AD997" i="155"/>
  <c r="AD993" i="155"/>
  <c r="AD989" i="155"/>
  <c r="AD985" i="155"/>
  <c r="AD981" i="155"/>
  <c r="AD977" i="155"/>
  <c r="AD973" i="155"/>
  <c r="AD969" i="155"/>
  <c r="AD965" i="155"/>
  <c r="AD961" i="155"/>
  <c r="AD1111" i="155"/>
  <c r="AD1107" i="155"/>
  <c r="AD1103" i="155"/>
  <c r="AD1099" i="155"/>
  <c r="AD1095" i="155"/>
  <c r="AD1091" i="155"/>
  <c r="AD1087" i="155"/>
  <c r="AD1083" i="155"/>
  <c r="AD1079" i="155"/>
  <c r="AD1075" i="155"/>
  <c r="AD1071" i="155"/>
  <c r="AD1067" i="155"/>
  <c r="AD1063" i="155"/>
  <c r="AD1059" i="155"/>
  <c r="AD1055" i="155"/>
  <c r="AD1051" i="155"/>
  <c r="AD1047" i="155"/>
  <c r="AD1043" i="155"/>
  <c r="AD1039" i="155"/>
  <c r="AD1035" i="155"/>
  <c r="AD1031" i="155"/>
  <c r="AD1027" i="155"/>
  <c r="AD1023" i="155"/>
  <c r="AD1127" i="155"/>
  <c r="AD1123" i="155"/>
  <c r="AD1119" i="155"/>
  <c r="AD1115" i="155"/>
  <c r="AD1140" i="155"/>
  <c r="AD1136" i="155"/>
  <c r="AD1132" i="155"/>
  <c r="AD1145" i="155"/>
  <c r="AD1154" i="155"/>
  <c r="AD1150" i="155"/>
  <c r="AD1146" i="155"/>
  <c r="AD1158" i="155"/>
  <c r="AD1166" i="155"/>
  <c r="AD1162" i="155"/>
  <c r="AD1381" i="155"/>
  <c r="AD1377" i="155"/>
  <c r="AD1373" i="155"/>
  <c r="AD1404" i="155"/>
  <c r="AD1400" i="155"/>
  <c r="AD1396" i="155"/>
  <c r="AD1392" i="155"/>
  <c r="AD1388" i="155"/>
  <c r="AD1555" i="155"/>
  <c r="AD1552" i="155"/>
  <c r="AD1548" i="155"/>
  <c r="AD1542" i="155"/>
  <c r="AD1534" i="155"/>
  <c r="AD1535" i="155"/>
  <c r="AD1566" i="155"/>
  <c r="AD1558" i="155"/>
  <c r="AD1563" i="155"/>
  <c r="AD1556" i="155"/>
  <c r="AD1920" i="155"/>
  <c r="AD1900" i="155"/>
  <c r="AD1896" i="155"/>
  <c r="AD1892" i="155"/>
  <c r="AD1888" i="155"/>
  <c r="AD1868" i="155"/>
  <c r="AD1864" i="155"/>
  <c r="AD1860" i="155"/>
  <c r="AD1856" i="155"/>
  <c r="AD1968" i="155"/>
  <c r="AD1964" i="155"/>
  <c r="AD1960" i="155"/>
  <c r="AD1956" i="155"/>
  <c r="AD1952" i="155"/>
  <c r="AD1948" i="155"/>
  <c r="AD1944" i="155"/>
  <c r="AD1940" i="155"/>
  <c r="AD1936" i="155"/>
  <c r="AD1932" i="155"/>
  <c r="AD1928" i="155"/>
  <c r="AD1677" i="155"/>
  <c r="AD1659" i="155"/>
  <c r="AD1655" i="155"/>
  <c r="AD1651" i="155"/>
  <c r="AD1633" i="155"/>
  <c r="AD1629" i="155"/>
  <c r="AD1625" i="155"/>
  <c r="AD1621" i="155"/>
  <c r="AD1713" i="155"/>
  <c r="AD1709" i="155"/>
  <c r="AD1705" i="155"/>
  <c r="AD1701" i="155"/>
  <c r="AD1697" i="155"/>
  <c r="AD1693" i="155"/>
  <c r="AD1689" i="155"/>
  <c r="AD1685" i="155"/>
  <c r="AD1759" i="155"/>
  <c r="AD1755" i="155"/>
  <c r="AD1751" i="155"/>
  <c r="AD2066" i="155"/>
  <c r="AD2062" i="155"/>
  <c r="AD2058" i="155"/>
  <c r="AD2054" i="155"/>
  <c r="AD2050" i="155"/>
  <c r="AD2046" i="155"/>
  <c r="AD2042" i="155"/>
  <c r="AD2087" i="155"/>
  <c r="AD2083" i="155"/>
  <c r="AD2079" i="155"/>
  <c r="AD2126" i="155"/>
  <c r="AD2122" i="155"/>
  <c r="AD2118" i="155"/>
  <c r="AD2114" i="155"/>
  <c r="AD2110" i="155"/>
  <c r="AD2106" i="155"/>
  <c r="AD2138" i="155"/>
  <c r="AD2134" i="155"/>
  <c r="AD2130" i="155"/>
  <c r="AD2152" i="155"/>
  <c r="AD2148" i="155"/>
  <c r="AD2144" i="155"/>
  <c r="AD2140" i="155"/>
  <c r="AD2161" i="155"/>
  <c r="AD2157" i="155"/>
  <c r="AD2153" i="155"/>
  <c r="AD2188" i="155"/>
  <c r="AD2184" i="155"/>
  <c r="AD2268" i="155"/>
  <c r="AD2264" i="155"/>
  <c r="AD2260" i="155"/>
  <c r="AD2256" i="155"/>
  <c r="AD2252" i="155"/>
  <c r="AD2248" i="155"/>
  <c r="AD2244" i="155"/>
  <c r="AD2240" i="155"/>
  <c r="AD2236" i="155"/>
  <c r="AD2232" i="155"/>
  <c r="AD2228" i="155"/>
  <c r="AD2224" i="155"/>
  <c r="AD2220" i="155"/>
  <c r="AD2216" i="155"/>
  <c r="AD2212" i="155"/>
  <c r="AD2208" i="155"/>
  <c r="AD2204" i="155"/>
  <c r="AD2200" i="155"/>
  <c r="AD2196" i="155"/>
  <c r="AD2192" i="155"/>
  <c r="AD2279" i="155"/>
  <c r="AD2275" i="155"/>
  <c r="AD2309" i="155"/>
  <c r="AD2305" i="155"/>
  <c r="AD2301" i="155"/>
  <c r="AD2297" i="155"/>
  <c r="AD2329" i="155"/>
  <c r="AD2325" i="155"/>
  <c r="AD2321" i="155"/>
  <c r="AD2317" i="155"/>
  <c r="AD2313" i="155"/>
  <c r="AD2349" i="155"/>
  <c r="AD2345" i="155"/>
  <c r="AD2341" i="155"/>
  <c r="AD2337" i="155"/>
  <c r="AD2333" i="155"/>
  <c r="AD2480" i="155"/>
  <c r="AD2476" i="155"/>
  <c r="AD2472" i="155"/>
  <c r="AD2468" i="155"/>
  <c r="AD2488" i="155"/>
  <c r="AD2484" i="155"/>
  <c r="AD2492" i="155"/>
  <c r="AD2644" i="155"/>
  <c r="AD2640" i="155"/>
  <c r="AD2636" i="155"/>
  <c r="AD2632" i="155"/>
  <c r="AD2628" i="155"/>
  <c r="AD2624" i="155"/>
  <c r="AD2620" i="155"/>
  <c r="AD2616" i="155"/>
  <c r="AD2612" i="155"/>
  <c r="AD2608" i="155"/>
  <c r="AD2604" i="155"/>
  <c r="AD2600" i="155"/>
  <c r="AD2596" i="155"/>
  <c r="AD2592" i="155"/>
  <c r="AD2588" i="155"/>
  <c r="AD2584" i="155"/>
  <c r="AD2580" i="155"/>
  <c r="AD2576" i="155"/>
  <c r="AD2572" i="155"/>
  <c r="AD2568" i="155"/>
  <c r="AD2564" i="155"/>
  <c r="AD2560" i="155"/>
  <c r="AD2556" i="155"/>
  <c r="AD2552" i="155"/>
  <c r="AD2548" i="155"/>
  <c r="AD2544" i="155"/>
  <c r="AD2540" i="155"/>
  <c r="AD2536" i="155"/>
  <c r="AD2532" i="155"/>
  <c r="AD2528" i="155"/>
  <c r="AD2524" i="155"/>
  <c r="AD2520" i="155"/>
  <c r="AD2516" i="155"/>
  <c r="AD2512" i="155"/>
  <c r="AD2508" i="155"/>
  <c r="AD2504" i="155"/>
  <c r="AD2500" i="155"/>
  <c r="AD2496" i="155"/>
  <c r="AD2687" i="155"/>
  <c r="AD2683" i="155"/>
  <c r="AD2679" i="155"/>
  <c r="AD2675" i="155"/>
  <c r="AD2671" i="155"/>
  <c r="AD2667" i="155"/>
  <c r="AD2663" i="155"/>
  <c r="AD2651" i="155"/>
  <c r="AD2647" i="155"/>
  <c r="AD1806" i="155"/>
  <c r="AD1790" i="155"/>
  <c r="AD1774" i="155"/>
  <c r="AD2031" i="155"/>
  <c r="AD24" i="155"/>
  <c r="AD8" i="155"/>
  <c r="AD52" i="155"/>
  <c r="AD80" i="155"/>
  <c r="AD98" i="155"/>
  <c r="AD106" i="155"/>
  <c r="AD206" i="155"/>
  <c r="AD189" i="155"/>
  <c r="AD173" i="155"/>
  <c r="AD157" i="155"/>
  <c r="AD140" i="155"/>
  <c r="AD124" i="155"/>
  <c r="AD224" i="155"/>
  <c r="AD234" i="155"/>
  <c r="AD265" i="155"/>
  <c r="AD249" i="155"/>
  <c r="AD40" i="155"/>
  <c r="AD873" i="155"/>
  <c r="AD869" i="155"/>
  <c r="AD865" i="155"/>
  <c r="AD861" i="155"/>
  <c r="AD857" i="155"/>
  <c r="AD853" i="155"/>
  <c r="AD887" i="155"/>
  <c r="AD883" i="155"/>
  <c r="AD847" i="155"/>
  <c r="AD843" i="155"/>
  <c r="AD839" i="155"/>
  <c r="AD827" i="155"/>
  <c r="AD823" i="155"/>
  <c r="AD891" i="155"/>
  <c r="AD957" i="155"/>
  <c r="AD953" i="155"/>
  <c r="AD949" i="155"/>
  <c r="AD945" i="155"/>
  <c r="AD941" i="155"/>
  <c r="AD937" i="155"/>
  <c r="AD933" i="155"/>
  <c r="AD1020" i="155"/>
  <c r="AD1016" i="155"/>
  <c r="AD1012" i="155"/>
  <c r="AD1008" i="155"/>
  <c r="AD1004" i="155"/>
  <c r="AD1000" i="155"/>
  <c r="AD996" i="155"/>
  <c r="AD992" i="155"/>
  <c r="AD988" i="155"/>
  <c r="AD984" i="155"/>
  <c r="AD980" i="155"/>
  <c r="AD976" i="155"/>
  <c r="AD972" i="155"/>
  <c r="AD968" i="155"/>
  <c r="AD964" i="155"/>
  <c r="AD960" i="155"/>
  <c r="AD1110" i="155"/>
  <c r="AD1106" i="155"/>
  <c r="AD1102" i="155"/>
  <c r="AD1098" i="155"/>
  <c r="AD1094" i="155"/>
  <c r="AD1090" i="155"/>
  <c r="AD1086" i="155"/>
  <c r="AD1082" i="155"/>
  <c r="AD1078" i="155"/>
  <c r="AD1074" i="155"/>
  <c r="AD1070" i="155"/>
  <c r="AD1066" i="155"/>
  <c r="AD1062" i="155"/>
  <c r="AD1058" i="155"/>
  <c r="AD1054" i="155"/>
  <c r="AD1050" i="155"/>
  <c r="AD1046" i="155"/>
  <c r="AD1042" i="155"/>
  <c r="AD1038" i="155"/>
  <c r="AD1034" i="155"/>
  <c r="AD1030" i="155"/>
  <c r="AD1026" i="155"/>
  <c r="AD1113" i="155"/>
  <c r="AD1126" i="155"/>
  <c r="AD1122" i="155"/>
  <c r="AD1118" i="155"/>
  <c r="AD1114" i="155"/>
  <c r="AD1139" i="155"/>
  <c r="AD1135" i="155"/>
  <c r="AD1131" i="155"/>
  <c r="AD1144" i="155"/>
  <c r="AD1153" i="155"/>
  <c r="AD1149" i="155"/>
  <c r="AD1161" i="155"/>
  <c r="AD1157" i="155"/>
  <c r="AD1165" i="155"/>
  <c r="AD1384" i="155"/>
  <c r="AD1380" i="155"/>
  <c r="AD1376" i="155"/>
  <c r="AD1372" i="155"/>
  <c r="AD1403" i="155"/>
  <c r="AD1399" i="155"/>
  <c r="AD1395" i="155"/>
  <c r="AD1391" i="155"/>
  <c r="AD1387" i="155"/>
  <c r="AD1554" i="155"/>
  <c r="AD1551" i="155"/>
  <c r="AD1547" i="155"/>
  <c r="AD1540" i="155"/>
  <c r="AD1532" i="155"/>
  <c r="AD1541" i="155"/>
  <c r="AD1533" i="155"/>
  <c r="AD1564" i="155"/>
  <c r="AD1569" i="155"/>
  <c r="AD1561" i="155"/>
  <c r="AD1923" i="155"/>
  <c r="AD1903" i="155"/>
  <c r="AD1899" i="155"/>
  <c r="AD1895" i="155"/>
  <c r="AD1891" i="155"/>
  <c r="AD1871" i="155"/>
  <c r="AD1867" i="155"/>
  <c r="AD1863" i="155"/>
  <c r="AD1859" i="155"/>
  <c r="AD1971" i="155"/>
  <c r="AD1967" i="155"/>
  <c r="AD1963" i="155"/>
  <c r="AD1959" i="155"/>
  <c r="AD1955" i="155"/>
  <c r="AD1951" i="155"/>
  <c r="AD1947" i="155"/>
  <c r="AD1943" i="155"/>
  <c r="AD1939" i="155"/>
  <c r="AD1935" i="155"/>
  <c r="AD1931" i="155"/>
  <c r="AD1680" i="155"/>
  <c r="AD1662" i="155"/>
  <c r="AD1658" i="155"/>
  <c r="AD1654" i="155"/>
  <c r="AD1650" i="155"/>
  <c r="AD1632" i="155"/>
  <c r="AD1628" i="155"/>
  <c r="AD1624" i="155"/>
  <c r="AD1716" i="155"/>
  <c r="AD1712" i="155"/>
  <c r="AD1708" i="155"/>
  <c r="AD1704" i="155"/>
  <c r="AD1700" i="155"/>
  <c r="AD1696" i="155"/>
  <c r="AD1692" i="155"/>
  <c r="AD1688" i="155"/>
  <c r="AD1762" i="155"/>
  <c r="AD1758" i="155"/>
  <c r="AD1754" i="155"/>
  <c r="AD1750" i="155"/>
  <c r="AD2065" i="155"/>
  <c r="AD2061" i="155"/>
  <c r="AD2057" i="155"/>
  <c r="AD2053" i="155"/>
  <c r="AD2049" i="155"/>
  <c r="AD2045" i="155"/>
  <c r="AD2090" i="155"/>
  <c r="AD2086" i="155"/>
  <c r="AD2082" i="155"/>
  <c r="AD2102" i="155"/>
  <c r="AD2125" i="155"/>
  <c r="AD2121" i="155"/>
  <c r="AD2117" i="155"/>
  <c r="AD2113" i="155"/>
  <c r="AD2109" i="155"/>
  <c r="AD2105" i="155"/>
  <c r="AD2137" i="155"/>
  <c r="AD2133" i="155"/>
  <c r="AD2129" i="155"/>
  <c r="AD2151" i="155"/>
  <c r="AD2147" i="155"/>
  <c r="AD2143" i="155"/>
  <c r="AD2139" i="155"/>
  <c r="AD2160" i="155"/>
  <c r="AD2156" i="155"/>
  <c r="AD2191" i="155"/>
  <c r="AD2187" i="155"/>
  <c r="AD2271" i="155"/>
  <c r="AD2267" i="155"/>
  <c r="AD2263" i="155"/>
  <c r="AD2259" i="155"/>
  <c r="AD2255" i="155"/>
  <c r="AD2251" i="155"/>
  <c r="AD2247" i="155"/>
  <c r="AD2243" i="155"/>
  <c r="AD2239" i="155"/>
  <c r="AD2235" i="155"/>
  <c r="AD2231" i="155"/>
  <c r="AD2227" i="155"/>
  <c r="AD2223" i="155"/>
  <c r="AD2219" i="155"/>
  <c r="AD2215" i="155"/>
  <c r="AD2211" i="155"/>
  <c r="AD2207" i="155"/>
  <c r="AD2203" i="155"/>
  <c r="AD2199" i="155"/>
  <c r="AD2195" i="155"/>
  <c r="AD2282" i="155"/>
  <c r="AD2278" i="155"/>
  <c r="AD2274" i="155"/>
  <c r="AD2308" i="155"/>
  <c r="AD2304" i="155"/>
  <c r="AD2300" i="155"/>
  <c r="AD2296" i="155"/>
  <c r="AD2328" i="155"/>
  <c r="AD2324" i="155"/>
  <c r="AD2320" i="155"/>
  <c r="AD2316" i="155"/>
  <c r="AD2312" i="155"/>
  <c r="AD2348" i="155"/>
  <c r="AD2344" i="155"/>
  <c r="AD2340" i="155"/>
  <c r="AD2336" i="155"/>
  <c r="AD2332" i="155"/>
  <c r="AD2479" i="155"/>
  <c r="AD2475" i="155"/>
  <c r="AD2471" i="155"/>
  <c r="AD2467" i="155"/>
  <c r="AD2487" i="155"/>
  <c r="AD2483" i="155"/>
  <c r="AD2491" i="155"/>
  <c r="AD2643" i="155"/>
  <c r="AD2639" i="155"/>
  <c r="AD2635" i="155"/>
  <c r="AD2631" i="155"/>
  <c r="AD2627" i="155"/>
  <c r="AD2623" i="155"/>
  <c r="AD2619" i="155"/>
  <c r="AD2615" i="155"/>
  <c r="AD2611" i="155"/>
  <c r="AD2607" i="155"/>
  <c r="AD2603" i="155"/>
  <c r="AD2599" i="155"/>
  <c r="AD2595" i="155"/>
  <c r="AD2591" i="155"/>
  <c r="AD2587" i="155"/>
  <c r="AD2583" i="155"/>
  <c r="AD2579" i="155"/>
  <c r="AD2575" i="155"/>
  <c r="AD2571" i="155"/>
  <c r="AD2567" i="155"/>
  <c r="AD2563" i="155"/>
  <c r="AD2559" i="155"/>
  <c r="AD2555" i="155"/>
  <c r="AD2551" i="155"/>
  <c r="AD2547" i="155"/>
  <c r="AD2543" i="155"/>
  <c r="AD2539" i="155"/>
  <c r="AD2535" i="155"/>
  <c r="AD2531" i="155"/>
  <c r="AD2527" i="155"/>
  <c r="AD2523" i="155"/>
  <c r="AD2519" i="155"/>
  <c r="AD2515" i="155"/>
  <c r="AD2511" i="155"/>
  <c r="AD2507" i="155"/>
  <c r="AD2503" i="155"/>
  <c r="AD2499" i="155"/>
  <c r="AD2495" i="155"/>
  <c r="AD2686" i="155"/>
  <c r="AD2682" i="155"/>
  <c r="AD2678" i="155"/>
  <c r="AD2674" i="155"/>
  <c r="AD2670" i="155"/>
  <c r="AD2666" i="155"/>
  <c r="AD2662" i="155"/>
  <c r="AD2650" i="155"/>
  <c r="AD2646" i="155"/>
  <c r="AD1802" i="155"/>
  <c r="AD1786" i="155"/>
  <c r="AD1770" i="155"/>
  <c r="AD2027" i="155"/>
  <c r="AD20" i="155"/>
  <c r="AD64" i="155"/>
  <c r="AD48" i="155"/>
  <c r="AD76" i="155"/>
  <c r="AD94" i="155"/>
  <c r="AD102" i="155"/>
  <c r="AD202" i="155"/>
  <c r="AD185" i="155"/>
  <c r="AD169" i="155"/>
  <c r="AD152" i="155"/>
  <c r="AD136" i="155"/>
  <c r="AD120" i="155"/>
  <c r="AD220" i="155"/>
  <c r="AD277" i="155"/>
  <c r="AD261" i="155"/>
  <c r="AD245" i="155"/>
  <c r="AD36" i="155"/>
  <c r="AD872" i="155"/>
  <c r="AD868" i="155"/>
  <c r="AD864" i="155"/>
  <c r="AD860" i="155"/>
  <c r="AD856" i="155"/>
  <c r="AD852" i="155"/>
  <c r="AD886" i="155"/>
  <c r="AD882" i="155"/>
  <c r="AD846" i="155"/>
  <c r="AD842" i="155"/>
  <c r="AD838" i="155"/>
  <c r="AD826" i="155"/>
  <c r="AD822" i="155"/>
  <c r="AD890" i="155"/>
  <c r="AD956" i="155"/>
  <c r="AD952" i="155"/>
  <c r="AD948" i="155"/>
  <c r="AD944" i="155"/>
  <c r="AD940" i="155"/>
  <c r="AD936" i="155"/>
  <c r="AD932" i="155"/>
  <c r="AD1019" i="155"/>
  <c r="AD1015" i="155"/>
  <c r="AD1011" i="155"/>
  <c r="AD1007" i="155"/>
  <c r="AD1003" i="155"/>
  <c r="AD999" i="155"/>
  <c r="AD995" i="155"/>
  <c r="AD991" i="155"/>
  <c r="AD987" i="155"/>
  <c r="AD983" i="155"/>
  <c r="AD979" i="155"/>
  <c r="AD975" i="155"/>
  <c r="AD971" i="155"/>
  <c r="AD967" i="155"/>
  <c r="AD963" i="155"/>
  <c r="AD959" i="155"/>
  <c r="AD1109" i="155"/>
  <c r="AD1105" i="155"/>
  <c r="AD1101" i="155"/>
  <c r="AD1097" i="155"/>
  <c r="AD1093" i="155"/>
  <c r="AD1089" i="155"/>
  <c r="AD1085" i="155"/>
  <c r="AD1081" i="155"/>
  <c r="AD1077" i="155"/>
  <c r="AD1073" i="155"/>
  <c r="AD1069" i="155"/>
  <c r="AD1065" i="155"/>
  <c r="AD1061" i="155"/>
  <c r="AD1057" i="155"/>
  <c r="AD1053" i="155"/>
  <c r="AD1049" i="155"/>
  <c r="AD1045" i="155"/>
  <c r="AD1041" i="155"/>
  <c r="AD1037" i="155"/>
  <c r="AD1033" i="155"/>
  <c r="AD1029" i="155"/>
  <c r="AD1025" i="155"/>
  <c r="AD1112" i="155"/>
  <c r="AD1125" i="155"/>
  <c r="AD1121" i="155"/>
  <c r="AD1117" i="155"/>
  <c r="AD1142" i="155"/>
  <c r="AD1138" i="155"/>
  <c r="AD1134" i="155"/>
  <c r="AD1130" i="155"/>
  <c r="AD1143" i="155"/>
  <c r="AD1152" i="155"/>
  <c r="AD1148" i="155"/>
  <c r="AD1160" i="155"/>
  <c r="AD1156" i="155"/>
  <c r="AD1164" i="155"/>
  <c r="AD1383" i="155"/>
  <c r="AD1379" i="155"/>
  <c r="AD1375" i="155"/>
  <c r="AD1371" i="155"/>
  <c r="AD1402" i="155"/>
  <c r="AD1398" i="155"/>
  <c r="AD1394" i="155"/>
  <c r="AD1390" i="155"/>
  <c r="AD1386" i="155"/>
  <c r="AD1550" i="155"/>
  <c r="AD1545" i="155"/>
  <c r="AD1538" i="155"/>
  <c r="AD1546" i="155"/>
  <c r="AD1539" i="155"/>
  <c r="AD1570" i="155"/>
  <c r="AD1562" i="155"/>
  <c r="AD1567" i="155"/>
  <c r="AD1559" i="155"/>
  <c r="AD1922" i="155"/>
  <c r="AD1902" i="155"/>
  <c r="AD1898" i="155"/>
  <c r="AD1894" i="155"/>
  <c r="AD1890" i="155"/>
  <c r="AD1870" i="155"/>
  <c r="AD1866" i="155"/>
  <c r="AD1862" i="155"/>
  <c r="AD1858" i="155"/>
  <c r="AD1970" i="155"/>
  <c r="AD1966" i="155"/>
  <c r="AD1962" i="155"/>
  <c r="AD1958" i="155"/>
  <c r="AD1954" i="155"/>
  <c r="AD1950" i="155"/>
  <c r="AD1946" i="155"/>
  <c r="AD1942" i="155"/>
  <c r="AD1938" i="155"/>
  <c r="AD1934" i="155"/>
  <c r="AD1930" i="155"/>
  <c r="AD1679" i="155"/>
  <c r="AD1661" i="155"/>
  <c r="AD1657" i="155"/>
  <c r="AD1653" i="155"/>
  <c r="AD1649" i="155"/>
  <c r="AD1631" i="155"/>
  <c r="AD1627" i="155"/>
  <c r="AD1623" i="155"/>
  <c r="AD1715" i="155"/>
  <c r="AD1711" i="155"/>
  <c r="AD1707" i="155"/>
  <c r="AD1703" i="155"/>
  <c r="AD1699" i="155"/>
  <c r="AD1695" i="155"/>
  <c r="AD1691" i="155"/>
  <c r="AD1687" i="155"/>
  <c r="AD1761" i="155"/>
  <c r="AD1757" i="155"/>
  <c r="AD1753" i="155"/>
  <c r="AD1749" i="155"/>
  <c r="AD2064" i="155"/>
  <c r="AD2060" i="155"/>
  <c r="AD2056" i="155"/>
  <c r="AD2052" i="155"/>
  <c r="AD2048" i="155"/>
  <c r="AD2044" i="155"/>
  <c r="AD2089" i="155"/>
  <c r="AD2085" i="155"/>
  <c r="AD2081" i="155"/>
  <c r="AD2101" i="155"/>
  <c r="AD2124" i="155"/>
  <c r="AD2120" i="155"/>
  <c r="AD2116" i="155"/>
  <c r="AD2112" i="155"/>
  <c r="AD2108" i="155"/>
  <c r="AD2104" i="155"/>
  <c r="AD2136" i="155"/>
  <c r="AD2132" i="155"/>
  <c r="AD2128" i="155"/>
  <c r="AD2150" i="155"/>
  <c r="AD2146" i="155"/>
  <c r="AD2142" i="155"/>
  <c r="AD2163" i="155"/>
  <c r="AD2159" i="155"/>
  <c r="AD2155" i="155"/>
  <c r="AD2190" i="155"/>
  <c r="AD2186" i="155"/>
  <c r="AD2270" i="155"/>
  <c r="AD2266" i="155"/>
  <c r="AD2262" i="155"/>
  <c r="AD2258" i="155"/>
  <c r="AD2254" i="155"/>
  <c r="AD2250" i="155"/>
  <c r="AD2246" i="155"/>
  <c r="AD2242" i="155"/>
  <c r="AD2238" i="155"/>
  <c r="AD2234" i="155"/>
  <c r="AD2230" i="155"/>
  <c r="AD2226" i="155"/>
  <c r="AD2222" i="155"/>
  <c r="AD2218" i="155"/>
  <c r="AD2214" i="155"/>
  <c r="AD2210" i="155"/>
  <c r="AD2206" i="155"/>
  <c r="AD2202" i="155"/>
  <c r="AD2198" i="155"/>
  <c r="AD2194" i="155"/>
  <c r="AD2281" i="155"/>
  <c r="AD2277" i="155"/>
  <c r="AD2273" i="155"/>
  <c r="AD2307" i="155"/>
  <c r="AD2303" i="155"/>
  <c r="AD2299" i="155"/>
  <c r="AD2295" i="155"/>
  <c r="AD2327" i="155"/>
  <c r="AD2323" i="155"/>
  <c r="AD2319" i="155"/>
  <c r="AD2315" i="155"/>
  <c r="AD2311" i="155"/>
  <c r="AD2347" i="155"/>
  <c r="AD2343" i="155"/>
  <c r="AD2339" i="155"/>
  <c r="AD2335" i="155"/>
  <c r="AD2331" i="155"/>
  <c r="AD2478" i="155"/>
  <c r="AD2474" i="155"/>
  <c r="AD2470" i="155"/>
  <c r="AD2466" i="155"/>
  <c r="AD2486" i="155"/>
  <c r="AD2482" i="155"/>
  <c r="AD2490" i="155"/>
  <c r="AD2642" i="155"/>
  <c r="AD2638" i="155"/>
  <c r="AD2634" i="155"/>
  <c r="AD2630" i="155"/>
  <c r="AD2626" i="155"/>
  <c r="AD2622" i="155"/>
  <c r="AD2618" i="155"/>
  <c r="AD2614" i="155"/>
  <c r="AD2610" i="155"/>
  <c r="AD2606" i="155"/>
  <c r="AD2602" i="155"/>
  <c r="AD2598" i="155"/>
  <c r="AD2594" i="155"/>
  <c r="AD2590" i="155"/>
  <c r="AD2586" i="155"/>
  <c r="AD2582" i="155"/>
  <c r="AD2578" i="155"/>
  <c r="AD2574" i="155"/>
  <c r="AD2570" i="155"/>
  <c r="AD2566" i="155"/>
  <c r="AD2562" i="155"/>
  <c r="AD2558" i="155"/>
  <c r="AD2554" i="155"/>
  <c r="AD2550" i="155"/>
  <c r="AD2546" i="155"/>
  <c r="AD2542" i="155"/>
  <c r="AD2538" i="155"/>
  <c r="AD2534" i="155"/>
  <c r="AD2530" i="155"/>
  <c r="AD2526" i="155"/>
  <c r="AD2522" i="155"/>
  <c r="AD2518" i="155"/>
  <c r="AD2514" i="155"/>
  <c r="AD2510" i="155"/>
  <c r="AD2506" i="155"/>
  <c r="AD2502" i="155"/>
  <c r="AD2498" i="155"/>
  <c r="AD2494" i="155"/>
  <c r="AD2685" i="155"/>
  <c r="AD2681" i="155"/>
  <c r="AD2677" i="155"/>
  <c r="AD2673" i="155"/>
  <c r="AD2669" i="155"/>
  <c r="AD2665" i="155"/>
  <c r="AD2653" i="155"/>
  <c r="AD2649" i="155"/>
  <c r="AD2645" i="155"/>
  <c r="AD1798" i="155"/>
  <c r="AD16" i="155"/>
  <c r="AD90" i="155"/>
  <c r="AD165" i="155"/>
  <c r="AD216" i="155"/>
  <c r="AD880" i="155"/>
  <c r="AD859" i="155"/>
  <c r="AD849" i="155"/>
  <c r="AD825" i="155"/>
  <c r="AD951" i="155"/>
  <c r="AD935" i="155"/>
  <c r="AD1010" i="155"/>
  <c r="AD994" i="155"/>
  <c r="AD978" i="155"/>
  <c r="AD962" i="155"/>
  <c r="AD1100" i="155"/>
  <c r="AD1084" i="155"/>
  <c r="AD1068" i="155"/>
  <c r="AD1052" i="155"/>
  <c r="AD1036" i="155"/>
  <c r="AD1128" i="155"/>
  <c r="AD1141" i="155"/>
  <c r="AD1155" i="155"/>
  <c r="AD1167" i="155"/>
  <c r="AD1374" i="155"/>
  <c r="AD1393" i="155"/>
  <c r="AD1549" i="155"/>
  <c r="AD1537" i="155"/>
  <c r="AD1557" i="155"/>
  <c r="AD1893" i="155"/>
  <c r="AD1861" i="155"/>
  <c r="AD1961" i="155"/>
  <c r="AD1945" i="155"/>
  <c r="AD1929" i="155"/>
  <c r="AD1652" i="155"/>
  <c r="AD1622" i="155"/>
  <c r="AD1702" i="155"/>
  <c r="AD1686" i="155"/>
  <c r="AD2067" i="155"/>
  <c r="AD2051" i="155"/>
  <c r="AD2084" i="155"/>
  <c r="AD2119" i="155"/>
  <c r="AD2103" i="155"/>
  <c r="AD2149" i="155"/>
  <c r="AD2158" i="155"/>
  <c r="AD2269" i="155"/>
  <c r="AD2253" i="155"/>
  <c r="AD2237" i="155"/>
  <c r="AD2221" i="155"/>
  <c r="AD2205" i="155"/>
  <c r="AD2280" i="155"/>
  <c r="AD2302" i="155"/>
  <c r="AD2322" i="155"/>
  <c r="AD2346" i="155"/>
  <c r="AD2330" i="155"/>
  <c r="AD2465" i="155"/>
  <c r="AD2641" i="155"/>
  <c r="AD2625" i="155"/>
  <c r="AD2609" i="155"/>
  <c r="AD2593" i="155"/>
  <c r="AD2577" i="155"/>
  <c r="AD2561" i="155"/>
  <c r="AD2545" i="155"/>
  <c r="AD2529" i="155"/>
  <c r="AD2513" i="155"/>
  <c r="AD2497" i="155"/>
  <c r="AD2676" i="155"/>
  <c r="AD2652" i="155"/>
  <c r="AD72" i="155"/>
  <c r="AD241" i="155"/>
  <c r="AD885" i="155"/>
  <c r="AD955" i="155"/>
  <c r="AD1014" i="155"/>
  <c r="AD982" i="155"/>
  <c r="AD1104" i="155"/>
  <c r="AD1072" i="155"/>
  <c r="AD1040" i="155"/>
  <c r="AD1024" i="155"/>
  <c r="AD1129" i="155"/>
  <c r="AD1397" i="155"/>
  <c r="AD1553" i="155"/>
  <c r="AD1565" i="155"/>
  <c r="AD1965" i="155"/>
  <c r="AD1933" i="155"/>
  <c r="AD1626" i="155"/>
  <c r="AD1690" i="155"/>
  <c r="AD2055" i="155"/>
  <c r="AD2088" i="155"/>
  <c r="AD2107" i="155"/>
  <c r="AD2162" i="155"/>
  <c r="AD2257" i="155"/>
  <c r="AD2225" i="155"/>
  <c r="AD2193" i="155"/>
  <c r="AD2326" i="155"/>
  <c r="AD2334" i="155"/>
  <c r="AD2489" i="155"/>
  <c r="AD2613" i="155"/>
  <c r="AD2581" i="155"/>
  <c r="AD2549" i="155"/>
  <c r="AD2517" i="155"/>
  <c r="AD2501" i="155"/>
  <c r="AD2664" i="155"/>
  <c r="AD1782" i="155"/>
  <c r="AD60" i="155"/>
  <c r="AD214" i="155"/>
  <c r="AD148" i="155"/>
  <c r="AD273" i="155"/>
  <c r="AD871" i="155"/>
  <c r="AD855" i="155"/>
  <c r="AD845" i="155"/>
  <c r="AD821" i="155"/>
  <c r="AD947" i="155"/>
  <c r="AD1022" i="155"/>
  <c r="AD1006" i="155"/>
  <c r="AD990" i="155"/>
  <c r="AD974" i="155"/>
  <c r="AD958" i="155"/>
  <c r="AD1096" i="155"/>
  <c r="AD1080" i="155"/>
  <c r="AD1064" i="155"/>
  <c r="AD1048" i="155"/>
  <c r="AD1032" i="155"/>
  <c r="AD1124" i="155"/>
  <c r="AD1137" i="155"/>
  <c r="AD1151" i="155"/>
  <c r="AD1163" i="155"/>
  <c r="AD1370" i="155"/>
  <c r="AD1389" i="155"/>
  <c r="AD1543" i="155"/>
  <c r="AD1568" i="155"/>
  <c r="AD1921" i="155"/>
  <c r="AD1889" i="155"/>
  <c r="AD1857" i="155"/>
  <c r="AD1957" i="155"/>
  <c r="AD1941" i="155"/>
  <c r="AD1678" i="155"/>
  <c r="AD1634" i="155"/>
  <c r="AD1714" i="155"/>
  <c r="AD1698" i="155"/>
  <c r="AD1760" i="155"/>
  <c r="AD2063" i="155"/>
  <c r="AD2047" i="155"/>
  <c r="AD2080" i="155"/>
  <c r="AD2115" i="155"/>
  <c r="AD2135" i="155"/>
  <c r="AD2145" i="155"/>
  <c r="AD2154" i="155"/>
  <c r="AD2265" i="155"/>
  <c r="AD2249" i="155"/>
  <c r="AD2233" i="155"/>
  <c r="AD2217" i="155"/>
  <c r="AD2201" i="155"/>
  <c r="AD2276" i="155"/>
  <c r="AD2298" i="155"/>
  <c r="AD2318" i="155"/>
  <c r="AD2342" i="155"/>
  <c r="AD2477" i="155"/>
  <c r="AD2485" i="155"/>
  <c r="AD2637" i="155"/>
  <c r="AD2621" i="155"/>
  <c r="AD2605" i="155"/>
  <c r="AD2589" i="155"/>
  <c r="AD2573" i="155"/>
  <c r="AD2557" i="155"/>
  <c r="AD2541" i="155"/>
  <c r="AD2525" i="155"/>
  <c r="AD2509" i="155"/>
  <c r="AD2493" i="155"/>
  <c r="AD2672" i="155"/>
  <c r="AD2648" i="155"/>
  <c r="AD2039" i="155"/>
  <c r="AD44" i="155"/>
  <c r="AD198" i="155"/>
  <c r="AD132" i="155"/>
  <c r="AD257" i="155"/>
  <c r="AD867" i="155"/>
  <c r="AD851" i="155"/>
  <c r="AD841" i="155"/>
  <c r="AD889" i="155"/>
  <c r="AD943" i="155"/>
  <c r="AD1018" i="155"/>
  <c r="AD1002" i="155"/>
  <c r="AD986" i="155"/>
  <c r="AD970" i="155"/>
  <c r="AD1108" i="155"/>
  <c r="AD1092" i="155"/>
  <c r="AD1076" i="155"/>
  <c r="AD1060" i="155"/>
  <c r="AD1044" i="155"/>
  <c r="AD1028" i="155"/>
  <c r="AD1120" i="155"/>
  <c r="AD1133" i="155"/>
  <c r="AD1147" i="155"/>
  <c r="AD1382" i="155"/>
  <c r="AD1401" i="155"/>
  <c r="AD1385" i="155"/>
  <c r="AD1536" i="155"/>
  <c r="AD1560" i="155"/>
  <c r="AD1901" i="155"/>
  <c r="AD1869" i="155"/>
  <c r="AD1969" i="155"/>
  <c r="AD1953" i="155"/>
  <c r="AD1937" i="155"/>
  <c r="AD1660" i="155"/>
  <c r="AD1630" i="155"/>
  <c r="AD1710" i="155"/>
  <c r="AD1694" i="155"/>
  <c r="AD1756" i="155"/>
  <c r="AD2059" i="155"/>
  <c r="AD2043" i="155"/>
  <c r="AD2100" i="155"/>
  <c r="AD2111" i="155"/>
  <c r="AD2131" i="155"/>
  <c r="AD2141" i="155"/>
  <c r="AD2189" i="155"/>
  <c r="AD2261" i="155"/>
  <c r="AD2245" i="155"/>
  <c r="AD2229" i="155"/>
  <c r="AD2213" i="155"/>
  <c r="AD2197" i="155"/>
  <c r="AD2272" i="155"/>
  <c r="AD2294" i="155"/>
  <c r="AD2314" i="155"/>
  <c r="AD2338" i="155"/>
  <c r="AD2473" i="155"/>
  <c r="AD2481" i="155"/>
  <c r="AD2633" i="155"/>
  <c r="AD2617" i="155"/>
  <c r="AD2601" i="155"/>
  <c r="AD2585" i="155"/>
  <c r="AD2569" i="155"/>
  <c r="AD2553" i="155"/>
  <c r="AD2537" i="155"/>
  <c r="AD2521" i="155"/>
  <c r="AD2505" i="155"/>
  <c r="AD2684" i="155"/>
  <c r="AD2668" i="155"/>
  <c r="AD32" i="155"/>
  <c r="AD181" i="155"/>
  <c r="AD116" i="155"/>
  <c r="AD863" i="155"/>
  <c r="AD837" i="155"/>
  <c r="AD939" i="155"/>
  <c r="AD998" i="155"/>
  <c r="AD966" i="155"/>
  <c r="AD1088" i="155"/>
  <c r="AD1056" i="155"/>
  <c r="AD1116" i="155"/>
  <c r="AD1159" i="155"/>
  <c r="AD1378" i="155"/>
  <c r="AD1544" i="155"/>
  <c r="AD1897" i="155"/>
  <c r="AD1865" i="155"/>
  <c r="AD1949" i="155"/>
  <c r="AD1656" i="155"/>
  <c r="AD1706" i="155"/>
  <c r="AD1752" i="155"/>
  <c r="AD2123" i="155"/>
  <c r="AD2127" i="155"/>
  <c r="AD2185" i="155"/>
  <c r="AD2241" i="155"/>
  <c r="AD2209" i="155"/>
  <c r="AD2306" i="155"/>
  <c r="AD2310" i="155"/>
  <c r="AD2469" i="155"/>
  <c r="AD2629" i="155"/>
  <c r="AD2597" i="155"/>
  <c r="AD2565" i="155"/>
  <c r="AD2533" i="155"/>
  <c r="AD2680" i="155"/>
  <c r="AD2749" i="155"/>
  <c r="AD2745" i="155"/>
  <c r="AD2741" i="155"/>
  <c r="AD2737" i="155"/>
  <c r="AD2733" i="155"/>
  <c r="AD2729" i="155"/>
  <c r="AD2725" i="155"/>
  <c r="AD2721" i="155"/>
  <c r="AD2717" i="155"/>
  <c r="AD2713" i="155"/>
  <c r="AD2709" i="155"/>
  <c r="AD2772" i="155"/>
  <c r="AD2768" i="155"/>
  <c r="AD2764" i="155"/>
  <c r="AD2760" i="155"/>
  <c r="AD2756" i="155"/>
  <c r="AD2752" i="155"/>
  <c r="AD2807" i="155"/>
  <c r="AD2803" i="155"/>
  <c r="AD2799" i="155"/>
  <c r="AD2795" i="155"/>
  <c r="AD2791" i="155"/>
  <c r="AD2787" i="155"/>
  <c r="AD2783" i="155"/>
  <c r="AD2779" i="155"/>
  <c r="AD2825" i="155"/>
  <c r="AD2817" i="155"/>
  <c r="AD2824" i="155"/>
  <c r="AD2816" i="155"/>
  <c r="AD2809" i="155"/>
  <c r="AD2748" i="155"/>
  <c r="AD2744" i="155"/>
  <c r="AD2740" i="155"/>
  <c r="AD2736" i="155"/>
  <c r="AD2732" i="155"/>
  <c r="AD2728" i="155"/>
  <c r="AD2724" i="155"/>
  <c r="AD2720" i="155"/>
  <c r="AD2716" i="155"/>
  <c r="AD2712" i="155"/>
  <c r="AD2775" i="155"/>
  <c r="AD2771" i="155"/>
  <c r="AD2767" i="155"/>
  <c r="AD2763" i="155"/>
  <c r="AD2759" i="155"/>
  <c r="AD2755" i="155"/>
  <c r="AD2751" i="155"/>
  <c r="AD2806" i="155"/>
  <c r="AD2802" i="155"/>
  <c r="AD2798" i="155"/>
  <c r="AD2794" i="155"/>
  <c r="AD2790" i="155"/>
  <c r="AD2786" i="155"/>
  <c r="AD2782" i="155"/>
  <c r="AD2778" i="155"/>
  <c r="AD2823" i="155"/>
  <c r="AD2815" i="155"/>
  <c r="AD2822" i="155"/>
  <c r="AD2814" i="155"/>
  <c r="AD2808" i="155"/>
  <c r="AD2747" i="155"/>
  <c r="AD2743" i="155"/>
  <c r="AD2739" i="155"/>
  <c r="AD2735" i="155"/>
  <c r="AD2731" i="155"/>
  <c r="AD2727" i="155"/>
  <c r="AD2723" i="155"/>
  <c r="AD2719" i="155"/>
  <c r="AD2715" i="155"/>
  <c r="AD2711" i="155"/>
  <c r="AD2774" i="155"/>
  <c r="AD2770" i="155"/>
  <c r="AD2766" i="155"/>
  <c r="AD2762" i="155"/>
  <c r="AD2758" i="155"/>
  <c r="AD2754" i="155"/>
  <c r="AD2750" i="155"/>
  <c r="AD2805" i="155"/>
  <c r="AD2801" i="155"/>
  <c r="AD2797" i="155"/>
  <c r="AD2793" i="155"/>
  <c r="AD2789" i="155"/>
  <c r="AD2785" i="155"/>
  <c r="AD2781" i="155"/>
  <c r="AD2777" i="155"/>
  <c r="AD2821" i="155"/>
  <c r="AD2813" i="155"/>
  <c r="AD2820" i="155"/>
  <c r="AD2812" i="155"/>
  <c r="AD2738" i="155"/>
  <c r="AD2722" i="155"/>
  <c r="AD2773" i="155"/>
  <c r="AD2757" i="155"/>
  <c r="AD2804" i="155"/>
  <c r="AD2788" i="155"/>
  <c r="AD2819" i="155"/>
  <c r="AD2734" i="155"/>
  <c r="AD2718" i="155"/>
  <c r="AD2769" i="155"/>
  <c r="AD2753" i="155"/>
  <c r="AD2800" i="155"/>
  <c r="AD2784" i="155"/>
  <c r="AD2811" i="155"/>
  <c r="AD2746" i="155"/>
  <c r="AD2730" i="155"/>
  <c r="AD2714" i="155"/>
  <c r="AD2765" i="155"/>
  <c r="AD2796" i="155"/>
  <c r="AD2780" i="155"/>
  <c r="AD2818" i="155"/>
  <c r="AD2761" i="155"/>
  <c r="AD2810" i="155"/>
  <c r="AD2742" i="155"/>
  <c r="AD2726" i="155"/>
  <c r="AD2792" i="155"/>
  <c r="AD2710" i="155"/>
  <c r="AD2776" i="155"/>
  <c r="A6" i="10"/>
  <c r="P2668" i="155"/>
  <c r="P2672" i="155"/>
  <c r="P2676" i="155"/>
  <c r="P2680" i="155"/>
  <c r="P2684" i="155"/>
  <c r="P2667" i="155"/>
  <c r="P2671" i="155"/>
  <c r="P2683" i="155"/>
  <c r="P2669" i="155"/>
  <c r="P2673" i="155"/>
  <c r="P2677" i="155"/>
  <c r="P2681" i="155"/>
  <c r="P2685" i="155"/>
  <c r="P2679" i="155"/>
  <c r="P2670" i="155"/>
  <c r="P2674" i="155"/>
  <c r="P2678" i="155"/>
  <c r="P2682" i="155"/>
  <c r="P2686" i="155"/>
  <c r="P2675" i="155"/>
  <c r="P2687" i="155"/>
  <c r="P2706" i="155"/>
  <c r="P2707" i="155"/>
  <c r="P2705" i="155"/>
  <c r="P2708" i="155"/>
  <c r="P2704" i="155"/>
  <c r="P2490" i="155"/>
  <c r="P2489" i="155"/>
  <c r="P2491" i="155"/>
  <c r="P2492" i="155"/>
  <c r="P2638" i="155"/>
  <c r="P2642" i="155"/>
  <c r="P2637" i="155"/>
  <c r="P2639" i="155"/>
  <c r="P2643" i="155"/>
  <c r="P2640" i="155"/>
  <c r="P2644" i="155"/>
  <c r="P2641" i="155"/>
  <c r="P2648" i="155"/>
  <c r="P2652" i="155"/>
  <c r="P2656" i="155"/>
  <c r="P2660" i="155"/>
  <c r="P2647" i="155"/>
  <c r="P2659" i="155"/>
  <c r="P2649" i="155"/>
  <c r="P2653" i="155"/>
  <c r="P2657" i="155"/>
  <c r="P2661" i="155"/>
  <c r="P2651" i="155"/>
  <c r="P2646" i="155"/>
  <c r="P2650" i="155"/>
  <c r="P2654" i="155"/>
  <c r="P2658" i="155"/>
  <c r="P2645" i="155"/>
  <c r="P2655" i="155"/>
  <c r="P2482" i="155"/>
  <c r="P2486" i="155"/>
  <c r="P2483" i="155"/>
  <c r="P2487" i="155"/>
  <c r="P2484" i="155"/>
  <c r="P2488" i="155"/>
  <c r="P2485" i="155"/>
  <c r="P2481" i="155"/>
  <c r="P2666" i="155"/>
  <c r="P2663" i="155"/>
  <c r="P2662" i="155"/>
  <c r="P2665" i="155"/>
  <c r="P2664" i="155"/>
  <c r="P2466" i="155"/>
  <c r="P2470" i="155"/>
  <c r="P2474" i="155"/>
  <c r="P2478" i="155"/>
  <c r="P2473" i="155"/>
  <c r="P2465" i="155"/>
  <c r="P2467" i="155"/>
  <c r="P2471" i="155"/>
  <c r="P2475" i="155"/>
  <c r="P2479" i="155"/>
  <c r="P2468" i="155"/>
  <c r="P2472" i="155"/>
  <c r="P2476" i="155"/>
  <c r="P2480" i="155"/>
  <c r="P2469" i="155"/>
  <c r="P2477" i="155"/>
  <c r="P899" i="155"/>
  <c r="P898" i="155"/>
  <c r="P2441" i="155"/>
  <c r="P2445" i="155"/>
  <c r="P2449" i="155"/>
  <c r="P2453" i="155"/>
  <c r="P2457" i="155"/>
  <c r="P2438" i="155"/>
  <c r="P2443" i="155"/>
  <c r="P2451" i="155"/>
  <c r="P2444" i="155"/>
  <c r="P2456" i="155"/>
  <c r="P2442" i="155"/>
  <c r="P2446" i="155"/>
  <c r="P2450" i="155"/>
  <c r="P2454" i="155"/>
  <c r="P2458" i="155"/>
  <c r="P2447" i="155"/>
  <c r="P2455" i="155"/>
  <c r="P2440" i="155"/>
  <c r="P2448" i="155"/>
  <c r="P2460" i="155"/>
  <c r="P2439" i="155"/>
  <c r="P2459" i="155"/>
  <c r="P2452" i="155"/>
  <c r="P2464" i="155"/>
  <c r="P2461" i="155"/>
  <c r="P2462" i="155"/>
  <c r="P2463" i="155"/>
  <c r="P901" i="155"/>
  <c r="P900" i="155"/>
  <c r="S1851" i="155"/>
  <c r="S544" i="155"/>
  <c r="S585" i="155"/>
  <c r="S595" i="155"/>
  <c r="S636" i="155"/>
  <c r="S2080" i="155"/>
  <c r="T1301" i="155"/>
  <c r="T1297" i="155"/>
  <c r="T1293" i="155"/>
  <c r="T1289" i="155"/>
  <c r="T1285" i="155"/>
  <c r="T1281" i="155"/>
  <c r="T1277" i="155"/>
  <c r="T1273" i="155"/>
  <c r="T1269" i="155"/>
  <c r="T1361" i="155"/>
  <c r="T1357" i="155"/>
  <c r="T1353" i="155"/>
  <c r="T1349" i="155"/>
  <c r="T1345" i="155"/>
  <c r="T1341" i="155"/>
  <c r="T1337" i="155"/>
  <c r="T1333" i="155"/>
  <c r="T1329" i="155"/>
  <c r="T1325" i="155"/>
  <c r="T1321" i="155"/>
  <c r="T1317" i="155"/>
  <c r="T1300" i="155"/>
  <c r="T1296" i="155"/>
  <c r="T1292" i="155"/>
  <c r="T1288" i="155"/>
  <c r="T1284" i="155"/>
  <c r="T1280" i="155"/>
  <c r="T1276" i="155"/>
  <c r="T1272" i="155"/>
  <c r="T1268" i="155"/>
  <c r="T1360" i="155"/>
  <c r="T1356" i="155"/>
  <c r="T1352" i="155"/>
  <c r="T1348" i="155"/>
  <c r="T1344" i="155"/>
  <c r="T1340" i="155"/>
  <c r="T1336" i="155"/>
  <c r="T1332" i="155"/>
  <c r="T1328" i="155"/>
  <c r="T1324" i="155"/>
  <c r="T1320" i="155"/>
  <c r="T1316" i="155"/>
  <c r="T1295" i="155"/>
  <c r="T1287" i="155"/>
  <c r="T1279" i="155"/>
  <c r="T1271" i="155"/>
  <c r="T1359" i="155"/>
  <c r="T1351" i="155"/>
  <c r="T1343" i="155"/>
  <c r="T1335" i="155"/>
  <c r="T1327" i="155"/>
  <c r="T1319" i="155"/>
  <c r="T1294" i="155"/>
  <c r="T1286" i="155"/>
  <c r="T1278" i="155"/>
  <c r="T1270" i="155"/>
  <c r="T1358" i="155"/>
  <c r="T1350" i="155"/>
  <c r="T1342" i="155"/>
  <c r="T1334" i="155"/>
  <c r="T1326" i="155"/>
  <c r="T1318" i="155"/>
  <c r="T1299" i="155"/>
  <c r="T1291" i="155"/>
  <c r="T1283" i="155"/>
  <c r="T1275" i="155"/>
  <c r="T1267" i="155"/>
  <c r="T1355" i="155"/>
  <c r="T1347" i="155"/>
  <c r="T1339" i="155"/>
  <c r="T1331" i="155"/>
  <c r="T1323" i="155"/>
  <c r="T1315" i="155"/>
  <c r="T1274" i="155"/>
  <c r="T1338" i="155"/>
  <c r="T1298" i="155"/>
  <c r="T1266" i="155"/>
  <c r="T1330" i="155"/>
  <c r="T1290" i="155"/>
  <c r="T1354" i="155"/>
  <c r="T1322" i="155"/>
  <c r="T1346" i="155"/>
  <c r="T1314" i="155"/>
  <c r="T1282" i="155"/>
  <c r="T193" i="155"/>
  <c r="T189" i="155"/>
  <c r="T185" i="155"/>
  <c r="T181" i="155"/>
  <c r="T177" i="155"/>
  <c r="T173" i="155"/>
  <c r="T169" i="155"/>
  <c r="T165" i="155"/>
  <c r="T161" i="155"/>
  <c r="T157" i="155"/>
  <c r="T588" i="155"/>
  <c r="T584" i="155"/>
  <c r="T580" i="155"/>
  <c r="T576" i="155"/>
  <c r="T572" i="155"/>
  <c r="T192" i="155"/>
  <c r="T188" i="155"/>
  <c r="T184" i="155"/>
  <c r="T180" i="155"/>
  <c r="T176" i="155"/>
  <c r="T172" i="155"/>
  <c r="T168" i="155"/>
  <c r="T164" i="155"/>
  <c r="T160" i="155"/>
  <c r="T156" i="155"/>
  <c r="T587" i="155"/>
  <c r="T583" i="155"/>
  <c r="T579" i="155"/>
  <c r="T575" i="155"/>
  <c r="T571" i="155"/>
  <c r="T191" i="155"/>
  <c r="T187" i="155"/>
  <c r="T183" i="155"/>
  <c r="T179" i="155"/>
  <c r="T175" i="155"/>
  <c r="T171" i="155"/>
  <c r="T167" i="155"/>
  <c r="T163" i="155"/>
  <c r="T159" i="155"/>
  <c r="T155" i="155"/>
  <c r="T586" i="155"/>
  <c r="T582" i="155"/>
  <c r="T578" i="155"/>
  <c r="T574" i="155"/>
  <c r="T570" i="155"/>
  <c r="T186" i="155"/>
  <c r="T170" i="155"/>
  <c r="T154" i="155"/>
  <c r="T573" i="155"/>
  <c r="T182" i="155"/>
  <c r="T166" i="155"/>
  <c r="T585" i="155"/>
  <c r="T569" i="155"/>
  <c r="T194" i="155"/>
  <c r="T178" i="155"/>
  <c r="T162" i="155"/>
  <c r="T581" i="155"/>
  <c r="T190" i="155"/>
  <c r="T174" i="155"/>
  <c r="T158" i="155"/>
  <c r="T577" i="155"/>
  <c r="T212" i="155"/>
  <c r="T215" i="155"/>
  <c r="T210" i="155"/>
  <c r="T206" i="155"/>
  <c r="T202" i="155"/>
  <c r="T198" i="155"/>
  <c r="T667" i="155"/>
  <c r="T663" i="155"/>
  <c r="T659" i="155"/>
  <c r="T655" i="155"/>
  <c r="T651" i="155"/>
  <c r="T647" i="155"/>
  <c r="T643" i="155"/>
  <c r="T639" i="155"/>
  <c r="T635" i="155"/>
  <c r="T631" i="155"/>
  <c r="T627" i="155"/>
  <c r="T623" i="155"/>
  <c r="T619" i="155"/>
  <c r="T615" i="155"/>
  <c r="T611" i="155"/>
  <c r="T214" i="155"/>
  <c r="T209" i="155"/>
  <c r="T205" i="155"/>
  <c r="T201" i="155"/>
  <c r="T197" i="155"/>
  <c r="T666" i="155"/>
  <c r="T662" i="155"/>
  <c r="T658" i="155"/>
  <c r="T654" i="155"/>
  <c r="T650" i="155"/>
  <c r="T646" i="155"/>
  <c r="T642" i="155"/>
  <c r="T638" i="155"/>
  <c r="T634" i="155"/>
  <c r="T630" i="155"/>
  <c r="T626" i="155"/>
  <c r="T622" i="155"/>
  <c r="T618" i="155"/>
  <c r="T614" i="155"/>
  <c r="T610" i="155"/>
  <c r="T213" i="155"/>
  <c r="T208" i="155"/>
  <c r="T204" i="155"/>
  <c r="T200" i="155"/>
  <c r="T196" i="155"/>
  <c r="T665" i="155"/>
  <c r="T661" i="155"/>
  <c r="T657" i="155"/>
  <c r="T653" i="155"/>
  <c r="T649" i="155"/>
  <c r="T645" i="155"/>
  <c r="T641" i="155"/>
  <c r="T637" i="155"/>
  <c r="T633" i="155"/>
  <c r="T629" i="155"/>
  <c r="T625" i="155"/>
  <c r="T621" i="155"/>
  <c r="T617" i="155"/>
  <c r="T613" i="155"/>
  <c r="T609" i="155"/>
  <c r="T207" i="155"/>
  <c r="T664" i="155"/>
  <c r="T648" i="155"/>
  <c r="T632" i="155"/>
  <c r="T616" i="155"/>
  <c r="T203" i="155"/>
  <c r="T660" i="155"/>
  <c r="T644" i="155"/>
  <c r="T628" i="155"/>
  <c r="T612" i="155"/>
  <c r="T199" i="155"/>
  <c r="T656" i="155"/>
  <c r="T640" i="155"/>
  <c r="T624" i="155"/>
  <c r="T211" i="155"/>
  <c r="T668" i="155"/>
  <c r="T652" i="155"/>
  <c r="T636" i="155"/>
  <c r="T620" i="155"/>
  <c r="T1570" i="155"/>
  <c r="T1562" i="155"/>
  <c r="T1567" i="155"/>
  <c r="T1559" i="155"/>
  <c r="T1568" i="155"/>
  <c r="T1560" i="155"/>
  <c r="T1565" i="155"/>
  <c r="T1557" i="155"/>
  <c r="T1566" i="155"/>
  <c r="T1563" i="155"/>
  <c r="T1564" i="155"/>
  <c r="T1561" i="155"/>
  <c r="T1558" i="155"/>
  <c r="T1556" i="155"/>
  <c r="T1569" i="155"/>
  <c r="T2099" i="155"/>
  <c r="T2040" i="155"/>
  <c r="T2036" i="155"/>
  <c r="T2032" i="155"/>
  <c r="T2028" i="155"/>
  <c r="T2067" i="155"/>
  <c r="T2063" i="155"/>
  <c r="T2059" i="155"/>
  <c r="T2055" i="155"/>
  <c r="T2051" i="155"/>
  <c r="T2047" i="155"/>
  <c r="T2043" i="155"/>
  <c r="T2072" i="155"/>
  <c r="T2068" i="155"/>
  <c r="T2087" i="155"/>
  <c r="T2083" i="155"/>
  <c r="T2079" i="155"/>
  <c r="T2126" i="155"/>
  <c r="T2122" i="155"/>
  <c r="T2118" i="155"/>
  <c r="T2114" i="155"/>
  <c r="T2110" i="155"/>
  <c r="T2106" i="155"/>
  <c r="T2138" i="155"/>
  <c r="T2134" i="155"/>
  <c r="T2130" i="155"/>
  <c r="T2492" i="155"/>
  <c r="T2098" i="155"/>
  <c r="T2039" i="155"/>
  <c r="T2035" i="155"/>
  <c r="T2031" i="155"/>
  <c r="T2027" i="155"/>
  <c r="T2066" i="155"/>
  <c r="T2062" i="155"/>
  <c r="T2058" i="155"/>
  <c r="T2054" i="155"/>
  <c r="T2050" i="155"/>
  <c r="T2046" i="155"/>
  <c r="T2042" i="155"/>
  <c r="T2071" i="155"/>
  <c r="T2090" i="155"/>
  <c r="T2086" i="155"/>
  <c r="T2082" i="155"/>
  <c r="T2102" i="155"/>
  <c r="T2125" i="155"/>
  <c r="T2121" i="155"/>
  <c r="T2117" i="155"/>
  <c r="T2113" i="155"/>
  <c r="T2109" i="155"/>
  <c r="T2105" i="155"/>
  <c r="T2137" i="155"/>
  <c r="T2133" i="155"/>
  <c r="T2129" i="155"/>
  <c r="T2491" i="155"/>
  <c r="T2097" i="155"/>
  <c r="T2034" i="155"/>
  <c r="T2026" i="155"/>
  <c r="T2061" i="155"/>
  <c r="T2053" i="155"/>
  <c r="T2045" i="155"/>
  <c r="T2070" i="155"/>
  <c r="T2085" i="155"/>
  <c r="T2101" i="155"/>
  <c r="T2120" i="155"/>
  <c r="T2112" i="155"/>
  <c r="T2104" i="155"/>
  <c r="T2132" i="155"/>
  <c r="T2490" i="155"/>
  <c r="T2096" i="155"/>
  <c r="T2033" i="155"/>
  <c r="T2025" i="155"/>
  <c r="T2060" i="155"/>
  <c r="T2052" i="155"/>
  <c r="T2044" i="155"/>
  <c r="T2069" i="155"/>
  <c r="T2084" i="155"/>
  <c r="T2100" i="155"/>
  <c r="T2119" i="155"/>
  <c r="T2111" i="155"/>
  <c r="T2103" i="155"/>
  <c r="T2131" i="155"/>
  <c r="T2489" i="155"/>
  <c r="T2038" i="155"/>
  <c r="T2030" i="155"/>
  <c r="T2065" i="155"/>
  <c r="T2057" i="155"/>
  <c r="T2049" i="155"/>
  <c r="T2041" i="155"/>
  <c r="T2089" i="155"/>
  <c r="T2081" i="155"/>
  <c r="T2124" i="155"/>
  <c r="T2116" i="155"/>
  <c r="T2108" i="155"/>
  <c r="T2136" i="155"/>
  <c r="T2128" i="155"/>
  <c r="T2037" i="155"/>
  <c r="T2048" i="155"/>
  <c r="T2123" i="155"/>
  <c r="T2127" i="155"/>
  <c r="T2029" i="155"/>
  <c r="T2073" i="155"/>
  <c r="T2115" i="155"/>
  <c r="T2064" i="155"/>
  <c r="T2088" i="155"/>
  <c r="T2107" i="155"/>
  <c r="T2056" i="155"/>
  <c r="T2080" i="155"/>
  <c r="T2135" i="155"/>
  <c r="T509" i="155"/>
  <c r="T505" i="155"/>
  <c r="T501" i="155"/>
  <c r="T497" i="155"/>
  <c r="T493" i="155"/>
  <c r="T740" i="155"/>
  <c r="T738" i="155"/>
  <c r="T508" i="155"/>
  <c r="T504" i="155"/>
  <c r="T500" i="155"/>
  <c r="T496" i="155"/>
  <c r="T492" i="155"/>
  <c r="T507" i="155"/>
  <c r="T499" i="155"/>
  <c r="T743" i="155"/>
  <c r="T733" i="155"/>
  <c r="T846" i="155"/>
  <c r="T842" i="155"/>
  <c r="T838" i="155"/>
  <c r="T826" i="155"/>
  <c r="T822" i="155"/>
  <c r="T2487" i="155"/>
  <c r="T2483" i="155"/>
  <c r="T506" i="155"/>
  <c r="T498" i="155"/>
  <c r="T744" i="155"/>
  <c r="T739" i="155"/>
  <c r="T735" i="155"/>
  <c r="T734" i="155"/>
  <c r="T849" i="155"/>
  <c r="T845" i="155"/>
  <c r="T841" i="155"/>
  <c r="T837" i="155"/>
  <c r="T825" i="155"/>
  <c r="T821" i="155"/>
  <c r="T2486" i="155"/>
  <c r="T2482" i="155"/>
  <c r="T503" i="155"/>
  <c r="T495" i="155"/>
  <c r="T745" i="155"/>
  <c r="T741" i="155"/>
  <c r="T736" i="155"/>
  <c r="T848" i="155"/>
  <c r="T844" i="155"/>
  <c r="T840" i="155"/>
  <c r="T836" i="155"/>
  <c r="T824" i="155"/>
  <c r="T820" i="155"/>
  <c r="T2485" i="155"/>
  <c r="T2481" i="155"/>
  <c r="T502" i="155"/>
  <c r="T839" i="155"/>
  <c r="T2484" i="155"/>
  <c r="T494" i="155"/>
  <c r="T742" i="155"/>
  <c r="T737" i="155"/>
  <c r="T827" i="155"/>
  <c r="T746" i="155"/>
  <c r="T847" i="155"/>
  <c r="T823" i="155"/>
  <c r="T843" i="155"/>
  <c r="T2488" i="155"/>
  <c r="T150" i="155"/>
  <c r="T146" i="155"/>
  <c r="T142" i="155"/>
  <c r="T138" i="155"/>
  <c r="T134" i="155"/>
  <c r="T130" i="155"/>
  <c r="T126" i="155"/>
  <c r="T122" i="155"/>
  <c r="T118" i="155"/>
  <c r="T114" i="155"/>
  <c r="T567" i="155"/>
  <c r="T563" i="155"/>
  <c r="T559" i="155"/>
  <c r="T555" i="155"/>
  <c r="T551" i="155"/>
  <c r="T784" i="155"/>
  <c r="T781" i="155"/>
  <c r="T778" i="155"/>
  <c r="T768" i="155"/>
  <c r="T765" i="155"/>
  <c r="T762" i="155"/>
  <c r="T149" i="155"/>
  <c r="T145" i="155"/>
  <c r="T141" i="155"/>
  <c r="T137" i="155"/>
  <c r="T133" i="155"/>
  <c r="T129" i="155"/>
  <c r="T125" i="155"/>
  <c r="T121" i="155"/>
  <c r="T117" i="155"/>
  <c r="T113" i="155"/>
  <c r="T566" i="155"/>
  <c r="T562" i="155"/>
  <c r="T558" i="155"/>
  <c r="T554" i="155"/>
  <c r="T550" i="155"/>
  <c r="T785" i="155"/>
  <c r="T782" i="155"/>
  <c r="T779" i="155"/>
  <c r="T769" i="155"/>
  <c r="T766" i="155"/>
  <c r="T763" i="155"/>
  <c r="T759" i="155"/>
  <c r="T756" i="155"/>
  <c r="T753" i="155"/>
  <c r="T2149" i="155"/>
  <c r="T152" i="155"/>
  <c r="T148" i="155"/>
  <c r="T144" i="155"/>
  <c r="T140" i="155"/>
  <c r="T136" i="155"/>
  <c r="T132" i="155"/>
  <c r="T128" i="155"/>
  <c r="T124" i="155"/>
  <c r="T120" i="155"/>
  <c r="T116" i="155"/>
  <c r="T112" i="155"/>
  <c r="T565" i="155"/>
  <c r="T561" i="155"/>
  <c r="T557" i="155"/>
  <c r="T553" i="155"/>
  <c r="T549" i="155"/>
  <c r="T770" i="155"/>
  <c r="T767" i="155"/>
  <c r="T764" i="155"/>
  <c r="T760" i="155"/>
  <c r="T757" i="155"/>
  <c r="T754" i="155"/>
  <c r="T2152" i="155"/>
  <c r="T2148" i="155"/>
  <c r="T147" i="155"/>
  <c r="T131" i="155"/>
  <c r="T115" i="155"/>
  <c r="T556" i="155"/>
  <c r="T780" i="155"/>
  <c r="T758" i="155"/>
  <c r="T2151" i="155"/>
  <c r="T143" i="155"/>
  <c r="T127" i="155"/>
  <c r="T568" i="155"/>
  <c r="T552" i="155"/>
  <c r="T783" i="155"/>
  <c r="T761" i="155"/>
  <c r="T2150" i="155"/>
  <c r="T139" i="155"/>
  <c r="T123" i="155"/>
  <c r="T564" i="155"/>
  <c r="T755" i="155"/>
  <c r="T2147" i="155"/>
  <c r="T135" i="155"/>
  <c r="T119" i="155"/>
  <c r="T560" i="155"/>
  <c r="T2146" i="155"/>
  <c r="T151" i="155"/>
  <c r="T777" i="155"/>
  <c r="T397" i="155"/>
  <c r="T393" i="155"/>
  <c r="T389" i="155"/>
  <c r="T385" i="155"/>
  <c r="T381" i="155"/>
  <c r="T377" i="155"/>
  <c r="T373" i="155"/>
  <c r="T369" i="155"/>
  <c r="T365" i="155"/>
  <c r="T451" i="155"/>
  <c r="T447" i="155"/>
  <c r="T443" i="155"/>
  <c r="T439" i="155"/>
  <c r="T435" i="155"/>
  <c r="T431" i="155"/>
  <c r="T427" i="155"/>
  <c r="T423" i="155"/>
  <c r="T479" i="155"/>
  <c r="T475" i="155"/>
  <c r="T471" i="155"/>
  <c r="T467" i="155"/>
  <c r="T463" i="155"/>
  <c r="T459" i="155"/>
  <c r="T455" i="155"/>
  <c r="T491" i="155"/>
  <c r="T487" i="155"/>
  <c r="T483" i="155"/>
  <c r="T539" i="155"/>
  <c r="T529" i="155"/>
  <c r="T400" i="155"/>
  <c r="T396" i="155"/>
  <c r="T392" i="155"/>
  <c r="T388" i="155"/>
  <c r="T384" i="155"/>
  <c r="T380" i="155"/>
  <c r="T376" i="155"/>
  <c r="T372" i="155"/>
  <c r="T368" i="155"/>
  <c r="T364" i="155"/>
  <c r="T450" i="155"/>
  <c r="T446" i="155"/>
  <c r="T442" i="155"/>
  <c r="T438" i="155"/>
  <c r="T434" i="155"/>
  <c r="T430" i="155"/>
  <c r="T426" i="155"/>
  <c r="T422" i="155"/>
  <c r="T478" i="155"/>
  <c r="T474" i="155"/>
  <c r="T470" i="155"/>
  <c r="T466" i="155"/>
  <c r="T462" i="155"/>
  <c r="T458" i="155"/>
  <c r="T454" i="155"/>
  <c r="T490" i="155"/>
  <c r="T486" i="155"/>
  <c r="T482" i="155"/>
  <c r="T542" i="155"/>
  <c r="T538" i="155"/>
  <c r="T528" i="155"/>
  <c r="T524" i="155"/>
  <c r="T520" i="155"/>
  <c r="T678" i="155"/>
  <c r="T674" i="155"/>
  <c r="T670" i="155"/>
  <c r="T752" i="155"/>
  <c r="T750" i="155"/>
  <c r="T748" i="155"/>
  <c r="T2145" i="155"/>
  <c r="T2141" i="155"/>
  <c r="T2748" i="155"/>
  <c r="T2744" i="155"/>
  <c r="T2740" i="155"/>
  <c r="T2804" i="155"/>
  <c r="T2800" i="155"/>
  <c r="T2796" i="155"/>
  <c r="T2792" i="155"/>
  <c r="T2788" i="155"/>
  <c r="T2784" i="155"/>
  <c r="T2780" i="155"/>
  <c r="T2776" i="155"/>
  <c r="T399" i="155"/>
  <c r="T395" i="155"/>
  <c r="T391" i="155"/>
  <c r="T387" i="155"/>
  <c r="T383" i="155"/>
  <c r="T379" i="155"/>
  <c r="T375" i="155"/>
  <c r="T371" i="155"/>
  <c r="T367" i="155"/>
  <c r="T363" i="155"/>
  <c r="T449" i="155"/>
  <c r="T445" i="155"/>
  <c r="T441" i="155"/>
  <c r="T437" i="155"/>
  <c r="T433" i="155"/>
  <c r="T429" i="155"/>
  <c r="T425" i="155"/>
  <c r="T481" i="155"/>
  <c r="T477" i="155"/>
  <c r="T473" i="155"/>
  <c r="T469" i="155"/>
  <c r="T465" i="155"/>
  <c r="T461" i="155"/>
  <c r="T457" i="155"/>
  <c r="T453" i="155"/>
  <c r="T489" i="155"/>
  <c r="T485" i="155"/>
  <c r="T541" i="155"/>
  <c r="T537" i="155"/>
  <c r="T527" i="155"/>
  <c r="T523" i="155"/>
  <c r="T519" i="155"/>
  <c r="T677" i="155"/>
  <c r="T673" i="155"/>
  <c r="T669" i="155"/>
  <c r="T2144" i="155"/>
  <c r="T2140" i="155"/>
  <c r="T2747" i="155"/>
  <c r="T2743" i="155"/>
  <c r="T2807" i="155"/>
  <c r="T2803" i="155"/>
  <c r="T2799" i="155"/>
  <c r="T2795" i="155"/>
  <c r="T2791" i="155"/>
  <c r="T2787" i="155"/>
  <c r="T2783" i="155"/>
  <c r="T2779" i="155"/>
  <c r="T394" i="155"/>
  <c r="T378" i="155"/>
  <c r="T362" i="155"/>
  <c r="T436" i="155"/>
  <c r="T480" i="155"/>
  <c r="T464" i="155"/>
  <c r="T488" i="155"/>
  <c r="T536" i="155"/>
  <c r="T521" i="155"/>
  <c r="T675" i="155"/>
  <c r="T774" i="155"/>
  <c r="T751" i="155"/>
  <c r="T747" i="155"/>
  <c r="T2749" i="155"/>
  <c r="T2741" i="155"/>
  <c r="T2801" i="155"/>
  <c r="T2793" i="155"/>
  <c r="T2785" i="155"/>
  <c r="T2777" i="155"/>
  <c r="T390" i="155"/>
  <c r="T374" i="155"/>
  <c r="T448" i="155"/>
  <c r="T432" i="155"/>
  <c r="T476" i="155"/>
  <c r="T460" i="155"/>
  <c r="T484" i="155"/>
  <c r="T526" i="155"/>
  <c r="T518" i="155"/>
  <c r="T672" i="155"/>
  <c r="T775" i="155"/>
  <c r="T771" i="155"/>
  <c r="T2143" i="155"/>
  <c r="T2746" i="155"/>
  <c r="T2806" i="155"/>
  <c r="T2798" i="155"/>
  <c r="T2790" i="155"/>
  <c r="T2782" i="155"/>
  <c r="T386" i="155"/>
  <c r="T370" i="155"/>
  <c r="T444" i="155"/>
  <c r="T428" i="155"/>
  <c r="T472" i="155"/>
  <c r="T456" i="155"/>
  <c r="T525" i="155"/>
  <c r="T517" i="155"/>
  <c r="T671" i="155"/>
  <c r="T776" i="155"/>
  <c r="T772" i="155"/>
  <c r="T749" i="155"/>
  <c r="T2142" i="155"/>
  <c r="T2745" i="155"/>
  <c r="T2805" i="155"/>
  <c r="T2797" i="155"/>
  <c r="T2789" i="155"/>
  <c r="T2781" i="155"/>
  <c r="T398" i="155"/>
  <c r="T424" i="155"/>
  <c r="T540" i="155"/>
  <c r="T2794" i="155"/>
  <c r="T382" i="155"/>
  <c r="T468" i="155"/>
  <c r="T522" i="155"/>
  <c r="T2139" i="155"/>
  <c r="T2786" i="155"/>
  <c r="T366" i="155"/>
  <c r="T452" i="155"/>
  <c r="T676" i="155"/>
  <c r="T773" i="155"/>
  <c r="T2742" i="155"/>
  <c r="T2778" i="155"/>
  <c r="T440" i="155"/>
  <c r="T2802" i="155"/>
  <c r="T2823" i="155"/>
  <c r="T2815" i="155"/>
  <c r="T2822" i="155"/>
  <c r="T2814" i="155"/>
  <c r="T2808" i="155"/>
  <c r="T2821" i="155"/>
  <c r="T2813" i="155"/>
  <c r="T2820" i="155"/>
  <c r="T2812" i="155"/>
  <c r="T2811" i="155"/>
  <c r="T2810" i="155"/>
  <c r="T2825" i="155"/>
  <c r="T2824" i="155"/>
  <c r="T2809" i="155"/>
  <c r="T2819" i="155"/>
  <c r="T2818" i="155"/>
  <c r="T2817" i="155"/>
  <c r="T2816" i="155"/>
  <c r="T1854" i="155"/>
  <c r="T1850" i="155"/>
  <c r="T1846" i="155"/>
  <c r="T1842" i="155"/>
  <c r="T1838" i="155"/>
  <c r="T1834" i="155"/>
  <c r="T1830" i="155"/>
  <c r="T1826" i="155"/>
  <c r="T1822" i="155"/>
  <c r="T1818" i="155"/>
  <c r="T1814" i="155"/>
  <c r="T1810" i="155"/>
  <c r="T1806" i="155"/>
  <c r="T1802" i="155"/>
  <c r="T1798" i="155"/>
  <c r="T1794" i="155"/>
  <c r="T1790" i="155"/>
  <c r="T1786" i="155"/>
  <c r="T1782" i="155"/>
  <c r="T1778" i="155"/>
  <c r="T1774" i="155"/>
  <c r="T1770" i="155"/>
  <c r="T360" i="155"/>
  <c r="T356" i="155"/>
  <c r="T352" i="155"/>
  <c r="T348" i="155"/>
  <c r="T344" i="155"/>
  <c r="T340" i="155"/>
  <c r="T336" i="155"/>
  <c r="T332" i="155"/>
  <c r="T328" i="155"/>
  <c r="T1853" i="155"/>
  <c r="T1849" i="155"/>
  <c r="T1845" i="155"/>
  <c r="T1841" i="155"/>
  <c r="T1837" i="155"/>
  <c r="T1833" i="155"/>
  <c r="T1829" i="155"/>
  <c r="T1825" i="155"/>
  <c r="T1821" i="155"/>
  <c r="T1817" i="155"/>
  <c r="T1813" i="155"/>
  <c r="T1809" i="155"/>
  <c r="T1805" i="155"/>
  <c r="T1801" i="155"/>
  <c r="T1797" i="155"/>
  <c r="T1793" i="155"/>
  <c r="T1789" i="155"/>
  <c r="T1785" i="155"/>
  <c r="T1781" i="155"/>
  <c r="T1777" i="155"/>
  <c r="T1773" i="155"/>
  <c r="T1769" i="155"/>
  <c r="T359" i="155"/>
  <c r="T355" i="155"/>
  <c r="T351" i="155"/>
  <c r="T347" i="155"/>
  <c r="T343" i="155"/>
  <c r="T339" i="155"/>
  <c r="T335" i="155"/>
  <c r="T331" i="155"/>
  <c r="T327" i="155"/>
  <c r="T323" i="155"/>
  <c r="T32" i="155"/>
  <c r="T28" i="155"/>
  <c r="T24" i="155"/>
  <c r="T20" i="155"/>
  <c r="T16" i="155"/>
  <c r="T12" i="155"/>
  <c r="T8" i="155"/>
  <c r="T64" i="155"/>
  <c r="T60" i="155"/>
  <c r="T56" i="155"/>
  <c r="T52" i="155"/>
  <c r="T48" i="155"/>
  <c r="T44" i="155"/>
  <c r="T84" i="155"/>
  <c r="T80" i="155"/>
  <c r="T76" i="155"/>
  <c r="T72" i="155"/>
  <c r="T68" i="155"/>
  <c r="T98" i="155"/>
  <c r="T94" i="155"/>
  <c r="T90" i="155"/>
  <c r="T110" i="155"/>
  <c r="T106" i="155"/>
  <c r="T102" i="155"/>
  <c r="T226" i="155"/>
  <c r="T222" i="155"/>
  <c r="T218" i="155"/>
  <c r="T231" i="155"/>
  <c r="T236" i="155"/>
  <c r="T279" i="155"/>
  <c r="T275" i="155"/>
  <c r="T271" i="155"/>
  <c r="T267" i="155"/>
  <c r="T263" i="155"/>
  <c r="T259" i="155"/>
  <c r="T255" i="155"/>
  <c r="T251" i="155"/>
  <c r="T247" i="155"/>
  <c r="T1852" i="155"/>
  <c r="T1848" i="155"/>
  <c r="T1844" i="155"/>
  <c r="T1840" i="155"/>
  <c r="T1836" i="155"/>
  <c r="T1832" i="155"/>
  <c r="T1828" i="155"/>
  <c r="T1824" i="155"/>
  <c r="T1820" i="155"/>
  <c r="T1816" i="155"/>
  <c r="T1812" i="155"/>
  <c r="T1808" i="155"/>
  <c r="T1804" i="155"/>
  <c r="T1800" i="155"/>
  <c r="T1796" i="155"/>
  <c r="T1792" i="155"/>
  <c r="T1788" i="155"/>
  <c r="T1784" i="155"/>
  <c r="T1780" i="155"/>
  <c r="T1776" i="155"/>
  <c r="T1772" i="155"/>
  <c r="T1768" i="155"/>
  <c r="T358" i="155"/>
  <c r="T354" i="155"/>
  <c r="T350" i="155"/>
  <c r="T346" i="155"/>
  <c r="T342" i="155"/>
  <c r="T338" i="155"/>
  <c r="T334" i="155"/>
  <c r="T330" i="155"/>
  <c r="T326" i="155"/>
  <c r="T322" i="155"/>
  <c r="T31" i="155"/>
  <c r="T27" i="155"/>
  <c r="T23" i="155"/>
  <c r="T19" i="155"/>
  <c r="T15" i="155"/>
  <c r="T11" i="155"/>
  <c r="T7" i="155"/>
  <c r="T63" i="155"/>
  <c r="T59" i="155"/>
  <c r="T55" i="155"/>
  <c r="T51" i="155"/>
  <c r="T47" i="155"/>
  <c r="T87" i="155"/>
  <c r="T83" i="155"/>
  <c r="T79" i="155"/>
  <c r="T75" i="155"/>
  <c r="T71" i="155"/>
  <c r="T67" i="155"/>
  <c r="T97" i="155"/>
  <c r="T93" i="155"/>
  <c r="T89" i="155"/>
  <c r="T109" i="155"/>
  <c r="T105" i="155"/>
  <c r="T101" i="155"/>
  <c r="T225" i="155"/>
  <c r="T221" i="155"/>
  <c r="T217" i="155"/>
  <c r="T230" i="155"/>
  <c r="T235" i="155"/>
  <c r="T278" i="155"/>
  <c r="T274" i="155"/>
  <c r="T270" i="155"/>
  <c r="T266" i="155"/>
  <c r="T262" i="155"/>
  <c r="T258" i="155"/>
  <c r="T254" i="155"/>
  <c r="T250" i="155"/>
  <c r="T246" i="155"/>
  <c r="T1847" i="155"/>
  <c r="T1831" i="155"/>
  <c r="T1815" i="155"/>
  <c r="T1799" i="155"/>
  <c r="T1783" i="155"/>
  <c r="T361" i="155"/>
  <c r="T345" i="155"/>
  <c r="T329" i="155"/>
  <c r="T33" i="155"/>
  <c r="T25" i="155"/>
  <c r="T17" i="155"/>
  <c r="T9" i="155"/>
  <c r="T61" i="155"/>
  <c r="T53" i="155"/>
  <c r="T45" i="155"/>
  <c r="T81" i="155"/>
  <c r="T73" i="155"/>
  <c r="T99" i="155"/>
  <c r="T91" i="155"/>
  <c r="T107" i="155"/>
  <c r="T227" i="155"/>
  <c r="T219" i="155"/>
  <c r="T228" i="155"/>
  <c r="T276" i="155"/>
  <c r="T268" i="155"/>
  <c r="T260" i="155"/>
  <c r="T252" i="155"/>
  <c r="T244" i="155"/>
  <c r="T240" i="155"/>
  <c r="T320" i="155"/>
  <c r="T316" i="155"/>
  <c r="T312" i="155"/>
  <c r="T308" i="155"/>
  <c r="T304" i="155"/>
  <c r="T300" i="155"/>
  <c r="T296" i="155"/>
  <c r="T292" i="155"/>
  <c r="T288" i="155"/>
  <c r="T284" i="155"/>
  <c r="T280" i="155"/>
  <c r="T40" i="155"/>
  <c r="T36" i="155"/>
  <c r="T731" i="155"/>
  <c r="T727" i="155"/>
  <c r="T723" i="155"/>
  <c r="T719" i="155"/>
  <c r="T715" i="155"/>
  <c r="T711" i="155"/>
  <c r="T707" i="155"/>
  <c r="T703" i="155"/>
  <c r="T699" i="155"/>
  <c r="T695" i="155"/>
  <c r="T691" i="155"/>
  <c r="T687" i="155"/>
  <c r="T683" i="155"/>
  <c r="T679" i="155"/>
  <c r="T802" i="155"/>
  <c r="T798" i="155"/>
  <c r="T794" i="155"/>
  <c r="T790" i="155"/>
  <c r="T957" i="155"/>
  <c r="T953" i="155"/>
  <c r="T949" i="155"/>
  <c r="T945" i="155"/>
  <c r="T941" i="155"/>
  <c r="T1020" i="155"/>
  <c r="T1016" i="155"/>
  <c r="T1012" i="155"/>
  <c r="T1008" i="155"/>
  <c r="T1004" i="155"/>
  <c r="T1000" i="155"/>
  <c r="T996" i="155"/>
  <c r="T992" i="155"/>
  <c r="T988" i="155"/>
  <c r="T984" i="155"/>
  <c r="T980" i="155"/>
  <c r="T976" i="155"/>
  <c r="T972" i="155"/>
  <c r="T1110" i="155"/>
  <c r="T1106" i="155"/>
  <c r="T1102" i="155"/>
  <c r="T1098" i="155"/>
  <c r="T1094" i="155"/>
  <c r="T1090" i="155"/>
  <c r="T1086" i="155"/>
  <c r="T1082" i="155"/>
  <c r="T1078" i="155"/>
  <c r="T1074" i="155"/>
  <c r="T1070" i="155"/>
  <c r="T1066" i="155"/>
  <c r="T1062" i="155"/>
  <c r="T1058" i="155"/>
  <c r="T1054" i="155"/>
  <c r="T1050" i="155"/>
  <c r="T1046" i="155"/>
  <c r="T1042" i="155"/>
  <c r="T1038" i="155"/>
  <c r="T1117" i="155"/>
  <c r="T1142" i="155"/>
  <c r="T1138" i="155"/>
  <c r="T1134" i="155"/>
  <c r="T1130" i="155"/>
  <c r="T1143" i="155"/>
  <c r="T1148" i="155"/>
  <c r="T1166" i="155"/>
  <c r="T1162" i="155"/>
  <c r="T1759" i="155"/>
  <c r="T1755" i="155"/>
  <c r="T1751" i="155"/>
  <c r="T2479" i="155"/>
  <c r="T2475" i="155"/>
  <c r="T2471" i="155"/>
  <c r="T2467" i="155"/>
  <c r="T2738" i="155"/>
  <c r="T2734" i="155"/>
  <c r="T2730" i="155"/>
  <c r="T2726" i="155"/>
  <c r="T2722" i="155"/>
  <c r="T2718" i="155"/>
  <c r="T2714" i="155"/>
  <c r="T2710" i="155"/>
  <c r="T2773" i="155"/>
  <c r="T2769" i="155"/>
  <c r="T2765" i="155"/>
  <c r="T2761" i="155"/>
  <c r="T2757" i="155"/>
  <c r="T2753" i="155"/>
  <c r="T349" i="155"/>
  <c r="T26" i="155"/>
  <c r="T10" i="155"/>
  <c r="T54" i="155"/>
  <c r="T82" i="155"/>
  <c r="T66" i="155"/>
  <c r="T108" i="155"/>
  <c r="T220" i="155"/>
  <c r="T277" i="155"/>
  <c r="T261" i="155"/>
  <c r="T245" i="155"/>
  <c r="T237" i="155"/>
  <c r="T313" i="155"/>
  <c r="T305" i="155"/>
  <c r="T297" i="155"/>
  <c r="T289" i="155"/>
  <c r="T281" i="155"/>
  <c r="T37" i="155"/>
  <c r="T728" i="155"/>
  <c r="T720" i="155"/>
  <c r="T712" i="155"/>
  <c r="T704" i="155"/>
  <c r="T696" i="155"/>
  <c r="T688" i="155"/>
  <c r="T680" i="155"/>
  <c r="T799" i="155"/>
  <c r="T791" i="155"/>
  <c r="T954" i="155"/>
  <c r="T946" i="155"/>
  <c r="T938" i="155"/>
  <c r="T1021" i="155"/>
  <c r="T1013" i="155"/>
  <c r="T1005" i="155"/>
  <c r="T997" i="155"/>
  <c r="T989" i="155"/>
  <c r="T981" i="155"/>
  <c r="T973" i="155"/>
  <c r="T1107" i="155"/>
  <c r="T1099" i="155"/>
  <c r="T1091" i="155"/>
  <c r="T1083" i="155"/>
  <c r="T1075" i="155"/>
  <c r="T1067" i="155"/>
  <c r="T1059" i="155"/>
  <c r="T1047" i="155"/>
  <c r="T1139" i="155"/>
  <c r="T1144" i="155"/>
  <c r="T1167" i="155"/>
  <c r="T1756" i="155"/>
  <c r="T2476" i="155"/>
  <c r="T2739" i="155"/>
  <c r="T2727" i="155"/>
  <c r="T2715" i="155"/>
  <c r="T2770" i="155"/>
  <c r="T2758" i="155"/>
  <c r="T1843" i="155"/>
  <c r="T1827" i="155"/>
  <c r="T1811" i="155"/>
  <c r="T1795" i="155"/>
  <c r="T1779" i="155"/>
  <c r="T357" i="155"/>
  <c r="T341" i="155"/>
  <c r="T325" i="155"/>
  <c r="T30" i="155"/>
  <c r="T22" i="155"/>
  <c r="T14" i="155"/>
  <c r="T6" i="155"/>
  <c r="T58" i="155"/>
  <c r="T50" i="155"/>
  <c r="T86" i="155"/>
  <c r="T78" i="155"/>
  <c r="T70" i="155"/>
  <c r="T96" i="155"/>
  <c r="T88" i="155"/>
  <c r="T104" i="155"/>
  <c r="T224" i="155"/>
  <c r="T216" i="155"/>
  <c r="T234" i="155"/>
  <c r="T273" i="155"/>
  <c r="T265" i="155"/>
  <c r="T257" i="155"/>
  <c r="T249" i="155"/>
  <c r="T243" i="155"/>
  <c r="T239" i="155"/>
  <c r="T319" i="155"/>
  <c r="T315" i="155"/>
  <c r="T311" i="155"/>
  <c r="T307" i="155"/>
  <c r="T303" i="155"/>
  <c r="T299" i="155"/>
  <c r="T295" i="155"/>
  <c r="T291" i="155"/>
  <c r="T287" i="155"/>
  <c r="T283" i="155"/>
  <c r="T43" i="155"/>
  <c r="T39" i="155"/>
  <c r="T35" i="155"/>
  <c r="T730" i="155"/>
  <c r="T726" i="155"/>
  <c r="T722" i="155"/>
  <c r="T718" i="155"/>
  <c r="T714" i="155"/>
  <c r="T710" i="155"/>
  <c r="T706" i="155"/>
  <c r="T702" i="155"/>
  <c r="T698" i="155"/>
  <c r="T694" i="155"/>
  <c r="T690" i="155"/>
  <c r="T686" i="155"/>
  <c r="T682" i="155"/>
  <c r="T805" i="155"/>
  <c r="T801" i="155"/>
  <c r="T797" i="155"/>
  <c r="T793" i="155"/>
  <c r="T789" i="155"/>
  <c r="T956" i="155"/>
  <c r="T952" i="155"/>
  <c r="T948" i="155"/>
  <c r="T944" i="155"/>
  <c r="T940" i="155"/>
  <c r="T1019" i="155"/>
  <c r="T1015" i="155"/>
  <c r="T1011" i="155"/>
  <c r="T1007" i="155"/>
  <c r="T1003" i="155"/>
  <c r="T999" i="155"/>
  <c r="T995" i="155"/>
  <c r="T991" i="155"/>
  <c r="T987" i="155"/>
  <c r="T983" i="155"/>
  <c r="T979" i="155"/>
  <c r="T975" i="155"/>
  <c r="T971" i="155"/>
  <c r="T1109" i="155"/>
  <c r="T1105" i="155"/>
  <c r="T1101" i="155"/>
  <c r="T1097" i="155"/>
  <c r="T1093" i="155"/>
  <c r="T1089" i="155"/>
  <c r="T1085" i="155"/>
  <c r="T1081" i="155"/>
  <c r="T1077" i="155"/>
  <c r="T1073" i="155"/>
  <c r="T1069" i="155"/>
  <c r="T1065" i="155"/>
  <c r="T1061" i="155"/>
  <c r="T1057" i="155"/>
  <c r="T1053" i="155"/>
  <c r="T1049" i="155"/>
  <c r="T1045" i="155"/>
  <c r="T1041" i="155"/>
  <c r="T1037" i="155"/>
  <c r="T1112" i="155"/>
  <c r="T1116" i="155"/>
  <c r="T1141" i="155"/>
  <c r="T1137" i="155"/>
  <c r="T1133" i="155"/>
  <c r="T1129" i="155"/>
  <c r="T1147" i="155"/>
  <c r="T1165" i="155"/>
  <c r="T1762" i="155"/>
  <c r="T1758" i="155"/>
  <c r="T1754" i="155"/>
  <c r="T1750" i="155"/>
  <c r="T2478" i="155"/>
  <c r="T2474" i="155"/>
  <c r="T2470" i="155"/>
  <c r="T2466" i="155"/>
  <c r="T2737" i="155"/>
  <c r="T2733" i="155"/>
  <c r="T2729" i="155"/>
  <c r="T2725" i="155"/>
  <c r="T2721" i="155"/>
  <c r="T2717" i="155"/>
  <c r="T2713" i="155"/>
  <c r="T2709" i="155"/>
  <c r="T2772" i="155"/>
  <c r="T2768" i="155"/>
  <c r="T2764" i="155"/>
  <c r="T2760" i="155"/>
  <c r="T2756" i="155"/>
  <c r="T2752" i="155"/>
  <c r="T1111" i="155"/>
  <c r="T1055" i="155"/>
  <c r="T1039" i="155"/>
  <c r="T1114" i="155"/>
  <c r="T1131" i="155"/>
  <c r="T1149" i="155"/>
  <c r="T1760" i="155"/>
  <c r="T2480" i="155"/>
  <c r="T2468" i="155"/>
  <c r="T2731" i="155"/>
  <c r="T2719" i="155"/>
  <c r="T2774" i="155"/>
  <c r="T2762" i="155"/>
  <c r="T2750" i="155"/>
  <c r="T1855" i="155"/>
  <c r="T1839" i="155"/>
  <c r="T1823" i="155"/>
  <c r="T1807" i="155"/>
  <c r="T1791" i="155"/>
  <c r="T1775" i="155"/>
  <c r="T353" i="155"/>
  <c r="T337" i="155"/>
  <c r="T324" i="155"/>
  <c r="T29" i="155"/>
  <c r="T21" i="155"/>
  <c r="T13" i="155"/>
  <c r="T65" i="155"/>
  <c r="T57" i="155"/>
  <c r="T49" i="155"/>
  <c r="T85" i="155"/>
  <c r="T77" i="155"/>
  <c r="T69" i="155"/>
  <c r="T95" i="155"/>
  <c r="T111" i="155"/>
  <c r="T103" i="155"/>
  <c r="T223" i="155"/>
  <c r="T232" i="155"/>
  <c r="T233" i="155"/>
  <c r="T272" i="155"/>
  <c r="T264" i="155"/>
  <c r="T256" i="155"/>
  <c r="T248" i="155"/>
  <c r="T242" i="155"/>
  <c r="T238" i="155"/>
  <c r="T318" i="155"/>
  <c r="T314" i="155"/>
  <c r="T310" i="155"/>
  <c r="T306" i="155"/>
  <c r="T302" i="155"/>
  <c r="T298" i="155"/>
  <c r="T294" i="155"/>
  <c r="T290" i="155"/>
  <c r="T286" i="155"/>
  <c r="T282" i="155"/>
  <c r="T42" i="155"/>
  <c r="T38" i="155"/>
  <c r="T34" i="155"/>
  <c r="T729" i="155"/>
  <c r="T725" i="155"/>
  <c r="T721" i="155"/>
  <c r="T717" i="155"/>
  <c r="T713" i="155"/>
  <c r="T709" i="155"/>
  <c r="T705" i="155"/>
  <c r="T701" i="155"/>
  <c r="T697" i="155"/>
  <c r="T693" i="155"/>
  <c r="T689" i="155"/>
  <c r="T685" i="155"/>
  <c r="T681" i="155"/>
  <c r="T804" i="155"/>
  <c r="T800" i="155"/>
  <c r="T796" i="155"/>
  <c r="T792" i="155"/>
  <c r="T788" i="155"/>
  <c r="T955" i="155"/>
  <c r="T951" i="155"/>
  <c r="T947" i="155"/>
  <c r="T943" i="155"/>
  <c r="T939" i="155"/>
  <c r="T1022" i="155"/>
  <c r="T1018" i="155"/>
  <c r="T1014" i="155"/>
  <c r="T1010" i="155"/>
  <c r="T1006" i="155"/>
  <c r="T1002" i="155"/>
  <c r="T998" i="155"/>
  <c r="T994" i="155"/>
  <c r="T990" i="155"/>
  <c r="T986" i="155"/>
  <c r="T982" i="155"/>
  <c r="T978" i="155"/>
  <c r="T974" i="155"/>
  <c r="T1108" i="155"/>
  <c r="T1104" i="155"/>
  <c r="T1100" i="155"/>
  <c r="T1096" i="155"/>
  <c r="T1092" i="155"/>
  <c r="T1088" i="155"/>
  <c r="T1084" i="155"/>
  <c r="T1080" i="155"/>
  <c r="T1076" i="155"/>
  <c r="T1072" i="155"/>
  <c r="T1068" i="155"/>
  <c r="T1064" i="155"/>
  <c r="T1060" i="155"/>
  <c r="T1056" i="155"/>
  <c r="T1052" i="155"/>
  <c r="T1048" i="155"/>
  <c r="T1044" i="155"/>
  <c r="T1040" i="155"/>
  <c r="T1036" i="155"/>
  <c r="T1119" i="155"/>
  <c r="T1115" i="155"/>
  <c r="T1140" i="155"/>
  <c r="T1136" i="155"/>
  <c r="T1132" i="155"/>
  <c r="T1150" i="155"/>
  <c r="T1146" i="155"/>
  <c r="T1164" i="155"/>
  <c r="T1761" i="155"/>
  <c r="T1757" i="155"/>
  <c r="T1753" i="155"/>
  <c r="T1749" i="155"/>
  <c r="T2477" i="155"/>
  <c r="T2473" i="155"/>
  <c r="T2469" i="155"/>
  <c r="T2465" i="155"/>
  <c r="T2736" i="155"/>
  <c r="T2732" i="155"/>
  <c r="T2728" i="155"/>
  <c r="T2724" i="155"/>
  <c r="T2720" i="155"/>
  <c r="T2716" i="155"/>
  <c r="T2712" i="155"/>
  <c r="T2775" i="155"/>
  <c r="T2771" i="155"/>
  <c r="T2767" i="155"/>
  <c r="T2763" i="155"/>
  <c r="T2759" i="155"/>
  <c r="T2755" i="155"/>
  <c r="T2751" i="155"/>
  <c r="T1851" i="155"/>
  <c r="T1835" i="155"/>
  <c r="T1819" i="155"/>
  <c r="T1803" i="155"/>
  <c r="T1787" i="155"/>
  <c r="T1771" i="155"/>
  <c r="T333" i="155"/>
  <c r="T321" i="155"/>
  <c r="T18" i="155"/>
  <c r="T62" i="155"/>
  <c r="T46" i="155"/>
  <c r="T74" i="155"/>
  <c r="T92" i="155"/>
  <c r="T100" i="155"/>
  <c r="T229" i="155"/>
  <c r="T269" i="155"/>
  <c r="T253" i="155"/>
  <c r="T241" i="155"/>
  <c r="T317" i="155"/>
  <c r="T309" i="155"/>
  <c r="T301" i="155"/>
  <c r="T293" i="155"/>
  <c r="T285" i="155"/>
  <c r="T41" i="155"/>
  <c r="T732" i="155"/>
  <c r="T724" i="155"/>
  <c r="T716" i="155"/>
  <c r="T708" i="155"/>
  <c r="T700" i="155"/>
  <c r="T692" i="155"/>
  <c r="T684" i="155"/>
  <c r="T803" i="155"/>
  <c r="T795" i="155"/>
  <c r="T787" i="155"/>
  <c r="T950" i="155"/>
  <c r="T942" i="155"/>
  <c r="T1017" i="155"/>
  <c r="T1009" i="155"/>
  <c r="T1001" i="155"/>
  <c r="T993" i="155"/>
  <c r="T985" i="155"/>
  <c r="T977" i="155"/>
  <c r="T1103" i="155"/>
  <c r="T1095" i="155"/>
  <c r="T1087" i="155"/>
  <c r="T1079" i="155"/>
  <c r="T1071" i="155"/>
  <c r="T1063" i="155"/>
  <c r="T1051" i="155"/>
  <c r="T1043" i="155"/>
  <c r="T1118" i="155"/>
  <c r="T1135" i="155"/>
  <c r="T1163" i="155"/>
  <c r="T1752" i="155"/>
  <c r="T2472" i="155"/>
  <c r="T2735" i="155"/>
  <c r="T2723" i="155"/>
  <c r="T2711" i="155"/>
  <c r="T2766" i="155"/>
  <c r="T2754" i="155"/>
  <c r="T516" i="155"/>
  <c r="T512" i="155"/>
  <c r="T1926" i="155"/>
  <c r="T1922" i="155"/>
  <c r="T1918" i="155"/>
  <c r="T1914" i="155"/>
  <c r="T1910" i="155"/>
  <c r="T1906" i="155"/>
  <c r="T1902" i="155"/>
  <c r="T1898" i="155"/>
  <c r="T1894" i="155"/>
  <c r="T1890" i="155"/>
  <c r="T1886" i="155"/>
  <c r="T1882" i="155"/>
  <c r="T1878" i="155"/>
  <c r="T1874" i="155"/>
  <c r="T1870" i="155"/>
  <c r="T1866" i="155"/>
  <c r="T1862" i="155"/>
  <c r="T1858" i="155"/>
  <c r="T1683" i="155"/>
  <c r="T1679" i="155"/>
  <c r="T1675" i="155"/>
  <c r="T1671" i="155"/>
  <c r="T1667" i="155"/>
  <c r="T1663" i="155"/>
  <c r="T1659" i="155"/>
  <c r="T1655" i="155"/>
  <c r="T1651" i="155"/>
  <c r="T1647" i="155"/>
  <c r="T1643" i="155"/>
  <c r="T1639" i="155"/>
  <c r="T1635" i="155"/>
  <c r="T1631" i="155"/>
  <c r="T1627" i="155"/>
  <c r="T1623" i="155"/>
  <c r="T515" i="155"/>
  <c r="T511" i="155"/>
  <c r="T1925" i="155"/>
  <c r="T1921" i="155"/>
  <c r="T1917" i="155"/>
  <c r="T1913" i="155"/>
  <c r="T1909" i="155"/>
  <c r="T1905" i="155"/>
  <c r="T1901" i="155"/>
  <c r="T1897" i="155"/>
  <c r="T1893" i="155"/>
  <c r="T1889" i="155"/>
  <c r="T1885" i="155"/>
  <c r="T1881" i="155"/>
  <c r="T1877" i="155"/>
  <c r="T1873" i="155"/>
  <c r="T1869" i="155"/>
  <c r="T1865" i="155"/>
  <c r="T1861" i="155"/>
  <c r="T1857" i="155"/>
  <c r="T1682" i="155"/>
  <c r="T1678" i="155"/>
  <c r="T1674" i="155"/>
  <c r="T1670" i="155"/>
  <c r="T1666" i="155"/>
  <c r="T1662" i="155"/>
  <c r="T1658" i="155"/>
  <c r="T1654" i="155"/>
  <c r="T1650" i="155"/>
  <c r="T1646" i="155"/>
  <c r="T1642" i="155"/>
  <c r="T1638" i="155"/>
  <c r="T1634" i="155"/>
  <c r="T1630" i="155"/>
  <c r="T1626" i="155"/>
  <c r="T1622" i="155"/>
  <c r="T514" i="155"/>
  <c r="T510" i="155"/>
  <c r="T1924" i="155"/>
  <c r="T1920" i="155"/>
  <c r="T1916" i="155"/>
  <c r="T1912" i="155"/>
  <c r="T1908" i="155"/>
  <c r="T1904" i="155"/>
  <c r="T1900" i="155"/>
  <c r="T1896" i="155"/>
  <c r="T1892" i="155"/>
  <c r="T1888" i="155"/>
  <c r="T1884" i="155"/>
  <c r="T1880" i="155"/>
  <c r="T1876" i="155"/>
  <c r="T1872" i="155"/>
  <c r="T1868" i="155"/>
  <c r="T1864" i="155"/>
  <c r="T1860" i="155"/>
  <c r="T1856" i="155"/>
  <c r="T1681" i="155"/>
  <c r="T1677" i="155"/>
  <c r="T1673" i="155"/>
  <c r="T1669" i="155"/>
  <c r="T1665" i="155"/>
  <c r="T1661" i="155"/>
  <c r="T1657" i="155"/>
  <c r="T1653" i="155"/>
  <c r="T1649" i="155"/>
  <c r="T1645" i="155"/>
  <c r="T1641" i="155"/>
  <c r="T1637" i="155"/>
  <c r="T1633" i="155"/>
  <c r="T1629" i="155"/>
  <c r="T1625" i="155"/>
  <c r="T1621" i="155"/>
  <c r="T1923" i="155"/>
  <c r="T1907" i="155"/>
  <c r="T1891" i="155"/>
  <c r="T1875" i="155"/>
  <c r="T1859" i="155"/>
  <c r="T1672" i="155"/>
  <c r="T1656" i="155"/>
  <c r="T1640" i="155"/>
  <c r="T1624" i="155"/>
  <c r="T1927" i="155"/>
  <c r="T1919" i="155"/>
  <c r="T1903" i="155"/>
  <c r="T1887" i="155"/>
  <c r="T1871" i="155"/>
  <c r="T1684" i="155"/>
  <c r="T1668" i="155"/>
  <c r="T1652" i="155"/>
  <c r="T1636" i="155"/>
  <c r="T513" i="155"/>
  <c r="T1915" i="155"/>
  <c r="T1899" i="155"/>
  <c r="T1883" i="155"/>
  <c r="T1867" i="155"/>
  <c r="T1680" i="155"/>
  <c r="T1664" i="155"/>
  <c r="T1648" i="155"/>
  <c r="T1632" i="155"/>
  <c r="T1911" i="155"/>
  <c r="T1895" i="155"/>
  <c r="T1879" i="155"/>
  <c r="T1863" i="155"/>
  <c r="T1676" i="155"/>
  <c r="T1660" i="155"/>
  <c r="T1644" i="155"/>
  <c r="T1628" i="155"/>
  <c r="T545" i="155"/>
  <c r="T534" i="155"/>
  <c r="T530" i="155"/>
  <c r="T2012" i="155"/>
  <c r="T2008" i="155"/>
  <c r="T2004" i="155"/>
  <c r="T2000" i="155"/>
  <c r="T1996" i="155"/>
  <c r="T1992" i="155"/>
  <c r="T1988" i="155"/>
  <c r="T1984" i="155"/>
  <c r="T1980" i="155"/>
  <c r="T1976" i="155"/>
  <c r="T1972" i="155"/>
  <c r="T1968" i="155"/>
  <c r="T1964" i="155"/>
  <c r="T1960" i="155"/>
  <c r="T1956" i="155"/>
  <c r="T1952" i="155"/>
  <c r="T1948" i="155"/>
  <c r="T1944" i="155"/>
  <c r="T1940" i="155"/>
  <c r="T1936" i="155"/>
  <c r="T1932" i="155"/>
  <c r="T1928" i="155"/>
  <c r="T1745" i="155"/>
  <c r="T1741" i="155"/>
  <c r="T1737" i="155"/>
  <c r="T1733" i="155"/>
  <c r="T1729" i="155"/>
  <c r="T1725" i="155"/>
  <c r="T1721" i="155"/>
  <c r="T1717" i="155"/>
  <c r="T1713" i="155"/>
  <c r="T1709" i="155"/>
  <c r="T1705" i="155"/>
  <c r="T1701" i="155"/>
  <c r="T1697" i="155"/>
  <c r="T1693" i="155"/>
  <c r="T1689" i="155"/>
  <c r="T1685" i="155"/>
  <c r="T548" i="155"/>
  <c r="T544" i="155"/>
  <c r="T533" i="155"/>
  <c r="T2015" i="155"/>
  <c r="T2011" i="155"/>
  <c r="T2007" i="155"/>
  <c r="T2003" i="155"/>
  <c r="T1999" i="155"/>
  <c r="T1995" i="155"/>
  <c r="T1991" i="155"/>
  <c r="T1987" i="155"/>
  <c r="T1983" i="155"/>
  <c r="T1979" i="155"/>
  <c r="T1975" i="155"/>
  <c r="T1971" i="155"/>
  <c r="T1967" i="155"/>
  <c r="T1963" i="155"/>
  <c r="T1959" i="155"/>
  <c r="T1955" i="155"/>
  <c r="T1951" i="155"/>
  <c r="T1947" i="155"/>
  <c r="T1943" i="155"/>
  <c r="T1939" i="155"/>
  <c r="T1935" i="155"/>
  <c r="T1931" i="155"/>
  <c r="T1748" i="155"/>
  <c r="T1744" i="155"/>
  <c r="T1740" i="155"/>
  <c r="T1736" i="155"/>
  <c r="T1732" i="155"/>
  <c r="T1728" i="155"/>
  <c r="T1724" i="155"/>
  <c r="T1720" i="155"/>
  <c r="T1716" i="155"/>
  <c r="T1712" i="155"/>
  <c r="T1708" i="155"/>
  <c r="T1704" i="155"/>
  <c r="T1700" i="155"/>
  <c r="T1696" i="155"/>
  <c r="T1692" i="155"/>
  <c r="T1688" i="155"/>
  <c r="T543" i="155"/>
  <c r="T2014" i="155"/>
  <c r="T2006" i="155"/>
  <c r="T1998" i="155"/>
  <c r="T1990" i="155"/>
  <c r="T1982" i="155"/>
  <c r="T1974" i="155"/>
  <c r="T1966" i="155"/>
  <c r="T1958" i="155"/>
  <c r="T1950" i="155"/>
  <c r="T1942" i="155"/>
  <c r="T1934" i="155"/>
  <c r="T1747" i="155"/>
  <c r="T1739" i="155"/>
  <c r="T1731" i="155"/>
  <c r="T1723" i="155"/>
  <c r="T1715" i="155"/>
  <c r="T1707" i="155"/>
  <c r="T1699" i="155"/>
  <c r="T1691" i="155"/>
  <c r="T535" i="155"/>
  <c r="T2013" i="155"/>
  <c r="T2005" i="155"/>
  <c r="T1997" i="155"/>
  <c r="T1989" i="155"/>
  <c r="T1981" i="155"/>
  <c r="T1973" i="155"/>
  <c r="T1965" i="155"/>
  <c r="T1957" i="155"/>
  <c r="T1949" i="155"/>
  <c r="T1941" i="155"/>
  <c r="T1933" i="155"/>
  <c r="T1746" i="155"/>
  <c r="T1738" i="155"/>
  <c r="T1730" i="155"/>
  <c r="T1722" i="155"/>
  <c r="T1714" i="155"/>
  <c r="T1706" i="155"/>
  <c r="T1698" i="155"/>
  <c r="T1690" i="155"/>
  <c r="T547" i="155"/>
  <c r="T532" i="155"/>
  <c r="T2010" i="155"/>
  <c r="T2002" i="155"/>
  <c r="T1994" i="155"/>
  <c r="T1986" i="155"/>
  <c r="T1978" i="155"/>
  <c r="T1970" i="155"/>
  <c r="T1962" i="155"/>
  <c r="T1954" i="155"/>
  <c r="T1946" i="155"/>
  <c r="T1938" i="155"/>
  <c r="T1930" i="155"/>
  <c r="T1743" i="155"/>
  <c r="T1735" i="155"/>
  <c r="T1727" i="155"/>
  <c r="T1719" i="155"/>
  <c r="T1711" i="155"/>
  <c r="T1703" i="155"/>
  <c r="T1695" i="155"/>
  <c r="T1687" i="155"/>
  <c r="T531" i="155"/>
  <c r="T1985" i="155"/>
  <c r="T1953" i="155"/>
  <c r="T1742" i="155"/>
  <c r="T1710" i="155"/>
  <c r="T2009" i="155"/>
  <c r="T1977" i="155"/>
  <c r="T1945" i="155"/>
  <c r="T1734" i="155"/>
  <c r="T1702" i="155"/>
  <c r="T2001" i="155"/>
  <c r="T1969" i="155"/>
  <c r="T1937" i="155"/>
  <c r="T1726" i="155"/>
  <c r="T1694" i="155"/>
  <c r="T546" i="155"/>
  <c r="T1718" i="155"/>
  <c r="T1993" i="155"/>
  <c r="T1686" i="155"/>
  <c r="T1961" i="155"/>
  <c r="T1929" i="155"/>
  <c r="T607" i="155"/>
  <c r="T603" i="155"/>
  <c r="T599" i="155"/>
  <c r="T595" i="155"/>
  <c r="T591" i="155"/>
  <c r="T606" i="155"/>
  <c r="T602" i="155"/>
  <c r="T598" i="155"/>
  <c r="T594" i="155"/>
  <c r="T590" i="155"/>
  <c r="T605" i="155"/>
  <c r="T601" i="155"/>
  <c r="T597" i="155"/>
  <c r="T593" i="155"/>
  <c r="T589" i="155"/>
  <c r="T596" i="155"/>
  <c r="T608" i="155"/>
  <c r="T592" i="155"/>
  <c r="T604" i="155"/>
  <c r="T600" i="155"/>
  <c r="S1752" i="155"/>
  <c r="S223" i="155"/>
  <c r="S1131" i="155"/>
  <c r="S348" i="155"/>
  <c r="S2762" i="155"/>
  <c r="S976" i="155"/>
  <c r="S2727" i="155"/>
  <c r="S715" i="155"/>
  <c r="S2770" i="155"/>
  <c r="S2735" i="155"/>
  <c r="S1760" i="155"/>
  <c r="S1034" i="155"/>
  <c r="S1008" i="155"/>
  <c r="S284" i="155"/>
  <c r="S69" i="155"/>
  <c r="S1786" i="155"/>
  <c r="S839" i="155"/>
  <c r="S2711" i="155"/>
  <c r="S2468" i="155"/>
  <c r="S1167" i="155"/>
  <c r="S1066" i="155"/>
  <c r="S949" i="155"/>
  <c r="S316" i="155"/>
  <c r="S57" i="155"/>
  <c r="S1835" i="155"/>
  <c r="S2754" i="155"/>
  <c r="S2719" i="155"/>
  <c r="S2476" i="155"/>
  <c r="S1153" i="155"/>
  <c r="S1098" i="155"/>
  <c r="S683" i="155"/>
  <c r="S264" i="155"/>
  <c r="S29" i="155"/>
  <c r="S208" i="155"/>
  <c r="S649" i="155"/>
  <c r="S629" i="155"/>
  <c r="S613" i="155"/>
  <c r="S207" i="155"/>
  <c r="S648" i="155"/>
  <c r="S628" i="155"/>
  <c r="S612" i="155"/>
  <c r="S665" i="155"/>
  <c r="S637" i="155"/>
  <c r="S621" i="155"/>
  <c r="S2757" i="155"/>
  <c r="S2765" i="155"/>
  <c r="S2773" i="155"/>
  <c r="S2714" i="155"/>
  <c r="S2722" i="155"/>
  <c r="S2730" i="155"/>
  <c r="S2738" i="155"/>
  <c r="S2471" i="155"/>
  <c r="S2479" i="155"/>
  <c r="S1755" i="155"/>
  <c r="S1162" i="155"/>
  <c r="S1148" i="155"/>
  <c r="S1143" i="155"/>
  <c r="S1138" i="155"/>
  <c r="S1042" i="155"/>
  <c r="S1074" i="155"/>
  <c r="S1106" i="155"/>
  <c r="S984" i="155"/>
  <c r="S1016" i="155"/>
  <c r="S957" i="155"/>
  <c r="S691" i="155"/>
  <c r="S723" i="155"/>
  <c r="S292" i="155"/>
  <c r="S240" i="155"/>
  <c r="S272" i="155"/>
  <c r="S103" i="155"/>
  <c r="S77" i="155"/>
  <c r="S65" i="155"/>
  <c r="S324" i="155"/>
  <c r="S356" i="155"/>
  <c r="S1794" i="155"/>
  <c r="S664" i="155"/>
  <c r="S194" i="155"/>
  <c r="S174" i="155"/>
  <c r="S577" i="155"/>
  <c r="S166" i="155"/>
  <c r="S569" i="155"/>
  <c r="S190" i="155"/>
  <c r="S158" i="155"/>
  <c r="S1314" i="155"/>
  <c r="S1282" i="155"/>
  <c r="S1565" i="155"/>
  <c r="S1570" i="155"/>
  <c r="S838" i="155"/>
  <c r="S1844" i="155"/>
  <c r="S1828" i="155"/>
  <c r="S1812" i="155"/>
  <c r="S1799" i="155"/>
  <c r="S1791" i="155"/>
  <c r="S1783" i="155"/>
  <c r="S1775" i="155"/>
  <c r="S361" i="155"/>
  <c r="S353" i="155"/>
  <c r="S345" i="155"/>
  <c r="S337" i="155"/>
  <c r="S329" i="155"/>
  <c r="S321" i="155"/>
  <c r="S26" i="155"/>
  <c r="S18" i="155"/>
  <c r="S10" i="155"/>
  <c r="S62" i="155"/>
  <c r="S54" i="155"/>
  <c r="S46" i="155"/>
  <c r="S82" i="155"/>
  <c r="S74" i="155"/>
  <c r="S66" i="155"/>
  <c r="S92" i="155"/>
  <c r="S108" i="155"/>
  <c r="S100" i="155"/>
  <c r="S220" i="155"/>
  <c r="S229" i="155"/>
  <c r="S277" i="155"/>
  <c r="S269" i="155"/>
  <c r="S261" i="155"/>
  <c r="S253" i="155"/>
  <c r="S245" i="155"/>
  <c r="S237" i="155"/>
  <c r="S313" i="155"/>
  <c r="S305" i="155"/>
  <c r="S297" i="155"/>
  <c r="S289" i="155"/>
  <c r="S281" i="155"/>
  <c r="S37" i="155"/>
  <c r="S728" i="155"/>
  <c r="S720" i="155"/>
  <c r="S712" i="155"/>
  <c r="S704" i="155"/>
  <c r="S696" i="155"/>
  <c r="S688" i="155"/>
  <c r="S680" i="155"/>
  <c r="S799" i="155"/>
  <c r="S791" i="155"/>
  <c r="S954" i="155"/>
  <c r="S946" i="155"/>
  <c r="S938" i="155"/>
  <c r="S1021" i="155"/>
  <c r="S1013" i="155"/>
  <c r="S1005" i="155"/>
  <c r="S997" i="155"/>
  <c r="S989" i="155"/>
  <c r="S981" i="155"/>
  <c r="S973" i="155"/>
  <c r="S965" i="155"/>
  <c r="S1111" i="155"/>
  <c r="S1103" i="155"/>
  <c r="S1095" i="155"/>
  <c r="S1087" i="155"/>
  <c r="S1079" i="155"/>
  <c r="S1071" i="155"/>
  <c r="S1063" i="155"/>
  <c r="S1055" i="155"/>
  <c r="S1047" i="155"/>
  <c r="S1039" i="155"/>
  <c r="S1031" i="155"/>
  <c r="S1023" i="155"/>
  <c r="S1114" i="155"/>
  <c r="S1135" i="155"/>
  <c r="S1843" i="155"/>
  <c r="S1827" i="155"/>
  <c r="S1811" i="155"/>
  <c r="S1798" i="155"/>
  <c r="S1790" i="155"/>
  <c r="S1782" i="155"/>
  <c r="S1774" i="155"/>
  <c r="S360" i="155"/>
  <c r="S352" i="155"/>
  <c r="S344" i="155"/>
  <c r="S336" i="155"/>
  <c r="S328" i="155"/>
  <c r="S33" i="155"/>
  <c r="S25" i="155"/>
  <c r="S17" i="155"/>
  <c r="S9" i="155"/>
  <c r="S61" i="155"/>
  <c r="S53" i="155"/>
  <c r="S45" i="155"/>
  <c r="S81" i="155"/>
  <c r="S73" i="155"/>
  <c r="S99" i="155"/>
  <c r="S91" i="155"/>
  <c r="S107" i="155"/>
  <c r="S227" i="155"/>
  <c r="S219" i="155"/>
  <c r="S228" i="155"/>
  <c r="S276" i="155"/>
  <c r="S268" i="155"/>
  <c r="S260" i="155"/>
  <c r="S252" i="155"/>
  <c r="S244" i="155"/>
  <c r="S320" i="155"/>
  <c r="S312" i="155"/>
  <c r="S304" i="155"/>
  <c r="S296" i="155"/>
  <c r="S288" i="155"/>
  <c r="S280" i="155"/>
  <c r="S36" i="155"/>
  <c r="S727" i="155"/>
  <c r="S719" i="155"/>
  <c r="S711" i="155"/>
  <c r="S703" i="155"/>
  <c r="S695" i="155"/>
  <c r="S687" i="155"/>
  <c r="S679" i="155"/>
  <c r="S798" i="155"/>
  <c r="S790" i="155"/>
  <c r="S953" i="155"/>
  <c r="S945" i="155"/>
  <c r="S937" i="155"/>
  <c r="S1020" i="155"/>
  <c r="S1012" i="155"/>
  <c r="S1004" i="155"/>
  <c r="S996" i="155"/>
  <c r="S988" i="155"/>
  <c r="S980" i="155"/>
  <c r="S972" i="155"/>
  <c r="S964" i="155"/>
  <c r="S1110" i="155"/>
  <c r="S1102" i="155"/>
  <c r="S1094" i="155"/>
  <c r="S1086" i="155"/>
  <c r="S1078" i="155"/>
  <c r="S1070" i="155"/>
  <c r="S1062" i="155"/>
  <c r="S1054" i="155"/>
  <c r="S1046" i="155"/>
  <c r="S1038" i="155"/>
  <c r="S1030" i="155"/>
  <c r="S1113" i="155"/>
  <c r="S1142" i="155"/>
  <c r="S1134" i="155"/>
  <c r="S1852" i="155"/>
  <c r="S1836" i="155"/>
  <c r="S1820" i="155"/>
  <c r="S1804" i="155"/>
  <c r="S1795" i="155"/>
  <c r="S1787" i="155"/>
  <c r="S1779" i="155"/>
  <c r="S1771" i="155"/>
  <c r="S357" i="155"/>
  <c r="S349" i="155"/>
  <c r="S341" i="155"/>
  <c r="S333" i="155"/>
  <c r="S325" i="155"/>
  <c r="S30" i="155"/>
  <c r="S22" i="155"/>
  <c r="S14" i="155"/>
  <c r="S6" i="155"/>
  <c r="S58" i="155"/>
  <c r="S50" i="155"/>
  <c r="S86" i="155"/>
  <c r="S78" i="155"/>
  <c r="S70" i="155"/>
  <c r="S96" i="155"/>
  <c r="S88" i="155"/>
  <c r="S104" i="155"/>
  <c r="S224" i="155"/>
  <c r="S216" i="155"/>
  <c r="S234" i="155"/>
  <c r="S273" i="155"/>
  <c r="S265" i="155"/>
  <c r="S257" i="155"/>
  <c r="S249" i="155"/>
  <c r="S241" i="155"/>
  <c r="S317" i="155"/>
  <c r="S309" i="155"/>
  <c r="S301" i="155"/>
  <c r="S293" i="155"/>
  <c r="S285" i="155"/>
  <c r="S41" i="155"/>
  <c r="S732" i="155"/>
  <c r="S724" i="155"/>
  <c r="S716" i="155"/>
  <c r="S708" i="155"/>
  <c r="S700" i="155"/>
  <c r="S692" i="155"/>
  <c r="S684" i="155"/>
  <c r="S803" i="155"/>
  <c r="S795" i="155"/>
  <c r="S787" i="155"/>
  <c r="S950" i="155"/>
  <c r="S942" i="155"/>
  <c r="S934" i="155"/>
  <c r="S1017" i="155"/>
  <c r="S1009" i="155"/>
  <c r="S1001" i="155"/>
  <c r="S993" i="155"/>
  <c r="S985" i="155"/>
  <c r="S977" i="155"/>
  <c r="S969" i="155"/>
  <c r="S961" i="155"/>
  <c r="S1107" i="155"/>
  <c r="S1099" i="155"/>
  <c r="S1091" i="155"/>
  <c r="S1083" i="155"/>
  <c r="S1075" i="155"/>
  <c r="S1067" i="155"/>
  <c r="S1059" i="155"/>
  <c r="S1051" i="155"/>
  <c r="S1043" i="155"/>
  <c r="S1035" i="155"/>
  <c r="S1027" i="155"/>
  <c r="S1118" i="155"/>
  <c r="S1139" i="155"/>
  <c r="S2750" i="155"/>
  <c r="S2758" i="155"/>
  <c r="S2766" i="155"/>
  <c r="S2774" i="155"/>
  <c r="S2715" i="155"/>
  <c r="S2723" i="155"/>
  <c r="S2731" i="155"/>
  <c r="S2739" i="155"/>
  <c r="S2472" i="155"/>
  <c r="S2480" i="155"/>
  <c r="S1756" i="155"/>
  <c r="S1163" i="155"/>
  <c r="S1149" i="155"/>
  <c r="S1144" i="155"/>
  <c r="S1117" i="155"/>
  <c r="S1050" i="155"/>
  <c r="S1082" i="155"/>
  <c r="S960" i="155"/>
  <c r="S992" i="155"/>
  <c r="S933" i="155"/>
  <c r="S794" i="155"/>
  <c r="S699" i="155"/>
  <c r="S731" i="155"/>
  <c r="S300" i="155"/>
  <c r="S248" i="155"/>
  <c r="S233" i="155"/>
  <c r="S111" i="155"/>
  <c r="S85" i="155"/>
  <c r="S13" i="155"/>
  <c r="S332" i="155"/>
  <c r="S1770" i="155"/>
  <c r="S1803" i="155"/>
  <c r="S182" i="155"/>
  <c r="S2812" i="155"/>
  <c r="S2753" i="155"/>
  <c r="S2761" i="155"/>
  <c r="S2769" i="155"/>
  <c r="S2710" i="155"/>
  <c r="S2718" i="155"/>
  <c r="S2726" i="155"/>
  <c r="S2734" i="155"/>
  <c r="S2467" i="155"/>
  <c r="S2475" i="155"/>
  <c r="S1751" i="155"/>
  <c r="S1759" i="155"/>
  <c r="S1166" i="155"/>
  <c r="S1152" i="155"/>
  <c r="S1130" i="155"/>
  <c r="S1026" i="155"/>
  <c r="S1058" i="155"/>
  <c r="S1090" i="155"/>
  <c r="S968" i="155"/>
  <c r="S1000" i="155"/>
  <c r="S941" i="155"/>
  <c r="S802" i="155"/>
  <c r="S707" i="155"/>
  <c r="S40" i="155"/>
  <c r="S308" i="155"/>
  <c r="S256" i="155"/>
  <c r="S232" i="155"/>
  <c r="S95" i="155"/>
  <c r="S49" i="155"/>
  <c r="S21" i="155"/>
  <c r="S340" i="155"/>
  <c r="S1778" i="155"/>
  <c r="S1819" i="155"/>
  <c r="S620" i="155"/>
  <c r="S1568" i="155"/>
  <c r="S516" i="155"/>
  <c r="S512" i="155"/>
  <c r="S1926" i="155"/>
  <c r="S1922" i="155"/>
  <c r="S1918" i="155"/>
  <c r="S1914" i="155"/>
  <c r="S1910" i="155"/>
  <c r="S1906" i="155"/>
  <c r="S1902" i="155"/>
  <c r="S1898" i="155"/>
  <c r="S1894" i="155"/>
  <c r="S1890" i="155"/>
  <c r="S1886" i="155"/>
  <c r="S1882" i="155"/>
  <c r="S1878" i="155"/>
  <c r="S1874" i="155"/>
  <c r="S1870" i="155"/>
  <c r="S1866" i="155"/>
  <c r="S1862" i="155"/>
  <c r="S1858" i="155"/>
  <c r="S1683" i="155"/>
  <c r="S1679" i="155"/>
  <c r="S1675" i="155"/>
  <c r="S1671" i="155"/>
  <c r="S1667" i="155"/>
  <c r="S1663" i="155"/>
  <c r="S1659" i="155"/>
  <c r="S1655" i="155"/>
  <c r="S1651" i="155"/>
  <c r="S1647" i="155"/>
  <c r="S1643" i="155"/>
  <c r="S1639" i="155"/>
  <c r="S1635" i="155"/>
  <c r="S1631" i="155"/>
  <c r="S1627" i="155"/>
  <c r="S1623" i="155"/>
  <c r="S515" i="155"/>
  <c r="S511" i="155"/>
  <c r="S1925" i="155"/>
  <c r="S1921" i="155"/>
  <c r="S1917" i="155"/>
  <c r="S1913" i="155"/>
  <c r="S1909" i="155"/>
  <c r="S1905" i="155"/>
  <c r="S1901" i="155"/>
  <c r="S1897" i="155"/>
  <c r="S1893" i="155"/>
  <c r="S1889" i="155"/>
  <c r="S1885" i="155"/>
  <c r="S1881" i="155"/>
  <c r="S1877" i="155"/>
  <c r="S1873" i="155"/>
  <c r="S1869" i="155"/>
  <c r="S1865" i="155"/>
  <c r="S1861" i="155"/>
  <c r="S1857" i="155"/>
  <c r="S1682" i="155"/>
  <c r="S1678" i="155"/>
  <c r="S1674" i="155"/>
  <c r="S1670" i="155"/>
  <c r="S1666" i="155"/>
  <c r="S1662" i="155"/>
  <c r="S1658" i="155"/>
  <c r="S1654" i="155"/>
  <c r="S1650" i="155"/>
  <c r="S1646" i="155"/>
  <c r="S1642" i="155"/>
  <c r="S1638" i="155"/>
  <c r="S1634" i="155"/>
  <c r="S1630" i="155"/>
  <c r="S1626" i="155"/>
  <c r="S1622" i="155"/>
  <c r="S150" i="155"/>
  <c r="S146" i="155"/>
  <c r="S142" i="155"/>
  <c r="S138" i="155"/>
  <c r="S134" i="155"/>
  <c r="S130" i="155"/>
  <c r="S126" i="155"/>
  <c r="S122" i="155"/>
  <c r="S118" i="155"/>
  <c r="S114" i="155"/>
  <c r="S567" i="155"/>
  <c r="S563" i="155"/>
  <c r="S559" i="155"/>
  <c r="S555" i="155"/>
  <c r="S551" i="155"/>
  <c r="S149" i="155"/>
  <c r="S145" i="155"/>
  <c r="S141" i="155"/>
  <c r="S137" i="155"/>
  <c r="S133" i="155"/>
  <c r="S129" i="155"/>
  <c r="S125" i="155"/>
  <c r="S121" i="155"/>
  <c r="S117" i="155"/>
  <c r="S113" i="155"/>
  <c r="S152" i="155"/>
  <c r="S144" i="155"/>
  <c r="S136" i="155"/>
  <c r="S128" i="155"/>
  <c r="S120" i="155"/>
  <c r="S112" i="155"/>
  <c r="S564" i="155"/>
  <c r="S558" i="155"/>
  <c r="S553" i="155"/>
  <c r="S783" i="155"/>
  <c r="S780" i="155"/>
  <c r="S777" i="155"/>
  <c r="S761" i="155"/>
  <c r="S758" i="155"/>
  <c r="S755" i="155"/>
  <c r="S2151" i="155"/>
  <c r="S2147" i="155"/>
  <c r="S151" i="155"/>
  <c r="S143" i="155"/>
  <c r="S135" i="155"/>
  <c r="S127" i="155"/>
  <c r="S119" i="155"/>
  <c r="S568" i="155"/>
  <c r="S562" i="155"/>
  <c r="S557" i="155"/>
  <c r="S552" i="155"/>
  <c r="S784" i="155"/>
  <c r="S781" i="155"/>
  <c r="S778" i="155"/>
  <c r="S768" i="155"/>
  <c r="S765" i="155"/>
  <c r="S762" i="155"/>
  <c r="S2150" i="155"/>
  <c r="S2146" i="155"/>
  <c r="S140" i="155"/>
  <c r="S124" i="155"/>
  <c r="S566" i="155"/>
  <c r="S556" i="155"/>
  <c r="S785" i="155"/>
  <c r="S779" i="155"/>
  <c r="S769" i="155"/>
  <c r="S763" i="155"/>
  <c r="S756" i="155"/>
  <c r="S2149" i="155"/>
  <c r="S139" i="155"/>
  <c r="S123" i="155"/>
  <c r="S565" i="155"/>
  <c r="S554" i="155"/>
  <c r="S767" i="155"/>
  <c r="S757" i="155"/>
  <c r="S2148" i="155"/>
  <c r="S1628" i="155"/>
  <c r="S1644" i="155"/>
  <c r="S1660" i="155"/>
  <c r="S1676" i="155"/>
  <c r="S1684" i="155"/>
  <c r="S1871" i="155"/>
  <c r="S1887" i="155"/>
  <c r="S1903" i="155"/>
  <c r="S1919" i="155"/>
  <c r="S1927" i="155"/>
  <c r="S1692" i="155"/>
  <c r="S1724" i="155"/>
  <c r="S1935" i="155"/>
  <c r="S1967" i="155"/>
  <c r="S1999" i="155"/>
  <c r="S2015" i="155"/>
  <c r="S560" i="155"/>
  <c r="S2819" i="155"/>
  <c r="S2811" i="155"/>
  <c r="S2818" i="155"/>
  <c r="S2810" i="155"/>
  <c r="S2825" i="155"/>
  <c r="S2817" i="155"/>
  <c r="S2824" i="155"/>
  <c r="S2816" i="155"/>
  <c r="S2809" i="155"/>
  <c r="S2823" i="155"/>
  <c r="S2822" i="155"/>
  <c r="S2808" i="155"/>
  <c r="S2821" i="155"/>
  <c r="S2820" i="155"/>
  <c r="S606" i="155"/>
  <c r="S602" i="155"/>
  <c r="S598" i="155"/>
  <c r="S594" i="155"/>
  <c r="S590" i="155"/>
  <c r="S605" i="155"/>
  <c r="S601" i="155"/>
  <c r="S597" i="155"/>
  <c r="S593" i="155"/>
  <c r="S589" i="155"/>
  <c r="S608" i="155"/>
  <c r="S600" i="155"/>
  <c r="S592" i="155"/>
  <c r="S607" i="155"/>
  <c r="S599" i="155"/>
  <c r="S591" i="155"/>
  <c r="S604" i="155"/>
  <c r="S603" i="155"/>
  <c r="S1621" i="155"/>
  <c r="S1645" i="155"/>
  <c r="S1661" i="155"/>
  <c r="S1677" i="155"/>
  <c r="S1864" i="155"/>
  <c r="S1880" i="155"/>
  <c r="S1896" i="155"/>
  <c r="S1912" i="155"/>
  <c r="S510" i="155"/>
  <c r="S578" i="155"/>
  <c r="S159" i="155"/>
  <c r="S175" i="155"/>
  <c r="S191" i="155"/>
  <c r="S1693" i="155"/>
  <c r="S1725" i="155"/>
  <c r="S1936" i="155"/>
  <c r="S1984" i="155"/>
  <c r="S530" i="155"/>
  <c r="S214" i="155"/>
  <c r="S210" i="155"/>
  <c r="S206" i="155"/>
  <c r="S202" i="155"/>
  <c r="S198" i="155"/>
  <c r="S667" i="155"/>
  <c r="S663" i="155"/>
  <c r="S659" i="155"/>
  <c r="S655" i="155"/>
  <c r="S651" i="155"/>
  <c r="S647" i="155"/>
  <c r="S643" i="155"/>
  <c r="S213" i="155"/>
  <c r="S209" i="155"/>
  <c r="S205" i="155"/>
  <c r="S201" i="155"/>
  <c r="S197" i="155"/>
  <c r="S666" i="155"/>
  <c r="S662" i="155"/>
  <c r="S658" i="155"/>
  <c r="S654" i="155"/>
  <c r="S650" i="155"/>
  <c r="S646" i="155"/>
  <c r="S642" i="155"/>
  <c r="S212" i="155"/>
  <c r="S204" i="155"/>
  <c r="S196" i="155"/>
  <c r="S661" i="155"/>
  <c r="S653" i="155"/>
  <c r="S645" i="155"/>
  <c r="S639" i="155"/>
  <c r="S635" i="155"/>
  <c r="S631" i="155"/>
  <c r="S627" i="155"/>
  <c r="S623" i="155"/>
  <c r="S619" i="155"/>
  <c r="S615" i="155"/>
  <c r="S611" i="155"/>
  <c r="S211" i="155"/>
  <c r="S203" i="155"/>
  <c r="S668" i="155"/>
  <c r="S660" i="155"/>
  <c r="S652" i="155"/>
  <c r="S644" i="155"/>
  <c r="S638" i="155"/>
  <c r="S634" i="155"/>
  <c r="S630" i="155"/>
  <c r="S626" i="155"/>
  <c r="S622" i="155"/>
  <c r="S618" i="155"/>
  <c r="S614" i="155"/>
  <c r="S610" i="155"/>
  <c r="S509" i="155"/>
  <c r="S505" i="155"/>
  <c r="S501" i="155"/>
  <c r="S497" i="155"/>
  <c r="S493" i="155"/>
  <c r="S740" i="155"/>
  <c r="S738" i="155"/>
  <c r="S508" i="155"/>
  <c r="S504" i="155"/>
  <c r="S500" i="155"/>
  <c r="S496" i="155"/>
  <c r="S492" i="155"/>
  <c r="S507" i="155"/>
  <c r="S503" i="155"/>
  <c r="S499" i="155"/>
  <c r="S495" i="155"/>
  <c r="S745" i="155"/>
  <c r="S743" i="155"/>
  <c r="S741" i="155"/>
  <c r="S506" i="155"/>
  <c r="S744" i="155"/>
  <c r="S739" i="155"/>
  <c r="S735" i="155"/>
  <c r="S734" i="155"/>
  <c r="S849" i="155"/>
  <c r="S845" i="155"/>
  <c r="S841" i="155"/>
  <c r="S837" i="155"/>
  <c r="S825" i="155"/>
  <c r="S821" i="155"/>
  <c r="S2486" i="155"/>
  <c r="S2482" i="155"/>
  <c r="S502" i="155"/>
  <c r="S746" i="155"/>
  <c r="S736" i="155"/>
  <c r="S848" i="155"/>
  <c r="S844" i="155"/>
  <c r="S840" i="155"/>
  <c r="S836" i="155"/>
  <c r="S824" i="155"/>
  <c r="S820" i="155"/>
  <c r="S2485" i="155"/>
  <c r="S2481" i="155"/>
  <c r="S498" i="155"/>
  <c r="S843" i="155"/>
  <c r="S827" i="155"/>
  <c r="S2488" i="155"/>
  <c r="S494" i="155"/>
  <c r="S742" i="155"/>
  <c r="S737" i="155"/>
  <c r="S733" i="155"/>
  <c r="S842" i="155"/>
  <c r="S826" i="155"/>
  <c r="S2487" i="155"/>
  <c r="S847" i="155"/>
  <c r="S823" i="155"/>
  <c r="S846" i="155"/>
  <c r="S822" i="155"/>
  <c r="S2751" i="155"/>
  <c r="S2755" i="155"/>
  <c r="S2759" i="155"/>
  <c r="S2763" i="155"/>
  <c r="S2767" i="155"/>
  <c r="S2771" i="155"/>
  <c r="S2775" i="155"/>
  <c r="S2712" i="155"/>
  <c r="S2716" i="155"/>
  <c r="S2720" i="155"/>
  <c r="S2724" i="155"/>
  <c r="S2728" i="155"/>
  <c r="S2732" i="155"/>
  <c r="S2736" i="155"/>
  <c r="S2465" i="155"/>
  <c r="S2469" i="155"/>
  <c r="S2473" i="155"/>
  <c r="S2477" i="155"/>
  <c r="S1749" i="155"/>
  <c r="S1753" i="155"/>
  <c r="S1757" i="155"/>
  <c r="S1761" i="155"/>
  <c r="S1164" i="155"/>
  <c r="S1146" i="155"/>
  <c r="S1150" i="155"/>
  <c r="S1154" i="155"/>
  <c r="S1145" i="155"/>
  <c r="S1132" i="155"/>
  <c r="S1136" i="155"/>
  <c r="S1140" i="155"/>
  <c r="S1115" i="155"/>
  <c r="S1119" i="155"/>
  <c r="S1024" i="155"/>
  <c r="S1028" i="155"/>
  <c r="S1032" i="155"/>
  <c r="S1036" i="155"/>
  <c r="S1040" i="155"/>
  <c r="S1044" i="155"/>
  <c r="S1048" i="155"/>
  <c r="S1052" i="155"/>
  <c r="S1056" i="155"/>
  <c r="S1060" i="155"/>
  <c r="S1064" i="155"/>
  <c r="S1068" i="155"/>
  <c r="S1072" i="155"/>
  <c r="S1076" i="155"/>
  <c r="S1080" i="155"/>
  <c r="S1084" i="155"/>
  <c r="S1088" i="155"/>
  <c r="S1092" i="155"/>
  <c r="S1096" i="155"/>
  <c r="S1100" i="155"/>
  <c r="S1104" i="155"/>
  <c r="S1108" i="155"/>
  <c r="S958" i="155"/>
  <c r="S962" i="155"/>
  <c r="S966" i="155"/>
  <c r="S970" i="155"/>
  <c r="S974" i="155"/>
  <c r="S978" i="155"/>
  <c r="S982" i="155"/>
  <c r="S986" i="155"/>
  <c r="S990" i="155"/>
  <c r="S994" i="155"/>
  <c r="S998" i="155"/>
  <c r="S1002" i="155"/>
  <c r="S1006" i="155"/>
  <c r="S1010" i="155"/>
  <c r="S1014" i="155"/>
  <c r="S1018" i="155"/>
  <c r="S1022" i="155"/>
  <c r="S935" i="155"/>
  <c r="S939" i="155"/>
  <c r="S943" i="155"/>
  <c r="S947" i="155"/>
  <c r="S951" i="155"/>
  <c r="S955" i="155"/>
  <c r="S788" i="155"/>
  <c r="S792" i="155"/>
  <c r="S796" i="155"/>
  <c r="S800" i="155"/>
  <c r="S804" i="155"/>
  <c r="S681" i="155"/>
  <c r="S685" i="155"/>
  <c r="S689" i="155"/>
  <c r="S693" i="155"/>
  <c r="S697" i="155"/>
  <c r="S701" i="155"/>
  <c r="S705" i="155"/>
  <c r="S709" i="155"/>
  <c r="S713" i="155"/>
  <c r="S717" i="155"/>
  <c r="S721" i="155"/>
  <c r="S725" i="155"/>
  <c r="S729" i="155"/>
  <c r="S34" i="155"/>
  <c r="S38" i="155"/>
  <c r="S42" i="155"/>
  <c r="S282" i="155"/>
  <c r="S286" i="155"/>
  <c r="S290" i="155"/>
  <c r="S294" i="155"/>
  <c r="S298" i="155"/>
  <c r="S302" i="155"/>
  <c r="S306" i="155"/>
  <c r="S310" i="155"/>
  <c r="S314" i="155"/>
  <c r="S318" i="155"/>
  <c r="S238" i="155"/>
  <c r="S242" i="155"/>
  <c r="S246" i="155"/>
  <c r="S250" i="155"/>
  <c r="S254" i="155"/>
  <c r="S258" i="155"/>
  <c r="S262" i="155"/>
  <c r="S266" i="155"/>
  <c r="S270" i="155"/>
  <c r="S274" i="155"/>
  <c r="S278" i="155"/>
  <c r="S235" i="155"/>
  <c r="S230" i="155"/>
  <c r="S217" i="155"/>
  <c r="S221" i="155"/>
  <c r="S225" i="155"/>
  <c r="S101" i="155"/>
  <c r="S105" i="155"/>
  <c r="S109" i="155"/>
  <c r="S89" i="155"/>
  <c r="S93" i="155"/>
  <c r="S97" i="155"/>
  <c r="S67" i="155"/>
  <c r="S71" i="155"/>
  <c r="S75" i="155"/>
  <c r="S79" i="155"/>
  <c r="S83" i="155"/>
  <c r="S87" i="155"/>
  <c r="S47" i="155"/>
  <c r="S51" i="155"/>
  <c r="S55" i="155"/>
  <c r="S59" i="155"/>
  <c r="S63" i="155"/>
  <c r="S7" i="155"/>
  <c r="S11" i="155"/>
  <c r="S15" i="155"/>
  <c r="S19" i="155"/>
  <c r="S23" i="155"/>
  <c r="S27" i="155"/>
  <c r="S31" i="155"/>
  <c r="S322" i="155"/>
  <c r="S326" i="155"/>
  <c r="S330" i="155"/>
  <c r="S334" i="155"/>
  <c r="S338" i="155"/>
  <c r="S342" i="155"/>
  <c r="S346" i="155"/>
  <c r="S350" i="155"/>
  <c r="S354" i="155"/>
  <c r="S358" i="155"/>
  <c r="S1768" i="155"/>
  <c r="S1772" i="155"/>
  <c r="S1776" i="155"/>
  <c r="S1780" i="155"/>
  <c r="S1784" i="155"/>
  <c r="S1788" i="155"/>
  <c r="S1792" i="155"/>
  <c r="S1796" i="155"/>
  <c r="S1800" i="155"/>
  <c r="S1807" i="155"/>
  <c r="S1815" i="155"/>
  <c r="S1823" i="155"/>
  <c r="S1831" i="155"/>
  <c r="S1839" i="155"/>
  <c r="S1847" i="155"/>
  <c r="S1855" i="155"/>
  <c r="S1624" i="155"/>
  <c r="S1632" i="155"/>
  <c r="S1640" i="155"/>
  <c r="S1648" i="155"/>
  <c r="S1656" i="155"/>
  <c r="S1664" i="155"/>
  <c r="S1672" i="155"/>
  <c r="S1680" i="155"/>
  <c r="S1859" i="155"/>
  <c r="S1867" i="155"/>
  <c r="S1875" i="155"/>
  <c r="S1883" i="155"/>
  <c r="S1891" i="155"/>
  <c r="S1899" i="155"/>
  <c r="S1907" i="155"/>
  <c r="S1915" i="155"/>
  <c r="S1923" i="155"/>
  <c r="S513" i="155"/>
  <c r="S573" i="155"/>
  <c r="S581" i="155"/>
  <c r="S154" i="155"/>
  <c r="S162" i="155"/>
  <c r="S170" i="155"/>
  <c r="S178" i="155"/>
  <c r="S186" i="155"/>
  <c r="S616" i="155"/>
  <c r="S624" i="155"/>
  <c r="S632" i="155"/>
  <c r="S640" i="155"/>
  <c r="S656" i="155"/>
  <c r="S199" i="155"/>
  <c r="S215" i="155"/>
  <c r="S1700" i="155"/>
  <c r="S1716" i="155"/>
  <c r="S1732" i="155"/>
  <c r="S1748" i="155"/>
  <c r="S1943" i="155"/>
  <c r="S1959" i="155"/>
  <c r="S1975" i="155"/>
  <c r="S1991" i="155"/>
  <c r="S2007" i="155"/>
  <c r="S2813" i="155"/>
  <c r="S2152" i="155"/>
  <c r="S760" i="155"/>
  <c r="S764" i="155"/>
  <c r="S549" i="155"/>
  <c r="S115" i="155"/>
  <c r="S147" i="155"/>
  <c r="S2483" i="155"/>
  <c r="S547" i="155"/>
  <c r="S543" i="155"/>
  <c r="S532" i="155"/>
  <c r="S2014" i="155"/>
  <c r="S2010" i="155"/>
  <c r="S2006" i="155"/>
  <c r="S2002" i="155"/>
  <c r="S1998" i="155"/>
  <c r="S1994" i="155"/>
  <c r="S1990" i="155"/>
  <c r="S1986" i="155"/>
  <c r="S1982" i="155"/>
  <c r="S1978" i="155"/>
  <c r="S1974" i="155"/>
  <c r="S1970" i="155"/>
  <c r="S1966" i="155"/>
  <c r="S1962" i="155"/>
  <c r="S1958" i="155"/>
  <c r="S1954" i="155"/>
  <c r="S1950" i="155"/>
  <c r="S1946" i="155"/>
  <c r="S1942" i="155"/>
  <c r="S1938" i="155"/>
  <c r="S1934" i="155"/>
  <c r="S1930" i="155"/>
  <c r="S1747" i="155"/>
  <c r="S1743" i="155"/>
  <c r="S1739" i="155"/>
  <c r="S1735" i="155"/>
  <c r="S1731" i="155"/>
  <c r="S1727" i="155"/>
  <c r="S1723" i="155"/>
  <c r="S1719" i="155"/>
  <c r="S1715" i="155"/>
  <c r="S1711" i="155"/>
  <c r="S1707" i="155"/>
  <c r="S1703" i="155"/>
  <c r="S1699" i="155"/>
  <c r="S1695" i="155"/>
  <c r="S1691" i="155"/>
  <c r="S1687" i="155"/>
  <c r="S546" i="155"/>
  <c r="S535" i="155"/>
  <c r="S531" i="155"/>
  <c r="S2013" i="155"/>
  <c r="S2009" i="155"/>
  <c r="S2005" i="155"/>
  <c r="S2001" i="155"/>
  <c r="S1997" i="155"/>
  <c r="S1993" i="155"/>
  <c r="S1989" i="155"/>
  <c r="S1985" i="155"/>
  <c r="S1981" i="155"/>
  <c r="S1977" i="155"/>
  <c r="S1973" i="155"/>
  <c r="S1969" i="155"/>
  <c r="S1965" i="155"/>
  <c r="S1961" i="155"/>
  <c r="S1957" i="155"/>
  <c r="S1953" i="155"/>
  <c r="S1949" i="155"/>
  <c r="S1945" i="155"/>
  <c r="S1941" i="155"/>
  <c r="S1937" i="155"/>
  <c r="S1933" i="155"/>
  <c r="S1929" i="155"/>
  <c r="S1746" i="155"/>
  <c r="S1742" i="155"/>
  <c r="S1738" i="155"/>
  <c r="S1734" i="155"/>
  <c r="S1730" i="155"/>
  <c r="S1726" i="155"/>
  <c r="S1722" i="155"/>
  <c r="S1718" i="155"/>
  <c r="S1714" i="155"/>
  <c r="S1710" i="155"/>
  <c r="S1706" i="155"/>
  <c r="S1702" i="155"/>
  <c r="S1698" i="155"/>
  <c r="S1694" i="155"/>
  <c r="S1690" i="155"/>
  <c r="S1686" i="155"/>
  <c r="S534" i="155"/>
  <c r="S2012" i="155"/>
  <c r="S2004" i="155"/>
  <c r="S1996" i="155"/>
  <c r="S1988" i="155"/>
  <c r="S1980" i="155"/>
  <c r="S1972" i="155"/>
  <c r="S1964" i="155"/>
  <c r="S1956" i="155"/>
  <c r="S1948" i="155"/>
  <c r="S1940" i="155"/>
  <c r="S1932" i="155"/>
  <c r="S1745" i="155"/>
  <c r="S1737" i="155"/>
  <c r="S1729" i="155"/>
  <c r="S1721" i="155"/>
  <c r="S1713" i="155"/>
  <c r="S1705" i="155"/>
  <c r="S1697" i="155"/>
  <c r="S1689" i="155"/>
  <c r="S548" i="155"/>
  <c r="S533" i="155"/>
  <c r="S2011" i="155"/>
  <c r="S2003" i="155"/>
  <c r="S1995" i="155"/>
  <c r="S1987" i="155"/>
  <c r="S1979" i="155"/>
  <c r="S1971" i="155"/>
  <c r="S1963" i="155"/>
  <c r="S1955" i="155"/>
  <c r="S1947" i="155"/>
  <c r="S1939" i="155"/>
  <c r="S1931" i="155"/>
  <c r="S1744" i="155"/>
  <c r="S1736" i="155"/>
  <c r="S1728" i="155"/>
  <c r="S1720" i="155"/>
  <c r="S1712" i="155"/>
  <c r="S1704" i="155"/>
  <c r="S1696" i="155"/>
  <c r="S1688" i="155"/>
  <c r="S1636" i="155"/>
  <c r="S1652" i="155"/>
  <c r="S1668" i="155"/>
  <c r="S1863" i="155"/>
  <c r="S1879" i="155"/>
  <c r="S1895" i="155"/>
  <c r="S1911" i="155"/>
  <c r="S1708" i="155"/>
  <c r="S1740" i="155"/>
  <c r="S1951" i="155"/>
  <c r="S1983" i="155"/>
  <c r="S754" i="155"/>
  <c r="S770" i="155"/>
  <c r="S131" i="155"/>
  <c r="S193" i="155"/>
  <c r="S189" i="155"/>
  <c r="S185" i="155"/>
  <c r="S181" i="155"/>
  <c r="S177" i="155"/>
  <c r="S173" i="155"/>
  <c r="S169" i="155"/>
  <c r="S165" i="155"/>
  <c r="S161" i="155"/>
  <c r="S157" i="155"/>
  <c r="S588" i="155"/>
  <c r="S584" i="155"/>
  <c r="S580" i="155"/>
  <c r="S576" i="155"/>
  <c r="S572" i="155"/>
  <c r="S192" i="155"/>
  <c r="S188" i="155"/>
  <c r="S184" i="155"/>
  <c r="S180" i="155"/>
  <c r="S176" i="155"/>
  <c r="S172" i="155"/>
  <c r="S168" i="155"/>
  <c r="S164" i="155"/>
  <c r="S160" i="155"/>
  <c r="S156" i="155"/>
  <c r="S587" i="155"/>
  <c r="S583" i="155"/>
  <c r="S579" i="155"/>
  <c r="S575" i="155"/>
  <c r="S571" i="155"/>
  <c r="S1301" i="155"/>
  <c r="S1297" i="155"/>
  <c r="S1293" i="155"/>
  <c r="S1289" i="155"/>
  <c r="S1285" i="155"/>
  <c r="S1281" i="155"/>
  <c r="S1277" i="155"/>
  <c r="S1273" i="155"/>
  <c r="S1269" i="155"/>
  <c r="S1361" i="155"/>
  <c r="S1357" i="155"/>
  <c r="S1353" i="155"/>
  <c r="S1349" i="155"/>
  <c r="S1345" i="155"/>
  <c r="S1341" i="155"/>
  <c r="S1337" i="155"/>
  <c r="S1333" i="155"/>
  <c r="S1329" i="155"/>
  <c r="S1325" i="155"/>
  <c r="S1321" i="155"/>
  <c r="S1317" i="155"/>
  <c r="S1300" i="155"/>
  <c r="S1296" i="155"/>
  <c r="S1292" i="155"/>
  <c r="S1288" i="155"/>
  <c r="S1284" i="155"/>
  <c r="S1280" i="155"/>
  <c r="S1276" i="155"/>
  <c r="S1272" i="155"/>
  <c r="S1268" i="155"/>
  <c r="S1360" i="155"/>
  <c r="S1356" i="155"/>
  <c r="S1352" i="155"/>
  <c r="S1348" i="155"/>
  <c r="S1344" i="155"/>
  <c r="S1340" i="155"/>
  <c r="S1336" i="155"/>
  <c r="S1332" i="155"/>
  <c r="S1328" i="155"/>
  <c r="S1324" i="155"/>
  <c r="S1320" i="155"/>
  <c r="S1316" i="155"/>
  <c r="S1299" i="155"/>
  <c r="S1295" i="155"/>
  <c r="S1291" i="155"/>
  <c r="S1287" i="155"/>
  <c r="S1283" i="155"/>
  <c r="S1279" i="155"/>
  <c r="S1275" i="155"/>
  <c r="S1271" i="155"/>
  <c r="S1267" i="155"/>
  <c r="S1359" i="155"/>
  <c r="S1355" i="155"/>
  <c r="S1351" i="155"/>
  <c r="S1347" i="155"/>
  <c r="S1343" i="155"/>
  <c r="S1339" i="155"/>
  <c r="S1335" i="155"/>
  <c r="S1331" i="155"/>
  <c r="S1327" i="155"/>
  <c r="S1323" i="155"/>
  <c r="S1319" i="155"/>
  <c r="S1315" i="155"/>
  <c r="S1294" i="155"/>
  <c r="S1278" i="155"/>
  <c r="S1358" i="155"/>
  <c r="S1342" i="155"/>
  <c r="S1326" i="155"/>
  <c r="S1290" i="155"/>
  <c r="S1274" i="155"/>
  <c r="S1354" i="155"/>
  <c r="S1338" i="155"/>
  <c r="S1322" i="155"/>
  <c r="S1270" i="155"/>
  <c r="S1334" i="155"/>
  <c r="S1298" i="155"/>
  <c r="S1266" i="155"/>
  <c r="S1330" i="155"/>
  <c r="S1350" i="155"/>
  <c r="S1346" i="155"/>
  <c r="S1629" i="155"/>
  <c r="S1637" i="155"/>
  <c r="S1653" i="155"/>
  <c r="S1669" i="155"/>
  <c r="S1856" i="155"/>
  <c r="S1872" i="155"/>
  <c r="S1888" i="155"/>
  <c r="S1904" i="155"/>
  <c r="S1920" i="155"/>
  <c r="S570" i="155"/>
  <c r="S586" i="155"/>
  <c r="S167" i="155"/>
  <c r="S183" i="155"/>
  <c r="S1709" i="155"/>
  <c r="S1741" i="155"/>
  <c r="S1952" i="155"/>
  <c r="S1968" i="155"/>
  <c r="S2000" i="155"/>
  <c r="S2814" i="155"/>
  <c r="S759" i="155"/>
  <c r="S766" i="155"/>
  <c r="S561" i="155"/>
  <c r="S132" i="155"/>
  <c r="S596" i="155"/>
  <c r="S1286" i="155"/>
  <c r="S1566" i="155"/>
  <c r="S1558" i="155"/>
  <c r="S1563" i="155"/>
  <c r="S1556" i="155"/>
  <c r="S1564" i="155"/>
  <c r="S1569" i="155"/>
  <c r="S1561" i="155"/>
  <c r="S1562" i="155"/>
  <c r="S1559" i="155"/>
  <c r="S1560" i="155"/>
  <c r="S1557" i="155"/>
  <c r="S1854" i="155"/>
  <c r="S1850" i="155"/>
  <c r="S1846" i="155"/>
  <c r="S1842" i="155"/>
  <c r="S1838" i="155"/>
  <c r="S1834" i="155"/>
  <c r="S1830" i="155"/>
  <c r="S1826" i="155"/>
  <c r="S1822" i="155"/>
  <c r="S1818" i="155"/>
  <c r="S1814" i="155"/>
  <c r="S1810" i="155"/>
  <c r="S1806" i="155"/>
  <c r="S1802" i="155"/>
  <c r="S1853" i="155"/>
  <c r="S1849" i="155"/>
  <c r="S1845" i="155"/>
  <c r="S1841" i="155"/>
  <c r="S1837" i="155"/>
  <c r="S1833" i="155"/>
  <c r="S1829" i="155"/>
  <c r="S1825" i="155"/>
  <c r="S1821" i="155"/>
  <c r="S1817" i="155"/>
  <c r="S1813" i="155"/>
  <c r="S1809" i="155"/>
  <c r="S1805" i="155"/>
  <c r="S2099" i="155"/>
  <c r="S2040" i="155"/>
  <c r="S2036" i="155"/>
  <c r="S2032" i="155"/>
  <c r="S2028" i="155"/>
  <c r="S2067" i="155"/>
  <c r="S2063" i="155"/>
  <c r="S2059" i="155"/>
  <c r="S2055" i="155"/>
  <c r="S2051" i="155"/>
  <c r="S2047" i="155"/>
  <c r="S2043" i="155"/>
  <c r="S2072" i="155"/>
  <c r="S2068" i="155"/>
  <c r="S2087" i="155"/>
  <c r="S2083" i="155"/>
  <c r="S2079" i="155"/>
  <c r="S2126" i="155"/>
  <c r="S2122" i="155"/>
  <c r="S2118" i="155"/>
  <c r="S2114" i="155"/>
  <c r="S2110" i="155"/>
  <c r="S2106" i="155"/>
  <c r="S2138" i="155"/>
  <c r="S2134" i="155"/>
  <c r="S2130" i="155"/>
  <c r="S2492" i="155"/>
  <c r="S2098" i="155"/>
  <c r="S2039" i="155"/>
  <c r="S2035" i="155"/>
  <c r="S2031" i="155"/>
  <c r="S2027" i="155"/>
  <c r="S2066" i="155"/>
  <c r="S2062" i="155"/>
  <c r="S2058" i="155"/>
  <c r="S2054" i="155"/>
  <c r="S2050" i="155"/>
  <c r="S2046" i="155"/>
  <c r="S2042" i="155"/>
  <c r="S2071" i="155"/>
  <c r="S2090" i="155"/>
  <c r="S2086" i="155"/>
  <c r="S2082" i="155"/>
  <c r="S2102" i="155"/>
  <c r="S2125" i="155"/>
  <c r="S2121" i="155"/>
  <c r="S2117" i="155"/>
  <c r="S2113" i="155"/>
  <c r="S2109" i="155"/>
  <c r="S2105" i="155"/>
  <c r="S2137" i="155"/>
  <c r="S2133" i="155"/>
  <c r="S2129" i="155"/>
  <c r="S2491" i="155"/>
  <c r="S2097" i="155"/>
  <c r="S2038" i="155"/>
  <c r="S2034" i="155"/>
  <c r="S2030" i="155"/>
  <c r="S2026" i="155"/>
  <c r="S2065" i="155"/>
  <c r="S2061" i="155"/>
  <c r="S2057" i="155"/>
  <c r="S2053" i="155"/>
  <c r="S2049" i="155"/>
  <c r="S2045" i="155"/>
  <c r="S2041" i="155"/>
  <c r="S2070" i="155"/>
  <c r="S2089" i="155"/>
  <c r="S2085" i="155"/>
  <c r="S2081" i="155"/>
  <c r="S2101" i="155"/>
  <c r="S2124" i="155"/>
  <c r="S2120" i="155"/>
  <c r="S2116" i="155"/>
  <c r="S2112" i="155"/>
  <c r="S2108" i="155"/>
  <c r="S2104" i="155"/>
  <c r="S2136" i="155"/>
  <c r="S2132" i="155"/>
  <c r="S2128" i="155"/>
  <c r="S2490" i="155"/>
  <c r="S2096" i="155"/>
  <c r="S2025" i="155"/>
  <c r="S2052" i="155"/>
  <c r="S2069" i="155"/>
  <c r="S2100" i="155"/>
  <c r="S2111" i="155"/>
  <c r="S2131" i="155"/>
  <c r="S2037" i="155"/>
  <c r="S2064" i="155"/>
  <c r="S2048" i="155"/>
  <c r="S2088" i="155"/>
  <c r="S2123" i="155"/>
  <c r="S2107" i="155"/>
  <c r="S2127" i="155"/>
  <c r="S2033" i="155"/>
  <c r="S2044" i="155"/>
  <c r="S2119" i="155"/>
  <c r="S2489" i="155"/>
  <c r="S2029" i="155"/>
  <c r="S2073" i="155"/>
  <c r="S2115" i="155"/>
  <c r="S2060" i="155"/>
  <c r="S2103" i="155"/>
  <c r="S2056" i="155"/>
  <c r="S2135" i="155"/>
  <c r="S2752" i="155"/>
  <c r="S2756" i="155"/>
  <c r="S2760" i="155"/>
  <c r="S2764" i="155"/>
  <c r="S2768" i="155"/>
  <c r="S2772" i="155"/>
  <c r="S2709" i="155"/>
  <c r="S2713" i="155"/>
  <c r="S2717" i="155"/>
  <c r="S2721" i="155"/>
  <c r="S2725" i="155"/>
  <c r="S2729" i="155"/>
  <c r="S2733" i="155"/>
  <c r="S2737" i="155"/>
  <c r="S2466" i="155"/>
  <c r="S2470" i="155"/>
  <c r="S2474" i="155"/>
  <c r="S2478" i="155"/>
  <c r="S1750" i="155"/>
  <c r="S1754" i="155"/>
  <c r="S1758" i="155"/>
  <c r="S1762" i="155"/>
  <c r="S1165" i="155"/>
  <c r="S1147" i="155"/>
  <c r="S1151" i="155"/>
  <c r="S1155" i="155"/>
  <c r="S1129" i="155"/>
  <c r="S1133" i="155"/>
  <c r="S1137" i="155"/>
  <c r="S1141" i="155"/>
  <c r="S1116" i="155"/>
  <c r="S1112" i="155"/>
  <c r="S1025" i="155"/>
  <c r="S1029" i="155"/>
  <c r="S1033" i="155"/>
  <c r="S1037" i="155"/>
  <c r="S1041" i="155"/>
  <c r="S1045" i="155"/>
  <c r="S1049" i="155"/>
  <c r="S1053" i="155"/>
  <c r="S1057" i="155"/>
  <c r="S1061" i="155"/>
  <c r="S1065" i="155"/>
  <c r="S1069" i="155"/>
  <c r="S1073" i="155"/>
  <c r="S1077" i="155"/>
  <c r="S1081" i="155"/>
  <c r="S1085" i="155"/>
  <c r="S1089" i="155"/>
  <c r="S1093" i="155"/>
  <c r="S1097" i="155"/>
  <c r="S1101" i="155"/>
  <c r="S1105" i="155"/>
  <c r="S1109" i="155"/>
  <c r="S959" i="155"/>
  <c r="S963" i="155"/>
  <c r="S967" i="155"/>
  <c r="S971" i="155"/>
  <c r="S975" i="155"/>
  <c r="S979" i="155"/>
  <c r="S983" i="155"/>
  <c r="S987" i="155"/>
  <c r="S991" i="155"/>
  <c r="S995" i="155"/>
  <c r="S999" i="155"/>
  <c r="S1003" i="155"/>
  <c r="S1007" i="155"/>
  <c r="S1011" i="155"/>
  <c r="S1015" i="155"/>
  <c r="S1019" i="155"/>
  <c r="S932" i="155"/>
  <c r="S936" i="155"/>
  <c r="S940" i="155"/>
  <c r="S944" i="155"/>
  <c r="S948" i="155"/>
  <c r="S952" i="155"/>
  <c r="S956" i="155"/>
  <c r="S789" i="155"/>
  <c r="S793" i="155"/>
  <c r="S797" i="155"/>
  <c r="S801" i="155"/>
  <c r="S805" i="155"/>
  <c r="S682" i="155"/>
  <c r="S686" i="155"/>
  <c r="S690" i="155"/>
  <c r="S694" i="155"/>
  <c r="S698" i="155"/>
  <c r="S702" i="155"/>
  <c r="S706" i="155"/>
  <c r="S710" i="155"/>
  <c r="S714" i="155"/>
  <c r="S718" i="155"/>
  <c r="S722" i="155"/>
  <c r="S726" i="155"/>
  <c r="S730" i="155"/>
  <c r="S35" i="155"/>
  <c r="S39" i="155"/>
  <c r="S43" i="155"/>
  <c r="S283" i="155"/>
  <c r="S287" i="155"/>
  <c r="S291" i="155"/>
  <c r="S295" i="155"/>
  <c r="S299" i="155"/>
  <c r="S303" i="155"/>
  <c r="S307" i="155"/>
  <c r="S311" i="155"/>
  <c r="S315" i="155"/>
  <c r="S319" i="155"/>
  <c r="S239" i="155"/>
  <c r="S243" i="155"/>
  <c r="S247" i="155"/>
  <c r="S251" i="155"/>
  <c r="S255" i="155"/>
  <c r="S259" i="155"/>
  <c r="S263" i="155"/>
  <c r="S267" i="155"/>
  <c r="S271" i="155"/>
  <c r="S275" i="155"/>
  <c r="S279" i="155"/>
  <c r="S236" i="155"/>
  <c r="S231" i="155"/>
  <c r="S218" i="155"/>
  <c r="S222" i="155"/>
  <c r="S226" i="155"/>
  <c r="S102" i="155"/>
  <c r="S106" i="155"/>
  <c r="S110" i="155"/>
  <c r="S90" i="155"/>
  <c r="S94" i="155"/>
  <c r="S98" i="155"/>
  <c r="S68" i="155"/>
  <c r="S72" i="155"/>
  <c r="S76" i="155"/>
  <c r="S80" i="155"/>
  <c r="S84" i="155"/>
  <c r="S44" i="155"/>
  <c r="S48" i="155"/>
  <c r="S52" i="155"/>
  <c r="S56" i="155"/>
  <c r="S60" i="155"/>
  <c r="S64" i="155"/>
  <c r="S8" i="155"/>
  <c r="S12" i="155"/>
  <c r="S16" i="155"/>
  <c r="S20" i="155"/>
  <c r="S24" i="155"/>
  <c r="S28" i="155"/>
  <c r="S32" i="155"/>
  <c r="S323" i="155"/>
  <c r="S327" i="155"/>
  <c r="S331" i="155"/>
  <c r="S335" i="155"/>
  <c r="S339" i="155"/>
  <c r="S343" i="155"/>
  <c r="S347" i="155"/>
  <c r="S351" i="155"/>
  <c r="S355" i="155"/>
  <c r="S359" i="155"/>
  <c r="S1769" i="155"/>
  <c r="S1773" i="155"/>
  <c r="S1777" i="155"/>
  <c r="S1781" i="155"/>
  <c r="S1785" i="155"/>
  <c r="S1789" i="155"/>
  <c r="S1793" i="155"/>
  <c r="S1797" i="155"/>
  <c r="S1801" i="155"/>
  <c r="S1808" i="155"/>
  <c r="S1816" i="155"/>
  <c r="S1824" i="155"/>
  <c r="S1832" i="155"/>
  <c r="S1840" i="155"/>
  <c r="S1848" i="155"/>
  <c r="S1625" i="155"/>
  <c r="S1633" i="155"/>
  <c r="S1641" i="155"/>
  <c r="S1649" i="155"/>
  <c r="S1657" i="155"/>
  <c r="S1665" i="155"/>
  <c r="S1673" i="155"/>
  <c r="S1681" i="155"/>
  <c r="S1860" i="155"/>
  <c r="S1868" i="155"/>
  <c r="S1876" i="155"/>
  <c r="S1884" i="155"/>
  <c r="S1892" i="155"/>
  <c r="S1900" i="155"/>
  <c r="S1908" i="155"/>
  <c r="S1916" i="155"/>
  <c r="S1924" i="155"/>
  <c r="S514" i="155"/>
  <c r="S574" i="155"/>
  <c r="S582" i="155"/>
  <c r="S155" i="155"/>
  <c r="S163" i="155"/>
  <c r="S171" i="155"/>
  <c r="S179" i="155"/>
  <c r="S187" i="155"/>
  <c r="S609" i="155"/>
  <c r="S617" i="155"/>
  <c r="S625" i="155"/>
  <c r="S633" i="155"/>
  <c r="S641" i="155"/>
  <c r="S657" i="155"/>
  <c r="S200" i="155"/>
  <c r="S1685" i="155"/>
  <c r="S1701" i="155"/>
  <c r="S1717" i="155"/>
  <c r="S1733" i="155"/>
  <c r="S1928" i="155"/>
  <c r="S1944" i="155"/>
  <c r="S1960" i="155"/>
  <c r="S1976" i="155"/>
  <c r="S1992" i="155"/>
  <c r="S2008" i="155"/>
  <c r="S545" i="155"/>
  <c r="S2815" i="155"/>
  <c r="S1567" i="155"/>
  <c r="S753" i="155"/>
  <c r="S782" i="155"/>
  <c r="S550" i="155"/>
  <c r="S116" i="155"/>
  <c r="S148" i="155"/>
  <c r="S2484" i="155"/>
  <c r="S1318" i="155"/>
  <c r="S2084" i="155"/>
  <c r="S3" i="155" l="1"/>
  <c r="N3" i="155"/>
  <c r="J6" i="7" l="1"/>
  <c r="AF4" i="155"/>
  <c r="AE4" i="155"/>
  <c r="AG3" i="155"/>
  <c r="AF3" i="155"/>
  <c r="AE3" i="155"/>
  <c r="AD3" i="155"/>
  <c r="AC3" i="155"/>
  <c r="AB3" i="155"/>
  <c r="AB4" i="155"/>
  <c r="Y4" i="155"/>
  <c r="Z3" i="155"/>
  <c r="Y3" i="155"/>
  <c r="X3" i="155"/>
  <c r="W3" i="155"/>
  <c r="V3" i="155"/>
  <c r="Q3" i="155"/>
  <c r="L3" i="155"/>
  <c r="F10" i="7"/>
  <c r="F4" i="7"/>
  <c r="P3" i="155"/>
  <c r="A6" i="125" l="1"/>
  <c r="A47" i="90"/>
  <c r="A21" i="114"/>
  <c r="A14" i="127"/>
  <c r="C26" i="127"/>
  <c r="A26" i="105"/>
  <c r="I3" i="155"/>
  <c r="C10" i="115"/>
  <c r="D10" i="10"/>
  <c r="D9" i="116"/>
  <c r="C46" i="115"/>
  <c r="L4" i="165"/>
  <c r="AU4" i="165"/>
  <c r="Q4" i="165"/>
  <c r="AF4" i="165"/>
  <c r="AZ4" i="165"/>
  <c r="B4" i="165"/>
  <c r="V4" i="165"/>
  <c r="AK4" i="165"/>
  <c r="BE4" i="165"/>
  <c r="G4" i="165"/>
  <c r="AP4" i="165"/>
  <c r="F1" i="9"/>
  <c r="E1" i="9"/>
  <c r="J2078" i="155" l="1"/>
  <c r="J2075" i="155"/>
  <c r="J2074" i="155"/>
  <c r="J2076" i="155"/>
  <c r="L2075" i="155"/>
  <c r="L2078" i="155"/>
  <c r="J153" i="155"/>
  <c r="L2074" i="155"/>
  <c r="J2077" i="155"/>
  <c r="L2076" i="155"/>
  <c r="L2077" i="155"/>
  <c r="J195" i="155"/>
  <c r="L153" i="155"/>
  <c r="L195" i="155"/>
  <c r="L835" i="155"/>
  <c r="L1597" i="155"/>
  <c r="L1580" i="155"/>
  <c r="L1616" i="155"/>
  <c r="L1587" i="155"/>
  <c r="L832" i="155"/>
  <c r="L1606" i="155"/>
  <c r="L1577" i="155"/>
  <c r="L1613" i="155"/>
  <c r="L1590" i="155"/>
  <c r="L829" i="155"/>
  <c r="L1603" i="155"/>
  <c r="L1586" i="155"/>
  <c r="L834" i="155"/>
  <c r="L1593" i="155"/>
  <c r="L1576" i="155"/>
  <c r="L1612" i="155"/>
  <c r="L1583" i="155"/>
  <c r="L1619" i="155"/>
  <c r="L1596" i="155"/>
  <c r="L1573" i="155"/>
  <c r="L1609" i="155"/>
  <c r="L1592" i="155"/>
  <c r="L833" i="155"/>
  <c r="L1599" i="155"/>
  <c r="L1582" i="155"/>
  <c r="L1618" i="155"/>
  <c r="L1589" i="155"/>
  <c r="L830" i="155"/>
  <c r="L1602" i="155"/>
  <c r="L1579" i="155"/>
  <c r="L1615" i="155"/>
  <c r="L1598" i="155"/>
  <c r="L1605" i="155"/>
  <c r="L1588" i="155"/>
  <c r="L1595" i="155"/>
  <c r="L1572" i="155"/>
  <c r="L1608" i="155"/>
  <c r="L1585" i="155"/>
  <c r="L828" i="155"/>
  <c r="L1604" i="155"/>
  <c r="L1575" i="155"/>
  <c r="L1611" i="155"/>
  <c r="L1594" i="155"/>
  <c r="L831" i="155"/>
  <c r="L1601" i="155"/>
  <c r="L1578" i="155"/>
  <c r="L1614" i="155"/>
  <c r="L1591" i="155"/>
  <c r="L1574" i="155"/>
  <c r="L1610" i="155"/>
  <c r="L1581" i="155"/>
  <c r="L1617" i="155"/>
  <c r="L1600" i="155"/>
  <c r="L1571" i="155"/>
  <c r="L1607" i="155"/>
  <c r="L1584" i="155"/>
  <c r="L1620" i="155"/>
  <c r="L292" i="155"/>
  <c r="L87" i="155"/>
  <c r="K34" i="11" s="1"/>
  <c r="L209" i="155"/>
  <c r="L22" i="155"/>
  <c r="L82" i="155"/>
  <c r="L136" i="155"/>
  <c r="L240" i="155"/>
  <c r="L18" i="155"/>
  <c r="F25" i="156" s="1"/>
  <c r="L36" i="155"/>
  <c r="G15" i="10" s="1"/>
  <c r="L54" i="155"/>
  <c r="L72" i="155"/>
  <c r="L157" i="155"/>
  <c r="L193" i="155"/>
  <c r="L230" i="155"/>
  <c r="L266" i="155"/>
  <c r="L302" i="155"/>
  <c r="L338" i="155"/>
  <c r="L374" i="155"/>
  <c r="L410" i="155"/>
  <c r="L446" i="155"/>
  <c r="L482" i="155"/>
  <c r="L518" i="155"/>
  <c r="L554" i="155"/>
  <c r="L590" i="155"/>
  <c r="L626" i="155"/>
  <c r="L662" i="155"/>
  <c r="L698" i="155"/>
  <c r="L734" i="155"/>
  <c r="L770" i="155"/>
  <c r="L806" i="155"/>
  <c r="L850" i="155"/>
  <c r="L886" i="155"/>
  <c r="L922" i="155"/>
  <c r="L958" i="155"/>
  <c r="L994" i="155"/>
  <c r="L1030" i="155"/>
  <c r="L1066" i="155"/>
  <c r="L1102" i="155"/>
  <c r="L1138" i="155"/>
  <c r="L1174" i="155"/>
  <c r="L1210" i="155"/>
  <c r="L1246" i="155"/>
  <c r="L1282" i="155"/>
  <c r="L1318" i="155"/>
  <c r="L1354" i="155"/>
  <c r="L1390" i="155"/>
  <c r="L1426" i="155"/>
  <c r="L1462" i="155"/>
  <c r="L1498" i="155"/>
  <c r="L1534" i="155"/>
  <c r="L1570" i="155"/>
  <c r="L1656" i="155"/>
  <c r="L1692" i="155"/>
  <c r="L1728" i="155"/>
  <c r="L1764" i="155"/>
  <c r="L1888" i="155"/>
  <c r="L1924" i="155"/>
  <c r="L1960" i="155"/>
  <c r="L1996" i="155"/>
  <c r="L2032" i="155"/>
  <c r="L2068" i="155"/>
  <c r="L2109" i="155"/>
  <c r="L2145" i="155"/>
  <c r="L2181" i="155"/>
  <c r="L2217" i="155"/>
  <c r="L2253" i="155"/>
  <c r="L2289" i="155"/>
  <c r="L2325" i="155"/>
  <c r="L2361" i="155"/>
  <c r="L2397" i="155"/>
  <c r="L2433" i="155"/>
  <c r="L2469" i="155"/>
  <c r="L2505" i="155"/>
  <c r="L2541" i="155"/>
  <c r="L2577" i="155"/>
  <c r="L2613" i="155"/>
  <c r="L2649" i="155"/>
  <c r="L2685" i="155"/>
  <c r="L2721" i="155"/>
  <c r="L2757" i="155"/>
  <c r="L2788" i="155"/>
  <c r="L2823" i="155"/>
  <c r="L1799" i="155"/>
  <c r="L1835" i="155"/>
  <c r="L165" i="155"/>
  <c r="L7" i="155"/>
  <c r="F14" i="156" s="1"/>
  <c r="L25" i="155"/>
  <c r="K18" i="156" s="1"/>
  <c r="L43" i="155"/>
  <c r="L61" i="155"/>
  <c r="L79" i="155"/>
  <c r="L97" i="155"/>
  <c r="L115" i="155"/>
  <c r="F16" i="14" s="1"/>
  <c r="L133" i="155"/>
  <c r="L170" i="155"/>
  <c r="L207" i="155"/>
  <c r="L243" i="155"/>
  <c r="L279" i="155"/>
  <c r="L315" i="155"/>
  <c r="L351" i="155"/>
  <c r="L387" i="155"/>
  <c r="L423" i="155"/>
  <c r="L459" i="155"/>
  <c r="L495" i="155"/>
  <c r="L531" i="155"/>
  <c r="L567" i="155"/>
  <c r="L603" i="155"/>
  <c r="L639" i="155"/>
  <c r="L675" i="155"/>
  <c r="L711" i="155"/>
  <c r="L747" i="155"/>
  <c r="L783" i="155"/>
  <c r="L819" i="155"/>
  <c r="L863" i="155"/>
  <c r="L899" i="155"/>
  <c r="L935" i="155"/>
  <c r="L971" i="155"/>
  <c r="L1007" i="155"/>
  <c r="L1043" i="155"/>
  <c r="L1079" i="155"/>
  <c r="L1115" i="155"/>
  <c r="L1151" i="155"/>
  <c r="L1187" i="155"/>
  <c r="L1223" i="155"/>
  <c r="L1259" i="155"/>
  <c r="L1295" i="155"/>
  <c r="L1331" i="155"/>
  <c r="L1367" i="155"/>
  <c r="L1403" i="155"/>
  <c r="L1439" i="155"/>
  <c r="L1475" i="155"/>
  <c r="L1511" i="155"/>
  <c r="L1547" i="155"/>
  <c r="L1633" i="155"/>
  <c r="L1669" i="155"/>
  <c r="L1705" i="155"/>
  <c r="L1741" i="155"/>
  <c r="L1865" i="155"/>
  <c r="L1901" i="155"/>
  <c r="L1937" i="155"/>
  <c r="L1973" i="155"/>
  <c r="L2009" i="155"/>
  <c r="L2045" i="155"/>
  <c r="L2086" i="155"/>
  <c r="L2122" i="155"/>
  <c r="L2158" i="155"/>
  <c r="L2194" i="155"/>
  <c r="L2230" i="155"/>
  <c r="L2266" i="155"/>
  <c r="L2302" i="155"/>
  <c r="L2338" i="155"/>
  <c r="L2374" i="155"/>
  <c r="L2410" i="155"/>
  <c r="L2446" i="155"/>
  <c r="L2482" i="155"/>
  <c r="L2518" i="155"/>
  <c r="L2554" i="155"/>
  <c r="L2590" i="155"/>
  <c r="L2626" i="155"/>
  <c r="L2662" i="155"/>
  <c r="L2698" i="155"/>
  <c r="L2734" i="155"/>
  <c r="L2770" i="155"/>
  <c r="L2801" i="155"/>
  <c r="L1776" i="155"/>
  <c r="L14" i="155"/>
  <c r="F21" i="156" s="1"/>
  <c r="L122" i="155"/>
  <c r="L328" i="155"/>
  <c r="L39" i="155"/>
  <c r="G18" i="10" s="1"/>
  <c r="L227" i="155"/>
  <c r="L148" i="155"/>
  <c r="L258" i="155"/>
  <c r="L90" i="155"/>
  <c r="L108" i="155"/>
  <c r="L126" i="155"/>
  <c r="F27" i="14" s="1"/>
  <c r="L163" i="155"/>
  <c r="L200" i="155"/>
  <c r="L236" i="155"/>
  <c r="L272" i="155"/>
  <c r="L308" i="155"/>
  <c r="L344" i="155"/>
  <c r="L380" i="155"/>
  <c r="L416" i="155"/>
  <c r="L452" i="155"/>
  <c r="L488" i="155"/>
  <c r="L524" i="155"/>
  <c r="L560" i="155"/>
  <c r="L596" i="155"/>
  <c r="L632" i="155"/>
  <c r="L668" i="155"/>
  <c r="L704" i="155"/>
  <c r="L740" i="155"/>
  <c r="L776" i="155"/>
  <c r="L812" i="155"/>
  <c r="L856" i="155"/>
  <c r="L892" i="155"/>
  <c r="L928" i="155"/>
  <c r="L964" i="155"/>
  <c r="L1000" i="155"/>
  <c r="L1036" i="155"/>
  <c r="L1072" i="155"/>
  <c r="L1108" i="155"/>
  <c r="L1144" i="155"/>
  <c r="L1180" i="155"/>
  <c r="L1216" i="155"/>
  <c r="L1252" i="155"/>
  <c r="L1288" i="155"/>
  <c r="L1324" i="155"/>
  <c r="L1360" i="155"/>
  <c r="L1396" i="155"/>
  <c r="L1432" i="155"/>
  <c r="L1468" i="155"/>
  <c r="L1504" i="155"/>
  <c r="L1540" i="155"/>
  <c r="L1626" i="155"/>
  <c r="L1662" i="155"/>
  <c r="L1698" i="155"/>
  <c r="L1734" i="155"/>
  <c r="L1858" i="155"/>
  <c r="L1894" i="155"/>
  <c r="L1930" i="155"/>
  <c r="L1966" i="155"/>
  <c r="L2002" i="155"/>
  <c r="L2038" i="155"/>
  <c r="L2079" i="155"/>
  <c r="L2115" i="155"/>
  <c r="L2151" i="155"/>
  <c r="L2187" i="155"/>
  <c r="L2223" i="155"/>
  <c r="L2259" i="155"/>
  <c r="L2295" i="155"/>
  <c r="L2331" i="155"/>
  <c r="L2367" i="155"/>
  <c r="L2403" i="155"/>
  <c r="L2439" i="155"/>
  <c r="L2475" i="155"/>
  <c r="L2511" i="155"/>
  <c r="L2547" i="155"/>
  <c r="L2583" i="155"/>
  <c r="L2619" i="155"/>
  <c r="L2655" i="155"/>
  <c r="L2691" i="155"/>
  <c r="L2727" i="155"/>
  <c r="L2763" i="155"/>
  <c r="L2794" i="155"/>
  <c r="L1769" i="155"/>
  <c r="L1805" i="155"/>
  <c r="L1841" i="155"/>
  <c r="L56" i="155"/>
  <c r="F25" i="11" s="1"/>
  <c r="L202" i="155"/>
  <c r="L152" i="155"/>
  <c r="L352" i="155"/>
  <c r="L111" i="155"/>
  <c r="F90" i="11" s="1"/>
  <c r="L251" i="155"/>
  <c r="L40" i="155"/>
  <c r="L100" i="155"/>
  <c r="F67" i="11" s="1"/>
  <c r="L167" i="155"/>
  <c r="L6" i="155"/>
  <c r="L24" i="155"/>
  <c r="K17" i="156" s="1"/>
  <c r="L42" i="155"/>
  <c r="L60" i="155"/>
  <c r="F29" i="11" s="1"/>
  <c r="L78" i="155"/>
  <c r="K25" i="11" s="1"/>
  <c r="L132" i="155"/>
  <c r="L169" i="155"/>
  <c r="L206" i="155"/>
  <c r="L242" i="155"/>
  <c r="L278" i="155"/>
  <c r="L314" i="155"/>
  <c r="L350" i="155"/>
  <c r="L386" i="155"/>
  <c r="L422" i="155"/>
  <c r="L458" i="155"/>
  <c r="L494" i="155"/>
  <c r="L530" i="155"/>
  <c r="L566" i="155"/>
  <c r="L602" i="155"/>
  <c r="L638" i="155"/>
  <c r="L674" i="155"/>
  <c r="L710" i="155"/>
  <c r="L746" i="155"/>
  <c r="L782" i="155"/>
  <c r="L818" i="155"/>
  <c r="L862" i="155"/>
  <c r="L898" i="155"/>
  <c r="L934" i="155"/>
  <c r="L970" i="155"/>
  <c r="L1006" i="155"/>
  <c r="L1042" i="155"/>
  <c r="L1078" i="155"/>
  <c r="L1114" i="155"/>
  <c r="L1150" i="155"/>
  <c r="L1186" i="155"/>
  <c r="L1222" i="155"/>
  <c r="L1258" i="155"/>
  <c r="L1294" i="155"/>
  <c r="L1330" i="155"/>
  <c r="L1366" i="155"/>
  <c r="L1402" i="155"/>
  <c r="L1438" i="155"/>
  <c r="L1474" i="155"/>
  <c r="L1510" i="155"/>
  <c r="L1546" i="155"/>
  <c r="L1632" i="155"/>
  <c r="L1668" i="155"/>
  <c r="L1704" i="155"/>
  <c r="L1740" i="155"/>
  <c r="L1864" i="155"/>
  <c r="L1900" i="155"/>
  <c r="L1936" i="155"/>
  <c r="L1972" i="155"/>
  <c r="L2008" i="155"/>
  <c r="L2044" i="155"/>
  <c r="L2085" i="155"/>
  <c r="L2121" i="155"/>
  <c r="L2157" i="155"/>
  <c r="L2193" i="155"/>
  <c r="L2229" i="155"/>
  <c r="L2265" i="155"/>
  <c r="L2301" i="155"/>
  <c r="L2337" i="155"/>
  <c r="L2373" i="155"/>
  <c r="L2409" i="155"/>
  <c r="L2445" i="155"/>
  <c r="L2481" i="155"/>
  <c r="L2517" i="155"/>
  <c r="L2553" i="155"/>
  <c r="L2589" i="155"/>
  <c r="L2625" i="155"/>
  <c r="L2661" i="155"/>
  <c r="L2697" i="155"/>
  <c r="L2733" i="155"/>
  <c r="L2769" i="155"/>
  <c r="L2800" i="155"/>
  <c r="L1775" i="155"/>
  <c r="L1811" i="155"/>
  <c r="L1847" i="155"/>
  <c r="L238" i="155"/>
  <c r="L13" i="155"/>
  <c r="L31" i="155"/>
  <c r="K24" i="156" s="1"/>
  <c r="L49" i="155"/>
  <c r="F18" i="11" s="1"/>
  <c r="L67" i="155"/>
  <c r="L85" i="155"/>
  <c r="K32" i="11" s="1"/>
  <c r="L103" i="155"/>
  <c r="L121" i="155"/>
  <c r="F22" i="14" s="1"/>
  <c r="L145" i="155"/>
  <c r="L182" i="155"/>
  <c r="L219" i="155"/>
  <c r="L255" i="155"/>
  <c r="L291" i="155"/>
  <c r="L327" i="155"/>
  <c r="L363" i="155"/>
  <c r="L399" i="155"/>
  <c r="L435" i="155"/>
  <c r="L471" i="155"/>
  <c r="L507" i="155"/>
  <c r="L543" i="155"/>
  <c r="L579" i="155"/>
  <c r="L615" i="155"/>
  <c r="L651" i="155"/>
  <c r="L687" i="155"/>
  <c r="L723" i="155"/>
  <c r="L759" i="155"/>
  <c r="L795" i="155"/>
  <c r="L839" i="155"/>
  <c r="L875" i="155"/>
  <c r="L911" i="155"/>
  <c r="L947" i="155"/>
  <c r="L983" i="155"/>
  <c r="L1019" i="155"/>
  <c r="L1055" i="155"/>
  <c r="L1091" i="155"/>
  <c r="L1127" i="155"/>
  <c r="L1163" i="155"/>
  <c r="L1199" i="155"/>
  <c r="L1235" i="155"/>
  <c r="L1271" i="155"/>
  <c r="L1307" i="155"/>
  <c r="L1343" i="155"/>
  <c r="L1379" i="155"/>
  <c r="L1415" i="155"/>
  <c r="L1451" i="155"/>
  <c r="L1487" i="155"/>
  <c r="L1523" i="155"/>
  <c r="L1559" i="155"/>
  <c r="L1645" i="155"/>
  <c r="L1681" i="155"/>
  <c r="L1717" i="155"/>
  <c r="L1753" i="155"/>
  <c r="L1877" i="155"/>
  <c r="L1913" i="155"/>
  <c r="L1949" i="155"/>
  <c r="L1985" i="155"/>
  <c r="L2021" i="155"/>
  <c r="L2057" i="155"/>
  <c r="L2098" i="155"/>
  <c r="L2134" i="155"/>
  <c r="L2170" i="155"/>
  <c r="L2206" i="155"/>
  <c r="L2242" i="155"/>
  <c r="L2278" i="155"/>
  <c r="L2314" i="155"/>
  <c r="L2350" i="155"/>
  <c r="L2386" i="155"/>
  <c r="L2422" i="155"/>
  <c r="L2458" i="155"/>
  <c r="L2494" i="155"/>
  <c r="L2530" i="155"/>
  <c r="L2566" i="155"/>
  <c r="L2602" i="155"/>
  <c r="L2638" i="155"/>
  <c r="L2674" i="155"/>
  <c r="L2710" i="155"/>
  <c r="L2746" i="155"/>
  <c r="L2777" i="155"/>
  <c r="L2816" i="155"/>
  <c r="L1788" i="155"/>
  <c r="L50" i="155"/>
  <c r="F19" i="11" s="1"/>
  <c r="L189" i="155"/>
  <c r="L382" i="155"/>
  <c r="L63" i="155"/>
  <c r="L135" i="155"/>
  <c r="L275" i="155"/>
  <c r="L185" i="155"/>
  <c r="L96" i="155"/>
  <c r="F53" i="11" s="1"/>
  <c r="L114" i="155"/>
  <c r="L138" i="155"/>
  <c r="L175" i="155"/>
  <c r="L212" i="155"/>
  <c r="L248" i="155"/>
  <c r="L284" i="155"/>
  <c r="L320" i="155"/>
  <c r="L356" i="155"/>
  <c r="L392" i="155"/>
  <c r="L428" i="155"/>
  <c r="L464" i="155"/>
  <c r="L500" i="155"/>
  <c r="L536" i="155"/>
  <c r="L572" i="155"/>
  <c r="L608" i="155"/>
  <c r="L644" i="155"/>
  <c r="L680" i="155"/>
  <c r="L716" i="155"/>
  <c r="L752" i="155"/>
  <c r="L788" i="155"/>
  <c r="L824" i="155"/>
  <c r="L868" i="155"/>
  <c r="L904" i="155"/>
  <c r="L940" i="155"/>
  <c r="L976" i="155"/>
  <c r="L1012" i="155"/>
  <c r="L1048" i="155"/>
  <c r="L1084" i="155"/>
  <c r="L1120" i="155"/>
  <c r="L1156" i="155"/>
  <c r="L1192" i="155"/>
  <c r="L1228" i="155"/>
  <c r="L1264" i="155"/>
  <c r="L1300" i="155"/>
  <c r="L1336" i="155"/>
  <c r="L1372" i="155"/>
  <c r="L1408" i="155"/>
  <c r="L1444" i="155"/>
  <c r="L1480" i="155"/>
  <c r="L1516" i="155"/>
  <c r="L1552" i="155"/>
  <c r="L1638" i="155"/>
  <c r="L1674" i="155"/>
  <c r="L1710" i="155"/>
  <c r="L1746" i="155"/>
  <c r="L1870" i="155"/>
  <c r="L1906" i="155"/>
  <c r="L1942" i="155"/>
  <c r="L1978" i="155"/>
  <c r="L2014" i="155"/>
  <c r="L2050" i="155"/>
  <c r="L2091" i="155"/>
  <c r="L2127" i="155"/>
  <c r="L2163" i="155"/>
  <c r="L2199" i="155"/>
  <c r="L2235" i="155"/>
  <c r="L2271" i="155"/>
  <c r="L2307" i="155"/>
  <c r="L2343" i="155"/>
  <c r="L2379" i="155"/>
  <c r="L2415" i="155"/>
  <c r="L2451" i="155"/>
  <c r="L2487" i="155"/>
  <c r="L2523" i="155"/>
  <c r="L2559" i="155"/>
  <c r="L2595" i="155"/>
  <c r="L2631" i="155"/>
  <c r="L2667" i="155"/>
  <c r="L2703" i="155"/>
  <c r="L2739" i="155"/>
  <c r="L2775" i="155"/>
  <c r="L2806" i="155"/>
  <c r="L1781" i="155"/>
  <c r="L1817" i="155"/>
  <c r="L1853" i="155"/>
  <c r="L92" i="155"/>
  <c r="F49" i="11" s="1"/>
  <c r="L280" i="155"/>
  <c r="L220" i="155"/>
  <c r="L436" i="155"/>
  <c r="L160" i="155"/>
  <c r="L16" i="155"/>
  <c r="F23" i="156" s="1"/>
  <c r="L64" i="155"/>
  <c r="F35" i="11" s="1"/>
  <c r="L118" i="155"/>
  <c r="F19" i="14" s="1"/>
  <c r="L204" i="155"/>
  <c r="L12" i="155"/>
  <c r="L30" i="155"/>
  <c r="L48" i="155"/>
  <c r="F17" i="11" s="1"/>
  <c r="L66" i="155"/>
  <c r="L144" i="155"/>
  <c r="L181" i="155"/>
  <c r="L218" i="155"/>
  <c r="L254" i="155"/>
  <c r="L290" i="155"/>
  <c r="L326" i="155"/>
  <c r="L362" i="155"/>
  <c r="L398" i="155"/>
  <c r="L434" i="155"/>
  <c r="L470" i="155"/>
  <c r="L506" i="155"/>
  <c r="L542" i="155"/>
  <c r="L578" i="155"/>
  <c r="L614" i="155"/>
  <c r="L650" i="155"/>
  <c r="L686" i="155"/>
  <c r="L722" i="155"/>
  <c r="L758" i="155"/>
  <c r="L794" i="155"/>
  <c r="L838" i="155"/>
  <c r="L874" i="155"/>
  <c r="L910" i="155"/>
  <c r="L946" i="155"/>
  <c r="L982" i="155"/>
  <c r="L1018" i="155"/>
  <c r="L1054" i="155"/>
  <c r="L1090" i="155"/>
  <c r="L1126" i="155"/>
  <c r="L1162" i="155"/>
  <c r="L1198" i="155"/>
  <c r="L1234" i="155"/>
  <c r="L1270" i="155"/>
  <c r="L1306" i="155"/>
  <c r="L1342" i="155"/>
  <c r="L1378" i="155"/>
  <c r="L1414" i="155"/>
  <c r="L1450" i="155"/>
  <c r="L1486" i="155"/>
  <c r="L1522" i="155"/>
  <c r="L1558" i="155"/>
  <c r="L1644" i="155"/>
  <c r="L1680" i="155"/>
  <c r="L1716" i="155"/>
  <c r="L1752" i="155"/>
  <c r="L1876" i="155"/>
  <c r="L1912" i="155"/>
  <c r="L1948" i="155"/>
  <c r="L1984" i="155"/>
  <c r="L2020" i="155"/>
  <c r="L2056" i="155"/>
  <c r="L2097" i="155"/>
  <c r="L2133" i="155"/>
  <c r="L2169" i="155"/>
  <c r="L2205" i="155"/>
  <c r="L2241" i="155"/>
  <c r="L2277" i="155"/>
  <c r="L2313" i="155"/>
  <c r="L2349" i="155"/>
  <c r="L2385" i="155"/>
  <c r="L2421" i="155"/>
  <c r="L2457" i="155"/>
  <c r="L2493" i="155"/>
  <c r="L2529" i="155"/>
  <c r="L2565" i="155"/>
  <c r="L2601" i="155"/>
  <c r="L2637" i="155"/>
  <c r="L2673" i="155"/>
  <c r="L2709" i="155"/>
  <c r="L2745" i="155"/>
  <c r="L2776" i="155"/>
  <c r="L2814" i="155"/>
  <c r="L1787" i="155"/>
  <c r="L1823" i="155"/>
  <c r="L316" i="155"/>
  <c r="L19" i="155"/>
  <c r="L37" i="155"/>
  <c r="G16" i="10" s="1"/>
  <c r="L55" i="155"/>
  <c r="L73" i="155"/>
  <c r="L91" i="155"/>
  <c r="F48" i="11" s="1"/>
  <c r="L109" i="155"/>
  <c r="F88" i="11" s="1"/>
  <c r="L127" i="155"/>
  <c r="L158" i="155"/>
  <c r="L194" i="155"/>
  <c r="L231" i="155"/>
  <c r="L267" i="155"/>
  <c r="L303" i="155"/>
  <c r="L339" i="155"/>
  <c r="L375" i="155"/>
  <c r="L411" i="155"/>
  <c r="L447" i="155"/>
  <c r="L483" i="155"/>
  <c r="L519" i="155"/>
  <c r="L555" i="155"/>
  <c r="L591" i="155"/>
  <c r="L627" i="155"/>
  <c r="L663" i="155"/>
  <c r="L699" i="155"/>
  <c r="L735" i="155"/>
  <c r="L771" i="155"/>
  <c r="L807" i="155"/>
  <c r="L851" i="155"/>
  <c r="L887" i="155"/>
  <c r="L923" i="155"/>
  <c r="L959" i="155"/>
  <c r="L995" i="155"/>
  <c r="L1031" i="155"/>
  <c r="L1067" i="155"/>
  <c r="L1103" i="155"/>
  <c r="L1139" i="155"/>
  <c r="L1175" i="155"/>
  <c r="L1211" i="155"/>
  <c r="L1247" i="155"/>
  <c r="L1283" i="155"/>
  <c r="L1319" i="155"/>
  <c r="L1355" i="155"/>
  <c r="L1391" i="155"/>
  <c r="L1427" i="155"/>
  <c r="L1463" i="155"/>
  <c r="L1499" i="155"/>
  <c r="L1535" i="155"/>
  <c r="L1621" i="155"/>
  <c r="L1657" i="155"/>
  <c r="L1693" i="155"/>
  <c r="L1729" i="155"/>
  <c r="L1765" i="155"/>
  <c r="L1889" i="155"/>
  <c r="L1925" i="155"/>
  <c r="L1961" i="155"/>
  <c r="L1997" i="155"/>
  <c r="L2033" i="155"/>
  <c r="L2069" i="155"/>
  <c r="L2110" i="155"/>
  <c r="L2146" i="155"/>
  <c r="L2182" i="155"/>
  <c r="L2218" i="155"/>
  <c r="L2254" i="155"/>
  <c r="L2290" i="155"/>
  <c r="L2326" i="155"/>
  <c r="L2362" i="155"/>
  <c r="L2398" i="155"/>
  <c r="L2434" i="155"/>
  <c r="L2470" i="155"/>
  <c r="L2506" i="155"/>
  <c r="L2542" i="155"/>
  <c r="L2578" i="155"/>
  <c r="L2614" i="155"/>
  <c r="L2650" i="155"/>
  <c r="L2686" i="155"/>
  <c r="L2722" i="155"/>
  <c r="L2758" i="155"/>
  <c r="L2789" i="155"/>
  <c r="L2825" i="155"/>
  <c r="L86" i="155"/>
  <c r="L256" i="155"/>
  <c r="L15" i="155"/>
  <c r="F22" i="156" s="1"/>
  <c r="L184" i="155"/>
  <c r="L222" i="155"/>
  <c r="L84" i="155"/>
  <c r="K31" i="11" s="1"/>
  <c r="L102" i="155"/>
  <c r="L120" i="155"/>
  <c r="L150" i="155"/>
  <c r="L187" i="155"/>
  <c r="L224" i="155"/>
  <c r="L260" i="155"/>
  <c r="L296" i="155"/>
  <c r="L332" i="155"/>
  <c r="L368" i="155"/>
  <c r="L404" i="155"/>
  <c r="L440" i="155"/>
  <c r="L476" i="155"/>
  <c r="L512" i="155"/>
  <c r="L548" i="155"/>
  <c r="L584" i="155"/>
  <c r="L620" i="155"/>
  <c r="L656" i="155"/>
  <c r="L692" i="155"/>
  <c r="L728" i="155"/>
  <c r="L764" i="155"/>
  <c r="L800" i="155"/>
  <c r="L844" i="155"/>
  <c r="L880" i="155"/>
  <c r="L916" i="155"/>
  <c r="L952" i="155"/>
  <c r="L988" i="155"/>
  <c r="L1024" i="155"/>
  <c r="L1060" i="155"/>
  <c r="L1096" i="155"/>
  <c r="L1132" i="155"/>
  <c r="L1168" i="155"/>
  <c r="L1204" i="155"/>
  <c r="L1240" i="155"/>
  <c r="L1276" i="155"/>
  <c r="L1312" i="155"/>
  <c r="L1348" i="155"/>
  <c r="L1384" i="155"/>
  <c r="L1420" i="155"/>
  <c r="L1456" i="155"/>
  <c r="L1492" i="155"/>
  <c r="L1528" i="155"/>
  <c r="L1564" i="155"/>
  <c r="L1650" i="155"/>
  <c r="L1686" i="155"/>
  <c r="L1722" i="155"/>
  <c r="L1758" i="155"/>
  <c r="L1882" i="155"/>
  <c r="L1918" i="155"/>
  <c r="L1954" i="155"/>
  <c r="L1990" i="155"/>
  <c r="L2026" i="155"/>
  <c r="L2062" i="155"/>
  <c r="L2103" i="155"/>
  <c r="L2139" i="155"/>
  <c r="L2175" i="155"/>
  <c r="L2211" i="155"/>
  <c r="L2247" i="155"/>
  <c r="L2283" i="155"/>
  <c r="L2319" i="155"/>
  <c r="L2355" i="155"/>
  <c r="L2391" i="155"/>
  <c r="L2427" i="155"/>
  <c r="L2463" i="155"/>
  <c r="L2499" i="155"/>
  <c r="L2535" i="155"/>
  <c r="L2571" i="155"/>
  <c r="L2607" i="155"/>
  <c r="L2643" i="155"/>
  <c r="L2679" i="155"/>
  <c r="L2715" i="155"/>
  <c r="L2751" i="155"/>
  <c r="L2782" i="155"/>
  <c r="L2811" i="155"/>
  <c r="L1793" i="155"/>
  <c r="L1829" i="155"/>
  <c r="L32" i="155"/>
  <c r="L128" i="155"/>
  <c r="F29" i="14" s="1"/>
  <c r="L406" i="155"/>
  <c r="L139" i="155"/>
  <c r="L213" i="155"/>
  <c r="L285" i="155"/>
  <c r="L357" i="155"/>
  <c r="L429" i="155"/>
  <c r="L501" i="155"/>
  <c r="L573" i="155"/>
  <c r="L645" i="155"/>
  <c r="L717" i="155"/>
  <c r="L789" i="155"/>
  <c r="L869" i="155"/>
  <c r="L941" i="155"/>
  <c r="L1013" i="155"/>
  <c r="L1085" i="155"/>
  <c r="L1157" i="155"/>
  <c r="L1229" i="155"/>
  <c r="L1301" i="155"/>
  <c r="L1373" i="155"/>
  <c r="L1445" i="155"/>
  <c r="L1517" i="155"/>
  <c r="L1639" i="155"/>
  <c r="L1711" i="155"/>
  <c r="L1871" i="155"/>
  <c r="L1943" i="155"/>
  <c r="L2015" i="155"/>
  <c r="L2092" i="155"/>
  <c r="L2164" i="155"/>
  <c r="L2236" i="155"/>
  <c r="L2308" i="155"/>
  <c r="L2380" i="155"/>
  <c r="L2452" i="155"/>
  <c r="L2524" i="155"/>
  <c r="L2596" i="155"/>
  <c r="L2668" i="155"/>
  <c r="L2740" i="155"/>
  <c r="L2807" i="155"/>
  <c r="L1806" i="155"/>
  <c r="L1842" i="155"/>
  <c r="L74" i="155"/>
  <c r="K21" i="11" s="1"/>
  <c r="L262" i="155"/>
  <c r="L448" i="155"/>
  <c r="L484" i="155"/>
  <c r="L520" i="155"/>
  <c r="L556" i="155"/>
  <c r="L592" i="155"/>
  <c r="L628" i="155"/>
  <c r="L664" i="155"/>
  <c r="L700" i="155"/>
  <c r="L736" i="155"/>
  <c r="L772" i="155"/>
  <c r="L808" i="155"/>
  <c r="L852" i="155"/>
  <c r="L888" i="155"/>
  <c r="L924" i="155"/>
  <c r="L960" i="155"/>
  <c r="L996" i="155"/>
  <c r="L1032" i="155"/>
  <c r="L1068" i="155"/>
  <c r="L1104" i="155"/>
  <c r="L1140" i="155"/>
  <c r="L1176" i="155"/>
  <c r="L1212" i="155"/>
  <c r="L1248" i="155"/>
  <c r="L1284" i="155"/>
  <c r="L1320" i="155"/>
  <c r="L1356" i="155"/>
  <c r="L1392" i="155"/>
  <c r="L1428" i="155"/>
  <c r="L1464" i="155"/>
  <c r="L1500" i="155"/>
  <c r="L1536" i="155"/>
  <c r="L1622" i="155"/>
  <c r="L1658" i="155"/>
  <c r="L1694" i="155"/>
  <c r="L1730" i="155"/>
  <c r="L1766" i="155"/>
  <c r="L1890" i="155"/>
  <c r="L1926" i="155"/>
  <c r="L1962" i="155"/>
  <c r="L1998" i="155"/>
  <c r="L2034" i="155"/>
  <c r="L2070" i="155"/>
  <c r="L2111" i="155"/>
  <c r="L2147" i="155"/>
  <c r="L2183" i="155"/>
  <c r="L2219" i="155"/>
  <c r="L2255" i="155"/>
  <c r="L2291" i="155"/>
  <c r="L2327" i="155"/>
  <c r="L2363" i="155"/>
  <c r="L2399" i="155"/>
  <c r="L2435" i="155"/>
  <c r="L2471" i="155"/>
  <c r="L2507" i="155"/>
  <c r="L2543" i="155"/>
  <c r="L2579" i="155"/>
  <c r="L2615" i="155"/>
  <c r="L2651" i="155"/>
  <c r="L2687" i="155"/>
  <c r="L2723" i="155"/>
  <c r="L2759" i="155"/>
  <c r="L2790" i="155"/>
  <c r="L2826" i="155"/>
  <c r="L1801" i="155"/>
  <c r="L1837" i="155"/>
  <c r="L159" i="155"/>
  <c r="L370" i="155"/>
  <c r="L129" i="155"/>
  <c r="F30" i="14" s="1"/>
  <c r="L281" i="155"/>
  <c r="L323" i="155"/>
  <c r="L359" i="155"/>
  <c r="L395" i="155"/>
  <c r="L431" i="155"/>
  <c r="L467" i="155"/>
  <c r="L503" i="155"/>
  <c r="L539" i="155"/>
  <c r="L575" i="155"/>
  <c r="L611" i="155"/>
  <c r="L647" i="155"/>
  <c r="L683" i="155"/>
  <c r="L719" i="155"/>
  <c r="L755" i="155"/>
  <c r="L791" i="155"/>
  <c r="L827" i="155"/>
  <c r="L871" i="155"/>
  <c r="L907" i="155"/>
  <c r="L943" i="155"/>
  <c r="L979" i="155"/>
  <c r="L1015" i="155"/>
  <c r="L1051" i="155"/>
  <c r="L1087" i="155"/>
  <c r="L1123" i="155"/>
  <c r="L1159" i="155"/>
  <c r="L1195" i="155"/>
  <c r="L1231" i="155"/>
  <c r="L1267" i="155"/>
  <c r="L1303" i="155"/>
  <c r="L1339" i="155"/>
  <c r="L1375" i="155"/>
  <c r="L1411" i="155"/>
  <c r="L1447" i="155"/>
  <c r="L1483" i="155"/>
  <c r="L1519" i="155"/>
  <c r="L1555" i="155"/>
  <c r="L1641" i="155"/>
  <c r="L1677" i="155"/>
  <c r="L1713" i="155"/>
  <c r="L1749" i="155"/>
  <c r="L1873" i="155"/>
  <c r="L1909" i="155"/>
  <c r="L1945" i="155"/>
  <c r="L1981" i="155"/>
  <c r="L2017" i="155"/>
  <c r="L2053" i="155"/>
  <c r="L2094" i="155"/>
  <c r="L2130" i="155"/>
  <c r="L2166" i="155"/>
  <c r="L2202" i="155"/>
  <c r="L2238" i="155"/>
  <c r="L2274" i="155"/>
  <c r="L2310" i="155"/>
  <c r="L2346" i="155"/>
  <c r="L2382" i="155"/>
  <c r="L2418" i="155"/>
  <c r="L2454" i="155"/>
  <c r="L2490" i="155"/>
  <c r="L2526" i="155"/>
  <c r="L2562" i="155"/>
  <c r="L2598" i="155"/>
  <c r="L151" i="155"/>
  <c r="L225" i="155"/>
  <c r="L297" i="155"/>
  <c r="L369" i="155"/>
  <c r="L441" i="155"/>
  <c r="L513" i="155"/>
  <c r="L585" i="155"/>
  <c r="L657" i="155"/>
  <c r="L729" i="155"/>
  <c r="L801" i="155"/>
  <c r="L881" i="155"/>
  <c r="L953" i="155"/>
  <c r="L1025" i="155"/>
  <c r="L1097" i="155"/>
  <c r="L1169" i="155"/>
  <c r="L1241" i="155"/>
  <c r="L1313" i="155"/>
  <c r="L1385" i="155"/>
  <c r="L1457" i="155"/>
  <c r="L1529" i="155"/>
  <c r="L1651" i="155"/>
  <c r="L1723" i="155"/>
  <c r="L1883" i="155"/>
  <c r="L1955" i="155"/>
  <c r="L2027" i="155"/>
  <c r="L2104" i="155"/>
  <c r="L2176" i="155"/>
  <c r="L2248" i="155"/>
  <c r="L2320" i="155"/>
  <c r="L2392" i="155"/>
  <c r="L2464" i="155"/>
  <c r="L2536" i="155"/>
  <c r="L2608" i="155"/>
  <c r="L2680" i="155"/>
  <c r="L2752" i="155"/>
  <c r="L2813" i="155"/>
  <c r="L1812" i="155"/>
  <c r="L1848" i="155"/>
  <c r="L310" i="155"/>
  <c r="L454" i="155"/>
  <c r="L490" i="155"/>
  <c r="L526" i="155"/>
  <c r="L562" i="155"/>
  <c r="L598" i="155"/>
  <c r="L634" i="155"/>
  <c r="L670" i="155"/>
  <c r="L706" i="155"/>
  <c r="L742" i="155"/>
  <c r="L778" i="155"/>
  <c r="L814" i="155"/>
  <c r="L858" i="155"/>
  <c r="L894" i="155"/>
  <c r="L930" i="155"/>
  <c r="L966" i="155"/>
  <c r="L1002" i="155"/>
  <c r="L1038" i="155"/>
  <c r="L1074" i="155"/>
  <c r="L1110" i="155"/>
  <c r="L1146" i="155"/>
  <c r="L1182" i="155"/>
  <c r="L1218" i="155"/>
  <c r="L1254" i="155"/>
  <c r="L1290" i="155"/>
  <c r="L1326" i="155"/>
  <c r="L1362" i="155"/>
  <c r="L1398" i="155"/>
  <c r="L1434" i="155"/>
  <c r="L1470" i="155"/>
  <c r="L1506" i="155"/>
  <c r="L1542" i="155"/>
  <c r="L1628" i="155"/>
  <c r="L1664" i="155"/>
  <c r="L1700" i="155"/>
  <c r="L1736" i="155"/>
  <c r="L1860" i="155"/>
  <c r="L1896" i="155"/>
  <c r="L1932" i="155"/>
  <c r="L1968" i="155"/>
  <c r="L2004" i="155"/>
  <c r="L2040" i="155"/>
  <c r="L2081" i="155"/>
  <c r="L2117" i="155"/>
  <c r="L2153" i="155"/>
  <c r="L2189" i="155"/>
  <c r="L2225" i="155"/>
  <c r="L2261" i="155"/>
  <c r="L2297" i="155"/>
  <c r="L2333" i="155"/>
  <c r="L2369" i="155"/>
  <c r="L2405" i="155"/>
  <c r="L2441" i="155"/>
  <c r="L2477" i="155"/>
  <c r="L2513" i="155"/>
  <c r="L2549" i="155"/>
  <c r="L2585" i="155"/>
  <c r="L2621" i="155"/>
  <c r="L2657" i="155"/>
  <c r="L2693" i="155"/>
  <c r="L2729" i="155"/>
  <c r="L2765" i="155"/>
  <c r="L2796" i="155"/>
  <c r="L1771" i="155"/>
  <c r="L1807" i="155"/>
  <c r="L1843" i="155"/>
  <c r="L44" i="155"/>
  <c r="L196" i="155"/>
  <c r="L400" i="155"/>
  <c r="L147" i="155"/>
  <c r="L293" i="155"/>
  <c r="L329" i="155"/>
  <c r="L365" i="155"/>
  <c r="L401" i="155"/>
  <c r="L437" i="155"/>
  <c r="L473" i="155"/>
  <c r="L509" i="155"/>
  <c r="L545" i="155"/>
  <c r="L581" i="155"/>
  <c r="L617" i="155"/>
  <c r="L653" i="155"/>
  <c r="L689" i="155"/>
  <c r="L725" i="155"/>
  <c r="L761" i="155"/>
  <c r="L797" i="155"/>
  <c r="L841" i="155"/>
  <c r="L877" i="155"/>
  <c r="L913" i="155"/>
  <c r="L949" i="155"/>
  <c r="L985" i="155"/>
  <c r="L1021" i="155"/>
  <c r="L1057" i="155"/>
  <c r="L1093" i="155"/>
  <c r="L1129" i="155"/>
  <c r="L1165" i="155"/>
  <c r="L1201" i="155"/>
  <c r="L1237" i="155"/>
  <c r="L1273" i="155"/>
  <c r="L1309" i="155"/>
  <c r="L1345" i="155"/>
  <c r="L1381" i="155"/>
  <c r="L1417" i="155"/>
  <c r="L1453" i="155"/>
  <c r="L1489" i="155"/>
  <c r="L1525" i="155"/>
  <c r="L1561" i="155"/>
  <c r="L1647" i="155"/>
  <c r="L1683" i="155"/>
  <c r="L1719" i="155"/>
  <c r="L1755" i="155"/>
  <c r="L1879" i="155"/>
  <c r="L1915" i="155"/>
  <c r="L1951" i="155"/>
  <c r="L1987" i="155"/>
  <c r="L2023" i="155"/>
  <c r="L2059" i="155"/>
  <c r="L2100" i="155"/>
  <c r="L2136" i="155"/>
  <c r="L2172" i="155"/>
  <c r="L2208" i="155"/>
  <c r="L2244" i="155"/>
  <c r="L2280" i="155"/>
  <c r="L2316" i="155"/>
  <c r="L2352" i="155"/>
  <c r="L2388" i="155"/>
  <c r="L2424" i="155"/>
  <c r="L2460" i="155"/>
  <c r="L2496" i="155"/>
  <c r="L2532" i="155"/>
  <c r="L2568" i="155"/>
  <c r="L2604" i="155"/>
  <c r="L164" i="155"/>
  <c r="L237" i="155"/>
  <c r="L309" i="155"/>
  <c r="L381" i="155"/>
  <c r="L453" i="155"/>
  <c r="L525" i="155"/>
  <c r="L597" i="155"/>
  <c r="L669" i="155"/>
  <c r="L741" i="155"/>
  <c r="L813" i="155"/>
  <c r="L893" i="155"/>
  <c r="L965" i="155"/>
  <c r="L1037" i="155"/>
  <c r="L1109" i="155"/>
  <c r="L1181" i="155"/>
  <c r="L1253" i="155"/>
  <c r="L1325" i="155"/>
  <c r="L1397" i="155"/>
  <c r="L1469" i="155"/>
  <c r="L1541" i="155"/>
  <c r="L1663" i="155"/>
  <c r="L1735" i="155"/>
  <c r="L1895" i="155"/>
  <c r="L1967" i="155"/>
  <c r="L2039" i="155"/>
  <c r="L2116" i="155"/>
  <c r="L2188" i="155"/>
  <c r="L2260" i="155"/>
  <c r="L2332" i="155"/>
  <c r="L2404" i="155"/>
  <c r="L2476" i="155"/>
  <c r="L2548" i="155"/>
  <c r="L2620" i="155"/>
  <c r="L2692" i="155"/>
  <c r="L2764" i="155"/>
  <c r="L1770" i="155"/>
  <c r="L1818" i="155"/>
  <c r="L1854" i="155"/>
  <c r="L110" i="155"/>
  <c r="F89" i="11" s="1"/>
  <c r="L346" i="155"/>
  <c r="L460" i="155"/>
  <c r="L496" i="155"/>
  <c r="L532" i="155"/>
  <c r="L568" i="155"/>
  <c r="L604" i="155"/>
  <c r="L640" i="155"/>
  <c r="L676" i="155"/>
  <c r="L712" i="155"/>
  <c r="L748" i="155"/>
  <c r="L784" i="155"/>
  <c r="L820" i="155"/>
  <c r="L864" i="155"/>
  <c r="L900" i="155"/>
  <c r="L936" i="155"/>
  <c r="L972" i="155"/>
  <c r="L1008" i="155"/>
  <c r="L1044" i="155"/>
  <c r="L1080" i="155"/>
  <c r="L1116" i="155"/>
  <c r="L1152" i="155"/>
  <c r="L1188" i="155"/>
  <c r="L1224" i="155"/>
  <c r="L1260" i="155"/>
  <c r="L1296" i="155"/>
  <c r="L1332" i="155"/>
  <c r="L1368" i="155"/>
  <c r="L1404" i="155"/>
  <c r="L1440" i="155"/>
  <c r="L1476" i="155"/>
  <c r="L1512" i="155"/>
  <c r="L1548" i="155"/>
  <c r="L1634" i="155"/>
  <c r="L1670" i="155"/>
  <c r="L1706" i="155"/>
  <c r="L1742" i="155"/>
  <c r="L1866" i="155"/>
  <c r="L1902" i="155"/>
  <c r="L1938" i="155"/>
  <c r="L1974" i="155"/>
  <c r="L2010" i="155"/>
  <c r="L2046" i="155"/>
  <c r="L2087" i="155"/>
  <c r="L2123" i="155"/>
  <c r="L2159" i="155"/>
  <c r="L2195" i="155"/>
  <c r="L2231" i="155"/>
  <c r="L2267" i="155"/>
  <c r="L2303" i="155"/>
  <c r="L2339" i="155"/>
  <c r="L2375" i="155"/>
  <c r="L2411" i="155"/>
  <c r="L2447" i="155"/>
  <c r="L2483" i="155"/>
  <c r="L2519" i="155"/>
  <c r="L2555" i="155"/>
  <c r="L2591" i="155"/>
  <c r="L2627" i="155"/>
  <c r="L2663" i="155"/>
  <c r="L2699" i="155"/>
  <c r="L2735" i="155"/>
  <c r="L2771" i="155"/>
  <c r="L2802" i="155"/>
  <c r="L1777" i="155"/>
  <c r="L1813" i="155"/>
  <c r="L1849" i="155"/>
  <c r="L232" i="155"/>
  <c r="L430" i="155"/>
  <c r="L81" i="155"/>
  <c r="L178" i="155"/>
  <c r="L299" i="155"/>
  <c r="L335" i="155"/>
  <c r="L371" i="155"/>
  <c r="L407" i="155"/>
  <c r="L443" i="155"/>
  <c r="L479" i="155"/>
  <c r="L515" i="155"/>
  <c r="L551" i="155"/>
  <c r="L587" i="155"/>
  <c r="L623" i="155"/>
  <c r="L659" i="155"/>
  <c r="L695" i="155"/>
  <c r="L731" i="155"/>
  <c r="L767" i="155"/>
  <c r="L803" i="155"/>
  <c r="L847" i="155"/>
  <c r="L883" i="155"/>
  <c r="L919" i="155"/>
  <c r="L955" i="155"/>
  <c r="L991" i="155"/>
  <c r="L1027" i="155"/>
  <c r="L1063" i="155"/>
  <c r="L1099" i="155"/>
  <c r="L1135" i="155"/>
  <c r="L1171" i="155"/>
  <c r="L1207" i="155"/>
  <c r="L1243" i="155"/>
  <c r="L1279" i="155"/>
  <c r="L1315" i="155"/>
  <c r="L1351" i="155"/>
  <c r="L1387" i="155"/>
  <c r="L1423" i="155"/>
  <c r="L1459" i="155"/>
  <c r="L1495" i="155"/>
  <c r="L1531" i="155"/>
  <c r="L1567" i="155"/>
  <c r="L1653" i="155"/>
  <c r="L1689" i="155"/>
  <c r="L1725" i="155"/>
  <c r="L1761" i="155"/>
  <c r="L1885" i="155"/>
  <c r="L1921" i="155"/>
  <c r="L1957" i="155"/>
  <c r="L1993" i="155"/>
  <c r="L2029" i="155"/>
  <c r="L2065" i="155"/>
  <c r="L2106" i="155"/>
  <c r="L2142" i="155"/>
  <c r="L2178" i="155"/>
  <c r="L2214" i="155"/>
  <c r="L2250" i="155"/>
  <c r="L2286" i="155"/>
  <c r="L2322" i="155"/>
  <c r="L2358" i="155"/>
  <c r="L2394" i="155"/>
  <c r="L2430" i="155"/>
  <c r="L2466" i="155"/>
  <c r="L2502" i="155"/>
  <c r="L2538" i="155"/>
  <c r="L2574" i="155"/>
  <c r="L2610" i="155"/>
  <c r="L176" i="155"/>
  <c r="L249" i="155"/>
  <c r="L321" i="155"/>
  <c r="L393" i="155"/>
  <c r="L465" i="155"/>
  <c r="L537" i="155"/>
  <c r="L609" i="155"/>
  <c r="L681" i="155"/>
  <c r="L753" i="155"/>
  <c r="L825" i="155"/>
  <c r="L905" i="155"/>
  <c r="L977" i="155"/>
  <c r="L1049" i="155"/>
  <c r="L1121" i="155"/>
  <c r="L1193" i="155"/>
  <c r="L1265" i="155"/>
  <c r="L1337" i="155"/>
  <c r="L1409" i="155"/>
  <c r="L1481" i="155"/>
  <c r="L1553" i="155"/>
  <c r="L1675" i="155"/>
  <c r="L1747" i="155"/>
  <c r="L1907" i="155"/>
  <c r="L1979" i="155"/>
  <c r="L2051" i="155"/>
  <c r="L2128" i="155"/>
  <c r="L2200" i="155"/>
  <c r="L2272" i="155"/>
  <c r="L2344" i="155"/>
  <c r="L2416" i="155"/>
  <c r="L2488" i="155"/>
  <c r="L2560" i="155"/>
  <c r="L2632" i="155"/>
  <c r="L2704" i="155"/>
  <c r="L1782" i="155"/>
  <c r="L1824" i="155"/>
  <c r="L146" i="155"/>
  <c r="L376" i="155"/>
  <c r="L466" i="155"/>
  <c r="L502" i="155"/>
  <c r="L538" i="155"/>
  <c r="L574" i="155"/>
  <c r="L610" i="155"/>
  <c r="L646" i="155"/>
  <c r="L682" i="155"/>
  <c r="L718" i="155"/>
  <c r="L754" i="155"/>
  <c r="L790" i="155"/>
  <c r="L826" i="155"/>
  <c r="L870" i="155"/>
  <c r="L906" i="155"/>
  <c r="L942" i="155"/>
  <c r="L978" i="155"/>
  <c r="L1014" i="155"/>
  <c r="L1050" i="155"/>
  <c r="L1086" i="155"/>
  <c r="L1122" i="155"/>
  <c r="L1158" i="155"/>
  <c r="L1194" i="155"/>
  <c r="L1230" i="155"/>
  <c r="L1266" i="155"/>
  <c r="L1302" i="155"/>
  <c r="L1338" i="155"/>
  <c r="L1374" i="155"/>
  <c r="L1410" i="155"/>
  <c r="L1446" i="155"/>
  <c r="L1482" i="155"/>
  <c r="L1518" i="155"/>
  <c r="L1554" i="155"/>
  <c r="L1640" i="155"/>
  <c r="L1676" i="155"/>
  <c r="L1712" i="155"/>
  <c r="L1748" i="155"/>
  <c r="L1872" i="155"/>
  <c r="L1908" i="155"/>
  <c r="L1944" i="155"/>
  <c r="L1980" i="155"/>
  <c r="L2016" i="155"/>
  <c r="L2052" i="155"/>
  <c r="L2093" i="155"/>
  <c r="L2129" i="155"/>
  <c r="L2165" i="155"/>
  <c r="L2201" i="155"/>
  <c r="L2237" i="155"/>
  <c r="L2273" i="155"/>
  <c r="L2309" i="155"/>
  <c r="L2345" i="155"/>
  <c r="L2381" i="155"/>
  <c r="L2417" i="155"/>
  <c r="L2453" i="155"/>
  <c r="L2489" i="155"/>
  <c r="L2525" i="155"/>
  <c r="L2561" i="155"/>
  <c r="L2597" i="155"/>
  <c r="L2633" i="155"/>
  <c r="L2669" i="155"/>
  <c r="L2705" i="155"/>
  <c r="L2741" i="155"/>
  <c r="L2808" i="155"/>
  <c r="L1783" i="155"/>
  <c r="L1819" i="155"/>
  <c r="L1855" i="155"/>
  <c r="L80" i="155"/>
  <c r="K27" i="11" s="1"/>
  <c r="L274" i="155"/>
  <c r="L27" i="155"/>
  <c r="L203" i="155"/>
  <c r="L305" i="155"/>
  <c r="L341" i="155"/>
  <c r="L377" i="155"/>
  <c r="L413" i="155"/>
  <c r="L449" i="155"/>
  <c r="L485" i="155"/>
  <c r="L521" i="155"/>
  <c r="L557" i="155"/>
  <c r="L593" i="155"/>
  <c r="L629" i="155"/>
  <c r="L665" i="155"/>
  <c r="L701" i="155"/>
  <c r="L737" i="155"/>
  <c r="L773" i="155"/>
  <c r="L809" i="155"/>
  <c r="L853" i="155"/>
  <c r="L889" i="155"/>
  <c r="L925" i="155"/>
  <c r="L961" i="155"/>
  <c r="L997" i="155"/>
  <c r="L1033" i="155"/>
  <c r="L1069" i="155"/>
  <c r="L1105" i="155"/>
  <c r="L1141" i="155"/>
  <c r="L1177" i="155"/>
  <c r="L1213" i="155"/>
  <c r="L1249" i="155"/>
  <c r="L1285" i="155"/>
  <c r="L1321" i="155"/>
  <c r="L1357" i="155"/>
  <c r="L1393" i="155"/>
  <c r="L1429" i="155"/>
  <c r="L1465" i="155"/>
  <c r="L1501" i="155"/>
  <c r="L1537" i="155"/>
  <c r="L1623" i="155"/>
  <c r="L1659" i="155"/>
  <c r="L1695" i="155"/>
  <c r="L1731" i="155"/>
  <c r="L1767" i="155"/>
  <c r="L1891" i="155"/>
  <c r="L1927" i="155"/>
  <c r="L1963" i="155"/>
  <c r="L1999" i="155"/>
  <c r="L2035" i="155"/>
  <c r="L2071" i="155"/>
  <c r="L2112" i="155"/>
  <c r="L2148" i="155"/>
  <c r="L2184" i="155"/>
  <c r="L2220" i="155"/>
  <c r="L2256" i="155"/>
  <c r="L2292" i="155"/>
  <c r="L2328" i="155"/>
  <c r="L2364" i="155"/>
  <c r="L2400" i="155"/>
  <c r="L2436" i="155"/>
  <c r="L2472" i="155"/>
  <c r="L2508" i="155"/>
  <c r="L2544" i="155"/>
  <c r="L2580" i="155"/>
  <c r="L2616" i="155"/>
  <c r="L188" i="155"/>
  <c r="L261" i="155"/>
  <c r="L333" i="155"/>
  <c r="L405" i="155"/>
  <c r="L477" i="155"/>
  <c r="L549" i="155"/>
  <c r="L621" i="155"/>
  <c r="L693" i="155"/>
  <c r="L765" i="155"/>
  <c r="L845" i="155"/>
  <c r="L917" i="155"/>
  <c r="L989" i="155"/>
  <c r="L1061" i="155"/>
  <c r="L1133" i="155"/>
  <c r="L1205" i="155"/>
  <c r="L1277" i="155"/>
  <c r="L1349" i="155"/>
  <c r="L1421" i="155"/>
  <c r="L1493" i="155"/>
  <c r="L1565" i="155"/>
  <c r="L1687" i="155"/>
  <c r="L1759" i="155"/>
  <c r="L1919" i="155"/>
  <c r="L1991" i="155"/>
  <c r="L2063" i="155"/>
  <c r="L2140" i="155"/>
  <c r="L2212" i="155"/>
  <c r="L2284" i="155"/>
  <c r="L2356" i="155"/>
  <c r="L2428" i="155"/>
  <c r="L2500" i="155"/>
  <c r="L2572" i="155"/>
  <c r="L2644" i="155"/>
  <c r="L2716" i="155"/>
  <c r="L2783" i="155"/>
  <c r="L1794" i="155"/>
  <c r="L1830" i="155"/>
  <c r="L38" i="155"/>
  <c r="G17" i="10" s="1"/>
  <c r="L183" i="155"/>
  <c r="L412" i="155"/>
  <c r="L472" i="155"/>
  <c r="L508" i="155"/>
  <c r="L544" i="155"/>
  <c r="L580" i="155"/>
  <c r="L616" i="155"/>
  <c r="L652" i="155"/>
  <c r="L688" i="155"/>
  <c r="L724" i="155"/>
  <c r="L760" i="155"/>
  <c r="L796" i="155"/>
  <c r="L840" i="155"/>
  <c r="L876" i="155"/>
  <c r="L912" i="155"/>
  <c r="L948" i="155"/>
  <c r="L984" i="155"/>
  <c r="L1020" i="155"/>
  <c r="L1056" i="155"/>
  <c r="L1092" i="155"/>
  <c r="L1128" i="155"/>
  <c r="L1164" i="155"/>
  <c r="L1200" i="155"/>
  <c r="L1236" i="155"/>
  <c r="L1272" i="155"/>
  <c r="L1308" i="155"/>
  <c r="L1344" i="155"/>
  <c r="L1380" i="155"/>
  <c r="L1416" i="155"/>
  <c r="L1452" i="155"/>
  <c r="L1488" i="155"/>
  <c r="L1524" i="155"/>
  <c r="L1560" i="155"/>
  <c r="L1646" i="155"/>
  <c r="L1682" i="155"/>
  <c r="L1718" i="155"/>
  <c r="L1754" i="155"/>
  <c r="L1878" i="155"/>
  <c r="L1914" i="155"/>
  <c r="L1950" i="155"/>
  <c r="L1986" i="155"/>
  <c r="L2022" i="155"/>
  <c r="L2058" i="155"/>
  <c r="L2099" i="155"/>
  <c r="L2135" i="155"/>
  <c r="L2171" i="155"/>
  <c r="L2207" i="155"/>
  <c r="L2243" i="155"/>
  <c r="L2279" i="155"/>
  <c r="L2315" i="155"/>
  <c r="L2351" i="155"/>
  <c r="L2387" i="155"/>
  <c r="L2423" i="155"/>
  <c r="L2459" i="155"/>
  <c r="L2495" i="155"/>
  <c r="L2531" i="155"/>
  <c r="L2567" i="155"/>
  <c r="L2603" i="155"/>
  <c r="L2639" i="155"/>
  <c r="L2675" i="155"/>
  <c r="L2711" i="155"/>
  <c r="L2747" i="155"/>
  <c r="L2778" i="155"/>
  <c r="L2818" i="155"/>
  <c r="L1789" i="155"/>
  <c r="L1825" i="155"/>
  <c r="L8" i="155"/>
  <c r="F15" i="156" s="1"/>
  <c r="L304" i="155"/>
  <c r="L105" i="155"/>
  <c r="F72" i="11" s="1"/>
  <c r="L233" i="155"/>
  <c r="L311" i="155"/>
  <c r="L347" i="155"/>
  <c r="L383" i="155"/>
  <c r="L419" i="155"/>
  <c r="L455" i="155"/>
  <c r="L491" i="155"/>
  <c r="L527" i="155"/>
  <c r="L563" i="155"/>
  <c r="L599" i="155"/>
  <c r="L635" i="155"/>
  <c r="L671" i="155"/>
  <c r="L707" i="155"/>
  <c r="L743" i="155"/>
  <c r="L779" i="155"/>
  <c r="L815" i="155"/>
  <c r="L859" i="155"/>
  <c r="L895" i="155"/>
  <c r="L931" i="155"/>
  <c r="L967" i="155"/>
  <c r="L1003" i="155"/>
  <c r="L1039" i="155"/>
  <c r="L1075" i="155"/>
  <c r="L1111" i="155"/>
  <c r="L1147" i="155"/>
  <c r="L1183" i="155"/>
  <c r="L1219" i="155"/>
  <c r="L1255" i="155"/>
  <c r="L201" i="155"/>
  <c r="L273" i="155"/>
  <c r="L345" i="155"/>
  <c r="L417" i="155"/>
  <c r="L489" i="155"/>
  <c r="L561" i="155"/>
  <c r="L633" i="155"/>
  <c r="L705" i="155"/>
  <c r="L777" i="155"/>
  <c r="L857" i="155"/>
  <c r="L929" i="155"/>
  <c r="L1001" i="155"/>
  <c r="L1073" i="155"/>
  <c r="L1145" i="155"/>
  <c r="L1217" i="155"/>
  <c r="L1289" i="155"/>
  <c r="L1361" i="155"/>
  <c r="L1433" i="155"/>
  <c r="L1505" i="155"/>
  <c r="L1627" i="155"/>
  <c r="L1699" i="155"/>
  <c r="L1859" i="155"/>
  <c r="L1931" i="155"/>
  <c r="L2003" i="155"/>
  <c r="L2080" i="155"/>
  <c r="L2152" i="155"/>
  <c r="L2224" i="155"/>
  <c r="L2296" i="155"/>
  <c r="L2368" i="155"/>
  <c r="L2440" i="155"/>
  <c r="L2512" i="155"/>
  <c r="L2584" i="155"/>
  <c r="L2656" i="155"/>
  <c r="L2728" i="155"/>
  <c r="L2795" i="155"/>
  <c r="L1800" i="155"/>
  <c r="L1836" i="155"/>
  <c r="L226" i="155"/>
  <c r="L424" i="155"/>
  <c r="L478" i="155"/>
  <c r="L514" i="155"/>
  <c r="L550" i="155"/>
  <c r="L586" i="155"/>
  <c r="L622" i="155"/>
  <c r="L658" i="155"/>
  <c r="L694" i="155"/>
  <c r="L730" i="155"/>
  <c r="L766" i="155"/>
  <c r="L802" i="155"/>
  <c r="L846" i="155"/>
  <c r="L882" i="155"/>
  <c r="L918" i="155"/>
  <c r="L954" i="155"/>
  <c r="L990" i="155"/>
  <c r="L1026" i="155"/>
  <c r="L1062" i="155"/>
  <c r="L1098" i="155"/>
  <c r="L1134" i="155"/>
  <c r="L1170" i="155"/>
  <c r="L1206" i="155"/>
  <c r="L1242" i="155"/>
  <c r="L1278" i="155"/>
  <c r="L1314" i="155"/>
  <c r="L1350" i="155"/>
  <c r="L1386" i="155"/>
  <c r="L1422" i="155"/>
  <c r="L1458" i="155"/>
  <c r="L1494" i="155"/>
  <c r="L1530" i="155"/>
  <c r="L1566" i="155"/>
  <c r="L1652" i="155"/>
  <c r="L1688" i="155"/>
  <c r="L1724" i="155"/>
  <c r="L1760" i="155"/>
  <c r="L1884" i="155"/>
  <c r="L1920" i="155"/>
  <c r="L1956" i="155"/>
  <c r="L1992" i="155"/>
  <c r="L2028" i="155"/>
  <c r="L2064" i="155"/>
  <c r="L2105" i="155"/>
  <c r="L2141" i="155"/>
  <c r="L2177" i="155"/>
  <c r="L2213" i="155"/>
  <c r="L2249" i="155"/>
  <c r="L2285" i="155"/>
  <c r="L2321" i="155"/>
  <c r="L2357" i="155"/>
  <c r="L2393" i="155"/>
  <c r="L2429" i="155"/>
  <c r="L2465" i="155"/>
  <c r="L2501" i="155"/>
  <c r="L2537" i="155"/>
  <c r="L2573" i="155"/>
  <c r="L2609" i="155"/>
  <c r="L2645" i="155"/>
  <c r="L2681" i="155"/>
  <c r="L2717" i="155"/>
  <c r="L2753" i="155"/>
  <c r="L2784" i="155"/>
  <c r="L2815" i="155"/>
  <c r="L1795" i="155"/>
  <c r="L1831" i="155"/>
  <c r="L116" i="155"/>
  <c r="F17" i="14" s="1"/>
  <c r="L340" i="155"/>
  <c r="L57" i="155"/>
  <c r="L263" i="155"/>
  <c r="L317" i="155"/>
  <c r="L353" i="155"/>
  <c r="L389" i="155"/>
  <c r="L425" i="155"/>
  <c r="L461" i="155"/>
  <c r="L497" i="155"/>
  <c r="L533" i="155"/>
  <c r="L569" i="155"/>
  <c r="L605" i="155"/>
  <c r="L641" i="155"/>
  <c r="L677" i="155"/>
  <c r="L713" i="155"/>
  <c r="L749" i="155"/>
  <c r="L785" i="155"/>
  <c r="L821" i="155"/>
  <c r="L865" i="155"/>
  <c r="L901" i="155"/>
  <c r="L937" i="155"/>
  <c r="L973" i="155"/>
  <c r="L1009" i="155"/>
  <c r="L1045" i="155"/>
  <c r="L1081" i="155"/>
  <c r="L1117" i="155"/>
  <c r="L1153" i="155"/>
  <c r="L1189" i="155"/>
  <c r="L1225" i="155"/>
  <c r="L1261" i="155"/>
  <c r="L1297" i="155"/>
  <c r="L1333" i="155"/>
  <c r="L1369" i="155"/>
  <c r="L1405" i="155"/>
  <c r="L1441" i="155"/>
  <c r="L1477" i="155"/>
  <c r="L1513" i="155"/>
  <c r="L1549" i="155"/>
  <c r="L1635" i="155"/>
  <c r="L1671" i="155"/>
  <c r="L1707" i="155"/>
  <c r="L1743" i="155"/>
  <c r="L1867" i="155"/>
  <c r="L1903" i="155"/>
  <c r="L1939" i="155"/>
  <c r="L1975" i="155"/>
  <c r="L2011" i="155"/>
  <c r="L2047" i="155"/>
  <c r="L2088" i="155"/>
  <c r="L2124" i="155"/>
  <c r="L2160" i="155"/>
  <c r="L2196" i="155"/>
  <c r="L2232" i="155"/>
  <c r="L2268" i="155"/>
  <c r="L2304" i="155"/>
  <c r="L2340" i="155"/>
  <c r="L2376" i="155"/>
  <c r="L2412" i="155"/>
  <c r="L2448" i="155"/>
  <c r="L2484" i="155"/>
  <c r="L2520" i="155"/>
  <c r="L2556" i="155"/>
  <c r="L2592" i="155"/>
  <c r="L1291" i="155"/>
  <c r="L1507" i="155"/>
  <c r="L1861" i="155"/>
  <c r="L2082" i="155"/>
  <c r="L2298" i="155"/>
  <c r="L2514" i="155"/>
  <c r="L2640" i="155"/>
  <c r="L2676" i="155"/>
  <c r="L2712" i="155"/>
  <c r="L2748" i="155"/>
  <c r="L2779" i="155"/>
  <c r="L2820" i="155"/>
  <c r="L1790" i="155"/>
  <c r="L1826" i="155"/>
  <c r="L26" i="155"/>
  <c r="L177" i="155"/>
  <c r="L388" i="155"/>
  <c r="L51" i="155"/>
  <c r="F20" i="11" s="1"/>
  <c r="L245" i="155"/>
  <c r="L70" i="155"/>
  <c r="K17" i="11" s="1"/>
  <c r="L124" i="155"/>
  <c r="L234" i="155"/>
  <c r="L306" i="155"/>
  <c r="L348" i="155"/>
  <c r="L384" i="155"/>
  <c r="L420" i="155"/>
  <c r="L456" i="155"/>
  <c r="L492" i="155"/>
  <c r="L528" i="155"/>
  <c r="L564" i="155"/>
  <c r="L600" i="155"/>
  <c r="L636" i="155"/>
  <c r="L672" i="155"/>
  <c r="L708" i="155"/>
  <c r="L744" i="155"/>
  <c r="L780" i="155"/>
  <c r="L816" i="155"/>
  <c r="L860" i="155"/>
  <c r="L896" i="155"/>
  <c r="L932" i="155"/>
  <c r="L968" i="155"/>
  <c r="L1004" i="155"/>
  <c r="L1040" i="155"/>
  <c r="L1076" i="155"/>
  <c r="L1112" i="155"/>
  <c r="L1148" i="155"/>
  <c r="L1184" i="155"/>
  <c r="L1220" i="155"/>
  <c r="L1256" i="155"/>
  <c r="L1292" i="155"/>
  <c r="L1328" i="155"/>
  <c r="L1364" i="155"/>
  <c r="L1400" i="155"/>
  <c r="L1436" i="155"/>
  <c r="L1472" i="155"/>
  <c r="L1508" i="155"/>
  <c r="L1544" i="155"/>
  <c r="L1630" i="155"/>
  <c r="L1666" i="155"/>
  <c r="L1702" i="155"/>
  <c r="L1738" i="155"/>
  <c r="L1862" i="155"/>
  <c r="L1898" i="155"/>
  <c r="L1934" i="155"/>
  <c r="L1970" i="155"/>
  <c r="L2006" i="155"/>
  <c r="L2042" i="155"/>
  <c r="L2083" i="155"/>
  <c r="L2119" i="155"/>
  <c r="L2155" i="155"/>
  <c r="L2191" i="155"/>
  <c r="L2227" i="155"/>
  <c r="L2263" i="155"/>
  <c r="L2299" i="155"/>
  <c r="L2335" i="155"/>
  <c r="L2371" i="155"/>
  <c r="L2407" i="155"/>
  <c r="L2443" i="155"/>
  <c r="L2479" i="155"/>
  <c r="L2515" i="155"/>
  <c r="L2551" i="155"/>
  <c r="L2587" i="155"/>
  <c r="L2623" i="155"/>
  <c r="L2659" i="155"/>
  <c r="L2695" i="155"/>
  <c r="L2731" i="155"/>
  <c r="L2767" i="155"/>
  <c r="L2798" i="155"/>
  <c r="L1773" i="155"/>
  <c r="L1809" i="155"/>
  <c r="L1845" i="155"/>
  <c r="L268" i="155"/>
  <c r="L21" i="155"/>
  <c r="K14" i="156" s="1"/>
  <c r="L190" i="155"/>
  <c r="L198" i="155"/>
  <c r="L294" i="155"/>
  <c r="L217" i="155"/>
  <c r="L433" i="155"/>
  <c r="L541" i="155"/>
  <c r="L613" i="155"/>
  <c r="L721" i="155"/>
  <c r="L873" i="155"/>
  <c r="L981" i="155"/>
  <c r="L1089" i="155"/>
  <c r="L1197" i="155"/>
  <c r="L1305" i="155"/>
  <c r="L1377" i="155"/>
  <c r="L1449" i="155"/>
  <c r="L1521" i="155"/>
  <c r="L1679" i="155"/>
  <c r="L1875" i="155"/>
  <c r="L1983" i="155"/>
  <c r="L2132" i="155"/>
  <c r="L2240" i="155"/>
  <c r="L2348" i="155"/>
  <c r="L2456" i="155"/>
  <c r="L2600" i="155"/>
  <c r="L2744" i="155"/>
  <c r="L1822" i="155"/>
  <c r="L1327" i="155"/>
  <c r="L1543" i="155"/>
  <c r="L1897" i="155"/>
  <c r="L2118" i="155"/>
  <c r="L2334" i="155"/>
  <c r="L2550" i="155"/>
  <c r="L2646" i="155"/>
  <c r="L2682" i="155"/>
  <c r="L2718" i="155"/>
  <c r="L2754" i="155"/>
  <c r="L2785" i="155"/>
  <c r="L2817" i="155"/>
  <c r="L1796" i="155"/>
  <c r="L1832" i="155"/>
  <c r="L214" i="155"/>
  <c r="L418" i="155"/>
  <c r="L123" i="155"/>
  <c r="F24" i="14" s="1"/>
  <c r="L287" i="155"/>
  <c r="L252" i="155"/>
  <c r="L318" i="155"/>
  <c r="L354" i="155"/>
  <c r="L390" i="155"/>
  <c r="L426" i="155"/>
  <c r="L462" i="155"/>
  <c r="L498" i="155"/>
  <c r="L534" i="155"/>
  <c r="L570" i="155"/>
  <c r="L606" i="155"/>
  <c r="L642" i="155"/>
  <c r="L678" i="155"/>
  <c r="L714" i="155"/>
  <c r="L750" i="155"/>
  <c r="L786" i="155"/>
  <c r="L822" i="155"/>
  <c r="L866" i="155"/>
  <c r="L902" i="155"/>
  <c r="L938" i="155"/>
  <c r="L974" i="155"/>
  <c r="L1010" i="155"/>
  <c r="L1046" i="155"/>
  <c r="L1082" i="155"/>
  <c r="L1118" i="155"/>
  <c r="L1154" i="155"/>
  <c r="L1190" i="155"/>
  <c r="L1226" i="155"/>
  <c r="L1262" i="155"/>
  <c r="L1298" i="155"/>
  <c r="L1334" i="155"/>
  <c r="L1370" i="155"/>
  <c r="L1406" i="155"/>
  <c r="L1442" i="155"/>
  <c r="L1478" i="155"/>
  <c r="L1514" i="155"/>
  <c r="L1550" i="155"/>
  <c r="L1636" i="155"/>
  <c r="L1672" i="155"/>
  <c r="L1708" i="155"/>
  <c r="L1744" i="155"/>
  <c r="L1868" i="155"/>
  <c r="L1904" i="155"/>
  <c r="L1940" i="155"/>
  <c r="L1976" i="155"/>
  <c r="L2012" i="155"/>
  <c r="L2048" i="155"/>
  <c r="L2089" i="155"/>
  <c r="L2125" i="155"/>
  <c r="L2161" i="155"/>
  <c r="L2197" i="155"/>
  <c r="L2233" i="155"/>
  <c r="L2269" i="155"/>
  <c r="L2305" i="155"/>
  <c r="L2341" i="155"/>
  <c r="L2377" i="155"/>
  <c r="L2413" i="155"/>
  <c r="L2449" i="155"/>
  <c r="L2485" i="155"/>
  <c r="L2521" i="155"/>
  <c r="L2557" i="155"/>
  <c r="L2593" i="155"/>
  <c r="L2629" i="155"/>
  <c r="L2665" i="155"/>
  <c r="L2701" i="155"/>
  <c r="L2737" i="155"/>
  <c r="L2773" i="155"/>
  <c r="L2804" i="155"/>
  <c r="L1779" i="155"/>
  <c r="L1815" i="155"/>
  <c r="L1851" i="155"/>
  <c r="L98" i="155"/>
  <c r="F55" i="11" s="1"/>
  <c r="L298" i="155"/>
  <c r="L93" i="155"/>
  <c r="F50" i="11" s="1"/>
  <c r="L215" i="155"/>
  <c r="L28" i="155"/>
  <c r="K21" i="156" s="1"/>
  <c r="L76" i="155"/>
  <c r="K23" i="11" s="1"/>
  <c r="L130" i="155"/>
  <c r="L216" i="155"/>
  <c r="L312" i="155"/>
  <c r="L23" i="155"/>
  <c r="K16" i="156" s="1"/>
  <c r="L41" i="155"/>
  <c r="G20" i="10" s="1"/>
  <c r="L59" i="155"/>
  <c r="L77" i="155"/>
  <c r="K24" i="11" s="1"/>
  <c r="L95" i="155"/>
  <c r="F52" i="11" s="1"/>
  <c r="L113" i="155"/>
  <c r="F14" i="14" s="1"/>
  <c r="L137" i="155"/>
  <c r="L174" i="155"/>
  <c r="L211" i="155"/>
  <c r="L247" i="155"/>
  <c r="L283" i="155"/>
  <c r="L319" i="155"/>
  <c r="L355" i="155"/>
  <c r="L391" i="155"/>
  <c r="L427" i="155"/>
  <c r="L463" i="155"/>
  <c r="L499" i="155"/>
  <c r="L535" i="155"/>
  <c r="L571" i="155"/>
  <c r="L607" i="155"/>
  <c r="L643" i="155"/>
  <c r="L679" i="155"/>
  <c r="L715" i="155"/>
  <c r="L751" i="155"/>
  <c r="L787" i="155"/>
  <c r="L823" i="155"/>
  <c r="L867" i="155"/>
  <c r="L903" i="155"/>
  <c r="L939" i="155"/>
  <c r="L975" i="155"/>
  <c r="L1011" i="155"/>
  <c r="L1047" i="155"/>
  <c r="L1083" i="155"/>
  <c r="L1119" i="155"/>
  <c r="L1155" i="155"/>
  <c r="L1191" i="155"/>
  <c r="L1227" i="155"/>
  <c r="L1263" i="155"/>
  <c r="L1299" i="155"/>
  <c r="L1335" i="155"/>
  <c r="L1371" i="155"/>
  <c r="L1407" i="155"/>
  <c r="L1443" i="155"/>
  <c r="L1479" i="155"/>
  <c r="L1515" i="155"/>
  <c r="L1551" i="155"/>
  <c r="L1637" i="155"/>
  <c r="L1673" i="155"/>
  <c r="L1709" i="155"/>
  <c r="L1745" i="155"/>
  <c r="L1869" i="155"/>
  <c r="L1905" i="155"/>
  <c r="L1941" i="155"/>
  <c r="L1977" i="155"/>
  <c r="L2013" i="155"/>
  <c r="L2049" i="155"/>
  <c r="L2090" i="155"/>
  <c r="L2126" i="155"/>
  <c r="L2162" i="155"/>
  <c r="L2198" i="155"/>
  <c r="L2234" i="155"/>
  <c r="L2270" i="155"/>
  <c r="L2306" i="155"/>
  <c r="L2342" i="155"/>
  <c r="L2378" i="155"/>
  <c r="L2414" i="155"/>
  <c r="L2450" i="155"/>
  <c r="L2486" i="155"/>
  <c r="L2522" i="155"/>
  <c r="L2558" i="155"/>
  <c r="L2594" i="155"/>
  <c r="L2630" i="155"/>
  <c r="L2666" i="155"/>
  <c r="L2702" i="155"/>
  <c r="L2738" i="155"/>
  <c r="L2774" i="155"/>
  <c r="L2805" i="155"/>
  <c r="L1780" i="155"/>
  <c r="L1816" i="155"/>
  <c r="L1852" i="155"/>
  <c r="L228" i="155"/>
  <c r="L11" i="155"/>
  <c r="L1363" i="155"/>
  <c r="L1629" i="155"/>
  <c r="L1933" i="155"/>
  <c r="L2154" i="155"/>
  <c r="L2370" i="155"/>
  <c r="L2586" i="155"/>
  <c r="L2652" i="155"/>
  <c r="L2688" i="155"/>
  <c r="L2724" i="155"/>
  <c r="L2760" i="155"/>
  <c r="L2791" i="155"/>
  <c r="L2827" i="155"/>
  <c r="L1802" i="155"/>
  <c r="L1838" i="155"/>
  <c r="L68" i="155"/>
  <c r="K15" i="11" s="1"/>
  <c r="L250" i="155"/>
  <c r="L9" i="155"/>
  <c r="F16" i="156" s="1"/>
  <c r="L75" i="155"/>
  <c r="L154" i="155"/>
  <c r="L34" i="155"/>
  <c r="G13" i="10" s="1"/>
  <c r="L88" i="155"/>
  <c r="F45" i="11" s="1"/>
  <c r="L155" i="155"/>
  <c r="L270" i="155"/>
  <c r="L324" i="155"/>
  <c r="L360" i="155"/>
  <c r="L396" i="155"/>
  <c r="L432" i="155"/>
  <c r="L468" i="155"/>
  <c r="L504" i="155"/>
  <c r="L540" i="155"/>
  <c r="L576" i="155"/>
  <c r="L612" i="155"/>
  <c r="L648" i="155"/>
  <c r="L684" i="155"/>
  <c r="L720" i="155"/>
  <c r="L756" i="155"/>
  <c r="L792" i="155"/>
  <c r="L836" i="155"/>
  <c r="L872" i="155"/>
  <c r="L908" i="155"/>
  <c r="L944" i="155"/>
  <c r="L980" i="155"/>
  <c r="L1016" i="155"/>
  <c r="L1052" i="155"/>
  <c r="L1088" i="155"/>
  <c r="L1124" i="155"/>
  <c r="L1160" i="155"/>
  <c r="L1196" i="155"/>
  <c r="L1232" i="155"/>
  <c r="L1268" i="155"/>
  <c r="L1304" i="155"/>
  <c r="L1340" i="155"/>
  <c r="L1376" i="155"/>
  <c r="L1412" i="155"/>
  <c r="L1448" i="155"/>
  <c r="L1484" i="155"/>
  <c r="L1520" i="155"/>
  <c r="L1556" i="155"/>
  <c r="L1642" i="155"/>
  <c r="L1678" i="155"/>
  <c r="L1714" i="155"/>
  <c r="L1750" i="155"/>
  <c r="L1874" i="155"/>
  <c r="L1910" i="155"/>
  <c r="L1946" i="155"/>
  <c r="L1982" i="155"/>
  <c r="L2018" i="155"/>
  <c r="L2054" i="155"/>
  <c r="L2095" i="155"/>
  <c r="L2131" i="155"/>
  <c r="L2167" i="155"/>
  <c r="L2203" i="155"/>
  <c r="L2239" i="155"/>
  <c r="L2275" i="155"/>
  <c r="L2311" i="155"/>
  <c r="L2347" i="155"/>
  <c r="L2383" i="155"/>
  <c r="L2419" i="155"/>
  <c r="L2455" i="155"/>
  <c r="L2491" i="155"/>
  <c r="L2527" i="155"/>
  <c r="L2563" i="155"/>
  <c r="L2599" i="155"/>
  <c r="L2635" i="155"/>
  <c r="L2671" i="155"/>
  <c r="L2707" i="155"/>
  <c r="L2743" i="155"/>
  <c r="L2810" i="155"/>
  <c r="L1785" i="155"/>
  <c r="L1821" i="155"/>
  <c r="L134" i="155"/>
  <c r="L334" i="155"/>
  <c r="L45" i="155"/>
  <c r="F14" i="11" s="1"/>
  <c r="L239" i="155"/>
  <c r="L1399" i="155"/>
  <c r="L1665" i="155"/>
  <c r="L1969" i="155"/>
  <c r="L2190" i="155"/>
  <c r="L2406" i="155"/>
  <c r="L2622" i="155"/>
  <c r="L2658" i="155"/>
  <c r="L2694" i="155"/>
  <c r="L2730" i="155"/>
  <c r="L2766" i="155"/>
  <c r="L2797" i="155"/>
  <c r="L1772" i="155"/>
  <c r="L1808" i="155"/>
  <c r="L1844" i="155"/>
  <c r="L286" i="155"/>
  <c r="L172" i="155"/>
  <c r="L173" i="155"/>
  <c r="L276" i="155"/>
  <c r="L330" i="155"/>
  <c r="L366" i="155"/>
  <c r="L402" i="155"/>
  <c r="L438" i="155"/>
  <c r="L474" i="155"/>
  <c r="L510" i="155"/>
  <c r="L546" i="155"/>
  <c r="L582" i="155"/>
  <c r="L618" i="155"/>
  <c r="L654" i="155"/>
  <c r="L690" i="155"/>
  <c r="L726" i="155"/>
  <c r="L762" i="155"/>
  <c r="L798" i="155"/>
  <c r="L842" i="155"/>
  <c r="L878" i="155"/>
  <c r="L914" i="155"/>
  <c r="L950" i="155"/>
  <c r="L986" i="155"/>
  <c r="L1022" i="155"/>
  <c r="L1058" i="155"/>
  <c r="L1094" i="155"/>
  <c r="L1130" i="155"/>
  <c r="L1166" i="155"/>
  <c r="L1202" i="155"/>
  <c r="L1238" i="155"/>
  <c r="L1274" i="155"/>
  <c r="L1310" i="155"/>
  <c r="L1346" i="155"/>
  <c r="L1382" i="155"/>
  <c r="L1418" i="155"/>
  <c r="L1454" i="155"/>
  <c r="L1490" i="155"/>
  <c r="L1526" i="155"/>
  <c r="L1562" i="155"/>
  <c r="L1648" i="155"/>
  <c r="L1684" i="155"/>
  <c r="L1720" i="155"/>
  <c r="L1756" i="155"/>
  <c r="L1880" i="155"/>
  <c r="L1916" i="155"/>
  <c r="L1952" i="155"/>
  <c r="L1988" i="155"/>
  <c r="L2024" i="155"/>
  <c r="L2060" i="155"/>
  <c r="L2101" i="155"/>
  <c r="L2137" i="155"/>
  <c r="L2173" i="155"/>
  <c r="L2209" i="155"/>
  <c r="L2245" i="155"/>
  <c r="L2281" i="155"/>
  <c r="L2317" i="155"/>
  <c r="L2353" i="155"/>
  <c r="L2389" i="155"/>
  <c r="L2425" i="155"/>
  <c r="L2461" i="155"/>
  <c r="L2497" i="155"/>
  <c r="L2533" i="155"/>
  <c r="L2569" i="155"/>
  <c r="L2605" i="155"/>
  <c r="L2641" i="155"/>
  <c r="L2677" i="155"/>
  <c r="L2713" i="155"/>
  <c r="L2749" i="155"/>
  <c r="L2780" i="155"/>
  <c r="L2822" i="155"/>
  <c r="L1791" i="155"/>
  <c r="L1827" i="155"/>
  <c r="L20" i="155"/>
  <c r="K13" i="156" s="1"/>
  <c r="L171" i="155"/>
  <c r="L364" i="155"/>
  <c r="L117" i="155"/>
  <c r="F18" i="14" s="1"/>
  <c r="L257" i="155"/>
  <c r="L46" i="155"/>
  <c r="F15" i="11" s="1"/>
  <c r="L94" i="155"/>
  <c r="L142" i="155"/>
  <c r="L246" i="155"/>
  <c r="L29" i="155"/>
  <c r="K22" i="156" s="1"/>
  <c r="L47" i="155"/>
  <c r="F16" i="11" s="1"/>
  <c r="L65" i="155"/>
  <c r="F36" i="11" s="1"/>
  <c r="L83" i="155"/>
  <c r="L101" i="155"/>
  <c r="F68" i="11" s="1"/>
  <c r="L119" i="155"/>
  <c r="F20" i="14" s="1"/>
  <c r="L149" i="155"/>
  <c r="L186" i="155"/>
  <c r="L223" i="155"/>
  <c r="L259" i="155"/>
  <c r="L295" i="155"/>
  <c r="L331" i="155"/>
  <c r="L367" i="155"/>
  <c r="L403" i="155"/>
  <c r="L439" i="155"/>
  <c r="L475" i="155"/>
  <c r="L511" i="155"/>
  <c r="L547" i="155"/>
  <c r="L583" i="155"/>
  <c r="L619" i="155"/>
  <c r="L655" i="155"/>
  <c r="L691" i="155"/>
  <c r="L727" i="155"/>
  <c r="L763" i="155"/>
  <c r="L799" i="155"/>
  <c r="L843" i="155"/>
  <c r="L879" i="155"/>
  <c r="L915" i="155"/>
  <c r="L951" i="155"/>
  <c r="L987" i="155"/>
  <c r="L1023" i="155"/>
  <c r="L1059" i="155"/>
  <c r="L1095" i="155"/>
  <c r="L1131" i="155"/>
  <c r="L1167" i="155"/>
  <c r="L1203" i="155"/>
  <c r="L1239" i="155"/>
  <c r="L1275" i="155"/>
  <c r="L1311" i="155"/>
  <c r="L1347" i="155"/>
  <c r="L1383" i="155"/>
  <c r="L1419" i="155"/>
  <c r="L1455" i="155"/>
  <c r="L1491" i="155"/>
  <c r="L1527" i="155"/>
  <c r="L1563" i="155"/>
  <c r="L1649" i="155"/>
  <c r="L1685" i="155"/>
  <c r="L1721" i="155"/>
  <c r="L1757" i="155"/>
  <c r="L1881" i="155"/>
  <c r="L1917" i="155"/>
  <c r="L1953" i="155"/>
  <c r="L1989" i="155"/>
  <c r="L2025" i="155"/>
  <c r="L2061" i="155"/>
  <c r="L2102" i="155"/>
  <c r="L2138" i="155"/>
  <c r="L2174" i="155"/>
  <c r="L2210" i="155"/>
  <c r="L2246" i="155"/>
  <c r="L2282" i="155"/>
  <c r="L2318" i="155"/>
  <c r="L2354" i="155"/>
  <c r="L2390" i="155"/>
  <c r="L2426" i="155"/>
  <c r="L2462" i="155"/>
  <c r="L2498" i="155"/>
  <c r="L2534" i="155"/>
  <c r="L2570" i="155"/>
  <c r="L2606" i="155"/>
  <c r="L2642" i="155"/>
  <c r="L2678" i="155"/>
  <c r="L2714" i="155"/>
  <c r="L2750" i="155"/>
  <c r="L2781" i="155"/>
  <c r="L2824" i="155"/>
  <c r="L1792" i="155"/>
  <c r="L1828" i="155"/>
  <c r="L156" i="155"/>
  <c r="L192" i="155"/>
  <c r="L229" i="155"/>
  <c r="L265" i="155"/>
  <c r="L301" i="155"/>
  <c r="L337" i="155"/>
  <c r="L373" i="155"/>
  <c r="L409" i="155"/>
  <c r="L445" i="155"/>
  <c r="L481" i="155"/>
  <c r="L517" i="155"/>
  <c r="L553" i="155"/>
  <c r="L589" i="155"/>
  <c r="L625" i="155"/>
  <c r="L661" i="155"/>
  <c r="L697" i="155"/>
  <c r="L733" i="155"/>
  <c r="L769" i="155"/>
  <c r="L805" i="155"/>
  <c r="L849" i="155"/>
  <c r="L885" i="155"/>
  <c r="L921" i="155"/>
  <c r="L957" i="155"/>
  <c r="L993" i="155"/>
  <c r="L1029" i="155"/>
  <c r="L1065" i="155"/>
  <c r="L1101" i="155"/>
  <c r="L1137" i="155"/>
  <c r="L1173" i="155"/>
  <c r="L1209" i="155"/>
  <c r="L1245" i="155"/>
  <c r="L1281" i="155"/>
  <c r="L1317" i="155"/>
  <c r="L1353" i="155"/>
  <c r="L1389" i="155"/>
  <c r="L1425" i="155"/>
  <c r="L1461" i="155"/>
  <c r="L1497" i="155"/>
  <c r="L1533" i="155"/>
  <c r="L1569" i="155"/>
  <c r="L1655" i="155"/>
  <c r="L1691" i="155"/>
  <c r="L1727" i="155"/>
  <c r="L1763" i="155"/>
  <c r="L1887" i="155"/>
  <c r="L1923" i="155"/>
  <c r="L1959" i="155"/>
  <c r="L1995" i="155"/>
  <c r="L2031" i="155"/>
  <c r="L2067" i="155"/>
  <c r="L2108" i="155"/>
  <c r="L2144" i="155"/>
  <c r="L2180" i="155"/>
  <c r="L2216" i="155"/>
  <c r="L2252" i="155"/>
  <c r="L2288" i="155"/>
  <c r="L2324" i="155"/>
  <c r="L2360" i="155"/>
  <c r="L2396" i="155"/>
  <c r="L2432" i="155"/>
  <c r="L2468" i="155"/>
  <c r="L2540" i="155"/>
  <c r="L2576" i="155"/>
  <c r="L2612" i="155"/>
  <c r="L2648" i="155"/>
  <c r="L2684" i="155"/>
  <c r="L2720" i="155"/>
  <c r="L2756" i="155"/>
  <c r="L2787" i="155"/>
  <c r="L2821" i="155"/>
  <c r="L1798" i="155"/>
  <c r="L1834" i="155"/>
  <c r="L143" i="155"/>
  <c r="L289" i="155"/>
  <c r="L361" i="155"/>
  <c r="L505" i="155"/>
  <c r="L649" i="155"/>
  <c r="L793" i="155"/>
  <c r="L909" i="155"/>
  <c r="L1017" i="155"/>
  <c r="L1125" i="155"/>
  <c r="L1269" i="155"/>
  <c r="L1413" i="155"/>
  <c r="L1557" i="155"/>
  <c r="L1715" i="155"/>
  <c r="L1947" i="155"/>
  <c r="L2019" i="155"/>
  <c r="L2096" i="155"/>
  <c r="L2204" i="155"/>
  <c r="L2312" i="155"/>
  <c r="L2384" i="155"/>
  <c r="L2492" i="155"/>
  <c r="L2564" i="155"/>
  <c r="L2672" i="155"/>
  <c r="L1786" i="155"/>
  <c r="L1435" i="155"/>
  <c r="L1701" i="155"/>
  <c r="L2005" i="155"/>
  <c r="L2226" i="155"/>
  <c r="L2442" i="155"/>
  <c r="L2628" i="155"/>
  <c r="L2664" i="155"/>
  <c r="L2700" i="155"/>
  <c r="L2736" i="155"/>
  <c r="L2772" i="155"/>
  <c r="L2803" i="155"/>
  <c r="L1778" i="155"/>
  <c r="L1814" i="155"/>
  <c r="L1850" i="155"/>
  <c r="L104" i="155"/>
  <c r="L322" i="155"/>
  <c r="L197" i="155"/>
  <c r="L52" i="155"/>
  <c r="F21" i="11" s="1"/>
  <c r="L106" i="155"/>
  <c r="F73" i="11" s="1"/>
  <c r="L191" i="155"/>
  <c r="L288" i="155"/>
  <c r="L336" i="155"/>
  <c r="L372" i="155"/>
  <c r="L408" i="155"/>
  <c r="L444" i="155"/>
  <c r="L480" i="155"/>
  <c r="L516" i="155"/>
  <c r="L552" i="155"/>
  <c r="L588" i="155"/>
  <c r="L624" i="155"/>
  <c r="L660" i="155"/>
  <c r="L696" i="155"/>
  <c r="L732" i="155"/>
  <c r="L768" i="155"/>
  <c r="L804" i="155"/>
  <c r="L848" i="155"/>
  <c r="L884" i="155"/>
  <c r="L920" i="155"/>
  <c r="L956" i="155"/>
  <c r="L992" i="155"/>
  <c r="L1028" i="155"/>
  <c r="L1064" i="155"/>
  <c r="L1100" i="155"/>
  <c r="L1136" i="155"/>
  <c r="L1172" i="155"/>
  <c r="L1208" i="155"/>
  <c r="L1244" i="155"/>
  <c r="L1280" i="155"/>
  <c r="L1316" i="155"/>
  <c r="L1352" i="155"/>
  <c r="L1388" i="155"/>
  <c r="L1424" i="155"/>
  <c r="L1460" i="155"/>
  <c r="L1496" i="155"/>
  <c r="L1532" i="155"/>
  <c r="L1568" i="155"/>
  <c r="L1654" i="155"/>
  <c r="L1690" i="155"/>
  <c r="L1726" i="155"/>
  <c r="L1762" i="155"/>
  <c r="L1886" i="155"/>
  <c r="L1922" i="155"/>
  <c r="L1958" i="155"/>
  <c r="L1994" i="155"/>
  <c r="L2030" i="155"/>
  <c r="L2066" i="155"/>
  <c r="L2107" i="155"/>
  <c r="L2143" i="155"/>
  <c r="L2179" i="155"/>
  <c r="L2215" i="155"/>
  <c r="L2251" i="155"/>
  <c r="L2287" i="155"/>
  <c r="L2323" i="155"/>
  <c r="L2359" i="155"/>
  <c r="L2395" i="155"/>
  <c r="L2431" i="155"/>
  <c r="L2467" i="155"/>
  <c r="L2503" i="155"/>
  <c r="L2539" i="155"/>
  <c r="L2575" i="155"/>
  <c r="L2611" i="155"/>
  <c r="L2647" i="155"/>
  <c r="L2683" i="155"/>
  <c r="L2719" i="155"/>
  <c r="L2755" i="155"/>
  <c r="L2786" i="155"/>
  <c r="L2819" i="155"/>
  <c r="L1797" i="155"/>
  <c r="L1833" i="155"/>
  <c r="L208" i="155"/>
  <c r="L394" i="155"/>
  <c r="L69" i="155"/>
  <c r="K16" i="11" s="1"/>
  <c r="L141" i="155"/>
  <c r="L269" i="155"/>
  <c r="L161" i="155"/>
  <c r="L264" i="155"/>
  <c r="L2504" i="155"/>
  <c r="L1471" i="155"/>
  <c r="L1737" i="155"/>
  <c r="L2041" i="155"/>
  <c r="L2262" i="155"/>
  <c r="L2478" i="155"/>
  <c r="L2634" i="155"/>
  <c r="L2670" i="155"/>
  <c r="L2706" i="155"/>
  <c r="L2742" i="155"/>
  <c r="L2809" i="155"/>
  <c r="L1784" i="155"/>
  <c r="L1820" i="155"/>
  <c r="L140" i="155"/>
  <c r="L358" i="155"/>
  <c r="L33" i="155"/>
  <c r="K26" i="156" s="1"/>
  <c r="L99" i="155"/>
  <c r="F56" i="11" s="1"/>
  <c r="L221" i="155"/>
  <c r="L210" i="155"/>
  <c r="L300" i="155"/>
  <c r="L342" i="155"/>
  <c r="L378" i="155"/>
  <c r="L414" i="155"/>
  <c r="L450" i="155"/>
  <c r="L486" i="155"/>
  <c r="L522" i="155"/>
  <c r="L558" i="155"/>
  <c r="L594" i="155"/>
  <c r="L630" i="155"/>
  <c r="L666" i="155"/>
  <c r="L702" i="155"/>
  <c r="L738" i="155"/>
  <c r="L774" i="155"/>
  <c r="L810" i="155"/>
  <c r="L854" i="155"/>
  <c r="L890" i="155"/>
  <c r="L926" i="155"/>
  <c r="L962" i="155"/>
  <c r="L998" i="155"/>
  <c r="L1034" i="155"/>
  <c r="L1070" i="155"/>
  <c r="L1106" i="155"/>
  <c r="L1142" i="155"/>
  <c r="L1178" i="155"/>
  <c r="L1214" i="155"/>
  <c r="L1250" i="155"/>
  <c r="L1286" i="155"/>
  <c r="L1322" i="155"/>
  <c r="L1358" i="155"/>
  <c r="L1394" i="155"/>
  <c r="L1430" i="155"/>
  <c r="L1466" i="155"/>
  <c r="L1502" i="155"/>
  <c r="L1538" i="155"/>
  <c r="L1624" i="155"/>
  <c r="L1660" i="155"/>
  <c r="L1696" i="155"/>
  <c r="L1732" i="155"/>
  <c r="L1856" i="155"/>
  <c r="L1892" i="155"/>
  <c r="L1928" i="155"/>
  <c r="L1964" i="155"/>
  <c r="L2000" i="155"/>
  <c r="L2036" i="155"/>
  <c r="L2072" i="155"/>
  <c r="L2113" i="155"/>
  <c r="L2149" i="155"/>
  <c r="L2185" i="155"/>
  <c r="L2221" i="155"/>
  <c r="L2257" i="155"/>
  <c r="L2293" i="155"/>
  <c r="L2329" i="155"/>
  <c r="L2365" i="155"/>
  <c r="L2401" i="155"/>
  <c r="L2437" i="155"/>
  <c r="L2473" i="155"/>
  <c r="L2509" i="155"/>
  <c r="L2545" i="155"/>
  <c r="L2581" i="155"/>
  <c r="L2617" i="155"/>
  <c r="L2653" i="155"/>
  <c r="L2689" i="155"/>
  <c r="L2725" i="155"/>
  <c r="L2761" i="155"/>
  <c r="L2792" i="155"/>
  <c r="L2828" i="155"/>
  <c r="L1803" i="155"/>
  <c r="L1839" i="155"/>
  <c r="L62" i="155"/>
  <c r="F31" i="11" s="1"/>
  <c r="L244" i="155"/>
  <c r="L442" i="155"/>
  <c r="L166" i="155"/>
  <c r="L10" i="155"/>
  <c r="F17" i="156" s="1"/>
  <c r="L58" i="155"/>
  <c r="F27" i="11" s="1"/>
  <c r="L112" i="155"/>
  <c r="F13" i="14" s="1"/>
  <c r="L179" i="155"/>
  <c r="L282" i="155"/>
  <c r="L17" i="155"/>
  <c r="F24" i="156" s="1"/>
  <c r="L35" i="155"/>
  <c r="G14" i="10" s="1"/>
  <c r="L53" i="155"/>
  <c r="F22" i="11" s="1"/>
  <c r="L71" i="155"/>
  <c r="K18" i="11" s="1"/>
  <c r="L89" i="155"/>
  <c r="F46" i="11" s="1"/>
  <c r="L107" i="155"/>
  <c r="F74" i="11" s="1"/>
  <c r="L125" i="155"/>
  <c r="F26" i="14" s="1"/>
  <c r="L162" i="155"/>
  <c r="L199" i="155"/>
  <c r="L235" i="155"/>
  <c r="L271" i="155"/>
  <c r="L307" i="155"/>
  <c r="L343" i="155"/>
  <c r="L379" i="155"/>
  <c r="L415" i="155"/>
  <c r="L451" i="155"/>
  <c r="L487" i="155"/>
  <c r="L523" i="155"/>
  <c r="L559" i="155"/>
  <c r="L595" i="155"/>
  <c r="L631" i="155"/>
  <c r="L667" i="155"/>
  <c r="L703" i="155"/>
  <c r="L739" i="155"/>
  <c r="L775" i="155"/>
  <c r="L811" i="155"/>
  <c r="L855" i="155"/>
  <c r="L891" i="155"/>
  <c r="L927" i="155"/>
  <c r="L963" i="155"/>
  <c r="L999" i="155"/>
  <c r="L1035" i="155"/>
  <c r="L1071" i="155"/>
  <c r="L1107" i="155"/>
  <c r="L1143" i="155"/>
  <c r="L1179" i="155"/>
  <c r="L1215" i="155"/>
  <c r="L1251" i="155"/>
  <c r="L1287" i="155"/>
  <c r="L1323" i="155"/>
  <c r="L1359" i="155"/>
  <c r="L1395" i="155"/>
  <c r="L1431" i="155"/>
  <c r="L1467" i="155"/>
  <c r="L1503" i="155"/>
  <c r="L1539" i="155"/>
  <c r="L1625" i="155"/>
  <c r="L1661" i="155"/>
  <c r="L1697" i="155"/>
  <c r="L1733" i="155"/>
  <c r="L1857" i="155"/>
  <c r="L1893" i="155"/>
  <c r="L1929" i="155"/>
  <c r="L1965" i="155"/>
  <c r="L2001" i="155"/>
  <c r="L2037" i="155"/>
  <c r="L2073" i="155"/>
  <c r="L2114" i="155"/>
  <c r="L2150" i="155"/>
  <c r="L2186" i="155"/>
  <c r="L2222" i="155"/>
  <c r="L2258" i="155"/>
  <c r="L2294" i="155"/>
  <c r="L2330" i="155"/>
  <c r="L2366" i="155"/>
  <c r="L2402" i="155"/>
  <c r="L2438" i="155"/>
  <c r="L2474" i="155"/>
  <c r="L2510" i="155"/>
  <c r="L2546" i="155"/>
  <c r="L2582" i="155"/>
  <c r="L2618" i="155"/>
  <c r="L2654" i="155"/>
  <c r="L2690" i="155"/>
  <c r="L2726" i="155"/>
  <c r="L2762" i="155"/>
  <c r="L2793" i="155"/>
  <c r="L1768" i="155"/>
  <c r="L1804" i="155"/>
  <c r="L1840" i="155"/>
  <c r="L131" i="155"/>
  <c r="L168" i="155"/>
  <c r="L205" i="155"/>
  <c r="L241" i="155"/>
  <c r="L277" i="155"/>
  <c r="L313" i="155"/>
  <c r="L349" i="155"/>
  <c r="L385" i="155"/>
  <c r="L421" i="155"/>
  <c r="L457" i="155"/>
  <c r="L493" i="155"/>
  <c r="L529" i="155"/>
  <c r="L565" i="155"/>
  <c r="L601" i="155"/>
  <c r="L637" i="155"/>
  <c r="L673" i="155"/>
  <c r="L709" i="155"/>
  <c r="L745" i="155"/>
  <c r="L781" i="155"/>
  <c r="L817" i="155"/>
  <c r="L861" i="155"/>
  <c r="L897" i="155"/>
  <c r="L933" i="155"/>
  <c r="L969" i="155"/>
  <c r="L1005" i="155"/>
  <c r="L1041" i="155"/>
  <c r="L1077" i="155"/>
  <c r="L1113" i="155"/>
  <c r="L1149" i="155"/>
  <c r="L1185" i="155"/>
  <c r="L1221" i="155"/>
  <c r="L1257" i="155"/>
  <c r="L1293" i="155"/>
  <c r="L1329" i="155"/>
  <c r="L1365" i="155"/>
  <c r="L1401" i="155"/>
  <c r="L1437" i="155"/>
  <c r="L1473" i="155"/>
  <c r="L1509" i="155"/>
  <c r="L1545" i="155"/>
  <c r="L1631" i="155"/>
  <c r="L1667" i="155"/>
  <c r="L1703" i="155"/>
  <c r="L1739" i="155"/>
  <c r="L1863" i="155"/>
  <c r="L1899" i="155"/>
  <c r="L1935" i="155"/>
  <c r="L1971" i="155"/>
  <c r="L2007" i="155"/>
  <c r="L2043" i="155"/>
  <c r="L2084" i="155"/>
  <c r="L2120" i="155"/>
  <c r="L2156" i="155"/>
  <c r="L2192" i="155"/>
  <c r="L2228" i="155"/>
  <c r="L2264" i="155"/>
  <c r="L2300" i="155"/>
  <c r="L2336" i="155"/>
  <c r="L2372" i="155"/>
  <c r="L2408" i="155"/>
  <c r="L2444" i="155"/>
  <c r="L2480" i="155"/>
  <c r="L2516" i="155"/>
  <c r="L2552" i="155"/>
  <c r="L2588" i="155"/>
  <c r="L2624" i="155"/>
  <c r="L2660" i="155"/>
  <c r="L2696" i="155"/>
  <c r="L2732" i="155"/>
  <c r="L2768" i="155"/>
  <c r="L2799" i="155"/>
  <c r="L1774" i="155"/>
  <c r="L1810" i="155"/>
  <c r="L1846" i="155"/>
  <c r="L180" i="155"/>
  <c r="L253" i="155"/>
  <c r="L325" i="155"/>
  <c r="L397" i="155"/>
  <c r="L469" i="155"/>
  <c r="L577" i="155"/>
  <c r="L685" i="155"/>
  <c r="L757" i="155"/>
  <c r="L837" i="155"/>
  <c r="L945" i="155"/>
  <c r="L1053" i="155"/>
  <c r="L1161" i="155"/>
  <c r="L1233" i="155"/>
  <c r="L1341" i="155"/>
  <c r="L1485" i="155"/>
  <c r="L1643" i="155"/>
  <c r="L1751" i="155"/>
  <c r="L1911" i="155"/>
  <c r="L2055" i="155"/>
  <c r="L2168" i="155"/>
  <c r="L2276" i="155"/>
  <c r="L2420" i="155"/>
  <c r="L2528" i="155"/>
  <c r="L2636" i="155"/>
  <c r="L2708" i="155"/>
  <c r="L2812" i="155"/>
  <c r="M7" i="155"/>
  <c r="G14" i="156" s="1"/>
  <c r="M13" i="155"/>
  <c r="G20" i="156" s="1"/>
  <c r="M19" i="155"/>
  <c r="G26" i="156" s="1"/>
  <c r="M25" i="155"/>
  <c r="L18" i="156" s="1"/>
  <c r="M31" i="155"/>
  <c r="L24" i="156" s="1"/>
  <c r="M37" i="155"/>
  <c r="H16" i="10" s="1"/>
  <c r="M43" i="155"/>
  <c r="H22" i="10" s="1"/>
  <c r="M49" i="155"/>
  <c r="G18" i="11" s="1"/>
  <c r="M55" i="155"/>
  <c r="G24" i="11" s="1"/>
  <c r="M61" i="155"/>
  <c r="G30" i="11" s="1"/>
  <c r="M67" i="155"/>
  <c r="L14" i="11" s="1"/>
  <c r="M73" i="155"/>
  <c r="L20" i="11" s="1"/>
  <c r="M79" i="155"/>
  <c r="L26" i="11" s="1"/>
  <c r="M85" i="155"/>
  <c r="L32" i="11" s="1"/>
  <c r="M91" i="155"/>
  <c r="G48" i="11" s="1"/>
  <c r="M97" i="155"/>
  <c r="G54" i="11" s="1"/>
  <c r="M103" i="155"/>
  <c r="G70" i="11" s="1"/>
  <c r="M109" i="155"/>
  <c r="G88" i="11" s="1"/>
  <c r="M115" i="155"/>
  <c r="G16" i="14" s="1"/>
  <c r="M121" i="155"/>
  <c r="G22" i="14" s="1"/>
  <c r="M127" i="155"/>
  <c r="G28" i="14" s="1"/>
  <c r="M133" i="155"/>
  <c r="M139" i="155"/>
  <c r="M145" i="155"/>
  <c r="M151" i="155"/>
  <c r="M158" i="155"/>
  <c r="M164" i="155"/>
  <c r="M170" i="155"/>
  <c r="M176" i="155"/>
  <c r="M182" i="155"/>
  <c r="M188" i="155"/>
  <c r="M194" i="155"/>
  <c r="M201" i="155"/>
  <c r="M207" i="155"/>
  <c r="M213" i="155"/>
  <c r="M219" i="155"/>
  <c r="M225" i="155"/>
  <c r="M231" i="155"/>
  <c r="M8" i="155"/>
  <c r="G15" i="156" s="1"/>
  <c r="M14" i="155"/>
  <c r="G21" i="156" s="1"/>
  <c r="M20" i="155"/>
  <c r="L13" i="156" s="1"/>
  <c r="M26" i="155"/>
  <c r="L19" i="156" s="1"/>
  <c r="M32" i="155"/>
  <c r="L25" i="156" s="1"/>
  <c r="M38" i="155"/>
  <c r="H17" i="10" s="1"/>
  <c r="M44" i="155"/>
  <c r="G13" i="11" s="1"/>
  <c r="M50" i="155"/>
  <c r="G19" i="11" s="1"/>
  <c r="M56" i="155"/>
  <c r="G25" i="11" s="1"/>
  <c r="M62" i="155"/>
  <c r="G31" i="11" s="1"/>
  <c r="M68" i="155"/>
  <c r="L15" i="11" s="1"/>
  <c r="M74" i="155"/>
  <c r="L21" i="11" s="1"/>
  <c r="M80" i="155"/>
  <c r="L27" i="11" s="1"/>
  <c r="M86" i="155"/>
  <c r="L33" i="11" s="1"/>
  <c r="M92" i="155"/>
  <c r="G49" i="11" s="1"/>
  <c r="M98" i="155"/>
  <c r="G55" i="11" s="1"/>
  <c r="M104" i="155"/>
  <c r="G71" i="11" s="1"/>
  <c r="M110" i="155"/>
  <c r="G89" i="11" s="1"/>
  <c r="M116" i="155"/>
  <c r="G17" i="14" s="1"/>
  <c r="M122" i="155"/>
  <c r="G23" i="14" s="1"/>
  <c r="M128" i="155"/>
  <c r="G29" i="14" s="1"/>
  <c r="M134" i="155"/>
  <c r="M140" i="155"/>
  <c r="M146" i="155"/>
  <c r="M152" i="155"/>
  <c r="M159" i="155"/>
  <c r="M165" i="155"/>
  <c r="M171" i="155"/>
  <c r="M177" i="155"/>
  <c r="M183" i="155"/>
  <c r="M189" i="155"/>
  <c r="M196" i="155"/>
  <c r="M202" i="155"/>
  <c r="M208" i="155"/>
  <c r="M214" i="155"/>
  <c r="M220" i="155"/>
  <c r="M226" i="155"/>
  <c r="M232" i="155"/>
  <c r="M238" i="155"/>
  <c r="M9" i="155"/>
  <c r="G16" i="156" s="1"/>
  <c r="M15" i="155"/>
  <c r="G22" i="156" s="1"/>
  <c r="M21" i="155"/>
  <c r="L14" i="156" s="1"/>
  <c r="M27" i="155"/>
  <c r="L20" i="156" s="1"/>
  <c r="M33" i="155"/>
  <c r="L26" i="156" s="1"/>
  <c r="M39" i="155"/>
  <c r="H18" i="10" s="1"/>
  <c r="M45" i="155"/>
  <c r="G14" i="11" s="1"/>
  <c r="M51" i="155"/>
  <c r="G20" i="11" s="1"/>
  <c r="M57" i="155"/>
  <c r="G26" i="11" s="1"/>
  <c r="M63" i="155"/>
  <c r="G32" i="11" s="1"/>
  <c r="M69" i="155"/>
  <c r="L16" i="11" s="1"/>
  <c r="M75" i="155"/>
  <c r="L22" i="11" s="1"/>
  <c r="M81" i="155"/>
  <c r="L28" i="11" s="1"/>
  <c r="M87" i="155"/>
  <c r="L34" i="11" s="1"/>
  <c r="M93" i="155"/>
  <c r="G50" i="11" s="1"/>
  <c r="M99" i="155"/>
  <c r="G56" i="11" s="1"/>
  <c r="M105" i="155"/>
  <c r="G72" i="11" s="1"/>
  <c r="M111" i="155"/>
  <c r="G90" i="11" s="1"/>
  <c r="M117" i="155"/>
  <c r="G18" i="14" s="1"/>
  <c r="M123" i="155"/>
  <c r="G24" i="14" s="1"/>
  <c r="M129" i="155"/>
  <c r="G30" i="14" s="1"/>
  <c r="M135" i="155"/>
  <c r="M141" i="155"/>
  <c r="M147" i="155"/>
  <c r="M154" i="155"/>
  <c r="M160" i="155"/>
  <c r="M166" i="155"/>
  <c r="M172" i="155"/>
  <c r="M178" i="155"/>
  <c r="M184" i="155"/>
  <c r="M190" i="155"/>
  <c r="M197" i="155"/>
  <c r="M203" i="155"/>
  <c r="M209" i="155"/>
  <c r="M215" i="155"/>
  <c r="M221" i="155"/>
  <c r="M227" i="155"/>
  <c r="M233" i="155"/>
  <c r="M239" i="155"/>
  <c r="M10" i="155"/>
  <c r="G17" i="156" s="1"/>
  <c r="M16" i="155"/>
  <c r="G23" i="156" s="1"/>
  <c r="M22" i="155"/>
  <c r="L15" i="156" s="1"/>
  <c r="M28" i="155"/>
  <c r="L21" i="156" s="1"/>
  <c r="M34" i="155"/>
  <c r="H13" i="10" s="1"/>
  <c r="M40" i="155"/>
  <c r="H19" i="10" s="1"/>
  <c r="M46" i="155"/>
  <c r="G15" i="11" s="1"/>
  <c r="M52" i="155"/>
  <c r="G21" i="11" s="1"/>
  <c r="M58" i="155"/>
  <c r="G27" i="11" s="1"/>
  <c r="M64" i="155"/>
  <c r="G35" i="11" s="1"/>
  <c r="M70" i="155"/>
  <c r="L17" i="11" s="1"/>
  <c r="M76" i="155"/>
  <c r="L23" i="11" s="1"/>
  <c r="M82" i="155"/>
  <c r="L29" i="11" s="1"/>
  <c r="M88" i="155"/>
  <c r="G45" i="11" s="1"/>
  <c r="M94" i="155"/>
  <c r="G51" i="11" s="1"/>
  <c r="M100" i="155"/>
  <c r="G67" i="11" s="1"/>
  <c r="M106" i="155"/>
  <c r="G73" i="11" s="1"/>
  <c r="M112" i="155"/>
  <c r="G13" i="14" s="1"/>
  <c r="M118" i="155"/>
  <c r="G19" i="14" s="1"/>
  <c r="M124" i="155"/>
  <c r="G25" i="14" s="1"/>
  <c r="M130" i="155"/>
  <c r="G31" i="14" s="1"/>
  <c r="M136" i="155"/>
  <c r="M142" i="155"/>
  <c r="M148" i="155"/>
  <c r="M155" i="155"/>
  <c r="M161" i="155"/>
  <c r="M167" i="155"/>
  <c r="M173" i="155"/>
  <c r="M179" i="155"/>
  <c r="M185" i="155"/>
  <c r="M191" i="155"/>
  <c r="M198" i="155"/>
  <c r="M204" i="155"/>
  <c r="M210" i="155"/>
  <c r="M216" i="155"/>
  <c r="M222" i="155"/>
  <c r="M228" i="155"/>
  <c r="M234" i="155"/>
  <c r="M240" i="155"/>
  <c r="M11" i="155"/>
  <c r="G18" i="156" s="1"/>
  <c r="M17" i="155"/>
  <c r="G24" i="156" s="1"/>
  <c r="M23" i="155"/>
  <c r="L16" i="156" s="1"/>
  <c r="M29" i="155"/>
  <c r="L22" i="156" s="1"/>
  <c r="M35" i="155"/>
  <c r="H14" i="10" s="1"/>
  <c r="M41" i="155"/>
  <c r="H20" i="10" s="1"/>
  <c r="M47" i="155"/>
  <c r="G16" i="11" s="1"/>
  <c r="M53" i="155"/>
  <c r="G22" i="11" s="1"/>
  <c r="M59" i="155"/>
  <c r="G28" i="11" s="1"/>
  <c r="M65" i="155"/>
  <c r="G36" i="11" s="1"/>
  <c r="M71" i="155"/>
  <c r="L18" i="11" s="1"/>
  <c r="M77" i="155"/>
  <c r="L24" i="11" s="1"/>
  <c r="M83" i="155"/>
  <c r="L30" i="11" s="1"/>
  <c r="M89" i="155"/>
  <c r="G46" i="11" s="1"/>
  <c r="M95" i="155"/>
  <c r="G52" i="11" s="1"/>
  <c r="M101" i="155"/>
  <c r="G68" i="11" s="1"/>
  <c r="M107" i="155"/>
  <c r="G74" i="11" s="1"/>
  <c r="M113" i="155"/>
  <c r="G14" i="14" s="1"/>
  <c r="M119" i="155"/>
  <c r="G20" i="14" s="1"/>
  <c r="M125" i="155"/>
  <c r="G26" i="14" s="1"/>
  <c r="M131" i="155"/>
  <c r="M137" i="155"/>
  <c r="M143" i="155"/>
  <c r="M149" i="155"/>
  <c r="M156" i="155"/>
  <c r="M162" i="155"/>
  <c r="M168" i="155"/>
  <c r="M174" i="155"/>
  <c r="M180" i="155"/>
  <c r="M186" i="155"/>
  <c r="M192" i="155"/>
  <c r="M199" i="155"/>
  <c r="M205" i="155"/>
  <c r="M211" i="155"/>
  <c r="M217" i="155"/>
  <c r="M223" i="155"/>
  <c r="M229" i="155"/>
  <c r="M235" i="155"/>
  <c r="M241" i="155"/>
  <c r="M247" i="155"/>
  <c r="M253" i="155"/>
  <c r="M259" i="155"/>
  <c r="M265" i="155"/>
  <c r="M271" i="155"/>
  <c r="M277" i="155"/>
  <c r="M283" i="155"/>
  <c r="M289" i="155"/>
  <c r="M295" i="155"/>
  <c r="M301" i="155"/>
  <c r="M307" i="155"/>
  <c r="M313" i="155"/>
  <c r="M319" i="155"/>
  <c r="M325" i="155"/>
  <c r="M331" i="155"/>
  <c r="M337" i="155"/>
  <c r="M343" i="155"/>
  <c r="M349" i="155"/>
  <c r="M355" i="155"/>
  <c r="M361" i="155"/>
  <c r="M367" i="155"/>
  <c r="M373" i="155"/>
  <c r="M379" i="155"/>
  <c r="M385" i="155"/>
  <c r="M391" i="155"/>
  <c r="M397" i="155"/>
  <c r="M403" i="155"/>
  <c r="M409" i="155"/>
  <c r="M415" i="155"/>
  <c r="M421" i="155"/>
  <c r="M427" i="155"/>
  <c r="M433" i="155"/>
  <c r="M439" i="155"/>
  <c r="M445" i="155"/>
  <c r="M451" i="155"/>
  <c r="M457" i="155"/>
  <c r="M463" i="155"/>
  <c r="M469" i="155"/>
  <c r="M475" i="155"/>
  <c r="M481" i="155"/>
  <c r="M487" i="155"/>
  <c r="M493" i="155"/>
  <c r="M499" i="155"/>
  <c r="M505" i="155"/>
  <c r="M511" i="155"/>
  <c r="M517" i="155"/>
  <c r="M12" i="155"/>
  <c r="G19" i="156" s="1"/>
  <c r="M48" i="155"/>
  <c r="G17" i="11" s="1"/>
  <c r="M84" i="155"/>
  <c r="L31" i="11" s="1"/>
  <c r="M120" i="155"/>
  <c r="G21" i="14" s="1"/>
  <c r="M157" i="155"/>
  <c r="M193" i="155"/>
  <c r="M230" i="155"/>
  <c r="M245" i="155"/>
  <c r="M252" i="155"/>
  <c r="M260" i="155"/>
  <c r="M267" i="155"/>
  <c r="M274" i="155"/>
  <c r="M281" i="155"/>
  <c r="M288" i="155"/>
  <c r="M296" i="155"/>
  <c r="M303" i="155"/>
  <c r="M310" i="155"/>
  <c r="M317" i="155"/>
  <c r="M324" i="155"/>
  <c r="M332" i="155"/>
  <c r="M339" i="155"/>
  <c r="M346" i="155"/>
  <c r="M353" i="155"/>
  <c r="M360" i="155"/>
  <c r="M368" i="155"/>
  <c r="M375" i="155"/>
  <c r="M382" i="155"/>
  <c r="M389" i="155"/>
  <c r="M396" i="155"/>
  <c r="M404" i="155"/>
  <c r="M411" i="155"/>
  <c r="M418" i="155"/>
  <c r="M425" i="155"/>
  <c r="M432" i="155"/>
  <c r="M440" i="155"/>
  <c r="M447" i="155"/>
  <c r="M454" i="155"/>
  <c r="M461" i="155"/>
  <c r="M468" i="155"/>
  <c r="M476" i="155"/>
  <c r="M483" i="155"/>
  <c r="M490" i="155"/>
  <c r="M497" i="155"/>
  <c r="M504" i="155"/>
  <c r="M512" i="155"/>
  <c r="M519" i="155"/>
  <c r="M525" i="155"/>
  <c r="M531" i="155"/>
  <c r="M537" i="155"/>
  <c r="M543" i="155"/>
  <c r="M549" i="155"/>
  <c r="M555" i="155"/>
  <c r="M561" i="155"/>
  <c r="M567" i="155"/>
  <c r="M573" i="155"/>
  <c r="M579" i="155"/>
  <c r="M585" i="155"/>
  <c r="M591" i="155"/>
  <c r="M597" i="155"/>
  <c r="M603" i="155"/>
  <c r="M609" i="155"/>
  <c r="M615" i="155"/>
  <c r="M621" i="155"/>
  <c r="M627" i="155"/>
  <c r="M633" i="155"/>
  <c r="M639" i="155"/>
  <c r="M645" i="155"/>
  <c r="M651" i="155"/>
  <c r="M657" i="155"/>
  <c r="M663" i="155"/>
  <c r="M669" i="155"/>
  <c r="M675" i="155"/>
  <c r="M681" i="155"/>
  <c r="M687" i="155"/>
  <c r="M693" i="155"/>
  <c r="M699" i="155"/>
  <c r="M705" i="155"/>
  <c r="M18" i="155"/>
  <c r="G25" i="156" s="1"/>
  <c r="M54" i="155"/>
  <c r="G23" i="11" s="1"/>
  <c r="M90" i="155"/>
  <c r="G47" i="11" s="1"/>
  <c r="M126" i="155"/>
  <c r="G27" i="14" s="1"/>
  <c r="M163" i="155"/>
  <c r="M200" i="155"/>
  <c r="M236" i="155"/>
  <c r="M246" i="155"/>
  <c r="M254" i="155"/>
  <c r="M261" i="155"/>
  <c r="M268" i="155"/>
  <c r="M275" i="155"/>
  <c r="M282" i="155"/>
  <c r="M290" i="155"/>
  <c r="M297" i="155"/>
  <c r="M304" i="155"/>
  <c r="M311" i="155"/>
  <c r="M318" i="155"/>
  <c r="M326" i="155"/>
  <c r="M333" i="155"/>
  <c r="M340" i="155"/>
  <c r="M347" i="155"/>
  <c r="M354" i="155"/>
  <c r="M362" i="155"/>
  <c r="M369" i="155"/>
  <c r="M376" i="155"/>
  <c r="M383" i="155"/>
  <c r="M390" i="155"/>
  <c r="M398" i="155"/>
  <c r="M405" i="155"/>
  <c r="M412" i="155"/>
  <c r="M419" i="155"/>
  <c r="M426" i="155"/>
  <c r="M434" i="155"/>
  <c r="M441" i="155"/>
  <c r="M448" i="155"/>
  <c r="M455" i="155"/>
  <c r="M462" i="155"/>
  <c r="M470" i="155"/>
  <c r="M477" i="155"/>
  <c r="M484" i="155"/>
  <c r="M491" i="155"/>
  <c r="M498" i="155"/>
  <c r="M506" i="155"/>
  <c r="M513" i="155"/>
  <c r="M520" i="155"/>
  <c r="M24" i="155"/>
  <c r="L17" i="156" s="1"/>
  <c r="M60" i="155"/>
  <c r="G29" i="11" s="1"/>
  <c r="M96" i="155"/>
  <c r="G53" i="11" s="1"/>
  <c r="M132" i="155"/>
  <c r="M169" i="155"/>
  <c r="M206" i="155"/>
  <c r="M237" i="155"/>
  <c r="M248" i="155"/>
  <c r="M255" i="155"/>
  <c r="M262" i="155"/>
  <c r="M269" i="155"/>
  <c r="M276" i="155"/>
  <c r="M284" i="155"/>
  <c r="M291" i="155"/>
  <c r="M298" i="155"/>
  <c r="M305" i="155"/>
  <c r="M312" i="155"/>
  <c r="M320" i="155"/>
  <c r="M327" i="155"/>
  <c r="M334" i="155"/>
  <c r="M341" i="155"/>
  <c r="M348" i="155"/>
  <c r="M356" i="155"/>
  <c r="M363" i="155"/>
  <c r="M370" i="155"/>
  <c r="M377" i="155"/>
  <c r="M384" i="155"/>
  <c r="M392" i="155"/>
  <c r="M399" i="155"/>
  <c r="M406" i="155"/>
  <c r="M413" i="155"/>
  <c r="M420" i="155"/>
  <c r="M428" i="155"/>
  <c r="M435" i="155"/>
  <c r="M442" i="155"/>
  <c r="M449" i="155"/>
  <c r="M456" i="155"/>
  <c r="M464" i="155"/>
  <c r="M471" i="155"/>
  <c r="M478" i="155"/>
  <c r="M485" i="155"/>
  <c r="M492" i="155"/>
  <c r="M500" i="155"/>
  <c r="M507" i="155"/>
  <c r="M514" i="155"/>
  <c r="M30" i="155"/>
  <c r="L23" i="156" s="1"/>
  <c r="M66" i="155"/>
  <c r="L13" i="11" s="1"/>
  <c r="M102" i="155"/>
  <c r="G69" i="11" s="1"/>
  <c r="M138" i="155"/>
  <c r="M175" i="155"/>
  <c r="M212" i="155"/>
  <c r="M242" i="155"/>
  <c r="M249" i="155"/>
  <c r="M256" i="155"/>
  <c r="M263" i="155"/>
  <c r="M270" i="155"/>
  <c r="M278" i="155"/>
  <c r="M285" i="155"/>
  <c r="M292" i="155"/>
  <c r="M299" i="155"/>
  <c r="M306" i="155"/>
  <c r="M314" i="155"/>
  <c r="M321" i="155"/>
  <c r="M328" i="155"/>
  <c r="M335" i="155"/>
  <c r="M342" i="155"/>
  <c r="M350" i="155"/>
  <c r="M357" i="155"/>
  <c r="M364" i="155"/>
  <c r="M371" i="155"/>
  <c r="M378" i="155"/>
  <c r="M386" i="155"/>
  <c r="M393" i="155"/>
  <c r="M400" i="155"/>
  <c r="M407" i="155"/>
  <c r="M414" i="155"/>
  <c r="M422" i="155"/>
  <c r="M429" i="155"/>
  <c r="M436" i="155"/>
  <c r="M443" i="155"/>
  <c r="M450" i="155"/>
  <c r="M458" i="155"/>
  <c r="M465" i="155"/>
  <c r="M472" i="155"/>
  <c r="M479" i="155"/>
  <c r="M486" i="155"/>
  <c r="M494" i="155"/>
  <c r="M501" i="155"/>
  <c r="M508" i="155"/>
  <c r="M515" i="155"/>
  <c r="M522" i="155"/>
  <c r="M528" i="155"/>
  <c r="M534" i="155"/>
  <c r="M540" i="155"/>
  <c r="M546" i="155"/>
  <c r="M552" i="155"/>
  <c r="M558" i="155"/>
  <c r="M564" i="155"/>
  <c r="M570" i="155"/>
  <c r="M576" i="155"/>
  <c r="M582" i="155"/>
  <c r="M588" i="155"/>
  <c r="M594" i="155"/>
  <c r="M600" i="155"/>
  <c r="M606" i="155"/>
  <c r="M612" i="155"/>
  <c r="M618" i="155"/>
  <c r="M624" i="155"/>
  <c r="M630" i="155"/>
  <c r="M636" i="155"/>
  <c r="M642" i="155"/>
  <c r="M648" i="155"/>
  <c r="M654" i="155"/>
  <c r="M660" i="155"/>
  <c r="M666" i="155"/>
  <c r="M672" i="155"/>
  <c r="M678" i="155"/>
  <c r="M684" i="155"/>
  <c r="M690" i="155"/>
  <c r="M696" i="155"/>
  <c r="M702" i="155"/>
  <c r="M708" i="155"/>
  <c r="M714" i="155"/>
  <c r="M720" i="155"/>
  <c r="M726" i="155"/>
  <c r="M732" i="155"/>
  <c r="M738" i="155"/>
  <c r="M744" i="155"/>
  <c r="M750" i="155"/>
  <c r="M756" i="155"/>
  <c r="M36" i="155"/>
  <c r="H15" i="10" s="1"/>
  <c r="M72" i="155"/>
  <c r="L19" i="11" s="1"/>
  <c r="M108" i="155"/>
  <c r="G87" i="11" s="1"/>
  <c r="M144" i="155"/>
  <c r="M181" i="155"/>
  <c r="M218" i="155"/>
  <c r="M243" i="155"/>
  <c r="M250" i="155"/>
  <c r="M257" i="155"/>
  <c r="M264" i="155"/>
  <c r="M272" i="155"/>
  <c r="M279" i="155"/>
  <c r="M286" i="155"/>
  <c r="M293" i="155"/>
  <c r="M300" i="155"/>
  <c r="M308" i="155"/>
  <c r="M315" i="155"/>
  <c r="M322" i="155"/>
  <c r="M329" i="155"/>
  <c r="M336" i="155"/>
  <c r="M344" i="155"/>
  <c r="M351" i="155"/>
  <c r="M358" i="155"/>
  <c r="M365" i="155"/>
  <c r="M372" i="155"/>
  <c r="M380" i="155"/>
  <c r="M387" i="155"/>
  <c r="M394" i="155"/>
  <c r="M401" i="155"/>
  <c r="M408" i="155"/>
  <c r="M416" i="155"/>
  <c r="M423" i="155"/>
  <c r="M430" i="155"/>
  <c r="M437" i="155"/>
  <c r="M444" i="155"/>
  <c r="M452" i="155"/>
  <c r="M459" i="155"/>
  <c r="M466" i="155"/>
  <c r="M473" i="155"/>
  <c r="M480" i="155"/>
  <c r="M488" i="155"/>
  <c r="M495" i="155"/>
  <c r="M502" i="155"/>
  <c r="M509" i="155"/>
  <c r="M516" i="155"/>
  <c r="M523" i="155"/>
  <c r="M529" i="155"/>
  <c r="M535" i="155"/>
  <c r="M541" i="155"/>
  <c r="M547" i="155"/>
  <c r="M553" i="155"/>
  <c r="M559" i="155"/>
  <c r="M565" i="155"/>
  <c r="M571" i="155"/>
  <c r="M577" i="155"/>
  <c r="M583" i="155"/>
  <c r="M589" i="155"/>
  <c r="M595" i="155"/>
  <c r="M601" i="155"/>
  <c r="M607" i="155"/>
  <c r="M613" i="155"/>
  <c r="M619" i="155"/>
  <c r="M625" i="155"/>
  <c r="M631" i="155"/>
  <c r="M637" i="155"/>
  <c r="M643" i="155"/>
  <c r="M649" i="155"/>
  <c r="M655" i="155"/>
  <c r="M661" i="155"/>
  <c r="M667" i="155"/>
  <c r="M673" i="155"/>
  <c r="M679" i="155"/>
  <c r="M685" i="155"/>
  <c r="M691" i="155"/>
  <c r="M697" i="155"/>
  <c r="M703" i="155"/>
  <c r="M709" i="155"/>
  <c r="M715" i="155"/>
  <c r="M721" i="155"/>
  <c r="M727" i="155"/>
  <c r="M733" i="155"/>
  <c r="M739" i="155"/>
  <c r="M745" i="155"/>
  <c r="M751" i="155"/>
  <c r="M757" i="155"/>
  <c r="M42" i="155"/>
  <c r="H21" i="10" s="1"/>
  <c r="M244" i="155"/>
  <c r="M287" i="155"/>
  <c r="M330" i="155"/>
  <c r="M374" i="155"/>
  <c r="M417" i="155"/>
  <c r="M460" i="155"/>
  <c r="M503" i="155"/>
  <c r="M527" i="155"/>
  <c r="M539" i="155"/>
  <c r="M551" i="155"/>
  <c r="M563" i="155"/>
  <c r="M575" i="155"/>
  <c r="M587" i="155"/>
  <c r="M599" i="155"/>
  <c r="M611" i="155"/>
  <c r="M623" i="155"/>
  <c r="M635" i="155"/>
  <c r="M647" i="155"/>
  <c r="M659" i="155"/>
  <c r="M671" i="155"/>
  <c r="M683" i="155"/>
  <c r="M695" i="155"/>
  <c r="M707" i="155"/>
  <c r="M717" i="155"/>
  <c r="M725" i="155"/>
  <c r="M735" i="155"/>
  <c r="M743" i="155"/>
  <c r="M753" i="155"/>
  <c r="M761" i="155"/>
  <c r="M767" i="155"/>
  <c r="M773" i="155"/>
  <c r="M779" i="155"/>
  <c r="M785" i="155"/>
  <c r="M791" i="155"/>
  <c r="M797" i="155"/>
  <c r="M803" i="155"/>
  <c r="M809" i="155"/>
  <c r="M815" i="155"/>
  <c r="M821" i="155"/>
  <c r="M827" i="155"/>
  <c r="M833" i="155"/>
  <c r="M839" i="155"/>
  <c r="M845" i="155"/>
  <c r="M851" i="155"/>
  <c r="M857" i="155"/>
  <c r="M863" i="155"/>
  <c r="M869" i="155"/>
  <c r="M875" i="155"/>
  <c r="M881" i="155"/>
  <c r="M887" i="155"/>
  <c r="M893" i="155"/>
  <c r="M899" i="155"/>
  <c r="M905" i="155"/>
  <c r="M911" i="155"/>
  <c r="M917" i="155"/>
  <c r="M923" i="155"/>
  <c r="M929" i="155"/>
  <c r="M78" i="155"/>
  <c r="L25" i="11" s="1"/>
  <c r="M114" i="155"/>
  <c r="G15" i="14" s="1"/>
  <c r="M258" i="155"/>
  <c r="M150" i="155"/>
  <c r="M266" i="155"/>
  <c r="M309" i="155"/>
  <c r="M352" i="155"/>
  <c r="M395" i="155"/>
  <c r="M438" i="155"/>
  <c r="M482" i="155"/>
  <c r="M521" i="155"/>
  <c r="M533" i="155"/>
  <c r="M545" i="155"/>
  <c r="M557" i="155"/>
  <c r="M569" i="155"/>
  <c r="M581" i="155"/>
  <c r="M593" i="155"/>
  <c r="M605" i="155"/>
  <c r="M617" i="155"/>
  <c r="M629" i="155"/>
  <c r="M641" i="155"/>
  <c r="M653" i="155"/>
  <c r="M665" i="155"/>
  <c r="M677" i="155"/>
  <c r="M689" i="155"/>
  <c r="M701" i="155"/>
  <c r="M712" i="155"/>
  <c r="M722" i="155"/>
  <c r="M730" i="155"/>
  <c r="M740" i="155"/>
  <c r="M748" i="155"/>
  <c r="M758" i="155"/>
  <c r="M764" i="155"/>
  <c r="M770" i="155"/>
  <c r="M776" i="155"/>
  <c r="M782" i="155"/>
  <c r="M788" i="155"/>
  <c r="M794" i="155"/>
  <c r="M800" i="155"/>
  <c r="M806" i="155"/>
  <c r="M812" i="155"/>
  <c r="M818" i="155"/>
  <c r="M824" i="155"/>
  <c r="M830" i="155"/>
  <c r="M836" i="155"/>
  <c r="M842" i="155"/>
  <c r="M848" i="155"/>
  <c r="M854" i="155"/>
  <c r="M860" i="155"/>
  <c r="M866" i="155"/>
  <c r="M872" i="155"/>
  <c r="M878" i="155"/>
  <c r="M884" i="155"/>
  <c r="M890" i="155"/>
  <c r="M896" i="155"/>
  <c r="M902" i="155"/>
  <c r="M908" i="155"/>
  <c r="M914" i="155"/>
  <c r="M920" i="155"/>
  <c r="M926" i="155"/>
  <c r="M932" i="155"/>
  <c r="M938" i="155"/>
  <c r="M944" i="155"/>
  <c r="M950" i="155"/>
  <c r="M956" i="155"/>
  <c r="M962" i="155"/>
  <c r="M968" i="155"/>
  <c r="M974" i="155"/>
  <c r="M980" i="155"/>
  <c r="M986" i="155"/>
  <c r="M992" i="155"/>
  <c r="M998" i="155"/>
  <c r="M1004" i="155"/>
  <c r="M1010" i="155"/>
  <c r="M1016" i="155"/>
  <c r="M1022" i="155"/>
  <c r="M1028" i="155"/>
  <c r="M1034" i="155"/>
  <c r="M1040" i="155"/>
  <c r="M1046" i="155"/>
  <c r="M1052" i="155"/>
  <c r="M1058" i="155"/>
  <c r="M1064" i="155"/>
  <c r="M1070" i="155"/>
  <c r="M1076" i="155"/>
  <c r="M1082" i="155"/>
  <c r="M1088" i="155"/>
  <c r="M1094" i="155"/>
  <c r="M1100" i="155"/>
  <c r="M224" i="155"/>
  <c r="M280" i="155"/>
  <c r="M323" i="155"/>
  <c r="M366" i="155"/>
  <c r="M410" i="155"/>
  <c r="M453" i="155"/>
  <c r="M496" i="155"/>
  <c r="M526" i="155"/>
  <c r="M538" i="155"/>
  <c r="M550" i="155"/>
  <c r="M562" i="155"/>
  <c r="M574" i="155"/>
  <c r="M586" i="155"/>
  <c r="M598" i="155"/>
  <c r="M610" i="155"/>
  <c r="M622" i="155"/>
  <c r="M634" i="155"/>
  <c r="M646" i="155"/>
  <c r="M658" i="155"/>
  <c r="M670" i="155"/>
  <c r="M682" i="155"/>
  <c r="M694" i="155"/>
  <c r="M706" i="155"/>
  <c r="M716" i="155"/>
  <c r="M724" i="155"/>
  <c r="M734" i="155"/>
  <c r="M742" i="155"/>
  <c r="M752" i="155"/>
  <c r="M760" i="155"/>
  <c r="M766" i="155"/>
  <c r="M772" i="155"/>
  <c r="M778" i="155"/>
  <c r="M784" i="155"/>
  <c r="M790" i="155"/>
  <c r="M796" i="155"/>
  <c r="M802" i="155"/>
  <c r="M808" i="155"/>
  <c r="M814" i="155"/>
  <c r="M820" i="155"/>
  <c r="M826" i="155"/>
  <c r="M832" i="155"/>
  <c r="M838" i="155"/>
  <c r="M844" i="155"/>
  <c r="M850" i="155"/>
  <c r="M856" i="155"/>
  <c r="M862" i="155"/>
  <c r="M868" i="155"/>
  <c r="M874" i="155"/>
  <c r="M880" i="155"/>
  <c r="M886" i="155"/>
  <c r="M892" i="155"/>
  <c r="M898" i="155"/>
  <c r="M904" i="155"/>
  <c r="M910" i="155"/>
  <c r="M916" i="155"/>
  <c r="M922" i="155"/>
  <c r="M928" i="155"/>
  <c r="M934" i="155"/>
  <c r="M940" i="155"/>
  <c r="M946" i="155"/>
  <c r="M952" i="155"/>
  <c r="M958" i="155"/>
  <c r="M964" i="155"/>
  <c r="M970" i="155"/>
  <c r="M976" i="155"/>
  <c r="M982" i="155"/>
  <c r="M988" i="155"/>
  <c r="M994" i="155"/>
  <c r="M1000" i="155"/>
  <c r="M1006" i="155"/>
  <c r="M1012" i="155"/>
  <c r="M1018" i="155"/>
  <c r="M1024" i="155"/>
  <c r="M1030" i="155"/>
  <c r="M1036" i="155"/>
  <c r="M1042" i="155"/>
  <c r="M1048" i="155"/>
  <c r="M1054" i="155"/>
  <c r="M1060" i="155"/>
  <c r="M1066" i="155"/>
  <c r="M1072" i="155"/>
  <c r="M1078" i="155"/>
  <c r="M1084" i="155"/>
  <c r="M1090" i="155"/>
  <c r="M1096" i="155"/>
  <c r="M187" i="155"/>
  <c r="M338" i="155"/>
  <c r="M424" i="155"/>
  <c r="M510" i="155"/>
  <c r="M542" i="155"/>
  <c r="M566" i="155"/>
  <c r="M590" i="155"/>
  <c r="M614" i="155"/>
  <c r="M638" i="155"/>
  <c r="M662" i="155"/>
  <c r="M686" i="155"/>
  <c r="M710" i="155"/>
  <c r="M728" i="155"/>
  <c r="M746" i="155"/>
  <c r="M762" i="155"/>
  <c r="M774" i="155"/>
  <c r="M786" i="155"/>
  <c r="M798" i="155"/>
  <c r="M810" i="155"/>
  <c r="M822" i="155"/>
  <c r="M834" i="155"/>
  <c r="M846" i="155"/>
  <c r="M858" i="155"/>
  <c r="M870" i="155"/>
  <c r="M882" i="155"/>
  <c r="M894" i="155"/>
  <c r="M906" i="155"/>
  <c r="M918" i="155"/>
  <c r="M930" i="155"/>
  <c r="M939" i="155"/>
  <c r="M948" i="155"/>
  <c r="M957" i="155"/>
  <c r="M966" i="155"/>
  <c r="M975" i="155"/>
  <c r="M984" i="155"/>
  <c r="M993" i="155"/>
  <c r="M1002" i="155"/>
  <c r="M1011" i="155"/>
  <c r="M1020" i="155"/>
  <c r="M1029" i="155"/>
  <c r="M1038" i="155"/>
  <c r="M1047" i="155"/>
  <c r="M1056" i="155"/>
  <c r="M1065" i="155"/>
  <c r="M1074" i="155"/>
  <c r="M1083" i="155"/>
  <c r="M1092" i="155"/>
  <c r="M1101" i="155"/>
  <c r="M1107" i="155"/>
  <c r="M1113" i="155"/>
  <c r="M1119" i="155"/>
  <c r="M1125" i="155"/>
  <c r="M1131" i="155"/>
  <c r="M1137" i="155"/>
  <c r="M1143" i="155"/>
  <c r="M1149" i="155"/>
  <c r="M1155" i="155"/>
  <c r="M1161" i="155"/>
  <c r="M1167" i="155"/>
  <c r="M1173" i="155"/>
  <c r="M1179" i="155"/>
  <c r="M1185" i="155"/>
  <c r="M1191" i="155"/>
  <c r="M1197" i="155"/>
  <c r="M1203" i="155"/>
  <c r="M1209" i="155"/>
  <c r="M1215" i="155"/>
  <c r="M1221" i="155"/>
  <c r="M1227" i="155"/>
  <c r="M1233" i="155"/>
  <c r="M1239" i="155"/>
  <c r="M1245" i="155"/>
  <c r="M1251" i="155"/>
  <c r="M1257" i="155"/>
  <c r="M1263" i="155"/>
  <c r="M1269" i="155"/>
  <c r="M1275" i="155"/>
  <c r="M1281" i="155"/>
  <c r="M1287" i="155"/>
  <c r="M1293" i="155"/>
  <c r="M1299" i="155"/>
  <c r="M1305" i="155"/>
  <c r="M1311" i="155"/>
  <c r="M1317" i="155"/>
  <c r="M1323" i="155"/>
  <c r="M251" i="155"/>
  <c r="M345" i="155"/>
  <c r="M431" i="155"/>
  <c r="M518" i="155"/>
  <c r="M544" i="155"/>
  <c r="M568" i="155"/>
  <c r="M592" i="155"/>
  <c r="M616" i="155"/>
  <c r="M640" i="155"/>
  <c r="M664" i="155"/>
  <c r="M688" i="155"/>
  <c r="M711" i="155"/>
  <c r="M729" i="155"/>
  <c r="M747" i="155"/>
  <c r="M763" i="155"/>
  <c r="M775" i="155"/>
  <c r="M787" i="155"/>
  <c r="M799" i="155"/>
  <c r="M811" i="155"/>
  <c r="M823" i="155"/>
  <c r="M835" i="155"/>
  <c r="M847" i="155"/>
  <c r="M859" i="155"/>
  <c r="M871" i="155"/>
  <c r="M883" i="155"/>
  <c r="M895" i="155"/>
  <c r="M907" i="155"/>
  <c r="M919" i="155"/>
  <c r="M931" i="155"/>
  <c r="M941" i="155"/>
  <c r="M949" i="155"/>
  <c r="M959" i="155"/>
  <c r="M967" i="155"/>
  <c r="M977" i="155"/>
  <c r="M985" i="155"/>
  <c r="M995" i="155"/>
  <c r="M1003" i="155"/>
  <c r="M1013" i="155"/>
  <c r="M1021" i="155"/>
  <c r="M1031" i="155"/>
  <c r="M1039" i="155"/>
  <c r="M1049" i="155"/>
  <c r="M1057" i="155"/>
  <c r="M1067" i="155"/>
  <c r="M1075" i="155"/>
  <c r="M1085" i="155"/>
  <c r="M1093" i="155"/>
  <c r="M1102" i="155"/>
  <c r="M1108" i="155"/>
  <c r="M1114" i="155"/>
  <c r="M1120" i="155"/>
  <c r="M1126" i="155"/>
  <c r="M1132" i="155"/>
  <c r="M1138" i="155"/>
  <c r="M1144" i="155"/>
  <c r="M1150" i="155"/>
  <c r="M1156" i="155"/>
  <c r="M1162" i="155"/>
  <c r="M1168" i="155"/>
  <c r="M1174" i="155"/>
  <c r="M1180" i="155"/>
  <c r="M1186" i="155"/>
  <c r="M1192" i="155"/>
  <c r="M1198" i="155"/>
  <c r="M1204" i="155"/>
  <c r="M1210" i="155"/>
  <c r="M1216" i="155"/>
  <c r="M1222" i="155"/>
  <c r="M1228" i="155"/>
  <c r="M1234" i="155"/>
  <c r="M1240" i="155"/>
  <c r="M1246" i="155"/>
  <c r="M1252" i="155"/>
  <c r="M1258" i="155"/>
  <c r="M1264" i="155"/>
  <c r="M1270" i="155"/>
  <c r="M1276" i="155"/>
  <c r="M1282" i="155"/>
  <c r="M1288" i="155"/>
  <c r="M1294" i="155"/>
  <c r="M1300" i="155"/>
  <c r="M1306" i="155"/>
  <c r="M1312" i="155"/>
  <c r="M1318" i="155"/>
  <c r="M1324" i="155"/>
  <c r="M273" i="155"/>
  <c r="M359" i="155"/>
  <c r="M446" i="155"/>
  <c r="M524" i="155"/>
  <c r="M548" i="155"/>
  <c r="M572" i="155"/>
  <c r="M596" i="155"/>
  <c r="M620" i="155"/>
  <c r="M644" i="155"/>
  <c r="M668" i="155"/>
  <c r="M692" i="155"/>
  <c r="M713" i="155"/>
  <c r="M731" i="155"/>
  <c r="M749" i="155"/>
  <c r="M765" i="155"/>
  <c r="M777" i="155"/>
  <c r="M789" i="155"/>
  <c r="M801" i="155"/>
  <c r="M813" i="155"/>
  <c r="M825" i="155"/>
  <c r="M837" i="155"/>
  <c r="M849" i="155"/>
  <c r="M861" i="155"/>
  <c r="M873" i="155"/>
  <c r="M885" i="155"/>
  <c r="M897" i="155"/>
  <c r="M909" i="155"/>
  <c r="M921" i="155"/>
  <c r="M933" i="155"/>
  <c r="M942" i="155"/>
  <c r="M951" i="155"/>
  <c r="M960" i="155"/>
  <c r="M969" i="155"/>
  <c r="M978" i="155"/>
  <c r="M987" i="155"/>
  <c r="M996" i="155"/>
  <c r="M1005" i="155"/>
  <c r="M1014" i="155"/>
  <c r="M1023" i="155"/>
  <c r="M1032" i="155"/>
  <c r="M1041" i="155"/>
  <c r="M1050" i="155"/>
  <c r="M1059" i="155"/>
  <c r="M1068" i="155"/>
  <c r="M1077" i="155"/>
  <c r="M1086" i="155"/>
  <c r="M1095" i="155"/>
  <c r="M1103" i="155"/>
  <c r="M1109" i="155"/>
  <c r="M1115" i="155"/>
  <c r="M1121" i="155"/>
  <c r="M1127" i="155"/>
  <c r="M1133" i="155"/>
  <c r="M1139" i="155"/>
  <c r="M1145" i="155"/>
  <c r="M294" i="155"/>
  <c r="M381" i="155"/>
  <c r="M467" i="155"/>
  <c r="M530" i="155"/>
  <c r="M554" i="155"/>
  <c r="M578" i="155"/>
  <c r="M602" i="155"/>
  <c r="M626" i="155"/>
  <c r="M650" i="155"/>
  <c r="M674" i="155"/>
  <c r="M698" i="155"/>
  <c r="M718" i="155"/>
  <c r="M736" i="155"/>
  <c r="M754" i="155"/>
  <c r="M768" i="155"/>
  <c r="M780" i="155"/>
  <c r="M792" i="155"/>
  <c r="M804" i="155"/>
  <c r="M816" i="155"/>
  <c r="M828" i="155"/>
  <c r="M840" i="155"/>
  <c r="M852" i="155"/>
  <c r="M864" i="155"/>
  <c r="M876" i="155"/>
  <c r="M888" i="155"/>
  <c r="M900" i="155"/>
  <c r="M912" i="155"/>
  <c r="M924" i="155"/>
  <c r="M935" i="155"/>
  <c r="M943" i="155"/>
  <c r="M953" i="155"/>
  <c r="M961" i="155"/>
  <c r="M971" i="155"/>
  <c r="M979" i="155"/>
  <c r="M989" i="155"/>
  <c r="M997" i="155"/>
  <c r="M1007" i="155"/>
  <c r="M1015" i="155"/>
  <c r="M1025" i="155"/>
  <c r="M1033" i="155"/>
  <c r="M1043" i="155"/>
  <c r="M1051" i="155"/>
  <c r="M1061" i="155"/>
  <c r="M1069" i="155"/>
  <c r="M1079" i="155"/>
  <c r="M1087" i="155"/>
  <c r="M1097" i="155"/>
  <c r="M1104" i="155"/>
  <c r="M1110" i="155"/>
  <c r="M1116" i="155"/>
  <c r="M1122" i="155"/>
  <c r="M1128" i="155"/>
  <c r="M1134" i="155"/>
  <c r="M1140" i="155"/>
  <c r="M1146" i="155"/>
  <c r="M1152" i="155"/>
  <c r="M1158" i="155"/>
  <c r="M1164" i="155"/>
  <c r="M1170" i="155"/>
  <c r="M1176" i="155"/>
  <c r="M1182" i="155"/>
  <c r="M1188" i="155"/>
  <c r="M1194" i="155"/>
  <c r="M1200" i="155"/>
  <c r="M1206" i="155"/>
  <c r="M1212" i="155"/>
  <c r="M1218" i="155"/>
  <c r="M1224" i="155"/>
  <c r="M1230" i="155"/>
  <c r="M1236" i="155"/>
  <c r="M1242" i="155"/>
  <c r="M1248" i="155"/>
  <c r="M1254" i="155"/>
  <c r="M1260" i="155"/>
  <c r="M1266" i="155"/>
  <c r="M1272" i="155"/>
  <c r="M1278" i="155"/>
  <c r="M1284" i="155"/>
  <c r="M1290" i="155"/>
  <c r="M1296" i="155"/>
  <c r="M1302" i="155"/>
  <c r="M1308" i="155"/>
  <c r="M1314" i="155"/>
  <c r="M1320" i="155"/>
  <c r="M1326" i="155"/>
  <c r="M1332" i="155"/>
  <c r="M1338" i="155"/>
  <c r="M1344" i="155"/>
  <c r="M1350" i="155"/>
  <c r="M1356" i="155"/>
  <c r="M1362" i="155"/>
  <c r="M1368" i="155"/>
  <c r="M1374" i="155"/>
  <c r="M302" i="155"/>
  <c r="M388" i="155"/>
  <c r="M474" i="155"/>
  <c r="M532" i="155"/>
  <c r="M556" i="155"/>
  <c r="M580" i="155"/>
  <c r="M604" i="155"/>
  <c r="M628" i="155"/>
  <c r="M652" i="155"/>
  <c r="M676" i="155"/>
  <c r="M700" i="155"/>
  <c r="M719" i="155"/>
  <c r="M737" i="155"/>
  <c r="M755" i="155"/>
  <c r="M769" i="155"/>
  <c r="M781" i="155"/>
  <c r="M793" i="155"/>
  <c r="M805" i="155"/>
  <c r="M817" i="155"/>
  <c r="M829" i="155"/>
  <c r="M841" i="155"/>
  <c r="M853" i="155"/>
  <c r="M865" i="155"/>
  <c r="M877" i="155"/>
  <c r="M889" i="155"/>
  <c r="M901" i="155"/>
  <c r="M913" i="155"/>
  <c r="M925" i="155"/>
  <c r="M936" i="155"/>
  <c r="M945" i="155"/>
  <c r="M954" i="155"/>
  <c r="M963" i="155"/>
  <c r="M972" i="155"/>
  <c r="M981" i="155"/>
  <c r="M990" i="155"/>
  <c r="M999" i="155"/>
  <c r="M1008" i="155"/>
  <c r="M1017" i="155"/>
  <c r="M1026" i="155"/>
  <c r="M1035" i="155"/>
  <c r="M1044" i="155"/>
  <c r="M1053" i="155"/>
  <c r="M1062" i="155"/>
  <c r="M1071" i="155"/>
  <c r="M1080" i="155"/>
  <c r="M1089" i="155"/>
  <c r="M1098" i="155"/>
  <c r="M1105" i="155"/>
  <c r="M1111" i="155"/>
  <c r="M1117" i="155"/>
  <c r="M1123" i="155"/>
  <c r="M1129" i="155"/>
  <c r="M1135" i="155"/>
  <c r="M1141" i="155"/>
  <c r="M1147" i="155"/>
  <c r="M1153" i="155"/>
  <c r="M1159" i="155"/>
  <c r="M1165" i="155"/>
  <c r="M1171" i="155"/>
  <c r="M1177" i="155"/>
  <c r="M1183" i="155"/>
  <c r="M1189" i="155"/>
  <c r="M1195" i="155"/>
  <c r="M1201" i="155"/>
  <c r="M1207" i="155"/>
  <c r="M1213" i="155"/>
  <c r="M1219" i="155"/>
  <c r="M1225" i="155"/>
  <c r="M1231" i="155"/>
  <c r="M1237" i="155"/>
  <c r="M1243" i="155"/>
  <c r="M1249" i="155"/>
  <c r="M1255" i="155"/>
  <c r="M1261" i="155"/>
  <c r="M1267" i="155"/>
  <c r="M1273" i="155"/>
  <c r="M1279" i="155"/>
  <c r="M1285" i="155"/>
  <c r="M1291" i="155"/>
  <c r="M1297" i="155"/>
  <c r="M1303" i="155"/>
  <c r="M1309" i="155"/>
  <c r="M1315" i="155"/>
  <c r="M1321" i="155"/>
  <c r="M1327" i="155"/>
  <c r="M1333" i="155"/>
  <c r="M1339" i="155"/>
  <c r="M1345" i="155"/>
  <c r="M1351" i="155"/>
  <c r="M1357" i="155"/>
  <c r="M1363" i="155"/>
  <c r="M1369" i="155"/>
  <c r="M1375" i="155"/>
  <c r="M316" i="155"/>
  <c r="M608" i="155"/>
  <c r="M741" i="155"/>
  <c r="M819" i="155"/>
  <c r="M891" i="155"/>
  <c r="M955" i="155"/>
  <c r="M1009" i="155"/>
  <c r="M1063" i="155"/>
  <c r="M1112" i="155"/>
  <c r="M1148" i="155"/>
  <c r="M1166" i="155"/>
  <c r="M1184" i="155"/>
  <c r="M1202" i="155"/>
  <c r="M1220" i="155"/>
  <c r="M1238" i="155"/>
  <c r="M1256" i="155"/>
  <c r="M1274" i="155"/>
  <c r="M1292" i="155"/>
  <c r="M1310" i="155"/>
  <c r="M1328" i="155"/>
  <c r="M1336" i="155"/>
  <c r="M1346" i="155"/>
  <c r="M1354" i="155"/>
  <c r="M1364" i="155"/>
  <c r="M1372" i="155"/>
  <c r="M1380" i="155"/>
  <c r="M1386" i="155"/>
  <c r="M1392" i="155"/>
  <c r="M1398" i="155"/>
  <c r="M1404" i="155"/>
  <c r="M1410" i="155"/>
  <c r="M1416" i="155"/>
  <c r="M1422" i="155"/>
  <c r="M1428" i="155"/>
  <c r="M1434" i="155"/>
  <c r="M1440" i="155"/>
  <c r="M1446" i="155"/>
  <c r="M1452" i="155"/>
  <c r="M1458" i="155"/>
  <c r="M1464" i="155"/>
  <c r="M1470" i="155"/>
  <c r="M1476" i="155"/>
  <c r="M1482" i="155"/>
  <c r="M1488" i="155"/>
  <c r="M1494" i="155"/>
  <c r="M1500" i="155"/>
  <c r="M1506" i="155"/>
  <c r="M1512" i="155"/>
  <c r="M1518" i="155"/>
  <c r="M1524" i="155"/>
  <c r="M1530" i="155"/>
  <c r="M1536" i="155"/>
  <c r="M1542" i="155"/>
  <c r="M1548" i="155"/>
  <c r="M1554" i="155"/>
  <c r="M1560" i="155"/>
  <c r="M1566" i="155"/>
  <c r="M1572" i="155"/>
  <c r="M1578" i="155"/>
  <c r="M1584" i="155"/>
  <c r="M1590" i="155"/>
  <c r="M1596" i="155"/>
  <c r="M1602" i="155"/>
  <c r="M1608" i="155"/>
  <c r="M1614" i="155"/>
  <c r="M1620" i="155"/>
  <c r="M1626" i="155"/>
  <c r="M1632" i="155"/>
  <c r="M1638" i="155"/>
  <c r="M1644" i="155"/>
  <c r="M1650" i="155"/>
  <c r="M1656" i="155"/>
  <c r="M1662" i="155"/>
  <c r="M1668" i="155"/>
  <c r="M1674" i="155"/>
  <c r="M1680" i="155"/>
  <c r="M1686" i="155"/>
  <c r="M1692" i="155"/>
  <c r="M1698" i="155"/>
  <c r="M1704" i="155"/>
  <c r="M1710" i="155"/>
  <c r="M1716" i="155"/>
  <c r="M1722" i="155"/>
  <c r="M1728" i="155"/>
  <c r="M1734" i="155"/>
  <c r="M1740" i="155"/>
  <c r="M1746" i="155"/>
  <c r="M1752" i="155"/>
  <c r="M1758" i="155"/>
  <c r="M1764" i="155"/>
  <c r="M1770" i="155"/>
  <c r="M1776" i="155"/>
  <c r="M1782" i="155"/>
  <c r="M1788" i="155"/>
  <c r="M1794" i="155"/>
  <c r="M1800" i="155"/>
  <c r="M1806" i="155"/>
  <c r="M1812" i="155"/>
  <c r="M1818" i="155"/>
  <c r="M1824" i="155"/>
  <c r="M1830" i="155"/>
  <c r="M1836" i="155"/>
  <c r="M1842" i="155"/>
  <c r="M1848" i="155"/>
  <c r="M1854" i="155"/>
  <c r="M1860" i="155"/>
  <c r="M1866" i="155"/>
  <c r="M1872" i="155"/>
  <c r="M1878" i="155"/>
  <c r="M1884" i="155"/>
  <c r="M1890" i="155"/>
  <c r="M1896" i="155"/>
  <c r="M1902" i="155"/>
  <c r="M1908" i="155"/>
  <c r="M1914" i="155"/>
  <c r="M1920" i="155"/>
  <c r="M1926" i="155"/>
  <c r="M1932" i="155"/>
  <c r="M1938" i="155"/>
  <c r="M1944" i="155"/>
  <c r="M1950" i="155"/>
  <c r="M1956" i="155"/>
  <c r="M1962" i="155"/>
  <c r="M1968" i="155"/>
  <c r="M1974" i="155"/>
  <c r="M1980" i="155"/>
  <c r="M1986" i="155"/>
  <c r="M402" i="155"/>
  <c r="M632" i="155"/>
  <c r="M759" i="155"/>
  <c r="M831" i="155"/>
  <c r="M903" i="155"/>
  <c r="M965" i="155"/>
  <c r="M1019" i="155"/>
  <c r="M1073" i="155"/>
  <c r="M1118" i="155"/>
  <c r="M1151" i="155"/>
  <c r="M1169" i="155"/>
  <c r="M1187" i="155"/>
  <c r="M1205" i="155"/>
  <c r="M1223" i="155"/>
  <c r="M1241" i="155"/>
  <c r="M1259" i="155"/>
  <c r="M1277" i="155"/>
  <c r="M1295" i="155"/>
  <c r="M1313" i="155"/>
  <c r="M1329" i="155"/>
  <c r="M1337" i="155"/>
  <c r="M1347" i="155"/>
  <c r="M1355" i="155"/>
  <c r="M1365" i="155"/>
  <c r="M1373" i="155"/>
  <c r="M1381" i="155"/>
  <c r="M1387" i="155"/>
  <c r="M1393" i="155"/>
  <c r="M1399" i="155"/>
  <c r="M1405" i="155"/>
  <c r="M1411" i="155"/>
  <c r="M1417" i="155"/>
  <c r="M1423" i="155"/>
  <c r="M1429" i="155"/>
  <c r="M1435" i="155"/>
  <c r="M1441" i="155"/>
  <c r="M1447" i="155"/>
  <c r="M1453" i="155"/>
  <c r="M1459" i="155"/>
  <c r="M1465" i="155"/>
  <c r="M1471" i="155"/>
  <c r="M1477" i="155"/>
  <c r="M1483" i="155"/>
  <c r="M1489" i="155"/>
  <c r="M1495" i="155"/>
  <c r="M1501" i="155"/>
  <c r="M1507" i="155"/>
  <c r="M1513" i="155"/>
  <c r="M1519" i="155"/>
  <c r="M1525" i="155"/>
  <c r="M1531" i="155"/>
  <c r="M1537" i="155"/>
  <c r="M1543" i="155"/>
  <c r="M1549" i="155"/>
  <c r="M1555" i="155"/>
  <c r="M1561" i="155"/>
  <c r="M1567" i="155"/>
  <c r="M1573" i="155"/>
  <c r="M1579" i="155"/>
  <c r="M1585" i="155"/>
  <c r="M1591" i="155"/>
  <c r="M1597" i="155"/>
  <c r="M1603" i="155"/>
  <c r="M1609" i="155"/>
  <c r="M1615" i="155"/>
  <c r="M1621" i="155"/>
  <c r="M1627" i="155"/>
  <c r="M1633" i="155"/>
  <c r="M1639" i="155"/>
  <c r="M1645" i="155"/>
  <c r="M1651" i="155"/>
  <c r="M1657" i="155"/>
  <c r="M1663" i="155"/>
  <c r="M1669" i="155"/>
  <c r="M1675" i="155"/>
  <c r="M1681" i="155"/>
  <c r="M1687" i="155"/>
  <c r="M1693" i="155"/>
  <c r="M1699" i="155"/>
  <c r="M1705" i="155"/>
  <c r="M1711" i="155"/>
  <c r="M1717" i="155"/>
  <c r="M1723" i="155"/>
  <c r="M1729" i="155"/>
  <c r="M1735" i="155"/>
  <c r="M489" i="155"/>
  <c r="M656" i="155"/>
  <c r="M771" i="155"/>
  <c r="M843" i="155"/>
  <c r="M915" i="155"/>
  <c r="M973" i="155"/>
  <c r="M1027" i="155"/>
  <c r="M1081" i="155"/>
  <c r="M1124" i="155"/>
  <c r="M1154" i="155"/>
  <c r="M1172" i="155"/>
  <c r="M1190" i="155"/>
  <c r="M1208" i="155"/>
  <c r="M1226" i="155"/>
  <c r="M1244" i="155"/>
  <c r="M1262" i="155"/>
  <c r="M1280" i="155"/>
  <c r="M1298" i="155"/>
  <c r="M1316" i="155"/>
  <c r="M1330" i="155"/>
  <c r="M1340" i="155"/>
  <c r="M1348" i="155"/>
  <c r="M1358" i="155"/>
  <c r="M1366" i="155"/>
  <c r="M1376" i="155"/>
  <c r="M1382" i="155"/>
  <c r="M1388" i="155"/>
  <c r="M1394" i="155"/>
  <c r="M1400" i="155"/>
  <c r="M1406" i="155"/>
  <c r="M1412" i="155"/>
  <c r="M1418" i="155"/>
  <c r="M1424" i="155"/>
  <c r="M1430" i="155"/>
  <c r="M1436" i="155"/>
  <c r="M1442" i="155"/>
  <c r="M1448" i="155"/>
  <c r="M1454" i="155"/>
  <c r="M1460" i="155"/>
  <c r="M1466" i="155"/>
  <c r="M1472" i="155"/>
  <c r="M1478" i="155"/>
  <c r="M1484" i="155"/>
  <c r="M1490" i="155"/>
  <c r="M1496" i="155"/>
  <c r="M1502" i="155"/>
  <c r="M1508" i="155"/>
  <c r="M1514" i="155"/>
  <c r="M1520" i="155"/>
  <c r="M1526" i="155"/>
  <c r="M1532" i="155"/>
  <c r="M1538" i="155"/>
  <c r="M1544" i="155"/>
  <c r="M1550" i="155"/>
  <c r="M1556" i="155"/>
  <c r="M1562" i="155"/>
  <c r="M1568" i="155"/>
  <c r="M1574" i="155"/>
  <c r="M1580" i="155"/>
  <c r="M1586" i="155"/>
  <c r="M1592" i="155"/>
  <c r="M1598" i="155"/>
  <c r="M1604" i="155"/>
  <c r="M1610" i="155"/>
  <c r="M1616" i="155"/>
  <c r="M1622" i="155"/>
  <c r="M1628" i="155"/>
  <c r="M1634" i="155"/>
  <c r="M1640" i="155"/>
  <c r="M1646" i="155"/>
  <c r="M1652" i="155"/>
  <c r="M1658" i="155"/>
  <c r="M1664" i="155"/>
  <c r="M1670" i="155"/>
  <c r="M1676" i="155"/>
  <c r="M1682" i="155"/>
  <c r="M1688" i="155"/>
  <c r="M1694" i="155"/>
  <c r="M1700" i="155"/>
  <c r="M1706" i="155"/>
  <c r="M1712" i="155"/>
  <c r="M1718" i="155"/>
  <c r="M1724" i="155"/>
  <c r="M1730" i="155"/>
  <c r="M536" i="155"/>
  <c r="M680" i="155"/>
  <c r="M783" i="155"/>
  <c r="M855" i="155"/>
  <c r="M927" i="155"/>
  <c r="M983" i="155"/>
  <c r="M1037" i="155"/>
  <c r="M1091" i="155"/>
  <c r="M1130" i="155"/>
  <c r="M1157" i="155"/>
  <c r="M1175" i="155"/>
  <c r="M1193" i="155"/>
  <c r="M1211" i="155"/>
  <c r="M1229" i="155"/>
  <c r="M1247" i="155"/>
  <c r="M1265" i="155"/>
  <c r="M1283" i="155"/>
  <c r="M1301" i="155"/>
  <c r="M1319" i="155"/>
  <c r="M1331" i="155"/>
  <c r="M1341" i="155"/>
  <c r="M1349" i="155"/>
  <c r="M1359" i="155"/>
  <c r="M1367" i="155"/>
  <c r="M1377" i="155"/>
  <c r="M1383" i="155"/>
  <c r="M1389" i="155"/>
  <c r="M1395" i="155"/>
  <c r="M1401" i="155"/>
  <c r="M1407" i="155"/>
  <c r="M1413" i="155"/>
  <c r="M1419" i="155"/>
  <c r="M1425" i="155"/>
  <c r="M1431" i="155"/>
  <c r="M1437" i="155"/>
  <c r="M1443" i="155"/>
  <c r="M1449" i="155"/>
  <c r="M1455" i="155"/>
  <c r="M1461" i="155"/>
  <c r="M1467" i="155"/>
  <c r="M1473" i="155"/>
  <c r="M1479" i="155"/>
  <c r="M1485" i="155"/>
  <c r="M1491" i="155"/>
  <c r="M1497" i="155"/>
  <c r="M1503" i="155"/>
  <c r="M1509" i="155"/>
  <c r="M1515" i="155"/>
  <c r="M1521" i="155"/>
  <c r="M1527" i="155"/>
  <c r="M1533" i="155"/>
  <c r="M1539" i="155"/>
  <c r="M1545" i="155"/>
  <c r="M1551" i="155"/>
  <c r="M1557" i="155"/>
  <c r="M1563" i="155"/>
  <c r="M1569" i="155"/>
  <c r="M1575" i="155"/>
  <c r="M1581" i="155"/>
  <c r="M1587" i="155"/>
  <c r="M1593" i="155"/>
  <c r="M1599" i="155"/>
  <c r="M1605" i="155"/>
  <c r="M1611" i="155"/>
  <c r="M1617" i="155"/>
  <c r="M1623" i="155"/>
  <c r="M1629" i="155"/>
  <c r="M1635" i="155"/>
  <c r="M1641" i="155"/>
  <c r="M1647" i="155"/>
  <c r="M1653" i="155"/>
  <c r="M1659" i="155"/>
  <c r="M1665" i="155"/>
  <c r="M1671" i="155"/>
  <c r="M1677" i="155"/>
  <c r="M1683" i="155"/>
  <c r="M1689" i="155"/>
  <c r="M1695" i="155"/>
  <c r="M1701" i="155"/>
  <c r="M1707" i="155"/>
  <c r="M1713" i="155"/>
  <c r="M1719" i="155"/>
  <c r="M1725" i="155"/>
  <c r="M1731" i="155"/>
  <c r="M1737" i="155"/>
  <c r="M1743" i="155"/>
  <c r="M1749" i="155"/>
  <c r="M1755" i="155"/>
  <c r="M1761" i="155"/>
  <c r="M1767" i="155"/>
  <c r="M1773" i="155"/>
  <c r="M1779" i="155"/>
  <c r="M1785" i="155"/>
  <c r="M1791" i="155"/>
  <c r="M1797" i="155"/>
  <c r="M1803" i="155"/>
  <c r="M1809" i="155"/>
  <c r="M1815" i="155"/>
  <c r="M1821" i="155"/>
  <c r="M1827" i="155"/>
  <c r="M1833" i="155"/>
  <c r="M1839" i="155"/>
  <c r="M1845" i="155"/>
  <c r="M1851" i="155"/>
  <c r="M1857" i="155"/>
  <c r="M1863" i="155"/>
  <c r="M1869" i="155"/>
  <c r="M1875" i="155"/>
  <c r="M1881" i="155"/>
  <c r="M1887" i="155"/>
  <c r="M1893" i="155"/>
  <c r="M1899" i="155"/>
  <c r="M1905" i="155"/>
  <c r="M1911" i="155"/>
  <c r="M1917" i="155"/>
  <c r="M1923" i="155"/>
  <c r="M1929" i="155"/>
  <c r="M1935" i="155"/>
  <c r="M1941" i="155"/>
  <c r="M1947" i="155"/>
  <c r="M1953" i="155"/>
  <c r="M1959" i="155"/>
  <c r="M1965" i="155"/>
  <c r="M1971" i="155"/>
  <c r="M1977" i="155"/>
  <c r="M1983" i="155"/>
  <c r="M560" i="155"/>
  <c r="M704" i="155"/>
  <c r="M795" i="155"/>
  <c r="M867" i="155"/>
  <c r="M937" i="155"/>
  <c r="M991" i="155"/>
  <c r="M1045" i="155"/>
  <c r="M1099" i="155"/>
  <c r="M1136" i="155"/>
  <c r="M1160" i="155"/>
  <c r="M1178" i="155"/>
  <c r="M1196" i="155"/>
  <c r="M1214" i="155"/>
  <c r="M1232" i="155"/>
  <c r="M1250" i="155"/>
  <c r="M1268" i="155"/>
  <c r="M1286" i="155"/>
  <c r="M1304" i="155"/>
  <c r="M1322" i="155"/>
  <c r="M1334" i="155"/>
  <c r="M1342" i="155"/>
  <c r="M1352" i="155"/>
  <c r="M1360" i="155"/>
  <c r="M1370" i="155"/>
  <c r="M1378" i="155"/>
  <c r="M1384" i="155"/>
  <c r="M1390" i="155"/>
  <c r="M1396" i="155"/>
  <c r="M1402" i="155"/>
  <c r="M1408" i="155"/>
  <c r="M1414" i="155"/>
  <c r="M1420" i="155"/>
  <c r="M1426" i="155"/>
  <c r="M1432" i="155"/>
  <c r="M1438" i="155"/>
  <c r="M1444" i="155"/>
  <c r="M1450" i="155"/>
  <c r="M1456" i="155"/>
  <c r="M1462" i="155"/>
  <c r="M1468" i="155"/>
  <c r="M1474" i="155"/>
  <c r="M1480" i="155"/>
  <c r="M1486" i="155"/>
  <c r="M1492" i="155"/>
  <c r="M1498" i="155"/>
  <c r="M1504" i="155"/>
  <c r="M1510" i="155"/>
  <c r="M1516" i="155"/>
  <c r="M1522" i="155"/>
  <c r="M1528" i="155"/>
  <c r="M1534" i="155"/>
  <c r="M584" i="155"/>
  <c r="M723" i="155"/>
  <c r="M807" i="155"/>
  <c r="M879" i="155"/>
  <c r="M947" i="155"/>
  <c r="M1001" i="155"/>
  <c r="M1055" i="155"/>
  <c r="M1106" i="155"/>
  <c r="M1142" i="155"/>
  <c r="M1163" i="155"/>
  <c r="M1181" i="155"/>
  <c r="M1199" i="155"/>
  <c r="M1217" i="155"/>
  <c r="M1235" i="155"/>
  <c r="M1253" i="155"/>
  <c r="M1271" i="155"/>
  <c r="M1289" i="155"/>
  <c r="M1307" i="155"/>
  <c r="M1325" i="155"/>
  <c r="M1335" i="155"/>
  <c r="M1343" i="155"/>
  <c r="M1353" i="155"/>
  <c r="M1361" i="155"/>
  <c r="M1371" i="155"/>
  <c r="M1379" i="155"/>
  <c r="M1385" i="155"/>
  <c r="M1391" i="155"/>
  <c r="M1397" i="155"/>
  <c r="M1403" i="155"/>
  <c r="M1409" i="155"/>
  <c r="M1415" i="155"/>
  <c r="M1421" i="155"/>
  <c r="M1427" i="155"/>
  <c r="M1433" i="155"/>
  <c r="M1439" i="155"/>
  <c r="M1445" i="155"/>
  <c r="M1451" i="155"/>
  <c r="M1457" i="155"/>
  <c r="M1463" i="155"/>
  <c r="M1469" i="155"/>
  <c r="M1475" i="155"/>
  <c r="M1481" i="155"/>
  <c r="M1487" i="155"/>
  <c r="M1493" i="155"/>
  <c r="M1499" i="155"/>
  <c r="M1505" i="155"/>
  <c r="M1511" i="155"/>
  <c r="M1517" i="155"/>
  <c r="M1523" i="155"/>
  <c r="M1529" i="155"/>
  <c r="M1535" i="155"/>
  <c r="M1541" i="155"/>
  <c r="M1547" i="155"/>
  <c r="M1553" i="155"/>
  <c r="M1559" i="155"/>
  <c r="M1565" i="155"/>
  <c r="M1571" i="155"/>
  <c r="M1577" i="155"/>
  <c r="M1583" i="155"/>
  <c r="M1589" i="155"/>
  <c r="M1595" i="155"/>
  <c r="M1601" i="155"/>
  <c r="M1607" i="155"/>
  <c r="M1613" i="155"/>
  <c r="M1619" i="155"/>
  <c r="M1625" i="155"/>
  <c r="M1631" i="155"/>
  <c r="M1637" i="155"/>
  <c r="M1643" i="155"/>
  <c r="M1649" i="155"/>
  <c r="M1655" i="155"/>
  <c r="M1661" i="155"/>
  <c r="M1667" i="155"/>
  <c r="M1673" i="155"/>
  <c r="M1679" i="155"/>
  <c r="M1685" i="155"/>
  <c r="M1691" i="155"/>
  <c r="M1697" i="155"/>
  <c r="M1703" i="155"/>
  <c r="M1709" i="155"/>
  <c r="M1715" i="155"/>
  <c r="M1721" i="155"/>
  <c r="M1727" i="155"/>
  <c r="M1733" i="155"/>
  <c r="M1540" i="155"/>
  <c r="M1576" i="155"/>
  <c r="M1612" i="155"/>
  <c r="M1648" i="155"/>
  <c r="M1684" i="155"/>
  <c r="M1720" i="155"/>
  <c r="M1741" i="155"/>
  <c r="M1750" i="155"/>
  <c r="M1759" i="155"/>
  <c r="M1768" i="155"/>
  <c r="M1777" i="155"/>
  <c r="M1786" i="155"/>
  <c r="M1795" i="155"/>
  <c r="M1804" i="155"/>
  <c r="M1813" i="155"/>
  <c r="M1822" i="155"/>
  <c r="M1831" i="155"/>
  <c r="M1840" i="155"/>
  <c r="M1849" i="155"/>
  <c r="M1858" i="155"/>
  <c r="M1867" i="155"/>
  <c r="M1876" i="155"/>
  <c r="M1885" i="155"/>
  <c r="M1894" i="155"/>
  <c r="M1903" i="155"/>
  <c r="M1912" i="155"/>
  <c r="M1921" i="155"/>
  <c r="M1930" i="155"/>
  <c r="M1939" i="155"/>
  <c r="M1948" i="155"/>
  <c r="M1957" i="155"/>
  <c r="M1966" i="155"/>
  <c r="M1975" i="155"/>
  <c r="M1984" i="155"/>
  <c r="M1991" i="155"/>
  <c r="M1997" i="155"/>
  <c r="M2003" i="155"/>
  <c r="M2009" i="155"/>
  <c r="M2015" i="155"/>
  <c r="M2021" i="155"/>
  <c r="M2025" i="155"/>
  <c r="M2031" i="155"/>
  <c r="M2037" i="155"/>
  <c r="M2043" i="155"/>
  <c r="M2049" i="155"/>
  <c r="M1546" i="155"/>
  <c r="M1582" i="155"/>
  <c r="M1618" i="155"/>
  <c r="M1654" i="155"/>
  <c r="M1690" i="155"/>
  <c r="M1726" i="155"/>
  <c r="M1742" i="155"/>
  <c r="M1751" i="155"/>
  <c r="M1760" i="155"/>
  <c r="M1769" i="155"/>
  <c r="M1778" i="155"/>
  <c r="M1787" i="155"/>
  <c r="M1796" i="155"/>
  <c r="M1805" i="155"/>
  <c r="M1814" i="155"/>
  <c r="M1823" i="155"/>
  <c r="M1832" i="155"/>
  <c r="M1841" i="155"/>
  <c r="M1850" i="155"/>
  <c r="M1859" i="155"/>
  <c r="M1868" i="155"/>
  <c r="M1877" i="155"/>
  <c r="M1886" i="155"/>
  <c r="M1895" i="155"/>
  <c r="M1904" i="155"/>
  <c r="M1913" i="155"/>
  <c r="M1922" i="155"/>
  <c r="M1931" i="155"/>
  <c r="M1940" i="155"/>
  <c r="M1949" i="155"/>
  <c r="M1958" i="155"/>
  <c r="M1967" i="155"/>
  <c r="M1976" i="155"/>
  <c r="M1985" i="155"/>
  <c r="M1992" i="155"/>
  <c r="M1998" i="155"/>
  <c r="M2004" i="155"/>
  <c r="M2010" i="155"/>
  <c r="M2016" i="155"/>
  <c r="M2022" i="155"/>
  <c r="M2026" i="155"/>
  <c r="M2032" i="155"/>
  <c r="M2038" i="155"/>
  <c r="M2044" i="155"/>
  <c r="M2050" i="155"/>
  <c r="M2056" i="155"/>
  <c r="M2062" i="155"/>
  <c r="M2068" i="155"/>
  <c r="M2079" i="155"/>
  <c r="M2085" i="155"/>
  <c r="M2091" i="155"/>
  <c r="M2097" i="155"/>
  <c r="M2103" i="155"/>
  <c r="M2109" i="155"/>
  <c r="M2115" i="155"/>
  <c r="M2121" i="155"/>
  <c r="M2127" i="155"/>
  <c r="M2133" i="155"/>
  <c r="M2139" i="155"/>
  <c r="M2145" i="155"/>
  <c r="M2151" i="155"/>
  <c r="M2157" i="155"/>
  <c r="M2163" i="155"/>
  <c r="M2169" i="155"/>
  <c r="M2175" i="155"/>
  <c r="M2181" i="155"/>
  <c r="M2187" i="155"/>
  <c r="M2193" i="155"/>
  <c r="M2199" i="155"/>
  <c r="M2205" i="155"/>
  <c r="M2211" i="155"/>
  <c r="M2217" i="155"/>
  <c r="M2223" i="155"/>
  <c r="M2229" i="155"/>
  <c r="M2235" i="155"/>
  <c r="M2241" i="155"/>
  <c r="M2247" i="155"/>
  <c r="M2253" i="155"/>
  <c r="M2259" i="155"/>
  <c r="M2265" i="155"/>
  <c r="M2271" i="155"/>
  <c r="M2277" i="155"/>
  <c r="M2283" i="155"/>
  <c r="M2289" i="155"/>
  <c r="M2295" i="155"/>
  <c r="M2301" i="155"/>
  <c r="M1552" i="155"/>
  <c r="M1588" i="155"/>
  <c r="M1624" i="155"/>
  <c r="M1660" i="155"/>
  <c r="M1696" i="155"/>
  <c r="M1732" i="155"/>
  <c r="M1744" i="155"/>
  <c r="M1753" i="155"/>
  <c r="M1762" i="155"/>
  <c r="M1771" i="155"/>
  <c r="M1780" i="155"/>
  <c r="M1789" i="155"/>
  <c r="M1798" i="155"/>
  <c r="M1807" i="155"/>
  <c r="M1816" i="155"/>
  <c r="M1825" i="155"/>
  <c r="M1834" i="155"/>
  <c r="M1843" i="155"/>
  <c r="M1852" i="155"/>
  <c r="M1861" i="155"/>
  <c r="M1870" i="155"/>
  <c r="M1879" i="155"/>
  <c r="M1888" i="155"/>
  <c r="M1897" i="155"/>
  <c r="M1906" i="155"/>
  <c r="M1915" i="155"/>
  <c r="M1924" i="155"/>
  <c r="M1933" i="155"/>
  <c r="M1942" i="155"/>
  <c r="M1951" i="155"/>
  <c r="M1960" i="155"/>
  <c r="M1969" i="155"/>
  <c r="M1978" i="155"/>
  <c r="M1987" i="155"/>
  <c r="M1993" i="155"/>
  <c r="M1999" i="155"/>
  <c r="M2005" i="155"/>
  <c r="M2011" i="155"/>
  <c r="M2017" i="155"/>
  <c r="M2023" i="155"/>
  <c r="M2027" i="155"/>
  <c r="M2033" i="155"/>
  <c r="M2039" i="155"/>
  <c r="M2045" i="155"/>
  <c r="M2051" i="155"/>
  <c r="M2057" i="155"/>
  <c r="M2063" i="155"/>
  <c r="M2069" i="155"/>
  <c r="M2080" i="155"/>
  <c r="M2086" i="155"/>
  <c r="M2092" i="155"/>
  <c r="M2098" i="155"/>
  <c r="M2104" i="155"/>
  <c r="M2110" i="155"/>
  <c r="M2116" i="155"/>
  <c r="M2122" i="155"/>
  <c r="M2128" i="155"/>
  <c r="M2134" i="155"/>
  <c r="M2140" i="155"/>
  <c r="M2146" i="155"/>
  <c r="M2152" i="155"/>
  <c r="M2158" i="155"/>
  <c r="M2164" i="155"/>
  <c r="M2170" i="155"/>
  <c r="M2176" i="155"/>
  <c r="M2182" i="155"/>
  <c r="M2188" i="155"/>
  <c r="M2194" i="155"/>
  <c r="M2200" i="155"/>
  <c r="M2206" i="155"/>
  <c r="M2212" i="155"/>
  <c r="M2218" i="155"/>
  <c r="M2224" i="155"/>
  <c r="M2230" i="155"/>
  <c r="M2236" i="155"/>
  <c r="M2242" i="155"/>
  <c r="M2248" i="155"/>
  <c r="M2254" i="155"/>
  <c r="M2260" i="155"/>
  <c r="M2266" i="155"/>
  <c r="M2272" i="155"/>
  <c r="M2278" i="155"/>
  <c r="M2284" i="155"/>
  <c r="M2290" i="155"/>
  <c r="M2296" i="155"/>
  <c r="M1558" i="155"/>
  <c r="M1594" i="155"/>
  <c r="M1630" i="155"/>
  <c r="M1666" i="155"/>
  <c r="M1702" i="155"/>
  <c r="M1736" i="155"/>
  <c r="M1745" i="155"/>
  <c r="M1754" i="155"/>
  <c r="M1763" i="155"/>
  <c r="M1772" i="155"/>
  <c r="M1781" i="155"/>
  <c r="M1790" i="155"/>
  <c r="M1799" i="155"/>
  <c r="M1808" i="155"/>
  <c r="M1817" i="155"/>
  <c r="M1826" i="155"/>
  <c r="M1835" i="155"/>
  <c r="M1844" i="155"/>
  <c r="M1853" i="155"/>
  <c r="M1862" i="155"/>
  <c r="M1871" i="155"/>
  <c r="M1880" i="155"/>
  <c r="M1889" i="155"/>
  <c r="M1898" i="155"/>
  <c r="M1907" i="155"/>
  <c r="M1916" i="155"/>
  <c r="M1925" i="155"/>
  <c r="M1934" i="155"/>
  <c r="M1943" i="155"/>
  <c r="M1952" i="155"/>
  <c r="M1961" i="155"/>
  <c r="M1970" i="155"/>
  <c r="M1979" i="155"/>
  <c r="M1988" i="155"/>
  <c r="M1994" i="155"/>
  <c r="M2000" i="155"/>
  <c r="M2006" i="155"/>
  <c r="M2012" i="155"/>
  <c r="M2018" i="155"/>
  <c r="M2024" i="155"/>
  <c r="M2028" i="155"/>
  <c r="M2034" i="155"/>
  <c r="M2040" i="155"/>
  <c r="M2046" i="155"/>
  <c r="M2052" i="155"/>
  <c r="M2058" i="155"/>
  <c r="M2064" i="155"/>
  <c r="M2070" i="155"/>
  <c r="M2081" i="155"/>
  <c r="M2087" i="155"/>
  <c r="M2093" i="155"/>
  <c r="M2099" i="155"/>
  <c r="M2105" i="155"/>
  <c r="M2111" i="155"/>
  <c r="M2117" i="155"/>
  <c r="M2123" i="155"/>
  <c r="M2129" i="155"/>
  <c r="M2135" i="155"/>
  <c r="M2141" i="155"/>
  <c r="M2147" i="155"/>
  <c r="M2153" i="155"/>
  <c r="M2159" i="155"/>
  <c r="M2165" i="155"/>
  <c r="M2171" i="155"/>
  <c r="M2177" i="155"/>
  <c r="M2183" i="155"/>
  <c r="M2189" i="155"/>
  <c r="M2195" i="155"/>
  <c r="M2201" i="155"/>
  <c r="M2207" i="155"/>
  <c r="M2213" i="155"/>
  <c r="M2219" i="155"/>
  <c r="M2225" i="155"/>
  <c r="M2231" i="155"/>
  <c r="M2237" i="155"/>
  <c r="M2243" i="155"/>
  <c r="M2249" i="155"/>
  <c r="M2255" i="155"/>
  <c r="M2261" i="155"/>
  <c r="M2267" i="155"/>
  <c r="M2273" i="155"/>
  <c r="M2279" i="155"/>
  <c r="M2285" i="155"/>
  <c r="M2291" i="155"/>
  <c r="M2297" i="155"/>
  <c r="M1570" i="155"/>
  <c r="M1606" i="155"/>
  <c r="M1642" i="155"/>
  <c r="M1678" i="155"/>
  <c r="M1714" i="155"/>
  <c r="M1739" i="155"/>
  <c r="M1748" i="155"/>
  <c r="M1757" i="155"/>
  <c r="M1564" i="155"/>
  <c r="M1747" i="155"/>
  <c r="M1783" i="155"/>
  <c r="M1810" i="155"/>
  <c r="M1837" i="155"/>
  <c r="M1864" i="155"/>
  <c r="M1891" i="155"/>
  <c r="M1918" i="155"/>
  <c r="M1945" i="155"/>
  <c r="M1972" i="155"/>
  <c r="M1995" i="155"/>
  <c r="M2013" i="155"/>
  <c r="M2029" i="155"/>
  <c r="M2047" i="155"/>
  <c r="M2060" i="155"/>
  <c r="M2072" i="155"/>
  <c r="M2089" i="155"/>
  <c r="M2101" i="155"/>
  <c r="M2113" i="155"/>
  <c r="M2125" i="155"/>
  <c r="M2137" i="155"/>
  <c r="M2149" i="155"/>
  <c r="M2161" i="155"/>
  <c r="M2173" i="155"/>
  <c r="M2185" i="155"/>
  <c r="M2197" i="155"/>
  <c r="M2209" i="155"/>
  <c r="M2221" i="155"/>
  <c r="M2233" i="155"/>
  <c r="M2245" i="155"/>
  <c r="M2257" i="155"/>
  <c r="M2269" i="155"/>
  <c r="M2281" i="155"/>
  <c r="M2293" i="155"/>
  <c r="M2303" i="155"/>
  <c r="M2309" i="155"/>
  <c r="M2315" i="155"/>
  <c r="M2321" i="155"/>
  <c r="M2327" i="155"/>
  <c r="M2333" i="155"/>
  <c r="M2339" i="155"/>
  <c r="M2345" i="155"/>
  <c r="M2351" i="155"/>
  <c r="M2357" i="155"/>
  <c r="M2363" i="155"/>
  <c r="M2369" i="155"/>
  <c r="M2375" i="155"/>
  <c r="M2381" i="155"/>
  <c r="M2387" i="155"/>
  <c r="M2393" i="155"/>
  <c r="M2399" i="155"/>
  <c r="M2405" i="155"/>
  <c r="M2411" i="155"/>
  <c r="M2417" i="155"/>
  <c r="M2423" i="155"/>
  <c r="M2429" i="155"/>
  <c r="M2435" i="155"/>
  <c r="M2441" i="155"/>
  <c r="M2447" i="155"/>
  <c r="M2453" i="155"/>
  <c r="M2459" i="155"/>
  <c r="M2465" i="155"/>
  <c r="M2471" i="155"/>
  <c r="M2477" i="155"/>
  <c r="M2483" i="155"/>
  <c r="M2489" i="155"/>
  <c r="M2495" i="155"/>
  <c r="M2501" i="155"/>
  <c r="M2507" i="155"/>
  <c r="M2513" i="155"/>
  <c r="M2519" i="155"/>
  <c r="M2525" i="155"/>
  <c r="M2531" i="155"/>
  <c r="M2537" i="155"/>
  <c r="M2543" i="155"/>
  <c r="M2549" i="155"/>
  <c r="M2555" i="155"/>
  <c r="M2561" i="155"/>
  <c r="M2567" i="155"/>
  <c r="M2573" i="155"/>
  <c r="M2579" i="155"/>
  <c r="M2585" i="155"/>
  <c r="M2591" i="155"/>
  <c r="M2597" i="155"/>
  <c r="M2603" i="155"/>
  <c r="M2609" i="155"/>
  <c r="M2615" i="155"/>
  <c r="M2621" i="155"/>
  <c r="M2627" i="155"/>
  <c r="M2633" i="155"/>
  <c r="M2639" i="155"/>
  <c r="M2645" i="155"/>
  <c r="M2651" i="155"/>
  <c r="M2657" i="155"/>
  <c r="M2663" i="155"/>
  <c r="M2669" i="155"/>
  <c r="M2675" i="155"/>
  <c r="M2681" i="155"/>
  <c r="M2687" i="155"/>
  <c r="M2693" i="155"/>
  <c r="M2699" i="155"/>
  <c r="M2705" i="155"/>
  <c r="M2711" i="155"/>
  <c r="M2717" i="155"/>
  <c r="M2723" i="155"/>
  <c r="M2729" i="155"/>
  <c r="M2735" i="155"/>
  <c r="M2741" i="155"/>
  <c r="M2747" i="155"/>
  <c r="M2753" i="155"/>
  <c r="M2759" i="155"/>
  <c r="M2765" i="155"/>
  <c r="M2771" i="155"/>
  <c r="M2778" i="155"/>
  <c r="M2784" i="155"/>
  <c r="M2790" i="155"/>
  <c r="M2796" i="155"/>
  <c r="M2802" i="155"/>
  <c r="M2808" i="155"/>
  <c r="M2818" i="155"/>
  <c r="M2815" i="155"/>
  <c r="M2826" i="155"/>
  <c r="K8" i="155"/>
  <c r="K14" i="155"/>
  <c r="K20" i="155"/>
  <c r="K26" i="155"/>
  <c r="K32" i="155"/>
  <c r="K38" i="155"/>
  <c r="K44" i="155"/>
  <c r="K50" i="155"/>
  <c r="K56" i="155"/>
  <c r="K62" i="155"/>
  <c r="K68" i="155"/>
  <c r="K74" i="155"/>
  <c r="K80" i="155"/>
  <c r="K86" i="155"/>
  <c r="K92" i="155"/>
  <c r="K98" i="155"/>
  <c r="K104" i="155"/>
  <c r="K110" i="155"/>
  <c r="K116" i="155"/>
  <c r="K122" i="155"/>
  <c r="K128" i="155"/>
  <c r="K134" i="155"/>
  <c r="K140" i="155"/>
  <c r="K146" i="155"/>
  <c r="K152" i="155"/>
  <c r="K159" i="155"/>
  <c r="K165" i="155"/>
  <c r="K171" i="155"/>
  <c r="K177" i="155"/>
  <c r="K183" i="155"/>
  <c r="K189" i="155"/>
  <c r="K196" i="155"/>
  <c r="K202" i="155"/>
  <c r="K208" i="155"/>
  <c r="K214" i="155"/>
  <c r="K220" i="155"/>
  <c r="K226" i="155"/>
  <c r="K232" i="155"/>
  <c r="K238" i="155"/>
  <c r="K244" i="155"/>
  <c r="K250" i="155"/>
  <c r="K256" i="155"/>
  <c r="K262" i="155"/>
  <c r="K268" i="155"/>
  <c r="K274" i="155"/>
  <c r="M1600" i="155"/>
  <c r="M1756" i="155"/>
  <c r="M1784" i="155"/>
  <c r="M1811" i="155"/>
  <c r="M1838" i="155"/>
  <c r="M1865" i="155"/>
  <c r="M1892" i="155"/>
  <c r="M1919" i="155"/>
  <c r="M1946" i="155"/>
  <c r="M1973" i="155"/>
  <c r="M1996" i="155"/>
  <c r="M2014" i="155"/>
  <c r="M2030" i="155"/>
  <c r="M2048" i="155"/>
  <c r="M2061" i="155"/>
  <c r="M2073" i="155"/>
  <c r="M2090" i="155"/>
  <c r="M2102" i="155"/>
  <c r="M2114" i="155"/>
  <c r="M2126" i="155"/>
  <c r="M2138" i="155"/>
  <c r="M2150" i="155"/>
  <c r="M2162" i="155"/>
  <c r="M2174" i="155"/>
  <c r="M2186" i="155"/>
  <c r="M2198" i="155"/>
  <c r="M2210" i="155"/>
  <c r="M2222" i="155"/>
  <c r="M2234" i="155"/>
  <c r="M2246" i="155"/>
  <c r="M2258" i="155"/>
  <c r="M2270" i="155"/>
  <c r="M2282" i="155"/>
  <c r="M2294" i="155"/>
  <c r="M2304" i="155"/>
  <c r="M2310" i="155"/>
  <c r="M2316" i="155"/>
  <c r="M2322" i="155"/>
  <c r="M2328" i="155"/>
  <c r="M2334" i="155"/>
  <c r="M2340" i="155"/>
  <c r="M2346" i="155"/>
  <c r="M2352" i="155"/>
  <c r="M2358" i="155"/>
  <c r="M2364" i="155"/>
  <c r="M2370" i="155"/>
  <c r="M2376" i="155"/>
  <c r="M2382" i="155"/>
  <c r="M2388" i="155"/>
  <c r="M2394" i="155"/>
  <c r="M2400" i="155"/>
  <c r="M2406" i="155"/>
  <c r="M2412" i="155"/>
  <c r="M2418" i="155"/>
  <c r="M2424" i="155"/>
  <c r="M2430" i="155"/>
  <c r="M2436" i="155"/>
  <c r="M2442" i="155"/>
  <c r="M2448" i="155"/>
  <c r="M2454" i="155"/>
  <c r="M2460" i="155"/>
  <c r="M2466" i="155"/>
  <c r="M2472" i="155"/>
  <c r="M2478" i="155"/>
  <c r="M2484" i="155"/>
  <c r="M2490" i="155"/>
  <c r="M2496" i="155"/>
  <c r="M2502" i="155"/>
  <c r="M2508" i="155"/>
  <c r="M2514" i="155"/>
  <c r="M2520" i="155"/>
  <c r="M2526" i="155"/>
  <c r="M2532" i="155"/>
  <c r="M2538" i="155"/>
  <c r="M2544" i="155"/>
  <c r="M2550" i="155"/>
  <c r="M2556" i="155"/>
  <c r="M2562" i="155"/>
  <c r="M2568" i="155"/>
  <c r="M2574" i="155"/>
  <c r="M2580" i="155"/>
  <c r="M2586" i="155"/>
  <c r="M2592" i="155"/>
  <c r="M2598" i="155"/>
  <c r="M2604" i="155"/>
  <c r="M2610" i="155"/>
  <c r="M2616" i="155"/>
  <c r="M2622" i="155"/>
  <c r="M2628" i="155"/>
  <c r="M2634" i="155"/>
  <c r="M2640" i="155"/>
  <c r="M2646" i="155"/>
  <c r="M2652" i="155"/>
  <c r="M2658" i="155"/>
  <c r="M2664" i="155"/>
  <c r="M2670" i="155"/>
  <c r="M2676" i="155"/>
  <c r="M2682" i="155"/>
  <c r="M2688" i="155"/>
  <c r="M2694" i="155"/>
  <c r="M2700" i="155"/>
  <c r="M2706" i="155"/>
  <c r="M2712" i="155"/>
  <c r="M2718" i="155"/>
  <c r="M2724" i="155"/>
  <c r="M2730" i="155"/>
  <c r="M2736" i="155"/>
  <c r="M2742" i="155"/>
  <c r="M2748" i="155"/>
  <c r="M2754" i="155"/>
  <c r="M2760" i="155"/>
  <c r="M2766" i="155"/>
  <c r="M2772" i="155"/>
  <c r="M2779" i="155"/>
  <c r="M2785" i="155"/>
  <c r="M2791" i="155"/>
  <c r="M2797" i="155"/>
  <c r="M2803" i="155"/>
  <c r="M2809" i="155"/>
  <c r="M2820" i="155"/>
  <c r="M2817" i="155"/>
  <c r="M1636" i="155"/>
  <c r="M1765" i="155"/>
  <c r="M1792" i="155"/>
  <c r="M1819" i="155"/>
  <c r="M1846" i="155"/>
  <c r="M1873" i="155"/>
  <c r="M1900" i="155"/>
  <c r="M1927" i="155"/>
  <c r="M1954" i="155"/>
  <c r="M1981" i="155"/>
  <c r="M2001" i="155"/>
  <c r="M2019" i="155"/>
  <c r="M2035" i="155"/>
  <c r="M2053" i="155"/>
  <c r="M2065" i="155"/>
  <c r="M2082" i="155"/>
  <c r="M2094" i="155"/>
  <c r="M2106" i="155"/>
  <c r="M2118" i="155"/>
  <c r="M2130" i="155"/>
  <c r="M2142" i="155"/>
  <c r="M2154" i="155"/>
  <c r="M2166" i="155"/>
  <c r="M2178" i="155"/>
  <c r="M2190" i="155"/>
  <c r="M2202" i="155"/>
  <c r="M2214" i="155"/>
  <c r="M2226" i="155"/>
  <c r="M2238" i="155"/>
  <c r="M2250" i="155"/>
  <c r="M2262" i="155"/>
  <c r="M2274" i="155"/>
  <c r="M2286" i="155"/>
  <c r="M2298" i="155"/>
  <c r="M2305" i="155"/>
  <c r="M2311" i="155"/>
  <c r="M2317" i="155"/>
  <c r="M2323" i="155"/>
  <c r="M2329" i="155"/>
  <c r="M2335" i="155"/>
  <c r="M2341" i="155"/>
  <c r="M2347" i="155"/>
  <c r="M2353" i="155"/>
  <c r="M2359" i="155"/>
  <c r="M2365" i="155"/>
  <c r="M2371" i="155"/>
  <c r="M2377" i="155"/>
  <c r="M2383" i="155"/>
  <c r="M2389" i="155"/>
  <c r="M2395" i="155"/>
  <c r="M2401" i="155"/>
  <c r="M2407" i="155"/>
  <c r="M2413" i="155"/>
  <c r="M2419" i="155"/>
  <c r="M2425" i="155"/>
  <c r="M2431" i="155"/>
  <c r="M2437" i="155"/>
  <c r="M2443" i="155"/>
  <c r="M2449" i="155"/>
  <c r="M2455" i="155"/>
  <c r="M2461" i="155"/>
  <c r="M2467" i="155"/>
  <c r="M2473" i="155"/>
  <c r="M2479" i="155"/>
  <c r="M2485" i="155"/>
  <c r="M2491" i="155"/>
  <c r="M2497" i="155"/>
  <c r="M2503" i="155"/>
  <c r="M2509" i="155"/>
  <c r="M2515" i="155"/>
  <c r="M2521" i="155"/>
  <c r="M2527" i="155"/>
  <c r="M2533" i="155"/>
  <c r="M2539" i="155"/>
  <c r="M2545" i="155"/>
  <c r="M2551" i="155"/>
  <c r="M2557" i="155"/>
  <c r="M2563" i="155"/>
  <c r="M2569" i="155"/>
  <c r="M2575" i="155"/>
  <c r="M2581" i="155"/>
  <c r="M2587" i="155"/>
  <c r="M2593" i="155"/>
  <c r="M2599" i="155"/>
  <c r="M2605" i="155"/>
  <c r="M2611" i="155"/>
  <c r="M2617" i="155"/>
  <c r="M2623" i="155"/>
  <c r="M2629" i="155"/>
  <c r="M2635" i="155"/>
  <c r="M2641" i="155"/>
  <c r="M2647" i="155"/>
  <c r="M2653" i="155"/>
  <c r="M2659" i="155"/>
  <c r="M2665" i="155"/>
  <c r="M2671" i="155"/>
  <c r="M2677" i="155"/>
  <c r="M2683" i="155"/>
  <c r="M2689" i="155"/>
  <c r="M2695" i="155"/>
  <c r="M2701" i="155"/>
  <c r="M2707" i="155"/>
  <c r="M2713" i="155"/>
  <c r="M2719" i="155"/>
  <c r="M2725" i="155"/>
  <c r="M2731" i="155"/>
  <c r="M2737" i="155"/>
  <c r="M2743" i="155"/>
  <c r="M2749" i="155"/>
  <c r="M2755" i="155"/>
  <c r="M2761" i="155"/>
  <c r="M2767" i="155"/>
  <c r="M2773" i="155"/>
  <c r="M2780" i="155"/>
  <c r="M2786" i="155"/>
  <c r="M2792" i="155"/>
  <c r="M2798" i="155"/>
  <c r="M2804" i="155"/>
  <c r="M2810" i="155"/>
  <c r="M2822" i="155"/>
  <c r="M2819" i="155"/>
  <c r="M2828" i="155"/>
  <c r="M1672" i="155"/>
  <c r="M1766" i="155"/>
  <c r="M1793" i="155"/>
  <c r="M1820" i="155"/>
  <c r="M1847" i="155"/>
  <c r="M1874" i="155"/>
  <c r="M1901" i="155"/>
  <c r="M1928" i="155"/>
  <c r="M1955" i="155"/>
  <c r="M1982" i="155"/>
  <c r="M2002" i="155"/>
  <c r="M2020" i="155"/>
  <c r="M2036" i="155"/>
  <c r="M2054" i="155"/>
  <c r="M2066" i="155"/>
  <c r="M2083" i="155"/>
  <c r="M2095" i="155"/>
  <c r="M2107" i="155"/>
  <c r="M2119" i="155"/>
  <c r="M2131" i="155"/>
  <c r="M2143" i="155"/>
  <c r="M2155" i="155"/>
  <c r="M2167" i="155"/>
  <c r="M2179" i="155"/>
  <c r="M2191" i="155"/>
  <c r="M2203" i="155"/>
  <c r="M2215" i="155"/>
  <c r="M2227" i="155"/>
  <c r="M2239" i="155"/>
  <c r="M2251" i="155"/>
  <c r="M2263" i="155"/>
  <c r="M2275" i="155"/>
  <c r="M2287" i="155"/>
  <c r="M2299" i="155"/>
  <c r="M2306" i="155"/>
  <c r="M2312" i="155"/>
  <c r="M2318" i="155"/>
  <c r="M2324" i="155"/>
  <c r="M2330" i="155"/>
  <c r="M2336" i="155"/>
  <c r="M2342" i="155"/>
  <c r="M2348" i="155"/>
  <c r="M2354" i="155"/>
  <c r="M2360" i="155"/>
  <c r="M2366" i="155"/>
  <c r="M2372" i="155"/>
  <c r="M2378" i="155"/>
  <c r="M2384" i="155"/>
  <c r="M2390" i="155"/>
  <c r="M2396" i="155"/>
  <c r="M2402" i="155"/>
  <c r="M2408" i="155"/>
  <c r="M2414" i="155"/>
  <c r="M2420" i="155"/>
  <c r="M2426" i="155"/>
  <c r="M2432" i="155"/>
  <c r="M2438" i="155"/>
  <c r="M2444" i="155"/>
  <c r="M2450" i="155"/>
  <c r="M2456" i="155"/>
  <c r="M2462" i="155"/>
  <c r="M2468" i="155"/>
  <c r="M2474" i="155"/>
  <c r="M2480" i="155"/>
  <c r="M2486" i="155"/>
  <c r="M2492" i="155"/>
  <c r="M2498" i="155"/>
  <c r="M2504" i="155"/>
  <c r="M2510" i="155"/>
  <c r="M2516" i="155"/>
  <c r="M2522" i="155"/>
  <c r="M2528" i="155"/>
  <c r="M2534" i="155"/>
  <c r="M2540" i="155"/>
  <c r="M2546" i="155"/>
  <c r="M2552" i="155"/>
  <c r="M2558" i="155"/>
  <c r="M2564" i="155"/>
  <c r="M2570" i="155"/>
  <c r="M2576" i="155"/>
  <c r="M2582" i="155"/>
  <c r="M2588" i="155"/>
  <c r="M2594" i="155"/>
  <c r="M2600" i="155"/>
  <c r="M2606" i="155"/>
  <c r="M2612" i="155"/>
  <c r="M2618" i="155"/>
  <c r="M2624" i="155"/>
  <c r="M2630" i="155"/>
  <c r="M2636" i="155"/>
  <c r="M2642" i="155"/>
  <c r="M2648" i="155"/>
  <c r="M2654" i="155"/>
  <c r="M2660" i="155"/>
  <c r="M2666" i="155"/>
  <c r="M2672" i="155"/>
  <c r="M2678" i="155"/>
  <c r="M2684" i="155"/>
  <c r="M2690" i="155"/>
  <c r="M2696" i="155"/>
  <c r="M2702" i="155"/>
  <c r="M2708" i="155"/>
  <c r="M2714" i="155"/>
  <c r="M2720" i="155"/>
  <c r="M2726" i="155"/>
  <c r="M2732" i="155"/>
  <c r="M2738" i="155"/>
  <c r="M2744" i="155"/>
  <c r="M2750" i="155"/>
  <c r="M2756" i="155"/>
  <c r="M2762" i="155"/>
  <c r="M2768" i="155"/>
  <c r="M2774" i="155"/>
  <c r="M2781" i="155"/>
  <c r="M2787" i="155"/>
  <c r="M2793" i="155"/>
  <c r="M2799" i="155"/>
  <c r="M2805" i="155"/>
  <c r="M2812" i="155"/>
  <c r="M2824" i="155"/>
  <c r="M2821" i="155"/>
  <c r="K11" i="155"/>
  <c r="K17" i="155"/>
  <c r="K23" i="155"/>
  <c r="K29" i="155"/>
  <c r="K35" i="155"/>
  <c r="K41" i="155"/>
  <c r="K47" i="155"/>
  <c r="K53" i="155"/>
  <c r="K59" i="155"/>
  <c r="K65" i="155"/>
  <c r="K71" i="155"/>
  <c r="K77" i="155"/>
  <c r="K83" i="155"/>
  <c r="K89" i="155"/>
  <c r="K95" i="155"/>
  <c r="K101" i="155"/>
  <c r="K107" i="155"/>
  <c r="K113" i="155"/>
  <c r="K119" i="155"/>
  <c r="K125" i="155"/>
  <c r="K131" i="155"/>
  <c r="K137" i="155"/>
  <c r="K143" i="155"/>
  <c r="K149" i="155"/>
  <c r="K156" i="155"/>
  <c r="K162" i="155"/>
  <c r="K168" i="155"/>
  <c r="K174" i="155"/>
  <c r="K180" i="155"/>
  <c r="K186" i="155"/>
  <c r="K192" i="155"/>
  <c r="K199" i="155"/>
  <c r="K205" i="155"/>
  <c r="K211" i="155"/>
  <c r="K217" i="155"/>
  <c r="K223" i="155"/>
  <c r="K229" i="155"/>
  <c r="K235" i="155"/>
  <c r="K241" i="155"/>
  <c r="K247" i="155"/>
  <c r="K253" i="155"/>
  <c r="K259" i="155"/>
  <c r="K265" i="155"/>
  <c r="K271" i="155"/>
  <c r="K277" i="155"/>
  <c r="K283" i="155"/>
  <c r="M1738" i="155"/>
  <c r="M1775" i="155"/>
  <c r="M1802" i="155"/>
  <c r="M1829" i="155"/>
  <c r="M1856" i="155"/>
  <c r="M1883" i="155"/>
  <c r="M1910" i="155"/>
  <c r="M1937" i="155"/>
  <c r="M1964" i="155"/>
  <c r="M1990" i="155"/>
  <c r="M2008" i="155"/>
  <c r="M2042" i="155"/>
  <c r="M2059" i="155"/>
  <c r="M2071" i="155"/>
  <c r="M2088" i="155"/>
  <c r="M2100" i="155"/>
  <c r="M2112" i="155"/>
  <c r="M2124" i="155"/>
  <c r="M2136" i="155"/>
  <c r="M2148" i="155"/>
  <c r="M2160" i="155"/>
  <c r="M2172" i="155"/>
  <c r="M2184" i="155"/>
  <c r="M2196" i="155"/>
  <c r="M2208" i="155"/>
  <c r="M2220" i="155"/>
  <c r="M2232" i="155"/>
  <c r="M2244" i="155"/>
  <c r="M2256" i="155"/>
  <c r="M2268" i="155"/>
  <c r="M2280" i="155"/>
  <c r="M2292" i="155"/>
  <c r="M2302" i="155"/>
  <c r="M2308" i="155"/>
  <c r="M2314" i="155"/>
  <c r="M2320" i="155"/>
  <c r="M2326" i="155"/>
  <c r="M2332" i="155"/>
  <c r="M2338" i="155"/>
  <c r="M2344" i="155"/>
  <c r="M2350" i="155"/>
  <c r="M2356" i="155"/>
  <c r="M2362" i="155"/>
  <c r="M2368" i="155"/>
  <c r="M2374" i="155"/>
  <c r="M2380" i="155"/>
  <c r="M2386" i="155"/>
  <c r="M2392" i="155"/>
  <c r="M2398" i="155"/>
  <c r="M2404" i="155"/>
  <c r="M2410" i="155"/>
  <c r="M2416" i="155"/>
  <c r="M2422" i="155"/>
  <c r="M2428" i="155"/>
  <c r="M2434" i="155"/>
  <c r="M2440" i="155"/>
  <c r="M2446" i="155"/>
  <c r="M2452" i="155"/>
  <c r="M2458" i="155"/>
  <c r="M2464" i="155"/>
  <c r="M2470" i="155"/>
  <c r="M2476" i="155"/>
  <c r="M2482" i="155"/>
  <c r="M2488" i="155"/>
  <c r="M2494" i="155"/>
  <c r="M2500" i="155"/>
  <c r="M2506" i="155"/>
  <c r="M2512" i="155"/>
  <c r="M2518" i="155"/>
  <c r="M2524" i="155"/>
  <c r="M2530" i="155"/>
  <c r="M2536" i="155"/>
  <c r="M2542" i="155"/>
  <c r="M2548" i="155"/>
  <c r="M2554" i="155"/>
  <c r="M2560" i="155"/>
  <c r="M2566" i="155"/>
  <c r="M2572" i="155"/>
  <c r="M2578" i="155"/>
  <c r="M2584" i="155"/>
  <c r="M2590" i="155"/>
  <c r="M2596" i="155"/>
  <c r="M2602" i="155"/>
  <c r="M2608" i="155"/>
  <c r="M2614" i="155"/>
  <c r="M2620" i="155"/>
  <c r="M2626" i="155"/>
  <c r="M2632" i="155"/>
  <c r="M2638" i="155"/>
  <c r="M2644" i="155"/>
  <c r="M2650" i="155"/>
  <c r="M2656" i="155"/>
  <c r="M2662" i="155"/>
  <c r="M2668" i="155"/>
  <c r="M2674" i="155"/>
  <c r="M2680" i="155"/>
  <c r="M2686" i="155"/>
  <c r="M2692" i="155"/>
  <c r="M2698" i="155"/>
  <c r="M2704" i="155"/>
  <c r="M2710" i="155"/>
  <c r="M2716" i="155"/>
  <c r="M2722" i="155"/>
  <c r="M2728" i="155"/>
  <c r="M2734" i="155"/>
  <c r="M2740" i="155"/>
  <c r="M2746" i="155"/>
  <c r="M2752" i="155"/>
  <c r="M2758" i="155"/>
  <c r="M2764" i="155"/>
  <c r="M2770" i="155"/>
  <c r="M2777" i="155"/>
  <c r="M2783" i="155"/>
  <c r="M2789" i="155"/>
  <c r="M2795" i="155"/>
  <c r="M2801" i="155"/>
  <c r="M2807" i="155"/>
  <c r="M2816" i="155"/>
  <c r="M2813" i="155"/>
  <c r="M2825" i="155"/>
  <c r="K7" i="155"/>
  <c r="K13" i="155"/>
  <c r="K19" i="155"/>
  <c r="K25" i="155"/>
  <c r="K31" i="155"/>
  <c r="K37" i="155"/>
  <c r="K43" i="155"/>
  <c r="K49" i="155"/>
  <c r="K55" i="155"/>
  <c r="K61" i="155"/>
  <c r="K67" i="155"/>
  <c r="K73" i="155"/>
  <c r="K79" i="155"/>
  <c r="K85" i="155"/>
  <c r="K91" i="155"/>
  <c r="K97" i="155"/>
  <c r="K103" i="155"/>
  <c r="K109" i="155"/>
  <c r="K115" i="155"/>
  <c r="K121" i="155"/>
  <c r="K127" i="155"/>
  <c r="K133" i="155"/>
  <c r="K139" i="155"/>
  <c r="K145" i="155"/>
  <c r="K151" i="155"/>
  <c r="K158" i="155"/>
  <c r="K164" i="155"/>
  <c r="K170" i="155"/>
  <c r="K176" i="155"/>
  <c r="K182" i="155"/>
  <c r="K188" i="155"/>
  <c r="K194" i="155"/>
  <c r="K201" i="155"/>
  <c r="K207" i="155"/>
  <c r="K213" i="155"/>
  <c r="K219" i="155"/>
  <c r="K225" i="155"/>
  <c r="K231" i="155"/>
  <c r="K237" i="155"/>
  <c r="K243" i="155"/>
  <c r="K249" i="155"/>
  <c r="K255" i="155"/>
  <c r="K261" i="155"/>
  <c r="K267" i="155"/>
  <c r="K273" i="155"/>
  <c r="K279" i="155"/>
  <c r="K285" i="155"/>
  <c r="M1708" i="155"/>
  <c r="M1909" i="155"/>
  <c r="M2041" i="155"/>
  <c r="M2120" i="155"/>
  <c r="M2192" i="155"/>
  <c r="M2264" i="155"/>
  <c r="M2319" i="155"/>
  <c r="M2355" i="155"/>
  <c r="M2391" i="155"/>
  <c r="M2427" i="155"/>
  <c r="M2463" i="155"/>
  <c r="M2499" i="155"/>
  <c r="M2535" i="155"/>
  <c r="M2571" i="155"/>
  <c r="M2607" i="155"/>
  <c r="M2643" i="155"/>
  <c r="M2679" i="155"/>
  <c r="M2715" i="155"/>
  <c r="M2751" i="155"/>
  <c r="M2782" i="155"/>
  <c r="M2811" i="155"/>
  <c r="K18" i="155"/>
  <c r="K30" i="155"/>
  <c r="K42" i="155"/>
  <c r="K54" i="155"/>
  <c r="K66" i="155"/>
  <c r="K78" i="155"/>
  <c r="K90" i="155"/>
  <c r="K102" i="155"/>
  <c r="K114" i="155"/>
  <c r="K126" i="155"/>
  <c r="K138" i="155"/>
  <c r="K150" i="155"/>
  <c r="K163" i="155"/>
  <c r="K175" i="155"/>
  <c r="K187" i="155"/>
  <c r="K200" i="155"/>
  <c r="K212" i="155"/>
  <c r="K224" i="155"/>
  <c r="K236" i="155"/>
  <c r="K248" i="155"/>
  <c r="K260" i="155"/>
  <c r="K272" i="155"/>
  <c r="K282" i="155"/>
  <c r="K290" i="155"/>
  <c r="K296" i="155"/>
  <c r="K302" i="155"/>
  <c r="K308" i="155"/>
  <c r="K314" i="155"/>
  <c r="K320" i="155"/>
  <c r="K326" i="155"/>
  <c r="K332" i="155"/>
  <c r="K338" i="155"/>
  <c r="K344" i="155"/>
  <c r="K350" i="155"/>
  <c r="K356" i="155"/>
  <c r="K362" i="155"/>
  <c r="K368" i="155"/>
  <c r="K374" i="155"/>
  <c r="K380" i="155"/>
  <c r="K386" i="155"/>
  <c r="K392" i="155"/>
  <c r="K398" i="155"/>
  <c r="K404" i="155"/>
  <c r="K410" i="155"/>
  <c r="K416" i="155"/>
  <c r="K422" i="155"/>
  <c r="K428" i="155"/>
  <c r="K434" i="155"/>
  <c r="K440" i="155"/>
  <c r="K446" i="155"/>
  <c r="K452" i="155"/>
  <c r="K458" i="155"/>
  <c r="K464" i="155"/>
  <c r="K470" i="155"/>
  <c r="K476" i="155"/>
  <c r="K482" i="155"/>
  <c r="K488" i="155"/>
  <c r="K494" i="155"/>
  <c r="K500" i="155"/>
  <c r="K506" i="155"/>
  <c r="K512" i="155"/>
  <c r="K518" i="155"/>
  <c r="K524" i="155"/>
  <c r="K530" i="155"/>
  <c r="K536" i="155"/>
  <c r="K542" i="155"/>
  <c r="K548" i="155"/>
  <c r="K554" i="155"/>
  <c r="K560" i="155"/>
  <c r="K566" i="155"/>
  <c r="K572" i="155"/>
  <c r="K578" i="155"/>
  <c r="K584" i="155"/>
  <c r="K590" i="155"/>
  <c r="K596" i="155"/>
  <c r="K602" i="155"/>
  <c r="K608" i="155"/>
  <c r="K614" i="155"/>
  <c r="K620" i="155"/>
  <c r="K626" i="155"/>
  <c r="K632" i="155"/>
  <c r="K638" i="155"/>
  <c r="K644" i="155"/>
  <c r="K650" i="155"/>
  <c r="K656" i="155"/>
  <c r="K662" i="155"/>
  <c r="K668" i="155"/>
  <c r="K674" i="155"/>
  <c r="K680" i="155"/>
  <c r="K686" i="155"/>
  <c r="K692" i="155"/>
  <c r="K698" i="155"/>
  <c r="K704" i="155"/>
  <c r="K710" i="155"/>
  <c r="K716" i="155"/>
  <c r="K722" i="155"/>
  <c r="K728" i="155"/>
  <c r="K734" i="155"/>
  <c r="K740" i="155"/>
  <c r="K746" i="155"/>
  <c r="K752" i="155"/>
  <c r="K758" i="155"/>
  <c r="K764" i="155"/>
  <c r="K770" i="155"/>
  <c r="K776" i="155"/>
  <c r="K782" i="155"/>
  <c r="K788" i="155"/>
  <c r="K794" i="155"/>
  <c r="K800" i="155"/>
  <c r="K806" i="155"/>
  <c r="K812" i="155"/>
  <c r="K818" i="155"/>
  <c r="K824" i="155"/>
  <c r="K830" i="155"/>
  <c r="K836" i="155"/>
  <c r="K842" i="155"/>
  <c r="K848" i="155"/>
  <c r="K854" i="155"/>
  <c r="K860" i="155"/>
  <c r="K866" i="155"/>
  <c r="K872" i="155"/>
  <c r="K878" i="155"/>
  <c r="K884" i="155"/>
  <c r="K890" i="155"/>
  <c r="K896" i="155"/>
  <c r="K902" i="155"/>
  <c r="K908" i="155"/>
  <c r="K914" i="155"/>
  <c r="K920" i="155"/>
  <c r="K926" i="155"/>
  <c r="K932" i="155"/>
  <c r="K938" i="155"/>
  <c r="K944" i="155"/>
  <c r="K950" i="155"/>
  <c r="K956" i="155"/>
  <c r="K962" i="155"/>
  <c r="K968" i="155"/>
  <c r="K974" i="155"/>
  <c r="K980" i="155"/>
  <c r="K986" i="155"/>
  <c r="K992" i="155"/>
  <c r="K998" i="155"/>
  <c r="K1004" i="155"/>
  <c r="K1010" i="155"/>
  <c r="K1016" i="155"/>
  <c r="K1022" i="155"/>
  <c r="K1028" i="155"/>
  <c r="K1034" i="155"/>
  <c r="M1774" i="155"/>
  <c r="M1936" i="155"/>
  <c r="M2055" i="155"/>
  <c r="M2132" i="155"/>
  <c r="M2204" i="155"/>
  <c r="M2276" i="155"/>
  <c r="M2325" i="155"/>
  <c r="M2361" i="155"/>
  <c r="M2397" i="155"/>
  <c r="M2433" i="155"/>
  <c r="M2469" i="155"/>
  <c r="M2505" i="155"/>
  <c r="M2541" i="155"/>
  <c r="M2577" i="155"/>
  <c r="M2613" i="155"/>
  <c r="M2649" i="155"/>
  <c r="M2685" i="155"/>
  <c r="M2721" i="155"/>
  <c r="M2757" i="155"/>
  <c r="M2788" i="155"/>
  <c r="M2823" i="155"/>
  <c r="K9" i="155"/>
  <c r="K21" i="155"/>
  <c r="K33" i="155"/>
  <c r="K45" i="155"/>
  <c r="K57" i="155"/>
  <c r="K69" i="155"/>
  <c r="K81" i="155"/>
  <c r="K93" i="155"/>
  <c r="K105" i="155"/>
  <c r="K117" i="155"/>
  <c r="K129" i="155"/>
  <c r="K141" i="155"/>
  <c r="K154" i="155"/>
  <c r="K166" i="155"/>
  <c r="K178" i="155"/>
  <c r="K190" i="155"/>
  <c r="K203" i="155"/>
  <c r="K215" i="155"/>
  <c r="K227" i="155"/>
  <c r="K239" i="155"/>
  <c r="K251" i="155"/>
  <c r="K263" i="155"/>
  <c r="K275" i="155"/>
  <c r="K284" i="155"/>
  <c r="K291" i="155"/>
  <c r="K297" i="155"/>
  <c r="K303" i="155"/>
  <c r="K309" i="155"/>
  <c r="K315" i="155"/>
  <c r="K321" i="155"/>
  <c r="K327" i="155"/>
  <c r="K333" i="155"/>
  <c r="K339" i="155"/>
  <c r="K345" i="155"/>
  <c r="K351" i="155"/>
  <c r="K357" i="155"/>
  <c r="K363" i="155"/>
  <c r="K369" i="155"/>
  <c r="K375" i="155"/>
  <c r="K381" i="155"/>
  <c r="K387" i="155"/>
  <c r="K393" i="155"/>
  <c r="K399" i="155"/>
  <c r="K405" i="155"/>
  <c r="K411" i="155"/>
  <c r="K417" i="155"/>
  <c r="K423" i="155"/>
  <c r="K429" i="155"/>
  <c r="K435" i="155"/>
  <c r="K441" i="155"/>
  <c r="K447" i="155"/>
  <c r="K453" i="155"/>
  <c r="K459" i="155"/>
  <c r="K465" i="155"/>
  <c r="K471" i="155"/>
  <c r="K477" i="155"/>
  <c r="K483" i="155"/>
  <c r="K489" i="155"/>
  <c r="K495" i="155"/>
  <c r="K501" i="155"/>
  <c r="K507" i="155"/>
  <c r="K513" i="155"/>
  <c r="K519" i="155"/>
  <c r="K525" i="155"/>
  <c r="K531" i="155"/>
  <c r="K537" i="155"/>
  <c r="K543" i="155"/>
  <c r="K549" i="155"/>
  <c r="K555" i="155"/>
  <c r="K561" i="155"/>
  <c r="K567" i="155"/>
  <c r="K573" i="155"/>
  <c r="K579" i="155"/>
  <c r="K585" i="155"/>
  <c r="K591" i="155"/>
  <c r="K597" i="155"/>
  <c r="K603" i="155"/>
  <c r="K609" i="155"/>
  <c r="K615" i="155"/>
  <c r="K621" i="155"/>
  <c r="K627" i="155"/>
  <c r="K633" i="155"/>
  <c r="K639" i="155"/>
  <c r="K645" i="155"/>
  <c r="K651" i="155"/>
  <c r="K657" i="155"/>
  <c r="K663" i="155"/>
  <c r="K669" i="155"/>
  <c r="K675" i="155"/>
  <c r="K681" i="155"/>
  <c r="K687" i="155"/>
  <c r="K693" i="155"/>
  <c r="K699" i="155"/>
  <c r="K705" i="155"/>
  <c r="K711" i="155"/>
  <c r="K717" i="155"/>
  <c r="K723" i="155"/>
  <c r="K729" i="155"/>
  <c r="K735" i="155"/>
  <c r="K741" i="155"/>
  <c r="K747" i="155"/>
  <c r="K753" i="155"/>
  <c r="K759" i="155"/>
  <c r="K765" i="155"/>
  <c r="K771" i="155"/>
  <c r="K777" i="155"/>
  <c r="K783" i="155"/>
  <c r="K789" i="155"/>
  <c r="K795" i="155"/>
  <c r="K801" i="155"/>
  <c r="K807" i="155"/>
  <c r="K813" i="155"/>
  <c r="K819" i="155"/>
  <c r="K825" i="155"/>
  <c r="K831" i="155"/>
  <c r="K837" i="155"/>
  <c r="K843" i="155"/>
  <c r="K849" i="155"/>
  <c r="K855" i="155"/>
  <c r="K861" i="155"/>
  <c r="K867" i="155"/>
  <c r="K873" i="155"/>
  <c r="K879" i="155"/>
  <c r="K885" i="155"/>
  <c r="K891" i="155"/>
  <c r="K897" i="155"/>
  <c r="K903" i="155"/>
  <c r="K909" i="155"/>
  <c r="K915" i="155"/>
  <c r="K921" i="155"/>
  <c r="M1801" i="155"/>
  <c r="M1963" i="155"/>
  <c r="M2067" i="155"/>
  <c r="M2144" i="155"/>
  <c r="M2216" i="155"/>
  <c r="M2288" i="155"/>
  <c r="M2331" i="155"/>
  <c r="M2367" i="155"/>
  <c r="M2403" i="155"/>
  <c r="M2439" i="155"/>
  <c r="M2475" i="155"/>
  <c r="M2511" i="155"/>
  <c r="M2547" i="155"/>
  <c r="M2583" i="155"/>
  <c r="M2619" i="155"/>
  <c r="M2655" i="155"/>
  <c r="M2691" i="155"/>
  <c r="M2727" i="155"/>
  <c r="M2763" i="155"/>
  <c r="M2794" i="155"/>
  <c r="M2827" i="155"/>
  <c r="K10" i="155"/>
  <c r="K22" i="155"/>
  <c r="K34" i="155"/>
  <c r="K46" i="155"/>
  <c r="K58" i="155"/>
  <c r="K70" i="155"/>
  <c r="K82" i="155"/>
  <c r="K94" i="155"/>
  <c r="K106" i="155"/>
  <c r="K118" i="155"/>
  <c r="K130" i="155"/>
  <c r="K142" i="155"/>
  <c r="K155" i="155"/>
  <c r="K167" i="155"/>
  <c r="K179" i="155"/>
  <c r="K191" i="155"/>
  <c r="K204" i="155"/>
  <c r="K216" i="155"/>
  <c r="K228" i="155"/>
  <c r="K240" i="155"/>
  <c r="K252" i="155"/>
  <c r="K264" i="155"/>
  <c r="K276" i="155"/>
  <c r="K286" i="155"/>
  <c r="K292" i="155"/>
  <c r="K298" i="155"/>
  <c r="K304" i="155"/>
  <c r="K310" i="155"/>
  <c r="K316" i="155"/>
  <c r="K322" i="155"/>
  <c r="K328" i="155"/>
  <c r="K334" i="155"/>
  <c r="K340" i="155"/>
  <c r="K346" i="155"/>
  <c r="K352" i="155"/>
  <c r="K358" i="155"/>
  <c r="K364" i="155"/>
  <c r="K370" i="155"/>
  <c r="K376" i="155"/>
  <c r="K382" i="155"/>
  <c r="K388" i="155"/>
  <c r="K394" i="155"/>
  <c r="K400" i="155"/>
  <c r="K406" i="155"/>
  <c r="K412" i="155"/>
  <c r="K418" i="155"/>
  <c r="K424" i="155"/>
  <c r="K430" i="155"/>
  <c r="K436" i="155"/>
  <c r="K442" i="155"/>
  <c r="K448" i="155"/>
  <c r="K454" i="155"/>
  <c r="K460" i="155"/>
  <c r="K466" i="155"/>
  <c r="K472" i="155"/>
  <c r="K478" i="155"/>
  <c r="K484" i="155"/>
  <c r="K490" i="155"/>
  <c r="K496" i="155"/>
  <c r="K502" i="155"/>
  <c r="K508" i="155"/>
  <c r="K514" i="155"/>
  <c r="K520" i="155"/>
  <c r="K526" i="155"/>
  <c r="K532" i="155"/>
  <c r="K538" i="155"/>
  <c r="K544" i="155"/>
  <c r="K550" i="155"/>
  <c r="K556" i="155"/>
  <c r="K562" i="155"/>
  <c r="K568" i="155"/>
  <c r="K574" i="155"/>
  <c r="K580" i="155"/>
  <c r="K586" i="155"/>
  <c r="K592" i="155"/>
  <c r="K598" i="155"/>
  <c r="K604" i="155"/>
  <c r="K610" i="155"/>
  <c r="K616" i="155"/>
  <c r="K622" i="155"/>
  <c r="K628" i="155"/>
  <c r="K634" i="155"/>
  <c r="K640" i="155"/>
  <c r="K646" i="155"/>
  <c r="K652" i="155"/>
  <c r="K658" i="155"/>
  <c r="K664" i="155"/>
  <c r="K670" i="155"/>
  <c r="K676" i="155"/>
  <c r="K682" i="155"/>
  <c r="K688" i="155"/>
  <c r="K694" i="155"/>
  <c r="K700" i="155"/>
  <c r="K706" i="155"/>
  <c r="K712" i="155"/>
  <c r="K718" i="155"/>
  <c r="K724" i="155"/>
  <c r="K730" i="155"/>
  <c r="K736" i="155"/>
  <c r="K742" i="155"/>
  <c r="K748" i="155"/>
  <c r="K754" i="155"/>
  <c r="K760" i="155"/>
  <c r="K766" i="155"/>
  <c r="K772" i="155"/>
  <c r="K778" i="155"/>
  <c r="K784" i="155"/>
  <c r="K790" i="155"/>
  <c r="K796" i="155"/>
  <c r="K802" i="155"/>
  <c r="K808" i="155"/>
  <c r="K814" i="155"/>
  <c r="K820" i="155"/>
  <c r="K826" i="155"/>
  <c r="K832" i="155"/>
  <c r="K838" i="155"/>
  <c r="K844" i="155"/>
  <c r="K850" i="155"/>
  <c r="K856" i="155"/>
  <c r="K862" i="155"/>
  <c r="K868" i="155"/>
  <c r="K874" i="155"/>
  <c r="K880" i="155"/>
  <c r="K886" i="155"/>
  <c r="K892" i="155"/>
  <c r="K898" i="155"/>
  <c r="K904" i="155"/>
  <c r="K910" i="155"/>
  <c r="K916" i="155"/>
  <c r="K922" i="155"/>
  <c r="K928" i="155"/>
  <c r="K934" i="155"/>
  <c r="K940" i="155"/>
  <c r="K946" i="155"/>
  <c r="K952" i="155"/>
  <c r="K958" i="155"/>
  <c r="K964" i="155"/>
  <c r="K970" i="155"/>
  <c r="K976" i="155"/>
  <c r="K982" i="155"/>
  <c r="K988" i="155"/>
  <c r="K994" i="155"/>
  <c r="K1000" i="155"/>
  <c r="K1006" i="155"/>
  <c r="K1012" i="155"/>
  <c r="K1018" i="155"/>
  <c r="K1024" i="155"/>
  <c r="K1030" i="155"/>
  <c r="K1036" i="155"/>
  <c r="M1828" i="155"/>
  <c r="M1989" i="155"/>
  <c r="M2084" i="155"/>
  <c r="M2156" i="155"/>
  <c r="M2228" i="155"/>
  <c r="M2300" i="155"/>
  <c r="M2337" i="155"/>
  <c r="M2373" i="155"/>
  <c r="M2409" i="155"/>
  <c r="M2445" i="155"/>
  <c r="M2481" i="155"/>
  <c r="M2517" i="155"/>
  <c r="M2553" i="155"/>
  <c r="M2589" i="155"/>
  <c r="M2625" i="155"/>
  <c r="M2661" i="155"/>
  <c r="M2697" i="155"/>
  <c r="M2733" i="155"/>
  <c r="M2769" i="155"/>
  <c r="M2800" i="155"/>
  <c r="K12" i="155"/>
  <c r="K24" i="155"/>
  <c r="K36" i="155"/>
  <c r="K48" i="155"/>
  <c r="K60" i="155"/>
  <c r="K72" i="155"/>
  <c r="K84" i="155"/>
  <c r="K96" i="155"/>
  <c r="K108" i="155"/>
  <c r="K120" i="155"/>
  <c r="K132" i="155"/>
  <c r="K144" i="155"/>
  <c r="K157" i="155"/>
  <c r="K169" i="155"/>
  <c r="K181" i="155"/>
  <c r="K193" i="155"/>
  <c r="K206" i="155"/>
  <c r="K218" i="155"/>
  <c r="K230" i="155"/>
  <c r="K242" i="155"/>
  <c r="K254" i="155"/>
  <c r="K266" i="155"/>
  <c r="K278" i="155"/>
  <c r="K287" i="155"/>
  <c r="K293" i="155"/>
  <c r="K299" i="155"/>
  <c r="K305" i="155"/>
  <c r="K311" i="155"/>
  <c r="K317" i="155"/>
  <c r="K323" i="155"/>
  <c r="K329" i="155"/>
  <c r="K335" i="155"/>
  <c r="K341" i="155"/>
  <c r="K347" i="155"/>
  <c r="K353" i="155"/>
  <c r="K359" i="155"/>
  <c r="K365" i="155"/>
  <c r="K371" i="155"/>
  <c r="K377" i="155"/>
  <c r="K383" i="155"/>
  <c r="K389" i="155"/>
  <c r="K395" i="155"/>
  <c r="K401" i="155"/>
  <c r="K407" i="155"/>
  <c r="K413" i="155"/>
  <c r="K419" i="155"/>
  <c r="K425" i="155"/>
  <c r="K431" i="155"/>
  <c r="K437" i="155"/>
  <c r="K443" i="155"/>
  <c r="K449" i="155"/>
  <c r="K455" i="155"/>
  <c r="K461" i="155"/>
  <c r="K467" i="155"/>
  <c r="K473" i="155"/>
  <c r="K479" i="155"/>
  <c r="K485" i="155"/>
  <c r="K491" i="155"/>
  <c r="K497" i="155"/>
  <c r="K503" i="155"/>
  <c r="K509" i="155"/>
  <c r="K515" i="155"/>
  <c r="K521" i="155"/>
  <c r="K527" i="155"/>
  <c r="K533" i="155"/>
  <c r="K539" i="155"/>
  <c r="K545" i="155"/>
  <c r="K551" i="155"/>
  <c r="K557" i="155"/>
  <c r="K563" i="155"/>
  <c r="K569" i="155"/>
  <c r="K575" i="155"/>
  <c r="K581" i="155"/>
  <c r="K587" i="155"/>
  <c r="K593" i="155"/>
  <c r="K599" i="155"/>
  <c r="K605" i="155"/>
  <c r="K611" i="155"/>
  <c r="K617" i="155"/>
  <c r="K623" i="155"/>
  <c r="K629" i="155"/>
  <c r="K635" i="155"/>
  <c r="K641" i="155"/>
  <c r="K647" i="155"/>
  <c r="K653" i="155"/>
  <c r="K659" i="155"/>
  <c r="K665" i="155"/>
  <c r="K671" i="155"/>
  <c r="K677" i="155"/>
  <c r="K683" i="155"/>
  <c r="K689" i="155"/>
  <c r="K695" i="155"/>
  <c r="K701" i="155"/>
  <c r="K707" i="155"/>
  <c r="K713" i="155"/>
  <c r="K719" i="155"/>
  <c r="K725" i="155"/>
  <c r="K731" i="155"/>
  <c r="K737" i="155"/>
  <c r="K743" i="155"/>
  <c r="K749" i="155"/>
  <c r="K755" i="155"/>
  <c r="K761" i="155"/>
  <c r="K767" i="155"/>
  <c r="K773" i="155"/>
  <c r="K779" i="155"/>
  <c r="K785" i="155"/>
  <c r="K791" i="155"/>
  <c r="K797" i="155"/>
  <c r="K803" i="155"/>
  <c r="K809" i="155"/>
  <c r="K815" i="155"/>
  <c r="K821" i="155"/>
  <c r="K827" i="155"/>
  <c r="K833" i="155"/>
  <c r="K839" i="155"/>
  <c r="K845" i="155"/>
  <c r="K851" i="155"/>
  <c r="K857" i="155"/>
  <c r="K863" i="155"/>
  <c r="K869" i="155"/>
  <c r="K875" i="155"/>
  <c r="K881" i="155"/>
  <c r="K887" i="155"/>
  <c r="K893" i="155"/>
  <c r="K899" i="155"/>
  <c r="K905" i="155"/>
  <c r="K911" i="155"/>
  <c r="K917" i="155"/>
  <c r="K923" i="155"/>
  <c r="K929" i="155"/>
  <c r="K935" i="155"/>
  <c r="K941" i="155"/>
  <c r="K947" i="155"/>
  <c r="K953" i="155"/>
  <c r="K959" i="155"/>
  <c r="K965" i="155"/>
  <c r="K971" i="155"/>
  <c r="K977" i="155"/>
  <c r="K983" i="155"/>
  <c r="K989" i="155"/>
  <c r="K995" i="155"/>
  <c r="K1001" i="155"/>
  <c r="K1007" i="155"/>
  <c r="K1013" i="155"/>
  <c r="K1019" i="155"/>
  <c r="K1025" i="155"/>
  <c r="K1031" i="155"/>
  <c r="K1037" i="155"/>
  <c r="M1855" i="155"/>
  <c r="M2168" i="155"/>
  <c r="M2343" i="155"/>
  <c r="M2451" i="155"/>
  <c r="M2559" i="155"/>
  <c r="M2667" i="155"/>
  <c r="M2775" i="155"/>
  <c r="K15" i="155"/>
  <c r="K51" i="155"/>
  <c r="K87" i="155"/>
  <c r="K123" i="155"/>
  <c r="K160" i="155"/>
  <c r="K197" i="155"/>
  <c r="K233" i="155"/>
  <c r="K269" i="155"/>
  <c r="K294" i="155"/>
  <c r="K312" i="155"/>
  <c r="K330" i="155"/>
  <c r="K348" i="155"/>
  <c r="K366" i="155"/>
  <c r="K384" i="155"/>
  <c r="K402" i="155"/>
  <c r="K420" i="155"/>
  <c r="K438" i="155"/>
  <c r="K456" i="155"/>
  <c r="K474" i="155"/>
  <c r="K492" i="155"/>
  <c r="K510" i="155"/>
  <c r="K528" i="155"/>
  <c r="K546" i="155"/>
  <c r="K564" i="155"/>
  <c r="K582" i="155"/>
  <c r="K600" i="155"/>
  <c r="K618" i="155"/>
  <c r="K636" i="155"/>
  <c r="K654" i="155"/>
  <c r="K672" i="155"/>
  <c r="K690" i="155"/>
  <c r="K708" i="155"/>
  <c r="K726" i="155"/>
  <c r="K744" i="155"/>
  <c r="K762" i="155"/>
  <c r="K780" i="155"/>
  <c r="K798" i="155"/>
  <c r="K816" i="155"/>
  <c r="K834" i="155"/>
  <c r="K852" i="155"/>
  <c r="K870" i="155"/>
  <c r="K888" i="155"/>
  <c r="K906" i="155"/>
  <c r="K924" i="155"/>
  <c r="K936" i="155"/>
  <c r="K948" i="155"/>
  <c r="K960" i="155"/>
  <c r="K972" i="155"/>
  <c r="K984" i="155"/>
  <c r="K996" i="155"/>
  <c r="K1008" i="155"/>
  <c r="K1020" i="155"/>
  <c r="K1032" i="155"/>
  <c r="K1041" i="155"/>
  <c r="K1047" i="155"/>
  <c r="K1053" i="155"/>
  <c r="K1059" i="155"/>
  <c r="K1065" i="155"/>
  <c r="K1071" i="155"/>
  <c r="K1077" i="155"/>
  <c r="K1083" i="155"/>
  <c r="K1089" i="155"/>
  <c r="K1095" i="155"/>
  <c r="K1101" i="155"/>
  <c r="K1107" i="155"/>
  <c r="K1113" i="155"/>
  <c r="K1119" i="155"/>
  <c r="K1125" i="155"/>
  <c r="K1131" i="155"/>
  <c r="K1137" i="155"/>
  <c r="K1143" i="155"/>
  <c r="K1149" i="155"/>
  <c r="K1155" i="155"/>
  <c r="K1161" i="155"/>
  <c r="K1167" i="155"/>
  <c r="K1173" i="155"/>
  <c r="K1179" i="155"/>
  <c r="K1185" i="155"/>
  <c r="K1191" i="155"/>
  <c r="K1197" i="155"/>
  <c r="K1203" i="155"/>
  <c r="K1209" i="155"/>
  <c r="K1215" i="155"/>
  <c r="K1221" i="155"/>
  <c r="K1227" i="155"/>
  <c r="K1233" i="155"/>
  <c r="K1239" i="155"/>
  <c r="K1245" i="155"/>
  <c r="K1251" i="155"/>
  <c r="K1257" i="155"/>
  <c r="K1263" i="155"/>
  <c r="K1269" i="155"/>
  <c r="K1275" i="155"/>
  <c r="K1281" i="155"/>
  <c r="K1287" i="155"/>
  <c r="K1293" i="155"/>
  <c r="K1299" i="155"/>
  <c r="K1305" i="155"/>
  <c r="K1311" i="155"/>
  <c r="K1317" i="155"/>
  <c r="K1323" i="155"/>
  <c r="K1329" i="155"/>
  <c r="K1335" i="155"/>
  <c r="K1341" i="155"/>
  <c r="K1347" i="155"/>
  <c r="K1353" i="155"/>
  <c r="K1359" i="155"/>
  <c r="K1365" i="155"/>
  <c r="K1371" i="155"/>
  <c r="K1377" i="155"/>
  <c r="K1383" i="155"/>
  <c r="K1389" i="155"/>
  <c r="K1395" i="155"/>
  <c r="K1401" i="155"/>
  <c r="K1407" i="155"/>
  <c r="K1413" i="155"/>
  <c r="K1419" i="155"/>
  <c r="K1425" i="155"/>
  <c r="K1431" i="155"/>
  <c r="K1437" i="155"/>
  <c r="K1443" i="155"/>
  <c r="K1449" i="155"/>
  <c r="K1455" i="155"/>
  <c r="K1461" i="155"/>
  <c r="K1467" i="155"/>
  <c r="K1473" i="155"/>
  <c r="K1479" i="155"/>
  <c r="K1485" i="155"/>
  <c r="K1491" i="155"/>
  <c r="K1497" i="155"/>
  <c r="K1503" i="155"/>
  <c r="K1509" i="155"/>
  <c r="K1515" i="155"/>
  <c r="K1521" i="155"/>
  <c r="K1527" i="155"/>
  <c r="K1533" i="155"/>
  <c r="K1539" i="155"/>
  <c r="K1545" i="155"/>
  <c r="K1551" i="155"/>
  <c r="K1557" i="155"/>
  <c r="K1563" i="155"/>
  <c r="K1569" i="155"/>
  <c r="K1575" i="155"/>
  <c r="K1581" i="155"/>
  <c r="K1587" i="155"/>
  <c r="K1593" i="155"/>
  <c r="K1599" i="155"/>
  <c r="K1605" i="155"/>
  <c r="K1611" i="155"/>
  <c r="K1617" i="155"/>
  <c r="K1623" i="155"/>
  <c r="K1629" i="155"/>
  <c r="K1635" i="155"/>
  <c r="K1641" i="155"/>
  <c r="K1647" i="155"/>
  <c r="K1653" i="155"/>
  <c r="K1659" i="155"/>
  <c r="K1665" i="155"/>
  <c r="K1671" i="155"/>
  <c r="K1677" i="155"/>
  <c r="K1683" i="155"/>
  <c r="K1689" i="155"/>
  <c r="K1695" i="155"/>
  <c r="M1882" i="155"/>
  <c r="M2180" i="155"/>
  <c r="M2349" i="155"/>
  <c r="M2457" i="155"/>
  <c r="M2565" i="155"/>
  <c r="M2673" i="155"/>
  <c r="M2776" i="155"/>
  <c r="K16" i="155"/>
  <c r="K52" i="155"/>
  <c r="K88" i="155"/>
  <c r="K124" i="155"/>
  <c r="K161" i="155"/>
  <c r="K198" i="155"/>
  <c r="K234" i="155"/>
  <c r="K270" i="155"/>
  <c r="K295" i="155"/>
  <c r="K313" i="155"/>
  <c r="K331" i="155"/>
  <c r="K349" i="155"/>
  <c r="K367" i="155"/>
  <c r="K385" i="155"/>
  <c r="K403" i="155"/>
  <c r="K421" i="155"/>
  <c r="K439" i="155"/>
  <c r="K457" i="155"/>
  <c r="K475" i="155"/>
  <c r="K493" i="155"/>
  <c r="K511" i="155"/>
  <c r="K529" i="155"/>
  <c r="K547" i="155"/>
  <c r="K565" i="155"/>
  <c r="K583" i="155"/>
  <c r="K601" i="155"/>
  <c r="K619" i="155"/>
  <c r="K637" i="155"/>
  <c r="K655" i="155"/>
  <c r="K673" i="155"/>
  <c r="K691" i="155"/>
  <c r="K709" i="155"/>
  <c r="K727" i="155"/>
  <c r="K745" i="155"/>
  <c r="K763" i="155"/>
  <c r="K781" i="155"/>
  <c r="K799" i="155"/>
  <c r="K817" i="155"/>
  <c r="K835" i="155"/>
  <c r="K853" i="155"/>
  <c r="K871" i="155"/>
  <c r="K889" i="155"/>
  <c r="K907" i="155"/>
  <c r="K925" i="155"/>
  <c r="K937" i="155"/>
  <c r="K949" i="155"/>
  <c r="K961" i="155"/>
  <c r="K973" i="155"/>
  <c r="K985" i="155"/>
  <c r="K997" i="155"/>
  <c r="K1009" i="155"/>
  <c r="K1021" i="155"/>
  <c r="K1033" i="155"/>
  <c r="K1042" i="155"/>
  <c r="K1048" i="155"/>
  <c r="K1054" i="155"/>
  <c r="K1060" i="155"/>
  <c r="K1066" i="155"/>
  <c r="K1072" i="155"/>
  <c r="K1078" i="155"/>
  <c r="K1084" i="155"/>
  <c r="K1090" i="155"/>
  <c r="K1096" i="155"/>
  <c r="K1102" i="155"/>
  <c r="K1108" i="155"/>
  <c r="K1114" i="155"/>
  <c r="K1120" i="155"/>
  <c r="K1126" i="155"/>
  <c r="K1132" i="155"/>
  <c r="K1138" i="155"/>
  <c r="K1144" i="155"/>
  <c r="K1150" i="155"/>
  <c r="K1156" i="155"/>
  <c r="K1162" i="155"/>
  <c r="K1168" i="155"/>
  <c r="K1174" i="155"/>
  <c r="K1180" i="155"/>
  <c r="K1186" i="155"/>
  <c r="K1192" i="155"/>
  <c r="K1198" i="155"/>
  <c r="K1204" i="155"/>
  <c r="K1210" i="155"/>
  <c r="K1216" i="155"/>
  <c r="K1222" i="155"/>
  <c r="K1228" i="155"/>
  <c r="K1234" i="155"/>
  <c r="K1240" i="155"/>
  <c r="K1246" i="155"/>
  <c r="K1252" i="155"/>
  <c r="K1258" i="155"/>
  <c r="K1264" i="155"/>
  <c r="K1270" i="155"/>
  <c r="K1276" i="155"/>
  <c r="K1282" i="155"/>
  <c r="K1288" i="155"/>
  <c r="K1294" i="155"/>
  <c r="K1300" i="155"/>
  <c r="K1306" i="155"/>
  <c r="K1312" i="155"/>
  <c r="K1318" i="155"/>
  <c r="K1324" i="155"/>
  <c r="K1330" i="155"/>
  <c r="K1336" i="155"/>
  <c r="K1342" i="155"/>
  <c r="K1348" i="155"/>
  <c r="K1354" i="155"/>
  <c r="K1360" i="155"/>
  <c r="K1366" i="155"/>
  <c r="K1372" i="155"/>
  <c r="K1378" i="155"/>
  <c r="K1384" i="155"/>
  <c r="K1390" i="155"/>
  <c r="K1396" i="155"/>
  <c r="K1402" i="155"/>
  <c r="K1408" i="155"/>
  <c r="K1414" i="155"/>
  <c r="K1420" i="155"/>
  <c r="K1426" i="155"/>
  <c r="K1432" i="155"/>
  <c r="K1438" i="155"/>
  <c r="K1444" i="155"/>
  <c r="K1450" i="155"/>
  <c r="K1456" i="155"/>
  <c r="K1462" i="155"/>
  <c r="K1468" i="155"/>
  <c r="K1474" i="155"/>
  <c r="K1480" i="155"/>
  <c r="K1486" i="155"/>
  <c r="K1492" i="155"/>
  <c r="K1498" i="155"/>
  <c r="K1504" i="155"/>
  <c r="K1510" i="155"/>
  <c r="K1516" i="155"/>
  <c r="K1522" i="155"/>
  <c r="K1528" i="155"/>
  <c r="K1534" i="155"/>
  <c r="K1540" i="155"/>
  <c r="K1546" i="155"/>
  <c r="K1552" i="155"/>
  <c r="K1558" i="155"/>
  <c r="K1564" i="155"/>
  <c r="K1570" i="155"/>
  <c r="K1576" i="155"/>
  <c r="K1582" i="155"/>
  <c r="M2007" i="155"/>
  <c r="M2240" i="155"/>
  <c r="M2379" i="155"/>
  <c r="M2487" i="155"/>
  <c r="M2595" i="155"/>
  <c r="M2703" i="155"/>
  <c r="M2806" i="155"/>
  <c r="K27" i="155"/>
  <c r="K63" i="155"/>
  <c r="K99" i="155"/>
  <c r="K135" i="155"/>
  <c r="K172" i="155"/>
  <c r="K209" i="155"/>
  <c r="K245" i="155"/>
  <c r="K280" i="155"/>
  <c r="K300" i="155"/>
  <c r="K318" i="155"/>
  <c r="K336" i="155"/>
  <c r="K354" i="155"/>
  <c r="K372" i="155"/>
  <c r="K390" i="155"/>
  <c r="K408" i="155"/>
  <c r="K426" i="155"/>
  <c r="K444" i="155"/>
  <c r="K462" i="155"/>
  <c r="K480" i="155"/>
  <c r="K498" i="155"/>
  <c r="K516" i="155"/>
  <c r="K534" i="155"/>
  <c r="K552" i="155"/>
  <c r="K570" i="155"/>
  <c r="K588" i="155"/>
  <c r="K606" i="155"/>
  <c r="K624" i="155"/>
  <c r="K642" i="155"/>
  <c r="K660" i="155"/>
  <c r="K678" i="155"/>
  <c r="K696" i="155"/>
  <c r="K714" i="155"/>
  <c r="K732" i="155"/>
  <c r="K750" i="155"/>
  <c r="K768" i="155"/>
  <c r="K786" i="155"/>
  <c r="K804" i="155"/>
  <c r="K822" i="155"/>
  <c r="K840" i="155"/>
  <c r="K858" i="155"/>
  <c r="K876" i="155"/>
  <c r="K894" i="155"/>
  <c r="K912" i="155"/>
  <c r="K927" i="155"/>
  <c r="K939" i="155"/>
  <c r="K951" i="155"/>
  <c r="K963" i="155"/>
  <c r="K975" i="155"/>
  <c r="K987" i="155"/>
  <c r="K999" i="155"/>
  <c r="K1011" i="155"/>
  <c r="K1023" i="155"/>
  <c r="K1035" i="155"/>
  <c r="K1043" i="155"/>
  <c r="K1049" i="155"/>
  <c r="K1055" i="155"/>
  <c r="K1061" i="155"/>
  <c r="K1067" i="155"/>
  <c r="K1073" i="155"/>
  <c r="K1079" i="155"/>
  <c r="K1085" i="155"/>
  <c r="K1091" i="155"/>
  <c r="K1097" i="155"/>
  <c r="K1103" i="155"/>
  <c r="K1109" i="155"/>
  <c r="K1115" i="155"/>
  <c r="K1121" i="155"/>
  <c r="K1127" i="155"/>
  <c r="K1133" i="155"/>
  <c r="K1139" i="155"/>
  <c r="K1145" i="155"/>
  <c r="K1151" i="155"/>
  <c r="K1157" i="155"/>
  <c r="K1163" i="155"/>
  <c r="K1169" i="155"/>
  <c r="K1175" i="155"/>
  <c r="K1181" i="155"/>
  <c r="K1187" i="155"/>
  <c r="K1193" i="155"/>
  <c r="K1199" i="155"/>
  <c r="K1205" i="155"/>
  <c r="K1211" i="155"/>
  <c r="K1217" i="155"/>
  <c r="K1223" i="155"/>
  <c r="K1229" i="155"/>
  <c r="K1235" i="155"/>
  <c r="K1241" i="155"/>
  <c r="K1247" i="155"/>
  <c r="K1253" i="155"/>
  <c r="K1259" i="155"/>
  <c r="K1265" i="155"/>
  <c r="K1271" i="155"/>
  <c r="K1277" i="155"/>
  <c r="K1283" i="155"/>
  <c r="K1289" i="155"/>
  <c r="K1295" i="155"/>
  <c r="K1301" i="155"/>
  <c r="K1307" i="155"/>
  <c r="K1313" i="155"/>
  <c r="K1319" i="155"/>
  <c r="K1325" i="155"/>
  <c r="K1331" i="155"/>
  <c r="K1337" i="155"/>
  <c r="K1343" i="155"/>
  <c r="K1349" i="155"/>
  <c r="K1355" i="155"/>
  <c r="K1361" i="155"/>
  <c r="K1367" i="155"/>
  <c r="K1373" i="155"/>
  <c r="K1379" i="155"/>
  <c r="K1385" i="155"/>
  <c r="K1391" i="155"/>
  <c r="K1397" i="155"/>
  <c r="K1403" i="155"/>
  <c r="K1409" i="155"/>
  <c r="K1415" i="155"/>
  <c r="K1421" i="155"/>
  <c r="K1427" i="155"/>
  <c r="K1433" i="155"/>
  <c r="K1439" i="155"/>
  <c r="K1445" i="155"/>
  <c r="K1451" i="155"/>
  <c r="K1457" i="155"/>
  <c r="K1463" i="155"/>
  <c r="K1469" i="155"/>
  <c r="K1475" i="155"/>
  <c r="K1481" i="155"/>
  <c r="K1487" i="155"/>
  <c r="K1493" i="155"/>
  <c r="K1499" i="155"/>
  <c r="K1505" i="155"/>
  <c r="K1511" i="155"/>
  <c r="K1517" i="155"/>
  <c r="K1523" i="155"/>
  <c r="K1529" i="155"/>
  <c r="K1535" i="155"/>
  <c r="K1541" i="155"/>
  <c r="K1547" i="155"/>
  <c r="K1553" i="155"/>
  <c r="K1559" i="155"/>
  <c r="K1565" i="155"/>
  <c r="K1571" i="155"/>
  <c r="K1577" i="155"/>
  <c r="K1583" i="155"/>
  <c r="K1589" i="155"/>
  <c r="K1595" i="155"/>
  <c r="K1601" i="155"/>
  <c r="K1607" i="155"/>
  <c r="K1613" i="155"/>
  <c r="K1619" i="155"/>
  <c r="K1625" i="155"/>
  <c r="K1631" i="155"/>
  <c r="K1637" i="155"/>
  <c r="K1643" i="155"/>
  <c r="K1649" i="155"/>
  <c r="K1655" i="155"/>
  <c r="K1661" i="155"/>
  <c r="K1667" i="155"/>
  <c r="K1673" i="155"/>
  <c r="K1679" i="155"/>
  <c r="K1685" i="155"/>
  <c r="K1691" i="155"/>
  <c r="K1697" i="155"/>
  <c r="K1703" i="155"/>
  <c r="K1709" i="155"/>
  <c r="K1715" i="155"/>
  <c r="K1721" i="155"/>
  <c r="K1727" i="155"/>
  <c r="K1733" i="155"/>
  <c r="K1739" i="155"/>
  <c r="K1745" i="155"/>
  <c r="K1751" i="155"/>
  <c r="K1757" i="155"/>
  <c r="K1763" i="155"/>
  <c r="K1769" i="155"/>
  <c r="K1775" i="155"/>
  <c r="K1781" i="155"/>
  <c r="K1787" i="155"/>
  <c r="K1793" i="155"/>
  <c r="K1799" i="155"/>
  <c r="M2252" i="155"/>
  <c r="M2385" i="155"/>
  <c r="M2493" i="155"/>
  <c r="M2601" i="155"/>
  <c r="M2709" i="155"/>
  <c r="M2814" i="155"/>
  <c r="K28" i="155"/>
  <c r="K64" i="155"/>
  <c r="K100" i="155"/>
  <c r="K136" i="155"/>
  <c r="K173" i="155"/>
  <c r="K210" i="155"/>
  <c r="K246" i="155"/>
  <c r="K281" i="155"/>
  <c r="K301" i="155"/>
  <c r="K319" i="155"/>
  <c r="K337" i="155"/>
  <c r="K355" i="155"/>
  <c r="K373" i="155"/>
  <c r="K391" i="155"/>
  <c r="K409" i="155"/>
  <c r="K427" i="155"/>
  <c r="K445" i="155"/>
  <c r="K463" i="155"/>
  <c r="K481" i="155"/>
  <c r="K499" i="155"/>
  <c r="K517" i="155"/>
  <c r="K535" i="155"/>
  <c r="K553" i="155"/>
  <c r="K571" i="155"/>
  <c r="K589" i="155"/>
  <c r="K607" i="155"/>
  <c r="K625" i="155"/>
  <c r="K643" i="155"/>
  <c r="K661" i="155"/>
  <c r="K679" i="155"/>
  <c r="K697" i="155"/>
  <c r="K715" i="155"/>
  <c r="K733" i="155"/>
  <c r="K751" i="155"/>
  <c r="K769" i="155"/>
  <c r="K787" i="155"/>
  <c r="K805" i="155"/>
  <c r="K823" i="155"/>
  <c r="K841" i="155"/>
  <c r="K859" i="155"/>
  <c r="K877" i="155"/>
  <c r="K895" i="155"/>
  <c r="K913" i="155"/>
  <c r="K930" i="155"/>
  <c r="K942" i="155"/>
  <c r="K954" i="155"/>
  <c r="K966" i="155"/>
  <c r="K978" i="155"/>
  <c r="K990" i="155"/>
  <c r="K1002" i="155"/>
  <c r="K1014" i="155"/>
  <c r="K1026" i="155"/>
  <c r="K1038" i="155"/>
  <c r="K1044" i="155"/>
  <c r="K1050" i="155"/>
  <c r="K1056" i="155"/>
  <c r="K1062" i="155"/>
  <c r="K1068" i="155"/>
  <c r="K1074" i="155"/>
  <c r="K1080" i="155"/>
  <c r="K1086" i="155"/>
  <c r="K1092" i="155"/>
  <c r="K1098" i="155"/>
  <c r="K1104" i="155"/>
  <c r="K1110" i="155"/>
  <c r="K1116" i="155"/>
  <c r="K1122" i="155"/>
  <c r="K1128" i="155"/>
  <c r="K1134" i="155"/>
  <c r="K1140" i="155"/>
  <c r="K1146" i="155"/>
  <c r="K1152" i="155"/>
  <c r="K1158" i="155"/>
  <c r="K1164" i="155"/>
  <c r="K1170" i="155"/>
  <c r="K1176" i="155"/>
  <c r="K1182" i="155"/>
  <c r="K1188" i="155"/>
  <c r="K1194" i="155"/>
  <c r="K1200" i="155"/>
  <c r="K1206" i="155"/>
  <c r="K1212" i="155"/>
  <c r="K1218" i="155"/>
  <c r="K1224" i="155"/>
  <c r="K1230" i="155"/>
  <c r="K1236" i="155"/>
  <c r="K1242" i="155"/>
  <c r="K1248" i="155"/>
  <c r="K1254" i="155"/>
  <c r="K1260" i="155"/>
  <c r="K1266" i="155"/>
  <c r="K1272" i="155"/>
  <c r="K1278" i="155"/>
  <c r="K1284" i="155"/>
  <c r="K1290" i="155"/>
  <c r="K1296" i="155"/>
  <c r="K1302" i="155"/>
  <c r="K1308" i="155"/>
  <c r="K1314" i="155"/>
  <c r="K1320" i="155"/>
  <c r="K1326" i="155"/>
  <c r="K1332" i="155"/>
  <c r="K1338" i="155"/>
  <c r="K1344" i="155"/>
  <c r="K1350" i="155"/>
  <c r="K1356" i="155"/>
  <c r="K1362" i="155"/>
  <c r="K1368" i="155"/>
  <c r="K1374" i="155"/>
  <c r="K1380" i="155"/>
  <c r="K1386" i="155"/>
  <c r="K1392" i="155"/>
  <c r="K1398" i="155"/>
  <c r="K1404" i="155"/>
  <c r="K1410" i="155"/>
  <c r="K1416" i="155"/>
  <c r="K1422" i="155"/>
  <c r="K1428" i="155"/>
  <c r="K1434" i="155"/>
  <c r="K1440" i="155"/>
  <c r="K1446" i="155"/>
  <c r="K1452" i="155"/>
  <c r="K1458" i="155"/>
  <c r="K1464" i="155"/>
  <c r="K1470" i="155"/>
  <c r="K1476" i="155"/>
  <c r="K1482" i="155"/>
  <c r="K1488" i="155"/>
  <c r="K1494" i="155"/>
  <c r="K1500" i="155"/>
  <c r="K1506" i="155"/>
  <c r="K1512" i="155"/>
  <c r="K1518" i="155"/>
  <c r="K1524" i="155"/>
  <c r="K1530" i="155"/>
  <c r="K1536" i="155"/>
  <c r="K1542" i="155"/>
  <c r="K1548" i="155"/>
  <c r="K1554" i="155"/>
  <c r="K1560" i="155"/>
  <c r="K1566" i="155"/>
  <c r="K1572" i="155"/>
  <c r="K1578" i="155"/>
  <c r="K1584" i="155"/>
  <c r="K1590" i="155"/>
  <c r="K1596" i="155"/>
  <c r="K1602" i="155"/>
  <c r="K1608" i="155"/>
  <c r="K1614" i="155"/>
  <c r="K1620" i="155"/>
  <c r="K1626" i="155"/>
  <c r="K1632" i="155"/>
  <c r="K1638" i="155"/>
  <c r="K1644" i="155"/>
  <c r="K1650" i="155"/>
  <c r="K1656" i="155"/>
  <c r="K1662" i="155"/>
  <c r="K1668" i="155"/>
  <c r="K1674" i="155"/>
  <c r="K1680" i="155"/>
  <c r="K1686" i="155"/>
  <c r="K1692" i="155"/>
  <c r="K1698" i="155"/>
  <c r="K1704" i="155"/>
  <c r="K1710" i="155"/>
  <c r="K1716" i="155"/>
  <c r="K1722" i="155"/>
  <c r="K1728" i="155"/>
  <c r="K1734" i="155"/>
  <c r="K1740" i="155"/>
  <c r="K1746" i="155"/>
  <c r="K1752" i="155"/>
  <c r="K1758" i="155"/>
  <c r="K1764" i="155"/>
  <c r="K1770" i="155"/>
  <c r="K1776" i="155"/>
  <c r="K1782" i="155"/>
  <c r="K1788" i="155"/>
  <c r="K1794" i="155"/>
  <c r="K1800" i="155"/>
  <c r="M2096" i="155"/>
  <c r="M2523" i="155"/>
  <c r="K111" i="155"/>
  <c r="K221" i="155"/>
  <c r="K306" i="155"/>
  <c r="K360" i="155"/>
  <c r="K414" i="155"/>
  <c r="K468" i="155"/>
  <c r="K522" i="155"/>
  <c r="K576" i="155"/>
  <c r="K630" i="155"/>
  <c r="K684" i="155"/>
  <c r="K738" i="155"/>
  <c r="K792" i="155"/>
  <c r="K846" i="155"/>
  <c r="K900" i="155"/>
  <c r="K943" i="155"/>
  <c r="K979" i="155"/>
  <c r="K1015" i="155"/>
  <c r="K1045" i="155"/>
  <c r="K1063" i="155"/>
  <c r="K1081" i="155"/>
  <c r="K1099" i="155"/>
  <c r="K1117" i="155"/>
  <c r="K1135" i="155"/>
  <c r="K1153" i="155"/>
  <c r="K1171" i="155"/>
  <c r="K1189" i="155"/>
  <c r="K1207" i="155"/>
  <c r="K1225" i="155"/>
  <c r="K1243" i="155"/>
  <c r="K1261" i="155"/>
  <c r="K1279" i="155"/>
  <c r="K1297" i="155"/>
  <c r="K1315" i="155"/>
  <c r="K1333" i="155"/>
  <c r="K1351" i="155"/>
  <c r="K1369" i="155"/>
  <c r="K1387" i="155"/>
  <c r="K1405" i="155"/>
  <c r="K1423" i="155"/>
  <c r="K1441" i="155"/>
  <c r="K1459" i="155"/>
  <c r="K1477" i="155"/>
  <c r="K1495" i="155"/>
  <c r="K1513" i="155"/>
  <c r="K1531" i="155"/>
  <c r="K1549" i="155"/>
  <c r="K1567" i="155"/>
  <c r="K1585" i="155"/>
  <c r="K1597" i="155"/>
  <c r="K1609" i="155"/>
  <c r="K1621" i="155"/>
  <c r="K1633" i="155"/>
  <c r="K1645" i="155"/>
  <c r="K1657" i="155"/>
  <c r="K1669" i="155"/>
  <c r="K1681" i="155"/>
  <c r="K1693" i="155"/>
  <c r="K1702" i="155"/>
  <c r="K1712" i="155"/>
  <c r="K1720" i="155"/>
  <c r="K1730" i="155"/>
  <c r="K1738" i="155"/>
  <c r="K1748" i="155"/>
  <c r="K1756" i="155"/>
  <c r="K1766" i="155"/>
  <c r="K1774" i="155"/>
  <c r="K1784" i="155"/>
  <c r="K1792" i="155"/>
  <c r="K1802" i="155"/>
  <c r="K1808" i="155"/>
  <c r="K1814" i="155"/>
  <c r="K1820" i="155"/>
  <c r="K1826" i="155"/>
  <c r="K1832" i="155"/>
  <c r="K1838" i="155"/>
  <c r="K1844" i="155"/>
  <c r="K1850" i="155"/>
  <c r="K1856" i="155"/>
  <c r="K1862" i="155"/>
  <c r="K1868" i="155"/>
  <c r="K1874" i="155"/>
  <c r="K1880" i="155"/>
  <c r="K1886" i="155"/>
  <c r="K1892" i="155"/>
  <c r="K1898" i="155"/>
  <c r="K1904" i="155"/>
  <c r="K1910" i="155"/>
  <c r="K1916" i="155"/>
  <c r="K1922" i="155"/>
  <c r="K1928" i="155"/>
  <c r="K1934" i="155"/>
  <c r="K1940" i="155"/>
  <c r="K1946" i="155"/>
  <c r="K1952" i="155"/>
  <c r="K1958" i="155"/>
  <c r="K1964" i="155"/>
  <c r="K1970" i="155"/>
  <c r="K1976" i="155"/>
  <c r="K1982" i="155"/>
  <c r="K1988" i="155"/>
  <c r="K1994" i="155"/>
  <c r="K2000" i="155"/>
  <c r="K2006" i="155"/>
  <c r="K2012" i="155"/>
  <c r="K2018" i="155"/>
  <c r="K2024" i="155"/>
  <c r="K2028" i="155"/>
  <c r="K2034" i="155"/>
  <c r="K2040" i="155"/>
  <c r="K2046" i="155"/>
  <c r="K2052" i="155"/>
  <c r="K2058" i="155"/>
  <c r="K2064" i="155"/>
  <c r="K2070" i="155"/>
  <c r="K2081" i="155"/>
  <c r="K2087" i="155"/>
  <c r="K2093" i="155"/>
  <c r="K2099" i="155"/>
  <c r="K2105" i="155"/>
  <c r="K2111" i="155"/>
  <c r="K2117" i="155"/>
  <c r="K2123" i="155"/>
  <c r="K2129" i="155"/>
  <c r="K2135" i="155"/>
  <c r="K2141" i="155"/>
  <c r="K2147" i="155"/>
  <c r="K2153" i="155"/>
  <c r="K2159" i="155"/>
  <c r="K2165" i="155"/>
  <c r="K2171" i="155"/>
  <c r="K2177" i="155"/>
  <c r="K2183" i="155"/>
  <c r="K2189" i="155"/>
  <c r="K2195" i="155"/>
  <c r="K2201" i="155"/>
  <c r="K2207" i="155"/>
  <c r="K2213" i="155"/>
  <c r="K2219" i="155"/>
  <c r="K2225" i="155"/>
  <c r="K2231" i="155"/>
  <c r="K2237" i="155"/>
  <c r="K2243" i="155"/>
  <c r="K2249" i="155"/>
  <c r="K2255" i="155"/>
  <c r="K2261" i="155"/>
  <c r="K2267" i="155"/>
  <c r="K2273" i="155"/>
  <c r="K2279" i="155"/>
  <c r="K2285" i="155"/>
  <c r="K2291" i="155"/>
  <c r="K2297" i="155"/>
  <c r="K2303" i="155"/>
  <c r="K2309" i="155"/>
  <c r="K2315" i="155"/>
  <c r="K2321" i="155"/>
  <c r="K2327" i="155"/>
  <c r="K2333" i="155"/>
  <c r="K2339" i="155"/>
  <c r="K2345" i="155"/>
  <c r="K2351" i="155"/>
  <c r="K2357" i="155"/>
  <c r="K2363" i="155"/>
  <c r="K2369" i="155"/>
  <c r="K2375" i="155"/>
  <c r="K2381" i="155"/>
  <c r="K2387" i="155"/>
  <c r="K2393" i="155"/>
  <c r="K2399" i="155"/>
  <c r="K2405" i="155"/>
  <c r="K2411" i="155"/>
  <c r="K2417" i="155"/>
  <c r="K2423" i="155"/>
  <c r="K2429" i="155"/>
  <c r="K2435" i="155"/>
  <c r="K2441" i="155"/>
  <c r="K2447" i="155"/>
  <c r="K2453" i="155"/>
  <c r="K2459" i="155"/>
  <c r="K2465" i="155"/>
  <c r="K2471" i="155"/>
  <c r="K2477" i="155"/>
  <c r="K2483" i="155"/>
  <c r="K2489" i="155"/>
  <c r="K2495" i="155"/>
  <c r="K2501" i="155"/>
  <c r="K2507" i="155"/>
  <c r="M2108" i="155"/>
  <c r="M2529" i="155"/>
  <c r="K112" i="155"/>
  <c r="K222" i="155"/>
  <c r="K307" i="155"/>
  <c r="K361" i="155"/>
  <c r="K415" i="155"/>
  <c r="K469" i="155"/>
  <c r="K523" i="155"/>
  <c r="K577" i="155"/>
  <c r="K631" i="155"/>
  <c r="K685" i="155"/>
  <c r="K739" i="155"/>
  <c r="K793" i="155"/>
  <c r="K847" i="155"/>
  <c r="K901" i="155"/>
  <c r="K945" i="155"/>
  <c r="K981" i="155"/>
  <c r="K1017" i="155"/>
  <c r="K1046" i="155"/>
  <c r="K1064" i="155"/>
  <c r="K1082" i="155"/>
  <c r="K1100" i="155"/>
  <c r="K1118" i="155"/>
  <c r="K1136" i="155"/>
  <c r="K1154" i="155"/>
  <c r="K1172" i="155"/>
  <c r="K1190" i="155"/>
  <c r="K1208" i="155"/>
  <c r="K1226" i="155"/>
  <c r="K1244" i="155"/>
  <c r="K1262" i="155"/>
  <c r="K1280" i="155"/>
  <c r="K1298" i="155"/>
  <c r="K1316" i="155"/>
  <c r="K1334" i="155"/>
  <c r="K1352" i="155"/>
  <c r="K1370" i="155"/>
  <c r="K1388" i="155"/>
  <c r="K1406" i="155"/>
  <c r="K1424" i="155"/>
  <c r="K1442" i="155"/>
  <c r="K1460" i="155"/>
  <c r="K1478" i="155"/>
  <c r="K1496" i="155"/>
  <c r="K1514" i="155"/>
  <c r="K1532" i="155"/>
  <c r="K1550" i="155"/>
  <c r="K1568" i="155"/>
  <c r="K1586" i="155"/>
  <c r="K1598" i="155"/>
  <c r="K1610" i="155"/>
  <c r="K1622" i="155"/>
  <c r="K1634" i="155"/>
  <c r="K1646" i="155"/>
  <c r="K1658" i="155"/>
  <c r="K1670" i="155"/>
  <c r="K1682" i="155"/>
  <c r="K1694" i="155"/>
  <c r="K1705" i="155"/>
  <c r="K1713" i="155"/>
  <c r="K1723" i="155"/>
  <c r="K1731" i="155"/>
  <c r="K1741" i="155"/>
  <c r="K1749" i="155"/>
  <c r="K1759" i="155"/>
  <c r="K1767" i="155"/>
  <c r="K1777" i="155"/>
  <c r="K1785" i="155"/>
  <c r="K1795" i="155"/>
  <c r="K1803" i="155"/>
  <c r="K1809" i="155"/>
  <c r="K1815" i="155"/>
  <c r="K1821" i="155"/>
  <c r="K1827" i="155"/>
  <c r="K1833" i="155"/>
  <c r="K1839" i="155"/>
  <c r="K1845" i="155"/>
  <c r="K1851" i="155"/>
  <c r="K1857" i="155"/>
  <c r="K1863" i="155"/>
  <c r="K1869" i="155"/>
  <c r="K1875" i="155"/>
  <c r="K1881" i="155"/>
  <c r="K1887" i="155"/>
  <c r="K1893" i="155"/>
  <c r="K1899" i="155"/>
  <c r="K1905" i="155"/>
  <c r="K1911" i="155"/>
  <c r="K1917" i="155"/>
  <c r="K1923" i="155"/>
  <c r="K1929" i="155"/>
  <c r="K1935" i="155"/>
  <c r="K1941" i="155"/>
  <c r="K1947" i="155"/>
  <c r="K1953" i="155"/>
  <c r="K1959" i="155"/>
  <c r="K1965" i="155"/>
  <c r="K1971" i="155"/>
  <c r="K1977" i="155"/>
  <c r="K1983" i="155"/>
  <c r="K1989" i="155"/>
  <c r="K1995" i="155"/>
  <c r="K2001" i="155"/>
  <c r="K2007" i="155"/>
  <c r="K2013" i="155"/>
  <c r="K2019" i="155"/>
  <c r="K2029" i="155"/>
  <c r="K2035" i="155"/>
  <c r="K2041" i="155"/>
  <c r="K2047" i="155"/>
  <c r="K2053" i="155"/>
  <c r="K2059" i="155"/>
  <c r="K2065" i="155"/>
  <c r="K2071" i="155"/>
  <c r="K2082" i="155"/>
  <c r="K2088" i="155"/>
  <c r="K2094" i="155"/>
  <c r="K2100" i="155"/>
  <c r="K2106" i="155"/>
  <c r="K2112" i="155"/>
  <c r="K2118" i="155"/>
  <c r="K2124" i="155"/>
  <c r="K2130" i="155"/>
  <c r="K2136" i="155"/>
  <c r="K2142" i="155"/>
  <c r="K2148" i="155"/>
  <c r="K2154" i="155"/>
  <c r="K2160" i="155"/>
  <c r="K2166" i="155"/>
  <c r="K2172" i="155"/>
  <c r="K2178" i="155"/>
  <c r="K2184" i="155"/>
  <c r="K2190" i="155"/>
  <c r="K2196" i="155"/>
  <c r="K2202" i="155"/>
  <c r="K2208" i="155"/>
  <c r="K2214" i="155"/>
  <c r="K2220" i="155"/>
  <c r="K2226" i="155"/>
  <c r="K2232" i="155"/>
  <c r="K2238" i="155"/>
  <c r="K2244" i="155"/>
  <c r="K2250" i="155"/>
  <c r="K2256" i="155"/>
  <c r="K2262" i="155"/>
  <c r="K2268" i="155"/>
  <c r="K2274" i="155"/>
  <c r="K2280" i="155"/>
  <c r="K2286" i="155"/>
  <c r="K2292" i="155"/>
  <c r="K2298" i="155"/>
  <c r="K2304" i="155"/>
  <c r="K2310" i="155"/>
  <c r="K2316" i="155"/>
  <c r="K2322" i="155"/>
  <c r="K2328" i="155"/>
  <c r="K2334" i="155"/>
  <c r="K2340" i="155"/>
  <c r="K2346" i="155"/>
  <c r="K2352" i="155"/>
  <c r="K2358" i="155"/>
  <c r="K2364" i="155"/>
  <c r="K2370" i="155"/>
  <c r="K2376" i="155"/>
  <c r="K2382" i="155"/>
  <c r="K2388" i="155"/>
  <c r="K2394" i="155"/>
  <c r="M2307" i="155"/>
  <c r="M2631" i="155"/>
  <c r="K39" i="155"/>
  <c r="K147" i="155"/>
  <c r="K257" i="155"/>
  <c r="K324" i="155"/>
  <c r="K378" i="155"/>
  <c r="K432" i="155"/>
  <c r="K486" i="155"/>
  <c r="K540" i="155"/>
  <c r="K594" i="155"/>
  <c r="K648" i="155"/>
  <c r="K702" i="155"/>
  <c r="K756" i="155"/>
  <c r="K810" i="155"/>
  <c r="K864" i="155"/>
  <c r="K918" i="155"/>
  <c r="K955" i="155"/>
  <c r="K991" i="155"/>
  <c r="K1027" i="155"/>
  <c r="K1051" i="155"/>
  <c r="K1069" i="155"/>
  <c r="K1087" i="155"/>
  <c r="K1105" i="155"/>
  <c r="K1123" i="155"/>
  <c r="K1141" i="155"/>
  <c r="K1159" i="155"/>
  <c r="K1177" i="155"/>
  <c r="K1195" i="155"/>
  <c r="K1213" i="155"/>
  <c r="K1231" i="155"/>
  <c r="K1249" i="155"/>
  <c r="K1267" i="155"/>
  <c r="K1285" i="155"/>
  <c r="K1303" i="155"/>
  <c r="K1321" i="155"/>
  <c r="K1339" i="155"/>
  <c r="K1357" i="155"/>
  <c r="K1375" i="155"/>
  <c r="K1393" i="155"/>
  <c r="K1411" i="155"/>
  <c r="K1429" i="155"/>
  <c r="K1447" i="155"/>
  <c r="K1465" i="155"/>
  <c r="K1483" i="155"/>
  <c r="K1501" i="155"/>
  <c r="K1519" i="155"/>
  <c r="K1537" i="155"/>
  <c r="K1555" i="155"/>
  <c r="K1573" i="155"/>
  <c r="K1588" i="155"/>
  <c r="K1600" i="155"/>
  <c r="K1612" i="155"/>
  <c r="K1624" i="155"/>
  <c r="K1636" i="155"/>
  <c r="K1648" i="155"/>
  <c r="K1660" i="155"/>
  <c r="K1672" i="155"/>
  <c r="K1684" i="155"/>
  <c r="K1696" i="155"/>
  <c r="K1706" i="155"/>
  <c r="K1714" i="155"/>
  <c r="K1724" i="155"/>
  <c r="K1732" i="155"/>
  <c r="K1742" i="155"/>
  <c r="K1750" i="155"/>
  <c r="K1760" i="155"/>
  <c r="K1768" i="155"/>
  <c r="K1778" i="155"/>
  <c r="K1786" i="155"/>
  <c r="K1796" i="155"/>
  <c r="K1804" i="155"/>
  <c r="K1810" i="155"/>
  <c r="K1816" i="155"/>
  <c r="K1822" i="155"/>
  <c r="K1828" i="155"/>
  <c r="K1834" i="155"/>
  <c r="K1840" i="155"/>
  <c r="K1846" i="155"/>
  <c r="K1852" i="155"/>
  <c r="K1858" i="155"/>
  <c r="K1864" i="155"/>
  <c r="K1870" i="155"/>
  <c r="K1876" i="155"/>
  <c r="K1882" i="155"/>
  <c r="K1888" i="155"/>
  <c r="K1894" i="155"/>
  <c r="K1900" i="155"/>
  <c r="K1906" i="155"/>
  <c r="K1912" i="155"/>
  <c r="K1918" i="155"/>
  <c r="K1924" i="155"/>
  <c r="K1930" i="155"/>
  <c r="K1936" i="155"/>
  <c r="K1942" i="155"/>
  <c r="K1948" i="155"/>
  <c r="K1954" i="155"/>
  <c r="K1960" i="155"/>
  <c r="K1966" i="155"/>
  <c r="K1972" i="155"/>
  <c r="K1978" i="155"/>
  <c r="K1984" i="155"/>
  <c r="K1990" i="155"/>
  <c r="K1996" i="155"/>
  <c r="K2002" i="155"/>
  <c r="K2008" i="155"/>
  <c r="K2014" i="155"/>
  <c r="K2020" i="155"/>
  <c r="K2030" i="155"/>
  <c r="K2036" i="155"/>
  <c r="K2042" i="155"/>
  <c r="K2048" i="155"/>
  <c r="K2054" i="155"/>
  <c r="K2060" i="155"/>
  <c r="K2066" i="155"/>
  <c r="K2072" i="155"/>
  <c r="K2083" i="155"/>
  <c r="K2089" i="155"/>
  <c r="K2095" i="155"/>
  <c r="K2101" i="155"/>
  <c r="K2107" i="155"/>
  <c r="K2113" i="155"/>
  <c r="K2119" i="155"/>
  <c r="K2125" i="155"/>
  <c r="K2131" i="155"/>
  <c r="K2137" i="155"/>
  <c r="K2143" i="155"/>
  <c r="K2149" i="155"/>
  <c r="K2155" i="155"/>
  <c r="K2161" i="155"/>
  <c r="K2167" i="155"/>
  <c r="K2173" i="155"/>
  <c r="K2179" i="155"/>
  <c r="K2185" i="155"/>
  <c r="K2191" i="155"/>
  <c r="K2197" i="155"/>
  <c r="K2203" i="155"/>
  <c r="K2209" i="155"/>
  <c r="K2215" i="155"/>
  <c r="K2221" i="155"/>
  <c r="K2227" i="155"/>
  <c r="K2233" i="155"/>
  <c r="K2239" i="155"/>
  <c r="K2245" i="155"/>
  <c r="K2251" i="155"/>
  <c r="K2257" i="155"/>
  <c r="K2263" i="155"/>
  <c r="K2269" i="155"/>
  <c r="K2275" i="155"/>
  <c r="K2281" i="155"/>
  <c r="K2287" i="155"/>
  <c r="K2293" i="155"/>
  <c r="K2299" i="155"/>
  <c r="K2305" i="155"/>
  <c r="K2311" i="155"/>
  <c r="K2317" i="155"/>
  <c r="K2323" i="155"/>
  <c r="K2329" i="155"/>
  <c r="K2335" i="155"/>
  <c r="K2341" i="155"/>
  <c r="K2347" i="155"/>
  <c r="K2353" i="155"/>
  <c r="K2359" i="155"/>
  <c r="K2365" i="155"/>
  <c r="K2371" i="155"/>
  <c r="K2377" i="155"/>
  <c r="K2383" i="155"/>
  <c r="K2389" i="155"/>
  <c r="M2313" i="155"/>
  <c r="M2637" i="155"/>
  <c r="K40" i="155"/>
  <c r="K148" i="155"/>
  <c r="K258" i="155"/>
  <c r="K325" i="155"/>
  <c r="K379" i="155"/>
  <c r="K433" i="155"/>
  <c r="K487" i="155"/>
  <c r="K541" i="155"/>
  <c r="K595" i="155"/>
  <c r="K649" i="155"/>
  <c r="K703" i="155"/>
  <c r="K757" i="155"/>
  <c r="K811" i="155"/>
  <c r="K865" i="155"/>
  <c r="K919" i="155"/>
  <c r="K957" i="155"/>
  <c r="K993" i="155"/>
  <c r="K1029" i="155"/>
  <c r="K1052" i="155"/>
  <c r="K1070" i="155"/>
  <c r="K1088" i="155"/>
  <c r="K1106" i="155"/>
  <c r="K1124" i="155"/>
  <c r="K1142" i="155"/>
  <c r="K1160" i="155"/>
  <c r="K1178" i="155"/>
  <c r="K1196" i="155"/>
  <c r="K1214" i="155"/>
  <c r="K1232" i="155"/>
  <c r="K1250" i="155"/>
  <c r="K1268" i="155"/>
  <c r="K1286" i="155"/>
  <c r="K1304" i="155"/>
  <c r="K1322" i="155"/>
  <c r="K1340" i="155"/>
  <c r="K1358" i="155"/>
  <c r="K1376" i="155"/>
  <c r="K1394" i="155"/>
  <c r="K1412" i="155"/>
  <c r="K1430" i="155"/>
  <c r="K1448" i="155"/>
  <c r="K1466" i="155"/>
  <c r="K1484" i="155"/>
  <c r="K1502" i="155"/>
  <c r="K1520" i="155"/>
  <c r="K1538" i="155"/>
  <c r="K1556" i="155"/>
  <c r="K1574" i="155"/>
  <c r="K1591" i="155"/>
  <c r="K1603" i="155"/>
  <c r="K1615" i="155"/>
  <c r="K1627" i="155"/>
  <c r="K1639" i="155"/>
  <c r="K1651" i="155"/>
  <c r="K1663" i="155"/>
  <c r="K1675" i="155"/>
  <c r="K1687" i="155"/>
  <c r="K1699" i="155"/>
  <c r="K1707" i="155"/>
  <c r="K1717" i="155"/>
  <c r="K1725" i="155"/>
  <c r="K1735" i="155"/>
  <c r="K1743" i="155"/>
  <c r="K1753" i="155"/>
  <c r="K1761" i="155"/>
  <c r="K1771" i="155"/>
  <c r="K1779" i="155"/>
  <c r="K1789" i="155"/>
  <c r="K1797" i="155"/>
  <c r="K1805" i="155"/>
  <c r="K1811" i="155"/>
  <c r="K1817" i="155"/>
  <c r="K1823" i="155"/>
  <c r="K1829" i="155"/>
  <c r="K1835" i="155"/>
  <c r="K1841" i="155"/>
  <c r="K1847" i="155"/>
  <c r="K1853" i="155"/>
  <c r="K1859" i="155"/>
  <c r="K1865" i="155"/>
  <c r="K1871" i="155"/>
  <c r="K1877" i="155"/>
  <c r="K1883" i="155"/>
  <c r="K1889" i="155"/>
  <c r="K1895" i="155"/>
  <c r="K1901" i="155"/>
  <c r="K1907" i="155"/>
  <c r="K1913" i="155"/>
  <c r="K1919" i="155"/>
  <c r="K1925" i="155"/>
  <c r="K1931" i="155"/>
  <c r="K1937" i="155"/>
  <c r="K1943" i="155"/>
  <c r="K1949" i="155"/>
  <c r="K1955" i="155"/>
  <c r="K1961" i="155"/>
  <c r="K1967" i="155"/>
  <c r="K1973" i="155"/>
  <c r="K1979" i="155"/>
  <c r="K1985" i="155"/>
  <c r="K1991" i="155"/>
  <c r="K1997" i="155"/>
  <c r="K2003" i="155"/>
  <c r="K2009" i="155"/>
  <c r="K2015" i="155"/>
  <c r="K2021" i="155"/>
  <c r="K2025" i="155"/>
  <c r="K2031" i="155"/>
  <c r="K2037" i="155"/>
  <c r="K2043" i="155"/>
  <c r="K2049" i="155"/>
  <c r="K2055" i="155"/>
  <c r="K2061" i="155"/>
  <c r="K2067" i="155"/>
  <c r="K2073" i="155"/>
  <c r="K2084" i="155"/>
  <c r="K2090" i="155"/>
  <c r="K2096" i="155"/>
  <c r="K2102" i="155"/>
  <c r="K2108" i="155"/>
  <c r="K2114" i="155"/>
  <c r="K2120" i="155"/>
  <c r="K2126" i="155"/>
  <c r="K2132" i="155"/>
  <c r="K2138" i="155"/>
  <c r="K2144" i="155"/>
  <c r="K2150" i="155"/>
  <c r="K2156" i="155"/>
  <c r="K2162" i="155"/>
  <c r="K2168" i="155"/>
  <c r="K2174" i="155"/>
  <c r="K2180" i="155"/>
  <c r="K2186" i="155"/>
  <c r="K2192" i="155"/>
  <c r="K2198" i="155"/>
  <c r="K2204" i="155"/>
  <c r="K2210" i="155"/>
  <c r="K2216" i="155"/>
  <c r="K2222" i="155"/>
  <c r="K2228" i="155"/>
  <c r="K2234" i="155"/>
  <c r="K2240" i="155"/>
  <c r="K2246" i="155"/>
  <c r="K2252" i="155"/>
  <c r="K2258" i="155"/>
  <c r="K2264" i="155"/>
  <c r="K2270" i="155"/>
  <c r="K2276" i="155"/>
  <c r="K2282" i="155"/>
  <c r="K2288" i="155"/>
  <c r="K2294" i="155"/>
  <c r="K2300" i="155"/>
  <c r="K2306" i="155"/>
  <c r="K2312" i="155"/>
  <c r="K2318" i="155"/>
  <c r="K2324" i="155"/>
  <c r="K2330" i="155"/>
  <c r="K2336" i="155"/>
  <c r="K2342" i="155"/>
  <c r="K2348" i="155"/>
  <c r="K2354" i="155"/>
  <c r="K2360" i="155"/>
  <c r="K2366" i="155"/>
  <c r="K2372" i="155"/>
  <c r="K2378" i="155"/>
  <c r="K2384" i="155"/>
  <c r="K2390" i="155"/>
  <c r="K2396" i="155"/>
  <c r="K2402" i="155"/>
  <c r="K2408" i="155"/>
  <c r="K2414" i="155"/>
  <c r="K2420" i="155"/>
  <c r="K2426" i="155"/>
  <c r="K2432" i="155"/>
  <c r="K2438" i="155"/>
  <c r="K2444" i="155"/>
  <c r="K2450" i="155"/>
  <c r="K2456" i="155"/>
  <c r="K2462" i="155"/>
  <c r="K2468" i="155"/>
  <c r="K2474" i="155"/>
  <c r="K2480" i="155"/>
  <c r="K2486" i="155"/>
  <c r="K2492" i="155"/>
  <c r="K2498" i="155"/>
  <c r="K2504" i="155"/>
  <c r="K2510" i="155"/>
  <c r="K2516" i="155"/>
  <c r="K2522" i="155"/>
  <c r="K2528" i="155"/>
  <c r="K2534" i="155"/>
  <c r="K2540" i="155"/>
  <c r="K2546" i="155"/>
  <c r="K2552" i="155"/>
  <c r="K2558" i="155"/>
  <c r="K2564" i="155"/>
  <c r="K2570" i="155"/>
  <c r="K2576" i="155"/>
  <c r="K2582" i="155"/>
  <c r="K2588" i="155"/>
  <c r="K2594" i="155"/>
  <c r="K2600" i="155"/>
  <c r="K2606" i="155"/>
  <c r="K2612" i="155"/>
  <c r="K2618" i="155"/>
  <c r="K2624" i="155"/>
  <c r="K2630" i="155"/>
  <c r="K2636" i="155"/>
  <c r="K2642" i="155"/>
  <c r="K2648" i="155"/>
  <c r="K2654" i="155"/>
  <c r="K2660" i="155"/>
  <c r="K2666" i="155"/>
  <c r="K2672" i="155"/>
  <c r="K2678" i="155"/>
  <c r="K2684" i="155"/>
  <c r="K2690" i="155"/>
  <c r="M2415" i="155"/>
  <c r="K184" i="155"/>
  <c r="K396" i="155"/>
  <c r="K558" i="155"/>
  <c r="K720" i="155"/>
  <c r="K882" i="155"/>
  <c r="K1003" i="155"/>
  <c r="K1075" i="155"/>
  <c r="K1129" i="155"/>
  <c r="K1183" i="155"/>
  <c r="K1237" i="155"/>
  <c r="K1291" i="155"/>
  <c r="K1345" i="155"/>
  <c r="K1399" i="155"/>
  <c r="K1453" i="155"/>
  <c r="K1507" i="155"/>
  <c r="K1561" i="155"/>
  <c r="K1604" i="155"/>
  <c r="K1640" i="155"/>
  <c r="K1676" i="155"/>
  <c r="K1708" i="155"/>
  <c r="K1736" i="155"/>
  <c r="K1762" i="155"/>
  <c r="K1790" i="155"/>
  <c r="K1812" i="155"/>
  <c r="K1830" i="155"/>
  <c r="K1848" i="155"/>
  <c r="K1866" i="155"/>
  <c r="K1884" i="155"/>
  <c r="K1902" i="155"/>
  <c r="K1920" i="155"/>
  <c r="K1938" i="155"/>
  <c r="K1956" i="155"/>
  <c r="K1974" i="155"/>
  <c r="K1992" i="155"/>
  <c r="K2010" i="155"/>
  <c r="K2026" i="155"/>
  <c r="K2044" i="155"/>
  <c r="K2062" i="155"/>
  <c r="K2085" i="155"/>
  <c r="K2103" i="155"/>
  <c r="K2121" i="155"/>
  <c r="K2139" i="155"/>
  <c r="K2157" i="155"/>
  <c r="K2175" i="155"/>
  <c r="K2193" i="155"/>
  <c r="K2211" i="155"/>
  <c r="K2229" i="155"/>
  <c r="K2247" i="155"/>
  <c r="K2265" i="155"/>
  <c r="K2283" i="155"/>
  <c r="K2301" i="155"/>
  <c r="K2319" i="155"/>
  <c r="K2337" i="155"/>
  <c r="K2355" i="155"/>
  <c r="K2373" i="155"/>
  <c r="K2391" i="155"/>
  <c r="K2401" i="155"/>
  <c r="K2410" i="155"/>
  <c r="K2419" i="155"/>
  <c r="K2428" i="155"/>
  <c r="K2437" i="155"/>
  <c r="K2446" i="155"/>
  <c r="K2455" i="155"/>
  <c r="K2464" i="155"/>
  <c r="K2473" i="155"/>
  <c r="K2482" i="155"/>
  <c r="K2491" i="155"/>
  <c r="K2500" i="155"/>
  <c r="K2509" i="155"/>
  <c r="K2517" i="155"/>
  <c r="K2524" i="155"/>
  <c r="K2531" i="155"/>
  <c r="K2538" i="155"/>
  <c r="K2545" i="155"/>
  <c r="K2553" i="155"/>
  <c r="K2560" i="155"/>
  <c r="K2567" i="155"/>
  <c r="K2574" i="155"/>
  <c r="K2581" i="155"/>
  <c r="K2589" i="155"/>
  <c r="K2596" i="155"/>
  <c r="K2603" i="155"/>
  <c r="K2610" i="155"/>
  <c r="K2617" i="155"/>
  <c r="K2625" i="155"/>
  <c r="K2632" i="155"/>
  <c r="K2639" i="155"/>
  <c r="K2646" i="155"/>
  <c r="K2653" i="155"/>
  <c r="K2661" i="155"/>
  <c r="K2668" i="155"/>
  <c r="K2675" i="155"/>
  <c r="K2682" i="155"/>
  <c r="K2689" i="155"/>
  <c r="K2696" i="155"/>
  <c r="K2702" i="155"/>
  <c r="K2708" i="155"/>
  <c r="K2714" i="155"/>
  <c r="K2720" i="155"/>
  <c r="K2726" i="155"/>
  <c r="K2732" i="155"/>
  <c r="K2738" i="155"/>
  <c r="K2744" i="155"/>
  <c r="K2750" i="155"/>
  <c r="K2756" i="155"/>
  <c r="K2762" i="155"/>
  <c r="K2768" i="155"/>
  <c r="K2774" i="155"/>
  <c r="K2781" i="155"/>
  <c r="K2787" i="155"/>
  <c r="K2793" i="155"/>
  <c r="K2799" i="155"/>
  <c r="K2805" i="155"/>
  <c r="K2812" i="155"/>
  <c r="K2824" i="155"/>
  <c r="K2821" i="155"/>
  <c r="K2727" i="155"/>
  <c r="K2745" i="155"/>
  <c r="K2757" i="155"/>
  <c r="K2763" i="155"/>
  <c r="K2775" i="155"/>
  <c r="K2782" i="155"/>
  <c r="K2794" i="155"/>
  <c r="K2806" i="155"/>
  <c r="K2814" i="155"/>
  <c r="K2823" i="155"/>
  <c r="K2593" i="155"/>
  <c r="K2680" i="155"/>
  <c r="K2706" i="155"/>
  <c r="K2736" i="155"/>
  <c r="K2754" i="155"/>
  <c r="K2779" i="155"/>
  <c r="K2803" i="155"/>
  <c r="K2827" i="155"/>
  <c r="K667" i="155"/>
  <c r="K1328" i="155"/>
  <c r="K1544" i="155"/>
  <c r="K1701" i="155"/>
  <c r="K1807" i="155"/>
  <c r="K1879" i="155"/>
  <c r="K1951" i="155"/>
  <c r="K1987" i="155"/>
  <c r="K2057" i="155"/>
  <c r="K2134" i="155"/>
  <c r="K2206" i="155"/>
  <c r="K2278" i="155"/>
  <c r="K2332" i="155"/>
  <c r="K2409" i="155"/>
  <c r="K2445" i="155"/>
  <c r="K2481" i="155"/>
  <c r="K2515" i="155"/>
  <c r="K2544" i="155"/>
  <c r="K2573" i="155"/>
  <c r="K2602" i="155"/>
  <c r="K2623" i="155"/>
  <c r="K2652" i="155"/>
  <c r="K2681" i="155"/>
  <c r="K2707" i="155"/>
  <c r="K2731" i="155"/>
  <c r="K2761" i="155"/>
  <c r="K2792" i="155"/>
  <c r="K2822" i="155"/>
  <c r="M2421" i="155"/>
  <c r="K185" i="155"/>
  <c r="K397" i="155"/>
  <c r="K559" i="155"/>
  <c r="K721" i="155"/>
  <c r="K883" i="155"/>
  <c r="K1005" i="155"/>
  <c r="K1076" i="155"/>
  <c r="K1130" i="155"/>
  <c r="K1184" i="155"/>
  <c r="K1238" i="155"/>
  <c r="K1292" i="155"/>
  <c r="K1346" i="155"/>
  <c r="K1400" i="155"/>
  <c r="K1454" i="155"/>
  <c r="K1508" i="155"/>
  <c r="K1562" i="155"/>
  <c r="K1606" i="155"/>
  <c r="K1642" i="155"/>
  <c r="K1678" i="155"/>
  <c r="K1711" i="155"/>
  <c r="K1737" i="155"/>
  <c r="K1765" i="155"/>
  <c r="K1791" i="155"/>
  <c r="K1813" i="155"/>
  <c r="K1831" i="155"/>
  <c r="K1849" i="155"/>
  <c r="K1867" i="155"/>
  <c r="K1885" i="155"/>
  <c r="K1903" i="155"/>
  <c r="K1921" i="155"/>
  <c r="K1939" i="155"/>
  <c r="K1957" i="155"/>
  <c r="K1975" i="155"/>
  <c r="K1993" i="155"/>
  <c r="K2011" i="155"/>
  <c r="K2027" i="155"/>
  <c r="K2045" i="155"/>
  <c r="K2063" i="155"/>
  <c r="K2086" i="155"/>
  <c r="K2104" i="155"/>
  <c r="K2122" i="155"/>
  <c r="K2140" i="155"/>
  <c r="K2158" i="155"/>
  <c r="K2176" i="155"/>
  <c r="K2194" i="155"/>
  <c r="K2212" i="155"/>
  <c r="K2230" i="155"/>
  <c r="K2248" i="155"/>
  <c r="K2266" i="155"/>
  <c r="K2284" i="155"/>
  <c r="K2302" i="155"/>
  <c r="K2320" i="155"/>
  <c r="K2338" i="155"/>
  <c r="K2356" i="155"/>
  <c r="K2374" i="155"/>
  <c r="K2392" i="155"/>
  <c r="K2403" i="155"/>
  <c r="K2412" i="155"/>
  <c r="K2421" i="155"/>
  <c r="K2430" i="155"/>
  <c r="K2439" i="155"/>
  <c r="K2448" i="155"/>
  <c r="K2457" i="155"/>
  <c r="K2466" i="155"/>
  <c r="K2475" i="155"/>
  <c r="K2484" i="155"/>
  <c r="K2493" i="155"/>
  <c r="K2502" i="155"/>
  <c r="K2511" i="155"/>
  <c r="K2518" i="155"/>
  <c r="K2525" i="155"/>
  <c r="K2532" i="155"/>
  <c r="K2539" i="155"/>
  <c r="K2547" i="155"/>
  <c r="K2554" i="155"/>
  <c r="K2561" i="155"/>
  <c r="K2568" i="155"/>
  <c r="K2575" i="155"/>
  <c r="K2583" i="155"/>
  <c r="K2590" i="155"/>
  <c r="K2597" i="155"/>
  <c r="K2604" i="155"/>
  <c r="K2611" i="155"/>
  <c r="K2619" i="155"/>
  <c r="K2626" i="155"/>
  <c r="K2633" i="155"/>
  <c r="K2640" i="155"/>
  <c r="K2647" i="155"/>
  <c r="K2655" i="155"/>
  <c r="K2662" i="155"/>
  <c r="K2669" i="155"/>
  <c r="K2676" i="155"/>
  <c r="K2683" i="155"/>
  <c r="K2691" i="155"/>
  <c r="K2697" i="155"/>
  <c r="K2703" i="155"/>
  <c r="K2709" i="155"/>
  <c r="K2715" i="155"/>
  <c r="K2721" i="155"/>
  <c r="K2733" i="155"/>
  <c r="K2739" i="155"/>
  <c r="K2751" i="155"/>
  <c r="K2769" i="155"/>
  <c r="K2776" i="155"/>
  <c r="K2788" i="155"/>
  <c r="K2800" i="155"/>
  <c r="K2811" i="155"/>
  <c r="K2615" i="155"/>
  <c r="K2651" i="155"/>
  <c r="K2673" i="155"/>
  <c r="K2700" i="155"/>
  <c r="K2712" i="155"/>
  <c r="K2730" i="155"/>
  <c r="K2760" i="155"/>
  <c r="K2791" i="155"/>
  <c r="K2809" i="155"/>
  <c r="K76" i="155"/>
  <c r="K1220" i="155"/>
  <c r="K1490" i="155"/>
  <c r="K1666" i="155"/>
  <c r="K1783" i="155"/>
  <c r="K1861" i="155"/>
  <c r="K1915" i="155"/>
  <c r="K2023" i="155"/>
  <c r="K2098" i="155"/>
  <c r="K2188" i="155"/>
  <c r="K2260" i="155"/>
  <c r="K2350" i="155"/>
  <c r="K2400" i="155"/>
  <c r="K2436" i="155"/>
  <c r="K2472" i="155"/>
  <c r="K2499" i="155"/>
  <c r="K2530" i="155"/>
  <c r="K2559" i="155"/>
  <c r="K2587" i="155"/>
  <c r="K2616" i="155"/>
  <c r="K2638" i="155"/>
  <c r="K2659" i="155"/>
  <c r="K2688" i="155"/>
  <c r="K2713" i="155"/>
  <c r="K2737" i="155"/>
  <c r="K2767" i="155"/>
  <c r="K2786" i="155"/>
  <c r="K2810" i="155"/>
  <c r="M2739" i="155"/>
  <c r="K288" i="155"/>
  <c r="K450" i="155"/>
  <c r="K612" i="155"/>
  <c r="K774" i="155"/>
  <c r="K931" i="155"/>
  <c r="K1039" i="155"/>
  <c r="K1093" i="155"/>
  <c r="K1147" i="155"/>
  <c r="K1201" i="155"/>
  <c r="K1255" i="155"/>
  <c r="K1309" i="155"/>
  <c r="K1363" i="155"/>
  <c r="K1417" i="155"/>
  <c r="K1471" i="155"/>
  <c r="K1525" i="155"/>
  <c r="K1579" i="155"/>
  <c r="K1616" i="155"/>
  <c r="K1652" i="155"/>
  <c r="K1688" i="155"/>
  <c r="K1718" i="155"/>
  <c r="K1744" i="155"/>
  <c r="K1772" i="155"/>
  <c r="K1798" i="155"/>
  <c r="K1818" i="155"/>
  <c r="K1836" i="155"/>
  <c r="K1854" i="155"/>
  <c r="K1872" i="155"/>
  <c r="K1890" i="155"/>
  <c r="K1908" i="155"/>
  <c r="K1926" i="155"/>
  <c r="K1944" i="155"/>
  <c r="K1962" i="155"/>
  <c r="K1980" i="155"/>
  <c r="K1998" i="155"/>
  <c r="K2016" i="155"/>
  <c r="K2032" i="155"/>
  <c r="K2050" i="155"/>
  <c r="K2068" i="155"/>
  <c r="K2091" i="155"/>
  <c r="K2109" i="155"/>
  <c r="K2127" i="155"/>
  <c r="K2145" i="155"/>
  <c r="K2163" i="155"/>
  <c r="K2181" i="155"/>
  <c r="K2199" i="155"/>
  <c r="K2217" i="155"/>
  <c r="K2235" i="155"/>
  <c r="K2253" i="155"/>
  <c r="K2271" i="155"/>
  <c r="K2289" i="155"/>
  <c r="K2307" i="155"/>
  <c r="K2325" i="155"/>
  <c r="K2343" i="155"/>
  <c r="K2361" i="155"/>
  <c r="K2379" i="155"/>
  <c r="K2395" i="155"/>
  <c r="K2404" i="155"/>
  <c r="K2413" i="155"/>
  <c r="K2422" i="155"/>
  <c r="K2431" i="155"/>
  <c r="K2440" i="155"/>
  <c r="K2449" i="155"/>
  <c r="K2458" i="155"/>
  <c r="K2467" i="155"/>
  <c r="K2476" i="155"/>
  <c r="K2485" i="155"/>
  <c r="K2494" i="155"/>
  <c r="K2503" i="155"/>
  <c r="K2512" i="155"/>
  <c r="K2519" i="155"/>
  <c r="K2526" i="155"/>
  <c r="K2533" i="155"/>
  <c r="K2541" i="155"/>
  <c r="K2548" i="155"/>
  <c r="K2555" i="155"/>
  <c r="K2562" i="155"/>
  <c r="K2569" i="155"/>
  <c r="K2577" i="155"/>
  <c r="K2584" i="155"/>
  <c r="K2591" i="155"/>
  <c r="K2598" i="155"/>
  <c r="K2605" i="155"/>
  <c r="K2613" i="155"/>
  <c r="K2620" i="155"/>
  <c r="K2627" i="155"/>
  <c r="K2634" i="155"/>
  <c r="K2641" i="155"/>
  <c r="K2649" i="155"/>
  <c r="K2656" i="155"/>
  <c r="K2663" i="155"/>
  <c r="K2670" i="155"/>
  <c r="K2677" i="155"/>
  <c r="K2685" i="155"/>
  <c r="K2692" i="155"/>
  <c r="K2698" i="155"/>
  <c r="K2704" i="155"/>
  <c r="K2710" i="155"/>
  <c r="K2716" i="155"/>
  <c r="K2722" i="155"/>
  <c r="K2728" i="155"/>
  <c r="K2734" i="155"/>
  <c r="K2740" i="155"/>
  <c r="K2746" i="155"/>
  <c r="K2752" i="155"/>
  <c r="K2758" i="155"/>
  <c r="K2764" i="155"/>
  <c r="K2770" i="155"/>
  <c r="K2777" i="155"/>
  <c r="K2783" i="155"/>
  <c r="K2789" i="155"/>
  <c r="K2795" i="155"/>
  <c r="K2801" i="155"/>
  <c r="K2807" i="155"/>
  <c r="K2816" i="155"/>
  <c r="K2813" i="155"/>
  <c r="K2825" i="155"/>
  <c r="M6" i="155"/>
  <c r="G13" i="156" s="1"/>
  <c r="K342" i="155"/>
  <c r="K666" i="155"/>
  <c r="K967" i="155"/>
  <c r="K1111" i="155"/>
  <c r="K1219" i="155"/>
  <c r="K1273" i="155"/>
  <c r="K1381" i="155"/>
  <c r="K1489" i="155"/>
  <c r="K1592" i="155"/>
  <c r="K1664" i="155"/>
  <c r="K1726" i="155"/>
  <c r="K1780" i="155"/>
  <c r="K1824" i="155"/>
  <c r="K1860" i="155"/>
  <c r="K1896" i="155"/>
  <c r="K1932" i="155"/>
  <c r="K1968" i="155"/>
  <c r="K2004" i="155"/>
  <c r="K2038" i="155"/>
  <c r="K2079" i="155"/>
  <c r="K2115" i="155"/>
  <c r="K2151" i="155"/>
  <c r="K2187" i="155"/>
  <c r="K2223" i="155"/>
  <c r="K2259" i="155"/>
  <c r="K2295" i="155"/>
  <c r="K2349" i="155"/>
  <c r="K2385" i="155"/>
  <c r="K2407" i="155"/>
  <c r="K2425" i="155"/>
  <c r="K2443" i="155"/>
  <c r="K2461" i="155"/>
  <c r="K2479" i="155"/>
  <c r="K2497" i="155"/>
  <c r="K2514" i="155"/>
  <c r="K2536" i="155"/>
  <c r="K2550" i="155"/>
  <c r="K2565" i="155"/>
  <c r="K2579" i="155"/>
  <c r="K2608" i="155"/>
  <c r="K2629" i="155"/>
  <c r="K2637" i="155"/>
  <c r="K2658" i="155"/>
  <c r="K2687" i="155"/>
  <c r="K2718" i="155"/>
  <c r="K2742" i="155"/>
  <c r="K2766" i="155"/>
  <c r="K2797" i="155"/>
  <c r="K2817" i="155"/>
  <c r="K505" i="155"/>
  <c r="K829" i="155"/>
  <c r="K1058" i="155"/>
  <c r="K1166" i="155"/>
  <c r="K1382" i="155"/>
  <c r="K1594" i="155"/>
  <c r="K1729" i="155"/>
  <c r="K1825" i="155"/>
  <c r="K1897" i="155"/>
  <c r="K2005" i="155"/>
  <c r="K2080" i="155"/>
  <c r="K2152" i="155"/>
  <c r="K2242" i="155"/>
  <c r="K2314" i="155"/>
  <c r="K2386" i="155"/>
  <c r="K2427" i="155"/>
  <c r="K2463" i="155"/>
  <c r="K2508" i="155"/>
  <c r="K2537" i="155"/>
  <c r="K2566" i="155"/>
  <c r="K2595" i="155"/>
  <c r="K2631" i="155"/>
  <c r="K2667" i="155"/>
  <c r="K2695" i="155"/>
  <c r="K2719" i="155"/>
  <c r="K2749" i="155"/>
  <c r="K2773" i="155"/>
  <c r="K2780" i="155"/>
  <c r="K2804" i="155"/>
  <c r="K2828" i="155"/>
  <c r="M2745" i="155"/>
  <c r="K289" i="155"/>
  <c r="K451" i="155"/>
  <c r="K613" i="155"/>
  <c r="K775" i="155"/>
  <c r="K933" i="155"/>
  <c r="K1040" i="155"/>
  <c r="K1094" i="155"/>
  <c r="K1148" i="155"/>
  <c r="K1202" i="155"/>
  <c r="K1256" i="155"/>
  <c r="K1310" i="155"/>
  <c r="K1364" i="155"/>
  <c r="K1418" i="155"/>
  <c r="K1472" i="155"/>
  <c r="K1526" i="155"/>
  <c r="K1580" i="155"/>
  <c r="K1618" i="155"/>
  <c r="K1654" i="155"/>
  <c r="K1690" i="155"/>
  <c r="K1719" i="155"/>
  <c r="K1747" i="155"/>
  <c r="K1773" i="155"/>
  <c r="K1801" i="155"/>
  <c r="K1819" i="155"/>
  <c r="K1837" i="155"/>
  <c r="K1855" i="155"/>
  <c r="K1873" i="155"/>
  <c r="K1891" i="155"/>
  <c r="K1909" i="155"/>
  <c r="K1927" i="155"/>
  <c r="K1945" i="155"/>
  <c r="K1963" i="155"/>
  <c r="K1981" i="155"/>
  <c r="K1999" i="155"/>
  <c r="K2017" i="155"/>
  <c r="K2033" i="155"/>
  <c r="K2051" i="155"/>
  <c r="K2069" i="155"/>
  <c r="K2092" i="155"/>
  <c r="K2110" i="155"/>
  <c r="K2128" i="155"/>
  <c r="K2146" i="155"/>
  <c r="K2164" i="155"/>
  <c r="K2182" i="155"/>
  <c r="K2200" i="155"/>
  <c r="K2218" i="155"/>
  <c r="K2236" i="155"/>
  <c r="K2254" i="155"/>
  <c r="K2272" i="155"/>
  <c r="K2290" i="155"/>
  <c r="K2308" i="155"/>
  <c r="K2326" i="155"/>
  <c r="K2344" i="155"/>
  <c r="K2362" i="155"/>
  <c r="K2380" i="155"/>
  <c r="K2397" i="155"/>
  <c r="K2406" i="155"/>
  <c r="K2415" i="155"/>
  <c r="K2424" i="155"/>
  <c r="K2433" i="155"/>
  <c r="K2442" i="155"/>
  <c r="K2451" i="155"/>
  <c r="K2460" i="155"/>
  <c r="K2469" i="155"/>
  <c r="K2478" i="155"/>
  <c r="K2487" i="155"/>
  <c r="K2496" i="155"/>
  <c r="K2505" i="155"/>
  <c r="K2513" i="155"/>
  <c r="K2520" i="155"/>
  <c r="K2527" i="155"/>
  <c r="K2535" i="155"/>
  <c r="K2542" i="155"/>
  <c r="K2549" i="155"/>
  <c r="K2556" i="155"/>
  <c r="K2563" i="155"/>
  <c r="K2571" i="155"/>
  <c r="K2578" i="155"/>
  <c r="K2585" i="155"/>
  <c r="K2592" i="155"/>
  <c r="K2599" i="155"/>
  <c r="K2607" i="155"/>
  <c r="K2614" i="155"/>
  <c r="K2621" i="155"/>
  <c r="K2628" i="155"/>
  <c r="K2635" i="155"/>
  <c r="K2643" i="155"/>
  <c r="K2650" i="155"/>
  <c r="K2657" i="155"/>
  <c r="K2664" i="155"/>
  <c r="K2671" i="155"/>
  <c r="K2679" i="155"/>
  <c r="K2686" i="155"/>
  <c r="K2693" i="155"/>
  <c r="K2699" i="155"/>
  <c r="K2705" i="155"/>
  <c r="K2711" i="155"/>
  <c r="K2717" i="155"/>
  <c r="K2723" i="155"/>
  <c r="K2729" i="155"/>
  <c r="K2735" i="155"/>
  <c r="K2741" i="155"/>
  <c r="K2747" i="155"/>
  <c r="K2753" i="155"/>
  <c r="K2759" i="155"/>
  <c r="K2765" i="155"/>
  <c r="K2771" i="155"/>
  <c r="K2778" i="155"/>
  <c r="K2784" i="155"/>
  <c r="K2790" i="155"/>
  <c r="K2796" i="155"/>
  <c r="K2802" i="155"/>
  <c r="K2808" i="155"/>
  <c r="K2818" i="155"/>
  <c r="K2815" i="155"/>
  <c r="K2826" i="155"/>
  <c r="K6" i="155"/>
  <c r="K75" i="155"/>
  <c r="K504" i="155"/>
  <c r="K828" i="155"/>
  <c r="K1057" i="155"/>
  <c r="K1165" i="155"/>
  <c r="K1327" i="155"/>
  <c r="K1435" i="155"/>
  <c r="K1543" i="155"/>
  <c r="K1628" i="155"/>
  <c r="K1700" i="155"/>
  <c r="K1754" i="155"/>
  <c r="K1806" i="155"/>
  <c r="K1842" i="155"/>
  <c r="K1878" i="155"/>
  <c r="K1914" i="155"/>
  <c r="K1950" i="155"/>
  <c r="K1986" i="155"/>
  <c r="K2022" i="155"/>
  <c r="K2056" i="155"/>
  <c r="K2097" i="155"/>
  <c r="K2133" i="155"/>
  <c r="K2169" i="155"/>
  <c r="K2205" i="155"/>
  <c r="K2241" i="155"/>
  <c r="K2277" i="155"/>
  <c r="K2313" i="155"/>
  <c r="K2331" i="155"/>
  <c r="K2367" i="155"/>
  <c r="K2398" i="155"/>
  <c r="K2416" i="155"/>
  <c r="K2434" i="155"/>
  <c r="K2452" i="155"/>
  <c r="K2470" i="155"/>
  <c r="K2488" i="155"/>
  <c r="K2506" i="155"/>
  <c r="K2521" i="155"/>
  <c r="K2529" i="155"/>
  <c r="K2543" i="155"/>
  <c r="K2557" i="155"/>
  <c r="K2572" i="155"/>
  <c r="K2586" i="155"/>
  <c r="K2601" i="155"/>
  <c r="K2622" i="155"/>
  <c r="K2644" i="155"/>
  <c r="K2665" i="155"/>
  <c r="K2694" i="155"/>
  <c r="K2724" i="155"/>
  <c r="K2748" i="155"/>
  <c r="K2772" i="155"/>
  <c r="K2785" i="155"/>
  <c r="K2820" i="155"/>
  <c r="K343" i="155"/>
  <c r="K969" i="155"/>
  <c r="K1112" i="155"/>
  <c r="K1274" i="155"/>
  <c r="K1436" i="155"/>
  <c r="K1630" i="155"/>
  <c r="K1755" i="155"/>
  <c r="K1843" i="155"/>
  <c r="K1933" i="155"/>
  <c r="K1969" i="155"/>
  <c r="K2039" i="155"/>
  <c r="K2116" i="155"/>
  <c r="K2170" i="155"/>
  <c r="K2224" i="155"/>
  <c r="K2296" i="155"/>
  <c r="K2368" i="155"/>
  <c r="K2418" i="155"/>
  <c r="K2454" i="155"/>
  <c r="K2490" i="155"/>
  <c r="K2523" i="155"/>
  <c r="K2551" i="155"/>
  <c r="K2580" i="155"/>
  <c r="K2609" i="155"/>
  <c r="K2645" i="155"/>
  <c r="K2674" i="155"/>
  <c r="K2701" i="155"/>
  <c r="K2725" i="155"/>
  <c r="K2743" i="155"/>
  <c r="K2755" i="155"/>
  <c r="K2798" i="155"/>
  <c r="K2819" i="155"/>
  <c r="J2819" i="155"/>
  <c r="J2811" i="155"/>
  <c r="J2812" i="155"/>
  <c r="J2804" i="155"/>
  <c r="J2800" i="155"/>
  <c r="J2793" i="155"/>
  <c r="J2786" i="155"/>
  <c r="J2782" i="155"/>
  <c r="J2773" i="155"/>
  <c r="J2769" i="155"/>
  <c r="J2762" i="155"/>
  <c r="J2755" i="155"/>
  <c r="J2751" i="155"/>
  <c r="J2744" i="155"/>
  <c r="J2737" i="155"/>
  <c r="J2733" i="155"/>
  <c r="J2726" i="155"/>
  <c r="J2719" i="155"/>
  <c r="J2715" i="155"/>
  <c r="J2708" i="155"/>
  <c r="J2701" i="155"/>
  <c r="J2697" i="155"/>
  <c r="J2690" i="155"/>
  <c r="J2683" i="155"/>
  <c r="J2679" i="155"/>
  <c r="J2672" i="155"/>
  <c r="J2665" i="155"/>
  <c r="J2661" i="155"/>
  <c r="J2654" i="155"/>
  <c r="J2647" i="155"/>
  <c r="J2643" i="155"/>
  <c r="J2636" i="155"/>
  <c r="J2629" i="155"/>
  <c r="J2625" i="155"/>
  <c r="J2618" i="155"/>
  <c r="J2611" i="155"/>
  <c r="J2607" i="155"/>
  <c r="J2600" i="155"/>
  <c r="J2593" i="155"/>
  <c r="J2589" i="155"/>
  <c r="J2586" i="155"/>
  <c r="J2583" i="155"/>
  <c r="J2580" i="155"/>
  <c r="J2577" i="155"/>
  <c r="J2574" i="155"/>
  <c r="J2571" i="155"/>
  <c r="J2568" i="155"/>
  <c r="J2565" i="155"/>
  <c r="J2562" i="155"/>
  <c r="J2559" i="155"/>
  <c r="J2556" i="155"/>
  <c r="J2553" i="155"/>
  <c r="J2550" i="155"/>
  <c r="J2547" i="155"/>
  <c r="J2544" i="155"/>
  <c r="J2827" i="155"/>
  <c r="J2821" i="155"/>
  <c r="J2813" i="155"/>
  <c r="J2818" i="155"/>
  <c r="J2810" i="155"/>
  <c r="J2797" i="155"/>
  <c r="J2788" i="155"/>
  <c r="J2784" i="155"/>
  <c r="J2780" i="155"/>
  <c r="J2763" i="155"/>
  <c r="J2759" i="155"/>
  <c r="J2754" i="155"/>
  <c r="J2750" i="155"/>
  <c r="J2746" i="155"/>
  <c r="J2724" i="155"/>
  <c r="J2720" i="155"/>
  <c r="J2716" i="155"/>
  <c r="J2711" i="155"/>
  <c r="J2707" i="155"/>
  <c r="J2694" i="155"/>
  <c r="J2685" i="155"/>
  <c r="J2681" i="155"/>
  <c r="J2677" i="155"/>
  <c r="J2668" i="155"/>
  <c r="J2655" i="155"/>
  <c r="J2651" i="155"/>
  <c r="J2646" i="155"/>
  <c r="J2642" i="155"/>
  <c r="J2638" i="155"/>
  <c r="J2616" i="155"/>
  <c r="J2612" i="155"/>
  <c r="J2608" i="155"/>
  <c r="J2603" i="155"/>
  <c r="J2599" i="155"/>
  <c r="J2579" i="155"/>
  <c r="J2572" i="155"/>
  <c r="J2561" i="155"/>
  <c r="J2554" i="155"/>
  <c r="J2543" i="155"/>
  <c r="J2540" i="155"/>
  <c r="J2537" i="155"/>
  <c r="J2534" i="155"/>
  <c r="J2531" i="155"/>
  <c r="J2528" i="155"/>
  <c r="J2525" i="155"/>
  <c r="J2522" i="155"/>
  <c r="J2519" i="155"/>
  <c r="J2516" i="155"/>
  <c r="J2513" i="155"/>
  <c r="J2510" i="155"/>
  <c r="J2507" i="155"/>
  <c r="J2504" i="155"/>
  <c r="J2501" i="155"/>
  <c r="J2809" i="155"/>
  <c r="J2805" i="155"/>
  <c r="J2801" i="155"/>
  <c r="J2796" i="155"/>
  <c r="J2792" i="155"/>
  <c r="J2779" i="155"/>
  <c r="J2775" i="155"/>
  <c r="J2771" i="155"/>
  <c r="J2767" i="155"/>
  <c r="J2758" i="155"/>
  <c r="J2826" i="155"/>
  <c r="J2817" i="155"/>
  <c r="J2824" i="155"/>
  <c r="J2816" i="155"/>
  <c r="J2791" i="155"/>
  <c r="J2787" i="155"/>
  <c r="J2783" i="155"/>
  <c r="J2778" i="155"/>
  <c r="J2766" i="155"/>
  <c r="J2757" i="155"/>
  <c r="J2753" i="155"/>
  <c r="J2749" i="155"/>
  <c r="J2823" i="155"/>
  <c r="J2815" i="155"/>
  <c r="J2822" i="155"/>
  <c r="J2807" i="155"/>
  <c r="J2794" i="155"/>
  <c r="J2790" i="155"/>
  <c r="J2785" i="155"/>
  <c r="J2781" i="155"/>
  <c r="J2777" i="155"/>
  <c r="J2760" i="155"/>
  <c r="J2756" i="155"/>
  <c r="J2752" i="155"/>
  <c r="J2747" i="155"/>
  <c r="J2828" i="155"/>
  <c r="J2820" i="155"/>
  <c r="J2806" i="155"/>
  <c r="J2802" i="155"/>
  <c r="J2798" i="155"/>
  <c r="J2789" i="155"/>
  <c r="J2776" i="155"/>
  <c r="J2772" i="155"/>
  <c r="J2768" i="155"/>
  <c r="J2764" i="155"/>
  <c r="J2742" i="155"/>
  <c r="J2738" i="155"/>
  <c r="J2734" i="155"/>
  <c r="J2729" i="155"/>
  <c r="J2725" i="155"/>
  <c r="J2712" i="155"/>
  <c r="J2703" i="155"/>
  <c r="J2699" i="155"/>
  <c r="J2695" i="155"/>
  <c r="J2686" i="155"/>
  <c r="J2673" i="155"/>
  <c r="J2669" i="155"/>
  <c r="J2664" i="155"/>
  <c r="J2660" i="155"/>
  <c r="J2656" i="155"/>
  <c r="J2634" i="155"/>
  <c r="J2630" i="155"/>
  <c r="J2626" i="155"/>
  <c r="J2621" i="155"/>
  <c r="J2617" i="155"/>
  <c r="J2604" i="155"/>
  <c r="J2595" i="155"/>
  <c r="J2591" i="155"/>
  <c r="J2587" i="155"/>
  <c r="J2576" i="155"/>
  <c r="J2569" i="155"/>
  <c r="J2558" i="155"/>
  <c r="J2551" i="155"/>
  <c r="J2770" i="155"/>
  <c r="J2748" i="155"/>
  <c r="J2740" i="155"/>
  <c r="J2727" i="155"/>
  <c r="J2721" i="155"/>
  <c r="J2714" i="155"/>
  <c r="J2688" i="155"/>
  <c r="J2682" i="155"/>
  <c r="J2675" i="155"/>
  <c r="J2649" i="155"/>
  <c r="J2644" i="155"/>
  <c r="J2610" i="155"/>
  <c r="J2605" i="155"/>
  <c r="J2585" i="155"/>
  <c r="J2548" i="155"/>
  <c r="J2542" i="155"/>
  <c r="J2538" i="155"/>
  <c r="J2533" i="155"/>
  <c r="J2529" i="155"/>
  <c r="J2524" i="155"/>
  <c r="J2520" i="155"/>
  <c r="J2515" i="155"/>
  <c r="J2511" i="155"/>
  <c r="J2506" i="155"/>
  <c r="J2502" i="155"/>
  <c r="J2494" i="155"/>
  <c r="J2487" i="155"/>
  <c r="J2484" i="155"/>
  <c r="J2481" i="155"/>
  <c r="J2478" i="155"/>
  <c r="J2475" i="155"/>
  <c r="J2472" i="155"/>
  <c r="J2469" i="155"/>
  <c r="J2466" i="155"/>
  <c r="J2463" i="155"/>
  <c r="J2460" i="155"/>
  <c r="J2457" i="155"/>
  <c r="J2454" i="155"/>
  <c r="J2451" i="155"/>
  <c r="J2448" i="155"/>
  <c r="J2445" i="155"/>
  <c r="J2442" i="155"/>
  <c r="J2439" i="155"/>
  <c r="J2436" i="155"/>
  <c r="J2433" i="155"/>
  <c r="J2430" i="155"/>
  <c r="J2427" i="155"/>
  <c r="J2424" i="155"/>
  <c r="J2421" i="155"/>
  <c r="J2418" i="155"/>
  <c r="J2415" i="155"/>
  <c r="J2412" i="155"/>
  <c r="J2409" i="155"/>
  <c r="J2406" i="155"/>
  <c r="J2403" i="155"/>
  <c r="J2400" i="155"/>
  <c r="J2397" i="155"/>
  <c r="J2814" i="155"/>
  <c r="J2765" i="155"/>
  <c r="J2745" i="155"/>
  <c r="J2739" i="155"/>
  <c r="J2732" i="155"/>
  <c r="J2706" i="155"/>
  <c r="J2700" i="155"/>
  <c r="J2693" i="155"/>
  <c r="J2667" i="155"/>
  <c r="J2662" i="155"/>
  <c r="J2628" i="155"/>
  <c r="J2623" i="155"/>
  <c r="J2597" i="155"/>
  <c r="J2590" i="155"/>
  <c r="J2563" i="155"/>
  <c r="J2557" i="155"/>
  <c r="J2552" i="155"/>
  <c r="J2546" i="155"/>
  <c r="J2497" i="155"/>
  <c r="J2490" i="155"/>
  <c r="J2808" i="155"/>
  <c r="J2761" i="155"/>
  <c r="J2718" i="155"/>
  <c r="J2713" i="155"/>
  <c r="J2687" i="155"/>
  <c r="J2680" i="155"/>
  <c r="J2674" i="155"/>
  <c r="J2648" i="155"/>
  <c r="J2641" i="155"/>
  <c r="J2635" i="155"/>
  <c r="J2622" i="155"/>
  <c r="J2615" i="155"/>
  <c r="J2609" i="155"/>
  <c r="J2602" i="155"/>
  <c r="J2596" i="155"/>
  <c r="J2584" i="155"/>
  <c r="J2578" i="155"/>
  <c r="J2573" i="155"/>
  <c r="J2567" i="155"/>
  <c r="J2541" i="155"/>
  <c r="J2536" i="155"/>
  <c r="J2532" i="155"/>
  <c r="J2527" i="155"/>
  <c r="J2523" i="155"/>
  <c r="J2518" i="155"/>
  <c r="J2514" i="155"/>
  <c r="J2509" i="155"/>
  <c r="J2505" i="155"/>
  <c r="J2500" i="155"/>
  <c r="J2493" i="155"/>
  <c r="J2803" i="155"/>
  <c r="J2736" i="155"/>
  <c r="J2731" i="155"/>
  <c r="J2705" i="155"/>
  <c r="J2698" i="155"/>
  <c r="J2692" i="155"/>
  <c r="J2666" i="155"/>
  <c r="J2659" i="155"/>
  <c r="J2653" i="155"/>
  <c r="J2640" i="155"/>
  <c r="J2633" i="155"/>
  <c r="J2627" i="155"/>
  <c r="J2620" i="155"/>
  <c r="J2614" i="155"/>
  <c r="J2601" i="155"/>
  <c r="J2594" i="155"/>
  <c r="J2588" i="155"/>
  <c r="J2582" i="155"/>
  <c r="J2545" i="155"/>
  <c r="J2496" i="155"/>
  <c r="J2492" i="155"/>
  <c r="J2825" i="155"/>
  <c r="J2799" i="155"/>
  <c r="J2743" i="155"/>
  <c r="J2730" i="155"/>
  <c r="J2723" i="155"/>
  <c r="J2717" i="155"/>
  <c r="J2710" i="155"/>
  <c r="J2704" i="155"/>
  <c r="J2691" i="155"/>
  <c r="J2684" i="155"/>
  <c r="J2678" i="155"/>
  <c r="J2671" i="155"/>
  <c r="J2658" i="155"/>
  <c r="J2652" i="155"/>
  <c r="J2645" i="155"/>
  <c r="J2639" i="155"/>
  <c r="J2632" i="155"/>
  <c r="J2619" i="155"/>
  <c r="J2613" i="155"/>
  <c r="J2606" i="155"/>
  <c r="J2566" i="155"/>
  <c r="J2560" i="155"/>
  <c r="J2555" i="155"/>
  <c r="J2549" i="155"/>
  <c r="J2539" i="155"/>
  <c r="J2535" i="155"/>
  <c r="J2530" i="155"/>
  <c r="J2526" i="155"/>
  <c r="J2521" i="155"/>
  <c r="J2517" i="155"/>
  <c r="J2512" i="155"/>
  <c r="J2508" i="155"/>
  <c r="J2503" i="155"/>
  <c r="J2499" i="155"/>
  <c r="J2795" i="155"/>
  <c r="J2774" i="155"/>
  <c r="J2741" i="155"/>
  <c r="J2735" i="155"/>
  <c r="J2728" i="155"/>
  <c r="J2722" i="155"/>
  <c r="J2709" i="155"/>
  <c r="J2702" i="155"/>
  <c r="J2696" i="155"/>
  <c r="J2689" i="155"/>
  <c r="J2676" i="155"/>
  <c r="J2670" i="155"/>
  <c r="J2663" i="155"/>
  <c r="J2657" i="155"/>
  <c r="J2650" i="155"/>
  <c r="J2637" i="155"/>
  <c r="J2631" i="155"/>
  <c r="J2624" i="155"/>
  <c r="J2598" i="155"/>
  <c r="J2592" i="155"/>
  <c r="J2581" i="155"/>
  <c r="J2575" i="155"/>
  <c r="J2570" i="155"/>
  <c r="J2564" i="155"/>
  <c r="J2498" i="155"/>
  <c r="J2491" i="155"/>
  <c r="J2489" i="155"/>
  <c r="J2483" i="155"/>
  <c r="J2477" i="155"/>
  <c r="J2471" i="155"/>
  <c r="J2465" i="155"/>
  <c r="J2459" i="155"/>
  <c r="J2453" i="155"/>
  <c r="J2447" i="155"/>
  <c r="J2441" i="155"/>
  <c r="J2435" i="155"/>
  <c r="J2429" i="155"/>
  <c r="J2423" i="155"/>
  <c r="J2417" i="155"/>
  <c r="J2411" i="155"/>
  <c r="J2405" i="155"/>
  <c r="J2399" i="155"/>
  <c r="J2386" i="155"/>
  <c r="J2382" i="155"/>
  <c r="J2375" i="155"/>
  <c r="J2368" i="155"/>
  <c r="J2364" i="155"/>
  <c r="J2357" i="155"/>
  <c r="J2350" i="155"/>
  <c r="J2346" i="155"/>
  <c r="J2339" i="155"/>
  <c r="J2332" i="155"/>
  <c r="J2328" i="155"/>
  <c r="J2321" i="155"/>
  <c r="J2314" i="155"/>
  <c r="J2310" i="155"/>
  <c r="J2303" i="155"/>
  <c r="J2296" i="155"/>
  <c r="J2292" i="155"/>
  <c r="J2285" i="155"/>
  <c r="J2278" i="155"/>
  <c r="J2274" i="155"/>
  <c r="J2267" i="155"/>
  <c r="J2260" i="155"/>
  <c r="J2256" i="155"/>
  <c r="J2249" i="155"/>
  <c r="J2242" i="155"/>
  <c r="J2238" i="155"/>
  <c r="J2231" i="155"/>
  <c r="J2224" i="155"/>
  <c r="J2220" i="155"/>
  <c r="J2213" i="155"/>
  <c r="J2206" i="155"/>
  <c r="J2202" i="155"/>
  <c r="J2195" i="155"/>
  <c r="J2188" i="155"/>
  <c r="J2184" i="155"/>
  <c r="J2177" i="155"/>
  <c r="J2170" i="155"/>
  <c r="J2166" i="155"/>
  <c r="J2159" i="155"/>
  <c r="J2152" i="155"/>
  <c r="J2148" i="155"/>
  <c r="J2141" i="155"/>
  <c r="J2134" i="155"/>
  <c r="J2130" i="155"/>
  <c r="J2488" i="155"/>
  <c r="J2482" i="155"/>
  <c r="J2476" i="155"/>
  <c r="J2470" i="155"/>
  <c r="J2464" i="155"/>
  <c r="J2458" i="155"/>
  <c r="J2452" i="155"/>
  <c r="J2446" i="155"/>
  <c r="J2440" i="155"/>
  <c r="J2434" i="155"/>
  <c r="J2428" i="155"/>
  <c r="J2422" i="155"/>
  <c r="J2416" i="155"/>
  <c r="J2410" i="155"/>
  <c r="J2404" i="155"/>
  <c r="J2398" i="155"/>
  <c r="J2393" i="155"/>
  <c r="J2389" i="155"/>
  <c r="J2385" i="155"/>
  <c r="J2378" i="155"/>
  <c r="J2371" i="155"/>
  <c r="J2367" i="155"/>
  <c r="J2360" i="155"/>
  <c r="J2353" i="155"/>
  <c r="J2349" i="155"/>
  <c r="J2342" i="155"/>
  <c r="J2335" i="155"/>
  <c r="J2331" i="155"/>
  <c r="J2324" i="155"/>
  <c r="J2317" i="155"/>
  <c r="J2313" i="155"/>
  <c r="J2306" i="155"/>
  <c r="J2299" i="155"/>
  <c r="J2295" i="155"/>
  <c r="J2288" i="155"/>
  <c r="J2281" i="155"/>
  <c r="J2277" i="155"/>
  <c r="J2270" i="155"/>
  <c r="J2263" i="155"/>
  <c r="J2259" i="155"/>
  <c r="J2252" i="155"/>
  <c r="J2392" i="155"/>
  <c r="J2388" i="155"/>
  <c r="J2381" i="155"/>
  <c r="J2374" i="155"/>
  <c r="J2370" i="155"/>
  <c r="J2363" i="155"/>
  <c r="J2356" i="155"/>
  <c r="J2352" i="155"/>
  <c r="J2345" i="155"/>
  <c r="J2338" i="155"/>
  <c r="J2334" i="155"/>
  <c r="J2327" i="155"/>
  <c r="J2320" i="155"/>
  <c r="J2316" i="155"/>
  <c r="J2309" i="155"/>
  <c r="J2302" i="155"/>
  <c r="J2298" i="155"/>
  <c r="J2291" i="155"/>
  <c r="J2284" i="155"/>
  <c r="J2280" i="155"/>
  <c r="J2273" i="155"/>
  <c r="J2266" i="155"/>
  <c r="J2262" i="155"/>
  <c r="J2255" i="155"/>
  <c r="J2486" i="155"/>
  <c r="J2480" i="155"/>
  <c r="J2474" i="155"/>
  <c r="J2468" i="155"/>
  <c r="J2462" i="155"/>
  <c r="J2456" i="155"/>
  <c r="J2450" i="155"/>
  <c r="J2444" i="155"/>
  <c r="J2438" i="155"/>
  <c r="J2432" i="155"/>
  <c r="J2426" i="155"/>
  <c r="J2420" i="155"/>
  <c r="J2414" i="155"/>
  <c r="J2408" i="155"/>
  <c r="J2402" i="155"/>
  <c r="J2396" i="155"/>
  <c r="J2391" i="155"/>
  <c r="J2384" i="155"/>
  <c r="J2377" i="155"/>
  <c r="J2373" i="155"/>
  <c r="J2366" i="155"/>
  <c r="J2359" i="155"/>
  <c r="J2355" i="155"/>
  <c r="J2348" i="155"/>
  <c r="J2341" i="155"/>
  <c r="J2337" i="155"/>
  <c r="J2330" i="155"/>
  <c r="J2323" i="155"/>
  <c r="J2319" i="155"/>
  <c r="J2312" i="155"/>
  <c r="J2305" i="155"/>
  <c r="J2301" i="155"/>
  <c r="J2294" i="155"/>
  <c r="J2287" i="155"/>
  <c r="J2283" i="155"/>
  <c r="J2276" i="155"/>
  <c r="J2269" i="155"/>
  <c r="J2265" i="155"/>
  <c r="J2258" i="155"/>
  <c r="J2251" i="155"/>
  <c r="J2247" i="155"/>
  <c r="J2240" i="155"/>
  <c r="J2233" i="155"/>
  <c r="J2229" i="155"/>
  <c r="J2222" i="155"/>
  <c r="J2215" i="155"/>
  <c r="J2211" i="155"/>
  <c r="J2204" i="155"/>
  <c r="J2197" i="155"/>
  <c r="J2193" i="155"/>
  <c r="J2186" i="155"/>
  <c r="J2179" i="155"/>
  <c r="J2175" i="155"/>
  <c r="J2168" i="155"/>
  <c r="J2161" i="155"/>
  <c r="J2157" i="155"/>
  <c r="J2150" i="155"/>
  <c r="J2495" i="155"/>
  <c r="J2485" i="155"/>
  <c r="J2479" i="155"/>
  <c r="J2473" i="155"/>
  <c r="J2467" i="155"/>
  <c r="J2461" i="155"/>
  <c r="J2455" i="155"/>
  <c r="J2449" i="155"/>
  <c r="J2443" i="155"/>
  <c r="J2437" i="155"/>
  <c r="J2431" i="155"/>
  <c r="J2425" i="155"/>
  <c r="J2419" i="155"/>
  <c r="J2413" i="155"/>
  <c r="J2407" i="155"/>
  <c r="J2401" i="155"/>
  <c r="J2395" i="155"/>
  <c r="J2387" i="155"/>
  <c r="J2380" i="155"/>
  <c r="J2376" i="155"/>
  <c r="J2369" i="155"/>
  <c r="J2362" i="155"/>
  <c r="J2358" i="155"/>
  <c r="J2351" i="155"/>
  <c r="J2344" i="155"/>
  <c r="J2340" i="155"/>
  <c r="J2333" i="155"/>
  <c r="J2326" i="155"/>
  <c r="J2322" i="155"/>
  <c r="J2315" i="155"/>
  <c r="J2308" i="155"/>
  <c r="J2304" i="155"/>
  <c r="J2297" i="155"/>
  <c r="J2290" i="155"/>
  <c r="J2286" i="155"/>
  <c r="J2279" i="155"/>
  <c r="J2272" i="155"/>
  <c r="J2268" i="155"/>
  <c r="J2261" i="155"/>
  <c r="J2254" i="155"/>
  <c r="J2394" i="155"/>
  <c r="J2390" i="155"/>
  <c r="J2383" i="155"/>
  <c r="J2379" i="155"/>
  <c r="J2372" i="155"/>
  <c r="J2365" i="155"/>
  <c r="J2361" i="155"/>
  <c r="J2354" i="155"/>
  <c r="J2347" i="155"/>
  <c r="J2343" i="155"/>
  <c r="J2336" i="155"/>
  <c r="J2329" i="155"/>
  <c r="J2325" i="155"/>
  <c r="J2318" i="155"/>
  <c r="J2311" i="155"/>
  <c r="J2307" i="155"/>
  <c r="J2300" i="155"/>
  <c r="J2293" i="155"/>
  <c r="J2289" i="155"/>
  <c r="J2282" i="155"/>
  <c r="J2275" i="155"/>
  <c r="J2271" i="155"/>
  <c r="J2264" i="155"/>
  <c r="J2257" i="155"/>
  <c r="J2253" i="155"/>
  <c r="J2246" i="155"/>
  <c r="J2239" i="155"/>
  <c r="J2235" i="155"/>
  <c r="J2228" i="155"/>
  <c r="J2221" i="155"/>
  <c r="J2217" i="155"/>
  <c r="J2210" i="155"/>
  <c r="J2203" i="155"/>
  <c r="J2199" i="155"/>
  <c r="J2192" i="155"/>
  <c r="J2185" i="155"/>
  <c r="J2181" i="155"/>
  <c r="J2174" i="155"/>
  <c r="J2167" i="155"/>
  <c r="J2163" i="155"/>
  <c r="J2156" i="155"/>
  <c r="J2149" i="155"/>
  <c r="J2145" i="155"/>
  <c r="J2138" i="155"/>
  <c r="J2131" i="155"/>
  <c r="J2127" i="155"/>
  <c r="J2124" i="155"/>
  <c r="J2121" i="155"/>
  <c r="J2118" i="155"/>
  <c r="J2115" i="155"/>
  <c r="J2112" i="155"/>
  <c r="J2109" i="155"/>
  <c r="J2106" i="155"/>
  <c r="J2103" i="155"/>
  <c r="J2100" i="155"/>
  <c r="J2097" i="155"/>
  <c r="J2094" i="155"/>
  <c r="J2091" i="155"/>
  <c r="J2088" i="155"/>
  <c r="J2085" i="155"/>
  <c r="J2082" i="155"/>
  <c r="J2079" i="155"/>
  <c r="J2071" i="155"/>
  <c r="J2068" i="155"/>
  <c r="J2065" i="155"/>
  <c r="J2062" i="155"/>
  <c r="J2059" i="155"/>
  <c r="J2056" i="155"/>
  <c r="J2053" i="155"/>
  <c r="J2050" i="155"/>
  <c r="J2047" i="155"/>
  <c r="J2044" i="155"/>
  <c r="J2041" i="155"/>
  <c r="J2038" i="155"/>
  <c r="J2035" i="155"/>
  <c r="J2032" i="155"/>
  <c r="J2029" i="155"/>
  <c r="J2026" i="155"/>
  <c r="J2022" i="155"/>
  <c r="J2019" i="155"/>
  <c r="J2016" i="155"/>
  <c r="J2013" i="155"/>
  <c r="J2010" i="155"/>
  <c r="J2007" i="155"/>
  <c r="J2004" i="155"/>
  <c r="J2001" i="155"/>
  <c r="J1998" i="155"/>
  <c r="J1995" i="155"/>
  <c r="J1992" i="155"/>
  <c r="J1989" i="155"/>
  <c r="J1986" i="155"/>
  <c r="J1983" i="155"/>
  <c r="J1980" i="155"/>
  <c r="J1977" i="155"/>
  <c r="J1974" i="155"/>
  <c r="J1971" i="155"/>
  <c r="J1968" i="155"/>
  <c r="J1965" i="155"/>
  <c r="J1962" i="155"/>
  <c r="J1959" i="155"/>
  <c r="J1956" i="155"/>
  <c r="J1953" i="155"/>
  <c r="J1950" i="155"/>
  <c r="J1947" i="155"/>
  <c r="J1944" i="155"/>
  <c r="J1941" i="155"/>
  <c r="J1938" i="155"/>
  <c r="J1935" i="155"/>
  <c r="J1932" i="155"/>
  <c r="J1929" i="155"/>
  <c r="J1926" i="155"/>
  <c r="J1923" i="155"/>
  <c r="J1920" i="155"/>
  <c r="J1917" i="155"/>
  <c r="J1914" i="155"/>
  <c r="J1911" i="155"/>
  <c r="J1908" i="155"/>
  <c r="J1905" i="155"/>
  <c r="J1902" i="155"/>
  <c r="J1899" i="155"/>
  <c r="J1896" i="155"/>
  <c r="J1893" i="155"/>
  <c r="J1890" i="155"/>
  <c r="J1887" i="155"/>
  <c r="J1884" i="155"/>
  <c r="J1881" i="155"/>
  <c r="J1878" i="155"/>
  <c r="J1875" i="155"/>
  <c r="J1872" i="155"/>
  <c r="J1869" i="155"/>
  <c r="J1866" i="155"/>
  <c r="J1863" i="155"/>
  <c r="J1860" i="155"/>
  <c r="J1857" i="155"/>
  <c r="J1854" i="155"/>
  <c r="J1851" i="155"/>
  <c r="J1848" i="155"/>
  <c r="J1845" i="155"/>
  <c r="J2248" i="155"/>
  <c r="J2226" i="155"/>
  <c r="J2219" i="155"/>
  <c r="J2212" i="155"/>
  <c r="J2190" i="155"/>
  <c r="J2183" i="155"/>
  <c r="J2176" i="155"/>
  <c r="J2154" i="155"/>
  <c r="J2147" i="155"/>
  <c r="J2125" i="155"/>
  <c r="J2120" i="155"/>
  <c r="J2116" i="155"/>
  <c r="J2111" i="155"/>
  <c r="J2107" i="155"/>
  <c r="J2102" i="155"/>
  <c r="J2098" i="155"/>
  <c r="J2093" i="155"/>
  <c r="J2089" i="155"/>
  <c r="J2084" i="155"/>
  <c r="J2080" i="155"/>
  <c r="J2070" i="155"/>
  <c r="J2066" i="155"/>
  <c r="J2061" i="155"/>
  <c r="J2057" i="155"/>
  <c r="J2052" i="155"/>
  <c r="J2048" i="155"/>
  <c r="J2043" i="155"/>
  <c r="J2039" i="155"/>
  <c r="J2034" i="155"/>
  <c r="J2030" i="155"/>
  <c r="J2025" i="155"/>
  <c r="J2023" i="155"/>
  <c r="J2012" i="155"/>
  <c r="J2005" i="155"/>
  <c r="J1994" i="155"/>
  <c r="J1987" i="155"/>
  <c r="J1976" i="155"/>
  <c r="J1969" i="155"/>
  <c r="J1958" i="155"/>
  <c r="J1951" i="155"/>
  <c r="J1940" i="155"/>
  <c r="J1933" i="155"/>
  <c r="J1922" i="155"/>
  <c r="J1915" i="155"/>
  <c r="J1904" i="155"/>
  <c r="J1897" i="155"/>
  <c r="J1886" i="155"/>
  <c r="J1879" i="155"/>
  <c r="J1868" i="155"/>
  <c r="J1861" i="155"/>
  <c r="J1850" i="155"/>
  <c r="J1843" i="155"/>
  <c r="J1840" i="155"/>
  <c r="J1837" i="155"/>
  <c r="J1834" i="155"/>
  <c r="J1831" i="155"/>
  <c r="J1828" i="155"/>
  <c r="J1825" i="155"/>
  <c r="J1822" i="155"/>
  <c r="J1819" i="155"/>
  <c r="J1816" i="155"/>
  <c r="J1813" i="155"/>
  <c r="J1810" i="155"/>
  <c r="J1807" i="155"/>
  <c r="J1804" i="155"/>
  <c r="J1801" i="155"/>
  <c r="J1798" i="155"/>
  <c r="J1795" i="155"/>
  <c r="J1792" i="155"/>
  <c r="J1789" i="155"/>
  <c r="J1786" i="155"/>
  <c r="J1783" i="155"/>
  <c r="J1780" i="155"/>
  <c r="J1777" i="155"/>
  <c r="J1774" i="155"/>
  <c r="J1771" i="155"/>
  <c r="J1768" i="155"/>
  <c r="J1765" i="155"/>
  <c r="J1762" i="155"/>
  <c r="J1759" i="155"/>
  <c r="J1756" i="155"/>
  <c r="J1753" i="155"/>
  <c r="J1750" i="155"/>
  <c r="J1747" i="155"/>
  <c r="J1744" i="155"/>
  <c r="J1741" i="155"/>
  <c r="J1738" i="155"/>
  <c r="J1735" i="155"/>
  <c r="J1732" i="155"/>
  <c r="J1729" i="155"/>
  <c r="J1726" i="155"/>
  <c r="J1723" i="155"/>
  <c r="J1720" i="155"/>
  <c r="J1717" i="155"/>
  <c r="J1714" i="155"/>
  <c r="J1711" i="155"/>
  <c r="J1708" i="155"/>
  <c r="J1705" i="155"/>
  <c r="J1702" i="155"/>
  <c r="J1699" i="155"/>
  <c r="J1696" i="155"/>
  <c r="J1693" i="155"/>
  <c r="J1690" i="155"/>
  <c r="J1687" i="155"/>
  <c r="J1684" i="155"/>
  <c r="J1681" i="155"/>
  <c r="J1678" i="155"/>
  <c r="J1675" i="155"/>
  <c r="J1672" i="155"/>
  <c r="J1669" i="155"/>
  <c r="J1666" i="155"/>
  <c r="J1663" i="155"/>
  <c r="J1660" i="155"/>
  <c r="J1657" i="155"/>
  <c r="J1654" i="155"/>
  <c r="J1651" i="155"/>
  <c r="J1648" i="155"/>
  <c r="J1645" i="155"/>
  <c r="J1642" i="155"/>
  <c r="J1639" i="155"/>
  <c r="J1636" i="155"/>
  <c r="J1633" i="155"/>
  <c r="J1630" i="155"/>
  <c r="J1627" i="155"/>
  <c r="J1624" i="155"/>
  <c r="J1621" i="155"/>
  <c r="J1618" i="155"/>
  <c r="J1615" i="155"/>
  <c r="J1612" i="155"/>
  <c r="J1609" i="155"/>
  <c r="J1606" i="155"/>
  <c r="J2232" i="155"/>
  <c r="J2225" i="155"/>
  <c r="J2218" i="155"/>
  <c r="J2196" i="155"/>
  <c r="J2189" i="155"/>
  <c r="J2182" i="155"/>
  <c r="J2160" i="155"/>
  <c r="J2153" i="155"/>
  <c r="J2146" i="155"/>
  <c r="J2140" i="155"/>
  <c r="J2135" i="155"/>
  <c r="J2129" i="155"/>
  <c r="J2015" i="155"/>
  <c r="J2008" i="155"/>
  <c r="J1997" i="155"/>
  <c r="J1990" i="155"/>
  <c r="J1979" i="155"/>
  <c r="J1972" i="155"/>
  <c r="J1961" i="155"/>
  <c r="J1954" i="155"/>
  <c r="J1943" i="155"/>
  <c r="J1936" i="155"/>
  <c r="J1925" i="155"/>
  <c r="J1918" i="155"/>
  <c r="J1907" i="155"/>
  <c r="J1900" i="155"/>
  <c r="J2245" i="155"/>
  <c r="J2223" i="155"/>
  <c r="J2216" i="155"/>
  <c r="J2209" i="155"/>
  <c r="J2187" i="155"/>
  <c r="J2180" i="155"/>
  <c r="J2173" i="155"/>
  <c r="J2151" i="155"/>
  <c r="J2144" i="155"/>
  <c r="J2139" i="155"/>
  <c r="J2133" i="155"/>
  <c r="J2123" i="155"/>
  <c r="J2119" i="155"/>
  <c r="J2114" i="155"/>
  <c r="J2110" i="155"/>
  <c r="J2105" i="155"/>
  <c r="J2101" i="155"/>
  <c r="J2096" i="155"/>
  <c r="J2092" i="155"/>
  <c r="J2087" i="155"/>
  <c r="J2083" i="155"/>
  <c r="J2073" i="155"/>
  <c r="J2069" i="155"/>
  <c r="J2064" i="155"/>
  <c r="J2060" i="155"/>
  <c r="J2055" i="155"/>
  <c r="J2051" i="155"/>
  <c r="J2046" i="155"/>
  <c r="J2042" i="155"/>
  <c r="J2037" i="155"/>
  <c r="J2033" i="155"/>
  <c r="J2028" i="155"/>
  <c r="J2018" i="155"/>
  <c r="J2011" i="155"/>
  <c r="J2000" i="155"/>
  <c r="J1993" i="155"/>
  <c r="J1982" i="155"/>
  <c r="J1975" i="155"/>
  <c r="J1964" i="155"/>
  <c r="J1957" i="155"/>
  <c r="J1946" i="155"/>
  <c r="J1939" i="155"/>
  <c r="J1928" i="155"/>
  <c r="J1921" i="155"/>
  <c r="J1910" i="155"/>
  <c r="J1903" i="155"/>
  <c r="J1892" i="155"/>
  <c r="J2244" i="155"/>
  <c r="J2237" i="155"/>
  <c r="J2230" i="155"/>
  <c r="J2208" i="155"/>
  <c r="J2201" i="155"/>
  <c r="J2194" i="155"/>
  <c r="J2172" i="155"/>
  <c r="J2165" i="155"/>
  <c r="J2158" i="155"/>
  <c r="J2128" i="155"/>
  <c r="J2021" i="155"/>
  <c r="J2014" i="155"/>
  <c r="J2003" i="155"/>
  <c r="J1996" i="155"/>
  <c r="J1985" i="155"/>
  <c r="J1978" i="155"/>
  <c r="J1967" i="155"/>
  <c r="J1960" i="155"/>
  <c r="J1949" i="155"/>
  <c r="J1942" i="155"/>
  <c r="J1931" i="155"/>
  <c r="J1924" i="155"/>
  <c r="J1913" i="155"/>
  <c r="J1906" i="155"/>
  <c r="J1895" i="155"/>
  <c r="J1888" i="155"/>
  <c r="J1877" i="155"/>
  <c r="J1870" i="155"/>
  <c r="J1859" i="155"/>
  <c r="J1852" i="155"/>
  <c r="J2250" i="155"/>
  <c r="J2243" i="155"/>
  <c r="J2236" i="155"/>
  <c r="J2214" i="155"/>
  <c r="J2207" i="155"/>
  <c r="J2200" i="155"/>
  <c r="J2178" i="155"/>
  <c r="J2171" i="155"/>
  <c r="J2164" i="155"/>
  <c r="J2143" i="155"/>
  <c r="J2137" i="155"/>
  <c r="J2132" i="155"/>
  <c r="J2126" i="155"/>
  <c r="J2122" i="155"/>
  <c r="J2117" i="155"/>
  <c r="J2113" i="155"/>
  <c r="J2108" i="155"/>
  <c r="J2104" i="155"/>
  <c r="J2099" i="155"/>
  <c r="J2095" i="155"/>
  <c r="J2090" i="155"/>
  <c r="J2086" i="155"/>
  <c r="J2081" i="155"/>
  <c r="J2072" i="155"/>
  <c r="J2067" i="155"/>
  <c r="J2063" i="155"/>
  <c r="J2058" i="155"/>
  <c r="J2054" i="155"/>
  <c r="J2049" i="155"/>
  <c r="J2045" i="155"/>
  <c r="J2040" i="155"/>
  <c r="J2036" i="155"/>
  <c r="J2031" i="155"/>
  <c r="J2027" i="155"/>
  <c r="J2024" i="155"/>
  <c r="J2017" i="155"/>
  <c r="J2006" i="155"/>
  <c r="J1999" i="155"/>
  <c r="J1988" i="155"/>
  <c r="J1981" i="155"/>
  <c r="J1970" i="155"/>
  <c r="J1963" i="155"/>
  <c r="J1952" i="155"/>
  <c r="J1945" i="155"/>
  <c r="J1934" i="155"/>
  <c r="J1927" i="155"/>
  <c r="J1916" i="155"/>
  <c r="J1909" i="155"/>
  <c r="J1898" i="155"/>
  <c r="J1891" i="155"/>
  <c r="J2241" i="155"/>
  <c r="J2234" i="155"/>
  <c r="J2227" i="155"/>
  <c r="J2205" i="155"/>
  <c r="J2198" i="155"/>
  <c r="J2191" i="155"/>
  <c r="J2169" i="155"/>
  <c r="J2162" i="155"/>
  <c r="J2155" i="155"/>
  <c r="J2142" i="155"/>
  <c r="J2136" i="155"/>
  <c r="J2020" i="155"/>
  <c r="J2009" i="155"/>
  <c r="J2002" i="155"/>
  <c r="J1991" i="155"/>
  <c r="J1984" i="155"/>
  <c r="J1973" i="155"/>
  <c r="J1966" i="155"/>
  <c r="J1955" i="155"/>
  <c r="J1948" i="155"/>
  <c r="J1937" i="155"/>
  <c r="J1930" i="155"/>
  <c r="J1919" i="155"/>
  <c r="J1912" i="155"/>
  <c r="J1901" i="155"/>
  <c r="J1894" i="155"/>
  <c r="J1883" i="155"/>
  <c r="J1876" i="155"/>
  <c r="J1865" i="155"/>
  <c r="J1858" i="155"/>
  <c r="J1847" i="155"/>
  <c r="J1889" i="155"/>
  <c r="J1882" i="155"/>
  <c r="J1853" i="155"/>
  <c r="J1846" i="155"/>
  <c r="J1601" i="155"/>
  <c r="J1597" i="155"/>
  <c r="J1590" i="155"/>
  <c r="J1583" i="155"/>
  <c r="J1579" i="155"/>
  <c r="J1572" i="155"/>
  <c r="J1565" i="155"/>
  <c r="J1561" i="155"/>
  <c r="J1554" i="155"/>
  <c r="J1547" i="155"/>
  <c r="J1543" i="155"/>
  <c r="J1536" i="155"/>
  <c r="J1529" i="155"/>
  <c r="J1525" i="155"/>
  <c r="J1518" i="155"/>
  <c r="J1511" i="155"/>
  <c r="J1507" i="155"/>
  <c r="J1500" i="155"/>
  <c r="J1493" i="155"/>
  <c r="J1489" i="155"/>
  <c r="J1482" i="155"/>
  <c r="J1475" i="155"/>
  <c r="J1471" i="155"/>
  <c r="J1464" i="155"/>
  <c r="J1457" i="155"/>
  <c r="J1453" i="155"/>
  <c r="J1446" i="155"/>
  <c r="J1439" i="155"/>
  <c r="J1435" i="155"/>
  <c r="J1428" i="155"/>
  <c r="J1421" i="155"/>
  <c r="J1417" i="155"/>
  <c r="J1410" i="155"/>
  <c r="J1403" i="155"/>
  <c r="J1399" i="155"/>
  <c r="J1392" i="155"/>
  <c r="J1385" i="155"/>
  <c r="J1381" i="155"/>
  <c r="J1374" i="155"/>
  <c r="J1367" i="155"/>
  <c r="J1363" i="155"/>
  <c r="J1356" i="155"/>
  <c r="J1349" i="155"/>
  <c r="J1345" i="155"/>
  <c r="J1874" i="155"/>
  <c r="J1867" i="155"/>
  <c r="J1839" i="155"/>
  <c r="J1833" i="155"/>
  <c r="J1827" i="155"/>
  <c r="J1821" i="155"/>
  <c r="J1815" i="155"/>
  <c r="J1809" i="155"/>
  <c r="J1803" i="155"/>
  <c r="J1797" i="155"/>
  <c r="J1791" i="155"/>
  <c r="J1785" i="155"/>
  <c r="J1779" i="155"/>
  <c r="J1773" i="155"/>
  <c r="J1767" i="155"/>
  <c r="J1761" i="155"/>
  <c r="J1755" i="155"/>
  <c r="J1749" i="155"/>
  <c r="J1743" i="155"/>
  <c r="J1737" i="155"/>
  <c r="J1731" i="155"/>
  <c r="J1725" i="155"/>
  <c r="J1721" i="155"/>
  <c r="J1716" i="155"/>
  <c r="J1712" i="155"/>
  <c r="J1707" i="155"/>
  <c r="J1703" i="155"/>
  <c r="J1698" i="155"/>
  <c r="J1694" i="155"/>
  <c r="J1689" i="155"/>
  <c r="J1685" i="155"/>
  <c r="J1680" i="155"/>
  <c r="J1676" i="155"/>
  <c r="J1671" i="155"/>
  <c r="J1667" i="155"/>
  <c r="J1662" i="155"/>
  <c r="J1658" i="155"/>
  <c r="J1653" i="155"/>
  <c r="J1649" i="155"/>
  <c r="J1644" i="155"/>
  <c r="J1640" i="155"/>
  <c r="J1635" i="155"/>
  <c r="J1631" i="155"/>
  <c r="J1626" i="155"/>
  <c r="J1622" i="155"/>
  <c r="J1617" i="155"/>
  <c r="J1613" i="155"/>
  <c r="J1608" i="155"/>
  <c r="J1604" i="155"/>
  <c r="J1600" i="155"/>
  <c r="J1880" i="155"/>
  <c r="J1873" i="155"/>
  <c r="J1844" i="155"/>
  <c r="J1838" i="155"/>
  <c r="J1832" i="155"/>
  <c r="J1826" i="155"/>
  <c r="J1820" i="155"/>
  <c r="J1814" i="155"/>
  <c r="J1808" i="155"/>
  <c r="J1802" i="155"/>
  <c r="J1796" i="155"/>
  <c r="J1790" i="155"/>
  <c r="J1784" i="155"/>
  <c r="J1778" i="155"/>
  <c r="J1772" i="155"/>
  <c r="J1766" i="155"/>
  <c r="J1760" i="155"/>
  <c r="J1754" i="155"/>
  <c r="J1748" i="155"/>
  <c r="J1742" i="155"/>
  <c r="J1736" i="155"/>
  <c r="J1730" i="155"/>
  <c r="J1603" i="155"/>
  <c r="J1871" i="155"/>
  <c r="J1864" i="155"/>
  <c r="J1724" i="155"/>
  <c r="J1719" i="155"/>
  <c r="J1715" i="155"/>
  <c r="J1710" i="155"/>
  <c r="J1706" i="155"/>
  <c r="J1701" i="155"/>
  <c r="J1697" i="155"/>
  <c r="J1692" i="155"/>
  <c r="J1688" i="155"/>
  <c r="J1683" i="155"/>
  <c r="J1679" i="155"/>
  <c r="J1674" i="155"/>
  <c r="J1670" i="155"/>
  <c r="J1665" i="155"/>
  <c r="J1661" i="155"/>
  <c r="J1656" i="155"/>
  <c r="J1652" i="155"/>
  <c r="J1647" i="155"/>
  <c r="J1643" i="155"/>
  <c r="J1638" i="155"/>
  <c r="J1634" i="155"/>
  <c r="J1629" i="155"/>
  <c r="J1625" i="155"/>
  <c r="J1620" i="155"/>
  <c r="J1616" i="155"/>
  <c r="J1611" i="155"/>
  <c r="J1607" i="155"/>
  <c r="J1599" i="155"/>
  <c r="J1592" i="155"/>
  <c r="J1588" i="155"/>
  <c r="J1581" i="155"/>
  <c r="J1574" i="155"/>
  <c r="J1570" i="155"/>
  <c r="J1563" i="155"/>
  <c r="J1556" i="155"/>
  <c r="J1552" i="155"/>
  <c r="J1545" i="155"/>
  <c r="J1538" i="155"/>
  <c r="J1534" i="155"/>
  <c r="J1527" i="155"/>
  <c r="J1520" i="155"/>
  <c r="J1516" i="155"/>
  <c r="J1509" i="155"/>
  <c r="J1502" i="155"/>
  <c r="J1498" i="155"/>
  <c r="J1491" i="155"/>
  <c r="J1484" i="155"/>
  <c r="J1480" i="155"/>
  <c r="J1473" i="155"/>
  <c r="J1466" i="155"/>
  <c r="J1462" i="155"/>
  <c r="J1455" i="155"/>
  <c r="J1448" i="155"/>
  <c r="J1444" i="155"/>
  <c r="J1437" i="155"/>
  <c r="J1885" i="155"/>
  <c r="J1856" i="155"/>
  <c r="J1849" i="155"/>
  <c r="J1842" i="155"/>
  <c r="J1836" i="155"/>
  <c r="J1830" i="155"/>
  <c r="J1824" i="155"/>
  <c r="J1818" i="155"/>
  <c r="J1812" i="155"/>
  <c r="J1806" i="155"/>
  <c r="J1800" i="155"/>
  <c r="J1794" i="155"/>
  <c r="J1788" i="155"/>
  <c r="J1782" i="155"/>
  <c r="J1776" i="155"/>
  <c r="J1770" i="155"/>
  <c r="J1764" i="155"/>
  <c r="J1758" i="155"/>
  <c r="J1752" i="155"/>
  <c r="J1746" i="155"/>
  <c r="J1740" i="155"/>
  <c r="J1734" i="155"/>
  <c r="J1728" i="155"/>
  <c r="J1602" i="155"/>
  <c r="J1595" i="155"/>
  <c r="J1591" i="155"/>
  <c r="J1584" i="155"/>
  <c r="J1577" i="155"/>
  <c r="J1573" i="155"/>
  <c r="J1566" i="155"/>
  <c r="J1559" i="155"/>
  <c r="J1555" i="155"/>
  <c r="J1548" i="155"/>
  <c r="J1541" i="155"/>
  <c r="J1537" i="155"/>
  <c r="J1530" i="155"/>
  <c r="J1523" i="155"/>
  <c r="J1519" i="155"/>
  <c r="J1512" i="155"/>
  <c r="J1505" i="155"/>
  <c r="J1501" i="155"/>
  <c r="J1494" i="155"/>
  <c r="J1487" i="155"/>
  <c r="J1483" i="155"/>
  <c r="J1476" i="155"/>
  <c r="J1469" i="155"/>
  <c r="J1465" i="155"/>
  <c r="J1458" i="155"/>
  <c r="J1451" i="155"/>
  <c r="J1447" i="155"/>
  <c r="J1440" i="155"/>
  <c r="J1433" i="155"/>
  <c r="J1429" i="155"/>
  <c r="J1422" i="155"/>
  <c r="J1415" i="155"/>
  <c r="J1411" i="155"/>
  <c r="J1404" i="155"/>
  <c r="J1397" i="155"/>
  <c r="J1393" i="155"/>
  <c r="J1386" i="155"/>
  <c r="J1379" i="155"/>
  <c r="J1375" i="155"/>
  <c r="J1368" i="155"/>
  <c r="J1361" i="155"/>
  <c r="J1357" i="155"/>
  <c r="J1350" i="155"/>
  <c r="J1343" i="155"/>
  <c r="J1339" i="155"/>
  <c r="J1332" i="155"/>
  <c r="J1325" i="155"/>
  <c r="J1321" i="155"/>
  <c r="J1314" i="155"/>
  <c r="J1307" i="155"/>
  <c r="J1303" i="155"/>
  <c r="J1296" i="155"/>
  <c r="J1289" i="155"/>
  <c r="J1285" i="155"/>
  <c r="J1278" i="155"/>
  <c r="J1271" i="155"/>
  <c r="J1267" i="155"/>
  <c r="J1260" i="155"/>
  <c r="J1253" i="155"/>
  <c r="J1249" i="155"/>
  <c r="J1242" i="155"/>
  <c r="J1235" i="155"/>
  <c r="J1231" i="155"/>
  <c r="J1224" i="155"/>
  <c r="J1217" i="155"/>
  <c r="J1213" i="155"/>
  <c r="J1210" i="155"/>
  <c r="J1207" i="155"/>
  <c r="J1204" i="155"/>
  <c r="J1201" i="155"/>
  <c r="J1198" i="155"/>
  <c r="J1195" i="155"/>
  <c r="J1192" i="155"/>
  <c r="J1862" i="155"/>
  <c r="J1855" i="155"/>
  <c r="J1841" i="155"/>
  <c r="J1835" i="155"/>
  <c r="J1829" i="155"/>
  <c r="J1823" i="155"/>
  <c r="J1817" i="155"/>
  <c r="J1811" i="155"/>
  <c r="J1805" i="155"/>
  <c r="J1799" i="155"/>
  <c r="J1793" i="155"/>
  <c r="J1787" i="155"/>
  <c r="J1781" i="155"/>
  <c r="J1775" i="155"/>
  <c r="J1769" i="155"/>
  <c r="J1763" i="155"/>
  <c r="J1757" i="155"/>
  <c r="J1751" i="155"/>
  <c r="J1745" i="155"/>
  <c r="J1739" i="155"/>
  <c r="J1733" i="155"/>
  <c r="J1727" i="155"/>
  <c r="J1722" i="155"/>
  <c r="J1718" i="155"/>
  <c r="J1713" i="155"/>
  <c r="J1709" i="155"/>
  <c r="J1704" i="155"/>
  <c r="J1700" i="155"/>
  <c r="J1695" i="155"/>
  <c r="J1691" i="155"/>
  <c r="J1686" i="155"/>
  <c r="J1682" i="155"/>
  <c r="J1677" i="155"/>
  <c r="J1673" i="155"/>
  <c r="J1668" i="155"/>
  <c r="J1664" i="155"/>
  <c r="J1659" i="155"/>
  <c r="J1655" i="155"/>
  <c r="J1650" i="155"/>
  <c r="J1646" i="155"/>
  <c r="J1641" i="155"/>
  <c r="J1637" i="155"/>
  <c r="J1632" i="155"/>
  <c r="J1628" i="155"/>
  <c r="J1623" i="155"/>
  <c r="J1619" i="155"/>
  <c r="J1614" i="155"/>
  <c r="J1610" i="155"/>
  <c r="J1605" i="155"/>
  <c r="J1598" i="155"/>
  <c r="J1594" i="155"/>
  <c r="J1587" i="155"/>
  <c r="J1580" i="155"/>
  <c r="J1576" i="155"/>
  <c r="J1569" i="155"/>
  <c r="J1562" i="155"/>
  <c r="J1558" i="155"/>
  <c r="J1551" i="155"/>
  <c r="J1544" i="155"/>
  <c r="J1540" i="155"/>
  <c r="J1533" i="155"/>
  <c r="J1526" i="155"/>
  <c r="J1522" i="155"/>
  <c r="J1515" i="155"/>
  <c r="J1508" i="155"/>
  <c r="J1504" i="155"/>
  <c r="J1497" i="155"/>
  <c r="J1490" i="155"/>
  <c r="J1486" i="155"/>
  <c r="J1479" i="155"/>
  <c r="J1472" i="155"/>
  <c r="J1468" i="155"/>
  <c r="J1461" i="155"/>
  <c r="J1454" i="155"/>
  <c r="J1450" i="155"/>
  <c r="J1443" i="155"/>
  <c r="J1436" i="155"/>
  <c r="J1432" i="155"/>
  <c r="J1425" i="155"/>
  <c r="J1418" i="155"/>
  <c r="J1414" i="155"/>
  <c r="J1407" i="155"/>
  <c r="J1400" i="155"/>
  <c r="J1396" i="155"/>
  <c r="J1389" i="155"/>
  <c r="J1382" i="155"/>
  <c r="J1378" i="155"/>
  <c r="J1371" i="155"/>
  <c r="J1364" i="155"/>
  <c r="J1360" i="155"/>
  <c r="J1353" i="155"/>
  <c r="J1346" i="155"/>
  <c r="J1342" i="155"/>
  <c r="J1335" i="155"/>
  <c r="J1328" i="155"/>
  <c r="J1324" i="155"/>
  <c r="J1317" i="155"/>
  <c r="J1310" i="155"/>
  <c r="J1306" i="155"/>
  <c r="J1299" i="155"/>
  <c r="J1292" i="155"/>
  <c r="J1288" i="155"/>
  <c r="J1281" i="155"/>
  <c r="J1274" i="155"/>
  <c r="J1270" i="155"/>
  <c r="J1263" i="155"/>
  <c r="J1256" i="155"/>
  <c r="J1252" i="155"/>
  <c r="J1245" i="155"/>
  <c r="J1238" i="155"/>
  <c r="J1234" i="155"/>
  <c r="J1227" i="155"/>
  <c r="J1220" i="155"/>
  <c r="J1216" i="155"/>
  <c r="J1593" i="155"/>
  <c r="J1582" i="155"/>
  <c r="J1550" i="155"/>
  <c r="J1539" i="155"/>
  <c r="J1528" i="155"/>
  <c r="J1496" i="155"/>
  <c r="J1485" i="155"/>
  <c r="J1474" i="155"/>
  <c r="J1442" i="155"/>
  <c r="J1431" i="155"/>
  <c r="J1424" i="155"/>
  <c r="J1402" i="155"/>
  <c r="J1395" i="155"/>
  <c r="J1388" i="155"/>
  <c r="J1366" i="155"/>
  <c r="J1359" i="155"/>
  <c r="J1352" i="155"/>
  <c r="J1340" i="155"/>
  <c r="J1334" i="155"/>
  <c r="J1329" i="155"/>
  <c r="J1323" i="155"/>
  <c r="J1318" i="155"/>
  <c r="J1312" i="155"/>
  <c r="J1286" i="155"/>
  <c r="J1280" i="155"/>
  <c r="J1275" i="155"/>
  <c r="J1269" i="155"/>
  <c r="J1264" i="155"/>
  <c r="J1258" i="155"/>
  <c r="J1232" i="155"/>
  <c r="J1226" i="155"/>
  <c r="J1221" i="155"/>
  <c r="J1215" i="155"/>
  <c r="J1188" i="155"/>
  <c r="J1181" i="155"/>
  <c r="J1174" i="155"/>
  <c r="J1170" i="155"/>
  <c r="J1163" i="155"/>
  <c r="J1156" i="155"/>
  <c r="J1152" i="155"/>
  <c r="J1145" i="155"/>
  <c r="J1138" i="155"/>
  <c r="J1134" i="155"/>
  <c r="J1127" i="155"/>
  <c r="J1120" i="155"/>
  <c r="J1116" i="155"/>
  <c r="J1109" i="155"/>
  <c r="J1102" i="155"/>
  <c r="J1098" i="155"/>
  <c r="J1091" i="155"/>
  <c r="J1084" i="155"/>
  <c r="J1080" i="155"/>
  <c r="J1073" i="155"/>
  <c r="J1066" i="155"/>
  <c r="J1062" i="155"/>
  <c r="J1055" i="155"/>
  <c r="J1048" i="155"/>
  <c r="J1571" i="155"/>
  <c r="J1560" i="155"/>
  <c r="J1549" i="155"/>
  <c r="J1517" i="155"/>
  <c r="J1506" i="155"/>
  <c r="J1495" i="155"/>
  <c r="J1463" i="155"/>
  <c r="J1452" i="155"/>
  <c r="J1441" i="155"/>
  <c r="J1423" i="155"/>
  <c r="J1416" i="155"/>
  <c r="J1409" i="155"/>
  <c r="J1387" i="155"/>
  <c r="J1380" i="155"/>
  <c r="J1373" i="155"/>
  <c r="J1351" i="155"/>
  <c r="J1344" i="155"/>
  <c r="J1338" i="155"/>
  <c r="J1333" i="155"/>
  <c r="J1327" i="155"/>
  <c r="J1301" i="155"/>
  <c r="J1295" i="155"/>
  <c r="J1290" i="155"/>
  <c r="J1284" i="155"/>
  <c r="J1279" i="155"/>
  <c r="J1273" i="155"/>
  <c r="J1247" i="155"/>
  <c r="J1241" i="155"/>
  <c r="J1236" i="155"/>
  <c r="J1230" i="155"/>
  <c r="J1225" i="155"/>
  <c r="J1219" i="155"/>
  <c r="J1209" i="155"/>
  <c r="J1205" i="155"/>
  <c r="J1200" i="155"/>
  <c r="J1196" i="155"/>
  <c r="J1191" i="155"/>
  <c r="J1184" i="155"/>
  <c r="J1177" i="155"/>
  <c r="J1173" i="155"/>
  <c r="J1166" i="155"/>
  <c r="J1159" i="155"/>
  <c r="J1155" i="155"/>
  <c r="J1148" i="155"/>
  <c r="J1141" i="155"/>
  <c r="J1137" i="155"/>
  <c r="J1130" i="155"/>
  <c r="J1123" i="155"/>
  <c r="J1119" i="155"/>
  <c r="J1112" i="155"/>
  <c r="J1105" i="155"/>
  <c r="J1101" i="155"/>
  <c r="J1094" i="155"/>
  <c r="J1568" i="155"/>
  <c r="J1557" i="155"/>
  <c r="J1546" i="155"/>
  <c r="J1514" i="155"/>
  <c r="J1503" i="155"/>
  <c r="J1492" i="155"/>
  <c r="J1460" i="155"/>
  <c r="J1449" i="155"/>
  <c r="J1438" i="155"/>
  <c r="J1430" i="155"/>
  <c r="J1408" i="155"/>
  <c r="J1401" i="155"/>
  <c r="J1394" i="155"/>
  <c r="J1372" i="155"/>
  <c r="J1365" i="155"/>
  <c r="J1358" i="155"/>
  <c r="J1322" i="155"/>
  <c r="J1316" i="155"/>
  <c r="J1311" i="155"/>
  <c r="J1305" i="155"/>
  <c r="J1300" i="155"/>
  <c r="J1294" i="155"/>
  <c r="J1268" i="155"/>
  <c r="J1262" i="155"/>
  <c r="J1257" i="155"/>
  <c r="J1251" i="155"/>
  <c r="J1246" i="155"/>
  <c r="J1240" i="155"/>
  <c r="J1214" i="155"/>
  <c r="J1187" i="155"/>
  <c r="J1180" i="155"/>
  <c r="J1176" i="155"/>
  <c r="J1169" i="155"/>
  <c r="J1162" i="155"/>
  <c r="J1158" i="155"/>
  <c r="J1151" i="155"/>
  <c r="J1144" i="155"/>
  <c r="J1140" i="155"/>
  <c r="J1133" i="155"/>
  <c r="J1126" i="155"/>
  <c r="J1122" i="155"/>
  <c r="J1115" i="155"/>
  <c r="J1589" i="155"/>
  <c r="J1578" i="155"/>
  <c r="J1567" i="155"/>
  <c r="J1535" i="155"/>
  <c r="J1524" i="155"/>
  <c r="J1513" i="155"/>
  <c r="J1481" i="155"/>
  <c r="J1470" i="155"/>
  <c r="J1459" i="155"/>
  <c r="J1420" i="155"/>
  <c r="J1413" i="155"/>
  <c r="J1406" i="155"/>
  <c r="J1384" i="155"/>
  <c r="J1377" i="155"/>
  <c r="J1370" i="155"/>
  <c r="J1348" i="155"/>
  <c r="J1337" i="155"/>
  <c r="J1331" i="155"/>
  <c r="J1326" i="155"/>
  <c r="J1320" i="155"/>
  <c r="J1315" i="155"/>
  <c r="J1309" i="155"/>
  <c r="J1283" i="155"/>
  <c r="J1277" i="155"/>
  <c r="J1272" i="155"/>
  <c r="J1266" i="155"/>
  <c r="J1261" i="155"/>
  <c r="J1255" i="155"/>
  <c r="J1229" i="155"/>
  <c r="J1223" i="155"/>
  <c r="J1218" i="155"/>
  <c r="J1212" i="155"/>
  <c r="J1208" i="155"/>
  <c r="J1203" i="155"/>
  <c r="J1199" i="155"/>
  <c r="J1194" i="155"/>
  <c r="J1190" i="155"/>
  <c r="J1183" i="155"/>
  <c r="J1179" i="155"/>
  <c r="J1172" i="155"/>
  <c r="J1165" i="155"/>
  <c r="J1161" i="155"/>
  <c r="J1154" i="155"/>
  <c r="J1147" i="155"/>
  <c r="J1143" i="155"/>
  <c r="J1136" i="155"/>
  <c r="J1129" i="155"/>
  <c r="J1125" i="155"/>
  <c r="J1118" i="155"/>
  <c r="J1111" i="155"/>
  <c r="J1107" i="155"/>
  <c r="J1100" i="155"/>
  <c r="J1093" i="155"/>
  <c r="J1089" i="155"/>
  <c r="J1082" i="155"/>
  <c r="J1075" i="155"/>
  <c r="J1071" i="155"/>
  <c r="J1064" i="155"/>
  <c r="J1057" i="155"/>
  <c r="J1053" i="155"/>
  <c r="J1046" i="155"/>
  <c r="J1043" i="155"/>
  <c r="J1040" i="155"/>
  <c r="J1037" i="155"/>
  <c r="J1034" i="155"/>
  <c r="J1031" i="155"/>
  <c r="J1028" i="155"/>
  <c r="J1025" i="155"/>
  <c r="J1022" i="155"/>
  <c r="J1019" i="155"/>
  <c r="J1016" i="155"/>
  <c r="J1013" i="155"/>
  <c r="J1010" i="155"/>
  <c r="J1007" i="155"/>
  <c r="J1004" i="155"/>
  <c r="J1001" i="155"/>
  <c r="J998" i="155"/>
  <c r="J995" i="155"/>
  <c r="J992" i="155"/>
  <c r="J989" i="155"/>
  <c r="J986" i="155"/>
  <c r="J983" i="155"/>
  <c r="J980" i="155"/>
  <c r="J977" i="155"/>
  <c r="J974" i="155"/>
  <c r="J1586" i="155"/>
  <c r="J1575" i="155"/>
  <c r="J1564" i="155"/>
  <c r="J1532" i="155"/>
  <c r="J1521" i="155"/>
  <c r="J1510" i="155"/>
  <c r="J1478" i="155"/>
  <c r="J1467" i="155"/>
  <c r="J1456" i="155"/>
  <c r="J1427" i="155"/>
  <c r="J1405" i="155"/>
  <c r="J1398" i="155"/>
  <c r="J1391" i="155"/>
  <c r="J1369" i="155"/>
  <c r="J1362" i="155"/>
  <c r="J1355" i="155"/>
  <c r="J1341" i="155"/>
  <c r="J1336" i="155"/>
  <c r="J1330" i="155"/>
  <c r="J1304" i="155"/>
  <c r="J1298" i="155"/>
  <c r="J1293" i="155"/>
  <c r="J1287" i="155"/>
  <c r="J1282" i="155"/>
  <c r="J1276" i="155"/>
  <c r="J1250" i="155"/>
  <c r="J1244" i="155"/>
  <c r="J1239" i="155"/>
  <c r="J1233" i="155"/>
  <c r="J1228" i="155"/>
  <c r="J1222" i="155"/>
  <c r="J1186" i="155"/>
  <c r="J1182" i="155"/>
  <c r="J1175" i="155"/>
  <c r="J1168" i="155"/>
  <c r="J1164" i="155"/>
  <c r="J1157" i="155"/>
  <c r="J1150" i="155"/>
  <c r="J1146" i="155"/>
  <c r="J1139" i="155"/>
  <c r="J1132" i="155"/>
  <c r="J1128" i="155"/>
  <c r="J1121" i="155"/>
  <c r="J1114" i="155"/>
  <c r="J1110" i="155"/>
  <c r="J1596" i="155"/>
  <c r="J1585" i="155"/>
  <c r="J1553" i="155"/>
  <c r="J1542" i="155"/>
  <c r="J1531" i="155"/>
  <c r="J1499" i="155"/>
  <c r="J1488" i="155"/>
  <c r="J1477" i="155"/>
  <c r="J1445" i="155"/>
  <c r="J1434" i="155"/>
  <c r="J1426" i="155"/>
  <c r="J1419" i="155"/>
  <c r="J1412" i="155"/>
  <c r="J1390" i="155"/>
  <c r="J1383" i="155"/>
  <c r="J1376" i="155"/>
  <c r="J1354" i="155"/>
  <c r="J1347" i="155"/>
  <c r="J1319" i="155"/>
  <c r="J1313" i="155"/>
  <c r="J1308" i="155"/>
  <c r="J1302" i="155"/>
  <c r="J1297" i="155"/>
  <c r="J1291" i="155"/>
  <c r="J1265" i="155"/>
  <c r="J1259" i="155"/>
  <c r="J1254" i="155"/>
  <c r="J1248" i="155"/>
  <c r="J1243" i="155"/>
  <c r="J1237" i="155"/>
  <c r="J1211" i="155"/>
  <c r="J1206" i="155"/>
  <c r="J1202" i="155"/>
  <c r="J1197" i="155"/>
  <c r="J1193" i="155"/>
  <c r="J1189" i="155"/>
  <c r="J1185" i="155"/>
  <c r="J1178" i="155"/>
  <c r="J1171" i="155"/>
  <c r="J1167" i="155"/>
  <c r="J1160" i="155"/>
  <c r="J1153" i="155"/>
  <c r="J1149" i="155"/>
  <c r="J1142" i="155"/>
  <c r="J1135" i="155"/>
  <c r="J1131" i="155"/>
  <c r="J1124" i="155"/>
  <c r="J1117" i="155"/>
  <c r="J1113" i="155"/>
  <c r="J1106" i="155"/>
  <c r="J1099" i="155"/>
  <c r="J1095" i="155"/>
  <c r="J1088" i="155"/>
  <c r="J1081" i="155"/>
  <c r="J1077" i="155"/>
  <c r="J1070" i="155"/>
  <c r="J1063" i="155"/>
  <c r="J1059" i="155"/>
  <c r="J1052" i="155"/>
  <c r="J1045" i="155"/>
  <c r="J1042" i="155"/>
  <c r="J1039" i="155"/>
  <c r="J1036" i="155"/>
  <c r="J1033" i="155"/>
  <c r="J1030" i="155"/>
  <c r="J1027" i="155"/>
  <c r="J1024" i="155"/>
  <c r="J1021" i="155"/>
  <c r="J1018" i="155"/>
  <c r="J1015" i="155"/>
  <c r="J1012" i="155"/>
  <c r="J1009" i="155"/>
  <c r="J1006" i="155"/>
  <c r="J1003" i="155"/>
  <c r="J1000" i="155"/>
  <c r="J997" i="155"/>
  <c r="J994" i="155"/>
  <c r="J991" i="155"/>
  <c r="J988" i="155"/>
  <c r="J985" i="155"/>
  <c r="J982" i="155"/>
  <c r="J979" i="155"/>
  <c r="J976" i="155"/>
  <c r="J973" i="155"/>
  <c r="J970" i="155"/>
  <c r="J967" i="155"/>
  <c r="J964" i="155"/>
  <c r="J961" i="155"/>
  <c r="J958" i="155"/>
  <c r="J955" i="155"/>
  <c r="J952" i="155"/>
  <c r="J949" i="155"/>
  <c r="J946" i="155"/>
  <c r="J943" i="155"/>
  <c r="J940" i="155"/>
  <c r="J937" i="155"/>
  <c r="J934" i="155"/>
  <c r="J931" i="155"/>
  <c r="J928" i="155"/>
  <c r="J925" i="155"/>
  <c r="J922" i="155"/>
  <c r="J919" i="155"/>
  <c r="J916" i="155"/>
  <c r="J913" i="155"/>
  <c r="J910" i="155"/>
  <c r="J907" i="155"/>
  <c r="J904" i="155"/>
  <c r="J901" i="155"/>
  <c r="J898" i="155"/>
  <c r="J895" i="155"/>
  <c r="J892" i="155"/>
  <c r="J889" i="155"/>
  <c r="J886" i="155"/>
  <c r="J883" i="155"/>
  <c r="J880" i="155"/>
  <c r="J877" i="155"/>
  <c r="J874" i="155"/>
  <c r="J871" i="155"/>
  <c r="J868" i="155"/>
  <c r="J865" i="155"/>
  <c r="J862" i="155"/>
  <c r="J859" i="155"/>
  <c r="J856" i="155"/>
  <c r="J853" i="155"/>
  <c r="J850" i="155"/>
  <c r="J847" i="155"/>
  <c r="J844" i="155"/>
  <c r="J841" i="155"/>
  <c r="J838" i="155"/>
  <c r="J835" i="155"/>
  <c r="J832" i="155"/>
  <c r="J829" i="155"/>
  <c r="J826" i="155"/>
  <c r="J823" i="155"/>
  <c r="J820" i="155"/>
  <c r="J817" i="155"/>
  <c r="J814" i="155"/>
  <c r="J811" i="155"/>
  <c r="J808" i="155"/>
  <c r="J805" i="155"/>
  <c r="J802" i="155"/>
  <c r="J799" i="155"/>
  <c r="J796" i="155"/>
  <c r="J793" i="155"/>
  <c r="J790" i="155"/>
  <c r="J787" i="155"/>
  <c r="J784" i="155"/>
  <c r="J781" i="155"/>
  <c r="J778" i="155"/>
  <c r="J775" i="155"/>
  <c r="J772" i="155"/>
  <c r="J769" i="155"/>
  <c r="J766" i="155"/>
  <c r="J763" i="155"/>
  <c r="J760" i="155"/>
  <c r="J757" i="155"/>
  <c r="J754" i="155"/>
  <c r="J751" i="155"/>
  <c r="J748" i="155"/>
  <c r="J745" i="155"/>
  <c r="J742" i="155"/>
  <c r="J739" i="155"/>
  <c r="J736" i="155"/>
  <c r="J733" i="155"/>
  <c r="J730" i="155"/>
  <c r="J727" i="155"/>
  <c r="J724" i="155"/>
  <c r="J721" i="155"/>
  <c r="J718" i="155"/>
  <c r="J715" i="155"/>
  <c r="J712" i="155"/>
  <c r="J709" i="155"/>
  <c r="J706" i="155"/>
  <c r="J703" i="155"/>
  <c r="J700" i="155"/>
  <c r="J697" i="155"/>
  <c r="J694" i="155"/>
  <c r="J691" i="155"/>
  <c r="J688" i="155"/>
  <c r="J685" i="155"/>
  <c r="J682" i="155"/>
  <c r="J679" i="155"/>
  <c r="J676" i="155"/>
  <c r="J673" i="155"/>
  <c r="J670" i="155"/>
  <c r="J667" i="155"/>
  <c r="J664" i="155"/>
  <c r="J661" i="155"/>
  <c r="J658" i="155"/>
  <c r="J655" i="155"/>
  <c r="J652" i="155"/>
  <c r="J649" i="155"/>
  <c r="J646" i="155"/>
  <c r="J643" i="155"/>
  <c r="J640" i="155"/>
  <c r="J637" i="155"/>
  <c r="J634" i="155"/>
  <c r="J631" i="155"/>
  <c r="J628" i="155"/>
  <c r="J625" i="155"/>
  <c r="J622" i="155"/>
  <c r="J619" i="155"/>
  <c r="J616" i="155"/>
  <c r="J613" i="155"/>
  <c r="J610" i="155"/>
  <c r="J607" i="155"/>
  <c r="J604" i="155"/>
  <c r="J601" i="155"/>
  <c r="J598" i="155"/>
  <c r="J595" i="155"/>
  <c r="J592" i="155"/>
  <c r="J589" i="155"/>
  <c r="J586" i="155"/>
  <c r="J583" i="155"/>
  <c r="J580" i="155"/>
  <c r="J577" i="155"/>
  <c r="J574" i="155"/>
  <c r="J571" i="155"/>
  <c r="J568" i="155"/>
  <c r="J565" i="155"/>
  <c r="J562" i="155"/>
  <c r="J559" i="155"/>
  <c r="J556" i="155"/>
  <c r="J553" i="155"/>
  <c r="J550" i="155"/>
  <c r="J547" i="155"/>
  <c r="J544" i="155"/>
  <c r="J541" i="155"/>
  <c r="J538" i="155"/>
  <c r="J535" i="155"/>
  <c r="J532" i="155"/>
  <c r="J529" i="155"/>
  <c r="J526" i="155"/>
  <c r="J523" i="155"/>
  <c r="J520" i="155"/>
  <c r="J517" i="155"/>
  <c r="J514" i="155"/>
  <c r="J511" i="155"/>
  <c r="J508" i="155"/>
  <c r="J505" i="155"/>
  <c r="J502" i="155"/>
  <c r="J499" i="155"/>
  <c r="J496" i="155"/>
  <c r="J493" i="155"/>
  <c r="J490" i="155"/>
  <c r="J487" i="155"/>
  <c r="J484" i="155"/>
  <c r="J481" i="155"/>
  <c r="J478" i="155"/>
  <c r="J475" i="155"/>
  <c r="J472" i="155"/>
  <c r="J469" i="155"/>
  <c r="J466" i="155"/>
  <c r="J1104" i="155"/>
  <c r="J1085" i="155"/>
  <c r="J1078" i="155"/>
  <c r="J1056" i="155"/>
  <c r="J1049" i="155"/>
  <c r="J971" i="155"/>
  <c r="J966" i="155"/>
  <c r="J962" i="155"/>
  <c r="J957" i="155"/>
  <c r="J953" i="155"/>
  <c r="J948" i="155"/>
  <c r="J944" i="155"/>
  <c r="J939" i="155"/>
  <c r="J935" i="155"/>
  <c r="J930" i="155"/>
  <c r="J926" i="155"/>
  <c r="J921" i="155"/>
  <c r="J917" i="155"/>
  <c r="J912" i="155"/>
  <c r="J908" i="155"/>
  <c r="J903" i="155"/>
  <c r="J899" i="155"/>
  <c r="J894" i="155"/>
  <c r="J890" i="155"/>
  <c r="J879" i="155"/>
  <c r="J872" i="155"/>
  <c r="J861" i="155"/>
  <c r="J854" i="155"/>
  <c r="J843" i="155"/>
  <c r="J836" i="155"/>
  <c r="J825" i="155"/>
  <c r="J818" i="155"/>
  <c r="J807" i="155"/>
  <c r="J800" i="155"/>
  <c r="J789" i="155"/>
  <c r="J782" i="155"/>
  <c r="J771" i="155"/>
  <c r="J764" i="155"/>
  <c r="J753" i="155"/>
  <c r="J746" i="155"/>
  <c r="J735" i="155"/>
  <c r="J728" i="155"/>
  <c r="J717" i="155"/>
  <c r="J710" i="155"/>
  <c r="J699" i="155"/>
  <c r="J692" i="155"/>
  <c r="J681" i="155"/>
  <c r="J674" i="155"/>
  <c r="J663" i="155"/>
  <c r="J656" i="155"/>
  <c r="J645" i="155"/>
  <c r="J638" i="155"/>
  <c r="J627" i="155"/>
  <c r="J620" i="155"/>
  <c r="J609" i="155"/>
  <c r="J602" i="155"/>
  <c r="J591" i="155"/>
  <c r="J584" i="155"/>
  <c r="J573" i="155"/>
  <c r="J566" i="155"/>
  <c r="J555" i="155"/>
  <c r="J548" i="155"/>
  <c r="J537" i="155"/>
  <c r="J530" i="155"/>
  <c r="J519" i="155"/>
  <c r="J512" i="155"/>
  <c r="J501" i="155"/>
  <c r="J494" i="155"/>
  <c r="J483" i="155"/>
  <c r="J476" i="155"/>
  <c r="J1103" i="155"/>
  <c r="J1092" i="155"/>
  <c r="J1083" i="155"/>
  <c r="J1076" i="155"/>
  <c r="J1069" i="155"/>
  <c r="J1047" i="155"/>
  <c r="J1041" i="155"/>
  <c r="J1035" i="155"/>
  <c r="J1029" i="155"/>
  <c r="J1023" i="155"/>
  <c r="J1017" i="155"/>
  <c r="J1011" i="155"/>
  <c r="J1005" i="155"/>
  <c r="J999" i="155"/>
  <c r="J993" i="155"/>
  <c r="J987" i="155"/>
  <c r="J981" i="155"/>
  <c r="J975" i="155"/>
  <c r="J882" i="155"/>
  <c r="J875" i="155"/>
  <c r="J864" i="155"/>
  <c r="J857" i="155"/>
  <c r="J846" i="155"/>
  <c r="J839" i="155"/>
  <c r="J828" i="155"/>
  <c r="J821" i="155"/>
  <c r="J810" i="155"/>
  <c r="J803" i="155"/>
  <c r="J792" i="155"/>
  <c r="J785" i="155"/>
  <c r="J774" i="155"/>
  <c r="J767" i="155"/>
  <c r="J756" i="155"/>
  <c r="J749" i="155"/>
  <c r="J738" i="155"/>
  <c r="J731" i="155"/>
  <c r="J720" i="155"/>
  <c r="J713" i="155"/>
  <c r="J702" i="155"/>
  <c r="J695" i="155"/>
  <c r="J684" i="155"/>
  <c r="J1090" i="155"/>
  <c r="J1068" i="155"/>
  <c r="J1061" i="155"/>
  <c r="J1054" i="155"/>
  <c r="J969" i="155"/>
  <c r="J965" i="155"/>
  <c r="J960" i="155"/>
  <c r="J956" i="155"/>
  <c r="J951" i="155"/>
  <c r="J947" i="155"/>
  <c r="J942" i="155"/>
  <c r="J938" i="155"/>
  <c r="J933" i="155"/>
  <c r="J929" i="155"/>
  <c r="J924" i="155"/>
  <c r="J920" i="155"/>
  <c r="J915" i="155"/>
  <c r="J911" i="155"/>
  <c r="J906" i="155"/>
  <c r="J902" i="155"/>
  <c r="J897" i="155"/>
  <c r="J893" i="155"/>
  <c r="J885" i="155"/>
  <c r="J878" i="155"/>
  <c r="J867" i="155"/>
  <c r="J860" i="155"/>
  <c r="J849" i="155"/>
  <c r="J842" i="155"/>
  <c r="J831" i="155"/>
  <c r="J824" i="155"/>
  <c r="J813" i="155"/>
  <c r="J806" i="155"/>
  <c r="J795" i="155"/>
  <c r="J788" i="155"/>
  <c r="J777" i="155"/>
  <c r="J770" i="155"/>
  <c r="J759" i="155"/>
  <c r="J752" i="155"/>
  <c r="J741" i="155"/>
  <c r="J734" i="155"/>
  <c r="J723" i="155"/>
  <c r="J1074" i="155"/>
  <c r="J1067" i="155"/>
  <c r="J1060" i="155"/>
  <c r="J888" i="155"/>
  <c r="J881" i="155"/>
  <c r="J870" i="155"/>
  <c r="J863" i="155"/>
  <c r="J852" i="155"/>
  <c r="J845" i="155"/>
  <c r="J834" i="155"/>
  <c r="J827" i="155"/>
  <c r="J816" i="155"/>
  <c r="J809" i="155"/>
  <c r="J798" i="155"/>
  <c r="J791" i="155"/>
  <c r="J780" i="155"/>
  <c r="J773" i="155"/>
  <c r="J762" i="155"/>
  <c r="J755" i="155"/>
  <c r="J744" i="155"/>
  <c r="J737" i="155"/>
  <c r="J726" i="155"/>
  <c r="J719" i="155"/>
  <c r="J708" i="155"/>
  <c r="J701" i="155"/>
  <c r="J690" i="155"/>
  <c r="J683" i="155"/>
  <c r="J672" i="155"/>
  <c r="J665" i="155"/>
  <c r="J654" i="155"/>
  <c r="J647" i="155"/>
  <c r="J636" i="155"/>
  <c r="J629" i="155"/>
  <c r="J618" i="155"/>
  <c r="J611" i="155"/>
  <c r="J600" i="155"/>
  <c r="J593" i="155"/>
  <c r="J582" i="155"/>
  <c r="J575" i="155"/>
  <c r="J564" i="155"/>
  <c r="J557" i="155"/>
  <c r="J546" i="155"/>
  <c r="J539" i="155"/>
  <c r="J528" i="155"/>
  <c r="J521" i="155"/>
  <c r="J510" i="155"/>
  <c r="J503" i="155"/>
  <c r="J1097" i="155"/>
  <c r="J1087" i="155"/>
  <c r="J1065" i="155"/>
  <c r="J1058" i="155"/>
  <c r="J1051" i="155"/>
  <c r="J1044" i="155"/>
  <c r="J1038" i="155"/>
  <c r="J1032" i="155"/>
  <c r="J1026" i="155"/>
  <c r="J1020" i="155"/>
  <c r="J1014" i="155"/>
  <c r="J1008" i="155"/>
  <c r="J1002" i="155"/>
  <c r="J996" i="155"/>
  <c r="J990" i="155"/>
  <c r="J984" i="155"/>
  <c r="J978" i="155"/>
  <c r="J972" i="155"/>
  <c r="J968" i="155"/>
  <c r="J963" i="155"/>
  <c r="J959" i="155"/>
  <c r="J954" i="155"/>
  <c r="J950" i="155"/>
  <c r="J945" i="155"/>
  <c r="J941" i="155"/>
  <c r="J936" i="155"/>
  <c r="J932" i="155"/>
  <c r="J927" i="155"/>
  <c r="J923" i="155"/>
  <c r="J918" i="155"/>
  <c r="J914" i="155"/>
  <c r="J909" i="155"/>
  <c r="J905" i="155"/>
  <c r="J900" i="155"/>
  <c r="J896" i="155"/>
  <c r="J891" i="155"/>
  <c r="J884" i="155"/>
  <c r="J873" i="155"/>
  <c r="J866" i="155"/>
  <c r="J855" i="155"/>
  <c r="J848" i="155"/>
  <c r="J837" i="155"/>
  <c r="J830" i="155"/>
  <c r="J819" i="155"/>
  <c r="J812" i="155"/>
  <c r="J801" i="155"/>
  <c r="J794" i="155"/>
  <c r="J783" i="155"/>
  <c r="J776" i="155"/>
  <c r="J765" i="155"/>
  <c r="J758" i="155"/>
  <c r="J747" i="155"/>
  <c r="J1108" i="155"/>
  <c r="J1096" i="155"/>
  <c r="J1086" i="155"/>
  <c r="J1079" i="155"/>
  <c r="J1072" i="155"/>
  <c r="J1050" i="155"/>
  <c r="J887" i="155"/>
  <c r="J876" i="155"/>
  <c r="J869" i="155"/>
  <c r="J858" i="155"/>
  <c r="J851" i="155"/>
  <c r="J840" i="155"/>
  <c r="J833" i="155"/>
  <c r="J822" i="155"/>
  <c r="J815" i="155"/>
  <c r="J804" i="155"/>
  <c r="J797" i="155"/>
  <c r="J786" i="155"/>
  <c r="J779" i="155"/>
  <c r="J768" i="155"/>
  <c r="J761" i="155"/>
  <c r="J750" i="155"/>
  <c r="J743" i="155"/>
  <c r="J732" i="155"/>
  <c r="J725" i="155"/>
  <c r="J714" i="155"/>
  <c r="J707" i="155"/>
  <c r="J696" i="155"/>
  <c r="J689" i="155"/>
  <c r="J678" i="155"/>
  <c r="J671" i="155"/>
  <c r="J660" i="155"/>
  <c r="J653" i="155"/>
  <c r="J642" i="155"/>
  <c r="J635" i="155"/>
  <c r="J624" i="155"/>
  <c r="J617" i="155"/>
  <c r="J606" i="155"/>
  <c r="J599" i="155"/>
  <c r="J588" i="155"/>
  <c r="J581" i="155"/>
  <c r="J570" i="155"/>
  <c r="J563" i="155"/>
  <c r="J552" i="155"/>
  <c r="J545" i="155"/>
  <c r="J534" i="155"/>
  <c r="J527" i="155"/>
  <c r="J516" i="155"/>
  <c r="J509" i="155"/>
  <c r="J498" i="155"/>
  <c r="J491" i="155"/>
  <c r="J480" i="155"/>
  <c r="J473" i="155"/>
  <c r="F31" i="14"/>
  <c r="F28" i="14"/>
  <c r="F25" i="14"/>
  <c r="F70" i="11"/>
  <c r="F54" i="11"/>
  <c r="F51" i="11"/>
  <c r="K29" i="11"/>
  <c r="K26" i="11"/>
  <c r="K20" i="11"/>
  <c r="K14" i="11"/>
  <c r="F30" i="11"/>
  <c r="F24" i="11"/>
  <c r="G22" i="10"/>
  <c r="G19" i="10"/>
  <c r="K15" i="156"/>
  <c r="F26" i="156"/>
  <c r="F20" i="156"/>
  <c r="J716" i="155"/>
  <c r="J705" i="155"/>
  <c r="J669" i="155"/>
  <c r="J662" i="155"/>
  <c r="J633" i="155"/>
  <c r="J626" i="155"/>
  <c r="J597" i="155"/>
  <c r="J590" i="155"/>
  <c r="J561" i="155"/>
  <c r="J554" i="155"/>
  <c r="J525" i="155"/>
  <c r="J518" i="155"/>
  <c r="J462" i="155"/>
  <c r="J455" i="155"/>
  <c r="J448" i="155"/>
  <c r="J444" i="155"/>
  <c r="J437" i="155"/>
  <c r="J430" i="155"/>
  <c r="J426" i="155"/>
  <c r="J419" i="155"/>
  <c r="J412" i="155"/>
  <c r="J408" i="155"/>
  <c r="J401" i="155"/>
  <c r="J394" i="155"/>
  <c r="J390" i="155"/>
  <c r="J383" i="155"/>
  <c r="J376" i="155"/>
  <c r="J372" i="155"/>
  <c r="J365" i="155"/>
  <c r="J358" i="155"/>
  <c r="J354" i="155"/>
  <c r="J347" i="155"/>
  <c r="J340" i="155"/>
  <c r="J336" i="155"/>
  <c r="J329" i="155"/>
  <c r="J322" i="155"/>
  <c r="J318" i="155"/>
  <c r="J311" i="155"/>
  <c r="J304" i="155"/>
  <c r="J300" i="155"/>
  <c r="J286" i="155"/>
  <c r="J282" i="155"/>
  <c r="J275" i="155"/>
  <c r="J268" i="155"/>
  <c r="J264" i="155"/>
  <c r="J257" i="155"/>
  <c r="J250" i="155"/>
  <c r="J246" i="155"/>
  <c r="J239" i="155"/>
  <c r="J232" i="155"/>
  <c r="J221" i="155"/>
  <c r="J214" i="155"/>
  <c r="J191" i="155"/>
  <c r="J184" i="155"/>
  <c r="J177" i="155"/>
  <c r="J155" i="155"/>
  <c r="J136" i="155"/>
  <c r="J129" i="155"/>
  <c r="J122" i="155"/>
  <c r="F15" i="14"/>
  <c r="J100" i="155"/>
  <c r="J93" i="155"/>
  <c r="J82" i="155"/>
  <c r="J75" i="155"/>
  <c r="J64" i="155"/>
  <c r="J57" i="155"/>
  <c r="J50" i="155"/>
  <c r="J39" i="155"/>
  <c r="J28" i="155"/>
  <c r="J21" i="155"/>
  <c r="J14" i="155"/>
  <c r="F13" i="156"/>
  <c r="J307" i="155"/>
  <c r="J253" i="155"/>
  <c r="J235" i="155"/>
  <c r="J213" i="155"/>
  <c r="J194" i="155"/>
  <c r="J187" i="155"/>
  <c r="J176" i="155"/>
  <c r="J162" i="155"/>
  <c r="J85" i="155"/>
  <c r="J78" i="155"/>
  <c r="F32" i="11"/>
  <c r="J49" i="155"/>
  <c r="J31" i="155"/>
  <c r="J13" i="155"/>
  <c r="J729" i="155"/>
  <c r="J704" i="155"/>
  <c r="J693" i="155"/>
  <c r="J675" i="155"/>
  <c r="J668" i="155"/>
  <c r="J639" i="155"/>
  <c r="J632" i="155"/>
  <c r="J603" i="155"/>
  <c r="J596" i="155"/>
  <c r="J567" i="155"/>
  <c r="J560" i="155"/>
  <c r="J531" i="155"/>
  <c r="J524" i="155"/>
  <c r="J485" i="155"/>
  <c r="J479" i="155"/>
  <c r="J474" i="155"/>
  <c r="J470" i="155"/>
  <c r="J465" i="155"/>
  <c r="J458" i="155"/>
  <c r="J451" i="155"/>
  <c r="J447" i="155"/>
  <c r="J440" i="155"/>
  <c r="J433" i="155"/>
  <c r="J429" i="155"/>
  <c r="J422" i="155"/>
  <c r="J415" i="155"/>
  <c r="J411" i="155"/>
  <c r="J404" i="155"/>
  <c r="J397" i="155"/>
  <c r="J393" i="155"/>
  <c r="J386" i="155"/>
  <c r="J379" i="155"/>
  <c r="J375" i="155"/>
  <c r="J368" i="155"/>
  <c r="J361" i="155"/>
  <c r="J357" i="155"/>
  <c r="J350" i="155"/>
  <c r="J343" i="155"/>
  <c r="J339" i="155"/>
  <c r="J332" i="155"/>
  <c r="J325" i="155"/>
  <c r="J321" i="155"/>
  <c r="J314" i="155"/>
  <c r="J303" i="155"/>
  <c r="J296" i="155"/>
  <c r="J289" i="155"/>
  <c r="J285" i="155"/>
  <c r="J278" i="155"/>
  <c r="J271" i="155"/>
  <c r="J260" i="155"/>
  <c r="J143" i="155"/>
  <c r="J125" i="155"/>
  <c r="J107" i="155"/>
  <c r="J89" i="155"/>
  <c r="J67" i="155"/>
  <c r="K20" i="156"/>
  <c r="J666" i="155"/>
  <c r="J659" i="155"/>
  <c r="J630" i="155"/>
  <c r="J623" i="155"/>
  <c r="J594" i="155"/>
  <c r="J587" i="155"/>
  <c r="J558" i="155"/>
  <c r="J551" i="155"/>
  <c r="J522" i="155"/>
  <c r="J515" i="155"/>
  <c r="J495" i="155"/>
  <c r="J489" i="155"/>
  <c r="J461" i="155"/>
  <c r="J454" i="155"/>
  <c r="J450" i="155"/>
  <c r="J443" i="155"/>
  <c r="J436" i="155"/>
  <c r="J432" i="155"/>
  <c r="J425" i="155"/>
  <c r="J418" i="155"/>
  <c r="J414" i="155"/>
  <c r="J407" i="155"/>
  <c r="J400" i="155"/>
  <c r="J396" i="155"/>
  <c r="J389" i="155"/>
  <c r="J382" i="155"/>
  <c r="J378" i="155"/>
  <c r="J371" i="155"/>
  <c r="J364" i="155"/>
  <c r="J360" i="155"/>
  <c r="J353" i="155"/>
  <c r="J346" i="155"/>
  <c r="J342" i="155"/>
  <c r="J335" i="155"/>
  <c r="J328" i="155"/>
  <c r="J324" i="155"/>
  <c r="J317" i="155"/>
  <c r="J310" i="155"/>
  <c r="J306" i="155"/>
  <c r="J299" i="155"/>
  <c r="J292" i="155"/>
  <c r="J288" i="155"/>
  <c r="J281" i="155"/>
  <c r="J274" i="155"/>
  <c r="J270" i="155"/>
  <c r="J263" i="155"/>
  <c r="J256" i="155"/>
  <c r="J252" i="155"/>
  <c r="J245" i="155"/>
  <c r="J238" i="155"/>
  <c r="J234" i="155"/>
  <c r="J227" i="155"/>
  <c r="J220" i="155"/>
  <c r="J216" i="155"/>
  <c r="J209" i="155"/>
  <c r="J202" i="155"/>
  <c r="J198" i="155"/>
  <c r="J190" i="155"/>
  <c r="J183" i="155"/>
  <c r="J179" i="155"/>
  <c r="J172" i="155"/>
  <c r="J165" i="155"/>
  <c r="J161" i="155"/>
  <c r="J154" i="155"/>
  <c r="J146" i="155"/>
  <c r="J142" i="155"/>
  <c r="J135" i="155"/>
  <c r="J128" i="155"/>
  <c r="J124" i="155"/>
  <c r="F21" i="14"/>
  <c r="J117" i="155"/>
  <c r="J722" i="155"/>
  <c r="J711" i="155"/>
  <c r="J680" i="155"/>
  <c r="J651" i="155"/>
  <c r="J644" i="155"/>
  <c r="J615" i="155"/>
  <c r="J608" i="155"/>
  <c r="J579" i="155"/>
  <c r="J572" i="155"/>
  <c r="J543" i="155"/>
  <c r="J536" i="155"/>
  <c r="J507" i="155"/>
  <c r="J500" i="155"/>
  <c r="J468" i="155"/>
  <c r="J464" i="155"/>
  <c r="J457" i="155"/>
  <c r="J453" i="155"/>
  <c r="J446" i="155"/>
  <c r="J439" i="155"/>
  <c r="J435" i="155"/>
  <c r="J428" i="155"/>
  <c r="J421" i="155"/>
  <c r="J417" i="155"/>
  <c r="J410" i="155"/>
  <c r="J403" i="155"/>
  <c r="J399" i="155"/>
  <c r="J392" i="155"/>
  <c r="J385" i="155"/>
  <c r="J381" i="155"/>
  <c r="J374" i="155"/>
  <c r="J367" i="155"/>
  <c r="J363" i="155"/>
  <c r="J356" i="155"/>
  <c r="J349" i="155"/>
  <c r="J345" i="155"/>
  <c r="J338" i="155"/>
  <c r="J331" i="155"/>
  <c r="J327" i="155"/>
  <c r="J320" i="155"/>
  <c r="J313" i="155"/>
  <c r="J309" i="155"/>
  <c r="J302" i="155"/>
  <c r="J295" i="155"/>
  <c r="J291" i="155"/>
  <c r="J284" i="155"/>
  <c r="J277" i="155"/>
  <c r="J273" i="155"/>
  <c r="J266" i="155"/>
  <c r="J259" i="155"/>
  <c r="J255" i="155"/>
  <c r="J248" i="155"/>
  <c r="J241" i="155"/>
  <c r="J237" i="155"/>
  <c r="J230" i="155"/>
  <c r="J223" i="155"/>
  <c r="J219" i="155"/>
  <c r="J212" i="155"/>
  <c r="J205" i="155"/>
  <c r="J201" i="155"/>
  <c r="J193" i="155"/>
  <c r="J186" i="155"/>
  <c r="J182" i="155"/>
  <c r="J175" i="155"/>
  <c r="J168" i="155"/>
  <c r="J164" i="155"/>
  <c r="J157" i="155"/>
  <c r="J149" i="155"/>
  <c r="J145" i="155"/>
  <c r="J138" i="155"/>
  <c r="J131" i="155"/>
  <c r="J127" i="155"/>
  <c r="J120" i="155"/>
  <c r="J113" i="155"/>
  <c r="J109" i="155"/>
  <c r="J102" i="155"/>
  <c r="J95" i="155"/>
  <c r="J91" i="155"/>
  <c r="J84" i="155"/>
  <c r="J77" i="155"/>
  <c r="J73" i="155"/>
  <c r="J66" i="155"/>
  <c r="J59" i="155"/>
  <c r="J55" i="155"/>
  <c r="J48" i="155"/>
  <c r="F13" i="11"/>
  <c r="J41" i="155"/>
  <c r="J37" i="155"/>
  <c r="J30" i="155"/>
  <c r="K19" i="156"/>
  <c r="J23" i="155"/>
  <c r="J19" i="155"/>
  <c r="J12" i="155"/>
  <c r="J171" i="155"/>
  <c r="J130" i="155"/>
  <c r="J123" i="155"/>
  <c r="J112" i="155"/>
  <c r="F87" i="11"/>
  <c r="J740" i="155"/>
  <c r="J698" i="155"/>
  <c r="J687" i="155"/>
  <c r="J657" i="155"/>
  <c r="J650" i="155"/>
  <c r="J621" i="155"/>
  <c r="J614" i="155"/>
  <c r="J585" i="155"/>
  <c r="J578" i="155"/>
  <c r="J549" i="155"/>
  <c r="J542" i="155"/>
  <c r="J513" i="155"/>
  <c r="J506" i="155"/>
  <c r="J488" i="155"/>
  <c r="J482" i="155"/>
  <c r="J477" i="155"/>
  <c r="J460" i="155"/>
  <c r="J456" i="155"/>
  <c r="J449" i="155"/>
  <c r="J442" i="155"/>
  <c r="J438" i="155"/>
  <c r="J431" i="155"/>
  <c r="J424" i="155"/>
  <c r="J420" i="155"/>
  <c r="J413" i="155"/>
  <c r="J406" i="155"/>
  <c r="J402" i="155"/>
  <c r="J395" i="155"/>
  <c r="J388" i="155"/>
  <c r="J384" i="155"/>
  <c r="J377" i="155"/>
  <c r="J370" i="155"/>
  <c r="J366" i="155"/>
  <c r="J359" i="155"/>
  <c r="J352" i="155"/>
  <c r="J348" i="155"/>
  <c r="J341" i="155"/>
  <c r="J334" i="155"/>
  <c r="J330" i="155"/>
  <c r="J323" i="155"/>
  <c r="J316" i="155"/>
  <c r="J312" i="155"/>
  <c r="J305" i="155"/>
  <c r="J298" i="155"/>
  <c r="J294" i="155"/>
  <c r="J287" i="155"/>
  <c r="J280" i="155"/>
  <c r="J276" i="155"/>
  <c r="J269" i="155"/>
  <c r="J262" i="155"/>
  <c r="J258" i="155"/>
  <c r="J251" i="155"/>
  <c r="J244" i="155"/>
  <c r="J240" i="155"/>
  <c r="J233" i="155"/>
  <c r="J226" i="155"/>
  <c r="J222" i="155"/>
  <c r="J215" i="155"/>
  <c r="J208" i="155"/>
  <c r="J204" i="155"/>
  <c r="J197" i="155"/>
  <c r="J189" i="155"/>
  <c r="J185" i="155"/>
  <c r="J178" i="155"/>
  <c r="J167" i="155"/>
  <c r="J160" i="155"/>
  <c r="J152" i="155"/>
  <c r="J148" i="155"/>
  <c r="J141" i="155"/>
  <c r="J134" i="155"/>
  <c r="J116" i="155"/>
  <c r="J105" i="155"/>
  <c r="J686" i="155"/>
  <c r="J677" i="155"/>
  <c r="J648" i="155"/>
  <c r="J641" i="155"/>
  <c r="J612" i="155"/>
  <c r="J605" i="155"/>
  <c r="J576" i="155"/>
  <c r="J569" i="155"/>
  <c r="J540" i="155"/>
  <c r="J533" i="155"/>
  <c r="J504" i="155"/>
  <c r="J497" i="155"/>
  <c r="J492" i="155"/>
  <c r="J486" i="155"/>
  <c r="J471" i="155"/>
  <c r="J467" i="155"/>
  <c r="J463" i="155"/>
  <c r="J459" i="155"/>
  <c r="J452" i="155"/>
  <c r="J445" i="155"/>
  <c r="J441" i="155"/>
  <c r="J434" i="155"/>
  <c r="J427" i="155"/>
  <c r="J423" i="155"/>
  <c r="J416" i="155"/>
  <c r="J409" i="155"/>
  <c r="J405" i="155"/>
  <c r="J398" i="155"/>
  <c r="J391" i="155"/>
  <c r="J387" i="155"/>
  <c r="J380" i="155"/>
  <c r="J373" i="155"/>
  <c r="J369" i="155"/>
  <c r="J362" i="155"/>
  <c r="J355" i="155"/>
  <c r="J351" i="155"/>
  <c r="J344" i="155"/>
  <c r="J337" i="155"/>
  <c r="J333" i="155"/>
  <c r="J326" i="155"/>
  <c r="J319" i="155"/>
  <c r="J315" i="155"/>
  <c r="J308" i="155"/>
  <c r="J301" i="155"/>
  <c r="J297" i="155"/>
  <c r="J290" i="155"/>
  <c r="J283" i="155"/>
  <c r="J279" i="155"/>
  <c r="J272" i="155"/>
  <c r="J265" i="155"/>
  <c r="J261" i="155"/>
  <c r="J254" i="155"/>
  <c r="J247" i="155"/>
  <c r="J243" i="155"/>
  <c r="J236" i="155"/>
  <c r="J229" i="155"/>
  <c r="J225" i="155"/>
  <c r="J218" i="155"/>
  <c r="J211" i="155"/>
  <c r="J207" i="155"/>
  <c r="J200" i="155"/>
  <c r="J192" i="155"/>
  <c r="J188" i="155"/>
  <c r="J181" i="155"/>
  <c r="J174" i="155"/>
  <c r="J170" i="155"/>
  <c r="J163" i="155"/>
  <c r="J156" i="155"/>
  <c r="J151" i="155"/>
  <c r="J144" i="155"/>
  <c r="J137" i="155"/>
  <c r="J133" i="155"/>
  <c r="J126" i="155"/>
  <c r="F23" i="14"/>
  <c r="J119" i="155"/>
  <c r="J115" i="155"/>
  <c r="J108" i="155"/>
  <c r="F71" i="11"/>
  <c r="J101" i="155"/>
  <c r="J97" i="155"/>
  <c r="J90" i="155"/>
  <c r="K33" i="11"/>
  <c r="J83" i="155"/>
  <c r="J79" i="155"/>
  <c r="K22" i="11"/>
  <c r="J72" i="155"/>
  <c r="J65" i="155"/>
  <c r="J61" i="155"/>
  <c r="F26" i="11"/>
  <c r="J54" i="155"/>
  <c r="J47" i="155"/>
  <c r="J43" i="155"/>
  <c r="J36" i="155"/>
  <c r="K25" i="156"/>
  <c r="J29" i="155"/>
  <c r="J25" i="155"/>
  <c r="J18" i="155"/>
  <c r="J11" i="155"/>
  <c r="J7" i="155"/>
  <c r="J293" i="155"/>
  <c r="J228" i="155"/>
  <c r="J210" i="155"/>
  <c r="J203" i="155"/>
  <c r="J196" i="155"/>
  <c r="J173" i="155"/>
  <c r="J166" i="155"/>
  <c r="J159" i="155"/>
  <c r="J147" i="155"/>
  <c r="J140" i="155"/>
  <c r="J118" i="155"/>
  <c r="J111" i="155"/>
  <c r="J104" i="155"/>
  <c r="J86" i="155"/>
  <c r="J68" i="155"/>
  <c r="J46" i="155"/>
  <c r="G21" i="10"/>
  <c r="J32" i="155"/>
  <c r="J10" i="155"/>
  <c r="J267" i="155"/>
  <c r="J249" i="155"/>
  <c r="J242" i="155"/>
  <c r="J231" i="155"/>
  <c r="J224" i="155"/>
  <c r="J217" i="155"/>
  <c r="J206" i="155"/>
  <c r="J199" i="155"/>
  <c r="J180" i="155"/>
  <c r="J169" i="155"/>
  <c r="J158" i="155"/>
  <c r="J150" i="155"/>
  <c r="J139" i="155"/>
  <c r="J132" i="155"/>
  <c r="J121" i="155"/>
  <c r="J114" i="155"/>
  <c r="J103" i="155"/>
  <c r="J96" i="155"/>
  <c r="K28" i="11"/>
  <c r="J71" i="155"/>
  <c r="J60" i="155"/>
  <c r="J53" i="155"/>
  <c r="J42" i="155"/>
  <c r="J35" i="155"/>
  <c r="J24" i="155"/>
  <c r="J17" i="155"/>
  <c r="J6" i="155"/>
  <c r="F69" i="11"/>
  <c r="J58" i="155"/>
  <c r="J26" i="155"/>
  <c r="K13" i="11"/>
  <c r="J99" i="155"/>
  <c r="J88" i="155"/>
  <c r="J56" i="155"/>
  <c r="J45" i="155"/>
  <c r="J34" i="155"/>
  <c r="F19" i="156"/>
  <c r="J98" i="155"/>
  <c r="J87" i="155"/>
  <c r="J76" i="155"/>
  <c r="F23" i="11"/>
  <c r="J44" i="155"/>
  <c r="J33" i="155"/>
  <c r="J22" i="155"/>
  <c r="F18" i="156"/>
  <c r="J74" i="155"/>
  <c r="J63" i="155"/>
  <c r="J52" i="155"/>
  <c r="K23" i="156"/>
  <c r="J20" i="155"/>
  <c r="J9" i="155"/>
  <c r="J110" i="155"/>
  <c r="J94" i="155"/>
  <c r="K30" i="11"/>
  <c r="K19" i="11"/>
  <c r="J62" i="155"/>
  <c r="J51" i="155"/>
  <c r="J40" i="155"/>
  <c r="J8" i="155"/>
  <c r="J106" i="155"/>
  <c r="J92" i="155"/>
  <c r="J81" i="155"/>
  <c r="J70" i="155"/>
  <c r="F28" i="11"/>
  <c r="J38" i="155"/>
  <c r="J27" i="155"/>
  <c r="J16" i="155"/>
  <c r="F47" i="11"/>
  <c r="J80" i="155"/>
  <c r="J69" i="155"/>
  <c r="J15" i="155"/>
  <c r="D4" i="9"/>
  <c r="D3" i="9"/>
  <c r="F5" i="7" l="1"/>
  <c r="D6" i="7"/>
  <c r="A282" i="134" l="1"/>
  <c r="A64" i="11"/>
  <c r="U3" i="155"/>
  <c r="A25" i="128"/>
  <c r="A236" i="134"/>
  <c r="A10" i="162"/>
  <c r="A10" i="105"/>
  <c r="A10" i="69"/>
  <c r="A10" i="149"/>
  <c r="A10" i="148"/>
  <c r="A33" i="56"/>
  <c r="A46" i="149"/>
  <c r="A10" i="79"/>
  <c r="A28" i="60"/>
  <c r="A9" i="49"/>
  <c r="A51" i="96"/>
  <c r="A20" i="123"/>
  <c r="A9" i="84"/>
  <c r="A10" i="24"/>
  <c r="A10" i="119"/>
  <c r="A38" i="139"/>
  <c r="A20" i="135"/>
  <c r="A13" i="58"/>
  <c r="A39" i="31"/>
  <c r="A39" i="95"/>
  <c r="A30" i="105"/>
  <c r="A31" i="74"/>
  <c r="A22" i="96"/>
  <c r="A151" i="134"/>
  <c r="A41" i="92"/>
  <c r="A19" i="74"/>
  <c r="A10" i="27"/>
  <c r="A10" i="135"/>
  <c r="A29" i="131"/>
  <c r="A25" i="76"/>
  <c r="A10" i="66"/>
  <c r="A299" i="134"/>
  <c r="A10" i="90"/>
  <c r="A10" i="110"/>
  <c r="A54" i="82"/>
  <c r="A11" i="133"/>
  <c r="A10" i="140"/>
  <c r="A30" i="81"/>
  <c r="A165" i="134"/>
  <c r="A10" i="160"/>
  <c r="A19" i="63"/>
  <c r="A10" i="75"/>
  <c r="A9" i="116"/>
  <c r="A10" i="152"/>
  <c r="A10" i="137"/>
  <c r="A9" i="83"/>
  <c r="A34" i="162"/>
  <c r="A46" i="115"/>
  <c r="A10" i="36"/>
  <c r="A42" i="79"/>
  <c r="A10" i="123"/>
  <c r="A23" i="92"/>
  <c r="A31" i="66"/>
  <c r="A44" i="101"/>
  <c r="A316" i="134"/>
  <c r="A25" i="24"/>
  <c r="A10" i="77"/>
  <c r="A10" i="97"/>
  <c r="A73" i="72"/>
  <c r="A28" i="58"/>
  <c r="A10" i="30"/>
  <c r="A39" i="96"/>
  <c r="A10" i="101"/>
  <c r="A32" i="135"/>
  <c r="B248" i="134"/>
  <c r="A10" i="25"/>
  <c r="A90" i="63"/>
  <c r="A36" i="63"/>
  <c r="A43" i="58"/>
  <c r="A10" i="98"/>
  <c r="A10" i="56"/>
  <c r="A48" i="49"/>
  <c r="A10" i="91"/>
  <c r="A53" i="81"/>
  <c r="A9" i="128"/>
  <c r="A181" i="134"/>
  <c r="A27" i="101"/>
  <c r="A31" i="49"/>
  <c r="A34" i="88"/>
  <c r="A9" i="118"/>
  <c r="A72" i="92"/>
  <c r="A248" i="134"/>
  <c r="A10" i="159"/>
  <c r="A260" i="134"/>
  <c r="B103" i="134"/>
  <c r="A73" i="63"/>
  <c r="A10" i="144"/>
  <c r="A10" i="99"/>
  <c r="A10" i="111"/>
  <c r="A10" i="145"/>
  <c r="A51" i="56"/>
  <c r="A27" i="145"/>
  <c r="A40" i="161"/>
  <c r="A11" i="138"/>
  <c r="A10" i="11"/>
  <c r="A10" i="88"/>
  <c r="A10" i="130"/>
  <c r="A10" i="132"/>
  <c r="A33" i="80"/>
  <c r="A9" i="72"/>
  <c r="A10" i="21"/>
  <c r="A362" i="134"/>
  <c r="A44" i="63"/>
  <c r="A10" i="48"/>
  <c r="A23" i="70"/>
  <c r="A10" i="80"/>
  <c r="A67" i="49"/>
  <c r="A31" i="112"/>
  <c r="B10" i="134"/>
  <c r="A28" i="71"/>
  <c r="A16" i="108"/>
  <c r="A10" i="139"/>
  <c r="A66" i="66"/>
  <c r="A10" i="76"/>
  <c r="A9" i="53"/>
  <c r="A10" i="17"/>
  <c r="A19" i="131"/>
  <c r="A10" i="134"/>
  <c r="A271" i="134"/>
  <c r="A38" i="72"/>
  <c r="A9" i="131"/>
  <c r="A23" i="136"/>
  <c r="A81" i="92"/>
  <c r="A9" i="114"/>
  <c r="A10" i="82"/>
  <c r="A77" i="96"/>
  <c r="A65" i="63"/>
  <c r="A13" i="18"/>
  <c r="A9" i="85"/>
  <c r="A10" i="109"/>
  <c r="A10" i="71"/>
  <c r="A55" i="63"/>
  <c r="A45" i="14"/>
  <c r="A9" i="89"/>
  <c r="B210" i="134"/>
  <c r="A71" i="81"/>
  <c r="A9" i="136"/>
  <c r="A10" i="125"/>
  <c r="A83" i="14"/>
  <c r="A9" i="112"/>
  <c r="A82" i="134"/>
  <c r="A9" i="32"/>
  <c r="A54" i="92"/>
  <c r="A10" i="23"/>
  <c r="A10" i="19"/>
  <c r="A46" i="60"/>
  <c r="A10" i="14"/>
  <c r="A41" i="71"/>
  <c r="A11" i="70"/>
  <c r="A10" i="96"/>
  <c r="A25" i="134"/>
  <c r="A95" i="66"/>
  <c r="A330" i="134"/>
  <c r="A11" i="74"/>
  <c r="A9" i="108"/>
  <c r="A23" i="98"/>
  <c r="A76" i="66"/>
  <c r="A25" i="25"/>
  <c r="A26" i="79"/>
  <c r="A54" i="66"/>
  <c r="A27" i="75"/>
  <c r="B236" i="134"/>
  <c r="A10" i="10"/>
  <c r="A10" i="29"/>
  <c r="A41" i="66"/>
  <c r="A63" i="72"/>
  <c r="A10" i="95"/>
  <c r="A118" i="134"/>
  <c r="A10" i="63"/>
  <c r="A10" i="143"/>
  <c r="A10" i="115"/>
  <c r="A33" i="89"/>
  <c r="A29" i="123"/>
  <c r="A134" i="134"/>
  <c r="A33" i="97"/>
  <c r="A51" i="128"/>
  <c r="A10" i="156"/>
  <c r="A28" i="149"/>
  <c r="A10" i="31"/>
  <c r="A42" i="11"/>
  <c r="A84" i="11"/>
  <c r="B82" i="134"/>
  <c r="A10" i="161"/>
  <c r="A88" i="49"/>
  <c r="A23" i="72"/>
  <c r="A103" i="134"/>
  <c r="A21" i="120"/>
  <c r="A20" i="77"/>
  <c r="A10" i="92"/>
  <c r="A44" i="145"/>
  <c r="A10" i="104"/>
  <c r="A12" i="81"/>
  <c r="A34" i="90"/>
  <c r="A11" i="60"/>
  <c r="A376" i="134"/>
  <c r="A68" i="96"/>
  <c r="A10" i="120"/>
  <c r="A32" i="82"/>
  <c r="A10" i="117"/>
  <c r="A39" i="128"/>
  <c r="B27" i="145" l="1"/>
  <c r="B9" i="84"/>
  <c r="B46" i="149"/>
  <c r="B10" i="145"/>
  <c r="B9" i="83"/>
  <c r="B10" i="139"/>
  <c r="B29" i="131"/>
  <c r="B10" i="80"/>
  <c r="B9" i="112"/>
  <c r="B299" i="134"/>
  <c r="B12" i="81"/>
  <c r="B32" i="82"/>
  <c r="B33" i="80"/>
  <c r="I46" i="115"/>
  <c r="B9" i="108"/>
  <c r="B10" i="56"/>
  <c r="B33" i="56"/>
  <c r="B10" i="82"/>
  <c r="B10" i="143"/>
  <c r="B71" i="81"/>
  <c r="I10" i="117"/>
  <c r="B9" i="118"/>
  <c r="B13" i="58"/>
  <c r="C27" i="101"/>
  <c r="C42" i="79"/>
  <c r="B48" i="49"/>
  <c r="B51" i="96"/>
  <c r="B10" i="22"/>
  <c r="B53" i="81"/>
  <c r="B10" i="99"/>
  <c r="B39" i="95"/>
  <c r="B10" i="152"/>
  <c r="B10" i="10"/>
  <c r="B10" i="92"/>
  <c r="B10" i="97"/>
  <c r="B44" i="145"/>
  <c r="H10" i="159"/>
  <c r="C10" i="159"/>
  <c r="B54" i="92"/>
  <c r="B9" i="89"/>
  <c r="B10" i="156"/>
  <c r="B28" i="149"/>
  <c r="B23" i="98"/>
  <c r="C10" i="117"/>
  <c r="B88" i="49"/>
  <c r="B68" i="96"/>
  <c r="B9" i="116"/>
  <c r="B67" i="49"/>
  <c r="B81" i="92"/>
  <c r="B30" i="81"/>
  <c r="B10" i="111"/>
  <c r="B10" i="36"/>
  <c r="B83" i="14"/>
  <c r="B10" i="25"/>
  <c r="B54" i="82"/>
  <c r="B9" i="131"/>
  <c r="B33" i="89"/>
  <c r="B84" i="11"/>
  <c r="I10" i="115"/>
  <c r="B9" i="49"/>
  <c r="C34" i="90"/>
  <c r="D10" i="115"/>
  <c r="B51" i="56"/>
  <c r="B9" i="85"/>
  <c r="B10" i="105"/>
  <c r="B31" i="49"/>
  <c r="H10" i="91"/>
  <c r="C10" i="144"/>
  <c r="C26" i="79"/>
  <c r="B10" i="98"/>
  <c r="B10" i="27"/>
  <c r="B72" i="92"/>
  <c r="B10" i="148"/>
  <c r="B10" i="11"/>
  <c r="C10" i="79"/>
  <c r="B10" i="29"/>
  <c r="H44" i="101"/>
  <c r="B9" i="32"/>
  <c r="C44" i="101"/>
  <c r="B39" i="31"/>
  <c r="B25" i="25"/>
  <c r="B77" i="96"/>
  <c r="B25" i="24"/>
  <c r="B64" i="11"/>
  <c r="B33" i="97"/>
  <c r="H10" i="25"/>
  <c r="B282" i="134"/>
  <c r="B10" i="109"/>
  <c r="B10" i="31"/>
  <c r="B16" i="108"/>
  <c r="B9" i="53"/>
  <c r="B9" i="114"/>
  <c r="B23" i="92"/>
  <c r="H10" i="101"/>
  <c r="B10" i="30"/>
  <c r="H10" i="24"/>
  <c r="C10" i="101"/>
  <c r="B10" i="21"/>
  <c r="B22" i="96"/>
  <c r="B10" i="23"/>
  <c r="D46" i="115"/>
  <c r="H27" i="101"/>
  <c r="B10" i="96"/>
  <c r="B10" i="24"/>
  <c r="B39" i="96"/>
  <c r="B38" i="139"/>
  <c r="B19" i="131"/>
  <c r="B34" i="162"/>
  <c r="B10" i="19"/>
  <c r="B10" i="162"/>
  <c r="B13" i="18"/>
  <c r="C10" i="91"/>
  <c r="B10" i="160"/>
  <c r="B42" i="11"/>
  <c r="B40" i="161"/>
  <c r="C10" i="90"/>
  <c r="B10" i="149"/>
  <c r="B41" i="92"/>
  <c r="B45" i="14"/>
  <c r="B10" i="14"/>
  <c r="B10" i="161"/>
  <c r="B10" i="95"/>
  <c r="B12" i="41" l="1"/>
  <c r="J133" i="41" l="1"/>
  <c r="C12" i="97"/>
  <c r="C12" i="25"/>
  <c r="B46" i="134"/>
  <c r="C11" i="83"/>
  <c r="D105" i="134"/>
  <c r="C11" i="112"/>
  <c r="B157" i="41"/>
  <c r="A157" i="41"/>
  <c r="B67" i="134"/>
  <c r="B120" i="134"/>
  <c r="F84" i="41"/>
  <c r="B33" i="66"/>
  <c r="C11" i="116"/>
  <c r="C27" i="24"/>
  <c r="C41" i="96"/>
  <c r="B97" i="66"/>
  <c r="C12" i="22"/>
  <c r="F108" i="41"/>
  <c r="C12" i="82"/>
  <c r="C92" i="63"/>
  <c r="C12" i="143"/>
  <c r="F60" i="41"/>
  <c r="C79" i="96"/>
  <c r="B92" i="63"/>
  <c r="B12" i="76"/>
  <c r="B22" i="135"/>
  <c r="C43" i="92"/>
  <c r="H12" i="21"/>
  <c r="H92" i="63"/>
  <c r="C11" i="32"/>
  <c r="B12" i="75"/>
  <c r="B40" i="72"/>
  <c r="C12" i="23"/>
  <c r="B30" i="71"/>
  <c r="C12" i="148"/>
  <c r="B25" i="72"/>
  <c r="C12" i="139"/>
  <c r="C36" i="162"/>
  <c r="B36" i="41"/>
  <c r="C12" i="92"/>
  <c r="C29" i="145"/>
  <c r="D11" i="116"/>
  <c r="A181" i="41"/>
  <c r="B12" i="66"/>
  <c r="C12" i="80"/>
  <c r="C44" i="11"/>
  <c r="A11" i="87"/>
  <c r="B38" i="63"/>
  <c r="D12" i="134"/>
  <c r="C48" i="149"/>
  <c r="F133" i="41"/>
  <c r="B75" i="72"/>
  <c r="C12" i="27"/>
  <c r="C12" i="152"/>
  <c r="B12" i="90"/>
  <c r="B378" i="134"/>
  <c r="C12" i="31"/>
  <c r="W4" i="155"/>
  <c r="B67" i="63"/>
  <c r="C41" i="31"/>
  <c r="B12" i="71"/>
  <c r="C12" i="134"/>
  <c r="B46" i="63"/>
  <c r="C97" i="66"/>
  <c r="C31" i="131"/>
  <c r="B133" i="41"/>
  <c r="B27" i="134"/>
  <c r="B43" i="66"/>
  <c r="C86" i="11"/>
  <c r="C12" i="98"/>
  <c r="C46" i="145"/>
  <c r="C12" i="162"/>
  <c r="D84" i="134"/>
  <c r="C12" i="71"/>
  <c r="C15" i="18"/>
  <c r="B78" i="66"/>
  <c r="J108" i="41"/>
  <c r="C83" i="92"/>
  <c r="G12" i="160"/>
  <c r="C301" i="134"/>
  <c r="B12" i="115"/>
  <c r="C67" i="134"/>
  <c r="C41" i="128"/>
  <c r="B12" i="91"/>
  <c r="C12" i="10"/>
  <c r="I12" i="24"/>
  <c r="B48" i="60"/>
  <c r="C12" i="19"/>
  <c r="C70" i="96"/>
  <c r="B136" i="134"/>
  <c r="C12" i="115"/>
  <c r="C34" i="82"/>
  <c r="C40" i="139"/>
  <c r="C12" i="156"/>
  <c r="C27" i="128"/>
  <c r="H12" i="14"/>
  <c r="B108" i="41"/>
  <c r="F157" i="41"/>
  <c r="C136" i="134"/>
  <c r="B75" i="63"/>
  <c r="C73" i="81"/>
  <c r="C12" i="145"/>
  <c r="B12" i="63"/>
  <c r="B12" i="37"/>
  <c r="C75" i="72"/>
  <c r="B57" i="63"/>
  <c r="B43" i="71"/>
  <c r="D15" i="18"/>
  <c r="B181" i="41"/>
  <c r="D12" i="117"/>
  <c r="B167" i="134"/>
  <c r="Z4" i="155"/>
  <c r="C30" i="71"/>
  <c r="D12" i="10"/>
  <c r="C12" i="160"/>
  <c r="C84" i="134"/>
  <c r="B44" i="79"/>
  <c r="C14" i="81"/>
  <c r="C33" i="112"/>
  <c r="I12" i="25"/>
  <c r="C42" i="161"/>
  <c r="C85" i="14"/>
  <c r="H12" i="156"/>
  <c r="B12" i="137"/>
  <c r="C24" i="96"/>
  <c r="B84" i="41"/>
  <c r="B153" i="134"/>
  <c r="C35" i="97"/>
  <c r="B196" i="134"/>
  <c r="C46" i="134"/>
  <c r="C25" i="98"/>
  <c r="B56" i="66"/>
  <c r="J157" i="41"/>
  <c r="C212" i="134"/>
  <c r="C66" i="11"/>
  <c r="C12" i="14"/>
  <c r="C12" i="99"/>
  <c r="B34" i="135"/>
  <c r="H97" i="66"/>
  <c r="C12" i="21"/>
  <c r="J181" i="41"/>
  <c r="B12" i="119"/>
  <c r="B12" i="135"/>
  <c r="J84" i="41"/>
  <c r="C12" i="95"/>
  <c r="A84" i="41"/>
  <c r="C56" i="92"/>
  <c r="C53" i="128"/>
  <c r="C12" i="30"/>
  <c r="C21" i="131"/>
  <c r="A27" i="87"/>
  <c r="F36" i="41"/>
  <c r="C47" i="14"/>
  <c r="C27" i="25"/>
  <c r="B28" i="79"/>
  <c r="C12" i="11"/>
  <c r="C11" i="85"/>
  <c r="C41" i="95"/>
  <c r="C11" i="131"/>
  <c r="A133" i="41"/>
  <c r="J36" i="41"/>
  <c r="C32" i="81"/>
  <c r="B36" i="90"/>
  <c r="H47" i="14"/>
  <c r="B68" i="66"/>
  <c r="B12" i="48"/>
  <c r="C25" i="92"/>
  <c r="C378" i="134"/>
  <c r="B12" i="79"/>
  <c r="C12" i="111"/>
  <c r="A12" i="41"/>
  <c r="B65" i="72"/>
  <c r="D301" i="134"/>
  <c r="B12" i="39"/>
  <c r="C12" i="24"/>
  <c r="C12" i="36"/>
  <c r="B12" i="69"/>
  <c r="B25" i="136"/>
  <c r="C27" i="134"/>
  <c r="C12" i="109"/>
  <c r="B60" i="41"/>
  <c r="H85" i="14"/>
  <c r="C56" i="82"/>
  <c r="B11" i="72"/>
  <c r="H12" i="11"/>
  <c r="B11" i="136"/>
  <c r="C11" i="118"/>
  <c r="C12" i="96"/>
  <c r="H12" i="23"/>
  <c r="B53" i="128"/>
  <c r="C12" i="149"/>
  <c r="C53" i="96"/>
  <c r="B27" i="76"/>
  <c r="C55" i="81"/>
  <c r="C12" i="161"/>
  <c r="B27" i="128"/>
  <c r="J12" i="117"/>
  <c r="A108" i="41"/>
  <c r="C11" i="128"/>
  <c r="A36" i="41"/>
  <c r="C105" i="134"/>
  <c r="B183" i="134"/>
  <c r="B29" i="75"/>
  <c r="C12" i="29"/>
  <c r="C30" i="149"/>
  <c r="C40" i="72"/>
  <c r="C11" i="84"/>
  <c r="F181" i="41"/>
  <c r="B11" i="128"/>
  <c r="B21" i="63"/>
  <c r="AA4" i="155"/>
  <c r="C284" i="134"/>
  <c r="A60" i="41"/>
  <c r="H12" i="139"/>
  <c r="B48" i="115"/>
  <c r="C48" i="115"/>
  <c r="C74" i="92"/>
  <c r="C35" i="80"/>
  <c r="B12" i="144"/>
  <c r="J60" i="41"/>
  <c r="B41" i="128"/>
  <c r="E11" i="53"/>
  <c r="H83" i="92" l="1"/>
  <c r="I67" i="63"/>
  <c r="D53" i="56"/>
  <c r="I46" i="101"/>
  <c r="D68" i="66"/>
  <c r="C12" i="135"/>
  <c r="D12" i="91"/>
  <c r="H46" i="145"/>
  <c r="H31" i="123"/>
  <c r="D79" i="96"/>
  <c r="E120" i="134"/>
  <c r="G12" i="69"/>
  <c r="D86" i="11"/>
  <c r="C22" i="123"/>
  <c r="J136" i="134"/>
  <c r="D46" i="145"/>
  <c r="H29" i="145"/>
  <c r="H11" i="128"/>
  <c r="D12" i="97"/>
  <c r="G12" i="77"/>
  <c r="E69" i="49"/>
  <c r="D12" i="159"/>
  <c r="E105" i="134"/>
  <c r="H32" i="105"/>
  <c r="H56" i="82"/>
  <c r="D38" i="63"/>
  <c r="I12" i="23"/>
  <c r="E364" i="134"/>
  <c r="E12" i="117"/>
  <c r="H25" i="92"/>
  <c r="I56" i="66"/>
  <c r="D41" i="31"/>
  <c r="N12" i="11"/>
  <c r="D12" i="139"/>
  <c r="E212" i="134"/>
  <c r="H12" i="152"/>
  <c r="G12" i="132"/>
  <c r="I29" i="101"/>
  <c r="H55" i="81"/>
  <c r="G30" i="60"/>
  <c r="E15" i="18"/>
  <c r="E250" i="134"/>
  <c r="C11" i="114"/>
  <c r="C11" i="89"/>
  <c r="D12" i="66"/>
  <c r="I12" i="139"/>
  <c r="C12" i="123"/>
  <c r="H41" i="95"/>
  <c r="D11" i="72"/>
  <c r="C12" i="48"/>
  <c r="D21" i="131"/>
  <c r="I85" i="14"/>
  <c r="D85" i="14"/>
  <c r="D33" i="66"/>
  <c r="B11" i="153"/>
  <c r="H30" i="149"/>
  <c r="D11" i="131"/>
  <c r="H14" i="81"/>
  <c r="C12" i="69"/>
  <c r="D36" i="162"/>
  <c r="E183" i="134"/>
  <c r="B12" i="88"/>
  <c r="D75" i="63"/>
  <c r="D12" i="25"/>
  <c r="C12" i="137"/>
  <c r="D11" i="108"/>
  <c r="E378" i="134"/>
  <c r="H41" i="31"/>
  <c r="I12" i="101"/>
  <c r="C13" i="60"/>
  <c r="D78" i="66"/>
  <c r="H12" i="97"/>
  <c r="D83" i="92"/>
  <c r="D25" i="92"/>
  <c r="H24" i="96"/>
  <c r="H73" i="81"/>
  <c r="I12" i="14"/>
  <c r="D12" i="36"/>
  <c r="D44" i="79"/>
  <c r="C25" i="136"/>
  <c r="F36" i="88"/>
  <c r="D12" i="27"/>
  <c r="D12" i="149"/>
  <c r="I12" i="21"/>
  <c r="K30" i="60"/>
  <c r="C13" i="70"/>
  <c r="D12" i="96"/>
  <c r="A39" i="129"/>
  <c r="H12" i="162"/>
  <c r="D53" i="96"/>
  <c r="H53" i="56"/>
  <c r="C22" i="77"/>
  <c r="C12" i="76"/>
  <c r="D46" i="63"/>
  <c r="B13" i="138"/>
  <c r="C43" i="120"/>
  <c r="H12" i="95"/>
  <c r="E30" i="71"/>
  <c r="C12" i="37"/>
  <c r="D12" i="148"/>
  <c r="D53" i="128"/>
  <c r="H35" i="97"/>
  <c r="D28" i="79"/>
  <c r="C15" i="58"/>
  <c r="H12" i="161"/>
  <c r="E136" i="134"/>
  <c r="D11" i="85"/>
  <c r="I46" i="63"/>
  <c r="H12" i="22"/>
  <c r="B11" i="87"/>
  <c r="I12" i="98"/>
  <c r="C59" i="120"/>
  <c r="I86" i="11"/>
  <c r="H11" i="112"/>
  <c r="D12" i="144"/>
  <c r="D70" i="96"/>
  <c r="C29" i="75"/>
  <c r="I11" i="49"/>
  <c r="D12" i="156"/>
  <c r="E27" i="134"/>
  <c r="D12" i="104"/>
  <c r="D12" i="82"/>
  <c r="G48" i="60"/>
  <c r="I12" i="19"/>
  <c r="E284" i="134"/>
  <c r="E48" i="115"/>
  <c r="I12" i="91"/>
  <c r="I33" i="66"/>
  <c r="J12" i="30"/>
  <c r="D12" i="101"/>
  <c r="E12" i="10"/>
  <c r="E273" i="134"/>
  <c r="E12" i="30"/>
  <c r="C13" i="133"/>
  <c r="C44" i="123"/>
  <c r="D41" i="96"/>
  <c r="B13" i="74"/>
  <c r="H35" i="56"/>
  <c r="D12" i="152"/>
  <c r="C12" i="132"/>
  <c r="D29" i="101"/>
  <c r="D55" i="81"/>
  <c r="C30" i="60"/>
  <c r="J12" i="17"/>
  <c r="E238" i="134"/>
  <c r="D11" i="83"/>
  <c r="K12" i="117"/>
  <c r="D12" i="143"/>
  <c r="H56" i="92"/>
  <c r="I66" i="11"/>
  <c r="E90" i="49"/>
  <c r="D92" i="63"/>
  <c r="D66" i="11"/>
  <c r="D35" i="56"/>
  <c r="C48" i="60"/>
  <c r="N12" i="156"/>
  <c r="H12" i="148"/>
  <c r="C30" i="58"/>
  <c r="H11" i="85"/>
  <c r="C28" i="127"/>
  <c r="C27" i="76"/>
  <c r="J120" i="134"/>
  <c r="D12" i="80"/>
  <c r="J15" i="18"/>
  <c r="H12" i="31"/>
  <c r="D25" i="72"/>
  <c r="I25" i="98"/>
  <c r="E167" i="134"/>
  <c r="B27" i="87"/>
  <c r="D27" i="24"/>
  <c r="H22" i="123"/>
  <c r="I47" i="14"/>
  <c r="E33" i="49"/>
  <c r="E318" i="134"/>
  <c r="E262" i="134"/>
  <c r="C35" i="89"/>
  <c r="H12" i="123"/>
  <c r="H11" i="72"/>
  <c r="H12" i="149"/>
  <c r="D25" i="98"/>
  <c r="A11" i="59"/>
  <c r="D67" i="63"/>
  <c r="D41" i="95"/>
  <c r="B36" i="88"/>
  <c r="C12" i="120"/>
  <c r="I97" i="66"/>
  <c r="D29" i="145"/>
  <c r="H79" i="96"/>
  <c r="E50" i="49"/>
  <c r="E84" i="134"/>
  <c r="D56" i="82"/>
  <c r="D12" i="23"/>
  <c r="D11" i="84"/>
  <c r="I44" i="11"/>
  <c r="C11" i="136"/>
  <c r="H43" i="92"/>
  <c r="D11" i="32"/>
  <c r="C12" i="75"/>
  <c r="F11" i="153"/>
  <c r="I38" i="63"/>
  <c r="D31" i="131"/>
  <c r="E12" i="17"/>
  <c r="E332" i="134"/>
  <c r="H12" i="92"/>
  <c r="D12" i="19"/>
  <c r="A11" i="129"/>
  <c r="D57" i="63"/>
  <c r="I92" i="63"/>
  <c r="E67" i="134"/>
  <c r="J12" i="10"/>
  <c r="C38" i="48"/>
  <c r="E12" i="125"/>
  <c r="D12" i="56"/>
  <c r="E11" i="116"/>
  <c r="D75" i="72"/>
  <c r="C25" i="70"/>
  <c r="H12" i="105"/>
  <c r="I11" i="116"/>
  <c r="E12" i="115"/>
  <c r="I12" i="66"/>
  <c r="D12" i="99"/>
  <c r="A28" i="129"/>
  <c r="D12" i="162"/>
  <c r="A17" i="129"/>
  <c r="H74" i="92"/>
  <c r="D11" i="128"/>
  <c r="C12" i="77"/>
  <c r="D32" i="105"/>
  <c r="D32" i="81"/>
  <c r="D46" i="101"/>
  <c r="I68" i="66"/>
  <c r="H53" i="96"/>
  <c r="D43" i="92"/>
  <c r="H32" i="81"/>
  <c r="D27" i="25"/>
  <c r="D42" i="161"/>
  <c r="D33" i="112"/>
  <c r="C11" i="127"/>
  <c r="D14" i="81"/>
  <c r="D18" i="108"/>
  <c r="C23" i="120"/>
  <c r="D12" i="145"/>
  <c r="E46" i="134"/>
  <c r="D34" i="82"/>
  <c r="D12" i="21"/>
  <c r="J48" i="115"/>
  <c r="D43" i="66"/>
  <c r="J12" i="140"/>
  <c r="D24" i="96"/>
  <c r="H12" i="56"/>
  <c r="J12" i="24"/>
  <c r="E43" i="71"/>
  <c r="H36" i="162"/>
  <c r="D11" i="112"/>
  <c r="I75" i="63"/>
  <c r="G12" i="137"/>
  <c r="D12" i="95"/>
  <c r="G12" i="39"/>
  <c r="D41" i="128"/>
  <c r="D12" i="79"/>
  <c r="D48" i="149"/>
  <c r="D12" i="161"/>
  <c r="H12" i="96"/>
  <c r="E153" i="134"/>
  <c r="D12" i="24"/>
  <c r="F11" i="126"/>
  <c r="D97" i="66"/>
  <c r="H12" i="145"/>
  <c r="N12" i="23"/>
  <c r="B11" i="126"/>
  <c r="C12" i="119"/>
  <c r="C34" i="135"/>
  <c r="O12" i="140"/>
  <c r="B21" i="74"/>
  <c r="D12" i="98"/>
  <c r="L12" i="22"/>
  <c r="I33" i="49"/>
  <c r="H34" i="82"/>
  <c r="D40" i="72"/>
  <c r="D30" i="149"/>
  <c r="D56" i="92"/>
  <c r="H12" i="120"/>
  <c r="I43" i="66"/>
  <c r="H48" i="149"/>
  <c r="C12" i="39"/>
  <c r="I12" i="63"/>
  <c r="N12" i="139"/>
  <c r="G12" i="48"/>
  <c r="D35" i="80"/>
  <c r="I12" i="11"/>
  <c r="C22" i="135"/>
  <c r="L12" i="160"/>
  <c r="D21" i="63"/>
  <c r="J12" i="115"/>
  <c r="D11" i="118"/>
  <c r="E11" i="49"/>
  <c r="I12" i="159"/>
  <c r="D12" i="14"/>
  <c r="E12" i="134"/>
  <c r="D12" i="11"/>
  <c r="H41" i="96"/>
  <c r="D40" i="139"/>
  <c r="B33" i="74"/>
  <c r="D47" i="14"/>
  <c r="D12" i="31"/>
  <c r="C12" i="130"/>
  <c r="I12" i="156"/>
  <c r="D12" i="105"/>
  <c r="D12" i="63"/>
  <c r="E301" i="134"/>
  <c r="D12" i="92"/>
  <c r="D12" i="29"/>
  <c r="C31" i="123"/>
  <c r="D65" i="72"/>
  <c r="J153" i="134"/>
  <c r="D56" i="66"/>
  <c r="D12" i="22"/>
  <c r="E196" i="134"/>
  <c r="F12" i="88"/>
  <c r="J12" i="25"/>
  <c r="H23" i="120"/>
  <c r="A21" i="59"/>
  <c r="D44" i="11"/>
  <c r="I57" i="63"/>
  <c r="E12" i="71"/>
  <c r="E12" i="140"/>
  <c r="C45" i="58"/>
  <c r="D27" i="128"/>
  <c r="D73" i="81"/>
  <c r="H70" i="96"/>
  <c r="I78" i="66"/>
  <c r="D74" i="92"/>
  <c r="H42" i="161"/>
  <c r="D35" i="97"/>
  <c r="E83" i="92"/>
  <c r="D25" i="70" l="1"/>
  <c r="F15" i="18"/>
  <c r="J25" i="98"/>
  <c r="J67" i="63"/>
  <c r="F11" i="116"/>
  <c r="E44" i="11"/>
  <c r="E12" i="19"/>
  <c r="E11" i="118"/>
  <c r="E41" i="95"/>
  <c r="E11" i="85"/>
  <c r="J78" i="66"/>
  <c r="J12" i="23"/>
  <c r="E12" i="97"/>
  <c r="J12" i="19"/>
  <c r="E35" i="80"/>
  <c r="F12" i="10"/>
  <c r="F183" i="134"/>
  <c r="F12" i="134"/>
  <c r="D11" i="114"/>
  <c r="E12" i="66"/>
  <c r="C13" i="138"/>
  <c r="E21" i="131"/>
  <c r="F48" i="115"/>
  <c r="I41" i="96"/>
  <c r="F120" i="134"/>
  <c r="D12" i="75"/>
  <c r="D35" i="89"/>
  <c r="F43" i="71"/>
  <c r="I41" i="95"/>
  <c r="D48" i="60"/>
  <c r="F318" i="134"/>
  <c r="I73" i="81"/>
  <c r="O12" i="11"/>
  <c r="D12" i="135"/>
  <c r="J11" i="116"/>
  <c r="D38" i="48"/>
  <c r="J33" i="49"/>
  <c r="E30" i="149"/>
  <c r="E11" i="84"/>
  <c r="E65" i="72"/>
  <c r="E12" i="161"/>
  <c r="I79" i="96"/>
  <c r="J57" i="63"/>
  <c r="C11" i="153"/>
  <c r="F250" i="134"/>
  <c r="F11" i="49"/>
  <c r="F284" i="134"/>
  <c r="I12" i="123"/>
  <c r="B21" i="59"/>
  <c r="F153" i="134"/>
  <c r="D59" i="120"/>
  <c r="K136" i="134"/>
  <c r="E33" i="66"/>
  <c r="E12" i="149"/>
  <c r="B28" i="129"/>
  <c r="J29" i="101"/>
  <c r="E34" i="82"/>
  <c r="E12" i="63"/>
  <c r="J12" i="156"/>
  <c r="E75" i="63"/>
  <c r="J12" i="14"/>
  <c r="M12" i="22"/>
  <c r="D44" i="123"/>
  <c r="J33" i="66"/>
  <c r="F212" i="134"/>
  <c r="E12" i="92"/>
  <c r="H12" i="39"/>
  <c r="D22" i="123"/>
  <c r="I36" i="162"/>
  <c r="F301" i="134"/>
  <c r="K48" i="115"/>
  <c r="E56" i="92"/>
  <c r="D13" i="70"/>
  <c r="O12" i="156"/>
  <c r="F84" i="134"/>
  <c r="G12" i="88"/>
  <c r="J75" i="63"/>
  <c r="E27" i="25"/>
  <c r="D12" i="119"/>
  <c r="I11" i="72"/>
  <c r="J12" i="21"/>
  <c r="E85" i="14"/>
  <c r="F46" i="134"/>
  <c r="E56" i="82"/>
  <c r="F12" i="140"/>
  <c r="I53" i="96"/>
  <c r="F50" i="49"/>
  <c r="H12" i="132"/>
  <c r="G11" i="153"/>
  <c r="F27" i="134"/>
  <c r="E18" i="108"/>
  <c r="C11" i="87"/>
  <c r="E67" i="63"/>
  <c r="E12" i="145"/>
  <c r="D28" i="127"/>
  <c r="E12" i="98"/>
  <c r="I14" i="81"/>
  <c r="D12" i="69"/>
  <c r="E31" i="131"/>
  <c r="I12" i="31"/>
  <c r="E28" i="79"/>
  <c r="K12" i="30"/>
  <c r="I25" i="92"/>
  <c r="E29" i="101"/>
  <c r="F196" i="134"/>
  <c r="J56" i="66"/>
  <c r="F12" i="17"/>
  <c r="E74" i="92"/>
  <c r="E53" i="56"/>
  <c r="G11" i="126"/>
  <c r="I29" i="145"/>
  <c r="I48" i="149"/>
  <c r="E46" i="63"/>
  <c r="E44" i="79"/>
  <c r="K12" i="115"/>
  <c r="K15" i="18"/>
  <c r="E11" i="131"/>
  <c r="D34" i="135"/>
  <c r="I53" i="56"/>
  <c r="J12" i="91"/>
  <c r="K12" i="25"/>
  <c r="I12" i="97"/>
  <c r="C11" i="126"/>
  <c r="E43" i="66"/>
  <c r="C33" i="74"/>
  <c r="F12" i="71"/>
  <c r="J46" i="63"/>
  <c r="I12" i="149"/>
  <c r="B39" i="129"/>
  <c r="E46" i="101"/>
  <c r="I34" i="82"/>
  <c r="J12" i="63"/>
  <c r="K12" i="140"/>
  <c r="D31" i="123"/>
  <c r="E70" i="96"/>
  <c r="H12" i="77"/>
  <c r="F69" i="49"/>
  <c r="E12" i="139"/>
  <c r="I24" i="96"/>
  <c r="F33" i="49"/>
  <c r="C27" i="87"/>
  <c r="E12" i="14"/>
  <c r="D11" i="127"/>
  <c r="E14" i="81"/>
  <c r="H12" i="160"/>
  <c r="D12" i="160"/>
  <c r="F105" i="134"/>
  <c r="C36" i="88"/>
  <c r="E92" i="63"/>
  <c r="E46" i="145"/>
  <c r="E41" i="128"/>
  <c r="I55" i="81"/>
  <c r="H30" i="60"/>
  <c r="I30" i="149"/>
  <c r="E12" i="104"/>
  <c r="E38" i="63"/>
  <c r="J66" i="11"/>
  <c r="K12" i="17"/>
  <c r="D43" i="120"/>
  <c r="F11" i="53"/>
  <c r="K120" i="134"/>
  <c r="D11" i="89"/>
  <c r="D12" i="120"/>
  <c r="I12" i="145"/>
  <c r="E11" i="128"/>
  <c r="J12" i="98"/>
  <c r="E32" i="81"/>
  <c r="H12" i="69"/>
  <c r="D12" i="137"/>
  <c r="D23" i="120"/>
  <c r="E12" i="96"/>
  <c r="C13" i="74"/>
  <c r="I35" i="56"/>
  <c r="E12" i="91"/>
  <c r="E12" i="105"/>
  <c r="D15" i="58"/>
  <c r="E12" i="162"/>
  <c r="E12" i="24"/>
  <c r="E12" i="82"/>
  <c r="E11" i="112"/>
  <c r="B11" i="59"/>
  <c r="K12" i="10"/>
  <c r="E12" i="144"/>
  <c r="E12" i="23"/>
  <c r="E12" i="159"/>
  <c r="E27" i="128"/>
  <c r="D12" i="132"/>
  <c r="E12" i="143"/>
  <c r="D30" i="58"/>
  <c r="E43" i="92"/>
  <c r="E11" i="72"/>
  <c r="J46" i="101"/>
  <c r="I12" i="120"/>
  <c r="E12" i="148"/>
  <c r="D27" i="76"/>
  <c r="I12" i="22"/>
  <c r="E12" i="25"/>
  <c r="E12" i="80"/>
  <c r="I12" i="95"/>
  <c r="K153" i="134"/>
  <c r="E12" i="36"/>
  <c r="E29" i="145"/>
  <c r="J44" i="11"/>
  <c r="E12" i="56"/>
  <c r="P12" i="140"/>
  <c r="I31" i="123"/>
  <c r="I70" i="96"/>
  <c r="D22" i="77"/>
  <c r="F90" i="49"/>
  <c r="F364" i="134"/>
  <c r="F12" i="117"/>
  <c r="I74" i="92"/>
  <c r="F30" i="71"/>
  <c r="D12" i="37"/>
  <c r="F67" i="134"/>
  <c r="C12" i="88"/>
  <c r="E11" i="32"/>
  <c r="E21" i="63"/>
  <c r="E79" i="96"/>
  <c r="I12" i="161"/>
  <c r="I11" i="112"/>
  <c r="E68" i="66"/>
  <c r="E40" i="139"/>
  <c r="E53" i="96"/>
  <c r="I46" i="145"/>
  <c r="E53" i="128"/>
  <c r="E12" i="101"/>
  <c r="E73" i="81"/>
  <c r="L30" i="60"/>
  <c r="J12" i="139"/>
  <c r="D12" i="123"/>
  <c r="E41" i="96"/>
  <c r="D29" i="75"/>
  <c r="J11" i="49"/>
  <c r="E12" i="95"/>
  <c r="E35" i="56"/>
  <c r="E12" i="79"/>
  <c r="E12" i="156"/>
  <c r="E41" i="31"/>
  <c r="I22" i="123"/>
  <c r="D12" i="77"/>
  <c r="E12" i="152"/>
  <c r="E32" i="105"/>
  <c r="H12" i="137"/>
  <c r="I23" i="120"/>
  <c r="I12" i="96"/>
  <c r="C21" i="74"/>
  <c r="E42" i="161"/>
  <c r="F238" i="134"/>
  <c r="E33" i="112"/>
  <c r="I12" i="92"/>
  <c r="J68" i="66"/>
  <c r="J12" i="159"/>
  <c r="E56" i="66"/>
  <c r="E11" i="83"/>
  <c r="D12" i="130"/>
  <c r="K12" i="24"/>
  <c r="F262" i="134"/>
  <c r="I12" i="148"/>
  <c r="H48" i="60"/>
  <c r="I56" i="92"/>
  <c r="D12" i="39"/>
  <c r="I41" i="31"/>
  <c r="E35" i="97"/>
  <c r="D13" i="60"/>
  <c r="D30" i="60"/>
  <c r="I12" i="105"/>
  <c r="F12" i="125"/>
  <c r="I12" i="162"/>
  <c r="E97" i="66"/>
  <c r="J12" i="11"/>
  <c r="I32" i="81"/>
  <c r="E12" i="99"/>
  <c r="B11" i="129"/>
  <c r="J92" i="63"/>
  <c r="E47" i="14"/>
  <c r="D45" i="58"/>
  <c r="E25" i="72"/>
  <c r="J85" i="14"/>
  <c r="I11" i="128"/>
  <c r="F332" i="134"/>
  <c r="E86" i="11"/>
  <c r="I12" i="152"/>
  <c r="D13" i="133"/>
  <c r="E40" i="72"/>
  <c r="I12" i="56"/>
  <c r="I32" i="105"/>
  <c r="E57" i="63"/>
  <c r="J86" i="11"/>
  <c r="H12" i="48"/>
  <c r="I11" i="85"/>
  <c r="I83" i="92"/>
  <c r="J47" i="14"/>
  <c r="E55" i="81"/>
  <c r="F167" i="134"/>
  <c r="O12" i="23"/>
  <c r="E25" i="98"/>
  <c r="D25" i="136"/>
  <c r="J12" i="101"/>
  <c r="D12" i="48"/>
  <c r="E12" i="27"/>
  <c r="E66" i="11"/>
  <c r="B17" i="129"/>
  <c r="J38" i="63"/>
  <c r="E78" i="66"/>
  <c r="I42" i="161"/>
  <c r="M12" i="160"/>
  <c r="E12" i="29"/>
  <c r="J97" i="66"/>
  <c r="E36" i="162"/>
  <c r="O12" i="139"/>
  <c r="I35" i="97"/>
  <c r="E12" i="21"/>
  <c r="F12" i="30"/>
  <c r="F136" i="134"/>
  <c r="L12" i="117"/>
  <c r="D11" i="136"/>
  <c r="E12" i="11"/>
  <c r="E12" i="31"/>
  <c r="E75" i="72"/>
  <c r="F273" i="134"/>
  <c r="J43" i="66"/>
  <c r="E27" i="24"/>
  <c r="F12" i="115"/>
  <c r="E48" i="149"/>
  <c r="E11" i="108"/>
  <c r="E25" i="92"/>
  <c r="D22" i="135"/>
  <c r="E24" i="96"/>
  <c r="I56" i="82"/>
  <c r="I43" i="92"/>
  <c r="D12" i="76"/>
  <c r="G36" i="88"/>
  <c r="E12" i="22"/>
  <c r="J12" i="66"/>
  <c r="F378" i="134"/>
  <c r="Q2462" i="155" l="1"/>
  <c r="A35" i="119" l="1"/>
  <c r="A34" i="118"/>
  <c r="A74" i="115"/>
  <c r="A38" i="115"/>
  <c r="A23" i="117"/>
  <c r="A6" i="23"/>
  <c r="A6" i="104"/>
  <c r="A27" i="49"/>
  <c r="A84" i="49"/>
  <c r="A63" i="49"/>
  <c r="A44" i="49"/>
  <c r="A6" i="49"/>
  <c r="A6" i="53"/>
  <c r="Q881" i="155"/>
  <c r="Q877" i="155"/>
  <c r="Q873" i="155"/>
  <c r="Q869" i="155"/>
  <c r="Q865" i="155"/>
  <c r="Q861" i="155"/>
  <c r="Q857" i="155"/>
  <c r="Q853" i="155"/>
  <c r="Q887" i="155"/>
  <c r="Q883" i="155"/>
  <c r="Q880" i="155"/>
  <c r="Q876" i="155"/>
  <c r="Q872" i="155"/>
  <c r="Q868" i="155"/>
  <c r="Q864" i="155"/>
  <c r="Q860" i="155"/>
  <c r="Q856" i="155"/>
  <c r="Q852" i="155"/>
  <c r="Q886" i="155"/>
  <c r="Q882" i="155"/>
  <c r="Q879" i="155"/>
  <c r="Q875" i="155"/>
  <c r="Q871" i="155"/>
  <c r="Q867" i="155"/>
  <c r="Q863" i="155"/>
  <c r="Q859" i="155"/>
  <c r="Q855" i="155"/>
  <c r="Q851" i="155"/>
  <c r="Q885" i="155"/>
  <c r="Q866" i="155"/>
  <c r="Q850" i="155"/>
  <c r="Q878" i="155"/>
  <c r="Q862" i="155"/>
  <c r="Q884" i="155"/>
  <c r="Q874" i="155"/>
  <c r="Q858" i="155"/>
  <c r="Q854" i="155"/>
  <c r="Q870" i="155"/>
  <c r="AD1854" i="155"/>
  <c r="AD1850" i="155"/>
  <c r="AD1846" i="155"/>
  <c r="AD1830" i="155"/>
  <c r="AD1826" i="155"/>
  <c r="AD319" i="155"/>
  <c r="AD315" i="155"/>
  <c r="AD311" i="155"/>
  <c r="AD307" i="155"/>
  <c r="AD303" i="155"/>
  <c r="AD299" i="155"/>
  <c r="AD295" i="155"/>
  <c r="AD291" i="155"/>
  <c r="AD287" i="155"/>
  <c r="AD283" i="155"/>
  <c r="AD516" i="155"/>
  <c r="AD512" i="155"/>
  <c r="AD508" i="155"/>
  <c r="AD504" i="155"/>
  <c r="AD500" i="155"/>
  <c r="AD496" i="155"/>
  <c r="AD492" i="155"/>
  <c r="AD545" i="155"/>
  <c r="AD541" i="155"/>
  <c r="AD537" i="155"/>
  <c r="AD533" i="155"/>
  <c r="AD529" i="155"/>
  <c r="AD525" i="155"/>
  <c r="AD521" i="155"/>
  <c r="AD517" i="155"/>
  <c r="AD585" i="155"/>
  <c r="AD581" i="155"/>
  <c r="AD577" i="155"/>
  <c r="AD573" i="155"/>
  <c r="AD569" i="155"/>
  <c r="AD565" i="155"/>
  <c r="AD561" i="155"/>
  <c r="AD557" i="155"/>
  <c r="AD553" i="155"/>
  <c r="AD549" i="155"/>
  <c r="AD605" i="155"/>
  <c r="AD601" i="155"/>
  <c r="AD597" i="155"/>
  <c r="AD593" i="155"/>
  <c r="AD589" i="155"/>
  <c r="AD665" i="155"/>
  <c r="AD661" i="155"/>
  <c r="AD657" i="155"/>
  <c r="AD653" i="155"/>
  <c r="AD649" i="155"/>
  <c r="AD645" i="155"/>
  <c r="AD641" i="155"/>
  <c r="AD637" i="155"/>
  <c r="AD633" i="155"/>
  <c r="AD629" i="155"/>
  <c r="AD625" i="155"/>
  <c r="AD621" i="155"/>
  <c r="AD617" i="155"/>
  <c r="AD613" i="155"/>
  <c r="AD609" i="155"/>
  <c r="AD675" i="155"/>
  <c r="AD670" i="155"/>
  <c r="AD730" i="155"/>
  <c r="AD726" i="155"/>
  <c r="AD722" i="155"/>
  <c r="AD718" i="155"/>
  <c r="AD714" i="155"/>
  <c r="AD710" i="155"/>
  <c r="AD706" i="155"/>
  <c r="AD702" i="155"/>
  <c r="AD698" i="155"/>
  <c r="AD694" i="155"/>
  <c r="AD690" i="155"/>
  <c r="AD686" i="155"/>
  <c r="AD682" i="155"/>
  <c r="AD1361" i="155"/>
  <c r="AD1357" i="155"/>
  <c r="AD1353" i="155"/>
  <c r="AD1349" i="155"/>
  <c r="AD1345" i="155"/>
  <c r="AD1341" i="155"/>
  <c r="AD1337" i="155"/>
  <c r="AD1333" i="155"/>
  <c r="AD1329" i="155"/>
  <c r="AD1325" i="155"/>
  <c r="AD1321" i="155"/>
  <c r="AD1317" i="155"/>
  <c r="AD1313" i="155"/>
  <c r="AD1309" i="155"/>
  <c r="AD1305" i="155"/>
  <c r="AD1369" i="155"/>
  <c r="AD1365" i="155"/>
  <c r="AD2013" i="155"/>
  <c r="AD2009" i="155"/>
  <c r="AD1993" i="155"/>
  <c r="AD1989" i="155"/>
  <c r="AD1985" i="155"/>
  <c r="AD1746" i="155"/>
  <c r="AD1742" i="155"/>
  <c r="AD1729" i="155"/>
  <c r="AD2073" i="155"/>
  <c r="AD2069" i="155"/>
  <c r="AD1853" i="155"/>
  <c r="AD1849" i="155"/>
  <c r="AD1833" i="155"/>
  <c r="AD1829" i="155"/>
  <c r="AD1825" i="155"/>
  <c r="AD318" i="155"/>
  <c r="AD314" i="155"/>
  <c r="AD310" i="155"/>
  <c r="AD306" i="155"/>
  <c r="AD302" i="155"/>
  <c r="AD298" i="155"/>
  <c r="AD294" i="155"/>
  <c r="AD290" i="155"/>
  <c r="AD286" i="155"/>
  <c r="AD282" i="155"/>
  <c r="AD515" i="155"/>
  <c r="AD511" i="155"/>
  <c r="AD507" i="155"/>
  <c r="AD503" i="155"/>
  <c r="AD499" i="155"/>
  <c r="AD495" i="155"/>
  <c r="AD548" i="155"/>
  <c r="AD544" i="155"/>
  <c r="AD540" i="155"/>
  <c r="AD536" i="155"/>
  <c r="AD532" i="155"/>
  <c r="AD528" i="155"/>
  <c r="AD524" i="155"/>
  <c r="AD520" i="155"/>
  <c r="AD588" i="155"/>
  <c r="AD584" i="155"/>
  <c r="AD580" i="155"/>
  <c r="AD576" i="155"/>
  <c r="AD572" i="155"/>
  <c r="AD568" i="155"/>
  <c r="AD564" i="155"/>
  <c r="AD560" i="155"/>
  <c r="AD556" i="155"/>
  <c r="AD552" i="155"/>
  <c r="AD608" i="155"/>
  <c r="AD604" i="155"/>
  <c r="AD600" i="155"/>
  <c r="AD596" i="155"/>
  <c r="AD592" i="155"/>
  <c r="AD668" i="155"/>
  <c r="AD664" i="155"/>
  <c r="AD660" i="155"/>
  <c r="AD656" i="155"/>
  <c r="AD652" i="155"/>
  <c r="AD648" i="155"/>
  <c r="AD644" i="155"/>
  <c r="AD640" i="155"/>
  <c r="AD636" i="155"/>
  <c r="AD632" i="155"/>
  <c r="AD628" i="155"/>
  <c r="AD624" i="155"/>
  <c r="AD620" i="155"/>
  <c r="AD616" i="155"/>
  <c r="AD612" i="155"/>
  <c r="AD678" i="155"/>
  <c r="AD674" i="155"/>
  <c r="AD669" i="155"/>
  <c r="AD729" i="155"/>
  <c r="AD725" i="155"/>
  <c r="AD721" i="155"/>
  <c r="AD717" i="155"/>
  <c r="AD713" i="155"/>
  <c r="AD709" i="155"/>
  <c r="AD705" i="155"/>
  <c r="AD701" i="155"/>
  <c r="AD697" i="155"/>
  <c r="AD693" i="155"/>
  <c r="AD689" i="155"/>
  <c r="AD685" i="155"/>
  <c r="AD681" i="155"/>
  <c r="AD1360" i="155"/>
  <c r="AD1356" i="155"/>
  <c r="AD1352" i="155"/>
  <c r="AD1348" i="155"/>
  <c r="AD1344" i="155"/>
  <c r="AD1340" i="155"/>
  <c r="AD1336" i="155"/>
  <c r="AD1332" i="155"/>
  <c r="AD1328" i="155"/>
  <c r="AD1324" i="155"/>
  <c r="AD1320" i="155"/>
  <c r="AD1316" i="155"/>
  <c r="AD1312" i="155"/>
  <c r="AD1308" i="155"/>
  <c r="AD1304" i="155"/>
  <c r="AD1368" i="155"/>
  <c r="AD1364" i="155"/>
  <c r="AD2012" i="155"/>
  <c r="AD2008" i="155"/>
  <c r="AD1992" i="155"/>
  <c r="AD1988" i="155"/>
  <c r="AD1984" i="155"/>
  <c r="AD1745" i="155"/>
  <c r="AD1732" i="155"/>
  <c r="AD1728" i="155"/>
  <c r="AD2072" i="155"/>
  <c r="AD2068" i="155"/>
  <c r="AD1852" i="155"/>
  <c r="AD1848" i="155"/>
  <c r="AD1832" i="155"/>
  <c r="AD1828" i="155"/>
  <c r="AD1824" i="155"/>
  <c r="AD317" i="155"/>
  <c r="AD313" i="155"/>
  <c r="AD309" i="155"/>
  <c r="AD305" i="155"/>
  <c r="AD301" i="155"/>
  <c r="AD297" i="155"/>
  <c r="AD293" i="155"/>
  <c r="AD289" i="155"/>
  <c r="AD285" i="155"/>
  <c r="AD281" i="155"/>
  <c r="AD514" i="155"/>
  <c r="AD510" i="155"/>
  <c r="AD506" i="155"/>
  <c r="AD502" i="155"/>
  <c r="AD498" i="155"/>
  <c r="AD494" i="155"/>
  <c r="AD547" i="155"/>
  <c r="AD543" i="155"/>
  <c r="AD539" i="155"/>
  <c r="AD535" i="155"/>
  <c r="AD531" i="155"/>
  <c r="AD527" i="155"/>
  <c r="AD523" i="155"/>
  <c r="AD519" i="155"/>
  <c r="AD587" i="155"/>
  <c r="AD583" i="155"/>
  <c r="AD579" i="155"/>
  <c r="AD575" i="155"/>
  <c r="AD571" i="155"/>
  <c r="AD567" i="155"/>
  <c r="AD563" i="155"/>
  <c r="AD559" i="155"/>
  <c r="AD555" i="155"/>
  <c r="AD551" i="155"/>
  <c r="AD607" i="155"/>
  <c r="AD603" i="155"/>
  <c r="AD599" i="155"/>
  <c r="AD595" i="155"/>
  <c r="AD591" i="155"/>
  <c r="AD667" i="155"/>
  <c r="AD663" i="155"/>
  <c r="AD659" i="155"/>
  <c r="AD655" i="155"/>
  <c r="AD651" i="155"/>
  <c r="AD647" i="155"/>
  <c r="AD643" i="155"/>
  <c r="AD639" i="155"/>
  <c r="AD635" i="155"/>
  <c r="AD631" i="155"/>
  <c r="AD627" i="155"/>
  <c r="AD623" i="155"/>
  <c r="AD619" i="155"/>
  <c r="AD615" i="155"/>
  <c r="AD611" i="155"/>
  <c r="AD677" i="155"/>
  <c r="AD673" i="155"/>
  <c r="AD732" i="155"/>
  <c r="AD728" i="155"/>
  <c r="AD724" i="155"/>
  <c r="AD720" i="155"/>
  <c r="AD716" i="155"/>
  <c r="AD712" i="155"/>
  <c r="AD708" i="155"/>
  <c r="AD704" i="155"/>
  <c r="AD700" i="155"/>
  <c r="AD696" i="155"/>
  <c r="AD692" i="155"/>
  <c r="AD688" i="155"/>
  <c r="AD684" i="155"/>
  <c r="AD680" i="155"/>
  <c r="AD1359" i="155"/>
  <c r="AD1355" i="155"/>
  <c r="AD1351" i="155"/>
  <c r="AD1347" i="155"/>
  <c r="AD1343" i="155"/>
  <c r="AD1339" i="155"/>
  <c r="AD1335" i="155"/>
  <c r="AD1331" i="155"/>
  <c r="AD1327" i="155"/>
  <c r="AD1323" i="155"/>
  <c r="AD1319" i="155"/>
  <c r="AD1315" i="155"/>
  <c r="AD1311" i="155"/>
  <c r="AD1307" i="155"/>
  <c r="AD1303" i="155"/>
  <c r="AD1367" i="155"/>
  <c r="AD1363" i="155"/>
  <c r="AD2015" i="155"/>
  <c r="AD2011" i="155"/>
  <c r="AD2007" i="155"/>
  <c r="AD1991" i="155"/>
  <c r="AD1987" i="155"/>
  <c r="AD1748" i="155"/>
  <c r="AD1744" i="155"/>
  <c r="AD1731" i="155"/>
  <c r="AD1727" i="155"/>
  <c r="AD2071" i="155"/>
  <c r="AD1855" i="155"/>
  <c r="AD1827" i="155"/>
  <c r="AD308" i="155"/>
  <c r="AD292" i="155"/>
  <c r="AD513" i="155"/>
  <c r="AD497" i="155"/>
  <c r="AD538" i="155"/>
  <c r="AD522" i="155"/>
  <c r="AD578" i="155"/>
  <c r="AD562" i="155"/>
  <c r="AD606" i="155"/>
  <c r="AD590" i="155"/>
  <c r="AD654" i="155"/>
  <c r="AD638" i="155"/>
  <c r="AD622" i="155"/>
  <c r="AD676" i="155"/>
  <c r="AD723" i="155"/>
  <c r="AD707" i="155"/>
  <c r="AD691" i="155"/>
  <c r="AD1358" i="155"/>
  <c r="AD1342" i="155"/>
  <c r="AD1326" i="155"/>
  <c r="AD1310" i="155"/>
  <c r="AD1362" i="155"/>
  <c r="AD2006" i="155"/>
  <c r="AD1743" i="155"/>
  <c r="AD1851" i="155"/>
  <c r="AD320" i="155"/>
  <c r="AD304" i="155"/>
  <c r="AD288" i="155"/>
  <c r="AD509" i="155"/>
  <c r="AD493" i="155"/>
  <c r="AD534" i="155"/>
  <c r="AD518" i="155"/>
  <c r="AD574" i="155"/>
  <c r="AD558" i="155"/>
  <c r="AD602" i="155"/>
  <c r="AD666" i="155"/>
  <c r="AD650" i="155"/>
  <c r="AD634" i="155"/>
  <c r="AD618" i="155"/>
  <c r="AD671" i="155"/>
  <c r="AD719" i="155"/>
  <c r="AD703" i="155"/>
  <c r="AD687" i="155"/>
  <c r="AD1354" i="155"/>
  <c r="AD1338" i="155"/>
  <c r="AD1322" i="155"/>
  <c r="AD1306" i="155"/>
  <c r="AD1990" i="155"/>
  <c r="AD1730" i="155"/>
  <c r="AD1847" i="155"/>
  <c r="AD316" i="155"/>
  <c r="AD300" i="155"/>
  <c r="AD284" i="155"/>
  <c r="AD505" i="155"/>
  <c r="AD546" i="155"/>
  <c r="AD530" i="155"/>
  <c r="AD586" i="155"/>
  <c r="AD570" i="155"/>
  <c r="AD554" i="155"/>
  <c r="AD598" i="155"/>
  <c r="AD662" i="155"/>
  <c r="AD646" i="155"/>
  <c r="AD630" i="155"/>
  <c r="AD614" i="155"/>
  <c r="AD731" i="155"/>
  <c r="AD715" i="155"/>
  <c r="AD699" i="155"/>
  <c r="AD683" i="155"/>
  <c r="AD1350" i="155"/>
  <c r="AD1334" i="155"/>
  <c r="AD1318" i="155"/>
  <c r="AD1302" i="155"/>
  <c r="AD2014" i="155"/>
  <c r="AD1986" i="155"/>
  <c r="AD1726" i="155"/>
  <c r="AD1831" i="155"/>
  <c r="AD501" i="155"/>
  <c r="AD566" i="155"/>
  <c r="AD642" i="155"/>
  <c r="AD711" i="155"/>
  <c r="AD1330" i="155"/>
  <c r="AD1747" i="155"/>
  <c r="AD312" i="155"/>
  <c r="AD542" i="155"/>
  <c r="AD550" i="155"/>
  <c r="AD626" i="155"/>
  <c r="AD695" i="155"/>
  <c r="AD1314" i="155"/>
  <c r="AD2070" i="155"/>
  <c r="AD296" i="155"/>
  <c r="AD526" i="155"/>
  <c r="AD594" i="155"/>
  <c r="AD610" i="155"/>
  <c r="AD679" i="155"/>
  <c r="AD1366" i="155"/>
  <c r="AD280" i="155"/>
  <c r="AD582" i="155"/>
  <c r="AD658" i="155"/>
  <c r="AD727" i="155"/>
  <c r="AD1346" i="155"/>
  <c r="AD2010" i="155"/>
  <c r="AD1203" i="155"/>
  <c r="AD1187" i="155"/>
  <c r="AD1171" i="155"/>
  <c r="AD1217" i="155"/>
  <c r="AD1281" i="155"/>
  <c r="AD1247" i="155"/>
  <c r="AD1231" i="155"/>
  <c r="AD1194" i="155"/>
  <c r="AD1178" i="155"/>
  <c r="AD1224" i="155"/>
  <c r="AD1208" i="155"/>
  <c r="AD1272" i="155"/>
  <c r="AD1238" i="155"/>
  <c r="AD1201" i="155"/>
  <c r="AD1185" i="155"/>
  <c r="AD1169" i="155"/>
  <c r="AD1215" i="155"/>
  <c r="AD1279" i="155"/>
  <c r="AD1245" i="155"/>
  <c r="AD1206" i="155"/>
  <c r="AD1188" i="155"/>
  <c r="AD1266" i="155"/>
  <c r="AD1184" i="155"/>
  <c r="AD1244" i="155"/>
  <c r="AD1180" i="155"/>
  <c r="AD1821" i="155"/>
  <c r="AD1917" i="155"/>
  <c r="AD1885" i="155"/>
  <c r="AD2003" i="155"/>
  <c r="AD1977" i="155"/>
  <c r="AD1670" i="155"/>
  <c r="AD1640" i="155"/>
  <c r="AD1724" i="155"/>
  <c r="AD1834" i="155"/>
  <c r="AD1924" i="155"/>
  <c r="AD1904" i="155"/>
  <c r="AD1872" i="155"/>
  <c r="AD1980" i="155"/>
  <c r="AD1673" i="155"/>
  <c r="AD1643" i="155"/>
  <c r="AD1734" i="155"/>
  <c r="AD1837" i="155"/>
  <c r="AD1927" i="155"/>
  <c r="AD1907" i="155"/>
  <c r="AD1875" i="155"/>
  <c r="AD1983" i="155"/>
  <c r="AD1676" i="155"/>
  <c r="AD1646" i="155"/>
  <c r="AD1737" i="155"/>
  <c r="AD1818" i="155"/>
  <c r="AD1974" i="155"/>
  <c r="AD1840" i="155"/>
  <c r="AD1996" i="155"/>
  <c r="AD1717" i="155"/>
  <c r="AD1874" i="155"/>
  <c r="AD1736" i="155"/>
  <c r="AD1978" i="155"/>
  <c r="AD1671" i="155"/>
  <c r="AD1199" i="155"/>
  <c r="AD1183" i="155"/>
  <c r="AD1229" i="155"/>
  <c r="AD1213" i="155"/>
  <c r="AD1277" i="155"/>
  <c r="AD1243" i="155"/>
  <c r="AD1190" i="155"/>
  <c r="AD1174" i="155"/>
  <c r="AD1220" i="155"/>
  <c r="AD1204" i="155"/>
  <c r="AD1268" i="155"/>
  <c r="AD1234" i="155"/>
  <c r="AD1197" i="155"/>
  <c r="AD1181" i="155"/>
  <c r="AD1227" i="155"/>
  <c r="AD1211" i="155"/>
  <c r="AD1275" i="155"/>
  <c r="AD1241" i="155"/>
  <c r="AD1192" i="155"/>
  <c r="AD1270" i="155"/>
  <c r="AD1172" i="155"/>
  <c r="AD1232" i="155"/>
  <c r="AD1168" i="155"/>
  <c r="AD1196" i="155"/>
  <c r="AD1240" i="155"/>
  <c r="AD1843" i="155"/>
  <c r="AD1817" i="155"/>
  <c r="AD1913" i="155"/>
  <c r="AD1881" i="155"/>
  <c r="AD1999" i="155"/>
  <c r="AD1973" i="155"/>
  <c r="AD1666" i="155"/>
  <c r="AD1636" i="155"/>
  <c r="AD1720" i="155"/>
  <c r="AD1820" i="155"/>
  <c r="AD1916" i="155"/>
  <c r="AD1884" i="155"/>
  <c r="AD2002" i="155"/>
  <c r="AD1976" i="155"/>
  <c r="AD1669" i="155"/>
  <c r="AD1639" i="155"/>
  <c r="AD1723" i="155"/>
  <c r="AD1823" i="155"/>
  <c r="AD1919" i="155"/>
  <c r="AD1887" i="155"/>
  <c r="AD2005" i="155"/>
  <c r="AD1979" i="155"/>
  <c r="AD1672" i="155"/>
  <c r="AD1642" i="155"/>
  <c r="AD1733" i="155"/>
  <c r="AD1914" i="155"/>
  <c r="AD1667" i="155"/>
  <c r="AD1814" i="155"/>
  <c r="AD1683" i="155"/>
  <c r="AD1836" i="155"/>
  <c r="AD1982" i="155"/>
  <c r="AD1195" i="155"/>
  <c r="AD1179" i="155"/>
  <c r="AD1225" i="155"/>
  <c r="AD1209" i="155"/>
  <c r="AD1273" i="155"/>
  <c r="AD1239" i="155"/>
  <c r="AD1202" i="155"/>
  <c r="AD1186" i="155"/>
  <c r="AD1170" i="155"/>
  <c r="AD1216" i="155"/>
  <c r="AD1280" i="155"/>
  <c r="AD1246" i="155"/>
  <c r="AD1230" i="155"/>
  <c r="AD1193" i="155"/>
  <c r="AD1177" i="155"/>
  <c r="AD1223" i="155"/>
  <c r="AD1207" i="155"/>
  <c r="AD1271" i="155"/>
  <c r="AD1237" i="155"/>
  <c r="AD1176" i="155"/>
  <c r="AD1236" i="155"/>
  <c r="AD1218" i="155"/>
  <c r="AD1214" i="155"/>
  <c r="AD1210" i="155"/>
  <c r="AD1274" i="155"/>
  <c r="AD1839" i="155"/>
  <c r="AD1813" i="155"/>
  <c r="AD1909" i="155"/>
  <c r="AD1877" i="155"/>
  <c r="AD1995" i="155"/>
  <c r="AD1682" i="155"/>
  <c r="AD1648" i="155"/>
  <c r="AD1739" i="155"/>
  <c r="AD1842" i="155"/>
  <c r="AD1816" i="155"/>
  <c r="AD1912" i="155"/>
  <c r="AD1880" i="155"/>
  <c r="AD1998" i="155"/>
  <c r="AD1972" i="155"/>
  <c r="AD1665" i="155"/>
  <c r="AD1635" i="155"/>
  <c r="AD1719" i="155"/>
  <c r="AD1845" i="155"/>
  <c r="AD1819" i="155"/>
  <c r="AD1915" i="155"/>
  <c r="AD1883" i="155"/>
  <c r="AD2001" i="155"/>
  <c r="AD1975" i="155"/>
  <c r="AD1668" i="155"/>
  <c r="AD1638" i="155"/>
  <c r="AD1722" i="155"/>
  <c r="AD1882" i="155"/>
  <c r="AD1637" i="155"/>
  <c r="AD1910" i="155"/>
  <c r="AD1663" i="155"/>
  <c r="AD1926" i="155"/>
  <c r="AD1675" i="155"/>
  <c r="AD2004" i="155"/>
  <c r="AD1641" i="155"/>
  <c r="AD1191" i="155"/>
  <c r="AD1175" i="155"/>
  <c r="AD1221" i="155"/>
  <c r="AD1205" i="155"/>
  <c r="AD1269" i="155"/>
  <c r="AD1235" i="155"/>
  <c r="AD1198" i="155"/>
  <c r="AD1182" i="155"/>
  <c r="AD1228" i="155"/>
  <c r="AD1212" i="155"/>
  <c r="AD1276" i="155"/>
  <c r="AD1242" i="155"/>
  <c r="AD1189" i="155"/>
  <c r="AD1173" i="155"/>
  <c r="AD1219" i="155"/>
  <c r="AD1283" i="155"/>
  <c r="AD1267" i="155"/>
  <c r="AD1233" i="155"/>
  <c r="AD1222" i="155"/>
  <c r="AD1282" i="155"/>
  <c r="AD1200" i="155"/>
  <c r="AD1278" i="155"/>
  <c r="AD1226" i="155"/>
  <c r="AD1835" i="155"/>
  <c r="AD1925" i="155"/>
  <c r="AD1905" i="155"/>
  <c r="AD1873" i="155"/>
  <c r="AD1981" i="155"/>
  <c r="AD1674" i="155"/>
  <c r="AD1644" i="155"/>
  <c r="AD1735" i="155"/>
  <c r="AD1838" i="155"/>
  <c r="AD1812" i="155"/>
  <c r="AD1908" i="155"/>
  <c r="AD1876" i="155"/>
  <c r="AD1994" i="155"/>
  <c r="AD1681" i="155"/>
  <c r="AD1647" i="155"/>
  <c r="AD1738" i="155"/>
  <c r="AD1841" i="155"/>
  <c r="AD1815" i="155"/>
  <c r="AD1911" i="155"/>
  <c r="AD1879" i="155"/>
  <c r="AD1997" i="155"/>
  <c r="AD1684" i="155"/>
  <c r="AD1664" i="155"/>
  <c r="AD1741" i="155"/>
  <c r="AD1718" i="155"/>
  <c r="AD1844" i="155"/>
  <c r="AD2000" i="155"/>
  <c r="AD1721" i="155"/>
  <c r="AD1878" i="155"/>
  <c r="AD1740" i="155"/>
  <c r="AD1906" i="155"/>
  <c r="AD1645" i="155"/>
  <c r="AD1725" i="155"/>
  <c r="AD1822" i="155"/>
  <c r="AD1918" i="155"/>
  <c r="AD1886" i="155"/>
  <c r="B10" i="17" l="1"/>
  <c r="B10" i="140"/>
  <c r="D299" i="134"/>
  <c r="C65" i="134"/>
  <c r="C134" i="134"/>
  <c r="C44" i="134"/>
  <c r="D103" i="134"/>
  <c r="C25" i="134"/>
  <c r="C376" i="134"/>
  <c r="D82" i="134"/>
  <c r="D10" i="134"/>
  <c r="C10" i="19"/>
  <c r="B10" i="77"/>
  <c r="C49" i="72"/>
  <c r="C10" i="145"/>
  <c r="C34" i="162"/>
  <c r="H10" i="139"/>
  <c r="C42" i="11"/>
  <c r="C83" i="14"/>
  <c r="C30" i="81"/>
  <c r="H83" i="14"/>
  <c r="C71" i="81"/>
  <c r="C10" i="148"/>
  <c r="C23" i="92"/>
  <c r="H10" i="23"/>
  <c r="C10" i="98"/>
  <c r="H10" i="156"/>
  <c r="B63" i="72"/>
  <c r="D10" i="117"/>
  <c r="C10" i="30"/>
  <c r="C72" i="92"/>
  <c r="C10" i="11"/>
  <c r="C23" i="98"/>
  <c r="B46" i="115"/>
  <c r="C10" i="25"/>
  <c r="C10" i="149"/>
  <c r="C10" i="23"/>
  <c r="H10" i="11"/>
  <c r="C19" i="131"/>
  <c r="C10" i="152"/>
  <c r="C25" i="25"/>
  <c r="C10" i="21"/>
  <c r="B34" i="90"/>
  <c r="C54" i="82"/>
  <c r="B9" i="72"/>
  <c r="C77" i="96"/>
  <c r="C64" i="11"/>
  <c r="B73" i="72"/>
  <c r="C84" i="11"/>
  <c r="C40" i="161"/>
  <c r="C10" i="160"/>
  <c r="C28" i="149"/>
  <c r="C54" i="92"/>
  <c r="C10" i="96"/>
  <c r="C41" i="92"/>
  <c r="C10" i="24"/>
  <c r="C39" i="95"/>
  <c r="C9" i="83"/>
  <c r="C33" i="80"/>
  <c r="C12" i="81"/>
  <c r="C10" i="10"/>
  <c r="C10" i="143"/>
  <c r="C10" i="36"/>
  <c r="J10" i="117"/>
  <c r="C10" i="22"/>
  <c r="C10" i="111"/>
  <c r="I10" i="24"/>
  <c r="C10" i="29"/>
  <c r="C10" i="109"/>
  <c r="C10" i="14"/>
  <c r="B10" i="91"/>
  <c r="C46" i="149"/>
  <c r="C51" i="96"/>
  <c r="B10" i="144"/>
  <c r="C10" i="31"/>
  <c r="B10" i="79"/>
  <c r="C10" i="80"/>
  <c r="C10" i="82"/>
  <c r="C81" i="92"/>
  <c r="B23" i="72"/>
  <c r="H10" i="21"/>
  <c r="C39" i="96"/>
  <c r="C10" i="27"/>
  <c r="H45" i="14"/>
  <c r="C10" i="97"/>
  <c r="B10" i="115"/>
  <c r="C10" i="92"/>
  <c r="B10" i="90"/>
  <c r="C29" i="131"/>
  <c r="B42" i="79"/>
  <c r="C39" i="31"/>
  <c r="C10" i="162"/>
  <c r="C9" i="32"/>
  <c r="G10" i="160"/>
  <c r="I10" i="25"/>
  <c r="C44" i="145"/>
  <c r="C9" i="116"/>
  <c r="C10" i="99"/>
  <c r="C25" i="24"/>
  <c r="H10" i="14"/>
  <c r="C9" i="84"/>
  <c r="B26" i="79"/>
  <c r="C10" i="95"/>
  <c r="C10" i="161"/>
  <c r="C9" i="131"/>
  <c r="C22" i="96"/>
  <c r="C38" i="139"/>
  <c r="C9" i="112"/>
  <c r="B38" i="72"/>
  <c r="C10" i="156"/>
  <c r="C45" i="14"/>
  <c r="C33" i="97"/>
  <c r="C32" i="82"/>
  <c r="C27" i="145"/>
  <c r="C68" i="96"/>
  <c r="C53" i="81"/>
  <c r="C9" i="85"/>
  <c r="C10" i="139"/>
  <c r="E25" i="118" l="1"/>
  <c r="C12" i="153"/>
  <c r="E25" i="144"/>
  <c r="E18" i="144"/>
  <c r="E20" i="143"/>
  <c r="D13" i="127"/>
  <c r="G31" i="88"/>
  <c r="E36" i="80"/>
  <c r="H16" i="39"/>
  <c r="H14" i="39"/>
  <c r="I54" i="31"/>
  <c r="M25" i="22"/>
  <c r="M24" i="22"/>
  <c r="M23" i="22"/>
  <c r="E22" i="22"/>
  <c r="I21" i="22"/>
  <c r="M19" i="22"/>
  <c r="E18" i="22"/>
  <c r="I17" i="22"/>
  <c r="E13" i="22"/>
  <c r="E30" i="144"/>
  <c r="E22" i="144"/>
  <c r="E26" i="143"/>
  <c r="F18" i="140"/>
  <c r="D17" i="135"/>
  <c r="F158" i="134"/>
  <c r="F156" i="134"/>
  <c r="F154" i="134"/>
  <c r="D14" i="127"/>
  <c r="C13" i="127"/>
  <c r="J50" i="101"/>
  <c r="C31" i="88"/>
  <c r="E59" i="81"/>
  <c r="E57" i="81"/>
  <c r="E48" i="80"/>
  <c r="E46" i="80"/>
  <c r="E44" i="80"/>
  <c r="H22" i="39"/>
  <c r="H20" i="39"/>
  <c r="M22" i="22"/>
  <c r="E21" i="22"/>
  <c r="I20" i="22"/>
  <c r="M18" i="22"/>
  <c r="E17" i="22"/>
  <c r="M14" i="22"/>
  <c r="M13" i="22"/>
  <c r="E29" i="144"/>
  <c r="K13" i="140"/>
  <c r="E41" i="80"/>
  <c r="H17" i="39"/>
  <c r="H13" i="39"/>
  <c r="I24" i="22"/>
  <c r="I19" i="22"/>
  <c r="M17" i="22"/>
  <c r="M15" i="22"/>
  <c r="J31" i="21"/>
  <c r="J28" i="21"/>
  <c r="J23" i="21"/>
  <c r="E35" i="14"/>
  <c r="E21" i="144"/>
  <c r="E24" i="143"/>
  <c r="C14" i="127"/>
  <c r="J49" i="101"/>
  <c r="H15" i="39"/>
  <c r="M21" i="22"/>
  <c r="E27" i="144"/>
  <c r="E28" i="143"/>
  <c r="E22" i="143"/>
  <c r="F157" i="134"/>
  <c r="E56" i="81"/>
  <c r="E45" i="80"/>
  <c r="H21" i="39"/>
  <c r="I22" i="22"/>
  <c r="M20" i="22"/>
  <c r="E19" i="22"/>
  <c r="I13" i="22"/>
  <c r="E34" i="21"/>
  <c r="J32" i="21"/>
  <c r="E31" i="21"/>
  <c r="J29" i="21"/>
  <c r="J25" i="21"/>
  <c r="E27" i="143"/>
  <c r="D24" i="119"/>
  <c r="G30" i="88"/>
  <c r="I53" i="31"/>
  <c r="I25" i="22"/>
  <c r="I23" i="22"/>
  <c r="E58" i="81"/>
  <c r="H23" i="39"/>
  <c r="I18" i="22"/>
  <c r="I14" i="22"/>
  <c r="E35" i="21"/>
  <c r="J13" i="21"/>
  <c r="D20" i="119"/>
  <c r="E47" i="80"/>
  <c r="H19" i="39"/>
  <c r="E20" i="22"/>
  <c r="J27" i="21"/>
  <c r="J16" i="21"/>
  <c r="E20" i="144"/>
  <c r="F155" i="134"/>
  <c r="E43" i="80"/>
  <c r="M16" i="22"/>
  <c r="J33" i="21"/>
  <c r="J30" i="21"/>
  <c r="J21" i="21"/>
  <c r="E16" i="21"/>
  <c r="E34" i="14"/>
  <c r="E23" i="22"/>
  <c r="E32" i="21"/>
  <c r="E29" i="21"/>
  <c r="J19" i="21"/>
  <c r="B2791" i="155"/>
  <c r="B269" i="155"/>
  <c r="B697" i="155"/>
  <c r="B2337" i="155"/>
  <c r="B1217" i="155"/>
  <c r="B699" i="155"/>
  <c r="B1225" i="155"/>
  <c r="B396" i="155"/>
  <c r="B1269" i="155"/>
  <c r="B1224" i="155"/>
  <c r="B2553" i="155"/>
  <c r="B367" i="155"/>
  <c r="B2797" i="155"/>
  <c r="B393" i="155"/>
  <c r="B2802" i="155"/>
  <c r="B277" i="155"/>
  <c r="B2065" i="155"/>
  <c r="B2806" i="155"/>
  <c r="B693" i="155"/>
  <c r="B253" i="155"/>
  <c r="B371" i="155"/>
  <c r="B2815" i="155"/>
  <c r="B2813" i="155"/>
  <c r="B2323" i="155"/>
  <c r="B259" i="155"/>
  <c r="B2800" i="155"/>
  <c r="B2763" i="155"/>
  <c r="B2792" i="155"/>
  <c r="B267" i="155"/>
  <c r="B240" i="155"/>
  <c r="B1229" i="155"/>
  <c r="B2820" i="155"/>
  <c r="B2794" i="155"/>
  <c r="B258" i="155"/>
  <c r="B1456" i="155"/>
  <c r="B279" i="155"/>
  <c r="B379" i="155"/>
  <c r="B382" i="155"/>
  <c r="B265" i="155"/>
  <c r="B2805" i="155"/>
  <c r="B2671" i="155"/>
  <c r="B2341" i="155"/>
  <c r="B271" i="155"/>
  <c r="B692" i="155"/>
  <c r="B696" i="155"/>
  <c r="B368" i="155"/>
  <c r="B2796" i="155"/>
  <c r="B2550" i="155"/>
  <c r="B384" i="155"/>
  <c r="B2755" i="155"/>
  <c r="B2793" i="155"/>
  <c r="B2551" i="155"/>
  <c r="B1222" i="155"/>
  <c r="B1266" i="155"/>
  <c r="B547" i="155"/>
  <c r="B2816" i="155"/>
  <c r="B548" i="155"/>
  <c r="B372" i="155"/>
  <c r="B2825" i="155"/>
  <c r="B2826" i="155"/>
  <c r="B2795" i="155"/>
  <c r="B257" i="155"/>
  <c r="B2807" i="155"/>
  <c r="B276" i="155"/>
  <c r="B387" i="155"/>
  <c r="B700" i="155"/>
  <c r="B400" i="155"/>
  <c r="B694" i="155"/>
  <c r="B392" i="155"/>
  <c r="B386" i="155"/>
  <c r="B399" i="155"/>
  <c r="B2798" i="155"/>
  <c r="B2801" i="155"/>
  <c r="B366" i="155"/>
  <c r="B380" i="155"/>
  <c r="B256" i="155"/>
  <c r="B2785" i="155"/>
  <c r="B1227" i="155"/>
  <c r="B1438" i="155"/>
  <c r="B375" i="155"/>
  <c r="B362" i="155"/>
  <c r="B691" i="155"/>
  <c r="B381" i="155"/>
  <c r="B2549" i="155"/>
  <c r="B278" i="155"/>
  <c r="B2789" i="155"/>
  <c r="B2817" i="155"/>
  <c r="B1228" i="155"/>
  <c r="B2824" i="155"/>
  <c r="B2066" i="155"/>
  <c r="B698" i="155"/>
  <c r="B2552" i="155"/>
  <c r="B369" i="155"/>
  <c r="B389" i="155"/>
  <c r="B2787" i="155"/>
  <c r="B132" i="155"/>
  <c r="B2783" i="155"/>
  <c r="B385" i="155"/>
  <c r="B1457" i="155"/>
  <c r="B275" i="155"/>
  <c r="B274" i="155"/>
  <c r="B370" i="155"/>
  <c r="B391" i="155"/>
  <c r="B131" i="155"/>
  <c r="B376" i="155"/>
  <c r="B394" i="155"/>
  <c r="B383" i="155"/>
  <c r="B2799" i="155"/>
  <c r="B262" i="155"/>
  <c r="B1226" i="155"/>
  <c r="B690" i="155"/>
  <c r="B397" i="155"/>
  <c r="B2803" i="155"/>
  <c r="B388" i="155"/>
  <c r="B1267" i="155"/>
  <c r="B2822" i="155"/>
  <c r="B398" i="155"/>
  <c r="B390" i="155"/>
  <c r="B273" i="155"/>
  <c r="B1268" i="155"/>
  <c r="B2804" i="155"/>
  <c r="B395" i="155"/>
  <c r="B2790" i="155"/>
  <c r="B255" i="155"/>
  <c r="G29" i="104" l="1"/>
  <c r="G28" i="104"/>
  <c r="L33" i="14"/>
  <c r="G32" i="104"/>
  <c r="F31" i="104"/>
  <c r="G30" i="104"/>
  <c r="F28" i="104"/>
  <c r="F32" i="104"/>
  <c r="G31" i="104"/>
  <c r="F30" i="104"/>
  <c r="F29" i="104"/>
  <c r="K33" i="14"/>
  <c r="K68" i="14"/>
  <c r="L68" i="14"/>
  <c r="L15" i="91"/>
  <c r="G13" i="91"/>
  <c r="L14" i="91"/>
  <c r="L20" i="91"/>
  <c r="L19" i="91"/>
  <c r="G17" i="91"/>
  <c r="L13" i="91"/>
  <c r="G18" i="91"/>
  <c r="G19" i="91"/>
  <c r="L18" i="91"/>
  <c r="L17" i="91"/>
  <c r="L16" i="91"/>
  <c r="G14" i="91"/>
  <c r="G20" i="91"/>
  <c r="G16" i="91"/>
  <c r="G15" i="91"/>
  <c r="F16" i="91"/>
  <c r="K19" i="91"/>
  <c r="F15" i="91"/>
  <c r="K14" i="91"/>
  <c r="F18" i="91"/>
  <c r="K20" i="91"/>
  <c r="F14" i="91"/>
  <c r="F20" i="91"/>
  <c r="K15" i="91"/>
  <c r="F19" i="91"/>
  <c r="K18" i="91"/>
  <c r="F17" i="91"/>
  <c r="K17" i="91"/>
  <c r="K16" i="91"/>
  <c r="K13" i="91"/>
  <c r="F13" i="91"/>
  <c r="L33" i="21"/>
  <c r="K33" i="21"/>
  <c r="K19" i="22"/>
  <c r="J19" i="22"/>
  <c r="G29" i="21"/>
  <c r="F29" i="21"/>
  <c r="G20" i="144"/>
  <c r="F20" i="144"/>
  <c r="K14" i="22"/>
  <c r="J14" i="22"/>
  <c r="L25" i="21"/>
  <c r="K25" i="21"/>
  <c r="H157" i="134"/>
  <c r="G157" i="134"/>
  <c r="G65" i="14"/>
  <c r="F65" i="14"/>
  <c r="G44" i="80"/>
  <c r="F44" i="80"/>
  <c r="G32" i="21"/>
  <c r="F32" i="21"/>
  <c r="L30" i="21"/>
  <c r="K30" i="21"/>
  <c r="L64" i="14"/>
  <c r="K64" i="14"/>
  <c r="G47" i="80"/>
  <c r="F47" i="80"/>
  <c r="K18" i="22"/>
  <c r="J18" i="22"/>
  <c r="I30" i="88"/>
  <c r="H30" i="88"/>
  <c r="L29" i="21"/>
  <c r="K29" i="21"/>
  <c r="O20" i="22"/>
  <c r="N20" i="22"/>
  <c r="G22" i="143"/>
  <c r="F22" i="143"/>
  <c r="G66" i="14"/>
  <c r="F66" i="14"/>
  <c r="O17" i="22"/>
  <c r="N17" i="22"/>
  <c r="M13" i="140"/>
  <c r="L13" i="140"/>
  <c r="K20" i="22"/>
  <c r="J20" i="22"/>
  <c r="G46" i="80"/>
  <c r="F46" i="80"/>
  <c r="H18" i="140"/>
  <c r="G18" i="140"/>
  <c r="G18" i="22"/>
  <c r="F18" i="22"/>
  <c r="O25" i="22"/>
  <c r="N25" i="22"/>
  <c r="F13" i="127"/>
  <c r="E13" i="127"/>
  <c r="G23" i="22"/>
  <c r="F23" i="22"/>
  <c r="F24" i="119"/>
  <c r="E24" i="119"/>
  <c r="G28" i="143"/>
  <c r="F28" i="143"/>
  <c r="G29" i="144"/>
  <c r="F29" i="144"/>
  <c r="G21" i="22"/>
  <c r="F21" i="22"/>
  <c r="G48" i="80"/>
  <c r="F48" i="80"/>
  <c r="F14" i="127"/>
  <c r="E14" i="127"/>
  <c r="G26" i="143"/>
  <c r="F26" i="143"/>
  <c r="O19" i="22"/>
  <c r="N19" i="22"/>
  <c r="K54" i="31"/>
  <c r="J54" i="31"/>
  <c r="G20" i="143"/>
  <c r="F20" i="143"/>
  <c r="F20" i="119"/>
  <c r="E20" i="119"/>
  <c r="K22" i="22"/>
  <c r="J22" i="22"/>
  <c r="G35" i="145"/>
  <c r="G19" i="152"/>
  <c r="G19" i="149"/>
  <c r="G17" i="143"/>
  <c r="R18" i="140"/>
  <c r="Q25" i="139"/>
  <c r="Q13" i="139"/>
  <c r="F26" i="135"/>
  <c r="H381" i="134"/>
  <c r="H303" i="134"/>
  <c r="H198" i="134"/>
  <c r="H87" i="134"/>
  <c r="F14" i="132"/>
  <c r="K20" i="148"/>
  <c r="K18" i="145"/>
  <c r="K50" i="149"/>
  <c r="G24" i="144"/>
  <c r="M20" i="140"/>
  <c r="L27" i="139"/>
  <c r="L15" i="139"/>
  <c r="F36" i="135"/>
  <c r="H386" i="134"/>
  <c r="H320" i="134"/>
  <c r="H214" i="134"/>
  <c r="M124" i="134"/>
  <c r="H32" i="134"/>
  <c r="E13" i="153"/>
  <c r="G31" i="145"/>
  <c r="G15" i="152"/>
  <c r="G15" i="149"/>
  <c r="G48" i="139"/>
  <c r="G19" i="139"/>
  <c r="J14" i="137"/>
  <c r="F27" i="136"/>
  <c r="H341" i="134"/>
  <c r="H225" i="134"/>
  <c r="H138" i="134"/>
  <c r="H49" i="134"/>
  <c r="G16" i="131"/>
  <c r="K13" i="148"/>
  <c r="K23" i="152"/>
  <c r="K33" i="149"/>
  <c r="G14" i="143"/>
  <c r="R17" i="140"/>
  <c r="Q24" i="139"/>
  <c r="E18" i="138"/>
  <c r="F23" i="135"/>
  <c r="H369" i="134"/>
  <c r="H289" i="134"/>
  <c r="H184" i="134"/>
  <c r="H108" i="134"/>
  <c r="F17" i="133"/>
  <c r="G30" i="145"/>
  <c r="G14" i="152"/>
  <c r="G14" i="149"/>
  <c r="M25" i="140"/>
  <c r="G46" i="139"/>
  <c r="L18" i="139"/>
  <c r="J13" i="137"/>
  <c r="F14" i="136"/>
  <c r="H323" i="134"/>
  <c r="H217" i="134"/>
  <c r="H107" i="134"/>
  <c r="F16" i="133"/>
  <c r="K35" i="145"/>
  <c r="F38" i="135"/>
  <c r="G13" i="131"/>
  <c r="I12" i="126"/>
  <c r="F24" i="123"/>
  <c r="K18" i="120"/>
  <c r="K16" i="152"/>
  <c r="F27" i="135"/>
  <c r="G12" i="131"/>
  <c r="E15" i="126"/>
  <c r="K26" i="123"/>
  <c r="F26" i="120"/>
  <c r="G19" i="118"/>
  <c r="L16" i="116"/>
  <c r="M58" i="115"/>
  <c r="M27" i="115"/>
  <c r="F13" i="114"/>
  <c r="G18" i="111"/>
  <c r="G18" i="109"/>
  <c r="G13" i="159"/>
  <c r="K13" i="152"/>
  <c r="F16" i="135"/>
  <c r="F31" i="127"/>
  <c r="I14" i="126"/>
  <c r="F26" i="123"/>
  <c r="K25" i="120"/>
  <c r="G30" i="118"/>
  <c r="K16" i="145"/>
  <c r="F19" i="137"/>
  <c r="J14" i="132"/>
  <c r="D40" i="129"/>
  <c r="K32" i="123"/>
  <c r="F28" i="120"/>
  <c r="F16" i="119"/>
  <c r="N14" i="117"/>
  <c r="M66" i="115"/>
  <c r="M35" i="115"/>
  <c r="M17" i="115"/>
  <c r="G18" i="112"/>
  <c r="G15" i="110"/>
  <c r="G22" i="159"/>
  <c r="K15" i="148"/>
  <c r="H22" i="125"/>
  <c r="G28" i="118"/>
  <c r="H69" i="115"/>
  <c r="H29" i="115"/>
  <c r="K20" i="112"/>
  <c r="K19" i="109"/>
  <c r="G15" i="105"/>
  <c r="G15" i="101"/>
  <c r="K37" i="162"/>
  <c r="K63" i="161"/>
  <c r="K45" i="161"/>
  <c r="K19" i="161"/>
  <c r="G57" i="95"/>
  <c r="G32" i="95"/>
  <c r="G14" i="95"/>
  <c r="G47" i="92"/>
  <c r="G55" i="128"/>
  <c r="K15" i="120"/>
  <c r="H13" i="116"/>
  <c r="H33" i="115"/>
  <c r="G37" i="112"/>
  <c r="K23" i="109"/>
  <c r="G20" i="105"/>
  <c r="L17" i="101"/>
  <c r="G40" i="162"/>
  <c r="G14" i="162"/>
  <c r="G48" i="161"/>
  <c r="G22" i="161"/>
  <c r="K59" i="95"/>
  <c r="K34" i="95"/>
  <c r="K16" i="95"/>
  <c r="K49" i="92"/>
  <c r="G35" i="131"/>
  <c r="K27" i="120"/>
  <c r="H21" i="116"/>
  <c r="H54" i="115"/>
  <c r="H14" i="115"/>
  <c r="K13" i="111"/>
  <c r="L17" i="159"/>
  <c r="G31" i="101"/>
  <c r="K42" i="162"/>
  <c r="K16" i="162"/>
  <c r="K50" i="161"/>
  <c r="K24" i="161"/>
  <c r="G62" i="95"/>
  <c r="G44" i="95"/>
  <c r="G24" i="131"/>
  <c r="F27" i="120"/>
  <c r="L20" i="116"/>
  <c r="M53" i="115"/>
  <c r="M13" i="115"/>
  <c r="G13" i="111"/>
  <c r="G17" i="159"/>
  <c r="L33" i="101"/>
  <c r="G45" i="162"/>
  <c r="G19" i="162"/>
  <c r="G53" i="161"/>
  <c r="G27" i="161"/>
  <c r="G14" i="99"/>
  <c r="K46" i="95"/>
  <c r="K21" i="95"/>
  <c r="K59" i="92"/>
  <c r="K26" i="92"/>
  <c r="F60" i="120"/>
  <c r="H17" i="115"/>
  <c r="G36" i="101"/>
  <c r="K55" i="161"/>
  <c r="G49" i="95"/>
  <c r="G59" i="92"/>
  <c r="G14" i="92"/>
  <c r="G49" i="97"/>
  <c r="G24" i="97"/>
  <c r="G58" i="96"/>
  <c r="G25" i="96"/>
  <c r="K40" i="90"/>
  <c r="F39" i="89"/>
  <c r="E48" i="88"/>
  <c r="E22" i="88"/>
  <c r="K20" i="85"/>
  <c r="G16" i="83"/>
  <c r="G43" i="82"/>
  <c r="G79" i="81"/>
  <c r="G35" i="81"/>
  <c r="G13" i="80"/>
  <c r="G13" i="79"/>
  <c r="G14" i="72"/>
  <c r="G84" i="66"/>
  <c r="G50" i="66"/>
  <c r="G14" i="66"/>
  <c r="L51" i="63"/>
  <c r="F36" i="60"/>
  <c r="N13" i="117"/>
  <c r="G16" i="111"/>
  <c r="G47" i="162"/>
  <c r="G29" i="161"/>
  <c r="K26" i="95"/>
  <c r="G33" i="92"/>
  <c r="L27" i="98"/>
  <c r="K42" i="97"/>
  <c r="K17" i="97"/>
  <c r="K46" i="96"/>
  <c r="K13" i="96"/>
  <c r="G20" i="90"/>
  <c r="F21" i="89"/>
  <c r="I41" i="88"/>
  <c r="I15" i="88"/>
  <c r="G14" i="85"/>
  <c r="K64" i="82"/>
  <c r="K36" i="82"/>
  <c r="K63" i="81"/>
  <c r="K22" i="81"/>
  <c r="G56" i="79"/>
  <c r="F23" i="77"/>
  <c r="K13" i="72"/>
  <c r="L83" i="66"/>
  <c r="L49" i="66"/>
  <c r="G13" i="66"/>
  <c r="G51" i="63"/>
  <c r="J35" i="60"/>
  <c r="H20" i="116"/>
  <c r="G24" i="110"/>
  <c r="K44" i="162"/>
  <c r="K26" i="161"/>
  <c r="G25" i="95"/>
  <c r="G32" i="92"/>
  <c r="G27" i="98"/>
  <c r="G42" i="97"/>
  <c r="G17" i="97"/>
  <c r="G46" i="96"/>
  <c r="G13" i="96"/>
  <c r="G19" i="90"/>
  <c r="F20" i="89"/>
  <c r="E41" i="88"/>
  <c r="E18" i="88"/>
  <c r="K16" i="85"/>
  <c r="G67" i="82"/>
  <c r="G39" i="82"/>
  <c r="G75" i="81"/>
  <c r="G22" i="81"/>
  <c r="G55" i="79"/>
  <c r="J13" i="77"/>
  <c r="G13" i="72"/>
  <c r="G83" i="66"/>
  <c r="G49" i="66"/>
  <c r="L96" i="63"/>
  <c r="L50" i="63"/>
  <c r="F35" i="60"/>
  <c r="M65" i="115"/>
  <c r="G16" i="109"/>
  <c r="G27" i="162"/>
  <c r="G17" i="161"/>
  <c r="G18" i="95"/>
  <c r="G28" i="92"/>
  <c r="L17" i="98"/>
  <c r="K38" i="97"/>
  <c r="K13" i="97"/>
  <c r="K42" i="96"/>
  <c r="F42" i="89"/>
  <c r="I49" i="88"/>
  <c r="I26" i="88"/>
  <c r="E18" i="87"/>
  <c r="G17" i="84"/>
  <c r="K57" i="82"/>
  <c r="G14" i="82"/>
  <c r="K56" i="81"/>
  <c r="K15" i="81"/>
  <c r="G38" i="79"/>
  <c r="F17" i="75"/>
  <c r="H16" i="71"/>
  <c r="L72" i="66"/>
  <c r="L38" i="66"/>
  <c r="G78" i="63"/>
  <c r="G40" i="63"/>
  <c r="F27" i="119"/>
  <c r="K49" i="161"/>
  <c r="G32" i="98"/>
  <c r="G56" i="96"/>
  <c r="F30" i="89"/>
  <c r="K21" i="85"/>
  <c r="G80" i="81"/>
  <c r="G15" i="79"/>
  <c r="G57" i="66"/>
  <c r="F49" i="60"/>
  <c r="F23" i="69"/>
  <c r="H76" i="49"/>
  <c r="G37" i="56"/>
  <c r="J23" i="48"/>
  <c r="E189" i="41"/>
  <c r="E165" i="41"/>
  <c r="E141" i="41"/>
  <c r="E116" i="41"/>
  <c r="E92" i="41"/>
  <c r="E68" i="41"/>
  <c r="E44" i="41"/>
  <c r="F26" i="171"/>
  <c r="G14" i="36"/>
  <c r="K112" i="32"/>
  <c r="K68" i="32"/>
  <c r="F19" i="136"/>
  <c r="G24" i="162"/>
  <c r="G27" i="92"/>
  <c r="K81" i="96"/>
  <c r="F52" i="89"/>
  <c r="G21" i="85"/>
  <c r="K79" i="81"/>
  <c r="G36" i="79"/>
  <c r="L71" i="66"/>
  <c r="G39" i="63"/>
  <c r="J28" i="69"/>
  <c r="H95" i="49"/>
  <c r="K54" i="56"/>
  <c r="F26" i="48"/>
  <c r="M190" i="41"/>
  <c r="M166" i="41"/>
  <c r="M142" i="41"/>
  <c r="M117" i="41"/>
  <c r="M93" i="41"/>
  <c r="M69" i="41"/>
  <c r="M45" i="41"/>
  <c r="E15" i="41"/>
  <c r="F23" i="39"/>
  <c r="G137" i="32"/>
  <c r="G99" i="32"/>
  <c r="K63" i="32"/>
  <c r="N19" i="117"/>
  <c r="K32" i="161"/>
  <c r="G29" i="98"/>
  <c r="G48" i="96"/>
  <c r="F24" i="89"/>
  <c r="K18" i="85"/>
  <c r="G77" i="81"/>
  <c r="F30" i="76"/>
  <c r="G48" i="66"/>
  <c r="J34" i="60"/>
  <c r="J21" i="69"/>
  <c r="H74" i="49"/>
  <c r="G36" i="56"/>
  <c r="J22" i="48"/>
  <c r="I188" i="41"/>
  <c r="E14" i="153"/>
  <c r="G32" i="145"/>
  <c r="G16" i="152"/>
  <c r="G16" i="149"/>
  <c r="R16" i="140"/>
  <c r="Q23" i="139"/>
  <c r="E15" i="138"/>
  <c r="F15" i="135"/>
  <c r="H366" i="134"/>
  <c r="H286" i="134"/>
  <c r="H170" i="134"/>
  <c r="H69" i="134"/>
  <c r="G34" i="131"/>
  <c r="K17" i="148"/>
  <c r="K15" i="145"/>
  <c r="K37" i="149"/>
  <c r="G16" i="143"/>
  <c r="M18" i="140"/>
  <c r="L25" i="139"/>
  <c r="L13" i="139"/>
  <c r="F25" i="135"/>
  <c r="H380" i="134"/>
  <c r="H302" i="134"/>
  <c r="H197" i="134"/>
  <c r="M121" i="134"/>
  <c r="H14" i="134"/>
  <c r="G20" i="148"/>
  <c r="G18" i="145"/>
  <c r="G50" i="149"/>
  <c r="G23" i="144"/>
  <c r="H24" i="140"/>
  <c r="G42" i="139"/>
  <c r="G17" i="139"/>
  <c r="F41" i="135"/>
  <c r="F16" i="136"/>
  <c r="H334" i="134"/>
  <c r="H219" i="134"/>
  <c r="H124" i="134"/>
  <c r="H31" i="134"/>
  <c r="K36" i="145"/>
  <c r="K20" i="152"/>
  <c r="K20" i="149"/>
  <c r="R15" i="140"/>
  <c r="Q22" i="139"/>
  <c r="F20" i="137"/>
  <c r="F50" i="136"/>
  <c r="H354" i="134"/>
  <c r="H274" i="134"/>
  <c r="M158" i="134"/>
  <c r="H90" i="134"/>
  <c r="J15" i="132"/>
  <c r="G19" i="148"/>
  <c r="G17" i="145"/>
  <c r="G49" i="149"/>
  <c r="G15" i="144"/>
  <c r="M23" i="140"/>
  <c r="Q28" i="139"/>
  <c r="L16" i="139"/>
  <c r="F39" i="135"/>
  <c r="H383" i="134"/>
  <c r="H305" i="134"/>
  <c r="H200" i="134"/>
  <c r="H89" i="134"/>
  <c r="F15" i="132"/>
  <c r="K19" i="152"/>
  <c r="F13" i="136"/>
  <c r="G54" i="128"/>
  <c r="H20" i="125"/>
  <c r="F16" i="123"/>
  <c r="F15" i="120"/>
  <c r="K16" i="149"/>
  <c r="H382" i="134"/>
  <c r="F12" i="127"/>
  <c r="E12" i="126"/>
  <c r="K23" i="123"/>
  <c r="K17" i="120"/>
  <c r="G13" i="118"/>
  <c r="L13" i="116"/>
  <c r="M55" i="115"/>
  <c r="M24" i="115"/>
  <c r="G38" i="112"/>
  <c r="G15" i="111"/>
  <c r="G15" i="109"/>
  <c r="K20" i="105"/>
  <c r="K13" i="149"/>
  <c r="H367" i="134"/>
  <c r="G58" i="128"/>
  <c r="H24" i="125"/>
  <c r="F23" i="123"/>
  <c r="F17" i="120"/>
  <c r="G24" i="118"/>
  <c r="K38" i="149"/>
  <c r="F48" i="136"/>
  <c r="F30" i="127"/>
  <c r="E14" i="126"/>
  <c r="K25" i="123"/>
  <c r="F25" i="120"/>
  <c r="G29" i="118"/>
  <c r="L21" i="116"/>
  <c r="M63" i="115"/>
  <c r="M32" i="115"/>
  <c r="M14" i="115"/>
  <c r="G15" i="112"/>
  <c r="G23" i="109"/>
  <c r="G18" i="159"/>
  <c r="G20" i="139"/>
  <c r="F13" i="130"/>
  <c r="G16" i="118"/>
  <c r="H65" i="115"/>
  <c r="H25" i="115"/>
  <c r="K16" i="112"/>
  <c r="K15" i="109"/>
  <c r="G14" i="104"/>
  <c r="K52" i="162"/>
  <c r="K26" i="162"/>
  <c r="K60" i="161"/>
  <c r="K34" i="161"/>
  <c r="K16" i="161"/>
  <c r="G54" i="95"/>
  <c r="G29" i="95"/>
  <c r="G84" i="92"/>
  <c r="K48" i="145"/>
  <c r="K13" i="128"/>
  <c r="G27" i="118"/>
  <c r="M68" i="115"/>
  <c r="M28" i="115"/>
  <c r="G20" i="112"/>
  <c r="G19" i="109"/>
  <c r="G14" i="105"/>
  <c r="L14" i="101"/>
  <c r="G37" i="162"/>
  <c r="G63" i="161"/>
  <c r="G45" i="161"/>
  <c r="G19" i="161"/>
  <c r="K56" i="95"/>
  <c r="K31" i="95"/>
  <c r="K13" i="95"/>
  <c r="K46" i="92"/>
  <c r="G32" i="128"/>
  <c r="F13" i="120"/>
  <c r="H17" i="116"/>
  <c r="H50" i="115"/>
  <c r="F14" i="114"/>
  <c r="G18" i="110"/>
  <c r="L13" i="159"/>
  <c r="G17" i="101"/>
  <c r="K39" i="162"/>
  <c r="K13" i="162"/>
  <c r="K47" i="161"/>
  <c r="K21" i="161"/>
  <c r="G59" i="95"/>
  <c r="G34" i="95"/>
  <c r="G31" i="128"/>
  <c r="F32" i="119"/>
  <c r="H16" i="116"/>
  <c r="H49" i="115"/>
  <c r="F12" i="114"/>
  <c r="G16" i="110"/>
  <c r="G19" i="108"/>
  <c r="G30" i="101"/>
  <c r="G42" i="162"/>
  <c r="G16" i="162"/>
  <c r="G50" i="161"/>
  <c r="G24" i="161"/>
  <c r="K61" i="95"/>
  <c r="K43" i="95"/>
  <c r="K18" i="95"/>
  <c r="K51" i="92"/>
  <c r="K18" i="92"/>
  <c r="F14" i="119"/>
  <c r="K22" i="112"/>
  <c r="G16" i="101"/>
  <c r="K46" i="161"/>
  <c r="G33" i="95"/>
  <c r="G48" i="92"/>
  <c r="G31" i="98"/>
  <c r="G46" i="97"/>
  <c r="G21" i="97"/>
  <c r="G55" i="96"/>
  <c r="G17" i="96"/>
  <c r="K27" i="90"/>
  <c r="F28" i="89"/>
  <c r="E45" i="88"/>
  <c r="E19" i="88"/>
  <c r="K17" i="85"/>
  <c r="G68" i="82"/>
  <c r="G40" i="82"/>
  <c r="G76" i="81"/>
  <c r="G23" i="81"/>
  <c r="G51" i="79"/>
  <c r="F28" i="76"/>
  <c r="H50" i="71"/>
  <c r="G81" i="66"/>
  <c r="G47" i="66"/>
  <c r="L94" i="63"/>
  <c r="L48" i="63"/>
  <c r="K32" i="149"/>
  <c r="H70" i="115"/>
  <c r="K20" i="109"/>
  <c r="G38" i="162"/>
  <c r="G20" i="161"/>
  <c r="K20" i="95"/>
  <c r="G29" i="92"/>
  <c r="L18" i="98"/>
  <c r="K39" i="97"/>
  <c r="K14" i="97"/>
  <c r="K43" i="96"/>
  <c r="G14" i="90"/>
  <c r="F15" i="89"/>
  <c r="I38" i="88"/>
  <c r="E34" i="87"/>
  <c r="G25" i="84"/>
  <c r="K61" i="82"/>
  <c r="G22" i="82"/>
  <c r="K60" i="81"/>
  <c r="K19" i="81"/>
  <c r="G50" i="79"/>
  <c r="F15" i="76"/>
  <c r="H49" i="71"/>
  <c r="L80" i="66"/>
  <c r="L46" i="66"/>
  <c r="G94" i="63"/>
  <c r="G48" i="63"/>
  <c r="H13" i="140"/>
  <c r="H66" i="115"/>
  <c r="K16" i="109"/>
  <c r="K27" i="162"/>
  <c r="K17" i="161"/>
  <c r="G19" i="95"/>
  <c r="K28" i="92"/>
  <c r="G18" i="98"/>
  <c r="G39" i="97"/>
  <c r="G14" i="97"/>
  <c r="G43" i="96"/>
  <c r="G13" i="90"/>
  <c r="F14" i="89"/>
  <c r="E38" i="88"/>
  <c r="E15" i="88"/>
  <c r="K13" i="85"/>
  <c r="G64" i="82"/>
  <c r="G36" i="82"/>
  <c r="G63" i="81"/>
  <c r="G19" i="81"/>
  <c r="G49" i="79"/>
  <c r="F14" i="76"/>
  <c r="H48" i="71"/>
  <c r="G80" i="66"/>
  <c r="G46" i="66"/>
  <c r="L93" i="63"/>
  <c r="L47" i="63"/>
  <c r="G45" i="139"/>
  <c r="H52" i="115"/>
  <c r="L15" i="159"/>
  <c r="G18" i="162"/>
  <c r="K63" i="95"/>
  <c r="G85" i="92"/>
  <c r="K19" i="92"/>
  <c r="L14" i="98"/>
  <c r="K28" i="97"/>
  <c r="K72" i="96"/>
  <c r="K29" i="96"/>
  <c r="F36" i="89"/>
  <c r="I46" i="88"/>
  <c r="I23" i="88"/>
  <c r="E12" i="87"/>
  <c r="G19" i="83"/>
  <c r="K44" i="82"/>
  <c r="K80" i="81"/>
  <c r="K39" i="81"/>
  <c r="G38" i="80"/>
  <c r="G32" i="79"/>
  <c r="E22" i="74"/>
  <c r="L103" i="66"/>
  <c r="L69" i="66"/>
  <c r="L35" i="66"/>
  <c r="G71" i="63"/>
  <c r="G23" i="63"/>
  <c r="H62" i="115"/>
  <c r="K14" i="161"/>
  <c r="G17" i="98"/>
  <c r="G42" i="96"/>
  <c r="F12" i="89"/>
  <c r="K12" i="85"/>
  <c r="G62" i="81"/>
  <c r="F16" i="75"/>
  <c r="G38" i="66"/>
  <c r="F33" i="60"/>
  <c r="F17" i="69"/>
  <c r="H70" i="49"/>
  <c r="G23" i="56"/>
  <c r="J20" i="48"/>
  <c r="E187" i="41"/>
  <c r="E163" i="41"/>
  <c r="E139" i="41"/>
  <c r="E114" i="41"/>
  <c r="E90" i="41"/>
  <c r="E66" i="41"/>
  <c r="E42" i="41"/>
  <c r="F20" i="171"/>
  <c r="K137" i="32"/>
  <c r="K99" i="32"/>
  <c r="K64" i="32"/>
  <c r="F26" i="119"/>
  <c r="G49" i="161"/>
  <c r="L31" i="98"/>
  <c r="K55" i="96"/>
  <c r="F29" i="89"/>
  <c r="G12" i="85"/>
  <c r="K61" i="81"/>
  <c r="G14" i="79"/>
  <c r="L50" i="66"/>
  <c r="J36" i="60"/>
  <c r="J22" i="69"/>
  <c r="H75" i="49"/>
  <c r="K36" i="56"/>
  <c r="F23" i="48"/>
  <c r="M188" i="41"/>
  <c r="M164" i="41"/>
  <c r="M140" i="41"/>
  <c r="M115" i="41"/>
  <c r="M91" i="41"/>
  <c r="M67" i="41"/>
  <c r="M43" i="41"/>
  <c r="F25" i="171"/>
  <c r="F20" i="39"/>
  <c r="G134" i="32"/>
  <c r="G96" i="32"/>
  <c r="G47" i="32"/>
  <c r="H35" i="115"/>
  <c r="G21" i="148"/>
  <c r="G19" i="145"/>
  <c r="G13" i="152"/>
  <c r="G13" i="149"/>
  <c r="R14" i="140"/>
  <c r="Q21" i="139"/>
  <c r="J18" i="137"/>
  <c r="F47" i="136"/>
  <c r="H351" i="134"/>
  <c r="H253" i="134"/>
  <c r="H139" i="134"/>
  <c r="H51" i="134"/>
  <c r="G23" i="131"/>
  <c r="K14" i="148"/>
  <c r="K24" i="152"/>
  <c r="K34" i="149"/>
  <c r="M16" i="140"/>
  <c r="L23" i="139"/>
  <c r="E14" i="138"/>
  <c r="F14" i="135"/>
  <c r="H365" i="134"/>
  <c r="H285" i="134"/>
  <c r="H169" i="134"/>
  <c r="H92" i="134"/>
  <c r="J16" i="132"/>
  <c r="G17" i="148"/>
  <c r="G15" i="145"/>
  <c r="G37" i="149"/>
  <c r="G17" i="144"/>
  <c r="H22" i="140"/>
  <c r="G27" i="139"/>
  <c r="G15" i="139"/>
  <c r="F35" i="135"/>
  <c r="H385" i="134"/>
  <c r="H319" i="134"/>
  <c r="H213" i="134"/>
  <c r="H121" i="134"/>
  <c r="H13" i="134"/>
  <c r="K33" i="145"/>
  <c r="K17" i="152"/>
  <c r="K17" i="149"/>
  <c r="R25" i="140"/>
  <c r="R13" i="140"/>
  <c r="Q20" i="139"/>
  <c r="F17" i="137"/>
  <c r="F43" i="136"/>
  <c r="H347" i="134"/>
  <c r="H241" i="134"/>
  <c r="M155" i="134"/>
  <c r="H72" i="134"/>
  <c r="G37" i="131"/>
  <c r="G16" i="148"/>
  <c r="G14" i="145"/>
  <c r="G36" i="149"/>
  <c r="G25" i="143"/>
  <c r="M21" i="140"/>
  <c r="L26" i="139"/>
  <c r="L14" i="139"/>
  <c r="F28" i="135"/>
  <c r="H368" i="134"/>
  <c r="H288" i="134"/>
  <c r="H172" i="134"/>
  <c r="H71" i="134"/>
  <c r="G36" i="131"/>
  <c r="K19" i="149"/>
  <c r="H322" i="134"/>
  <c r="G30" i="128"/>
  <c r="H14" i="125"/>
  <c r="F13" i="123"/>
  <c r="F31" i="119"/>
  <c r="G18" i="143"/>
  <c r="H304" i="134"/>
  <c r="G44" i="128"/>
  <c r="H19" i="125"/>
  <c r="K15" i="123"/>
  <c r="K14" i="120"/>
  <c r="N18" i="117"/>
  <c r="M70" i="115"/>
  <c r="M52" i="115"/>
  <c r="M21" i="115"/>
  <c r="G22" i="112"/>
  <c r="G23" i="110"/>
  <c r="F30" i="173"/>
  <c r="K17" i="105"/>
  <c r="H287" i="134"/>
  <c r="G43" i="128"/>
  <c r="H18" i="125"/>
  <c r="F15" i="123"/>
  <c r="F14" i="120"/>
  <c r="G18" i="118"/>
  <c r="G26" i="144"/>
  <c r="H352" i="134"/>
  <c r="G57" i="128"/>
  <c r="H23" i="125"/>
  <c r="K17" i="123"/>
  <c r="K16" i="120"/>
  <c r="G23" i="118"/>
  <c r="L18" i="116"/>
  <c r="M60" i="115"/>
  <c r="M29" i="115"/>
  <c r="F17" i="114"/>
  <c r="G12" i="112"/>
  <c r="G20" i="109"/>
  <c r="G15" i="159"/>
  <c r="H345" i="134"/>
  <c r="F17" i="123"/>
  <c r="H17" i="117"/>
  <c r="H60" i="115"/>
  <c r="H20" i="115"/>
  <c r="K19" i="111"/>
  <c r="F15" i="173"/>
  <c r="L48" i="101"/>
  <c r="K49" i="162"/>
  <c r="K23" i="162"/>
  <c r="K57" i="161"/>
  <c r="K31" i="161"/>
  <c r="K13" i="161"/>
  <c r="G51" i="95"/>
  <c r="G26" i="95"/>
  <c r="G64" i="92"/>
  <c r="G14" i="144"/>
  <c r="H21" i="125"/>
  <c r="G15" i="118"/>
  <c r="H64" i="115"/>
  <c r="H24" i="115"/>
  <c r="K15" i="112"/>
  <c r="K14" i="109"/>
  <c r="G13" i="104"/>
  <c r="G52" i="162"/>
  <c r="G26" i="162"/>
  <c r="G60" i="161"/>
  <c r="G34" i="161"/>
  <c r="G16" i="161"/>
  <c r="K53" i="95"/>
  <c r="K28" i="95"/>
  <c r="K76" i="92"/>
  <c r="K13" i="145"/>
  <c r="D29" i="129"/>
  <c r="F19" i="119"/>
  <c r="H12" i="116"/>
  <c r="H32" i="115"/>
  <c r="G35" i="112"/>
  <c r="K22" i="109"/>
  <c r="G19" i="105"/>
  <c r="G14" i="101"/>
  <c r="K28" i="162"/>
  <c r="K62" i="161"/>
  <c r="K44" i="161"/>
  <c r="K18" i="161"/>
  <c r="G56" i="95"/>
  <c r="K22" i="152"/>
  <c r="D18" i="129"/>
  <c r="F15" i="119"/>
  <c r="M71" i="115"/>
  <c r="M31" i="115"/>
  <c r="G34" i="112"/>
  <c r="G22" i="109"/>
  <c r="K18" i="105"/>
  <c r="L16" i="101"/>
  <c r="G39" i="162"/>
  <c r="G13" i="162"/>
  <c r="G47" i="161"/>
  <c r="G21" i="161"/>
  <c r="K58" i="95"/>
  <c r="K33" i="95"/>
  <c r="K15" i="95"/>
  <c r="K48" i="92"/>
  <c r="K15" i="92"/>
  <c r="H14" i="117"/>
  <c r="K16" i="111"/>
  <c r="K47" i="162"/>
  <c r="K29" i="161"/>
  <c r="G27" i="95"/>
  <c r="K33" i="92"/>
  <c r="G28" i="98"/>
  <c r="G43" i="97"/>
  <c r="G18" i="97"/>
  <c r="G47" i="96"/>
  <c r="G14" i="96"/>
  <c r="G21" i="90"/>
  <c r="F22" i="89"/>
  <c r="E42" i="88"/>
  <c r="E16" i="88"/>
  <c r="K14" i="85"/>
  <c r="G65" i="82"/>
  <c r="G37" i="82"/>
  <c r="G64" i="81"/>
  <c r="G20" i="81"/>
  <c r="G45" i="79"/>
  <c r="F32" i="75"/>
  <c r="H44" i="71"/>
  <c r="G74" i="66"/>
  <c r="G44" i="66"/>
  <c r="L79" i="63"/>
  <c r="L41" i="63"/>
  <c r="M139" i="134"/>
  <c r="M56" i="115"/>
  <c r="L20" i="159"/>
  <c r="G21" i="162"/>
  <c r="G18" i="99"/>
  <c r="K14" i="95"/>
  <c r="K20" i="92"/>
  <c r="L15" i="98"/>
  <c r="K36" i="97"/>
  <c r="K80" i="96"/>
  <c r="K30" i="96"/>
  <c r="F50" i="89"/>
  <c r="I53" i="88"/>
  <c r="I27" i="88"/>
  <c r="E28" i="87"/>
  <c r="G19" i="84"/>
  <c r="K58" i="82"/>
  <c r="G16" i="82"/>
  <c r="K57" i="81"/>
  <c r="K16" i="81"/>
  <c r="G40" i="79"/>
  <c r="F31" i="75"/>
  <c r="H31" i="71"/>
  <c r="L73" i="66"/>
  <c r="L39" i="66"/>
  <c r="G79" i="63"/>
  <c r="G41" i="63"/>
  <c r="F29" i="127"/>
  <c r="H53" i="115"/>
  <c r="L16" i="159"/>
  <c r="K18" i="162"/>
  <c r="G13" i="99"/>
  <c r="G13" i="95"/>
  <c r="G20" i="92"/>
  <c r="G15" i="98"/>
  <c r="G36" i="97"/>
  <c r="G80" i="96"/>
  <c r="G30" i="96"/>
  <c r="F49" i="89"/>
  <c r="E53" i="88"/>
  <c r="E30" i="88"/>
  <c r="E33" i="87"/>
  <c r="G24" i="84"/>
  <c r="G61" i="82"/>
  <c r="G21" i="82"/>
  <c r="G60" i="81"/>
  <c r="G16" i="81"/>
  <c r="G39" i="79"/>
  <c r="F30" i="75"/>
  <c r="H17" i="71"/>
  <c r="G18" i="148"/>
  <c r="G16" i="145"/>
  <c r="G38" i="149"/>
  <c r="G19" i="144"/>
  <c r="R24" i="140"/>
  <c r="G50" i="139"/>
  <c r="Q19" i="139"/>
  <c r="J15" i="137"/>
  <c r="F29" i="136"/>
  <c r="H343" i="134"/>
  <c r="H227" i="134"/>
  <c r="H125" i="134"/>
  <c r="H33" i="134"/>
  <c r="K47" i="145"/>
  <c r="K21" i="152"/>
  <c r="K31" i="149"/>
  <c r="M14" i="140"/>
  <c r="L21" i="139"/>
  <c r="F18" i="137"/>
  <c r="F46" i="136"/>
  <c r="H349" i="134"/>
  <c r="H252" i="134"/>
  <c r="M156" i="134"/>
  <c r="H86" i="134"/>
  <c r="J13" i="132"/>
  <c r="G14" i="148"/>
  <c r="G24" i="152"/>
  <c r="G34" i="149"/>
  <c r="G21" i="143"/>
  <c r="H20" i="140"/>
  <c r="G25" i="139"/>
  <c r="G13" i="139"/>
  <c r="F24" i="135"/>
  <c r="H379" i="134"/>
  <c r="H290" i="134"/>
  <c r="H185" i="134"/>
  <c r="H91" i="134"/>
  <c r="F16" i="132"/>
  <c r="I12" i="153"/>
  <c r="K30" i="145"/>
  <c r="K14" i="152"/>
  <c r="K14" i="149"/>
  <c r="R23" i="140"/>
  <c r="G47" i="139"/>
  <c r="Q18" i="139"/>
  <c r="F14" i="137"/>
  <c r="F26" i="136"/>
  <c r="H340" i="134"/>
  <c r="H224" i="134"/>
  <c r="M140" i="134"/>
  <c r="H54" i="134"/>
  <c r="G26" i="131"/>
  <c r="G13" i="148"/>
  <c r="G23" i="152"/>
  <c r="G33" i="149"/>
  <c r="G19" i="143"/>
  <c r="M19" i="140"/>
  <c r="L24" i="139"/>
  <c r="E17" i="138"/>
  <c r="F49" i="136"/>
  <c r="H353" i="134"/>
  <c r="H264" i="134"/>
  <c r="H140" i="134"/>
  <c r="H53" i="134"/>
  <c r="G25" i="131"/>
  <c r="H21" i="140"/>
  <c r="H216" i="134"/>
  <c r="G16" i="128"/>
  <c r="F17" i="130"/>
  <c r="F46" i="120"/>
  <c r="F25" i="119"/>
  <c r="H19" i="140"/>
  <c r="H199" i="134"/>
  <c r="G29" i="128"/>
  <c r="H13" i="125"/>
  <c r="F63" i="120"/>
  <c r="F30" i="119"/>
  <c r="N15" i="117"/>
  <c r="M67" i="115"/>
  <c r="M49" i="115"/>
  <c r="M18" i="115"/>
  <c r="G19" i="112"/>
  <c r="G17" i="110"/>
  <c r="G23" i="159"/>
  <c r="G18" i="104"/>
  <c r="H17" i="140"/>
  <c r="H171" i="134"/>
  <c r="G28" i="128"/>
  <c r="F21" i="130"/>
  <c r="F62" i="120"/>
  <c r="F29" i="119"/>
  <c r="G12" i="118"/>
  <c r="H263" i="134"/>
  <c r="G42" i="128"/>
  <c r="H17" i="125"/>
  <c r="K14" i="123"/>
  <c r="K13" i="120"/>
  <c r="G17" i="118"/>
  <c r="L15" i="116"/>
  <c r="M57" i="115"/>
  <c r="M26" i="115"/>
  <c r="G42" i="112"/>
  <c r="G17" i="111"/>
  <c r="G17" i="109"/>
  <c r="G13" i="108"/>
  <c r="H70" i="134"/>
  <c r="K30" i="120"/>
  <c r="H13" i="117"/>
  <c r="H56" i="115"/>
  <c r="H16" i="115"/>
  <c r="K15" i="111"/>
  <c r="G20" i="159"/>
  <c r="G35" i="101"/>
  <c r="K46" i="162"/>
  <c r="K20" i="162"/>
  <c r="K54" i="161"/>
  <c r="K28" i="161"/>
  <c r="G17" i="99"/>
  <c r="G48" i="95"/>
  <c r="G23" i="95"/>
  <c r="G61" i="92"/>
  <c r="G18" i="139"/>
  <c r="F48" i="123"/>
  <c r="N16" i="117"/>
  <c r="M59" i="115"/>
  <c r="M19" i="115"/>
  <c r="G19" i="111"/>
  <c r="F14" i="173"/>
  <c r="G48" i="101"/>
  <c r="G49" i="162"/>
  <c r="G23" i="162"/>
  <c r="G57" i="161"/>
  <c r="G31" i="161"/>
  <c r="G13" i="161"/>
  <c r="K50" i="95"/>
  <c r="K25" i="95"/>
  <c r="K63" i="92"/>
  <c r="H25" i="140"/>
  <c r="H16" i="125"/>
  <c r="G26" i="118"/>
  <c r="H68" i="115"/>
  <c r="H28" i="115"/>
  <c r="K19" i="112"/>
  <c r="K18" i="109"/>
  <c r="G13" i="105"/>
  <c r="K51" i="162"/>
  <c r="K25" i="162"/>
  <c r="K59" i="161"/>
  <c r="K33" i="161"/>
  <c r="K15" i="161"/>
  <c r="G53" i="95"/>
  <c r="H23" i="140"/>
  <c r="H15" i="125"/>
  <c r="G22" i="118"/>
  <c r="H67" i="115"/>
  <c r="H27" i="115"/>
  <c r="K18" i="112"/>
  <c r="K17" i="109"/>
  <c r="G17" i="104"/>
  <c r="G13" i="101"/>
  <c r="G28" i="162"/>
  <c r="G62" i="161"/>
  <c r="G44" i="161"/>
  <c r="G18" i="161"/>
  <c r="K55" i="95"/>
  <c r="K30" i="95"/>
  <c r="K85" i="92"/>
  <c r="K45" i="92"/>
  <c r="K35" i="149"/>
  <c r="H71" i="115"/>
  <c r="K21" i="109"/>
  <c r="K38" i="162"/>
  <c r="K20" i="161"/>
  <c r="G21" i="95"/>
  <c r="G30" i="92"/>
  <c r="G19" i="98"/>
  <c r="G40" i="97"/>
  <c r="G15" i="97"/>
  <c r="G44" i="96"/>
  <c r="G15" i="90"/>
  <c r="F16" i="89"/>
  <c r="E39" i="88"/>
  <c r="E13" i="88"/>
  <c r="G26" i="84"/>
  <c r="G62" i="82"/>
  <c r="G23" i="82"/>
  <c r="G61" i="81"/>
  <c r="G17" i="81"/>
  <c r="G35" i="79"/>
  <c r="F14" i="75"/>
  <c r="H13" i="71"/>
  <c r="G71" i="66"/>
  <c r="G37" i="66"/>
  <c r="L76" i="63"/>
  <c r="G26" i="63"/>
  <c r="E13" i="126"/>
  <c r="H30" i="115"/>
  <c r="G17" i="105"/>
  <c r="G64" i="161"/>
  <c r="K57" i="95"/>
  <c r="K64" i="92"/>
  <c r="G17" i="92"/>
  <c r="K51" i="97"/>
  <c r="K26" i="97"/>
  <c r="K60" i="96"/>
  <c r="K27" i="96"/>
  <c r="K45" i="90"/>
  <c r="F44" i="89"/>
  <c r="I50" i="88"/>
  <c r="I24" i="88"/>
  <c r="E14" i="87"/>
  <c r="G13" i="84"/>
  <c r="K45" i="82"/>
  <c r="K81" i="81"/>
  <c r="K40" i="81"/>
  <c r="G40" i="80"/>
  <c r="G34" i="79"/>
  <c r="F13" i="75"/>
  <c r="F26" i="70"/>
  <c r="L70" i="66"/>
  <c r="L36" i="66"/>
  <c r="G76" i="63"/>
  <c r="G25" i="63"/>
  <c r="F19" i="130"/>
  <c r="H26" i="115"/>
  <c r="G16" i="104"/>
  <c r="K61" i="161"/>
  <c r="G55" i="95"/>
  <c r="G63" i="92"/>
  <c r="K16" i="92"/>
  <c r="G51" i="97"/>
  <c r="G26" i="97"/>
  <c r="G60" i="96"/>
  <c r="G27" i="96"/>
  <c r="K44" i="90"/>
  <c r="F43" i="89"/>
  <c r="E50" i="88"/>
  <c r="E27" i="88"/>
  <c r="E19" i="87"/>
  <c r="G18" i="84"/>
  <c r="G58" i="82"/>
  <c r="G15" i="82"/>
  <c r="G40" i="81"/>
  <c r="G39" i="80"/>
  <c r="G33" i="79"/>
  <c r="E34" i="74"/>
  <c r="F14" i="70"/>
  <c r="G70" i="66"/>
  <c r="G36" i="66"/>
  <c r="L71" i="63"/>
  <c r="G24" i="63"/>
  <c r="F24" i="120"/>
  <c r="F18" i="114"/>
  <c r="L32" i="101"/>
  <c r="G52" i="161"/>
  <c r="K45" i="95"/>
  <c r="G51" i="92"/>
  <c r="L32" i="98"/>
  <c r="K47" i="97"/>
  <c r="K22" i="97"/>
  <c r="K56" i="96"/>
  <c r="K18" i="96"/>
  <c r="G18" i="90"/>
  <c r="F19" i="89"/>
  <c r="I40" i="88"/>
  <c r="I17" i="88"/>
  <c r="G16" i="85"/>
  <c r="K66" i="82"/>
  <c r="K38" i="82"/>
  <c r="K74" i="81"/>
  <c r="K33" i="81"/>
  <c r="G16" i="80"/>
  <c r="G16" i="79"/>
  <c r="G16" i="72"/>
  <c r="L85" i="66"/>
  <c r="L57" i="66"/>
  <c r="G16" i="66"/>
  <c r="G59" i="63"/>
  <c r="J49" i="60"/>
  <c r="F43" i="173"/>
  <c r="K17" i="95"/>
  <c r="G38" i="97"/>
  <c r="E37" i="88"/>
  <c r="G63" i="82"/>
  <c r="G21" i="81"/>
  <c r="H15" i="71"/>
  <c r="L77" i="63"/>
  <c r="F14" i="60"/>
  <c r="F31" i="58"/>
  <c r="L17" i="49"/>
  <c r="G13" i="56"/>
  <c r="J14" i="48"/>
  <c r="E183" i="41"/>
  <c r="E159" i="41"/>
  <c r="E135" i="41"/>
  <c r="E110" i="41"/>
  <c r="E86" i="41"/>
  <c r="E62" i="41"/>
  <c r="E38" i="41"/>
  <c r="F24" i="37"/>
  <c r="K130" i="32"/>
  <c r="G15" i="148"/>
  <c r="G13" i="145"/>
  <c r="G35" i="149"/>
  <c r="G13" i="144"/>
  <c r="R22" i="140"/>
  <c r="G44" i="139"/>
  <c r="Q17" i="139"/>
  <c r="F43" i="135"/>
  <c r="F18" i="136"/>
  <c r="H336" i="134"/>
  <c r="H221" i="134"/>
  <c r="H122" i="134"/>
  <c r="H15" i="134"/>
  <c r="K34" i="145"/>
  <c r="K18" i="152"/>
  <c r="K18" i="149"/>
  <c r="M24" i="140"/>
  <c r="G49" i="139"/>
  <c r="L19" i="139"/>
  <c r="F15" i="137"/>
  <c r="F28" i="136"/>
  <c r="H342" i="134"/>
  <c r="H226" i="134"/>
  <c r="M141" i="134"/>
  <c r="H68" i="134"/>
  <c r="G33" i="131"/>
  <c r="G47" i="145"/>
  <c r="G21" i="152"/>
  <c r="G31" i="149"/>
  <c r="G15" i="143"/>
  <c r="H16" i="140"/>
  <c r="G23" i="139"/>
  <c r="J20" i="137"/>
  <c r="F13" i="135"/>
  <c r="H355" i="134"/>
  <c r="H275" i="134"/>
  <c r="H168" i="134"/>
  <c r="H85" i="134"/>
  <c r="F13" i="132"/>
  <c r="K19" i="148"/>
  <c r="K17" i="145"/>
  <c r="K49" i="149"/>
  <c r="G28" i="144"/>
  <c r="R21" i="140"/>
  <c r="G41" i="139"/>
  <c r="Q16" i="139"/>
  <c r="F40" i="135"/>
  <c r="F15" i="136"/>
  <c r="H333" i="134"/>
  <c r="H218" i="134"/>
  <c r="M137" i="134"/>
  <c r="H48" i="134"/>
  <c r="G15" i="131"/>
  <c r="G36" i="145"/>
  <c r="G20" i="152"/>
  <c r="G20" i="149"/>
  <c r="G13" i="143"/>
  <c r="M17" i="140"/>
  <c r="L22" i="139"/>
  <c r="J19" i="137"/>
  <c r="F42" i="136"/>
  <c r="H346" i="134"/>
  <c r="H240" i="134"/>
  <c r="H137" i="134"/>
  <c r="H47" i="134"/>
  <c r="G14" i="131"/>
  <c r="G28" i="139"/>
  <c r="M125" i="134"/>
  <c r="G13" i="128"/>
  <c r="F47" i="123"/>
  <c r="K29" i="120"/>
  <c r="I14" i="153"/>
  <c r="G26" i="139"/>
  <c r="M122" i="134"/>
  <c r="K15" i="128"/>
  <c r="F16" i="130"/>
  <c r="F45" i="120"/>
  <c r="F18" i="119"/>
  <c r="L22" i="116"/>
  <c r="M64" i="115"/>
  <c r="M33" i="115"/>
  <c r="M15" i="115"/>
  <c r="G16" i="112"/>
  <c r="G24" i="109"/>
  <c r="G19" i="159"/>
  <c r="K21" i="148"/>
  <c r="G24" i="139"/>
  <c r="H106" i="134"/>
  <c r="G15" i="128"/>
  <c r="F15" i="130"/>
  <c r="F44" i="120"/>
  <c r="F23" i="119"/>
  <c r="H18" i="117"/>
  <c r="H15" i="140"/>
  <c r="M157" i="134"/>
  <c r="G18" i="128"/>
  <c r="F20" i="130"/>
  <c r="F61" i="120"/>
  <c r="F28" i="119"/>
  <c r="N20" i="117"/>
  <c r="L12" i="116"/>
  <c r="M54" i="115"/>
  <c r="M23" i="115"/>
  <c r="G36" i="112"/>
  <c r="G14" i="111"/>
  <c r="G14" i="109"/>
  <c r="K19" i="105"/>
  <c r="G56" i="128"/>
  <c r="F16" i="120"/>
  <c r="H18" i="116"/>
  <c r="H51" i="115"/>
  <c r="F16" i="114"/>
  <c r="G20" i="110"/>
  <c r="L14" i="159"/>
  <c r="G32" i="101"/>
  <c r="K43" i="162"/>
  <c r="K17" i="162"/>
  <c r="K51" i="161"/>
  <c r="K25" i="161"/>
  <c r="G63" i="95"/>
  <c r="G45" i="95"/>
  <c r="G20" i="95"/>
  <c r="G58" i="92"/>
  <c r="H337" i="134"/>
  <c r="K16" i="123"/>
  <c r="H22" i="116"/>
  <c r="H55" i="115"/>
  <c r="H15" i="115"/>
  <c r="K14" i="111"/>
  <c r="L18" i="159"/>
  <c r="L34" i="101"/>
  <c r="G46" i="162"/>
  <c r="G20" i="162"/>
  <c r="G54" i="161"/>
  <c r="G28" i="161"/>
  <c r="G16" i="99"/>
  <c r="K47" i="95"/>
  <c r="K22" i="95"/>
  <c r="K60" i="92"/>
  <c r="F16" i="137"/>
  <c r="F32" i="123"/>
  <c r="G14" i="118"/>
  <c r="H63" i="115"/>
  <c r="H23" i="115"/>
  <c r="K14" i="112"/>
  <c r="K13" i="109"/>
  <c r="L47" i="101"/>
  <c r="K48" i="162"/>
  <c r="K22" i="162"/>
  <c r="K56" i="161"/>
  <c r="K30" i="161"/>
  <c r="G21" i="99"/>
  <c r="G50" i="95"/>
  <c r="F13" i="137"/>
  <c r="K27" i="123"/>
  <c r="H20" i="117"/>
  <c r="M62" i="115"/>
  <c r="M22" i="115"/>
  <c r="G14" i="112"/>
  <c r="G13" i="109"/>
  <c r="G50" i="101"/>
  <c r="G51" i="162"/>
  <c r="G25" i="162"/>
  <c r="G59" i="161"/>
  <c r="G33" i="161"/>
  <c r="G15" i="161"/>
  <c r="K52" i="95"/>
  <c r="K27" i="95"/>
  <c r="K75" i="92"/>
  <c r="K32" i="92"/>
  <c r="M154" i="134"/>
  <c r="H57" i="115"/>
  <c r="G21" i="159"/>
  <c r="K21" i="162"/>
  <c r="G19" i="99"/>
  <c r="G15" i="95"/>
  <c r="G26" i="92"/>
  <c r="G16" i="98"/>
  <c r="G37" i="97"/>
  <c r="G81" i="96"/>
  <c r="G31" i="96"/>
  <c r="F51" i="89"/>
  <c r="E54" i="88"/>
  <c r="E28" i="88"/>
  <c r="E29" i="87"/>
  <c r="G20" i="84"/>
  <c r="G59" i="82"/>
  <c r="G17" i="82"/>
  <c r="G41" i="81"/>
  <c r="G25" i="80"/>
  <c r="G29" i="79"/>
  <c r="G66" i="72"/>
  <c r="G102" i="66"/>
  <c r="G62" i="66"/>
  <c r="G34" i="66"/>
  <c r="L69" i="63"/>
  <c r="G16" i="63"/>
  <c r="F47" i="120"/>
  <c r="M16" i="115"/>
  <c r="L35" i="101"/>
  <c r="G55" i="161"/>
  <c r="K48" i="95"/>
  <c r="K58" i="92"/>
  <c r="K13" i="92"/>
  <c r="K48" i="97"/>
  <c r="K23" i="97"/>
  <c r="K57" i="96"/>
  <c r="K19" i="96"/>
  <c r="G39" i="90"/>
  <c r="F38" i="89"/>
  <c r="I47" i="88"/>
  <c r="I21" i="88"/>
  <c r="G20" i="85"/>
  <c r="G15" i="83"/>
  <c r="K42" i="82"/>
  <c r="K78" i="81"/>
  <c r="K37" i="81"/>
  <c r="G24" i="80"/>
  <c r="G24" i="79"/>
  <c r="G54" i="72"/>
  <c r="L101" i="66"/>
  <c r="L61" i="66"/>
  <c r="L21" i="66"/>
  <c r="G69" i="63"/>
  <c r="L15" i="63"/>
  <c r="K24" i="120"/>
  <c r="H13" i="115"/>
  <c r="G33" i="101"/>
  <c r="K52" i="161"/>
  <c r="G46" i="95"/>
  <c r="G57" i="92"/>
  <c r="G13" i="92"/>
  <c r="G48" i="97"/>
  <c r="G23" i="97"/>
  <c r="G57" i="96"/>
  <c r="G19" i="96"/>
  <c r="G38" i="90"/>
  <c r="F37" i="89"/>
  <c r="E47" i="88"/>
  <c r="E24" i="88"/>
  <c r="E13" i="87"/>
  <c r="G12" i="84"/>
  <c r="G45" i="82"/>
  <c r="G81" i="81"/>
  <c r="G37" i="81"/>
  <c r="G23" i="80"/>
  <c r="G23" i="79"/>
  <c r="G53" i="72"/>
  <c r="G101" i="66"/>
  <c r="G61" i="66"/>
  <c r="L20" i="66"/>
  <c r="L68" i="63"/>
  <c r="G15" i="63"/>
  <c r="G20" i="118"/>
  <c r="G17" i="112"/>
  <c r="G43" i="161"/>
  <c r="G30" i="95"/>
  <c r="G45" i="92"/>
  <c r="L29" i="98"/>
  <c r="K44" i="97"/>
  <c r="K19" i="97"/>
  <c r="K48" i="96"/>
  <c r="K15" i="96"/>
  <c r="F54" i="89"/>
  <c r="F13" i="89"/>
  <c r="I37" i="88"/>
  <c r="I14" i="88"/>
  <c r="G13" i="85"/>
  <c r="K63" i="82"/>
  <c r="K35" i="82"/>
  <c r="K62" i="81"/>
  <c r="K21" i="81"/>
  <c r="G54" i="79"/>
  <c r="F13" i="77"/>
  <c r="G12" i="72"/>
  <c r="L82" i="66"/>
  <c r="L48" i="66"/>
  <c r="G96" i="63"/>
  <c r="G50" i="63"/>
  <c r="N34" i="60"/>
  <c r="G19" i="101"/>
  <c r="K50" i="92"/>
  <c r="G22" i="97"/>
  <c r="K29" i="90"/>
  <c r="E23" i="88"/>
  <c r="G44" i="82"/>
  <c r="G15" i="80"/>
  <c r="G85" i="66"/>
  <c r="L58" i="63"/>
  <c r="F35" i="69"/>
  <c r="H16" i="53"/>
  <c r="H12" i="49"/>
  <c r="J29" i="48"/>
  <c r="E193" i="41"/>
  <c r="E169" i="41"/>
  <c r="E145" i="41"/>
  <c r="E120" i="41"/>
  <c r="E96" i="41"/>
  <c r="E72" i="41"/>
  <c r="E48" i="41"/>
  <c r="E22" i="41"/>
  <c r="F18" i="37"/>
  <c r="K118" i="32"/>
  <c r="K88" i="32"/>
  <c r="K41" i="32"/>
  <c r="F29" i="173"/>
  <c r="G16" i="95"/>
  <c r="K37" i="97"/>
  <c r="I22" i="88"/>
  <c r="K43" i="82"/>
  <c r="G42" i="80"/>
  <c r="H14" i="71"/>
  <c r="G77" i="63"/>
  <c r="F40" i="69"/>
  <c r="F19" i="58"/>
  <c r="H17" i="49"/>
  <c r="F39" i="48"/>
  <c r="F14" i="48"/>
  <c r="M182" i="41"/>
  <c r="M158" i="41"/>
  <c r="M134" i="41"/>
  <c r="M109" i="41"/>
  <c r="M85" i="41"/>
  <c r="M61" i="41"/>
  <c r="M37" i="41"/>
  <c r="F23" i="37"/>
  <c r="G19" i="36"/>
  <c r="G115" i="32"/>
  <c r="G71" i="32"/>
  <c r="G24" i="32"/>
  <c r="K50" i="162"/>
  <c r="K44" i="92"/>
  <c r="G19" i="97"/>
  <c r="K23" i="90"/>
  <c r="E20" i="88"/>
  <c r="G41" i="82"/>
  <c r="G53" i="79"/>
  <c r="G48" i="145"/>
  <c r="G22" i="152"/>
  <c r="G32" i="149"/>
  <c r="G23" i="143"/>
  <c r="R20" i="140"/>
  <c r="Q27" i="139"/>
  <c r="Q15" i="139"/>
  <c r="F37" i="135"/>
  <c r="F12" i="136"/>
  <c r="H321" i="134"/>
  <c r="H215" i="134"/>
  <c r="H93" i="134"/>
  <c r="F14" i="133"/>
  <c r="I13" i="153"/>
  <c r="K31" i="145"/>
  <c r="K15" i="152"/>
  <c r="K15" i="149"/>
  <c r="M22" i="140"/>
  <c r="G43" i="139"/>
  <c r="L17" i="139"/>
  <c r="F42" i="135"/>
  <c r="F17" i="136"/>
  <c r="H335" i="134"/>
  <c r="H220" i="134"/>
  <c r="M138" i="134"/>
  <c r="H50" i="134"/>
  <c r="G22" i="131"/>
  <c r="G34" i="145"/>
  <c r="G18" i="152"/>
  <c r="G18" i="149"/>
  <c r="H14" i="140"/>
  <c r="G21" i="139"/>
  <c r="J17" i="137"/>
  <c r="F44" i="136"/>
  <c r="H348" i="134"/>
  <c r="H251" i="134"/>
  <c r="H141" i="134"/>
  <c r="H55" i="134"/>
  <c r="G32" i="131"/>
  <c r="K16" i="148"/>
  <c r="K14" i="145"/>
  <c r="K36" i="149"/>
  <c r="G16" i="144"/>
  <c r="R19" i="140"/>
  <c r="Q26" i="139"/>
  <c r="Q14" i="139"/>
  <c r="F29" i="135"/>
  <c r="H384" i="134"/>
  <c r="H306" i="134"/>
  <c r="H201" i="134"/>
  <c r="M123" i="134"/>
  <c r="H30" i="134"/>
  <c r="G33" i="145"/>
  <c r="G17" i="152"/>
  <c r="G17" i="149"/>
  <c r="M15" i="140"/>
  <c r="L20" i="139"/>
  <c r="J16" i="137"/>
  <c r="F20" i="136"/>
  <c r="H339" i="134"/>
  <c r="H223" i="134"/>
  <c r="H123" i="134"/>
  <c r="H29" i="134"/>
  <c r="G16" i="139"/>
  <c r="H34" i="134"/>
  <c r="D12" i="129"/>
  <c r="F27" i="123"/>
  <c r="K26" i="120"/>
  <c r="K32" i="145"/>
  <c r="G14" i="139"/>
  <c r="H28" i="134"/>
  <c r="K12" i="128"/>
  <c r="F46" i="123"/>
  <c r="F29" i="120"/>
  <c r="G31" i="118"/>
  <c r="L19" i="116"/>
  <c r="M61" i="115"/>
  <c r="M30" i="115"/>
  <c r="F19" i="114"/>
  <c r="G13" i="112"/>
  <c r="G21" i="109"/>
  <c r="G16" i="159"/>
  <c r="K19" i="145"/>
  <c r="E16" i="138"/>
  <c r="F15" i="133"/>
  <c r="G12" i="128"/>
  <c r="F45" i="123"/>
  <c r="K28" i="120"/>
  <c r="F17" i="119"/>
  <c r="K18" i="148"/>
  <c r="G22" i="139"/>
  <c r="H88" i="134"/>
  <c r="K14" i="128"/>
  <c r="F14" i="130"/>
  <c r="K31" i="120"/>
  <c r="F22" i="119"/>
  <c r="N17" i="117"/>
  <c r="M69" i="115"/>
  <c r="M51" i="115"/>
  <c r="M20" i="115"/>
  <c r="G21" i="112"/>
  <c r="G21" i="110"/>
  <c r="F28" i="173"/>
  <c r="G16" i="105"/>
  <c r="G14" i="128"/>
  <c r="F21" i="119"/>
  <c r="H14" i="116"/>
  <c r="H34" i="115"/>
  <c r="G39" i="112"/>
  <c r="K24" i="109"/>
  <c r="G33" i="105"/>
  <c r="G18" i="101"/>
  <c r="K40" i="162"/>
  <c r="K14" i="162"/>
  <c r="K48" i="161"/>
  <c r="K22" i="161"/>
  <c r="G60" i="95"/>
  <c r="G42" i="95"/>
  <c r="G17" i="95"/>
  <c r="G50" i="92"/>
  <c r="H52" i="134"/>
  <c r="F30" i="120"/>
  <c r="L17" i="116"/>
  <c r="M50" i="115"/>
  <c r="F15" i="114"/>
  <c r="G19" i="110"/>
  <c r="G14" i="159"/>
  <c r="L31" i="101"/>
  <c r="G43" i="162"/>
  <c r="G17" i="162"/>
  <c r="G51" i="161"/>
  <c r="G25" i="161"/>
  <c r="K62" i="95"/>
  <c r="K44" i="95"/>
  <c r="K19" i="95"/>
  <c r="K57" i="92"/>
  <c r="H239" i="134"/>
  <c r="F14" i="123"/>
  <c r="H16" i="117"/>
  <c r="H59" i="115"/>
  <c r="H19" i="115"/>
  <c r="K18" i="111"/>
  <c r="F13" i="173"/>
  <c r="G34" i="101"/>
  <c r="K45" i="162"/>
  <c r="K19" i="162"/>
  <c r="K53" i="161"/>
  <c r="K27" i="161"/>
  <c r="G15" i="99"/>
  <c r="G47" i="95"/>
  <c r="H222" i="134"/>
  <c r="K13" i="123"/>
  <c r="H15" i="117"/>
  <c r="H58" i="115"/>
  <c r="H18" i="115"/>
  <c r="K17" i="111"/>
  <c r="L22" i="159"/>
  <c r="G47" i="101"/>
  <c r="G48" i="162"/>
  <c r="G22" i="162"/>
  <c r="G56" i="161"/>
  <c r="G30" i="161"/>
  <c r="G20" i="99"/>
  <c r="K49" i="95"/>
  <c r="K24" i="95"/>
  <c r="K62" i="92"/>
  <c r="K29" i="92"/>
  <c r="I13" i="126"/>
  <c r="H31" i="115"/>
  <c r="G18" i="105"/>
  <c r="K64" i="161"/>
  <c r="G58" i="95"/>
  <c r="G75" i="92"/>
  <c r="K17" i="92"/>
  <c r="G13" i="98"/>
  <c r="G27" i="97"/>
  <c r="G71" i="96"/>
  <c r="G28" i="96"/>
  <c r="F45" i="89"/>
  <c r="E51" i="88"/>
  <c r="E25" i="88"/>
  <c r="E15" i="87"/>
  <c r="G14" i="84"/>
  <c r="G46" i="82"/>
  <c r="G82" i="81"/>
  <c r="G38" i="81"/>
  <c r="G19" i="80"/>
  <c r="G19" i="79"/>
  <c r="G28" i="72"/>
  <c r="G99" i="66"/>
  <c r="G59" i="66"/>
  <c r="G18" i="66"/>
  <c r="L60" i="63"/>
  <c r="G13" i="63"/>
  <c r="F13" i="119"/>
  <c r="K21" i="112"/>
  <c r="L15" i="101"/>
  <c r="G46" i="161"/>
  <c r="K32" i="95"/>
  <c r="K47" i="92"/>
  <c r="L30" i="98"/>
  <c r="K45" i="97"/>
  <c r="K20" i="97"/>
  <c r="K54" i="96"/>
  <c r="K16" i="96"/>
  <c r="K26" i="90"/>
  <c r="F27" i="89"/>
  <c r="I44" i="88"/>
  <c r="I18" i="88"/>
  <c r="G17" i="85"/>
  <c r="K67" i="82"/>
  <c r="K39" i="82"/>
  <c r="K75" i="81"/>
  <c r="K34" i="81"/>
  <c r="G18" i="80"/>
  <c r="G18" i="79"/>
  <c r="G27" i="72"/>
  <c r="L98" i="66"/>
  <c r="L58" i="66"/>
  <c r="L17" i="66"/>
  <c r="G60" i="63"/>
  <c r="J50" i="60"/>
  <c r="G21" i="118"/>
  <c r="K17" i="112"/>
  <c r="K43" i="161"/>
  <c r="G31" i="95"/>
  <c r="G46" i="92"/>
  <c r="G30" i="98"/>
  <c r="G45" i="97"/>
  <c r="G20" i="97"/>
  <c r="G54" i="96"/>
  <c r="G16" i="96"/>
  <c r="K25" i="90"/>
  <c r="F26" i="89"/>
  <c r="E44" i="88"/>
  <c r="E21" i="88"/>
  <c r="K19" i="85"/>
  <c r="G14" i="83"/>
  <c r="G42" i="82"/>
  <c r="G78" i="81"/>
  <c r="G34" i="81"/>
  <c r="G17" i="80"/>
  <c r="G17" i="79"/>
  <c r="G26" i="72"/>
  <c r="G98" i="66"/>
  <c r="G58" i="66"/>
  <c r="G73" i="66"/>
  <c r="F50" i="60"/>
  <c r="G44" i="162"/>
  <c r="K31" i="92"/>
  <c r="K16" i="97"/>
  <c r="F48" i="89"/>
  <c r="E32" i="87"/>
  <c r="G20" i="82"/>
  <c r="G48" i="79"/>
  <c r="L79" i="66"/>
  <c r="G47" i="63"/>
  <c r="K27" i="92"/>
  <c r="E14" i="88"/>
  <c r="G72" i="66"/>
  <c r="H96" i="49"/>
  <c r="E191" i="41"/>
  <c r="E118" i="41"/>
  <c r="E46" i="41"/>
  <c r="K115" i="32"/>
  <c r="K24" i="32"/>
  <c r="G49" i="92"/>
  <c r="K28" i="90"/>
  <c r="G24" i="82"/>
  <c r="L84" i="66"/>
  <c r="F34" i="69"/>
  <c r="K57" i="56"/>
  <c r="M192" i="41"/>
  <c r="M144" i="41"/>
  <c r="M95" i="41"/>
  <c r="M47" i="41"/>
  <c r="F17" i="37"/>
  <c r="K111" i="32"/>
  <c r="G17" i="128"/>
  <c r="K84" i="92"/>
  <c r="G29" i="96"/>
  <c r="E29" i="88"/>
  <c r="G36" i="81"/>
  <c r="G103" i="66"/>
  <c r="L49" i="63"/>
  <c r="J27" i="69"/>
  <c r="H54" i="49"/>
  <c r="G15" i="56"/>
  <c r="J13" i="48"/>
  <c r="I168" i="41"/>
  <c r="I144" i="41"/>
  <c r="I119" i="41"/>
  <c r="I95" i="41"/>
  <c r="I71" i="41"/>
  <c r="I47" i="41"/>
  <c r="E20" i="41"/>
  <c r="F16" i="37"/>
  <c r="K117" i="32"/>
  <c r="K73" i="32"/>
  <c r="K39" i="32"/>
  <c r="K33" i="105"/>
  <c r="G76" i="92"/>
  <c r="K27" i="97"/>
  <c r="I28" i="88"/>
  <c r="K59" i="82"/>
  <c r="K17" i="81"/>
  <c r="L102" i="66"/>
  <c r="G70" i="63"/>
  <c r="F38" i="69"/>
  <c r="F17" i="58"/>
  <c r="H15" i="49"/>
  <c r="F31" i="48"/>
  <c r="F13" i="48"/>
  <c r="E182" i="41"/>
  <c r="E158" i="41"/>
  <c r="E134" i="41"/>
  <c r="E109" i="41"/>
  <c r="E85" i="41"/>
  <c r="E61" i="41"/>
  <c r="E37" i="41"/>
  <c r="F21" i="37"/>
  <c r="G17" i="36"/>
  <c r="G114" i="32"/>
  <c r="G70" i="32"/>
  <c r="G23" i="32"/>
  <c r="G41" i="162"/>
  <c r="K30" i="92"/>
  <c r="K15" i="97"/>
  <c r="G16" i="90"/>
  <c r="I16" i="88"/>
  <c r="K37" i="82"/>
  <c r="G46" i="79"/>
  <c r="L74" i="66"/>
  <c r="G42" i="63"/>
  <c r="F30" i="69"/>
  <c r="H97" i="49"/>
  <c r="K55" i="56"/>
  <c r="F27" i="48"/>
  <c r="I191" i="41"/>
  <c r="E17" i="87"/>
  <c r="H12" i="53"/>
  <c r="I161" i="41"/>
  <c r="I88" i="41"/>
  <c r="F15" i="171"/>
  <c r="K89" i="32"/>
  <c r="K49" i="31"/>
  <c r="M20" i="30"/>
  <c r="M22" i="25"/>
  <c r="M19" i="24"/>
  <c r="G16" i="84"/>
  <c r="G24" i="56"/>
  <c r="I141" i="41"/>
  <c r="I68" i="41"/>
  <c r="F21" i="39"/>
  <c r="G48" i="32"/>
  <c r="G25" i="31"/>
  <c r="M13" i="30"/>
  <c r="M15" i="25"/>
  <c r="K23" i="95"/>
  <c r="G41" i="72"/>
  <c r="J18" i="48"/>
  <c r="M120" i="41"/>
  <c r="M48" i="41"/>
  <c r="G16" i="36"/>
  <c r="K22" i="32"/>
  <c r="G24" i="31"/>
  <c r="H13" i="30"/>
  <c r="G15" i="25"/>
  <c r="G25" i="97"/>
  <c r="L80" i="63"/>
  <c r="I187" i="41"/>
  <c r="I114" i="41"/>
  <c r="I42" i="41"/>
  <c r="K131" i="32"/>
  <c r="G19" i="32"/>
  <c r="G17" i="31"/>
  <c r="G16" i="27"/>
  <c r="G35" i="24"/>
  <c r="G30" i="174"/>
  <c r="O33" i="160"/>
  <c r="F21" i="160"/>
  <c r="G30" i="23"/>
  <c r="G38" i="56"/>
  <c r="K116" i="32"/>
  <c r="G13" i="27"/>
  <c r="G20" i="174"/>
  <c r="O22" i="160"/>
  <c r="L29" i="23"/>
  <c r="G17" i="23"/>
  <c r="M16" i="18"/>
  <c r="L90" i="14"/>
  <c r="G49" i="14"/>
  <c r="L16" i="14"/>
  <c r="L54" i="11"/>
  <c r="Q26" i="156"/>
  <c r="Q14" i="156"/>
  <c r="J14" i="148"/>
  <c r="J24" i="152"/>
  <c r="J34" i="149"/>
  <c r="L16" i="140"/>
  <c r="K23" i="139"/>
  <c r="D14" i="138"/>
  <c r="E14" i="135"/>
  <c r="G365" i="134"/>
  <c r="G21" i="80"/>
  <c r="M64" i="41"/>
  <c r="G17" i="29"/>
  <c r="G38" i="174"/>
  <c r="O24" i="160"/>
  <c r="L31" i="23"/>
  <c r="Q18" i="23"/>
  <c r="G19" i="21"/>
  <c r="H19" i="17"/>
  <c r="L63" i="14"/>
  <c r="Q27" i="11"/>
  <c r="Q15" i="11"/>
  <c r="D13" i="153"/>
  <c r="F31" i="145"/>
  <c r="F15" i="152"/>
  <c r="F15" i="149"/>
  <c r="F48" i="139"/>
  <c r="F19" i="139"/>
  <c r="I14" i="137"/>
  <c r="E27" i="136"/>
  <c r="G341" i="134"/>
  <c r="M165" i="41"/>
  <c r="K97" i="32"/>
  <c r="G16" i="25"/>
  <c r="G25" i="22"/>
  <c r="F22" i="160"/>
  <c r="Q28" i="23"/>
  <c r="L16" i="23"/>
  <c r="L13" i="19"/>
  <c r="L95" i="14"/>
  <c r="G57" i="14"/>
  <c r="L24" i="14"/>
  <c r="L72" i="11"/>
  <c r="Q36" i="11"/>
  <c r="M20" i="10"/>
  <c r="H12" i="153"/>
  <c r="J30" i="145"/>
  <c r="J14" i="152"/>
  <c r="J14" i="149"/>
  <c r="Q23" i="140"/>
  <c r="F47" i="139"/>
  <c r="P18" i="139"/>
  <c r="E14" i="137"/>
  <c r="E26" i="136"/>
  <c r="G340" i="134"/>
  <c r="M161" i="41"/>
  <c r="K90" i="32"/>
  <c r="G28" i="25"/>
  <c r="G16" i="174"/>
  <c r="F24" i="160"/>
  <c r="Q30" i="23"/>
  <c r="G18" i="23"/>
  <c r="G21" i="21"/>
  <c r="H24" i="17"/>
  <c r="G89" i="14"/>
  <c r="Q23" i="156"/>
  <c r="F33" i="145"/>
  <c r="F17" i="152"/>
  <c r="F17" i="149"/>
  <c r="L15" i="140"/>
  <c r="K20" i="139"/>
  <c r="I16" i="137"/>
  <c r="E20" i="136"/>
  <c r="G339" i="134"/>
  <c r="H20" i="30"/>
  <c r="L30" i="23"/>
  <c r="L91" i="14"/>
  <c r="Q35" i="11"/>
  <c r="J13" i="152"/>
  <c r="G17" i="140"/>
  <c r="E16" i="135"/>
  <c r="G286" i="134"/>
  <c r="G170" i="134"/>
  <c r="G69" i="134"/>
  <c r="F34" i="131"/>
  <c r="J15" i="128"/>
  <c r="E16" i="130"/>
  <c r="G16" i="97"/>
  <c r="G34" i="24"/>
  <c r="L23" i="23"/>
  <c r="G91" i="14"/>
  <c r="F22" i="152"/>
  <c r="Q22" i="140"/>
  <c r="E43" i="135"/>
  <c r="G302" i="134"/>
  <c r="G197" i="134"/>
  <c r="L121" i="134"/>
  <c r="G14" i="134"/>
  <c r="F58" i="128"/>
  <c r="G24" i="125"/>
  <c r="E23" i="123"/>
  <c r="K135" i="32"/>
  <c r="J21" i="160"/>
  <c r="L15" i="19"/>
  <c r="L20" i="14"/>
  <c r="Q20" i="11"/>
  <c r="J18" i="148"/>
  <c r="F26" i="144"/>
  <c r="F16" i="139"/>
  <c r="G334" i="134"/>
  <c r="G219" i="134"/>
  <c r="G124" i="134"/>
  <c r="G31" i="134"/>
  <c r="E30" i="127"/>
  <c r="D14" i="126"/>
  <c r="J25" i="123"/>
  <c r="E25" i="120"/>
  <c r="F29" i="118"/>
  <c r="G38" i="82"/>
  <c r="G17" i="24"/>
  <c r="L21" i="23"/>
  <c r="G88" i="14"/>
  <c r="F19" i="152"/>
  <c r="Q14" i="140"/>
  <c r="E47" i="136"/>
  <c r="G274" i="134"/>
  <c r="L158" i="134"/>
  <c r="G90" i="134"/>
  <c r="I15" i="132"/>
  <c r="F32" i="128"/>
  <c r="G16" i="125"/>
  <c r="E14" i="123"/>
  <c r="E13" i="120"/>
  <c r="F16" i="118"/>
  <c r="G15" i="116"/>
  <c r="G57" i="115"/>
  <c r="G26" i="115"/>
  <c r="F41" i="112"/>
  <c r="J16" i="111"/>
  <c r="J16" i="109"/>
  <c r="F12" i="108"/>
  <c r="M40" i="41"/>
  <c r="F33" i="160"/>
  <c r="L13" i="23"/>
  <c r="G69" i="14"/>
  <c r="F13" i="145"/>
  <c r="Q24" i="140"/>
  <c r="I15" i="137"/>
  <c r="G304" i="134"/>
  <c r="G199" i="134"/>
  <c r="L122" i="134"/>
  <c r="G39" i="66"/>
  <c r="F18" i="130"/>
  <c r="G61" i="161"/>
  <c r="G16" i="92"/>
  <c r="K59" i="96"/>
  <c r="F25" i="89"/>
  <c r="G19" i="85"/>
  <c r="K77" i="81"/>
  <c r="G22" i="79"/>
  <c r="L60" i="66"/>
  <c r="L14" i="63"/>
  <c r="G47" i="97"/>
  <c r="G18" i="83"/>
  <c r="L15" i="66"/>
  <c r="L35" i="49"/>
  <c r="E185" i="41"/>
  <c r="E112" i="41"/>
  <c r="E40" i="41"/>
  <c r="K96" i="32"/>
  <c r="H61" i="115"/>
  <c r="L16" i="98"/>
  <c r="I54" i="88"/>
  <c r="K38" i="81"/>
  <c r="L37" i="66"/>
  <c r="J16" i="69"/>
  <c r="K22" i="56"/>
  <c r="M186" i="41"/>
  <c r="M138" i="41"/>
  <c r="M89" i="41"/>
  <c r="M41" i="41"/>
  <c r="F17" i="39"/>
  <c r="G93" i="32"/>
  <c r="K13" i="112"/>
  <c r="G19" i="92"/>
  <c r="G15" i="96"/>
  <c r="E31" i="87"/>
  <c r="G18" i="81"/>
  <c r="G82" i="66"/>
  <c r="G22" i="63"/>
  <c r="J15" i="69"/>
  <c r="L34" i="49"/>
  <c r="J31" i="48"/>
  <c r="I192" i="41"/>
  <c r="I166" i="41"/>
  <c r="I142" i="41"/>
  <c r="I117" i="41"/>
  <c r="I93" i="41"/>
  <c r="I69" i="41"/>
  <c r="I45" i="41"/>
  <c r="E14" i="41"/>
  <c r="G18" i="36"/>
  <c r="K114" i="32"/>
  <c r="K70" i="32"/>
  <c r="K23" i="32"/>
  <c r="G50" i="162"/>
  <c r="G44" i="92"/>
  <c r="K18" i="97"/>
  <c r="G22" i="90"/>
  <c r="I19" i="88"/>
  <c r="K40" i="82"/>
  <c r="G52" i="79"/>
  <c r="L81" i="66"/>
  <c r="G49" i="63"/>
  <c r="F32" i="69"/>
  <c r="H13" i="53"/>
  <c r="K56" i="56"/>
  <c r="F28" i="48"/>
  <c r="E192" i="41"/>
  <c r="E168" i="41"/>
  <c r="E144" i="41"/>
  <c r="E119" i="41"/>
  <c r="E95" i="41"/>
  <c r="E71" i="41"/>
  <c r="E47" i="41"/>
  <c r="E19" i="41"/>
  <c r="F15" i="37"/>
  <c r="G139" i="32"/>
  <c r="K109" i="32"/>
  <c r="G67" i="32"/>
  <c r="K24" i="123"/>
  <c r="G58" i="161"/>
  <c r="K14" i="92"/>
  <c r="K58" i="96"/>
  <c r="F40" i="89"/>
  <c r="E16" i="87"/>
  <c r="K82" i="81"/>
  <c r="G20" i="79"/>
  <c r="L59" i="66"/>
  <c r="L13" i="63"/>
  <c r="J24" i="69"/>
  <c r="H91" i="49"/>
  <c r="K37" i="56"/>
  <c r="F24" i="48"/>
  <c r="F25" i="123"/>
  <c r="G13" i="82"/>
  <c r="G56" i="56"/>
  <c r="I143" i="41"/>
  <c r="I70" i="41"/>
  <c r="F13" i="37"/>
  <c r="K65" i="32"/>
  <c r="G43" i="31"/>
  <c r="M17" i="30"/>
  <c r="M19" i="25"/>
  <c r="H22" i="115"/>
  <c r="F34" i="75"/>
  <c r="J21" i="48"/>
  <c r="I135" i="41"/>
  <c r="I62" i="41"/>
  <c r="G21" i="36"/>
  <c r="K36" i="32"/>
  <c r="G19" i="31"/>
  <c r="G18" i="27"/>
  <c r="G37" i="24"/>
  <c r="G41" i="97"/>
  <c r="G19" i="66"/>
  <c r="M187" i="41"/>
  <c r="M114" i="41"/>
  <c r="M42" i="41"/>
  <c r="K132" i="32"/>
  <c r="K19" i="32"/>
  <c r="G18" i="31"/>
  <c r="G17" i="27"/>
  <c r="G36" i="24"/>
  <c r="K42" i="90"/>
  <c r="F16" i="60"/>
  <c r="I169" i="41"/>
  <c r="I96" i="41"/>
  <c r="E23" i="41"/>
  <c r="G113" i="32"/>
  <c r="K14" i="32"/>
  <c r="G18" i="29"/>
  <c r="G35" i="25"/>
  <c r="G29" i="24"/>
  <c r="G19" i="174"/>
  <c r="F31" i="160"/>
  <c r="F19" i="160"/>
  <c r="G28" i="23"/>
  <c r="M183" i="41"/>
  <c r="K48" i="32"/>
  <c r="G19" i="25"/>
  <c r="K16" i="22"/>
  <c r="J20" i="160"/>
  <c r="G27" i="23"/>
  <c r="G15" i="23"/>
  <c r="M22" i="17"/>
  <c r="L87" i="14"/>
  <c r="L31" i="14"/>
  <c r="L13" i="14"/>
  <c r="L51" i="11"/>
  <c r="Q24" i="156"/>
  <c r="J47" i="145"/>
  <c r="J21" i="152"/>
  <c r="J31" i="149"/>
  <c r="L14" i="140"/>
  <c r="K21" i="139"/>
  <c r="E18" i="137"/>
  <c r="E46" i="136"/>
  <c r="G349" i="134"/>
  <c r="F37" i="69"/>
  <c r="E18" i="41"/>
  <c r="H15" i="30"/>
  <c r="G31" i="174"/>
  <c r="J22" i="160"/>
  <c r="G29" i="23"/>
  <c r="Q16" i="23"/>
  <c r="G13" i="21"/>
  <c r="H16" i="17"/>
  <c r="L60" i="14"/>
  <c r="Q25" i="11"/>
  <c r="Q13" i="11"/>
  <c r="F20" i="148"/>
  <c r="F18" i="145"/>
  <c r="F50" i="149"/>
  <c r="F23" i="144"/>
  <c r="G24" i="140"/>
  <c r="F42" i="139"/>
  <c r="F17" i="139"/>
  <c r="E41" i="135"/>
  <c r="E16" i="136"/>
  <c r="K23" i="161"/>
  <c r="M135" i="41"/>
  <c r="K37" i="32"/>
  <c r="G22" i="24"/>
  <c r="K15" i="22"/>
  <c r="O19" i="160"/>
  <c r="L26" i="23"/>
  <c r="L14" i="23"/>
  <c r="M18" i="18"/>
  <c r="L92" i="14"/>
  <c r="G54" i="14"/>
  <c r="L21" i="14"/>
  <c r="L69" i="11"/>
  <c r="Q33" i="11"/>
  <c r="M17" i="10"/>
  <c r="J19" i="148"/>
  <c r="J17" i="145"/>
  <c r="J49" i="149"/>
  <c r="F28" i="144"/>
  <c r="Q21" i="140"/>
  <c r="F41" i="139"/>
  <c r="P16" i="139"/>
  <c r="E40" i="135"/>
  <c r="E15" i="136"/>
  <c r="G31" i="92"/>
  <c r="M118" i="41"/>
  <c r="K21" i="32"/>
  <c r="G14" i="25"/>
  <c r="G15" i="22"/>
  <c r="O21" i="160"/>
  <c r="L28" i="23"/>
  <c r="G16" i="23"/>
  <c r="G18" i="21"/>
  <c r="H21" i="17"/>
  <c r="G86" i="14"/>
  <c r="Q21" i="156"/>
  <c r="F30" i="145"/>
  <c r="F14" i="152"/>
  <c r="F14" i="149"/>
  <c r="L25" i="140"/>
  <c r="F46" i="139"/>
  <c r="K18" i="139"/>
  <c r="I13" i="137"/>
  <c r="E14" i="136"/>
  <c r="G26" i="98"/>
  <c r="G13" i="25"/>
  <c r="Q23" i="23"/>
  <c r="G56" i="14"/>
  <c r="Q28" i="11"/>
  <c r="J32" i="149"/>
  <c r="F45" i="139"/>
  <c r="E19" i="136"/>
  <c r="G253" i="134"/>
  <c r="G139" i="134"/>
  <c r="G51" i="134"/>
  <c r="F23" i="131"/>
  <c r="J12" i="128"/>
  <c r="E46" i="123"/>
  <c r="H14" i="49"/>
  <c r="G33" i="174"/>
  <c r="L17" i="23"/>
  <c r="L55" i="14"/>
  <c r="F13" i="152"/>
  <c r="Q16" i="140"/>
  <c r="E15" i="135"/>
  <c r="G285" i="134"/>
  <c r="G169" i="134"/>
  <c r="G92" i="134"/>
  <c r="I16" i="132"/>
  <c r="F43" i="128"/>
  <c r="G18" i="125"/>
  <c r="E15" i="123"/>
  <c r="G48" i="31"/>
  <c r="F14" i="160"/>
  <c r="M23" i="17"/>
  <c r="L89" i="11"/>
  <c r="Q14" i="11"/>
  <c r="J35" i="145"/>
  <c r="E19" i="137"/>
  <c r="G319" i="134"/>
  <c r="G213" i="134"/>
  <c r="G121" i="134"/>
  <c r="G13" i="134"/>
  <c r="F57" i="128"/>
  <c r="G23" i="125"/>
  <c r="J17" i="123"/>
  <c r="J16" i="120"/>
  <c r="F23" i="118"/>
  <c r="M185" i="41"/>
  <c r="G26" i="174"/>
  <c r="L15" i="23"/>
  <c r="L52" i="14"/>
  <c r="F38" i="149"/>
  <c r="P27" i="139"/>
  <c r="E12" i="136"/>
  <c r="G241" i="134"/>
  <c r="L155" i="134"/>
  <c r="G72" i="134"/>
  <c r="F37" i="131"/>
  <c r="F17" i="128"/>
  <c r="E19" i="130"/>
  <c r="E60" i="120"/>
  <c r="E27" i="119"/>
  <c r="G20" i="117"/>
  <c r="G12" i="116"/>
  <c r="G54" i="115"/>
  <c r="G23" i="115"/>
  <c r="F35" i="112"/>
  <c r="J13" i="111"/>
  <c r="J13" i="109"/>
  <c r="F19" i="105"/>
  <c r="K66" i="32"/>
  <c r="O25" i="160"/>
  <c r="G26" i="21"/>
  <c r="L58" i="14"/>
  <c r="F16" i="152"/>
  <c r="Q18" i="140"/>
  <c r="E26" i="135"/>
  <c r="G287" i="134"/>
  <c r="G171" i="134"/>
  <c r="G106" i="134"/>
  <c r="E15" i="133"/>
  <c r="F30" i="128"/>
  <c r="G14" i="125"/>
  <c r="E13" i="123"/>
  <c r="E31" i="119"/>
  <c r="F14" i="118"/>
  <c r="G14" i="116"/>
  <c r="G56" i="115"/>
  <c r="G25" i="115"/>
  <c r="F39" i="112"/>
  <c r="J15" i="111"/>
  <c r="J15" i="109"/>
  <c r="F33" i="105"/>
  <c r="K31" i="101"/>
  <c r="F43" i="162"/>
  <c r="F17" i="162"/>
  <c r="M20" i="18"/>
  <c r="L16" i="66"/>
  <c r="H19" i="116"/>
  <c r="G26" i="161"/>
  <c r="L26" i="98"/>
  <c r="K45" i="96"/>
  <c r="I52" i="88"/>
  <c r="G23" i="84"/>
  <c r="K59" i="81"/>
  <c r="F13" i="76"/>
  <c r="L45" i="66"/>
  <c r="F30" i="136"/>
  <c r="G13" i="97"/>
  <c r="G35" i="82"/>
  <c r="L39" i="63"/>
  <c r="G55" i="56"/>
  <c r="E167" i="41"/>
  <c r="E94" i="41"/>
  <c r="E16" i="41"/>
  <c r="K93" i="32"/>
  <c r="G40" i="112"/>
  <c r="K46" i="97"/>
  <c r="I45" i="88"/>
  <c r="K20" i="81"/>
  <c r="G15" i="66"/>
  <c r="F57" i="58"/>
  <c r="K15" i="56"/>
  <c r="M184" i="41"/>
  <c r="M136" i="41"/>
  <c r="M87" i="41"/>
  <c r="M39" i="41"/>
  <c r="F14" i="39"/>
  <c r="K87" i="32"/>
  <c r="G12" i="108"/>
  <c r="G14" i="98"/>
  <c r="G22" i="84"/>
  <c r="G37" i="80"/>
  <c r="G69" i="66"/>
  <c r="J32" i="60"/>
  <c r="F46" i="58"/>
  <c r="H16" i="49"/>
  <c r="J28" i="48"/>
  <c r="I190" i="41"/>
  <c r="I164" i="41"/>
  <c r="I140" i="41"/>
  <c r="I115" i="41"/>
  <c r="I91" i="41"/>
  <c r="I67" i="41"/>
  <c r="I43" i="41"/>
  <c r="F24" i="171"/>
  <c r="K139" i="32"/>
  <c r="K110" i="32"/>
  <c r="K67" i="32"/>
  <c r="K16" i="128"/>
  <c r="G15" i="162"/>
  <c r="G18" i="92"/>
  <c r="K71" i="96"/>
  <c r="F46" i="89"/>
  <c r="E30" i="87"/>
  <c r="G18" i="82"/>
  <c r="G30" i="79"/>
  <c r="L62" i="66"/>
  <c r="L16" i="63"/>
  <c r="F26" i="69"/>
  <c r="H93" i="49"/>
  <c r="K38" i="56"/>
  <c r="F25" i="48"/>
  <c r="E190" i="41"/>
  <c r="E166" i="41"/>
  <c r="E142" i="41"/>
  <c r="E117" i="41"/>
  <c r="E93" i="41"/>
  <c r="E69" i="41"/>
  <c r="E45" i="41"/>
  <c r="E13" i="41"/>
  <c r="F22" i="39"/>
  <c r="G136" i="32"/>
  <c r="G98" i="32"/>
  <c r="K61" i="32"/>
  <c r="L14" i="116"/>
  <c r="G23" i="161"/>
  <c r="L19" i="98"/>
  <c r="K44" i="96"/>
  <c r="F17" i="89"/>
  <c r="G15" i="85"/>
  <c r="K64" i="81"/>
  <c r="F33" i="75"/>
  <c r="L44" i="66"/>
  <c r="J33" i="60"/>
  <c r="J18" i="69"/>
  <c r="H71" i="49"/>
  <c r="K23" i="56"/>
  <c r="F21" i="48"/>
  <c r="K58" i="161"/>
  <c r="G47" i="79"/>
  <c r="J27" i="48"/>
  <c r="I137" i="41"/>
  <c r="I64" i="41"/>
  <c r="F15" i="39"/>
  <c r="G42" i="32"/>
  <c r="K27" i="31"/>
  <c r="M14" i="30"/>
  <c r="M16" i="25"/>
  <c r="G52" i="95"/>
  <c r="G45" i="66"/>
  <c r="I189" i="41"/>
  <c r="I116" i="41"/>
  <c r="I44" i="41"/>
  <c r="G135" i="32"/>
  <c r="G20" i="32"/>
  <c r="G13" i="31"/>
  <c r="G37" i="25"/>
  <c r="G31" i="24"/>
  <c r="N31" i="60"/>
  <c r="M169" i="41"/>
  <c r="M96" i="41"/>
  <c r="E24" i="41"/>
  <c r="K113" i="32"/>
  <c r="K15" i="32"/>
  <c r="G19" i="29"/>
  <c r="G36" i="25"/>
  <c r="G30" i="24"/>
  <c r="E26" i="88"/>
  <c r="F33" i="58"/>
  <c r="I163" i="41"/>
  <c r="I90" i="41"/>
  <c r="F21" i="171"/>
  <c r="G94" i="32"/>
  <c r="K51" i="31"/>
  <c r="M21" i="30"/>
  <c r="G29" i="25"/>
  <c r="M20" i="24"/>
  <c r="G13" i="174"/>
  <c r="F29" i="160"/>
  <c r="F17" i="160"/>
  <c r="H15" i="116"/>
  <c r="M141" i="41"/>
  <c r="K17" i="32"/>
  <c r="G32" i="24"/>
  <c r="O32" i="160"/>
  <c r="F18" i="160"/>
  <c r="G25" i="23"/>
  <c r="G13" i="23"/>
  <c r="M19" i="17"/>
  <c r="G64" i="14"/>
  <c r="L28" i="14"/>
  <c r="L88" i="11"/>
  <c r="L48" i="11"/>
  <c r="Q22" i="156"/>
  <c r="J34" i="145"/>
  <c r="J18" i="152"/>
  <c r="J18" i="149"/>
  <c r="L24" i="140"/>
  <c r="F49" i="139"/>
  <c r="K19" i="139"/>
  <c r="E15" i="137"/>
  <c r="E28" i="136"/>
  <c r="G342" i="134"/>
  <c r="J30" i="48"/>
  <c r="K108" i="32"/>
  <c r="G34" i="25"/>
  <c r="G18" i="174"/>
  <c r="F20" i="160"/>
  <c r="Q26" i="23"/>
  <c r="Q14" i="23"/>
  <c r="G14" i="19"/>
  <c r="H13" i="17"/>
  <c r="L57" i="14"/>
  <c r="Q23" i="11"/>
  <c r="F17" i="148"/>
  <c r="F15" i="145"/>
  <c r="F37" i="149"/>
  <c r="F17" i="144"/>
  <c r="G22" i="140"/>
  <c r="F27" i="139"/>
  <c r="F15" i="139"/>
  <c r="E35" i="135"/>
  <c r="G385" i="134"/>
  <c r="F18" i="89"/>
  <c r="M92" i="41"/>
  <c r="K26" i="31"/>
  <c r="M15" i="24"/>
  <c r="O31" i="160"/>
  <c r="J17" i="160"/>
  <c r="L24" i="23"/>
  <c r="L24" i="21"/>
  <c r="M24" i="17"/>
  <c r="L89" i="14"/>
  <c r="G51" i="14"/>
  <c r="L18" i="14"/>
  <c r="L56" i="11"/>
  <c r="M14" i="10"/>
  <c r="J16" i="148"/>
  <c r="J14" i="145"/>
  <c r="J36" i="149"/>
  <c r="F16" i="144"/>
  <c r="Q19" i="140"/>
  <c r="P26" i="139"/>
  <c r="P14" i="139"/>
  <c r="E29" i="135"/>
  <c r="G384" i="134"/>
  <c r="E17" i="88"/>
  <c r="M88" i="41"/>
  <c r="K50" i="31"/>
  <c r="G20" i="24"/>
  <c r="O34" i="160"/>
  <c r="J19" i="160"/>
  <c r="G26" i="23"/>
  <c r="G14" i="23"/>
  <c r="G15" i="21"/>
  <c r="H18" i="17"/>
  <c r="L59" i="14"/>
  <c r="L78" i="63"/>
  <c r="M25" i="115"/>
  <c r="K54" i="95"/>
  <c r="K50" i="97"/>
  <c r="K26" i="96"/>
  <c r="I43" i="88"/>
  <c r="G13" i="83"/>
  <c r="K36" i="81"/>
  <c r="G52" i="72"/>
  <c r="L19" i="66"/>
  <c r="G41" i="112"/>
  <c r="G18" i="96"/>
  <c r="G39" i="81"/>
  <c r="F31" i="60"/>
  <c r="G16" i="56"/>
  <c r="E161" i="41"/>
  <c r="E88" i="41"/>
  <c r="F14" i="171"/>
  <c r="K71" i="32"/>
  <c r="L18" i="101"/>
  <c r="K21" i="97"/>
  <c r="I13" i="88"/>
  <c r="G14" i="80"/>
  <c r="G58" i="63"/>
  <c r="H15" i="53"/>
  <c r="F29" i="48"/>
  <c r="M168" i="41"/>
  <c r="M119" i="41"/>
  <c r="M71" i="41"/>
  <c r="E21" i="41"/>
  <c r="G13" i="36"/>
  <c r="G68" i="32"/>
  <c r="K15" i="162"/>
  <c r="G44" i="97"/>
  <c r="F47" i="89"/>
  <c r="G12" i="83"/>
  <c r="G31" i="79"/>
  <c r="G35" i="66"/>
  <c r="F18" i="60"/>
  <c r="F18" i="58"/>
  <c r="G57" i="56"/>
  <c r="J25" i="48"/>
  <c r="I186" i="41"/>
  <c r="I162" i="41"/>
  <c r="I138" i="41"/>
  <c r="I113" i="41"/>
  <c r="I89" i="41"/>
  <c r="I65" i="41"/>
  <c r="I41" i="41"/>
  <c r="F18" i="171"/>
  <c r="K136" i="32"/>
  <c r="K98" i="32"/>
  <c r="K62" i="32"/>
  <c r="H19" i="117"/>
  <c r="G32" i="161"/>
  <c r="L28" i="98"/>
  <c r="K47" i="96"/>
  <c r="F23" i="89"/>
  <c r="G18" i="85"/>
  <c r="K76" i="81"/>
  <c r="F29" i="76"/>
  <c r="L47" i="66"/>
  <c r="F34" i="60"/>
  <c r="F20" i="69"/>
  <c r="H73" i="49"/>
  <c r="K24" i="56"/>
  <c r="F22" i="48"/>
  <c r="E188" i="41"/>
  <c r="E164" i="41"/>
  <c r="E140" i="41"/>
  <c r="E115" i="41"/>
  <c r="E91" i="41"/>
  <c r="E67" i="41"/>
  <c r="E43" i="41"/>
  <c r="F23" i="171"/>
  <c r="F19" i="39"/>
  <c r="G133" i="32"/>
  <c r="G95" i="32"/>
  <c r="G46" i="32"/>
  <c r="H21" i="115"/>
  <c r="K51" i="95"/>
  <c r="K49" i="97"/>
  <c r="K25" i="96"/>
  <c r="I48" i="88"/>
  <c r="G15" i="84"/>
  <c r="K41" i="81"/>
  <c r="G29" i="72"/>
  <c r="L18" i="66"/>
  <c r="J31" i="60"/>
  <c r="D22" i="59"/>
  <c r="H51" i="49"/>
  <c r="K16" i="56"/>
  <c r="F18" i="48"/>
  <c r="G15" i="92"/>
  <c r="G79" i="66"/>
  <c r="M191" i="41"/>
  <c r="I118" i="41"/>
  <c r="I46" i="41"/>
  <c r="G138" i="32"/>
  <c r="G21" i="32"/>
  <c r="G21" i="31"/>
  <c r="G20" i="27"/>
  <c r="M13" i="25"/>
  <c r="G50" i="97"/>
  <c r="N33" i="60"/>
  <c r="I183" i="41"/>
  <c r="I110" i="41"/>
  <c r="I38" i="41"/>
  <c r="G116" i="32"/>
  <c r="K16" i="32"/>
  <c r="G14" i="29"/>
  <c r="G31" i="25"/>
  <c r="M21" i="24"/>
  <c r="E40" i="88"/>
  <c r="F13" i="69"/>
  <c r="M163" i="41"/>
  <c r="M90" i="41"/>
  <c r="F22" i="171"/>
  <c r="K94" i="32"/>
  <c r="K52" i="31"/>
  <c r="G13" i="29"/>
  <c r="G30" i="25"/>
  <c r="G21" i="24"/>
  <c r="G57" i="82"/>
  <c r="L18" i="49"/>
  <c r="I145" i="41"/>
  <c r="I72" i="41"/>
  <c r="F19" i="37"/>
  <c r="G69" i="32"/>
  <c r="G45" i="31"/>
  <c r="M18" i="30"/>
  <c r="M20" i="25"/>
  <c r="M17" i="24"/>
  <c r="G24" i="22"/>
  <c r="F27" i="160"/>
  <c r="F15" i="160"/>
  <c r="G45" i="96"/>
  <c r="M110" i="41"/>
  <c r="G42" i="31"/>
  <c r="M16" i="24"/>
  <c r="F30" i="160"/>
  <c r="O15" i="160"/>
  <c r="G23" i="23"/>
  <c r="L22" i="21"/>
  <c r="M16" i="17"/>
  <c r="G58" i="14"/>
  <c r="L25" i="14"/>
  <c r="L73" i="11"/>
  <c r="L45" i="11"/>
  <c r="M21" i="10"/>
  <c r="Q20" i="156"/>
  <c r="H13" i="153"/>
  <c r="J31" i="145"/>
  <c r="J15" i="152"/>
  <c r="J15" i="149"/>
  <c r="L22" i="140"/>
  <c r="F43" i="139"/>
  <c r="K17" i="139"/>
  <c r="E42" i="135"/>
  <c r="E17" i="136"/>
  <c r="G335" i="134"/>
  <c r="M167" i="41"/>
  <c r="K42" i="32"/>
  <c r="G17" i="25"/>
  <c r="J32" i="160"/>
  <c r="O17" i="160"/>
  <c r="Q24" i="23"/>
  <c r="G28" i="21"/>
  <c r="H19" i="18"/>
  <c r="G93" i="14"/>
  <c r="L54" i="14"/>
  <c r="Q21" i="11"/>
  <c r="F14" i="148"/>
  <c r="F24" i="152"/>
  <c r="F34" i="149"/>
  <c r="F21" i="143"/>
  <c r="G20" i="140"/>
  <c r="F25" i="139"/>
  <c r="F13" i="139"/>
  <c r="E24" i="135"/>
  <c r="G379" i="134"/>
  <c r="G21" i="79"/>
  <c r="M62" i="41"/>
  <c r="G15" i="29"/>
  <c r="G37" i="174"/>
  <c r="J29" i="160"/>
  <c r="O14" i="160"/>
  <c r="L22" i="23"/>
  <c r="L18" i="21"/>
  <c r="M21" i="17"/>
  <c r="L86" i="14"/>
  <c r="G48" i="14"/>
  <c r="L15" i="14"/>
  <c r="L53" i="11"/>
  <c r="J13" i="148"/>
  <c r="J23" i="152"/>
  <c r="J33" i="149"/>
  <c r="F14" i="143"/>
  <c r="Q17" i="140"/>
  <c r="P24" i="139"/>
  <c r="D18" i="138"/>
  <c r="E23" i="135"/>
  <c r="G369" i="134"/>
  <c r="G100" i="66"/>
  <c r="M46" i="41"/>
  <c r="G22" i="31"/>
  <c r="G15" i="24"/>
  <c r="J31" i="160"/>
  <c r="O16" i="160"/>
  <c r="G24" i="23"/>
  <c r="G30" i="21"/>
  <c r="G16" i="19"/>
  <c r="H15" i="17"/>
  <c r="L56" i="14"/>
  <c r="Q17" i="156"/>
  <c r="F16" i="148"/>
  <c r="F14" i="145"/>
  <c r="F36" i="149"/>
  <c r="F25" i="143"/>
  <c r="L21" i="140"/>
  <c r="K26" i="139"/>
  <c r="K14" i="139"/>
  <c r="E28" i="135"/>
  <c r="G368" i="134"/>
  <c r="M116" i="41"/>
  <c r="O30" i="160"/>
  <c r="L14" i="21"/>
  <c r="L14" i="14"/>
  <c r="Q16" i="11"/>
  <c r="J48" i="145"/>
  <c r="F14" i="144"/>
  <c r="F18" i="139"/>
  <c r="G337" i="134"/>
  <c r="G221" i="134"/>
  <c r="G122" i="134"/>
  <c r="G15" i="134"/>
  <c r="E12" i="127"/>
  <c r="D12" i="126"/>
  <c r="J23" i="123"/>
  <c r="F14" i="37"/>
  <c r="J23" i="160"/>
  <c r="G14" i="21"/>
  <c r="F21" i="148"/>
  <c r="F13" i="149"/>
  <c r="P23" i="139"/>
  <c r="G366" i="134"/>
  <c r="G226" i="134"/>
  <c r="L141" i="134"/>
  <c r="G68" i="134"/>
  <c r="F33" i="131"/>
  <c r="F15" i="128"/>
  <c r="E15" i="130"/>
  <c r="K15" i="85"/>
  <c r="G19" i="24"/>
  <c r="Q21" i="23"/>
  <c r="L88" i="14"/>
  <c r="L49" i="11"/>
  <c r="J19" i="152"/>
  <c r="G15" i="140"/>
  <c r="E48" i="136"/>
  <c r="G275" i="134"/>
  <c r="G168" i="134"/>
  <c r="G85" i="134"/>
  <c r="E13" i="132"/>
  <c r="F18" i="128"/>
  <c r="E20" i="130"/>
  <c r="E61" i="120"/>
  <c r="E28" i="119"/>
  <c r="M20" i="117"/>
  <c r="K119" i="32"/>
  <c r="O20" i="160"/>
  <c r="G15" i="19"/>
  <c r="F18" i="148"/>
  <c r="F23" i="143"/>
  <c r="P15" i="139"/>
  <c r="G333" i="134"/>
  <c r="L59" i="63"/>
  <c r="G22" i="110"/>
  <c r="G24" i="95"/>
  <c r="K41" i="97"/>
  <c r="I29" i="88"/>
  <c r="K60" i="82"/>
  <c r="K18" i="81"/>
  <c r="H47" i="71"/>
  <c r="G93" i="63"/>
  <c r="K24" i="162"/>
  <c r="F53" i="89"/>
  <c r="G37" i="79"/>
  <c r="F29" i="69"/>
  <c r="J26" i="48"/>
  <c r="E143" i="41"/>
  <c r="E70" i="41"/>
  <c r="G20" i="36"/>
  <c r="K47" i="32"/>
  <c r="G14" i="161"/>
  <c r="K31" i="96"/>
  <c r="G17" i="83"/>
  <c r="F15" i="75"/>
  <c r="N32" i="60"/>
  <c r="H55" i="49"/>
  <c r="F20" i="48"/>
  <c r="M162" i="41"/>
  <c r="M113" i="41"/>
  <c r="M65" i="41"/>
  <c r="F19" i="171"/>
  <c r="K129" i="32"/>
  <c r="G44" i="32"/>
  <c r="G61" i="95"/>
  <c r="G28" i="97"/>
  <c r="E52" i="88"/>
  <c r="G60" i="82"/>
  <c r="E14" i="74"/>
  <c r="L95" i="63"/>
  <c r="F39" i="69"/>
  <c r="H14" i="53"/>
  <c r="G54" i="56"/>
  <c r="J19" i="48"/>
  <c r="I184" i="41"/>
  <c r="I160" i="41"/>
  <c r="I136" i="41"/>
  <c r="I111" i="41"/>
  <c r="I87" i="41"/>
  <c r="I63" i="41"/>
  <c r="I39" i="41"/>
  <c r="F28" i="37"/>
  <c r="K133" i="32"/>
  <c r="K95" i="32"/>
  <c r="K46" i="32"/>
  <c r="M34" i="115"/>
  <c r="K60" i="95"/>
  <c r="L13" i="98"/>
  <c r="K28" i="96"/>
  <c r="I51" i="88"/>
  <c r="G21" i="84"/>
  <c r="K58" i="81"/>
  <c r="G76" i="72"/>
  <c r="L34" i="66"/>
  <c r="F32" i="60"/>
  <c r="F14" i="69"/>
  <c r="H53" i="49"/>
  <c r="K21" i="56"/>
  <c r="F19" i="48"/>
  <c r="E186" i="41"/>
  <c r="E162" i="41"/>
  <c r="E138" i="41"/>
  <c r="E113" i="41"/>
  <c r="E89" i="41"/>
  <c r="E65" i="41"/>
  <c r="E41" i="41"/>
  <c r="F17" i="171"/>
  <c r="F16" i="39"/>
  <c r="K127" i="32"/>
  <c r="K91" i="32"/>
  <c r="G43" i="32"/>
  <c r="G13" i="110"/>
  <c r="G22" i="95"/>
  <c r="K40" i="97"/>
  <c r="I39" i="88"/>
  <c r="K65" i="82"/>
  <c r="K23" i="81"/>
  <c r="H45" i="71"/>
  <c r="G80" i="63"/>
  <c r="F15" i="60"/>
  <c r="F32" i="58"/>
  <c r="H18" i="49"/>
  <c r="K13" i="56"/>
  <c r="F15" i="48"/>
  <c r="G59" i="96"/>
  <c r="L42" i="63"/>
  <c r="I185" i="41"/>
  <c r="I112" i="41"/>
  <c r="I40" i="41"/>
  <c r="G119" i="32"/>
  <c r="G18" i="32"/>
  <c r="G15" i="31"/>
  <c r="G14" i="27"/>
  <c r="G33" i="24"/>
  <c r="G26" i="96"/>
  <c r="J19" i="69"/>
  <c r="I165" i="41"/>
  <c r="I92" i="41"/>
  <c r="F27" i="171"/>
  <c r="G97" i="32"/>
  <c r="G47" i="31"/>
  <c r="M19" i="30"/>
  <c r="M21" i="25"/>
  <c r="M18" i="24"/>
  <c r="G66" i="82"/>
  <c r="H52" i="49"/>
  <c r="M145" i="41"/>
  <c r="M72" i="41"/>
  <c r="F20" i="37"/>
  <c r="K69" i="32"/>
  <c r="G46" i="31"/>
  <c r="H19" i="30"/>
  <c r="G21" i="25"/>
  <c r="G18" i="24"/>
  <c r="G15" i="81"/>
  <c r="G14" i="56"/>
  <c r="I139" i="41"/>
  <c r="I66" i="41"/>
  <c r="F18" i="39"/>
  <c r="G45" i="32"/>
  <c r="K29" i="31"/>
  <c r="M15" i="30"/>
  <c r="M17" i="25"/>
  <c r="M14" i="24"/>
  <c r="G16" i="22"/>
  <c r="F25" i="160"/>
  <c r="F13" i="160"/>
  <c r="G74" i="81"/>
  <c r="M68" i="41"/>
  <c r="G14" i="31"/>
  <c r="G13" i="24"/>
  <c r="O27" i="160"/>
  <c r="J13" i="160"/>
  <c r="G21" i="23"/>
  <c r="L14" i="19"/>
  <c r="M13" i="17"/>
  <c r="G55" i="14"/>
  <c r="L22" i="14"/>
  <c r="L70" i="11"/>
  <c r="Q34" i="11"/>
  <c r="M18" i="10"/>
  <c r="Q18" i="156"/>
  <c r="J20" i="148"/>
  <c r="J18" i="145"/>
  <c r="J50" i="149"/>
  <c r="F24" i="144"/>
  <c r="L20" i="140"/>
  <c r="K27" i="139"/>
  <c r="K15" i="139"/>
  <c r="E36" i="135"/>
  <c r="G386" i="134"/>
  <c r="K41" i="162"/>
  <c r="M137" i="41"/>
  <c r="K13" i="32"/>
  <c r="G28" i="24"/>
  <c r="O29" i="160"/>
  <c r="J15" i="160"/>
  <c r="Q22" i="23"/>
  <c r="G25" i="21"/>
  <c r="H16" i="18"/>
  <c r="G90" i="14"/>
  <c r="L51" i="14"/>
  <c r="Q31" i="11"/>
  <c r="Q19" i="11"/>
  <c r="F47" i="145"/>
  <c r="F21" i="152"/>
  <c r="F31" i="149"/>
  <c r="F15" i="143"/>
  <c r="G16" i="140"/>
  <c r="F23" i="139"/>
  <c r="I20" i="137"/>
  <c r="E13" i="135"/>
  <c r="G355" i="134"/>
  <c r="J25" i="69"/>
  <c r="F28" i="171"/>
  <c r="H14" i="30"/>
  <c r="G29" i="174"/>
  <c r="O26" i="160"/>
  <c r="G34" i="23"/>
  <c r="L20" i="23"/>
  <c r="L15" i="21"/>
  <c r="M18" i="17"/>
  <c r="G63" i="14"/>
  <c r="L30" i="14"/>
  <c r="L90" i="11"/>
  <c r="L50" i="11"/>
  <c r="J36" i="145"/>
  <c r="J20" i="152"/>
  <c r="J20" i="149"/>
  <c r="Q15" i="140"/>
  <c r="P22" i="139"/>
  <c r="E20" i="137"/>
  <c r="E50" i="136"/>
  <c r="G354" i="134"/>
  <c r="F16" i="58"/>
  <c r="F16" i="171"/>
  <c r="H21" i="30"/>
  <c r="G35" i="174"/>
  <c r="O28" i="160"/>
  <c r="J14" i="160"/>
  <c r="G22" i="23"/>
  <c r="G27" i="21"/>
  <c r="G13" i="19"/>
  <c r="G95" i="14"/>
  <c r="L53" i="14"/>
  <c r="Q15" i="156"/>
  <c r="F13" i="148"/>
  <c r="F23" i="152"/>
  <c r="F33" i="149"/>
  <c r="F19" i="143"/>
  <c r="L19" i="140"/>
  <c r="K24" i="139"/>
  <c r="D17" i="138"/>
  <c r="E49" i="136"/>
  <c r="G353" i="134"/>
  <c r="F26" i="37"/>
  <c r="O23" i="160"/>
  <c r="M17" i="18"/>
  <c r="L71" i="11"/>
  <c r="M19" i="10"/>
  <c r="J19" i="145"/>
  <c r="D16" i="138"/>
  <c r="G321" i="134"/>
  <c r="G215" i="134"/>
  <c r="G93" i="134"/>
  <c r="E14" i="133"/>
  <c r="F44" i="128"/>
  <c r="G19" i="125"/>
  <c r="J15" i="123"/>
  <c r="K18" i="32"/>
  <c r="F16" i="160"/>
  <c r="H17" i="18"/>
  <c r="F48" i="145"/>
  <c r="F13" i="144"/>
  <c r="P17" i="139"/>
  <c r="G336" i="134"/>
  <c r="G220" i="134"/>
  <c r="L138" i="134"/>
  <c r="G50" i="134"/>
  <c r="F22" i="131"/>
  <c r="F12" i="128"/>
  <c r="E45" i="123"/>
  <c r="M189" i="41"/>
  <c r="G27" i="174"/>
  <c r="Q15" i="23"/>
  <c r="G53" i="14"/>
  <c r="Q32" i="11"/>
  <c r="J38" i="149"/>
  <c r="F28" i="139"/>
  <c r="E13" i="136"/>
  <c r="G251" i="134"/>
  <c r="G141" i="134"/>
  <c r="G55" i="134"/>
  <c r="F32" i="131"/>
  <c r="J14" i="128"/>
  <c r="E14" i="130"/>
  <c r="J31" i="120"/>
  <c r="E22" i="119"/>
  <c r="M17" i="117"/>
  <c r="G44" i="31"/>
  <c r="O13" i="160"/>
  <c r="H23" i="17"/>
  <c r="F35" i="145"/>
  <c r="I18" i="137"/>
  <c r="G306" i="134"/>
  <c r="G201" i="134"/>
  <c r="L123" i="134"/>
  <c r="G30" i="134"/>
  <c r="E29" i="127"/>
  <c r="H13" i="126"/>
  <c r="E25" i="123"/>
  <c r="J24" i="120"/>
  <c r="F28" i="118"/>
  <c r="G21" i="116"/>
  <c r="G63" i="115"/>
  <c r="G32" i="115"/>
  <c r="G14" i="115"/>
  <c r="J14" i="112"/>
  <c r="J22" i="109"/>
  <c r="K17" i="159"/>
  <c r="L61" i="63"/>
  <c r="M13" i="24"/>
  <c r="L25" i="23"/>
  <c r="H20" i="17"/>
  <c r="F15" i="148"/>
  <c r="F19" i="144"/>
  <c r="P19" i="139"/>
  <c r="G343" i="134"/>
  <c r="G222" i="134"/>
  <c r="L139" i="134"/>
  <c r="G52" i="134"/>
  <c r="F24" i="131"/>
  <c r="C12" i="129"/>
  <c r="E27" i="123"/>
  <c r="J26" i="120"/>
  <c r="E13" i="119"/>
  <c r="G13" i="117"/>
  <c r="L40" i="63"/>
  <c r="G15" i="104"/>
  <c r="G62" i="92"/>
  <c r="K25" i="97"/>
  <c r="G37" i="90"/>
  <c r="I20" i="88"/>
  <c r="K41" i="82"/>
  <c r="G22" i="80"/>
  <c r="L100" i="66"/>
  <c r="G68" i="63"/>
  <c r="G43" i="95"/>
  <c r="E46" i="88"/>
  <c r="G15" i="72"/>
  <c r="D12" i="59"/>
  <c r="J17" i="48"/>
  <c r="E137" i="41"/>
  <c r="E64" i="41"/>
  <c r="K134" i="32"/>
  <c r="K44" i="32"/>
  <c r="K42" i="95"/>
  <c r="K17" i="96"/>
  <c r="K62" i="82"/>
  <c r="K14" i="72"/>
  <c r="F19" i="60"/>
  <c r="H35" i="49"/>
  <c r="F17" i="48"/>
  <c r="M160" i="41"/>
  <c r="M111" i="41"/>
  <c r="M63" i="41"/>
  <c r="F13" i="171"/>
  <c r="G118" i="32"/>
  <c r="K40" i="32"/>
  <c r="K29" i="95"/>
  <c r="G72" i="96"/>
  <c r="E43" i="88"/>
  <c r="G19" i="82"/>
  <c r="H52" i="71"/>
  <c r="L70" i="63"/>
  <c r="F33" i="69"/>
  <c r="H94" i="49"/>
  <c r="G22" i="56"/>
  <c r="J16" i="48"/>
  <c r="I182" i="41"/>
  <c r="I158" i="41"/>
  <c r="I134" i="41"/>
  <c r="I109" i="41"/>
  <c r="I85" i="41"/>
  <c r="I61" i="41"/>
  <c r="I37" i="41"/>
  <c r="F22" i="37"/>
  <c r="K128" i="32"/>
  <c r="K92" i="32"/>
  <c r="K43" i="32"/>
  <c r="K12" i="112"/>
  <c r="G28" i="95"/>
  <c r="K43" i="97"/>
  <c r="K14" i="96"/>
  <c r="I42" i="88"/>
  <c r="K68" i="82"/>
  <c r="K35" i="81"/>
  <c r="H51" i="71"/>
  <c r="G95" i="63"/>
  <c r="F17" i="60"/>
  <c r="F34" i="58"/>
  <c r="H34" i="49"/>
  <c r="K14" i="56"/>
  <c r="F16" i="48"/>
  <c r="E184" i="41"/>
  <c r="E160" i="41"/>
  <c r="E136" i="41"/>
  <c r="E111" i="41"/>
  <c r="E87" i="41"/>
  <c r="E63" i="41"/>
  <c r="E39" i="41"/>
  <c r="F27" i="37"/>
  <c r="F13" i="39"/>
  <c r="G117" i="32"/>
  <c r="G73" i="32"/>
  <c r="K38" i="32"/>
  <c r="G49" i="101"/>
  <c r="G60" i="92"/>
  <c r="K24" i="97"/>
  <c r="K41" i="90"/>
  <c r="I25" i="88"/>
  <c r="K46" i="82"/>
  <c r="G20" i="80"/>
  <c r="L99" i="66"/>
  <c r="G61" i="63"/>
  <c r="F36" i="69"/>
  <c r="H17" i="53"/>
  <c r="H13" i="49"/>
  <c r="F30" i="48"/>
  <c r="I193" i="41"/>
  <c r="F41" i="89"/>
  <c r="F31" i="69"/>
  <c r="I167" i="41"/>
  <c r="I94" i="41"/>
  <c r="E17" i="41"/>
  <c r="K107" i="32"/>
  <c r="K12" i="32"/>
  <c r="G16" i="29"/>
  <c r="G33" i="25"/>
  <c r="M22" i="24"/>
  <c r="E49" i="88"/>
  <c r="H72" i="49"/>
  <c r="I159" i="41"/>
  <c r="I86" i="41"/>
  <c r="F25" i="37"/>
  <c r="G72" i="32"/>
  <c r="K31" i="31"/>
  <c r="M16" i="30"/>
  <c r="M18" i="25"/>
  <c r="G14" i="110"/>
  <c r="G33" i="81"/>
  <c r="G21" i="56"/>
  <c r="M139" i="41"/>
  <c r="M66" i="41"/>
  <c r="J18" i="39"/>
  <c r="K45" i="32"/>
  <c r="K30" i="31"/>
  <c r="H16" i="30"/>
  <c r="G18" i="25"/>
  <c r="K61" i="92"/>
  <c r="H46" i="71"/>
  <c r="J15" i="48"/>
  <c r="I120" i="41"/>
  <c r="I48" i="41"/>
  <c r="G15" i="36"/>
  <c r="G22" i="32"/>
  <c r="G23" i="31"/>
  <c r="G22" i="27"/>
  <c r="M14" i="25"/>
  <c r="G36" i="174"/>
  <c r="G14" i="22"/>
  <c r="F23" i="160"/>
  <c r="L32" i="23"/>
  <c r="G14" i="63"/>
  <c r="M38" i="41"/>
  <c r="H17" i="30"/>
  <c r="G32" i="174"/>
  <c r="J25" i="160"/>
  <c r="Q31" i="23"/>
  <c r="G19" i="23"/>
  <c r="M19" i="18"/>
  <c r="L93" i="14"/>
  <c r="G52" i="14"/>
  <c r="L19" i="14"/>
  <c r="L67" i="11"/>
  <c r="M15" i="10"/>
  <c r="Q16" i="156"/>
  <c r="J17" i="148"/>
  <c r="J15" i="145"/>
  <c r="J37" i="149"/>
  <c r="F16" i="143"/>
  <c r="L18" i="140"/>
  <c r="K25" i="139"/>
  <c r="K13" i="139"/>
  <c r="E25" i="135"/>
  <c r="G380" i="134"/>
  <c r="G17" i="90"/>
  <c r="M94" i="41"/>
  <c r="K28" i="31"/>
  <c r="G16" i="24"/>
  <c r="J27" i="160"/>
  <c r="Q34" i="23"/>
  <c r="Q20" i="23"/>
  <c r="G22" i="21"/>
  <c r="H22" i="17"/>
  <c r="G87" i="14"/>
  <c r="L48" i="14"/>
  <c r="Q29" i="11"/>
  <c r="Q17" i="11"/>
  <c r="F34" i="145"/>
  <c r="F18" i="152"/>
  <c r="F18" i="149"/>
  <c r="G14" i="140"/>
  <c r="F21" i="139"/>
  <c r="I17" i="137"/>
  <c r="E44" i="136"/>
  <c r="G348" i="134"/>
  <c r="J24" i="48"/>
  <c r="G22" i="36"/>
  <c r="G32" i="25"/>
  <c r="G17" i="174"/>
  <c r="J24" i="160"/>
  <c r="G31" i="23"/>
  <c r="L18" i="23"/>
  <c r="L16" i="19"/>
  <c r="M15" i="17"/>
  <c r="G60" i="14"/>
  <c r="L27" i="14"/>
  <c r="L87" i="11"/>
  <c r="L47" i="11"/>
  <c r="J33" i="145"/>
  <c r="J17" i="152"/>
  <c r="J17" i="149"/>
  <c r="Q25" i="140"/>
  <c r="Q13" i="140"/>
  <c r="P20" i="139"/>
  <c r="E17" i="137"/>
  <c r="E43" i="136"/>
  <c r="G347" i="134"/>
  <c r="M193" i="41"/>
  <c r="K138" i="32"/>
  <c r="G21" i="27"/>
  <c r="G28" i="174"/>
  <c r="J26" i="160"/>
  <c r="Q33" i="23"/>
  <c r="G20" i="23"/>
  <c r="G24" i="21"/>
  <c r="H18" i="18"/>
  <c r="G92" i="14"/>
  <c r="L50" i="14"/>
  <c r="Q25" i="156"/>
  <c r="Q13" i="156"/>
  <c r="F36" i="145"/>
  <c r="F20" i="152"/>
  <c r="F20" i="149"/>
  <c r="F13" i="143"/>
  <c r="I19" i="137"/>
  <c r="K20" i="32"/>
  <c r="L52" i="11"/>
  <c r="G23" i="140"/>
  <c r="G198" i="134"/>
  <c r="F29" i="128"/>
  <c r="H18" i="30"/>
  <c r="G214" i="134"/>
  <c r="E31" i="127"/>
  <c r="M86" i="41"/>
  <c r="L29" i="14"/>
  <c r="J19" i="149"/>
  <c r="G225" i="134"/>
  <c r="F16" i="131"/>
  <c r="E28" i="120"/>
  <c r="G15" i="27"/>
  <c r="Q20" i="140"/>
  <c r="G218" i="134"/>
  <c r="G48" i="134"/>
  <c r="C29" i="129"/>
  <c r="J27" i="120"/>
  <c r="G14" i="117"/>
  <c r="G35" i="115"/>
  <c r="J17" i="112"/>
  <c r="F21" i="159"/>
  <c r="G20" i="25"/>
  <c r="H20" i="18"/>
  <c r="F16" i="149"/>
  <c r="G381" i="134"/>
  <c r="L154" i="134"/>
  <c r="I14" i="132"/>
  <c r="H12" i="126"/>
  <c r="E46" i="120"/>
  <c r="F26" i="118"/>
  <c r="G71" i="115"/>
  <c r="G50" i="115"/>
  <c r="G16" i="115"/>
  <c r="J13" i="112"/>
  <c r="J18" i="109"/>
  <c r="F18" i="105"/>
  <c r="K14" i="101"/>
  <c r="F26" i="162"/>
  <c r="G14" i="24"/>
  <c r="F26" i="139"/>
  <c r="E18" i="130"/>
  <c r="F21" i="118"/>
  <c r="L65" i="115"/>
  <c r="L25" i="115"/>
  <c r="F17" i="112"/>
  <c r="F16" i="109"/>
  <c r="F14" i="104"/>
  <c r="J48" i="162"/>
  <c r="F19" i="162"/>
  <c r="Q25" i="23"/>
  <c r="G345" i="134"/>
  <c r="E48" i="123"/>
  <c r="M18" i="117"/>
  <c r="L60" i="115"/>
  <c r="L94" i="14"/>
  <c r="G323" i="134"/>
  <c r="J27" i="123"/>
  <c r="F18" i="118"/>
  <c r="G64" i="115"/>
  <c r="G24" i="115"/>
  <c r="J15" i="112"/>
  <c r="F34" i="160"/>
  <c r="E16" i="137"/>
  <c r="J24" i="123"/>
  <c r="M16" i="117"/>
  <c r="L58" i="115"/>
  <c r="L18" i="115"/>
  <c r="G59" i="14"/>
  <c r="G288" i="134"/>
  <c r="J16" i="123"/>
  <c r="M15" i="117"/>
  <c r="G58" i="115"/>
  <c r="G18" i="115"/>
  <c r="J17" i="111"/>
  <c r="K22" i="159"/>
  <c r="F35" i="101"/>
  <c r="J42" i="162"/>
  <c r="F13" i="162"/>
  <c r="J46" i="161"/>
  <c r="J20" i="161"/>
  <c r="F58" i="95"/>
  <c r="F33" i="95"/>
  <c r="F15" i="95"/>
  <c r="F48" i="92"/>
  <c r="F15" i="92"/>
  <c r="F50" i="97"/>
  <c r="F25" i="97"/>
  <c r="F59" i="96"/>
  <c r="F26" i="96"/>
  <c r="J42" i="90"/>
  <c r="E41" i="89"/>
  <c r="D49" i="88"/>
  <c r="D26" i="88"/>
  <c r="D17" i="87"/>
  <c r="F16" i="84"/>
  <c r="L17" i="21"/>
  <c r="E30" i="136"/>
  <c r="J13" i="123"/>
  <c r="F12" i="118"/>
  <c r="L61" i="115"/>
  <c r="L21" i="115"/>
  <c r="F13" i="112"/>
  <c r="E30" i="173"/>
  <c r="K48" i="101"/>
  <c r="J45" i="162"/>
  <c r="F16" i="162"/>
  <c r="F49" i="161"/>
  <c r="F23" i="161"/>
  <c r="J60" i="95"/>
  <c r="J42" i="95"/>
  <c r="J17" i="95"/>
  <c r="J50" i="92"/>
  <c r="J17" i="92"/>
  <c r="K13" i="98"/>
  <c r="J27" i="97"/>
  <c r="J71" i="96"/>
  <c r="J28" i="96"/>
  <c r="E46" i="89"/>
  <c r="H51" i="88"/>
  <c r="F23" i="109"/>
  <c r="F47" i="162"/>
  <c r="J51" i="161"/>
  <c r="J16" i="161"/>
  <c r="F45" i="95"/>
  <c r="F84" i="92"/>
  <c r="F20" i="92"/>
  <c r="F46" i="97"/>
  <c r="F81" i="96"/>
  <c r="F17" i="96"/>
  <c r="E51" i="89"/>
  <c r="D45" i="88"/>
  <c r="H18" i="88"/>
  <c r="J13" i="85"/>
  <c r="F61" i="82"/>
  <c r="F21" i="82"/>
  <c r="F60" i="81"/>
  <c r="F16" i="81"/>
  <c r="F39" i="79"/>
  <c r="E30" i="75"/>
  <c r="G17" i="71"/>
  <c r="F73" i="66"/>
  <c r="F39" i="66"/>
  <c r="K78" i="63"/>
  <c r="K40" i="63"/>
  <c r="E31" i="60"/>
  <c r="C12" i="59"/>
  <c r="K35" i="49"/>
  <c r="F16" i="56"/>
  <c r="I17" i="48"/>
  <c r="F15" i="159"/>
  <c r="J37" i="162"/>
  <c r="F47" i="161"/>
  <c r="F20" i="99"/>
  <c r="J33" i="95"/>
  <c r="J62" i="92"/>
  <c r="J15" i="92"/>
  <c r="J41" i="97"/>
  <c r="J59" i="96"/>
  <c r="E27" i="89"/>
  <c r="H37" i="88"/>
  <c r="D30" i="87"/>
  <c r="F14" i="84"/>
  <c r="J44" i="82"/>
  <c r="J80" i="81"/>
  <c r="J39" i="81"/>
  <c r="F38" i="80"/>
  <c r="F32" i="79"/>
  <c r="D22" i="74"/>
  <c r="K103" i="66"/>
  <c r="K69" i="66"/>
  <c r="K35" i="66"/>
  <c r="F71" i="63"/>
  <c r="F23" i="63"/>
  <c r="E40" i="69"/>
  <c r="E14" i="173"/>
  <c r="F44" i="162"/>
  <c r="J50" i="161"/>
  <c r="J15" i="161"/>
  <c r="F44" i="95"/>
  <c r="F76" i="92"/>
  <c r="F19" i="92"/>
  <c r="F45" i="97"/>
  <c r="F80" i="96"/>
  <c r="F16" i="96"/>
  <c r="E49" i="89"/>
  <c r="D44" i="88"/>
  <c r="H13" i="88"/>
  <c r="F20" i="84"/>
  <c r="F57" i="82"/>
  <c r="F13" i="82"/>
  <c r="F36" i="81"/>
  <c r="F21" i="80"/>
  <c r="F21" i="79"/>
  <c r="F41" i="72"/>
  <c r="F100" i="66"/>
  <c r="F60" i="66"/>
  <c r="F19" i="66"/>
  <c r="K61" i="63"/>
  <c r="F14" i="63"/>
  <c r="E33" i="69"/>
  <c r="F13" i="159"/>
  <c r="F28" i="162"/>
  <c r="F45" i="161"/>
  <c r="F16" i="99"/>
  <c r="J31" i="95"/>
  <c r="J60" i="92"/>
  <c r="J13" i="92"/>
  <c r="J39" i="97"/>
  <c r="J57" i="96"/>
  <c r="E25" i="89"/>
  <c r="H27" i="88"/>
  <c r="D13" i="87"/>
  <c r="F13" i="83"/>
  <c r="J40" i="82"/>
  <c r="J76" i="81"/>
  <c r="J35" i="81"/>
  <c r="F14" i="80"/>
  <c r="F14" i="79"/>
  <c r="J14" i="72"/>
  <c r="K84" i="66"/>
  <c r="K50" i="66"/>
  <c r="F15" i="66"/>
  <c r="F58" i="63"/>
  <c r="I36" i="60"/>
  <c r="E26" i="69"/>
  <c r="G93" i="49"/>
  <c r="F15" i="112"/>
  <c r="F15" i="101"/>
  <c r="J57" i="161"/>
  <c r="J22" i="161"/>
  <c r="F51" i="95"/>
  <c r="F17" i="95"/>
  <c r="F31" i="92"/>
  <c r="F13" i="98"/>
  <c r="F18" i="97"/>
  <c r="F28" i="96"/>
  <c r="F21" i="90"/>
  <c r="D51" i="88"/>
  <c r="H19" i="88"/>
  <c r="J14" i="85"/>
  <c r="F62" i="82"/>
  <c r="F23" i="82"/>
  <c r="F61" i="81"/>
  <c r="F17" i="81"/>
  <c r="F35" i="79"/>
  <c r="E14" i="75"/>
  <c r="G13" i="71"/>
  <c r="F71" i="66"/>
  <c r="F37" i="66"/>
  <c r="K76" i="63"/>
  <c r="F26" i="63"/>
  <c r="E16" i="60"/>
  <c r="E33" i="58"/>
  <c r="K18" i="49"/>
  <c r="F20" i="105"/>
  <c r="F25" i="162"/>
  <c r="F44" i="161"/>
  <c r="F14" i="99"/>
  <c r="J30" i="95"/>
  <c r="J59" i="92"/>
  <c r="K32" i="98"/>
  <c r="J38" i="97"/>
  <c r="J56" i="96"/>
  <c r="E36" i="89"/>
  <c r="H38" i="88"/>
  <c r="D33" i="87"/>
  <c r="F17" i="84"/>
  <c r="J45" i="82"/>
  <c r="J81" i="81"/>
  <c r="J40" i="81"/>
  <c r="F40" i="80"/>
  <c r="F34" i="79"/>
  <c r="E13" i="75"/>
  <c r="E26" i="70"/>
  <c r="K70" i="66"/>
  <c r="K36" i="66"/>
  <c r="F76" i="63"/>
  <c r="F25" i="63"/>
  <c r="E15" i="60"/>
  <c r="E32" i="58"/>
  <c r="G18" i="49"/>
  <c r="J13" i="56"/>
  <c r="E15" i="48"/>
  <c r="H183" i="41"/>
  <c r="H159" i="41"/>
  <c r="H135" i="41"/>
  <c r="H110" i="41"/>
  <c r="H86" i="41"/>
  <c r="H62" i="41"/>
  <c r="H38" i="41"/>
  <c r="E25" i="37"/>
  <c r="F21" i="36"/>
  <c r="F116" i="32"/>
  <c r="F72" i="32"/>
  <c r="J36" i="32"/>
  <c r="J29" i="31"/>
  <c r="L15" i="30"/>
  <c r="L17" i="25"/>
  <c r="L14" i="24"/>
  <c r="F16" i="22"/>
  <c r="E25" i="160"/>
  <c r="E13" i="160"/>
  <c r="G95" i="49"/>
  <c r="I28" i="48"/>
  <c r="H188" i="41"/>
  <c r="D162" i="41"/>
  <c r="L135" i="41"/>
  <c r="D96" i="41"/>
  <c r="L69" i="41"/>
  <c r="H43" i="41"/>
  <c r="E17" i="171"/>
  <c r="F14" i="36"/>
  <c r="F99" i="32"/>
  <c r="J46" i="32"/>
  <c r="J30" i="31"/>
  <c r="F21" i="27"/>
  <c r="F33" i="24"/>
  <c r="Q19" i="156"/>
  <c r="L23" i="140"/>
  <c r="E39" i="135"/>
  <c r="G34" i="174"/>
  <c r="Q22" i="11"/>
  <c r="F24" i="139"/>
  <c r="G125" i="134"/>
  <c r="D15" i="126"/>
  <c r="J30" i="160"/>
  <c r="F44" i="139"/>
  <c r="L156" i="134"/>
  <c r="F28" i="128"/>
  <c r="G19" i="27"/>
  <c r="L68" i="11"/>
  <c r="G21" i="140"/>
  <c r="G185" i="134"/>
  <c r="F42" i="128"/>
  <c r="J13" i="120"/>
  <c r="F28" i="160"/>
  <c r="P21" i="139"/>
  <c r="G184" i="134"/>
  <c r="E17" i="133"/>
  <c r="G22" i="125"/>
  <c r="E16" i="120"/>
  <c r="G18" i="116"/>
  <c r="G29" i="115"/>
  <c r="J19" i="111"/>
  <c r="K14" i="159"/>
  <c r="G14" i="174"/>
  <c r="G94" i="14"/>
  <c r="F17" i="143"/>
  <c r="G322" i="134"/>
  <c r="L125" i="134"/>
  <c r="F35" i="131"/>
  <c r="G20" i="125"/>
  <c r="J29" i="120"/>
  <c r="F20" i="118"/>
  <c r="G68" i="115"/>
  <c r="G34" i="115"/>
  <c r="G13" i="115"/>
  <c r="J18" i="111"/>
  <c r="E43" i="173"/>
  <c r="F13" i="105"/>
  <c r="F52" i="162"/>
  <c r="F23" i="162"/>
  <c r="G33" i="23"/>
  <c r="G382" i="134"/>
  <c r="E47" i="120"/>
  <c r="M19" i="117"/>
  <c r="G61" i="115"/>
  <c r="G21" i="115"/>
  <c r="J12" i="112"/>
  <c r="E29" i="173"/>
  <c r="K47" i="101"/>
  <c r="F45" i="162"/>
  <c r="J15" i="162"/>
  <c r="M20" i="17"/>
  <c r="G223" i="134"/>
  <c r="E45" i="120"/>
  <c r="K22" i="116"/>
  <c r="L55" i="115"/>
  <c r="L74" i="11"/>
  <c r="G217" i="134"/>
  <c r="E44" i="120"/>
  <c r="G18" i="117"/>
  <c r="L59" i="115"/>
  <c r="L19" i="115"/>
  <c r="F19" i="111"/>
  <c r="Q13" i="23"/>
  <c r="G305" i="134"/>
  <c r="E30" i="120"/>
  <c r="K21" i="116"/>
  <c r="L54" i="115"/>
  <c r="L14" i="115"/>
  <c r="L46" i="11"/>
  <c r="G172" i="134"/>
  <c r="E29" i="120"/>
  <c r="K20" i="116"/>
  <c r="L53" i="115"/>
  <c r="L13" i="115"/>
  <c r="F13" i="111"/>
  <c r="F17" i="159"/>
  <c r="F31" i="101"/>
  <c r="F39" i="162"/>
  <c r="J61" i="161"/>
  <c r="J43" i="161"/>
  <c r="J17" i="161"/>
  <c r="F55" i="95"/>
  <c r="F30" i="95"/>
  <c r="F85" i="92"/>
  <c r="F45" i="92"/>
  <c r="F32" i="98"/>
  <c r="F47" i="97"/>
  <c r="F22" i="97"/>
  <c r="F56" i="96"/>
  <c r="F18" i="96"/>
  <c r="J29" i="90"/>
  <c r="E30" i="89"/>
  <c r="D46" i="88"/>
  <c r="D23" i="88"/>
  <c r="J21" i="85"/>
  <c r="F18" i="83"/>
  <c r="G50" i="14"/>
  <c r="G264" i="134"/>
  <c r="J28" i="120"/>
  <c r="G15" i="117"/>
  <c r="L57" i="115"/>
  <c r="L17" i="115"/>
  <c r="F17" i="111"/>
  <c r="F22" i="159"/>
  <c r="F34" i="101"/>
  <c r="F42" i="162"/>
  <c r="J64" i="161"/>
  <c r="F46" i="161"/>
  <c r="F20" i="161"/>
  <c r="J57" i="95"/>
  <c r="J32" i="95"/>
  <c r="J14" i="95"/>
  <c r="J47" i="92"/>
  <c r="J14" i="92"/>
  <c r="J49" i="97"/>
  <c r="J24" i="97"/>
  <c r="J58" i="96"/>
  <c r="J25" i="96"/>
  <c r="J41" i="90"/>
  <c r="E40" i="89"/>
  <c r="H48" i="88"/>
  <c r="F14" i="109"/>
  <c r="J39" i="162"/>
  <c r="J47" i="161"/>
  <c r="F21" i="99"/>
  <c r="F34" i="95"/>
  <c r="F63" i="92"/>
  <c r="F16" i="92"/>
  <c r="F42" i="97"/>
  <c r="F60" i="96"/>
  <c r="F13" i="96"/>
  <c r="E43" i="89"/>
  <c r="H41" i="88"/>
  <c r="D15" i="88"/>
  <c r="F23" i="84"/>
  <c r="F58" i="82"/>
  <c r="F15" i="82"/>
  <c r="F40" i="81"/>
  <c r="F39" i="80"/>
  <c r="F33" i="79"/>
  <c r="D34" i="74"/>
  <c r="E14" i="70"/>
  <c r="F70" i="66"/>
  <c r="F36" i="66"/>
  <c r="K71" i="63"/>
  <c r="F24" i="63"/>
  <c r="E14" i="60"/>
  <c r="E31" i="58"/>
  <c r="K17" i="49"/>
  <c r="F13" i="56"/>
  <c r="L24" i="115"/>
  <c r="F16" i="105"/>
  <c r="F22" i="162"/>
  <c r="F34" i="161"/>
  <c r="J62" i="95"/>
  <c r="J28" i="95"/>
  <c r="J57" i="92"/>
  <c r="K30" i="98"/>
  <c r="J36" i="97"/>
  <c r="J54" i="96"/>
  <c r="E19" i="89"/>
  <c r="H28" i="88"/>
  <c r="D15" i="87"/>
  <c r="F15" i="83"/>
  <c r="J41" i="82"/>
  <c r="J77" i="81"/>
  <c r="J36" i="81"/>
  <c r="F22" i="80"/>
  <c r="F22" i="79"/>
  <c r="F52" i="72"/>
  <c r="K100" i="66"/>
  <c r="K60" i="66"/>
  <c r="K19" i="66"/>
  <c r="F68" i="63"/>
  <c r="K14" i="63"/>
  <c r="E34" i="69"/>
  <c r="F14" i="159"/>
  <c r="J28" i="162"/>
  <c r="J45" i="161"/>
  <c r="F17" i="99"/>
  <c r="F32" i="95"/>
  <c r="F61" i="92"/>
  <c r="F14" i="92"/>
  <c r="F40" i="97"/>
  <c r="F58" i="96"/>
  <c r="E39" i="89"/>
  <c r="H40" i="88"/>
  <c r="D29" i="87"/>
  <c r="F13" i="84"/>
  <c r="F44" i="82"/>
  <c r="F80" i="81"/>
  <c r="F33" i="81"/>
  <c r="F15" i="80"/>
  <c r="F15" i="79"/>
  <c r="F15" i="72"/>
  <c r="F85" i="66"/>
  <c r="F57" i="66"/>
  <c r="K15" i="66"/>
  <c r="K58" i="63"/>
  <c r="E49" i="60"/>
  <c r="L15" i="115"/>
  <c r="F18" i="104"/>
  <c r="F21" i="162"/>
  <c r="F33" i="161"/>
  <c r="J61" i="95"/>
  <c r="J27" i="95"/>
  <c r="J51" i="92"/>
  <c r="K29" i="98"/>
  <c r="J28" i="97"/>
  <c r="J48" i="96"/>
  <c r="E15" i="89"/>
  <c r="D24" i="88"/>
  <c r="F19" i="85"/>
  <c r="J65" i="82"/>
  <c r="J37" i="82"/>
  <c r="J64" i="81"/>
  <c r="J23" i="81"/>
  <c r="F52" i="79"/>
  <c r="E29" i="76"/>
  <c r="G51" i="71"/>
  <c r="K81" i="66"/>
  <c r="K47" i="66"/>
  <c r="F95" i="63"/>
  <c r="F49" i="63"/>
  <c r="E34" i="60"/>
  <c r="E20" i="69"/>
  <c r="G73" i="49"/>
  <c r="F17" i="110"/>
  <c r="F48" i="162"/>
  <c r="J53" i="161"/>
  <c r="J18" i="161"/>
  <c r="F47" i="95"/>
  <c r="F13" i="95"/>
  <c r="F27" i="92"/>
  <c r="F48" i="97"/>
  <c r="F14" i="97"/>
  <c r="F19" i="96"/>
  <c r="F13" i="90"/>
  <c r="F19" i="148"/>
  <c r="L17" i="140"/>
  <c r="E42" i="136"/>
  <c r="J16" i="160"/>
  <c r="E13" i="137"/>
  <c r="G87" i="134"/>
  <c r="G13" i="125"/>
  <c r="Q29" i="23"/>
  <c r="D15" i="138"/>
  <c r="L124" i="134"/>
  <c r="H14" i="126"/>
  <c r="J28" i="160"/>
  <c r="Q26" i="11"/>
  <c r="F22" i="139"/>
  <c r="G138" i="134"/>
  <c r="C40" i="129"/>
  <c r="E16" i="119"/>
  <c r="L27" i="23"/>
  <c r="E37" i="135"/>
  <c r="L140" i="134"/>
  <c r="F26" i="131"/>
  <c r="E13" i="130"/>
  <c r="E21" i="119"/>
  <c r="G69" i="115"/>
  <c r="G20" i="115"/>
  <c r="F20" i="110"/>
  <c r="F15" i="105"/>
  <c r="J18" i="160"/>
  <c r="L49" i="14"/>
  <c r="F50" i="139"/>
  <c r="G263" i="134"/>
  <c r="G88" i="134"/>
  <c r="F13" i="131"/>
  <c r="E17" i="130"/>
  <c r="J18" i="120"/>
  <c r="G19" i="117"/>
  <c r="G65" i="115"/>
  <c r="G31" i="115"/>
  <c r="E14" i="114"/>
  <c r="F24" i="110"/>
  <c r="E13" i="173"/>
  <c r="F13" i="104"/>
  <c r="F49" i="162"/>
  <c r="F20" i="162"/>
  <c r="L26" i="14"/>
  <c r="G240" i="134"/>
  <c r="E27" i="120"/>
  <c r="M13" i="117"/>
  <c r="L56" i="115"/>
  <c r="L16" i="115"/>
  <c r="F16" i="111"/>
  <c r="K20" i="159"/>
  <c r="K33" i="101"/>
  <c r="J41" i="162"/>
  <c r="F64" i="161"/>
  <c r="L17" i="14"/>
  <c r="G140" i="134"/>
  <c r="E26" i="120"/>
  <c r="K18" i="116"/>
  <c r="L51" i="115"/>
  <c r="M22" i="10"/>
  <c r="G137" i="134"/>
  <c r="J25" i="120"/>
  <c r="G22" i="116"/>
  <c r="G55" i="115"/>
  <c r="G15" i="115"/>
  <c r="J14" i="111"/>
  <c r="L55" i="11"/>
  <c r="G200" i="134"/>
  <c r="E24" i="120"/>
  <c r="K16" i="116"/>
  <c r="L49" i="115"/>
  <c r="E13" i="114"/>
  <c r="G107" i="134"/>
  <c r="J17" i="120"/>
  <c r="G16" i="116"/>
  <c r="G49" i="115"/>
  <c r="E12" i="114"/>
  <c r="F16" i="110"/>
  <c r="F19" i="108"/>
  <c r="K16" i="101"/>
  <c r="J27" i="162"/>
  <c r="J58" i="161"/>
  <c r="J32" i="161"/>
  <c r="J14" i="161"/>
  <c r="F52" i="95"/>
  <c r="F27" i="95"/>
  <c r="F75" i="92"/>
  <c r="F32" i="92"/>
  <c r="F29" i="98"/>
  <c r="F44" i="97"/>
  <c r="F19" i="97"/>
  <c r="F48" i="96"/>
  <c r="F15" i="96"/>
  <c r="J23" i="90"/>
  <c r="E24" i="89"/>
  <c r="D43" i="88"/>
  <c r="D20" i="88"/>
  <c r="J18" i="85"/>
  <c r="F12" i="83"/>
  <c r="Q30" i="11"/>
  <c r="G89" i="134"/>
  <c r="E17" i="120"/>
  <c r="K19" i="116"/>
  <c r="L52" i="115"/>
  <c r="E19" i="114"/>
  <c r="F23" i="110"/>
  <c r="F16" i="159"/>
  <c r="F30" i="101"/>
  <c r="J38" i="162"/>
  <c r="F61" i="161"/>
  <c r="F43" i="161"/>
  <c r="F17" i="161"/>
  <c r="J54" i="95"/>
  <c r="J29" i="95"/>
  <c r="J84" i="92"/>
  <c r="J44" i="92"/>
  <c r="K31" i="98"/>
  <c r="J46" i="97"/>
  <c r="J21" i="97"/>
  <c r="J55" i="96"/>
  <c r="J17" i="96"/>
  <c r="J28" i="90"/>
  <c r="E29" i="89"/>
  <c r="H45" i="88"/>
  <c r="F18" i="159"/>
  <c r="J24" i="162"/>
  <c r="J34" i="161"/>
  <c r="F63" i="95"/>
  <c r="F29" i="95"/>
  <c r="F58" i="92"/>
  <c r="F31" i="98"/>
  <c r="F37" i="97"/>
  <c r="F55" i="96"/>
  <c r="E28" i="89"/>
  <c r="D38" i="88"/>
  <c r="D32" i="87"/>
  <c r="F15" i="84"/>
  <c r="F45" i="82"/>
  <c r="F81" i="81"/>
  <c r="F37" i="81"/>
  <c r="F23" i="80"/>
  <c r="F23" i="79"/>
  <c r="F53" i="72"/>
  <c r="F101" i="66"/>
  <c r="F61" i="66"/>
  <c r="K20" i="66"/>
  <c r="K68" i="63"/>
  <c r="F15" i="63"/>
  <c r="E35" i="69"/>
  <c r="G16" i="53"/>
  <c r="G12" i="49"/>
  <c r="I29" i="48"/>
  <c r="F21" i="112"/>
  <c r="F47" i="101"/>
  <c r="F15" i="162"/>
  <c r="F30" i="161"/>
  <c r="J58" i="95"/>
  <c r="J24" i="95"/>
  <c r="J48" i="92"/>
  <c r="K26" i="98"/>
  <c r="J25" i="97"/>
  <c r="J45" i="96"/>
  <c r="J26" i="90"/>
  <c r="H53" i="88"/>
  <c r="D25" i="88"/>
  <c r="F20" i="85"/>
  <c r="F67" i="82"/>
  <c r="J38" i="82"/>
  <c r="J74" i="81"/>
  <c r="J33" i="81"/>
  <c r="F16" i="80"/>
  <c r="F16" i="79"/>
  <c r="F16" i="72"/>
  <c r="K85" i="66"/>
  <c r="K57" i="66"/>
  <c r="F16" i="66"/>
  <c r="F59" i="63"/>
  <c r="I49" i="60"/>
  <c r="L20" i="115"/>
  <c r="F14" i="105"/>
  <c r="J21" i="162"/>
  <c r="J33" i="161"/>
  <c r="F62" i="95"/>
  <c r="F28" i="95"/>
  <c r="F57" i="92"/>
  <c r="F30" i="98"/>
  <c r="F36" i="97"/>
  <c r="F54" i="96"/>
  <c r="E26" i="89"/>
  <c r="D28" i="88"/>
  <c r="D14" i="87"/>
  <c r="F14" i="83"/>
  <c r="F41" i="82"/>
  <c r="F77" i="81"/>
  <c r="F21" i="81"/>
  <c r="F53" i="79"/>
  <c r="E30" i="76"/>
  <c r="G52" i="71"/>
  <c r="F82" i="66"/>
  <c r="F48" i="66"/>
  <c r="K95" i="63"/>
  <c r="K49" i="63"/>
  <c r="I34" i="60"/>
  <c r="F16" i="112"/>
  <c r="K35" i="101"/>
  <c r="J13" i="162"/>
  <c r="F28" i="161"/>
  <c r="J56" i="95"/>
  <c r="J22" i="95"/>
  <c r="J46" i="92"/>
  <c r="K18" i="98"/>
  <c r="J23" i="97"/>
  <c r="J43" i="96"/>
  <c r="F39" i="90"/>
  <c r="H52" i="88"/>
  <c r="H20" i="88"/>
  <c r="F15" i="85"/>
  <c r="J62" i="82"/>
  <c r="F24" i="82"/>
  <c r="J61" i="81"/>
  <c r="J20" i="81"/>
  <c r="F46" i="79"/>
  <c r="E33" i="75"/>
  <c r="G45" i="71"/>
  <c r="K74" i="66"/>
  <c r="K44" i="66"/>
  <c r="F80" i="63"/>
  <c r="F42" i="63"/>
  <c r="E32" i="60"/>
  <c r="E14" i="69"/>
  <c r="G53" i="49"/>
  <c r="F15" i="109"/>
  <c r="F41" i="162"/>
  <c r="J48" i="161"/>
  <c r="J13" i="161"/>
  <c r="F42" i="95"/>
  <c r="F64" i="92"/>
  <c r="F17" i="92"/>
  <c r="F43" i="97"/>
  <c r="F71" i="96"/>
  <c r="F14" i="96"/>
  <c r="E45" i="89"/>
  <c r="H42" i="88"/>
  <c r="D34" i="87"/>
  <c r="F18" i="84"/>
  <c r="F46" i="82"/>
  <c r="F82" i="81"/>
  <c r="F38" i="81"/>
  <c r="F19" i="80"/>
  <c r="F19" i="79"/>
  <c r="F28" i="72"/>
  <c r="F99" i="66"/>
  <c r="F59" i="66"/>
  <c r="F18" i="66"/>
  <c r="K60" i="63"/>
  <c r="F13" i="63"/>
  <c r="E31" i="69"/>
  <c r="G12" i="53"/>
  <c r="F12" i="112"/>
  <c r="K32" i="101"/>
  <c r="J62" i="161"/>
  <c r="F27" i="161"/>
  <c r="J55" i="95"/>
  <c r="J21" i="95"/>
  <c r="J45" i="92"/>
  <c r="K17" i="98"/>
  <c r="J22" i="97"/>
  <c r="J42" i="96"/>
  <c r="F37" i="90"/>
  <c r="E13" i="89"/>
  <c r="H26" i="88"/>
  <c r="F21" i="85"/>
  <c r="F68" i="82"/>
  <c r="J39" i="82"/>
  <c r="J75" i="81"/>
  <c r="J34" i="81"/>
  <c r="F18" i="80"/>
  <c r="F18" i="79"/>
  <c r="F27" i="72"/>
  <c r="K98" i="66"/>
  <c r="K58" i="66"/>
  <c r="K17" i="66"/>
  <c r="F60" i="63"/>
  <c r="I50" i="60"/>
  <c r="E30" i="69"/>
  <c r="G97" i="49"/>
  <c r="J55" i="56"/>
  <c r="E27" i="48"/>
  <c r="H191" i="41"/>
  <c r="H167" i="41"/>
  <c r="H143" i="41"/>
  <c r="H118" i="41"/>
  <c r="H94" i="41"/>
  <c r="H70" i="41"/>
  <c r="H46" i="41"/>
  <c r="D17" i="41"/>
  <c r="E13" i="37"/>
  <c r="F138" i="32"/>
  <c r="J107" i="32"/>
  <c r="J65" i="32"/>
  <c r="F19" i="32"/>
  <c r="F17" i="31"/>
  <c r="F16" i="27"/>
  <c r="F35" i="24"/>
  <c r="F30" i="174"/>
  <c r="N33" i="160"/>
  <c r="E21" i="160"/>
  <c r="F30" i="23"/>
  <c r="F57" i="56"/>
  <c r="I19" i="48"/>
  <c r="L183" i="41"/>
  <c r="D145" i="41"/>
  <c r="L117" i="41"/>
  <c r="H91" i="41"/>
  <c r="D65" i="41"/>
  <c r="L38" i="41"/>
  <c r="E18" i="37"/>
  <c r="J133" i="32"/>
  <c r="J91" i="32"/>
  <c r="J37" i="32"/>
  <c r="F15" i="31"/>
  <c r="F32" i="25"/>
  <c r="L18" i="24"/>
  <c r="N34" i="160"/>
  <c r="I19" i="160"/>
  <c r="F26" i="23"/>
  <c r="F14" i="23"/>
  <c r="F15" i="21"/>
  <c r="G18" i="17"/>
  <c r="K59" i="14"/>
  <c r="F17" i="145"/>
  <c r="P28" i="139"/>
  <c r="G383" i="134"/>
  <c r="Q17" i="23"/>
  <c r="J21" i="148"/>
  <c r="G367" i="134"/>
  <c r="G33" i="134"/>
  <c r="J26" i="123"/>
  <c r="G23" i="21"/>
  <c r="E18" i="136"/>
  <c r="G86" i="134"/>
  <c r="E21" i="130"/>
  <c r="Q27" i="23"/>
  <c r="M16" i="10"/>
  <c r="E38" i="135"/>
  <c r="G91" i="134"/>
  <c r="G17" i="125"/>
  <c r="F17" i="118"/>
  <c r="G20" i="21"/>
  <c r="G351" i="134"/>
  <c r="L137" i="134"/>
  <c r="F15" i="131"/>
  <c r="E32" i="123"/>
  <c r="E15" i="119"/>
  <c r="G66" i="115"/>
  <c r="G17" i="115"/>
  <c r="F14" i="110"/>
  <c r="F15" i="104"/>
  <c r="Q32" i="23"/>
  <c r="D14" i="153"/>
  <c r="P25" i="139"/>
  <c r="G239" i="134"/>
  <c r="G70" i="134"/>
  <c r="F54" i="128"/>
  <c r="E47" i="123"/>
  <c r="E15" i="120"/>
  <c r="G16" i="117"/>
  <c r="G62" i="115"/>
  <c r="G28" i="115"/>
  <c r="J22" i="112"/>
  <c r="F18" i="110"/>
  <c r="F20" i="159"/>
  <c r="F48" i="101"/>
  <c r="F46" i="162"/>
  <c r="F14" i="162"/>
  <c r="Q24" i="11"/>
  <c r="G71" i="134"/>
  <c r="J15" i="120"/>
  <c r="G19" i="116"/>
  <c r="G52" i="115"/>
  <c r="E18" i="114"/>
  <c r="F22" i="110"/>
  <c r="K15" i="159"/>
  <c r="F19" i="101"/>
  <c r="F38" i="162"/>
  <c r="J60" i="161"/>
  <c r="Q18" i="11"/>
  <c r="G53" i="134"/>
  <c r="J14" i="120"/>
  <c r="K13" i="116"/>
  <c r="L33" i="115"/>
  <c r="J32" i="145"/>
  <c r="G47" i="134"/>
  <c r="E14" i="120"/>
  <c r="K17" i="116"/>
  <c r="L50" i="115"/>
  <c r="E15" i="114"/>
  <c r="F19" i="110"/>
  <c r="M13" i="10"/>
  <c r="G123" i="134"/>
  <c r="E32" i="119"/>
  <c r="K12" i="116"/>
  <c r="L32" i="115"/>
  <c r="G20" i="31"/>
  <c r="J16" i="152"/>
  <c r="E16" i="133"/>
  <c r="E30" i="119"/>
  <c r="L71" i="115"/>
  <c r="L31" i="115"/>
  <c r="F34" i="112"/>
  <c r="F22" i="109"/>
  <c r="J18" i="105"/>
  <c r="F24" i="162"/>
  <c r="J55" i="161"/>
  <c r="J29" i="161"/>
  <c r="F19" i="99"/>
  <c r="F49" i="95"/>
  <c r="F24" i="95"/>
  <c r="F62" i="92"/>
  <c r="F29" i="92"/>
  <c r="F26" i="98"/>
  <c r="F41" i="97"/>
  <c r="F16" i="97"/>
  <c r="F45" i="96"/>
  <c r="F17" i="90"/>
  <c r="E18" i="89"/>
  <c r="D40" i="88"/>
  <c r="D17" i="88"/>
  <c r="J15" i="85"/>
  <c r="F66" i="82"/>
  <c r="E15" i="132"/>
  <c r="E29" i="119"/>
  <c r="K15" i="116"/>
  <c r="L35" i="115"/>
  <c r="F42" i="112"/>
  <c r="F15" i="110"/>
  <c r="F13" i="108"/>
  <c r="F16" i="101"/>
  <c r="F27" i="162"/>
  <c r="F58" i="161"/>
  <c r="F32" i="161"/>
  <c r="F14" i="161"/>
  <c r="J51" i="95"/>
  <c r="J26" i="95"/>
  <c r="J64" i="92"/>
  <c r="J31" i="92"/>
  <c r="K28" i="98"/>
  <c r="J43" i="97"/>
  <c r="J18" i="97"/>
  <c r="J47" i="96"/>
  <c r="J14" i="96"/>
  <c r="F22" i="90"/>
  <c r="E23" i="89"/>
  <c r="L29" i="115"/>
  <c r="J19" i="105"/>
  <c r="J17" i="162"/>
  <c r="J30" i="161"/>
  <c r="F59" i="95"/>
  <c r="F25" i="95"/>
  <c r="F49" i="92"/>
  <c r="F27" i="98"/>
  <c r="F26" i="97"/>
  <c r="F46" i="96"/>
  <c r="J44" i="90"/>
  <c r="E20" i="89"/>
  <c r="H29" i="88"/>
  <c r="D16" i="87"/>
  <c r="F16" i="83"/>
  <c r="F42" i="82"/>
  <c r="F78" i="81"/>
  <c r="F34" i="81"/>
  <c r="F17" i="80"/>
  <c r="F17" i="79"/>
  <c r="F26" i="72"/>
  <c r="F98" i="66"/>
  <c r="F58" i="66"/>
  <c r="K16" i="66"/>
  <c r="K59" i="63"/>
  <c r="E50" i="60"/>
  <c r="E29" i="69"/>
  <c r="G96" i="49"/>
  <c r="F55" i="56"/>
  <c r="I26" i="48"/>
  <c r="F15" i="111"/>
  <c r="K18" i="101"/>
  <c r="F60" i="161"/>
  <c r="F25" i="161"/>
  <c r="J53" i="95"/>
  <c r="J19" i="95"/>
  <c r="J33" i="92"/>
  <c r="K15" i="98"/>
  <c r="J20" i="97"/>
  <c r="J30" i="96"/>
  <c r="F18" i="90"/>
  <c r="H49" i="88"/>
  <c r="H21" i="88"/>
  <c r="J16" i="85"/>
  <c r="J63" i="82"/>
  <c r="J35" i="82"/>
  <c r="J62" i="81"/>
  <c r="J21" i="81"/>
  <c r="F54" i="79"/>
  <c r="E13" i="77"/>
  <c r="F12" i="72"/>
  <c r="K82" i="66"/>
  <c r="K48" i="66"/>
  <c r="F96" i="63"/>
  <c r="F50" i="63"/>
  <c r="M34" i="60"/>
  <c r="F19" i="112"/>
  <c r="F36" i="101"/>
  <c r="J14" i="162"/>
  <c r="J28" i="161"/>
  <c r="F57" i="95"/>
  <c r="F23" i="95"/>
  <c r="F47" i="92"/>
  <c r="F19" i="98"/>
  <c r="F24" i="97"/>
  <c r="F44" i="96"/>
  <c r="J40" i="90"/>
  <c r="E16" i="89"/>
  <c r="H24" i="88"/>
  <c r="J19" i="85"/>
  <c r="J66" i="82"/>
  <c r="F38" i="82"/>
  <c r="F74" i="81"/>
  <c r="F18" i="81"/>
  <c r="F47" i="79"/>
  <c r="E34" i="75"/>
  <c r="G46" i="71"/>
  <c r="F79" i="66"/>
  <c r="F45" i="66"/>
  <c r="K80" i="63"/>
  <c r="K42" i="63"/>
  <c r="I32" i="60"/>
  <c r="F21" i="110"/>
  <c r="F17" i="101"/>
  <c r="F59" i="161"/>
  <c r="F24" i="161"/>
  <c r="J52" i="95"/>
  <c r="J18" i="95"/>
  <c r="J32" i="92"/>
  <c r="K14" i="98"/>
  <c r="J19" i="97"/>
  <c r="J29" i="96"/>
  <c r="F14" i="90"/>
  <c r="H47" i="88"/>
  <c r="H16" i="88"/>
  <c r="F26" i="84"/>
  <c r="J59" i="82"/>
  <c r="F18" i="82"/>
  <c r="J58" i="81"/>
  <c r="J17" i="81"/>
  <c r="F36" i="79"/>
  <c r="E15" i="75"/>
  <c r="G14" i="71"/>
  <c r="K71" i="66"/>
  <c r="K37" i="66"/>
  <c r="F77" i="63"/>
  <c r="F39" i="63"/>
  <c r="E17" i="60"/>
  <c r="E34" i="58"/>
  <c r="G34" i="49"/>
  <c r="F19" i="159"/>
  <c r="J25" i="162"/>
  <c r="J44" i="161"/>
  <c r="F15" i="99"/>
  <c r="F31" i="95"/>
  <c r="F60" i="92"/>
  <c r="F13" i="92"/>
  <c r="F39" i="97"/>
  <c r="F57" i="96"/>
  <c r="E37" i="89"/>
  <c r="D39" i="88"/>
  <c r="D19" i="87"/>
  <c r="F19" i="83"/>
  <c r="F43" i="82"/>
  <c r="F79" i="81"/>
  <c r="F35" i="81"/>
  <c r="F13" i="80"/>
  <c r="F13" i="79"/>
  <c r="F14" i="72"/>
  <c r="F84" i="66"/>
  <c r="F50" i="66"/>
  <c r="F14" i="66"/>
  <c r="K51" i="63"/>
  <c r="E36" i="60"/>
  <c r="I25" i="69"/>
  <c r="G92" i="49"/>
  <c r="F24" i="109"/>
  <c r="F14" i="101"/>
  <c r="F57" i="161"/>
  <c r="F22" i="161"/>
  <c r="J50" i="95"/>
  <c r="J16" i="95"/>
  <c r="J30" i="92"/>
  <c r="J51" i="97"/>
  <c r="J17" i="97"/>
  <c r="J27" i="96"/>
  <c r="F20" i="90"/>
  <c r="H50" i="88"/>
  <c r="H22" i="88"/>
  <c r="J17" i="85"/>
  <c r="J64" i="82"/>
  <c r="J36" i="82"/>
  <c r="J63" i="81"/>
  <c r="J22" i="81"/>
  <c r="F49" i="149"/>
  <c r="K22" i="139"/>
  <c r="G346" i="134"/>
  <c r="M17" i="17"/>
  <c r="J22" i="152"/>
  <c r="G303" i="134"/>
  <c r="E14" i="132"/>
  <c r="E63" i="120"/>
  <c r="H17" i="17"/>
  <c r="F19" i="145"/>
  <c r="G320" i="134"/>
  <c r="G32" i="134"/>
  <c r="E26" i="123"/>
  <c r="L20" i="21"/>
  <c r="G352" i="134"/>
  <c r="G49" i="134"/>
  <c r="J32" i="123"/>
  <c r="M14" i="117"/>
  <c r="H14" i="17"/>
  <c r="F16" i="145"/>
  <c r="G289" i="134"/>
  <c r="G108" i="134"/>
  <c r="F56" i="128"/>
  <c r="E17" i="123"/>
  <c r="F22" i="118"/>
  <c r="G60" i="115"/>
  <c r="E16" i="114"/>
  <c r="J19" i="109"/>
  <c r="M143" i="41"/>
  <c r="L19" i="23"/>
  <c r="F32" i="145"/>
  <c r="P13" i="139"/>
  <c r="G216" i="134"/>
  <c r="G34" i="134"/>
  <c r="F16" i="128"/>
  <c r="E24" i="123"/>
  <c r="E25" i="119"/>
  <c r="G20" i="116"/>
  <c r="G59" i="115"/>
  <c r="G22" i="115"/>
  <c r="J19" i="112"/>
  <c r="J24" i="109"/>
  <c r="K16" i="159"/>
  <c r="K34" i="101"/>
  <c r="F40" i="162"/>
  <c r="F63" i="161"/>
  <c r="H14" i="153"/>
  <c r="F36" i="131"/>
  <c r="E26" i="119"/>
  <c r="K14" i="116"/>
  <c r="L34" i="115"/>
  <c r="F40" i="112"/>
  <c r="F13" i="110"/>
  <c r="J33" i="105"/>
  <c r="K15" i="101"/>
  <c r="J26" i="162"/>
  <c r="M159" i="41"/>
  <c r="J15" i="148"/>
  <c r="F25" i="131"/>
  <c r="F31" i="118"/>
  <c r="L69" i="115"/>
  <c r="M44" i="41"/>
  <c r="F18" i="143"/>
  <c r="F14" i="131"/>
  <c r="E23" i="119"/>
  <c r="G13" i="116"/>
  <c r="G33" i="115"/>
  <c r="F37" i="112"/>
  <c r="J23" i="109"/>
  <c r="J13" i="145"/>
  <c r="G29" i="134"/>
  <c r="F27" i="118"/>
  <c r="L67" i="115"/>
  <c r="L27" i="115"/>
  <c r="F26" i="160"/>
  <c r="G19" i="140"/>
  <c r="F55" i="128"/>
  <c r="E18" i="119"/>
  <c r="G67" i="115"/>
  <c r="G27" i="115"/>
  <c r="J18" i="112"/>
  <c r="J17" i="109"/>
  <c r="F17" i="104"/>
  <c r="F50" i="162"/>
  <c r="J20" i="162"/>
  <c r="J52" i="161"/>
  <c r="J26" i="161"/>
  <c r="F13" i="99"/>
  <c r="F46" i="95"/>
  <c r="F21" i="95"/>
  <c r="F59" i="92"/>
  <c r="F26" i="92"/>
  <c r="F17" i="98"/>
  <c r="F38" i="97"/>
  <c r="F13" i="97"/>
  <c r="F42" i="96"/>
  <c r="E53" i="89"/>
  <c r="E12" i="89"/>
  <c r="D37" i="88"/>
  <c r="D14" i="88"/>
  <c r="J12" i="85"/>
  <c r="G22" i="25"/>
  <c r="J35" i="149"/>
  <c r="F31" i="128"/>
  <c r="E17" i="119"/>
  <c r="L70" i="115"/>
  <c r="L30" i="115"/>
  <c r="F22" i="112"/>
  <c r="F21" i="109"/>
  <c r="J17" i="105"/>
  <c r="J23" i="162"/>
  <c r="F55" i="161"/>
  <c r="F29" i="161"/>
  <c r="F18" i="99"/>
  <c r="J48" i="95"/>
  <c r="J23" i="95"/>
  <c r="J61" i="92"/>
  <c r="J28" i="92"/>
  <c r="K19" i="98"/>
  <c r="J40" i="97"/>
  <c r="J15" i="97"/>
  <c r="J44" i="96"/>
  <c r="F16" i="90"/>
  <c r="E17" i="89"/>
  <c r="F36" i="112"/>
  <c r="F32" i="101"/>
  <c r="F62" i="161"/>
  <c r="J25" i="161"/>
  <c r="F54" i="95"/>
  <c r="F20" i="95"/>
  <c r="F44" i="92"/>
  <c r="F16" i="98"/>
  <c r="F21" i="97"/>
  <c r="F31" i="96"/>
  <c r="J27" i="90"/>
  <c r="D54" i="88"/>
  <c r="H25" i="88"/>
  <c r="J20" i="85"/>
  <c r="J67" i="82"/>
  <c r="F39" i="82"/>
  <c r="F75" i="81"/>
  <c r="F22" i="81"/>
  <c r="F55" i="79"/>
  <c r="I13" i="77"/>
  <c r="F13" i="72"/>
  <c r="F83" i="66"/>
  <c r="F49" i="66"/>
  <c r="K96" i="63"/>
  <c r="K50" i="63"/>
  <c r="E35" i="60"/>
  <c r="E23" i="69"/>
  <c r="G76" i="49"/>
  <c r="F37" i="56"/>
  <c r="I23" i="48"/>
  <c r="F20" i="109"/>
  <c r="J51" i="162"/>
  <c r="F56" i="161"/>
  <c r="F21" i="161"/>
  <c r="J49" i="95"/>
  <c r="J15" i="95"/>
  <c r="J29" i="92"/>
  <c r="J50" i="97"/>
  <c r="J16" i="97"/>
  <c r="J26" i="96"/>
  <c r="E50" i="89"/>
  <c r="H44" i="88"/>
  <c r="D18" i="88"/>
  <c r="F13" i="85"/>
  <c r="J60" i="82"/>
  <c r="F20" i="82"/>
  <c r="J59" i="81"/>
  <c r="J18" i="81"/>
  <c r="F48" i="79"/>
  <c r="E13" i="76"/>
  <c r="G47" i="71"/>
  <c r="K79" i="66"/>
  <c r="K45" i="66"/>
  <c r="F93" i="63"/>
  <c r="F47" i="63"/>
  <c r="M32" i="60"/>
  <c r="F14" i="111"/>
  <c r="F18" i="101"/>
  <c r="J59" i="161"/>
  <c r="J24" i="161"/>
  <c r="F53" i="95"/>
  <c r="F19" i="95"/>
  <c r="F33" i="92"/>
  <c r="F15" i="98"/>
  <c r="F20" i="97"/>
  <c r="F30" i="96"/>
  <c r="J25" i="90"/>
  <c r="D53" i="88"/>
  <c r="D21" i="88"/>
  <c r="F16" i="85"/>
  <c r="F63" i="82"/>
  <c r="F35" i="82"/>
  <c r="F62" i="81"/>
  <c r="F15" i="81"/>
  <c r="F37" i="79"/>
  <c r="E16" i="75"/>
  <c r="G15" i="71"/>
  <c r="F72" i="66"/>
  <c r="F38" i="66"/>
  <c r="K77" i="63"/>
  <c r="K39" i="63"/>
  <c r="E18" i="60"/>
  <c r="F18" i="109"/>
  <c r="J50" i="162"/>
  <c r="F54" i="161"/>
  <c r="F19" i="161"/>
  <c r="J47" i="95"/>
  <c r="J13" i="95"/>
  <c r="J27" i="92"/>
  <c r="J48" i="97"/>
  <c r="J14" i="97"/>
  <c r="J19" i="96"/>
  <c r="E48" i="89"/>
  <c r="H43" i="88"/>
  <c r="D13" i="88"/>
  <c r="F19" i="84"/>
  <c r="J46" i="82"/>
  <c r="J82" i="81"/>
  <c r="J41" i="81"/>
  <c r="F42" i="80"/>
  <c r="F30" i="79"/>
  <c r="F76" i="72"/>
  <c r="K102" i="66"/>
  <c r="K62" i="66"/>
  <c r="K34" i="66"/>
  <c r="F70" i="63"/>
  <c r="K16" i="63"/>
  <c r="E38" i="69"/>
  <c r="E17" i="58"/>
  <c r="G15" i="49"/>
  <c r="J20" i="105"/>
  <c r="J18" i="162"/>
  <c r="J31" i="161"/>
  <c r="F60" i="95"/>
  <c r="F26" i="95"/>
  <c r="F50" i="92"/>
  <c r="F28" i="98"/>
  <c r="F27" i="97"/>
  <c r="F47" i="96"/>
  <c r="E22" i="89"/>
  <c r="D27" i="88"/>
  <c r="D12" i="87"/>
  <c r="J68" i="82"/>
  <c r="F40" i="82"/>
  <c r="F76" i="81"/>
  <c r="F23" i="81"/>
  <c r="F51" i="79"/>
  <c r="E28" i="76"/>
  <c r="G50" i="71"/>
  <c r="F81" i="66"/>
  <c r="F47" i="66"/>
  <c r="K94" i="63"/>
  <c r="K48" i="63"/>
  <c r="M33" i="60"/>
  <c r="I19" i="69"/>
  <c r="G72" i="49"/>
  <c r="J14" i="109"/>
  <c r="J47" i="162"/>
  <c r="F53" i="161"/>
  <c r="F18" i="161"/>
  <c r="J46" i="95"/>
  <c r="J85" i="92"/>
  <c r="J26" i="92"/>
  <c r="J47" i="97"/>
  <c r="J13" i="97"/>
  <c r="J18" i="96"/>
  <c r="F15" i="144"/>
  <c r="K16" i="139"/>
  <c r="H92" i="49"/>
  <c r="L23" i="14"/>
  <c r="J13" i="149"/>
  <c r="G227" i="134"/>
  <c r="F12" i="131"/>
  <c r="M112" i="41"/>
  <c r="L32" i="14"/>
  <c r="F32" i="149"/>
  <c r="G252" i="134"/>
  <c r="I13" i="132"/>
  <c r="E62" i="120"/>
  <c r="M14" i="17"/>
  <c r="J16" i="145"/>
  <c r="G290" i="134"/>
  <c r="E16" i="132"/>
  <c r="J14" i="123"/>
  <c r="M70" i="41"/>
  <c r="F19" i="149"/>
  <c r="G224" i="134"/>
  <c r="G54" i="134"/>
  <c r="F14" i="128"/>
  <c r="J30" i="120"/>
  <c r="G17" i="117"/>
  <c r="G51" i="115"/>
  <c r="J20" i="112"/>
  <c r="E15" i="173"/>
  <c r="G16" i="31"/>
  <c r="G17" i="21"/>
  <c r="F35" i="149"/>
  <c r="E29" i="136"/>
  <c r="L157" i="134"/>
  <c r="G28" i="134"/>
  <c r="F13" i="128"/>
  <c r="E16" i="123"/>
  <c r="E19" i="119"/>
  <c r="G17" i="116"/>
  <c r="G53" i="115"/>
  <c r="G19" i="115"/>
  <c r="J16" i="112"/>
  <c r="J21" i="109"/>
  <c r="K13" i="159"/>
  <c r="K17" i="101"/>
  <c r="F37" i="162"/>
  <c r="G60" i="66"/>
  <c r="J16" i="149"/>
  <c r="J16" i="128"/>
  <c r="E14" i="119"/>
  <c r="G70" i="115"/>
  <c r="G30" i="115"/>
  <c r="J21" i="112"/>
  <c r="J20" i="109"/>
  <c r="F17" i="105"/>
  <c r="J52" i="162"/>
  <c r="J22" i="162"/>
  <c r="G15" i="174"/>
  <c r="F20" i="139"/>
  <c r="J13" i="128"/>
  <c r="F19" i="118"/>
  <c r="L64" i="115"/>
  <c r="Q19" i="23"/>
  <c r="F14" i="139"/>
  <c r="C18" i="129"/>
  <c r="F30" i="118"/>
  <c r="L68" i="115"/>
  <c r="L28" i="115"/>
  <c r="F20" i="112"/>
  <c r="K72" i="32"/>
  <c r="G25" i="140"/>
  <c r="D13" i="126"/>
  <c r="F15" i="118"/>
  <c r="L63" i="115"/>
  <c r="L23" i="115"/>
  <c r="L26" i="21"/>
  <c r="E27" i="135"/>
  <c r="G21" i="125"/>
  <c r="F13" i="118"/>
  <c r="L62" i="115"/>
  <c r="L22" i="115"/>
  <c r="F14" i="112"/>
  <c r="F13" i="109"/>
  <c r="F49" i="101"/>
  <c r="J46" i="162"/>
  <c r="J16" i="162"/>
  <c r="J49" i="161"/>
  <c r="J23" i="161"/>
  <c r="F61" i="95"/>
  <c r="F43" i="95"/>
  <c r="F18" i="95"/>
  <c r="F51" i="92"/>
  <c r="F18" i="92"/>
  <c r="F14" i="98"/>
  <c r="F28" i="97"/>
  <c r="F72" i="96"/>
  <c r="F29" i="96"/>
  <c r="E47" i="89"/>
  <c r="D52" i="88"/>
  <c r="D29" i="88"/>
  <c r="D31" i="87"/>
  <c r="F22" i="84"/>
  <c r="O18" i="160"/>
  <c r="G13" i="140"/>
  <c r="G15" i="125"/>
  <c r="F24" i="118"/>
  <c r="L66" i="115"/>
  <c r="L26" i="115"/>
  <c r="F18" i="112"/>
  <c r="F17" i="109"/>
  <c r="F16" i="104"/>
  <c r="J49" i="162"/>
  <c r="J19" i="162"/>
  <c r="F52" i="161"/>
  <c r="F26" i="161"/>
  <c r="J63" i="95"/>
  <c r="J45" i="95"/>
  <c r="J20" i="95"/>
  <c r="J58" i="92"/>
  <c r="J20" i="92"/>
  <c r="K16" i="98"/>
  <c r="J37" i="97"/>
  <c r="J81" i="96"/>
  <c r="J31" i="96"/>
  <c r="E52" i="89"/>
  <c r="H54" i="88"/>
  <c r="F18" i="111"/>
  <c r="F13" i="101"/>
  <c r="J56" i="161"/>
  <c r="J21" i="161"/>
  <c r="F50" i="95"/>
  <c r="F16" i="95"/>
  <c r="F30" i="92"/>
  <c r="F51" i="97"/>
  <c r="F17" i="97"/>
  <c r="F27" i="96"/>
  <c r="F19" i="90"/>
  <c r="D50" i="88"/>
  <c r="D22" i="88"/>
  <c r="F17" i="85"/>
  <c r="F64" i="82"/>
  <c r="F36" i="82"/>
  <c r="F63" i="81"/>
  <c r="F19" i="81"/>
  <c r="F49" i="79"/>
  <c r="E14" i="76"/>
  <c r="G48" i="71"/>
  <c r="F80" i="66"/>
  <c r="F46" i="66"/>
  <c r="K93" i="63"/>
  <c r="K47" i="63"/>
  <c r="E33" i="60"/>
  <c r="E17" i="69"/>
  <c r="G70" i="49"/>
  <c r="F23" i="56"/>
  <c r="I20" i="48"/>
  <c r="E28" i="173"/>
  <c r="J44" i="162"/>
  <c r="F51" i="161"/>
  <c r="F16" i="161"/>
  <c r="J44" i="95"/>
  <c r="J76" i="92"/>
  <c r="J19" i="92"/>
  <c r="J45" i="97"/>
  <c r="J80" i="96"/>
  <c r="J16" i="96"/>
  <c r="E42" i="89"/>
  <c r="D41" i="88"/>
  <c r="H14" i="88"/>
  <c r="F21" i="84"/>
  <c r="J57" i="82"/>
  <c r="F14" i="82"/>
  <c r="J56" i="81"/>
  <c r="J15" i="81"/>
  <c r="F38" i="79"/>
  <c r="E17" i="75"/>
  <c r="G16" i="71"/>
  <c r="K72" i="66"/>
  <c r="K38" i="66"/>
  <c r="F78" i="63"/>
  <c r="F40" i="63"/>
  <c r="E19" i="60"/>
  <c r="F19" i="109"/>
  <c r="F51" i="162"/>
  <c r="J54" i="161"/>
  <c r="J19" i="161"/>
  <c r="F48" i="95"/>
  <c r="F14" i="95"/>
  <c r="F28" i="92"/>
  <c r="F49" i="97"/>
  <c r="F15" i="97"/>
  <c r="F25" i="96"/>
  <c r="F15" i="90"/>
  <c r="D48" i="88"/>
  <c r="H17" i="88"/>
  <c r="F12" i="85"/>
  <c r="F60" i="82"/>
  <c r="F19" i="82"/>
  <c r="F39" i="81"/>
  <c r="F37" i="80"/>
  <c r="F31" i="79"/>
  <c r="D14" i="74"/>
  <c r="F103" i="66"/>
  <c r="F69" i="66"/>
  <c r="F35" i="66"/>
  <c r="K70" i="63"/>
  <c r="F22" i="63"/>
  <c r="E39" i="69"/>
  <c r="F23" i="159"/>
  <c r="J43" i="162"/>
  <c r="F50" i="161"/>
  <c r="F15" i="161"/>
  <c r="J43" i="95"/>
  <c r="J75" i="92"/>
  <c r="J18" i="92"/>
  <c r="J44" i="97"/>
  <c r="J72" i="96"/>
  <c r="J15" i="96"/>
  <c r="E38" i="89"/>
  <c r="H39" i="88"/>
  <c r="D28" i="87"/>
  <c r="F12" i="84"/>
  <c r="J43" i="82"/>
  <c r="J79" i="81"/>
  <c r="J38" i="81"/>
  <c r="F20" i="80"/>
  <c r="F20" i="79"/>
  <c r="F29" i="72"/>
  <c r="K99" i="66"/>
  <c r="K59" i="66"/>
  <c r="K18" i="66"/>
  <c r="F61" i="63"/>
  <c r="K13" i="63"/>
  <c r="E32" i="69"/>
  <c r="G13" i="53"/>
  <c r="E17" i="114"/>
  <c r="F33" i="101"/>
  <c r="J63" i="161"/>
  <c r="J27" i="161"/>
  <c r="F56" i="95"/>
  <c r="F22" i="95"/>
  <c r="F46" i="92"/>
  <c r="F18" i="98"/>
  <c r="F23" i="97"/>
  <c r="F43" i="96"/>
  <c r="F38" i="90"/>
  <c r="E14" i="89"/>
  <c r="H23" i="88"/>
  <c r="F18" i="85"/>
  <c r="F65" i="82"/>
  <c r="F37" i="82"/>
  <c r="F64" i="81"/>
  <c r="F20" i="81"/>
  <c r="F45" i="79"/>
  <c r="E32" i="75"/>
  <c r="G44" i="71"/>
  <c r="F74" i="66"/>
  <c r="F44" i="66"/>
  <c r="K79" i="63"/>
  <c r="K41" i="63"/>
  <c r="M31" i="60"/>
  <c r="E13" i="69"/>
  <c r="G52" i="49"/>
  <c r="K18" i="159"/>
  <c r="J40" i="162"/>
  <c r="F48" i="161"/>
  <c r="F13" i="161"/>
  <c r="J34" i="95"/>
  <c r="J63" i="92"/>
  <c r="J16" i="92"/>
  <c r="J42" i="97"/>
  <c r="J60" i="96"/>
  <c r="J13" i="96"/>
  <c r="E44" i="89"/>
  <c r="D42" i="88"/>
  <c r="H15" i="88"/>
  <c r="F24" i="84"/>
  <c r="J58" i="82"/>
  <c r="F16" i="82"/>
  <c r="J57" i="81"/>
  <c r="J16" i="81"/>
  <c r="F40" i="79"/>
  <c r="E31" i="75"/>
  <c r="G31" i="71"/>
  <c r="K73" i="66"/>
  <c r="K39" i="66"/>
  <c r="F79" i="63"/>
  <c r="F41" i="63"/>
  <c r="I31" i="60"/>
  <c r="C22" i="59"/>
  <c r="G51" i="49"/>
  <c r="J16" i="56"/>
  <c r="E18" i="48"/>
  <c r="H185" i="41"/>
  <c r="H161" i="41"/>
  <c r="H137" i="41"/>
  <c r="H112" i="41"/>
  <c r="H88" i="41"/>
  <c r="H64" i="41"/>
  <c r="H40" i="41"/>
  <c r="E15" i="171"/>
  <c r="E15" i="39"/>
  <c r="F119" i="32"/>
  <c r="J89" i="32"/>
  <c r="F42" i="32"/>
  <c r="F45" i="31"/>
  <c r="L18" i="30"/>
  <c r="L20" i="25"/>
  <c r="L17" i="24"/>
  <c r="F24" i="22"/>
  <c r="E27" i="160"/>
  <c r="E15" i="160"/>
  <c r="E57" i="58"/>
  <c r="F14" i="56"/>
  <c r="L190" i="41"/>
  <c r="H164" i="41"/>
  <c r="D138" i="41"/>
  <c r="L110" i="41"/>
  <c r="D72" i="41"/>
  <c r="L45" i="41"/>
  <c r="E24" i="171"/>
  <c r="F22" i="36"/>
  <c r="J112" i="32"/>
  <c r="J63" i="32"/>
  <c r="D47" i="88"/>
  <c r="F25" i="80"/>
  <c r="K69" i="63"/>
  <c r="F18" i="162"/>
  <c r="J26" i="97"/>
  <c r="D30" i="88"/>
  <c r="J42" i="82"/>
  <c r="F24" i="80"/>
  <c r="F54" i="72"/>
  <c r="K61" i="66"/>
  <c r="F69" i="63"/>
  <c r="E36" i="69"/>
  <c r="G13" i="49"/>
  <c r="H193" i="41"/>
  <c r="H145" i="41"/>
  <c r="H96" i="41"/>
  <c r="H48" i="41"/>
  <c r="E19" i="37"/>
  <c r="F113" i="32"/>
  <c r="F22" i="32"/>
  <c r="F22" i="27"/>
  <c r="F36" i="174"/>
  <c r="E23" i="160"/>
  <c r="G35" i="49"/>
  <c r="D186" i="41"/>
  <c r="D120" i="41"/>
  <c r="H67" i="41"/>
  <c r="E26" i="37"/>
  <c r="J95" i="32"/>
  <c r="F47" i="31"/>
  <c r="L21" i="25"/>
  <c r="F28" i="174"/>
  <c r="E24" i="160"/>
  <c r="K28" i="23"/>
  <c r="F30" i="21"/>
  <c r="F13" i="19"/>
  <c r="F92" i="14"/>
  <c r="J56" i="56"/>
  <c r="E19" i="48"/>
  <c r="D183" i="41"/>
  <c r="L144" i="41"/>
  <c r="H117" i="41"/>
  <c r="D91" i="41"/>
  <c r="L64" i="41"/>
  <c r="D38" i="41"/>
  <c r="E17" i="37"/>
  <c r="J119" i="32"/>
  <c r="J71" i="32"/>
  <c r="F21" i="32"/>
  <c r="F14" i="29"/>
  <c r="F21" i="25"/>
  <c r="F14" i="24"/>
  <c r="I28" i="160"/>
  <c r="E14" i="160"/>
  <c r="P21" i="23"/>
  <c r="K20" i="21"/>
  <c r="L23" i="17"/>
  <c r="K88" i="14"/>
  <c r="K26" i="14"/>
  <c r="K74" i="11"/>
  <c r="K46" i="11"/>
  <c r="P24" i="11"/>
  <c r="L22" i="10"/>
  <c r="F56" i="56"/>
  <c r="I18" i="48"/>
  <c r="L182" i="41"/>
  <c r="H144" i="41"/>
  <c r="D117" i="41"/>
  <c r="L90" i="41"/>
  <c r="D64" i="41"/>
  <c r="L37" i="41"/>
  <c r="E16" i="37"/>
  <c r="J132" i="32"/>
  <c r="J88" i="32"/>
  <c r="F24" i="32"/>
  <c r="F20" i="31"/>
  <c r="F37" i="25"/>
  <c r="F21" i="24"/>
  <c r="E33" i="160"/>
  <c r="I18" i="160"/>
  <c r="K25" i="23"/>
  <c r="K13" i="23"/>
  <c r="F15" i="19"/>
  <c r="G14" i="17"/>
  <c r="K55" i="14"/>
  <c r="I21" i="69"/>
  <c r="J15" i="56"/>
  <c r="D192" i="41"/>
  <c r="L165" i="41"/>
  <c r="D139" i="41"/>
  <c r="L111" i="41"/>
  <c r="H85" i="41"/>
  <c r="D47" i="41"/>
  <c r="E28" i="171"/>
  <c r="F18" i="36"/>
  <c r="J109" i="32"/>
  <c r="J48" i="32"/>
  <c r="J50" i="31"/>
  <c r="L17" i="30"/>
  <c r="F16" i="25"/>
  <c r="F32" i="174"/>
  <c r="I25" i="160"/>
  <c r="P31" i="23"/>
  <c r="F19" i="23"/>
  <c r="L19" i="18"/>
  <c r="K93" i="14"/>
  <c r="F52" i="14"/>
  <c r="K19" i="14"/>
  <c r="K67" i="11"/>
  <c r="L15" i="10"/>
  <c r="P16" i="156"/>
  <c r="F54" i="56"/>
  <c r="I16" i="48"/>
  <c r="D182" i="41"/>
  <c r="L143" i="41"/>
  <c r="D116" i="41"/>
  <c r="L89" i="41"/>
  <c r="H63" i="41"/>
  <c r="D37" i="41"/>
  <c r="E14" i="37"/>
  <c r="J117" i="32"/>
  <c r="F70" i="32"/>
  <c r="J19" i="32"/>
  <c r="F17" i="29"/>
  <c r="L22" i="25"/>
  <c r="F16" i="24"/>
  <c r="I27" i="160"/>
  <c r="P34" i="23"/>
  <c r="P20" i="23"/>
  <c r="F22" i="21"/>
  <c r="G22" i="17"/>
  <c r="F87" i="14"/>
  <c r="K48" i="14"/>
  <c r="P29" i="11"/>
  <c r="P17" i="11"/>
  <c r="G54" i="49"/>
  <c r="E25" i="48"/>
  <c r="H186" i="41"/>
  <c r="D160" i="41"/>
  <c r="L120" i="41"/>
  <c r="D94" i="41"/>
  <c r="L67" i="41"/>
  <c r="H41" i="41"/>
  <c r="E27" i="37"/>
  <c r="F134" i="32"/>
  <c r="J92" i="32"/>
  <c r="J38" i="32"/>
  <c r="F24" i="31"/>
  <c r="F15" i="27"/>
  <c r="L22" i="24"/>
  <c r="F25" i="22"/>
  <c r="E22" i="160"/>
  <c r="P28" i="23"/>
  <c r="K16" i="23"/>
  <c r="K13" i="19"/>
  <c r="K95" i="14"/>
  <c r="F57" i="14"/>
  <c r="K24" i="14"/>
  <c r="K72" i="11"/>
  <c r="P36" i="11"/>
  <c r="L20" i="10"/>
  <c r="P19" i="156"/>
  <c r="P15" i="156"/>
  <c r="K21" i="14"/>
  <c r="L17" i="10"/>
  <c r="D16" i="88"/>
  <c r="F29" i="79"/>
  <c r="F16" i="63"/>
  <c r="F31" i="161"/>
  <c r="J46" i="96"/>
  <c r="D19" i="88"/>
  <c r="F22" i="82"/>
  <c r="F56" i="79"/>
  <c r="J13" i="72"/>
  <c r="K49" i="66"/>
  <c r="F51" i="63"/>
  <c r="I24" i="69"/>
  <c r="J37" i="56"/>
  <c r="H189" i="41"/>
  <c r="H141" i="41"/>
  <c r="H92" i="41"/>
  <c r="H44" i="41"/>
  <c r="E21" i="39"/>
  <c r="F97" i="32"/>
  <c r="J14" i="32"/>
  <c r="F35" i="25"/>
  <c r="F19" i="174"/>
  <c r="E19" i="160"/>
  <c r="F38" i="56"/>
  <c r="D169" i="41"/>
  <c r="H115" i="41"/>
  <c r="L62" i="41"/>
  <c r="E23" i="39"/>
  <c r="J72" i="32"/>
  <c r="F22" i="31"/>
  <c r="F18" i="25"/>
  <c r="F16" i="174"/>
  <c r="N21" i="160"/>
  <c r="F24" i="23"/>
  <c r="F27" i="21"/>
  <c r="G18" i="18"/>
  <c r="F89" i="14"/>
  <c r="J36" i="56"/>
  <c r="I14" i="48"/>
  <c r="L168" i="41"/>
  <c r="H142" i="41"/>
  <c r="D115" i="41"/>
  <c r="L88" i="41"/>
  <c r="D62" i="41"/>
  <c r="D21" i="41"/>
  <c r="E19" i="39"/>
  <c r="J115" i="32"/>
  <c r="F68" i="32"/>
  <c r="J17" i="32"/>
  <c r="G19" i="30"/>
  <c r="F17" i="25"/>
  <c r="F34" i="174"/>
  <c r="E26" i="160"/>
  <c r="F33" i="23"/>
  <c r="P19" i="23"/>
  <c r="K17" i="21"/>
  <c r="L20" i="17"/>
  <c r="F59" i="14"/>
  <c r="K23" i="14"/>
  <c r="K71" i="11"/>
  <c r="P35" i="11"/>
  <c r="P22" i="11"/>
  <c r="L19" i="10"/>
  <c r="F36" i="56"/>
  <c r="E14" i="48"/>
  <c r="H168" i="41"/>
  <c r="D142" i="41"/>
  <c r="L114" i="41"/>
  <c r="D88" i="41"/>
  <c r="L61" i="41"/>
  <c r="D20" i="41"/>
  <c r="E22" i="39"/>
  <c r="J118" i="32"/>
  <c r="F71" i="32"/>
  <c r="J20" i="32"/>
  <c r="F13" i="31"/>
  <c r="F30" i="25"/>
  <c r="F17" i="24"/>
  <c r="I30" i="160"/>
  <c r="E16" i="160"/>
  <c r="K23" i="23"/>
  <c r="F26" i="21"/>
  <c r="G20" i="18"/>
  <c r="F94" i="14"/>
  <c r="K52" i="14"/>
  <c r="E18" i="58"/>
  <c r="E31" i="48"/>
  <c r="L189" i="41"/>
  <c r="D163" i="41"/>
  <c r="L136" i="41"/>
  <c r="H109" i="41"/>
  <c r="D71" i="41"/>
  <c r="L44" i="41"/>
  <c r="E20" i="171"/>
  <c r="F139" i="32"/>
  <c r="J97" i="32"/>
  <c r="J44" i="32"/>
  <c r="F43" i="31"/>
  <c r="G14" i="30"/>
  <c r="F37" i="24"/>
  <c r="F20" i="174"/>
  <c r="N22" i="160"/>
  <c r="K29" i="23"/>
  <c r="F17" i="23"/>
  <c r="L16" i="18"/>
  <c r="K90" i="14"/>
  <c r="F49" i="14"/>
  <c r="K16" i="14"/>
  <c r="K54" i="11"/>
  <c r="P26" i="156"/>
  <c r="P14" i="156"/>
  <c r="F24" i="56"/>
  <c r="E13" i="48"/>
  <c r="L167" i="41"/>
  <c r="D141" i="41"/>
  <c r="L113" i="41"/>
  <c r="H87" i="41"/>
  <c r="D61" i="41"/>
  <c r="D18" i="41"/>
  <c r="E17" i="39"/>
  <c r="F114" i="32"/>
  <c r="J66" i="32"/>
  <c r="J13" i="32"/>
  <c r="L20" i="30"/>
  <c r="F19" i="25"/>
  <c r="F38" i="174"/>
  <c r="N24" i="160"/>
  <c r="K31" i="23"/>
  <c r="P18" i="23"/>
  <c r="F19" i="21"/>
  <c r="G19" i="17"/>
  <c r="K63" i="14"/>
  <c r="P27" i="11"/>
  <c r="P15" i="11"/>
  <c r="J57" i="56"/>
  <c r="E20" i="48"/>
  <c r="D184" i="41"/>
  <c r="L145" i="41"/>
  <c r="D118" i="41"/>
  <c r="L91" i="41"/>
  <c r="H65" i="41"/>
  <c r="D39" i="41"/>
  <c r="E20" i="37"/>
  <c r="J128" i="32"/>
  <c r="F73" i="32"/>
  <c r="J22" i="32"/>
  <c r="F16" i="31"/>
  <c r="F33" i="25"/>
  <c r="F19" i="24"/>
  <c r="J15" i="22"/>
  <c r="N19" i="160"/>
  <c r="K26" i="23"/>
  <c r="K14" i="23"/>
  <c r="L18" i="18"/>
  <c r="K92" i="14"/>
  <c r="F54" i="14"/>
  <c r="K69" i="11"/>
  <c r="P33" i="11"/>
  <c r="P17" i="156"/>
  <c r="F25" i="84"/>
  <c r="F66" i="72"/>
  <c r="E37" i="69"/>
  <c r="J59" i="95"/>
  <c r="J45" i="90"/>
  <c r="D18" i="87"/>
  <c r="J78" i="81"/>
  <c r="F50" i="79"/>
  <c r="G49" i="71"/>
  <c r="K46" i="66"/>
  <c r="F48" i="63"/>
  <c r="I18" i="69"/>
  <c r="J23" i="56"/>
  <c r="H187" i="41"/>
  <c r="H139" i="41"/>
  <c r="H90" i="41"/>
  <c r="H42" i="41"/>
  <c r="E18" i="39"/>
  <c r="F94" i="32"/>
  <c r="J51" i="31"/>
  <c r="F29" i="25"/>
  <c r="F13" i="174"/>
  <c r="E17" i="160"/>
  <c r="F22" i="56"/>
  <c r="L166" i="41"/>
  <c r="D113" i="41"/>
  <c r="D48" i="41"/>
  <c r="E16" i="39"/>
  <c r="J68" i="32"/>
  <c r="F15" i="29"/>
  <c r="F14" i="25"/>
  <c r="F15" i="22"/>
  <c r="N16" i="160"/>
  <c r="F22" i="23"/>
  <c r="F24" i="21"/>
  <c r="G24" i="17"/>
  <c r="F86" i="14"/>
  <c r="I27" i="69"/>
  <c r="J21" i="56"/>
  <c r="L192" i="41"/>
  <c r="H166" i="41"/>
  <c r="D140" i="41"/>
  <c r="L112" i="41"/>
  <c r="D86" i="41"/>
  <c r="L47" i="41"/>
  <c r="D14" i="41"/>
  <c r="F20" i="36"/>
  <c r="J111" i="32"/>
  <c r="J62" i="32"/>
  <c r="F46" i="31"/>
  <c r="G15" i="30"/>
  <c r="L13" i="25"/>
  <c r="F27" i="174"/>
  <c r="N23" i="160"/>
  <c r="K30" i="23"/>
  <c r="P17" i="23"/>
  <c r="K14" i="21"/>
  <c r="L17" i="17"/>
  <c r="F56" i="14"/>
  <c r="K20" i="14"/>
  <c r="K68" i="11"/>
  <c r="P32" i="11"/>
  <c r="P20" i="11"/>
  <c r="I22" i="69"/>
  <c r="F21" i="56"/>
  <c r="H192" i="41"/>
  <c r="D166" i="41"/>
  <c r="L139" i="41"/>
  <c r="D112" i="41"/>
  <c r="L85" i="41"/>
  <c r="H47" i="41"/>
  <c r="D13" i="41"/>
  <c r="I18" i="39"/>
  <c r="F115" i="32"/>
  <c r="J67" i="32"/>
  <c r="J16" i="32"/>
  <c r="F13" i="29"/>
  <c r="F20" i="25"/>
  <c r="L13" i="24"/>
  <c r="E28" i="160"/>
  <c r="N13" i="160"/>
  <c r="K21" i="23"/>
  <c r="F23" i="21"/>
  <c r="G17" i="18"/>
  <c r="F91" i="14"/>
  <c r="K49" i="14"/>
  <c r="G74" i="49"/>
  <c r="E26" i="48"/>
  <c r="D187" i="41"/>
  <c r="L160" i="41"/>
  <c r="H134" i="41"/>
  <c r="D95" i="41"/>
  <c r="L68" i="41"/>
  <c r="D42" i="41"/>
  <c r="E13" i="171"/>
  <c r="J135" i="32"/>
  <c r="J93" i="32"/>
  <c r="J40" i="32"/>
  <c r="J26" i="31"/>
  <c r="F18" i="27"/>
  <c r="F30" i="24"/>
  <c r="J16" i="22"/>
  <c r="I20" i="160"/>
  <c r="F27" i="23"/>
  <c r="F15" i="23"/>
  <c r="L22" i="17"/>
  <c r="K87" i="14"/>
  <c r="K31" i="14"/>
  <c r="K13" i="14"/>
  <c r="K51" i="11"/>
  <c r="P24" i="156"/>
  <c r="I16" i="69"/>
  <c r="F15" i="56"/>
  <c r="L191" i="41"/>
  <c r="D165" i="41"/>
  <c r="L138" i="41"/>
  <c r="H111" i="41"/>
  <c r="D85" i="41"/>
  <c r="L46" i="41"/>
  <c r="E26" i="171"/>
  <c r="F17" i="36"/>
  <c r="J108" i="32"/>
  <c r="J47" i="32"/>
  <c r="J49" i="31"/>
  <c r="G17" i="30"/>
  <c r="L15" i="25"/>
  <c r="F31" i="174"/>
  <c r="I22" i="160"/>
  <c r="F29" i="23"/>
  <c r="P16" i="23"/>
  <c r="F13" i="21"/>
  <c r="G16" i="17"/>
  <c r="K60" i="14"/>
  <c r="P25" i="11"/>
  <c r="P13" i="11"/>
  <c r="J38" i="56"/>
  <c r="E16" i="48"/>
  <c r="L169" i="41"/>
  <c r="D143" i="41"/>
  <c r="L115" i="41"/>
  <c r="H89" i="41"/>
  <c r="D63" i="41"/>
  <c r="D24" i="41"/>
  <c r="E20" i="39"/>
  <c r="F117" i="32"/>
  <c r="J69" i="32"/>
  <c r="J18" i="32"/>
  <c r="F16" i="29"/>
  <c r="F22" i="25"/>
  <c r="L15" i="24"/>
  <c r="N31" i="160"/>
  <c r="I17" i="160"/>
  <c r="K24" i="23"/>
  <c r="K24" i="21"/>
  <c r="L24" i="17"/>
  <c r="K89" i="14"/>
  <c r="F51" i="14"/>
  <c r="K18" i="14"/>
  <c r="K56" i="11"/>
  <c r="L14" i="10"/>
  <c r="P13" i="156"/>
  <c r="P25" i="156"/>
  <c r="F59" i="82"/>
  <c r="F102" i="66"/>
  <c r="E16" i="58"/>
  <c r="J25" i="95"/>
  <c r="E54" i="89"/>
  <c r="F14" i="85"/>
  <c r="J60" i="81"/>
  <c r="F24" i="79"/>
  <c r="K101" i="66"/>
  <c r="K21" i="66"/>
  <c r="K15" i="63"/>
  <c r="G17" i="53"/>
  <c r="E30" i="48"/>
  <c r="H169" i="41"/>
  <c r="H120" i="41"/>
  <c r="H72" i="41"/>
  <c r="D23" i="41"/>
  <c r="F15" i="36"/>
  <c r="F69" i="32"/>
  <c r="F23" i="31"/>
  <c r="L14" i="25"/>
  <c r="F14" i="22"/>
  <c r="K32" i="23"/>
  <c r="I24" i="48"/>
  <c r="L159" i="41"/>
  <c r="L93" i="41"/>
  <c r="D41" i="41"/>
  <c r="F137" i="32"/>
  <c r="F43" i="32"/>
  <c r="L19" i="30"/>
  <c r="F22" i="24"/>
  <c r="I31" i="160"/>
  <c r="I14" i="160"/>
  <c r="F20" i="23"/>
  <c r="F21" i="21"/>
  <c r="G21" i="17"/>
  <c r="K56" i="14"/>
  <c r="E46" i="58"/>
  <c r="E39" i="48"/>
  <c r="H190" i="41"/>
  <c r="D164" i="41"/>
  <c r="L137" i="41"/>
  <c r="D110" i="41"/>
  <c r="L71" i="41"/>
  <c r="H45" i="41"/>
  <c r="E23" i="171"/>
  <c r="F13" i="36"/>
  <c r="J98" i="32"/>
  <c r="F46" i="32"/>
  <c r="J28" i="31"/>
  <c r="F20" i="27"/>
  <c r="F32" i="24"/>
  <c r="F15" i="174"/>
  <c r="I21" i="160"/>
  <c r="P27" i="23"/>
  <c r="P15" i="23"/>
  <c r="K15" i="19"/>
  <c r="L14" i="17"/>
  <c r="F53" i="14"/>
  <c r="K17" i="14"/>
  <c r="K55" i="11"/>
  <c r="P30" i="11"/>
  <c r="P18" i="11"/>
  <c r="E19" i="58"/>
  <c r="I31" i="48"/>
  <c r="D190" i="41"/>
  <c r="L163" i="41"/>
  <c r="D137" i="41"/>
  <c r="L109" i="41"/>
  <c r="H71" i="41"/>
  <c r="D45" i="41"/>
  <c r="E22" i="171"/>
  <c r="F19" i="36"/>
  <c r="J110" i="32"/>
  <c r="J61" i="32"/>
  <c r="J52" i="31"/>
  <c r="G18" i="30"/>
  <c r="L16" i="25"/>
  <c r="F33" i="174"/>
  <c r="N25" i="160"/>
  <c r="P32" i="23"/>
  <c r="K19" i="23"/>
  <c r="F20" i="21"/>
  <c r="G23" i="17"/>
  <c r="F88" i="14"/>
  <c r="K32" i="14"/>
  <c r="G16" i="49"/>
  <c r="E22" i="48"/>
  <c r="L184" i="41"/>
  <c r="H158" i="41"/>
  <c r="D119" i="41"/>
  <c r="L92" i="41"/>
  <c r="D66" i="41"/>
  <c r="L39" i="41"/>
  <c r="E22" i="37"/>
  <c r="J130" i="32"/>
  <c r="J87" i="32"/>
  <c r="J23" i="32"/>
  <c r="F19" i="31"/>
  <c r="F36" i="25"/>
  <c r="F20" i="24"/>
  <c r="N32" i="160"/>
  <c r="E18" i="160"/>
  <c r="F25" i="23"/>
  <c r="F13" i="23"/>
  <c r="L19" i="17"/>
  <c r="F64" i="14"/>
  <c r="K28" i="14"/>
  <c r="K88" i="11"/>
  <c r="K48" i="11"/>
  <c r="P22" i="156"/>
  <c r="G15" i="53"/>
  <c r="I30" i="48"/>
  <c r="D189" i="41"/>
  <c r="L162" i="41"/>
  <c r="H136" i="41"/>
  <c r="D109" i="41"/>
  <c r="L70" i="41"/>
  <c r="D44" i="41"/>
  <c r="E19" i="171"/>
  <c r="J138" i="32"/>
  <c r="J96" i="32"/>
  <c r="F44" i="32"/>
  <c r="F42" i="31"/>
  <c r="L13" i="30"/>
  <c r="F36" i="24"/>
  <c r="F18" i="174"/>
  <c r="E20" i="160"/>
  <c r="P26" i="23"/>
  <c r="P14" i="23"/>
  <c r="F14" i="19"/>
  <c r="G13" i="17"/>
  <c r="K57" i="14"/>
  <c r="P23" i="11"/>
  <c r="J22" i="56"/>
  <c r="L193" i="41"/>
  <c r="D167" i="41"/>
  <c r="L140" i="41"/>
  <c r="H113" i="41"/>
  <c r="D87" i="41"/>
  <c r="L48" i="41"/>
  <c r="D16" i="41"/>
  <c r="E13" i="39"/>
  <c r="J113" i="32"/>
  <c r="J64" i="32"/>
  <c r="J12" i="32"/>
  <c r="G20" i="30"/>
  <c r="L18" i="25"/>
  <c r="F37" i="174"/>
  <c r="I29" i="160"/>
  <c r="N14" i="160"/>
  <c r="K22" i="23"/>
  <c r="K18" i="21"/>
  <c r="L21" i="17"/>
  <c r="K86" i="14"/>
  <c r="F48" i="14"/>
  <c r="K15" i="14"/>
  <c r="K53" i="11"/>
  <c r="L13" i="10"/>
  <c r="P21" i="156"/>
  <c r="F15" i="25"/>
  <c r="N26" i="160"/>
  <c r="K20" i="23"/>
  <c r="L18" i="17"/>
  <c r="F63" i="14"/>
  <c r="K90" i="11"/>
  <c r="K47" i="11"/>
  <c r="P23" i="156"/>
  <c r="F17" i="82"/>
  <c r="F62" i="66"/>
  <c r="F38" i="112"/>
  <c r="J49" i="92"/>
  <c r="E21" i="89"/>
  <c r="F17" i="83"/>
  <c r="J37" i="81"/>
  <c r="E23" i="77"/>
  <c r="K83" i="66"/>
  <c r="F13" i="66"/>
  <c r="I35" i="60"/>
  <c r="G91" i="49"/>
  <c r="E24" i="48"/>
  <c r="H165" i="41"/>
  <c r="H116" i="41"/>
  <c r="H68" i="41"/>
  <c r="E27" i="171"/>
  <c r="F135" i="32"/>
  <c r="F48" i="32"/>
  <c r="F18" i="29"/>
  <c r="F29" i="24"/>
  <c r="E31" i="160"/>
  <c r="F28" i="23"/>
  <c r="I15" i="48"/>
  <c r="L142" i="41"/>
  <c r="D89" i="41"/>
  <c r="D22" i="41"/>
  <c r="J127" i="32"/>
  <c r="J21" i="32"/>
  <c r="G16" i="30"/>
  <c r="F15" i="24"/>
  <c r="N28" i="160"/>
  <c r="P33" i="23"/>
  <c r="F18" i="23"/>
  <c r="F18" i="21"/>
  <c r="G15" i="17"/>
  <c r="K53" i="14"/>
  <c r="G94" i="49"/>
  <c r="E28" i="48"/>
  <c r="D188" i="41"/>
  <c r="L161" i="41"/>
  <c r="D135" i="41"/>
  <c r="L95" i="41"/>
  <c r="H69" i="41"/>
  <c r="D43" i="41"/>
  <c r="E16" i="171"/>
  <c r="J136" i="32"/>
  <c r="F95" i="32"/>
  <c r="J42" i="32"/>
  <c r="F21" i="31"/>
  <c r="F13" i="27"/>
  <c r="L21" i="24"/>
  <c r="E34" i="160"/>
  <c r="N18" i="160"/>
  <c r="P25" i="23"/>
  <c r="P13" i="23"/>
  <c r="L20" i="18"/>
  <c r="K94" i="14"/>
  <c r="F50" i="14"/>
  <c r="K14" i="14"/>
  <c r="K52" i="11"/>
  <c r="P28" i="11"/>
  <c r="P16" i="11"/>
  <c r="G75" i="49"/>
  <c r="I27" i="48"/>
  <c r="L187" i="41"/>
  <c r="D161" i="41"/>
  <c r="L134" i="41"/>
  <c r="H95" i="41"/>
  <c r="D69" i="41"/>
  <c r="L42" i="41"/>
  <c r="E14" i="171"/>
  <c r="J139" i="32"/>
  <c r="F98" i="32"/>
  <c r="J45" i="32"/>
  <c r="F44" i="31"/>
  <c r="L14" i="30"/>
  <c r="F13" i="25"/>
  <c r="F26" i="174"/>
  <c r="I23" i="160"/>
  <c r="P29" i="23"/>
  <c r="K17" i="23"/>
  <c r="F17" i="21"/>
  <c r="G20" i="17"/>
  <c r="F69" i="14"/>
  <c r="J54" i="56"/>
  <c r="E17" i="48"/>
  <c r="H182" i="41"/>
  <c r="D144" i="41"/>
  <c r="L116" i="41"/>
  <c r="D90" i="41"/>
  <c r="L63" i="41"/>
  <c r="H37" i="41"/>
  <c r="E15" i="37"/>
  <c r="F118" i="32"/>
  <c r="J70" i="32"/>
  <c r="F20" i="32"/>
  <c r="F19" i="29"/>
  <c r="F28" i="25"/>
  <c r="L16" i="24"/>
  <c r="E30" i="160"/>
  <c r="N15" i="160"/>
  <c r="F23" i="23"/>
  <c r="K22" i="21"/>
  <c r="L16" i="17"/>
  <c r="F58" i="14"/>
  <c r="K25" i="14"/>
  <c r="K73" i="11"/>
  <c r="K45" i="11"/>
  <c r="L21" i="10"/>
  <c r="P20" i="156"/>
  <c r="G55" i="49"/>
  <c r="I25" i="48"/>
  <c r="L186" i="41"/>
  <c r="H160" i="41"/>
  <c r="D134" i="41"/>
  <c r="L94" i="41"/>
  <c r="D68" i="41"/>
  <c r="L41" i="41"/>
  <c r="E28" i="37"/>
  <c r="J134" i="32"/>
  <c r="F93" i="32"/>
  <c r="J39" i="32"/>
  <c r="F25" i="31"/>
  <c r="F17" i="27"/>
  <c r="F28" i="24"/>
  <c r="I32" i="160"/>
  <c r="N17" i="160"/>
  <c r="P24" i="23"/>
  <c r="F28" i="21"/>
  <c r="G19" i="18"/>
  <c r="F93" i="14"/>
  <c r="K54" i="14"/>
  <c r="P21" i="11"/>
  <c r="I15" i="69"/>
  <c r="J14" i="56"/>
  <c r="D191" i="41"/>
  <c r="L164" i="41"/>
  <c r="H138" i="41"/>
  <c r="D111" i="41"/>
  <c r="L72" i="41"/>
  <c r="D46" i="41"/>
  <c r="E25" i="171"/>
  <c r="F16" i="36"/>
  <c r="J99" i="32"/>
  <c r="F47" i="32"/>
  <c r="F48" i="31"/>
  <c r="L16" i="30"/>
  <c r="F29" i="174"/>
  <c r="F34" i="23"/>
  <c r="K15" i="21"/>
  <c r="K30" i="14"/>
  <c r="K50" i="11"/>
  <c r="F41" i="81"/>
  <c r="F34" i="66"/>
  <c r="F50" i="101"/>
  <c r="K27" i="98"/>
  <c r="H46" i="88"/>
  <c r="J61" i="82"/>
  <c r="J19" i="81"/>
  <c r="E15" i="76"/>
  <c r="K80" i="66"/>
  <c r="F94" i="63"/>
  <c r="I33" i="60"/>
  <c r="G71" i="49"/>
  <c r="E21" i="48"/>
  <c r="H163" i="41"/>
  <c r="H114" i="41"/>
  <c r="H66" i="41"/>
  <c r="E21" i="171"/>
  <c r="J131" i="32"/>
  <c r="F45" i="32"/>
  <c r="L21" i="30"/>
  <c r="L20" i="24"/>
  <c r="E29" i="160"/>
  <c r="I28" i="69"/>
  <c r="D193" i="41"/>
  <c r="H140" i="41"/>
  <c r="L86" i="41"/>
  <c r="D15" i="41"/>
  <c r="J116" i="32"/>
  <c r="F18" i="32"/>
  <c r="F14" i="27"/>
  <c r="F35" i="174"/>
  <c r="I26" i="160"/>
  <c r="P30" i="23"/>
  <c r="F16" i="23"/>
  <c r="F16" i="19"/>
  <c r="F95" i="14"/>
  <c r="K50" i="14"/>
  <c r="K34" i="49"/>
  <c r="E23" i="48"/>
  <c r="L185" i="41"/>
  <c r="D159" i="41"/>
  <c r="L119" i="41"/>
  <c r="H93" i="41"/>
  <c r="D67" i="41"/>
  <c r="L40" i="41"/>
  <c r="E24" i="37"/>
  <c r="F133" i="32"/>
  <c r="J90" i="32"/>
  <c r="J24" i="32"/>
  <c r="F14" i="31"/>
  <c r="F31" i="25"/>
  <c r="F18" i="24"/>
  <c r="N30" i="160"/>
  <c r="I16" i="160"/>
  <c r="P23" i="23"/>
  <c r="K26" i="21"/>
  <c r="L17" i="18"/>
  <c r="K91" i="14"/>
  <c r="K29" i="14"/>
  <c r="K89" i="11"/>
  <c r="K49" i="11"/>
  <c r="P26" i="11"/>
  <c r="P14" i="11"/>
  <c r="G17" i="49"/>
  <c r="I22" i="48"/>
  <c r="D185" i="41"/>
  <c r="L158" i="41"/>
  <c r="H119" i="41"/>
  <c r="D93" i="41"/>
  <c r="L66" i="41"/>
  <c r="D40" i="41"/>
  <c r="E23" i="37"/>
  <c r="F136" i="32"/>
  <c r="J94" i="32"/>
  <c r="J41" i="32"/>
  <c r="J27" i="31"/>
  <c r="F19" i="27"/>
  <c r="F31" i="24"/>
  <c r="F14" i="174"/>
  <c r="N20" i="160"/>
  <c r="K27" i="23"/>
  <c r="K15" i="23"/>
  <c r="F14" i="21"/>
  <c r="G17" i="17"/>
  <c r="K58" i="14"/>
  <c r="J24" i="56"/>
  <c r="I13" i="48"/>
  <c r="D168" i="41"/>
  <c r="L141" i="41"/>
  <c r="D114" i="41"/>
  <c r="L87" i="41"/>
  <c r="H61" i="41"/>
  <c r="D19" i="41"/>
  <c r="E14" i="39"/>
  <c r="J114" i="32"/>
  <c r="F67" i="32"/>
  <c r="J15" i="32"/>
  <c r="G21" i="30"/>
  <c r="L19" i="25"/>
  <c r="F13" i="24"/>
  <c r="N27" i="160"/>
  <c r="I13" i="160"/>
  <c r="F21" i="23"/>
  <c r="K14" i="19"/>
  <c r="L13" i="17"/>
  <c r="F55" i="14"/>
  <c r="K22" i="14"/>
  <c r="K70" i="11"/>
  <c r="P34" i="11"/>
  <c r="L18" i="10"/>
  <c r="P18" i="156"/>
  <c r="G14" i="49"/>
  <c r="I21" i="48"/>
  <c r="H184" i="41"/>
  <c r="D158" i="41"/>
  <c r="L118" i="41"/>
  <c r="D92" i="41"/>
  <c r="L65" i="41"/>
  <c r="H39" i="41"/>
  <c r="E21" i="37"/>
  <c r="J129" i="32"/>
  <c r="J73" i="32"/>
  <c r="F23" i="32"/>
  <c r="F18" i="31"/>
  <c r="F34" i="25"/>
  <c r="L19" i="24"/>
  <c r="N29" i="160"/>
  <c r="I15" i="160"/>
  <c r="P22" i="23"/>
  <c r="F25" i="21"/>
  <c r="G16" i="18"/>
  <c r="F90" i="14"/>
  <c r="K51" i="14"/>
  <c r="P31" i="11"/>
  <c r="P19" i="11"/>
  <c r="G14" i="53"/>
  <c r="E29" i="48"/>
  <c r="L188" i="41"/>
  <c r="H162" i="41"/>
  <c r="D136" i="41"/>
  <c r="L96" i="41"/>
  <c r="D70" i="41"/>
  <c r="L43" i="41"/>
  <c r="E18" i="171"/>
  <c r="J137" i="32"/>
  <c r="F96" i="32"/>
  <c r="J43" i="32"/>
  <c r="J31" i="31"/>
  <c r="G13" i="30"/>
  <c r="F34" i="24"/>
  <c r="F17" i="174"/>
  <c r="I24" i="160"/>
  <c r="F31" i="23"/>
  <c r="K18" i="23"/>
  <c r="K16" i="19"/>
  <c r="L15" i="17"/>
  <c r="F60" i="14"/>
  <c r="K27" i="14"/>
  <c r="K87" i="11"/>
  <c r="L16" i="10"/>
  <c r="G34" i="14"/>
  <c r="F34" i="14"/>
  <c r="O16" i="22"/>
  <c r="N16" i="22"/>
  <c r="L16" i="21"/>
  <c r="K16" i="21"/>
  <c r="L62" i="14"/>
  <c r="K62" i="14"/>
  <c r="G58" i="81"/>
  <c r="F58" i="81"/>
  <c r="G27" i="143"/>
  <c r="F27" i="143"/>
  <c r="L32" i="21"/>
  <c r="K32" i="21"/>
  <c r="J21" i="39"/>
  <c r="I21" i="39"/>
  <c r="G27" i="144"/>
  <c r="F27" i="144"/>
  <c r="G21" i="144"/>
  <c r="F21" i="144"/>
  <c r="L23" i="21"/>
  <c r="K23" i="21"/>
  <c r="K24" i="22"/>
  <c r="J24" i="22"/>
  <c r="O13" i="22"/>
  <c r="N13" i="22"/>
  <c r="O22" i="22"/>
  <c r="N22" i="22"/>
  <c r="G57" i="81"/>
  <c r="F57" i="81"/>
  <c r="H154" i="134"/>
  <c r="G154" i="134"/>
  <c r="G22" i="144"/>
  <c r="F22" i="144"/>
  <c r="K21" i="22"/>
  <c r="J21" i="22"/>
  <c r="J14" i="39"/>
  <c r="I14" i="39"/>
  <c r="G18" i="144"/>
  <c r="F18" i="144"/>
  <c r="L66" i="14"/>
  <c r="K66" i="14"/>
  <c r="L67" i="14"/>
  <c r="K67" i="14"/>
  <c r="L65" i="14"/>
  <c r="K65" i="14"/>
  <c r="L61" i="14"/>
  <c r="K61" i="14"/>
  <c r="G43" i="80"/>
  <c r="F43" i="80"/>
  <c r="L27" i="21"/>
  <c r="K27" i="21"/>
  <c r="L13" i="21"/>
  <c r="K13" i="21"/>
  <c r="K23" i="22"/>
  <c r="J23" i="22"/>
  <c r="G62" i="14"/>
  <c r="F62" i="14"/>
  <c r="G34" i="21"/>
  <c r="F34" i="21"/>
  <c r="G45" i="80"/>
  <c r="F45" i="80"/>
  <c r="O21" i="22"/>
  <c r="N21" i="22"/>
  <c r="G35" i="14"/>
  <c r="F35" i="14"/>
  <c r="L28" i="21"/>
  <c r="K28" i="21"/>
  <c r="J13" i="39"/>
  <c r="I13" i="39"/>
  <c r="O14" i="22"/>
  <c r="N14" i="22"/>
  <c r="J20" i="39"/>
  <c r="I20" i="39"/>
  <c r="G59" i="81"/>
  <c r="F59" i="81"/>
  <c r="H156" i="134"/>
  <c r="G156" i="134"/>
  <c r="G30" i="144"/>
  <c r="F30" i="144"/>
  <c r="G22" i="22"/>
  <c r="F22" i="22"/>
  <c r="J16" i="39"/>
  <c r="I16" i="39"/>
  <c r="G25" i="144"/>
  <c r="F25" i="144"/>
  <c r="J23" i="39"/>
  <c r="I23" i="39"/>
  <c r="G31" i="21"/>
  <c r="F31" i="21"/>
  <c r="L19" i="21"/>
  <c r="K19" i="21"/>
  <c r="G16" i="21"/>
  <c r="F16" i="21"/>
  <c r="H155" i="134"/>
  <c r="G155" i="134"/>
  <c r="G20" i="22"/>
  <c r="F20" i="22"/>
  <c r="G35" i="21"/>
  <c r="F35" i="21"/>
  <c r="K25" i="22"/>
  <c r="J25" i="22"/>
  <c r="G70" i="14"/>
  <c r="F70" i="14"/>
  <c r="K13" i="22"/>
  <c r="J13" i="22"/>
  <c r="G56" i="81"/>
  <c r="F56" i="81"/>
  <c r="J15" i="39"/>
  <c r="I15" i="39"/>
  <c r="G61" i="14"/>
  <c r="F61" i="14"/>
  <c r="L31" i="21"/>
  <c r="K31" i="21"/>
  <c r="J17" i="39"/>
  <c r="I17" i="39"/>
  <c r="G17" i="22"/>
  <c r="F17" i="22"/>
  <c r="J22" i="39"/>
  <c r="I22" i="39"/>
  <c r="E31" i="88"/>
  <c r="D31" i="88"/>
  <c r="H158" i="134"/>
  <c r="G158" i="134"/>
  <c r="G13" i="22"/>
  <c r="F13" i="22"/>
  <c r="O23" i="22"/>
  <c r="N23" i="22"/>
  <c r="G36" i="80"/>
  <c r="F36" i="80"/>
  <c r="E12" i="153"/>
  <c r="D12" i="153"/>
  <c r="G24" i="143"/>
  <c r="F24" i="143"/>
  <c r="L21" i="21"/>
  <c r="K21" i="21"/>
  <c r="J19" i="39"/>
  <c r="I19" i="39"/>
  <c r="K53" i="31"/>
  <c r="J53" i="31"/>
  <c r="G19" i="22"/>
  <c r="F19" i="22"/>
  <c r="L49" i="101"/>
  <c r="K49" i="101"/>
  <c r="O15" i="22"/>
  <c r="N15" i="22"/>
  <c r="G41" i="80"/>
  <c r="F41" i="80"/>
  <c r="O18" i="22"/>
  <c r="N18" i="22"/>
  <c r="L50" i="101"/>
  <c r="K50" i="101"/>
  <c r="F17" i="135"/>
  <c r="E17" i="135"/>
  <c r="K17" i="22"/>
  <c r="J17" i="22"/>
  <c r="O24" i="22"/>
  <c r="N24" i="22"/>
  <c r="I31" i="88"/>
  <c r="H31" i="88"/>
  <c r="G25" i="118"/>
  <c r="F25" i="118"/>
  <c r="K84" i="41"/>
  <c r="C60" i="41"/>
  <c r="K36" i="41"/>
  <c r="G36" i="41"/>
  <c r="C36" i="41"/>
  <c r="K133" i="41"/>
  <c r="G133" i="41"/>
  <c r="C133" i="41"/>
  <c r="C12" i="41"/>
  <c r="G157" i="41"/>
  <c r="G108" i="41"/>
  <c r="K60" i="41"/>
  <c r="G60" i="41"/>
  <c r="K181" i="41"/>
  <c r="G181" i="41"/>
  <c r="C181" i="41"/>
  <c r="K157" i="41"/>
  <c r="C157" i="41"/>
  <c r="C84" i="41"/>
  <c r="G84" i="41"/>
  <c r="K108" i="41"/>
  <c r="C108" i="41"/>
  <c r="D9" i="49" l="1"/>
  <c r="D67" i="49"/>
  <c r="D9" i="53"/>
  <c r="D31" i="49"/>
  <c r="D48" i="49"/>
  <c r="D88" i="49"/>
  <c r="C11" i="137" l="1"/>
  <c r="G11" i="137"/>
  <c r="C21" i="135"/>
  <c r="C11" i="135"/>
  <c r="C33" i="135"/>
  <c r="C24" i="136"/>
  <c r="C10" i="136"/>
  <c r="C40" i="136"/>
  <c r="A29" i="71"/>
  <c r="B66" i="63"/>
  <c r="A20" i="74"/>
  <c r="A11" i="66"/>
  <c r="A29" i="60"/>
  <c r="A11" i="71"/>
  <c r="A32" i="74"/>
  <c r="B11" i="63"/>
  <c r="A20" i="63"/>
  <c r="A11" i="75"/>
  <c r="B32" i="66"/>
  <c r="B11" i="75"/>
  <c r="A66" i="63"/>
  <c r="A12" i="74"/>
  <c r="A55" i="66"/>
  <c r="B11" i="66"/>
  <c r="A96" i="66"/>
  <c r="A77" i="66"/>
  <c r="B55" i="66"/>
  <c r="A56" i="63"/>
  <c r="A12" i="60"/>
  <c r="A12" i="70"/>
  <c r="B20" i="63"/>
  <c r="B91" i="63"/>
  <c r="A67" i="66"/>
  <c r="A74" i="63"/>
  <c r="B28" i="75"/>
  <c r="B56" i="63"/>
  <c r="A45" i="63"/>
  <c r="A11" i="63"/>
  <c r="A24" i="70"/>
  <c r="A11" i="69"/>
  <c r="B45" i="63"/>
  <c r="A37" i="63"/>
  <c r="B42" i="71"/>
  <c r="B67" i="66"/>
  <c r="B42" i="66"/>
  <c r="B77" i="66"/>
  <c r="A42" i="66"/>
  <c r="B74" i="63"/>
  <c r="B11" i="69"/>
  <c r="A47" i="60"/>
  <c r="B11" i="71"/>
  <c r="B96" i="66"/>
  <c r="A32" i="66"/>
  <c r="B37" i="63"/>
  <c r="A42" i="71"/>
  <c r="A91" i="63"/>
  <c r="A28" i="75"/>
  <c r="D74" i="72" l="1"/>
  <c r="D64" i="72"/>
  <c r="D42" i="66"/>
  <c r="C29" i="60"/>
  <c r="D37" i="63"/>
  <c r="D32" i="66"/>
  <c r="I32" i="66"/>
  <c r="I37" i="63"/>
  <c r="I45" i="63"/>
  <c r="I42" i="66"/>
  <c r="D45" i="63"/>
  <c r="A7" i="149" l="1"/>
  <c r="A38" i="92"/>
  <c r="A7" i="95"/>
  <c r="A69" i="92"/>
  <c r="A7" i="152"/>
  <c r="A25" i="149"/>
  <c r="A7" i="92"/>
  <c r="A43" i="149"/>
</calcChain>
</file>

<file path=xl/sharedStrings.xml><?xml version="1.0" encoding="utf-8"?>
<sst xmlns="http://schemas.openxmlformats.org/spreadsheetml/2006/main" count="26564" uniqueCount="8337">
  <si>
    <t>RB</t>
  </si>
  <si>
    <t>EKOplus</t>
  </si>
  <si>
    <t>IKOplus</t>
  </si>
  <si>
    <t>BETA 200</t>
  </si>
  <si>
    <t>Uzavírací klapky</t>
  </si>
  <si>
    <t>EKN</t>
  </si>
  <si>
    <t>MONO</t>
  </si>
  <si>
    <t>ZETA</t>
  </si>
  <si>
    <t>EROXplus</t>
  </si>
  <si>
    <t>ERIplus</t>
  </si>
  <si>
    <t>NOVA</t>
  </si>
  <si>
    <t>RIGUS</t>
  </si>
  <si>
    <t>10</t>
  </si>
  <si>
    <t>Navrtávací soupravy</t>
  </si>
  <si>
    <t>HOD</t>
  </si>
  <si>
    <t>Třmen</t>
  </si>
  <si>
    <t>TERRA-K12</t>
  </si>
  <si>
    <t>SKR</t>
  </si>
  <si>
    <t>RETO-STOP</t>
  </si>
  <si>
    <t>RETA</t>
  </si>
  <si>
    <t>LIMU-STOP</t>
  </si>
  <si>
    <t>KRV</t>
  </si>
  <si>
    <t>TOP-STOP</t>
  </si>
  <si>
    <t>ZETKA</t>
  </si>
  <si>
    <t>ZAKA</t>
  </si>
  <si>
    <t>HADE</t>
  </si>
  <si>
    <t>Protipříruba</t>
  </si>
  <si>
    <t>ALKA</t>
  </si>
  <si>
    <t>DUOJET</t>
  </si>
  <si>
    <t>BEV</t>
  </si>
  <si>
    <t>HILL</t>
  </si>
  <si>
    <t>FLOWJET</t>
  </si>
  <si>
    <t>DURA</t>
  </si>
  <si>
    <t>RIKO</t>
  </si>
  <si>
    <t>FORTE</t>
  </si>
  <si>
    <t>SAK</t>
  </si>
  <si>
    <t>16</t>
  </si>
  <si>
    <t>MONTY</t>
  </si>
  <si>
    <t>VAF</t>
  </si>
  <si>
    <t>REMO</t>
  </si>
  <si>
    <t>LADA</t>
  </si>
  <si>
    <t>PATENTplus</t>
  </si>
  <si>
    <t>VA-TELESKOP</t>
  </si>
  <si>
    <t>SERIOplus</t>
  </si>
  <si>
    <t>25</t>
  </si>
  <si>
    <t>Hydranty</t>
  </si>
  <si>
    <t>Kulové kohouty</t>
  </si>
  <si>
    <t>Regulační armatury</t>
  </si>
  <si>
    <t>Nožová a vřetenová šoupátka</t>
  </si>
  <si>
    <t>1</t>
  </si>
  <si>
    <t>2</t>
  </si>
  <si>
    <t>3</t>
  </si>
  <si>
    <t>6</t>
  </si>
  <si>
    <t>4</t>
  </si>
  <si>
    <t>Měkko- a kovotěsnicí šoupátka</t>
  </si>
  <si>
    <t>HYDRUS G</t>
  </si>
  <si>
    <t>Domovní přípojky</t>
  </si>
  <si>
    <t>#</t>
  </si>
  <si>
    <t>Zpětné a koncové klapky</t>
  </si>
  <si>
    <t>Od- a zavzdušňovací ventily</t>
  </si>
  <si>
    <t>Plynárenské armatury</t>
  </si>
  <si>
    <t>Dle skupiny</t>
  </si>
  <si>
    <t>Rabat</t>
  </si>
  <si>
    <t>Kód</t>
  </si>
  <si>
    <t>KSSplus</t>
  </si>
  <si>
    <t>TWINJET</t>
  </si>
  <si>
    <t>Výrobek</t>
  </si>
  <si>
    <t>-</t>
  </si>
  <si>
    <t>BAIO BETA 200</t>
  </si>
  <si>
    <t>BAIO BEV</t>
  </si>
  <si>
    <t>PICO-H</t>
  </si>
  <si>
    <t>PICO-M</t>
  </si>
  <si>
    <t>Příslušenství hydrantů</t>
  </si>
  <si>
    <t>Ostatní armatury</t>
  </si>
  <si>
    <t>Skupina výrobků</t>
  </si>
  <si>
    <t>Kurz</t>
  </si>
  <si>
    <t>EUR</t>
  </si>
  <si>
    <t>Název</t>
  </si>
  <si>
    <t>Dodatkový rabat</t>
  </si>
  <si>
    <t>S posuvnou přírubou</t>
  </si>
  <si>
    <t>DN</t>
  </si>
  <si>
    <t>PN</t>
  </si>
  <si>
    <t>L</t>
  </si>
  <si>
    <t>Výchozí</t>
  </si>
  <si>
    <t>80 1)</t>
  </si>
  <si>
    <t>10, 16</t>
  </si>
  <si>
    <t>+2/-14</t>
  </si>
  <si>
    <t>V-7921049</t>
  </si>
  <si>
    <t>M-0002203.161331</t>
  </si>
  <si>
    <t>100 1)</t>
  </si>
  <si>
    <t>V-7921059</t>
  </si>
  <si>
    <t>M-0002204.161331</t>
  </si>
  <si>
    <t>125 1)</t>
  </si>
  <si>
    <t>V-7921069</t>
  </si>
  <si>
    <t>+0/-14</t>
  </si>
  <si>
    <t>V-7921073</t>
  </si>
  <si>
    <t>+5/-17</t>
  </si>
  <si>
    <t>V-7922083</t>
  </si>
  <si>
    <t>M-0002205.161331</t>
  </si>
  <si>
    <t>V-7921083</t>
  </si>
  <si>
    <t>+8/-17</t>
  </si>
  <si>
    <t>V-7922093</t>
  </si>
  <si>
    <t>M-0002207.161331</t>
  </si>
  <si>
    <t>V-7921093</t>
  </si>
  <si>
    <t>+9/-17</t>
  </si>
  <si>
    <t>V-7922103</t>
  </si>
  <si>
    <t>V-7921103</t>
  </si>
  <si>
    <t>V-7818014</t>
  </si>
  <si>
    <t>V-7816014</t>
  </si>
  <si>
    <t>M-0002202.161331</t>
  </si>
  <si>
    <t>V-7818024</t>
  </si>
  <si>
    <t>V-7816024</t>
  </si>
  <si>
    <t>V-7818034</t>
  </si>
  <si>
    <t>V-7816034</t>
  </si>
  <si>
    <t>V-7818048</t>
  </si>
  <si>
    <t>V-7816048</t>
  </si>
  <si>
    <t>V-7818044</t>
  </si>
  <si>
    <t>V-7816044</t>
  </si>
  <si>
    <t>V-7818054</t>
  </si>
  <si>
    <t>V-7816054</t>
  </si>
  <si>
    <t>V-7818064</t>
  </si>
  <si>
    <t>V-7816064</t>
  </si>
  <si>
    <t>V-7818074</t>
  </si>
  <si>
    <t>V-7816074</t>
  </si>
  <si>
    <t>V-7810084</t>
  </si>
  <si>
    <t>V-7814084</t>
  </si>
  <si>
    <t>V-7818084</t>
  </si>
  <si>
    <t>V-7816084</t>
  </si>
  <si>
    <t>V-7810094</t>
  </si>
  <si>
    <t>V-7814094</t>
  </si>
  <si>
    <t>V-7818094</t>
  </si>
  <si>
    <t>V-7816094</t>
  </si>
  <si>
    <t>V-7810104</t>
  </si>
  <si>
    <t>V-7814104</t>
  </si>
  <si>
    <t>V-7818104</t>
  </si>
  <si>
    <t>V-7816104</t>
  </si>
  <si>
    <t>V-7210113</t>
  </si>
  <si>
    <t>V-7214113</t>
  </si>
  <si>
    <t>V-7218113</t>
  </si>
  <si>
    <t>V-7216113</t>
  </si>
  <si>
    <t>V-7210123</t>
  </si>
  <si>
    <t>V-7214123</t>
  </si>
  <si>
    <t>M-0002216.161331</t>
  </si>
  <si>
    <t>V-7218123</t>
  </si>
  <si>
    <t>V-7216123</t>
  </si>
  <si>
    <t>V-7210143</t>
  </si>
  <si>
    <t>V-7214143</t>
  </si>
  <si>
    <t>V-7218143</t>
  </si>
  <si>
    <t>V-7216143</t>
  </si>
  <si>
    <t>600 2)</t>
  </si>
  <si>
    <t>V-7214203.0REDUK0</t>
  </si>
  <si>
    <t>V-7216203.0REDUK0</t>
  </si>
  <si>
    <t>V-7210203</t>
  </si>
  <si>
    <t>M-0002219.161331</t>
  </si>
  <si>
    <t>V-7218203</t>
  </si>
  <si>
    <t>V-7806014</t>
  </si>
  <si>
    <t>V-7806024</t>
  </si>
  <si>
    <t>V-7806034</t>
  </si>
  <si>
    <t>V-7806044</t>
  </si>
  <si>
    <t>V-7806054</t>
  </si>
  <si>
    <t>V-7806064</t>
  </si>
  <si>
    <t>V-7806074</t>
  </si>
  <si>
    <t>200 1)</t>
  </si>
  <si>
    <t>V-7806084</t>
  </si>
  <si>
    <t>V-7817014</t>
  </si>
  <si>
    <t>V-7817024</t>
  </si>
  <si>
    <t>V-7817034</t>
  </si>
  <si>
    <t>V-7817044</t>
  </si>
  <si>
    <t>V-7817054</t>
  </si>
  <si>
    <t>V-7817064</t>
  </si>
  <si>
    <t>V-7817074</t>
  </si>
  <si>
    <t>V-7817084</t>
  </si>
  <si>
    <t>V-7817094</t>
  </si>
  <si>
    <t>V-7817104</t>
  </si>
  <si>
    <t>V-7817124</t>
  </si>
  <si>
    <t>V-7817144</t>
  </si>
  <si>
    <t>V-7448013</t>
  </si>
  <si>
    <t>V-7446013</t>
  </si>
  <si>
    <t>V-7448023</t>
  </si>
  <si>
    <t>V-7446023</t>
  </si>
  <si>
    <t>V-7448033</t>
  </si>
  <si>
    <t>V-7446033</t>
  </si>
  <si>
    <t>V-7448043</t>
  </si>
  <si>
    <t>V-7446043</t>
  </si>
  <si>
    <t>V-7448053</t>
  </si>
  <si>
    <t>V-7446053</t>
  </si>
  <si>
    <t>V-7448063</t>
  </si>
  <si>
    <t>V-7446063</t>
  </si>
  <si>
    <t>V-7448073</t>
  </si>
  <si>
    <t>V-7446073</t>
  </si>
  <si>
    <t>V-7440083</t>
  </si>
  <si>
    <t>V-7444083</t>
  </si>
  <si>
    <t>V-7448083</t>
  </si>
  <si>
    <t>V-7446083</t>
  </si>
  <si>
    <t>V-7440093</t>
  </si>
  <si>
    <t>V-7444093</t>
  </si>
  <si>
    <t>V-7448093</t>
  </si>
  <si>
    <t>V-7446093</t>
  </si>
  <si>
    <t>V-7440103</t>
  </si>
  <si>
    <t>V-7444103</t>
  </si>
  <si>
    <t>V-7448103</t>
  </si>
  <si>
    <t>V-7446103</t>
  </si>
  <si>
    <t>V-7420113.000000E</t>
  </si>
  <si>
    <t>V-7422113.000000E</t>
  </si>
  <si>
    <t>V-7421113.000000E</t>
  </si>
  <si>
    <t>V-7423113.000000E</t>
  </si>
  <si>
    <t>V-7420123.0AUMA0E</t>
  </si>
  <si>
    <t>V-7422123.0AUMA0E</t>
  </si>
  <si>
    <t>V-7421123.0AUMA0E</t>
  </si>
  <si>
    <t>V-7423123.0AUMA0E</t>
  </si>
  <si>
    <t>V-7420143.0AUMA0E</t>
  </si>
  <si>
    <t>V-7422143.0AUMA00</t>
  </si>
  <si>
    <t>V-7421143.0AUMA00</t>
  </si>
  <si>
    <t>V-7423143.0AUMA00</t>
  </si>
  <si>
    <t>600 1)</t>
  </si>
  <si>
    <t>V-7422208.0AUMA00</t>
  </si>
  <si>
    <t>V7420203.0AUMA00</t>
  </si>
  <si>
    <t>na poptávku</t>
  </si>
  <si>
    <t>V7421203.0AUMA00</t>
  </si>
  <si>
    <t>V-7458013.2AUMA00</t>
  </si>
  <si>
    <t>V-7456013.2AUMA00</t>
  </si>
  <si>
    <t>V-7458023.2AUMA00</t>
  </si>
  <si>
    <t>V-7456023.2AUMA00</t>
  </si>
  <si>
    <t>V-7458033.2AUMA00</t>
  </si>
  <si>
    <t>V-7456033.2AUMA00</t>
  </si>
  <si>
    <t>V-7458043.2AUMA00</t>
  </si>
  <si>
    <t>V-7456043.2AUMA00</t>
  </si>
  <si>
    <t>V-7458053.2AUMA00</t>
  </si>
  <si>
    <t>V-7456053.2AUMA00</t>
  </si>
  <si>
    <t>V-7458063.2AUMA00</t>
  </si>
  <si>
    <t>V-7456063.2AUMA00</t>
  </si>
  <si>
    <t>V-7458073.2AUMA00</t>
  </si>
  <si>
    <t>V-7456073.2AUMA00</t>
  </si>
  <si>
    <t>V-7450083.2AUMA00</t>
  </si>
  <si>
    <t>V-7454083.2AUMA00</t>
  </si>
  <si>
    <t>V-7458083.2AUMA00</t>
  </si>
  <si>
    <t>V-7456083.2AUMA00</t>
  </si>
  <si>
    <t>V-7450093.2AUMA00</t>
  </si>
  <si>
    <t>V-7454093.2AUMA00</t>
  </si>
  <si>
    <t>V-7458093.2AUMA00</t>
  </si>
  <si>
    <t>V-7456093.2AUMA00</t>
  </si>
  <si>
    <t>V-7450103.2AUMA00</t>
  </si>
  <si>
    <t>V-7454103.2AUMA00</t>
  </si>
  <si>
    <t>V-7458103.2AUMA00</t>
  </si>
  <si>
    <t>V-7456103.2AUMA00</t>
  </si>
  <si>
    <t>Objednací čísla se vztahují na EP AUMA. Požadavek na jiný EP je nutné uvést do objednávky.</t>
  </si>
  <si>
    <t>Cena se odvíjí od požadovaných parametrů pohonu.</t>
  </si>
  <si>
    <t xml:space="preserve">V-7510014 </t>
  </si>
  <si>
    <t xml:space="preserve">V-7516014 </t>
  </si>
  <si>
    <t xml:space="preserve">V-7510024 </t>
  </si>
  <si>
    <t xml:space="preserve">V-7516024 </t>
  </si>
  <si>
    <t xml:space="preserve">V-7510034 </t>
  </si>
  <si>
    <t xml:space="preserve">V-7516034 </t>
  </si>
  <si>
    <t xml:space="preserve">V-7510044 </t>
  </si>
  <si>
    <t xml:space="preserve">V-7516044 </t>
  </si>
  <si>
    <t xml:space="preserve">V-7510054 </t>
  </si>
  <si>
    <t xml:space="preserve">V-7516054 </t>
  </si>
  <si>
    <t xml:space="preserve">V-7510064 </t>
  </si>
  <si>
    <t xml:space="preserve">V-7516064 </t>
  </si>
  <si>
    <t xml:space="preserve">V-7510074 </t>
  </si>
  <si>
    <t xml:space="preserve">V-7516074 </t>
  </si>
  <si>
    <t xml:space="preserve">V-7510084 </t>
  </si>
  <si>
    <t xml:space="preserve">V-7516084 </t>
  </si>
  <si>
    <t xml:space="preserve">V-7510094 </t>
  </si>
  <si>
    <t xml:space="preserve">V-7516094 </t>
  </si>
  <si>
    <t xml:space="preserve">V-7510104 </t>
  </si>
  <si>
    <t xml:space="preserve">V-7516104 </t>
  </si>
  <si>
    <t>Objednací čísla se vztahují na PP FESTO v základním provedení bez příslušenství. Požadavek na jiný PP je nutné uvést do objednávky.</t>
  </si>
  <si>
    <t>V-7857024</t>
  </si>
  <si>
    <t>V-7857044</t>
  </si>
  <si>
    <t>V-7857054</t>
  </si>
  <si>
    <t>V-7857254</t>
  </si>
  <si>
    <t>V-7857064</t>
  </si>
  <si>
    <t>V-7857074</t>
  </si>
  <si>
    <t>V-7857274</t>
  </si>
  <si>
    <t>V-7857284</t>
  </si>
  <si>
    <t>V-7857084</t>
  </si>
  <si>
    <t>V-7857294</t>
  </si>
  <si>
    <t>V-7857094</t>
  </si>
  <si>
    <t>V-7857104</t>
  </si>
  <si>
    <t>V-7819044</t>
  </si>
  <si>
    <t>V-7819054</t>
  </si>
  <si>
    <t>V-7819064</t>
  </si>
  <si>
    <t>V-7819074</t>
  </si>
  <si>
    <t>V-7819084</t>
  </si>
  <si>
    <t>V-7824044</t>
  </si>
  <si>
    <t>V-7824054</t>
  </si>
  <si>
    <t>V-7824074</t>
  </si>
  <si>
    <t>V-7824084</t>
  </si>
  <si>
    <t>S nastavitelnými přírubami</t>
  </si>
  <si>
    <t>234 ... 350</t>
  </si>
  <si>
    <t>V-7824044.0P00000</t>
  </si>
  <si>
    <t>221 ... 375</t>
  </si>
  <si>
    <t>V-7824054.0P00000</t>
  </si>
  <si>
    <t>278 ... 422</t>
  </si>
  <si>
    <t>V-7824074.0P00000</t>
  </si>
  <si>
    <t>312 ... 499</t>
  </si>
  <si>
    <t>V-7824084.0P00000</t>
  </si>
  <si>
    <t>V-7878014</t>
  </si>
  <si>
    <t>V-7876014</t>
  </si>
  <si>
    <t>V-7878024</t>
  </si>
  <si>
    <t>V-7876024</t>
  </si>
  <si>
    <t>V-7878034</t>
  </si>
  <si>
    <t>V-7876034</t>
  </si>
  <si>
    <t>V-7878048</t>
  </si>
  <si>
    <t>V-7876048</t>
  </si>
  <si>
    <t>V-7878044</t>
  </si>
  <si>
    <t>V-7876044</t>
  </si>
  <si>
    <t>V-7878054</t>
  </si>
  <si>
    <t>V-7876054</t>
  </si>
  <si>
    <t>V-7878064</t>
  </si>
  <si>
    <t>V-7876064</t>
  </si>
  <si>
    <t>V-7878074</t>
  </si>
  <si>
    <t>V-7876074</t>
  </si>
  <si>
    <t>V-7870084</t>
  </si>
  <si>
    <t>V-7875084</t>
  </si>
  <si>
    <t>V-7878084</t>
  </si>
  <si>
    <t>V-7876084</t>
  </si>
  <si>
    <t>V-7870094</t>
  </si>
  <si>
    <t>V-7875094</t>
  </si>
  <si>
    <t>V-7878094</t>
  </si>
  <si>
    <t>V-7876094</t>
  </si>
  <si>
    <t>V-7870104</t>
  </si>
  <si>
    <t>V-7875104</t>
  </si>
  <si>
    <t>V-7878104</t>
  </si>
  <si>
    <t>V-7876104</t>
  </si>
  <si>
    <t>V-7870114</t>
  </si>
  <si>
    <t>V-7875114</t>
  </si>
  <si>
    <t>V-7878114</t>
  </si>
  <si>
    <t>V-7876114</t>
  </si>
  <si>
    <t>V-7870124</t>
  </si>
  <si>
    <t>V-7875124</t>
  </si>
  <si>
    <t>V-7878124</t>
  </si>
  <si>
    <t>V-7876124</t>
  </si>
  <si>
    <t>V-7870144</t>
  </si>
  <si>
    <t>V-7875144</t>
  </si>
  <si>
    <t>V-7878144</t>
  </si>
  <si>
    <t>V-7876144</t>
  </si>
  <si>
    <t>V-7875204.0REDUK0</t>
  </si>
  <si>
    <t>V-7870204</t>
  </si>
  <si>
    <t>V-7878204</t>
  </si>
  <si>
    <t>V-7818014.VDS0000</t>
  </si>
  <si>
    <t>V-7818014.VDSME11</t>
  </si>
  <si>
    <t>V-7818014.VDSIN11</t>
  </si>
  <si>
    <t>V-7818024.VDS0000</t>
  </si>
  <si>
    <t>V-7818024.VDSME11</t>
  </si>
  <si>
    <t>V-7818024.VDSIN11</t>
  </si>
  <si>
    <t>V-7818034.VDS0000</t>
  </si>
  <si>
    <t>V-7818034.VDSME11</t>
  </si>
  <si>
    <t>V-7818034.VDSIN11</t>
  </si>
  <si>
    <t>V-7818044.VDS0000</t>
  </si>
  <si>
    <t>V-7818044.VDSME11</t>
  </si>
  <si>
    <t>V-7818044.VDSIN11</t>
  </si>
  <si>
    <t>V-7818054.VDS0000</t>
  </si>
  <si>
    <t>V-7818054.VDSME11</t>
  </si>
  <si>
    <t>V-7818054.VDSIN11</t>
  </si>
  <si>
    <t>V-7818064.VDS0000</t>
  </si>
  <si>
    <t>V-7818064.VDSME11</t>
  </si>
  <si>
    <t>V-7818064.VDSIN11</t>
  </si>
  <si>
    <t>V-7818074.VDS0000</t>
  </si>
  <si>
    <t>V-7818074.VDSME11</t>
  </si>
  <si>
    <t>V-7818074.VDSIN11</t>
  </si>
  <si>
    <t>V-7810084.VDS0000</t>
  </si>
  <si>
    <t>V-7810084.VDSME11</t>
  </si>
  <si>
    <t>V-7810084.VDSIN11</t>
  </si>
  <si>
    <t>V-7818084.VDS0000</t>
  </si>
  <si>
    <t>V-7818084.VDSME11</t>
  </si>
  <si>
    <t>V-7818084.VDSIN11</t>
  </si>
  <si>
    <t>V-7810094.VDS0000</t>
  </si>
  <si>
    <t>V-7810094.VDSME11</t>
  </si>
  <si>
    <t>V-7810094.VDSIN11</t>
  </si>
  <si>
    <t>V-7818094.VDS0000</t>
  </si>
  <si>
    <t>V-7818094.VDSME11</t>
  </si>
  <si>
    <t>V-7818094.VDSIN11</t>
  </si>
  <si>
    <t>V-7810104.VDS0000</t>
  </si>
  <si>
    <t>V-7810104.VDSME11</t>
  </si>
  <si>
    <t>V-7810104.VDSIN11</t>
  </si>
  <si>
    <t>V-7818104.VDS0000</t>
  </si>
  <si>
    <t>V-7818104.VDSME11</t>
  </si>
  <si>
    <t>V-7818104.VDSIN11</t>
  </si>
  <si>
    <t>V-7818015.17CRBR0</t>
  </si>
  <si>
    <t>V-7816015.17CRBR0</t>
  </si>
  <si>
    <t>V-7818025.17CRBR0</t>
  </si>
  <si>
    <t>V-7816025.17CRBR0</t>
  </si>
  <si>
    <t>V-7818035.17CRBR0</t>
  </si>
  <si>
    <t>V-7816035.17CRBR0</t>
  </si>
  <si>
    <t>V-7818045.17CRBR0</t>
  </si>
  <si>
    <t>V-7816045.17CRBR0</t>
  </si>
  <si>
    <t>V-7818055.17CRBR0</t>
  </si>
  <si>
    <t>V-7816055.17CRBR0</t>
  </si>
  <si>
    <t>V-7818065.17CRBR0</t>
  </si>
  <si>
    <t>V-7816065.17CRBR0</t>
  </si>
  <si>
    <t>V-7818075.17CRBR0</t>
  </si>
  <si>
    <t>V-7816075.17CRBR0</t>
  </si>
  <si>
    <t>V-7810085.17CRBR0</t>
  </si>
  <si>
    <t>V-7814085.17CRBR0</t>
  </si>
  <si>
    <t>V-7818085.17CRBR0</t>
  </si>
  <si>
    <t>V-7816085.17CRBR0</t>
  </si>
  <si>
    <t>V-7810095.17CRBR0</t>
  </si>
  <si>
    <t>V-7814095.17CRBR0</t>
  </si>
  <si>
    <t>V-7818095.17CRBR0</t>
  </si>
  <si>
    <t>V-7816095.17CRBR0</t>
  </si>
  <si>
    <t>V-7810105.17CRBR0</t>
  </si>
  <si>
    <t>V-7814105.17CRBR0</t>
  </si>
  <si>
    <t>V-7818105.17CRBR0</t>
  </si>
  <si>
    <t>V-7816105.17CRBR0</t>
  </si>
  <si>
    <t>V-7210125.17CRBR0</t>
  </si>
  <si>
    <t>V-7810205.17CRBR0</t>
  </si>
  <si>
    <t>V-7818205.17CRBR0</t>
  </si>
  <si>
    <t>V-7146010</t>
  </si>
  <si>
    <t>V-7246010</t>
  </si>
  <si>
    <t>V-7146020</t>
  </si>
  <si>
    <t>V-7246020</t>
  </si>
  <si>
    <t>V-7146030</t>
  </si>
  <si>
    <t>V-7246030</t>
  </si>
  <si>
    <t>V-7146040</t>
  </si>
  <si>
    <t>V-7246040</t>
  </si>
  <si>
    <t>V-7146050</t>
  </si>
  <si>
    <t>V-7246050</t>
  </si>
  <si>
    <t>V-7146060</t>
  </si>
  <si>
    <t>V-7246060</t>
  </si>
  <si>
    <t>V-7146070</t>
  </si>
  <si>
    <t>V-7246070</t>
  </si>
  <si>
    <t>V-7146080</t>
  </si>
  <si>
    <t>V-7246080</t>
  </si>
  <si>
    <t>V-7146090</t>
  </si>
  <si>
    <t>V-7246090</t>
  </si>
  <si>
    <t>V-7146100</t>
  </si>
  <si>
    <t>V-7246100</t>
  </si>
  <si>
    <t>V-7346010</t>
  </si>
  <si>
    <t>V-7346020</t>
  </si>
  <si>
    <t>V-7346030</t>
  </si>
  <si>
    <t>V-7346040</t>
  </si>
  <si>
    <t>V-7346050</t>
  </si>
  <si>
    <t>V-7346060</t>
  </si>
  <si>
    <t>V-7346070</t>
  </si>
  <si>
    <t>16 1)</t>
  </si>
  <si>
    <t>V-7346080</t>
  </si>
  <si>
    <t>V-7346090</t>
  </si>
  <si>
    <t>V-7346100</t>
  </si>
  <si>
    <t>V-7176010</t>
  </si>
  <si>
    <t>V-7276010</t>
  </si>
  <si>
    <t>V-7176020</t>
  </si>
  <si>
    <t>V-7276020</t>
  </si>
  <si>
    <t>V-7176030</t>
  </si>
  <si>
    <t>V-7276030</t>
  </si>
  <si>
    <t>V-7176040</t>
  </si>
  <si>
    <t>V-7276040</t>
  </si>
  <si>
    <t>V-7176050</t>
  </si>
  <si>
    <t>V-7276050</t>
  </si>
  <si>
    <t>V-7176060</t>
  </si>
  <si>
    <t>V-7276060</t>
  </si>
  <si>
    <t>V-7176070</t>
  </si>
  <si>
    <t>V-7276070</t>
  </si>
  <si>
    <t>V-7176080</t>
  </si>
  <si>
    <t>V-7276080</t>
  </si>
  <si>
    <t>V-7176090</t>
  </si>
  <si>
    <t>V-7276090</t>
  </si>
  <si>
    <t>V-7176100</t>
  </si>
  <si>
    <t>V-7276100</t>
  </si>
  <si>
    <t>V-7376010</t>
  </si>
  <si>
    <t>V-7376020</t>
  </si>
  <si>
    <t>V-7376030</t>
  </si>
  <si>
    <t>V-7376040</t>
  </si>
  <si>
    <t>V-7376050</t>
  </si>
  <si>
    <t>V-7376060</t>
  </si>
  <si>
    <t>V-7376070</t>
  </si>
  <si>
    <t>V-7376080</t>
  </si>
  <si>
    <t>V-7376090</t>
  </si>
  <si>
    <t>V-7376100</t>
  </si>
  <si>
    <t>V-7710024</t>
  </si>
  <si>
    <t>V-7710034</t>
  </si>
  <si>
    <t>V-7710044</t>
  </si>
  <si>
    <t>V-7710054</t>
  </si>
  <si>
    <t>V-7710064</t>
  </si>
  <si>
    <t>V-7710074</t>
  </si>
  <si>
    <t>V-7710084</t>
  </si>
  <si>
    <t>[m]</t>
  </si>
  <si>
    <t>1,04 ... 1,41</t>
  </si>
  <si>
    <t>V-7713022</t>
  </si>
  <si>
    <t>1,33 ... 1,98</t>
  </si>
  <si>
    <t>V-7713023</t>
  </si>
  <si>
    <t>1,06 ... 1,43</t>
  </si>
  <si>
    <t>V-7713032</t>
  </si>
  <si>
    <t>1,35 ... 2,00</t>
  </si>
  <si>
    <t>V-7713033</t>
  </si>
  <si>
    <t>1,08 ... 1,45</t>
  </si>
  <si>
    <t>V-7713042</t>
  </si>
  <si>
    <t>1,37 ... 2,02</t>
  </si>
  <si>
    <t>V-7713043</t>
  </si>
  <si>
    <t>1,13 ... 1,50</t>
  </si>
  <si>
    <t>V-7713052</t>
  </si>
  <si>
    <t>1,41 ... 2,06</t>
  </si>
  <si>
    <t>V-7713053</t>
  </si>
  <si>
    <t>1,18 ... 1,55</t>
  </si>
  <si>
    <t>V-7713062</t>
  </si>
  <si>
    <t>1,46 ... 2,12</t>
  </si>
  <si>
    <t>V-7713063</t>
  </si>
  <si>
    <t>1,23 ... 1,60</t>
  </si>
  <si>
    <t>V-7713072</t>
  </si>
  <si>
    <t>1,51 ... 2,17</t>
  </si>
  <si>
    <t>V-7713073</t>
  </si>
  <si>
    <t>1,33 ... 1,70</t>
  </si>
  <si>
    <t>V-7713082</t>
  </si>
  <si>
    <t>1,61 ... 2,26</t>
  </si>
  <si>
    <t>V-7713083</t>
  </si>
  <si>
    <t>1,45 ... 1,82</t>
  </si>
  <si>
    <t>V-7713092</t>
  </si>
  <si>
    <t>1,73 ... 2,40</t>
  </si>
  <si>
    <t>V-7713093</t>
  </si>
  <si>
    <t>1,57 ... 1,93</t>
  </si>
  <si>
    <t>V-7713102</t>
  </si>
  <si>
    <t>1,85 ... 2,50</t>
  </si>
  <si>
    <t>V-7713103</t>
  </si>
  <si>
    <t>V-7720220</t>
  </si>
  <si>
    <t>V-7720230</t>
  </si>
  <si>
    <t>V-7720240</t>
  </si>
  <si>
    <t>V-7720250</t>
  </si>
  <si>
    <t>V-7720260</t>
  </si>
  <si>
    <t>V-7720270</t>
  </si>
  <si>
    <t>V-7720080</t>
  </si>
  <si>
    <t>V-7720090</t>
  </si>
  <si>
    <t>V-7720100</t>
  </si>
  <si>
    <t>V-7720110</t>
  </si>
  <si>
    <t>V-7720120</t>
  </si>
  <si>
    <t>V-7720140</t>
  </si>
  <si>
    <t>V-7720150</t>
  </si>
  <si>
    <t>V-7721165</t>
  </si>
  <si>
    <t>V-7721175</t>
  </si>
  <si>
    <t>V-7721185</t>
  </si>
  <si>
    <t>V-7721195</t>
  </si>
  <si>
    <t>V-7721205</t>
  </si>
  <si>
    <t>V-7721215</t>
  </si>
  <si>
    <t>V-7720280</t>
  </si>
  <si>
    <t>V-7720290</t>
  </si>
  <si>
    <t>V-7720300</t>
  </si>
  <si>
    <t>V-7720310</t>
  </si>
  <si>
    <t>V-7720320</t>
  </si>
  <si>
    <t>V-7720340</t>
  </si>
  <si>
    <t>V-7720350</t>
  </si>
  <si>
    <t>V-7721365</t>
  </si>
  <si>
    <t>V-7721375</t>
  </si>
  <si>
    <t>V-7721385</t>
  </si>
  <si>
    <t>V-7721395</t>
  </si>
  <si>
    <t>W-0003330.0003150</t>
  </si>
  <si>
    <t>W-0003330.0042150</t>
  </si>
  <si>
    <t>V-7721220</t>
  </si>
  <si>
    <t>V-7721230</t>
  </si>
  <si>
    <t>V-7721240</t>
  </si>
  <si>
    <t>V-7721250</t>
  </si>
  <si>
    <t>V-7721260</t>
  </si>
  <si>
    <t>V-7721270</t>
  </si>
  <si>
    <t>V-7721080</t>
  </si>
  <si>
    <t>V-7721090</t>
  </si>
  <si>
    <t>V-7721100</t>
  </si>
  <si>
    <t>V-7721110</t>
  </si>
  <si>
    <t>V-7721120</t>
  </si>
  <si>
    <t>V-7721140</t>
  </si>
  <si>
    <t>V-7721150</t>
  </si>
  <si>
    <t>V-7721280</t>
  </si>
  <si>
    <t>V-7721290</t>
  </si>
  <si>
    <t>V-7721300</t>
  </si>
  <si>
    <t>V-7721310</t>
  </si>
  <si>
    <t>V-7721320</t>
  </si>
  <si>
    <t>V-7721340</t>
  </si>
  <si>
    <t>V-7721350</t>
  </si>
  <si>
    <t>V-7722220</t>
  </si>
  <si>
    <t>V-7722230</t>
  </si>
  <si>
    <t>V-7722240</t>
  </si>
  <si>
    <t>V-7722250</t>
  </si>
  <si>
    <t>V-7722260</t>
  </si>
  <si>
    <t>V-7722270</t>
  </si>
  <si>
    <t>V-7722080</t>
  </si>
  <si>
    <t>V-7722090</t>
  </si>
  <si>
    <t>V-7722100</t>
  </si>
  <si>
    <t>V-7722110</t>
  </si>
  <si>
    <t>V-7722120</t>
  </si>
  <si>
    <t>V-7722140</t>
  </si>
  <si>
    <t>V-7722150</t>
  </si>
  <si>
    <t>V-7722280</t>
  </si>
  <si>
    <t>V-7722290</t>
  </si>
  <si>
    <t>V-7722300</t>
  </si>
  <si>
    <t>V-7722310</t>
  </si>
  <si>
    <t>V-7722320</t>
  </si>
  <si>
    <t>V-7722340</t>
  </si>
  <si>
    <t>V-7722350</t>
  </si>
  <si>
    <t>V-7722221</t>
  </si>
  <si>
    <t>V-7722222</t>
  </si>
  <si>
    <t>V-7722223</t>
  </si>
  <si>
    <t>V-7722231</t>
  </si>
  <si>
    <t>V-7722232</t>
  </si>
  <si>
    <t>V-7722233</t>
  </si>
  <si>
    <t>V-7722241</t>
  </si>
  <si>
    <t>V-7722242</t>
  </si>
  <si>
    <t>V-7722243</t>
  </si>
  <si>
    <t>V-7722251</t>
  </si>
  <si>
    <t>V-7722252</t>
  </si>
  <si>
    <t>V-7722253</t>
  </si>
  <si>
    <t>V-7722261</t>
  </si>
  <si>
    <t>V-7722262</t>
  </si>
  <si>
    <t>V-7722263</t>
  </si>
  <si>
    <t>V-7722271</t>
  </si>
  <si>
    <t>V-7722272</t>
  </si>
  <si>
    <t>V-7722273</t>
  </si>
  <si>
    <t>V-7722081</t>
  </si>
  <si>
    <t>V-7722082</t>
  </si>
  <si>
    <t>V-7722083</t>
  </si>
  <si>
    <t>V-7722091</t>
  </si>
  <si>
    <t>V-7722092</t>
  </si>
  <si>
    <t>V-7722093</t>
  </si>
  <si>
    <t>V-7722101</t>
  </si>
  <si>
    <t>V-7722102</t>
  </si>
  <si>
    <t>V-7722103</t>
  </si>
  <si>
    <t>V-7722111</t>
  </si>
  <si>
    <t>V-7722112</t>
  </si>
  <si>
    <t>V-7722113</t>
  </si>
  <si>
    <t>V-7722121</t>
  </si>
  <si>
    <t>V-7722122</t>
  </si>
  <si>
    <t>V-7722123</t>
  </si>
  <si>
    <t>V-7722141</t>
  </si>
  <si>
    <t>V-7722142</t>
  </si>
  <si>
    <t>V-7722143</t>
  </si>
  <si>
    <t>V-7722151</t>
  </si>
  <si>
    <t>V-7722152</t>
  </si>
  <si>
    <t>V-7722153</t>
  </si>
  <si>
    <t>V-7722281</t>
  </si>
  <si>
    <t>V-7722282</t>
  </si>
  <si>
    <t>V-7722283</t>
  </si>
  <si>
    <t>V-7722291</t>
  </si>
  <si>
    <t>V-7722292</t>
  </si>
  <si>
    <t>V-7722293</t>
  </si>
  <si>
    <t>V-7722301</t>
  </si>
  <si>
    <t>V-7722302</t>
  </si>
  <si>
    <t>V-7722303</t>
  </si>
  <si>
    <t>V-7722311</t>
  </si>
  <si>
    <t>V-7722312</t>
  </si>
  <si>
    <t>V-7722313</t>
  </si>
  <si>
    <t>V-7722321</t>
  </si>
  <si>
    <t>V-7722322</t>
  </si>
  <si>
    <t>V-7722323</t>
  </si>
  <si>
    <t>V-7722341</t>
  </si>
  <si>
    <t>V-7722342</t>
  </si>
  <si>
    <t>V-7722343</t>
  </si>
  <si>
    <t>V-7722351</t>
  </si>
  <si>
    <t>V-7722352</t>
  </si>
  <si>
    <t>V-7722353</t>
  </si>
  <si>
    <t>V-7720259</t>
  </si>
  <si>
    <t>V-7720269</t>
  </si>
  <si>
    <t>V-7720279</t>
  </si>
  <si>
    <t>V-7720289</t>
  </si>
  <si>
    <t>V-7720299</t>
  </si>
  <si>
    <t>V-7720309</t>
  </si>
  <si>
    <t>V-7720319</t>
  </si>
  <si>
    <t>V-7720329</t>
  </si>
  <si>
    <t>V-7720349</t>
  </si>
  <si>
    <t>V-7720359</t>
  </si>
  <si>
    <t>S uzavřeným rámem a nestoupajicím vřetenem</t>
  </si>
  <si>
    <t>Průtočná plocha</t>
  </si>
  <si>
    <t>150 x 150 2)</t>
  </si>
  <si>
    <t>V-7733070</t>
  </si>
  <si>
    <t>200 x 200 2)</t>
  </si>
  <si>
    <t>V-7733080</t>
  </si>
  <si>
    <t>300 x 300 2)</t>
  </si>
  <si>
    <t>V-7733100</t>
  </si>
  <si>
    <t>400 x 400</t>
  </si>
  <si>
    <t>V-7733120</t>
  </si>
  <si>
    <t>500 x 500</t>
  </si>
  <si>
    <t>V-7733140</t>
  </si>
  <si>
    <t>600 x 600</t>
  </si>
  <si>
    <t>V-7733150</t>
  </si>
  <si>
    <t>700 x 700</t>
  </si>
  <si>
    <t>V-7733160</t>
  </si>
  <si>
    <t>800 x 800</t>
  </si>
  <si>
    <t>V-7733170</t>
  </si>
  <si>
    <t>900 x 900</t>
  </si>
  <si>
    <t>V-7733180</t>
  </si>
  <si>
    <t>1000 x 1000</t>
  </si>
  <si>
    <t>V-7733190</t>
  </si>
  <si>
    <t>1200 x 1200</t>
  </si>
  <si>
    <t>V-7733200</t>
  </si>
  <si>
    <t>1400 x 1400</t>
  </si>
  <si>
    <t>V-7733220</t>
  </si>
  <si>
    <t>1500 x 1500</t>
  </si>
  <si>
    <t>V-7733230</t>
  </si>
  <si>
    <t>1600 x 1600</t>
  </si>
  <si>
    <t>V-7733240</t>
  </si>
  <si>
    <t>1700 x 1700</t>
  </si>
  <si>
    <t>V-7733250</t>
  </si>
  <si>
    <t>1800 x 1800</t>
  </si>
  <si>
    <t>V-7733260</t>
  </si>
  <si>
    <t>V-7730070</t>
  </si>
  <si>
    <t>V-7730080</t>
  </si>
  <si>
    <t>V-7730100</t>
  </si>
  <si>
    <t>V-7730120</t>
  </si>
  <si>
    <t>V-7730140</t>
  </si>
  <si>
    <t>V-7730150</t>
  </si>
  <si>
    <t>V-7730160</t>
  </si>
  <si>
    <t>V-7730170</t>
  </si>
  <si>
    <t>V-7730180</t>
  </si>
  <si>
    <t>V-7730190</t>
  </si>
  <si>
    <t>V-7730200</t>
  </si>
  <si>
    <t>V-7730220</t>
  </si>
  <si>
    <t>V-7730230</t>
  </si>
  <si>
    <t>V-7730240</t>
  </si>
  <si>
    <t>V-7730250</t>
  </si>
  <si>
    <t>V-7730260</t>
  </si>
  <si>
    <t>150 x 150</t>
  </si>
  <si>
    <t>V-7743070</t>
  </si>
  <si>
    <t>V-7747550.15NNN15</t>
  </si>
  <si>
    <t>200 x 200</t>
  </si>
  <si>
    <t>V-7743080</t>
  </si>
  <si>
    <t>V-7747550.20NNN20</t>
  </si>
  <si>
    <t>250 x 250</t>
  </si>
  <si>
    <t>V-7743090</t>
  </si>
  <si>
    <t>V-7747550.25NNN25</t>
  </si>
  <si>
    <t>300 x 300</t>
  </si>
  <si>
    <t>V-7743100</t>
  </si>
  <si>
    <t>V-7747550.30NNN30</t>
  </si>
  <si>
    <t>V-7743120</t>
  </si>
  <si>
    <t>V-7747550.40NNN40</t>
  </si>
  <si>
    <t>V-7743140</t>
  </si>
  <si>
    <t>V-7747550.50NNN50</t>
  </si>
  <si>
    <t>V-7743150</t>
  </si>
  <si>
    <t>V-7747550.60NNN60</t>
  </si>
  <si>
    <t>V-7743160</t>
  </si>
  <si>
    <t>V-7747550.70NNN70</t>
  </si>
  <si>
    <t>V-7743170</t>
  </si>
  <si>
    <t>V-7747550.80NNN80</t>
  </si>
  <si>
    <t>V-7743180</t>
  </si>
  <si>
    <t>V-7747550.90NNN90</t>
  </si>
  <si>
    <t>V-7743190</t>
  </si>
  <si>
    <t>V-7747550.100N100</t>
  </si>
  <si>
    <t>Vřetenové šoupátko a sada chemických kotev jsou součástí ceny</t>
  </si>
  <si>
    <t>identifikační číslo</t>
  </si>
  <si>
    <t xml:space="preserve">150 x 150 </t>
  </si>
  <si>
    <t xml:space="preserve">200 x 200 </t>
  </si>
  <si>
    <t xml:space="preserve">300 x 300 </t>
  </si>
  <si>
    <t xml:space="preserve">250 x 250 </t>
  </si>
  <si>
    <t>El. servopohon není standardní součástí dodávky</t>
  </si>
  <si>
    <t>W-0000015.PRAG00</t>
  </si>
  <si>
    <t>W-0000008</t>
  </si>
  <si>
    <t>W-0000020.PRAG00</t>
  </si>
  <si>
    <t>W-0000025.PRAG00</t>
  </si>
  <si>
    <t>W-0000009</t>
  </si>
  <si>
    <t>W-0000030.PRAG00</t>
  </si>
  <si>
    <t>W-0000040.PRAG00</t>
  </si>
  <si>
    <t>W-0000010</t>
  </si>
  <si>
    <t>W-0000050.PRAG00</t>
  </si>
  <si>
    <t>W-0000011</t>
  </si>
  <si>
    <t>W-0000060.PRAG00</t>
  </si>
  <si>
    <t>W-0000012</t>
  </si>
  <si>
    <t>W-0000070.PRAG00</t>
  </si>
  <si>
    <t>W-0000080.PRAG00</t>
  </si>
  <si>
    <t>W-0000014</t>
  </si>
  <si>
    <t>W-0000090.PRAG00</t>
  </si>
  <si>
    <t>W-0000015</t>
  </si>
  <si>
    <t>W-0000100.PRAG00</t>
  </si>
  <si>
    <t>W-0000016</t>
  </si>
  <si>
    <t>W-0000110.PRAG00</t>
  </si>
  <si>
    <t>W-0000017</t>
  </si>
  <si>
    <t>W-0000120.PRAG00</t>
  </si>
  <si>
    <t>W-0000130.PRAG00</t>
  </si>
  <si>
    <t>W-0000184</t>
  </si>
  <si>
    <t>W-0000140.PRAG00</t>
  </si>
  <si>
    <t>W-0000150.PRAG00</t>
  </si>
  <si>
    <t>W-0000185</t>
  </si>
  <si>
    <t>W-0000160.PRAG00</t>
  </si>
  <si>
    <t>W-0000186</t>
  </si>
  <si>
    <t>W-0000180.PRAG00</t>
  </si>
  <si>
    <t>W-0000200.PRAG00</t>
  </si>
  <si>
    <t>W-0000187</t>
  </si>
  <si>
    <t>Hrdla</t>
  </si>
  <si>
    <t>2 x B</t>
  </si>
  <si>
    <t>V-8650101</t>
  </si>
  <si>
    <t>V-8650102</t>
  </si>
  <si>
    <t>V-8650103</t>
  </si>
  <si>
    <t>3-17-13568-030</t>
  </si>
  <si>
    <t>3-17-13568-130</t>
  </si>
  <si>
    <t>2 x B, 1 x A</t>
  </si>
  <si>
    <t>V-8656112</t>
  </si>
  <si>
    <t>V-8656152</t>
  </si>
  <si>
    <t>V-8656113</t>
  </si>
  <si>
    <t>V-8656153</t>
  </si>
  <si>
    <t>Staroměstský</t>
  </si>
  <si>
    <t>V-8658001</t>
  </si>
  <si>
    <t>V-8658002</t>
  </si>
  <si>
    <t>V-8658003</t>
  </si>
  <si>
    <t>V-8659012</t>
  </si>
  <si>
    <t>V-8659013</t>
  </si>
  <si>
    <t>S nerezovým sloupem</t>
  </si>
  <si>
    <t>V-8660101</t>
  </si>
  <si>
    <t>V-8660102</t>
  </si>
  <si>
    <t>V-8660103</t>
  </si>
  <si>
    <t>3-17-13535-030</t>
  </si>
  <si>
    <t>3-17-13535-130</t>
  </si>
  <si>
    <t>V-8661112</t>
  </si>
  <si>
    <t>V-8661113</t>
  </si>
  <si>
    <t>3-17-13529-400</t>
  </si>
  <si>
    <t>3-17-13529-425</t>
  </si>
  <si>
    <t>3-17-13529-450</t>
  </si>
  <si>
    <t>3-17-13535-425</t>
  </si>
  <si>
    <t>3-17-13535-450</t>
  </si>
  <si>
    <t>3-17-13535-525</t>
  </si>
  <si>
    <t>3-17-13535-550</t>
  </si>
  <si>
    <t>Velkoobjemový</t>
  </si>
  <si>
    <t>2 x B, 2 x A</t>
  </si>
  <si>
    <t>V-8662112</t>
  </si>
  <si>
    <t>V-8662152</t>
  </si>
  <si>
    <t>V-8662113</t>
  </si>
  <si>
    <t>V-8662153</t>
  </si>
  <si>
    <t>V-8663101</t>
  </si>
  <si>
    <t>V-8663102</t>
  </si>
  <si>
    <t>V-8663103</t>
  </si>
  <si>
    <t>V-8664101</t>
  </si>
  <si>
    <t>V-8664102</t>
  </si>
  <si>
    <t>V-8664103</t>
  </si>
  <si>
    <t>V-8671500</t>
  </si>
  <si>
    <t>V-8672500</t>
  </si>
  <si>
    <t>V-8671501</t>
  </si>
  <si>
    <t>V-8672501</t>
  </si>
  <si>
    <t>V-8671502</t>
  </si>
  <si>
    <t>V-8672502</t>
  </si>
  <si>
    <t>V-8671503</t>
  </si>
  <si>
    <t>V-8672503</t>
  </si>
  <si>
    <t>V-8671510</t>
  </si>
  <si>
    <t>V-8672510</t>
  </si>
  <si>
    <t>V-8671511</t>
  </si>
  <si>
    <t>V-8672511</t>
  </si>
  <si>
    <t>V-8671512</t>
  </si>
  <si>
    <t>V-8672512</t>
  </si>
  <si>
    <t>V-8671513</t>
  </si>
  <si>
    <t>V-8672513</t>
  </si>
  <si>
    <t>V-8666411</t>
  </si>
  <si>
    <t>V-8666491</t>
  </si>
  <si>
    <t>V-8666412</t>
  </si>
  <si>
    <t>V-8666492</t>
  </si>
  <si>
    <t>V-8666413</t>
  </si>
  <si>
    <t>V-8666493</t>
  </si>
  <si>
    <t>S nerezovým sloupem, dvojitou drenáží a bezúdržbovým samomazným vřetenem</t>
  </si>
  <si>
    <t>W-2290001.1004</t>
  </si>
  <si>
    <t>W-2290001.1000</t>
  </si>
  <si>
    <t>W-2290001.2000</t>
  </si>
  <si>
    <t>W-2290001.3000</t>
  </si>
  <si>
    <t>Drenážní blok</t>
  </si>
  <si>
    <t>Hydrant</t>
  </si>
  <si>
    <t>W-0000289</t>
  </si>
  <si>
    <t>W-0000290</t>
  </si>
  <si>
    <t>W-0000291</t>
  </si>
  <si>
    <t>NOVA 150</t>
  </si>
  <si>
    <t>W-2290045.1300000</t>
  </si>
  <si>
    <t>Ochrana proti zamrznutí</t>
  </si>
  <si>
    <t>W-2290045.2000</t>
  </si>
  <si>
    <t>VODOREGULA</t>
  </si>
  <si>
    <t>W-0000029</t>
  </si>
  <si>
    <t>BOBR</t>
  </si>
  <si>
    <t>W-0000026</t>
  </si>
  <si>
    <t>G</t>
  </si>
  <si>
    <t>50, 65</t>
  </si>
  <si>
    <t xml:space="preserve"> 1"</t>
  </si>
  <si>
    <t>V-8500163</t>
  </si>
  <si>
    <t>1 1/4"</t>
  </si>
  <si>
    <t>V-8500173</t>
  </si>
  <si>
    <t>80 … 500</t>
  </si>
  <si>
    <t>V-8500183</t>
  </si>
  <si>
    <t xml:space="preserve"> 1 1/4"</t>
  </si>
  <si>
    <t>V-8500193</t>
  </si>
  <si>
    <t xml:space="preserve"> 1 1/2"</t>
  </si>
  <si>
    <t>V-8500013</t>
  </si>
  <si>
    <t xml:space="preserve"> 2"</t>
  </si>
  <si>
    <t>V-8500023</t>
  </si>
  <si>
    <t>V-8501163</t>
  </si>
  <si>
    <t>V-8518163</t>
  </si>
  <si>
    <t>V-8527163</t>
  </si>
  <si>
    <t>V-8501173</t>
  </si>
  <si>
    <t>V-8518173</t>
  </si>
  <si>
    <t>V-8527173</t>
  </si>
  <si>
    <t>V-8501183</t>
  </si>
  <si>
    <t>V-8518183</t>
  </si>
  <si>
    <t>V-8527183</t>
  </si>
  <si>
    <t>V-8501193</t>
  </si>
  <si>
    <t>V-8518193</t>
  </si>
  <si>
    <t>V-8527193</t>
  </si>
  <si>
    <t>V-8501013</t>
  </si>
  <si>
    <t>V-8518013</t>
  </si>
  <si>
    <t>V-8501023</t>
  </si>
  <si>
    <t>V-8518023</t>
  </si>
  <si>
    <t>d</t>
  </si>
  <si>
    <t>V-8501263</t>
  </si>
  <si>
    <t>V-8527263</t>
  </si>
  <si>
    <t>V-8501283</t>
  </si>
  <si>
    <t>V-8527283</t>
  </si>
  <si>
    <t>94 … 99</t>
  </si>
  <si>
    <t>V-8524243</t>
  </si>
  <si>
    <t>1 1/2"</t>
  </si>
  <si>
    <t>V-8524443</t>
  </si>
  <si>
    <t>114 … 121</t>
  </si>
  <si>
    <t>V-8524253</t>
  </si>
  <si>
    <t>V-8524453</t>
  </si>
  <si>
    <t>167 … 172</t>
  </si>
  <si>
    <t>V-8524273</t>
  </si>
  <si>
    <t>V-8524473</t>
  </si>
  <si>
    <t>216 … 225</t>
  </si>
  <si>
    <t>V-8524283</t>
  </si>
  <si>
    <t>V-8524483</t>
  </si>
  <si>
    <t>2"</t>
  </si>
  <si>
    <t>V-8524643</t>
  </si>
  <si>
    <t>V-8524653</t>
  </si>
  <si>
    <t>V-8524673</t>
  </si>
  <si>
    <t>V-8524683</t>
  </si>
  <si>
    <t>318 … 326</t>
  </si>
  <si>
    <t>V-8524703</t>
  </si>
  <si>
    <t>1"</t>
  </si>
  <si>
    <t>V-8523043</t>
  </si>
  <si>
    <t>V-8523243</t>
  </si>
  <si>
    <t>V-8523053</t>
  </si>
  <si>
    <t>V-8523253</t>
  </si>
  <si>
    <t>V-8523073</t>
  </si>
  <si>
    <t>V-8523273</t>
  </si>
  <si>
    <t>V-8523083</t>
  </si>
  <si>
    <t>V-8523283</t>
  </si>
  <si>
    <t>V-8523443</t>
  </si>
  <si>
    <t>V-8523643</t>
  </si>
  <si>
    <t>V-8523453</t>
  </si>
  <si>
    <t>V-8523653</t>
  </si>
  <si>
    <t>V-8523473</t>
  </si>
  <si>
    <t>V-8523673</t>
  </si>
  <si>
    <t>V-8523483</t>
  </si>
  <si>
    <t>V-8523683</t>
  </si>
  <si>
    <t>V-8523503</t>
  </si>
  <si>
    <t>V-8523703</t>
  </si>
  <si>
    <t>V-8525043</t>
  </si>
  <si>
    <t>V-8525243</t>
  </si>
  <si>
    <t>V-8525053</t>
  </si>
  <si>
    <t>V-8525253</t>
  </si>
  <si>
    <t>V-8525073</t>
  </si>
  <si>
    <t>V-8525273</t>
  </si>
  <si>
    <t>V-8525083</t>
  </si>
  <si>
    <t>V-8525283</t>
  </si>
  <si>
    <t>V-8513043</t>
  </si>
  <si>
    <t>V-8513243</t>
  </si>
  <si>
    <t>V-8513053</t>
  </si>
  <si>
    <t>V-8513253</t>
  </si>
  <si>
    <t>V-8513073</t>
  </si>
  <si>
    <t>V-8513273</t>
  </si>
  <si>
    <t>V-8513083</t>
  </si>
  <si>
    <t>V-8513283</t>
  </si>
  <si>
    <t>V-8513443</t>
  </si>
  <si>
    <t>V-8513643</t>
  </si>
  <si>
    <t>V-8513453</t>
  </si>
  <si>
    <t>V-8513653</t>
  </si>
  <si>
    <t>V-8513473</t>
  </si>
  <si>
    <t>V-8513673</t>
  </si>
  <si>
    <t>V-8513483</t>
  </si>
  <si>
    <t>V-8513683</t>
  </si>
  <si>
    <t>V-8513503</t>
  </si>
  <si>
    <t>V-8513703</t>
  </si>
  <si>
    <t>V-8526043</t>
  </si>
  <si>
    <t>V-8528043</t>
  </si>
  <si>
    <t>V-8526053</t>
  </si>
  <si>
    <t>V-8528053</t>
  </si>
  <si>
    <t>V-8526073</t>
  </si>
  <si>
    <t>V-8528073</t>
  </si>
  <si>
    <t>V-8526083</t>
  </si>
  <si>
    <t>V-8528083</t>
  </si>
  <si>
    <t>V-8502223</t>
  </si>
  <si>
    <t>V-8502233</t>
  </si>
  <si>
    <t>V-8502243</t>
  </si>
  <si>
    <t>V-8502643</t>
  </si>
  <si>
    <t>V-8502253</t>
  </si>
  <si>
    <t>V-8502653</t>
  </si>
  <si>
    <t>V-8502663</t>
  </si>
  <si>
    <t>V-8502273</t>
  </si>
  <si>
    <t>V-8502673</t>
  </si>
  <si>
    <t>V-8502283</t>
  </si>
  <si>
    <t>V-8502683</t>
  </si>
  <si>
    <t>V-8502693</t>
  </si>
  <si>
    <t>V-8502703</t>
  </si>
  <si>
    <t>V-8503023</t>
  </si>
  <si>
    <t>V-8503223</t>
  </si>
  <si>
    <t>V-8503033</t>
  </si>
  <si>
    <t>V-8503233</t>
  </si>
  <si>
    <t>V-8503043</t>
  </si>
  <si>
    <t>V-8503243</t>
  </si>
  <si>
    <t>V-8503053</t>
  </si>
  <si>
    <t>V-8503253</t>
  </si>
  <si>
    <t>V-8503073</t>
  </si>
  <si>
    <t>V-8503273</t>
  </si>
  <si>
    <t>V-8503083</t>
  </si>
  <si>
    <t>V-8503283</t>
  </si>
  <si>
    <t>V-8503443</t>
  </si>
  <si>
    <t>V-8503643</t>
  </si>
  <si>
    <t>V-8503453</t>
  </si>
  <si>
    <t>V-8503653</t>
  </si>
  <si>
    <t>V-8503463</t>
  </si>
  <si>
    <t>V-8503663</t>
  </si>
  <si>
    <t>V-8503473</t>
  </si>
  <si>
    <t>V-8503673</t>
  </si>
  <si>
    <t>V-8503483</t>
  </si>
  <si>
    <t>V-8503683</t>
  </si>
  <si>
    <t>V-8503493</t>
  </si>
  <si>
    <t>V-8503693</t>
  </si>
  <si>
    <t>V-8503503</t>
  </si>
  <si>
    <t>V-8503703</t>
  </si>
  <si>
    <t>V-8504023</t>
  </si>
  <si>
    <t>V-8504223</t>
  </si>
  <si>
    <t>V-8504033</t>
  </si>
  <si>
    <t>V-8504233</t>
  </si>
  <si>
    <t>V-8504043</t>
  </si>
  <si>
    <t>V-8504243</t>
  </si>
  <si>
    <t>V-8504053</t>
  </si>
  <si>
    <t>V-8504253</t>
  </si>
  <si>
    <t>V-8504073</t>
  </si>
  <si>
    <t>V-8504273</t>
  </si>
  <si>
    <t>V-8504083</t>
  </si>
  <si>
    <t>V-8504283</t>
  </si>
  <si>
    <t>V-8508023</t>
  </si>
  <si>
    <t>V-8508223</t>
  </si>
  <si>
    <t>V-8508033</t>
  </si>
  <si>
    <t>V-8508233</t>
  </si>
  <si>
    <t>V-8508043</t>
  </si>
  <si>
    <t>V-8508243</t>
  </si>
  <si>
    <t>V-8508053</t>
  </si>
  <si>
    <t>V-8508253</t>
  </si>
  <si>
    <t>V-8508073</t>
  </si>
  <si>
    <t>V-8508273</t>
  </si>
  <si>
    <t>V-8508083</t>
  </si>
  <si>
    <t>V-8508283</t>
  </si>
  <si>
    <t>V-8508443</t>
  </si>
  <si>
    <t>V-8508643</t>
  </si>
  <si>
    <t>V-8508453</t>
  </si>
  <si>
    <t>V-8508653</t>
  </si>
  <si>
    <t>V-8508463</t>
  </si>
  <si>
    <t>V-8508663</t>
  </si>
  <si>
    <t>V-8508473</t>
  </si>
  <si>
    <t>V-8508673</t>
  </si>
  <si>
    <t>V-8508483</t>
  </si>
  <si>
    <t>V-8508683</t>
  </si>
  <si>
    <t>V-8508493</t>
  </si>
  <si>
    <t>V-8508693</t>
  </si>
  <si>
    <t>V-8508503</t>
  </si>
  <si>
    <t>V-8508703</t>
  </si>
  <si>
    <t>V-8507023</t>
  </si>
  <si>
    <t>V-8505023</t>
  </si>
  <si>
    <t>V-8507033</t>
  </si>
  <si>
    <t>V-8505033</t>
  </si>
  <si>
    <t>V-8507043</t>
  </si>
  <si>
    <t>V-8505043</t>
  </si>
  <si>
    <t>V-8507053</t>
  </si>
  <si>
    <t>V-8505053</t>
  </si>
  <si>
    <t>V-8507073</t>
  </si>
  <si>
    <t>V-8505073</t>
  </si>
  <si>
    <t>V-8507083</t>
  </si>
  <si>
    <t>V-8505083</t>
  </si>
  <si>
    <t>S pryžovou podložkou</t>
  </si>
  <si>
    <t>56  …  63</t>
  </si>
  <si>
    <t>W-7009220</t>
  </si>
  <si>
    <t>70  …  77</t>
  </si>
  <si>
    <t>W-7009230</t>
  </si>
  <si>
    <t>88  …  100</t>
  </si>
  <si>
    <t>W-7009240</t>
  </si>
  <si>
    <t>98  …  110</t>
  </si>
  <si>
    <t>W-7009241</t>
  </si>
  <si>
    <t xml:space="preserve"> 105  …  114</t>
  </si>
  <si>
    <t>W-7009252</t>
  </si>
  <si>
    <t>113  …  123</t>
  </si>
  <si>
    <t>W-7009250</t>
  </si>
  <si>
    <t xml:space="preserve"> 123  …  133</t>
  </si>
  <si>
    <t>W-7009251</t>
  </si>
  <si>
    <t xml:space="preserve"> 130  …  139</t>
  </si>
  <si>
    <t>W-7009262</t>
  </si>
  <si>
    <t>137  …  150</t>
  </si>
  <si>
    <t>W-7009260</t>
  </si>
  <si>
    <t xml:space="preserve"> 145  …  157</t>
  </si>
  <si>
    <t>W-7009261</t>
  </si>
  <si>
    <t xml:space="preserve"> 156  …  166</t>
  </si>
  <si>
    <t>W-7009272</t>
  </si>
  <si>
    <t>166  …  178</t>
  </si>
  <si>
    <t>W-7009270</t>
  </si>
  <si>
    <t>170  …  182</t>
  </si>
  <si>
    <t>W-7009271</t>
  </si>
  <si>
    <t>185  …  198</t>
  </si>
  <si>
    <t>W-7009283</t>
  </si>
  <si>
    <t>216  …  228</t>
  </si>
  <si>
    <t>W-7009280</t>
  </si>
  <si>
    <t>223  …  235</t>
  </si>
  <si>
    <t>W-7009281</t>
  </si>
  <si>
    <t xml:space="preserve"> 269  …  280</t>
  </si>
  <si>
    <t>W-7009290</t>
  </si>
  <si>
    <t xml:space="preserve"> 275  …  287</t>
  </si>
  <si>
    <t>W-7009291</t>
  </si>
  <si>
    <t>319  …  333</t>
  </si>
  <si>
    <t>W-7009300</t>
  </si>
  <si>
    <t>327  …  337</t>
  </si>
  <si>
    <t>W-7009301</t>
  </si>
  <si>
    <t xml:space="preserve"> 374  …  384</t>
  </si>
  <si>
    <t>W-7009310</t>
  </si>
  <si>
    <t xml:space="preserve"> 383  …  393</t>
  </si>
  <si>
    <t>W-7009311</t>
  </si>
  <si>
    <t xml:space="preserve"> 352  …  364</t>
  </si>
  <si>
    <t>W-7009312</t>
  </si>
  <si>
    <t>424  …  434</t>
  </si>
  <si>
    <t>W-7009320</t>
  </si>
  <si>
    <t>434  …  445</t>
  </si>
  <si>
    <t>W-7009321</t>
  </si>
  <si>
    <t xml:space="preserve"> 402  …  412</t>
  </si>
  <si>
    <t>W-7009322</t>
  </si>
  <si>
    <t xml:space="preserve"> 406  …  416</t>
  </si>
  <si>
    <t>W-7009323</t>
  </si>
  <si>
    <t xml:space="preserve"> 528  …  533</t>
  </si>
  <si>
    <t>W-7009330</t>
  </si>
  <si>
    <t>V-8520643</t>
  </si>
  <si>
    <t>V-8529013</t>
  </si>
  <si>
    <t>V-8540443</t>
  </si>
  <si>
    <t>V-8540453</t>
  </si>
  <si>
    <t>V-8540463</t>
  </si>
  <si>
    <t>V-8540473</t>
  </si>
  <si>
    <t>V-8540483</t>
  </si>
  <si>
    <t>80 … 300</t>
  </si>
  <si>
    <t>H-8205190.340</t>
  </si>
  <si>
    <t>Navařovací PE objímka</t>
  </si>
  <si>
    <t>W-2290050.0090</t>
  </si>
  <si>
    <t>W-2290050.0110</t>
  </si>
  <si>
    <t>W-2290050.0125</t>
  </si>
  <si>
    <t>W-2290050.0140</t>
  </si>
  <si>
    <t>W-2290050.0160</t>
  </si>
  <si>
    <t>W-2290050.0180</t>
  </si>
  <si>
    <t>W-2290050.0200</t>
  </si>
  <si>
    <t>W-2290050.0225</t>
  </si>
  <si>
    <t>W-2290050.0315</t>
  </si>
  <si>
    <t>3/4"</t>
  </si>
  <si>
    <t>V-7190773</t>
  </si>
  <si>
    <t>V-7190783.0KOOP00</t>
  </si>
  <si>
    <t>W-7190784</t>
  </si>
  <si>
    <t>V-7190793.0KOOP00</t>
  </si>
  <si>
    <t>W-7190794</t>
  </si>
  <si>
    <t>V-7191213</t>
  </si>
  <si>
    <t>V-7191223</t>
  </si>
  <si>
    <t>S vnitřním i vnějším závitem</t>
  </si>
  <si>
    <t>1" + 1 1/4"</t>
  </si>
  <si>
    <t>V-7198783</t>
  </si>
  <si>
    <t>1 1/4" + 1 1/4"</t>
  </si>
  <si>
    <t>V-7198793</t>
  </si>
  <si>
    <t>1 1/2" + 2"</t>
  </si>
  <si>
    <t>V-7197213</t>
  </si>
  <si>
    <t>2" + 2"</t>
  </si>
  <si>
    <t>V-7197223</t>
  </si>
  <si>
    <t>W-7195180</t>
  </si>
  <si>
    <t>W-8335190</t>
  </si>
  <si>
    <t>W-8333180</t>
  </si>
  <si>
    <t>V-8543103</t>
  </si>
  <si>
    <t>V-8543203</t>
  </si>
  <si>
    <t>V-8543013</t>
  </si>
  <si>
    <t>V-8534043</t>
  </si>
  <si>
    <t>V-8534053</t>
  </si>
  <si>
    <t>V-8534063</t>
  </si>
  <si>
    <t>V-8534073</t>
  </si>
  <si>
    <t>V-8534083</t>
  </si>
  <si>
    <t>V-8534143</t>
  </si>
  <si>
    <t>V-8534153</t>
  </si>
  <si>
    <t>V-8534163</t>
  </si>
  <si>
    <t>V-8534173</t>
  </si>
  <si>
    <t>V-8534183</t>
  </si>
  <si>
    <t>V-8546323</t>
  </si>
  <si>
    <t>V-8546333</t>
  </si>
  <si>
    <t>V-8546343</t>
  </si>
  <si>
    <t>V-8546123</t>
  </si>
  <si>
    <t>V-8546133</t>
  </si>
  <si>
    <t>V-8546143</t>
  </si>
  <si>
    <t>V-8542113</t>
  </si>
  <si>
    <t>V-8542114</t>
  </si>
  <si>
    <t>S uzávěrem</t>
  </si>
  <si>
    <t>V-8542203</t>
  </si>
  <si>
    <t>Pro potrubí z oceli, litiny a betonu</t>
  </si>
  <si>
    <t>Se šikmým sedlem</t>
  </si>
  <si>
    <t>W-0003251.0200P10</t>
  </si>
  <si>
    <t>W-0003251.0250P10</t>
  </si>
  <si>
    <t>W-0003251.0300P10</t>
  </si>
  <si>
    <t>W-0003251.0350P10</t>
  </si>
  <si>
    <t>W-0003251.0400P10</t>
  </si>
  <si>
    <t>W-0003251.0450P10</t>
  </si>
  <si>
    <t>W-0003251.0500P10</t>
  </si>
  <si>
    <t>W-0003251.0600P10</t>
  </si>
  <si>
    <t>W-0003251.0700P10</t>
  </si>
  <si>
    <t>W-0003251.0800P10</t>
  </si>
  <si>
    <t>W-0003251.0900P10</t>
  </si>
  <si>
    <t>W-0003251.1000P10</t>
  </si>
  <si>
    <t>W-0003251.0200P16</t>
  </si>
  <si>
    <t>W-0003251.0300P16</t>
  </si>
  <si>
    <t>W-0003251.0350P16</t>
  </si>
  <si>
    <t>W-0003251.0400P16</t>
  </si>
  <si>
    <t>W-0003251.0450P16</t>
  </si>
  <si>
    <t>W-0003251.0500P16</t>
  </si>
  <si>
    <t>W-0003251.0600P16</t>
  </si>
  <si>
    <t>W-0003251.0700P16</t>
  </si>
  <si>
    <t>W-0003251.0800P16</t>
  </si>
  <si>
    <t>W-0003251.0900P16</t>
  </si>
  <si>
    <t>W-0003251.1000P16</t>
  </si>
  <si>
    <t>W-0003251.0200P25</t>
  </si>
  <si>
    <t>W-0003251.0250P25</t>
  </si>
  <si>
    <t>W-0003251.0300P25</t>
  </si>
  <si>
    <t>W-0003251.0350P25</t>
  </si>
  <si>
    <t>W-0003251.0400P25</t>
  </si>
  <si>
    <t>W-0003251.0450P25</t>
  </si>
  <si>
    <t>W-0003251.0500P25</t>
  </si>
  <si>
    <t>W-0003251.0600P25</t>
  </si>
  <si>
    <t>W-0003251.0700P25</t>
  </si>
  <si>
    <t>W-0003251.0800P25</t>
  </si>
  <si>
    <t>W-0003251.0900P25</t>
  </si>
  <si>
    <t>W-0003251.1000P25</t>
  </si>
  <si>
    <t>V-9160013</t>
  </si>
  <si>
    <t>V-9160023</t>
  </si>
  <si>
    <t>V-9160033</t>
  </si>
  <si>
    <t>V-9160043</t>
  </si>
  <si>
    <t>V-9160053</t>
  </si>
  <si>
    <t>V-9160063</t>
  </si>
  <si>
    <t>V-9160073</t>
  </si>
  <si>
    <t>V-9161083</t>
  </si>
  <si>
    <t>V-9160083</t>
  </si>
  <si>
    <t>V-9161093</t>
  </si>
  <si>
    <t>V-9160093</t>
  </si>
  <si>
    <t>V-9161103</t>
  </si>
  <si>
    <t>V-9160103</t>
  </si>
  <si>
    <t>V-9164013.EN12050</t>
  </si>
  <si>
    <t>V-9164023.EN12050</t>
  </si>
  <si>
    <t>V-9164033.EN12050</t>
  </si>
  <si>
    <t>V-9164043.EN12050</t>
  </si>
  <si>
    <t>V-9164053.EN12050</t>
  </si>
  <si>
    <t>V-9164063.EN12050</t>
  </si>
  <si>
    <t>V-9164073.EN12050</t>
  </si>
  <si>
    <t>V-9165083.EN12050</t>
  </si>
  <si>
    <t>V-9164083.EN12050</t>
  </si>
  <si>
    <t>V-9165093.EN12050</t>
  </si>
  <si>
    <t>V-9164093.EN12050</t>
  </si>
  <si>
    <t>V-9165103.EN12050</t>
  </si>
  <si>
    <t>V-9164103.EN12050</t>
  </si>
  <si>
    <t>V-9185213</t>
  </si>
  <si>
    <t>V-9185413</t>
  </si>
  <si>
    <t>V-9185223</t>
  </si>
  <si>
    <t>V-9185423</t>
  </si>
  <si>
    <t>V-9185233</t>
  </si>
  <si>
    <t>V-9185433</t>
  </si>
  <si>
    <t>V-9185243</t>
  </si>
  <si>
    <t>V-9185443</t>
  </si>
  <si>
    <t>V-9180253</t>
  </si>
  <si>
    <t>V-9180453</t>
  </si>
  <si>
    <t>V-9180263</t>
  </si>
  <si>
    <t>V-9180463</t>
  </si>
  <si>
    <t>V-9180273</t>
  </si>
  <si>
    <t>V-9180473</t>
  </si>
  <si>
    <t>V-9180283</t>
  </si>
  <si>
    <t>V-9180483</t>
  </si>
  <si>
    <t>V-9180293</t>
  </si>
  <si>
    <t>V-9180493</t>
  </si>
  <si>
    <t>V-9185210</t>
  </si>
  <si>
    <t>V-9185410</t>
  </si>
  <si>
    <t>V-9185220</t>
  </si>
  <si>
    <t>V-9185420</t>
  </si>
  <si>
    <t>V-9185230</t>
  </si>
  <si>
    <t>V-9185430</t>
  </si>
  <si>
    <t>V-9185240</t>
  </si>
  <si>
    <t>V-9185440</t>
  </si>
  <si>
    <t>V-9180250</t>
  </si>
  <si>
    <t>V-9180450</t>
  </si>
  <si>
    <t>V-9180260</t>
  </si>
  <si>
    <t>V-9180460</t>
  </si>
  <si>
    <t>V-9180270</t>
  </si>
  <si>
    <t>V-9180470</t>
  </si>
  <si>
    <t>V-9180280</t>
  </si>
  <si>
    <t>V-9180480</t>
  </si>
  <si>
    <t>V-9180290</t>
  </si>
  <si>
    <t>V-9180490</t>
  </si>
  <si>
    <t>V-9181213</t>
  </si>
  <si>
    <t>V-9183413</t>
  </si>
  <si>
    <t>V-9181223</t>
  </si>
  <si>
    <t>V-9183423</t>
  </si>
  <si>
    <t>V-9181233</t>
  </si>
  <si>
    <t>V-9183433</t>
  </si>
  <si>
    <t>V-9181243</t>
  </si>
  <si>
    <t>V-9183443</t>
  </si>
  <si>
    <t>V-9189253</t>
  </si>
  <si>
    <t>V-9189453</t>
  </si>
  <si>
    <t>V-9189263</t>
  </si>
  <si>
    <t>V-9189463</t>
  </si>
  <si>
    <t>V-9189273</t>
  </si>
  <si>
    <t>V-9189473</t>
  </si>
  <si>
    <t>V-9189283</t>
  </si>
  <si>
    <t>V-9189483</t>
  </si>
  <si>
    <t>V-9189293</t>
  </si>
  <si>
    <t>V-9189493</t>
  </si>
  <si>
    <t>V-9183210</t>
  </si>
  <si>
    <t>V-9183410</t>
  </si>
  <si>
    <t>V-9183220</t>
  </si>
  <si>
    <t>V-9183420</t>
  </si>
  <si>
    <t>V-9183230</t>
  </si>
  <si>
    <t>V-9183430</t>
  </si>
  <si>
    <t>V-9183240</t>
  </si>
  <si>
    <t>V-9183440</t>
  </si>
  <si>
    <t>V-9189250</t>
  </si>
  <si>
    <t>V-9189450</t>
  </si>
  <si>
    <t>V-9189260</t>
  </si>
  <si>
    <t>V-9189460</t>
  </si>
  <si>
    <t>V-9189270</t>
  </si>
  <si>
    <t>V-9189470</t>
  </si>
  <si>
    <t>V-9189280</t>
  </si>
  <si>
    <t>V-9189480</t>
  </si>
  <si>
    <t>V-9189290</t>
  </si>
  <si>
    <t>V-9189490</t>
  </si>
  <si>
    <t>V-9150523.0C30000</t>
  </si>
  <si>
    <t>V-9150533.0C30000</t>
  </si>
  <si>
    <t>V-9150543.0C30000</t>
  </si>
  <si>
    <t>V-9150553.0C30000</t>
  </si>
  <si>
    <t>V-9150563.0C30000</t>
  </si>
  <si>
    <t>V-9150573.0C30000</t>
  </si>
  <si>
    <t>V-9151583.0C30000</t>
  </si>
  <si>
    <t>V-9150583.0C30000</t>
  </si>
  <si>
    <t>V-9151593.0C30000</t>
  </si>
  <si>
    <t>V-9150593.0C30000</t>
  </si>
  <si>
    <t>V-9151603.0C30000</t>
  </si>
  <si>
    <t>V-9150603.0C30000</t>
  </si>
  <si>
    <t>V-9152523.0C30000</t>
  </si>
  <si>
    <t>V-9152523.1C30000</t>
  </si>
  <si>
    <t>V-9152533.0C30000</t>
  </si>
  <si>
    <t>V-9152533.1C30000</t>
  </si>
  <si>
    <t>V-9152543.0C30000</t>
  </si>
  <si>
    <t>V-9152543.1C30000</t>
  </si>
  <si>
    <t>V-9152553.0C30000</t>
  </si>
  <si>
    <t>V-9152553.1C30000</t>
  </si>
  <si>
    <t>V-9152563.0C30000</t>
  </si>
  <si>
    <t>V-9152563.1C30000</t>
  </si>
  <si>
    <t>V-9152573.0C30000</t>
  </si>
  <si>
    <t>V-9152573.1C30000</t>
  </si>
  <si>
    <t>V-9153583.0C30000</t>
  </si>
  <si>
    <t>V-9153583.1C30000</t>
  </si>
  <si>
    <t>V-9152583.0C30000</t>
  </si>
  <si>
    <t>V-9152583.1C30000</t>
  </si>
  <si>
    <t>V-9153593.0C30000</t>
  </si>
  <si>
    <t>V-9153593.1C30000</t>
  </si>
  <si>
    <t>V-9152593.0C30000</t>
  </si>
  <si>
    <t>V-9152593.1C30000</t>
  </si>
  <si>
    <t>V-9153603.0C30000</t>
  </si>
  <si>
    <t>V-9153603.1C30000</t>
  </si>
  <si>
    <t>V-9152603.0C30000</t>
  </si>
  <si>
    <t>V-9152603.1C30000</t>
  </si>
  <si>
    <t>V-9154523.0C30000</t>
  </si>
  <si>
    <t>V-9154523.1C30000</t>
  </si>
  <si>
    <t>V-9154533.0C30000</t>
  </si>
  <si>
    <t>V-9154533.1C30000</t>
  </si>
  <si>
    <t>V-9154543.0C30000</t>
  </si>
  <si>
    <t>V-9154543.1C30000</t>
  </si>
  <si>
    <t>V-9154553.0C30000</t>
  </si>
  <si>
    <t>V-9154553.1C30000</t>
  </si>
  <si>
    <t>V-9154563.0C30000</t>
  </si>
  <si>
    <t>V-9154563.1C30000</t>
  </si>
  <si>
    <t>V-9154573.0C30000</t>
  </si>
  <si>
    <t>V-9154573.1C30000</t>
  </si>
  <si>
    <t>V-9155583.0C30000</t>
  </si>
  <si>
    <t>V-9155583.1C30000</t>
  </si>
  <si>
    <t>V-9154583.0C30000</t>
  </si>
  <si>
    <t>V-9154583.1C30000</t>
  </si>
  <si>
    <t>V-9155593.0C30000</t>
  </si>
  <si>
    <t>V-9155593.1C30000</t>
  </si>
  <si>
    <t>V-9154593.0C30000</t>
  </si>
  <si>
    <t>V-9154593.1C30000</t>
  </si>
  <si>
    <t>V-9155603.0C30000</t>
  </si>
  <si>
    <t>V-9155603.1C30000</t>
  </si>
  <si>
    <t>V-9154603.0C30000</t>
  </si>
  <si>
    <t>V-9154603.1C30000</t>
  </si>
  <si>
    <t>V-9310025</t>
  </si>
  <si>
    <t>V-9310035</t>
  </si>
  <si>
    <t>V-9310045</t>
  </si>
  <si>
    <t>V-9310048</t>
  </si>
  <si>
    <t>V-9310055</t>
  </si>
  <si>
    <t>V-9310065</t>
  </si>
  <si>
    <t>V-9310075</t>
  </si>
  <si>
    <t>V-9310085</t>
  </si>
  <si>
    <t>V-9321013</t>
  </si>
  <si>
    <t>V-9321023</t>
  </si>
  <si>
    <t>V-9321033</t>
  </si>
  <si>
    <t>V-9321043</t>
  </si>
  <si>
    <t>V-9321053</t>
  </si>
  <si>
    <t>V-9321063</t>
  </si>
  <si>
    <t>V-9321073</t>
  </si>
  <si>
    <t>V-9320083</t>
  </si>
  <si>
    <t>V-9321083</t>
  </si>
  <si>
    <t>V-9320093</t>
  </si>
  <si>
    <t>V-9321093</t>
  </si>
  <si>
    <t>V-9320103</t>
  </si>
  <si>
    <t>V-9321103</t>
  </si>
  <si>
    <t>V-9320113</t>
  </si>
  <si>
    <t>V-9320123</t>
  </si>
  <si>
    <t>V-9080213.0INOVAE</t>
  </si>
  <si>
    <t>H-3852011.340</t>
  </si>
  <si>
    <t>V-9080223.0INOVAE</t>
  </si>
  <si>
    <t>H-3852012.340</t>
  </si>
  <si>
    <t>V-9080233.0INOVAE</t>
  </si>
  <si>
    <t>H-3852013.340</t>
  </si>
  <si>
    <t>V-9080243.0INOVAE</t>
  </si>
  <si>
    <t>H-3852044.340</t>
  </si>
  <si>
    <t>V-9080253.0INOVAE</t>
  </si>
  <si>
    <t>H-3852045.340</t>
  </si>
  <si>
    <t>V-9080263.0INOVAE</t>
  </si>
  <si>
    <t>H-3852046.340</t>
  </si>
  <si>
    <t>V-9080273.0INOVAE</t>
  </si>
  <si>
    <t>H-3852047.340</t>
  </si>
  <si>
    <t>V-9080283.0INOVAE</t>
  </si>
  <si>
    <t>H-3852048.340</t>
  </si>
  <si>
    <t>V-9080293.0INOVAE</t>
  </si>
  <si>
    <t>H-3852049.340</t>
  </si>
  <si>
    <t>V-9080303.0INOVAE</t>
  </si>
  <si>
    <t>H-3852050.340</t>
  </si>
  <si>
    <t>Hrdlová</t>
  </si>
  <si>
    <t>W-0000030.PTKBS00</t>
  </si>
  <si>
    <t>W-0000040.PTKBS00</t>
  </si>
  <si>
    <t>W-0000050.PTKBS00</t>
  </si>
  <si>
    <t>W-0000060.PTKBS00</t>
  </si>
  <si>
    <t>W-0000070.PTKBS00</t>
  </si>
  <si>
    <t>W-0000080.PTKBS00</t>
  </si>
  <si>
    <t>W-0000090.PTKBS00</t>
  </si>
  <si>
    <t>W-0000100.PTKBS00</t>
  </si>
  <si>
    <t>W-0000016.PTKP000</t>
  </si>
  <si>
    <t>W-0000020.PTKP000</t>
  </si>
  <si>
    <t>W-0000025.PTKP000</t>
  </si>
  <si>
    <t>W-0000031.PTKP000</t>
  </si>
  <si>
    <t>W-0000040.PTKP000</t>
  </si>
  <si>
    <t>W-0000050.PTKP000</t>
  </si>
  <si>
    <t>W-0000060.PTKP000</t>
  </si>
  <si>
    <t>W-0000015.PTKG000</t>
  </si>
  <si>
    <t>W-0000650</t>
  </si>
  <si>
    <t>W-0000020.PTKG000</t>
  </si>
  <si>
    <t>W-0000651</t>
  </si>
  <si>
    <t>W-0000025.PTKG000</t>
  </si>
  <si>
    <t>W-0000652</t>
  </si>
  <si>
    <t>W-0000030.PTKG000</t>
  </si>
  <si>
    <t>W-0000653</t>
  </si>
  <si>
    <t>W-0000040.PTKG000</t>
  </si>
  <si>
    <t>W-0000654</t>
  </si>
  <si>
    <t>W-0000050.PTKG000</t>
  </si>
  <si>
    <t>W-0000655</t>
  </si>
  <si>
    <t>W-0000060.PTKG000</t>
  </si>
  <si>
    <t>W-0000656</t>
  </si>
  <si>
    <t>W-0000070.PTKG000</t>
  </si>
  <si>
    <t>W-0000657</t>
  </si>
  <si>
    <t>W-0000080.PTKG000</t>
  </si>
  <si>
    <t>W-0000658</t>
  </si>
  <si>
    <t>W-0000090.PTKG000</t>
  </si>
  <si>
    <t>W-0000659</t>
  </si>
  <si>
    <t>W-0000100.PTKG000</t>
  </si>
  <si>
    <t>W-0000660</t>
  </si>
  <si>
    <t>W-0000110.PTKG000</t>
  </si>
  <si>
    <t>W-0000722</t>
  </si>
  <si>
    <t>W-0000120.PTKG000</t>
  </si>
  <si>
    <t>W-0000661</t>
  </si>
  <si>
    <t>W-0000130.PTKG000</t>
  </si>
  <si>
    <t>W-0000723</t>
  </si>
  <si>
    <t>W-0000140.PTKG000</t>
  </si>
  <si>
    <t>W-0000724</t>
  </si>
  <si>
    <t>W-0000150.PTKG000</t>
  </si>
  <si>
    <t>W-0000663</t>
  </si>
  <si>
    <t>W-0000160.PTKG000</t>
  </si>
  <si>
    <t>W-0000725</t>
  </si>
  <si>
    <t>W-0000180.PTKG000</t>
  </si>
  <si>
    <t>W-0000726</t>
  </si>
  <si>
    <t>W-0000200.PTKG000</t>
  </si>
  <si>
    <t>W-0000727</t>
  </si>
  <si>
    <t>W-0000015.PTKA000</t>
  </si>
  <si>
    <t>W-0000664</t>
  </si>
  <si>
    <t>W-0000020.PTKA000</t>
  </si>
  <si>
    <t>W-0000665</t>
  </si>
  <si>
    <t>W-0000025.PTKA000</t>
  </si>
  <si>
    <t>W-0000666</t>
  </si>
  <si>
    <t>W-0000030.PTKA000</t>
  </si>
  <si>
    <t>W-0000667</t>
  </si>
  <si>
    <t>W-0000040.PTKA000</t>
  </si>
  <si>
    <t>W-0000668</t>
  </si>
  <si>
    <t>W-0000050.PTKA000</t>
  </si>
  <si>
    <t>W-0000669</t>
  </si>
  <si>
    <t>W-0000060.PTKA000</t>
  </si>
  <si>
    <t>W-0000670</t>
  </si>
  <si>
    <t>W-0000070.PTKA000</t>
  </si>
  <si>
    <t>W-0000671</t>
  </si>
  <si>
    <t>W-0000080.PTKA000</t>
  </si>
  <si>
    <t>W-0000672</t>
  </si>
  <si>
    <t>W-0000090.PTKA000</t>
  </si>
  <si>
    <t>W-0000673</t>
  </si>
  <si>
    <t>W-0000100.PTKA000</t>
  </si>
  <si>
    <t>W-0000674</t>
  </si>
  <si>
    <t>W-0000110.PTKA000</t>
  </si>
  <si>
    <t>W-0000728</t>
  </si>
  <si>
    <t>W-0000120.PTKA000</t>
  </si>
  <si>
    <t>W-0000675</t>
  </si>
  <si>
    <t>W-0000140.PTKA000</t>
  </si>
  <si>
    <t>W-0000730</t>
  </si>
  <si>
    <t>W-0000150.PTKA000</t>
  </si>
  <si>
    <t>W-0000677</t>
  </si>
  <si>
    <t>W-0000160.PTKA000</t>
  </si>
  <si>
    <t>W-0000731</t>
  </si>
  <si>
    <t>W-0000180.PTKA000</t>
  </si>
  <si>
    <t>W-0000732</t>
  </si>
  <si>
    <t>W-0000200.PTKA000</t>
  </si>
  <si>
    <t>W-0000733</t>
  </si>
  <si>
    <t>W-0000015.PTKF000</t>
  </si>
  <si>
    <t>W-0000020.PTKF000</t>
  </si>
  <si>
    <t>W-0000025.PTKF000</t>
  </si>
  <si>
    <t>W-0000030.PTKF000</t>
  </si>
  <si>
    <t>W-0000040.PTKF000</t>
  </si>
  <si>
    <t>W-0000050.PTKF000</t>
  </si>
  <si>
    <t>W-0000060.PTKF000</t>
  </si>
  <si>
    <t>W-0000070.PTKF000</t>
  </si>
  <si>
    <t>W-0000080.PTKF000</t>
  </si>
  <si>
    <t>W-0000090.PTKF000</t>
  </si>
  <si>
    <t>W-0000100.PTKF000</t>
  </si>
  <si>
    <t>W-0000110.PTKF000</t>
  </si>
  <si>
    <t>W-0000120.PTKF000</t>
  </si>
  <si>
    <t>W-0000130.PTKF000</t>
  </si>
  <si>
    <t>W-0000140.PTKF000</t>
  </si>
  <si>
    <t>W-0000150.PTKF000</t>
  </si>
  <si>
    <t>W-0000160.PTKF000</t>
  </si>
  <si>
    <t>W-0000180.PTKF000</t>
  </si>
  <si>
    <t>W-0000200.PTKF000</t>
  </si>
  <si>
    <t>W-0000015.PWKF000</t>
  </si>
  <si>
    <t>W-0000020.PWKF000</t>
  </si>
  <si>
    <t>W-0000025.PWKF000</t>
  </si>
  <si>
    <t>W-0000030.PWKF000</t>
  </si>
  <si>
    <t>W-0000040.PWKF000</t>
  </si>
  <si>
    <t>W-0000050.PWKF000</t>
  </si>
  <si>
    <t>W-0000060.PWKF000</t>
  </si>
  <si>
    <t>W-0000070.PWKF000</t>
  </si>
  <si>
    <t>W-0000080.PWKF000</t>
  </si>
  <si>
    <t>W-0000090.PWKF000</t>
  </si>
  <si>
    <t>W-0000100.PWKF000</t>
  </si>
  <si>
    <t>W-0000110.PWKF000</t>
  </si>
  <si>
    <t>W-0000120.PWKF000</t>
  </si>
  <si>
    <t>W-0000130.PWKF000</t>
  </si>
  <si>
    <t>W-0000140.PWKF000</t>
  </si>
  <si>
    <t>W-0000150.PWKF000</t>
  </si>
  <si>
    <t>W-0000160.PWKF000</t>
  </si>
  <si>
    <t>W-0000180.PWKF000</t>
  </si>
  <si>
    <t>W-0000200.PWKF000</t>
  </si>
  <si>
    <t>Ruční kolo</t>
  </si>
  <si>
    <t>S přípravou pro připojení teleskopické VA-TELESKOP Zemní soupravy a zakopání do země</t>
  </si>
  <si>
    <t>dle specifikace</t>
  </si>
  <si>
    <t>V-8485527.0EPDM00</t>
  </si>
  <si>
    <t>V-8485027.0EPDM00</t>
  </si>
  <si>
    <t>V-8485537.0EPDM00</t>
  </si>
  <si>
    <t>V-8485037.0EPDM00</t>
  </si>
  <si>
    <t>V-8485547.0EPDM00</t>
  </si>
  <si>
    <t>V-8485047.0EPDM00</t>
  </si>
  <si>
    <t>V-8485557.0EPDM00</t>
  </si>
  <si>
    <t>V-8485057.0EPDM00</t>
  </si>
  <si>
    <t>V-8485567.0EPDM00</t>
  </si>
  <si>
    <t>V-8485067.0EPDM00</t>
  </si>
  <si>
    <t>V-8485577.0EPDM00</t>
  </si>
  <si>
    <t>V-8485077.0EPDM00</t>
  </si>
  <si>
    <t>V-8486587.0EPDM00</t>
  </si>
  <si>
    <t>V-8486087.0EPDM00</t>
  </si>
  <si>
    <t>V-8485587.0EPDM00</t>
  </si>
  <si>
    <t>V-8485087.0EPDM00</t>
  </si>
  <si>
    <t>V-8485527.0NBR000</t>
  </si>
  <si>
    <t>V-8485027.0NBR000</t>
  </si>
  <si>
    <t>V-8485537.0NBR000</t>
  </si>
  <si>
    <t>V-8485037.0NBR000</t>
  </si>
  <si>
    <t>V-8485547.0NBR000</t>
  </si>
  <si>
    <t>V-8485047.0NBR000</t>
  </si>
  <si>
    <t>V-8485557.0NBR000</t>
  </si>
  <si>
    <t>V-8485057.0NBR000</t>
  </si>
  <si>
    <t>V-8485567.0NBR000</t>
  </si>
  <si>
    <t>V-8485067.0NBR000</t>
  </si>
  <si>
    <t>V-8485577.0NBR000</t>
  </si>
  <si>
    <t>V-8485077.0NBR000</t>
  </si>
  <si>
    <t>V-8486587.0NBR000</t>
  </si>
  <si>
    <t>V-8486087.0NBR000</t>
  </si>
  <si>
    <t>V-8485587.0NBR000</t>
  </si>
  <si>
    <t>V-8485087.0NBR000</t>
  </si>
  <si>
    <t>V-8485521.0EPDM00</t>
  </si>
  <si>
    <t>V-8485021.0EPDM00</t>
  </si>
  <si>
    <t>V-8485531.0EPDM00</t>
  </si>
  <si>
    <t>V-8485031.0EPDM00</t>
  </si>
  <si>
    <t>V-8485541.0EPDM00</t>
  </si>
  <si>
    <t>V-8485041.0EPDM00</t>
  </si>
  <si>
    <t>V-8485551.0EPDM00</t>
  </si>
  <si>
    <t>V-8485051.0EPDM00</t>
  </si>
  <si>
    <t>V-8485561.0EPDM00</t>
  </si>
  <si>
    <t>V-8485061.0EPDM00</t>
  </si>
  <si>
    <t>V-8485571.0EPDM00</t>
  </si>
  <si>
    <t>V-8485071.0EPDM00</t>
  </si>
  <si>
    <t>V-8486581.0EPDM00</t>
  </si>
  <si>
    <t>V-8486081.0EPDM00</t>
  </si>
  <si>
    <t>V-8485581.0EPDM00</t>
  </si>
  <si>
    <t>V-8485081.0EPDM00</t>
  </si>
  <si>
    <t>V-8485521.0NBR000</t>
  </si>
  <si>
    <t>V-8485021.0NBR000</t>
  </si>
  <si>
    <t>V-8485531.0NBR000</t>
  </si>
  <si>
    <t>V-8485031.0NBR000</t>
  </si>
  <si>
    <t>V-8485541.0NBR000</t>
  </si>
  <si>
    <t>V-8485041.0NBR000</t>
  </si>
  <si>
    <t>V-8485551.0NBR000</t>
  </si>
  <si>
    <t>V-8485051.0NBR000</t>
  </si>
  <si>
    <t>V-8485561.0NBR000</t>
  </si>
  <si>
    <t>V-8485061.0NBR000</t>
  </si>
  <si>
    <t>V-8485571.0NBR000</t>
  </si>
  <si>
    <t>V-8485071.0NBR000</t>
  </si>
  <si>
    <t>V-8486581.0NBR000</t>
  </si>
  <si>
    <t>V-8486081.0NBR000</t>
  </si>
  <si>
    <t>V-8485581.0NBR000</t>
  </si>
  <si>
    <t>V-8485081.0NBR000</t>
  </si>
  <si>
    <t>10 1)</t>
  </si>
  <si>
    <t>V-8486597.0EPDM00</t>
  </si>
  <si>
    <t>V-8486097.0EPDM00</t>
  </si>
  <si>
    <t>V-8486607.0EPDM00</t>
  </si>
  <si>
    <t>V-8486107.0EPDM00</t>
  </si>
  <si>
    <t>V-8486597.0NBR000</t>
  </si>
  <si>
    <t>V-8486097.0NBR000</t>
  </si>
  <si>
    <t>V-8486607.0NBR000</t>
  </si>
  <si>
    <t>V-8486107.0NBR000</t>
  </si>
  <si>
    <t xml:space="preserve"> 10, 16</t>
  </si>
  <si>
    <t>V-8485522.0EPDM00</t>
  </si>
  <si>
    <t>V-8485022.0EPDM00</t>
  </si>
  <si>
    <t>V-8485532.0EPDM00</t>
  </si>
  <si>
    <t>V-8485032.0EPDM00</t>
  </si>
  <si>
    <t>V-8485542.0EPDM00</t>
  </si>
  <si>
    <t>V-8485042.0EPDM00</t>
  </si>
  <si>
    <t>V-8485552.0EPDM00</t>
  </si>
  <si>
    <t>V-8485052.0EPDM00</t>
  </si>
  <si>
    <t>V-8485562.0EPDM00</t>
  </si>
  <si>
    <t>V-8485062.0EPDM00</t>
  </si>
  <si>
    <t>V-8485572.0EPDM00</t>
  </si>
  <si>
    <t>V-8485072.0EPDM00</t>
  </si>
  <si>
    <t>V-8486582.0EPDM00</t>
  </si>
  <si>
    <t>V-8486082.0EPDM00</t>
  </si>
  <si>
    <t>V-8485582.0EPDM00</t>
  </si>
  <si>
    <t>V-8485082.0EPDM00</t>
  </si>
  <si>
    <t>V-8486592.0EPDM00</t>
  </si>
  <si>
    <t>V-8486092.0EPDM00</t>
  </si>
  <si>
    <t>V-8485592.0EPDM00</t>
  </si>
  <si>
    <t>V-8485092.0EPDM00</t>
  </si>
  <si>
    <t>V-8486602.0EPDM00</t>
  </si>
  <si>
    <t>V-8486102.0EPDM00</t>
  </si>
  <si>
    <t>V-8485602.0EPDM00</t>
  </si>
  <si>
    <t>V-8485102.0EPDM00</t>
  </si>
  <si>
    <t>V-8486612.0EPDM0N</t>
  </si>
  <si>
    <t>V-8486112.0EPDM0N</t>
  </si>
  <si>
    <t>V-8485612.0EPDM0N</t>
  </si>
  <si>
    <t>V-8485112.0EPDM0N</t>
  </si>
  <si>
    <t>V-8486622.0EPDM00</t>
  </si>
  <si>
    <t>V-8486122.0EPDM00</t>
  </si>
  <si>
    <t>V-8485622.0EPDM00</t>
  </si>
  <si>
    <t>V-8485122.0EPDM00</t>
  </si>
  <si>
    <t>V-8486632.0EPDM00</t>
  </si>
  <si>
    <t>V-8486132.0EPDM00</t>
  </si>
  <si>
    <t>V-8485632.0EPDM00</t>
  </si>
  <si>
    <t>V-8485132.0EPDM00</t>
  </si>
  <si>
    <t>V-8486642.0EPDM00</t>
  </si>
  <si>
    <t>V-8486142.0EPDM00</t>
  </si>
  <si>
    <t>V-8485642.0EPDM00</t>
  </si>
  <si>
    <t>V-8485142.0EPDM00</t>
  </si>
  <si>
    <t>V-8486652.0EPDM00</t>
  </si>
  <si>
    <t>V-8486152.0EPDM00</t>
  </si>
  <si>
    <t>V-8485652.0EPDM00</t>
  </si>
  <si>
    <t>V-8485152.0EPDM00</t>
  </si>
  <si>
    <t>V-8485522.0NBR000</t>
  </si>
  <si>
    <t>V-8485022.0NBR000</t>
  </si>
  <si>
    <t>V-8485532.0NBR000</t>
  </si>
  <si>
    <t>V-8485032.0NBR000</t>
  </si>
  <si>
    <t>V-8485542.0NBR000</t>
  </si>
  <si>
    <t>V-8485042.0NBR000</t>
  </si>
  <si>
    <t>V-8485552.0NBR000</t>
  </si>
  <si>
    <t>V-8485052.0NBR000</t>
  </si>
  <si>
    <t>V-8485562.0NBR000</t>
  </si>
  <si>
    <t>V-8485062.0NBR000</t>
  </si>
  <si>
    <t>V-8485572.0NBR000</t>
  </si>
  <si>
    <t>V-8485072.0NBR000</t>
  </si>
  <si>
    <t>V-8486582.0NBR000</t>
  </si>
  <si>
    <t>V-8486082.0NBR000</t>
  </si>
  <si>
    <t>V-8485582.0NBR000</t>
  </si>
  <si>
    <t>V-8485082.0NBR000</t>
  </si>
  <si>
    <t>V-8486592.0NBR000</t>
  </si>
  <si>
    <t>V-8486092.0NBR000</t>
  </si>
  <si>
    <t>V-8485592.0NBR000</t>
  </si>
  <si>
    <t>V-8485092.0NBR000</t>
  </si>
  <si>
    <t>V-8486602.0NBR000</t>
  </si>
  <si>
    <t>V-8486102.0NBR000</t>
  </si>
  <si>
    <t>V-8485602.0NBR000</t>
  </si>
  <si>
    <t>V-8485102.0NBR000</t>
  </si>
  <si>
    <t>V-8486612.0NBR00N</t>
  </si>
  <si>
    <t>V-8486112.0NBR00N</t>
  </si>
  <si>
    <t>V-8485612.0NBR00N</t>
  </si>
  <si>
    <t>V-8485112.0NBR00N</t>
  </si>
  <si>
    <t>V-8486622.0NBR000</t>
  </si>
  <si>
    <t>V-8486122.0NBR000</t>
  </si>
  <si>
    <t>V-8485622.0NBR000</t>
  </si>
  <si>
    <t>V-8485122.0NBR000</t>
  </si>
  <si>
    <t>V-8486632.0NBR000</t>
  </si>
  <si>
    <t>V-8486132.0NBR000</t>
  </si>
  <si>
    <t>V-8485632.0NBR000</t>
  </si>
  <si>
    <t>V-8485132.0NBR000</t>
  </si>
  <si>
    <t>V-8486642.0NBR000</t>
  </si>
  <si>
    <t>V-8486142.0NBR000</t>
  </si>
  <si>
    <t>V-8485642.0NBR000</t>
  </si>
  <si>
    <t>V-8485142.0NBR000</t>
  </si>
  <si>
    <t>V-8486652.0NBR000</t>
  </si>
  <si>
    <t>V-8486152.0NBR000</t>
  </si>
  <si>
    <t>V-8485652.0NBR000</t>
  </si>
  <si>
    <t>V-8485152.0NBR000</t>
  </si>
  <si>
    <t>Typ LUG s pruchozími závitovými dírami</t>
  </si>
  <si>
    <t>V-8480527.0EPDM00</t>
  </si>
  <si>
    <t>V-8480027.0EPDM00</t>
  </si>
  <si>
    <t>V-8480537.0EPDM00</t>
  </si>
  <si>
    <t>V-8480037.0EPDM00</t>
  </si>
  <si>
    <t>V-8480547.0EPDM00</t>
  </si>
  <si>
    <t>V-8480047.0EPDM00</t>
  </si>
  <si>
    <t>V-8480557.0EPDM00</t>
  </si>
  <si>
    <t>V-8480057.0EPDM00</t>
  </si>
  <si>
    <t>V-8480567.0EPDM00</t>
  </si>
  <si>
    <t>V-8480067.0EPDM00</t>
  </si>
  <si>
    <t>V-8480577.0EPDM00</t>
  </si>
  <si>
    <t>V-8480077.0EPDM00</t>
  </si>
  <si>
    <t>V-8480587.0EPDM00</t>
  </si>
  <si>
    <t>V-8480087.0EPDM00</t>
  </si>
  <si>
    <t>V-8480527.0NBR000</t>
  </si>
  <si>
    <t>V-8480027.0NBR000</t>
  </si>
  <si>
    <t>V-8480537.0NBR000</t>
  </si>
  <si>
    <t>V-8480037.0NBR000</t>
  </si>
  <si>
    <t>V-8480547.0NBR000</t>
  </si>
  <si>
    <t>V-8480047.0NBR000</t>
  </si>
  <si>
    <t>V-8480557.0NBR000</t>
  </si>
  <si>
    <t>V-8480057.0NBR000</t>
  </si>
  <si>
    <t>V-8480567.0NBR000</t>
  </si>
  <si>
    <t>V-8480067.0NBR000</t>
  </si>
  <si>
    <t>V-8480577.0NBR000</t>
  </si>
  <si>
    <t>V-8480077.0NBR000</t>
  </si>
  <si>
    <t>V-8480587.0NBR000</t>
  </si>
  <si>
    <t>V-8480087.0NBR000</t>
  </si>
  <si>
    <t>V-8480521.0EPDM00</t>
  </si>
  <si>
    <t>V-8480021.0EPDM00</t>
  </si>
  <si>
    <t>V-8480531.0EPDM00</t>
  </si>
  <si>
    <t>V-8480031.0EPDM00</t>
  </si>
  <si>
    <t>V-8480541.0EPDM00</t>
  </si>
  <si>
    <t>V-8480041.0EPDM00</t>
  </si>
  <si>
    <t>V-8480551.0EPDM00</t>
  </si>
  <si>
    <t>V-8480051.0EPDM00</t>
  </si>
  <si>
    <t>V-8480561.0EPDM00</t>
  </si>
  <si>
    <t>V-8480061.0EPDM00</t>
  </si>
  <si>
    <t>V-8480571.0EPDM00</t>
  </si>
  <si>
    <t>V-8480071.0EPDM00</t>
  </si>
  <si>
    <t>V-8480581.0EPDM00</t>
  </si>
  <si>
    <t>V-8480081.0EPDM00</t>
  </si>
  <si>
    <t>V-8480521.0NBR000</t>
  </si>
  <si>
    <t>V-8480021.0NBR000</t>
  </si>
  <si>
    <t>V-8480531.0NBR000</t>
  </si>
  <si>
    <t>V-8480031.0NBR000</t>
  </si>
  <si>
    <t>V-8480541.0NBR000</t>
  </si>
  <si>
    <t>V-8480041.0NBR000</t>
  </si>
  <si>
    <t>V-8480551.0NBR000</t>
  </si>
  <si>
    <t>V-8480051.0NBR000</t>
  </si>
  <si>
    <t>V-8480561.0NBR000</t>
  </si>
  <si>
    <t>V-8480061.0NBR000</t>
  </si>
  <si>
    <t>V-8480571.0NBR000</t>
  </si>
  <si>
    <t>V-8480071.0NBR000</t>
  </si>
  <si>
    <t>V-8480581.0NBR000</t>
  </si>
  <si>
    <t>V-8480081.0NBR000</t>
  </si>
  <si>
    <t>V-8480597.0EPDM00</t>
  </si>
  <si>
    <t>V-8480097.0EPDM00</t>
  </si>
  <si>
    <t>V-8480607.0EPDM00</t>
  </si>
  <si>
    <t>V-8480107.0EPDM00</t>
  </si>
  <si>
    <t>V-8480597.0NBR000</t>
  </si>
  <si>
    <t>V-8480097.0NBR000</t>
  </si>
  <si>
    <t>V-8480607.0NBR000</t>
  </si>
  <si>
    <t>V-8480107.0NBR000</t>
  </si>
  <si>
    <t>V-8480522.0EPDM00</t>
  </si>
  <si>
    <t>V-8480022.0EPDM00</t>
  </si>
  <si>
    <t>V-8480532.0EPDM00</t>
  </si>
  <si>
    <t>V-8480032.0EPDM00</t>
  </si>
  <si>
    <t>V-8480542.0EPDM00</t>
  </si>
  <si>
    <t>V-8480042.0EPDM00</t>
  </si>
  <si>
    <t>V-8480552.0EPDM00</t>
  </si>
  <si>
    <t>V-8480052.0EPDM00</t>
  </si>
  <si>
    <t>V-8480562.0EPDM00</t>
  </si>
  <si>
    <t>V-8480062.0EPDM00</t>
  </si>
  <si>
    <t>V-8480572.0EPDM00</t>
  </si>
  <si>
    <t>V-8480072.0EPDM00</t>
  </si>
  <si>
    <t>V-8480582.0EPDM00</t>
  </si>
  <si>
    <t>V-8480082.0EPDM00</t>
  </si>
  <si>
    <t>V-8480592.0EPDM00</t>
  </si>
  <si>
    <t>V-8480092.0EPDM00</t>
  </si>
  <si>
    <t>V-8480602.0EPDM00</t>
  </si>
  <si>
    <t>V-8480102.0EPDM00</t>
  </si>
  <si>
    <t>V-8480612.0EPDM0N</t>
  </si>
  <si>
    <t>V-8480112.0EPDM0N</t>
  </si>
  <si>
    <t>V-8480622.0EPDM00</t>
  </si>
  <si>
    <t>V-8480122.0EPDM00</t>
  </si>
  <si>
    <t>10, 16 1)</t>
  </si>
  <si>
    <t>V-8480632.0EPDM00</t>
  </si>
  <si>
    <t>V-8480132.0EPDM00</t>
  </si>
  <si>
    <t>V-8481642.0EPDM00</t>
  </si>
  <si>
    <t>V-8481142.0EPDM00</t>
  </si>
  <si>
    <t>V-8480642.0EPDM00</t>
  </si>
  <si>
    <t>V-8480142.0EPDM00</t>
  </si>
  <si>
    <t>V-8481652.0EPDM00</t>
  </si>
  <si>
    <t>V-8481152.0EPDM00</t>
  </si>
  <si>
    <t>V-8480652.0EPDM00</t>
  </si>
  <si>
    <t>V-8480152.0EPDM00</t>
  </si>
  <si>
    <t>V-8480522.0NBR000</t>
  </si>
  <si>
    <t>V-8480022.0NBR000</t>
  </si>
  <si>
    <t>V-8480532.0NBR000</t>
  </si>
  <si>
    <t>V-8480032.0NBR000</t>
  </si>
  <si>
    <t>V-8480542.0NBR000</t>
  </si>
  <si>
    <t>V-8480042.0NBR000</t>
  </si>
  <si>
    <t>V-8480552.0NBR000</t>
  </si>
  <si>
    <t>V-8480052.0NBR000</t>
  </si>
  <si>
    <t>V-8480562.0NBR000</t>
  </si>
  <si>
    <t>V-8480062.0NBR000</t>
  </si>
  <si>
    <t>V-8480572.0NBR000</t>
  </si>
  <si>
    <t>V-8480072.0NBR000</t>
  </si>
  <si>
    <t>V-8480582.0NBR000</t>
  </si>
  <si>
    <t>V-8480082.0NBR000</t>
  </si>
  <si>
    <t>V-8480592.0NBR000</t>
  </si>
  <si>
    <t>V-8480092.0NBR000</t>
  </si>
  <si>
    <t>V-8480602.0NBR000</t>
  </si>
  <si>
    <t>V-8480102.0NBR000</t>
  </si>
  <si>
    <t>V-8480612.0NBR00N</t>
  </si>
  <si>
    <t>V-8480112.0NBR00N</t>
  </si>
  <si>
    <t>V-8480622.0NBR000</t>
  </si>
  <si>
    <t>V-8480122.0NBR000</t>
  </si>
  <si>
    <t>V-8480632.0NBR000</t>
  </si>
  <si>
    <t>V-8480132.0NBR000</t>
  </si>
  <si>
    <t>V-8481642.0NBR000</t>
  </si>
  <si>
    <t>V-8481142.0NBR000</t>
  </si>
  <si>
    <t>V-8480642.0NBR000</t>
  </si>
  <si>
    <t>V-8480142.0NBR000</t>
  </si>
  <si>
    <t>V-8481652.0NBR000</t>
  </si>
  <si>
    <t>V-8481152.0NBR000</t>
  </si>
  <si>
    <t>V-8480652.0NBR000</t>
  </si>
  <si>
    <t>V-8480152.0NBR000</t>
  </si>
  <si>
    <t>V-8480520.0EPDM00</t>
  </si>
  <si>
    <t>V-8480020.0EPDM00</t>
  </si>
  <si>
    <t>V-6666511</t>
  </si>
  <si>
    <t>V-8480530.0EPDM00</t>
  </si>
  <si>
    <t>V-8480030.0EPDM00</t>
  </si>
  <si>
    <t>V-8480540.0EPDM00</t>
  </si>
  <si>
    <t>V-8480040.0EPDM00</t>
  </si>
  <si>
    <t>V-8480550.0EPDM00</t>
  </si>
  <si>
    <t>V-8480050.0EPDM00</t>
  </si>
  <si>
    <t>V-6666512</t>
  </si>
  <si>
    <t>V-8480560.0EPDM00</t>
  </si>
  <si>
    <t>V-8480060.0EPDM00</t>
  </si>
  <si>
    <t>V-6666513</t>
  </si>
  <si>
    <t>V-8480570.0EPDM00</t>
  </si>
  <si>
    <t>V-8480070.0EPDM00</t>
  </si>
  <si>
    <t>V-6666514</t>
  </si>
  <si>
    <t>V-8480580.0EPDM00</t>
  </si>
  <si>
    <t>V-8480080.0EPDM00</t>
  </si>
  <si>
    <t>V-6666515</t>
  </si>
  <si>
    <t>Typ WAFER s předlitými oky pro montážní šrouby</t>
  </si>
  <si>
    <t>H-2952384.M00</t>
  </si>
  <si>
    <t>H-2952385.M00</t>
  </si>
  <si>
    <t>H-2952386.M00</t>
  </si>
  <si>
    <t>H-2952387.M00</t>
  </si>
  <si>
    <t>H-2952388.M00</t>
  </si>
  <si>
    <t>H-2952389.M00</t>
  </si>
  <si>
    <t>H-2952390.M00</t>
  </si>
  <si>
    <t>H-2952391.M00</t>
  </si>
  <si>
    <t>H-2952392.M00</t>
  </si>
  <si>
    <t>Pro cisternové vozy</t>
  </si>
  <si>
    <t>Výstup víka</t>
  </si>
  <si>
    <t xml:space="preserve"> G 1 1/4"</t>
  </si>
  <si>
    <t xml:space="preserve">  G 2"</t>
  </si>
  <si>
    <t>V-8611420</t>
  </si>
  <si>
    <t xml:space="preserve"> G 2"</t>
  </si>
  <si>
    <t>V-8611440</t>
  </si>
  <si>
    <t xml:space="preserve"> G 2 1/2"</t>
  </si>
  <si>
    <t>V-8611250</t>
  </si>
  <si>
    <t>V-8611450</t>
  </si>
  <si>
    <t xml:space="preserve"> G 4"</t>
  </si>
  <si>
    <t>V-8611270</t>
  </si>
  <si>
    <t>V-8611470</t>
  </si>
  <si>
    <t>V-8611080</t>
  </si>
  <si>
    <t>V-8611480</t>
  </si>
  <si>
    <t>V-8611280</t>
  </si>
  <si>
    <t>V-8606420</t>
  </si>
  <si>
    <t xml:space="preserve"> G 3"</t>
  </si>
  <si>
    <t>V-8611440.AWWAP25</t>
  </si>
  <si>
    <t>V-8611250.AWWAP16</t>
  </si>
  <si>
    <t>V-8611250.AWWAP25</t>
  </si>
  <si>
    <t xml:space="preserve"> G 6"</t>
  </si>
  <si>
    <t>V-8611270.AWWAP16</t>
  </si>
  <si>
    <t>V-8611270.AWWAP25</t>
  </si>
  <si>
    <t>3-84-00066-429</t>
  </si>
  <si>
    <t>3-84-00066-419</t>
  </si>
  <si>
    <t>3-84-00066-420</t>
  </si>
  <si>
    <t>3-84-00066-421</t>
  </si>
  <si>
    <t>3-84-00066-425</t>
  </si>
  <si>
    <t>3-84-00066-422</t>
  </si>
  <si>
    <t>3-84-00066-426</t>
  </si>
  <si>
    <t>3-84-00066-423</t>
  </si>
  <si>
    <t>3-84-00066-427</t>
  </si>
  <si>
    <t>3-84-00066-424</t>
  </si>
  <si>
    <t>V-8604720</t>
  </si>
  <si>
    <t>V-8604740</t>
  </si>
  <si>
    <t>V-8604750</t>
  </si>
  <si>
    <t>V-8604770</t>
  </si>
  <si>
    <t>V-8604680</t>
  </si>
  <si>
    <t>V-8604780</t>
  </si>
  <si>
    <t>V-8601110</t>
  </si>
  <si>
    <t>V-8601111</t>
  </si>
  <si>
    <t>V-8601112</t>
  </si>
  <si>
    <t>V-8601113</t>
  </si>
  <si>
    <t>V-8601010</t>
  </si>
  <si>
    <t>V-8601015</t>
  </si>
  <si>
    <t>V-8601011</t>
  </si>
  <si>
    <t>V-8601016</t>
  </si>
  <si>
    <t>V-8601012</t>
  </si>
  <si>
    <t>V-8601017</t>
  </si>
  <si>
    <t>V-8601013</t>
  </si>
  <si>
    <t>V-8601018</t>
  </si>
  <si>
    <t>V-8708102</t>
  </si>
  <si>
    <t>W-2290049.7000</t>
  </si>
  <si>
    <t>50, 80</t>
  </si>
  <si>
    <t>V-8609223.0KOOP00</t>
  </si>
  <si>
    <t>V-8609243.0KOOP00</t>
  </si>
  <si>
    <t>G 1</t>
  </si>
  <si>
    <t>V-8607783.0KOOP00</t>
  </si>
  <si>
    <t>V-8256422</t>
  </si>
  <si>
    <t>V-8257421</t>
  </si>
  <si>
    <t>V-8256432</t>
  </si>
  <si>
    <t>V-8257431</t>
  </si>
  <si>
    <t>V-8256442</t>
  </si>
  <si>
    <t>V-8257441</t>
  </si>
  <si>
    <t>V-8256452</t>
  </si>
  <si>
    <t>V-8257451</t>
  </si>
  <si>
    <t>V-8256462</t>
  </si>
  <si>
    <t>V-8257461</t>
  </si>
  <si>
    <t>V-8256472</t>
  </si>
  <si>
    <t>V-8257471</t>
  </si>
  <si>
    <t>V-8250482</t>
  </si>
  <si>
    <t>V-8251481</t>
  </si>
  <si>
    <t>V-8256482</t>
  </si>
  <si>
    <t>V-8257481</t>
  </si>
  <si>
    <t>V-8250492</t>
  </si>
  <si>
    <t>V-8251491</t>
  </si>
  <si>
    <t>V-8256492</t>
  </si>
  <si>
    <t>V-8257491</t>
  </si>
  <si>
    <t>V-8250502</t>
  </si>
  <si>
    <t>V-8251501</t>
  </si>
  <si>
    <t>V-8256502</t>
  </si>
  <si>
    <t>V-8257501</t>
  </si>
  <si>
    <t>V-8256425</t>
  </si>
  <si>
    <t>V-8256435</t>
  </si>
  <si>
    <t>V-8256445</t>
  </si>
  <si>
    <t>V-8256455</t>
  </si>
  <si>
    <t>V-8256465</t>
  </si>
  <si>
    <t>V-8256475</t>
  </si>
  <si>
    <t>V-8250485</t>
  </si>
  <si>
    <t>V-8256485</t>
  </si>
  <si>
    <t>V-8250495</t>
  </si>
  <si>
    <t>V-8256495</t>
  </si>
  <si>
    <t>V-8250505</t>
  </si>
  <si>
    <t>V-8256505</t>
  </si>
  <si>
    <t>V-8262220</t>
  </si>
  <si>
    <t>V-8263220</t>
  </si>
  <si>
    <t>V-8262230</t>
  </si>
  <si>
    <t>V-8263230</t>
  </si>
  <si>
    <t>V-8262240</t>
  </si>
  <si>
    <t>V-8263240</t>
  </si>
  <si>
    <t>V-8262250</t>
  </si>
  <si>
    <t>V-8263250</t>
  </si>
  <si>
    <t>V-8262260</t>
  </si>
  <si>
    <t>V-8263260</t>
  </si>
  <si>
    <t>V-8262270</t>
  </si>
  <si>
    <t>V-8263270</t>
  </si>
  <si>
    <t>V-8262280</t>
  </si>
  <si>
    <t>V-8263280</t>
  </si>
  <si>
    <t>V-8616610</t>
  </si>
  <si>
    <t>V-8616613</t>
  </si>
  <si>
    <t>V-8616620</t>
  </si>
  <si>
    <t>V-8616623</t>
  </si>
  <si>
    <t>V-8616630</t>
  </si>
  <si>
    <t>V-8616633</t>
  </si>
  <si>
    <t>V-8616640</t>
  </si>
  <si>
    <t>V-8616643</t>
  </si>
  <si>
    <t>V-8616650</t>
  </si>
  <si>
    <t>V-8616653</t>
  </si>
  <si>
    <t>V-8616660</t>
  </si>
  <si>
    <t>V-8616663</t>
  </si>
  <si>
    <t>V-8616670</t>
  </si>
  <si>
    <t>V-8616673</t>
  </si>
  <si>
    <t>V-8614688.S000000</t>
  </si>
  <si>
    <t>V-8614688</t>
  </si>
  <si>
    <t>V-8614680</t>
  </si>
  <si>
    <t>V-8614683</t>
  </si>
  <si>
    <t>250 1)</t>
  </si>
  <si>
    <t>V-8614698.S000000</t>
  </si>
  <si>
    <t>V-8614698</t>
  </si>
  <si>
    <t>V-8614690</t>
  </si>
  <si>
    <t>V-8614693</t>
  </si>
  <si>
    <t>M-2395183.570100</t>
  </si>
  <si>
    <t>M-2395185.570100</t>
  </si>
  <si>
    <t>M-2395187.570100</t>
  </si>
  <si>
    <t>M-2395200.570100</t>
  </si>
  <si>
    <t>M-2395203.570100</t>
  </si>
  <si>
    <t>M-2395206.570100</t>
  </si>
  <si>
    <t>M-2395209.570100</t>
  </si>
  <si>
    <t>M-2395309.570100</t>
  </si>
  <si>
    <t>M-2395315.570100</t>
  </si>
  <si>
    <t>49 × 111</t>
  </si>
  <si>
    <t>60 × 120</t>
  </si>
  <si>
    <t>84 × 137</t>
  </si>
  <si>
    <t>91 × 137</t>
  </si>
  <si>
    <t>109 × 198</t>
  </si>
  <si>
    <t>138 × 231</t>
  </si>
  <si>
    <t>168 × 272</t>
  </si>
  <si>
    <t>211 × 360</t>
  </si>
  <si>
    <t>262 × 390</t>
  </si>
  <si>
    <t>S integrovanou zpětnou klapkou</t>
  </si>
  <si>
    <t>W-8102823.NERCED0</t>
  </si>
  <si>
    <t>W-8102833.NERCED0</t>
  </si>
  <si>
    <t>W-8102843.NERCED0</t>
  </si>
  <si>
    <t>W-8102853.NERCED0</t>
  </si>
  <si>
    <t>W-8102863.NERCED0</t>
  </si>
  <si>
    <t>W-8102873.NERCED0</t>
  </si>
  <si>
    <t>W-8102883.NERCED0</t>
  </si>
  <si>
    <t>W-8102893.NERCED0</t>
  </si>
  <si>
    <t>185</t>
  </si>
  <si>
    <t>V-8327023.10160ST</t>
  </si>
  <si>
    <t>V-8327033.10160ST</t>
  </si>
  <si>
    <t>V-8327043.10160ST</t>
  </si>
  <si>
    <t>V-8327053.10160ST</t>
  </si>
  <si>
    <t>V-8327063.10160ST</t>
  </si>
  <si>
    <t>V-8327073.10160ST</t>
  </si>
  <si>
    <t>V-8327083.10000ST</t>
  </si>
  <si>
    <t>V-8327083.16000ST</t>
  </si>
  <si>
    <t>195</t>
  </si>
  <si>
    <t>V-8327093.10000ST</t>
  </si>
  <si>
    <t>V-8327093.16000ST</t>
  </si>
  <si>
    <t>V-8327103.10000ST</t>
  </si>
  <si>
    <t>V-8327103.16000ST</t>
  </si>
  <si>
    <t>275</t>
  </si>
  <si>
    <t>V-8327113.10000ST</t>
  </si>
  <si>
    <t>V-8327113.16000ST</t>
  </si>
  <si>
    <t>V-8327123.10000ST</t>
  </si>
  <si>
    <t>V-8327123.16000ST</t>
  </si>
  <si>
    <t>V-8327133.10000ST</t>
  </si>
  <si>
    <t>V-8327133.16000ST</t>
  </si>
  <si>
    <t>V-8327143.10000ST</t>
  </si>
  <si>
    <t>V-8327143.16000ST</t>
  </si>
  <si>
    <t>V-8327153.10000ST</t>
  </si>
  <si>
    <t>V-8327153.16000ST</t>
  </si>
  <si>
    <t>V-8327163.10000ST</t>
  </si>
  <si>
    <t>V-8327163.16000ST</t>
  </si>
  <si>
    <t>V-8327173.10000ST</t>
  </si>
  <si>
    <t>V-8327173.16000ST</t>
  </si>
  <si>
    <t>V-8327183.10000ST</t>
  </si>
  <si>
    <t>V-8327183.16000ST</t>
  </si>
  <si>
    <t>290</t>
  </si>
  <si>
    <t>V-8327193.10000ST</t>
  </si>
  <si>
    <t>V-8327193.16000ST</t>
  </si>
  <si>
    <t>310</t>
  </si>
  <si>
    <t>V-8327203.10000ST</t>
  </si>
  <si>
    <t>V-8327203.16000ST</t>
  </si>
  <si>
    <t>340</t>
  </si>
  <si>
    <t>V-8327213.10000ST</t>
  </si>
  <si>
    <t>V-8327213.16000ST</t>
  </si>
  <si>
    <t>380</t>
  </si>
  <si>
    <t>V-8327223.10000ST</t>
  </si>
  <si>
    <t>V-8327223.16000ST</t>
  </si>
  <si>
    <t>V-8327233.10000ST</t>
  </si>
  <si>
    <t>V-8327233.16000ST</t>
  </si>
  <si>
    <t>V-8327243.10000ST</t>
  </si>
  <si>
    <t>V-8327243.16000ST</t>
  </si>
  <si>
    <t>V-8327023.10160SS</t>
  </si>
  <si>
    <t>V-8327033.10160SS</t>
  </si>
  <si>
    <t>V-8327043.10160SS</t>
  </si>
  <si>
    <t>V-8327053.10160SS</t>
  </si>
  <si>
    <t>V-8327063.10160SS</t>
  </si>
  <si>
    <t>V-8327073.10160SS</t>
  </si>
  <si>
    <t>V-8327083.10000SS</t>
  </si>
  <si>
    <t>V-8327083.16000SS</t>
  </si>
  <si>
    <t>V-8327093.10000SS</t>
  </si>
  <si>
    <t>V-8327093.16000SS</t>
  </si>
  <si>
    <t>V-8327103.10000SS</t>
  </si>
  <si>
    <t>V-8327103.16000SS</t>
  </si>
  <si>
    <t>V-8327113.10000SS</t>
  </si>
  <si>
    <t>V-8327113.16000SS</t>
  </si>
  <si>
    <t>V-8327123.10000SS</t>
  </si>
  <si>
    <t>V-8327123.16000SS</t>
  </si>
  <si>
    <t>V-8327133.10000SS</t>
  </si>
  <si>
    <t>V-8327133.16000SS</t>
  </si>
  <si>
    <t>V-8327143.10000SS</t>
  </si>
  <si>
    <t>V-8327143.16000SS</t>
  </si>
  <si>
    <t>V-8327153.10000SS</t>
  </si>
  <si>
    <t>V-8327153.16000SS</t>
  </si>
  <si>
    <t>V-8327163.10000SS</t>
  </si>
  <si>
    <t>V-8327163.16000SS</t>
  </si>
  <si>
    <t>V-8327173.10000SS</t>
  </si>
  <si>
    <t>V-8327173.16000SS</t>
  </si>
  <si>
    <t>V-8327183.10000SS</t>
  </si>
  <si>
    <t>V-8327183.16000SS</t>
  </si>
  <si>
    <t>V-8327193.10000SS</t>
  </si>
  <si>
    <t>V-8327193.16000SS</t>
  </si>
  <si>
    <t>V-8327203.10000SS</t>
  </si>
  <si>
    <t>V-8327203.16000SS</t>
  </si>
  <si>
    <t>V-8327213.10000SS</t>
  </si>
  <si>
    <t>V-8327213.16000SS</t>
  </si>
  <si>
    <t>V-8327223.10000SS</t>
  </si>
  <si>
    <t>V-8327223.16000SS</t>
  </si>
  <si>
    <t>V-8327233.10000SS</t>
  </si>
  <si>
    <t>V-8327233.16000SS</t>
  </si>
  <si>
    <t>V-8327243.10000SS</t>
  </si>
  <si>
    <t>V-8327243.16000SS</t>
  </si>
  <si>
    <t>V-8326213.0KOOP00</t>
  </si>
  <si>
    <t>V-8326210.0KOOP00</t>
  </si>
  <si>
    <t>V-8326223.0KOOP00</t>
  </si>
  <si>
    <t>V-8326220.0KOOP00</t>
  </si>
  <si>
    <t>V-8326233.0KOOP00</t>
  </si>
  <si>
    <t>V-8326230.0KOOP00</t>
  </si>
  <si>
    <t>V-8326243.0KOOP00</t>
  </si>
  <si>
    <t>V-8326240.0KOOP00</t>
  </si>
  <si>
    <t>V-8326253.0KOOP00</t>
  </si>
  <si>
    <t>V-8326250.0KOOP00</t>
  </si>
  <si>
    <t>V-8326263.0KOOP00</t>
  </si>
  <si>
    <t>V-8326260.0KOOP00</t>
  </si>
  <si>
    <t>V-8326273.0KOOP00</t>
  </si>
  <si>
    <t>V-8326270.0KOOP00</t>
  </si>
  <si>
    <t>V-8326288.0EPOXY0</t>
  </si>
  <si>
    <t>V-8326288.0KOOP00</t>
  </si>
  <si>
    <t>V-8326283.0KOOP00</t>
  </si>
  <si>
    <t>V-8326280.0KOOP00</t>
  </si>
  <si>
    <t>V-8326298.0EPOXY0</t>
  </si>
  <si>
    <t>V-8326298.0KOOP00</t>
  </si>
  <si>
    <t>V-8326293.0KOOP00</t>
  </si>
  <si>
    <t>V-8326290.0KOOP00</t>
  </si>
  <si>
    <t>S jednostranně průchozími závitovými tyčemi</t>
  </si>
  <si>
    <t>Z</t>
  </si>
  <si>
    <t>W-0003296.0300P10</t>
  </si>
  <si>
    <t>W-0003296.0300P16</t>
  </si>
  <si>
    <t>W-0003296.0350P10</t>
  </si>
  <si>
    <t>W-0003296.0350P16</t>
  </si>
  <si>
    <t>W-0003296.0400P10</t>
  </si>
  <si>
    <t>W-0003296.0400P16</t>
  </si>
  <si>
    <t>W-0003296.0500P10</t>
  </si>
  <si>
    <t>W-0003296.0500P16</t>
  </si>
  <si>
    <t>W-0003296.0600P10</t>
  </si>
  <si>
    <t>W-0003296.0600P16</t>
  </si>
  <si>
    <t>W-0003296.0700P10</t>
  </si>
  <si>
    <t>W-0003296.0700P16</t>
  </si>
  <si>
    <t>W-0003296.0800P10</t>
  </si>
  <si>
    <t>W-0003296.0800P16</t>
  </si>
  <si>
    <t>W-0003296.1000P10</t>
  </si>
  <si>
    <t>W-0003296.1000P16</t>
  </si>
  <si>
    <t>Bez jištění proti posuvu</t>
  </si>
  <si>
    <t>59 … 72</t>
  </si>
  <si>
    <t>W-0003830.0505002</t>
  </si>
  <si>
    <t>72 … 85</t>
  </si>
  <si>
    <t>W-0003830.0655002</t>
  </si>
  <si>
    <t>88 … 103</t>
  </si>
  <si>
    <t>W-0003830.0805002</t>
  </si>
  <si>
    <t>109 … 128</t>
  </si>
  <si>
    <t>W-0003830.1005002</t>
  </si>
  <si>
    <t>138 … 153</t>
  </si>
  <si>
    <t>W-0003830.1255002</t>
  </si>
  <si>
    <t>159 … 182</t>
  </si>
  <si>
    <t>W-0003830.1505002</t>
  </si>
  <si>
    <t>192 … 210</t>
  </si>
  <si>
    <t>W-0003830.1755002</t>
  </si>
  <si>
    <t>218 … 235</t>
  </si>
  <si>
    <t>W-0003830.2005002</t>
  </si>
  <si>
    <t>242 … 262</t>
  </si>
  <si>
    <t>W-0003830.2255002</t>
  </si>
  <si>
    <t>250 … 267</t>
  </si>
  <si>
    <t>W-0003830.2505002</t>
  </si>
  <si>
    <t>272 … 289</t>
  </si>
  <si>
    <t>W-0003830.2515002</t>
  </si>
  <si>
    <t>315 … 332</t>
  </si>
  <si>
    <t>W-0003830.3005002</t>
  </si>
  <si>
    <t>322 … 340</t>
  </si>
  <si>
    <t>W-0003830.3015002</t>
  </si>
  <si>
    <t>351 … 378</t>
  </si>
  <si>
    <t>W-0003830.3025002</t>
  </si>
  <si>
    <t>374 … 391</t>
  </si>
  <si>
    <t>W-0003830.3505002</t>
  </si>
  <si>
    <t>417 … 437</t>
  </si>
  <si>
    <t>W-0003830.4005002</t>
  </si>
  <si>
    <t>425 … 442</t>
  </si>
  <si>
    <t>W-0003830.4015002</t>
  </si>
  <si>
    <t>480 … 500</t>
  </si>
  <si>
    <t>W-0003830.4505002</t>
  </si>
  <si>
    <t>526 … 546</t>
  </si>
  <si>
    <t>W-0003830.5005002</t>
  </si>
  <si>
    <t>630 … 650</t>
  </si>
  <si>
    <t>W-0003830.6005002</t>
  </si>
  <si>
    <t>W-0003830.0501002</t>
  </si>
  <si>
    <t>W-0003830.0651002</t>
  </si>
  <si>
    <t>W-0003830.0801002</t>
  </si>
  <si>
    <t>W-0003830.1001002</t>
  </si>
  <si>
    <t>W-0003830.1251002</t>
  </si>
  <si>
    <t>W-0003830.1511002</t>
  </si>
  <si>
    <t>W-0003830.1751002</t>
  </si>
  <si>
    <t>W-0003830.2001002</t>
  </si>
  <si>
    <t>W-0003830.2261002</t>
  </si>
  <si>
    <t>W-0003830.2501002</t>
  </si>
  <si>
    <t>W-0003830.2511002</t>
  </si>
  <si>
    <t>W-0003830.3001002</t>
  </si>
  <si>
    <t>W-0003830.3011002</t>
  </si>
  <si>
    <t>W-0003830.3501002</t>
  </si>
  <si>
    <t>W-0003830.3511002</t>
  </si>
  <si>
    <t>390 … 410</t>
  </si>
  <si>
    <t>W-0003830.4001002</t>
  </si>
  <si>
    <t>W-0003830.4011002</t>
  </si>
  <si>
    <t>W-0003830.4511002</t>
  </si>
  <si>
    <t>W-0003830.5001002</t>
  </si>
  <si>
    <t>W-0003830.6011002</t>
  </si>
  <si>
    <t>40, 50</t>
  </si>
  <si>
    <t>W-8703003</t>
  </si>
  <si>
    <t>W-8703013</t>
  </si>
  <si>
    <t>65, 80</t>
  </si>
  <si>
    <t>W-8703203</t>
  </si>
  <si>
    <t>W-8703213</t>
  </si>
  <si>
    <t>100…150</t>
  </si>
  <si>
    <t>W-8703303</t>
  </si>
  <si>
    <t>W-8703313</t>
  </si>
  <si>
    <t>W-8703403</t>
  </si>
  <si>
    <t>W-8703413</t>
  </si>
  <si>
    <t>250, 300</t>
  </si>
  <si>
    <t>W-8703503</t>
  </si>
  <si>
    <t>W-8703513</t>
  </si>
  <si>
    <t>W-8703613</t>
  </si>
  <si>
    <t>W-8703023</t>
  </si>
  <si>
    <t>W-8703043</t>
  </si>
  <si>
    <t>W-8703223</t>
  </si>
  <si>
    <t>W-8703243</t>
  </si>
  <si>
    <t>W-8703323</t>
  </si>
  <si>
    <t>W-8703343</t>
  </si>
  <si>
    <t>W-8703423</t>
  </si>
  <si>
    <t>W-8703443</t>
  </si>
  <si>
    <t>W-8703523</t>
  </si>
  <si>
    <t>W-8703543</t>
  </si>
  <si>
    <t>W-8703623</t>
  </si>
  <si>
    <t>W-8703643</t>
  </si>
  <si>
    <t>400…500</t>
  </si>
  <si>
    <t>W-0002290.0737000</t>
  </si>
  <si>
    <t>W-8703743.B</t>
  </si>
  <si>
    <t>W-8703843.B</t>
  </si>
  <si>
    <t>W-8703103</t>
  </si>
  <si>
    <t>W-8703113</t>
  </si>
  <si>
    <t>W-8703123</t>
  </si>
  <si>
    <t>W-8703143</t>
  </si>
  <si>
    <t>W-8510620</t>
  </si>
  <si>
    <t>W-8510630</t>
  </si>
  <si>
    <t>W-8510640</t>
  </si>
  <si>
    <t>W-8510660</t>
  </si>
  <si>
    <t>0,75 … 1,0</t>
  </si>
  <si>
    <t>W-0122501.TE0000V</t>
  </si>
  <si>
    <t>0,9 … 1,3</t>
  </si>
  <si>
    <t>W-0122511.TE0000V</t>
  </si>
  <si>
    <t>W-0122502.TE0000V</t>
  </si>
  <si>
    <t>W-0122512.TE0000V</t>
  </si>
  <si>
    <t>100 … 150</t>
  </si>
  <si>
    <t>W-0122503.TE0000V</t>
  </si>
  <si>
    <t>W-0122513.TE0000V</t>
  </si>
  <si>
    <t>W-0122504.TE0000V</t>
  </si>
  <si>
    <t>W-0122514.TE0000V</t>
  </si>
  <si>
    <t>250 … 350</t>
  </si>
  <si>
    <t>W-0122505.TE0000V</t>
  </si>
  <si>
    <t>W-0122515.TE0000V</t>
  </si>
  <si>
    <t>1,2 … 1,8</t>
  </si>
  <si>
    <t>W-0122521.TE0000V</t>
  </si>
  <si>
    <t>1,7 … 2,7</t>
  </si>
  <si>
    <t>W-0122531.TE0000V</t>
  </si>
  <si>
    <t>W-0122522.TE0000V</t>
  </si>
  <si>
    <t>W-0122532.TE0000V</t>
  </si>
  <si>
    <t>W-0122523.TE0000V</t>
  </si>
  <si>
    <t>W-0122533.TE0000V</t>
  </si>
  <si>
    <t>W-0122524.TE0000V</t>
  </si>
  <si>
    <t>W-0122534.TE0000V</t>
  </si>
  <si>
    <t>W-0122525.TE0000V</t>
  </si>
  <si>
    <t>W-0122535.TE0000V</t>
  </si>
  <si>
    <t>1,5 … 1,8</t>
  </si>
  <si>
    <t>W-0003297.0053000</t>
  </si>
  <si>
    <t>1,8 … 2,5</t>
  </si>
  <si>
    <t>W-0122536.TE0000V</t>
  </si>
  <si>
    <t>W-0121502.TE0000V</t>
  </si>
  <si>
    <t>W-0121512.TE0000V</t>
  </si>
  <si>
    <t>W-0121522.TE0000V</t>
  </si>
  <si>
    <t>W-0121532.TE0000V</t>
  </si>
  <si>
    <t>W-0002290.0262500</t>
  </si>
  <si>
    <t>W-0002290.0276500</t>
  </si>
  <si>
    <t>W-0002290.0296500</t>
  </si>
  <si>
    <t>W-0002290.0266500</t>
  </si>
  <si>
    <t>W-0002290.0279500</t>
  </si>
  <si>
    <t>W-0002290.0295500</t>
  </si>
  <si>
    <t>W-0002290.0263500</t>
  </si>
  <si>
    <t>W-0002290.0275500</t>
  </si>
  <si>
    <t>W-0002290.0299500</t>
  </si>
  <si>
    <t>W-0002290.0264500</t>
  </si>
  <si>
    <t>W-0002290.0277500</t>
  </si>
  <si>
    <t>W-0002290.0297500</t>
  </si>
  <si>
    <t>Typ</t>
  </si>
  <si>
    <t>RAMBO</t>
  </si>
  <si>
    <t>W-8705002</t>
  </si>
  <si>
    <t>Ventilový</t>
  </si>
  <si>
    <t>W-8705022</t>
  </si>
  <si>
    <t>W-8705033</t>
  </si>
  <si>
    <t>W-2290045.0000</t>
  </si>
  <si>
    <t>W-2290002.2000</t>
  </si>
  <si>
    <t>Popis</t>
  </si>
  <si>
    <t>W-0002157</t>
  </si>
  <si>
    <t>W-0002159</t>
  </si>
  <si>
    <t>W-0001208</t>
  </si>
  <si>
    <t>W-0002161</t>
  </si>
  <si>
    <t>Výrobek není zařazen do rabatové skupiny</t>
  </si>
  <si>
    <t>Velký transportní kufr s kolečky</t>
  </si>
  <si>
    <t>Jehlan</t>
  </si>
  <si>
    <t>H-1341082</t>
  </si>
  <si>
    <t>H-1341083</t>
  </si>
  <si>
    <t>H-1341084</t>
  </si>
  <si>
    <t>H-1341085.G00</t>
  </si>
  <si>
    <t>H-1341086.G00</t>
  </si>
  <si>
    <t>400, 500</t>
  </si>
  <si>
    <t>H-1340106.M00</t>
  </si>
  <si>
    <t>H-1340104.M00</t>
  </si>
  <si>
    <t>H-1340103.M00</t>
  </si>
  <si>
    <t>H-1340107.M00</t>
  </si>
  <si>
    <t>H-1340102.M00</t>
  </si>
  <si>
    <t>40 … 80</t>
  </si>
  <si>
    <t>M-0002201.161331</t>
  </si>
  <si>
    <t>100 … 200</t>
  </si>
  <si>
    <t>L-1340042.S</t>
  </si>
  <si>
    <t>L-1340043.S</t>
  </si>
  <si>
    <t>L-1340074.S</t>
  </si>
  <si>
    <t>L-1340075.S</t>
  </si>
  <si>
    <t>L-1340076.S</t>
  </si>
  <si>
    <t>W-0000030</t>
  </si>
  <si>
    <t>W-0003486</t>
  </si>
  <si>
    <t>W-0000019</t>
  </si>
  <si>
    <t>W-0000020</t>
  </si>
  <si>
    <t>Ovládací klíče</t>
  </si>
  <si>
    <t>2-29-00274-500</t>
  </si>
  <si>
    <t>1,8 … 2,6</t>
  </si>
  <si>
    <t>2-29-00274-510</t>
  </si>
  <si>
    <t>2,5 … 3,7</t>
  </si>
  <si>
    <t>2-29-00274-600</t>
  </si>
  <si>
    <t>3,5 … 4,7</t>
  </si>
  <si>
    <t>2-29-00274-610</t>
  </si>
  <si>
    <t>4,5 … 5,7</t>
  </si>
  <si>
    <t>2-29-00274-620</t>
  </si>
  <si>
    <t>1,6 … 1,9</t>
  </si>
  <si>
    <t>2-29-00306-500</t>
  </si>
  <si>
    <t>1,9 … 2,7</t>
  </si>
  <si>
    <t>2-29-00306-510</t>
  </si>
  <si>
    <t>2-29-00306-600</t>
  </si>
  <si>
    <t>2-29-00306-610</t>
  </si>
  <si>
    <t>TELEMAX EG</t>
  </si>
  <si>
    <t>V-7909443</t>
  </si>
  <si>
    <t>V-7909453</t>
  </si>
  <si>
    <t>V-7909463</t>
  </si>
  <si>
    <t>V-7909473</t>
  </si>
  <si>
    <t>V-7909483</t>
  </si>
  <si>
    <t>V-7910443</t>
  </si>
  <si>
    <t>V-7910453</t>
  </si>
  <si>
    <t>V-7910463</t>
  </si>
  <si>
    <t>V-7910473</t>
  </si>
  <si>
    <t>V-7910483</t>
  </si>
  <si>
    <t>V-7911043</t>
  </si>
  <si>
    <t>V-7911053</t>
  </si>
  <si>
    <t>V-7911063</t>
  </si>
  <si>
    <t>V-7911073</t>
  </si>
  <si>
    <t>V-7911083</t>
  </si>
  <si>
    <t>V-7912083</t>
  </si>
  <si>
    <t>V-8672650</t>
  </si>
  <si>
    <t>V-8672660</t>
  </si>
  <si>
    <t>V-8672651</t>
  </si>
  <si>
    <t>V-8672661</t>
  </si>
  <si>
    <t>V-8672652</t>
  </si>
  <si>
    <t>V-8672662</t>
  </si>
  <si>
    <t>V-8672653</t>
  </si>
  <si>
    <t>V-8672663</t>
  </si>
  <si>
    <t>V-8601210</t>
  </si>
  <si>
    <t>V-8601211</t>
  </si>
  <si>
    <t>V-8601212</t>
  </si>
  <si>
    <t>V-8601213</t>
  </si>
  <si>
    <t>H-2963160.G00</t>
  </si>
  <si>
    <t>H-2963161.G00</t>
  </si>
  <si>
    <t>H-2963162.G00</t>
  </si>
  <si>
    <t>H-2963115.G00</t>
  </si>
  <si>
    <t>H-2963116.G00</t>
  </si>
  <si>
    <t>H-2963117.G00</t>
  </si>
  <si>
    <t>H-2963118.G00</t>
  </si>
  <si>
    <t>H-2963119.G00</t>
  </si>
  <si>
    <t>H-2963120.G00</t>
  </si>
  <si>
    <t>H-2963121.G00</t>
  </si>
  <si>
    <t xml:space="preserve">DN </t>
  </si>
  <si>
    <t>H-2963127.G00</t>
  </si>
  <si>
    <t>H-2963128.G00</t>
  </si>
  <si>
    <t>H-2963129.G00</t>
  </si>
  <si>
    <t>H-2963214.G00</t>
  </si>
  <si>
    <t>H-2963056.G00</t>
  </si>
  <si>
    <t>H-2963057.G00</t>
  </si>
  <si>
    <t>H-2963215.G00</t>
  </si>
  <si>
    <t>H-2963058.G00</t>
  </si>
  <si>
    <t>H-2963055.G00</t>
  </si>
  <si>
    <t>M-2290004.900000</t>
  </si>
  <si>
    <t>M-2290005.000000</t>
  </si>
  <si>
    <t>M-2290005.100000</t>
  </si>
  <si>
    <t>M-2290005.200000</t>
  </si>
  <si>
    <t>M-2290005.300000</t>
  </si>
  <si>
    <t>2-29-00066-000</t>
  </si>
  <si>
    <t>2-29-00068-000</t>
  </si>
  <si>
    <t>2-29-00071-000</t>
  </si>
  <si>
    <t>2-29-00067-000</t>
  </si>
  <si>
    <t>2-29-00069-000</t>
  </si>
  <si>
    <t>2-29-00072-000</t>
  </si>
  <si>
    <t>2-29-00070-000</t>
  </si>
  <si>
    <t>2-29-00073-000</t>
  </si>
  <si>
    <t>2-29-00074-000</t>
  </si>
  <si>
    <t>H-2963072.G00</t>
  </si>
  <si>
    <t>H-2963073.G00</t>
  </si>
  <si>
    <t>H-2963074.G00</t>
  </si>
  <si>
    <t>H-2963036.G00</t>
  </si>
  <si>
    <t>H-2963038.G00</t>
  </si>
  <si>
    <t>H-2963037.G00</t>
  </si>
  <si>
    <t>H-2963039.G00</t>
  </si>
  <si>
    <t>M-2290007.900000</t>
  </si>
  <si>
    <t>H-2963045.G00</t>
  </si>
  <si>
    <t>H-2963040.G00</t>
  </si>
  <si>
    <t>H-2963041.G00</t>
  </si>
  <si>
    <t>H-2963042.G00</t>
  </si>
  <si>
    <t>H-2963043.G00</t>
  </si>
  <si>
    <t>M-2290007.700000</t>
  </si>
  <si>
    <t>M-2290008.400000</t>
  </si>
  <si>
    <t>M-2290007.800000</t>
  </si>
  <si>
    <t>M-2290008.500000</t>
  </si>
  <si>
    <t>H-2963044.G00</t>
  </si>
  <si>
    <t>H-2963046.G00</t>
  </si>
  <si>
    <t>H-2963047.G00</t>
  </si>
  <si>
    <t>H-2963048.G00</t>
  </si>
  <si>
    <t>H-2963049.G00</t>
  </si>
  <si>
    <t>H-2963084.G00</t>
  </si>
  <si>
    <t>H-2963059.G01</t>
  </si>
  <si>
    <t>H-2963085.G00</t>
  </si>
  <si>
    <t>H-2963060.G01</t>
  </si>
  <si>
    <t>H-2963086.G00</t>
  </si>
  <si>
    <t>H-2963061.G01</t>
  </si>
  <si>
    <t>H-2963087.G00</t>
  </si>
  <si>
    <t>H-2963062.G00</t>
  </si>
  <si>
    <t>H-2963088.G00</t>
  </si>
  <si>
    <t>H-2963063.G00</t>
  </si>
  <si>
    <t>H-2963050.G00</t>
  </si>
  <si>
    <t>H-2963051.G00</t>
  </si>
  <si>
    <t>H-2963052.G00</t>
  </si>
  <si>
    <t>H-2963053.G00</t>
  </si>
  <si>
    <t>H-2963054.G00</t>
  </si>
  <si>
    <t>2-28-00870-100</t>
  </si>
  <si>
    <t>2-28-00870-150</t>
  </si>
  <si>
    <t>M-2290155.200000</t>
  </si>
  <si>
    <t>H-2963075.G00</t>
  </si>
  <si>
    <t>H-2963076.G00</t>
  </si>
  <si>
    <t>H-2963077.G00</t>
  </si>
  <si>
    <t>M-2290155.600000</t>
  </si>
  <si>
    <t>H-2963094.G00</t>
  </si>
  <si>
    <t>H-2963095.G00</t>
  </si>
  <si>
    <t>H-2963096.G00</t>
  </si>
  <si>
    <t>H-2963097.G00</t>
  </si>
  <si>
    <t>H-2963098.G00</t>
  </si>
  <si>
    <t>H-2963099.G00</t>
  </si>
  <si>
    <t>H-2963100.G00</t>
  </si>
  <si>
    <t>H-2963101.G00</t>
  </si>
  <si>
    <t>H-2963102.G00</t>
  </si>
  <si>
    <t>H-2963103.G00</t>
  </si>
  <si>
    <t>H-2963104.G00</t>
  </si>
  <si>
    <t>H-2963105.G00</t>
  </si>
  <si>
    <t>H-2963106.G00</t>
  </si>
  <si>
    <t>H-2963107.G00</t>
  </si>
  <si>
    <t>H-2963108.G00</t>
  </si>
  <si>
    <t xml:space="preserve">Úhel </t>
  </si>
  <si>
    <t>90°</t>
  </si>
  <si>
    <t>H-2963110.G01</t>
  </si>
  <si>
    <t>H-2963112.G01</t>
  </si>
  <si>
    <t>H-2963114.G01</t>
  </si>
  <si>
    <t>H-2963109.G00</t>
  </si>
  <si>
    <t>H-2963111.G00</t>
  </si>
  <si>
    <t>H-2963113.G00</t>
  </si>
  <si>
    <t>H-2963136.G01</t>
  </si>
  <si>
    <t>H-2963138.G01</t>
  </si>
  <si>
    <t>H-2963135.G00</t>
  </si>
  <si>
    <t>H-2963137.G00</t>
  </si>
  <si>
    <t>H-2963015.G00</t>
  </si>
  <si>
    <t>H-2963016.G00</t>
  </si>
  <si>
    <t>H-2963017.G00</t>
  </si>
  <si>
    <t>H-2963018.G00</t>
  </si>
  <si>
    <t>H-2963019.G00</t>
  </si>
  <si>
    <t>H-2963020.G00</t>
  </si>
  <si>
    <t>H-2963035.G00</t>
  </si>
  <si>
    <t>H-2963021.G00</t>
  </si>
  <si>
    <t>H-2963022.G00</t>
  </si>
  <si>
    <t>H-2963024.G00</t>
  </si>
  <si>
    <t>H-2963023.G00</t>
  </si>
  <si>
    <t>H-2963078.G00</t>
  </si>
  <si>
    <t>H-2963079.G00</t>
  </si>
  <si>
    <t>M-2290012.600000</t>
  </si>
  <si>
    <t>H-2963080.G00</t>
  </si>
  <si>
    <t>H-2963081.G00</t>
  </si>
  <si>
    <t>11°</t>
  </si>
  <si>
    <t>H-2963144.G00</t>
  </si>
  <si>
    <t>22°</t>
  </si>
  <si>
    <t>H-2963145.G00</t>
  </si>
  <si>
    <t>30°</t>
  </si>
  <si>
    <t>H-2963146.G00</t>
  </si>
  <si>
    <t>45°</t>
  </si>
  <si>
    <t>H-2963147.G00</t>
  </si>
  <si>
    <t>H-2963148.G00</t>
  </si>
  <si>
    <t>H-2963149.G00</t>
  </si>
  <si>
    <t>H-2963150.G00</t>
  </si>
  <si>
    <t>H-2963151.G00</t>
  </si>
  <si>
    <t>M-2290108.700000</t>
  </si>
  <si>
    <t>M-2290014.100000</t>
  </si>
  <si>
    <t>M-2290013.600000</t>
  </si>
  <si>
    <t>M-2290013.100000</t>
  </si>
  <si>
    <t>H-2963152.G00</t>
  </si>
  <si>
    <t>H-2963153.G00</t>
  </si>
  <si>
    <t>H-2963154.G00</t>
  </si>
  <si>
    <t>H-2963155.G00</t>
  </si>
  <si>
    <t>H-2963156.G00</t>
  </si>
  <si>
    <t>H-2963157.G00</t>
  </si>
  <si>
    <t>H-2963158.G00</t>
  </si>
  <si>
    <t>H-2963159.G00</t>
  </si>
  <si>
    <t>H-2963065.G00</t>
  </si>
  <si>
    <t>H-2963066.G00</t>
  </si>
  <si>
    <t>M-2290019.400000</t>
  </si>
  <si>
    <t>H-2963067.G00</t>
  </si>
  <si>
    <t>H-2963068.G00</t>
  </si>
  <si>
    <t>2-29-00054-100</t>
  </si>
  <si>
    <t>2-29-00055-100</t>
  </si>
  <si>
    <t>2-29-00056-100</t>
  </si>
  <si>
    <t>2-29-01557-100</t>
  </si>
  <si>
    <t>2-29-00057-100</t>
  </si>
  <si>
    <t>2-29-00058-100</t>
  </si>
  <si>
    <t>2-29-00059-100</t>
  </si>
  <si>
    <t>2-29-00060-100</t>
  </si>
  <si>
    <t>Proti posunu volného konce potrubí v hrdle</t>
  </si>
  <si>
    <t>M-0001100.319411</t>
  </si>
  <si>
    <t>V-8322052</t>
  </si>
  <si>
    <t>M-0001102.319411</t>
  </si>
  <si>
    <t>M-0001103.319411</t>
  </si>
  <si>
    <t>M-0001104.319411</t>
  </si>
  <si>
    <t>M-0001105.319411</t>
  </si>
  <si>
    <t>V-8322053</t>
  </si>
  <si>
    <t>M-0001113.319411</t>
  </si>
  <si>
    <t>M-0001107.319411</t>
  </si>
  <si>
    <t>M-0001108.319411</t>
  </si>
  <si>
    <t>M-0001114.319411</t>
  </si>
  <si>
    <t>M-0001109.319411</t>
  </si>
  <si>
    <t>M-0001089.319411</t>
  </si>
  <si>
    <t>V-8322054</t>
  </si>
  <si>
    <t>M-0001093.319411</t>
  </si>
  <si>
    <t>M-0001084.319411</t>
  </si>
  <si>
    <t>M-0001110.319411</t>
  </si>
  <si>
    <t>M-0001091.319411</t>
  </si>
  <si>
    <t>M-0001111.319411</t>
  </si>
  <si>
    <t>M-0001112.319411</t>
  </si>
  <si>
    <t>M-0001092.319411</t>
  </si>
  <si>
    <t>M-2470699.278232</t>
  </si>
  <si>
    <t>M-2470700.278232</t>
  </si>
  <si>
    <t>M-2470704.278232</t>
  </si>
  <si>
    <t>M-2470701.278232</t>
  </si>
  <si>
    <t>M-2470702.278232</t>
  </si>
  <si>
    <t>M-2470708.278232</t>
  </si>
  <si>
    <t>M-2470418.278232</t>
  </si>
  <si>
    <t>M-2470709.278232</t>
  </si>
  <si>
    <t>M-2470414.278232</t>
  </si>
  <si>
    <t>M-2470808.278232</t>
  </si>
  <si>
    <t>M-2470419.278232</t>
  </si>
  <si>
    <t>M-0001085.570100</t>
  </si>
  <si>
    <t>M-2470710.278232</t>
  </si>
  <si>
    <t>M-2470415.278232</t>
  </si>
  <si>
    <t>M-2470711.278232</t>
  </si>
  <si>
    <t>M-2470416.278232</t>
  </si>
  <si>
    <t>M-2470724.278232</t>
  </si>
  <si>
    <t>M-2470420.278232</t>
  </si>
  <si>
    <t>M-2470818.278232</t>
  </si>
  <si>
    <t>M-2470425.278232</t>
  </si>
  <si>
    <t>M-2470712.278232</t>
  </si>
  <si>
    <t>M-2470417.278232</t>
  </si>
  <si>
    <t>M-1675328.570100</t>
  </si>
  <si>
    <t>M-1675319.570100</t>
  </si>
  <si>
    <t>M-1675329.570100</t>
  </si>
  <si>
    <t>M-1675322.570100</t>
  </si>
  <si>
    <t>M-1675330.570100</t>
  </si>
  <si>
    <t>M-1675318.570100</t>
  </si>
  <si>
    <t>M-1675331.570100</t>
  </si>
  <si>
    <t>M-1675325.570100</t>
  </si>
  <si>
    <t>M-1675332.570100</t>
  </si>
  <si>
    <t>M-1675320.570100</t>
  </si>
  <si>
    <t>M-1675333.570100</t>
  </si>
  <si>
    <t>M-1675327.570100</t>
  </si>
  <si>
    <t>M-1675334.570100</t>
  </si>
  <si>
    <t>M-1675326.570100</t>
  </si>
  <si>
    <t>M-1675335.570100</t>
  </si>
  <si>
    <t>M-1675321.570100</t>
  </si>
  <si>
    <t>Proti pootočení nátrubku v hrdle</t>
  </si>
  <si>
    <t>M-3050067.570100</t>
  </si>
  <si>
    <t>M-3050064.570100</t>
  </si>
  <si>
    <t>M-3050068.570100</t>
  </si>
  <si>
    <t>M-3050065.570100</t>
  </si>
  <si>
    <t>M-3050066.570100</t>
  </si>
  <si>
    <t>V-7818017</t>
  </si>
  <si>
    <t>V-7816017</t>
  </si>
  <si>
    <t>V-7818027</t>
  </si>
  <si>
    <t>V-7816027</t>
  </si>
  <si>
    <t>V-7818037</t>
  </si>
  <si>
    <t>V-7816037</t>
  </si>
  <si>
    <t>V-7818047</t>
  </si>
  <si>
    <t>V-7816047</t>
  </si>
  <si>
    <t>V-7818057</t>
  </si>
  <si>
    <t>V-7816057</t>
  </si>
  <si>
    <t>V-7818067</t>
  </si>
  <si>
    <t>V-7816067</t>
  </si>
  <si>
    <t>V-7818077</t>
  </si>
  <si>
    <t>V-7816077</t>
  </si>
  <si>
    <t>V-7810087</t>
  </si>
  <si>
    <t>V-7814087</t>
  </si>
  <si>
    <t>V-7818087</t>
  </si>
  <si>
    <t>V-7816087</t>
  </si>
  <si>
    <t>V-7810097</t>
  </si>
  <si>
    <t>V-7814097</t>
  </si>
  <si>
    <t>V-7818097</t>
  </si>
  <si>
    <t>V-7816097</t>
  </si>
  <si>
    <t>V-7810107</t>
  </si>
  <si>
    <t>V-7814107</t>
  </si>
  <si>
    <t>V-7818107</t>
  </si>
  <si>
    <t>V-7816107</t>
  </si>
  <si>
    <t>V-7810117</t>
  </si>
  <si>
    <t>V-7814117</t>
  </si>
  <si>
    <t>V-7810127</t>
  </si>
  <si>
    <t>V-7814127</t>
  </si>
  <si>
    <t>V-7810147</t>
  </si>
  <si>
    <t>V-7857017</t>
  </si>
  <si>
    <t>V-7857417</t>
  </si>
  <si>
    <t>V-7857027</t>
  </si>
  <si>
    <t>V-7857427</t>
  </si>
  <si>
    <t>V-7857047</t>
  </si>
  <si>
    <t>V-7857447</t>
  </si>
  <si>
    <t>V-7857057</t>
  </si>
  <si>
    <t>V-7857457</t>
  </si>
  <si>
    <t>V-7857257</t>
  </si>
  <si>
    <t>V-7857657</t>
  </si>
  <si>
    <t>V-7857067</t>
  </si>
  <si>
    <t>V-7857467</t>
  </si>
  <si>
    <t>V-7857077</t>
  </si>
  <si>
    <t>V-7857477</t>
  </si>
  <si>
    <t>V-7857277</t>
  </si>
  <si>
    <t>V-7857677</t>
  </si>
  <si>
    <t>V-7857287</t>
  </si>
  <si>
    <t>V-7857687</t>
  </si>
  <si>
    <t>V-7857087</t>
  </si>
  <si>
    <t>V-7857487</t>
  </si>
  <si>
    <t>V-7857297</t>
  </si>
  <si>
    <t>V-7857697</t>
  </si>
  <si>
    <t>V-7857097</t>
  </si>
  <si>
    <t>V-7857497</t>
  </si>
  <si>
    <t>V-7857107</t>
  </si>
  <si>
    <t>V-7857507</t>
  </si>
  <si>
    <t>V-7818017.UKA0000</t>
  </si>
  <si>
    <t>V-7818027.UKA0000</t>
  </si>
  <si>
    <t>V-7818037.UKA0000</t>
  </si>
  <si>
    <t>V-7818047.UKA0000</t>
  </si>
  <si>
    <t>V-7818057.UKA0000</t>
  </si>
  <si>
    <t>V-7818067.UKA0000</t>
  </si>
  <si>
    <t>V-7818077.UKA0000</t>
  </si>
  <si>
    <t>V-7818087.UKA0000</t>
  </si>
  <si>
    <t>V-7818097.UKA0000</t>
  </si>
  <si>
    <t>V-7818107.UKA0000</t>
  </si>
  <si>
    <t xml:space="preserve"> </t>
  </si>
  <si>
    <t>V-7878017</t>
  </si>
  <si>
    <t>V-7876017</t>
  </si>
  <si>
    <t>V-7878027</t>
  </si>
  <si>
    <t>V-7876027</t>
  </si>
  <si>
    <t>V-7878037</t>
  </si>
  <si>
    <t>V-7876037</t>
  </si>
  <si>
    <t>V-7878047</t>
  </si>
  <si>
    <t>V-7876047</t>
  </si>
  <si>
    <t>V-7878057</t>
  </si>
  <si>
    <t>V-7876057</t>
  </si>
  <si>
    <t>V-7878067</t>
  </si>
  <si>
    <t>V-7876067</t>
  </si>
  <si>
    <t>V-7878077</t>
  </si>
  <si>
    <t>V-7876077</t>
  </si>
  <si>
    <t>V-7870087</t>
  </si>
  <si>
    <t>V-7875087</t>
  </si>
  <si>
    <t>V-7878087</t>
  </si>
  <si>
    <t>V-7876087</t>
  </si>
  <si>
    <t>V-7870097</t>
  </si>
  <si>
    <t>V-7875097</t>
  </si>
  <si>
    <t>V-7878097</t>
  </si>
  <si>
    <t>V-7876097</t>
  </si>
  <si>
    <t>V-7870107</t>
  </si>
  <si>
    <t>V-7875107</t>
  </si>
  <si>
    <t>V-7878107</t>
  </si>
  <si>
    <t>V-7876107</t>
  </si>
  <si>
    <t>350 1)</t>
  </si>
  <si>
    <t>V-7870117</t>
  </si>
  <si>
    <t>V-7875117</t>
  </si>
  <si>
    <t>400 1)</t>
  </si>
  <si>
    <t>V-7870127</t>
  </si>
  <si>
    <t>V-7875127</t>
  </si>
  <si>
    <t>500 1)</t>
  </si>
  <si>
    <t>V-7870147</t>
  </si>
  <si>
    <t>V-7875147</t>
  </si>
  <si>
    <t>S ručním kolem</t>
  </si>
  <si>
    <t>V-8470052.1N01110</t>
  </si>
  <si>
    <t>V-3343650.0493000</t>
  </si>
  <si>
    <t>V-3343650.2271000</t>
  </si>
  <si>
    <t>V-3343650.5005001</t>
  </si>
  <si>
    <t>V-3343650.8425000</t>
  </si>
  <si>
    <t>V-3343651.1005000</t>
  </si>
  <si>
    <t>V-3343651.4005000</t>
  </si>
  <si>
    <t>V-3343735.0005001</t>
  </si>
  <si>
    <t>V-3343735.3005001</t>
  </si>
  <si>
    <t>V-3343735.7267000</t>
  </si>
  <si>
    <t>V-3343650.3005000</t>
  </si>
  <si>
    <t>V3343650.6005000</t>
  </si>
  <si>
    <t>V-3343650.9005000</t>
  </si>
  <si>
    <t>V-3343651.2005001</t>
  </si>
  <si>
    <t>V-3343651.5376000</t>
  </si>
  <si>
    <t>V-3343735.1005001</t>
  </si>
  <si>
    <t>V-3343735.4005001</t>
  </si>
  <si>
    <t>V-3343735.8005001</t>
  </si>
  <si>
    <t>W-8705202</t>
  </si>
  <si>
    <t>W-8705222</t>
  </si>
  <si>
    <t>W-8705233</t>
  </si>
  <si>
    <t>staré obj. číslo</t>
  </si>
  <si>
    <t>1-84-00001-102</t>
  </si>
  <si>
    <t>1-32-00702-180</t>
  </si>
  <si>
    <t>1-84-00001-103</t>
  </si>
  <si>
    <t>1-32-00708-180</t>
  </si>
  <si>
    <t>1-84-00001-105</t>
  </si>
  <si>
    <t>2-28-01204-300</t>
  </si>
  <si>
    <t>2-28-01205-300</t>
  </si>
  <si>
    <t>2-28-01206-300</t>
  </si>
  <si>
    <t>2-28-01207-001</t>
  </si>
  <si>
    <t>2-28-01208-300</t>
  </si>
  <si>
    <t>1-84-00004-225</t>
  </si>
  <si>
    <t>1-84-00004-226</t>
  </si>
  <si>
    <t>1-84-00004-227</t>
  </si>
  <si>
    <t>1-84-00004-228</t>
  </si>
  <si>
    <t>1-84-00004-229</t>
  </si>
  <si>
    <t>1-84-00004-230</t>
  </si>
  <si>
    <t>1-84-00004-231</t>
  </si>
  <si>
    <t>1-84-00004-232</t>
  </si>
  <si>
    <t>1-84-00004-233</t>
  </si>
  <si>
    <t>2-29-00165-000</t>
  </si>
  <si>
    <t>2-29-00166-000</t>
  </si>
  <si>
    <t>2-29-00167-000</t>
  </si>
  <si>
    <t>2-29-00168-000</t>
  </si>
  <si>
    <t>2-29-01188-000</t>
  </si>
  <si>
    <t>2-29-00169-000</t>
  </si>
  <si>
    <t>2-29-01081-000</t>
  </si>
  <si>
    <t>2-29-00095-000</t>
  </si>
  <si>
    <t>2-29-00098-000</t>
  </si>
  <si>
    <t>2-29-00097-000</t>
  </si>
  <si>
    <t>2-29-00094-000</t>
  </si>
  <si>
    <t>2-29-00149-000</t>
  </si>
  <si>
    <t>2-29-00150-000</t>
  </si>
  <si>
    <t>2-29-00197-000</t>
  </si>
  <si>
    <t>2-29-00198-000</t>
  </si>
  <si>
    <t>2-29-00152-000</t>
  </si>
  <si>
    <t>2-29-00200-000</t>
  </si>
  <si>
    <t>2-29-00153-000</t>
  </si>
  <si>
    <t>2-29-00201-000</t>
  </si>
  <si>
    <t>2-29-00079-000</t>
  </si>
  <si>
    <t>2-29-00086-000</t>
  </si>
  <si>
    <t>2-29-00081-000</t>
  </si>
  <si>
    <t>2-29-00087-000</t>
  </si>
  <si>
    <t>2-29-00082-000</t>
  </si>
  <si>
    <t>2-29-00088-000</t>
  </si>
  <si>
    <t>2-29-00119-000</t>
  </si>
  <si>
    <t>2-29-00120-000</t>
  </si>
  <si>
    <t>2-29-00121-000</t>
  </si>
  <si>
    <t>2-29-00122-000</t>
  </si>
  <si>
    <t>2-29-00123-000</t>
  </si>
  <si>
    <t>2-29-01090-000</t>
  </si>
  <si>
    <t>2-29-00181-000</t>
  </si>
  <si>
    <t>2-29-00182-000</t>
  </si>
  <si>
    <t>2-29-00184-000</t>
  </si>
  <si>
    <t>2-29-00114-000</t>
  </si>
  <si>
    <t>2-29-00115-000</t>
  </si>
  <si>
    <t>2-29-00116-000</t>
  </si>
  <si>
    <t>2-29-00117-000</t>
  </si>
  <si>
    <t>2-29-00118-000</t>
  </si>
  <si>
    <t>2-29-00192-000</t>
  </si>
  <si>
    <t>2-29-00193-000</t>
  </si>
  <si>
    <t>2-29-00195-000</t>
  </si>
  <si>
    <t>2-29-00196-000</t>
  </si>
  <si>
    <t>2-29-01163-000</t>
  </si>
  <si>
    <t>2-29-01082-000</t>
  </si>
  <si>
    <t>2-29-01083-000</t>
  </si>
  <si>
    <t>2-29-01553-000</t>
  </si>
  <si>
    <t>2-29-01554-000</t>
  </si>
  <si>
    <t>2-29-01555-000</t>
  </si>
  <si>
    <t>2-29-00124-000</t>
  </si>
  <si>
    <t>2-29-00125-000</t>
  </si>
  <si>
    <t>2-29-00127-000</t>
  </si>
  <si>
    <t>2-29-00128-000</t>
  </si>
  <si>
    <t>2-29-00113-000</t>
  </si>
  <si>
    <t>2-29-00100-000</t>
  </si>
  <si>
    <t>2-29-00099-000</t>
  </si>
  <si>
    <t>2-29-00103-000</t>
  </si>
  <si>
    <t>2-29-00101-000</t>
  </si>
  <si>
    <t>2-29-00102-000</t>
  </si>
  <si>
    <t>2-29-00107-000</t>
  </si>
  <si>
    <t>2-29-00104-000</t>
  </si>
  <si>
    <t>2-29-00105-000</t>
  </si>
  <si>
    <t>2-29-00106-000</t>
  </si>
  <si>
    <t>2-29-00112-000</t>
  </si>
  <si>
    <t>2-29-00108-000</t>
  </si>
  <si>
    <t>2-29-00109-000</t>
  </si>
  <si>
    <t>1-84-00004-462</t>
  </si>
  <si>
    <t>1-84-00004-463</t>
  </si>
  <si>
    <t>2-29-00164-000</t>
  </si>
  <si>
    <t>2-29-00191-000</t>
  </si>
  <si>
    <t>2-29-00163-000</t>
  </si>
  <si>
    <t>2-29-00190-000</t>
  </si>
  <si>
    <t>2-29-00162-000</t>
  </si>
  <si>
    <t>2-29-00158-000</t>
  </si>
  <si>
    <t>2-29-00170-000</t>
  </si>
  <si>
    <t>2-29-00171-000</t>
  </si>
  <si>
    <t>2-29-00172-000</t>
  </si>
  <si>
    <t>2-29-00173-000</t>
  </si>
  <si>
    <t>2-29-00174-000</t>
  </si>
  <si>
    <t>2-29-00175-000</t>
  </si>
  <si>
    <t>2-29-00176-000</t>
  </si>
  <si>
    <t>2-29-00179-000</t>
  </si>
  <si>
    <t>2-29-00178-000</t>
  </si>
  <si>
    <t>2-29-00177-000</t>
  </si>
  <si>
    <t>2-29-00157-000</t>
  </si>
  <si>
    <t>2-29-00189-000</t>
  </si>
  <si>
    <t>2-29-00156-000</t>
  </si>
  <si>
    <t>2-29-00188-000</t>
  </si>
  <si>
    <t>2-29-01085-000</t>
  </si>
  <si>
    <t>2-29-00139-000</t>
  </si>
  <si>
    <t>2-29-00134-000</t>
  </si>
  <si>
    <t>2-29-00129-000</t>
  </si>
  <si>
    <t>2-29-01086-000</t>
  </si>
  <si>
    <t>2-29-00140-000</t>
  </si>
  <si>
    <t>2-29-00135-000</t>
  </si>
  <si>
    <t>2-29-00130-000</t>
  </si>
  <si>
    <t>2-29-01088-000</t>
  </si>
  <si>
    <t>2-29-00142-000</t>
  </si>
  <si>
    <t>2-29-00137-000</t>
  </si>
  <si>
    <t>2-29-00132-000</t>
  </si>
  <si>
    <t>2-29-01089-000</t>
  </si>
  <si>
    <t>2-29-00143-000</t>
  </si>
  <si>
    <t>2-29-00138-000</t>
  </si>
  <si>
    <t>2-29-00133-000</t>
  </si>
  <si>
    <t>1-84-00004-471</t>
  </si>
  <si>
    <t>1-84-00004-472</t>
  </si>
  <si>
    <t>1-84-00004-473</t>
  </si>
  <si>
    <t>2-29-01160-000</t>
  </si>
  <si>
    <t>2-29-00185-000</t>
  </si>
  <si>
    <t>2-84-00006-564</t>
  </si>
  <si>
    <t>2-84-00006-565</t>
  </si>
  <si>
    <t>2-84-00006-566</t>
  </si>
  <si>
    <t>2-84-00006-576</t>
  </si>
  <si>
    <t>2-28-00922-100</t>
  </si>
  <si>
    <t>2-84-00006-577</t>
  </si>
  <si>
    <t>2-84-00006-578</t>
  </si>
  <si>
    <t>2-84-00006-579</t>
  </si>
  <si>
    <t>2-84-00006-580</t>
  </si>
  <si>
    <t>2-84-00006-581</t>
  </si>
  <si>
    <t>2-29-00600-044</t>
  </si>
  <si>
    <t>1-84-00013-804</t>
  </si>
  <si>
    <t>1-84-00013-806</t>
  </si>
  <si>
    <t>1-84-00013-807</t>
  </si>
  <si>
    <t>1-84-00013-810</t>
  </si>
  <si>
    <t>1-84-00013-811</t>
  </si>
  <si>
    <t>2-29-00221-000</t>
  </si>
  <si>
    <t>2-29-00502-000</t>
  </si>
  <si>
    <t>2-29-00219-000</t>
  </si>
  <si>
    <t>2-29-00223-000</t>
  </si>
  <si>
    <t>2-29-00224-000</t>
  </si>
  <si>
    <t>2-29-01161-000</t>
  </si>
  <si>
    <t>1-84-00017-756</t>
  </si>
  <si>
    <t>2-29-00207-000</t>
  </si>
  <si>
    <t>2-84-00017-758</t>
  </si>
  <si>
    <t>2-84-00017-759</t>
  </si>
  <si>
    <t>2-29-00214-000</t>
  </si>
  <si>
    <t>2-84-00017-761</t>
  </si>
  <si>
    <t>2-84-00017-762</t>
  </si>
  <si>
    <t>2-29-00222-000</t>
  </si>
  <si>
    <t>2-29-01162-000</t>
  </si>
  <si>
    <t>2-29-00225-000</t>
  </si>
  <si>
    <t>2-29-00215-000</t>
  </si>
  <si>
    <t>2-29-00218-000</t>
  </si>
  <si>
    <t>2-28-01203-000</t>
  </si>
  <si>
    <t>2-28-01204-000</t>
  </si>
  <si>
    <t>2-28-01205-000</t>
  </si>
  <si>
    <t>2-28-01206-000</t>
  </si>
  <si>
    <t>2-28-01207-000</t>
  </si>
  <si>
    <t>2-28-01208-000</t>
  </si>
  <si>
    <t>2-28-01209-000</t>
  </si>
  <si>
    <t>2-28-01210-000</t>
  </si>
  <si>
    <t>2-29-00434-000</t>
  </si>
  <si>
    <t>2-29-00432-000</t>
  </si>
  <si>
    <t>2-29-00436-000</t>
  </si>
  <si>
    <t>2-29-00438-000</t>
  </si>
  <si>
    <t>2-29-00433-000</t>
  </si>
  <si>
    <t>2-29-00435-000</t>
  </si>
  <si>
    <t>2-29-00437-000</t>
  </si>
  <si>
    <t>2-29-00566-000</t>
  </si>
  <si>
    <t>2-29-01566-000</t>
  </si>
  <si>
    <t>2-29-01567-000</t>
  </si>
  <si>
    <t>2-29-01568-000</t>
  </si>
  <si>
    <t>2-29-01569-000</t>
  </si>
  <si>
    <t>2-29-01570-000</t>
  </si>
  <si>
    <t>2-29-01571-000</t>
  </si>
  <si>
    <t>2-29-01572-000</t>
  </si>
  <si>
    <t>2-29-01573-000</t>
  </si>
  <si>
    <t>2-84-00025-291</t>
  </si>
  <si>
    <t>3-48-00103-000</t>
  </si>
  <si>
    <t>2-84-00025-292</t>
  </si>
  <si>
    <t>2-84-00025-293</t>
  </si>
  <si>
    <t>2-29-00053-000</t>
  </si>
  <si>
    <t>2-29-00077-000</t>
  </si>
  <si>
    <t>2-29-00078-000</t>
  </si>
  <si>
    <t>1-84-00025-301</t>
  </si>
  <si>
    <t>1-84-00025-303</t>
  </si>
  <si>
    <t>1-84-00025-304</t>
  </si>
  <si>
    <t>2-84-00025-308</t>
  </si>
  <si>
    <t>1-84-00025-311</t>
  </si>
  <si>
    <t>1-84-00025-316</t>
  </si>
  <si>
    <t>1-84-00025-321</t>
  </si>
  <si>
    <t>1-84-00025-346</t>
  </si>
  <si>
    <t>2-29-01087-000</t>
  </si>
  <si>
    <t>1-84-00025-357</t>
  </si>
  <si>
    <t>2-29-01556-000</t>
  </si>
  <si>
    <t>2-84-00025-517</t>
  </si>
  <si>
    <t>1-28-00260-001</t>
  </si>
  <si>
    <t>1-28-00260-004</t>
  </si>
  <si>
    <t>1-28-00260-006</t>
  </si>
  <si>
    <t>1-28-00260-009</t>
  </si>
  <si>
    <t>1-28-00260-010</t>
  </si>
  <si>
    <t>1-28-00260-011</t>
  </si>
  <si>
    <t>1-28-00260-015</t>
  </si>
  <si>
    <t>2-84-00025-518</t>
  </si>
  <si>
    <t>1-84-00025-957</t>
  </si>
  <si>
    <t>1-84-00025-958</t>
  </si>
  <si>
    <t>1-84-00025-959</t>
  </si>
  <si>
    <t>1-84-00025-960</t>
  </si>
  <si>
    <t>1-84-00025-961</t>
  </si>
  <si>
    <t>1-84-00025-962</t>
  </si>
  <si>
    <t>1-84-00025-963</t>
  </si>
  <si>
    <t>1-84-00025-966</t>
  </si>
  <si>
    <t>2-29-00235-000</t>
  </si>
  <si>
    <t>2-29-00236-000</t>
  </si>
  <si>
    <t>2-29-00238-000</t>
  </si>
  <si>
    <t>2-29-00239-000</t>
  </si>
  <si>
    <t>2-29-00237-000</t>
  </si>
  <si>
    <t>1-11-21025-850</t>
  </si>
  <si>
    <t>1-11-21026-850</t>
  </si>
  <si>
    <t>1-11-21027-850</t>
  </si>
  <si>
    <t>1-11-21028-850</t>
  </si>
  <si>
    <t>1-11-21029-850</t>
  </si>
  <si>
    <t>2-29-00651-000</t>
  </si>
  <si>
    <t>2-29-00650-000</t>
  </si>
  <si>
    <t>2-29-00503-000</t>
  </si>
  <si>
    <t>2-29-01677-000</t>
  </si>
  <si>
    <t>2-29-01679-000</t>
  </si>
  <si>
    <t>2-29-01680-000</t>
  </si>
  <si>
    <t>2-29-01676-000</t>
  </si>
  <si>
    <t>2-29-01678-000</t>
  </si>
  <si>
    <t>3-23-36500-493</t>
  </si>
  <si>
    <t>3-23-36502-271</t>
  </si>
  <si>
    <t>3-23-36503-005</t>
  </si>
  <si>
    <t>3-84-00030-679</t>
  </si>
  <si>
    <t>3-23-36508-425</t>
  </si>
  <si>
    <t>3-34-36514-005</t>
  </si>
  <si>
    <t>3-23-36515-376</t>
  </si>
  <si>
    <t>3-84-00030-927</t>
  </si>
  <si>
    <t>3-23-37354-252</t>
  </si>
  <si>
    <t>3-84-00031-123</t>
  </si>
  <si>
    <t>3-84-00031-124</t>
  </si>
  <si>
    <t>3-84-00031-125</t>
  </si>
  <si>
    <t>3-84-00031-126</t>
  </si>
  <si>
    <t>3-84-00031-127</t>
  </si>
  <si>
    <t>3-28-01300-101</t>
  </si>
  <si>
    <t>3-28-01301-101</t>
  </si>
  <si>
    <t>3-28-01302-101</t>
  </si>
  <si>
    <t>3-28-01303-101</t>
  </si>
  <si>
    <t>3-28-01304-101</t>
  </si>
  <si>
    <t>3-28-01305-101</t>
  </si>
  <si>
    <t>3-28-01306-101</t>
  </si>
  <si>
    <t>3-28-01307-101</t>
  </si>
  <si>
    <t>3-28-01308-101</t>
  </si>
  <si>
    <t>3-28-01309-101</t>
  </si>
  <si>
    <t>3-28-01300-201</t>
  </si>
  <si>
    <t>3-28-01301-201</t>
  </si>
  <si>
    <t>3-28-01302-201</t>
  </si>
  <si>
    <t>3-28-01303-201</t>
  </si>
  <si>
    <t>3-28-01304-201</t>
  </si>
  <si>
    <t>3-28-01305-201</t>
  </si>
  <si>
    <t>3-28-01306-201</t>
  </si>
  <si>
    <t>3-28-01307-201</t>
  </si>
  <si>
    <t>3-28-01308-201</t>
  </si>
  <si>
    <t>3-28-01309-201</t>
  </si>
  <si>
    <t>3-28-00524-000</t>
  </si>
  <si>
    <t>3-28-00525-000</t>
  </si>
  <si>
    <t>3-28-00526-000</t>
  </si>
  <si>
    <t>3-28-00640-000</t>
  </si>
  <si>
    <t>3-28-00642-000</t>
  </si>
  <si>
    <t>3-28-00641-000</t>
  </si>
  <si>
    <t>3-28-00643-000</t>
  </si>
  <si>
    <t>3-28-00525-100</t>
  </si>
  <si>
    <t>3-28-00526-100</t>
  </si>
  <si>
    <t>3-28-00540-003</t>
  </si>
  <si>
    <t>3-28-01300-111</t>
  </si>
  <si>
    <t>3-28-01301-111</t>
  </si>
  <si>
    <t>3-28-01302-111</t>
  </si>
  <si>
    <t>3-28-01303-111</t>
  </si>
  <si>
    <t>3-28-01304-111</t>
  </si>
  <si>
    <t>3-28-01305-111</t>
  </si>
  <si>
    <t>3-28-01306-111</t>
  </si>
  <si>
    <t>3-28-01307-111</t>
  </si>
  <si>
    <t>3-28-01308-111</t>
  </si>
  <si>
    <t>3-28-01309-111</t>
  </si>
  <si>
    <t>3-28-01300-211</t>
  </si>
  <si>
    <t>3-28-01301-211</t>
  </si>
  <si>
    <t>3-28-01302-211</t>
  </si>
  <si>
    <t>3-28-01303-211</t>
  </si>
  <si>
    <t>3-28-01304-211</t>
  </si>
  <si>
    <t>3-28-01305-211</t>
  </si>
  <si>
    <t>3-28-01306-211</t>
  </si>
  <si>
    <t>3-28-01307-211</t>
  </si>
  <si>
    <t>3-28-01308-211</t>
  </si>
  <si>
    <t>3-28-01309-211</t>
  </si>
  <si>
    <t>3-28-01300-121</t>
  </si>
  <si>
    <t>3-28-01301-121</t>
  </si>
  <si>
    <t>3-28-01302-121</t>
  </si>
  <si>
    <t>3-28-01303-121</t>
  </si>
  <si>
    <t>3-28-01304-121</t>
  </si>
  <si>
    <t>3-28-01305-121</t>
  </si>
  <si>
    <t>3-28-01306-121</t>
  </si>
  <si>
    <t>3-28-01307-121</t>
  </si>
  <si>
    <t>3-28-01308-121</t>
  </si>
  <si>
    <t>3-28-01309-121</t>
  </si>
  <si>
    <t>3-28-01300-221</t>
  </si>
  <si>
    <t>3-28-01301-221</t>
  </si>
  <si>
    <t>3-28-01302-221</t>
  </si>
  <si>
    <t>3-28-01303-221</t>
  </si>
  <si>
    <t>3-28-01304-221</t>
  </si>
  <si>
    <t>3-28-01305-221</t>
  </si>
  <si>
    <t>3-28-01306-221</t>
  </si>
  <si>
    <t>3-28-01307-221</t>
  </si>
  <si>
    <t>3-28-01308-221</t>
  </si>
  <si>
    <t>3-28-01309-221</t>
  </si>
  <si>
    <t>3-28-00435-055</t>
  </si>
  <si>
    <t>3-28-00440-055</t>
  </si>
  <si>
    <t>3-28-00500-135</t>
  </si>
  <si>
    <t>3-28-00436-055</t>
  </si>
  <si>
    <t>3-84-00032-007</t>
  </si>
  <si>
    <t>3-84-00032-013</t>
  </si>
  <si>
    <t>3-84-00032-024</t>
  </si>
  <si>
    <t>3-28-00440-255</t>
  </si>
  <si>
    <t>3-28-00500-508</t>
  </si>
  <si>
    <t>3-84-00032-032</t>
  </si>
  <si>
    <t>3-28-00436-255</t>
  </si>
  <si>
    <t>3-28-00441-255</t>
  </si>
  <si>
    <t>3-84-00032-044</t>
  </si>
  <si>
    <t>3-28-00907-181</t>
  </si>
  <si>
    <t>3-28-00908-181</t>
  </si>
  <si>
    <t>3-28-00909-181</t>
  </si>
  <si>
    <t>3-28-00907-081</t>
  </si>
  <si>
    <t>3-28-00908-081</t>
  </si>
  <si>
    <t>3-28-00909-081</t>
  </si>
  <si>
    <t>3-28-00900-080</t>
  </si>
  <si>
    <t>3-28-00901-080</t>
  </si>
  <si>
    <t>3-28-00902-080</t>
  </si>
  <si>
    <t>3-28-00903-080</t>
  </si>
  <si>
    <t>3-28-00904-080</t>
  </si>
  <si>
    <t>3-28-00905-080</t>
  </si>
  <si>
    <t>3-28-00906-080</t>
  </si>
  <si>
    <t>3-28-00907-080</t>
  </si>
  <si>
    <t>3-28-00908-080</t>
  </si>
  <si>
    <t>3-28-00909-080</t>
  </si>
  <si>
    <t>3-28-00900-180</t>
  </si>
  <si>
    <t>3-28-00901-180</t>
  </si>
  <si>
    <t>3-28-00902-180</t>
  </si>
  <si>
    <t>3-28-00903-180</t>
  </si>
  <si>
    <t>3-28-00904-180</t>
  </si>
  <si>
    <t>3-28-00905-180</t>
  </si>
  <si>
    <t>3-28-00906-180</t>
  </si>
  <si>
    <t>3-28-00907-180</t>
  </si>
  <si>
    <t>3-28-00908-180</t>
  </si>
  <si>
    <t>3-28-00909-180</t>
  </si>
  <si>
    <t>3-84-00032-475</t>
  </si>
  <si>
    <t>3-84-00032-535</t>
  </si>
  <si>
    <t>3-84-00032-566</t>
  </si>
  <si>
    <t>3-84-00032-617</t>
  </si>
  <si>
    <t>3-84-00032-622</t>
  </si>
  <si>
    <t>3-84-00032-628</t>
  </si>
  <si>
    <t>3-84-00032-651</t>
  </si>
  <si>
    <t>3-84-00032-656</t>
  </si>
  <si>
    <t>3-84-00032-664</t>
  </si>
  <si>
    <t>3-84-00032-669</t>
  </si>
  <si>
    <t>3-84-00032-678</t>
  </si>
  <si>
    <t>3-84-00032-684</t>
  </si>
  <si>
    <t>3-84-00032-689</t>
  </si>
  <si>
    <t>3-84-00032-696</t>
  </si>
  <si>
    <t>3-84-00032-701</t>
  </si>
  <si>
    <t>3-84-00032-709</t>
  </si>
  <si>
    <t>3-84-00032-799</t>
  </si>
  <si>
    <t>3-84-00032-810</t>
  </si>
  <si>
    <t>3-84-00032-830</t>
  </si>
  <si>
    <t>3-84-00032-841</t>
  </si>
  <si>
    <t>3-84-00032-886</t>
  </si>
  <si>
    <t>3-84-00032-964</t>
  </si>
  <si>
    <t>3-84-00032-985</t>
  </si>
  <si>
    <t>3-84-00033-069</t>
  </si>
  <si>
    <t>3-84-00033-098</t>
  </si>
  <si>
    <t>3-84-00033-119</t>
  </si>
  <si>
    <t>3-28-00550-400</t>
  </si>
  <si>
    <t>3-28-00551-400</t>
  </si>
  <si>
    <t>3-28-00552-400</t>
  </si>
  <si>
    <t>3-28-00553-400</t>
  </si>
  <si>
    <t>3-28-00554-400</t>
  </si>
  <si>
    <t>3-28-00555-400</t>
  </si>
  <si>
    <t>3-28-00556-400</t>
  </si>
  <si>
    <t>3-84-00033-312</t>
  </si>
  <si>
    <t>3-84-00033-313</t>
  </si>
  <si>
    <t>3-84-00033-314</t>
  </si>
  <si>
    <t>3-84-00033-315</t>
  </si>
  <si>
    <t>3-84-00033-318</t>
  </si>
  <si>
    <t>3-84-00033-319</t>
  </si>
  <si>
    <t>3-84-00033-322</t>
  </si>
  <si>
    <t>3-84-00033-323</t>
  </si>
  <si>
    <t>3-84-00033-324</t>
  </si>
  <si>
    <t>3-84-00033-325</t>
  </si>
  <si>
    <t>3-84-00033-326</t>
  </si>
  <si>
    <t>3-84-00033-327</t>
  </si>
  <si>
    <t>3-84-00033-330</t>
  </si>
  <si>
    <t>3-84-00033-331</t>
  </si>
  <si>
    <t>3-28-00557-501</t>
  </si>
  <si>
    <t>3-84-00033-334</t>
  </si>
  <si>
    <t>3-84-00033-335</t>
  </si>
  <si>
    <t>3-84-00033-336</t>
  </si>
  <si>
    <t>3-28-01107-000</t>
  </si>
  <si>
    <t>3-28-01108-000</t>
  </si>
  <si>
    <t>3-28-01109-000</t>
  </si>
  <si>
    <t>3-28-01110-000</t>
  </si>
  <si>
    <t>3-28-01111-000</t>
  </si>
  <si>
    <t>3-28-01112-000</t>
  </si>
  <si>
    <t>3-28-01113-000</t>
  </si>
  <si>
    <t>3-28-01101-100</t>
  </si>
  <si>
    <t>3-28-01102-100</t>
  </si>
  <si>
    <t>3-28-01103-100</t>
  </si>
  <si>
    <t>3-28-01104-100</t>
  </si>
  <si>
    <t>3-28-01104-190</t>
  </si>
  <si>
    <t>3-28-01105-100</t>
  </si>
  <si>
    <t>3-28-01105-190</t>
  </si>
  <si>
    <t>3-28-01106-100</t>
  </si>
  <si>
    <t>3-28-01106-190</t>
  </si>
  <si>
    <t>3-28-01107-100</t>
  </si>
  <si>
    <t>3-28-01107-190</t>
  </si>
  <si>
    <t>3-28-01108-100</t>
  </si>
  <si>
    <t>3-28-01108-190</t>
  </si>
  <si>
    <t>3-28-01109-100</t>
  </si>
  <si>
    <t>3-28-01109-190</t>
  </si>
  <si>
    <t>3-28-01110-100</t>
  </si>
  <si>
    <t>3-28-01110-190</t>
  </si>
  <si>
    <t>3-28-01111-100</t>
  </si>
  <si>
    <t>3-28-01111-190</t>
  </si>
  <si>
    <t>3-28-01112-100</t>
  </si>
  <si>
    <t>3-28-01112-190</t>
  </si>
  <si>
    <t>3-28-01113-100</t>
  </si>
  <si>
    <t>3-28-01113-190</t>
  </si>
  <si>
    <t>3-28-01107-050</t>
  </si>
  <si>
    <t>3-28-01108-050</t>
  </si>
  <si>
    <t>3-28-01109-050</t>
  </si>
  <si>
    <t>3-28-01110-050</t>
  </si>
  <si>
    <t>3-28-01111-050</t>
  </si>
  <si>
    <t>3-28-01112-050</t>
  </si>
  <si>
    <t>3-28-01113-050</t>
  </si>
  <si>
    <t>3-28-01114-000</t>
  </si>
  <si>
    <t>3-28-01115-000</t>
  </si>
  <si>
    <t>3-28-01116-000</t>
  </si>
  <si>
    <t>3-28-01117-000</t>
  </si>
  <si>
    <t>3-84-00049-362</t>
  </si>
  <si>
    <t>3-84-00049-359</t>
  </si>
  <si>
    <t>3-28-01101-150</t>
  </si>
  <si>
    <t>3-28-01102-150</t>
  </si>
  <si>
    <t>3-28-01103-150</t>
  </si>
  <si>
    <t>3-28-01104-150</t>
  </si>
  <si>
    <t>3-28-01105-150</t>
  </si>
  <si>
    <t>3-28-01106-150</t>
  </si>
  <si>
    <t>3-28-01107-150</t>
  </si>
  <si>
    <t>3-28-01108-150</t>
  </si>
  <si>
    <t>3-28-01109-150</t>
  </si>
  <si>
    <t>3-28-01110-150</t>
  </si>
  <si>
    <t>3-28-01111-150</t>
  </si>
  <si>
    <t>3-28-01112-150</t>
  </si>
  <si>
    <t>3-28-01113-150</t>
  </si>
  <si>
    <t>3-28-01114-100</t>
  </si>
  <si>
    <t>3-28-01115-100</t>
  </si>
  <si>
    <t>3-28-01116-100</t>
  </si>
  <si>
    <t>3-28-01117-100</t>
  </si>
  <si>
    <t>3-28-01107-070</t>
  </si>
  <si>
    <t>3-28-01107-086</t>
  </si>
  <si>
    <t>3-28-01107-087</t>
  </si>
  <si>
    <t>3-28-01107-088</t>
  </si>
  <si>
    <t>3-28-01108-070</t>
  </si>
  <si>
    <t>3-28-01108-086</t>
  </si>
  <si>
    <t>3-28-01108-087</t>
  </si>
  <si>
    <t>3-28-01108-088</t>
  </si>
  <si>
    <t>3-28-01109-070</t>
  </si>
  <si>
    <t>3-28-01109-086</t>
  </si>
  <si>
    <t>3-28-01109-087</t>
  </si>
  <si>
    <t>3-28-01109-088</t>
  </si>
  <si>
    <t>3-28-01110-070</t>
  </si>
  <si>
    <t>3-28-01110-086</t>
  </si>
  <si>
    <t>3-28-01110-087</t>
  </si>
  <si>
    <t>3-28-01110-088</t>
  </si>
  <si>
    <t>3-28-01111-070</t>
  </si>
  <si>
    <t>3-28-01111-086</t>
  </si>
  <si>
    <t>3-28-01111-087</t>
  </si>
  <si>
    <t>3-28-01111-088</t>
  </si>
  <si>
    <t>3-28-01112-070</t>
  </si>
  <si>
    <t>3-28-01112-086</t>
  </si>
  <si>
    <t>3-28-01112-087</t>
  </si>
  <si>
    <t>3-28-01112-088</t>
  </si>
  <si>
    <t>3-28-01113-070</t>
  </si>
  <si>
    <t>3-28-01113-086</t>
  </si>
  <si>
    <t>3-28-01113-087</t>
  </si>
  <si>
    <t>3-28-01113-088</t>
  </si>
  <si>
    <t>3-28-01101-171</t>
  </si>
  <si>
    <t>3-28-01101-186</t>
  </si>
  <si>
    <t>3-28-01101-187</t>
  </si>
  <si>
    <t>3-28-01101-188</t>
  </si>
  <si>
    <t>3-28-01102-171</t>
  </si>
  <si>
    <t>3-28-01102-186</t>
  </si>
  <si>
    <t>3-28-01102-187</t>
  </si>
  <si>
    <t>3-28-01102-188</t>
  </si>
  <si>
    <t>3-28-01103-171</t>
  </si>
  <si>
    <t>3-28-01103-186</t>
  </si>
  <si>
    <t>3-28-01103-187</t>
  </si>
  <si>
    <t>3-28-01103-188</t>
  </si>
  <si>
    <t>3-28-01107-170</t>
  </si>
  <si>
    <t>3-28-01104-186</t>
  </si>
  <si>
    <t>3-28-01104-187</t>
  </si>
  <si>
    <t>3-28-01104-188</t>
  </si>
  <si>
    <t>3-28-01105-171</t>
  </si>
  <si>
    <t>3-28-01105-186</t>
  </si>
  <si>
    <t>3-28-01105-187</t>
  </si>
  <si>
    <t>3-28-01105-188</t>
  </si>
  <si>
    <t>3-28-01106-171</t>
  </si>
  <si>
    <t>3-28-01106-186</t>
  </si>
  <si>
    <t>3-28-01106-187</t>
  </si>
  <si>
    <t>3-28-01106-188</t>
  </si>
  <si>
    <t>3-28-01107-171</t>
  </si>
  <si>
    <t>3-28-01107-186</t>
  </si>
  <si>
    <t>3-28-01107-187</t>
  </si>
  <si>
    <t>3-28-01107-188</t>
  </si>
  <si>
    <t>3-28-01108-171</t>
  </si>
  <si>
    <t>3-28-01108-186</t>
  </si>
  <si>
    <t>3-28-01108-187</t>
  </si>
  <si>
    <t>3-28-01108-188</t>
  </si>
  <si>
    <t>3-28-01109-171</t>
  </si>
  <si>
    <t>3-28-01109-186</t>
  </si>
  <si>
    <t>3-28-01109-187</t>
  </si>
  <si>
    <t>3-28-01109-188</t>
  </si>
  <si>
    <t>3-28-01110-171</t>
  </si>
  <si>
    <t>3-28-01110-186</t>
  </si>
  <si>
    <t>3-28-01110-187</t>
  </si>
  <si>
    <t>3-28-01110-188</t>
  </si>
  <si>
    <t>3-28-01111-171</t>
  </si>
  <si>
    <t>3-28-01111-186</t>
  </si>
  <si>
    <t>3-28-01111-187</t>
  </si>
  <si>
    <t>3-28-01111-188</t>
  </si>
  <si>
    <t>3-28-01112-171</t>
  </si>
  <si>
    <t>3-28-01112-186</t>
  </si>
  <si>
    <t>3-28-01112-187</t>
  </si>
  <si>
    <t>3-28-01112-188</t>
  </si>
  <si>
    <t>3-28-01113-171</t>
  </si>
  <si>
    <t>3-28-01113-186</t>
  </si>
  <si>
    <t>3-28-01113-187</t>
  </si>
  <si>
    <t>3-28-01113-188</t>
  </si>
  <si>
    <t>2-28-11348-050</t>
  </si>
  <si>
    <t>2-28-11349-050</t>
  </si>
  <si>
    <t>2-28-11350-050</t>
  </si>
  <si>
    <t>2-28-11351-050</t>
  </si>
  <si>
    <t>2-28-11352-050</t>
  </si>
  <si>
    <t>2-28-11353-050</t>
  </si>
  <si>
    <t>2-28-11354-050</t>
  </si>
  <si>
    <t>2-28-11355-050</t>
  </si>
  <si>
    <t>2-28-11356-050</t>
  </si>
  <si>
    <t>2-28-11357-050</t>
  </si>
  <si>
    <t>2-28-11358-050</t>
  </si>
  <si>
    <t>2-28-11508-050</t>
  </si>
  <si>
    <t>2-28-11509-050</t>
  </si>
  <si>
    <t>2-28-11510-050</t>
  </si>
  <si>
    <t>2-28-11511-050</t>
  </si>
  <si>
    <t>2-28-11512-050</t>
  </si>
  <si>
    <t>2-28-11422-050</t>
  </si>
  <si>
    <t>2-28-11423-050</t>
  </si>
  <si>
    <t>2-28-11424-050</t>
  </si>
  <si>
    <t>2-28-11425-050</t>
  </si>
  <si>
    <t>2-28-11426-050</t>
  </si>
  <si>
    <t>2-28-11427-050</t>
  </si>
  <si>
    <t>2-28-11428-050</t>
  </si>
  <si>
    <t>2-28-11429-050</t>
  </si>
  <si>
    <t>2-28-11430-050</t>
  </si>
  <si>
    <t>2-28-11431-050</t>
  </si>
  <si>
    <t>2-28-11432-050</t>
  </si>
  <si>
    <t>3-84-00034-515</t>
  </si>
  <si>
    <t>3-84-00065-404</t>
  </si>
  <si>
    <t>2-28-11504-050</t>
  </si>
  <si>
    <t>2-28-11505-050</t>
  </si>
  <si>
    <t>2-28-11506-050</t>
  </si>
  <si>
    <t>2-28-11540-050</t>
  </si>
  <si>
    <t>2-28-11541-050</t>
  </si>
  <si>
    <t>2-28-11558-050</t>
  </si>
  <si>
    <t>2-28-11542-050</t>
  </si>
  <si>
    <t>2-28-11543-050</t>
  </si>
  <si>
    <t>2-28-11544-050</t>
  </si>
  <si>
    <t>2-28-11545-050</t>
  </si>
  <si>
    <t>2-28-11546-050</t>
  </si>
  <si>
    <t>2-28-11547-050</t>
  </si>
  <si>
    <t>2-28-11548-050</t>
  </si>
  <si>
    <t>2-28-11549-050</t>
  </si>
  <si>
    <t>3-84-00034-576</t>
  </si>
  <si>
    <t>3-84-00034-590</t>
  </si>
  <si>
    <t>3-28-00901-700</t>
  </si>
  <si>
    <t>3-28-00902-704</t>
  </si>
  <si>
    <t>3-28-00903-704</t>
  </si>
  <si>
    <t>3-28-00904-700</t>
  </si>
  <si>
    <t>3-28-00905-704</t>
  </si>
  <si>
    <t>3-28-00906-700</t>
  </si>
  <si>
    <t>3-28-00907-700</t>
  </si>
  <si>
    <t>3-28-00907-121</t>
  </si>
  <si>
    <t>3-28-00907-157</t>
  </si>
  <si>
    <t>3-28-00908-121</t>
  </si>
  <si>
    <t>3-28-00908-157</t>
  </si>
  <si>
    <t>3-84-00062-366</t>
  </si>
  <si>
    <t>3-28-00909-121</t>
  </si>
  <si>
    <t>3-28-00909-157</t>
  </si>
  <si>
    <t>3-28-00910-157</t>
  </si>
  <si>
    <t>3-28-00911-157</t>
  </si>
  <si>
    <t>3-28-00912-157</t>
  </si>
  <si>
    <t>3-28-00914-121</t>
  </si>
  <si>
    <t>3-28-00907-021</t>
  </si>
  <si>
    <t>3-28-00907-057</t>
  </si>
  <si>
    <t>3-28-00908-021</t>
  </si>
  <si>
    <t>3-28-00908-057</t>
  </si>
  <si>
    <t>3-28-00909-021</t>
  </si>
  <si>
    <t>3-28-00909-057</t>
  </si>
  <si>
    <t>3-28-00910-057</t>
  </si>
  <si>
    <t>3-28-00911-057</t>
  </si>
  <si>
    <t>3-28-00900-020</t>
  </si>
  <si>
    <t>3-28-00900-056</t>
  </si>
  <si>
    <t>3-28-00901-020</t>
  </si>
  <si>
    <t>3-28-00901-056</t>
  </si>
  <si>
    <t>3-28-00902-020</t>
  </si>
  <si>
    <t>3-28-00902-056</t>
  </si>
  <si>
    <t>3-28-00903-020</t>
  </si>
  <si>
    <t>3-28-00903-056</t>
  </si>
  <si>
    <t>3-28-00904-020</t>
  </si>
  <si>
    <t>3-28-00904-056</t>
  </si>
  <si>
    <t>3-28-00905-020</t>
  </si>
  <si>
    <t>3-28-00905-056</t>
  </si>
  <si>
    <t>3-28-00906-020</t>
  </si>
  <si>
    <t>3-28-00906-056</t>
  </si>
  <si>
    <t>3-28-00907-020</t>
  </si>
  <si>
    <t>3-28-00907-056</t>
  </si>
  <si>
    <t>3-28-00908-020</t>
  </si>
  <si>
    <t>3-28-00908-056</t>
  </si>
  <si>
    <t>3-28-00909-020</t>
  </si>
  <si>
    <t>3-28-00909-056</t>
  </si>
  <si>
    <t>3-28-00900-120</t>
  </si>
  <si>
    <t>3-28-00900-156</t>
  </si>
  <si>
    <t>3-84-00035-130</t>
  </si>
  <si>
    <t>3-84-00063-353</t>
  </si>
  <si>
    <t>3-28-00901-120</t>
  </si>
  <si>
    <t>3-28-00901-156</t>
  </si>
  <si>
    <t>3-84-00035-176</t>
  </si>
  <si>
    <t>3-84-00035-193</t>
  </si>
  <si>
    <t>3-84-00035-194</t>
  </si>
  <si>
    <t>3-28-00902-120</t>
  </si>
  <si>
    <t>3-28-00902-156</t>
  </si>
  <si>
    <t>3-84-00035-202</t>
  </si>
  <si>
    <t>3-84-00035-250</t>
  </si>
  <si>
    <t>3-84-00035-251</t>
  </si>
  <si>
    <t>3-28-00903-120</t>
  </si>
  <si>
    <t>3-28-00903-156</t>
  </si>
  <si>
    <t>3-84-00035-273</t>
  </si>
  <si>
    <t>3-28-00904-120</t>
  </si>
  <si>
    <t>3-28-00904-156</t>
  </si>
  <si>
    <t>3-84-00035-337</t>
  </si>
  <si>
    <t>3-28-00905-120</t>
  </si>
  <si>
    <t>3-28-00905-156</t>
  </si>
  <si>
    <t>3-84-00035-355</t>
  </si>
  <si>
    <t>3-28-00906-120</t>
  </si>
  <si>
    <t>3-28-00906-156</t>
  </si>
  <si>
    <t>3-84-00035-425</t>
  </si>
  <si>
    <t>3-28-00907-120</t>
  </si>
  <si>
    <t>3-28-00907-156</t>
  </si>
  <si>
    <t>3-84-00035-472</t>
  </si>
  <si>
    <t>3-28-00908-120</t>
  </si>
  <si>
    <t>3-28-00908-156</t>
  </si>
  <si>
    <t>3-84-00035-505</t>
  </si>
  <si>
    <t>3-84-00057-979</t>
  </si>
  <si>
    <t>3-28-00909-120</t>
  </si>
  <si>
    <t>3-28-00909-156</t>
  </si>
  <si>
    <t>3-84-00035-547</t>
  </si>
  <si>
    <t>3-84-00031-634</t>
  </si>
  <si>
    <t>3-28-00903-240</t>
  </si>
  <si>
    <t>3-28-00904-240</t>
  </si>
  <si>
    <t>3-28-00905-240</t>
  </si>
  <si>
    <t>3-28-00906-240</t>
  </si>
  <si>
    <t>3-28-00907-240</t>
  </si>
  <si>
    <t>3-84-00035-626</t>
  </si>
  <si>
    <t>3-28-00903-610</t>
  </si>
  <si>
    <t>3-84-00035-628</t>
  </si>
  <si>
    <t>3-28-00904-549</t>
  </si>
  <si>
    <t>3-84-00035-632</t>
  </si>
  <si>
    <t>3-28-00906-549</t>
  </si>
  <si>
    <t>3-84-00035-636</t>
  </si>
  <si>
    <t>3-28-00907-629</t>
  </si>
  <si>
    <t>3-84-00035-873</t>
  </si>
  <si>
    <t>3-28-00901-272</t>
  </si>
  <si>
    <t>3-28-00901-270</t>
  </si>
  <si>
    <t>3-28-00903-272</t>
  </si>
  <si>
    <t>3-28-00903-270</t>
  </si>
  <si>
    <t>3-28-00904-272</t>
  </si>
  <si>
    <t>3-28-00904-270</t>
  </si>
  <si>
    <t>3-28-00905-272</t>
  </si>
  <si>
    <t>3-28-00906-272</t>
  </si>
  <si>
    <t>3-28-00906-270</t>
  </si>
  <si>
    <t>3-28-00907-273</t>
  </si>
  <si>
    <t>3-28-00907-271</t>
  </si>
  <si>
    <t>3-28-00908-273</t>
  </si>
  <si>
    <t>3-28-00908-271</t>
  </si>
  <si>
    <t>3-28-00909-272</t>
  </si>
  <si>
    <t>3-28-00909-270</t>
  </si>
  <si>
    <t>3-28-00904-273</t>
  </si>
  <si>
    <t>3-28-00904-271</t>
  </si>
  <si>
    <t>3-28-00906-273</t>
  </si>
  <si>
    <t>3-28-00906-271</t>
  </si>
  <si>
    <t>3-28-00907-272</t>
  </si>
  <si>
    <t>3-28-00907-270</t>
  </si>
  <si>
    <t>3-28-00908-272</t>
  </si>
  <si>
    <t>3-28-00908-270</t>
  </si>
  <si>
    <t>3-84-00035-923</t>
  </si>
  <si>
    <t>3-84-00035-925</t>
  </si>
  <si>
    <t>3-84-00035-930</t>
  </si>
  <si>
    <t>3-84-00035-934</t>
  </si>
  <si>
    <t>3-84-00035-936</t>
  </si>
  <si>
    <t>3-84-00035-941</t>
  </si>
  <si>
    <t>3-84-00035-944</t>
  </si>
  <si>
    <t>3-84-00035-946</t>
  </si>
  <si>
    <t>3-84-00035-950</t>
  </si>
  <si>
    <t>3-84-00035-952</t>
  </si>
  <si>
    <t>3-84-00035-953</t>
  </si>
  <si>
    <t>3-84-00035-955</t>
  </si>
  <si>
    <t>3-84-00036-001</t>
  </si>
  <si>
    <t>3-28-00908-791</t>
  </si>
  <si>
    <t>3-84-00036-002</t>
  </si>
  <si>
    <t>3-84-00036-003</t>
  </si>
  <si>
    <t>3-84-00060-930</t>
  </si>
  <si>
    <t>3-84-00058-265</t>
  </si>
  <si>
    <t>3-28-00903-689</t>
  </si>
  <si>
    <t>3-84-00036-042</t>
  </si>
  <si>
    <t>3-84-00036-043</t>
  </si>
  <si>
    <t>3-84-00036-044</t>
  </si>
  <si>
    <t>3-84-00045-203</t>
  </si>
  <si>
    <t>3-84-00047-540</t>
  </si>
  <si>
    <t>3-84-00036-058</t>
  </si>
  <si>
    <t>3-84-00036-059</t>
  </si>
  <si>
    <t>3-84-00036-060</t>
  </si>
  <si>
    <t>3-84-00036-061</t>
  </si>
  <si>
    <t>3-84-00036-062</t>
  </si>
  <si>
    <t>3-84-00036-063</t>
  </si>
  <si>
    <t>3-28-00903-684</t>
  </si>
  <si>
    <t>3-84-00036-064</t>
  </si>
  <si>
    <t>3-84-00036-065</t>
  </si>
  <si>
    <t>3-84-00036-067</t>
  </si>
  <si>
    <t>3-84-00036-069</t>
  </si>
  <si>
    <t>3-84-00036-070</t>
  </si>
  <si>
    <t>3-84-00036-071</t>
  </si>
  <si>
    <t>3-84-00036-072</t>
  </si>
  <si>
    <t>3-84-00036-073</t>
  </si>
  <si>
    <t>3-84-00036-074</t>
  </si>
  <si>
    <t>3-84-00036-075</t>
  </si>
  <si>
    <t>3-84-00036-076</t>
  </si>
  <si>
    <t>3-84-00036-077</t>
  </si>
  <si>
    <t>3-84-00036-078</t>
  </si>
  <si>
    <t>3-84-00053-956</t>
  </si>
  <si>
    <t>3-28-00911-501</t>
  </si>
  <si>
    <t>3-28-00703-200</t>
  </si>
  <si>
    <t>3-28-00704-200</t>
  </si>
  <si>
    <t>3-28-00705-200</t>
  </si>
  <si>
    <t>3-28-00706-200</t>
  </si>
  <si>
    <t>3-28-00707-200</t>
  </si>
  <si>
    <t>3-28-00703-202</t>
  </si>
  <si>
    <t>3-28-00704-202</t>
  </si>
  <si>
    <t>3-28-00705-202</t>
  </si>
  <si>
    <t>3-28-00706-202</t>
  </si>
  <si>
    <t>3-28-00707-202</t>
  </si>
  <si>
    <t>3-28-00703-210</t>
  </si>
  <si>
    <t>3-28-00704-210</t>
  </si>
  <si>
    <t>3-28-00705-210</t>
  </si>
  <si>
    <t>3-28-00706-210</t>
  </si>
  <si>
    <t>3-28-00707-210</t>
  </si>
  <si>
    <t>3-28-00707-211</t>
  </si>
  <si>
    <t>3-28-00724-002</t>
  </si>
  <si>
    <t>3-28-00725-002</t>
  </si>
  <si>
    <t>3-28-00726-002</t>
  </si>
  <si>
    <t>3-28-00727-000</t>
  </si>
  <si>
    <t>3-28-00728-000</t>
  </si>
  <si>
    <t>3-28-00729-000</t>
  </si>
  <si>
    <t>3-28-00723-000</t>
  </si>
  <si>
    <t>3-28-00728-001</t>
  </si>
  <si>
    <t>3-28-00729-001</t>
  </si>
  <si>
    <t>3-28-00723-001</t>
  </si>
  <si>
    <t>3-32-00607-000</t>
  </si>
  <si>
    <t>3-32-00507-000</t>
  </si>
  <si>
    <t>3-32-00609-000</t>
  </si>
  <si>
    <t>3-32-00509-000</t>
  </si>
  <si>
    <t>3-32-00611-000</t>
  </si>
  <si>
    <t>3-32-00511-000</t>
  </si>
  <si>
    <t>3-32-00607-010</t>
  </si>
  <si>
    <t>3-32-00609-010</t>
  </si>
  <si>
    <t>3-32-00611-010</t>
  </si>
  <si>
    <t>3-32-00601-000</t>
  </si>
  <si>
    <t>3-32-00501-000</t>
  </si>
  <si>
    <t>3-32-00602-000</t>
  </si>
  <si>
    <t>3-32-00502-000</t>
  </si>
  <si>
    <t>3-32-00603-000</t>
  </si>
  <si>
    <t>3-32-00503-000</t>
  </si>
  <si>
    <t>3-32-00604-000</t>
  </si>
  <si>
    <t>3-32-00504-000</t>
  </si>
  <si>
    <t>3-32-00605-000</t>
  </si>
  <si>
    <t>3-32-00505-000</t>
  </si>
  <si>
    <t>3-32-00606-000</t>
  </si>
  <si>
    <t>3-32-00506-000</t>
  </si>
  <si>
    <t>3-32-00608-000</t>
  </si>
  <si>
    <t>3-32-00508-000</t>
  </si>
  <si>
    <t>3-32-00610-000</t>
  </si>
  <si>
    <t>3-32-00510-000</t>
  </si>
  <si>
    <t>3-32-00612-000</t>
  </si>
  <si>
    <t>3-32-00512-000</t>
  </si>
  <si>
    <t>3-32-00601-010</t>
  </si>
  <si>
    <t>3-32-00602-010</t>
  </si>
  <si>
    <t>3-32-00603-010</t>
  </si>
  <si>
    <t>3-32-00604-010</t>
  </si>
  <si>
    <t>3-32-00605-010</t>
  </si>
  <si>
    <t>3-32-00606-010</t>
  </si>
  <si>
    <t>3-32-00608-010</t>
  </si>
  <si>
    <t>3-32-00610-010</t>
  </si>
  <si>
    <t>3-32-00612-010</t>
  </si>
  <si>
    <t>3-32-00701-000</t>
  </si>
  <si>
    <t>3-32-00702-000</t>
  </si>
  <si>
    <t>3-32-00703-000</t>
  </si>
  <si>
    <t>3-32-00704-000</t>
  </si>
  <si>
    <t>3-32-00705-000</t>
  </si>
  <si>
    <t>3-32-00706-000</t>
  </si>
  <si>
    <t>3-84-00043-659</t>
  </si>
  <si>
    <t>3-32-00701-001</t>
  </si>
  <si>
    <t>3-32-00702-001</t>
  </si>
  <si>
    <t>3-32-00703-001</t>
  </si>
  <si>
    <t>3-32-00704-001</t>
  </si>
  <si>
    <t>3-32-00705-001</t>
  </si>
  <si>
    <t>3-32-00706-001</t>
  </si>
  <si>
    <t>3-84-00065-807</t>
  </si>
  <si>
    <t>2-29-00205-000</t>
  </si>
  <si>
    <t>2-29-00213-000</t>
  </si>
  <si>
    <t>2-84-00036-462</t>
  </si>
  <si>
    <t>3-84-00036-471</t>
  </si>
  <si>
    <t>3-84-00036-472</t>
  </si>
  <si>
    <t>3-84-00036-473</t>
  </si>
  <si>
    <t>3-84-00036-474</t>
  </si>
  <si>
    <t>3-84-00036-476</t>
  </si>
  <si>
    <t>3-84-00036-477</t>
  </si>
  <si>
    <t>3-84-00036-479</t>
  </si>
  <si>
    <t>3-84-00036-480</t>
  </si>
  <si>
    <t>3-84-00036-482</t>
  </si>
  <si>
    <t>3-84-00036-483</t>
  </si>
  <si>
    <t>3-84-00036-485</t>
  </si>
  <si>
    <t>3-84-00036-486</t>
  </si>
  <si>
    <t>3-84-00036-488</t>
  </si>
  <si>
    <t>3-84-00036-490</t>
  </si>
  <si>
    <t>3-84-00036-493</t>
  </si>
  <si>
    <t>3-84-00036-494</t>
  </si>
  <si>
    <t>3-84-00036-495</t>
  </si>
  <si>
    <t>3-84-00036-496</t>
  </si>
  <si>
    <t>3-84-00036-500</t>
  </si>
  <si>
    <t>3-84-00036-502</t>
  </si>
  <si>
    <t>3-84-00036-503</t>
  </si>
  <si>
    <t>3-84-00036-504</t>
  </si>
  <si>
    <t>3-84-00036-506</t>
  </si>
  <si>
    <t>3-83-00508-902</t>
  </si>
  <si>
    <t>3-84-00036-507</t>
  </si>
  <si>
    <t>3-83-00658-902</t>
  </si>
  <si>
    <t>3-84-00036-508</t>
  </si>
  <si>
    <t>3-83-00808-902</t>
  </si>
  <si>
    <t>3-84-00036-510</t>
  </si>
  <si>
    <t>3-83-01008-902</t>
  </si>
  <si>
    <t>3-84-00036-512</t>
  </si>
  <si>
    <t>3-83-01258-902</t>
  </si>
  <si>
    <t>3-84-00036-515</t>
  </si>
  <si>
    <t>3-83-01508-902</t>
  </si>
  <si>
    <t>3-84-00036-517</t>
  </si>
  <si>
    <t>3-83-02008-901</t>
  </si>
  <si>
    <t>3-84-00036-518</t>
  </si>
  <si>
    <t>3-83-02008-902</t>
  </si>
  <si>
    <t>3-84-00036-520</t>
  </si>
  <si>
    <t>3-83-02508-901</t>
  </si>
  <si>
    <t>3-84-00036-521</t>
  </si>
  <si>
    <t>3-83-02508-902</t>
  </si>
  <si>
    <t>3-84-00036-523</t>
  </si>
  <si>
    <t>3-83-03008-901</t>
  </si>
  <si>
    <t>3-84-00036-524</t>
  </si>
  <si>
    <t>3-83-03008-902</t>
  </si>
  <si>
    <t>3-84-00036-527</t>
  </si>
  <si>
    <t>3-83-03508-901</t>
  </si>
  <si>
    <t>3-84-00036-528</t>
  </si>
  <si>
    <t>3-83-03508-902</t>
  </si>
  <si>
    <t>3-84-00036-529</t>
  </si>
  <si>
    <t>3-83-04008-901</t>
  </si>
  <si>
    <t>3-84-00036-530</t>
  </si>
  <si>
    <t>3-83-04008-902</t>
  </si>
  <si>
    <t>3-84-00036-532</t>
  </si>
  <si>
    <t>3-83-04508-901</t>
  </si>
  <si>
    <t>3-84-00036-533</t>
  </si>
  <si>
    <t>3-83-04508-902</t>
  </si>
  <si>
    <t>3-84-00036-534</t>
  </si>
  <si>
    <t>3-83-05008-901</t>
  </si>
  <si>
    <t>3-84-00036-535</t>
  </si>
  <si>
    <t>3-83-05008-902</t>
  </si>
  <si>
    <t>3-84-00036-536</t>
  </si>
  <si>
    <t>3-83-06008-901</t>
  </si>
  <si>
    <t>3-84-00036-538</t>
  </si>
  <si>
    <t>3-83-06008-902</t>
  </si>
  <si>
    <t>3-84-00036-541</t>
  </si>
  <si>
    <t>3-83-07008-901</t>
  </si>
  <si>
    <t>3-84-00036-542</t>
  </si>
  <si>
    <t>3-83-07008-902</t>
  </si>
  <si>
    <t>3-84-00036-545</t>
  </si>
  <si>
    <t>3-83-08008-901</t>
  </si>
  <si>
    <t>3-84-00036-546</t>
  </si>
  <si>
    <t>3-83-08008-902</t>
  </si>
  <si>
    <t>3-84-00036-549</t>
  </si>
  <si>
    <t>3-83-09008-901</t>
  </si>
  <si>
    <t>3-84-00036-550</t>
  </si>
  <si>
    <t>3-83-09008-902</t>
  </si>
  <si>
    <t>3-84-00036-551</t>
  </si>
  <si>
    <t>3-83-10008-901</t>
  </si>
  <si>
    <t>3-84-00036-552</t>
  </si>
  <si>
    <t>3-83-10008-902</t>
  </si>
  <si>
    <t>3-84-00036-554</t>
  </si>
  <si>
    <t>3-83-12008-901</t>
  </si>
  <si>
    <t>3-84-00036-555</t>
  </si>
  <si>
    <t>3-83-12008-902</t>
  </si>
  <si>
    <t>3-84-00036-558</t>
  </si>
  <si>
    <t>3-83-14008-901</t>
  </si>
  <si>
    <t>3-84-00036-559</t>
  </si>
  <si>
    <t>3-83-14008-902</t>
  </si>
  <si>
    <t>3-84-00036-560</t>
  </si>
  <si>
    <t>3-83-16008-901</t>
  </si>
  <si>
    <t>3-84-00036-561</t>
  </si>
  <si>
    <t>3-83-16008-902</t>
  </si>
  <si>
    <t>3-84-00036-562</t>
  </si>
  <si>
    <t>3-83-18008-901</t>
  </si>
  <si>
    <t>3-84-00036-563</t>
  </si>
  <si>
    <t>3-83-18008-902</t>
  </si>
  <si>
    <t>3-84-00036-564</t>
  </si>
  <si>
    <t>3-83-20008-901</t>
  </si>
  <si>
    <t>3-84-00036-565</t>
  </si>
  <si>
    <t>3-83-20008-902</t>
  </si>
  <si>
    <t>3-84-00054-706</t>
  </si>
  <si>
    <t>2-31-16006-000</t>
  </si>
  <si>
    <t>3-31-16006-710</t>
  </si>
  <si>
    <t>3-31-16106-710</t>
  </si>
  <si>
    <t>3-31-16006-750</t>
  </si>
  <si>
    <t>3-31-16106-750</t>
  </si>
  <si>
    <t>3-84-00037-073</t>
  </si>
  <si>
    <t>3-84-00037-075</t>
  </si>
  <si>
    <t>2-31-16008-000</t>
  </si>
  <si>
    <t>3-31-16008-710</t>
  </si>
  <si>
    <t>3-31-16108-710</t>
  </si>
  <si>
    <t>3-31-16008-750</t>
  </si>
  <si>
    <t>3-31-16108-750</t>
  </si>
  <si>
    <t>3-84-00037-118</t>
  </si>
  <si>
    <t>3-84-00037-120</t>
  </si>
  <si>
    <t>2-31-16010-000</t>
  </si>
  <si>
    <t>3-31-16010-710</t>
  </si>
  <si>
    <t>3-31-16110-710</t>
  </si>
  <si>
    <t>3-31-16010-750</t>
  </si>
  <si>
    <t>3-31-16110-750</t>
  </si>
  <si>
    <t>3-84-00037-207</t>
  </si>
  <si>
    <t>3-84-00037-209</t>
  </si>
  <si>
    <t>2-31-16012-000</t>
  </si>
  <si>
    <t>3-31-16012-710</t>
  </si>
  <si>
    <t>3-31-16112-710</t>
  </si>
  <si>
    <t>3-31-16012-750</t>
  </si>
  <si>
    <t>3-31-16112-750</t>
  </si>
  <si>
    <t>3-84-00037-318</t>
  </si>
  <si>
    <t>3-84-00037-320</t>
  </si>
  <si>
    <t>2-31-16014-000</t>
  </si>
  <si>
    <t>3-31-16014-710</t>
  </si>
  <si>
    <t>3-31-16114-710</t>
  </si>
  <si>
    <t>3-31-16014-750</t>
  </si>
  <si>
    <t>3-31-16114-750</t>
  </si>
  <si>
    <t>3-84-00037-364</t>
  </si>
  <si>
    <t>3-84-00037-366</t>
  </si>
  <si>
    <t>2-31-16016-000</t>
  </si>
  <si>
    <t>3-31-16016-710</t>
  </si>
  <si>
    <t>3-31-16116-710</t>
  </si>
  <si>
    <t>3-31-16016-701</t>
  </si>
  <si>
    <t>3-31-16116-750</t>
  </si>
  <si>
    <t>3-31-16016-510</t>
  </si>
  <si>
    <t>3-84-00037-478</t>
  </si>
  <si>
    <t>2-31-16018-000</t>
  </si>
  <si>
    <t>3-31-16018-710</t>
  </si>
  <si>
    <t>3-31-16118-710</t>
  </si>
  <si>
    <t>3-31-16018-750</t>
  </si>
  <si>
    <t>3-31-16118-750</t>
  </si>
  <si>
    <t>3-84-00037-580</t>
  </si>
  <si>
    <t>3-84-00037-583</t>
  </si>
  <si>
    <t>3-31-16020-750</t>
  </si>
  <si>
    <t>3-31-16120-750</t>
  </si>
  <si>
    <t>3-84-00037-660</t>
  </si>
  <si>
    <t>3-84-00037-661</t>
  </si>
  <si>
    <t>3-31-16022-750</t>
  </si>
  <si>
    <t>3-31-16122-750</t>
  </si>
  <si>
    <t>3-84-00037-725</t>
  </si>
  <si>
    <t>3-84-00037-726</t>
  </si>
  <si>
    <t>3-31-16024-778</t>
  </si>
  <si>
    <t>3-31-16124-778</t>
  </si>
  <si>
    <t>3-31-16028-750</t>
  </si>
  <si>
    <t>3-31-16128-750</t>
  </si>
  <si>
    <t>3-31-16030-750</t>
  </si>
  <si>
    <t>3-31-16130-750</t>
  </si>
  <si>
    <t>3-31-16032-750</t>
  </si>
  <si>
    <t>3-31-16132-750</t>
  </si>
  <si>
    <t>3-31-16034-750</t>
  </si>
  <si>
    <t>3-31-16134-750</t>
  </si>
  <si>
    <t>2-31-14006-000</t>
  </si>
  <si>
    <t>3-31-14006-710</t>
  </si>
  <si>
    <t>3-31-14106-710</t>
  </si>
  <si>
    <t>3-31-14006-750</t>
  </si>
  <si>
    <t>3-31-14106-750</t>
  </si>
  <si>
    <t>3-84-00037-859</t>
  </si>
  <si>
    <t>3-31-14106-510</t>
  </si>
  <si>
    <t>2-31-14008-000</t>
  </si>
  <si>
    <t>3-31-14008-710</t>
  </si>
  <si>
    <t>3-31-14108-710</t>
  </si>
  <si>
    <t>3-31-14008-750</t>
  </si>
  <si>
    <t>3-31-14108-750</t>
  </si>
  <si>
    <t>3-84-00037-865</t>
  </si>
  <si>
    <t>3-84-00037-866</t>
  </si>
  <si>
    <t>2-31-14010-000</t>
  </si>
  <si>
    <t>3-31-14010-710</t>
  </si>
  <si>
    <t>3-31-14110-710</t>
  </si>
  <si>
    <t>3-31-14010-750</t>
  </si>
  <si>
    <t>3-31-14110-750</t>
  </si>
  <si>
    <t>3-84-00037-891</t>
  </si>
  <si>
    <t>3-31-14110-510</t>
  </si>
  <si>
    <t>2-31-14012-000</t>
  </si>
  <si>
    <t>3-31-14012-710</t>
  </si>
  <si>
    <t>3-31-14112-710</t>
  </si>
  <si>
    <t>3-31-14012-750</t>
  </si>
  <si>
    <t>3-31-14112-750</t>
  </si>
  <si>
    <t>3-84-00037-923</t>
  </si>
  <si>
    <t>3-31-14112-510</t>
  </si>
  <si>
    <t>2-31-14014-000</t>
  </si>
  <si>
    <t>3-31-14014-710</t>
  </si>
  <si>
    <t>3-31-14114-710</t>
  </si>
  <si>
    <t>3-31-14014-750</t>
  </si>
  <si>
    <t>3-31-14114-750</t>
  </si>
  <si>
    <t>3-84-00037-932</t>
  </si>
  <si>
    <t>3-84-00037-933</t>
  </si>
  <si>
    <t>2-31-14016-000</t>
  </si>
  <si>
    <t>3-31-14016-710</t>
  </si>
  <si>
    <t>3-31-14116-710</t>
  </si>
  <si>
    <t>3-31-14016-750</t>
  </si>
  <si>
    <t>3-31-14116-750</t>
  </si>
  <si>
    <t>3-84-00037-975</t>
  </si>
  <si>
    <t>3-31-14116-510</t>
  </si>
  <si>
    <t>2-31-14018-000</t>
  </si>
  <si>
    <t>3-31-14018-710</t>
  </si>
  <si>
    <t>3-31-14118-710</t>
  </si>
  <si>
    <t>3-31-14018-750</t>
  </si>
  <si>
    <t>3-31-14118-750</t>
  </si>
  <si>
    <t>3-84-00038-019</t>
  </si>
  <si>
    <t>3-31-14118-510</t>
  </si>
  <si>
    <t>3-31-14020-750</t>
  </si>
  <si>
    <t>3-31-14120-750</t>
  </si>
  <si>
    <t>3-84-00038-058</t>
  </si>
  <si>
    <t>3-84-00038-060</t>
  </si>
  <si>
    <t>3-31-14022-750</t>
  </si>
  <si>
    <t>3-31-14122-750</t>
  </si>
  <si>
    <t>3-84-00038-094</t>
  </si>
  <si>
    <t>3-84-00038-096</t>
  </si>
  <si>
    <t>3-31-14024-778</t>
  </si>
  <si>
    <t>3-31-14124-778</t>
  </si>
  <si>
    <t>3-31-14028-750</t>
  </si>
  <si>
    <t>3-31-14128-750</t>
  </si>
  <si>
    <t>3-31-14030-750</t>
  </si>
  <si>
    <t>3-31-14130-750</t>
  </si>
  <si>
    <t>3-31-14032-750</t>
  </si>
  <si>
    <t>3-31-14132-750</t>
  </si>
  <si>
    <t>3-31-14034-750</t>
  </si>
  <si>
    <t>3-31-14134-750</t>
  </si>
  <si>
    <t>3-31-16031-750</t>
  </si>
  <si>
    <t>3-31-16131-750</t>
  </si>
  <si>
    <t>3-31-16033-750</t>
  </si>
  <si>
    <t>3-31-16133-750</t>
  </si>
  <si>
    <t>3-31-14031-750</t>
  </si>
  <si>
    <t>3-31-14131-750</t>
  </si>
  <si>
    <t>3-31-14033-750</t>
  </si>
  <si>
    <t>3-31-14133-750</t>
  </si>
  <si>
    <t>3-31-86006-710</t>
  </si>
  <si>
    <t>3-31-86106-710</t>
  </si>
  <si>
    <t>3-31-86006-750</t>
  </si>
  <si>
    <t>3-31-86106-750</t>
  </si>
  <si>
    <t>3-84-00038-450</t>
  </si>
  <si>
    <t>3-84-00038-451</t>
  </si>
  <si>
    <t>3-31-86008-710</t>
  </si>
  <si>
    <t>3-31-86108-710</t>
  </si>
  <si>
    <t>3-31-86008-750</t>
  </si>
  <si>
    <t>3-31-86108-750</t>
  </si>
  <si>
    <t>3-84-00038-470</t>
  </si>
  <si>
    <t>3-84-00038-471</t>
  </si>
  <si>
    <t>3-31-86010-703</t>
  </si>
  <si>
    <t>3-31-86110-710</t>
  </si>
  <si>
    <t>3-31-86010-700</t>
  </si>
  <si>
    <t>3-31-86110-750</t>
  </si>
  <si>
    <t>3-84-00038-512</t>
  </si>
  <si>
    <t>3-84-00038-513</t>
  </si>
  <si>
    <t>3-31-86012-710</t>
  </si>
  <si>
    <t>3-31-86112-710</t>
  </si>
  <si>
    <t>3-31-86012-704</t>
  </si>
  <si>
    <t>3-31-86112-750</t>
  </si>
  <si>
    <t>3-84-00038-558</t>
  </si>
  <si>
    <t>3-84-00038-559</t>
  </si>
  <si>
    <t>3-31-86014-710</t>
  </si>
  <si>
    <t>3-31-86114-710</t>
  </si>
  <si>
    <t>3-31-86014-750</t>
  </si>
  <si>
    <t>3-31-86114-750</t>
  </si>
  <si>
    <t>3-84-00038-580</t>
  </si>
  <si>
    <t>3-84-00038-581</t>
  </si>
  <si>
    <t>3-31-86016-710</t>
  </si>
  <si>
    <t>3-31-86116-710</t>
  </si>
  <si>
    <t>3-31-86016-705</t>
  </si>
  <si>
    <t>3-31-86116-750</t>
  </si>
  <si>
    <t>3-84-00038-628</t>
  </si>
  <si>
    <t>3-84-00038-629</t>
  </si>
  <si>
    <t>3-31-86018-710</t>
  </si>
  <si>
    <t>3-31-86118-710</t>
  </si>
  <si>
    <t>3-31-86018-700</t>
  </si>
  <si>
    <t>3-31-86118-750</t>
  </si>
  <si>
    <t>3-84-00038-660</t>
  </si>
  <si>
    <t>3-84-00038-662</t>
  </si>
  <si>
    <t>3-31-86020-750</t>
  </si>
  <si>
    <t>3-31-86120-750</t>
  </si>
  <si>
    <t>3-31-86022-750</t>
  </si>
  <si>
    <t>3-31-86122-750</t>
  </si>
  <si>
    <t>3-31-86024-778</t>
  </si>
  <si>
    <t>3-31-86124-778</t>
  </si>
  <si>
    <t>3-31-86028-750</t>
  </si>
  <si>
    <t>3-31-86128-750</t>
  </si>
  <si>
    <t>3-31-86030-750</t>
  </si>
  <si>
    <t>3-31-86130-750</t>
  </si>
  <si>
    <t>3-31-86032-750</t>
  </si>
  <si>
    <t>3-31-86132-750</t>
  </si>
  <si>
    <t>3-31-86034-750</t>
  </si>
  <si>
    <t>3-31-86134-750</t>
  </si>
  <si>
    <t>3-31-84006-710</t>
  </si>
  <si>
    <t>3-31-84106-710</t>
  </si>
  <si>
    <t>3-31-84006-750</t>
  </si>
  <si>
    <t>3-31-84106-750</t>
  </si>
  <si>
    <t>3-84-00038-738</t>
  </si>
  <si>
    <t>3-84-00038-739</t>
  </si>
  <si>
    <t>3-31-84008-710</t>
  </si>
  <si>
    <t>3-31-84108-710</t>
  </si>
  <si>
    <t>3-31-84008-750</t>
  </si>
  <si>
    <t>3-31-84108-750</t>
  </si>
  <si>
    <t>3-84-00038-746</t>
  </si>
  <si>
    <t>3-84-00038-747</t>
  </si>
  <si>
    <t>3-31-84010-710</t>
  </si>
  <si>
    <t>3-31-84110-710</t>
  </si>
  <si>
    <t>3-31-84010-700</t>
  </si>
  <si>
    <t>3-31-84110-750</t>
  </si>
  <si>
    <t>3-31-84010-510</t>
  </si>
  <si>
    <t>3-84-00038-759</t>
  </si>
  <si>
    <t>3-31-84012-710</t>
  </si>
  <si>
    <t>3-31-84112-710</t>
  </si>
  <si>
    <t>3-31-84012-750</t>
  </si>
  <si>
    <t>3-31-84112-750</t>
  </si>
  <si>
    <t>3-31-84012-510</t>
  </si>
  <si>
    <t>3-84-00038-775</t>
  </si>
  <si>
    <t>3-31-84014-710</t>
  </si>
  <si>
    <t>3-31-84114-710</t>
  </si>
  <si>
    <t>3-31-84014-750</t>
  </si>
  <si>
    <t>3-31-84114-750</t>
  </si>
  <si>
    <t>3-84-00038-782</t>
  </si>
  <si>
    <t>3-84-00038-783</t>
  </si>
  <si>
    <t>3-31-84016-710</t>
  </si>
  <si>
    <t>3-31-84116-710</t>
  </si>
  <si>
    <t>3-31-84016-700</t>
  </si>
  <si>
    <t>3-31-84116-750</t>
  </si>
  <si>
    <t>3-31-84016-510</t>
  </si>
  <si>
    <t>3-84-00038-797</t>
  </si>
  <si>
    <t>3-31-84018-710</t>
  </si>
  <si>
    <t>3-31-84118-710</t>
  </si>
  <si>
    <t>3-31-84018-750</t>
  </si>
  <si>
    <t>3-31-84118-750</t>
  </si>
  <si>
    <t>3-84-00038-810</t>
  </si>
  <si>
    <t>3-84-00038-812</t>
  </si>
  <si>
    <t>3-31-84020-750</t>
  </si>
  <si>
    <t>3-31-84120-750</t>
  </si>
  <si>
    <t>3-31-84022-750</t>
  </si>
  <si>
    <t>3-31-84122-750</t>
  </si>
  <si>
    <t>3-31-84024-778</t>
  </si>
  <si>
    <t>3-31-84124-778</t>
  </si>
  <si>
    <t>3-31-84028-750</t>
  </si>
  <si>
    <t>3-31-84128-750</t>
  </si>
  <si>
    <t>3-31-84030-750</t>
  </si>
  <si>
    <t>3-31-84130-750</t>
  </si>
  <si>
    <t>3-31-84032-750</t>
  </si>
  <si>
    <t>3-31-84132-750</t>
  </si>
  <si>
    <t>3-31-84034-750</t>
  </si>
  <si>
    <t>3-31-84134-750</t>
  </si>
  <si>
    <t>3-31-86019-710</t>
  </si>
  <si>
    <t>3-31-86119-710</t>
  </si>
  <si>
    <t>3-31-86019-705</t>
  </si>
  <si>
    <t>3-31-86119-750</t>
  </si>
  <si>
    <t>3-84-00038-944</t>
  </si>
  <si>
    <t>3-84-00064-029</t>
  </si>
  <si>
    <t>3-31-86021-702</t>
  </si>
  <si>
    <t>3-31-86121-750</t>
  </si>
  <si>
    <t>3-31-86021-810</t>
  </si>
  <si>
    <t>3-84-00038-966</t>
  </si>
  <si>
    <t>3-31-86023-702</t>
  </si>
  <si>
    <t>3-31-86123-750</t>
  </si>
  <si>
    <t>3-84-00038-985</t>
  </si>
  <si>
    <t>3-84-00038-986</t>
  </si>
  <si>
    <t>3-31-86025-778</t>
  </si>
  <si>
    <t>3-31-86125-778</t>
  </si>
  <si>
    <t>3-31-86027-750</t>
  </si>
  <si>
    <t>3-31-86127-750</t>
  </si>
  <si>
    <t>3-31-86029-750</t>
  </si>
  <si>
    <t>3-31-86129-750</t>
  </si>
  <si>
    <t>3-31-86031-750</t>
  </si>
  <si>
    <t>3-31-86131-750</t>
  </si>
  <si>
    <t>3-31-86033-750</t>
  </si>
  <si>
    <t>3-31-86133-750</t>
  </si>
  <si>
    <t>3-31-84019-710</t>
  </si>
  <si>
    <t>3-31-84119-710</t>
  </si>
  <si>
    <t>3-31-84019-750</t>
  </si>
  <si>
    <t>3-31-84119-750</t>
  </si>
  <si>
    <t>3-84-00039-064</t>
  </si>
  <si>
    <t>3-84-00039-066</t>
  </si>
  <si>
    <t>3-31-84021-750</t>
  </si>
  <si>
    <t>3-31-84121-750</t>
  </si>
  <si>
    <t>3-84-00039-077</t>
  </si>
  <si>
    <t>3-84-00039-079</t>
  </si>
  <si>
    <t>3-31-84023-750</t>
  </si>
  <si>
    <t>3-31-84123-750</t>
  </si>
  <si>
    <t>3-84-00039-098</t>
  </si>
  <si>
    <t>3-84-00039-100</t>
  </si>
  <si>
    <t>3-31-84025-778</t>
  </si>
  <si>
    <t>3-31-84125-778</t>
  </si>
  <si>
    <t>3-31-84027-750</t>
  </si>
  <si>
    <t>3-31-84127-750</t>
  </si>
  <si>
    <t>3-31-84029-750</t>
  </si>
  <si>
    <t>3-31-84129-750</t>
  </si>
  <si>
    <t>3-31-84031-750</t>
  </si>
  <si>
    <t>3-31-84131-750</t>
  </si>
  <si>
    <t>3-31-84033-750</t>
  </si>
  <si>
    <t>3-31-84133-750</t>
  </si>
  <si>
    <t>3-84-00039-479</t>
  </si>
  <si>
    <t>2-28-00651-020</t>
  </si>
  <si>
    <t>2-28-00651-030</t>
  </si>
  <si>
    <t>3-84-00039-481</t>
  </si>
  <si>
    <t>2-28-00651-010</t>
  </si>
  <si>
    <t>3-84-00039-482</t>
  </si>
  <si>
    <t>2-28-01501-150</t>
  </si>
  <si>
    <t>2-28-01501-200</t>
  </si>
  <si>
    <t>2-28-01500-100</t>
  </si>
  <si>
    <t>2-28-01500-125</t>
  </si>
  <si>
    <t>2-28-01501-100</t>
  </si>
  <si>
    <t>2-28-01501-125</t>
  </si>
  <si>
    <t>3-84-00039-487</t>
  </si>
  <si>
    <t>2-28-00652-150</t>
  </si>
  <si>
    <t>2-28-00650-063</t>
  </si>
  <si>
    <t>3-84-00039-491</t>
  </si>
  <si>
    <t>2-28-00650-065</t>
  </si>
  <si>
    <t>2-28-00650-066</t>
  </si>
  <si>
    <t>2-28-00650-067</t>
  </si>
  <si>
    <t>3-84-00039-493</t>
  </si>
  <si>
    <t>2-28-00650-090</t>
  </si>
  <si>
    <t>2-28-00650-110</t>
  </si>
  <si>
    <t>2-28-00650-140</t>
  </si>
  <si>
    <t>2-28-00650-160</t>
  </si>
  <si>
    <t>2-28-00650-225</t>
  </si>
  <si>
    <t>3-84-00039-494</t>
  </si>
  <si>
    <t>2-28-00650-315</t>
  </si>
  <si>
    <t>3-28-01512-100</t>
  </si>
  <si>
    <t>3-28-01513-100</t>
  </si>
  <si>
    <t>3-28-01514-100</t>
  </si>
  <si>
    <t>3-28-01515-100</t>
  </si>
  <si>
    <t>3-28-01517-100</t>
  </si>
  <si>
    <t>3-28-01518-100</t>
  </si>
  <si>
    <t>3-28-01512-125</t>
  </si>
  <si>
    <t>3-28-01513-125</t>
  </si>
  <si>
    <t>3-28-01514-125</t>
  </si>
  <si>
    <t>3-28-01515-125</t>
  </si>
  <si>
    <t>3-28-01517-125</t>
  </si>
  <si>
    <t>3-28-01518-125</t>
  </si>
  <si>
    <t>3-28-01514-150</t>
  </si>
  <si>
    <t>3-28-01515-150</t>
  </si>
  <si>
    <t>3-28-01516-150</t>
  </si>
  <si>
    <t>3-28-01517-150</t>
  </si>
  <si>
    <t>3-28-01518-150</t>
  </si>
  <si>
    <t>3-28-01519-150</t>
  </si>
  <si>
    <t>3-28-01520-150</t>
  </si>
  <si>
    <t>3-28-01514-200</t>
  </si>
  <si>
    <t>3-28-01515-200</t>
  </si>
  <si>
    <t>3-28-01516-200</t>
  </si>
  <si>
    <t>3-28-01517-200</t>
  </si>
  <si>
    <t>3-28-01518-200</t>
  </si>
  <si>
    <t>3-28-01519-200</t>
  </si>
  <si>
    <t>3-28-01520-200</t>
  </si>
  <si>
    <t>3-28-01521-100</t>
  </si>
  <si>
    <t>3-28-01522-100</t>
  </si>
  <si>
    <t>3-28-01523-100</t>
  </si>
  <si>
    <t>3-28-01524-100</t>
  </si>
  <si>
    <t>3-28-01525-100</t>
  </si>
  <si>
    <t>3-28-01526-100</t>
  </si>
  <si>
    <t>3-28-01521-125</t>
  </si>
  <si>
    <t>3-28-01522-125</t>
  </si>
  <si>
    <t>3-28-01523-125</t>
  </si>
  <si>
    <t>3-28-01524-125</t>
  </si>
  <si>
    <t>3-28-01525-125</t>
  </si>
  <si>
    <t>3-28-01526-125</t>
  </si>
  <si>
    <t>3-84-00039-508</t>
  </si>
  <si>
    <t>3-84-00039-509</t>
  </si>
  <si>
    <t>3-84-00039-510</t>
  </si>
  <si>
    <t>3-84-00039-511</t>
  </si>
  <si>
    <t>3-84-00039-513</t>
  </si>
  <si>
    <t>3-84-00039-514</t>
  </si>
  <si>
    <t>2-28-00653-050</t>
  </si>
  <si>
    <t>2-28-00653-065</t>
  </si>
  <si>
    <t>3-84-00039-536</t>
  </si>
  <si>
    <t>2-28-00653-100</t>
  </si>
  <si>
    <t>2-28-00653-150</t>
  </si>
  <si>
    <t>3-84-00039-539</t>
  </si>
  <si>
    <t>3-84-00039-540</t>
  </si>
  <si>
    <t>3-84-00039-541</t>
  </si>
  <si>
    <t>3-84-00039-542</t>
  </si>
  <si>
    <t>3-84-00039-543</t>
  </si>
  <si>
    <t>3-84-00039-544</t>
  </si>
  <si>
    <t>3-84-00039-545</t>
  </si>
  <si>
    <t>3-84-00039-546</t>
  </si>
  <si>
    <t>3-84-00039-547</t>
  </si>
  <si>
    <t>3-84-00039-548</t>
  </si>
  <si>
    <t>3-84-00039-549</t>
  </si>
  <si>
    <t>3-84-00039-550</t>
  </si>
  <si>
    <t>3-84-00039-551</t>
  </si>
  <si>
    <t>3-84-00039-552</t>
  </si>
  <si>
    <t>3-84-00039-553</t>
  </si>
  <si>
    <t>3-84-00039-554</t>
  </si>
  <si>
    <t>3-84-00039-555</t>
  </si>
  <si>
    <t>3-84-00039-556</t>
  </si>
  <si>
    <t>3-84-00039-557</t>
  </si>
  <si>
    <t>3-84-00039-558</t>
  </si>
  <si>
    <t>3-84-00039-559</t>
  </si>
  <si>
    <t>3-84-00039-560</t>
  </si>
  <si>
    <t>3-84-00039-562</t>
  </si>
  <si>
    <t>3-84-00039-563</t>
  </si>
  <si>
    <t>3-84-00039-564</t>
  </si>
  <si>
    <t>3-84-00039-565</t>
  </si>
  <si>
    <t>3-84-00039-566</t>
  </si>
  <si>
    <t>3-84-00039-567</t>
  </si>
  <si>
    <t>3-84-00039-568</t>
  </si>
  <si>
    <t>3-84-00039-569</t>
  </si>
  <si>
    <t>3-84-00039-570</t>
  </si>
  <si>
    <t>3-84-00039-571</t>
  </si>
  <si>
    <t>3-84-00039-572</t>
  </si>
  <si>
    <t>3-84-00039-573</t>
  </si>
  <si>
    <t>3-84-00039-574</t>
  </si>
  <si>
    <t>3-84-00039-575</t>
  </si>
  <si>
    <t>3-84-00039-576</t>
  </si>
  <si>
    <t>3-84-00039-580</t>
  </si>
  <si>
    <t>3-84-00039-582</t>
  </si>
  <si>
    <t>3-84-00039-584</t>
  </si>
  <si>
    <t>3-84-00039-585</t>
  </si>
  <si>
    <t>3-84-00039-586</t>
  </si>
  <si>
    <t>3-84-00039-589</t>
  </si>
  <si>
    <t>3-84-00039-590</t>
  </si>
  <si>
    <t>3-84-00039-592</t>
  </si>
  <si>
    <t>2-28-00654-001</t>
  </si>
  <si>
    <t>3-84-00039-596</t>
  </si>
  <si>
    <t>3-84-00039-597</t>
  </si>
  <si>
    <t>3-84-00039-598</t>
  </si>
  <si>
    <t>3-84-00039-599</t>
  </si>
  <si>
    <t>3-84-00039-600</t>
  </si>
  <si>
    <t>2-28-00889-100</t>
  </si>
  <si>
    <t>2-28-01504-100</t>
  </si>
  <si>
    <t>2-28-01505-100</t>
  </si>
  <si>
    <t>2-28-01506-100</t>
  </si>
  <si>
    <t>2-28-01507-100</t>
  </si>
  <si>
    <t>2-28-01504-125</t>
  </si>
  <si>
    <t>2-28-01505-125</t>
  </si>
  <si>
    <t>2-28-01506-125</t>
  </si>
  <si>
    <t>2-28-01507-125</t>
  </si>
  <si>
    <t>2-28-01504-150</t>
  </si>
  <si>
    <t>2-28-01505-150</t>
  </si>
  <si>
    <t>2-28-01506-150</t>
  </si>
  <si>
    <t>2-28-01507-150</t>
  </si>
  <si>
    <t>3-84-00039-640</t>
  </si>
  <si>
    <t>2-28-01504-200</t>
  </si>
  <si>
    <t>2-28-01505-200</t>
  </si>
  <si>
    <t>2-28-01506-200</t>
  </si>
  <si>
    <t>2-28-01507-200</t>
  </si>
  <si>
    <t>3-84-00039-654</t>
  </si>
  <si>
    <t>3-84-00039-655</t>
  </si>
  <si>
    <t>3-84-00039-656</t>
  </si>
  <si>
    <t>3-84-00039-657</t>
  </si>
  <si>
    <t>3-84-00039-658</t>
  </si>
  <si>
    <t>3-84-00039-660</t>
  </si>
  <si>
    <t>3-84-00039-661</t>
  </si>
  <si>
    <t>3-84-00039-662</t>
  </si>
  <si>
    <t>3-84-00039-663</t>
  </si>
  <si>
    <t>3-84-00039-664</t>
  </si>
  <si>
    <t>3-84-00039-666</t>
  </si>
  <si>
    <t>3-84-00039-667</t>
  </si>
  <si>
    <t>3-84-00039-668</t>
  </si>
  <si>
    <t>3-84-00039-669</t>
  </si>
  <si>
    <t>2-28-01508-100</t>
  </si>
  <si>
    <t>2-28-01509-100</t>
  </si>
  <si>
    <t>2-28-01510-100</t>
  </si>
  <si>
    <t>2-28-01511-100</t>
  </si>
  <si>
    <t>2-28-01508-125</t>
  </si>
  <si>
    <t>2-28-01509-125</t>
  </si>
  <si>
    <t>2-28-01510-125</t>
  </si>
  <si>
    <t>2-28-01511-125</t>
  </si>
  <si>
    <t>3-84-00039-671</t>
  </si>
  <si>
    <t>3-84-00039-672</t>
  </si>
  <si>
    <t>3-84-00039-675</t>
  </si>
  <si>
    <t>3-84-00039-676</t>
  </si>
  <si>
    <t>2-28-01502-100</t>
  </si>
  <si>
    <t>2-28-01502-125</t>
  </si>
  <si>
    <t>2-28-01503-100</t>
  </si>
  <si>
    <t>2-28-01503-125</t>
  </si>
  <si>
    <t>3-84-00039-681</t>
  </si>
  <si>
    <t>3-84-00039-682</t>
  </si>
  <si>
    <t>3-84-00039-684</t>
  </si>
  <si>
    <t>3-84-00039-685</t>
  </si>
  <si>
    <t>3-84-00039-686</t>
  </si>
  <si>
    <t>3-84-00039-687</t>
  </si>
  <si>
    <t>3-84-00039-688</t>
  </si>
  <si>
    <t>3-28-11107-080</t>
  </si>
  <si>
    <t>3-28-11107-100</t>
  </si>
  <si>
    <t>3-28-11107-125</t>
  </si>
  <si>
    <t>3-28-11107-150</t>
  </si>
  <si>
    <t>3-28-11107-200</t>
  </si>
  <si>
    <t>3-28-11288-080</t>
  </si>
  <si>
    <t>3-28-11288-100</t>
  </si>
  <si>
    <t>3-28-11288-125</t>
  </si>
  <si>
    <t>3-28-11288-150</t>
  </si>
  <si>
    <t>3-28-11288-200</t>
  </si>
  <si>
    <t>3-28-00638-080</t>
  </si>
  <si>
    <t>3-28-00638-100</t>
  </si>
  <si>
    <t>3-28-00638-125</t>
  </si>
  <si>
    <t>3-28-00638-150</t>
  </si>
  <si>
    <t>3-28-00638-200</t>
  </si>
  <si>
    <t>3-28-11455-000</t>
  </si>
  <si>
    <t>3-84-00039-762</t>
  </si>
  <si>
    <t>3-28-11105-000</t>
  </si>
  <si>
    <t>3-28-11106-100</t>
  </si>
  <si>
    <t>3-28-11106-500</t>
  </si>
  <si>
    <t>3-28-11106-000</t>
  </si>
  <si>
    <t>3-28-11192-032</t>
  </si>
  <si>
    <t>3-28-11192-040</t>
  </si>
  <si>
    <t>3-28-11192-050</t>
  </si>
  <si>
    <t>3-28-11108-032</t>
  </si>
  <si>
    <t>3-28-11108-040</t>
  </si>
  <si>
    <t>3-28-11108-050</t>
  </si>
  <si>
    <t>3-14-24020-410</t>
  </si>
  <si>
    <t>3-14-24020-411</t>
  </si>
  <si>
    <t>3-14-24020-412</t>
  </si>
  <si>
    <t>3-14-24020-413</t>
  </si>
  <si>
    <t>3-14-24021-100</t>
  </si>
  <si>
    <t>3-14-24021-125</t>
  </si>
  <si>
    <t>3-14-24021-150</t>
  </si>
  <si>
    <t>3-14-24021-175</t>
  </si>
  <si>
    <t>3-14-24020-810</t>
  </si>
  <si>
    <t>3-84-00039-963</t>
  </si>
  <si>
    <t>3-14-24020-812</t>
  </si>
  <si>
    <t>3-84-00039-965</t>
  </si>
  <si>
    <t>3-14-24020-310</t>
  </si>
  <si>
    <t>3-14-24020-311</t>
  </si>
  <si>
    <t>3-14-24020-312</t>
  </si>
  <si>
    <t>3-14-24020-313</t>
  </si>
  <si>
    <t>3-28-01224-011</t>
  </si>
  <si>
    <t>3-28-01220-010</t>
  </si>
  <si>
    <t>3-28-01221-010</t>
  </si>
  <si>
    <t>3-28-01222-010</t>
  </si>
  <si>
    <t>3-28-01223-010</t>
  </si>
  <si>
    <t>3-28-01224-010</t>
  </si>
  <si>
    <t>3-14-23657-311</t>
  </si>
  <si>
    <t>3-84-00040-017</t>
  </si>
  <si>
    <t>3-84-00040-019</t>
  </si>
  <si>
    <t>3-84-00040-020</t>
  </si>
  <si>
    <t>3-14-23673-390</t>
  </si>
  <si>
    <t>3-14-23668-390</t>
  </si>
  <si>
    <t>3-14-23668-380</t>
  </si>
  <si>
    <t>3-14-23672-390</t>
  </si>
  <si>
    <t>3-14-23672-380</t>
  </si>
  <si>
    <t>3-14-23673-391</t>
  </si>
  <si>
    <t>3-14-23657-391</t>
  </si>
  <si>
    <t>3-14-23657-390</t>
  </si>
  <si>
    <t>3-14-23657-380</t>
  </si>
  <si>
    <t>3-14-23668-391</t>
  </si>
  <si>
    <t>3-14-23672-391</t>
  </si>
  <si>
    <t>3-14-23673-392</t>
  </si>
  <si>
    <t>3-84-00040-066</t>
  </si>
  <si>
    <t>3-28-00261-002</t>
  </si>
  <si>
    <t>3-28-00261-003</t>
  </si>
  <si>
    <t>3-84-00040-077</t>
  </si>
  <si>
    <t>3-84-00040-078</t>
  </si>
  <si>
    <t>3-28-00263-002</t>
  </si>
  <si>
    <t>3-28-00263-005</t>
  </si>
  <si>
    <t>3-84-00040-081</t>
  </si>
  <si>
    <t>3-84-00040-082</t>
  </si>
  <si>
    <t>3-28-00254-002</t>
  </si>
  <si>
    <t>3-84-00040-084</t>
  </si>
  <si>
    <t>3-28-00255-002</t>
  </si>
  <si>
    <t>3-84-00040-086</t>
  </si>
  <si>
    <t>3-28-00256-002</t>
  </si>
  <si>
    <t>3-84-00040-091</t>
  </si>
  <si>
    <t>3-28-00257-002</t>
  </si>
  <si>
    <t>3-84-00040-098</t>
  </si>
  <si>
    <t>3-28-00258-002</t>
  </si>
  <si>
    <t>3-84-00040-102</t>
  </si>
  <si>
    <t>3-28-00259-002</t>
  </si>
  <si>
    <t>3-84-00040-103</t>
  </si>
  <si>
    <t>3-28-00260-002</t>
  </si>
  <si>
    <t>3-17-13566-230</t>
  </si>
  <si>
    <t>3-17-13566-030</t>
  </si>
  <si>
    <t>3-17-13566-130</t>
  </si>
  <si>
    <t>3-17-13567-030</t>
  </si>
  <si>
    <t>3-17-13567-130</t>
  </si>
  <si>
    <t>3-17-13278-030</t>
  </si>
  <si>
    <t>3-17-13278-130</t>
  </si>
  <si>
    <t>3-17-13411-730</t>
  </si>
  <si>
    <t>3-17-13411-530</t>
  </si>
  <si>
    <t>3-17-13411-630</t>
  </si>
  <si>
    <t>3-17-13433-030</t>
  </si>
  <si>
    <t>3-17-13433-130</t>
  </si>
  <si>
    <t>3-17-13529-230</t>
  </si>
  <si>
    <t>3-17-13529-030</t>
  </si>
  <si>
    <t>3-17-13529-130</t>
  </si>
  <si>
    <t>3-17-13535-530</t>
  </si>
  <si>
    <t>3-17-13535-630</t>
  </si>
  <si>
    <t>3-17-13665-325</t>
  </si>
  <si>
    <t>3-17-13665-350</t>
  </si>
  <si>
    <t>3-17-13666-325</t>
  </si>
  <si>
    <t>3-17-13666-350</t>
  </si>
  <si>
    <t>3-17-13758-100</t>
  </si>
  <si>
    <t>3-17-13758-125</t>
  </si>
  <si>
    <t>3-17-13758-150</t>
  </si>
  <si>
    <t>3-17-13759-100</t>
  </si>
  <si>
    <t>3-17-13759-125</t>
  </si>
  <si>
    <t>3-17-13759-150</t>
  </si>
  <si>
    <t>3-17-13853-100</t>
  </si>
  <si>
    <t>3-17-13854-100</t>
  </si>
  <si>
    <t>3-17-13855-100</t>
  </si>
  <si>
    <t>3-17-13853-080</t>
  </si>
  <si>
    <t>3-17-13854-080</t>
  </si>
  <si>
    <t>3-17-13855-080</t>
  </si>
  <si>
    <t>3-84-00040-303</t>
  </si>
  <si>
    <t>3-84-00040-304</t>
  </si>
  <si>
    <t>3-84-00040-305</t>
  </si>
  <si>
    <t>3-84-00040-306</t>
  </si>
  <si>
    <t>3-17-13760-075</t>
  </si>
  <si>
    <t>3-17-13760-100</t>
  </si>
  <si>
    <t>3-17-13760-125</t>
  </si>
  <si>
    <t>3-17-13760-150</t>
  </si>
  <si>
    <t>3-84-00040-325</t>
  </si>
  <si>
    <t>3-84-00040-326</t>
  </si>
  <si>
    <t>3-84-00040-327</t>
  </si>
  <si>
    <t>3-84-00040-328</t>
  </si>
  <si>
    <t>3-17-13761-075</t>
  </si>
  <si>
    <t>3-17-13761-100</t>
  </si>
  <si>
    <t>3-17-13761-125</t>
  </si>
  <si>
    <t>3-17-13761-150</t>
  </si>
  <si>
    <t>3-17-13752-075</t>
  </si>
  <si>
    <t>3-17-13752-100</t>
  </si>
  <si>
    <t>3-17-13752-125</t>
  </si>
  <si>
    <t>3-17-13752-150</t>
  </si>
  <si>
    <t>3-17-13750-075</t>
  </si>
  <si>
    <t>3-17-13750-100</t>
  </si>
  <si>
    <t>3-17-13750-125</t>
  </si>
  <si>
    <t>3-17-13750-150</t>
  </si>
  <si>
    <t>2-28-01098-000</t>
  </si>
  <si>
    <t>3-28-00150-000</t>
  </si>
  <si>
    <t>3-28-00151-000</t>
  </si>
  <si>
    <t>3-28-00160-000</t>
  </si>
  <si>
    <t>3-28-00152-000</t>
  </si>
  <si>
    <t>3-28-00153-000</t>
  </si>
  <si>
    <t>3-28-00161-000</t>
  </si>
  <si>
    <t>3-28-00154-000</t>
  </si>
  <si>
    <t>3-28-00155-000</t>
  </si>
  <si>
    <t>3-28-00156-000</t>
  </si>
  <si>
    <t>3-28-00157-000</t>
  </si>
  <si>
    <t>3-28-11330-000</t>
  </si>
  <si>
    <t>3-28-11331-000</t>
  </si>
  <si>
    <t>3-28-11332-000</t>
  </si>
  <si>
    <t>3-28-11333-000</t>
  </si>
  <si>
    <t>3-28-11334-000</t>
  </si>
  <si>
    <t>3-28-11335-000</t>
  </si>
  <si>
    <t>3-28-11336-001</t>
  </si>
  <si>
    <t>3-28-11337-001</t>
  </si>
  <si>
    <t>3-28-11338-001</t>
  </si>
  <si>
    <t>3-28-11336-000</t>
  </si>
  <si>
    <t>3-28-11337-000</t>
  </si>
  <si>
    <t>3-28-11338-000</t>
  </si>
  <si>
    <t>3-84-00040-694</t>
  </si>
  <si>
    <t>3-28-11330-200</t>
  </si>
  <si>
    <t>3-84-00040-696</t>
  </si>
  <si>
    <t>3-28-11331-200</t>
  </si>
  <si>
    <t>3-84-00040-699</t>
  </si>
  <si>
    <t>3-28-11332-200</t>
  </si>
  <si>
    <t>3-28-11333-210</t>
  </si>
  <si>
    <t>3-28-11333-200</t>
  </si>
  <si>
    <t>3-84-00040-704</t>
  </si>
  <si>
    <t>3-28-11334-200</t>
  </si>
  <si>
    <t>3-28-11335-210</t>
  </si>
  <si>
    <t>3-28-11335-200</t>
  </si>
  <si>
    <t>3-84-00040-708</t>
  </si>
  <si>
    <t>3-28-11336-201</t>
  </si>
  <si>
    <t>3-84-00040-709</t>
  </si>
  <si>
    <t>3-28-11337-201</t>
  </si>
  <si>
    <t>3-84-00040-710</t>
  </si>
  <si>
    <t>3-28-11338-201</t>
  </si>
  <si>
    <t>3-84-00040-712</t>
  </si>
  <si>
    <t>3-28-11336-200</t>
  </si>
  <si>
    <t>3-84-00040-713</t>
  </si>
  <si>
    <t>3-28-11337-200</t>
  </si>
  <si>
    <t>3-84-00040-714</t>
  </si>
  <si>
    <t>3-28-11338-200</t>
  </si>
  <si>
    <t>3-28-11330-402</t>
  </si>
  <si>
    <t>3-28-11330-400</t>
  </si>
  <si>
    <t>3-28-11331-402</t>
  </si>
  <si>
    <t>3-28-11331-400</t>
  </si>
  <si>
    <t>3-28-11332-404</t>
  </si>
  <si>
    <t>3-28-11332-400</t>
  </si>
  <si>
    <t>3-28-11333-402</t>
  </si>
  <si>
    <t>3-28-11333-400</t>
  </si>
  <si>
    <t>3-28-11334-402</t>
  </si>
  <si>
    <t>3-28-11334-400</t>
  </si>
  <si>
    <t>3-28-11335-402</t>
  </si>
  <si>
    <t>3-28-11335-400</t>
  </si>
  <si>
    <t>3-28-11336-411</t>
  </si>
  <si>
    <t>3-28-11336-401</t>
  </si>
  <si>
    <t>3-28-11337-411</t>
  </si>
  <si>
    <t>3-28-11337-401</t>
  </si>
  <si>
    <t>3-28-11338-411</t>
  </si>
  <si>
    <t>3-28-11338-401</t>
  </si>
  <si>
    <t>3-28-11336-410</t>
  </si>
  <si>
    <t>3-28-11336-400</t>
  </si>
  <si>
    <t>3-28-11337-410</t>
  </si>
  <si>
    <t>3-28-11337-400</t>
  </si>
  <si>
    <t>3-28-11338-410</t>
  </si>
  <si>
    <t>3-28-11338-400</t>
  </si>
  <si>
    <t>3-29-00037-500</t>
  </si>
  <si>
    <t>3-29-00038-500</t>
  </si>
  <si>
    <t>3-29-00039-500</t>
  </si>
  <si>
    <t>3-29-00040-500</t>
  </si>
  <si>
    <t>3-29-00041-500</t>
  </si>
  <si>
    <t>3-29-00042-500</t>
  </si>
  <si>
    <t>3-29-00043-500</t>
  </si>
  <si>
    <t>3-29-00044-501</t>
  </si>
  <si>
    <t>3-29-00045-501</t>
  </si>
  <si>
    <t>3-29-00046-501</t>
  </si>
  <si>
    <t>3-29-00044-500</t>
  </si>
  <si>
    <t>3-29-00045-500</t>
  </si>
  <si>
    <t>3-29-00046-500</t>
  </si>
  <si>
    <t>3-29-00038-802</t>
  </si>
  <si>
    <t>3-29-00039-802</t>
  </si>
  <si>
    <t>3-29-00040-802</t>
  </si>
  <si>
    <t>3-29-00041-802</t>
  </si>
  <si>
    <t>3-29-00043-802</t>
  </si>
  <si>
    <t>3-28-00310-501</t>
  </si>
  <si>
    <t>3-84-00040-791</t>
  </si>
  <si>
    <t>3-28-00313-501</t>
  </si>
  <si>
    <t>3-84-00040-792</t>
  </si>
  <si>
    <t>3-28-00315-501</t>
  </si>
  <si>
    <t>3-84-00040-793</t>
  </si>
  <si>
    <t>3-28-00321-501</t>
  </si>
  <si>
    <t>3-28-00321-525</t>
  </si>
  <si>
    <t>3-28-00326-501</t>
  </si>
  <si>
    <t>3-84-00040-798</t>
  </si>
  <si>
    <t>3-84-00040-800</t>
  </si>
  <si>
    <t>3-84-00040-801</t>
  </si>
  <si>
    <t>3-84-00040-804</t>
  </si>
  <si>
    <t>3-84-00040-805</t>
  </si>
  <si>
    <t>3-84-00040-806</t>
  </si>
  <si>
    <t>3-84-00040-807</t>
  </si>
  <si>
    <t>3-84-00040-811</t>
  </si>
  <si>
    <t>3-84-00040-812</t>
  </si>
  <si>
    <t>3-84-00040-820</t>
  </si>
  <si>
    <t>3-84-00040-821</t>
  </si>
  <si>
    <t>3-28-00304-503</t>
  </si>
  <si>
    <t>3-28-00305-503</t>
  </si>
  <si>
    <t>3-28-00307-503</t>
  </si>
  <si>
    <t>3-28-00308-503</t>
  </si>
  <si>
    <t>3-84-00040-865</t>
  </si>
  <si>
    <t>3-28-00304-504</t>
  </si>
  <si>
    <t>3-84-00040-866</t>
  </si>
  <si>
    <t>3-28-00305-504</t>
  </si>
  <si>
    <t>3-84-00040-867</t>
  </si>
  <si>
    <t>3-28-00307-504</t>
  </si>
  <si>
    <t>3-84-00040-868</t>
  </si>
  <si>
    <t>3-28-00308-504</t>
  </si>
  <si>
    <t>3-28-00304-501</t>
  </si>
  <si>
    <t>3-84-00040-885</t>
  </si>
  <si>
    <t>3-28-00305-501</t>
  </si>
  <si>
    <t>3-84-00040-886</t>
  </si>
  <si>
    <t>3-28-00307-501</t>
  </si>
  <si>
    <t>3-84-00040-888</t>
  </si>
  <si>
    <t>3-28-00308-501</t>
  </si>
  <si>
    <t>3-84-00040-890</t>
  </si>
  <si>
    <t>3-84-00040-891</t>
  </si>
  <si>
    <t>3-84-00040-892</t>
  </si>
  <si>
    <t>3-84-00040-894</t>
  </si>
  <si>
    <t>3-84-00040-895</t>
  </si>
  <si>
    <t>3-84-00040-898</t>
  </si>
  <si>
    <t>3-84-00040-899</t>
  </si>
  <si>
    <t>3-84-00040-900</t>
  </si>
  <si>
    <t>3-84-00040-901</t>
  </si>
  <si>
    <t>3-28-00310-503</t>
  </si>
  <si>
    <t>3-84-00051-170</t>
  </si>
  <si>
    <t>3-28-00313-503</t>
  </si>
  <si>
    <t>3-84-00051-171</t>
  </si>
  <si>
    <t>3-28-00315-503</t>
  </si>
  <si>
    <t>3-84-00051-172</t>
  </si>
  <si>
    <t>3-28-00321-503</t>
  </si>
  <si>
    <t>3-84-00063-317</t>
  </si>
  <si>
    <t>3-28-00326-503</t>
  </si>
  <si>
    <t>3-84-00063-318</t>
  </si>
  <si>
    <t>3-84-00040-952</t>
  </si>
  <si>
    <t>3-28-00310-504</t>
  </si>
  <si>
    <t>3-84-00040-954</t>
  </si>
  <si>
    <t>3-28-00313-504</t>
  </si>
  <si>
    <t>3-84-00040-956</t>
  </si>
  <si>
    <t>3-28-00315-504</t>
  </si>
  <si>
    <t>3-84-00040-957</t>
  </si>
  <si>
    <t>3-28-00321-504</t>
  </si>
  <si>
    <t>3-84-00040-960</t>
  </si>
  <si>
    <t>3-28-00326-504</t>
  </si>
  <si>
    <t>3-28-01180-000</t>
  </si>
  <si>
    <t>3-28-01181-000</t>
  </si>
  <si>
    <t>3-28-01182-000</t>
  </si>
  <si>
    <t>3-28-01182-001</t>
  </si>
  <si>
    <t>3-28-01183-000</t>
  </si>
  <si>
    <t>3-28-01184-000</t>
  </si>
  <si>
    <t>3-28-01185-000</t>
  </si>
  <si>
    <t>3-28-01186-000</t>
  </si>
  <si>
    <t>3-29-02021-101</t>
  </si>
  <si>
    <t>3-29-02023-101</t>
  </si>
  <si>
    <t>3-29-02025-101</t>
  </si>
  <si>
    <t>3-29-02027-101</t>
  </si>
  <si>
    <t>3-29-02029-101</t>
  </si>
  <si>
    <t>3-29-02014-101</t>
  </si>
  <si>
    <t>3-29-02015-101</t>
  </si>
  <si>
    <t>3-29-02016-101</t>
  </si>
  <si>
    <t>3-29-02017-101</t>
  </si>
  <si>
    <t>3-29-02018-101</t>
  </si>
  <si>
    <t>3-29-02019-101</t>
  </si>
  <si>
    <t>3-29-02020-101</t>
  </si>
  <si>
    <t>3-29-02022-101</t>
  </si>
  <si>
    <t>3-29-02024-101</t>
  </si>
  <si>
    <t>3-29-02026-101</t>
  </si>
  <si>
    <t>1-85-00000-008</t>
  </si>
  <si>
    <t>1-85-00000-009</t>
  </si>
  <si>
    <t>1-85-00000-010</t>
  </si>
  <si>
    <t>1-85-00000-013</t>
  </si>
  <si>
    <t>1-85-00000-015</t>
  </si>
  <si>
    <t>1-85-00000-017</t>
  </si>
  <si>
    <t>1-85-00000-018</t>
  </si>
  <si>
    <t>1-85-00000-020</t>
  </si>
  <si>
    <t>3-29-03255-000</t>
  </si>
  <si>
    <t>1-85-00000-021</t>
  </si>
  <si>
    <t>3-29-03260-000</t>
  </si>
  <si>
    <t>1-85-00000-023</t>
  </si>
  <si>
    <t>1-85-00000-024</t>
  </si>
  <si>
    <t>3-29-03271-000</t>
  </si>
  <si>
    <t>1-85-00000-025</t>
  </si>
  <si>
    <t>1-17-12176-140</t>
  </si>
  <si>
    <t>1-17-12180-700</t>
  </si>
  <si>
    <t>1-85-00000-029</t>
  </si>
  <si>
    <t>3-29-03224-000</t>
  </si>
  <si>
    <t>1-85-00000-033</t>
  </si>
  <si>
    <t>3-29-03261-000</t>
  </si>
  <si>
    <t>3-29-03272-000</t>
  </si>
  <si>
    <t>1-85-00000-036</t>
  </si>
  <si>
    <t>1-85-00000-041</t>
  </si>
  <si>
    <t>3-29-03225-000</t>
  </si>
  <si>
    <t>1-85-00000-042</t>
  </si>
  <si>
    <t>3-29-03262-000</t>
  </si>
  <si>
    <t>1-85-00000-044</t>
  </si>
  <si>
    <t>1-85-00000-047</t>
  </si>
  <si>
    <t>1-85-00000-048</t>
  </si>
  <si>
    <t>3-28-00499-000</t>
  </si>
  <si>
    <t>2-12-20220-000</t>
  </si>
  <si>
    <t>1-85-00000-054</t>
  </si>
  <si>
    <t>3-29-03226-000</t>
  </si>
  <si>
    <t>3-29-03241-000</t>
  </si>
  <si>
    <t>1-85-00000-055</t>
  </si>
  <si>
    <t>3-29-03263-000</t>
  </si>
  <si>
    <t>1-85-00000-057</t>
  </si>
  <si>
    <t>3-29-03274-000</t>
  </si>
  <si>
    <t>1-85-00000-072</t>
  </si>
  <si>
    <t>3-29-03227-000</t>
  </si>
  <si>
    <t>1-85-00000-075</t>
  </si>
  <si>
    <t>1-85-00000-076</t>
  </si>
  <si>
    <t>3-29-03264-000</t>
  </si>
  <si>
    <t>3-29-03275-000</t>
  </si>
  <si>
    <t>1-85-00000-079</t>
  </si>
  <si>
    <t>1-85-00000-091</t>
  </si>
  <si>
    <t>1-85-00000-092</t>
  </si>
  <si>
    <t>1-85-00000-093</t>
  </si>
  <si>
    <t>1-85-00000-094</t>
  </si>
  <si>
    <t>3-29-03265-000</t>
  </si>
  <si>
    <t>3-29-03234-000</t>
  </si>
  <si>
    <t>1-85-00000-097</t>
  </si>
  <si>
    <t>1-85-00000-107</t>
  </si>
  <si>
    <t>1-85-00000-109</t>
  </si>
  <si>
    <t>1-85-00000-110</t>
  </si>
  <si>
    <t>1-85-00000-112</t>
  </si>
  <si>
    <t>3-29-03266-000</t>
  </si>
  <si>
    <t>1-85-00000-113</t>
  </si>
  <si>
    <t>1-85-00000-114</t>
  </si>
  <si>
    <t>1-85-00000-116</t>
  </si>
  <si>
    <t>1-85-00000-117</t>
  </si>
  <si>
    <t>1-85-00000-119</t>
  </si>
  <si>
    <t>1-85-00000-120</t>
  </si>
  <si>
    <t>1-85-00000-121</t>
  </si>
  <si>
    <t>1-85-00000-122</t>
  </si>
  <si>
    <t>1-85-00000-130</t>
  </si>
  <si>
    <t>1-85-00000-132</t>
  </si>
  <si>
    <t>1-85-00000-134</t>
  </si>
  <si>
    <t>1-85-00000-135</t>
  </si>
  <si>
    <t>3-29-03268-000</t>
  </si>
  <si>
    <t>1-85-00000-137</t>
  </si>
  <si>
    <t>1-85-00000-149</t>
  </si>
  <si>
    <t>1-85-00000-150</t>
  </si>
  <si>
    <t>1-85-00000-151</t>
  </si>
  <si>
    <t>1-85-00000-152</t>
  </si>
  <si>
    <t>3-29-03269-000</t>
  </si>
  <si>
    <t>1-85-00000-153</t>
  </si>
  <si>
    <t>1-85-00000-165</t>
  </si>
  <si>
    <t>1-85-00000-167</t>
  </si>
  <si>
    <t>1-85-00000-169</t>
  </si>
  <si>
    <t>1-85-00000-170</t>
  </si>
  <si>
    <t>3-29-03270-000</t>
  </si>
  <si>
    <t>1-85-00000-171</t>
  </si>
  <si>
    <t>1-85-00000-184</t>
  </si>
  <si>
    <t>1-85-00000-186</t>
  </si>
  <si>
    <t>1-85-00000-187</t>
  </si>
  <si>
    <t>1-85-00000-188</t>
  </si>
  <si>
    <t>1-85-00000-189</t>
  </si>
  <si>
    <t>1-85-00000-201</t>
  </si>
  <si>
    <t>1-85-00000-202</t>
  </si>
  <si>
    <t>1-85-00000-205</t>
  </si>
  <si>
    <t>1-85-00000-207</t>
  </si>
  <si>
    <t>1-85-00000-209</t>
  </si>
  <si>
    <t>1-85-00000-222</t>
  </si>
  <si>
    <t>1-85-00000-224</t>
  </si>
  <si>
    <t>1-85-00000-225</t>
  </si>
  <si>
    <t>1-85-00000-226</t>
  </si>
  <si>
    <t>1-85-00000-234</t>
  </si>
  <si>
    <t>1-85-00000-235</t>
  </si>
  <si>
    <t>1-85-00000-238</t>
  </si>
  <si>
    <t>1-85-00000-239</t>
  </si>
  <si>
    <t>1-85-00000-240</t>
  </si>
  <si>
    <t>1-85-00000-252</t>
  </si>
  <si>
    <t>1-85-00000-253</t>
  </si>
  <si>
    <t>1-85-00000-256</t>
  </si>
  <si>
    <t>1-85-00000-257</t>
  </si>
  <si>
    <t>1-85-00000-259</t>
  </si>
  <si>
    <t>1-85-00000-270</t>
  </si>
  <si>
    <t>1-85-00000-272</t>
  </si>
  <si>
    <t>1-85-00000-274</t>
  </si>
  <si>
    <t>1-85-00000-275</t>
  </si>
  <si>
    <t>1-85-00000-276</t>
  </si>
  <si>
    <t>1-85-00000-291</t>
  </si>
  <si>
    <t>1-85-00000-292</t>
  </si>
  <si>
    <t>1-85-00000-294</t>
  </si>
  <si>
    <t>1-85-00000-295</t>
  </si>
  <si>
    <t>1-85-00000-296</t>
  </si>
  <si>
    <t>1-85-00000-300</t>
  </si>
  <si>
    <t>1-85-00000-301</t>
  </si>
  <si>
    <t>1-85-00000-302</t>
  </si>
  <si>
    <t>1-85-00000-303</t>
  </si>
  <si>
    <t>1-85-00000-312</t>
  </si>
  <si>
    <t>1-85-00000-313</t>
  </si>
  <si>
    <t>1-85-00000-315</t>
  </si>
  <si>
    <t>1-85-00000-316</t>
  </si>
  <si>
    <t>2-29-00451-000</t>
  </si>
  <si>
    <t>2-29-00451-100</t>
  </si>
  <si>
    <t>2-29-00451-200</t>
  </si>
  <si>
    <t>1-85-00000-549</t>
  </si>
  <si>
    <t>1-85-00000-550</t>
  </si>
  <si>
    <t>1-85-00000-551</t>
  </si>
  <si>
    <t>1-85-00000-552</t>
  </si>
  <si>
    <t>1-85-00000-553</t>
  </si>
  <si>
    <t>1-85-00000-554</t>
  </si>
  <si>
    <t>1-85-00000-555</t>
  </si>
  <si>
    <t>1-85-00000-556</t>
  </si>
  <si>
    <t>1-85-00000-557</t>
  </si>
  <si>
    <t>1-85-00000-558</t>
  </si>
  <si>
    <t>1-85-00000-559</t>
  </si>
  <si>
    <t>1-85-00000-560</t>
  </si>
  <si>
    <t>1-85-00000-561</t>
  </si>
  <si>
    <t>1-85-00000-562</t>
  </si>
  <si>
    <t>1-85-00000-563</t>
  </si>
  <si>
    <t>1-85-00000-564</t>
  </si>
  <si>
    <t>1-85-00000-565</t>
  </si>
  <si>
    <t>1-85-00000-566</t>
  </si>
  <si>
    <t>1-85-00000-567</t>
  </si>
  <si>
    <t>1-85-00000-568</t>
  </si>
  <si>
    <t>1-85-00000-569</t>
  </si>
  <si>
    <t>1-85-00000-570</t>
  </si>
  <si>
    <t>1-85-00000-571</t>
  </si>
  <si>
    <t>1-85-00000-572</t>
  </si>
  <si>
    <t>1-85-00000-573</t>
  </si>
  <si>
    <t>1-85-00000-574</t>
  </si>
  <si>
    <t>1-85-00000-580</t>
  </si>
  <si>
    <t>1-85-00000-581</t>
  </si>
  <si>
    <t>1-85-00000-582</t>
  </si>
  <si>
    <t>1-85-00000-583</t>
  </si>
  <si>
    <t>1-85-00000-584</t>
  </si>
  <si>
    <t>1-85-00000-586</t>
  </si>
  <si>
    <t>1-85-00000-587</t>
  </si>
  <si>
    <t>1-85-00000-588</t>
  </si>
  <si>
    <t>1-85-00000-589</t>
  </si>
  <si>
    <t>1-85-00000-847</t>
  </si>
  <si>
    <t>2-29-00617-000</t>
  </si>
  <si>
    <t>2-29-00618-000</t>
  </si>
  <si>
    <t>1-85-00001-433</t>
  </si>
  <si>
    <t>2-29-00262-500</t>
  </si>
  <si>
    <t>2-29-00263-500</t>
  </si>
  <si>
    <t>2-29-00264-500</t>
  </si>
  <si>
    <t>2-29-00266-500</t>
  </si>
  <si>
    <t>2-29-00275-500</t>
  </si>
  <si>
    <t>2-29-00276-500</t>
  </si>
  <si>
    <t>2-29-00277-500</t>
  </si>
  <si>
    <t>2-29-00279-500</t>
  </si>
  <si>
    <t>2-29-00295-500</t>
  </si>
  <si>
    <t>2-29-00296-500</t>
  </si>
  <si>
    <t>2-29-00297-500</t>
  </si>
  <si>
    <t>2-29-00299-500</t>
  </si>
  <si>
    <t>1-85-00001-603</t>
  </si>
  <si>
    <t>3-25-14064-100</t>
  </si>
  <si>
    <t>3-25-14065-100</t>
  </si>
  <si>
    <t>3-25-14066-000</t>
  </si>
  <si>
    <t>3-25-14067-100</t>
  </si>
  <si>
    <t>3-25-14069-000</t>
  </si>
  <si>
    <t>3-25-14070-100</t>
  </si>
  <si>
    <t>3-25-14071-100</t>
  </si>
  <si>
    <t>3-25-14072-002</t>
  </si>
  <si>
    <t>3-25-14073-100</t>
  </si>
  <si>
    <t>3-25-14074-100</t>
  </si>
  <si>
    <t>3-25-14075-000</t>
  </si>
  <si>
    <t>3-25-14076-100</t>
  </si>
  <si>
    <t>3-25-14077-100</t>
  </si>
  <si>
    <t>3-25-14078-000</t>
  </si>
  <si>
    <t>3-25-14881-000</t>
  </si>
  <si>
    <t>3-25-14882-000</t>
  </si>
  <si>
    <t>3-25-14883-000</t>
  </si>
  <si>
    <t>3-25-14079-000</t>
  </si>
  <si>
    <t>3-25-14080-000</t>
  </si>
  <si>
    <t>3-25-14081-003</t>
  </si>
  <si>
    <t>3-25-14082-000</t>
  </si>
  <si>
    <t>3-25-14083-000</t>
  </si>
  <si>
    <t>1-85-00002-515</t>
  </si>
  <si>
    <t>3-25-14485-000</t>
  </si>
  <si>
    <t>3-25-14486-000</t>
  </si>
  <si>
    <t>1-85-00002-516</t>
  </si>
  <si>
    <t>3-25-14488-000</t>
  </si>
  <si>
    <t>3-25-14489-000</t>
  </si>
  <si>
    <t>1-85-00002-517</t>
  </si>
  <si>
    <t>3-25-14491-000</t>
  </si>
  <si>
    <t>3-25-14492-000</t>
  </si>
  <si>
    <t>1-85-00002-519</t>
  </si>
  <si>
    <t>3-25-14494-000</t>
  </si>
  <si>
    <t>3-25-14495-000</t>
  </si>
  <si>
    <t>1-85-00002-520</t>
  </si>
  <si>
    <t>1-85-00003-012</t>
  </si>
  <si>
    <t>1-85-00003-013</t>
  </si>
  <si>
    <t>1-85-00003-015</t>
  </si>
  <si>
    <t>1-85-00003-016</t>
  </si>
  <si>
    <t>1-85-00003-019</t>
  </si>
  <si>
    <t>1-85-00003-020</t>
  </si>
  <si>
    <t>1-85-00003-022</t>
  </si>
  <si>
    <t>1-85-00003-023</t>
  </si>
  <si>
    <t>1-85-00003-025</t>
  </si>
  <si>
    <t>1-85-00003-026</t>
  </si>
  <si>
    <t>1-85-00003-027</t>
  </si>
  <si>
    <t>1-85-00003-028</t>
  </si>
  <si>
    <t>1-85-00003-029</t>
  </si>
  <si>
    <t>1-85-00003-030</t>
  </si>
  <si>
    <t>1-85-00003-033</t>
  </si>
  <si>
    <t>1-85-00003-034</t>
  </si>
  <si>
    <t>3-29-70053-000</t>
  </si>
  <si>
    <t>2-84-00049-520</t>
  </si>
  <si>
    <t>3-83-00501-002</t>
  </si>
  <si>
    <t>3-83-00505-002</t>
  </si>
  <si>
    <t>3-83-00651-002</t>
  </si>
  <si>
    <t>3-83-00655-002</t>
  </si>
  <si>
    <t>3-83-00801-002</t>
  </si>
  <si>
    <t>3-83-00805-002</t>
  </si>
  <si>
    <t>3-83-01001-002</t>
  </si>
  <si>
    <t>3-83-01005-002</t>
  </si>
  <si>
    <t>3-83-01251-002</t>
  </si>
  <si>
    <t>2-85-00001-102</t>
  </si>
  <si>
    <t>3-83-01505-002</t>
  </si>
  <si>
    <t>3-83-01511-002</t>
  </si>
  <si>
    <t>3-83-01751-002</t>
  </si>
  <si>
    <t>3-83-01755-002</t>
  </si>
  <si>
    <t>3-83-02005-002</t>
  </si>
  <si>
    <t>3-83-02255-002</t>
  </si>
  <si>
    <t>3-83-02261-002</t>
  </si>
  <si>
    <t>3-83-02501-002</t>
  </si>
  <si>
    <t>3-83-02505-002</t>
  </si>
  <si>
    <t>3-83-02511-002</t>
  </si>
  <si>
    <t>3-83-02515-002</t>
  </si>
  <si>
    <t>3-83-03005-002</t>
  </si>
  <si>
    <t>3-83-03011-002</t>
  </si>
  <si>
    <t>3-83-03015-002</t>
  </si>
  <si>
    <t>3-83-03501-002</t>
  </si>
  <si>
    <t>3-83-03505-002</t>
  </si>
  <si>
    <t>3-83-03511-002</t>
  </si>
  <si>
    <t>3-83-04001-002</t>
  </si>
  <si>
    <t>3-83-04005-002</t>
  </si>
  <si>
    <t>3-83-04011-002</t>
  </si>
  <si>
    <t>3-83-04015-002</t>
  </si>
  <si>
    <t>3-83-04505-002</t>
  </si>
  <si>
    <t>3-83-04511-002</t>
  </si>
  <si>
    <t>3-83-05001-002</t>
  </si>
  <si>
    <t>3-83-05005-002</t>
  </si>
  <si>
    <t>3-83-06005-002</t>
  </si>
  <si>
    <t>3-83-06011-002</t>
  </si>
  <si>
    <t>2-29-00691-302</t>
  </si>
  <si>
    <t>2-29-00692-302</t>
  </si>
  <si>
    <t>2-29-00693-302</t>
  </si>
  <si>
    <t>2-29-00694-302</t>
  </si>
  <si>
    <t>2-29-00695-302</t>
  </si>
  <si>
    <t>2-29-00696-302</t>
  </si>
  <si>
    <t>2-29-00697-302</t>
  </si>
  <si>
    <t>2-29-00698-302</t>
  </si>
  <si>
    <t>2-29-00699-302</t>
  </si>
  <si>
    <t>2-29-00700-302</t>
  </si>
  <si>
    <t>2-29-00703-302</t>
  </si>
  <si>
    <t>2-29-00706-302</t>
  </si>
  <si>
    <t>2-29-00709-302</t>
  </si>
  <si>
    <t>2-29-00712-302</t>
  </si>
  <si>
    <t>2-29-00701-302</t>
  </si>
  <si>
    <t>2-29-00704-302</t>
  </si>
  <si>
    <t>2-29-00707-302</t>
  </si>
  <si>
    <t>2-29-00710-302</t>
  </si>
  <si>
    <t>2-29-00713-302</t>
  </si>
  <si>
    <t>2-29-00702-302</t>
  </si>
  <si>
    <t>2-29-00705-302</t>
  </si>
  <si>
    <t>2-29-00708-302</t>
  </si>
  <si>
    <t>2-29-00711-302</t>
  </si>
  <si>
    <t>2-29-00714-302</t>
  </si>
  <si>
    <t>2-29-32915-302</t>
  </si>
  <si>
    <t>2-29-00011-000</t>
  </si>
  <si>
    <t>2-29-00011-004</t>
  </si>
  <si>
    <t>2-29-00012-000</t>
  </si>
  <si>
    <t>2-29-00013-000</t>
  </si>
  <si>
    <t>2-29-00022-000</t>
  </si>
  <si>
    <t>2-29-00450-000</t>
  </si>
  <si>
    <t>2-29-00451-300</t>
  </si>
  <si>
    <t>2-29-00452-000</t>
  </si>
  <si>
    <t>2-29-00497-000</t>
  </si>
  <si>
    <t>2-29-00500-090</t>
  </si>
  <si>
    <t>2-29-00500-110</t>
  </si>
  <si>
    <t>2-29-00500-125</t>
  </si>
  <si>
    <t>2-29-00500-140</t>
  </si>
  <si>
    <t>2-29-00500-160</t>
  </si>
  <si>
    <t>2-29-00500-180</t>
  </si>
  <si>
    <t>2-29-00500-200</t>
  </si>
  <si>
    <t>2-29-00500-225</t>
  </si>
  <si>
    <t>2-29-00500-315</t>
  </si>
  <si>
    <t>2-28-00124-000</t>
  </si>
  <si>
    <t>2-28-00125-000</t>
  </si>
  <si>
    <t>2-28-01001-000</t>
  </si>
  <si>
    <t>2-28-01003-000</t>
  </si>
  <si>
    <t>2-28-01004-000</t>
  </si>
  <si>
    <t>2-28-01006-000</t>
  </si>
  <si>
    <t>2-28-00126-000</t>
  </si>
  <si>
    <t>2-28-01008-000</t>
  </si>
  <si>
    <t>2-28-01009-000</t>
  </si>
  <si>
    <t>2-28-00127-000</t>
  </si>
  <si>
    <t>2-28-01011-000</t>
  </si>
  <si>
    <t>2-28-01012-000</t>
  </si>
  <si>
    <t>2-28-00128-000</t>
  </si>
  <si>
    <t>2-28-01014-000</t>
  </si>
  <si>
    <t>2-28-01015-000</t>
  </si>
  <si>
    <t>2-28-00129-000</t>
  </si>
  <si>
    <t>2-28-00085-000</t>
  </si>
  <si>
    <t>2-28-00093-000</t>
  </si>
  <si>
    <t>2-28-00086-000</t>
  </si>
  <si>
    <t>2-28-00094-000</t>
  </si>
  <si>
    <t>2-28-00095-000</t>
  </si>
  <si>
    <t>2-28-00096-000</t>
  </si>
  <si>
    <t>2-28-00097-000</t>
  </si>
  <si>
    <t>2-28-00098-000</t>
  </si>
  <si>
    <t>2-28-00099-000</t>
  </si>
  <si>
    <t>2-28-00120-000</t>
  </si>
  <si>
    <t>2-28-00121-000</t>
  </si>
  <si>
    <t>2-28-00123-000</t>
  </si>
  <si>
    <t>1-85-00005-594</t>
  </si>
  <si>
    <t>1-85-00005-597</t>
  </si>
  <si>
    <t>1-85-00005-600</t>
  </si>
  <si>
    <t>1-85-00005-676</t>
  </si>
  <si>
    <t>1-85-00005-677</t>
  </si>
  <si>
    <t>1-85-00005-678</t>
  </si>
  <si>
    <t>1-85-00005-680</t>
  </si>
  <si>
    <t>1-85-00005-682</t>
  </si>
  <si>
    <t>3-28-00356-052</t>
  </si>
  <si>
    <t>1-85-00005-686</t>
  </si>
  <si>
    <t>1-85-00005-691</t>
  </si>
  <si>
    <t>3-28-99999-001</t>
  </si>
  <si>
    <t>3-28-99999-000</t>
  </si>
  <si>
    <t>1-85-00005-743</t>
  </si>
  <si>
    <t>1-85-00005-745</t>
  </si>
  <si>
    <t>1-85-00005-747</t>
  </si>
  <si>
    <t>1-85-00005-750</t>
  </si>
  <si>
    <t>2-29-01195-100</t>
  </si>
  <si>
    <t>2-29-01195-125</t>
  </si>
  <si>
    <t>2-29-01189-000</t>
  </si>
  <si>
    <t>1-85-00005-772</t>
  </si>
  <si>
    <t>1-85-00005-774</t>
  </si>
  <si>
    <t>1-85-00005-775</t>
  </si>
  <si>
    <t>1-85-00005-776</t>
  </si>
  <si>
    <t>1-85-00005-777</t>
  </si>
  <si>
    <t>2-29-01190-100</t>
  </si>
  <si>
    <t>2-29-01190-125</t>
  </si>
  <si>
    <t>2-29-01190-000</t>
  </si>
  <si>
    <t>2-29-01190-200</t>
  </si>
  <si>
    <t>2-29-01192-100</t>
  </si>
  <si>
    <t>2-29-01192-125</t>
  </si>
  <si>
    <t>2-29-01192-000</t>
  </si>
  <si>
    <t>2-29-01192-200</t>
  </si>
  <si>
    <t>2-29-01193-100</t>
  </si>
  <si>
    <t>2-29-01193-125</t>
  </si>
  <si>
    <t>2-29-01193-000</t>
  </si>
  <si>
    <t>2-29-01193-200</t>
  </si>
  <si>
    <t>2-29-01194-100</t>
  </si>
  <si>
    <t>2-29-01194-125</t>
  </si>
  <si>
    <t>2-29-01194-000</t>
  </si>
  <si>
    <t>2-29-01194-200</t>
  </si>
  <si>
    <t>1-85-00005-825</t>
  </si>
  <si>
    <t>1-85-00005-826</t>
  </si>
  <si>
    <t>1-85-00005-827</t>
  </si>
  <si>
    <t>2-29-01196-200</t>
  </si>
  <si>
    <t>1-85-00005-835</t>
  </si>
  <si>
    <t>1-85-00005-857</t>
  </si>
  <si>
    <t>2-29-00024-901</t>
  </si>
  <si>
    <t>1-85-00005-863</t>
  </si>
  <si>
    <t>1-85-00005-868</t>
  </si>
  <si>
    <t>1-85-00005-869</t>
  </si>
  <si>
    <t>H-2963064.G00</t>
  </si>
  <si>
    <t>H-2963069.G00</t>
  </si>
  <si>
    <t>H-2963070.G00</t>
  </si>
  <si>
    <t>H-2963071.G00</t>
  </si>
  <si>
    <t>H-2963130.G00</t>
  </si>
  <si>
    <t>H-2963131.G00</t>
  </si>
  <si>
    <t>H-2963132.G00</t>
  </si>
  <si>
    <t>H-2963133.G00</t>
  </si>
  <si>
    <t>H-2963134.G00</t>
  </si>
  <si>
    <t>M-2290005.410000</t>
  </si>
  <si>
    <t>M-2290005.510000</t>
  </si>
  <si>
    <t>M-2290005.610000</t>
  </si>
  <si>
    <t>M-2290005.710000</t>
  </si>
  <si>
    <t>M-2290005.810000</t>
  </si>
  <si>
    <t>M-2290005.910000</t>
  </si>
  <si>
    <t>M-2290006.010000</t>
  </si>
  <si>
    <t>M-2290155.710000</t>
  </si>
  <si>
    <t>V-8321054</t>
  </si>
  <si>
    <t>V-8321074</t>
  </si>
  <si>
    <t>V-8615080</t>
  </si>
  <si>
    <t>V-8615250</t>
  </si>
  <si>
    <t>V-8615270</t>
  </si>
  <si>
    <t>V-8615280</t>
  </si>
  <si>
    <t>V-8615420</t>
  </si>
  <si>
    <t>V-8615421</t>
  </si>
  <si>
    <t>V-8615440</t>
  </si>
  <si>
    <t>V-8615450</t>
  </si>
  <si>
    <t>V-8615470</t>
  </si>
  <si>
    <t>V-8615480</t>
  </si>
  <si>
    <t>V-8680101</t>
  </si>
  <si>
    <t>V-8680102</t>
  </si>
  <si>
    <t>V-8680103</t>
  </si>
  <si>
    <t>V-8681102</t>
  </si>
  <si>
    <t>V-8681103</t>
  </si>
  <si>
    <t>V-8681112</t>
  </si>
  <si>
    <t>V-8681113</t>
  </si>
  <si>
    <t>W-0002290.0274500</t>
  </si>
  <si>
    <t>W-0002290.0274510</t>
  </si>
  <si>
    <t>W-0002290.0274700</t>
  </si>
  <si>
    <t>W-0002290.0274710</t>
  </si>
  <si>
    <t>W-0002290.0274720</t>
  </si>
  <si>
    <t>W-0002290.0274730</t>
  </si>
  <si>
    <t>W-0002290.0274740</t>
  </si>
  <si>
    <t>W-0002290.0306500</t>
  </si>
  <si>
    <t>W-0002290.0306510</t>
  </si>
  <si>
    <t>V-8661102</t>
  </si>
  <si>
    <t>V-8661103</t>
  </si>
  <si>
    <t>V-8656102</t>
  </si>
  <si>
    <t>V-8656103</t>
  </si>
  <si>
    <t>nové obj. číslo</t>
  </si>
  <si>
    <t>3-23-36500-035</t>
  </si>
  <si>
    <t>3-23-36502-035</t>
  </si>
  <si>
    <t>3-23-36505-035</t>
  </si>
  <si>
    <t>3-23-36508-035</t>
  </si>
  <si>
    <t>3-23-36005-035</t>
  </si>
  <si>
    <t>3-23-36514-035</t>
  </si>
  <si>
    <t>3-23-37353-035</t>
  </si>
  <si>
    <t>3-23-37357-035</t>
  </si>
  <si>
    <t>3-23-36503-035</t>
  </si>
  <si>
    <t>3-23-36506-035</t>
  </si>
  <si>
    <t>3-23-36509-380</t>
  </si>
  <si>
    <t>3-23-36512-035</t>
  </si>
  <si>
    <t>3-23-36515-035</t>
  </si>
  <si>
    <t>3-23-37354-035</t>
  </si>
  <si>
    <t>3-23-37358-035</t>
  </si>
  <si>
    <t>3-28-00350-043</t>
  </si>
  <si>
    <t>3-28-00400-043</t>
  </si>
  <si>
    <t>3-28-00500-043</t>
  </si>
  <si>
    <t>3-28-00914-101</t>
  </si>
  <si>
    <t>3-28-00350-243</t>
  </si>
  <si>
    <t>3-28-00400-243</t>
  </si>
  <si>
    <t>3-28-00500-243</t>
  </si>
  <si>
    <t>3-28-00913-001</t>
  </si>
  <si>
    <t>3-28-00351-243</t>
  </si>
  <si>
    <t>3-28-00401-243</t>
  </si>
  <si>
    <t>3-28-00501-243</t>
  </si>
  <si>
    <t>3-28-00913-000</t>
  </si>
  <si>
    <t>3-28-00351-043</t>
  </si>
  <si>
    <t>3-28-00401-043</t>
  </si>
  <si>
    <t>3-28-00501-043</t>
  </si>
  <si>
    <t>3-28-00914-100</t>
  </si>
  <si>
    <t>3-28-00907-101</t>
  </si>
  <si>
    <t>3-28-00908-101</t>
  </si>
  <si>
    <t>3-28-00909-101</t>
  </si>
  <si>
    <t>3-28-00907-001</t>
  </si>
  <si>
    <t>3-28-00908-001</t>
  </si>
  <si>
    <t>3-28-00909-001</t>
  </si>
  <si>
    <t>3-28-00900-000</t>
  </si>
  <si>
    <t>3-28-00901-000</t>
  </si>
  <si>
    <t>3-28-00902-000</t>
  </si>
  <si>
    <t>3-28-00903-000</t>
  </si>
  <si>
    <t>3-28-00903-001</t>
  </si>
  <si>
    <t>3-28-00904-000</t>
  </si>
  <si>
    <t>3-28-00905-000</t>
  </si>
  <si>
    <t>3-28-00906-000</t>
  </si>
  <si>
    <t>3-28-00907-000</t>
  </si>
  <si>
    <t>3-28-00908-000</t>
  </si>
  <si>
    <t>3-28-00909-000</t>
  </si>
  <si>
    <t>3-28-00900-300</t>
  </si>
  <si>
    <t>3-28-00901-300</t>
  </si>
  <si>
    <t>3-28-00902-300</t>
  </si>
  <si>
    <t>3-28-00903-300</t>
  </si>
  <si>
    <t>3-28-00904-300</t>
  </si>
  <si>
    <t>3-28-00905-300</t>
  </si>
  <si>
    <t>3-28-00906-300</t>
  </si>
  <si>
    <t>3-28-00907-300</t>
  </si>
  <si>
    <t>3-28-00908-300</t>
  </si>
  <si>
    <t>3-28-00909-300</t>
  </si>
  <si>
    <t>3-28-00402-243</t>
  </si>
  <si>
    <t>3-28-00912-300</t>
  </si>
  <si>
    <t>3-28-00900-100</t>
  </si>
  <si>
    <t>3-28-00901-100</t>
  </si>
  <si>
    <t>3-28-00902-100</t>
  </si>
  <si>
    <t>3-28-00903-100</t>
  </si>
  <si>
    <t>3-28-00903-101</t>
  </si>
  <si>
    <t>3-28-00904-100</t>
  </si>
  <si>
    <t>3-28-00905-100</t>
  </si>
  <si>
    <t>3-28-00906-100</t>
  </si>
  <si>
    <t>3-28-00907-100</t>
  </si>
  <si>
    <t>3-28-00908-100</t>
  </si>
  <si>
    <t>3-28-00909-100</t>
  </si>
  <si>
    <t>V-7510014</t>
  </si>
  <si>
    <t>V-7510024</t>
  </si>
  <si>
    <t>V-7510034</t>
  </si>
  <si>
    <t>V-7510044</t>
  </si>
  <si>
    <t>V-7510054</t>
  </si>
  <si>
    <t>V-7510064</t>
  </si>
  <si>
    <t>V-7510074</t>
  </si>
  <si>
    <t>V-7510084</t>
  </si>
  <si>
    <t>V-7510094</t>
  </si>
  <si>
    <t>V-7510104</t>
  </si>
  <si>
    <t>V-7516014</t>
  </si>
  <si>
    <t>V-7516024</t>
  </si>
  <si>
    <t>V-7516034</t>
  </si>
  <si>
    <t>V-7516044</t>
  </si>
  <si>
    <t>V-7516054</t>
  </si>
  <si>
    <t>V-7516064</t>
  </si>
  <si>
    <t>V-7516074</t>
  </si>
  <si>
    <t>V-7516084</t>
  </si>
  <si>
    <t>V-7516094</t>
  </si>
  <si>
    <t>V-7516104</t>
  </si>
  <si>
    <t>3-84-00033-189</t>
  </si>
  <si>
    <t>3-28-00901-699</t>
  </si>
  <si>
    <t>3-84-00033-191</t>
  </si>
  <si>
    <t>3-84-00033-192</t>
  </si>
  <si>
    <t>3-84-00033-194</t>
  </si>
  <si>
    <t>3-84-00033-195</t>
  </si>
  <si>
    <t>3-84-00033-196</t>
  </si>
  <si>
    <t>3-84-00033-197</t>
  </si>
  <si>
    <t>3-84-00033-199</t>
  </si>
  <si>
    <t>3-84-00033-200</t>
  </si>
  <si>
    <t>3-84-00033-202</t>
  </si>
  <si>
    <t>3-84-00033-203</t>
  </si>
  <si>
    <t>3-84-00033-205</t>
  </si>
  <si>
    <t>3-84-00033-206</t>
  </si>
  <si>
    <t>3-84-00033-209</t>
  </si>
  <si>
    <t>3-84-00033-211</t>
  </si>
  <si>
    <t>3-84-00033-213</t>
  </si>
  <si>
    <t>3-84-00033-216</t>
  </si>
  <si>
    <t>3-84-00033-218</t>
  </si>
  <si>
    <t>3-84-00033-220</t>
  </si>
  <si>
    <t>3-28-01101-165</t>
  </si>
  <si>
    <t>3-28-01102-165</t>
  </si>
  <si>
    <t>3-28-01103-165</t>
  </si>
  <si>
    <t>3-28-01104-165</t>
  </si>
  <si>
    <t>3-28-01105-165</t>
  </si>
  <si>
    <t>3-28-01106-165</t>
  </si>
  <si>
    <t>3-28-01107-165</t>
  </si>
  <si>
    <t>3-28-01108-165</t>
  </si>
  <si>
    <t>3-28-01109-165</t>
  </si>
  <si>
    <t>3-28-01110-165</t>
  </si>
  <si>
    <t>3-28-01111-165</t>
  </si>
  <si>
    <t>3-28-01112-165</t>
  </si>
  <si>
    <t>3-28-01113-165</t>
  </si>
  <si>
    <t>3-28-01107-065</t>
  </si>
  <si>
    <t>3-28-01108-065</t>
  </si>
  <si>
    <t>3-28-01109-065</t>
  </si>
  <si>
    <t>3-28-01110-065</t>
  </si>
  <si>
    <t>3-28-01111-065</t>
  </si>
  <si>
    <t>3-28-01112-065</t>
  </si>
  <si>
    <t>3-28-01113-065</t>
  </si>
  <si>
    <t>V-7721223</t>
  </si>
  <si>
    <t>V-7721233</t>
  </si>
  <si>
    <t>V-7721243</t>
  </si>
  <si>
    <t>V-7721253</t>
  </si>
  <si>
    <t>V-7721263</t>
  </si>
  <si>
    <t>V-7721273</t>
  </si>
  <si>
    <t>V-7721083</t>
  </si>
  <si>
    <t>V-7721283</t>
  </si>
  <si>
    <t>V-7721093</t>
  </si>
  <si>
    <t>V-7721293</t>
  </si>
  <si>
    <t>V-7721103</t>
  </si>
  <si>
    <t>V-7721303</t>
  </si>
  <si>
    <t>V-7721113</t>
  </si>
  <si>
    <t>V-7721313</t>
  </si>
  <si>
    <t>V-7721123</t>
  </si>
  <si>
    <t>V-7721323</t>
  </si>
  <si>
    <t>V-7721143</t>
  </si>
  <si>
    <t>V-7721343</t>
  </si>
  <si>
    <t>V-7721153</t>
  </si>
  <si>
    <t>V-7721353</t>
  </si>
  <si>
    <t>1-85-00000-269</t>
  </si>
  <si>
    <t>W-0000160</t>
  </si>
  <si>
    <t>Sada spojek (bez kufru)</t>
  </si>
  <si>
    <t>Základní sestava</t>
  </si>
  <si>
    <t>Obsah základní sestavy</t>
  </si>
  <si>
    <t>Příslušenství</t>
  </si>
  <si>
    <t>Kompletní sestava</t>
  </si>
  <si>
    <t>S otevřeným rámem a přípravou pro stoupajicí vřeteno s táhlem</t>
  </si>
  <si>
    <t>V-7918013</t>
  </si>
  <si>
    <t>V-7916013</t>
  </si>
  <si>
    <t>V-7918023</t>
  </si>
  <si>
    <t>V-7916023</t>
  </si>
  <si>
    <t>V-7918033</t>
  </si>
  <si>
    <t>V-7916033</t>
  </si>
  <si>
    <t>V-7918048</t>
  </si>
  <si>
    <t>V-7916048</t>
  </si>
  <si>
    <t>V-7918043</t>
  </si>
  <si>
    <t>V-7916043</t>
  </si>
  <si>
    <t>V-7918053</t>
  </si>
  <si>
    <t>V-7916053</t>
  </si>
  <si>
    <t>V-7918063</t>
  </si>
  <si>
    <t>V-7916063</t>
  </si>
  <si>
    <t>V-7918073</t>
  </si>
  <si>
    <t>V-7916073</t>
  </si>
  <si>
    <t>V-7917083</t>
  </si>
  <si>
    <t>V-7915083</t>
  </si>
  <si>
    <t>V-7918083</t>
  </si>
  <si>
    <t>V-7916083</t>
  </si>
  <si>
    <t>V-7917093</t>
  </si>
  <si>
    <t>V-7915093</t>
  </si>
  <si>
    <t>V-7918093</t>
  </si>
  <si>
    <t>V-7916093</t>
  </si>
  <si>
    <t>V-7917103</t>
  </si>
  <si>
    <t>V-7915103</t>
  </si>
  <si>
    <t>V-7918103</t>
  </si>
  <si>
    <t>V-7916103</t>
  </si>
  <si>
    <t>Dvoukomorový</t>
  </si>
  <si>
    <t>G 1 1/4"</t>
  </si>
  <si>
    <t>V-8612020</t>
  </si>
  <si>
    <t>V-8612030</t>
  </si>
  <si>
    <t>G 2"</t>
  </si>
  <si>
    <t>V-8612040</t>
  </si>
  <si>
    <t>G 2 1/2"</t>
  </si>
  <si>
    <t>V-8612050</t>
  </si>
  <si>
    <t>V-8612450</t>
  </si>
  <si>
    <t>G 4"</t>
  </si>
  <si>
    <t>V-8612070</t>
  </si>
  <si>
    <t>V-8612470</t>
  </si>
  <si>
    <t>V-8612080</t>
  </si>
  <si>
    <t>V-8612480</t>
  </si>
  <si>
    <t>V-8612280</t>
  </si>
  <si>
    <t>M 220x3</t>
  </si>
  <si>
    <t>V-8612090</t>
  </si>
  <si>
    <t>V-8612490</t>
  </si>
  <si>
    <t>V-8612290</t>
  </si>
  <si>
    <t>V-8612100</t>
  </si>
  <si>
    <t>V-8612500</t>
  </si>
  <si>
    <t>V-8612300</t>
  </si>
  <si>
    <t>3-28-00900-170</t>
  </si>
  <si>
    <t>3-28-00900-070</t>
  </si>
  <si>
    <t>3-28-00901-170</t>
  </si>
  <si>
    <t>3-28-00901-070</t>
  </si>
  <si>
    <t>3-28-00902-170</t>
  </si>
  <si>
    <t>3-28-00902-070</t>
  </si>
  <si>
    <t>3-28-00903-170</t>
  </si>
  <si>
    <t>3-28-00903-070</t>
  </si>
  <si>
    <t>3-28-00904-170</t>
  </si>
  <si>
    <t>3-28-00904-070</t>
  </si>
  <si>
    <t>3-28-00905-170</t>
  </si>
  <si>
    <t>3-28-00905-070</t>
  </si>
  <si>
    <t>3-28-00906-170</t>
  </si>
  <si>
    <t>3-28-00906-070</t>
  </si>
  <si>
    <t>3-28-00907-171</t>
  </si>
  <si>
    <t>3-28-00907-071</t>
  </si>
  <si>
    <t>3-28-00907-170</t>
  </si>
  <si>
    <t>3-28-00907-070</t>
  </si>
  <si>
    <t>3-28-00908-171</t>
  </si>
  <si>
    <t>3-28-00908-071</t>
  </si>
  <si>
    <t>3-28-00908-170</t>
  </si>
  <si>
    <t>3-28-00908-070</t>
  </si>
  <si>
    <t>3-28-00909-171</t>
  </si>
  <si>
    <t>3-28-00909-071</t>
  </si>
  <si>
    <t>3-28-00909-170</t>
  </si>
  <si>
    <t>3-28-00909-070</t>
  </si>
  <si>
    <t>3-28-00910-171</t>
  </si>
  <si>
    <t>3-28-00910-071</t>
  </si>
  <si>
    <t>3-28-00351-170</t>
  </si>
  <si>
    <t>3-28-00910-070</t>
  </si>
  <si>
    <t>3-28-00540-171</t>
  </si>
  <si>
    <t>3-28-00911-071</t>
  </si>
  <si>
    <t>3-28-00401-170</t>
  </si>
  <si>
    <t>3-28-00911-070</t>
  </si>
  <si>
    <t>3-28-00500-171</t>
  </si>
  <si>
    <t>3-28-00500-071</t>
  </si>
  <si>
    <t>3-28-00912-170</t>
  </si>
  <si>
    <t>3-28-00912-070</t>
  </si>
  <si>
    <t>3-28-00913-071</t>
  </si>
  <si>
    <t>3-28-00914-171</t>
  </si>
  <si>
    <t>3-28-00914-170</t>
  </si>
  <si>
    <t>S volným koncem vřetene pro kyvný servopohon (SQ, SQR) a pneupohon</t>
  </si>
  <si>
    <t>V-8485520.0EPDM00</t>
  </si>
  <si>
    <t>V-8485020.0EPDM00</t>
  </si>
  <si>
    <t>V-8485530.0EPDM00</t>
  </si>
  <si>
    <t>V-8485030.0EPDM00</t>
  </si>
  <si>
    <t>V-8485540.0EPDM00</t>
  </si>
  <si>
    <t>V-8485040.0EPDM00</t>
  </si>
  <si>
    <t>V-8485550.0EPDM00</t>
  </si>
  <si>
    <t>V-8485050.0EPDM00</t>
  </si>
  <si>
    <t>V-8485560.0EPDM00</t>
  </si>
  <si>
    <t>V-8485060.0EPDM00</t>
  </si>
  <si>
    <t>V-8485570.0EPDM00</t>
  </si>
  <si>
    <t>V-8485070.0EPDM00</t>
  </si>
  <si>
    <t>V-8486580.0EPDM00</t>
  </si>
  <si>
    <t>V-8486080.0EPDM00</t>
  </si>
  <si>
    <t>V-8485580.0EPDM00</t>
  </si>
  <si>
    <t>V-8485080.0EPDM00</t>
  </si>
  <si>
    <t>V-8486590.0EPDM00</t>
  </si>
  <si>
    <t>V-8486090.0EPDM00</t>
  </si>
  <si>
    <t>V-8485590.0EPDM00</t>
  </si>
  <si>
    <t>V-8485090.0EPDM00</t>
  </si>
  <si>
    <t>V-8486600.0EPDM00</t>
  </si>
  <si>
    <t>V-8486100.0EPDM00</t>
  </si>
  <si>
    <t>V-8485600.0EPDM00</t>
  </si>
  <si>
    <t>V-8485100.0EPDM00</t>
  </si>
  <si>
    <t>V-8486610.0EPDM0N</t>
  </si>
  <si>
    <t>V-8486110.0EPDM0N</t>
  </si>
  <si>
    <t>V-8485610.0EPDM0N</t>
  </si>
  <si>
    <t>V-8485110.0EPDM0N</t>
  </si>
  <si>
    <t>V-8486620.0EPDM00</t>
  </si>
  <si>
    <t>V-8486120.0EPDM00</t>
  </si>
  <si>
    <t>V-8485620.0EPDM00</t>
  </si>
  <si>
    <t>V-8485120.0EPDM00</t>
  </si>
  <si>
    <t>V-8486630.0EPDM00</t>
  </si>
  <si>
    <t>V-8486130.0EPDM00</t>
  </si>
  <si>
    <t>V-8485630.0EPDM00</t>
  </si>
  <si>
    <t>V-8485130.0EPDM00</t>
  </si>
  <si>
    <t>V-8486640.0EPDM00</t>
  </si>
  <si>
    <t>V-8486140.0EPDM00</t>
  </si>
  <si>
    <t>V-8485640.0EPDM00</t>
  </si>
  <si>
    <t>V-8485140.0EPDM00</t>
  </si>
  <si>
    <t>V-8486650.0EPDM00</t>
  </si>
  <si>
    <t>V-8486150.0EPDM00</t>
  </si>
  <si>
    <t>V-8485650.0EPDM00</t>
  </si>
  <si>
    <t>V-8485150.0EPDM00</t>
  </si>
  <si>
    <t>V-8485520.0NBR000</t>
  </si>
  <si>
    <t>V-8485020.0NBR000</t>
  </si>
  <si>
    <t>V-8485530.0NBR000</t>
  </si>
  <si>
    <t>V-8485030.0NBR000</t>
  </si>
  <si>
    <t>V-8485540.0NBR000</t>
  </si>
  <si>
    <t>V-8485040.0NBR000</t>
  </si>
  <si>
    <t>V-8485550.0NBR000</t>
  </si>
  <si>
    <t>V-8485050.0NBR000</t>
  </si>
  <si>
    <t>V-8485560.0NBR000</t>
  </si>
  <si>
    <t>V-8485060.0NBR000</t>
  </si>
  <si>
    <t>V-8485570.0NBR000</t>
  </si>
  <si>
    <t>V-8485070.0NBR000</t>
  </si>
  <si>
    <t>V-8486580.0NBR000</t>
  </si>
  <si>
    <t>V-8486080.0NBR000</t>
  </si>
  <si>
    <t>V-8485580.0NBR000</t>
  </si>
  <si>
    <t>V-8485080.0NBR000</t>
  </si>
  <si>
    <t>V-8486590.0NBR000</t>
  </si>
  <si>
    <t>V-8486090.0NBR000</t>
  </si>
  <si>
    <t>V-8485590.0NBR000</t>
  </si>
  <si>
    <t>V-8485090.0NBR000</t>
  </si>
  <si>
    <t>V-8486600.0NBR000</t>
  </si>
  <si>
    <t>V-8486100.0NBR000</t>
  </si>
  <si>
    <t>V-8485600.0NBR000</t>
  </si>
  <si>
    <t>V-8485100.0NBR000</t>
  </si>
  <si>
    <t>V-8486610.0NBR00N</t>
  </si>
  <si>
    <t>V-8486110.0NBR00N</t>
  </si>
  <si>
    <t>V-8485610.0NBR00N</t>
  </si>
  <si>
    <t>V-8485110.0NBR00N</t>
  </si>
  <si>
    <t>V-8486620.0NBR000</t>
  </si>
  <si>
    <t>V-8486120.0NBR000</t>
  </si>
  <si>
    <t>V-8485620.0NBR000</t>
  </si>
  <si>
    <t>V-8485120.0NBR000</t>
  </si>
  <si>
    <t>V-8486630.0NBR000</t>
  </si>
  <si>
    <t>V-8486130.0NBR000</t>
  </si>
  <si>
    <t>V-8485630.0NBR000</t>
  </si>
  <si>
    <t>V-8485130.0NBR000</t>
  </si>
  <si>
    <t>V-8486640.0NBR000</t>
  </si>
  <si>
    <t>V-8486140.0NBR000</t>
  </si>
  <si>
    <t>V-8485640.0NBR000</t>
  </si>
  <si>
    <t>V-8485140.0NBR000</t>
  </si>
  <si>
    <t>V-8486650.0NBR000</t>
  </si>
  <si>
    <t>V-8486150.0NBR000</t>
  </si>
  <si>
    <t>V-8485650.0NBR000</t>
  </si>
  <si>
    <t>V-8485150.0NBR000</t>
  </si>
  <si>
    <t>V-8480590.0EPDM00</t>
  </si>
  <si>
    <t>V-8480090.0EPDM00</t>
  </si>
  <si>
    <t>V-8480600.0EPDM00</t>
  </si>
  <si>
    <t>V-8480100.0EPDM00</t>
  </si>
  <si>
    <t>V-8480610.0EPDM0N</t>
  </si>
  <si>
    <t>V-8480110.0EPDM0N</t>
  </si>
  <si>
    <t>V-8480620.0EPDM00</t>
  </si>
  <si>
    <t>V-8480120.0EPDM00</t>
  </si>
  <si>
    <t>V-8480630.0EPDM00</t>
  </si>
  <si>
    <t>V-8480130.0EPDM00</t>
  </si>
  <si>
    <t>V-8481640.0EPDM00</t>
  </si>
  <si>
    <t>V-8481140.0EPDM00</t>
  </si>
  <si>
    <t>V-8480640.0EPDM00</t>
  </si>
  <si>
    <t>V-8480140.0EPDM00</t>
  </si>
  <si>
    <t>V-8481650.0EPDM00</t>
  </si>
  <si>
    <t>V-8481150.0EPDM00</t>
  </si>
  <si>
    <t>V-8480650.0EPDM00</t>
  </si>
  <si>
    <t>V-8480150.0EPDM00</t>
  </si>
  <si>
    <t>V-8480520.0NBR000</t>
  </si>
  <si>
    <t>V-8480020.0NBR000</t>
  </si>
  <si>
    <t>V-8480530.0NBR000</t>
  </si>
  <si>
    <t>V-8480030.0NBR000</t>
  </si>
  <si>
    <t>V-8480540.0NBR000</t>
  </si>
  <si>
    <t>V-8480040.0NBR000</t>
  </si>
  <si>
    <t>V-8480550.0NBR000</t>
  </si>
  <si>
    <t>V-8480050.0NBR000</t>
  </si>
  <si>
    <t>V-8480560.0NBR000</t>
  </si>
  <si>
    <t>V-8480060.0NBR000</t>
  </si>
  <si>
    <t>V-8480570.0NBR000</t>
  </si>
  <si>
    <t>V-8480070.0NBR000</t>
  </si>
  <si>
    <t>V-8480580.0NBR000</t>
  </si>
  <si>
    <t>V-8480080.0NBR000</t>
  </si>
  <si>
    <t>V-8480590.0NBR000</t>
  </si>
  <si>
    <t>V-8480090.0NBR000</t>
  </si>
  <si>
    <t>V-8480600.0NBR000</t>
  </si>
  <si>
    <t>V-8480100.0NBR000</t>
  </si>
  <si>
    <t>V-8480610.0NBR00N</t>
  </si>
  <si>
    <t>V-8480110.0NBR00N</t>
  </si>
  <si>
    <t>V-8480620.0NBR000</t>
  </si>
  <si>
    <t>V-8480120.0NBR000</t>
  </si>
  <si>
    <t>V-8480630.0NBR000</t>
  </si>
  <si>
    <t>V-8480130.0NBR000</t>
  </si>
  <si>
    <t>V-8481640.0NBR000</t>
  </si>
  <si>
    <t>V-8481140.0NBR000</t>
  </si>
  <si>
    <t>V-8480640.0NBR000</t>
  </si>
  <si>
    <t>V-8480140.0NBR000</t>
  </si>
  <si>
    <t>V-8481650.0NBR000</t>
  </si>
  <si>
    <t>V-8481150.0NBR000</t>
  </si>
  <si>
    <t>V-8480650.0NBR000</t>
  </si>
  <si>
    <t>V-8480150.0NBR000</t>
  </si>
  <si>
    <t>3-28-00700-100</t>
  </si>
  <si>
    <t>3-28-00701-100</t>
  </si>
  <si>
    <t>3-28-00702-100</t>
  </si>
  <si>
    <t>3-28-00703-101</t>
  </si>
  <si>
    <t>3-28-00703-100</t>
  </si>
  <si>
    <t>3-28-00704-100</t>
  </si>
  <si>
    <t>3-28-00705-100</t>
  </si>
  <si>
    <t>3-28-00706-100</t>
  </si>
  <si>
    <t>3-28-00707-101</t>
  </si>
  <si>
    <t>3-28-00707-100</t>
  </si>
  <si>
    <t>3-28-00708-101</t>
  </si>
  <si>
    <t>3-28-00708-100</t>
  </si>
  <si>
    <t>3-28-00709-101</t>
  </si>
  <si>
    <t>3-28-00709-100</t>
  </si>
  <si>
    <t>3-28-00700-000</t>
  </si>
  <si>
    <t>3-28-00701-000</t>
  </si>
  <si>
    <t>3-28-00702-000</t>
  </si>
  <si>
    <t>3-28-00703-001</t>
  </si>
  <si>
    <t>3-28-00703-000</t>
  </si>
  <si>
    <t>3-28-00704-000</t>
  </si>
  <si>
    <t>3-28-00705-000</t>
  </si>
  <si>
    <t>3-28-00706-000</t>
  </si>
  <si>
    <t>3-28-00707-001</t>
  </si>
  <si>
    <t>3-28-00707-000</t>
  </si>
  <si>
    <t>3-28-00708-001</t>
  </si>
  <si>
    <t>3-28-00708-000</t>
  </si>
  <si>
    <t>3-28-00709-001</t>
  </si>
  <si>
    <t>3-28-00709-000</t>
  </si>
  <si>
    <t>3-14-24097-512</t>
  </si>
  <si>
    <t>3-14-24098-512</t>
  </si>
  <si>
    <t>3-14-24099-512</t>
  </si>
  <si>
    <t>3-14-24100-511</t>
  </si>
  <si>
    <t>3-14-24101-511</t>
  </si>
  <si>
    <t>3-14-24102-510</t>
  </si>
  <si>
    <t>3-14-24102-511</t>
  </si>
  <si>
    <t>3-14-24103-510</t>
  </si>
  <si>
    <t>3-14-24103-511</t>
  </si>
  <si>
    <t>3-14-24104-510</t>
  </si>
  <si>
    <t>3-14-24104-511</t>
  </si>
  <si>
    <t>3-14-24100-512</t>
  </si>
  <si>
    <t>3-14-24101-512</t>
  </si>
  <si>
    <t>3-14-24102-512</t>
  </si>
  <si>
    <t>3-14-24103-512</t>
  </si>
  <si>
    <t>3-14-24104-523</t>
  </si>
  <si>
    <t>2-31-84006-000</t>
  </si>
  <si>
    <t>2-31-84008-000</t>
  </si>
  <si>
    <t>2-31-84010-000</t>
  </si>
  <si>
    <t>2-31-84012-000</t>
  </si>
  <si>
    <t>2-31-84014-000</t>
  </si>
  <si>
    <t>2-31-84016-000</t>
  </si>
  <si>
    <t>2-31-84019-000</t>
  </si>
  <si>
    <t>2-31-84018-000</t>
  </si>
  <si>
    <t>2-31-84021-000</t>
  </si>
  <si>
    <t>2-31-84020-000</t>
  </si>
  <si>
    <t>2-31-84023-000</t>
  </si>
  <si>
    <t>2-31-84022-000</t>
  </si>
  <si>
    <t>3-84-00039-101</t>
  </si>
  <si>
    <t>3-84-00038-834</t>
  </si>
  <si>
    <t>2-31-84027-000</t>
  </si>
  <si>
    <t>2-31-84028-000</t>
  </si>
  <si>
    <t>2-31-84029-000</t>
  </si>
  <si>
    <t>2-31-84030-000</t>
  </si>
  <si>
    <t>2-31-84031-000</t>
  </si>
  <si>
    <t>2-31-84032-000</t>
  </si>
  <si>
    <t>2-31-84033-000</t>
  </si>
  <si>
    <t>2-31-84034-000</t>
  </si>
  <si>
    <t>2-31-86006-000</t>
  </si>
  <si>
    <t>2-31-86008-000</t>
  </si>
  <si>
    <t>2-31-86010-000</t>
  </si>
  <si>
    <t>2-31-86012-000</t>
  </si>
  <si>
    <t>2-31-86014-000</t>
  </si>
  <si>
    <t>2-31-86016-000</t>
  </si>
  <si>
    <t>2-31-86019-000</t>
  </si>
  <si>
    <t>2-31-86018-000</t>
  </si>
  <si>
    <t>2-31-86021-000</t>
  </si>
  <si>
    <t>2-31-86020-000</t>
  </si>
  <si>
    <t>2-31-86023-000</t>
  </si>
  <si>
    <t>2-31-86022-000</t>
  </si>
  <si>
    <t>3-84-00038-987</t>
  </si>
  <si>
    <t>3-84-00038-693</t>
  </si>
  <si>
    <t>2-31-86027-000</t>
  </si>
  <si>
    <t>2-31-86028-000</t>
  </si>
  <si>
    <t>2-31-86029-000</t>
  </si>
  <si>
    <t>2-31-86030-000</t>
  </si>
  <si>
    <t>2-31-86031-000</t>
  </si>
  <si>
    <t>2-31-86032-000</t>
  </si>
  <si>
    <t>2-31-86033-000</t>
  </si>
  <si>
    <t>2-31-86034-000</t>
  </si>
  <si>
    <t>2-31-84106-000</t>
  </si>
  <si>
    <t>2-31-84108-000</t>
  </si>
  <si>
    <t>2-31-84110-000</t>
  </si>
  <si>
    <t>2-31-84112-000</t>
  </si>
  <si>
    <t>2-31-84114-000</t>
  </si>
  <si>
    <t>2-31-84116-000</t>
  </si>
  <si>
    <t>2-31-84119-000</t>
  </si>
  <si>
    <t>2-31-84118-000</t>
  </si>
  <si>
    <t>2-31-84121-000</t>
  </si>
  <si>
    <t>2-31-84120-000</t>
  </si>
  <si>
    <t>2-31-84123-000</t>
  </si>
  <si>
    <t>2-31-84122-000</t>
  </si>
  <si>
    <t>3-84-00039-104</t>
  </si>
  <si>
    <t>3-84-00038-837</t>
  </si>
  <si>
    <t>2-31-84127-000</t>
  </si>
  <si>
    <t>2-31-84128-000</t>
  </si>
  <si>
    <t>2-31-84129-000</t>
  </si>
  <si>
    <t>2-31-84130-000</t>
  </si>
  <si>
    <t>2-31-84131-000</t>
  </si>
  <si>
    <t>2-31-84132-000</t>
  </si>
  <si>
    <t>2-31-84133-000</t>
  </si>
  <si>
    <t>2-31-84134-000</t>
  </si>
  <si>
    <t>2-31-86106-000</t>
  </si>
  <si>
    <t>2-31-86108-000</t>
  </si>
  <si>
    <t>2-31-86110-000</t>
  </si>
  <si>
    <t>2-31-86112-000</t>
  </si>
  <si>
    <t>2-31-86114-000</t>
  </si>
  <si>
    <t>2-31-86116-000</t>
  </si>
  <si>
    <t>2-31-86119-000</t>
  </si>
  <si>
    <t>2-31-86118-000</t>
  </si>
  <si>
    <t>2-31-86121-000</t>
  </si>
  <si>
    <t>2-31-86120-000</t>
  </si>
  <si>
    <t>2-31-86123-000</t>
  </si>
  <si>
    <t>2-31-86122-000</t>
  </si>
  <si>
    <t>3-84-00038-988</t>
  </si>
  <si>
    <t>3-84-00038-694</t>
  </si>
  <si>
    <t>2-31-86127-000</t>
  </si>
  <si>
    <t>2-31-86128-000</t>
  </si>
  <si>
    <t>2-31-86129-000</t>
  </si>
  <si>
    <t>2-31-86130-000</t>
  </si>
  <si>
    <t>2-31-86131-000</t>
  </si>
  <si>
    <t>2-31-86132-000</t>
  </si>
  <si>
    <t>2-31-86133-000</t>
  </si>
  <si>
    <t>2-31-86134-000</t>
  </si>
  <si>
    <t>2-31-14020-000</t>
  </si>
  <si>
    <t>2-31-14022-000</t>
  </si>
  <si>
    <t>3-84-00038-097</t>
  </si>
  <si>
    <t>2-31-14028-000</t>
  </si>
  <si>
    <t>2-31-14030-000</t>
  </si>
  <si>
    <t>2-31-14031-000</t>
  </si>
  <si>
    <t>2-31-14032-000</t>
  </si>
  <si>
    <t>2-31-14033-000</t>
  </si>
  <si>
    <t>2-31-14034-000</t>
  </si>
  <si>
    <t>2-31-16020-000</t>
  </si>
  <si>
    <t>2-31-16022-000</t>
  </si>
  <si>
    <t>3-84-00037-728</t>
  </si>
  <si>
    <t>2-31-16028-000</t>
  </si>
  <si>
    <t>2-31-16030-000</t>
  </si>
  <si>
    <t>2-31-16031-000</t>
  </si>
  <si>
    <t>2-31-16032-000</t>
  </si>
  <si>
    <t>2-31-16033-000</t>
  </si>
  <si>
    <t>2-31-16034-000</t>
  </si>
  <si>
    <t>2-31-14106-000</t>
  </si>
  <si>
    <t>2-31-14108-000</t>
  </si>
  <si>
    <t>2-31-14110-000</t>
  </si>
  <si>
    <t>2-31-14112-000</t>
  </si>
  <si>
    <t>2-31-14114-000</t>
  </si>
  <si>
    <t>2-31-14116-000</t>
  </si>
  <si>
    <t>2-31-14118-000</t>
  </si>
  <si>
    <t>2-31-14120-000</t>
  </si>
  <si>
    <t>2-31-14122-000</t>
  </si>
  <si>
    <t>3-84-00038-099</t>
  </si>
  <si>
    <t>2-31-14128-000</t>
  </si>
  <si>
    <t>2-31-14130-000</t>
  </si>
  <si>
    <t>2-31-14131-000</t>
  </si>
  <si>
    <t>2-31-14132-000</t>
  </si>
  <si>
    <t>2-31-14133-000</t>
  </si>
  <si>
    <t>2-31-14134-000</t>
  </si>
  <si>
    <t>2-31-16106-000</t>
  </si>
  <si>
    <t>2-31-16108-000</t>
  </si>
  <si>
    <t>2-31-16110-000</t>
  </si>
  <si>
    <t>2-31-16112-000</t>
  </si>
  <si>
    <t>2-31-16114-000</t>
  </si>
  <si>
    <t>2-31-16116-000</t>
  </si>
  <si>
    <t>2-31-16118-000</t>
  </si>
  <si>
    <t>2-31-16120-000</t>
  </si>
  <si>
    <t>2-31-16122-000</t>
  </si>
  <si>
    <t>3-84-00037-731</t>
  </si>
  <si>
    <t>2-31-16128-000</t>
  </si>
  <si>
    <t>2-31-16130-000</t>
  </si>
  <si>
    <t>2-31-16131-000</t>
  </si>
  <si>
    <t>2-31-16132-000</t>
  </si>
  <si>
    <t>2-31-16133-000</t>
  </si>
  <si>
    <t>2-31-16134-000</t>
  </si>
  <si>
    <t>V-7818015.22CRBR0</t>
  </si>
  <si>
    <t>V-7818025.22CRBR0</t>
  </si>
  <si>
    <t>V-7818035.22CRBR0</t>
  </si>
  <si>
    <t>V-7818045.22CRBR0</t>
  </si>
  <si>
    <t>V-7818055.22CRBR0</t>
  </si>
  <si>
    <t>V-7818065.22CRBR0</t>
  </si>
  <si>
    <t>V-7818075.22CRBR0</t>
  </si>
  <si>
    <t>V-7810085.22CRBR0</t>
  </si>
  <si>
    <t>V-7818085.22CRBR0</t>
  </si>
  <si>
    <t>V-7810095.22CRBR0</t>
  </si>
  <si>
    <t>V-7818095.22CRBR0</t>
  </si>
  <si>
    <t>V-7810105.22CRBR0</t>
  </si>
  <si>
    <t>V-7818105.22CRBR0</t>
  </si>
  <si>
    <t>V-7210115.990571E</t>
  </si>
  <si>
    <t>V-7218115.22CRBR0</t>
  </si>
  <si>
    <t>V-7210125.990433C</t>
  </si>
  <si>
    <t>V-7218125.22CRBR0</t>
  </si>
  <si>
    <t>V-7210145.990441A</t>
  </si>
  <si>
    <t>V-7218145.990574E</t>
  </si>
  <si>
    <t>V-7210205.990447A</t>
  </si>
  <si>
    <t>V-7218205.990576E</t>
  </si>
  <si>
    <t>V-7816015.22CRBR0</t>
  </si>
  <si>
    <t>V-7816025.22CRBR0</t>
  </si>
  <si>
    <t>V-7816035.22CRBR0</t>
  </si>
  <si>
    <t>V-7816045.22CRBR0</t>
  </si>
  <si>
    <t>V-7816055.22CRBR0</t>
  </si>
  <si>
    <t>V-7816065.22CRBR0</t>
  </si>
  <si>
    <t>V-7816075.22CRBR0</t>
  </si>
  <si>
    <t>V-7814085.22CRBR0</t>
  </si>
  <si>
    <t>V-7816085.22CRBR0</t>
  </si>
  <si>
    <t>V-7814095.22CRBR0</t>
  </si>
  <si>
    <t>V-7816095.22CRBR0</t>
  </si>
  <si>
    <t>V-7814105.22CRBR0</t>
  </si>
  <si>
    <t>V-7816105.22CRBR0</t>
  </si>
  <si>
    <t>V-7214115.990570E</t>
  </si>
  <si>
    <t>V-7216115.990569E</t>
  </si>
  <si>
    <t>V-7214125.990572E</t>
  </si>
  <si>
    <t>V-7216125.990573E</t>
  </si>
  <si>
    <t>V-7214145.990383A</t>
  </si>
  <si>
    <t>V-7216145.990575E</t>
  </si>
  <si>
    <t>V-8542124.000DA32</t>
  </si>
  <si>
    <t>3-28-11538-032</t>
  </si>
  <si>
    <t>V-8542124.000DA40</t>
  </si>
  <si>
    <t>3-28-11538-040</t>
  </si>
  <si>
    <t>V-8542124.000DA50</t>
  </si>
  <si>
    <t>3-28-11538-050</t>
  </si>
  <si>
    <t>V-8603220</t>
  </si>
  <si>
    <t>3-14-23665-402</t>
  </si>
  <si>
    <t>V-8610170</t>
  </si>
  <si>
    <t>3-14-24010-500</t>
  </si>
  <si>
    <t>V-8610180</t>
  </si>
  <si>
    <t>3-14-24011-500</t>
  </si>
  <si>
    <t>V-8610190</t>
  </si>
  <si>
    <t>3-14-24012-500</t>
  </si>
  <si>
    <t>V-8610381</t>
  </si>
  <si>
    <t>3-84-00040-023</t>
  </si>
  <si>
    <t>Formát nadpisu</t>
  </si>
  <si>
    <t>Clamping piece</t>
  </si>
  <si>
    <t>Product</t>
  </si>
  <si>
    <t>ZETAcontrol</t>
  </si>
  <si>
    <t>HADE PRA-G</t>
  </si>
  <si>
    <t>EKOplus PE</t>
  </si>
  <si>
    <t>PICO H</t>
  </si>
  <si>
    <t>PICO M</t>
  </si>
  <si>
    <t>VARIplus-DJ</t>
  </si>
  <si>
    <t>VARIplus-RFA</t>
  </si>
  <si>
    <t>VARIplus-RC</t>
  </si>
  <si>
    <t>ROTOP MOBITORQ</t>
  </si>
  <si>
    <t>BAIOstop</t>
  </si>
  <si>
    <t>BAIOanti-twist</t>
  </si>
  <si>
    <t>EKN M</t>
  </si>
  <si>
    <t>PS/PFA</t>
  </si>
  <si>
    <t/>
  </si>
  <si>
    <t>Designed length</t>
  </si>
  <si>
    <t>BAIO</t>
  </si>
  <si>
    <t>150</t>
  </si>
  <si>
    <t>TERRAlock</t>
  </si>
  <si>
    <t>HODlock</t>
  </si>
  <si>
    <t>DUOJET-P</t>
  </si>
  <si>
    <t>BEV-E</t>
  </si>
  <si>
    <t>NOVA 284</t>
  </si>
  <si>
    <t>NOVA 1885</t>
  </si>
  <si>
    <t>NOVA NIRO</t>
  </si>
  <si>
    <t>NOVA NIRO 365</t>
  </si>
  <si>
    <t>Stavební délka</t>
  </si>
  <si>
    <t>Médium</t>
  </si>
  <si>
    <t>Hmotnost</t>
  </si>
  <si>
    <t>[°C]</t>
  </si>
  <si>
    <t>[kg]</t>
  </si>
  <si>
    <t>Da</t>
  </si>
  <si>
    <t>CEREX 300-L</t>
  </si>
  <si>
    <t>CEREX 300-W</t>
  </si>
  <si>
    <t>Uzavírací klapka</t>
  </si>
  <si>
    <t>Podkladová deska</t>
  </si>
  <si>
    <t>Poklop</t>
  </si>
  <si>
    <t>Korozní ochrana</t>
  </si>
  <si>
    <t>Těsnění</t>
  </si>
  <si>
    <t>Opěrná vložka</t>
  </si>
  <si>
    <t>BAIO GKS</t>
  </si>
  <si>
    <t>BAIO TYTON</t>
  </si>
  <si>
    <t>2-29-00199-000</t>
  </si>
  <si>
    <t>H-2963206.G00</t>
  </si>
  <si>
    <t>Rd</t>
  </si>
  <si>
    <t>Od- a zavzdušňovací souprava</t>
  </si>
  <si>
    <t>Jisticí segment</t>
  </si>
  <si>
    <t>Měkkotěsnicí šoupátko</t>
  </si>
  <si>
    <t>Tvarovka</t>
  </si>
  <si>
    <t>Navařovací konec</t>
  </si>
  <si>
    <t>KOLO</t>
  </si>
  <si>
    <t>Ovládací klíč</t>
  </si>
  <si>
    <t>145/60</t>
  </si>
  <si>
    <t>165/61</t>
  </si>
  <si>
    <t>175/64</t>
  </si>
  <si>
    <t>185/68</t>
  </si>
  <si>
    <t>185/101</t>
  </si>
  <si>
    <t>205/101</t>
  </si>
  <si>
    <t>212/101</t>
  </si>
  <si>
    <t>222/105</t>
  </si>
  <si>
    <t>420/336</t>
  </si>
  <si>
    <t>325/221</t>
  </si>
  <si>
    <t>395/291</t>
  </si>
  <si>
    <t>310/210</t>
  </si>
  <si>
    <t>370/259</t>
  </si>
  <si>
    <t>420/319</t>
  </si>
  <si>
    <t>340/229</t>
  </si>
  <si>
    <t>395/284</t>
  </si>
  <si>
    <t>500/383</t>
  </si>
  <si>
    <t>335/224</t>
  </si>
  <si>
    <t>435/318</t>
  </si>
  <si>
    <t>410/293</t>
  </si>
  <si>
    <t>555/471</t>
  </si>
  <si>
    <t>580/746</t>
  </si>
  <si>
    <t>615/504</t>
  </si>
  <si>
    <t>695/578</t>
  </si>
  <si>
    <t>850/745</t>
  </si>
  <si>
    <t>215/45</t>
  </si>
  <si>
    <t>500/330</t>
  </si>
  <si>
    <t>255/45</t>
  </si>
  <si>
    <t>500/290</t>
  </si>
  <si>
    <t>270/50</t>
  </si>
  <si>
    <t>280/50</t>
  </si>
  <si>
    <t>230/150</t>
  </si>
  <si>
    <t>280/200</t>
  </si>
  <si>
    <t>380/300</t>
  </si>
  <si>
    <t>290/195</t>
  </si>
  <si>
    <t>465/360</t>
  </si>
  <si>
    <t>480/380</t>
  </si>
  <si>
    <t>300/190</t>
  </si>
  <si>
    <t>480/370</t>
  </si>
  <si>
    <t>510/395</t>
  </si>
  <si>
    <t>Přenosný ovladač</t>
  </si>
  <si>
    <t>Spojky</t>
  </si>
  <si>
    <t>Transportní kufr</t>
  </si>
  <si>
    <t>Elektrický agregát</t>
  </si>
  <si>
    <t>Zemní souprava</t>
  </si>
  <si>
    <t>1,0 m</t>
  </si>
  <si>
    <t>1,25 m</t>
  </si>
  <si>
    <t>1,5 m</t>
  </si>
  <si>
    <t>1,75 m</t>
  </si>
  <si>
    <t>0,82 m</t>
  </si>
  <si>
    <t>0,9-1,3 m</t>
  </si>
  <si>
    <t>1,2-1,8 m</t>
  </si>
  <si>
    <t>1,7-2,7 m</t>
  </si>
  <si>
    <t>1,5-1,8 m</t>
  </si>
  <si>
    <t>1,8-2,6 m</t>
  </si>
  <si>
    <t>2,5-3,7 m</t>
  </si>
  <si>
    <t>3,5-4,7 m</t>
  </si>
  <si>
    <t>4,5-5,7 m</t>
  </si>
  <si>
    <t>1,6-1,9 m</t>
  </si>
  <si>
    <t>1,9-2,7 m</t>
  </si>
  <si>
    <t>1,8-2,5 m</t>
  </si>
  <si>
    <t>0,75-1,0 m</t>
  </si>
  <si>
    <t>2,0 m</t>
  </si>
  <si>
    <t>59-72</t>
  </si>
  <si>
    <t>72-85</t>
  </si>
  <si>
    <t>88-103</t>
  </si>
  <si>
    <t>109-128</t>
  </si>
  <si>
    <t>138-153</t>
  </si>
  <si>
    <t>159-182</t>
  </si>
  <si>
    <t>192-210</t>
  </si>
  <si>
    <t>218-235</t>
  </si>
  <si>
    <t>242-262</t>
  </si>
  <si>
    <t>250-267</t>
  </si>
  <si>
    <t>272-289</t>
  </si>
  <si>
    <t>315-332</t>
  </si>
  <si>
    <t>322-340</t>
  </si>
  <si>
    <t>351-378</t>
  </si>
  <si>
    <t>374-391</t>
  </si>
  <si>
    <t>390-410</t>
  </si>
  <si>
    <t>417-437</t>
  </si>
  <si>
    <t>480-500</t>
  </si>
  <si>
    <t>526-546</t>
  </si>
  <si>
    <t>630-650</t>
  </si>
  <si>
    <t>Potrubní spojka</t>
  </si>
  <si>
    <t>Přírubový adaptér</t>
  </si>
  <si>
    <t>425-442</t>
  </si>
  <si>
    <t>Montážní vložka</t>
  </si>
  <si>
    <t>325-375</t>
  </si>
  <si>
    <t>350-400</t>
  </si>
  <si>
    <t>375-425</t>
  </si>
  <si>
    <t>425-475</t>
  </si>
  <si>
    <t>450-500</t>
  </si>
  <si>
    <t>400-450</t>
  </si>
  <si>
    <t>500-550</t>
  </si>
  <si>
    <t>525-575</t>
  </si>
  <si>
    <t>155-165</t>
  </si>
  <si>
    <t>160-170</t>
  </si>
  <si>
    <t>168-182</t>
  </si>
  <si>
    <t>172-188</t>
  </si>
  <si>
    <t>190-210</t>
  </si>
  <si>
    <t>195-215</t>
  </si>
  <si>
    <t>200-220</t>
  </si>
  <si>
    <t>215-235</t>
  </si>
  <si>
    <t>235-265</t>
  </si>
  <si>
    <t>165-205</t>
  </si>
  <si>
    <t>175-215</t>
  </si>
  <si>
    <t>250-300</t>
  </si>
  <si>
    <t>260-320</t>
  </si>
  <si>
    <t>280-340</t>
  </si>
  <si>
    <t>310-370</t>
  </si>
  <si>
    <t>350-410</t>
  </si>
  <si>
    <t>Sací koš</t>
  </si>
  <si>
    <t>Filtr</t>
  </si>
  <si>
    <t>Síto</t>
  </si>
  <si>
    <t>Regulační ventil</t>
  </si>
  <si>
    <t>Odvzdušňovací ventil</t>
  </si>
  <si>
    <t>Od- a zavzdušňovací ventil</t>
  </si>
  <si>
    <t>Kulový kohout</t>
  </si>
  <si>
    <t>Plováková sada</t>
  </si>
  <si>
    <t>Příruba</t>
  </si>
  <si>
    <t>Plovák</t>
  </si>
  <si>
    <t>EKN H</t>
  </si>
  <si>
    <t>Koncová klapka</t>
  </si>
  <si>
    <t>Kotvicí sada</t>
  </si>
  <si>
    <t>Zpětná klapka</t>
  </si>
  <si>
    <t>3-25-14068-100</t>
  </si>
  <si>
    <t>Rohový ventil</t>
  </si>
  <si>
    <t>Spojka</t>
  </si>
  <si>
    <t>Navrtávací pas</t>
  </si>
  <si>
    <t>3/4</t>
  </si>
  <si>
    <t>2 + 2</t>
  </si>
  <si>
    <r>
      <t>1</t>
    </r>
    <r>
      <rPr>
        <sz val="11"/>
        <color theme="1"/>
        <rFont val="Calibri"/>
        <family val="2"/>
        <charset val="238"/>
      </rPr>
      <t>½</t>
    </r>
  </si>
  <si>
    <r>
      <t>1</t>
    </r>
    <r>
      <rPr>
        <sz val="11"/>
        <color theme="1"/>
        <rFont val="Calibri"/>
        <family val="2"/>
        <charset val="238"/>
      </rPr>
      <t>¼</t>
    </r>
  </si>
  <si>
    <t>1¼</t>
  </si>
  <si>
    <t>1 + 1¼</t>
  </si>
  <si>
    <t>1¼ + 1¼</t>
  </si>
  <si>
    <t>1½ + 2</t>
  </si>
  <si>
    <t>2½</t>
  </si>
  <si>
    <t>K248-Z</t>
  </si>
  <si>
    <t>K246-K</t>
  </si>
  <si>
    <t>80-300</t>
  </si>
  <si>
    <t>50</t>
  </si>
  <si>
    <t>100</t>
  </si>
  <si>
    <t>200</t>
  </si>
  <si>
    <t>250</t>
  </si>
  <si>
    <t>300</t>
  </si>
  <si>
    <t>350</t>
  </si>
  <si>
    <t>400</t>
  </si>
  <si>
    <t>450</t>
  </si>
  <si>
    <t>500</t>
  </si>
  <si>
    <t>600</t>
  </si>
  <si>
    <t>40</t>
  </si>
  <si>
    <t>65</t>
  </si>
  <si>
    <t>80</t>
  </si>
  <si>
    <t>125</t>
  </si>
  <si>
    <t>80-500</t>
  </si>
  <si>
    <t>50-65</t>
  </si>
  <si>
    <t>94-99</t>
  </si>
  <si>
    <t>114-121</t>
  </si>
  <si>
    <t>167-172</t>
  </si>
  <si>
    <t>216-225</t>
  </si>
  <si>
    <t>318-326</t>
  </si>
  <si>
    <t>1½</t>
  </si>
  <si>
    <t xml:space="preserve"> 1¼</t>
  </si>
  <si>
    <t xml:space="preserve"> 1½</t>
  </si>
  <si>
    <t>TERRA</t>
  </si>
  <si>
    <t>56-63</t>
  </si>
  <si>
    <t>70-77</t>
  </si>
  <si>
    <t>88-100</t>
  </si>
  <si>
    <t>98-110</t>
  </si>
  <si>
    <t>113-123</t>
  </si>
  <si>
    <t>137-150</t>
  </si>
  <si>
    <t>166-178</t>
  </si>
  <si>
    <t>170-182</t>
  </si>
  <si>
    <t>185-198</t>
  </si>
  <si>
    <t>216-228</t>
  </si>
  <si>
    <t>223-235</t>
  </si>
  <si>
    <t>319-333</t>
  </si>
  <si>
    <t>327-337</t>
  </si>
  <si>
    <t>424-434</t>
  </si>
  <si>
    <t>434-445</t>
  </si>
  <si>
    <t>105-114</t>
  </si>
  <si>
    <t>123-133</t>
  </si>
  <si>
    <t>130-139</t>
  </si>
  <si>
    <t>145-157</t>
  </si>
  <si>
    <t>156-166</t>
  </si>
  <si>
    <t>269-280</t>
  </si>
  <si>
    <t>275-287</t>
  </si>
  <si>
    <t>374-384</t>
  </si>
  <si>
    <t>383-393</t>
  </si>
  <si>
    <t>352-364</t>
  </si>
  <si>
    <t>402-412</t>
  </si>
  <si>
    <t>406-416</t>
  </si>
  <si>
    <t>528-533</t>
  </si>
  <si>
    <t>Navrtávací souprava</t>
  </si>
  <si>
    <t>Podzemní hydrant</t>
  </si>
  <si>
    <t>1,0-1,5 m</t>
  </si>
  <si>
    <t>0,75 m</t>
  </si>
  <si>
    <t>Nadzemní hydrant</t>
  </si>
  <si>
    <t>Vřetenové šoupátko</t>
  </si>
  <si>
    <t>Tmin</t>
  </si>
  <si>
    <t>150-200</t>
  </si>
  <si>
    <t>600-700</t>
  </si>
  <si>
    <t>1100-1200</t>
  </si>
  <si>
    <t>1300-1400</t>
  </si>
  <si>
    <t>1600-1800</t>
  </si>
  <si>
    <t>Ovládací sestava</t>
  </si>
  <si>
    <t>Tmax</t>
  </si>
  <si>
    <t>Nožové šoupátko</t>
  </si>
  <si>
    <t>1,04-1,41 m</t>
  </si>
  <si>
    <t>1,06-1,43 m</t>
  </si>
  <si>
    <t>1,08-1,45 m</t>
  </si>
  <si>
    <t>1,13-1,50 m</t>
  </si>
  <si>
    <t>1,18-1,55 m</t>
  </si>
  <si>
    <t>1,23-1,60 m</t>
  </si>
  <si>
    <t>1,33-1,70 m</t>
  </si>
  <si>
    <t>1,45-1,82 m</t>
  </si>
  <si>
    <t>1,57-1,93 m</t>
  </si>
  <si>
    <t>Kovotěsnicí šoupátko</t>
  </si>
  <si>
    <t>234-350</t>
  </si>
  <si>
    <t>221-375</t>
  </si>
  <si>
    <t>278-422</t>
  </si>
  <si>
    <t>312-499</t>
  </si>
  <si>
    <t>40/50/60</t>
  </si>
  <si>
    <t>¾</t>
  </si>
  <si>
    <t>175</t>
  </si>
  <si>
    <t>225</t>
  </si>
  <si>
    <t>700</t>
  </si>
  <si>
    <t>800</t>
  </si>
  <si>
    <t>1000</t>
  </si>
  <si>
    <t>900</t>
  </si>
  <si>
    <t>1200</t>
  </si>
  <si>
    <t>1400</t>
  </si>
  <si>
    <t>1600</t>
  </si>
  <si>
    <t>1800</t>
  </si>
  <si>
    <t>2000</t>
  </si>
  <si>
    <t>1100</t>
  </si>
  <si>
    <t>1300</t>
  </si>
  <si>
    <t>1500</t>
  </si>
  <si>
    <t>32</t>
  </si>
  <si>
    <t>20</t>
  </si>
  <si>
    <t>1700</t>
  </si>
  <si>
    <t>100/80</t>
  </si>
  <si>
    <t>150/80</t>
  </si>
  <si>
    <t>200/80</t>
  </si>
  <si>
    <t>125/80</t>
  </si>
  <si>
    <t>125/100</t>
  </si>
  <si>
    <t>150/100</t>
  </si>
  <si>
    <t>200/100</t>
  </si>
  <si>
    <t>150/125</t>
  </si>
  <si>
    <t>200/125</t>
  </si>
  <si>
    <t>200/150</t>
  </si>
  <si>
    <t>80/125</t>
  </si>
  <si>
    <t>100/125</t>
  </si>
  <si>
    <t>100/150</t>
  </si>
  <si>
    <t>80/80</t>
  </si>
  <si>
    <t>100/100</t>
  </si>
  <si>
    <t>125/125</t>
  </si>
  <si>
    <t>150/150</t>
  </si>
  <si>
    <t>200/200</t>
  </si>
  <si>
    <t>Závit</t>
  </si>
  <si>
    <t>M 220×3</t>
  </si>
  <si>
    <t>80/100</t>
  </si>
  <si>
    <t>80/150</t>
  </si>
  <si>
    <t>100/200</t>
  </si>
  <si>
    <t>125/150</t>
  </si>
  <si>
    <t>125/200</t>
  </si>
  <si>
    <t>150/200</t>
  </si>
  <si>
    <t>BAIO PEa</t>
  </si>
  <si>
    <t>Čeština</t>
  </si>
  <si>
    <t>English</t>
  </si>
  <si>
    <t>DICTIONARY</t>
  </si>
  <si>
    <t>Current</t>
  </si>
  <si>
    <t>CZ</t>
  </si>
  <si>
    <t>EN</t>
  </si>
  <si>
    <t>PL</t>
  </si>
  <si>
    <t>Ceník</t>
  </si>
  <si>
    <t>Pricelist</t>
  </si>
  <si>
    <t>Product group</t>
  </si>
  <si>
    <t>Acc. to group</t>
  </si>
  <si>
    <t>You can use this table to set your own display of prices in tables</t>
  </si>
  <si>
    <t>Code</t>
  </si>
  <si>
    <t>Name</t>
  </si>
  <si>
    <t>Exc. rate</t>
  </si>
  <si>
    <t>Cennik</t>
  </si>
  <si>
    <t>Grupa produktów</t>
  </si>
  <si>
    <t>Produkt</t>
  </si>
  <si>
    <t>Wg grupy</t>
  </si>
  <si>
    <t>Kod</t>
  </si>
  <si>
    <t>Nazwa</t>
  </si>
  <si>
    <t>Kurs</t>
  </si>
  <si>
    <t>0,-</t>
  </si>
  <si>
    <t>Formát</t>
  </si>
  <si>
    <t>Pomocí této tabulky si můžete nastavit vlastní zobrazení cen v tabulkách</t>
  </si>
  <si>
    <t>CURRENCY FORMAT</t>
  </si>
  <si>
    <t>TRANSLATION</t>
  </si>
  <si>
    <t>Format</t>
  </si>
  <si>
    <t>BAIOplus Systém</t>
  </si>
  <si>
    <t>VARIplus</t>
  </si>
  <si>
    <t>Sestavy</t>
  </si>
  <si>
    <t>mosaz</t>
  </si>
  <si>
    <t>BETA</t>
  </si>
  <si>
    <t>PE objímka</t>
  </si>
  <si>
    <t>ocel</t>
  </si>
  <si>
    <t>Gate Valves</t>
  </si>
  <si>
    <t>Knife Gate Valves &amp; Penstocks</t>
  </si>
  <si>
    <t>Hydrants</t>
  </si>
  <si>
    <t>House Connection Valves</t>
  </si>
  <si>
    <t>Non-return Valves</t>
  </si>
  <si>
    <t>Butterfly Valves</t>
  </si>
  <si>
    <t>Ball Valves</t>
  </si>
  <si>
    <t>Air Valves</t>
  </si>
  <si>
    <t>Control Valves</t>
  </si>
  <si>
    <t>Other Valves</t>
  </si>
  <si>
    <t>Accessories</t>
  </si>
  <si>
    <t>Gas Valves</t>
  </si>
  <si>
    <t>Sets</t>
  </si>
  <si>
    <t>Hydrant accessories</t>
  </si>
  <si>
    <t>Drilling sets</t>
  </si>
  <si>
    <t>Clamp</t>
  </si>
  <si>
    <t>Counter flange</t>
  </si>
  <si>
    <t>Hand wheel</t>
  </si>
  <si>
    <t>Operating keys</t>
  </si>
  <si>
    <t>BAIO Fittings</t>
  </si>
  <si>
    <t>Float</t>
  </si>
  <si>
    <t>brass</t>
  </si>
  <si>
    <t>steel</t>
  </si>
  <si>
    <t>Zasuwy klinowe</t>
  </si>
  <si>
    <t>Zasuwy nożowe i wrzecionowe</t>
  </si>
  <si>
    <t>Przyłącza domowe</t>
  </si>
  <si>
    <t>Klapy zwrotne i przeciwcofkowe</t>
  </si>
  <si>
    <t>Przepustnice</t>
  </si>
  <si>
    <t>Zawory powietrzne</t>
  </si>
  <si>
    <t>Zawory regulacyjne</t>
  </si>
  <si>
    <t>Inna armatura</t>
  </si>
  <si>
    <t>Akcesoria</t>
  </si>
  <si>
    <t>BAIOplus System</t>
  </si>
  <si>
    <t>Armatura gazowa</t>
  </si>
  <si>
    <t>Akcesoria dla hydrantów</t>
  </si>
  <si>
    <t>Zestawy nawiertowe</t>
  </si>
  <si>
    <t>PE obejma</t>
  </si>
  <si>
    <t>PE Welding saddle</t>
  </si>
  <si>
    <t>Przeciwkołnierz</t>
  </si>
  <si>
    <t>Skrzynka</t>
  </si>
  <si>
    <t>Płyta podkładowa</t>
  </si>
  <si>
    <t>Klucze</t>
  </si>
  <si>
    <t>BAIO Kształtki</t>
  </si>
  <si>
    <t>Pływak</t>
  </si>
  <si>
    <t>żeliwo</t>
  </si>
  <si>
    <t>cast iron</t>
  </si>
  <si>
    <t>litina</t>
  </si>
  <si>
    <t>stal</t>
  </si>
  <si>
    <t>mosiądz</t>
  </si>
  <si>
    <t>Kółko ręczne</t>
  </si>
  <si>
    <t>Zawory kulowe</t>
  </si>
  <si>
    <t>-HA</t>
  </si>
  <si>
    <t>-Zz</t>
  </si>
  <si>
    <t>-Z</t>
  </si>
  <si>
    <t>-Zz, -Z</t>
  </si>
  <si>
    <t>Możesz użyć tej tabeli do ustawienia własnego sposobu wyświetlania cen w tabelach</t>
  </si>
  <si>
    <t>on demand</t>
  </si>
  <si>
    <t>na zapytanie</t>
  </si>
  <si>
    <t>Uzavírací klapky a kulové kohouty</t>
  </si>
  <si>
    <t>Dodatkowy rabat</t>
  </si>
  <si>
    <t>PN příruby</t>
  </si>
  <si>
    <t>PN of flange</t>
  </si>
  <si>
    <t>Default</t>
  </si>
  <si>
    <t>Type</t>
  </si>
  <si>
    <t>Description</t>
  </si>
  <si>
    <t>Thread</t>
  </si>
  <si>
    <t>Face-to-face length</t>
  </si>
  <si>
    <t>Medium</t>
  </si>
  <si>
    <t>Weight</t>
  </si>
  <si>
    <t>Corrosion protection</t>
  </si>
  <si>
    <t>plast</t>
  </si>
  <si>
    <t>s mechanickými spínači a kladičkou</t>
  </si>
  <si>
    <t>s indukčními snímači</t>
  </si>
  <si>
    <t>s ocelovým kolem</t>
  </si>
  <si>
    <t>s litinovým kolem</t>
  </si>
  <si>
    <t>s dlouhou zemní soupravou</t>
  </si>
  <si>
    <t>s krátkou zemní soupravou</t>
  </si>
  <si>
    <t>zabudování do koryta</t>
  </si>
  <si>
    <t>dvojitý uzávěr</t>
  </si>
  <si>
    <t>jednoduchý uzávěr</t>
  </si>
  <si>
    <t>částečně pogumovaný</t>
  </si>
  <si>
    <t>celopogumovaný</t>
  </si>
  <si>
    <t>potrubí</t>
  </si>
  <si>
    <t>přípojky</t>
  </si>
  <si>
    <t>integrovaný vrták/uzávěr</t>
  </si>
  <si>
    <t>litinové šoupátko</t>
  </si>
  <si>
    <t>mosazné šoupátko</t>
  </si>
  <si>
    <t>integrovaný uzávěr</t>
  </si>
  <si>
    <t>HADE PTK-P</t>
  </si>
  <si>
    <t>HADE PTK-BS</t>
  </si>
  <si>
    <t>HADE PTK-G</t>
  </si>
  <si>
    <t>HADE PTK-A</t>
  </si>
  <si>
    <t>HADE PTK-F</t>
  </si>
  <si>
    <t>HADE PWK-F</t>
  </si>
  <si>
    <t>beton</t>
  </si>
  <si>
    <t>redukce výstupního tlaku</t>
  </si>
  <si>
    <t>udržení tlaku před ventilem</t>
  </si>
  <si>
    <t>epoxidové povrstvení</t>
  </si>
  <si>
    <t>s hákem a trnem</t>
  </si>
  <si>
    <t>s šestiúhelníkovým otvorem</t>
  </si>
  <si>
    <t>odbočka</t>
  </si>
  <si>
    <t>hrdlo</t>
  </si>
  <si>
    <t>nátrubek</t>
  </si>
  <si>
    <t>Rozsah stavitelnosti Z - vzdálenost, o kterou lze prodloužit/zkrátit střední stavební délku L</t>
  </si>
  <si>
    <t>Univerzální pro příruby se 4 nebo 8 dírami</t>
  </si>
  <si>
    <t>Rabatová skupina</t>
  </si>
  <si>
    <t>Kapitola</t>
  </si>
  <si>
    <t>Chapter</t>
  </si>
  <si>
    <t>Rozdział</t>
  </si>
  <si>
    <t>150-350</t>
  </si>
  <si>
    <t>300-500</t>
  </si>
  <si>
    <t>450-700</t>
  </si>
  <si>
    <t>450-1800</t>
  </si>
  <si>
    <t>40-50</t>
  </si>
  <si>
    <t>65-80</t>
  </si>
  <si>
    <t>100-150</t>
  </si>
  <si>
    <t>250-350</t>
  </si>
  <si>
    <t>400-500</t>
  </si>
  <si>
    <t>Náhradní disk</t>
  </si>
  <si>
    <t>Ovládání</t>
  </si>
  <si>
    <t>Actuation</t>
  </si>
  <si>
    <t>Sterowanie</t>
  </si>
  <si>
    <t>PRVK</t>
  </si>
  <si>
    <t>RK</t>
  </si>
  <si>
    <t>VK</t>
  </si>
  <si>
    <t>EP</t>
  </si>
  <si>
    <t>UEP</t>
  </si>
  <si>
    <t>PP</t>
  </si>
  <si>
    <t>RP</t>
  </si>
  <si>
    <t>UZS</t>
  </si>
  <si>
    <t>PZ</t>
  </si>
  <si>
    <t>UPP</t>
  </si>
  <si>
    <t>NTK</t>
  </si>
  <si>
    <t>AO</t>
  </si>
  <si>
    <t>HYP</t>
  </si>
  <si>
    <t>REK</t>
  </si>
  <si>
    <t>SP</t>
  </si>
  <si>
    <t>Ruční páka</t>
  </si>
  <si>
    <t>El. pohon</t>
  </si>
  <si>
    <t>Pneupohon</t>
  </si>
  <si>
    <t>Hydraulický pohon</t>
  </si>
  <si>
    <t>Převodovka s ručním kolem</t>
  </si>
  <si>
    <t>Převodovka s volným koncem</t>
  </si>
  <si>
    <t>Úprava pro zemní soupravu</t>
  </si>
  <si>
    <t>Úprava pro elektropohon</t>
  </si>
  <si>
    <t>Úprava pro pneupohon</t>
  </si>
  <si>
    <t>Nástavec pro T-klíč, namontovaný</t>
  </si>
  <si>
    <t>Řetězové kolo</t>
  </si>
  <si>
    <t>Páka se závažím</t>
  </si>
  <si>
    <t>Automatické ovládání</t>
  </si>
  <si>
    <t xml:space="preserve">BS </t>
  </si>
  <si>
    <t xml:space="preserve">HL </t>
  </si>
  <si>
    <t xml:space="preserve">EA </t>
  </si>
  <si>
    <t xml:space="preserve">PA </t>
  </si>
  <si>
    <t xml:space="preserve">HYA </t>
  </si>
  <si>
    <t xml:space="preserve">GBS </t>
  </si>
  <si>
    <t>PRP-SE</t>
  </si>
  <si>
    <t>PRP-EA</t>
  </si>
  <si>
    <t>PRP-PA</t>
  </si>
  <si>
    <t xml:space="preserve">CHW </t>
  </si>
  <si>
    <t xml:space="preserve">CS </t>
  </si>
  <si>
    <t xml:space="preserve">LW </t>
  </si>
  <si>
    <t>AA</t>
  </si>
  <si>
    <t>Automatic actuating</t>
  </si>
  <si>
    <t>WW</t>
  </si>
  <si>
    <t>DR</t>
  </si>
  <si>
    <t>NE</t>
  </si>
  <si>
    <t>NP</t>
  </si>
  <si>
    <t>NH</t>
  </si>
  <si>
    <t>PK</t>
  </si>
  <si>
    <t>PWW</t>
  </si>
  <si>
    <t>PPW</t>
  </si>
  <si>
    <t>PNE</t>
  </si>
  <si>
    <t>PNP</t>
  </si>
  <si>
    <t>KK</t>
  </si>
  <si>
    <t>KŁ</t>
  </si>
  <si>
    <t>DC</t>
  </si>
  <si>
    <t>AS</t>
  </si>
  <si>
    <t>Wolny wałek</t>
  </si>
  <si>
    <t>Dźwignia ręczna</t>
  </si>
  <si>
    <t>Napęd elektryczny</t>
  </si>
  <si>
    <t>Napęd pneumatyczny</t>
  </si>
  <si>
    <t>Napęd hydrauliczny</t>
  </si>
  <si>
    <t>Przekładnia z kółkiem</t>
  </si>
  <si>
    <t>Przekładnia z wolnym wałkiem</t>
  </si>
  <si>
    <t>Przygotowane pod przedł. wrzciona</t>
  </si>
  <si>
    <t>Przygotowane pod napęd elektryczny</t>
  </si>
  <si>
    <t>Przygotowane pod napęd pneumatyczny</t>
  </si>
  <si>
    <t>Koło łańcuchowe</t>
  </si>
  <si>
    <t>Złączka</t>
  </si>
  <si>
    <t>Dżwignia z ciężarem</t>
  </si>
  <si>
    <t>Automatyczne sterowanie</t>
  </si>
  <si>
    <t>Bare shaft</t>
  </si>
  <si>
    <t>Hand lever</t>
  </si>
  <si>
    <t>Electric actuator</t>
  </si>
  <si>
    <t>Pneumatic actuator</t>
  </si>
  <si>
    <t>Hydraulic actuator</t>
  </si>
  <si>
    <t>Gearbox with hand wheel</t>
  </si>
  <si>
    <t>Gearbox with bare shaft</t>
  </si>
  <si>
    <t>Prepared for stem extension</t>
  </si>
  <si>
    <t>Prepared for electr. actuator</t>
  </si>
  <si>
    <t>Prepared for pneumat. actuator</t>
  </si>
  <si>
    <t>Chain wheel</t>
  </si>
  <si>
    <t>Coupling sleeve</t>
  </si>
  <si>
    <t>Lever with weight</t>
  </si>
  <si>
    <t>HW</t>
  </si>
  <si>
    <t>GHW</t>
  </si>
  <si>
    <t>KR</t>
  </si>
  <si>
    <t>acc. specification</t>
  </si>
  <si>
    <t>zg ze specyfikacją</t>
  </si>
  <si>
    <t>V-8671520</t>
  </si>
  <si>
    <t>3-84-00042-573</t>
  </si>
  <si>
    <t>V-8671521</t>
  </si>
  <si>
    <t>3-84-00042-572</t>
  </si>
  <si>
    <t>V-8671522</t>
  </si>
  <si>
    <t>3-84-00042-571</t>
  </si>
  <si>
    <t>V-8671523</t>
  </si>
  <si>
    <t>3-84-00042-570</t>
  </si>
  <si>
    <t>V-8672520</t>
  </si>
  <si>
    <t>V-8672521</t>
  </si>
  <si>
    <t>V-8672522</t>
  </si>
  <si>
    <t>V-8672523</t>
  </si>
  <si>
    <t>3-84-00042-569</t>
  </si>
  <si>
    <t>3-84-00042-568</t>
  </si>
  <si>
    <t>3-84-00042-567</t>
  </si>
  <si>
    <t>3-84-00042-566</t>
  </si>
  <si>
    <t>80 2)</t>
  </si>
  <si>
    <t>T-klíč</t>
  </si>
  <si>
    <t>T-key</t>
  </si>
  <si>
    <t>Klucz-T</t>
  </si>
  <si>
    <t>Klíč</t>
  </si>
  <si>
    <t>Operating key</t>
  </si>
  <si>
    <t>Klucz</t>
  </si>
  <si>
    <t>KOŁO</t>
  </si>
  <si>
    <t>CEREX 300-L, -W</t>
  </si>
  <si>
    <t>Tvarovky</t>
  </si>
  <si>
    <t>BAIO HYDRUS G</t>
  </si>
  <si>
    <t>HODlock/TERRAlock</t>
  </si>
  <si>
    <t>-K</t>
  </si>
  <si>
    <t>HOD-K</t>
  </si>
  <si>
    <t>HOD-G</t>
  </si>
  <si>
    <t>HOD-M</t>
  </si>
  <si>
    <t>FLOWJET PE</t>
  </si>
  <si>
    <t>EKOplus SHZ</t>
  </si>
  <si>
    <t>BETA 200 TS</t>
  </si>
  <si>
    <t>Zestawy</t>
  </si>
  <si>
    <t>IKOplus TRAFO</t>
  </si>
  <si>
    <t>Blok drenażowy</t>
  </si>
  <si>
    <t>Ochrona przed zamarzaniem</t>
  </si>
  <si>
    <t>Drain block</t>
  </si>
  <si>
    <t>Frost protection jacket</t>
  </si>
  <si>
    <t>PN kołnierza</t>
  </si>
  <si>
    <t>Gwint</t>
  </si>
  <si>
    <t>Długość zabudowy</t>
  </si>
  <si>
    <t>Max. temp.</t>
  </si>
  <si>
    <t>Max. teplota</t>
  </si>
  <si>
    <t>Ciężar</t>
  </si>
  <si>
    <t>Ochrona przed korozją</t>
  </si>
  <si>
    <t>Domyślna</t>
  </si>
  <si>
    <t>Opis produktu</t>
  </si>
  <si>
    <t>Výměnné šoupátko</t>
  </si>
  <si>
    <t>Grupa rabatowa</t>
  </si>
  <si>
    <t>Nastavení měny</t>
  </si>
  <si>
    <t>Currency settings</t>
  </si>
  <si>
    <t>Ustawienie waluty</t>
  </si>
  <si>
    <t>Nastavení jazyka</t>
  </si>
  <si>
    <t>Language settings</t>
  </si>
  <si>
    <t>Ustawienia języka</t>
  </si>
  <si>
    <t>ČSN</t>
  </si>
  <si>
    <t>pitná voda</t>
  </si>
  <si>
    <t>odpadní voda</t>
  </si>
  <si>
    <t>mořská voda</t>
  </si>
  <si>
    <t>požární voda</t>
  </si>
  <si>
    <t>plyn</t>
  </si>
  <si>
    <t>vzduch</t>
  </si>
  <si>
    <t>ropné látky</t>
  </si>
  <si>
    <t>olej</t>
  </si>
  <si>
    <t>transformátorový olej</t>
  </si>
  <si>
    <t>polyester</t>
  </si>
  <si>
    <t>akryl</t>
  </si>
  <si>
    <t>Vrtání příruby na 4 díry</t>
  </si>
  <si>
    <t>W zakresie regulacji Z – odległość można wydłużyć/skrócić długośc centralnej zabudowy L</t>
  </si>
  <si>
    <t>Owiert kołnierza na 4 lub 8 otworów</t>
  </si>
  <si>
    <t>Zasuwa naprawcza</t>
  </si>
  <si>
    <t>Owiert kołnierza 4 otwory</t>
  </si>
  <si>
    <t>řada</t>
  </si>
  <si>
    <t>krátká stavební délka</t>
  </si>
  <si>
    <t>dlouhá stavební délka</t>
  </si>
  <si>
    <t>basic series</t>
  </si>
  <si>
    <t>szereg</t>
  </si>
  <si>
    <t>EN 558</t>
  </si>
  <si>
    <t>stavební délka ČSN</t>
  </si>
  <si>
    <t>armatura</t>
  </si>
  <si>
    <t>valve</t>
  </si>
  <si>
    <t>Nr zamówienia odpowiada napędowi elektrycznemu AUMA, prośba o inny napęd elektryczny musi być wyraźnie zawarta w zamówieniu.</t>
  </si>
  <si>
    <t>Cena zależy od wymaganych parametrów napędu.</t>
  </si>
  <si>
    <t>Nr zamówienia odpowiada napędowi pneumatycznemu Festo, prośba o inny napęd pneumatyczny musi być wyraźnie zawarta w zamówieniu.</t>
  </si>
  <si>
    <t>budowa krótka</t>
  </si>
  <si>
    <t>budowa długa</t>
  </si>
  <si>
    <t>posuvné příruby</t>
  </si>
  <si>
    <t>adjustable flanges</t>
  </si>
  <si>
    <t>kołnierze przesuwne</t>
  </si>
  <si>
    <t>Vnější průměr potrubí</t>
  </si>
  <si>
    <t>Zewnętrzna średnica rury</t>
  </si>
  <si>
    <t>nátrubky</t>
  </si>
  <si>
    <t>spigots</t>
  </si>
  <si>
    <t>Třmenové</t>
  </si>
  <si>
    <t>With rising stem</t>
  </si>
  <si>
    <t>Z wrzecionem wznoszącym się</t>
  </si>
  <si>
    <t>z czujnikami mechanicznymi</t>
  </si>
  <si>
    <t>z czujnikami indukcyjnymi</t>
  </si>
  <si>
    <t>with steel hand wheel</t>
  </si>
  <si>
    <t>z kółkiem stalowym</t>
  </si>
  <si>
    <t>z kółkiem żeliwnym</t>
  </si>
  <si>
    <t>with ductile iron hand wheel</t>
  </si>
  <si>
    <t>z przedłużeniem krótkim</t>
  </si>
  <si>
    <t>z przedłużeniem długim</t>
  </si>
  <si>
    <t>S rychlouzavírací pákou</t>
  </si>
  <si>
    <t>Z dźwignią szybkozamykającą</t>
  </si>
  <si>
    <t>Nastavitelná stavební délka</t>
  </si>
  <si>
    <t>S přípravou pro elektrický servopohon</t>
  </si>
  <si>
    <t>S PE-HD konci</t>
  </si>
  <si>
    <t>S BAIO hrdly</t>
  </si>
  <si>
    <t>S nátrubky</t>
  </si>
  <si>
    <t>Z końcówkami bosymi</t>
  </si>
  <si>
    <t>Pro stabilní hasicí zařízení</t>
  </si>
  <si>
    <t>barva červená RAL 3000</t>
  </si>
  <si>
    <t>Pro zakopání do země</t>
  </si>
  <si>
    <t>S teleskopickou zemní soupravou</t>
  </si>
  <si>
    <t>nůž</t>
  </si>
  <si>
    <t>korozivzdorná ocel</t>
  </si>
  <si>
    <t>A2</t>
  </si>
  <si>
    <t>S přípravou pro pneupohon</t>
  </si>
  <si>
    <t>S volným koncem vřetene</t>
  </si>
  <si>
    <t>Volný konec vřetene</t>
  </si>
  <si>
    <t>a ukazatelem polohy</t>
  </si>
  <si>
    <t>Se stoupajícím vřetenem</t>
  </si>
  <si>
    <t>knife</t>
  </si>
  <si>
    <t>stainless steel</t>
  </si>
  <si>
    <t>S převodovkou a ručním kolem</t>
  </si>
  <si>
    <t>A4</t>
  </si>
  <si>
    <t>S regulační clonou</t>
  </si>
  <si>
    <t xml:space="preserve">Osazení jiným el. servopohonem (REGADA, ZPA Pečky, aj.) </t>
  </si>
  <si>
    <t>Standard</t>
  </si>
  <si>
    <t>stal nierdzewna</t>
  </si>
  <si>
    <t>płyta zasuwowa</t>
  </si>
  <si>
    <t>plastic</t>
  </si>
  <si>
    <t>tworzywo sztuczne</t>
  </si>
  <si>
    <t>deska</t>
  </si>
  <si>
    <t>EROXplus-O</t>
  </si>
  <si>
    <t>PE-HD</t>
  </si>
  <si>
    <t>SDR 11</t>
  </si>
  <si>
    <t>pro stoupajicí vřeteno</t>
  </si>
  <si>
    <t>otevřený rám</t>
  </si>
  <si>
    <t>uzavřený rám</t>
  </si>
  <si>
    <t>identification number</t>
  </si>
  <si>
    <t>numer identyfikacyjny</t>
  </si>
  <si>
    <t>S1</t>
  </si>
  <si>
    <t>S2</t>
  </si>
  <si>
    <t>S3</t>
  </si>
  <si>
    <t>S4</t>
  </si>
  <si>
    <t>S5</t>
  </si>
  <si>
    <t>S6</t>
  </si>
  <si>
    <t>S7</t>
  </si>
  <si>
    <t>S8</t>
  </si>
  <si>
    <t>S15</t>
  </si>
  <si>
    <t>S16</t>
  </si>
  <si>
    <t>S20</t>
  </si>
  <si>
    <t>S22</t>
  </si>
  <si>
    <t>Set</t>
  </si>
  <si>
    <t>Sestava</t>
  </si>
  <si>
    <t>Zestaw</t>
  </si>
  <si>
    <t>prodloužení</t>
  </si>
  <si>
    <t>A</t>
  </si>
  <si>
    <t>AD</t>
  </si>
  <si>
    <t>AUD</t>
  </si>
  <si>
    <t>AFUD</t>
  </si>
  <si>
    <t>AU</t>
  </si>
  <si>
    <t>AFU</t>
  </si>
  <si>
    <t>S plastovým víčkem</t>
  </si>
  <si>
    <t>Se samouzavíracím víčkem</t>
  </si>
  <si>
    <t>vrt. 4 díry</t>
  </si>
  <si>
    <t>owiert 4 otw.</t>
  </si>
  <si>
    <t>zázubec</t>
  </si>
  <si>
    <t>S mosazným sedlem</t>
  </si>
  <si>
    <t>dle DIN 3222</t>
  </si>
  <si>
    <t>acc. to DIN 3222</t>
  </si>
  <si>
    <t>wg DIN 3222</t>
  </si>
  <si>
    <t>podwójne zamknięcie</t>
  </si>
  <si>
    <t>(grzybek + kula)</t>
  </si>
  <si>
    <t>(kuželka)</t>
  </si>
  <si>
    <t>(kuželka a koule)</t>
  </si>
  <si>
    <t>pojedyncze zamknięcie</t>
  </si>
  <si>
    <t>(grzybek)</t>
  </si>
  <si>
    <t>płaszcz opadowy</t>
  </si>
  <si>
    <t>padací plášť</t>
  </si>
  <si>
    <t>Materiál</t>
  </si>
  <si>
    <t>Navrtávač potrubí</t>
  </si>
  <si>
    <t>Bez uzávěru</t>
  </si>
  <si>
    <t>TERRA-M</t>
  </si>
  <si>
    <t>TERRA-K</t>
  </si>
  <si>
    <t>S integrovaným vrtákem a uzávěrem</t>
  </si>
  <si>
    <t>koncovka</t>
  </si>
  <si>
    <t>Pro potrubí z tvárné litiny</t>
  </si>
  <si>
    <t>Vnitřní průměr koncovky</t>
  </si>
  <si>
    <t>Vnější průměr navrtávaného potrubí</t>
  </si>
  <si>
    <t>Vnější průměr potrubí domovní přípojky</t>
  </si>
  <si>
    <t>Průměr vrtáku</t>
  </si>
  <si>
    <t>pro</t>
  </si>
  <si>
    <t>for</t>
  </si>
  <si>
    <t>dla</t>
  </si>
  <si>
    <t>Příslušnou navařovací PE objímku je nutné objednat zvlášť</t>
  </si>
  <si>
    <t>pro PE, PP a PEX potrubí</t>
  </si>
  <si>
    <t>S koncovkami</t>
  </si>
  <si>
    <t>S koncovkou</t>
  </si>
  <si>
    <t>mosazný kulový kohout</t>
  </si>
  <si>
    <t>-M505</t>
  </si>
  <si>
    <t>-M508</t>
  </si>
  <si>
    <t>-M509</t>
  </si>
  <si>
    <t>-M513</t>
  </si>
  <si>
    <t>-M514</t>
  </si>
  <si>
    <t>-M518</t>
  </si>
  <si>
    <t>-M1</t>
  </si>
  <si>
    <t>-M11</t>
  </si>
  <si>
    <t>-G501</t>
  </si>
  <si>
    <t>-G502</t>
  </si>
  <si>
    <t>-G503</t>
  </si>
  <si>
    <t>-G511</t>
  </si>
  <si>
    <t>-G512</t>
  </si>
  <si>
    <t>-G517</t>
  </si>
  <si>
    <t>-K504</t>
  </si>
  <si>
    <t>-K506</t>
  </si>
  <si>
    <t>-K507</t>
  </si>
  <si>
    <t>-K510</t>
  </si>
  <si>
    <t>-K515</t>
  </si>
  <si>
    <t>-K516</t>
  </si>
  <si>
    <t>-K1</t>
  </si>
  <si>
    <t>-K12</t>
  </si>
  <si>
    <t>-K3</t>
  </si>
  <si>
    <t>of branch</t>
  </si>
  <si>
    <t>S jištěním proti vytržení</t>
  </si>
  <si>
    <t>S PE koncem pro přivaření</t>
  </si>
  <si>
    <t>spojka</t>
  </si>
  <si>
    <t>PE-konec</t>
  </si>
  <si>
    <t>víko</t>
  </si>
  <si>
    <t>bonnet</t>
  </si>
  <si>
    <t>Se spojkami</t>
  </si>
  <si>
    <t>S čisticí zátkou</t>
  </si>
  <si>
    <t>Se zvedacím zařízením disku</t>
  </si>
  <si>
    <t>Se svislým sedlem</t>
  </si>
  <si>
    <t>S pákou a závažím</t>
  </si>
  <si>
    <t>nerez</t>
  </si>
  <si>
    <t>sedla</t>
  </si>
  <si>
    <t>syntetické povrstvení</t>
  </si>
  <si>
    <t>a ochrannou klecí</t>
  </si>
  <si>
    <t>horizontální instalace</t>
  </si>
  <si>
    <t>vertikální instalace</t>
  </si>
  <si>
    <t>Zpětný ventil s koulí</t>
  </si>
  <si>
    <t>Zpětný mebránový ventil</t>
  </si>
  <si>
    <t>Bezpřírubová</t>
  </si>
  <si>
    <t>Montáž na volný konec potrubí</t>
  </si>
  <si>
    <t>Vnější průměr nátrubku klapky</t>
  </si>
  <si>
    <t>Montáž na přírubu</t>
  </si>
  <si>
    <t>Typ PTK-G nelze instalovat pod vodní hladinu</t>
  </si>
  <si>
    <t>Se šikmým talířem</t>
  </si>
  <si>
    <t>Se svislým talířem</t>
  </si>
  <si>
    <t>Typ PWK-F je možné osadit aerátorem pro přívod a odvod vzduchu</t>
  </si>
  <si>
    <t>pro tlaková potrubí</t>
  </si>
  <si>
    <t>S ukazatelem polohy a přípravou pro osazení ručním kolem</t>
  </si>
  <si>
    <t>S ocelovou pákou</t>
  </si>
  <si>
    <t>S nerezovou pákou</t>
  </si>
  <si>
    <t>S litinovou pákou</t>
  </si>
  <si>
    <t>pryž</t>
  </si>
  <si>
    <t>EPDM</t>
  </si>
  <si>
    <t>NBR</t>
  </si>
  <si>
    <t>guma</t>
  </si>
  <si>
    <t>rubber</t>
  </si>
  <si>
    <t>disk</t>
  </si>
  <si>
    <t>tvárná litina</t>
  </si>
  <si>
    <t>ductile iron</t>
  </si>
  <si>
    <t>concrete</t>
  </si>
  <si>
    <t>Pracovní přetlak</t>
  </si>
  <si>
    <t>Ciśnienie robocze</t>
  </si>
  <si>
    <t>S volným koncem pro připojení plovákové sady</t>
  </si>
  <si>
    <t>Redukovaný průtok</t>
  </si>
  <si>
    <t>Zredukowany przepływ</t>
  </si>
  <si>
    <t>Vrtání příruby dle technických podmínek českého Drážního úřadu</t>
  </si>
  <si>
    <t>S integrovaným kulovým kohoutem</t>
  </si>
  <si>
    <t>Jednokomorový</t>
  </si>
  <si>
    <t>Membránový regulační ventil</t>
  </si>
  <si>
    <t>k regulaci výšky vodní hladiny jedním/dvěma plováky</t>
  </si>
  <si>
    <t>k regulaci výšky vodní hladiny dle tlaku vodního sloupce</t>
  </si>
  <si>
    <t>Náhradní díl není zařazen do rabatové skupiny</t>
  </si>
  <si>
    <t>Náhradní síto</t>
  </si>
  <si>
    <t>Velikost ok</t>
  </si>
  <si>
    <t>Vnější závit</t>
  </si>
  <si>
    <t>Vnitřní závit</t>
  </si>
  <si>
    <t>koš</t>
  </si>
  <si>
    <t>S pozinkovanými závitovými tyčemi</t>
  </si>
  <si>
    <t>S nerezovými závitovými tyčemi</t>
  </si>
  <si>
    <t>S oboustranně průchozími závitovými tyčemi</t>
  </si>
  <si>
    <t>závitové tyče</t>
  </si>
  <si>
    <t>pozinkovaná ocel</t>
  </si>
  <si>
    <t>PTFE</t>
  </si>
  <si>
    <t>bezazbestové vlákno</t>
  </si>
  <si>
    <t>Hydrantový</t>
  </si>
  <si>
    <t>LADA-A</t>
  </si>
  <si>
    <t>LADA-B</t>
  </si>
  <si>
    <t>LADA-C</t>
  </si>
  <si>
    <t>Pro šoupátka</t>
  </si>
  <si>
    <t>Pro navrtávací pasy se šoupátkem</t>
  </si>
  <si>
    <t>Pro navrtávací pasy s kulovým kohoutem</t>
  </si>
  <si>
    <t>svislá vzdálenost od povrchu terénu k povrchu potrubí osazeného v zemi</t>
  </si>
  <si>
    <t>svislá vzdálenost od ovládací roviny po horní hranu potrubí osazeného v zemi</t>
  </si>
  <si>
    <t>mierzona od górnej krawędzi rury do wierzchu terenu</t>
  </si>
  <si>
    <t>horní nástavec</t>
  </si>
  <si>
    <t>horní jehlan</t>
  </si>
  <si>
    <t>PATENTplus-AT</t>
  </si>
  <si>
    <t>PATENTplus-BT</t>
  </si>
  <si>
    <t>Pro navrtávací pasy s uzávěrem</t>
  </si>
  <si>
    <t>s proudovým chráničem PRCD</t>
  </si>
  <si>
    <t>Stojan pohonu pro bezpečnou obsluhu</t>
  </si>
  <si>
    <t>Hnací tyč s tlumičem koncové polohy</t>
  </si>
  <si>
    <t>Spojovací objímky (čtyřhran: 12 mm, 27 mm)</t>
  </si>
  <si>
    <t>Vyrážeč</t>
  </si>
  <si>
    <t>Šestihranný klíč</t>
  </si>
  <si>
    <t>Přepravní kufřík s kolečky</t>
  </si>
  <si>
    <t>Víkové</t>
  </si>
  <si>
    <t>With non-rising stem</t>
  </si>
  <si>
    <t>Z wrzecionem niewznoszącym się</t>
  </si>
  <si>
    <t>Průměr ručního kola</t>
  </si>
  <si>
    <t>Průměr díry</t>
  </si>
  <si>
    <t>Dk</t>
  </si>
  <si>
    <t>barva modrá</t>
  </si>
  <si>
    <t>barva šedá</t>
  </si>
  <si>
    <t>barva černá</t>
  </si>
  <si>
    <t>a podzemní hydranty</t>
  </si>
  <si>
    <t>Hydrantový klíč</t>
  </si>
  <si>
    <t>Nástavec</t>
  </si>
  <si>
    <t>Pro nadzemní hydranty</t>
  </si>
  <si>
    <t>Šoupátkový</t>
  </si>
  <si>
    <t>BAIO EKOplus</t>
  </si>
  <si>
    <t>BAIO HYDRUS G2</t>
  </si>
  <si>
    <t>Připojení</t>
  </si>
  <si>
    <t>B</t>
  </si>
  <si>
    <t>S</t>
  </si>
  <si>
    <t>SM</t>
  </si>
  <si>
    <t>EMS</t>
  </si>
  <si>
    <t>R</t>
  </si>
  <si>
    <t>RU</t>
  </si>
  <si>
    <t>X</t>
  </si>
  <si>
    <t>P</t>
  </si>
  <si>
    <t>U</t>
  </si>
  <si>
    <t>DVS</t>
  </si>
  <si>
    <t>MTT</t>
  </si>
  <si>
    <t>MMB</t>
  </si>
  <si>
    <t>MMN</t>
  </si>
  <si>
    <t>EU</t>
  </si>
  <si>
    <t>F</t>
  </si>
  <si>
    <t>MMQ</t>
  </si>
  <si>
    <t>MMK</t>
  </si>
  <si>
    <t>MSK</t>
  </si>
  <si>
    <t>PEa</t>
  </si>
  <si>
    <t>-kus</t>
  </si>
  <si>
    <t>-part</t>
  </si>
  <si>
    <t>Kształtka-</t>
  </si>
  <si>
    <t>‎</t>
  </si>
  <si>
    <t>l</t>
  </si>
  <si>
    <t>Délka tvarovky</t>
  </si>
  <si>
    <t>po zasunutí do hrdla</t>
  </si>
  <si>
    <t>S hrdlovou odbočkou</t>
  </si>
  <si>
    <t>S možností posuvu konce potrubí v hrdle</t>
  </si>
  <si>
    <t>Pro redukci nahoru</t>
  </si>
  <si>
    <t>Pro redukci dolů</t>
  </si>
  <si>
    <t>Bez vrtání</t>
  </si>
  <si>
    <t>S uzamykatelným prstencem</t>
  </si>
  <si>
    <t>Kříž</t>
  </si>
  <si>
    <t>Koleno</t>
  </si>
  <si>
    <t>Patkové koleno</t>
  </si>
  <si>
    <t>ostatní</t>
  </si>
  <si>
    <t>PVC</t>
  </si>
  <si>
    <t>Pro potrubí z PVC a PE</t>
  </si>
  <si>
    <t>Pro potrubí z PE</t>
  </si>
  <si>
    <t>SDR 17</t>
  </si>
  <si>
    <t>S mechanickým ukazatelem polohy</t>
  </si>
  <si>
    <t>Z mechanicznym wskaźnikiem położenia</t>
  </si>
  <si>
    <t>With mechanical position indicator</t>
  </si>
  <si>
    <t>vrtání přírub</t>
  </si>
  <si>
    <t>owiert kołnierzy</t>
  </si>
  <si>
    <t>flange drilling</t>
  </si>
  <si>
    <t>Oválný</t>
  </si>
  <si>
    <t>S nestoupajícím vřetenem</t>
  </si>
  <si>
    <t>pro ovládání T-klíčem</t>
  </si>
  <si>
    <t>pro ovládáním T-klíčem v poklopu</t>
  </si>
  <si>
    <t>S pohonem, pro pohon</t>
  </si>
  <si>
    <t>Penstock</t>
  </si>
  <si>
    <t>Drilling set</t>
  </si>
  <si>
    <t>Drilling device</t>
  </si>
  <si>
    <t>Strainer</t>
  </si>
  <si>
    <t>Spare strainer</t>
  </si>
  <si>
    <t>Coupling</t>
  </si>
  <si>
    <t>Key</t>
  </si>
  <si>
    <t>Fitting</t>
  </si>
  <si>
    <t>Pull-lock</t>
  </si>
  <si>
    <t>Device</t>
  </si>
  <si>
    <t>Klucz hydrantowy</t>
  </si>
  <si>
    <t>Chemical anchors</t>
  </si>
  <si>
    <t>Spare disc</t>
  </si>
  <si>
    <t>Coupling sleeves</t>
  </si>
  <si>
    <t>Transport case</t>
  </si>
  <si>
    <t>Emergency power generator</t>
  </si>
  <si>
    <t>Float set</t>
  </si>
  <si>
    <t>Flange</t>
  </si>
  <si>
    <t>With adjustable flange</t>
  </si>
  <si>
    <t>With hand wheel</t>
  </si>
  <si>
    <t>With bare shaft</t>
  </si>
  <si>
    <t>With adjustable flanges</t>
  </si>
  <si>
    <t>Adjustable face-to-face length</t>
  </si>
  <si>
    <t>For electric actuator</t>
  </si>
  <si>
    <t>For pneumatic actuator</t>
  </si>
  <si>
    <t>With PE-HD ends</t>
  </si>
  <si>
    <t>With BAIO sockets</t>
  </si>
  <si>
    <t>With spigots</t>
  </si>
  <si>
    <t>For fire extinguishing systems</t>
  </si>
  <si>
    <t>and position indicator</t>
  </si>
  <si>
    <t>For underground installation</t>
  </si>
  <si>
    <t>With telescopic stem extension</t>
  </si>
  <si>
    <t>With quick operation lever</t>
  </si>
  <si>
    <t>With control insert</t>
  </si>
  <si>
    <t>Flow area</t>
  </si>
  <si>
    <t>open channel installation</t>
  </si>
  <si>
    <t>Pro tento rozměr doporučujeme</t>
  </si>
  <si>
    <t>For this dimension we recommend</t>
  </si>
  <si>
    <t>With closed frame and non-rising stem</t>
  </si>
  <si>
    <t>With open frame and preparation for rising stem</t>
  </si>
  <si>
    <t>Uszczelki</t>
  </si>
  <si>
    <t>Tuleja wsporcza</t>
  </si>
  <si>
    <t>Zabezpieczenie przed wykręcaniem</t>
  </si>
  <si>
    <t>Zabezpieczenie przed wyrwaniem</t>
  </si>
  <si>
    <t>for operating by T-key</t>
  </si>
  <si>
    <t>and wall bracket headstock with hand wheel</t>
  </si>
  <si>
    <t>and wall bracket headstock for electric actuator</t>
  </si>
  <si>
    <t>and wall bracket for electric actuator</t>
  </si>
  <si>
    <t>False spindle cap</t>
  </si>
  <si>
    <t>and headstock with hand wheel</t>
  </si>
  <si>
    <t>and headstock for electric actuator</t>
  </si>
  <si>
    <t>With plastic cap</t>
  </si>
  <si>
    <t>With self-closing cap</t>
  </si>
  <si>
    <t>High performance</t>
  </si>
  <si>
    <t>Historic model</t>
  </si>
  <si>
    <t>With stainless steel upper pillar</t>
  </si>
  <si>
    <t>With stainless steel upper pillar, double drainage and maintenance-free self-lubricating spindle</t>
  </si>
  <si>
    <t>With rubber saddle</t>
  </si>
  <si>
    <t>With shut-off valve</t>
  </si>
  <si>
    <t>Without shut-off valve</t>
  </si>
  <si>
    <t>With female and male threads</t>
  </si>
  <si>
    <t>With pull-lock adapter</t>
  </si>
  <si>
    <t>With pull-lock adapters</t>
  </si>
  <si>
    <t>With plug-type connection</t>
  </si>
  <si>
    <t>for PE, PP and PEX pipes</t>
  </si>
  <si>
    <t>With integrated tapping device and shut-off valve</t>
  </si>
  <si>
    <t>For steel, cast iron and concrete pipes</t>
  </si>
  <si>
    <t>For ductile iron pipes</t>
  </si>
  <si>
    <t>For PE pipes</t>
  </si>
  <si>
    <t>For PVC and PE pipes</t>
  </si>
  <si>
    <t>With integrated shut-off ball valve</t>
  </si>
  <si>
    <t>With pull-out protection</t>
  </si>
  <si>
    <t>With PE end for welding</t>
  </si>
  <si>
    <t>With slanted seat</t>
  </si>
  <si>
    <t>With vertical seat</t>
  </si>
  <si>
    <t>With vertical disc</t>
  </si>
  <si>
    <t>With tilting disc</t>
  </si>
  <si>
    <t>With cleaning plug</t>
  </si>
  <si>
    <t>With disc lifting device</t>
  </si>
  <si>
    <t>With lever and weight</t>
  </si>
  <si>
    <t>and wire guard</t>
  </si>
  <si>
    <t>For installation between flanges</t>
  </si>
  <si>
    <t>Socket type</t>
  </si>
  <si>
    <t>Installation on the free end of the pipe</t>
  </si>
  <si>
    <t>Montáž na kolmou stěnu</t>
  </si>
  <si>
    <t>Installation on flange</t>
  </si>
  <si>
    <t>With steel hand lever</t>
  </si>
  <si>
    <t>With stainless steel hand lever</t>
  </si>
  <si>
    <t>With cast iron hand lever</t>
  </si>
  <si>
    <t>With worm gearbox and hand wheel</t>
  </si>
  <si>
    <t>With integrated check valve</t>
  </si>
  <si>
    <t>With galvanized threaded anchor bolts</t>
  </si>
  <si>
    <t>With stainless steel threaded anchor bolts</t>
  </si>
  <si>
    <t>Without pull-out protection</t>
  </si>
  <si>
    <t>For gate valves</t>
  </si>
  <si>
    <t>and underground hydrants</t>
  </si>
  <si>
    <t>For standpost hydrants</t>
  </si>
  <si>
    <t>For tapping bridges with shut-off valve</t>
  </si>
  <si>
    <t>For tapping bridges with gate valve</t>
  </si>
  <si>
    <t>For tapping bridges with ball valve</t>
  </si>
  <si>
    <t>With a socket branch</t>
  </si>
  <si>
    <t>With UNION coupling type socket</t>
  </si>
  <si>
    <t>Reducer to bigger DN</t>
  </si>
  <si>
    <t>Reducer to smaller DN</t>
  </si>
  <si>
    <t>With test and vent plugs</t>
  </si>
  <si>
    <t>End cap</t>
  </si>
  <si>
    <t>Se závitovými zátkami</t>
  </si>
  <si>
    <t>Záslepka</t>
  </si>
  <si>
    <t>Without threaded side connections</t>
  </si>
  <si>
    <t>Elbow</t>
  </si>
  <si>
    <t>Base elbow</t>
  </si>
  <si>
    <t>With locking ring</t>
  </si>
  <si>
    <t>Cross</t>
  </si>
  <si>
    <t>With actuator, for actuator</t>
  </si>
  <si>
    <t>Installation on a vertical wall</t>
  </si>
  <si>
    <t>old order number</t>
  </si>
  <si>
    <t>new order number</t>
  </si>
  <si>
    <t>nowy nr zamówienia</t>
  </si>
  <si>
    <t>stary nr zamówienia</t>
  </si>
  <si>
    <t>With position indicator and preparation for hand wheel</t>
  </si>
  <si>
    <t>With preparation for the connection of the telescopic VA-TELESKOP Stem extension and underground installation</t>
  </si>
  <si>
    <t>drinking water</t>
  </si>
  <si>
    <t>sea water</t>
  </si>
  <si>
    <t>firewater</t>
  </si>
  <si>
    <t>gas</t>
  </si>
  <si>
    <t>air</t>
  </si>
  <si>
    <t>crude oil</t>
  </si>
  <si>
    <t>oil</t>
  </si>
  <si>
    <t>transformer oil</t>
  </si>
  <si>
    <t>epoxy coating</t>
  </si>
  <si>
    <t>synthetic coating</t>
  </si>
  <si>
    <t>acrylic</t>
  </si>
  <si>
    <t>Adjustable range Z - distance by which the face-to-face length L can be extended / shortened</t>
  </si>
  <si>
    <t>Universal for flanges with 4 or 8 holes</t>
  </si>
  <si>
    <t>Material</t>
  </si>
  <si>
    <t>galvanized steel</t>
  </si>
  <si>
    <t>asbestos-free cord</t>
  </si>
  <si>
    <t>Flange drilling according to the technical conditions of the Czech Railway Authority</t>
  </si>
  <si>
    <t>4-holes flange drilling</t>
  </si>
  <si>
    <t>fl. drilling 4 holes</t>
  </si>
  <si>
    <t>Reduced flow area</t>
  </si>
  <si>
    <t>short face-to-face length</t>
  </si>
  <si>
    <t>long face-to-face length</t>
  </si>
  <si>
    <t>ČSN face-to-face length</t>
  </si>
  <si>
    <t>Order numbers refer to the EA AUMA. The request for another EA must be stated in the order.</t>
  </si>
  <si>
    <t>Order numbers apply to PA FESTO in the basic version without accessories. The request for another PA must be stated in the order.</t>
  </si>
  <si>
    <t>The price depends on the required actuator parameters.</t>
  </si>
  <si>
    <t>Outer diameter of the pipe</t>
  </si>
  <si>
    <t>Outer diameter of drilled pipe</t>
  </si>
  <si>
    <t>Outside diameter of the house connection pipe</t>
  </si>
  <si>
    <t>Outside diameter of the slip-on sleeve</t>
  </si>
  <si>
    <t>Outlets</t>
  </si>
  <si>
    <t>with inductive limit switches</t>
  </si>
  <si>
    <t>with mechanical limit switches</t>
  </si>
  <si>
    <t>vertical distance from the terrain surface to the surface of the buried pipeline</t>
  </si>
  <si>
    <t>vertical distance from the operating level to the upper edge of the buried pipe</t>
  </si>
  <si>
    <t>with short stem extension</t>
  </si>
  <si>
    <t>with long stem extension</t>
  </si>
  <si>
    <t>Operating pressure</t>
  </si>
  <si>
    <t>Equipped with another electric actuator</t>
  </si>
  <si>
    <t>Krycí hloubka</t>
  </si>
  <si>
    <t>Installation depth</t>
  </si>
  <si>
    <t>Głębokość zabudowy</t>
  </si>
  <si>
    <t>Hloubka zabudování</t>
  </si>
  <si>
    <t>svislá vzdálenost od ovládací roviny po spodní hrany průtoku</t>
  </si>
  <si>
    <t>vertical distance from the operating level to the lower edge of the flow area</t>
  </si>
  <si>
    <t>closed frame</t>
  </si>
  <si>
    <t>open frame</t>
  </si>
  <si>
    <t>for rising stem</t>
  </si>
  <si>
    <t>stem extension</t>
  </si>
  <si>
    <t>Penstock and chemical anchors are included in the price</t>
  </si>
  <si>
    <t>Electric actuator is not a standard part of the delivery</t>
  </si>
  <si>
    <t>Při použití kloubových spojů je nutná konzultace s výrobcem</t>
  </si>
  <si>
    <t>When using cardan joints, the manufacturer must be consulted</t>
  </si>
  <si>
    <t>single closing</t>
  </si>
  <si>
    <t>double closing</t>
  </si>
  <si>
    <t>(cone)</t>
  </si>
  <si>
    <t>(cone and ball)</t>
  </si>
  <si>
    <t>drop jacket</t>
  </si>
  <si>
    <t>claws</t>
  </si>
  <si>
    <t>With brass saddle</t>
  </si>
  <si>
    <t>pipe</t>
  </si>
  <si>
    <t>fully rubberized</t>
  </si>
  <si>
    <t>partially rubberized</t>
  </si>
  <si>
    <t>Třmen pro navrt. pas</t>
  </si>
  <si>
    <t>brass ball valve</t>
  </si>
  <si>
    <t>ductile iron gate valve</t>
  </si>
  <si>
    <t>brass gate valve</t>
  </si>
  <si>
    <t>adapter</t>
  </si>
  <si>
    <t>Inner diameter of the adapter</t>
  </si>
  <si>
    <t>integrated shut-off valve</t>
  </si>
  <si>
    <t>integrated tapping device/shut-off valve</t>
  </si>
  <si>
    <t>Drill diameter</t>
  </si>
  <si>
    <t>The respective PE welding saddle must be ordered separately</t>
  </si>
  <si>
    <t>Female thread</t>
  </si>
  <si>
    <t>Male thread</t>
  </si>
  <si>
    <t>seats</t>
  </si>
  <si>
    <t>horizontal installation</t>
  </si>
  <si>
    <t>vertical installation</t>
  </si>
  <si>
    <t>The spare part is not included in the rebate group</t>
  </si>
  <si>
    <t>The product is not included in the rebate group</t>
  </si>
  <si>
    <t>Submerged installation is not allowed for PTK-G type</t>
  </si>
  <si>
    <t>Type PWK-F can be fitted with an aerator for air supply and exhaust</t>
  </si>
  <si>
    <t>for pressure pipelines</t>
  </si>
  <si>
    <t>LUG type with threaded through holes</t>
  </si>
  <si>
    <t>WAFER type with pre-cast eyes</t>
  </si>
  <si>
    <t>Must be ordered separately</t>
  </si>
  <si>
    <t>Nutné objednat samostatně</t>
  </si>
  <si>
    <t>For train tank cars</t>
  </si>
  <si>
    <t>Bonnet outlet</t>
  </si>
  <si>
    <t>Single-chamber</t>
  </si>
  <si>
    <t>Double-changer</t>
  </si>
  <si>
    <t>Rozměr</t>
  </si>
  <si>
    <t>Size</t>
  </si>
  <si>
    <t>Internal valve</t>
  </si>
  <si>
    <t>Vnitřní armatura</t>
  </si>
  <si>
    <t>S univerzálním regulačním válcem SZ40 pro provoz bez kavitace</t>
  </si>
  <si>
    <t>With universal slotted cylinder SZ40 for cavitation-free regulation</t>
  </si>
  <si>
    <t>pressure reduction</t>
  </si>
  <si>
    <t>pressure sustaining</t>
  </si>
  <si>
    <t xml:space="preserve">to control the water level with one/two floats </t>
  </si>
  <si>
    <t>to control the water level by pressure sensor</t>
  </si>
  <si>
    <t>SEARCH STRING</t>
  </si>
  <si>
    <t>Mesh size</t>
  </si>
  <si>
    <t>basket</t>
  </si>
  <si>
    <t>With anchor bolts on one side</t>
  </si>
  <si>
    <t>With continuous threaded rods</t>
  </si>
  <si>
    <t>threaded rods</t>
  </si>
  <si>
    <t>těsnění</t>
  </si>
  <si>
    <t>sealing</t>
  </si>
  <si>
    <t>uszczelka</t>
  </si>
  <si>
    <t>stal ocynkowana</t>
  </si>
  <si>
    <t xml:space="preserve">żeliwo sferoidalne </t>
  </si>
  <si>
    <t>Surface box</t>
  </si>
  <si>
    <t>Support plate</t>
  </si>
  <si>
    <t>Mobile actuator</t>
  </si>
  <si>
    <t>Tapping valve</t>
  </si>
  <si>
    <t>Replacement gate valve</t>
  </si>
  <si>
    <t>Welding end</t>
  </si>
  <si>
    <t>Sealing rings</t>
  </si>
  <si>
    <t>Stem extension</t>
  </si>
  <si>
    <t>Flange adapter</t>
  </si>
  <si>
    <t>Dismantling joint</t>
  </si>
  <si>
    <t>Basket strainer</t>
  </si>
  <si>
    <t>Control valve</t>
  </si>
  <si>
    <t>Pilot operated control valve</t>
  </si>
  <si>
    <t>Automatic air valve</t>
  </si>
  <si>
    <t>Gate valve</t>
  </si>
  <si>
    <t>Flap valve</t>
  </si>
  <si>
    <t>Butterfly valve</t>
  </si>
  <si>
    <t>Ball valve</t>
  </si>
  <si>
    <t>Diaphragm non-return valve</t>
  </si>
  <si>
    <t>Ball check valve</t>
  </si>
  <si>
    <t>Non-return valve</t>
  </si>
  <si>
    <t>Welding saddle</t>
  </si>
  <si>
    <t>Tapping bridge</t>
  </si>
  <si>
    <t>Standpost hydrant</t>
  </si>
  <si>
    <t>Underground hydrant</t>
  </si>
  <si>
    <t>Operating set</t>
  </si>
  <si>
    <t>Knife gate valve</t>
  </si>
  <si>
    <t>for operating by T-key in surface box</t>
  </si>
  <si>
    <t>For tapping bridges</t>
  </si>
  <si>
    <t>For hydrants</t>
  </si>
  <si>
    <t>Oval</t>
  </si>
  <si>
    <t>key adaptor</t>
  </si>
  <si>
    <t>Stem end</t>
  </si>
  <si>
    <t>Basic set</t>
  </si>
  <si>
    <t>Complete set</t>
  </si>
  <si>
    <t>Contents of the basic set</t>
  </si>
  <si>
    <t>Drive stand for safe operation</t>
  </si>
  <si>
    <t>Actuator stem with end-position damper</t>
  </si>
  <si>
    <t>Coupling sleeves (square: 12 mm, 27 mm)</t>
  </si>
  <si>
    <t>Pusher</t>
  </si>
  <si>
    <t>Hexagonal wrench</t>
  </si>
  <si>
    <t>Transport case with wheels</t>
  </si>
  <si>
    <t>with PRCD-safety switch</t>
  </si>
  <si>
    <t>Coupling set (without case)</t>
  </si>
  <si>
    <t>Big transport case with wheels</t>
  </si>
  <si>
    <t>Emergency power generator with carriage (3 kVA)</t>
  </si>
  <si>
    <t>Nouzový el. agregát s podvozkem (3 kVA)</t>
  </si>
  <si>
    <t>Hand wheel diameter</t>
  </si>
  <si>
    <t>red colour RAL 3000</t>
  </si>
  <si>
    <t>blue colour</t>
  </si>
  <si>
    <t>grey colour</t>
  </si>
  <si>
    <t>black colour</t>
  </si>
  <si>
    <t>with hook</t>
  </si>
  <si>
    <t>with hexagonal orifice</t>
  </si>
  <si>
    <t>socket</t>
  </si>
  <si>
    <t>spigot</t>
  </si>
  <si>
    <t>plug-in coupling</t>
  </si>
  <si>
    <t>PE-end</t>
  </si>
  <si>
    <t>Connection</t>
  </si>
  <si>
    <t>Fitting length</t>
  </si>
  <si>
    <t>when fully inserted into the socket</t>
  </si>
  <si>
    <t>Angle</t>
  </si>
  <si>
    <t>branch</t>
  </si>
  <si>
    <t>others</t>
  </si>
  <si>
    <t xml:space="preserve">Against displacement of the free end of the pipe in the socket </t>
  </si>
  <si>
    <t>Against the rotation of the spigot in the socket</t>
  </si>
  <si>
    <t xml:space="preserve">With bare shaft for SQ/SQR electric actuator and pneumatic actuator </t>
  </si>
  <si>
    <t>S el. servopohonem</t>
  </si>
  <si>
    <t>With electric actuator</t>
  </si>
  <si>
    <t>S pneupohonem</t>
  </si>
  <si>
    <t>With pneumatic actuator</t>
  </si>
  <si>
    <t>PE</t>
  </si>
  <si>
    <t>LOCK Systém</t>
  </si>
  <si>
    <t>LOCK System</t>
  </si>
  <si>
    <t>Plug fitting</t>
  </si>
  <si>
    <t>Plug fittings</t>
  </si>
  <si>
    <t>Shut-off valves</t>
  </si>
  <si>
    <t>Uzávěry</t>
  </si>
  <si>
    <t>Plug-in type</t>
  </si>
  <si>
    <t>Montáž na potrubí</t>
  </si>
  <si>
    <t>Montáž na stěnu</t>
  </si>
  <si>
    <t>Wall-mounted</t>
  </si>
  <si>
    <t>Tuhá</t>
  </si>
  <si>
    <t>Rigid</t>
  </si>
  <si>
    <t>Teleskopická</t>
  </si>
  <si>
    <t>Telescopic</t>
  </si>
  <si>
    <t>Pohon bez příslušenství</t>
  </si>
  <si>
    <t>Pohon se snímači konc. poloh SMT a škrcením odfuku GRLA</t>
  </si>
  <si>
    <t>Pohon se snímači konc. poloh SMT, škrcením odfuku GRE a solenoidovým ventilem NVF 3</t>
  </si>
  <si>
    <t>Actuator without accessories</t>
  </si>
  <si>
    <t>Actuator with SMT proximity sensors and GRLA air flow control valve</t>
  </si>
  <si>
    <t>Actuator with SMT proximity sensors, GRE air flow control valve and solenoid valve NVF 3</t>
  </si>
  <si>
    <t>Split ring stiffener</t>
  </si>
  <si>
    <t>mVS</t>
  </si>
  <si>
    <t>mWC</t>
  </si>
  <si>
    <t>mSW</t>
  </si>
  <si>
    <t>N</t>
  </si>
  <si>
    <t>Šoup. třmen.</t>
  </si>
  <si>
    <t>Podz. hydr.</t>
  </si>
  <si>
    <t>Undergr. hydr.</t>
  </si>
  <si>
    <t>Uzav. kl.</t>
  </si>
  <si>
    <t>Odvzduš. soupr.</t>
  </si>
  <si>
    <t>Stem ext.</t>
  </si>
  <si>
    <t>Obejma</t>
  </si>
  <si>
    <t>Coupl.</t>
  </si>
  <si>
    <t>Zem. soupr.</t>
  </si>
  <si>
    <t>Potr. spojka</t>
  </si>
  <si>
    <t>Fl. adapt.</t>
  </si>
  <si>
    <t>Přír. adapt.</t>
  </si>
  <si>
    <t>Mont. vl.</t>
  </si>
  <si>
    <t>Dism. joint</t>
  </si>
  <si>
    <t>Regul. vent.</t>
  </si>
  <si>
    <t>Odvzuš. ventil</t>
  </si>
  <si>
    <t>Kul. koh.</t>
  </si>
  <si>
    <t>Butterfly val.</t>
  </si>
  <si>
    <t>Gate val. rising st.</t>
  </si>
  <si>
    <t>Air val.</t>
  </si>
  <si>
    <t>Control. val.</t>
  </si>
  <si>
    <t>Ball val.</t>
  </si>
  <si>
    <t>Bask. strainer</t>
  </si>
  <si>
    <t>Konc. kl.</t>
  </si>
  <si>
    <t>Flap val.</t>
  </si>
  <si>
    <t>Zpět. kl.</t>
  </si>
  <si>
    <t>Navrt. pas</t>
  </si>
  <si>
    <t>Non-ret. val.</t>
  </si>
  <si>
    <t>Tapping br.</t>
  </si>
  <si>
    <t>Šoup.</t>
  </si>
  <si>
    <t>Gate val.</t>
  </si>
  <si>
    <t>spojky</t>
  </si>
  <si>
    <t>plug-in couplings</t>
  </si>
  <si>
    <t>Objímka navař. PE100</t>
  </si>
  <si>
    <t>Weld. saddle PE100</t>
  </si>
  <si>
    <t>Flexipor</t>
  </si>
  <si>
    <t>plast. víčko</t>
  </si>
  <si>
    <t>samouzav. víčko</t>
  </si>
  <si>
    <t>plast. cap</t>
  </si>
  <si>
    <t>self-clos. cap</t>
  </si>
  <si>
    <t>zázub.</t>
  </si>
  <si>
    <t>claw</t>
  </si>
  <si>
    <t>Nadz. hydr.</t>
  </si>
  <si>
    <t>Standp. hydr.</t>
  </si>
  <si>
    <t>Penst.</t>
  </si>
  <si>
    <t>Operat. set</t>
  </si>
  <si>
    <t>Mu/Mu</t>
  </si>
  <si>
    <t>pos. indicator</t>
  </si>
  <si>
    <t>zátka</t>
  </si>
  <si>
    <t>plug</t>
  </si>
  <si>
    <t>bar</t>
  </si>
  <si>
    <t>PS</t>
  </si>
  <si>
    <t>steel rods</t>
  </si>
  <si>
    <t>st.steel rods</t>
  </si>
  <si>
    <t>SYNT.</t>
  </si>
  <si>
    <t>zk. 3.1</t>
  </si>
  <si>
    <t>cert. 3.1</t>
  </si>
  <si>
    <t>s uzam. prstencem</t>
  </si>
  <si>
    <t>with lock. ring</t>
  </si>
  <si>
    <t>patk. koleno</t>
  </si>
  <si>
    <t>šr. ocel</t>
  </si>
  <si>
    <t>šr. nerez</t>
  </si>
  <si>
    <t>mm</t>
  </si>
  <si>
    <t>vnitř. ventil</t>
  </si>
  <si>
    <t>inner valve</t>
  </si>
  <si>
    <t>w/o thread</t>
  </si>
  <si>
    <t>Mu/Sp</t>
  </si>
  <si>
    <t>Fl/Sp</t>
  </si>
  <si>
    <t>Bore diameter</t>
  </si>
  <si>
    <t>díra</t>
  </si>
  <si>
    <t>bore</t>
  </si>
  <si>
    <t>GGG</t>
  </si>
  <si>
    <t>šroub/podl.</t>
  </si>
  <si>
    <t>screw/washer</t>
  </si>
  <si>
    <t>voda</t>
  </si>
  <si>
    <t>water</t>
  </si>
  <si>
    <t>woda</t>
  </si>
  <si>
    <t>se šoup.</t>
  </si>
  <si>
    <t>s kul.k.</t>
  </si>
  <si>
    <t>with gate val.</t>
  </si>
  <si>
    <t>CF8</t>
  </si>
  <si>
    <t>plast. plov.</t>
  </si>
  <si>
    <t>plast. float</t>
  </si>
  <si>
    <t>cisternový</t>
  </si>
  <si>
    <t>CF8M</t>
  </si>
  <si>
    <t>stainl. st.</t>
  </si>
  <si>
    <t>st. nierdz.</t>
  </si>
  <si>
    <t>reduc.</t>
  </si>
  <si>
    <t>reduk.</t>
  </si>
  <si>
    <t>Závitové provedení</t>
  </si>
  <si>
    <t>Threaded version</t>
  </si>
  <si>
    <t>Knife g. val.</t>
  </si>
  <si>
    <t>rychlouzav.</t>
  </si>
  <si>
    <t>quick cl.</t>
  </si>
  <si>
    <t>RAL3000</t>
  </si>
  <si>
    <t>ukaz.pol.</t>
  </si>
  <si>
    <t>pos.ind.</t>
  </si>
  <si>
    <t>mech.spínače</t>
  </si>
  <si>
    <t>ind.snímače</t>
  </si>
  <si>
    <t>mech.lim.sw.</t>
  </si>
  <si>
    <t>induct.lim.sw.</t>
  </si>
  <si>
    <t>sockets</t>
  </si>
  <si>
    <t>hrdla</t>
  </si>
  <si>
    <t>z końc. mufowymi</t>
  </si>
  <si>
    <t>z końc. bosymi</t>
  </si>
  <si>
    <t>St.</t>
  </si>
  <si>
    <t>DUPLEX</t>
  </si>
  <si>
    <t>vřeteno</t>
  </si>
  <si>
    <t>stem</t>
  </si>
  <si>
    <t>s posuv. přírub.</t>
  </si>
  <si>
    <t>do koryta</t>
  </si>
  <si>
    <t>Mounted false spindle cap</t>
  </si>
  <si>
    <t xml:space="preserve">FSC </t>
  </si>
  <si>
    <t>prodl.</t>
  </si>
  <si>
    <t>extens.</t>
  </si>
  <si>
    <t>nástav.</t>
  </si>
  <si>
    <t>konz.</t>
  </si>
  <si>
    <t>stoj.</t>
  </si>
  <si>
    <t>wall br.</t>
  </si>
  <si>
    <t>headst.</t>
  </si>
  <si>
    <t>RAL7021</t>
  </si>
  <si>
    <t>celopogum.</t>
  </si>
  <si>
    <t>fully rubber.</t>
  </si>
  <si>
    <t>s mos. šoup.</t>
  </si>
  <si>
    <t>w. brass gate val.</t>
  </si>
  <si>
    <t>konc.</t>
  </si>
  <si>
    <t>adapt.</t>
  </si>
  <si>
    <t>s lit. šoup.</t>
  </si>
  <si>
    <t>w. gate val.</t>
  </si>
  <si>
    <t>w. ball val.</t>
  </si>
  <si>
    <t>bez uzáv.</t>
  </si>
  <si>
    <t>w/o shutt-off val.</t>
  </si>
  <si>
    <t>C.IRON</t>
  </si>
  <si>
    <t>ŻEL.</t>
  </si>
  <si>
    <t>LIT.</t>
  </si>
  <si>
    <t>vrták</t>
  </si>
  <si>
    <t>drill</t>
  </si>
  <si>
    <t>výst.</t>
  </si>
  <si>
    <t>outl.</t>
  </si>
  <si>
    <t>fem.</t>
  </si>
  <si>
    <t>male</t>
  </si>
  <si>
    <t>zved.disku</t>
  </si>
  <si>
    <t>disc lift. device</t>
  </si>
  <si>
    <t>vert.</t>
  </si>
  <si>
    <t>horiz.</t>
  </si>
  <si>
    <t>kryt</t>
  </si>
  <si>
    <t>guard</t>
  </si>
  <si>
    <t>with keyway</t>
  </si>
  <si>
    <t>s dr. pro pero</t>
  </si>
  <si>
    <t>přírub.</t>
  </si>
  <si>
    <t>tlak. potr.</t>
  </si>
  <si>
    <t>pressure pipel.</t>
  </si>
  <si>
    <t>svisl. tal.</t>
  </si>
  <si>
    <t>vert.disk</t>
  </si>
  <si>
    <t>Zasuwa klinowa</t>
  </si>
  <si>
    <t>Zasuwa nożowa</t>
  </si>
  <si>
    <t>Zasuwa wrzecionowa</t>
  </si>
  <si>
    <t>Zestaw sterowania</t>
  </si>
  <si>
    <t>Hydrant podziemny</t>
  </si>
  <si>
    <t>Hydrant nadziemny</t>
  </si>
  <si>
    <t>Zestaw nawiertowy</t>
  </si>
  <si>
    <t>Mostek nawiertowy</t>
  </si>
  <si>
    <t>Urządzenie do nawiercania</t>
  </si>
  <si>
    <t>Zawór zwrotny</t>
  </si>
  <si>
    <t>Klapa przeciwcofkowa</t>
  </si>
  <si>
    <t>Przepustnica kołnierzowa</t>
  </si>
  <si>
    <t>Zawór kulowy</t>
  </si>
  <si>
    <t>Zawór na- i odpowietrzający</t>
  </si>
  <si>
    <t>Zawór regulacyjny</t>
  </si>
  <si>
    <t>Zawór powietrzny</t>
  </si>
  <si>
    <t>Filtr siatkowy</t>
  </si>
  <si>
    <t>Wymienny wkład filtrujący</t>
  </si>
  <si>
    <t>Kosz ssący</t>
  </si>
  <si>
    <t>Wstawka montażowa</t>
  </si>
  <si>
    <t>Adapter kołnierzowy</t>
  </si>
  <si>
    <t xml:space="preserve">Łącznik </t>
  </si>
  <si>
    <t>Kształtka</t>
  </si>
  <si>
    <t>Kształtki</t>
  </si>
  <si>
    <t>Obudowa ziemna</t>
  </si>
  <si>
    <t>Klucz do obsługi</t>
  </si>
  <si>
    <t>Końcówka do zgrzewania</t>
  </si>
  <si>
    <t>Zawór kątowy</t>
  </si>
  <si>
    <t>Zestaw kotwiący</t>
  </si>
  <si>
    <t>Dysk wymienny</t>
  </si>
  <si>
    <t>Przenośny napęd elektryczny</t>
  </si>
  <si>
    <t xml:space="preserve">Zestaw sprzęgieł </t>
  </si>
  <si>
    <t>Walizka transportowa</t>
  </si>
  <si>
    <t xml:space="preserve">Agregat prądotwórczy </t>
  </si>
  <si>
    <t>Kwadrat pod klucz</t>
  </si>
  <si>
    <t>Zestaw z pływakiem</t>
  </si>
  <si>
    <t>Kołnierz</t>
  </si>
  <si>
    <t>Przep. kołnierz.</t>
  </si>
  <si>
    <t>Zasuwa</t>
  </si>
  <si>
    <t>Zasuwa z wrzec. wznosz. się</t>
  </si>
  <si>
    <t>Zasuwa wrzec.</t>
  </si>
  <si>
    <t>Zasuwa noż.</t>
  </si>
  <si>
    <t>Zaw. na-/odpowietrz.</t>
  </si>
  <si>
    <t>Zaw. powietrz.</t>
  </si>
  <si>
    <t>Hydr. podz.</t>
  </si>
  <si>
    <t>Hydr. nadz.</t>
  </si>
  <si>
    <t>Obud. ziemn</t>
  </si>
  <si>
    <t>Łącznik</t>
  </si>
  <si>
    <t>Adapt. kołnierz.</t>
  </si>
  <si>
    <t>Wstawka mont.</t>
  </si>
  <si>
    <t xml:space="preserve"> Zaw. regulacyjny</t>
  </si>
  <si>
    <t>Zaw. kul.</t>
  </si>
  <si>
    <t>Klapa przeciwcofk.</t>
  </si>
  <si>
    <t>Zaw. zwrotny</t>
  </si>
  <si>
    <t>Mostek nawiert.</t>
  </si>
  <si>
    <t>for tapping br.</t>
  </si>
  <si>
    <t>do mostków nawiert.</t>
  </si>
  <si>
    <t>pro navrt.pasy</t>
  </si>
  <si>
    <t>z zasuwa</t>
  </si>
  <si>
    <t>PE obejma PE100</t>
  </si>
  <si>
    <t>pokr. wylotu samozamykająca</t>
  </si>
  <si>
    <t>pokr. wylotu z tworzywa</t>
  </si>
  <si>
    <t>kły</t>
  </si>
  <si>
    <t>Zest. sterow.</t>
  </si>
  <si>
    <t>wskaźnik położenia</t>
  </si>
  <si>
    <t>śr.stal węglowa</t>
  </si>
  <si>
    <t>śr.stal nierdzewna</t>
  </si>
  <si>
    <t>EPOX.</t>
  </si>
  <si>
    <t>bez gwint. owiertu</t>
  </si>
  <si>
    <t>z pierścieniem blokującym</t>
  </si>
  <si>
    <t>kolano stopowe</t>
  </si>
  <si>
    <t>wbudow. zaw.</t>
  </si>
  <si>
    <t>for tank cars</t>
  </si>
  <si>
    <t>śruba/podkł.</t>
  </si>
  <si>
    <t>pływak PP</t>
  </si>
  <si>
    <t>dla cystern kolejowych</t>
  </si>
  <si>
    <t>szybkozamykającą</t>
  </si>
  <si>
    <t>mechan. wskaźn. położenia</t>
  </si>
  <si>
    <t>czujniki indukcyjne</t>
  </si>
  <si>
    <t>with adjust. flang.</t>
  </si>
  <si>
    <t>z kołnierz. przesuw.</t>
  </si>
  <si>
    <t>for channel inst.</t>
  </si>
  <si>
    <t>przedłuż.</t>
  </si>
  <si>
    <t>stem cap</t>
  </si>
  <si>
    <t>czujniki elektromech.</t>
  </si>
  <si>
    <t>całk. ogumowana</t>
  </si>
  <si>
    <t>z zaw. kul.</t>
  </si>
  <si>
    <t>z zasuwa mosiężna</t>
  </si>
  <si>
    <t>bez zaw.</t>
  </si>
  <si>
    <t>końc.</t>
  </si>
  <si>
    <t>wiertło</t>
  </si>
  <si>
    <t>wewn.</t>
  </si>
  <si>
    <t>vně.</t>
  </si>
  <si>
    <t>vnit.</t>
  </si>
  <si>
    <t>zewn.</t>
  </si>
  <si>
    <t>spawane Ni-Cr siodło</t>
  </si>
  <si>
    <t>zabud. pionowa</t>
  </si>
  <si>
    <t>zabud. pozioma</t>
  </si>
  <si>
    <t>klatka ochronna</t>
  </si>
  <si>
    <t>z wpustem</t>
  </si>
  <si>
    <t>kołnierz.</t>
  </si>
  <si>
    <t>do ruroc. tłocz.</t>
  </si>
  <si>
    <t>płyta pion.</t>
  </si>
  <si>
    <t>=CODE(LEFT(B1;1))&gt;90</t>
  </si>
  <si>
    <t>Conditional formating u překladů pro rozlišování prvního velkého písmena</t>
  </si>
  <si>
    <t>Z kółkiem ręcznym</t>
  </si>
  <si>
    <t>Z wolnym końcem wałka</t>
  </si>
  <si>
    <t>i adapterem do podłączenia VAG obudowy ziemnej</t>
  </si>
  <si>
    <t>and adapter for VAG stem extension</t>
  </si>
  <si>
    <t>a adaptérem pro VAG zemní soupravu</t>
  </si>
  <si>
    <t>Z regulowanymi kołnierzami</t>
  </si>
  <si>
    <t>Z kołnierzem przesuwnym</t>
  </si>
  <si>
    <t xml:space="preserve">Regulowana długość zabudowy </t>
  </si>
  <si>
    <t>Przygotowana pod napęd elektryczny</t>
  </si>
  <si>
    <t>Z napędem elektrycznym</t>
  </si>
  <si>
    <t>Z napędem pneumatycznym</t>
  </si>
  <si>
    <t>Przygotowana pod napęd pneumatyczny</t>
  </si>
  <si>
    <t>Z końcówkami PE-HD</t>
  </si>
  <si>
    <t>Z końcówkami mufowymi BAIO</t>
  </si>
  <si>
    <t>Sla systemów gaśniczych</t>
  </si>
  <si>
    <t>i ze wskaźnikiem położenia</t>
  </si>
  <si>
    <t>Do zabudowy w ziemi</t>
  </si>
  <si>
    <t>Z przesłoną regulacyjną</t>
  </si>
  <si>
    <t xml:space="preserve">Obszar przepływu </t>
  </si>
  <si>
    <t>Montaż na ścianie</t>
  </si>
  <si>
    <t>mont. na stěnu</t>
  </si>
  <si>
    <t>montaż w kanale</t>
  </si>
  <si>
    <t xml:space="preserve">Do tego wymiaru polecamy </t>
  </si>
  <si>
    <t>Końcówka kwadratowa, zamontowana</t>
  </si>
  <si>
    <t>do operowania kluczem T</t>
  </si>
  <si>
    <t>do operowania kluczem T w skrzynce</t>
  </si>
  <si>
    <t>i konsolą przygotowaną pod napęd elektryczny</t>
  </si>
  <si>
    <t>i kolumienką i kółkiem</t>
  </si>
  <si>
    <t>i kolumienką przygotowaną pod napęd elektryczny</t>
  </si>
  <si>
    <t>i konsolą ścienną z kolumienką przygotowaną pod napęd elektryczny</t>
  </si>
  <si>
    <t>i konsolą ścienną z kolumienką i kółkiem</t>
  </si>
  <si>
    <t>Z samozamykającą się pokrywą wylotu</t>
  </si>
  <si>
    <t>Z plastikową pokrywą wylotu</t>
  </si>
  <si>
    <t>Wysokociśnieniowy</t>
  </si>
  <si>
    <t>Replika historycznego hydrantu</t>
  </si>
  <si>
    <t xml:space="preserve">Z kolumną górną ze stali nierdzewnej </t>
  </si>
  <si>
    <t>Bez zaworu</t>
  </si>
  <si>
    <t xml:space="preserve">Z zaworem </t>
  </si>
  <si>
    <t xml:space="preserve">Konstrukcja gwintowana </t>
  </si>
  <si>
    <t>Z gwintem wewnętrznym</t>
  </si>
  <si>
    <t>Z gwintem wewnętrznym i zewnętrznym</t>
  </si>
  <si>
    <t>Z końcówkami</t>
  </si>
  <si>
    <t>Z końcówką</t>
  </si>
  <si>
    <t>dla rur PE, PP i PEX</t>
  </si>
  <si>
    <t>Ze zintegrowanym wiertłem i zaworem</t>
  </si>
  <si>
    <t>Dla rur ze stali, żeliwa i betonu</t>
  </si>
  <si>
    <t>Dla rur z żeliwa sferoidalnego</t>
  </si>
  <si>
    <t>Dla rur z PVC i PE</t>
  </si>
  <si>
    <t>Z blokadą przed przemieszczaniem</t>
  </si>
  <si>
    <t>Do spawania z PE</t>
  </si>
  <si>
    <t>Ze skośnym siedziskiem</t>
  </si>
  <si>
    <t xml:space="preserve">Z siedziskiem pionowym </t>
  </si>
  <si>
    <t>Ze skośną płytą</t>
  </si>
  <si>
    <t>Z płytą pionową</t>
  </si>
  <si>
    <t>Z urządzeniem do podnoszenia dysku</t>
  </si>
  <si>
    <t>urządz. do podnos. dysku</t>
  </si>
  <si>
    <t>Z dźwignią i ciężarkiem</t>
  </si>
  <si>
    <t>i klatką ochronną</t>
  </si>
  <si>
    <t>Do montażu między kołnierzami</t>
  </si>
  <si>
    <t>Montaż na rurze</t>
  </si>
  <si>
    <t>Montaż na pionowej betonowej ścianie</t>
  </si>
  <si>
    <t>Montaż na kołnierz</t>
  </si>
  <si>
    <t>Z dźwignią stalową</t>
  </si>
  <si>
    <t>Z dźwignią ze stali nierdzewnej</t>
  </si>
  <si>
    <t>Z dźwignią żeliwną</t>
  </si>
  <si>
    <t>Z przekładnią i kółkiem ręcznym</t>
  </si>
  <si>
    <t>With bare shaft for connecting of float set</t>
  </si>
  <si>
    <t xml:space="preserve">Ze zintegrowanym zaworem zwrotnym </t>
  </si>
  <si>
    <t>Bez zabezpieczenia przeciw wyrwaniu</t>
  </si>
  <si>
    <t>Dla zasuw</t>
  </si>
  <si>
    <t>Dla hydrantów nadziemnych</t>
  </si>
  <si>
    <t xml:space="preserve">i hydrantów podziemnych </t>
  </si>
  <si>
    <t>Dla mostków nawiertowych</t>
  </si>
  <si>
    <t>Dla mostków nawiertowych z zasuwa</t>
  </si>
  <si>
    <t>Dla mostków nawiertowych z zaworem kulowym</t>
  </si>
  <si>
    <t>Trójnik odgałęzieniem mufowym</t>
  </si>
  <si>
    <t>Z możliwością przesuwu koncówki rury w mufie śrubowej UNION</t>
  </si>
  <si>
    <t>Z przejściem na większą średnicę DN</t>
  </si>
  <si>
    <t>Z prześciem na mniejszą średnicę DN</t>
  </si>
  <si>
    <t>Zaślepka</t>
  </si>
  <si>
    <t>korek</t>
  </si>
  <si>
    <t>Z korkiem dla prób i odpowietrzania</t>
  </si>
  <si>
    <t>Bez gwintowanego owiertu</t>
  </si>
  <si>
    <t>Kolano</t>
  </si>
  <si>
    <t>Kolano stopowe</t>
  </si>
  <si>
    <t>Z pierścieniem blokującym</t>
  </si>
  <si>
    <t>Krzyżak</t>
  </si>
  <si>
    <t>Z napędem, przygotowana pod napęd</t>
  </si>
  <si>
    <t xml:space="preserve">Montaż na wolnym końcu rury </t>
  </si>
  <si>
    <t xml:space="preserve">Należy zamówić oddzielnie </t>
  </si>
  <si>
    <t>ścieki</t>
  </si>
  <si>
    <t>woda pitna</t>
  </si>
  <si>
    <t>wastewater</t>
  </si>
  <si>
    <t>woda morska</t>
  </si>
  <si>
    <t>woda gaśnicza</t>
  </si>
  <si>
    <t>gaz</t>
  </si>
  <si>
    <t>powietrze</t>
  </si>
  <si>
    <t>olej transformatorowy</t>
  </si>
  <si>
    <t>substancje ropopochodne</t>
  </si>
  <si>
    <t>powłoka epoksydowa</t>
  </si>
  <si>
    <t>powłoka syntetyczna</t>
  </si>
  <si>
    <t>poliester</t>
  </si>
  <si>
    <t>pasywacja</t>
  </si>
  <si>
    <t>Materiał</t>
  </si>
  <si>
    <t>wrzeciono</t>
  </si>
  <si>
    <t>włókno bezazbestowe</t>
  </si>
  <si>
    <t>budowa ČSN (norma czeska)</t>
  </si>
  <si>
    <t>Średnica zewnętrzna rurociągu przyłącza domowego</t>
  </si>
  <si>
    <t>Zewnętrzna średnica przyłącza klapy</t>
  </si>
  <si>
    <t>odległość od dna rurociągu / kanału do poziomu operacyjnego</t>
  </si>
  <si>
    <t>Inny napęd elektryczny</t>
  </si>
  <si>
    <t>Napęd bez akcesoriów</t>
  </si>
  <si>
    <t>Napęd z czujnikami połóżenia krańcowego SMT i zaworem dławiącym GRLA</t>
  </si>
  <si>
    <t>Napęd z czujnikami połóżenia krańcowego SMT, zaworem dławiącym GRE i solenoidowym zaworem NVF 3</t>
  </si>
  <si>
    <t>rama zamknięta</t>
  </si>
  <si>
    <t>rama otwarta</t>
  </si>
  <si>
    <t>Cena zawiera zasuwę wrzecionową i zestaw kotwiący</t>
  </si>
  <si>
    <t>Napęd elektryczny nie jest częścią zestawu</t>
  </si>
  <si>
    <t>W przypadku konieczności zastosowania połączeń przegubowych należy skonsultować się z producentem</t>
  </si>
  <si>
    <t>Króćce wylotowe</t>
  </si>
  <si>
    <t>rura</t>
  </si>
  <si>
    <t>częściowo ogumowana</t>
  </si>
  <si>
    <t>całkowicie ogumowana</t>
  </si>
  <si>
    <t>mosiężny zawór kulowy</t>
  </si>
  <si>
    <t>mosiężna zasuwa</t>
  </si>
  <si>
    <t>żeliwna zasuwa</t>
  </si>
  <si>
    <t>końcówka</t>
  </si>
  <si>
    <t>Wewnętrzna średnica końcówki</t>
  </si>
  <si>
    <t>zintegrowane odcięcie/wiertło</t>
  </si>
  <si>
    <t>zintegrowane zamknięcie</t>
  </si>
  <si>
    <t>Średnica wiertła</t>
  </si>
  <si>
    <t>Gwint wewnętrzny</t>
  </si>
  <si>
    <t>Gwint zewnętrzny</t>
  </si>
  <si>
    <t>przyłącza do domu</t>
  </si>
  <si>
    <t>siedziska</t>
  </si>
  <si>
    <t>sedlo Ni-Cr návar</t>
  </si>
  <si>
    <t>Ni-Cr weld. overl. seat</t>
  </si>
  <si>
    <t>pozioma zabudowa</t>
  </si>
  <si>
    <t>pionowa zabudowa</t>
  </si>
  <si>
    <t>Klapy PTK-G nie należy instalować do pracy pod wodą</t>
  </si>
  <si>
    <t>Klapa PWK-F moze być wyposażona w urządzenie do napowietrzania dla powietrza wlotowego i wylotowego</t>
  </si>
  <si>
    <t>do rurociągu tłocznym</t>
  </si>
  <si>
    <t>dysk</t>
  </si>
  <si>
    <t>Typ Lug z otworami centrującymi do montażu na śruby</t>
  </si>
  <si>
    <t>Typ WAFER z otworami gwintowanymi pod śruby kołnierza</t>
  </si>
  <si>
    <t>Jednokomorowy</t>
  </si>
  <si>
    <t>Dwukomorowy</t>
  </si>
  <si>
    <t>Gwint pokrywy</t>
  </si>
  <si>
    <t>Wymiary</t>
  </si>
  <si>
    <t>Wbudowany zawór</t>
  </si>
  <si>
    <t>Z uniwersalnym cylindrem szczelinowym SZ40 do regulacji bez kawitacji</t>
  </si>
  <si>
    <t>do redukcji ciśnienia wylotowego</t>
  </si>
  <si>
    <t>do utrzymania poziomu wody za pomocą jednego / dwóch pływaków</t>
  </si>
  <si>
    <t>do regulacji poziomu wody przy pomocy ciśnienia słupa wody</t>
  </si>
  <si>
    <t>do utrzymania stałego ciśnienia</t>
  </si>
  <si>
    <t>Wielkośc oczek sita</t>
  </si>
  <si>
    <t>sito</t>
  </si>
  <si>
    <t>Z jednostronnie ustawianym zespołem blokującym</t>
  </si>
  <si>
    <t>pręty gwintowane</t>
  </si>
  <si>
    <t>Z prętami gwintowanymi przechodzącymi obustronnie</t>
  </si>
  <si>
    <t>Zasuwowa</t>
  </si>
  <si>
    <t>Zaworowa</t>
  </si>
  <si>
    <t>Hydrantowa</t>
  </si>
  <si>
    <t>Owalna</t>
  </si>
  <si>
    <t>Sztywna</t>
  </si>
  <si>
    <t>Teleskopowa</t>
  </si>
  <si>
    <t>Końcówka wrzeciona</t>
  </si>
  <si>
    <t>górna końcówka</t>
  </si>
  <si>
    <t>górny kwadrat pod klucz</t>
  </si>
  <si>
    <t>Zestaw podstawowy</t>
  </si>
  <si>
    <t>Średnica kółka ręcznego</t>
  </si>
  <si>
    <t>otwor</t>
  </si>
  <si>
    <t>Wymiar otworu</t>
  </si>
  <si>
    <t>kolor niebieski</t>
  </si>
  <si>
    <t>kolor czerwony RAL 3000</t>
  </si>
  <si>
    <t>kolor szary</t>
  </si>
  <si>
    <t>kolor czarny</t>
  </si>
  <si>
    <t>z sześciokątnym otworem</t>
  </si>
  <si>
    <t>z hakiem</t>
  </si>
  <si>
    <t>mufa</t>
  </si>
  <si>
    <t>końcówka bosa</t>
  </si>
  <si>
    <t>pokrywa</t>
  </si>
  <si>
    <t>Połączenie</t>
  </si>
  <si>
    <t>Długość kształtki</t>
  </si>
  <si>
    <t>po włożeniu do mufy</t>
  </si>
  <si>
    <t>odgałęzienie</t>
  </si>
  <si>
    <t>Kąt</t>
  </si>
  <si>
    <t>inne</t>
  </si>
  <si>
    <t>Dla rur z PE</t>
  </si>
  <si>
    <t>PE-końcówka</t>
  </si>
  <si>
    <t>konsola</t>
  </si>
  <si>
    <t>kolumienka</t>
  </si>
  <si>
    <t>końc. kwadr.</t>
  </si>
  <si>
    <t>Z teleskopowym przedłużeniem wrzeciona</t>
  </si>
  <si>
    <t>Z ramą zamkniętą i wrzecionem niewznoszącym się</t>
  </si>
  <si>
    <t>Z ramą otwartą dla wrzeciona wznoszącego się</t>
  </si>
  <si>
    <t>Z kolumną górną ze stali nierdzewnej, podwójnym odwodnieniem i bezobsługowym samosmarującym się wrzecionem</t>
  </si>
  <si>
    <t>Z siodłem gumowanym</t>
  </si>
  <si>
    <t>Z szybkozłączem na wcisk</t>
  </si>
  <si>
    <t>Ze wskaźnikiem położenia pod kółko ręczne</t>
  </si>
  <si>
    <t xml:space="preserve">Przygotowana do podłączenia obudowy teleskopowej VA-TELESKOP i zabudowy podziemnej </t>
  </si>
  <si>
    <t>Z wolnym wałkiem do przyłaczenia zestawu pływaka</t>
  </si>
  <si>
    <t>Z galwanizowanymi gwintowanymi kołkami kotwiącymi</t>
  </si>
  <si>
    <t>Z nierdzewnymi gwintowanymi kołkami kotwiącymi</t>
  </si>
  <si>
    <t>Typ kielichowy</t>
  </si>
  <si>
    <t xml:space="preserve">Owiert kołnierzy zgodnie z wytycznymi technicznymi Urzędu Kolejnictwa Czeskiego </t>
  </si>
  <si>
    <t>Zewnętrzna średnica rury nawierconej</t>
  </si>
  <si>
    <t>dla wrzeciona wznoszącego się</t>
  </si>
  <si>
    <t>przedłużenie wrzeciona</t>
  </si>
  <si>
    <t>Z siedziskiem mosiężnym</t>
  </si>
  <si>
    <t>Odpowiedznie siodło zgrzewane PE musi być zamówione oddzielnie</t>
  </si>
  <si>
    <t>Części zamienne nie są ujęte w tej grupie rabatowej</t>
  </si>
  <si>
    <t>Produkt nie ujęty w tej grupie rabatowej</t>
  </si>
  <si>
    <t>Dla cystern kolejowych</t>
  </si>
  <si>
    <t>Zawartość zestawu podstawowego</t>
  </si>
  <si>
    <t>Klucz sześciokątny</t>
  </si>
  <si>
    <t>Zestaw łaczników (bez opakowania)</t>
  </si>
  <si>
    <t>Duża skrzynka transportowa z kółkami</t>
  </si>
  <si>
    <t>szybkozłaczka wciskana</t>
  </si>
  <si>
    <t>szybkozłączki wciskane</t>
  </si>
  <si>
    <t>Przeciwdziała przemieszczeniu końcówki rury w kielichu</t>
  </si>
  <si>
    <t>Przeciwdziała obróceniu końcówki bagnetowej w kielichu</t>
  </si>
  <si>
    <t>Z wolnym wałkiem do zamontowania napędu elektrycznego SQ/SQR lub napędu pneumatycznego</t>
  </si>
  <si>
    <t>Pełen zestaw</t>
  </si>
  <si>
    <t>z wyłącznikiem bezpieczeństwa PRCD</t>
  </si>
  <si>
    <t>Stojak napędu dla bezpiecznej pracy</t>
  </si>
  <si>
    <t>Trzpień siłownika z tłumikiem położenia końcowego</t>
  </si>
  <si>
    <t>Mufy sprzęgające (kwadrat: 12 mm, 27 mm)</t>
  </si>
  <si>
    <t>Popychacz</t>
  </si>
  <si>
    <t>Walizka transportowa z kółkami</t>
  </si>
  <si>
    <t>Awaryjny generator prądu z wózkiem (3 kVA)</t>
  </si>
  <si>
    <t>Přejít na výrobek:</t>
  </si>
  <si>
    <t>Open product:</t>
  </si>
  <si>
    <t>Przejdź do produktu:</t>
  </si>
  <si>
    <t>1,33-1,98 m</t>
  </si>
  <si>
    <t>1,35-2,00 m</t>
  </si>
  <si>
    <t>1,37-2,02 m</t>
  </si>
  <si>
    <t>1,41-2,06 m</t>
  </si>
  <si>
    <t>1,46-2,12 m</t>
  </si>
  <si>
    <t>1,51-2,17 m</t>
  </si>
  <si>
    <t>1,61-2,26 m</t>
  </si>
  <si>
    <t>1,73-2,40 m</t>
  </si>
  <si>
    <t>1,85-2,50 m</t>
  </si>
  <si>
    <t>63</t>
  </si>
  <si>
    <t>90</t>
  </si>
  <si>
    <t>110</t>
  </si>
  <si>
    <t>140</t>
  </si>
  <si>
    <t>160</t>
  </si>
  <si>
    <t>180</t>
  </si>
  <si>
    <t>280</t>
  </si>
  <si>
    <t>315</t>
  </si>
  <si>
    <t>98</t>
  </si>
  <si>
    <t>118</t>
  </si>
  <si>
    <t>144</t>
  </si>
  <si>
    <t>170</t>
  </si>
  <si>
    <t>222</t>
  </si>
  <si>
    <t>390</t>
  </si>
  <si>
    <t>490</t>
  </si>
  <si>
    <t>590</t>
  </si>
  <si>
    <t>690</t>
  </si>
  <si>
    <t>790</t>
  </si>
  <si>
    <t>890</t>
  </si>
  <si>
    <t>990</t>
  </si>
  <si>
    <t>630</t>
  </si>
  <si>
    <t>75</t>
  </si>
  <si>
    <t>potr.</t>
  </si>
  <si>
    <t>pipel.</t>
  </si>
  <si>
    <t>ruroc.</t>
  </si>
  <si>
    <t>x</t>
  </si>
  <si>
    <t>G 3/4"</t>
  </si>
  <si>
    <t>G 1"</t>
  </si>
  <si>
    <t>3-14-24010-510</t>
  </si>
  <si>
    <t>3-14-24011-510</t>
  </si>
  <si>
    <t>3-14-24012-510</t>
  </si>
  <si>
    <t>V-8610171</t>
  </si>
  <si>
    <t>V-8610181</t>
  </si>
  <si>
    <t>V-8610191</t>
  </si>
  <si>
    <t>S vnitřním závitem</t>
  </si>
  <si>
    <t>With female thread</t>
  </si>
  <si>
    <t>40, 50, 60</t>
  </si>
  <si>
    <t>Exchange rate</t>
  </si>
  <si>
    <t>V-8605221</t>
  </si>
  <si>
    <t>3-14-23665-490</t>
  </si>
  <si>
    <t>Polszczyzna</t>
  </si>
  <si>
    <t>Armatura</t>
  </si>
  <si>
    <t>dle smlouvy</t>
  </si>
  <si>
    <t>acc. to contract</t>
  </si>
  <si>
    <t xml:space="preserve">zg. z umową </t>
  </si>
  <si>
    <t>Nastavit plošný dodatkový rabat</t>
  </si>
  <si>
    <t>Ustaw globalny dodatkowy rabat</t>
  </si>
  <si>
    <t xml:space="preserve">Each valve must be individually configured, therefore prices are for guidance only </t>
  </si>
  <si>
    <t xml:space="preserve">Każdy zawór należy skonfigurować indywidualnie, dlatego ceny mają jedynie charakter orientacyjny </t>
  </si>
  <si>
    <t>podľa zmluvy</t>
  </si>
  <si>
    <t>Cenník</t>
  </si>
  <si>
    <t>Pomocou tejto tabuľky si môžete nastaviť vlastné zobrazenie cien v tabuľkách</t>
  </si>
  <si>
    <t>Názov</t>
  </si>
  <si>
    <t>Spätné a koncové klapky</t>
  </si>
  <si>
    <t>Uzatváracie klapky a guľové kohúty</t>
  </si>
  <si>
    <t>Od- a zavzdušňovacie ventily</t>
  </si>
  <si>
    <t>Ostatné armatúry</t>
  </si>
  <si>
    <t>Príslušenstvo</t>
  </si>
  <si>
    <t>Nožové a vretenové posúvače</t>
  </si>
  <si>
    <t>Slovenčina</t>
  </si>
  <si>
    <t>SK</t>
  </si>
  <si>
    <t>PN príruby</t>
  </si>
  <si>
    <t>PS / PFA</t>
  </si>
  <si>
    <t>Stavebná dĺžka</t>
  </si>
  <si>
    <t>identifikačné číslo</t>
  </si>
  <si>
    <t>Hmotnosť</t>
  </si>
  <si>
    <t>Korózna ochrana</t>
  </si>
  <si>
    <t>Východisková</t>
  </si>
  <si>
    <t>Ovládanie</t>
  </si>
  <si>
    <t>Skupina výrobkov</t>
  </si>
  <si>
    <t>Výrobok</t>
  </si>
  <si>
    <t>Podľa skupiny</t>
  </si>
  <si>
    <t>Nastavenie meny</t>
  </si>
  <si>
    <t>Nastavenie jazyka</t>
  </si>
  <si>
    <t>Domové prípojky</t>
  </si>
  <si>
    <t>Uzatváracie klapky</t>
  </si>
  <si>
    <t>Guľové kohúty</t>
  </si>
  <si>
    <t>Regulačné armatúry</t>
  </si>
  <si>
    <t>Plynárenské armatúry</t>
  </si>
  <si>
    <t>Príslušenstvo hydrantov</t>
  </si>
  <si>
    <t>Ochrana proti zamrznutiu</t>
  </si>
  <si>
    <t>Ovládací kľúče</t>
  </si>
  <si>
    <t>Hydrantový kľúč</t>
  </si>
  <si>
    <t>T-kľúč</t>
  </si>
  <si>
    <t>Spätný ventil s guľou</t>
  </si>
  <si>
    <t>Od- a zavzdušňovací súprava</t>
  </si>
  <si>
    <t>Membránový regulačný ventil</t>
  </si>
  <si>
    <t>Náhradné sito</t>
  </si>
  <si>
    <t>Sací kôš</t>
  </si>
  <si>
    <t>Ovládací kľúč</t>
  </si>
  <si>
    <t>tesnenie</t>
  </si>
  <si>
    <t>S voľným koncom vretena</t>
  </si>
  <si>
    <t>S posuvnou prírubou</t>
  </si>
  <si>
    <t>S nastaviteľnými prírubami</t>
  </si>
  <si>
    <t>S prípravou pre elektrický servopohon</t>
  </si>
  <si>
    <t>S el. servopohonom</t>
  </si>
  <si>
    <t>S pneupohonom</t>
  </si>
  <si>
    <t>So stúpajúcim vretenom</t>
  </si>
  <si>
    <t>Pre stabilné hasiace zariadenia</t>
  </si>
  <si>
    <t>a ukazovateľom polohy</t>
  </si>
  <si>
    <t>Pre zakopanie do zeme</t>
  </si>
  <si>
    <t>Montáž na stenu</t>
  </si>
  <si>
    <t>mont. na stenu</t>
  </si>
  <si>
    <t>zabudovanie do koryta</t>
  </si>
  <si>
    <t>Pre tento rozmer doporučujeme</t>
  </si>
  <si>
    <t>pre ovládanie T-kľúčom</t>
  </si>
  <si>
    <t>pre ovládaním T-kľúčom v poklope</t>
  </si>
  <si>
    <t>S plastovým viečkom</t>
  </si>
  <si>
    <t>Staromestský</t>
  </si>
  <si>
    <t>S nerezovým stĺpom</t>
  </si>
  <si>
    <t>S nerezovým stĺpom, dvojitou drenážou a bezúdržbovým samomazným vretenom</t>
  </si>
  <si>
    <t>S gumovou podložkou</t>
  </si>
  <si>
    <t>S uzáverom</t>
  </si>
  <si>
    <t>Závitové prevedenie</t>
  </si>
  <si>
    <t>S vnútorným závitom</t>
  </si>
  <si>
    <t>S vnútorným aj vonkajším závitom</t>
  </si>
  <si>
    <t>pre PE, PP a PEX potrubia</t>
  </si>
  <si>
    <t>S integrovaným vrtákom a uzáverom</t>
  </si>
  <si>
    <t>Pre potrubia z ocele, liatiny a betónu</t>
  </si>
  <si>
    <t>Pre potrubie z tvárnej liatiny</t>
  </si>
  <si>
    <t>Pre potrubie z PE</t>
  </si>
  <si>
    <t>Pre potrubia z PVC a PE</t>
  </si>
  <si>
    <t>S integrovaným guľovým kohútom</t>
  </si>
  <si>
    <t>S istením proti vytrhnutiu</t>
  </si>
  <si>
    <t>S PE koncom pre privarenie</t>
  </si>
  <si>
    <t>So šikmým sedlom</t>
  </si>
  <si>
    <t>So zvislým sedlom</t>
  </si>
  <si>
    <t>So šikmým tanierom</t>
  </si>
  <si>
    <t>So zvislým tanierom</t>
  </si>
  <si>
    <t>So zdvíhacím zariadením disku</t>
  </si>
  <si>
    <t>a ochrannou klietkou</t>
  </si>
  <si>
    <t>Montáž na voľný koniec potrubia</t>
  </si>
  <si>
    <t>Montáž na kolmú stenu</t>
  </si>
  <si>
    <t>Montáž na prírubu</t>
  </si>
  <si>
    <t>S oceľovou pákou</t>
  </si>
  <si>
    <t>S voľným koncom pre pripojenie plavákovej sady</t>
  </si>
  <si>
    <t>S integrovanou spätnou klapkou</t>
  </si>
  <si>
    <t>S pozinkovanými závitovými tyčami</t>
  </si>
  <si>
    <t>S nerezovými závitovými tyčami</t>
  </si>
  <si>
    <t>a podzemné hydranty</t>
  </si>
  <si>
    <t>Pre nadzemné hydranty</t>
  </si>
  <si>
    <t>S možnosťou posuvu konca potrubia v hrdle</t>
  </si>
  <si>
    <t>Pre redukciu hore</t>
  </si>
  <si>
    <t>Pre redukciu dole</t>
  </si>
  <si>
    <t>So závitovými zátkami</t>
  </si>
  <si>
    <t>S uzamykateľným prstencom</t>
  </si>
  <si>
    <t>S pohonom, pre pohon</t>
  </si>
  <si>
    <t xml:space="preserve">Montáž na potrubie </t>
  </si>
  <si>
    <t>Zostavy</t>
  </si>
  <si>
    <t>Zostava</t>
  </si>
  <si>
    <t>Drenážny blok</t>
  </si>
  <si>
    <t>Navŕtavacie súpravy</t>
  </si>
  <si>
    <t>Strmeň</t>
  </si>
  <si>
    <t>Protipríruba</t>
  </si>
  <si>
    <t>Plavák</t>
  </si>
  <si>
    <t>Nožový posúvač</t>
  </si>
  <si>
    <t>Vretenový posúvač</t>
  </si>
  <si>
    <t>Podzemný hydrant</t>
  </si>
  <si>
    <t>Nadzemný hydrant</t>
  </si>
  <si>
    <t>Spätná klapka</t>
  </si>
  <si>
    <t>Spätný membránový ventil</t>
  </si>
  <si>
    <t>Uzatváracia klapka</t>
  </si>
  <si>
    <t>Guľový kohút</t>
  </si>
  <si>
    <t>Regulačný ventil</t>
  </si>
  <si>
    <t>Filter</t>
  </si>
  <si>
    <t>Montážna vložka</t>
  </si>
  <si>
    <t>Prírubový adaptér</t>
  </si>
  <si>
    <t>Potrubná spojka</t>
  </si>
  <si>
    <t>Zemná súprava</t>
  </si>
  <si>
    <t>Podkladová doska</t>
  </si>
  <si>
    <t>Oporná vložka</t>
  </si>
  <si>
    <t>Tesnenie</t>
  </si>
  <si>
    <t>Výmenný posúvač</t>
  </si>
  <si>
    <t>Náhradný disk</t>
  </si>
  <si>
    <t>Prenosný ovládač</t>
  </si>
  <si>
    <t>Transportný kufor</t>
  </si>
  <si>
    <t>Plaváková sada</t>
  </si>
  <si>
    <t>Sito</t>
  </si>
  <si>
    <t>Príruba</t>
  </si>
  <si>
    <t xml:space="preserve">S ručným kolieskom </t>
  </si>
  <si>
    <t>a adaptérom pre VAG zemnú súpravu</t>
  </si>
  <si>
    <t>S prípravou pre pneupohon</t>
  </si>
  <si>
    <t>S BAIO hrdlami</t>
  </si>
  <si>
    <t>S nestúpajúcim vretenom</t>
  </si>
  <si>
    <t>S teleskopickou zemnou súpravou</t>
  </si>
  <si>
    <t>S rýchlouzatváracou pákou</t>
  </si>
  <si>
    <t>S regulačnou clonou</t>
  </si>
  <si>
    <t>Nastaviteľnou stavebnou dĺžkou</t>
  </si>
  <si>
    <t>S nátrubkami</t>
  </si>
  <si>
    <t>Vekové</t>
  </si>
  <si>
    <t>Strmeňové</t>
  </si>
  <si>
    <t>Prietoková plocha</t>
  </si>
  <si>
    <t>S uzavretým rámom a nestúpajucim vretenom</t>
  </si>
  <si>
    <t>S otvoreným rámom a prípravou pre stúpajúci vreteno s tiahlom</t>
  </si>
  <si>
    <t>Veľkoobjemový</t>
  </si>
  <si>
    <t>Uzávery</t>
  </si>
  <si>
    <t>Bez uzáveru</t>
  </si>
  <si>
    <t>So spojkami</t>
  </si>
  <si>
    <t>S čistiacou zátkou</t>
  </si>
  <si>
    <t>Bezprírubová</t>
  </si>
  <si>
    <t>S ukazovateľom polohy a prípravou pre osadenie ručným kolieskom</t>
  </si>
  <si>
    <t>S liatinovou pákou</t>
  </si>
  <si>
    <t>S prevodovkou a ručným kolieskom</t>
  </si>
  <si>
    <t>Pre posúvače</t>
  </si>
  <si>
    <t>Bez vŕtania</t>
  </si>
  <si>
    <t>Pätkové koleno</t>
  </si>
  <si>
    <t>Kríž</t>
  </si>
  <si>
    <t>Voľný koniec vretena</t>
  </si>
  <si>
    <t>Prevodovka s voľným koncom</t>
  </si>
  <si>
    <t>Úprava pre elektropohon</t>
  </si>
  <si>
    <t>Nástavec pre T-kľúč, namontovaný</t>
  </si>
  <si>
    <t>Páka so závažím</t>
  </si>
  <si>
    <t>Ručná páka</t>
  </si>
  <si>
    <t>Ručné koliesko</t>
  </si>
  <si>
    <t>Prevodovka s ručným kolieskom</t>
  </si>
  <si>
    <t>Úprava pre zemnú súpravu</t>
  </si>
  <si>
    <t>Úprava pre pneupohon</t>
  </si>
  <si>
    <t>Reťazové koliesko</t>
  </si>
  <si>
    <t xml:space="preserve">Automatické ovládanie </t>
  </si>
  <si>
    <t>PRRK</t>
  </si>
  <si>
    <t>na dopyt</t>
  </si>
  <si>
    <t>podľa špecifikácie</t>
  </si>
  <si>
    <t>Nutné objednať samostatne</t>
  </si>
  <si>
    <t>Prejsť na výrobok:</t>
  </si>
  <si>
    <t>pre</t>
  </si>
  <si>
    <t>rad</t>
  </si>
  <si>
    <t>odpadová voda</t>
  </si>
  <si>
    <t>morská voda</t>
  </si>
  <si>
    <t>epoxidové povrstvenie</t>
  </si>
  <si>
    <t>syntetické povrstvenie</t>
  </si>
  <si>
    <t>Univerzálny pre príruby so 4 alebo 8 dierami</t>
  </si>
  <si>
    <t>vreteno</t>
  </si>
  <si>
    <t>nehrdzavejúca oceľ</t>
  </si>
  <si>
    <t>oceľ</t>
  </si>
  <si>
    <t>pozinkovaná oceľ</t>
  </si>
  <si>
    <t>betón</t>
  </si>
  <si>
    <t>liatina</t>
  </si>
  <si>
    <t>tvárna liatina</t>
  </si>
  <si>
    <t>mosadz</t>
  </si>
  <si>
    <t>vŕtanie prírub</t>
  </si>
  <si>
    <t>Vŕtanie príruby podľa technických podmienok českého Železničného úradu</t>
  </si>
  <si>
    <t>Vŕtanie príruby na 4 diery</t>
  </si>
  <si>
    <t>vrt. 4 diery</t>
  </si>
  <si>
    <t>krátka stavebná dĺžka</t>
  </si>
  <si>
    <t>dlhá stavebná dĺžka</t>
  </si>
  <si>
    <t>stavebná dĺžka ČSN</t>
  </si>
  <si>
    <t>armatúra</t>
  </si>
  <si>
    <t>Cena sa odvíja od požadovaných parametrov pohonu.</t>
  </si>
  <si>
    <t>posuvné príruby</t>
  </si>
  <si>
    <t>Vonkajší priemer potrubia</t>
  </si>
  <si>
    <t>Vonkajší priemer potrubia domovej prípojky</t>
  </si>
  <si>
    <t>Vonkajší priemer nátrubku klapky</t>
  </si>
  <si>
    <t>S mechanickým ukazovateľom polohy</t>
  </si>
  <si>
    <t>s indukčnými snímačmi</t>
  </si>
  <si>
    <t>zvislá vzdialenosť od povrchu terénu k povrchu potrubia osadeného v krajine</t>
  </si>
  <si>
    <t>nôž</t>
  </si>
  <si>
    <t>doska</t>
  </si>
  <si>
    <t>Osadenie iným el. servopohonom (REGADA, ZPA Pečky, a i.)</t>
  </si>
  <si>
    <t>Pohon bez príslušenstva</t>
  </si>
  <si>
    <t>Pohon so snímačmi konc. polôh SMT a škrtením odfukovania GRLA</t>
  </si>
  <si>
    <t>Pohon so snímačmi konc. polôh SMT, škrtením odfukovania GRE a solenoidovým ventilom NVF 3</t>
  </si>
  <si>
    <t>uzavretý rám</t>
  </si>
  <si>
    <t>otvorený rám</t>
  </si>
  <si>
    <t>predĺženie</t>
  </si>
  <si>
    <t>El. servopohon nie je štandardnou súčasťou dodávky</t>
  </si>
  <si>
    <t>Pri použití kĺbových spojov je nutná konzultácia s výrobcom</t>
  </si>
  <si>
    <t>jednoduchý uzáver</t>
  </si>
  <si>
    <t>dvojitý uzáver</t>
  </si>
  <si>
    <t>podľa DIN 3222</t>
  </si>
  <si>
    <t>S mosadzným sedlom</t>
  </si>
  <si>
    <t>potrubie</t>
  </si>
  <si>
    <t>čiastočne pogumovaný</t>
  </si>
  <si>
    <t>mosadzný guľový kohút</t>
  </si>
  <si>
    <t>Vnútorný priemer koncovky</t>
  </si>
  <si>
    <t>integrovaný uzáver</t>
  </si>
  <si>
    <t>integrovaný vrták / uzáver</t>
  </si>
  <si>
    <t>Vonkajší závit</t>
  </si>
  <si>
    <t>prípojky</t>
  </si>
  <si>
    <t>vertikálna inštalácia</t>
  </si>
  <si>
    <t>Typ PTK-G nie je možné inštalovať pod vodnú hladinu</t>
  </si>
  <si>
    <t>pre tlakové potrubie</t>
  </si>
  <si>
    <t>Typ LUG s priechodným závitovými dierami</t>
  </si>
  <si>
    <t>Pre cisternové vozne</t>
  </si>
  <si>
    <t>redukcia výstupného tlaku</t>
  </si>
  <si>
    <t>udržanie tlaku pred ventilom</t>
  </si>
  <si>
    <t>k regulácii výšky vodnej hladiny jedným / dvoma plaváky</t>
  </si>
  <si>
    <t>k regulácii výšky vodnej hladiny podľa tlaku vodného stĺpca</t>
  </si>
  <si>
    <t>kôš</t>
  </si>
  <si>
    <t>S obojstranne priechodnými závitovými tyčami</t>
  </si>
  <si>
    <t>S jednostranne priechodnými závitovými tyčami</t>
  </si>
  <si>
    <t>horný nástavec</t>
  </si>
  <si>
    <t>horný ihlan</t>
  </si>
  <si>
    <t>Základná zostava</t>
  </si>
  <si>
    <t>Kompletná zostava</t>
  </si>
  <si>
    <t>Obsah základnej zostavy</t>
  </si>
  <si>
    <t>s prúdovým chráničom PRCD</t>
  </si>
  <si>
    <t>Stojan pohonu pre bezpečnú obsluhu</t>
  </si>
  <si>
    <t>Spojovacie objímky (štvorhran: 12 mm, 27 mm)</t>
  </si>
  <si>
    <t>Prepravný kufrík s kolieskami</t>
  </si>
  <si>
    <t>Sada spojok (bez kufra)</t>
  </si>
  <si>
    <t>Veľký transportný kufor s kolieskami</t>
  </si>
  <si>
    <t>Núdzový el. agregát s podvozkom (3 kVA)</t>
  </si>
  <si>
    <t>Priemer ručného kolesa</t>
  </si>
  <si>
    <t>diera</t>
  </si>
  <si>
    <t>farba červená RAL 3000</t>
  </si>
  <si>
    <t>farba modrá</t>
  </si>
  <si>
    <t>farba šedá</t>
  </si>
  <si>
    <t>farba čierna</t>
  </si>
  <si>
    <t>s hákom a tŕňom</t>
  </si>
  <si>
    <t>nátrubok</t>
  </si>
  <si>
    <t>PE-koniec</t>
  </si>
  <si>
    <t>veko</t>
  </si>
  <si>
    <t>Dĺžka tvarovky</t>
  </si>
  <si>
    <t>ostatné</t>
  </si>
  <si>
    <t>Proti posunu voľného konca potrubia v hrdle</t>
  </si>
  <si>
    <t>pasivace</t>
  </si>
  <si>
    <t>pasivácia</t>
  </si>
  <si>
    <t>passivation</t>
  </si>
  <si>
    <t>Kľúč</t>
  </si>
  <si>
    <t>LIAT.</t>
  </si>
  <si>
    <t>Redukovaný prietok</t>
  </si>
  <si>
    <t>s mechanickými spínačmi a kladičkou</t>
  </si>
  <si>
    <t>s oceľovým kolieskom</t>
  </si>
  <si>
    <t>s liatinovým kolieskom</t>
  </si>
  <si>
    <t>Hĺbka zabudovania</t>
  </si>
  <si>
    <t>s krátkou zemnou súpravou</t>
  </si>
  <si>
    <t>s dlhou zemnou súpravou</t>
  </si>
  <si>
    <t>Pracovný pretlak</t>
  </si>
  <si>
    <t>(kužeľka a guľa)</t>
  </si>
  <si>
    <t>(kužeľka)</t>
  </si>
  <si>
    <t>liatinový posúvač</t>
  </si>
  <si>
    <t>mosadzný posúvač</t>
  </si>
  <si>
    <t>Priemer vrtáku</t>
  </si>
  <si>
    <t>Vnútorný závit</t>
  </si>
  <si>
    <t>horizontálna inštalácia</t>
  </si>
  <si>
    <t>Náhradný diel nie je zaradený do rabatovej skupiny</t>
  </si>
  <si>
    <t>Výrobok nie je zaradený do rabatovej skupiny</t>
  </si>
  <si>
    <t>Typ PWK-F je možné osadiť aeratorom pre prívod a odvod vzduchu</t>
  </si>
  <si>
    <t>Výstup veka</t>
  </si>
  <si>
    <t>Dvojkomorový</t>
  </si>
  <si>
    <t>Rozmer</t>
  </si>
  <si>
    <t>Vnútorná armatúra</t>
  </si>
  <si>
    <t>S univerzálnym regulačným valcom SZ40 pre prevádzku bez kavitácie</t>
  </si>
  <si>
    <t>Veľkosť ôk</t>
  </si>
  <si>
    <t>Každý výrobok je nutné individuálne konfigurovať, ceny sú teda len orientačné</t>
  </si>
  <si>
    <t>Každý výrobek je nutné individuálně konfigurovat, ceny jsou tedy pouze orientační</t>
  </si>
  <si>
    <t>Posúvačový</t>
  </si>
  <si>
    <t>Oválny</t>
  </si>
  <si>
    <t>Ihlan</t>
  </si>
  <si>
    <t>Vyrážač</t>
  </si>
  <si>
    <t>Priemer diery</t>
  </si>
  <si>
    <t>Pripojenie</t>
  </si>
  <si>
    <t>Uhol</t>
  </si>
  <si>
    <t>Šesťhranný kľúč</t>
  </si>
  <si>
    <t>Odvzduš. súpr.</t>
  </si>
  <si>
    <t>Zem. súpr.</t>
  </si>
  <si>
    <t>Prír. adapt.</t>
  </si>
  <si>
    <t>Späť. kl.</t>
  </si>
  <si>
    <t>Objímka navar. PE100</t>
  </si>
  <si>
    <t>plast. viečko</t>
  </si>
  <si>
    <t>samouzav. viečko</t>
  </si>
  <si>
    <t>Mu / Mu</t>
  </si>
  <si>
    <t>Mu / Sp</t>
  </si>
  <si>
    <t>Fl / Sp</t>
  </si>
  <si>
    <t>skr. oceľ</t>
  </si>
  <si>
    <t>skr. nerez</t>
  </si>
  <si>
    <t>s uzam. prstencom</t>
  </si>
  <si>
    <t>vnútor. ventil</t>
  </si>
  <si>
    <t>s posuv. prírub.</t>
  </si>
  <si>
    <t>predl.</t>
  </si>
  <si>
    <t>vnút.</t>
  </si>
  <si>
    <t>s dr. pre pero</t>
  </si>
  <si>
    <t>prírub.</t>
  </si>
  <si>
    <t xml:space="preserve">potr. </t>
  </si>
  <si>
    <t>Uzatv. kl.</t>
  </si>
  <si>
    <t>Posúv.</t>
  </si>
  <si>
    <t>Posúv. strmeň.</t>
  </si>
  <si>
    <t>Od- /zavzduš.vent.</t>
  </si>
  <si>
    <t>Od-/zavzduš. vent.</t>
  </si>
  <si>
    <t>Nož. šoup.</t>
  </si>
  <si>
    <t>Vřet. šoup.</t>
  </si>
  <si>
    <t>Vřet. posúv.</t>
  </si>
  <si>
    <t>Nož. posúv.</t>
  </si>
  <si>
    <t>Guľ. koh.</t>
  </si>
  <si>
    <t>Navŕt. pas</t>
  </si>
  <si>
    <t>pre navŕt.pasy</t>
  </si>
  <si>
    <t>s posúv.</t>
  </si>
  <si>
    <t>Ovl. sest.</t>
  </si>
  <si>
    <t>ukaz. polohy</t>
  </si>
  <si>
    <t>bez závitu</t>
  </si>
  <si>
    <t>pätk. koleno</t>
  </si>
  <si>
    <t>skrutka / podl.</t>
  </si>
  <si>
    <t>plast. plav.</t>
  </si>
  <si>
    <t>rychlouzatv.</t>
  </si>
  <si>
    <t>s guľ.k.</t>
  </si>
  <si>
    <t>s mos. posúv.</t>
  </si>
  <si>
    <t>s liat. posův.</t>
  </si>
  <si>
    <t>vonk.</t>
  </si>
  <si>
    <t>zvisl. tanier</t>
  </si>
  <si>
    <t>Měna</t>
  </si>
  <si>
    <t>Mena</t>
  </si>
  <si>
    <t>Currency</t>
  </si>
  <si>
    <t>Waluta</t>
  </si>
  <si>
    <t>Dodatočný rabat</t>
  </si>
  <si>
    <t>Nastaviť plošný dodatočný rabat</t>
  </si>
  <si>
    <t>Mäkko- a kovotěsnicí posúvače</t>
  </si>
  <si>
    <t>Mäkkotesniaci posúvač</t>
  </si>
  <si>
    <t>Kovotesniaci posúvač</t>
  </si>
  <si>
    <t>Ovládacia zostava</t>
  </si>
  <si>
    <t>Navŕtavač potrubia</t>
  </si>
  <si>
    <t>Navŕtavací pás</t>
  </si>
  <si>
    <t>Strmeň pre navŕta. pás</t>
  </si>
  <si>
    <t>Navŕtavacia súprava</t>
  </si>
  <si>
    <t>Navarovacia PE objímka</t>
  </si>
  <si>
    <t>Istiaci segment</t>
  </si>
  <si>
    <t>Navarovací koniec</t>
  </si>
  <si>
    <t>Kotviaca sada</t>
  </si>
  <si>
    <t>So samozatváracím viečkom</t>
  </si>
  <si>
    <t>S prípravou pre pripojenie teleskopickej VA-TELESKOP Zemnej súpravy a zakopanie do zeme</t>
  </si>
  <si>
    <t>Bez istenia proti posuvu</t>
  </si>
  <si>
    <t>Pre navŕtavacie pásy s uzáverom</t>
  </si>
  <si>
    <t>Pre navŕtavacie pásy s posúvačom</t>
  </si>
  <si>
    <t>Pre navŕtavacie pásy s guľovým kohútom</t>
  </si>
  <si>
    <t>požiarna voda</t>
  </si>
  <si>
    <t>Rozsah nastaviteľnosti Z - vzdialenosť, o ktorú je možné predĺžiť / skrátiť strednú stavebnú dĺžku L</t>
  </si>
  <si>
    <t>Objednávacie čísla sa vzťahujú na EP AUMA. Požiadavku na iný EP je nutné uviesť do objednávky.</t>
  </si>
  <si>
    <t>Objednávacie čísla sa vzťahujú na PP FESTO v základnom prevedení bez príslušenstva. Požiadavku na iný PP je nutné uviesť do objednávky.</t>
  </si>
  <si>
    <t>Vonkajší priemer navŕtavaného potrubia</t>
  </si>
  <si>
    <t>Krycia hĺbka</t>
  </si>
  <si>
    <t>zvislá vzdialenosť od ovládacej roviny po hornú hranu potrubia osadeného v krajine</t>
  </si>
  <si>
    <t>zvislá vzdialenosť od ovládacej roviny po spodnú hrany prietoku</t>
  </si>
  <si>
    <t>Štandard</t>
  </si>
  <si>
    <t>pre stúpajúce vreteno</t>
  </si>
  <si>
    <t>Vretenový posúvač a sada chemických kotiev sú súčasťou ceny</t>
  </si>
  <si>
    <t>Príslušnú navarovaciu PE objímku je nutné objednať zvlášť</t>
  </si>
  <si>
    <t>Typ WAFER s predliatimi okami pre montážne skrutky</t>
  </si>
  <si>
    <t>Hnacia tyč s tlmičom koncovej polohy</t>
  </si>
  <si>
    <t>so šesťuholníkovým otvorom</t>
  </si>
  <si>
    <t>Proti pootočeniu nátrubku v hrdle</t>
  </si>
  <si>
    <t>S voľným koncom vretena pre kyvný servopohon (SQ, SQR) a pneupohon</t>
  </si>
  <si>
    <t>Additional discount</t>
  </si>
  <si>
    <t>Set a global additional discount</t>
  </si>
  <si>
    <t>Discount</t>
  </si>
  <si>
    <t>Discount group</t>
  </si>
  <si>
    <t>Group</t>
  </si>
  <si>
    <t>Grupa</t>
  </si>
  <si>
    <t>Skupina</t>
  </si>
  <si>
    <t>Ze zintegrowanym zaworem kulowym</t>
  </si>
  <si>
    <t>Z korkiem do czyszczenia</t>
  </si>
  <si>
    <t>A04</t>
  </si>
  <si>
    <t>A03</t>
  </si>
  <si>
    <t>A05</t>
  </si>
  <si>
    <t>A10</t>
  </si>
  <si>
    <t>A08</t>
  </si>
  <si>
    <t>A06</t>
  </si>
  <si>
    <t>A09</t>
  </si>
  <si>
    <t>A11</t>
  </si>
  <si>
    <t>A18</t>
  </si>
  <si>
    <t>A14</t>
  </si>
  <si>
    <t>A15</t>
  </si>
  <si>
    <t>A16</t>
  </si>
  <si>
    <t>A12</t>
  </si>
  <si>
    <t>A13</t>
  </si>
  <si>
    <t>A51</t>
  </si>
  <si>
    <t>A45</t>
  </si>
  <si>
    <t>A48</t>
  </si>
  <si>
    <t>A47</t>
  </si>
  <si>
    <t>A46</t>
  </si>
  <si>
    <t>A99</t>
  </si>
  <si>
    <t>A56</t>
  </si>
  <si>
    <t>A94</t>
  </si>
  <si>
    <t>A95</t>
  </si>
  <si>
    <t>A92</t>
  </si>
  <si>
    <t>A19</t>
  </si>
  <si>
    <t>A85</t>
  </si>
  <si>
    <t>A27</t>
  </si>
  <si>
    <t>A21</t>
  </si>
  <si>
    <t>A22</t>
  </si>
  <si>
    <t>A93</t>
  </si>
  <si>
    <t>A01</t>
  </si>
  <si>
    <t>A91</t>
  </si>
  <si>
    <t>A84</t>
  </si>
  <si>
    <t>A28</t>
  </si>
  <si>
    <t>A25</t>
  </si>
  <si>
    <t>A39</t>
  </si>
  <si>
    <t>A38</t>
  </si>
  <si>
    <t>A76</t>
  </si>
  <si>
    <t>A42</t>
  </si>
  <si>
    <t>A41</t>
  </si>
  <si>
    <t>A37</t>
  </si>
  <si>
    <t>A78</t>
  </si>
  <si>
    <t>A40</t>
  </si>
  <si>
    <t>A30</t>
  </si>
  <si>
    <t>A58</t>
  </si>
  <si>
    <t>A31</t>
  </si>
  <si>
    <t>A35</t>
  </si>
  <si>
    <t>A32</t>
  </si>
  <si>
    <t>A36</t>
  </si>
  <si>
    <t>A33</t>
  </si>
  <si>
    <t>A71</t>
  </si>
  <si>
    <t>A44</t>
  </si>
  <si>
    <t>A80</t>
  </si>
  <si>
    <t>A43</t>
  </si>
  <si>
    <t>A83</t>
  </si>
  <si>
    <t>A81</t>
  </si>
  <si>
    <t>A54</t>
  </si>
  <si>
    <t>A96</t>
  </si>
  <si>
    <t>A87</t>
  </si>
  <si>
    <t>A52</t>
  </si>
  <si>
    <t>A57</t>
  </si>
  <si>
    <t>A53</t>
  </si>
  <si>
    <t>A89</t>
  </si>
  <si>
    <t>A02</t>
  </si>
  <si>
    <t>A29</t>
  </si>
  <si>
    <t>A07</t>
  </si>
  <si>
    <t>A74</t>
  </si>
  <si>
    <t>SAP</t>
  </si>
  <si>
    <t>A34</t>
  </si>
  <si>
    <t>A82</t>
  </si>
  <si>
    <t>A72</t>
  </si>
  <si>
    <t>W-2290002.4000</t>
  </si>
  <si>
    <t>2-29-00024-000</t>
  </si>
  <si>
    <t>150-600</t>
  </si>
  <si>
    <t>700-1200</t>
  </si>
  <si>
    <t>1000-1200</t>
  </si>
  <si>
    <t>700-900</t>
  </si>
  <si>
    <t>V-7210115.17CRBR0</t>
  </si>
  <si>
    <t>3-28-00535-003</t>
  </si>
  <si>
    <t>V-7218115.9901556</t>
  </si>
  <si>
    <t>3-28-00536-003</t>
  </si>
  <si>
    <t>V-7218125.9901236</t>
  </si>
  <si>
    <t>3-84-00031-615</t>
  </si>
  <si>
    <t>V-7810145.17CRBR0</t>
  </si>
  <si>
    <t>3-28-00550-003</t>
  </si>
  <si>
    <t>V-7818145.17CRBR0</t>
  </si>
  <si>
    <t>3-28-00912-120</t>
  </si>
  <si>
    <t>V-7814115.17CRBR0</t>
  </si>
  <si>
    <t>3-28-00535-203</t>
  </si>
  <si>
    <t>V-7816115.17CRBR0</t>
  </si>
  <si>
    <t>3-28-00536-203</t>
  </si>
  <si>
    <t>V-7214125.9900186</t>
  </si>
  <si>
    <t>3-84-00031-407</t>
  </si>
  <si>
    <t>V-7216125.17CRBR0</t>
  </si>
  <si>
    <t>3-28-00541-203</t>
  </si>
  <si>
    <t>V-7814145.17CRBR0</t>
  </si>
  <si>
    <t>3-28-00550-203</t>
  </si>
  <si>
    <t>V-7816145.17CRBR0</t>
  </si>
  <si>
    <t>3-28-00551-203</t>
  </si>
  <si>
    <t>V-7816205.17REDUK</t>
  </si>
  <si>
    <t>3-84-00053-519</t>
  </si>
  <si>
    <t>V-3361000.4033000</t>
  </si>
  <si>
    <t>3-36-10004-033</t>
  </si>
  <si>
    <t>V-3361000.7033000</t>
  </si>
  <si>
    <t>3-36-10007-033</t>
  </si>
  <si>
    <t>V-3361000.8033000</t>
  </si>
  <si>
    <t>3-36-10008-033</t>
  </si>
  <si>
    <t>V-3361001.1033000</t>
  </si>
  <si>
    <t>3-36-10011-033</t>
  </si>
  <si>
    <t>V-3361001.2033000</t>
  </si>
  <si>
    <t>3-36-10012-033</t>
  </si>
  <si>
    <t>V-3361001.5033000</t>
  </si>
  <si>
    <t>3-36-10015-033</t>
  </si>
  <si>
    <t>V-3361001.6033000</t>
  </si>
  <si>
    <t>3-36-10016-033</t>
  </si>
  <si>
    <t>V-3361001.9033000</t>
  </si>
  <si>
    <t>3-36-10019-033</t>
  </si>
  <si>
    <t>V-3361002.0033000</t>
  </si>
  <si>
    <t>3-36-10020-033</t>
  </si>
  <si>
    <t>V-3361002.3033000</t>
  </si>
  <si>
    <t>3-36-10023-033</t>
  </si>
  <si>
    <t>V-3361002.4033000</t>
  </si>
  <si>
    <t>3-36-10024-033</t>
  </si>
  <si>
    <t>V-3361002.8033000</t>
  </si>
  <si>
    <t>3-36-10028-033</t>
  </si>
  <si>
    <t>V-3361003.1033000</t>
  </si>
  <si>
    <t>3-36-10031-033</t>
  </si>
  <si>
    <t>V-3361003.2033000</t>
  </si>
  <si>
    <t>3-36-10032-033</t>
  </si>
  <si>
    <t>V-3361003.5033000</t>
  </si>
  <si>
    <t>3-36-10035-033</t>
  </si>
  <si>
    <t>V-3361003.6033000</t>
  </si>
  <si>
    <t>3-36-10036-033</t>
  </si>
  <si>
    <t>V-3361000.5033000</t>
  </si>
  <si>
    <t>3-36-10005-033</t>
  </si>
  <si>
    <t>V-3361000.9033000</t>
  </si>
  <si>
    <t>3-36-10009-033</t>
  </si>
  <si>
    <t>V-3361001.3033000</t>
  </si>
  <si>
    <t>3-36-10013-033</t>
  </si>
  <si>
    <t>V-3361001.7033000</t>
  </si>
  <si>
    <t>3-36-10017-033</t>
  </si>
  <si>
    <t>V-3361002.1033000</t>
  </si>
  <si>
    <t>3-36-10021-033</t>
  </si>
  <si>
    <t>V-3361002.5033000</t>
  </si>
  <si>
    <t>3-36-10025-033</t>
  </si>
  <si>
    <t>V-3361003.3033000</t>
  </si>
  <si>
    <t>3-36-10033-033</t>
  </si>
  <si>
    <t>V-3361003.7033000</t>
  </si>
  <si>
    <t>3-36-10037-033</t>
  </si>
  <si>
    <t>Převodovka</t>
  </si>
  <si>
    <t>Prevodovka</t>
  </si>
  <si>
    <t>Gearbox</t>
  </si>
  <si>
    <t>Przekładnia</t>
  </si>
  <si>
    <t>Price VLOOKUP search</t>
  </si>
  <si>
    <t>Currency 1</t>
  </si>
  <si>
    <t>Currency 2</t>
  </si>
  <si>
    <t>CORE-SET'!$L$2</t>
  </si>
  <si>
    <t>CORE-SET'!$L$3</t>
  </si>
  <si>
    <t>old</t>
  </si>
  <si>
    <t>new</t>
  </si>
  <si>
    <t>CORE-SET'!$M$2</t>
  </si>
  <si>
    <t>CORE-SET'!$M$3</t>
  </si>
  <si>
    <t>Prodejní cena</t>
  </si>
  <si>
    <t>Predajná cena</t>
  </si>
  <si>
    <t>Cena sprzedaży</t>
  </si>
  <si>
    <t>Brutto cena</t>
  </si>
  <si>
    <t>Gross price</t>
  </si>
  <si>
    <t>Cena brutto</t>
  </si>
  <si>
    <t>Hydrantový nástavec</t>
  </si>
  <si>
    <t>Stojak hydrantowy</t>
  </si>
  <si>
    <t>Standpipe</t>
  </si>
  <si>
    <t>2-29-00443-100</t>
  </si>
  <si>
    <t>W-2290044.3100</t>
  </si>
  <si>
    <t>3-28-01300-304</t>
  </si>
  <si>
    <t>3-28-01301-304</t>
  </si>
  <si>
    <t>3-28-01302-304</t>
  </si>
  <si>
    <t>3-28-01303-304</t>
  </si>
  <si>
    <t>3-28-01304-304</t>
  </si>
  <si>
    <t>3-28-01305-304</t>
  </si>
  <si>
    <t>3-28-01306-304</t>
  </si>
  <si>
    <t>3-28-01307-304</t>
  </si>
  <si>
    <t>3-28-01308-304</t>
  </si>
  <si>
    <t>3-28-01309-304</t>
  </si>
  <si>
    <t>V-7246217.LITKOLO</t>
  </si>
  <si>
    <t>V-7246227.LITKOLO</t>
  </si>
  <si>
    <t>V-7246237.LITKOLO</t>
  </si>
  <si>
    <t>V-7246247.LITKOLO</t>
  </si>
  <si>
    <t>V-7246257.LITKOLO</t>
  </si>
  <si>
    <t>V-7246267.LITKOLO</t>
  </si>
  <si>
    <t>V-7246277.LITKOLO</t>
  </si>
  <si>
    <t>V-7246287.LITKOLO</t>
  </si>
  <si>
    <t>V-7246297.LITKOLO</t>
  </si>
  <si>
    <t>V-7246307.LITKOLO</t>
  </si>
  <si>
    <t>A17</t>
  </si>
  <si>
    <t>1-85-00004-001</t>
  </si>
  <si>
    <t>M-2275015.570100</t>
  </si>
  <si>
    <t>1-85-00004-003</t>
  </si>
  <si>
    <t>W-2275140</t>
  </si>
  <si>
    <t>3-84-00063-040</t>
  </si>
  <si>
    <t>3-84-00055-011</t>
  </si>
  <si>
    <t>3-84-00065-125</t>
  </si>
  <si>
    <t>3-84-00057-564</t>
  </si>
  <si>
    <t>3-84-00031-686</t>
  </si>
  <si>
    <t>3-84-00048-637</t>
  </si>
  <si>
    <t>3-84-00031-702</t>
  </si>
  <si>
    <t>3-84-00068-312</t>
  </si>
  <si>
    <t>V-7246010.40015RA</t>
  </si>
  <si>
    <t>V-7246020.40015RA</t>
  </si>
  <si>
    <t>V-7246040.40015RA</t>
  </si>
  <si>
    <t>V-7246050.40015RA</t>
  </si>
  <si>
    <t>V-7246070.40015RA</t>
  </si>
  <si>
    <t>V-7246080.40015RA</t>
  </si>
  <si>
    <t>V-7246090.40015RA</t>
  </si>
  <si>
    <t>V-7246100.40015RA</t>
  </si>
  <si>
    <t>3-84-00063-044</t>
  </si>
  <si>
    <t>3-84-00031-790</t>
  </si>
  <si>
    <t>3-84-00063-055</t>
  </si>
  <si>
    <t>3-84-00031-792</t>
  </si>
  <si>
    <t>3-84-00031-797</t>
  </si>
  <si>
    <t>3-84-00063-080</t>
  </si>
  <si>
    <t>3-84-00031-801</t>
  </si>
  <si>
    <t>3-84-00031-808</t>
  </si>
  <si>
    <t>3-84-00031-806</t>
  </si>
  <si>
    <t>3-84-00063-628</t>
  </si>
  <si>
    <t>3-84-00031-809</t>
  </si>
  <si>
    <t>3-84-00031-813</t>
  </si>
  <si>
    <t>3-84-00031-811</t>
  </si>
  <si>
    <t>V-7346010.40015RA</t>
  </si>
  <si>
    <t>V-7346020.40015RA</t>
  </si>
  <si>
    <t>V-7346030.40015RA</t>
  </si>
  <si>
    <t>V-7346040.40015RA</t>
  </si>
  <si>
    <t>V-7346050.40015RA</t>
  </si>
  <si>
    <t>V-7346060.40015RA</t>
  </si>
  <si>
    <t>V-7346070.40015RA</t>
  </si>
  <si>
    <t>V-7346088.40015RA</t>
  </si>
  <si>
    <t>V-7346080.40015RA</t>
  </si>
  <si>
    <t>V-7346098.40015RA</t>
  </si>
  <si>
    <t>V-7346090.40015RA</t>
  </si>
  <si>
    <t>V-7346108.40015RA</t>
  </si>
  <si>
    <t>V-7346100.40015RA</t>
  </si>
  <si>
    <t>průmyslová voda</t>
  </si>
  <si>
    <t>industrial water</t>
  </si>
  <si>
    <t>priemyselná voda</t>
  </si>
  <si>
    <t>woda przemysłowa</t>
  </si>
  <si>
    <t>REMO-S1.150-600</t>
  </si>
  <si>
    <t>REMO-S1.700-1200</t>
  </si>
  <si>
    <t>REMO-S2-A.150-600</t>
  </si>
  <si>
    <t>REMO-S2-A.700-1200</t>
  </si>
  <si>
    <t>REMO-S2-B.150-600</t>
  </si>
  <si>
    <t>REMO-S2-B.700-1200</t>
  </si>
  <si>
    <t>REMO-S2-C.150-600</t>
  </si>
  <si>
    <t>REMO-S2-C.700-1200</t>
  </si>
  <si>
    <t>REMO-S3-A.150-600</t>
  </si>
  <si>
    <t>REMO-S3-A.700-1200</t>
  </si>
  <si>
    <t>REMO-S3-B.150-600</t>
  </si>
  <si>
    <t>REMO-S3-B.700-1200</t>
  </si>
  <si>
    <t>REMO-S3-C.150-600</t>
  </si>
  <si>
    <t>REMO-S3-C.700-1200</t>
  </si>
  <si>
    <t>REMO-S4-A.150-600</t>
  </si>
  <si>
    <t>REMO-S4-A.700-1200</t>
  </si>
  <si>
    <t>REMO-S4-B.150-600</t>
  </si>
  <si>
    <t>REMO-S4-C.150-600</t>
  </si>
  <si>
    <t>REMO-S4-B.700-1200</t>
  </si>
  <si>
    <t>REMO-S4-C.700-1200</t>
  </si>
  <si>
    <t>REMO-S5-A.150-600</t>
  </si>
  <si>
    <t>REMO-S5-A.700-900</t>
  </si>
  <si>
    <t>REMO-S5-A.1000-1200</t>
  </si>
  <si>
    <t>REMO-S5-B.150-600</t>
  </si>
  <si>
    <t>REMO-S5-B.700-900</t>
  </si>
  <si>
    <t>REMO-S5-B.1000-1200</t>
  </si>
  <si>
    <t>REMO-S5-C.150-600</t>
  </si>
  <si>
    <t>REMO-S5-C.700-900</t>
  </si>
  <si>
    <t>REMO-S5-C.1000-1200</t>
  </si>
  <si>
    <t>REMO-S6-A.150-600</t>
  </si>
  <si>
    <t>REMO-S6-A.700-900</t>
  </si>
  <si>
    <t>REMO-S6-A.1000-1200</t>
  </si>
  <si>
    <t>REMO-S6-B.150-600</t>
  </si>
  <si>
    <t>REMO-S6-B.700-900</t>
  </si>
  <si>
    <t>REMO-S6-B.1000-1200</t>
  </si>
  <si>
    <t>REMO-S6-C.150-600</t>
  </si>
  <si>
    <t>REMO-S6-C.700-900</t>
  </si>
  <si>
    <t>REMO-S6-C.1000-1200</t>
  </si>
  <si>
    <t>REMO-S7-A.150-600</t>
  </si>
  <si>
    <t>REMO-S7-A.700-1200</t>
  </si>
  <si>
    <t>REMO-S7-B.150-600</t>
  </si>
  <si>
    <t>REMO-S7-B.700-1200</t>
  </si>
  <si>
    <t>REMO-S7-C.150-600</t>
  </si>
  <si>
    <t>REMO-S7-C.700-1200</t>
  </si>
  <si>
    <t>REMO-S8-A.150-600</t>
  </si>
  <si>
    <t>REMO-S8-A.700-900</t>
  </si>
  <si>
    <t>REMO-S8-A.1000-1200</t>
  </si>
  <si>
    <t>REMO-S8-C.150-600</t>
  </si>
  <si>
    <t>REMO-S8-C.700-900</t>
  </si>
  <si>
    <t>REMO-S8-C.1000-1200</t>
  </si>
  <si>
    <t>REMO-S8-B.150-600</t>
  </si>
  <si>
    <t>REMO-S8-B.700-900</t>
  </si>
  <si>
    <t>REMO-S8-B.1000-1200</t>
  </si>
  <si>
    <t>150 … 350</t>
  </si>
  <si>
    <t>300 … 500</t>
  </si>
  <si>
    <t>450 … 700</t>
  </si>
  <si>
    <t>450 … 1800</t>
  </si>
  <si>
    <t>0,9 … 1,3 m</t>
  </si>
  <si>
    <t>1,2 … 1,8 m</t>
  </si>
  <si>
    <t>1,7 … 2,7 m</t>
  </si>
  <si>
    <t>AUMA GS 50.3</t>
  </si>
  <si>
    <t>BETA 200 BAIO</t>
  </si>
  <si>
    <t>BETA 200 Exchange Valve</t>
  </si>
  <si>
    <t>EKOplus PE Water</t>
  </si>
  <si>
    <t>EKOplus Gas</t>
  </si>
  <si>
    <t>EKOplus Waste Water</t>
  </si>
  <si>
    <t>EKOplus (with Actuator)</t>
  </si>
  <si>
    <t>ZETA (with E-Actuator)</t>
  </si>
  <si>
    <t>ZETA (with Pneumatic Actuator)</t>
  </si>
  <si>
    <t>Drilling Sets</t>
  </si>
  <si>
    <t>House Connection Bracket</t>
  </si>
  <si>
    <t>PE Sleeve (TERRA-K12)</t>
  </si>
  <si>
    <t>TERRA K1 PVC</t>
  </si>
  <si>
    <t>TERRA K2 PE-HD</t>
  </si>
  <si>
    <t>TERRA K3</t>
  </si>
  <si>
    <t>TERRA K3 BAIO</t>
  </si>
  <si>
    <t>TERRA K4</t>
  </si>
  <si>
    <t>TERRA M1 BAIO</t>
  </si>
  <si>
    <t>TERRA M1/TERRAlock</t>
  </si>
  <si>
    <t>EKN (&gt;DN600)</t>
  </si>
  <si>
    <t>EKN (≤DN600)</t>
  </si>
  <si>
    <t>CEREX 300</t>
  </si>
  <si>
    <t>AW Disc Check Valve</t>
  </si>
  <si>
    <t>UEH NOVA 150 AU/AFU</t>
  </si>
  <si>
    <t>SUPRA</t>
  </si>
  <si>
    <t>Telemax Accessories</t>
  </si>
  <si>
    <t>Telemax Galvanized</t>
  </si>
  <si>
    <t>Telemax Niro/PATENTplus/VA-TELESKOP</t>
  </si>
  <si>
    <t>SPARE PARTS</t>
  </si>
  <si>
    <t>Accessory components</t>
  </si>
  <si>
    <t>T-KLIC</t>
  </si>
  <si>
    <t>Handwheel</t>
  </si>
  <si>
    <t>OTHERS</t>
  </si>
  <si>
    <t>OTHERS (with Actuator)</t>
  </si>
  <si>
    <t>STREET CAPS</t>
  </si>
  <si>
    <t>BALL VALVES</t>
  </si>
  <si>
    <t>Hydrant Accessories</t>
  </si>
  <si>
    <t>CEREX 300 (with Actuator)</t>
  </si>
  <si>
    <t>DURA (with Actuator)</t>
  </si>
  <si>
    <t>EKN (&gt;DN600) (with Actuator)</t>
  </si>
  <si>
    <t>EKN (≤DN600) (with Actuator)</t>
  </si>
  <si>
    <t>Chamber Hydrant</t>
  </si>
  <si>
    <t>EKOplus s pohonem</t>
  </si>
  <si>
    <t>ZETA s el. servopohonem</t>
  </si>
  <si>
    <t>ZETA s pneupohonem</t>
  </si>
  <si>
    <t>Navrtávače potrubí</t>
  </si>
  <si>
    <t>PE Objímka pro TERRA-K12</t>
  </si>
  <si>
    <t>BAIO tvarovky</t>
  </si>
  <si>
    <t>TELEMAX příslušenství</t>
  </si>
  <si>
    <t>TELEMAX (pozink.)</t>
  </si>
  <si>
    <t>TELEMAX (nerez.), PATENTplus, VA-TELESKOP</t>
  </si>
  <si>
    <t>Náhr. díly</t>
  </si>
  <si>
    <t>Ostatní výrobky</t>
  </si>
  <si>
    <t>Ostatní výrobky s pohonem</t>
  </si>
  <si>
    <t>Poklopy</t>
  </si>
  <si>
    <t>Kulové kohouty (dom. uzávěry)</t>
  </si>
  <si>
    <t>Přílušenství hydrantů</t>
  </si>
  <si>
    <t>CEREX 300 s pohonem</t>
  </si>
  <si>
    <t>DURA s el. servopohonem</t>
  </si>
  <si>
    <t>EKN s pohonem (&gt;DN600)</t>
  </si>
  <si>
    <t>EKN s pohonem (≤DN600)</t>
  </si>
  <si>
    <t>Komorový hydrant</t>
  </si>
  <si>
    <t>Tool</t>
  </si>
  <si>
    <t>X01</t>
  </si>
  <si>
    <t>A90</t>
  </si>
  <si>
    <t>X02</t>
  </si>
  <si>
    <t>X03</t>
  </si>
  <si>
    <t>X04</t>
  </si>
  <si>
    <t>X05</t>
  </si>
  <si>
    <t>X06</t>
  </si>
  <si>
    <t>X07</t>
  </si>
  <si>
    <t>X08</t>
  </si>
  <si>
    <t>X09</t>
  </si>
  <si>
    <t>X10</t>
  </si>
  <si>
    <t>X11</t>
  </si>
  <si>
    <t>A23</t>
  </si>
  <si>
    <t>A24</t>
  </si>
  <si>
    <t>A26</t>
  </si>
  <si>
    <t>X12</t>
  </si>
  <si>
    <t>X13</t>
  </si>
  <si>
    <t>X14</t>
  </si>
  <si>
    <t>X15</t>
  </si>
  <si>
    <t>X16</t>
  </si>
  <si>
    <t>X17</t>
  </si>
  <si>
    <t>B02</t>
  </si>
  <si>
    <t>X18</t>
  </si>
  <si>
    <t>A77</t>
  </si>
  <si>
    <t>X19</t>
  </si>
  <si>
    <t>X20</t>
  </si>
  <si>
    <t>X21</t>
  </si>
  <si>
    <t>X22</t>
  </si>
  <si>
    <t>X23</t>
  </si>
  <si>
    <t>X24</t>
  </si>
  <si>
    <t>A59</t>
  </si>
  <si>
    <t>X25</t>
  </si>
  <si>
    <t>A49</t>
  </si>
  <si>
    <t>X26</t>
  </si>
  <si>
    <t>A50</t>
  </si>
  <si>
    <t>X27</t>
  </si>
  <si>
    <t>X28</t>
  </si>
  <si>
    <t>X29</t>
  </si>
  <si>
    <t>X30</t>
  </si>
  <si>
    <t>A55</t>
  </si>
  <si>
    <t>X31</t>
  </si>
  <si>
    <t>X32</t>
  </si>
  <si>
    <t>X33</t>
  </si>
  <si>
    <t>A60</t>
  </si>
  <si>
    <t>X34</t>
  </si>
  <si>
    <t>A70</t>
  </si>
  <si>
    <t>X35</t>
  </si>
  <si>
    <t>X36</t>
  </si>
  <si>
    <t>A73</t>
  </si>
  <si>
    <t>X37</t>
  </si>
  <si>
    <t>A79</t>
  </si>
  <si>
    <t>X38</t>
  </si>
  <si>
    <t>X39</t>
  </si>
  <si>
    <t>X40</t>
  </si>
  <si>
    <t>X41</t>
  </si>
  <si>
    <t>A86</t>
  </si>
  <si>
    <t>X42</t>
  </si>
  <si>
    <t>A88</t>
  </si>
  <si>
    <t>X43</t>
  </si>
  <si>
    <t>X44</t>
  </si>
  <si>
    <t>X45</t>
  </si>
  <si>
    <t>X46</t>
  </si>
  <si>
    <t>X47</t>
  </si>
  <si>
    <t>A97</t>
  </si>
  <si>
    <t>X48</t>
  </si>
  <si>
    <t>A98</t>
  </si>
  <si>
    <t>X49</t>
  </si>
  <si>
    <t>B01</t>
  </si>
  <si>
    <t>X50</t>
  </si>
  <si>
    <t>B04</t>
  </si>
  <si>
    <t>B03</t>
  </si>
  <si>
    <t>X51</t>
  </si>
  <si>
    <t>Rabaty k jednotlivým skupinám vyplňte dle Vaší smlouvy na rok</t>
  </si>
  <si>
    <t>Fill in discounts for individual groups according to your contract for the year</t>
  </si>
  <si>
    <t>Rabaty k jednotlivým skupinám vyplňte podľa Vašej zmluvy na rok</t>
  </si>
  <si>
    <t>Wpisz rabaty dla grup zgodnie z podpisaną umową handlową na rok</t>
  </si>
  <si>
    <t>Smluvní rabaty</t>
  </si>
  <si>
    <t xml:space="preserve">Rabaty umowne </t>
  </si>
  <si>
    <t xml:space="preserve">Zmluvné rabaty </t>
  </si>
  <si>
    <t>Contractual discounts</t>
  </si>
  <si>
    <t>Selling price</t>
  </si>
  <si>
    <t>POLAND</t>
  </si>
  <si>
    <t>BETA HA, BETA-ZZ, BETA-Z (litinové)</t>
  </si>
  <si>
    <t>BETA-K, BETA-Z (mosazné)</t>
  </si>
  <si>
    <t>EKOplus voda</t>
  </si>
  <si>
    <t>EKOplus PE voda</t>
  </si>
  <si>
    <t>EKOplus plyn</t>
  </si>
  <si>
    <t>EKOplus mořská voda</t>
  </si>
  <si>
    <t>EKOplus odpadní voda</t>
  </si>
  <si>
    <t>BEV-G</t>
  </si>
  <si>
    <t>NOVA 284 (již nepoužíváno)</t>
  </si>
  <si>
    <t>NOVA NIRO, NOVA NIRO 365</t>
  </si>
  <si>
    <t>HYDRUS BAIO / SUPRA BAIO</t>
  </si>
  <si>
    <t xml:space="preserve">BETA HA, BETA-ZZ, BETA-Z (cast iron) </t>
  </si>
  <si>
    <t xml:space="preserve">BETA-K, BETA-Z (brass) </t>
  </si>
  <si>
    <t>BEV-Garnitur</t>
  </si>
  <si>
    <t>NOVA 284 (not used anymore)</t>
  </si>
  <si>
    <t>NOVA Niro / 365</t>
  </si>
  <si>
    <t>AUMA GS 100.3 / 125.3</t>
  </si>
  <si>
    <t>AUMA GS 100.3 VZ4 / 250.3 VZ4</t>
  </si>
  <si>
    <t>AUMA GS 63.3 / 80.3</t>
  </si>
  <si>
    <t>d16</t>
  </si>
  <si>
    <t>d30</t>
  </si>
  <si>
    <t>d20</t>
  </si>
  <si>
    <t>Výstupní hřídel převodovky</t>
  </si>
  <si>
    <t>Wał wyjściowy przekładni</t>
  </si>
  <si>
    <t>Output shaft of gearbox</t>
  </si>
  <si>
    <t>Výstupný hriadeľ prevodovky</t>
  </si>
  <si>
    <t>3-84-00056-615</t>
  </si>
  <si>
    <t>3-84-00056-616</t>
  </si>
  <si>
    <t>3-84-00056-617</t>
  </si>
  <si>
    <t>3-84-00056-618</t>
  </si>
  <si>
    <t>3-84-00056-619</t>
  </si>
  <si>
    <t>3-84-00056-620</t>
  </si>
  <si>
    <t>3-84-00056-621</t>
  </si>
  <si>
    <t>3-84-00056-622</t>
  </si>
  <si>
    <t>V-7450113.2AUMA00</t>
  </si>
  <si>
    <t>V-7458113.2AUMA00</t>
  </si>
  <si>
    <t>V-7450123.2AUMA00</t>
  </si>
  <si>
    <t>V-7458123.2AUMA00</t>
  </si>
  <si>
    <t>V-7450143.2AUMA00</t>
  </si>
  <si>
    <t>V-7458143.2AUMA00</t>
  </si>
  <si>
    <t>V-7450203.2AUMA00</t>
  </si>
  <si>
    <t>V-7458203.2AUMA00</t>
  </si>
  <si>
    <t>3-84-00056-643</t>
  </si>
  <si>
    <t>3-84-00056-642</t>
  </si>
  <si>
    <t>3-84-00056-641</t>
  </si>
  <si>
    <t>3-84-00056-640</t>
  </si>
  <si>
    <t>3-84-00056-639</t>
  </si>
  <si>
    <t>3-84-00056-638</t>
  </si>
  <si>
    <t>3-84-00056-807</t>
  </si>
  <si>
    <t>3-84-00056-809</t>
  </si>
  <si>
    <t>V-7454113.2AUMA00</t>
  </si>
  <si>
    <t>V-7456113.2AUMA00</t>
  </si>
  <si>
    <t>V-7454123.2AUMA00</t>
  </si>
  <si>
    <t>V-7456123.2AUMA00</t>
  </si>
  <si>
    <t>V-7454143.2AUMA00</t>
  </si>
  <si>
    <t>V-7456143.2AUMA00</t>
  </si>
  <si>
    <t>V-7454208.0AUMA00</t>
  </si>
  <si>
    <t>V-7456208.0AUMA00</t>
  </si>
  <si>
    <t>3-84-00056-810</t>
  </si>
  <si>
    <t>V-7446208.0AUMA00</t>
  </si>
  <si>
    <t>MTE přirážka</t>
  </si>
  <si>
    <t>MTE prirážka</t>
  </si>
  <si>
    <t>Dopłata MTE</t>
  </si>
  <si>
    <t>MTE surcharge</t>
  </si>
  <si>
    <t>FLOWJET NIRO</t>
  </si>
  <si>
    <t>1.4571</t>
  </si>
  <si>
    <t>3-84-00059-080</t>
  </si>
  <si>
    <t>3-84-00059-101</t>
  </si>
  <si>
    <t>3-84-00059-104</t>
  </si>
  <si>
    <t>3-84-00042-474</t>
  </si>
  <si>
    <t>3-84-00059-105</t>
  </si>
  <si>
    <t>V-8604820.4A00000</t>
  </si>
  <si>
    <t>V-8604840.4A00000</t>
  </si>
  <si>
    <t>V-8604850.4A00000</t>
  </si>
  <si>
    <t>V-8604870.4A00000</t>
  </si>
  <si>
    <t>V-8604880.4A00000</t>
  </si>
  <si>
    <t>---</t>
  </si>
  <si>
    <t>EKOplus Sea Water</t>
  </si>
  <si>
    <t>v02 / 23-12-2022</t>
  </si>
  <si>
    <t>Nástavec pro ovládání T-klíčem</t>
  </si>
  <si>
    <t>Nadstavec pre ovládanie T-kľúčom</t>
  </si>
  <si>
    <t>False spindle cap for T-key</t>
  </si>
  <si>
    <t>Kwadratowa końcówka do operowania kluczem T</t>
  </si>
  <si>
    <t>Tuhé prodloužení</t>
  </si>
  <si>
    <t>Tuhé predĺženie</t>
  </si>
  <si>
    <t>Rigid stem extension</t>
  </si>
  <si>
    <t>Sztywne przedłużenie wrzeciona</t>
  </si>
  <si>
    <t>Teleskopické prodloužení</t>
  </si>
  <si>
    <t>Teleskopické predĺženie</t>
  </si>
  <si>
    <t>Telescopic stem extension</t>
  </si>
  <si>
    <t>Teleskopowe przedłużenie wrzeciona</t>
  </si>
  <si>
    <t>s konzolovým stojanem s ručním kolem</t>
  </si>
  <si>
    <t>s konzolovým stojanom s ručným kolieskom</t>
  </si>
  <si>
    <t>s konzolovým stojanem pro EP</t>
  </si>
  <si>
    <t>s konzolovým stojanom pre EP</t>
  </si>
  <si>
    <t>s konzolou pro EP</t>
  </si>
  <si>
    <t>s konzolou pre EP</t>
  </si>
  <si>
    <t>se stojanem s ručním kolem</t>
  </si>
  <si>
    <t>so stojanom s ručným kolieskom</t>
  </si>
  <si>
    <t>se stojanem pro EP</t>
  </si>
  <si>
    <t>so stojanom pre 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</si>
</sst>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,##0\,\-;"/>
    <numFmt numFmtId="165" formatCode="#,##0\ &quot;Kč&quot;"/>
    <numFmt numFmtId="166" formatCode="#&quot; &quot;??/16"/>
    <numFmt numFmtId="167" formatCode="&quot;PN &quot;0"/>
    <numFmt numFmtId="168" formatCode="0&quot; bar&quot;"/>
    <numFmt numFmtId="169" formatCode="0&quot; °C&quot;"/>
    <numFmt numFmtId="170" formatCode="0.0&quot; kg&quot;"/>
    <numFmt numFmtId="171" formatCode="&quot;G &quot;@"/>
    <numFmt numFmtId="172" formatCode="0.0&quot; bar&quot;"/>
    <numFmt numFmtId="173" formatCode="0&quot; mm&quot;"/>
    <numFmt numFmtId="174" formatCode="&quot;DN &quot;@"/>
    <numFmt numFmtId="175" formatCode="#,##0.00\,\-;"/>
    <numFmt numFmtId="176" formatCode="&quot;Da &quot;@"/>
    <numFmt numFmtId="177" formatCode="#,##0.00000"/>
    <numFmt numFmtId="178" formatCode="0.000"/>
    <numFmt numFmtId="179" formatCode="0.0%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sz val="11"/>
      <name val="Calibri"/>
      <family val="2"/>
      <scheme val="minor"/>
    </font>
    <font>
      <i/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2"/>
      <name val="Calibri"/>
      <family val="2"/>
      <charset val="238"/>
      <scheme val="minor"/>
    </font>
    <font>
      <b/>
      <sz val="12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color theme="0" tint="-4.9989318521683403E-2"/>
      <name val="Calibri"/>
      <family val="2"/>
      <charset val="238"/>
      <scheme val="minor"/>
    </font>
    <font>
      <sz val="12"/>
      <color theme="0" tint="-0.1499984740745262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1"/>
      <color theme="0"/>
      <name val="Calibri"/>
      <family val="2"/>
      <charset val="238"/>
      <scheme val="minor"/>
    </font>
    <font>
      <sz val="8"/>
      <color theme="0" tint="-0.499984740745262"/>
      <name val="Calibri"/>
      <family val="2"/>
      <charset val="238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2"/>
      <color theme="1" tint="0.499984740745262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0F6E23"/>
        <bgColor indexed="64"/>
      </patternFill>
    </fill>
    <fill>
      <patternFill patternType="solid">
        <fgColor rgb="FF0A9B1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59B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gradientFill degree="90">
        <stop position="0">
          <color rgb="FF00B0F0"/>
        </stop>
        <stop position="1">
          <color rgb="FF92D050"/>
        </stop>
      </gradientFill>
    </fill>
    <fill>
      <gradientFill degree="90">
        <stop position="0">
          <color rgb="FF00B0F0"/>
        </stop>
        <stop position="1">
          <color theme="9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92D050"/>
        </stop>
        <stop position="1">
          <color theme="0" tint="-0.34900967436750391"/>
        </stop>
      </gradient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/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55" fillId="0" borderId="0"/>
    <xf numFmtId="0" fontId="56" fillId="0" borderId="0"/>
    <xf numFmtId="0" fontId="54" fillId="0" borderId="0"/>
    <xf numFmtId="0" fontId="53" fillId="10" borderId="0" applyNumberFormat="0" applyBorder="0" applyAlignment="0" applyProtection="0"/>
    <xf numFmtId="0" fontId="53" fillId="0" borderId="0"/>
    <xf numFmtId="0" fontId="52" fillId="0" borderId="0"/>
    <xf numFmtId="0" fontId="52" fillId="10" borderId="0" applyNumberFormat="0" applyBorder="0" applyAlignment="0" applyProtection="0"/>
    <xf numFmtId="0" fontId="56" fillId="0" borderId="0"/>
    <xf numFmtId="0" fontId="51" fillId="0" borderId="0"/>
    <xf numFmtId="0" fontId="51" fillId="10" borderId="0" applyNumberFormat="0" applyBorder="0" applyAlignment="0" applyProtection="0"/>
    <xf numFmtId="0" fontId="50" fillId="0" borderId="0"/>
    <xf numFmtId="0" fontId="50" fillId="10" borderId="0" applyNumberFormat="0" applyBorder="0" applyAlignment="0" applyProtection="0"/>
    <xf numFmtId="0" fontId="49" fillId="0" borderId="0"/>
    <xf numFmtId="0" fontId="49" fillId="10" borderId="0" applyNumberFormat="0" applyBorder="0" applyAlignment="0" applyProtection="0"/>
    <xf numFmtId="0" fontId="48" fillId="0" borderId="0"/>
    <xf numFmtId="0" fontId="48" fillId="10" borderId="0" applyNumberFormat="0" applyBorder="0" applyAlignment="0" applyProtection="0"/>
    <xf numFmtId="0" fontId="47" fillId="0" borderId="0"/>
    <xf numFmtId="0" fontId="47" fillId="10" borderId="0" applyNumberFormat="0" applyBorder="0" applyAlignment="0" applyProtection="0"/>
    <xf numFmtId="0" fontId="46" fillId="0" borderId="0"/>
    <xf numFmtId="0" fontId="46" fillId="10" borderId="0" applyNumberFormat="0" applyBorder="0" applyAlignment="0" applyProtection="0"/>
    <xf numFmtId="0" fontId="45" fillId="0" borderId="0"/>
    <xf numFmtId="0" fontId="45" fillId="10" borderId="0" applyNumberFormat="0" applyBorder="0" applyAlignment="0" applyProtection="0"/>
    <xf numFmtId="0" fontId="44" fillId="0" borderId="0"/>
    <xf numFmtId="0" fontId="44" fillId="10" borderId="0" applyNumberFormat="0" applyBorder="0" applyAlignment="0" applyProtection="0"/>
    <xf numFmtId="0" fontId="78" fillId="0" borderId="0"/>
    <xf numFmtId="0" fontId="37" fillId="0" borderId="0"/>
    <xf numFmtId="0" fontId="37" fillId="10" borderId="0" applyNumberFormat="0" applyBorder="0" applyAlignment="0" applyProtection="0"/>
    <xf numFmtId="0" fontId="36" fillId="0" borderId="0"/>
    <xf numFmtId="0" fontId="36" fillId="10" borderId="0" applyNumberFormat="0" applyBorder="0" applyAlignment="0" applyProtection="0"/>
    <xf numFmtId="0" fontId="35" fillId="0" borderId="0"/>
    <xf numFmtId="0" fontId="35" fillId="10" borderId="0" applyNumberFormat="0" applyBorder="0" applyAlignment="0" applyProtection="0"/>
    <xf numFmtId="9" fontId="78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</cellStyleXfs>
  <cellXfs count="1086">
    <xf numFmtId="0" fontId="0" fillId="0" borderId="0" xfId="0"/>
    <xf numFmtId="0" fontId="65" fillId="4" borderId="0" xfId="0" applyFont="1" applyFill="1"/>
    <xf numFmtId="0" fontId="0" fillId="4" borderId="0" xfId="0" applyFill="1"/>
    <xf numFmtId="0" fontId="0" fillId="5" borderId="0" xfId="0" applyFill="1"/>
    <xf numFmtId="0" fontId="0" fillId="2" borderId="0" xfId="0" applyFill="1"/>
    <xf numFmtId="0" fontId="0" fillId="3" borderId="0" xfId="0" applyFill="1"/>
    <xf numFmtId="0" fontId="53" fillId="0" borderId="0" xfId="5" applyProtection="1">
      <protection hidden="1"/>
    </xf>
    <xf numFmtId="9" fontId="63" fillId="0" borderId="0" xfId="5" applyNumberFormat="1" applyFont="1" applyAlignment="1" applyProtection="1">
      <alignment horizontal="center" vertical="center"/>
      <protection hidden="1"/>
    </xf>
    <xf numFmtId="0" fontId="67" fillId="0" borderId="0" xfId="5" applyFont="1" applyAlignment="1" applyProtection="1">
      <alignment horizontal="center" vertical="center"/>
      <protection hidden="1"/>
    </xf>
    <xf numFmtId="0" fontId="63" fillId="0" borderId="0" xfId="5" applyFont="1" applyAlignment="1" applyProtection="1">
      <alignment horizontal="left"/>
      <protection hidden="1"/>
    </xf>
    <xf numFmtId="0" fontId="53" fillId="0" borderId="0" xfId="5" applyAlignment="1" applyProtection="1">
      <alignment horizontal="center"/>
      <protection hidden="1"/>
    </xf>
    <xf numFmtId="164" fontId="53" fillId="0" borderId="0" xfId="5" applyNumberFormat="1" applyProtection="1">
      <protection hidden="1"/>
    </xf>
    <xf numFmtId="0" fontId="65" fillId="0" borderId="0" xfId="5" applyFont="1" applyAlignment="1" applyProtection="1">
      <alignment horizontal="center"/>
      <protection hidden="1"/>
    </xf>
    <xf numFmtId="0" fontId="67" fillId="2" borderId="28" xfId="4" applyFont="1" applyFill="1" applyBorder="1" applyAlignment="1" applyProtection="1">
      <alignment horizontal="center" vertical="top"/>
      <protection hidden="1"/>
    </xf>
    <xf numFmtId="0" fontId="68" fillId="2" borderId="28" xfId="4" applyFont="1" applyFill="1" applyBorder="1" applyAlignment="1" applyProtection="1">
      <alignment horizontal="center" vertical="top"/>
      <protection hidden="1"/>
    </xf>
    <xf numFmtId="0" fontId="67" fillId="2" borderId="30" xfId="4" applyFont="1" applyFill="1" applyBorder="1" applyAlignment="1" applyProtection="1">
      <alignment horizontal="center" vertical="top"/>
      <protection hidden="1"/>
    </xf>
    <xf numFmtId="0" fontId="67" fillId="3" borderId="29" xfId="4" applyFont="1" applyFill="1" applyBorder="1" applyAlignment="1" applyProtection="1">
      <alignment horizontal="center" vertical="top"/>
      <protection hidden="1"/>
    </xf>
    <xf numFmtId="164" fontId="67" fillId="3" borderId="29" xfId="4" applyNumberFormat="1" applyFont="1" applyFill="1" applyBorder="1" applyAlignment="1" applyProtection="1">
      <alignment horizontal="center" vertical="top"/>
      <protection hidden="1"/>
    </xf>
    <xf numFmtId="0" fontId="53" fillId="0" borderId="29" xfId="5" applyBorder="1" applyAlignment="1" applyProtection="1">
      <alignment horizontal="center"/>
      <protection hidden="1"/>
    </xf>
    <xf numFmtId="164" fontId="53" fillId="0" borderId="29" xfId="5" applyNumberFormat="1" applyBorder="1" applyProtection="1">
      <protection hidden="1"/>
    </xf>
    <xf numFmtId="0" fontId="53" fillId="0" borderId="0" xfId="5" applyAlignment="1" applyProtection="1">
      <alignment horizontal="left"/>
      <protection hidden="1"/>
    </xf>
    <xf numFmtId="1" fontId="53" fillId="0" borderId="0" xfId="5" applyNumberFormat="1" applyProtection="1">
      <protection hidden="1"/>
    </xf>
    <xf numFmtId="0" fontId="56" fillId="0" borderId="29" xfId="5" applyFont="1" applyBorder="1" applyAlignment="1" applyProtection="1">
      <alignment horizontal="center"/>
      <protection hidden="1"/>
    </xf>
    <xf numFmtId="0" fontId="69" fillId="0" borderId="29" xfId="5" applyFont="1" applyBorder="1" applyAlignment="1" applyProtection="1">
      <alignment horizontal="center"/>
      <protection hidden="1"/>
    </xf>
    <xf numFmtId="0" fontId="53" fillId="0" borderId="30" xfId="5" applyBorder="1" applyAlignment="1" applyProtection="1">
      <alignment horizontal="center"/>
      <protection hidden="1"/>
    </xf>
    <xf numFmtId="0" fontId="53" fillId="0" borderId="31" xfId="5" applyBorder="1" applyAlignment="1" applyProtection="1">
      <alignment horizontal="center"/>
      <protection hidden="1"/>
    </xf>
    <xf numFmtId="0" fontId="65" fillId="0" borderId="0" xfId="5" applyFont="1" applyProtection="1">
      <protection hidden="1"/>
    </xf>
    <xf numFmtId="2" fontId="53" fillId="0" borderId="0" xfId="5" applyNumberFormat="1" applyProtection="1">
      <protection hidden="1"/>
    </xf>
    <xf numFmtId="2" fontId="53" fillId="0" borderId="0" xfId="5" applyNumberFormat="1" applyAlignment="1" applyProtection="1">
      <alignment horizontal="center"/>
      <protection hidden="1"/>
    </xf>
    <xf numFmtId="1" fontId="53" fillId="0" borderId="0" xfId="5" applyNumberFormat="1" applyAlignment="1" applyProtection="1">
      <alignment horizontal="center"/>
      <protection hidden="1"/>
    </xf>
    <xf numFmtId="0" fontId="52" fillId="0" borderId="0" xfId="6" applyAlignment="1" applyProtection="1">
      <alignment horizontal="center"/>
      <protection hidden="1"/>
    </xf>
    <xf numFmtId="164" fontId="52" fillId="0" borderId="0" xfId="6" applyNumberFormat="1" applyProtection="1">
      <protection hidden="1"/>
    </xf>
    <xf numFmtId="0" fontId="52" fillId="0" borderId="0" xfId="6" applyProtection="1">
      <protection hidden="1"/>
    </xf>
    <xf numFmtId="9" fontId="63" fillId="0" borderId="0" xfId="6" applyNumberFormat="1" applyFont="1" applyAlignment="1" applyProtection="1">
      <alignment horizontal="center" vertical="center"/>
      <protection hidden="1"/>
    </xf>
    <xf numFmtId="0" fontId="67" fillId="0" borderId="0" xfId="6" applyFont="1" applyAlignment="1" applyProtection="1">
      <alignment horizontal="center" vertical="center"/>
      <protection hidden="1"/>
    </xf>
    <xf numFmtId="0" fontId="65" fillId="0" borderId="0" xfId="6" applyFont="1" applyAlignment="1" applyProtection="1">
      <alignment horizontal="left"/>
      <protection hidden="1"/>
    </xf>
    <xf numFmtId="0" fontId="63" fillId="0" borderId="0" xfId="6" applyFont="1" applyAlignment="1" applyProtection="1">
      <alignment horizontal="left"/>
      <protection hidden="1"/>
    </xf>
    <xf numFmtId="0" fontId="65" fillId="0" borderId="0" xfId="6" applyFont="1" applyAlignment="1" applyProtection="1">
      <alignment horizontal="center"/>
      <protection hidden="1"/>
    </xf>
    <xf numFmtId="0" fontId="67" fillId="2" borderId="28" xfId="7" applyFont="1" applyFill="1" applyBorder="1" applyAlignment="1" applyProtection="1">
      <alignment horizontal="center" vertical="top"/>
      <protection hidden="1"/>
    </xf>
    <xf numFmtId="0" fontId="67" fillId="2" borderId="30" xfId="7" applyFont="1" applyFill="1" applyBorder="1" applyAlignment="1" applyProtection="1">
      <alignment horizontal="center" vertical="top"/>
      <protection hidden="1"/>
    </xf>
    <xf numFmtId="0" fontId="67" fillId="3" borderId="29" xfId="7" applyFont="1" applyFill="1" applyBorder="1" applyAlignment="1" applyProtection="1">
      <alignment horizontal="center" vertical="top"/>
      <protection hidden="1"/>
    </xf>
    <xf numFmtId="164" fontId="67" fillId="3" borderId="29" xfId="7" applyNumberFormat="1" applyFont="1" applyFill="1" applyBorder="1" applyAlignment="1" applyProtection="1">
      <alignment horizontal="center" vertical="top"/>
      <protection hidden="1"/>
    </xf>
    <xf numFmtId="0" fontId="52" fillId="0" borderId="29" xfId="6" applyBorder="1" applyAlignment="1" applyProtection="1">
      <alignment horizontal="center"/>
      <protection hidden="1"/>
    </xf>
    <xf numFmtId="164" fontId="52" fillId="0" borderId="29" xfId="6" applyNumberFormat="1" applyBorder="1" applyAlignment="1" applyProtection="1">
      <alignment horizontal="right"/>
      <protection hidden="1"/>
    </xf>
    <xf numFmtId="1" fontId="52" fillId="0" borderId="0" xfId="6" applyNumberFormat="1" applyProtection="1">
      <protection hidden="1"/>
    </xf>
    <xf numFmtId="164" fontId="52" fillId="0" borderId="29" xfId="6" applyNumberFormat="1" applyBorder="1" applyProtection="1">
      <protection hidden="1"/>
    </xf>
    <xf numFmtId="0" fontId="52" fillId="0" borderId="0" xfId="6" applyAlignment="1" applyProtection="1">
      <alignment horizontal="left"/>
      <protection hidden="1"/>
    </xf>
    <xf numFmtId="0" fontId="52" fillId="0" borderId="0" xfId="6" applyAlignment="1" applyProtection="1">
      <alignment horizontal="center" vertical="center"/>
      <protection hidden="1"/>
    </xf>
    <xf numFmtId="0" fontId="56" fillId="0" borderId="29" xfId="6" applyFont="1" applyBorder="1" applyAlignment="1" applyProtection="1">
      <alignment horizontal="center"/>
      <protection hidden="1"/>
    </xf>
    <xf numFmtId="0" fontId="56" fillId="0" borderId="0" xfId="6" applyFont="1" applyAlignment="1" applyProtection="1">
      <alignment horizontal="center"/>
      <protection hidden="1"/>
    </xf>
    <xf numFmtId="165" fontId="71" fillId="0" borderId="0" xfId="6" applyNumberFormat="1" applyFont="1" applyAlignment="1" applyProtection="1">
      <alignment horizontal="center" vertical="center"/>
      <protection hidden="1"/>
    </xf>
    <xf numFmtId="2" fontId="52" fillId="0" borderId="0" xfId="6" applyNumberFormat="1" applyAlignment="1" applyProtection="1">
      <alignment horizontal="center" vertical="center"/>
      <protection hidden="1"/>
    </xf>
    <xf numFmtId="1" fontId="52" fillId="0" borderId="0" xfId="6" applyNumberFormat="1" applyAlignment="1" applyProtection="1">
      <alignment horizontal="center" vertical="center"/>
      <protection hidden="1"/>
    </xf>
    <xf numFmtId="165" fontId="52" fillId="0" borderId="0" xfId="6" applyNumberFormat="1" applyAlignment="1" applyProtection="1">
      <alignment horizontal="center"/>
      <protection hidden="1"/>
    </xf>
    <xf numFmtId="0" fontId="67" fillId="2" borderId="30" xfId="7" applyFont="1" applyFill="1" applyBorder="1" applyAlignment="1" applyProtection="1">
      <alignment horizontal="center" wrapText="1"/>
      <protection hidden="1"/>
    </xf>
    <xf numFmtId="164" fontId="52" fillId="0" borderId="0" xfId="6" applyNumberFormat="1" applyAlignment="1" applyProtection="1">
      <alignment horizontal="center"/>
      <protection hidden="1"/>
    </xf>
    <xf numFmtId="0" fontId="56" fillId="0" borderId="29" xfId="8" applyBorder="1" applyAlignment="1" applyProtection="1">
      <alignment horizontal="center"/>
      <protection hidden="1"/>
    </xf>
    <xf numFmtId="0" fontId="67" fillId="2" borderId="33" xfId="7" applyFont="1" applyFill="1" applyBorder="1" applyAlignment="1" applyProtection="1">
      <alignment horizontal="center" vertical="top"/>
      <protection hidden="1"/>
    </xf>
    <xf numFmtId="0" fontId="67" fillId="3" borderId="28" xfId="7" applyFont="1" applyFill="1" applyBorder="1" applyAlignment="1" applyProtection="1">
      <alignment horizontal="center" vertical="top"/>
      <protection hidden="1"/>
    </xf>
    <xf numFmtId="0" fontId="69" fillId="8" borderId="29" xfId="6" applyFont="1" applyFill="1" applyBorder="1" applyAlignment="1" applyProtection="1">
      <alignment horizontal="center"/>
      <protection hidden="1"/>
    </xf>
    <xf numFmtId="0" fontId="56" fillId="8" borderId="29" xfId="6" applyFont="1" applyFill="1" applyBorder="1" applyAlignment="1" applyProtection="1">
      <alignment horizontal="center" vertical="center"/>
      <protection hidden="1"/>
    </xf>
    <xf numFmtId="0" fontId="52" fillId="8" borderId="29" xfId="6" applyFill="1" applyBorder="1" applyAlignment="1" applyProtection="1">
      <alignment horizontal="center"/>
      <protection hidden="1"/>
    </xf>
    <xf numFmtId="0" fontId="69" fillId="0" borderId="29" xfId="6" applyFont="1" applyBorder="1" applyAlignment="1" applyProtection="1">
      <alignment horizontal="center"/>
      <protection hidden="1"/>
    </xf>
    <xf numFmtId="0" fontId="56" fillId="0" borderId="29" xfId="6" applyFont="1" applyBorder="1" applyAlignment="1" applyProtection="1">
      <alignment horizontal="center" vertical="center"/>
      <protection hidden="1"/>
    </xf>
    <xf numFmtId="0" fontId="69" fillId="0" borderId="0" xfId="6" applyFont="1" applyAlignment="1" applyProtection="1">
      <alignment horizontal="left"/>
      <protection hidden="1"/>
    </xf>
    <xf numFmtId="0" fontId="51" fillId="0" borderId="0" xfId="9" applyProtection="1">
      <protection hidden="1"/>
    </xf>
    <xf numFmtId="9" fontId="63" fillId="0" borderId="0" xfId="9" applyNumberFormat="1" applyFont="1" applyAlignment="1" applyProtection="1">
      <alignment horizontal="center" vertical="center"/>
      <protection hidden="1"/>
    </xf>
    <xf numFmtId="0" fontId="67" fillId="0" borderId="0" xfId="9" applyFont="1" applyAlignment="1" applyProtection="1">
      <alignment horizontal="center" vertical="center"/>
      <protection hidden="1"/>
    </xf>
    <xf numFmtId="0" fontId="65" fillId="0" borderId="0" xfId="9" applyFont="1" applyAlignment="1" applyProtection="1">
      <alignment horizontal="left"/>
      <protection hidden="1"/>
    </xf>
    <xf numFmtId="0" fontId="63" fillId="0" borderId="0" xfId="9" applyFont="1" applyAlignment="1" applyProtection="1">
      <alignment horizontal="left"/>
      <protection hidden="1"/>
    </xf>
    <xf numFmtId="0" fontId="51" fillId="0" borderId="0" xfId="9" applyAlignment="1" applyProtection="1">
      <alignment horizontal="center"/>
      <protection hidden="1"/>
    </xf>
    <xf numFmtId="164" fontId="51" fillId="0" borderId="0" xfId="9" applyNumberFormat="1" applyProtection="1">
      <protection hidden="1"/>
    </xf>
    <xf numFmtId="0" fontId="67" fillId="2" borderId="28" xfId="10" applyFont="1" applyFill="1" applyBorder="1" applyAlignment="1" applyProtection="1">
      <alignment horizontal="center" vertical="top"/>
      <protection hidden="1"/>
    </xf>
    <xf numFmtId="0" fontId="67" fillId="2" borderId="30" xfId="10" applyFont="1" applyFill="1" applyBorder="1" applyAlignment="1" applyProtection="1">
      <alignment horizontal="center" vertical="top"/>
      <protection hidden="1"/>
    </xf>
    <xf numFmtId="0" fontId="67" fillId="2" borderId="30" xfId="10" applyFont="1" applyFill="1" applyBorder="1" applyAlignment="1" applyProtection="1">
      <alignment horizontal="center" wrapText="1"/>
      <protection hidden="1"/>
    </xf>
    <xf numFmtId="0" fontId="67" fillId="3" borderId="29" xfId="10" applyFont="1" applyFill="1" applyBorder="1" applyAlignment="1" applyProtection="1">
      <alignment horizontal="center" vertical="top"/>
      <protection hidden="1"/>
    </xf>
    <xf numFmtId="164" fontId="67" fillId="3" borderId="29" xfId="10" applyNumberFormat="1" applyFont="1" applyFill="1" applyBorder="1" applyAlignment="1" applyProtection="1">
      <alignment horizontal="center" vertical="top"/>
      <protection hidden="1"/>
    </xf>
    <xf numFmtId="0" fontId="51" fillId="0" borderId="29" xfId="9" applyBorder="1" applyAlignment="1" applyProtection="1">
      <alignment horizontal="center"/>
      <protection hidden="1"/>
    </xf>
    <xf numFmtId="2" fontId="51" fillId="0" borderId="29" xfId="9" applyNumberFormat="1" applyBorder="1" applyAlignment="1" applyProtection="1">
      <alignment horizontal="center"/>
      <protection hidden="1"/>
    </xf>
    <xf numFmtId="164" fontId="51" fillId="0" borderId="29" xfId="9" applyNumberFormat="1" applyBorder="1" applyProtection="1">
      <protection hidden="1"/>
    </xf>
    <xf numFmtId="1" fontId="51" fillId="0" borderId="0" xfId="9" applyNumberFormat="1" applyProtection="1">
      <protection hidden="1"/>
    </xf>
    <xf numFmtId="0" fontId="64" fillId="9" borderId="7" xfId="6" applyFont="1" applyFill="1" applyBorder="1" applyAlignment="1" applyProtection="1">
      <alignment horizontal="left"/>
      <protection hidden="1"/>
    </xf>
    <xf numFmtId="0" fontId="58" fillId="9" borderId="7" xfId="6" applyFont="1" applyFill="1" applyBorder="1" applyAlignment="1" applyProtection="1">
      <alignment horizontal="center"/>
      <protection hidden="1"/>
    </xf>
    <xf numFmtId="164" fontId="58" fillId="9" borderId="7" xfId="6" applyNumberFormat="1" applyFont="1" applyFill="1" applyBorder="1" applyProtection="1">
      <protection hidden="1"/>
    </xf>
    <xf numFmtId="0" fontId="59" fillId="9" borderId="7" xfId="9" applyFont="1" applyFill="1" applyBorder="1" applyAlignment="1" applyProtection="1">
      <alignment horizontal="left"/>
      <protection hidden="1"/>
    </xf>
    <xf numFmtId="0" fontId="58" fillId="9" borderId="7" xfId="9" applyFont="1" applyFill="1" applyBorder="1" applyProtection="1">
      <protection hidden="1"/>
    </xf>
    <xf numFmtId="0" fontId="58" fillId="0" borderId="0" xfId="9" applyFont="1" applyProtection="1">
      <protection hidden="1"/>
    </xf>
    <xf numFmtId="0" fontId="58" fillId="0" borderId="0" xfId="6" applyFont="1" applyProtection="1">
      <protection hidden="1"/>
    </xf>
    <xf numFmtId="0" fontId="72" fillId="9" borderId="7" xfId="6" applyFont="1" applyFill="1" applyBorder="1" applyAlignment="1" applyProtection="1">
      <alignment horizontal="center"/>
      <protection hidden="1"/>
    </xf>
    <xf numFmtId="164" fontId="72" fillId="9" borderId="7" xfId="6" applyNumberFormat="1" applyFont="1" applyFill="1" applyBorder="1" applyProtection="1">
      <protection hidden="1"/>
    </xf>
    <xf numFmtId="0" fontId="72" fillId="9" borderId="7" xfId="6" applyFont="1" applyFill="1" applyBorder="1" applyProtection="1">
      <protection hidden="1"/>
    </xf>
    <xf numFmtId="0" fontId="58" fillId="9" borderId="7" xfId="6" applyFont="1" applyFill="1" applyBorder="1" applyProtection="1">
      <protection hidden="1"/>
    </xf>
    <xf numFmtId="165" fontId="51" fillId="0" borderId="0" xfId="9" applyNumberFormat="1" applyProtection="1">
      <protection hidden="1"/>
    </xf>
    <xf numFmtId="0" fontId="65" fillId="0" borderId="0" xfId="9" applyFont="1" applyProtection="1">
      <protection hidden="1"/>
    </xf>
    <xf numFmtId="0" fontId="51" fillId="0" borderId="0" xfId="9" applyAlignment="1" applyProtection="1">
      <alignment horizontal="left"/>
      <protection hidden="1"/>
    </xf>
    <xf numFmtId="0" fontId="59" fillId="9" borderId="7" xfId="9" applyFont="1" applyFill="1" applyBorder="1" applyProtection="1">
      <protection hidden="1"/>
    </xf>
    <xf numFmtId="2" fontId="51" fillId="0" borderId="0" xfId="9" applyNumberFormat="1" applyAlignment="1" applyProtection="1">
      <alignment horizontal="center"/>
      <protection hidden="1"/>
    </xf>
    <xf numFmtId="0" fontId="65" fillId="0" borderId="0" xfId="9" applyFont="1" applyAlignment="1" applyProtection="1">
      <alignment horizontal="center"/>
      <protection hidden="1"/>
    </xf>
    <xf numFmtId="164" fontId="70" fillId="0" borderId="0" xfId="9" applyNumberFormat="1" applyFont="1" applyProtection="1">
      <protection hidden="1"/>
    </xf>
    <xf numFmtId="0" fontId="64" fillId="9" borderId="7" xfId="9" applyFont="1" applyFill="1" applyBorder="1" applyAlignment="1" applyProtection="1">
      <alignment horizontal="left"/>
      <protection hidden="1"/>
    </xf>
    <xf numFmtId="0" fontId="58" fillId="9" borderId="7" xfId="9" applyFont="1" applyFill="1" applyBorder="1" applyAlignment="1" applyProtection="1">
      <alignment horizontal="center"/>
      <protection hidden="1"/>
    </xf>
    <xf numFmtId="164" fontId="58" fillId="9" borderId="7" xfId="9" applyNumberFormat="1" applyFont="1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67" fillId="2" borderId="33" xfId="10" applyFont="1" applyFill="1" applyBorder="1" applyAlignment="1" applyProtection="1">
      <alignment horizontal="center" vertical="top"/>
      <protection hidden="1"/>
    </xf>
    <xf numFmtId="0" fontId="67" fillId="3" borderId="28" xfId="10" applyFont="1" applyFill="1" applyBorder="1" applyAlignment="1" applyProtection="1">
      <alignment horizontal="center" vertical="top"/>
      <protection hidden="1"/>
    </xf>
    <xf numFmtId="0" fontId="0" fillId="0" borderId="29" xfId="0" applyBorder="1" applyAlignment="1" applyProtection="1">
      <alignment horizontal="center"/>
      <protection hidden="1"/>
    </xf>
    <xf numFmtId="164" fontId="70" fillId="0" borderId="0" xfId="0" applyNumberFormat="1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Protection="1"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59" fillId="9" borderId="7" xfId="0" applyFont="1" applyFill="1" applyBorder="1" applyProtection="1">
      <protection hidden="1"/>
    </xf>
    <xf numFmtId="0" fontId="58" fillId="9" borderId="7" xfId="0" applyFont="1" applyFill="1" applyBorder="1" applyAlignment="1" applyProtection="1">
      <alignment horizontal="center"/>
      <protection hidden="1"/>
    </xf>
    <xf numFmtId="164" fontId="58" fillId="9" borderId="7" xfId="0" applyNumberFormat="1" applyFont="1" applyFill="1" applyBorder="1" applyProtection="1">
      <protection hidden="1"/>
    </xf>
    <xf numFmtId="0" fontId="64" fillId="9" borderId="7" xfId="0" applyFont="1" applyFill="1" applyBorder="1" applyAlignment="1" applyProtection="1">
      <alignment horizontal="left"/>
      <protection hidden="1"/>
    </xf>
    <xf numFmtId="9" fontId="63" fillId="0" borderId="0" xfId="11" applyNumberFormat="1" applyFont="1" applyAlignment="1" applyProtection="1">
      <alignment horizontal="center" vertical="center"/>
      <protection hidden="1"/>
    </xf>
    <xf numFmtId="0" fontId="67" fillId="0" borderId="0" xfId="11" applyFont="1" applyAlignment="1" applyProtection="1">
      <alignment horizontal="center" vertical="center"/>
      <protection hidden="1"/>
    </xf>
    <xf numFmtId="164" fontId="67" fillId="3" borderId="29" xfId="12" applyNumberFormat="1" applyFont="1" applyFill="1" applyBorder="1" applyAlignment="1" applyProtection="1">
      <alignment horizontal="center" vertical="top"/>
      <protection hidden="1"/>
    </xf>
    <xf numFmtId="164" fontId="50" fillId="0" borderId="29" xfId="11" applyNumberFormat="1" applyBorder="1" applyProtection="1">
      <protection hidden="1"/>
    </xf>
    <xf numFmtId="0" fontId="50" fillId="0" borderId="0" xfId="11" applyAlignment="1" applyProtection="1">
      <alignment horizontal="right"/>
      <protection hidden="1"/>
    </xf>
    <xf numFmtId="0" fontId="50" fillId="0" borderId="0" xfId="11" applyProtection="1">
      <protection hidden="1"/>
    </xf>
    <xf numFmtId="0" fontId="65" fillId="0" borderId="0" xfId="11" applyFont="1" applyAlignment="1" applyProtection="1">
      <alignment horizontal="left"/>
      <protection hidden="1"/>
    </xf>
    <xf numFmtId="0" fontId="65" fillId="0" borderId="0" xfId="11" applyFont="1" applyProtection="1">
      <protection hidden="1"/>
    </xf>
    <xf numFmtId="0" fontId="50" fillId="0" borderId="0" xfId="11" applyAlignment="1" applyProtection="1">
      <alignment horizontal="center"/>
      <protection hidden="1"/>
    </xf>
    <xf numFmtId="164" fontId="50" fillId="0" borderId="0" xfId="11" applyNumberFormat="1" applyAlignment="1" applyProtection="1">
      <alignment horizontal="right"/>
      <protection hidden="1"/>
    </xf>
    <xf numFmtId="164" fontId="50" fillId="0" borderId="0" xfId="11" applyNumberFormat="1" applyProtection="1">
      <protection hidden="1"/>
    </xf>
    <xf numFmtId="0" fontId="67" fillId="2" borderId="28" xfId="12" applyFont="1" applyFill="1" applyBorder="1" applyAlignment="1" applyProtection="1">
      <alignment horizontal="center" vertical="top"/>
      <protection hidden="1"/>
    </xf>
    <xf numFmtId="0" fontId="67" fillId="2" borderId="30" xfId="12" applyFont="1" applyFill="1" applyBorder="1" applyAlignment="1" applyProtection="1">
      <alignment horizontal="center" vertical="top"/>
      <protection hidden="1"/>
    </xf>
    <xf numFmtId="0" fontId="67" fillId="3" borderId="29" xfId="12" applyFont="1" applyFill="1" applyBorder="1" applyAlignment="1" applyProtection="1">
      <alignment horizontal="center" vertical="top"/>
      <protection hidden="1"/>
    </xf>
    <xf numFmtId="9" fontId="50" fillId="0" borderId="0" xfId="11" applyNumberFormat="1" applyAlignment="1" applyProtection="1">
      <alignment horizontal="center"/>
      <protection hidden="1"/>
    </xf>
    <xf numFmtId="0" fontId="50" fillId="0" borderId="29" xfId="11" applyBorder="1" applyAlignment="1" applyProtection="1">
      <alignment horizontal="center"/>
      <protection hidden="1"/>
    </xf>
    <xf numFmtId="2" fontId="50" fillId="0" borderId="0" xfId="11" applyNumberFormat="1" applyAlignment="1" applyProtection="1">
      <alignment horizontal="center"/>
      <protection hidden="1"/>
    </xf>
    <xf numFmtId="164" fontId="50" fillId="0" borderId="29" xfId="11" applyNumberFormat="1" applyBorder="1" applyAlignment="1" applyProtection="1">
      <alignment horizontal="right"/>
      <protection hidden="1"/>
    </xf>
    <xf numFmtId="0" fontId="50" fillId="0" borderId="30" xfId="11" applyBorder="1" applyAlignment="1" applyProtection="1">
      <alignment horizontal="center"/>
      <protection hidden="1"/>
    </xf>
    <xf numFmtId="0" fontId="59" fillId="9" borderId="7" xfId="11" applyFont="1" applyFill="1" applyBorder="1" applyAlignment="1" applyProtection="1">
      <alignment horizontal="left"/>
      <protection hidden="1"/>
    </xf>
    <xf numFmtId="0" fontId="59" fillId="9" borderId="7" xfId="11" applyFont="1" applyFill="1" applyBorder="1" applyProtection="1">
      <protection hidden="1"/>
    </xf>
    <xf numFmtId="0" fontId="58" fillId="9" borderId="7" xfId="11" applyFont="1" applyFill="1" applyBorder="1" applyProtection="1">
      <protection hidden="1"/>
    </xf>
    <xf numFmtId="0" fontId="58" fillId="9" borderId="7" xfId="11" applyFont="1" applyFill="1" applyBorder="1" applyAlignment="1" applyProtection="1">
      <alignment horizontal="right"/>
      <protection hidden="1"/>
    </xf>
    <xf numFmtId="0" fontId="50" fillId="0" borderId="29" xfId="12" applyFill="1" applyBorder="1" applyAlignment="1" applyProtection="1">
      <alignment horizontal="center" vertical="top"/>
      <protection hidden="1"/>
    </xf>
    <xf numFmtId="1" fontId="69" fillId="0" borderId="29" xfId="5" applyNumberFormat="1" applyFont="1" applyBorder="1" applyAlignment="1" applyProtection="1">
      <alignment horizontal="center"/>
      <protection hidden="1"/>
    </xf>
    <xf numFmtId="0" fontId="63" fillId="0" borderId="0" xfId="11" applyFont="1" applyAlignment="1" applyProtection="1">
      <alignment horizontal="left"/>
      <protection hidden="1"/>
    </xf>
    <xf numFmtId="0" fontId="65" fillId="0" borderId="0" xfId="11" applyFont="1" applyAlignment="1" applyProtection="1">
      <alignment horizontal="center"/>
      <protection hidden="1"/>
    </xf>
    <xf numFmtId="0" fontId="58" fillId="9" borderId="7" xfId="11" applyFont="1" applyFill="1" applyBorder="1" applyAlignment="1" applyProtection="1">
      <alignment horizontal="center"/>
      <protection hidden="1"/>
    </xf>
    <xf numFmtId="164" fontId="58" fillId="9" borderId="7" xfId="11" applyNumberFormat="1" applyFont="1" applyFill="1" applyBorder="1" applyProtection="1">
      <protection hidden="1"/>
    </xf>
    <xf numFmtId="0" fontId="49" fillId="0" borderId="0" xfId="13" applyAlignment="1" applyProtection="1">
      <alignment horizontal="center"/>
      <protection hidden="1"/>
    </xf>
    <xf numFmtId="164" fontId="49" fillId="0" borderId="0" xfId="13" applyNumberFormat="1" applyProtection="1">
      <protection hidden="1"/>
    </xf>
    <xf numFmtId="0" fontId="49" fillId="0" borderId="0" xfId="13" applyProtection="1">
      <protection hidden="1"/>
    </xf>
    <xf numFmtId="9" fontId="63" fillId="0" borderId="0" xfId="13" applyNumberFormat="1" applyFont="1" applyAlignment="1" applyProtection="1">
      <alignment horizontal="center" vertical="center"/>
      <protection hidden="1"/>
    </xf>
    <xf numFmtId="0" fontId="67" fillId="0" borderId="0" xfId="13" applyFont="1" applyAlignment="1" applyProtection="1">
      <alignment horizontal="center" vertical="center"/>
      <protection hidden="1"/>
    </xf>
    <xf numFmtId="0" fontId="65" fillId="0" borderId="0" xfId="13" applyFont="1" applyAlignment="1" applyProtection="1">
      <alignment horizontal="left"/>
      <protection hidden="1"/>
    </xf>
    <xf numFmtId="0" fontId="63" fillId="0" borderId="0" xfId="13" applyFont="1" applyAlignment="1" applyProtection="1">
      <alignment horizontal="left"/>
      <protection hidden="1"/>
    </xf>
    <xf numFmtId="0" fontId="65" fillId="0" borderId="0" xfId="13" applyFont="1" applyAlignment="1" applyProtection="1">
      <alignment horizontal="center"/>
      <protection hidden="1"/>
    </xf>
    <xf numFmtId="0" fontId="67" fillId="2" borderId="28" xfId="14" applyFont="1" applyFill="1" applyBorder="1" applyAlignment="1" applyProtection="1">
      <alignment horizontal="center" vertical="top"/>
      <protection hidden="1"/>
    </xf>
    <xf numFmtId="0" fontId="67" fillId="2" borderId="33" xfId="14" applyFont="1" applyFill="1" applyBorder="1" applyAlignment="1" applyProtection="1">
      <alignment horizontal="center" vertical="top"/>
      <protection hidden="1"/>
    </xf>
    <xf numFmtId="0" fontId="67" fillId="3" borderId="28" xfId="14" applyFont="1" applyFill="1" applyBorder="1" applyAlignment="1" applyProtection="1">
      <alignment horizontal="center" vertical="top"/>
      <protection hidden="1"/>
    </xf>
    <xf numFmtId="164" fontId="67" fillId="3" borderId="29" xfId="14" applyNumberFormat="1" applyFont="1" applyFill="1" applyBorder="1" applyAlignment="1" applyProtection="1">
      <alignment horizontal="center" vertical="top"/>
      <protection hidden="1"/>
    </xf>
    <xf numFmtId="0" fontId="49" fillId="0" borderId="29" xfId="13" applyBorder="1" applyAlignment="1" applyProtection="1">
      <alignment horizontal="center"/>
      <protection hidden="1"/>
    </xf>
    <xf numFmtId="164" fontId="49" fillId="0" borderId="29" xfId="13" applyNumberFormat="1" applyBorder="1" applyProtection="1">
      <protection hidden="1"/>
    </xf>
    <xf numFmtId="1" fontId="49" fillId="0" borderId="0" xfId="13" applyNumberFormat="1" applyAlignment="1" applyProtection="1">
      <alignment horizontal="center"/>
      <protection hidden="1"/>
    </xf>
    <xf numFmtId="0" fontId="49" fillId="0" borderId="0" xfId="13" applyAlignment="1" applyProtection="1">
      <alignment horizontal="left"/>
      <protection hidden="1"/>
    </xf>
    <xf numFmtId="0" fontId="67" fillId="2" borderId="30" xfId="14" applyFont="1" applyFill="1" applyBorder="1" applyAlignment="1" applyProtection="1">
      <alignment horizontal="center" vertical="top"/>
      <protection hidden="1"/>
    </xf>
    <xf numFmtId="0" fontId="67" fillId="3" borderId="29" xfId="14" applyFont="1" applyFill="1" applyBorder="1" applyAlignment="1" applyProtection="1">
      <alignment horizontal="center" vertical="top"/>
      <protection hidden="1"/>
    </xf>
    <xf numFmtId="164" fontId="49" fillId="0" borderId="0" xfId="13" applyNumberFormat="1" applyAlignment="1" applyProtection="1">
      <alignment horizontal="center"/>
      <protection hidden="1"/>
    </xf>
    <xf numFmtId="0" fontId="56" fillId="0" borderId="29" xfId="13" applyFont="1" applyBorder="1" applyAlignment="1" applyProtection="1">
      <alignment horizontal="center"/>
      <protection hidden="1"/>
    </xf>
    <xf numFmtId="0" fontId="49" fillId="4" borderId="29" xfId="13" applyFill="1" applyBorder="1" applyAlignment="1" applyProtection="1">
      <alignment horizontal="center"/>
      <protection hidden="1"/>
    </xf>
    <xf numFmtId="0" fontId="63" fillId="8" borderId="29" xfId="4" applyFont="1" applyFill="1" applyBorder="1" applyAlignment="1" applyProtection="1">
      <alignment horizontal="center" vertical="top"/>
      <protection hidden="1"/>
    </xf>
    <xf numFmtId="164" fontId="63" fillId="8" borderId="29" xfId="4" applyNumberFormat="1" applyFont="1" applyFill="1" applyBorder="1" applyAlignment="1" applyProtection="1">
      <alignment horizontal="center" vertical="top"/>
      <protection hidden="1"/>
    </xf>
    <xf numFmtId="1" fontId="69" fillId="0" borderId="29" xfId="6" applyNumberFormat="1" applyFont="1" applyBorder="1" applyAlignment="1" applyProtection="1">
      <alignment horizontal="center"/>
      <protection hidden="1"/>
    </xf>
    <xf numFmtId="0" fontId="65" fillId="0" borderId="0" xfId="13" applyFont="1" applyProtection="1">
      <protection hidden="1"/>
    </xf>
    <xf numFmtId="166" fontId="49" fillId="0" borderId="29" xfId="13" applyNumberFormat="1" applyBorder="1" applyAlignment="1" applyProtection="1">
      <alignment horizontal="center"/>
      <protection hidden="1"/>
    </xf>
    <xf numFmtId="0" fontId="49" fillId="0" borderId="29" xfId="13" applyBorder="1" applyAlignment="1" applyProtection="1">
      <alignment horizontal="center" vertical="center"/>
      <protection hidden="1"/>
    </xf>
    <xf numFmtId="0" fontId="74" fillId="0" borderId="29" xfId="13" applyFont="1" applyBorder="1" applyAlignment="1" applyProtection="1">
      <alignment horizontal="center" vertical="center"/>
      <protection hidden="1"/>
    </xf>
    <xf numFmtId="0" fontId="75" fillId="0" borderId="0" xfId="13" applyFont="1" applyAlignment="1" applyProtection="1">
      <alignment vertical="center"/>
      <protection hidden="1"/>
    </xf>
    <xf numFmtId="165" fontId="49" fillId="0" borderId="0" xfId="13" applyNumberFormat="1" applyProtection="1">
      <protection hidden="1"/>
    </xf>
    <xf numFmtId="0" fontId="67" fillId="2" borderId="23" xfId="14" applyFont="1" applyFill="1" applyBorder="1" applyAlignment="1" applyProtection="1">
      <alignment horizontal="center" vertical="top"/>
      <protection hidden="1"/>
    </xf>
    <xf numFmtId="0" fontId="48" fillId="0" borderId="0" xfId="15" applyAlignment="1" applyProtection="1">
      <alignment horizontal="center"/>
      <protection hidden="1"/>
    </xf>
    <xf numFmtId="164" fontId="48" fillId="0" borderId="0" xfId="15" applyNumberFormat="1" applyProtection="1">
      <protection hidden="1"/>
    </xf>
    <xf numFmtId="0" fontId="48" fillId="0" borderId="0" xfId="15" applyProtection="1">
      <protection hidden="1"/>
    </xf>
    <xf numFmtId="9" fontId="63" fillId="0" borderId="0" xfId="15" applyNumberFormat="1" applyFont="1" applyAlignment="1" applyProtection="1">
      <alignment horizontal="center" vertical="center"/>
      <protection hidden="1"/>
    </xf>
    <xf numFmtId="0" fontId="67" fillId="0" borderId="0" xfId="15" applyFont="1" applyAlignment="1" applyProtection="1">
      <alignment horizontal="center" vertical="center"/>
      <protection hidden="1"/>
    </xf>
    <xf numFmtId="0" fontId="63" fillId="0" borderId="0" xfId="15" applyFont="1" applyAlignment="1" applyProtection="1">
      <alignment horizontal="left"/>
      <protection hidden="1"/>
    </xf>
    <xf numFmtId="0" fontId="65" fillId="0" borderId="0" xfId="15" applyFont="1" applyProtection="1">
      <protection hidden="1"/>
    </xf>
    <xf numFmtId="0" fontId="65" fillId="0" borderId="0" xfId="15" applyFont="1" applyAlignment="1" applyProtection="1">
      <alignment horizontal="center"/>
      <protection hidden="1"/>
    </xf>
    <xf numFmtId="0" fontId="67" fillId="2" borderId="28" xfId="16" applyFont="1" applyFill="1" applyBorder="1" applyAlignment="1" applyProtection="1">
      <alignment horizontal="center" vertical="top"/>
      <protection hidden="1"/>
    </xf>
    <xf numFmtId="0" fontId="67" fillId="2" borderId="33" xfId="16" applyFont="1" applyFill="1" applyBorder="1" applyAlignment="1" applyProtection="1">
      <alignment horizontal="center" vertical="top"/>
      <protection hidden="1"/>
    </xf>
    <xf numFmtId="0" fontId="67" fillId="3" borderId="28" xfId="16" applyFont="1" applyFill="1" applyBorder="1" applyAlignment="1" applyProtection="1">
      <alignment horizontal="center" vertical="top"/>
      <protection hidden="1"/>
    </xf>
    <xf numFmtId="164" fontId="67" fillId="3" borderId="29" xfId="16" applyNumberFormat="1" applyFont="1" applyFill="1" applyBorder="1" applyAlignment="1" applyProtection="1">
      <alignment horizontal="center" vertical="top"/>
      <protection hidden="1"/>
    </xf>
    <xf numFmtId="0" fontId="48" fillId="0" borderId="29" xfId="15" applyBorder="1" applyAlignment="1" applyProtection="1">
      <alignment horizontal="center"/>
      <protection hidden="1"/>
    </xf>
    <xf numFmtId="0" fontId="48" fillId="0" borderId="0" xfId="15" applyAlignment="1" applyProtection="1">
      <alignment horizontal="center" vertical="center"/>
      <protection hidden="1"/>
    </xf>
    <xf numFmtId="0" fontId="48" fillId="0" borderId="0" xfId="15" applyAlignment="1" applyProtection="1">
      <alignment horizontal="left"/>
      <protection hidden="1"/>
    </xf>
    <xf numFmtId="0" fontId="67" fillId="2" borderId="30" xfId="16" applyFont="1" applyFill="1" applyBorder="1" applyAlignment="1" applyProtection="1">
      <alignment horizontal="center" vertical="top"/>
      <protection hidden="1"/>
    </xf>
    <xf numFmtId="0" fontId="67" fillId="3" borderId="29" xfId="16" applyFont="1" applyFill="1" applyBorder="1" applyAlignment="1" applyProtection="1">
      <alignment horizontal="center" vertical="top"/>
      <protection hidden="1"/>
    </xf>
    <xf numFmtId="49" fontId="48" fillId="0" borderId="29" xfId="15" applyNumberFormat="1" applyBorder="1" applyAlignment="1" applyProtection="1">
      <alignment horizontal="center"/>
      <protection hidden="1"/>
    </xf>
    <xf numFmtId="0" fontId="48" fillId="4" borderId="29" xfId="15" applyFill="1" applyBorder="1" applyAlignment="1" applyProtection="1">
      <alignment horizontal="center"/>
      <protection hidden="1"/>
    </xf>
    <xf numFmtId="0" fontId="69" fillId="0" borderId="29" xfId="15" applyFont="1" applyBorder="1" applyAlignment="1" applyProtection="1">
      <alignment horizontal="center" vertical="center"/>
      <protection hidden="1"/>
    </xf>
    <xf numFmtId="0" fontId="47" fillId="0" borderId="0" xfId="17" applyProtection="1">
      <protection hidden="1"/>
    </xf>
    <xf numFmtId="9" fontId="63" fillId="0" borderId="0" xfId="17" applyNumberFormat="1" applyFont="1" applyAlignment="1" applyProtection="1">
      <alignment horizontal="center" vertical="center"/>
      <protection hidden="1"/>
    </xf>
    <xf numFmtId="0" fontId="67" fillId="0" borderId="0" xfId="17" applyFont="1" applyAlignment="1" applyProtection="1">
      <alignment horizontal="center" vertical="center"/>
      <protection hidden="1"/>
    </xf>
    <xf numFmtId="0" fontId="65" fillId="0" borderId="0" xfId="17" applyFont="1" applyProtection="1">
      <protection hidden="1"/>
    </xf>
    <xf numFmtId="0" fontId="63" fillId="0" borderId="0" xfId="17" applyFont="1" applyAlignment="1" applyProtection="1">
      <alignment horizontal="left"/>
      <protection hidden="1"/>
    </xf>
    <xf numFmtId="0" fontId="47" fillId="0" borderId="0" xfId="17" applyAlignment="1" applyProtection="1">
      <alignment horizontal="center"/>
      <protection hidden="1"/>
    </xf>
    <xf numFmtId="164" fontId="47" fillId="0" borderId="0" xfId="17" applyNumberFormat="1" applyProtection="1">
      <protection hidden="1"/>
    </xf>
    <xf numFmtId="0" fontId="65" fillId="0" borderId="0" xfId="17" applyFont="1" applyAlignment="1" applyProtection="1">
      <alignment horizontal="center"/>
      <protection hidden="1"/>
    </xf>
    <xf numFmtId="0" fontId="67" fillId="2" borderId="28" xfId="18" applyFont="1" applyFill="1" applyBorder="1" applyAlignment="1" applyProtection="1">
      <alignment horizontal="center" vertical="top"/>
      <protection hidden="1"/>
    </xf>
    <xf numFmtId="0" fontId="67" fillId="2" borderId="33" xfId="18" applyFont="1" applyFill="1" applyBorder="1" applyAlignment="1" applyProtection="1">
      <alignment horizontal="center" vertical="top"/>
      <protection hidden="1"/>
    </xf>
    <xf numFmtId="0" fontId="67" fillId="3" borderId="28" xfId="18" applyFont="1" applyFill="1" applyBorder="1" applyAlignment="1" applyProtection="1">
      <alignment horizontal="center" vertical="top"/>
      <protection hidden="1"/>
    </xf>
    <xf numFmtId="164" fontId="67" fillId="3" borderId="29" xfId="18" applyNumberFormat="1" applyFont="1" applyFill="1" applyBorder="1" applyAlignment="1" applyProtection="1">
      <alignment horizontal="center" vertical="top"/>
      <protection hidden="1"/>
    </xf>
    <xf numFmtId="0" fontId="47" fillId="0" borderId="29" xfId="17" applyBorder="1" applyAlignment="1" applyProtection="1">
      <alignment horizontal="center"/>
      <protection hidden="1"/>
    </xf>
    <xf numFmtId="164" fontId="47" fillId="0" borderId="29" xfId="17" applyNumberFormat="1" applyBorder="1" applyProtection="1">
      <protection hidden="1"/>
    </xf>
    <xf numFmtId="164" fontId="47" fillId="0" borderId="0" xfId="17" applyNumberFormat="1" applyAlignment="1" applyProtection="1">
      <alignment horizontal="center"/>
      <protection hidden="1"/>
    </xf>
    <xf numFmtId="0" fontId="65" fillId="0" borderId="0" xfId="17" applyFont="1" applyAlignment="1" applyProtection="1">
      <alignment horizontal="left"/>
      <protection hidden="1"/>
    </xf>
    <xf numFmtId="0" fontId="67" fillId="2" borderId="30" xfId="18" applyFont="1" applyFill="1" applyBorder="1" applyAlignment="1" applyProtection="1">
      <alignment horizontal="center" vertical="top"/>
      <protection hidden="1"/>
    </xf>
    <xf numFmtId="0" fontId="67" fillId="3" borderId="29" xfId="18" applyFont="1" applyFill="1" applyBorder="1" applyAlignment="1" applyProtection="1">
      <alignment horizontal="center" vertical="top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65" fillId="0" borderId="0" xfId="0" applyFont="1" applyAlignment="1" applyProtection="1">
      <alignment horizontal="center"/>
      <protection hidden="1"/>
    </xf>
    <xf numFmtId="49" fontId="0" fillId="0" borderId="29" xfId="0" applyNumberFormat="1" applyBorder="1" applyAlignment="1" applyProtection="1">
      <alignment horizontal="center"/>
      <protection hidden="1"/>
    </xf>
    <xf numFmtId="2" fontId="47" fillId="0" borderId="29" xfId="17" applyNumberFormat="1" applyBorder="1" applyAlignment="1" applyProtection="1">
      <alignment horizontal="center"/>
      <protection hidden="1"/>
    </xf>
    <xf numFmtId="0" fontId="56" fillId="0" borderId="29" xfId="17" applyFont="1" applyBorder="1" applyAlignment="1" applyProtection="1">
      <alignment horizontal="center"/>
      <protection hidden="1"/>
    </xf>
    <xf numFmtId="0" fontId="47" fillId="0" borderId="0" xfId="17" applyAlignment="1" applyProtection="1">
      <alignment horizontal="left"/>
      <protection hidden="1"/>
    </xf>
    <xf numFmtId="0" fontId="67" fillId="3" borderId="31" xfId="18" applyFont="1" applyFill="1" applyBorder="1" applyAlignment="1" applyProtection="1">
      <alignment horizontal="center" vertical="top"/>
      <protection hidden="1"/>
    </xf>
    <xf numFmtId="0" fontId="47" fillId="8" borderId="29" xfId="17" applyFill="1" applyBorder="1" applyAlignment="1" applyProtection="1">
      <alignment horizontal="center"/>
      <protection hidden="1"/>
    </xf>
    <xf numFmtId="0" fontId="47" fillId="0" borderId="31" xfId="17" applyBorder="1" applyAlignment="1" applyProtection="1">
      <alignment horizontal="center"/>
      <protection hidden="1"/>
    </xf>
    <xf numFmtId="0" fontId="56" fillId="0" borderId="0" xfId="17" applyFont="1" applyAlignment="1" applyProtection="1">
      <alignment horizontal="center"/>
      <protection hidden="1"/>
    </xf>
    <xf numFmtId="0" fontId="77" fillId="0" borderId="0" xfId="17" applyFont="1" applyProtection="1">
      <protection hidden="1"/>
    </xf>
    <xf numFmtId="0" fontId="67" fillId="0" borderId="0" xfId="18" applyFont="1" applyFill="1" applyBorder="1" applyAlignment="1" applyProtection="1">
      <alignment horizontal="center" vertical="top" wrapText="1"/>
      <protection hidden="1"/>
    </xf>
    <xf numFmtId="164" fontId="67" fillId="0" borderId="0" xfId="18" applyNumberFormat="1" applyFont="1" applyFill="1" applyBorder="1" applyAlignment="1" applyProtection="1">
      <alignment horizontal="center" vertical="top"/>
      <protection hidden="1"/>
    </xf>
    <xf numFmtId="164" fontId="65" fillId="0" borderId="0" xfId="17" applyNumberFormat="1" applyFont="1" applyProtection="1">
      <protection hidden="1"/>
    </xf>
    <xf numFmtId="0" fontId="47" fillId="0" borderId="29" xfId="17" applyBorder="1" applyAlignment="1" applyProtection="1">
      <alignment horizontal="center" vertical="center"/>
      <protection hidden="1"/>
    </xf>
    <xf numFmtId="164" fontId="46" fillId="0" borderId="0" xfId="19" applyNumberFormat="1" applyProtection="1">
      <protection hidden="1"/>
    </xf>
    <xf numFmtId="164" fontId="46" fillId="0" borderId="0" xfId="19" applyNumberFormat="1" applyAlignment="1" applyProtection="1">
      <alignment horizontal="center"/>
      <protection hidden="1"/>
    </xf>
    <xf numFmtId="0" fontId="46" fillId="0" borderId="0" xfId="19" applyAlignment="1" applyProtection="1">
      <alignment horizontal="center"/>
      <protection hidden="1"/>
    </xf>
    <xf numFmtId="0" fontId="46" fillId="0" borderId="0" xfId="19" applyProtection="1">
      <protection hidden="1"/>
    </xf>
    <xf numFmtId="9" fontId="63" fillId="0" borderId="0" xfId="19" applyNumberFormat="1" applyFont="1" applyAlignment="1" applyProtection="1">
      <alignment horizontal="center" vertical="center"/>
      <protection hidden="1"/>
    </xf>
    <xf numFmtId="0" fontId="67" fillId="0" borderId="0" xfId="19" applyFont="1" applyAlignment="1" applyProtection="1">
      <alignment horizontal="center" vertical="center"/>
      <protection hidden="1"/>
    </xf>
    <xf numFmtId="0" fontId="63" fillId="0" borderId="0" xfId="19" applyFont="1" applyAlignment="1" applyProtection="1">
      <alignment horizontal="left"/>
      <protection hidden="1"/>
    </xf>
    <xf numFmtId="0" fontId="65" fillId="0" borderId="0" xfId="19" applyFont="1" applyProtection="1">
      <protection hidden="1"/>
    </xf>
    <xf numFmtId="0" fontId="65" fillId="0" borderId="0" xfId="19" applyFont="1" applyAlignment="1" applyProtection="1">
      <alignment horizontal="center"/>
      <protection hidden="1"/>
    </xf>
    <xf numFmtId="0" fontId="67" fillId="2" borderId="28" xfId="20" applyFont="1" applyFill="1" applyBorder="1" applyAlignment="1" applyProtection="1">
      <alignment horizontal="center" vertical="top"/>
      <protection hidden="1"/>
    </xf>
    <xf numFmtId="0" fontId="67" fillId="2" borderId="30" xfId="20" applyFont="1" applyFill="1" applyBorder="1" applyAlignment="1" applyProtection="1">
      <alignment horizontal="center" vertical="top"/>
      <protection hidden="1"/>
    </xf>
    <xf numFmtId="0" fontId="67" fillId="3" borderId="29" xfId="20" applyFont="1" applyFill="1" applyBorder="1" applyAlignment="1" applyProtection="1">
      <alignment horizontal="center" vertical="top"/>
      <protection hidden="1"/>
    </xf>
    <xf numFmtId="164" fontId="67" fillId="3" borderId="29" xfId="20" applyNumberFormat="1" applyFont="1" applyFill="1" applyBorder="1" applyAlignment="1" applyProtection="1">
      <alignment horizontal="center" vertical="top"/>
      <protection hidden="1"/>
    </xf>
    <xf numFmtId="0" fontId="46" fillId="0" borderId="29" xfId="19" applyBorder="1" applyAlignment="1" applyProtection="1">
      <alignment horizontal="center"/>
      <protection hidden="1"/>
    </xf>
    <xf numFmtId="2" fontId="46" fillId="0" borderId="29" xfId="19" applyNumberFormat="1" applyBorder="1" applyAlignment="1" applyProtection="1">
      <alignment horizontal="center"/>
      <protection hidden="1"/>
    </xf>
    <xf numFmtId="164" fontId="46" fillId="0" borderId="29" xfId="19" applyNumberFormat="1" applyBorder="1" applyProtection="1">
      <protection hidden="1"/>
    </xf>
    <xf numFmtId="0" fontId="67" fillId="2" borderId="33" xfId="20" applyFont="1" applyFill="1" applyBorder="1" applyAlignment="1" applyProtection="1">
      <alignment horizontal="center" vertical="top"/>
      <protection hidden="1"/>
    </xf>
    <xf numFmtId="0" fontId="67" fillId="3" borderId="28" xfId="20" applyFont="1" applyFill="1" applyBorder="1" applyAlignment="1" applyProtection="1">
      <alignment horizontal="center" vertical="top"/>
      <protection hidden="1"/>
    </xf>
    <xf numFmtId="0" fontId="46" fillId="0" borderId="0" xfId="19" applyAlignment="1" applyProtection="1">
      <alignment horizontal="left"/>
      <protection hidden="1"/>
    </xf>
    <xf numFmtId="2" fontId="46" fillId="0" borderId="0" xfId="19" applyNumberFormat="1" applyAlignment="1" applyProtection="1">
      <alignment horizontal="center"/>
      <protection hidden="1"/>
    </xf>
    <xf numFmtId="0" fontId="46" fillId="0" borderId="29" xfId="19" applyBorder="1" applyAlignment="1" applyProtection="1">
      <alignment horizontal="center" vertical="center"/>
      <protection hidden="1"/>
    </xf>
    <xf numFmtId="0" fontId="65" fillId="0" borderId="0" xfId="19" applyFont="1" applyAlignment="1" applyProtection="1">
      <alignment horizontal="left"/>
      <protection hidden="1"/>
    </xf>
    <xf numFmtId="0" fontId="46" fillId="0" borderId="29" xfId="19" applyBorder="1" applyAlignment="1" applyProtection="1">
      <alignment horizontal="left"/>
      <protection hidden="1"/>
    </xf>
    <xf numFmtId="165" fontId="71" fillId="0" borderId="0" xfId="19" applyNumberFormat="1" applyFont="1" applyAlignment="1" applyProtection="1">
      <alignment horizontal="center"/>
      <protection hidden="1"/>
    </xf>
    <xf numFmtId="0" fontId="65" fillId="0" borderId="0" xfId="20" applyFont="1" applyFill="1" applyBorder="1" applyAlignment="1" applyProtection="1">
      <alignment vertical="top" wrapText="1"/>
      <protection hidden="1"/>
    </xf>
    <xf numFmtId="164" fontId="65" fillId="0" borderId="0" xfId="20" applyNumberFormat="1" applyFont="1" applyFill="1" applyBorder="1" applyAlignment="1" applyProtection="1">
      <alignment horizontal="center" vertical="top"/>
      <protection hidden="1"/>
    </xf>
    <xf numFmtId="0" fontId="45" fillId="0" borderId="0" xfId="21" applyAlignment="1" applyProtection="1">
      <alignment horizontal="center"/>
      <protection hidden="1"/>
    </xf>
    <xf numFmtId="164" fontId="45" fillId="0" borderId="0" xfId="21" applyNumberFormat="1" applyProtection="1">
      <protection hidden="1"/>
    </xf>
    <xf numFmtId="0" fontId="45" fillId="0" borderId="0" xfId="21" applyProtection="1">
      <protection hidden="1"/>
    </xf>
    <xf numFmtId="0" fontId="65" fillId="0" borderId="0" xfId="21" applyFont="1" applyAlignment="1" applyProtection="1">
      <alignment horizontal="left"/>
      <protection hidden="1"/>
    </xf>
    <xf numFmtId="0" fontId="63" fillId="0" borderId="0" xfId="21" applyFont="1" applyAlignment="1" applyProtection="1">
      <alignment horizontal="left"/>
      <protection hidden="1"/>
    </xf>
    <xf numFmtId="0" fontId="65" fillId="0" borderId="0" xfId="21" applyFont="1" applyAlignment="1" applyProtection="1">
      <alignment horizontal="center"/>
      <protection hidden="1"/>
    </xf>
    <xf numFmtId="0" fontId="67" fillId="2" borderId="28" xfId="22" applyFont="1" applyFill="1" applyBorder="1" applyAlignment="1" applyProtection="1">
      <alignment horizontal="center" vertical="top"/>
      <protection hidden="1"/>
    </xf>
    <xf numFmtId="0" fontId="67" fillId="2" borderId="30" xfId="22" applyFont="1" applyFill="1" applyBorder="1" applyAlignment="1" applyProtection="1">
      <alignment horizontal="center" vertical="top"/>
      <protection hidden="1"/>
    </xf>
    <xf numFmtId="0" fontId="67" fillId="3" borderId="29" xfId="22" applyFont="1" applyFill="1" applyBorder="1" applyAlignment="1" applyProtection="1">
      <alignment horizontal="center" vertical="top"/>
      <protection hidden="1"/>
    </xf>
    <xf numFmtId="164" fontId="67" fillId="3" borderId="29" xfId="22" applyNumberFormat="1" applyFont="1" applyFill="1" applyBorder="1" applyAlignment="1" applyProtection="1">
      <alignment horizontal="center" vertical="top"/>
      <protection hidden="1"/>
    </xf>
    <xf numFmtId="0" fontId="45" fillId="0" borderId="29" xfId="21" applyBorder="1" applyAlignment="1" applyProtection="1">
      <alignment horizontal="center"/>
      <protection hidden="1"/>
    </xf>
    <xf numFmtId="1" fontId="45" fillId="0" borderId="0" xfId="21" applyNumberFormat="1" applyProtection="1">
      <protection hidden="1"/>
    </xf>
    <xf numFmtId="3" fontId="45" fillId="0" borderId="0" xfId="21" applyNumberFormat="1" applyProtection="1">
      <protection hidden="1"/>
    </xf>
    <xf numFmtId="9" fontId="45" fillId="0" borderId="0" xfId="21" applyNumberFormat="1" applyProtection="1">
      <protection hidden="1"/>
    </xf>
    <xf numFmtId="0" fontId="65" fillId="0" borderId="0" xfId="21" applyFont="1" applyProtection="1">
      <protection hidden="1"/>
    </xf>
    <xf numFmtId="0" fontId="67" fillId="2" borderId="30" xfId="22" applyFont="1" applyFill="1" applyBorder="1" applyAlignment="1" applyProtection="1">
      <alignment horizontal="center" wrapText="1"/>
      <protection hidden="1"/>
    </xf>
    <xf numFmtId="2" fontId="45" fillId="0" borderId="29" xfId="21" applyNumberFormat="1" applyBorder="1" applyAlignment="1" applyProtection="1">
      <alignment horizontal="center"/>
      <protection hidden="1"/>
    </xf>
    <xf numFmtId="0" fontId="45" fillId="0" borderId="0" xfId="21" applyAlignment="1" applyProtection="1">
      <alignment horizontal="left"/>
      <protection hidden="1"/>
    </xf>
    <xf numFmtId="0" fontId="71" fillId="0" borderId="0" xfId="21" applyFont="1" applyProtection="1">
      <protection hidden="1"/>
    </xf>
    <xf numFmtId="0" fontId="71" fillId="0" borderId="0" xfId="21" applyFont="1" applyAlignment="1" applyProtection="1">
      <alignment horizontal="left"/>
      <protection hidden="1"/>
    </xf>
    <xf numFmtId="0" fontId="45" fillId="0" borderId="29" xfId="21" quotePrefix="1" applyBorder="1" applyAlignment="1" applyProtection="1">
      <alignment horizontal="center"/>
      <protection hidden="1"/>
    </xf>
    <xf numFmtId="0" fontId="45" fillId="8" borderId="29" xfId="21" applyFill="1" applyBorder="1" applyAlignment="1" applyProtection="1">
      <alignment horizontal="center"/>
      <protection hidden="1"/>
    </xf>
    <xf numFmtId="164" fontId="44" fillId="0" borderId="0" xfId="23" applyNumberFormat="1" applyProtection="1">
      <protection hidden="1"/>
    </xf>
    <xf numFmtId="0" fontId="44" fillId="0" borderId="0" xfId="23" applyProtection="1">
      <protection hidden="1"/>
    </xf>
    <xf numFmtId="0" fontId="44" fillId="0" borderId="0" xfId="23" applyAlignment="1" applyProtection="1">
      <alignment horizontal="center"/>
      <protection hidden="1"/>
    </xf>
    <xf numFmtId="0" fontId="63" fillId="0" borderId="0" xfId="23" applyFont="1" applyAlignment="1" applyProtection="1">
      <alignment horizontal="left"/>
      <protection hidden="1"/>
    </xf>
    <xf numFmtId="0" fontId="65" fillId="0" borderId="0" xfId="23" applyFont="1" applyAlignment="1" applyProtection="1">
      <alignment horizontal="center"/>
      <protection hidden="1"/>
    </xf>
    <xf numFmtId="0" fontId="67" fillId="2" borderId="28" xfId="24" applyFont="1" applyFill="1" applyBorder="1" applyAlignment="1" applyProtection="1">
      <alignment horizontal="center" vertical="top"/>
      <protection hidden="1"/>
    </xf>
    <xf numFmtId="0" fontId="67" fillId="2" borderId="30" xfId="24" applyFont="1" applyFill="1" applyBorder="1" applyAlignment="1" applyProtection="1">
      <alignment horizontal="center" vertical="top"/>
      <protection hidden="1"/>
    </xf>
    <xf numFmtId="0" fontId="67" fillId="3" borderId="29" xfId="24" applyFont="1" applyFill="1" applyBorder="1" applyAlignment="1" applyProtection="1">
      <alignment horizontal="center" vertical="top"/>
      <protection hidden="1"/>
    </xf>
    <xf numFmtId="164" fontId="67" fillId="3" borderId="29" xfId="24" applyNumberFormat="1" applyFont="1" applyFill="1" applyBorder="1" applyAlignment="1" applyProtection="1">
      <alignment horizontal="center" vertical="top"/>
      <protection hidden="1"/>
    </xf>
    <xf numFmtId="9" fontId="44" fillId="0" borderId="0" xfId="23" applyNumberFormat="1" applyProtection="1">
      <protection hidden="1"/>
    </xf>
    <xf numFmtId="0" fontId="44" fillId="0" borderId="29" xfId="23" applyBorder="1" applyAlignment="1" applyProtection="1">
      <alignment horizontal="center"/>
      <protection hidden="1"/>
    </xf>
    <xf numFmtId="164" fontId="44" fillId="0" borderId="29" xfId="23" applyNumberFormat="1" applyBorder="1" applyProtection="1">
      <protection hidden="1"/>
    </xf>
    <xf numFmtId="1" fontId="44" fillId="0" borderId="0" xfId="23" applyNumberFormat="1" applyProtection="1">
      <protection hidden="1"/>
    </xf>
    <xf numFmtId="0" fontId="65" fillId="0" borderId="0" xfId="23" applyFont="1" applyProtection="1">
      <protection hidden="1"/>
    </xf>
    <xf numFmtId="0" fontId="67" fillId="2" borderId="33" xfId="24" applyFont="1" applyFill="1" applyBorder="1" applyAlignment="1" applyProtection="1">
      <alignment horizontal="center" vertical="top"/>
      <protection hidden="1"/>
    </xf>
    <xf numFmtId="0" fontId="67" fillId="3" borderId="28" xfId="24" applyFont="1" applyFill="1" applyBorder="1" applyAlignment="1" applyProtection="1">
      <alignment horizontal="center" vertical="top"/>
      <protection hidden="1"/>
    </xf>
    <xf numFmtId="0" fontId="44" fillId="0" borderId="0" xfId="23" applyAlignment="1" applyProtection="1">
      <alignment horizontal="left"/>
      <protection hidden="1"/>
    </xf>
    <xf numFmtId="0" fontId="44" fillId="0" borderId="29" xfId="23" applyBorder="1" applyAlignment="1" applyProtection="1">
      <alignment horizontal="center" vertical="top"/>
      <protection hidden="1"/>
    </xf>
    <xf numFmtId="9" fontId="63" fillId="0" borderId="0" xfId="23" applyNumberFormat="1" applyFont="1" applyAlignment="1" applyProtection="1">
      <alignment horizontal="center" vertical="center"/>
      <protection hidden="1"/>
    </xf>
    <xf numFmtId="0" fontId="67" fillId="0" borderId="0" xfId="23" applyFont="1" applyAlignment="1" applyProtection="1">
      <alignment horizontal="center" vertical="center"/>
      <protection hidden="1"/>
    </xf>
    <xf numFmtId="0" fontId="56" fillId="0" borderId="29" xfId="23" applyFont="1" applyBorder="1" applyAlignment="1" applyProtection="1">
      <alignment horizontal="center"/>
      <protection hidden="1"/>
    </xf>
    <xf numFmtId="1" fontId="69" fillId="0" borderId="29" xfId="23" applyNumberFormat="1" applyFont="1" applyBorder="1" applyAlignment="1" applyProtection="1">
      <alignment horizontal="center"/>
      <protection hidden="1"/>
    </xf>
    <xf numFmtId="0" fontId="44" fillId="0" borderId="28" xfId="23" applyBorder="1" applyAlignment="1" applyProtection="1">
      <alignment horizontal="center"/>
      <protection hidden="1"/>
    </xf>
    <xf numFmtId="49" fontId="44" fillId="0" borderId="29" xfId="23" applyNumberFormat="1" applyBorder="1" applyAlignment="1" applyProtection="1">
      <alignment horizontal="center"/>
      <protection hidden="1"/>
    </xf>
    <xf numFmtId="49" fontId="44" fillId="0" borderId="0" xfId="23" applyNumberFormat="1" applyAlignment="1" applyProtection="1">
      <alignment horizontal="left"/>
      <protection hidden="1"/>
    </xf>
    <xf numFmtId="0" fontId="44" fillId="0" borderId="29" xfId="23" applyBorder="1" applyAlignment="1" applyProtection="1">
      <alignment horizontal="left"/>
      <protection hidden="1"/>
    </xf>
    <xf numFmtId="0" fontId="44" fillId="0" borderId="29" xfId="21" applyFont="1" applyBorder="1" applyAlignment="1" applyProtection="1">
      <alignment horizontal="center"/>
      <protection hidden="1"/>
    </xf>
    <xf numFmtId="0" fontId="43" fillId="0" borderId="29" xfId="23" applyFont="1" applyBorder="1" applyAlignment="1" applyProtection="1">
      <alignment horizontal="center"/>
      <protection hidden="1"/>
    </xf>
    <xf numFmtId="0" fontId="43" fillId="0" borderId="29" xfId="21" applyFont="1" applyBorder="1" applyAlignment="1" applyProtection="1">
      <alignment horizontal="center"/>
      <protection hidden="1"/>
    </xf>
    <xf numFmtId="0" fontId="44" fillId="13" borderId="29" xfId="23" applyFill="1" applyBorder="1" applyAlignment="1" applyProtection="1">
      <alignment horizontal="center"/>
      <protection hidden="1"/>
    </xf>
    <xf numFmtId="1" fontId="69" fillId="13" borderId="29" xfId="23" applyNumberFormat="1" applyFont="1" applyFill="1" applyBorder="1" applyAlignment="1" applyProtection="1">
      <alignment horizontal="center"/>
      <protection hidden="1"/>
    </xf>
    <xf numFmtId="0" fontId="44" fillId="13" borderId="31" xfId="23" applyFill="1" applyBorder="1" applyAlignment="1" applyProtection="1">
      <alignment horizontal="center"/>
      <protection hidden="1"/>
    </xf>
    <xf numFmtId="0" fontId="44" fillId="13" borderId="29" xfId="23" applyFill="1" applyBorder="1" applyAlignment="1" applyProtection="1">
      <alignment horizontal="center" vertical="top"/>
      <protection hidden="1"/>
    </xf>
    <xf numFmtId="0" fontId="45" fillId="13" borderId="29" xfId="21" applyFill="1" applyBorder="1" applyAlignment="1" applyProtection="1">
      <alignment horizontal="center"/>
      <protection hidden="1"/>
    </xf>
    <xf numFmtId="0" fontId="45" fillId="13" borderId="29" xfId="21" quotePrefix="1" applyFill="1" applyBorder="1" applyAlignment="1" applyProtection="1">
      <alignment horizontal="center"/>
      <protection hidden="1"/>
    </xf>
    <xf numFmtId="0" fontId="46" fillId="13" borderId="29" xfId="19" applyFill="1" applyBorder="1" applyAlignment="1" applyProtection="1">
      <alignment horizontal="center"/>
      <protection hidden="1"/>
    </xf>
    <xf numFmtId="0" fontId="46" fillId="13" borderId="31" xfId="19" applyFill="1" applyBorder="1" applyAlignment="1" applyProtection="1">
      <alignment horizontal="center"/>
      <protection hidden="1"/>
    </xf>
    <xf numFmtId="0" fontId="47" fillId="13" borderId="29" xfId="17" applyFill="1" applyBorder="1" applyAlignment="1" applyProtection="1">
      <alignment horizontal="center"/>
      <protection hidden="1"/>
    </xf>
    <xf numFmtId="0" fontId="47" fillId="13" borderId="31" xfId="17" applyFill="1" applyBorder="1" applyAlignment="1" applyProtection="1">
      <alignment horizontal="center"/>
      <protection hidden="1"/>
    </xf>
    <xf numFmtId="0" fontId="56" fillId="13" borderId="29" xfId="17" applyFont="1" applyFill="1" applyBorder="1" applyAlignment="1" applyProtection="1">
      <alignment horizontal="center"/>
      <protection hidden="1"/>
    </xf>
    <xf numFmtId="0" fontId="0" fillId="13" borderId="29" xfId="0" applyFill="1" applyBorder="1" applyAlignment="1" applyProtection="1">
      <alignment horizontal="center"/>
      <protection hidden="1"/>
    </xf>
    <xf numFmtId="0" fontId="48" fillId="13" borderId="29" xfId="15" applyFill="1" applyBorder="1" applyAlignment="1" applyProtection="1">
      <alignment horizontal="center"/>
      <protection hidden="1"/>
    </xf>
    <xf numFmtId="0" fontId="69" fillId="13" borderId="29" xfId="15" applyFont="1" applyFill="1" applyBorder="1" applyAlignment="1" applyProtection="1">
      <alignment horizontal="center" vertical="center"/>
      <protection hidden="1"/>
    </xf>
    <xf numFmtId="0" fontId="48" fillId="13" borderId="29" xfId="15" applyFill="1" applyBorder="1" applyAlignment="1" applyProtection="1">
      <alignment horizontal="center" vertical="center"/>
      <protection hidden="1"/>
    </xf>
    <xf numFmtId="0" fontId="0" fillId="13" borderId="29" xfId="0" applyFill="1" applyBorder="1" applyAlignment="1" applyProtection="1">
      <alignment horizontal="center" vertical="center"/>
      <protection hidden="1"/>
    </xf>
    <xf numFmtId="0" fontId="49" fillId="13" borderId="29" xfId="13" applyFill="1" applyBorder="1" applyAlignment="1" applyProtection="1">
      <alignment horizontal="center"/>
      <protection hidden="1"/>
    </xf>
    <xf numFmtId="0" fontId="74" fillId="13" borderId="29" xfId="13" applyFont="1" applyFill="1" applyBorder="1" applyAlignment="1" applyProtection="1">
      <alignment horizontal="center" vertical="center"/>
      <protection hidden="1"/>
    </xf>
    <xf numFmtId="0" fontId="56" fillId="13" borderId="29" xfId="13" applyFont="1" applyFill="1" applyBorder="1" applyAlignment="1" applyProtection="1">
      <alignment horizontal="center"/>
      <protection hidden="1"/>
    </xf>
    <xf numFmtId="0" fontId="50" fillId="13" borderId="29" xfId="11" applyFill="1" applyBorder="1" applyAlignment="1" applyProtection="1">
      <alignment horizontal="center"/>
      <protection hidden="1"/>
    </xf>
    <xf numFmtId="0" fontId="50" fillId="13" borderId="30" xfId="11" applyFill="1" applyBorder="1" applyAlignment="1" applyProtection="1">
      <alignment horizontal="center"/>
      <protection hidden="1"/>
    </xf>
    <xf numFmtId="0" fontId="50" fillId="13" borderId="31" xfId="11" applyFill="1" applyBorder="1" applyAlignment="1" applyProtection="1">
      <alignment horizontal="center"/>
      <protection hidden="1"/>
    </xf>
    <xf numFmtId="0" fontId="56" fillId="13" borderId="29" xfId="11" applyFont="1" applyFill="1" applyBorder="1" applyAlignment="1" applyProtection="1">
      <alignment horizontal="center"/>
      <protection hidden="1"/>
    </xf>
    <xf numFmtId="0" fontId="51" fillId="13" borderId="29" xfId="9" applyFill="1" applyBorder="1" applyAlignment="1" applyProtection="1">
      <alignment horizontal="center"/>
      <protection hidden="1"/>
    </xf>
    <xf numFmtId="0" fontId="52" fillId="13" borderId="29" xfId="6" applyFill="1" applyBorder="1" applyAlignment="1" applyProtection="1">
      <alignment horizontal="center"/>
      <protection hidden="1"/>
    </xf>
    <xf numFmtId="0" fontId="52" fillId="13" borderId="31" xfId="6" applyFill="1" applyBorder="1" applyAlignment="1" applyProtection="1">
      <alignment horizontal="center"/>
      <protection hidden="1"/>
    </xf>
    <xf numFmtId="0" fontId="56" fillId="13" borderId="29" xfId="8" applyFill="1" applyBorder="1" applyAlignment="1" applyProtection="1">
      <alignment horizontal="center"/>
      <protection hidden="1"/>
    </xf>
    <xf numFmtId="0" fontId="56" fillId="13" borderId="29" xfId="6" applyFont="1" applyFill="1" applyBorder="1" applyAlignment="1" applyProtection="1">
      <alignment horizontal="center"/>
      <protection hidden="1"/>
    </xf>
    <xf numFmtId="1" fontId="53" fillId="13" borderId="29" xfId="5" applyNumberFormat="1" applyFill="1" applyBorder="1" applyAlignment="1" applyProtection="1">
      <alignment horizontal="center"/>
      <protection hidden="1"/>
    </xf>
    <xf numFmtId="1" fontId="69" fillId="13" borderId="29" xfId="5" applyNumberFormat="1" applyFont="1" applyFill="1" applyBorder="1" applyAlignment="1" applyProtection="1">
      <alignment horizontal="center"/>
      <protection hidden="1"/>
    </xf>
    <xf numFmtId="1" fontId="69" fillId="13" borderId="29" xfId="6" applyNumberFormat="1" applyFont="1" applyFill="1" applyBorder="1" applyAlignment="1" applyProtection="1">
      <alignment horizontal="center"/>
      <protection hidden="1"/>
    </xf>
    <xf numFmtId="0" fontId="53" fillId="13" borderId="29" xfId="5" applyFill="1" applyBorder="1" applyAlignment="1" applyProtection="1">
      <alignment horizontal="center"/>
      <protection hidden="1"/>
    </xf>
    <xf numFmtId="0" fontId="53" fillId="13" borderId="31" xfId="5" applyFill="1" applyBorder="1" applyAlignment="1" applyProtection="1">
      <alignment horizontal="center"/>
      <protection hidden="1"/>
    </xf>
    <xf numFmtId="0" fontId="53" fillId="13" borderId="26" xfId="5" applyFill="1" applyBorder="1" applyAlignment="1" applyProtection="1">
      <alignment horizontal="center"/>
      <protection hidden="1"/>
    </xf>
    <xf numFmtId="164" fontId="0" fillId="0" borderId="29" xfId="0" applyNumberFormat="1" applyBorder="1" applyAlignment="1" applyProtection="1">
      <alignment horizontal="right"/>
      <protection hidden="1"/>
    </xf>
    <xf numFmtId="0" fontId="42" fillId="0" borderId="0" xfId="5" applyFont="1" applyProtection="1">
      <protection hidden="1"/>
    </xf>
    <xf numFmtId="0" fontId="41" fillId="0" borderId="29" xfId="15" applyFont="1" applyBorder="1" applyAlignment="1" applyProtection="1">
      <alignment horizontal="center"/>
      <protection hidden="1"/>
    </xf>
    <xf numFmtId="0" fontId="40" fillId="13" borderId="29" xfId="19" applyFont="1" applyFill="1" applyBorder="1" applyAlignment="1" applyProtection="1">
      <alignment horizontal="center"/>
      <protection hidden="1"/>
    </xf>
    <xf numFmtId="0" fontId="40" fillId="13" borderId="29" xfId="6" applyFont="1" applyFill="1" applyBorder="1" applyAlignment="1" applyProtection="1">
      <alignment horizontal="center"/>
      <protection hidden="1"/>
    </xf>
    <xf numFmtId="0" fontId="40" fillId="0" borderId="29" xfId="6" applyFont="1" applyBorder="1" applyAlignment="1" applyProtection="1">
      <alignment horizontal="center"/>
      <protection hidden="1"/>
    </xf>
    <xf numFmtId="0" fontId="40" fillId="13" borderId="31" xfId="5" applyFont="1" applyFill="1" applyBorder="1" applyAlignment="1" applyProtection="1">
      <alignment horizontal="center"/>
      <protection hidden="1"/>
    </xf>
    <xf numFmtId="0" fontId="40" fillId="13" borderId="26" xfId="5" applyFont="1" applyFill="1" applyBorder="1" applyAlignment="1" applyProtection="1">
      <alignment horizontal="center"/>
      <protection hidden="1"/>
    </xf>
    <xf numFmtId="0" fontId="40" fillId="13" borderId="29" xfId="13" applyFont="1" applyFill="1" applyBorder="1" applyAlignment="1" applyProtection="1">
      <alignment horizontal="center"/>
      <protection hidden="1"/>
    </xf>
    <xf numFmtId="0" fontId="39" fillId="13" borderId="29" xfId="19" applyFont="1" applyFill="1" applyBorder="1" applyAlignment="1" applyProtection="1">
      <alignment horizontal="center"/>
      <protection hidden="1"/>
    </xf>
    <xf numFmtId="0" fontId="38" fillId="0" borderId="29" xfId="23" applyFont="1" applyBorder="1" applyAlignment="1" applyProtection="1">
      <alignment horizontal="center"/>
      <protection hidden="1"/>
    </xf>
    <xf numFmtId="0" fontId="38" fillId="13" borderId="29" xfId="19" applyFont="1" applyFill="1" applyBorder="1" applyAlignment="1" applyProtection="1">
      <alignment horizontal="center"/>
      <protection hidden="1"/>
    </xf>
    <xf numFmtId="0" fontId="38" fillId="0" borderId="0" xfId="19" quotePrefix="1" applyFont="1" applyAlignment="1" applyProtection="1">
      <alignment horizontal="left"/>
      <protection hidden="1"/>
    </xf>
    <xf numFmtId="0" fontId="36" fillId="0" borderId="0" xfId="28" applyAlignment="1" applyProtection="1">
      <alignment horizontal="center" vertical="center"/>
      <protection hidden="1"/>
    </xf>
    <xf numFmtId="164" fontId="36" fillId="0" borderId="0" xfId="28" applyNumberFormat="1" applyAlignment="1" applyProtection="1">
      <alignment vertical="center"/>
      <protection hidden="1"/>
    </xf>
    <xf numFmtId="0" fontId="36" fillId="0" borderId="0" xfId="28" applyAlignment="1" applyProtection="1">
      <alignment vertical="center"/>
      <protection hidden="1"/>
    </xf>
    <xf numFmtId="9" fontId="63" fillId="0" borderId="0" xfId="28" applyNumberFormat="1" applyFont="1" applyAlignment="1" applyProtection="1">
      <alignment horizontal="center" vertical="center"/>
      <protection hidden="1"/>
    </xf>
    <xf numFmtId="0" fontId="67" fillId="0" borderId="0" xfId="28" applyFont="1" applyAlignment="1" applyProtection="1">
      <alignment horizontal="center" vertical="center"/>
      <protection hidden="1"/>
    </xf>
    <xf numFmtId="0" fontId="36" fillId="0" borderId="0" xfId="28" applyAlignment="1" applyProtection="1">
      <alignment horizontal="center"/>
      <protection hidden="1"/>
    </xf>
    <xf numFmtId="164" fontId="36" fillId="0" borderId="0" xfId="28" applyNumberFormat="1" applyProtection="1">
      <protection hidden="1"/>
    </xf>
    <xf numFmtId="0" fontId="36" fillId="0" borderId="0" xfId="28" applyProtection="1">
      <protection hidden="1"/>
    </xf>
    <xf numFmtId="0" fontId="63" fillId="0" borderId="0" xfId="28" applyFont="1" applyAlignment="1" applyProtection="1">
      <alignment horizontal="left"/>
      <protection hidden="1"/>
    </xf>
    <xf numFmtId="0" fontId="65" fillId="0" borderId="0" xfId="28" applyFont="1" applyAlignment="1" applyProtection="1">
      <alignment horizontal="center"/>
      <protection hidden="1"/>
    </xf>
    <xf numFmtId="0" fontId="36" fillId="0" borderId="29" xfId="28" applyBorder="1" applyAlignment="1" applyProtection="1">
      <alignment horizontal="center"/>
      <protection hidden="1"/>
    </xf>
    <xf numFmtId="0" fontId="35" fillId="0" borderId="0" xfId="30" applyAlignment="1" applyProtection="1">
      <alignment horizontal="center"/>
      <protection hidden="1"/>
    </xf>
    <xf numFmtId="164" fontId="35" fillId="0" borderId="0" xfId="30" applyNumberFormat="1" applyProtection="1">
      <protection hidden="1"/>
    </xf>
    <xf numFmtId="164" fontId="35" fillId="0" borderId="0" xfId="30" applyNumberFormat="1" applyAlignment="1" applyProtection="1">
      <alignment horizontal="center"/>
      <protection hidden="1"/>
    </xf>
    <xf numFmtId="0" fontId="35" fillId="0" borderId="0" xfId="30" applyProtection="1">
      <protection hidden="1"/>
    </xf>
    <xf numFmtId="9" fontId="63" fillId="0" borderId="0" xfId="30" applyNumberFormat="1" applyFont="1" applyAlignment="1" applyProtection="1">
      <alignment horizontal="center" vertical="center"/>
      <protection hidden="1"/>
    </xf>
    <xf numFmtId="0" fontId="67" fillId="0" borderId="0" xfId="30" applyFont="1" applyAlignment="1" applyProtection="1">
      <alignment horizontal="center" vertical="center"/>
      <protection hidden="1"/>
    </xf>
    <xf numFmtId="0" fontId="65" fillId="0" borderId="0" xfId="30" applyFont="1" applyAlignment="1" applyProtection="1">
      <alignment horizontal="left"/>
      <protection hidden="1"/>
    </xf>
    <xf numFmtId="0" fontId="65" fillId="0" borderId="0" xfId="30" applyFont="1" applyAlignment="1" applyProtection="1">
      <alignment horizontal="center"/>
      <protection hidden="1"/>
    </xf>
    <xf numFmtId="0" fontId="35" fillId="0" borderId="29" xfId="30" applyBorder="1" applyAlignment="1" applyProtection="1">
      <alignment horizontal="center"/>
      <protection hidden="1"/>
    </xf>
    <xf numFmtId="164" fontId="35" fillId="0" borderId="29" xfId="30" applyNumberFormat="1" applyBorder="1" applyProtection="1">
      <protection hidden="1"/>
    </xf>
    <xf numFmtId="49" fontId="35" fillId="0" borderId="29" xfId="30" applyNumberFormat="1" applyBorder="1" applyAlignment="1" applyProtection="1">
      <alignment horizontal="center"/>
      <protection hidden="1"/>
    </xf>
    <xf numFmtId="0" fontId="63" fillId="0" borderId="0" xfId="30" applyFont="1" applyAlignment="1" applyProtection="1">
      <alignment horizontal="left"/>
      <protection hidden="1"/>
    </xf>
    <xf numFmtId="0" fontId="35" fillId="0" borderId="0" xfId="30" applyAlignment="1" applyProtection="1">
      <alignment horizontal="left"/>
      <protection hidden="1"/>
    </xf>
    <xf numFmtId="0" fontId="35" fillId="4" borderId="29" xfId="30" applyFill="1" applyBorder="1" applyAlignment="1" applyProtection="1">
      <alignment horizontal="center"/>
      <protection hidden="1"/>
    </xf>
    <xf numFmtId="49" fontId="35" fillId="0" borderId="0" xfId="30" applyNumberFormat="1" applyAlignment="1" applyProtection="1">
      <alignment horizontal="left"/>
      <protection hidden="1"/>
    </xf>
    <xf numFmtId="0" fontId="58" fillId="6" borderId="0" xfId="0" applyFont="1" applyFill="1" applyAlignment="1" applyProtection="1">
      <alignment vertical="center"/>
      <protection hidden="1"/>
    </xf>
    <xf numFmtId="0" fontId="58" fillId="6" borderId="0" xfId="0" applyFont="1" applyFill="1" applyAlignment="1" applyProtection="1">
      <alignment vertical="top" wrapText="1"/>
      <protection hidden="1"/>
    </xf>
    <xf numFmtId="0" fontId="57" fillId="3" borderId="7" xfId="0" applyFont="1" applyFill="1" applyBorder="1" applyAlignment="1" applyProtection="1">
      <alignment horizontal="center" vertical="center" wrapText="1"/>
      <protection hidden="1"/>
    </xf>
    <xf numFmtId="0" fontId="53" fillId="4" borderId="7" xfId="5" applyFill="1" applyBorder="1" applyAlignment="1" applyProtection="1">
      <alignment horizontal="center"/>
      <protection hidden="1"/>
    </xf>
    <xf numFmtId="164" fontId="53" fillId="4" borderId="7" xfId="5" applyNumberFormat="1" applyFill="1" applyBorder="1" applyProtection="1">
      <protection hidden="1"/>
    </xf>
    <xf numFmtId="0" fontId="53" fillId="4" borderId="7" xfId="5" applyFill="1" applyBorder="1" applyProtection="1">
      <protection hidden="1"/>
    </xf>
    <xf numFmtId="0" fontId="35" fillId="4" borderId="7" xfId="30" applyFill="1" applyBorder="1" applyProtection="1">
      <protection hidden="1"/>
    </xf>
    <xf numFmtId="0" fontId="35" fillId="4" borderId="7" xfId="30" applyFill="1" applyBorder="1" applyAlignment="1" applyProtection="1">
      <alignment horizontal="center"/>
      <protection hidden="1"/>
    </xf>
    <xf numFmtId="164" fontId="35" fillId="4" borderId="7" xfId="30" applyNumberFormat="1" applyFill="1" applyBorder="1" applyProtection="1">
      <protection hidden="1"/>
    </xf>
    <xf numFmtId="164" fontId="35" fillId="4" borderId="7" xfId="30" applyNumberFormat="1" applyFill="1" applyBorder="1" applyAlignment="1" applyProtection="1">
      <alignment horizontal="center"/>
      <protection hidden="1"/>
    </xf>
    <xf numFmtId="164" fontId="36" fillId="4" borderId="7" xfId="28" applyNumberFormat="1" applyFill="1" applyBorder="1" applyProtection="1">
      <protection hidden="1"/>
    </xf>
    <xf numFmtId="0" fontId="36" fillId="4" borderId="7" xfId="28" applyFill="1" applyBorder="1" applyProtection="1">
      <protection hidden="1"/>
    </xf>
    <xf numFmtId="0" fontId="36" fillId="4" borderId="7" xfId="28" applyFill="1" applyBorder="1" applyAlignment="1" applyProtection="1">
      <alignment horizontal="center"/>
      <protection hidden="1"/>
    </xf>
    <xf numFmtId="0" fontId="44" fillId="4" borderId="7" xfId="23" applyFill="1" applyBorder="1" applyProtection="1">
      <protection hidden="1"/>
    </xf>
    <xf numFmtId="0" fontId="44" fillId="4" borderId="7" xfId="23" applyFill="1" applyBorder="1" applyAlignment="1" applyProtection="1">
      <alignment horizontal="center"/>
      <protection hidden="1"/>
    </xf>
    <xf numFmtId="164" fontId="44" fillId="4" borderId="7" xfId="23" applyNumberFormat="1" applyFill="1" applyBorder="1" applyProtection="1">
      <protection hidden="1"/>
    </xf>
    <xf numFmtId="0" fontId="45" fillId="4" borderId="7" xfId="21" applyFill="1" applyBorder="1" applyProtection="1">
      <protection hidden="1"/>
    </xf>
    <xf numFmtId="0" fontId="45" fillId="4" borderId="7" xfId="21" applyFill="1" applyBorder="1" applyAlignment="1" applyProtection="1">
      <alignment horizontal="center"/>
      <protection hidden="1"/>
    </xf>
    <xf numFmtId="164" fontId="45" fillId="4" borderId="7" xfId="21" applyNumberFormat="1" applyFill="1" applyBorder="1" applyProtection="1">
      <protection hidden="1"/>
    </xf>
    <xf numFmtId="164" fontId="46" fillId="4" borderId="7" xfId="19" applyNumberFormat="1" applyFill="1" applyBorder="1" applyProtection="1">
      <protection hidden="1"/>
    </xf>
    <xf numFmtId="0" fontId="46" fillId="4" borderId="7" xfId="19" applyFill="1" applyBorder="1" applyProtection="1">
      <protection hidden="1"/>
    </xf>
    <xf numFmtId="0" fontId="46" fillId="4" borderId="7" xfId="19" applyFill="1" applyBorder="1" applyAlignment="1" applyProtection="1">
      <alignment horizontal="center"/>
      <protection hidden="1"/>
    </xf>
    <xf numFmtId="164" fontId="46" fillId="4" borderId="7" xfId="19" applyNumberFormat="1" applyFill="1" applyBorder="1" applyAlignment="1" applyProtection="1">
      <alignment horizontal="center"/>
      <protection hidden="1"/>
    </xf>
    <xf numFmtId="0" fontId="47" fillId="4" borderId="7" xfId="17" applyFill="1" applyBorder="1" applyProtection="1">
      <protection hidden="1"/>
    </xf>
    <xf numFmtId="0" fontId="47" fillId="4" borderId="7" xfId="17" applyFill="1" applyBorder="1" applyAlignment="1" applyProtection="1">
      <alignment horizontal="center"/>
      <protection hidden="1"/>
    </xf>
    <xf numFmtId="164" fontId="47" fillId="4" borderId="7" xfId="17" applyNumberFormat="1" applyFill="1" applyBorder="1" applyProtection="1">
      <protection hidden="1"/>
    </xf>
    <xf numFmtId="164" fontId="47" fillId="4" borderId="7" xfId="17" applyNumberFormat="1" applyFill="1" applyBorder="1" applyAlignment="1" applyProtection="1">
      <alignment horizontal="center"/>
      <protection hidden="1"/>
    </xf>
    <xf numFmtId="0" fontId="48" fillId="4" borderId="7" xfId="15" applyFill="1" applyBorder="1" applyProtection="1">
      <protection hidden="1"/>
    </xf>
    <xf numFmtId="0" fontId="48" fillId="4" borderId="7" xfId="15" applyFill="1" applyBorder="1" applyAlignment="1" applyProtection="1">
      <alignment horizontal="center"/>
      <protection hidden="1"/>
    </xf>
    <xf numFmtId="164" fontId="48" fillId="4" borderId="7" xfId="15" applyNumberFormat="1" applyFill="1" applyBorder="1" applyProtection="1">
      <protection hidden="1"/>
    </xf>
    <xf numFmtId="0" fontId="49" fillId="4" borderId="7" xfId="13" applyFill="1" applyBorder="1" applyProtection="1">
      <protection hidden="1"/>
    </xf>
    <xf numFmtId="164" fontId="49" fillId="4" borderId="7" xfId="13" applyNumberFormat="1" applyFill="1" applyBorder="1" applyProtection="1">
      <protection hidden="1"/>
    </xf>
    <xf numFmtId="0" fontId="49" fillId="4" borderId="7" xfId="13" applyFill="1" applyBorder="1" applyAlignment="1" applyProtection="1">
      <alignment horizontal="center"/>
      <protection hidden="1"/>
    </xf>
    <xf numFmtId="164" fontId="50" fillId="4" borderId="7" xfId="11" applyNumberFormat="1" applyFill="1" applyBorder="1" applyProtection="1">
      <protection hidden="1"/>
    </xf>
    <xf numFmtId="0" fontId="50" fillId="4" borderId="7" xfId="11" applyFill="1" applyBorder="1" applyProtection="1">
      <protection hidden="1"/>
    </xf>
    <xf numFmtId="0" fontId="50" fillId="4" borderId="7" xfId="11" applyFill="1" applyBorder="1" applyAlignment="1" applyProtection="1">
      <alignment horizontal="right"/>
      <protection hidden="1"/>
    </xf>
    <xf numFmtId="164" fontId="51" fillId="4" borderId="7" xfId="9" applyNumberFormat="1" applyFill="1" applyBorder="1" applyProtection="1">
      <protection hidden="1"/>
    </xf>
    <xf numFmtId="0" fontId="51" fillId="4" borderId="7" xfId="9" applyFill="1" applyBorder="1" applyProtection="1">
      <protection hidden="1"/>
    </xf>
    <xf numFmtId="0" fontId="52" fillId="4" borderId="7" xfId="6" applyFill="1" applyBorder="1" applyAlignment="1" applyProtection="1">
      <alignment horizontal="center"/>
      <protection hidden="1"/>
    </xf>
    <xf numFmtId="164" fontId="52" fillId="4" borderId="7" xfId="6" applyNumberFormat="1" applyFill="1" applyBorder="1" applyProtection="1">
      <protection hidden="1"/>
    </xf>
    <xf numFmtId="0" fontId="52" fillId="4" borderId="7" xfId="6" applyFill="1" applyBorder="1" applyProtection="1">
      <protection hidden="1"/>
    </xf>
    <xf numFmtId="0" fontId="52" fillId="4" borderId="7" xfId="6" applyFill="1" applyBorder="1" applyAlignment="1" applyProtection="1">
      <alignment horizontal="center" vertical="center"/>
      <protection hidden="1"/>
    </xf>
    <xf numFmtId="0" fontId="58" fillId="4" borderId="7" xfId="0" applyFont="1" applyFill="1" applyBorder="1" applyAlignment="1" applyProtection="1">
      <alignment vertical="center"/>
      <protection hidden="1"/>
    </xf>
    <xf numFmtId="0" fontId="79" fillId="4" borderId="0" xfId="33" applyFill="1" applyBorder="1" applyAlignment="1" applyProtection="1">
      <alignment horizontal="left"/>
      <protection hidden="1"/>
    </xf>
    <xf numFmtId="0" fontId="64" fillId="4" borderId="7" xfId="30" applyFont="1" applyFill="1" applyBorder="1" applyProtection="1">
      <protection hidden="1"/>
    </xf>
    <xf numFmtId="0" fontId="64" fillId="4" borderId="7" xfId="28" applyFont="1" applyFill="1" applyBorder="1" applyProtection="1">
      <protection hidden="1"/>
    </xf>
    <xf numFmtId="0" fontId="64" fillId="4" borderId="7" xfId="23" applyFont="1" applyFill="1" applyBorder="1" applyProtection="1">
      <protection hidden="1"/>
    </xf>
    <xf numFmtId="0" fontId="64" fillId="4" borderId="7" xfId="21" applyFont="1" applyFill="1" applyBorder="1" applyProtection="1">
      <protection hidden="1"/>
    </xf>
    <xf numFmtId="0" fontId="64" fillId="4" borderId="7" xfId="21" applyFont="1" applyFill="1" applyBorder="1" applyAlignment="1" applyProtection="1">
      <alignment horizontal="left"/>
      <protection hidden="1"/>
    </xf>
    <xf numFmtId="0" fontId="64" fillId="4" borderId="7" xfId="19" applyFont="1" applyFill="1" applyBorder="1" applyAlignment="1" applyProtection="1">
      <alignment horizontal="left"/>
      <protection hidden="1"/>
    </xf>
    <xf numFmtId="0" fontId="64" fillId="4" borderId="7" xfId="17" applyFont="1" applyFill="1" applyBorder="1" applyAlignment="1" applyProtection="1">
      <alignment horizontal="left"/>
      <protection hidden="1"/>
    </xf>
    <xf numFmtId="0" fontId="64" fillId="4" borderId="7" xfId="15" applyFont="1" applyFill="1" applyBorder="1" applyAlignment="1" applyProtection="1">
      <alignment horizontal="left"/>
      <protection hidden="1"/>
    </xf>
    <xf numFmtId="0" fontId="64" fillId="4" borderId="7" xfId="13" applyFont="1" applyFill="1" applyBorder="1" applyAlignment="1" applyProtection="1">
      <alignment horizontal="left"/>
      <protection hidden="1"/>
    </xf>
    <xf numFmtId="0" fontId="64" fillId="4" borderId="7" xfId="11" applyFont="1" applyFill="1" applyBorder="1" applyAlignment="1" applyProtection="1">
      <alignment horizontal="left"/>
      <protection hidden="1"/>
    </xf>
    <xf numFmtId="0" fontId="64" fillId="4" borderId="7" xfId="9" applyFont="1" applyFill="1" applyBorder="1" applyAlignment="1" applyProtection="1">
      <alignment horizontal="left"/>
      <protection hidden="1"/>
    </xf>
    <xf numFmtId="0" fontId="58" fillId="8" borderId="0" xfId="0" applyFont="1" applyFill="1" applyAlignment="1" applyProtection="1">
      <alignment vertical="center"/>
      <protection hidden="1"/>
    </xf>
    <xf numFmtId="0" fontId="59" fillId="8" borderId="0" xfId="30" applyFont="1" applyFill="1" applyAlignment="1" applyProtection="1">
      <alignment horizontal="left"/>
      <protection hidden="1"/>
    </xf>
    <xf numFmtId="0" fontId="35" fillId="8" borderId="0" xfId="30" applyFill="1" applyProtection="1">
      <protection hidden="1"/>
    </xf>
    <xf numFmtId="0" fontId="35" fillId="8" borderId="0" xfId="30" applyFill="1" applyAlignment="1" applyProtection="1">
      <alignment horizontal="center"/>
      <protection hidden="1"/>
    </xf>
    <xf numFmtId="164" fontId="35" fillId="8" borderId="0" xfId="30" applyNumberFormat="1" applyFill="1" applyProtection="1">
      <protection hidden="1"/>
    </xf>
    <xf numFmtId="164" fontId="35" fillId="8" borderId="0" xfId="30" applyNumberFormat="1" applyFill="1" applyAlignment="1" applyProtection="1">
      <alignment horizontal="center"/>
      <protection hidden="1"/>
    </xf>
    <xf numFmtId="0" fontId="59" fillId="8" borderId="0" xfId="28" applyFont="1" applyFill="1" applyAlignment="1" applyProtection="1">
      <alignment horizontal="left"/>
      <protection hidden="1"/>
    </xf>
    <xf numFmtId="0" fontId="36" fillId="8" borderId="0" xfId="28" applyFill="1" applyAlignment="1" applyProtection="1">
      <alignment horizontal="center"/>
      <protection hidden="1"/>
    </xf>
    <xf numFmtId="164" fontId="36" fillId="8" borderId="0" xfId="28" applyNumberFormat="1" applyFill="1" applyProtection="1">
      <protection hidden="1"/>
    </xf>
    <xf numFmtId="0" fontId="36" fillId="8" borderId="0" xfId="28" applyFill="1" applyProtection="1">
      <protection hidden="1"/>
    </xf>
    <xf numFmtId="0" fontId="59" fillId="8" borderId="0" xfId="23" applyFont="1" applyFill="1" applyAlignment="1" applyProtection="1">
      <alignment horizontal="left"/>
      <protection hidden="1"/>
    </xf>
    <xf numFmtId="0" fontId="44" fillId="8" borderId="0" xfId="23" applyFill="1" applyProtection="1">
      <protection hidden="1"/>
    </xf>
    <xf numFmtId="0" fontId="44" fillId="8" borderId="0" xfId="23" applyFill="1" applyAlignment="1" applyProtection="1">
      <alignment horizontal="center"/>
      <protection hidden="1"/>
    </xf>
    <xf numFmtId="164" fontId="44" fillId="8" borderId="0" xfId="23" applyNumberFormat="1" applyFill="1" applyProtection="1">
      <protection hidden="1"/>
    </xf>
    <xf numFmtId="0" fontId="59" fillId="8" borderId="0" xfId="21" applyFont="1" applyFill="1" applyAlignment="1" applyProtection="1">
      <alignment horizontal="left"/>
      <protection hidden="1"/>
    </xf>
    <xf numFmtId="0" fontId="45" fillId="8" borderId="0" xfId="21" applyFill="1" applyProtection="1">
      <protection hidden="1"/>
    </xf>
    <xf numFmtId="0" fontId="45" fillId="8" borderId="0" xfId="21" applyFill="1" applyAlignment="1" applyProtection="1">
      <alignment horizontal="center"/>
      <protection hidden="1"/>
    </xf>
    <xf numFmtId="164" fontId="45" fillId="8" borderId="0" xfId="21" applyNumberFormat="1" applyFill="1" applyProtection="1">
      <protection hidden="1"/>
    </xf>
    <xf numFmtId="0" fontId="59" fillId="8" borderId="0" xfId="19" applyFont="1" applyFill="1" applyAlignment="1" applyProtection="1">
      <alignment horizontal="left"/>
      <protection hidden="1"/>
    </xf>
    <xf numFmtId="0" fontId="46" fillId="8" borderId="0" xfId="19" applyFill="1" applyAlignment="1" applyProtection="1">
      <alignment horizontal="center"/>
      <protection hidden="1"/>
    </xf>
    <xf numFmtId="164" fontId="46" fillId="8" borderId="0" xfId="19" applyNumberFormat="1" applyFill="1" applyProtection="1">
      <protection hidden="1"/>
    </xf>
    <xf numFmtId="0" fontId="46" fillId="8" borderId="0" xfId="19" applyFill="1" applyProtection="1">
      <protection hidden="1"/>
    </xf>
    <xf numFmtId="0" fontId="46" fillId="8" borderId="0" xfId="19" applyFill="1" applyAlignment="1" applyProtection="1">
      <alignment horizontal="left"/>
      <protection hidden="1"/>
    </xf>
    <xf numFmtId="164" fontId="46" fillId="8" borderId="0" xfId="19" applyNumberFormat="1" applyFill="1" applyAlignment="1" applyProtection="1">
      <alignment horizontal="center"/>
      <protection hidden="1"/>
    </xf>
    <xf numFmtId="0" fontId="59" fillId="8" borderId="0" xfId="17" applyFont="1" applyFill="1" applyAlignment="1" applyProtection="1">
      <alignment horizontal="left"/>
      <protection hidden="1"/>
    </xf>
    <xf numFmtId="0" fontId="47" fillId="8" borderId="0" xfId="17" applyFill="1" applyProtection="1">
      <protection hidden="1"/>
    </xf>
    <xf numFmtId="0" fontId="47" fillId="8" borderId="0" xfId="17" applyFill="1" applyAlignment="1" applyProtection="1">
      <alignment horizontal="center"/>
      <protection hidden="1"/>
    </xf>
    <xf numFmtId="164" fontId="47" fillId="8" borderId="0" xfId="17" applyNumberFormat="1" applyFill="1" applyProtection="1">
      <protection hidden="1"/>
    </xf>
    <xf numFmtId="164" fontId="47" fillId="8" borderId="0" xfId="17" applyNumberFormat="1" applyFill="1" applyAlignment="1" applyProtection="1">
      <alignment horizontal="center"/>
      <protection hidden="1"/>
    </xf>
    <xf numFmtId="0" fontId="59" fillId="8" borderId="0" xfId="15" applyFont="1" applyFill="1" applyAlignment="1" applyProtection="1">
      <alignment horizontal="left"/>
      <protection hidden="1"/>
    </xf>
    <xf numFmtId="0" fontId="48" fillId="8" borderId="0" xfId="15" applyFill="1" applyProtection="1">
      <protection hidden="1"/>
    </xf>
    <xf numFmtId="0" fontId="48" fillId="8" borderId="0" xfId="15" applyFill="1" applyAlignment="1" applyProtection="1">
      <alignment horizontal="center"/>
      <protection hidden="1"/>
    </xf>
    <xf numFmtId="164" fontId="48" fillId="8" borderId="0" xfId="15" applyNumberFormat="1" applyFill="1" applyProtection="1">
      <protection hidden="1"/>
    </xf>
    <xf numFmtId="0" fontId="59" fillId="8" borderId="0" xfId="13" applyFont="1" applyFill="1" applyAlignment="1" applyProtection="1">
      <alignment horizontal="left"/>
      <protection hidden="1"/>
    </xf>
    <xf numFmtId="0" fontId="49" fillId="8" borderId="0" xfId="13" applyFill="1" applyProtection="1">
      <protection hidden="1"/>
    </xf>
    <xf numFmtId="0" fontId="49" fillId="8" borderId="0" xfId="13" applyFill="1" applyAlignment="1" applyProtection="1">
      <alignment horizontal="center"/>
      <protection hidden="1"/>
    </xf>
    <xf numFmtId="164" fontId="49" fillId="8" borderId="0" xfId="13" applyNumberFormat="1" applyFill="1" applyProtection="1">
      <protection hidden="1"/>
    </xf>
    <xf numFmtId="0" fontId="59" fillId="8" borderId="0" xfId="11" applyFont="1" applyFill="1" applyAlignment="1" applyProtection="1">
      <alignment horizontal="left"/>
      <protection hidden="1"/>
    </xf>
    <xf numFmtId="0" fontId="50" fillId="8" borderId="0" xfId="11" applyFill="1" applyAlignment="1" applyProtection="1">
      <alignment horizontal="center"/>
      <protection hidden="1"/>
    </xf>
    <xf numFmtId="164" fontId="50" fillId="8" borderId="0" xfId="11" applyNumberFormat="1" applyFill="1" applyProtection="1">
      <protection hidden="1"/>
    </xf>
    <xf numFmtId="0" fontId="50" fillId="8" borderId="0" xfId="11" applyFill="1" applyProtection="1">
      <protection hidden="1"/>
    </xf>
    <xf numFmtId="0" fontId="50" fillId="8" borderId="0" xfId="11" applyFill="1" applyAlignment="1" applyProtection="1">
      <alignment horizontal="right"/>
      <protection hidden="1"/>
    </xf>
    <xf numFmtId="0" fontId="59" fillId="8" borderId="0" xfId="9" applyFont="1" applyFill="1" applyAlignment="1" applyProtection="1">
      <alignment horizontal="left"/>
      <protection hidden="1"/>
    </xf>
    <xf numFmtId="0" fontId="51" fillId="8" borderId="0" xfId="9" applyFill="1" applyAlignment="1" applyProtection="1">
      <alignment horizontal="center"/>
      <protection hidden="1"/>
    </xf>
    <xf numFmtId="164" fontId="51" fillId="8" borderId="0" xfId="9" applyNumberFormat="1" applyFill="1" applyProtection="1">
      <protection hidden="1"/>
    </xf>
    <xf numFmtId="0" fontId="51" fillId="8" borderId="0" xfId="9" applyFill="1" applyProtection="1">
      <protection hidden="1"/>
    </xf>
    <xf numFmtId="0" fontId="59" fillId="8" borderId="0" xfId="6" applyFont="1" applyFill="1" applyAlignment="1" applyProtection="1">
      <alignment horizontal="left"/>
      <protection hidden="1"/>
    </xf>
    <xf numFmtId="0" fontId="52" fillId="8" borderId="0" xfId="6" applyFill="1" applyAlignment="1" applyProtection="1">
      <alignment horizontal="center"/>
      <protection hidden="1"/>
    </xf>
    <xf numFmtId="164" fontId="52" fillId="8" borderId="0" xfId="6" applyNumberFormat="1" applyFill="1" applyProtection="1">
      <protection hidden="1"/>
    </xf>
    <xf numFmtId="0" fontId="52" fillId="8" borderId="0" xfId="6" applyFill="1" applyProtection="1">
      <protection hidden="1"/>
    </xf>
    <xf numFmtId="0" fontId="52" fillId="8" borderId="0" xfId="6" applyFill="1" applyAlignment="1" applyProtection="1">
      <alignment horizontal="center" vertical="center"/>
      <protection hidden="1"/>
    </xf>
    <xf numFmtId="0" fontId="59" fillId="8" borderId="0" xfId="5" applyFont="1" applyFill="1" applyAlignment="1" applyProtection="1">
      <alignment horizontal="left"/>
      <protection hidden="1"/>
    </xf>
    <xf numFmtId="0" fontId="53" fillId="8" borderId="0" xfId="5" applyFill="1" applyProtection="1">
      <protection hidden="1"/>
    </xf>
    <xf numFmtId="0" fontId="53" fillId="8" borderId="0" xfId="5" applyFill="1" applyAlignment="1" applyProtection="1">
      <alignment horizontal="center"/>
      <protection hidden="1"/>
    </xf>
    <xf numFmtId="164" fontId="53" fillId="8" borderId="0" xfId="5" applyNumberFormat="1" applyFill="1" applyProtection="1">
      <protection hidden="1"/>
    </xf>
    <xf numFmtId="0" fontId="34" fillId="0" borderId="0" xfId="6" applyFont="1" applyProtection="1">
      <protection hidden="1"/>
    </xf>
    <xf numFmtId="0" fontId="0" fillId="4" borderId="0" xfId="0" applyFill="1" applyAlignment="1">
      <alignment horizontal="center"/>
    </xf>
    <xf numFmtId="0" fontId="34" fillId="0" borderId="0" xfId="5" applyFont="1" applyProtection="1">
      <protection hidden="1"/>
    </xf>
    <xf numFmtId="0" fontId="33" fillId="0" borderId="0" xfId="21" applyFont="1" applyProtection="1">
      <protection hidden="1"/>
    </xf>
    <xf numFmtId="0" fontId="32" fillId="13" borderId="29" xfId="15" applyFont="1" applyFill="1" applyBorder="1" applyAlignment="1" applyProtection="1">
      <alignment horizontal="center"/>
      <protection hidden="1"/>
    </xf>
    <xf numFmtId="0" fontId="32" fillId="13" borderId="29" xfId="13" applyFont="1" applyFill="1" applyBorder="1" applyAlignment="1" applyProtection="1">
      <alignment horizontal="center"/>
      <protection hidden="1"/>
    </xf>
    <xf numFmtId="0" fontId="32" fillId="0" borderId="29" xfId="13" applyFont="1" applyBorder="1" applyAlignment="1" applyProtection="1">
      <alignment horizontal="center"/>
      <protection hidden="1"/>
    </xf>
    <xf numFmtId="0" fontId="31" fillId="0" borderId="29" xfId="11" applyFont="1" applyBorder="1" applyAlignment="1" applyProtection="1">
      <alignment horizontal="center"/>
      <protection hidden="1"/>
    </xf>
    <xf numFmtId="1" fontId="53" fillId="0" borderId="29" xfId="5" applyNumberFormat="1" applyBorder="1" applyAlignment="1" applyProtection="1">
      <alignment horizontal="center"/>
      <protection hidden="1"/>
    </xf>
    <xf numFmtId="0" fontId="56" fillId="0" borderId="29" xfId="11" applyFont="1" applyBorder="1" applyAlignment="1" applyProtection="1">
      <alignment horizontal="center"/>
      <protection hidden="1"/>
    </xf>
    <xf numFmtId="0" fontId="48" fillId="0" borderId="29" xfId="15" applyBorder="1" applyAlignment="1" applyProtection="1">
      <alignment horizontal="center" vertical="center"/>
      <protection hidden="1"/>
    </xf>
    <xf numFmtId="49" fontId="47" fillId="0" borderId="29" xfId="17" applyNumberFormat="1" applyBorder="1" applyAlignment="1" applyProtection="1">
      <alignment horizontal="center"/>
      <protection hidden="1"/>
    </xf>
    <xf numFmtId="0" fontId="38" fillId="0" borderId="29" xfId="19" applyFont="1" applyBorder="1" applyAlignment="1" applyProtection="1">
      <alignment horizontal="center"/>
      <protection hidden="1"/>
    </xf>
    <xf numFmtId="0" fontId="36" fillId="13" borderId="29" xfId="28" applyFill="1" applyBorder="1" applyAlignment="1" applyProtection="1">
      <alignment horizontal="center"/>
      <protection hidden="1"/>
    </xf>
    <xf numFmtId="0" fontId="35" fillId="13" borderId="29" xfId="30" applyFill="1" applyBorder="1" applyAlignment="1" applyProtection="1">
      <alignment horizontal="center"/>
      <protection hidden="1"/>
    </xf>
    <xf numFmtId="0" fontId="30" fillId="0" borderId="29" xfId="21" applyFont="1" applyBorder="1" applyAlignment="1" applyProtection="1">
      <alignment horizontal="center"/>
      <protection hidden="1"/>
    </xf>
    <xf numFmtId="0" fontId="65" fillId="0" borderId="0" xfId="0" applyFont="1"/>
    <xf numFmtId="0" fontId="67" fillId="3" borderId="46" xfId="0" applyFont="1" applyFill="1" applyBorder="1" applyAlignment="1">
      <alignment horizontal="left"/>
    </xf>
    <xf numFmtId="0" fontId="61" fillId="6" borderId="0" xfId="0" applyFont="1" applyFill="1" applyAlignment="1" applyProtection="1">
      <alignment vertical="center"/>
      <protection hidden="1"/>
    </xf>
    <xf numFmtId="0" fontId="58" fillId="6" borderId="0" xfId="0" applyFont="1" applyFill="1" applyAlignment="1" applyProtection="1">
      <alignment horizontal="center" vertical="center"/>
      <protection hidden="1"/>
    </xf>
    <xf numFmtId="0" fontId="0" fillId="8" borderId="44" xfId="0" applyFill="1" applyBorder="1" applyAlignment="1">
      <alignment horizontal="left"/>
    </xf>
    <xf numFmtId="0" fontId="29" fillId="0" borderId="0" xfId="5" applyFont="1" applyAlignment="1" applyProtection="1">
      <alignment horizontal="right"/>
      <protection hidden="1"/>
    </xf>
    <xf numFmtId="0" fontId="0" fillId="4" borderId="0" xfId="0" applyFill="1" applyAlignment="1">
      <alignment horizontal="right"/>
    </xf>
    <xf numFmtId="0" fontId="57" fillId="3" borderId="8" xfId="0" applyFont="1" applyFill="1" applyBorder="1" applyAlignment="1" applyProtection="1">
      <alignment horizontal="center" vertical="center" wrapText="1"/>
      <protection hidden="1"/>
    </xf>
    <xf numFmtId="0" fontId="0" fillId="4" borderId="0" xfId="0" applyFill="1" applyAlignment="1">
      <alignment horizontal="left"/>
    </xf>
    <xf numFmtId="0" fontId="78" fillId="4" borderId="2" xfId="25" applyFill="1" applyBorder="1" applyAlignment="1">
      <alignment wrapText="1"/>
    </xf>
    <xf numFmtId="0" fontId="67" fillId="2" borderId="33" xfId="4" applyFont="1" applyFill="1" applyBorder="1" applyAlignment="1" applyProtection="1">
      <alignment horizontal="center" vertical="top"/>
      <protection hidden="1"/>
    </xf>
    <xf numFmtId="0" fontId="68" fillId="2" borderId="33" xfId="4" applyFont="1" applyFill="1" applyBorder="1" applyAlignment="1" applyProtection="1">
      <alignment horizontal="center" vertical="top"/>
      <protection hidden="1"/>
    </xf>
    <xf numFmtId="0" fontId="67" fillId="2" borderId="33" xfId="4" applyFont="1" applyFill="1" applyBorder="1" applyAlignment="1" applyProtection="1">
      <alignment horizontal="center" vertical="top" wrapText="1"/>
      <protection hidden="1"/>
    </xf>
    <xf numFmtId="0" fontId="28" fillId="0" borderId="0" xfId="5" applyFont="1" applyProtection="1">
      <protection hidden="1"/>
    </xf>
    <xf numFmtId="0" fontId="28" fillId="0" borderId="0" xfId="6" applyFont="1" applyAlignment="1" applyProtection="1">
      <alignment horizontal="center" vertical="center"/>
      <protection hidden="1"/>
    </xf>
    <xf numFmtId="0" fontId="28" fillId="0" borderId="0" xfId="6" applyFont="1" applyProtection="1">
      <protection hidden="1"/>
    </xf>
    <xf numFmtId="164" fontId="28" fillId="0" borderId="0" xfId="6" applyNumberFormat="1" applyFont="1" applyProtection="1">
      <protection hidden="1"/>
    </xf>
    <xf numFmtId="0" fontId="67" fillId="2" borderId="33" xfId="10" applyFont="1" applyFill="1" applyBorder="1" applyAlignment="1" applyProtection="1">
      <alignment horizontal="center" vertical="top" wrapText="1"/>
      <protection hidden="1"/>
    </xf>
    <xf numFmtId="0" fontId="67" fillId="2" borderId="33" xfId="12" applyFont="1" applyFill="1" applyBorder="1" applyAlignment="1" applyProtection="1">
      <alignment horizontal="center" vertical="top" wrapText="1"/>
      <protection hidden="1"/>
    </xf>
    <xf numFmtId="0" fontId="67" fillId="2" borderId="33" xfId="12" applyFont="1" applyFill="1" applyBorder="1" applyAlignment="1" applyProtection="1">
      <alignment horizontal="center" vertical="top"/>
      <protection hidden="1"/>
    </xf>
    <xf numFmtId="0" fontId="67" fillId="2" borderId="33" xfId="14" applyFont="1" applyFill="1" applyBorder="1" applyAlignment="1" applyProtection="1">
      <alignment horizontal="center" vertical="top" wrapText="1"/>
      <protection hidden="1"/>
    </xf>
    <xf numFmtId="0" fontId="28" fillId="0" borderId="0" xfId="13" applyFont="1" applyProtection="1">
      <protection hidden="1"/>
    </xf>
    <xf numFmtId="0" fontId="28" fillId="0" borderId="0" xfId="11" applyFont="1" applyProtection="1">
      <protection hidden="1"/>
    </xf>
    <xf numFmtId="0" fontId="67" fillId="2" borderId="25" xfId="14" applyFont="1" applyFill="1" applyBorder="1" applyAlignment="1" applyProtection="1">
      <alignment horizontal="center" vertical="top"/>
      <protection hidden="1"/>
    </xf>
    <xf numFmtId="0" fontId="28" fillId="0" borderId="0" xfId="13" applyFont="1" applyAlignment="1" applyProtection="1">
      <alignment horizontal="center"/>
      <protection hidden="1"/>
    </xf>
    <xf numFmtId="0" fontId="48" fillId="0" borderId="25" xfId="15" applyBorder="1" applyProtection="1">
      <protection hidden="1"/>
    </xf>
    <xf numFmtId="0" fontId="67" fillId="2" borderId="33" xfId="20" applyFont="1" applyFill="1" applyBorder="1" applyAlignment="1" applyProtection="1">
      <alignment horizontal="center" vertical="top" wrapText="1"/>
      <protection hidden="1"/>
    </xf>
    <xf numFmtId="0" fontId="67" fillId="2" borderId="33" xfId="22" applyFont="1" applyFill="1" applyBorder="1" applyAlignment="1" applyProtection="1">
      <alignment horizontal="center" vertical="top"/>
      <protection hidden="1"/>
    </xf>
    <xf numFmtId="0" fontId="67" fillId="2" borderId="33" xfId="22" applyFont="1" applyFill="1" applyBorder="1" applyAlignment="1" applyProtection="1">
      <alignment horizontal="center" vertical="top" wrapText="1"/>
      <protection hidden="1"/>
    </xf>
    <xf numFmtId="0" fontId="27" fillId="0" borderId="0" xfId="5" applyFont="1" applyProtection="1">
      <protection hidden="1"/>
    </xf>
    <xf numFmtId="1" fontId="44" fillId="0" borderId="30" xfId="23" applyNumberFormat="1" applyBorder="1" applyAlignment="1" applyProtection="1">
      <alignment horizontal="center"/>
      <protection hidden="1"/>
    </xf>
    <xf numFmtId="1" fontId="44" fillId="0" borderId="29" xfId="23" applyNumberFormat="1" applyBorder="1" applyAlignment="1" applyProtection="1">
      <alignment horizontal="center"/>
      <protection hidden="1"/>
    </xf>
    <xf numFmtId="1" fontId="45" fillId="0" borderId="29" xfId="21" applyNumberFormat="1" applyBorder="1" applyAlignment="1" applyProtection="1">
      <alignment horizontal="center"/>
      <protection hidden="1"/>
    </xf>
    <xf numFmtId="1" fontId="46" fillId="0" borderId="29" xfId="19" applyNumberFormat="1" applyBorder="1" applyAlignment="1" applyProtection="1">
      <alignment horizontal="center"/>
      <protection hidden="1"/>
    </xf>
    <xf numFmtId="1" fontId="47" fillId="0" borderId="29" xfId="17" applyNumberFormat="1" applyBorder="1" applyAlignment="1" applyProtection="1">
      <alignment horizontal="center"/>
      <protection hidden="1"/>
    </xf>
    <xf numFmtId="1" fontId="49" fillId="0" borderId="29" xfId="13" applyNumberFormat="1" applyBorder="1" applyAlignment="1" applyProtection="1">
      <alignment horizontal="center"/>
      <protection hidden="1"/>
    </xf>
    <xf numFmtId="1" fontId="0" fillId="0" borderId="29" xfId="0" applyNumberFormat="1" applyBorder="1" applyAlignment="1" applyProtection="1">
      <alignment horizontal="center"/>
      <protection hidden="1"/>
    </xf>
    <xf numFmtId="1" fontId="48" fillId="0" borderId="29" xfId="15" applyNumberFormat="1" applyBorder="1" applyAlignment="1" applyProtection="1">
      <alignment horizontal="center"/>
      <protection hidden="1"/>
    </xf>
    <xf numFmtId="1" fontId="50" fillId="0" borderId="29" xfId="11" applyNumberFormat="1" applyBorder="1" applyAlignment="1" applyProtection="1">
      <alignment horizontal="center"/>
      <protection hidden="1"/>
    </xf>
    <xf numFmtId="1" fontId="51" fillId="0" borderId="29" xfId="9" applyNumberFormat="1" applyBorder="1" applyAlignment="1" applyProtection="1">
      <alignment horizontal="center"/>
      <protection hidden="1"/>
    </xf>
    <xf numFmtId="1" fontId="52" fillId="0" borderId="29" xfId="6" applyNumberFormat="1" applyBorder="1" applyAlignment="1" applyProtection="1">
      <alignment horizontal="center"/>
      <protection hidden="1"/>
    </xf>
    <xf numFmtId="0" fontId="25" fillId="0" borderId="29" xfId="9" applyFont="1" applyBorder="1" applyAlignment="1" applyProtection="1">
      <alignment horizontal="center"/>
      <protection hidden="1"/>
    </xf>
    <xf numFmtId="0" fontId="25" fillId="0" borderId="0" xfId="9" applyFont="1" applyProtection="1">
      <protection hidden="1"/>
    </xf>
    <xf numFmtId="0" fontId="25" fillId="13" borderId="29" xfId="9" applyFont="1" applyFill="1" applyBorder="1" applyAlignment="1" applyProtection="1">
      <alignment horizontal="center"/>
      <protection hidden="1"/>
    </xf>
    <xf numFmtId="0" fontId="24" fillId="0" borderId="0" xfId="5" applyFont="1" applyAlignment="1" applyProtection="1">
      <alignment horizontal="left"/>
      <protection hidden="1"/>
    </xf>
    <xf numFmtId="0" fontId="24" fillId="0" borderId="0" xfId="5" applyFont="1" applyProtection="1">
      <protection hidden="1"/>
    </xf>
    <xf numFmtId="0" fontId="24" fillId="0" borderId="29" xfId="5" applyFont="1" applyBorder="1" applyAlignment="1" applyProtection="1">
      <alignment horizontal="center"/>
      <protection hidden="1"/>
    </xf>
    <xf numFmtId="49" fontId="53" fillId="0" borderId="0" xfId="5" applyNumberFormat="1" applyProtection="1">
      <protection hidden="1"/>
    </xf>
    <xf numFmtId="0" fontId="65" fillId="0" borderId="0" xfId="6" applyFont="1" applyProtection="1">
      <protection hidden="1"/>
    </xf>
    <xf numFmtId="0" fontId="23" fillId="0" borderId="29" xfId="6" applyFont="1" applyBorder="1" applyAlignment="1" applyProtection="1">
      <alignment horizontal="center"/>
      <protection hidden="1"/>
    </xf>
    <xf numFmtId="0" fontId="63" fillId="0" borderId="0" xfId="6" quotePrefix="1" applyFont="1" applyAlignment="1" applyProtection="1">
      <alignment horizontal="left"/>
      <protection hidden="1"/>
    </xf>
    <xf numFmtId="0" fontId="69" fillId="0" borderId="0" xfId="6" applyFont="1" applyAlignment="1" applyProtection="1">
      <alignment horizontal="center"/>
      <protection hidden="1"/>
    </xf>
    <xf numFmtId="0" fontId="56" fillId="0" borderId="0" xfId="6" applyFont="1" applyAlignment="1" applyProtection="1">
      <alignment horizontal="center" vertical="center"/>
      <protection hidden="1"/>
    </xf>
    <xf numFmtId="164" fontId="52" fillId="0" borderId="0" xfId="6" applyNumberFormat="1" applyAlignment="1" applyProtection="1">
      <alignment horizontal="right"/>
      <protection hidden="1"/>
    </xf>
    <xf numFmtId="164" fontId="49" fillId="0" borderId="0" xfId="13" applyNumberFormat="1" applyAlignment="1" applyProtection="1">
      <alignment horizontal="right"/>
      <protection hidden="1"/>
    </xf>
    <xf numFmtId="0" fontId="21" fillId="0" borderId="0" xfId="13" applyFont="1" applyProtection="1">
      <protection hidden="1"/>
    </xf>
    <xf numFmtId="0" fontId="21" fillId="0" borderId="29" xfId="13" applyFont="1" applyBorder="1" applyAlignment="1" applyProtection="1">
      <alignment horizontal="center"/>
      <protection hidden="1"/>
    </xf>
    <xf numFmtId="0" fontId="67" fillId="2" borderId="28" xfId="31" applyFont="1" applyFill="1" applyBorder="1" applyAlignment="1" applyProtection="1">
      <alignment horizontal="center" vertical="top"/>
      <protection hidden="1"/>
    </xf>
    <xf numFmtId="0" fontId="67" fillId="2" borderId="33" xfId="31" applyFont="1" applyFill="1" applyBorder="1" applyAlignment="1" applyProtection="1">
      <alignment horizontal="center" vertical="top"/>
      <protection hidden="1"/>
    </xf>
    <xf numFmtId="0" fontId="67" fillId="2" borderId="33" xfId="31" applyFont="1" applyFill="1" applyBorder="1" applyAlignment="1" applyProtection="1">
      <alignment horizontal="center" vertical="top" wrapText="1"/>
      <protection hidden="1"/>
    </xf>
    <xf numFmtId="0" fontId="67" fillId="2" borderId="30" xfId="31" applyFont="1" applyFill="1" applyBorder="1" applyAlignment="1" applyProtection="1">
      <alignment horizontal="center" vertical="top"/>
      <protection hidden="1"/>
    </xf>
    <xf numFmtId="0" fontId="67" fillId="3" borderId="29" xfId="29" applyFont="1" applyFill="1" applyBorder="1" applyAlignment="1" applyProtection="1">
      <alignment horizontal="center" vertical="top"/>
      <protection hidden="1"/>
    </xf>
    <xf numFmtId="164" fontId="67" fillId="3" borderId="29" xfId="31" applyNumberFormat="1" applyFont="1" applyFill="1" applyBorder="1" applyAlignment="1" applyProtection="1">
      <alignment horizontal="center" vertical="top"/>
      <protection hidden="1"/>
    </xf>
    <xf numFmtId="0" fontId="20" fillId="0" borderId="0" xfId="19" applyFont="1" applyProtection="1">
      <protection hidden="1"/>
    </xf>
    <xf numFmtId="0" fontId="19" fillId="0" borderId="0" xfId="21" applyFont="1" applyProtection="1">
      <protection hidden="1"/>
    </xf>
    <xf numFmtId="0" fontId="18" fillId="0" borderId="0" xfId="6" applyFont="1" applyProtection="1">
      <protection hidden="1"/>
    </xf>
    <xf numFmtId="0" fontId="65" fillId="0" borderId="0" xfId="23" applyFont="1" applyAlignment="1" applyProtection="1">
      <alignment horizontal="left"/>
      <protection hidden="1"/>
    </xf>
    <xf numFmtId="0" fontId="18" fillId="0" borderId="29" xfId="23" applyFont="1" applyBorder="1" applyAlignment="1" applyProtection="1">
      <alignment horizontal="center"/>
      <protection hidden="1"/>
    </xf>
    <xf numFmtId="0" fontId="79" fillId="4" borderId="10" xfId="33" applyNumberFormat="1" applyFill="1" applyBorder="1" applyAlignment="1">
      <alignment vertical="center" wrapText="1"/>
    </xf>
    <xf numFmtId="0" fontId="0" fillId="4" borderId="0" xfId="0" applyFill="1" applyAlignment="1">
      <alignment wrapText="1"/>
    </xf>
    <xf numFmtId="0" fontId="67" fillId="2" borderId="28" xfId="29" applyFont="1" applyFill="1" applyBorder="1" applyAlignment="1" applyProtection="1">
      <alignment horizontal="center" vertical="top"/>
      <protection hidden="1"/>
    </xf>
    <xf numFmtId="0" fontId="67" fillId="2" borderId="33" xfId="29" applyFont="1" applyFill="1" applyBorder="1" applyAlignment="1" applyProtection="1">
      <alignment horizontal="center" vertical="top"/>
      <protection hidden="1"/>
    </xf>
    <xf numFmtId="0" fontId="67" fillId="2" borderId="30" xfId="29" applyFont="1" applyFill="1" applyBorder="1" applyAlignment="1" applyProtection="1">
      <alignment horizontal="center" vertical="top"/>
      <protection hidden="1"/>
    </xf>
    <xf numFmtId="0" fontId="77" fillId="0" borderId="0" xfId="6" applyFont="1" applyAlignment="1" applyProtection="1">
      <alignment horizontal="center"/>
      <protection hidden="1"/>
    </xf>
    <xf numFmtId="0" fontId="81" fillId="4" borderId="0" xfId="0" applyFont="1" applyFill="1"/>
    <xf numFmtId="0" fontId="70" fillId="4" borderId="0" xfId="0" applyFont="1" applyFill="1"/>
    <xf numFmtId="49" fontId="67" fillId="11" borderId="41" xfId="0" applyNumberFormat="1" applyFont="1" applyFill="1" applyBorder="1" applyAlignment="1">
      <alignment horizontal="center"/>
    </xf>
    <xf numFmtId="0" fontId="82" fillId="20" borderId="33" xfId="0" applyFont="1" applyFill="1" applyBorder="1"/>
    <xf numFmtId="0" fontId="0" fillId="15" borderId="33" xfId="0" applyFill="1" applyBorder="1" applyAlignment="1">
      <alignment horizontal="left"/>
    </xf>
    <xf numFmtId="0" fontId="0" fillId="8" borderId="45" xfId="0" applyFill="1" applyBorder="1" applyProtection="1">
      <protection locked="0"/>
    </xf>
    <xf numFmtId="0" fontId="0" fillId="8" borderId="33" xfId="0" applyFill="1" applyBorder="1" applyProtection="1">
      <protection locked="0"/>
    </xf>
    <xf numFmtId="0" fontId="0" fillId="0" borderId="45" xfId="0" applyBorder="1" applyProtection="1">
      <protection locked="0"/>
    </xf>
    <xf numFmtId="0" fontId="0" fillId="0" borderId="33" xfId="0" applyBorder="1" applyProtection="1">
      <protection locked="0"/>
    </xf>
    <xf numFmtId="0" fontId="67" fillId="11" borderId="1" xfId="0" applyFont="1" applyFill="1" applyBorder="1" applyProtection="1">
      <protection locked="0"/>
    </xf>
    <xf numFmtId="0" fontId="67" fillId="11" borderId="3" xfId="0" applyFont="1" applyFill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65" fillId="15" borderId="42" xfId="0" applyFont="1" applyFill="1" applyBorder="1" applyAlignment="1" applyProtection="1">
      <alignment horizontal="center"/>
      <protection locked="0"/>
    </xf>
    <xf numFmtId="0" fontId="65" fillId="15" borderId="3" xfId="0" applyFont="1" applyFill="1" applyBorder="1" applyAlignment="1" applyProtection="1">
      <alignment horizontal="center"/>
      <protection locked="0"/>
    </xf>
    <xf numFmtId="0" fontId="0" fillId="4" borderId="4" xfId="0" applyFill="1" applyBorder="1" applyProtection="1">
      <protection locked="0"/>
    </xf>
    <xf numFmtId="0" fontId="0" fillId="4" borderId="5" xfId="0" applyFill="1" applyBorder="1" applyAlignment="1" applyProtection="1">
      <alignment horizontal="center"/>
      <protection locked="0"/>
    </xf>
    <xf numFmtId="0" fontId="0" fillId="4" borderId="4" xfId="0" applyFill="1" applyBorder="1" applyAlignment="1" applyProtection="1">
      <alignment horizontal="left"/>
      <protection locked="0"/>
    </xf>
    <xf numFmtId="0" fontId="0" fillId="4" borderId="25" xfId="0" applyFill="1" applyBorder="1" applyAlignment="1" applyProtection="1">
      <alignment horizontal="center"/>
      <protection locked="0"/>
    </xf>
    <xf numFmtId="0" fontId="0" fillId="4" borderId="6" xfId="0" applyFill="1" applyBorder="1" applyProtection="1">
      <protection locked="0"/>
    </xf>
    <xf numFmtId="0" fontId="0" fillId="4" borderId="8" xfId="0" applyFill="1" applyBorder="1" applyAlignment="1" applyProtection="1">
      <alignment horizontal="center"/>
      <protection locked="0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49" xfId="0" applyFill="1" applyBorder="1" applyAlignment="1" applyProtection="1">
      <alignment horizontal="center"/>
      <protection locked="0"/>
    </xf>
    <xf numFmtId="0" fontId="0" fillId="4" borderId="0" xfId="0" applyFill="1" applyAlignment="1" applyProtection="1">
      <alignment horizontal="center"/>
      <protection locked="0"/>
    </xf>
    <xf numFmtId="0" fontId="65" fillId="9" borderId="47" xfId="0" applyFont="1" applyFill="1" applyBorder="1" applyAlignment="1" applyProtection="1">
      <alignment horizontal="center"/>
      <protection locked="0"/>
    </xf>
    <xf numFmtId="0" fontId="65" fillId="9" borderId="41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8" borderId="0" xfId="0" applyFill="1" applyProtection="1">
      <protection locked="0"/>
    </xf>
    <xf numFmtId="0" fontId="0" fillId="0" borderId="33" xfId="0" applyBorder="1" applyAlignment="1" applyProtection="1">
      <alignment wrapText="1"/>
      <protection locked="0"/>
    </xf>
    <xf numFmtId="0" fontId="0" fillId="4" borderId="0" xfId="0" quotePrefix="1" applyFill="1"/>
    <xf numFmtId="0" fontId="0" fillId="20" borderId="33" xfId="0" applyFill="1" applyBorder="1" applyProtection="1">
      <protection locked="0"/>
    </xf>
    <xf numFmtId="0" fontId="76" fillId="0" borderId="0" xfId="0" applyFont="1"/>
    <xf numFmtId="0" fontId="79" fillId="0" borderId="0" xfId="33" applyAlignment="1" applyProtection="1">
      <protection hidden="1"/>
    </xf>
    <xf numFmtId="0" fontId="0" fillId="4" borderId="7" xfId="0" applyFill="1" applyBorder="1" applyAlignment="1">
      <alignment wrapText="1"/>
    </xf>
    <xf numFmtId="0" fontId="0" fillId="8" borderId="0" xfId="0" applyFill="1" applyAlignment="1">
      <alignment wrapText="1"/>
    </xf>
    <xf numFmtId="0" fontId="0" fillId="4" borderId="0" xfId="0" applyFill="1" applyAlignment="1">
      <alignment horizontal="center" wrapText="1"/>
    </xf>
    <xf numFmtId="0" fontId="0" fillId="4" borderId="37" xfId="0" applyFill="1" applyBorder="1" applyAlignment="1">
      <alignment wrapText="1"/>
    </xf>
    <xf numFmtId="0" fontId="0" fillId="4" borderId="38" xfId="0" applyFill="1" applyBorder="1" applyAlignment="1">
      <alignment wrapText="1"/>
    </xf>
    <xf numFmtId="0" fontId="79" fillId="4" borderId="38" xfId="33" applyNumberFormat="1" applyFill="1" applyBorder="1" applyAlignment="1">
      <alignment horizontal="left" vertical="center" wrapText="1"/>
    </xf>
    <xf numFmtId="0" fontId="77" fillId="17" borderId="39" xfId="0" applyFont="1" applyFill="1" applyBorder="1" applyAlignment="1">
      <alignment wrapText="1"/>
    </xf>
    <xf numFmtId="0" fontId="0" fillId="4" borderId="18" xfId="0" applyFill="1" applyBorder="1" applyAlignment="1">
      <alignment wrapText="1"/>
    </xf>
    <xf numFmtId="0" fontId="0" fillId="4" borderId="9" xfId="0" applyFill="1" applyBorder="1" applyAlignment="1">
      <alignment wrapText="1"/>
    </xf>
    <xf numFmtId="0" fontId="79" fillId="4" borderId="9" xfId="33" applyNumberFormat="1" applyFill="1" applyBorder="1" applyAlignment="1">
      <alignment vertical="center" wrapText="1"/>
    </xf>
    <xf numFmtId="0" fontId="77" fillId="16" borderId="22" xfId="0" applyFont="1" applyFill="1" applyBorder="1" applyAlignment="1">
      <alignment wrapText="1"/>
    </xf>
    <xf numFmtId="0" fontId="79" fillId="4" borderId="38" xfId="33" applyNumberFormat="1" applyFill="1" applyBorder="1" applyAlignment="1">
      <alignment vertical="center" wrapText="1"/>
    </xf>
    <xf numFmtId="0" fontId="0" fillId="17" borderId="39" xfId="0" applyFill="1" applyBorder="1" applyAlignment="1">
      <alignment wrapText="1"/>
    </xf>
    <xf numFmtId="0" fontId="77" fillId="9" borderId="39" xfId="0" applyFont="1" applyFill="1" applyBorder="1" applyAlignment="1">
      <alignment wrapText="1"/>
    </xf>
    <xf numFmtId="0" fontId="0" fillId="4" borderId="13" xfId="0" applyFill="1" applyBorder="1" applyAlignment="1">
      <alignment wrapText="1"/>
    </xf>
    <xf numFmtId="0" fontId="0" fillId="4" borderId="10" xfId="0" applyFill="1" applyBorder="1" applyAlignment="1">
      <alignment wrapText="1"/>
    </xf>
    <xf numFmtId="0" fontId="79" fillId="0" borderId="10" xfId="33" applyNumberFormat="1" applyBorder="1" applyAlignment="1">
      <alignment horizontal="left" vertical="center" wrapText="1"/>
    </xf>
    <xf numFmtId="0" fontId="77" fillId="17" borderId="20" xfId="0" applyFont="1" applyFill="1" applyBorder="1" applyAlignment="1">
      <alignment wrapText="1"/>
    </xf>
    <xf numFmtId="0" fontId="0" fillId="16" borderId="20" xfId="0" applyFill="1" applyBorder="1" applyAlignment="1">
      <alignment wrapText="1"/>
    </xf>
    <xf numFmtId="0" fontId="77" fillId="17" borderId="22" xfId="0" applyFont="1" applyFill="1" applyBorder="1" applyAlignment="1">
      <alignment wrapText="1"/>
    </xf>
    <xf numFmtId="0" fontId="0" fillId="4" borderId="20" xfId="0" applyFill="1" applyBorder="1" applyAlignment="1">
      <alignment wrapText="1"/>
    </xf>
    <xf numFmtId="0" fontId="0" fillId="9" borderId="20" xfId="0" applyFill="1" applyBorder="1" applyAlignment="1">
      <alignment wrapText="1"/>
    </xf>
    <xf numFmtId="0" fontId="0" fillId="17" borderId="20" xfId="0" applyFill="1" applyBorder="1" applyAlignment="1">
      <alignment wrapText="1"/>
    </xf>
    <xf numFmtId="0" fontId="0" fillId="18" borderId="20" xfId="0" applyFill="1" applyBorder="1" applyAlignment="1">
      <alignment wrapText="1"/>
    </xf>
    <xf numFmtId="0" fontId="0" fillId="4" borderId="14" xfId="0" applyFill="1" applyBorder="1" applyAlignment="1">
      <alignment wrapText="1"/>
    </xf>
    <xf numFmtId="0" fontId="0" fillId="4" borderId="11" xfId="0" applyFill="1" applyBorder="1" applyAlignment="1">
      <alignment wrapText="1"/>
    </xf>
    <xf numFmtId="0" fontId="79" fillId="4" borderId="11" xfId="33" applyNumberFormat="1" applyFill="1" applyBorder="1" applyAlignment="1">
      <alignment vertical="center" wrapText="1"/>
    </xf>
    <xf numFmtId="0" fontId="0" fillId="17" borderId="21" xfId="0" applyFill="1" applyBorder="1" applyAlignment="1">
      <alignment wrapText="1"/>
    </xf>
    <xf numFmtId="0" fontId="77" fillId="4" borderId="20" xfId="0" applyFont="1" applyFill="1" applyBorder="1" applyAlignment="1">
      <alignment wrapText="1"/>
    </xf>
    <xf numFmtId="0" fontId="0" fillId="19" borderId="20" xfId="0" applyFill="1" applyBorder="1" applyAlignment="1">
      <alignment wrapText="1"/>
    </xf>
    <xf numFmtId="0" fontId="0" fillId="4" borderId="21" xfId="0" applyFill="1" applyBorder="1" applyAlignment="1">
      <alignment wrapText="1"/>
    </xf>
    <xf numFmtId="0" fontId="77" fillId="9" borderId="20" xfId="0" applyFont="1" applyFill="1" applyBorder="1" applyAlignment="1">
      <alignment wrapText="1"/>
    </xf>
    <xf numFmtId="0" fontId="77" fillId="16" borderId="20" xfId="0" applyFont="1" applyFill="1" applyBorder="1" applyAlignment="1">
      <alignment wrapText="1"/>
    </xf>
    <xf numFmtId="0" fontId="0" fillId="18" borderId="21" xfId="0" applyFill="1" applyBorder="1" applyAlignment="1">
      <alignment wrapText="1"/>
    </xf>
    <xf numFmtId="0" fontId="77" fillId="4" borderId="0" xfId="0" applyFont="1" applyFill="1" applyAlignment="1">
      <alignment wrapText="1"/>
    </xf>
    <xf numFmtId="0" fontId="0" fillId="12" borderId="21" xfId="0" applyFill="1" applyBorder="1" applyAlignment="1">
      <alignment wrapText="1"/>
    </xf>
    <xf numFmtId="0" fontId="0" fillId="21" borderId="20" xfId="0" applyFill="1" applyBorder="1" applyAlignment="1">
      <alignment wrapText="1"/>
    </xf>
    <xf numFmtId="0" fontId="0" fillId="16" borderId="21" xfId="0" applyFill="1" applyBorder="1" applyAlignment="1">
      <alignment wrapText="1"/>
    </xf>
    <xf numFmtId="0" fontId="0" fillId="9" borderId="21" xfId="0" applyFill="1" applyBorder="1" applyAlignment="1">
      <alignment wrapText="1"/>
    </xf>
    <xf numFmtId="0" fontId="79" fillId="0" borderId="10" xfId="33" applyBorder="1" applyAlignment="1">
      <alignment horizontal="left" vertical="center" wrapText="1"/>
    </xf>
    <xf numFmtId="0" fontId="0" fillId="11" borderId="20" xfId="0" applyFill="1" applyBorder="1" applyAlignment="1">
      <alignment wrapText="1"/>
    </xf>
    <xf numFmtId="0" fontId="79" fillId="0" borderId="11" xfId="33" applyBorder="1" applyAlignment="1">
      <alignment horizontal="left" vertical="center" wrapText="1"/>
    </xf>
    <xf numFmtId="176" fontId="47" fillId="0" borderId="29" xfId="17" applyNumberFormat="1" applyBorder="1" applyAlignment="1" applyProtection="1">
      <alignment horizontal="center" vertical="center"/>
      <protection hidden="1"/>
    </xf>
    <xf numFmtId="0" fontId="0" fillId="4" borderId="39" xfId="0" applyFill="1" applyBorder="1" applyAlignment="1">
      <alignment wrapText="1"/>
    </xf>
    <xf numFmtId="1" fontId="17" fillId="0" borderId="29" xfId="15" applyNumberFormat="1" applyFont="1" applyBorder="1" applyAlignment="1" applyProtection="1">
      <alignment horizontal="center"/>
      <protection hidden="1"/>
    </xf>
    <xf numFmtId="0" fontId="16" fillId="0" borderId="29" xfId="30" applyFont="1" applyBorder="1" applyAlignment="1" applyProtection="1">
      <alignment horizontal="center"/>
      <protection hidden="1"/>
    </xf>
    <xf numFmtId="0" fontId="57" fillId="3" borderId="6" xfId="0" applyFont="1" applyFill="1" applyBorder="1" applyAlignment="1" applyProtection="1">
      <alignment horizontal="center" vertical="center" wrapText="1"/>
      <protection hidden="1"/>
    </xf>
    <xf numFmtId="49" fontId="58" fillId="8" borderId="33" xfId="0" applyNumberFormat="1" applyFont="1" applyFill="1" applyBorder="1" applyAlignment="1" applyProtection="1">
      <alignment horizontal="center" vertical="center"/>
      <protection locked="0" hidden="1"/>
    </xf>
    <xf numFmtId="0" fontId="67" fillId="11" borderId="1" xfId="0" applyFont="1" applyFill="1" applyBorder="1"/>
    <xf numFmtId="0" fontId="67" fillId="11" borderId="3" xfId="0" applyFont="1" applyFill="1" applyBorder="1" applyAlignment="1">
      <alignment horizontal="center"/>
    </xf>
    <xf numFmtId="2" fontId="58" fillId="8" borderId="2" xfId="0" applyNumberFormat="1" applyFont="1" applyFill="1" applyBorder="1" applyAlignment="1" applyProtection="1">
      <alignment horizontal="center" vertical="center"/>
      <protection locked="0" hidden="1"/>
    </xf>
    <xf numFmtId="2" fontId="58" fillId="4" borderId="15" xfId="0" applyNumberFormat="1" applyFont="1" applyFill="1" applyBorder="1" applyAlignment="1" applyProtection="1">
      <alignment horizontal="center" vertical="center"/>
      <protection locked="0" hidden="1"/>
    </xf>
    <xf numFmtId="2" fontId="58" fillId="4" borderId="17" xfId="0" applyNumberFormat="1" applyFont="1" applyFill="1" applyBorder="1" applyAlignment="1" applyProtection="1">
      <alignment horizontal="center" vertical="center"/>
      <protection locked="0" hidden="1"/>
    </xf>
    <xf numFmtId="2" fontId="58" fillId="4" borderId="51" xfId="0" applyNumberFormat="1" applyFont="1" applyFill="1" applyBorder="1" applyAlignment="1" applyProtection="1">
      <alignment horizontal="center" vertical="center"/>
      <protection locked="0" hidden="1"/>
    </xf>
    <xf numFmtId="2" fontId="83" fillId="8" borderId="25" xfId="0" applyNumberFormat="1" applyFont="1" applyFill="1" applyBorder="1" applyAlignment="1" applyProtection="1">
      <alignment horizontal="center" vertical="center"/>
      <protection locked="0" hidden="1"/>
    </xf>
    <xf numFmtId="164" fontId="0" fillId="8" borderId="29" xfId="0" applyNumberFormat="1" applyFill="1" applyBorder="1" applyAlignment="1" applyProtection="1">
      <alignment horizontal="right"/>
      <protection hidden="1"/>
    </xf>
    <xf numFmtId="0" fontId="15" fillId="4" borderId="7" xfId="5" applyFont="1" applyFill="1" applyBorder="1" applyProtection="1">
      <protection hidden="1"/>
    </xf>
    <xf numFmtId="0" fontId="14" fillId="0" borderId="29" xfId="17" applyFont="1" applyBorder="1" applyAlignment="1" applyProtection="1">
      <alignment horizontal="center"/>
      <protection hidden="1"/>
    </xf>
    <xf numFmtId="0" fontId="14" fillId="13" borderId="29" xfId="17" applyFont="1" applyFill="1" applyBorder="1" applyAlignment="1" applyProtection="1">
      <alignment horizontal="center"/>
      <protection hidden="1"/>
    </xf>
    <xf numFmtId="0" fontId="67" fillId="11" borderId="43" xfId="24" applyNumberFormat="1" applyFont="1" applyFill="1" applyBorder="1" applyAlignment="1" applyProtection="1">
      <alignment horizontal="center" vertical="top" wrapText="1"/>
      <protection hidden="1"/>
    </xf>
    <xf numFmtId="164" fontId="53" fillId="0" borderId="29" xfId="5" applyNumberFormat="1" applyBorder="1" applyAlignment="1" applyProtection="1">
      <alignment horizontal="right"/>
      <protection hidden="1"/>
    </xf>
    <xf numFmtId="0" fontId="78" fillId="0" borderId="0" xfId="25"/>
    <xf numFmtId="0" fontId="33" fillId="0" borderId="29" xfId="17" applyFont="1" applyBorder="1" applyAlignment="1" applyProtection="1">
      <alignment horizontal="center"/>
      <protection hidden="1"/>
    </xf>
    <xf numFmtId="176" fontId="33" fillId="0" borderId="29" xfId="17" applyNumberFormat="1" applyFont="1" applyBorder="1" applyAlignment="1" applyProtection="1">
      <alignment horizontal="center" vertical="center"/>
      <protection hidden="1"/>
    </xf>
    <xf numFmtId="1" fontId="78" fillId="0" borderId="0" xfId="32" applyNumberFormat="1" applyFill="1" applyAlignment="1">
      <alignment horizontal="center"/>
    </xf>
    <xf numFmtId="0" fontId="78" fillId="0" borderId="0" xfId="25" applyAlignment="1">
      <alignment horizontal="center"/>
    </xf>
    <xf numFmtId="0" fontId="78" fillId="0" borderId="0" xfId="25" applyAlignment="1">
      <alignment horizontal="right"/>
    </xf>
    <xf numFmtId="1" fontId="78" fillId="0" borderId="0" xfId="25" applyNumberFormat="1" applyAlignment="1">
      <alignment horizontal="center"/>
    </xf>
    <xf numFmtId="167" fontId="78" fillId="0" borderId="0" xfId="25" applyNumberFormat="1" applyAlignment="1">
      <alignment horizontal="center"/>
    </xf>
    <xf numFmtId="176" fontId="78" fillId="0" borderId="0" xfId="25" applyNumberFormat="1" applyAlignment="1">
      <alignment horizontal="center"/>
    </xf>
    <xf numFmtId="171" fontId="78" fillId="0" borderId="0" xfId="25" applyNumberFormat="1" applyAlignment="1">
      <alignment horizontal="center"/>
    </xf>
    <xf numFmtId="49" fontId="78" fillId="0" borderId="0" xfId="25" applyNumberFormat="1" applyAlignment="1">
      <alignment horizontal="center"/>
    </xf>
    <xf numFmtId="173" fontId="78" fillId="0" borderId="0" xfId="25" applyNumberFormat="1" applyAlignment="1">
      <alignment horizontal="center"/>
    </xf>
    <xf numFmtId="168" fontId="78" fillId="0" borderId="0" xfId="25" applyNumberFormat="1" applyAlignment="1">
      <alignment horizontal="center"/>
    </xf>
    <xf numFmtId="169" fontId="78" fillId="0" borderId="0" xfId="25" applyNumberFormat="1" applyAlignment="1">
      <alignment horizontal="center"/>
    </xf>
    <xf numFmtId="170" fontId="78" fillId="0" borderId="0" xfId="25" applyNumberFormat="1" applyAlignment="1">
      <alignment horizontal="center"/>
    </xf>
    <xf numFmtId="175" fontId="36" fillId="0" borderId="0" xfId="28" applyNumberFormat="1" applyAlignment="1" applyProtection="1">
      <alignment horizontal="right"/>
      <protection hidden="1"/>
    </xf>
    <xf numFmtId="175" fontId="70" fillId="0" borderId="0" xfId="28" quotePrefix="1" applyNumberFormat="1" applyFont="1" applyAlignment="1" applyProtection="1">
      <alignment horizontal="left"/>
      <protection hidden="1"/>
    </xf>
    <xf numFmtId="0" fontId="13" fillId="0" borderId="0" xfId="0" applyFont="1" applyAlignment="1">
      <alignment vertical="center"/>
    </xf>
    <xf numFmtId="0" fontId="0" fillId="8" borderId="52" xfId="0" applyFill="1" applyBorder="1" applyProtection="1">
      <protection locked="0"/>
    </xf>
    <xf numFmtId="0" fontId="0" fillId="0" borderId="52" xfId="0" applyBorder="1" applyProtection="1">
      <protection locked="0"/>
    </xf>
    <xf numFmtId="0" fontId="65" fillId="9" borderId="53" xfId="0" applyFont="1" applyFill="1" applyBorder="1" applyAlignment="1" applyProtection="1">
      <alignment horizontal="center"/>
      <protection locked="0"/>
    </xf>
    <xf numFmtId="0" fontId="6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59" fillId="5" borderId="18" xfId="0" applyFont="1" applyFill="1" applyBorder="1" applyAlignment="1" applyProtection="1">
      <alignment horizontal="center" vertical="center"/>
      <protection hidden="1"/>
    </xf>
    <xf numFmtId="0" fontId="59" fillId="5" borderId="19" xfId="0" applyFont="1" applyFill="1" applyBorder="1" applyAlignment="1" applyProtection="1">
      <alignment horizontal="center" vertical="center"/>
      <protection hidden="1"/>
    </xf>
    <xf numFmtId="49" fontId="58" fillId="4" borderId="48" xfId="0" applyNumberFormat="1" applyFont="1" applyFill="1" applyBorder="1" applyAlignment="1" applyProtection="1">
      <alignment horizontal="center" vertical="center"/>
      <protection locked="0"/>
    </xf>
    <xf numFmtId="2" fontId="58" fillId="4" borderId="48" xfId="0" applyNumberFormat="1" applyFont="1" applyFill="1" applyBorder="1" applyAlignment="1" applyProtection="1">
      <alignment horizontal="center" vertical="center"/>
      <protection locked="0"/>
    </xf>
    <xf numFmtId="0" fontId="67" fillId="2" borderId="28" xfId="4" applyFont="1" applyFill="1" applyBorder="1" applyAlignment="1" applyProtection="1">
      <alignment horizontal="center" vertical="top" wrapText="1"/>
      <protection hidden="1"/>
    </xf>
    <xf numFmtId="0" fontId="79" fillId="0" borderId="0" xfId="33" applyAlignment="1" applyProtection="1">
      <alignment horizontal="left"/>
      <protection hidden="1"/>
    </xf>
    <xf numFmtId="0" fontId="67" fillId="2" borderId="28" xfId="7" applyFont="1" applyFill="1" applyBorder="1" applyAlignment="1" applyProtection="1">
      <alignment horizontal="center" vertical="top" wrapText="1"/>
      <protection hidden="1"/>
    </xf>
    <xf numFmtId="0" fontId="67" fillId="2" borderId="30" xfId="7" applyFont="1" applyFill="1" applyBorder="1" applyAlignment="1" applyProtection="1">
      <alignment horizontal="center" vertical="top" wrapText="1"/>
      <protection hidden="1"/>
    </xf>
    <xf numFmtId="0" fontId="67" fillId="2" borderId="28" xfId="31" applyFont="1" applyFill="1" applyBorder="1" applyAlignment="1" applyProtection="1">
      <alignment horizontal="center" vertical="top" wrapText="1"/>
      <protection hidden="1"/>
    </xf>
    <xf numFmtId="0" fontId="67" fillId="2" borderId="33" xfId="7" applyFont="1" applyFill="1" applyBorder="1" applyAlignment="1" applyProtection="1">
      <alignment horizontal="center" vertical="top" wrapText="1"/>
      <protection hidden="1"/>
    </xf>
    <xf numFmtId="0" fontId="67" fillId="2" borderId="28" xfId="10" applyFont="1" applyFill="1" applyBorder="1" applyAlignment="1" applyProtection="1">
      <alignment horizontal="center" vertical="top" wrapText="1"/>
      <protection hidden="1"/>
    </xf>
    <xf numFmtId="0" fontId="67" fillId="2" borderId="28" xfId="12" applyFont="1" applyFill="1" applyBorder="1" applyAlignment="1" applyProtection="1">
      <alignment horizontal="center" vertical="top" wrapText="1"/>
      <protection hidden="1"/>
    </xf>
    <xf numFmtId="0" fontId="67" fillId="2" borderId="28" xfId="14" applyFont="1" applyFill="1" applyBorder="1" applyAlignment="1" applyProtection="1">
      <alignment horizontal="center" vertical="top" wrapText="1"/>
      <protection hidden="1"/>
    </xf>
    <xf numFmtId="0" fontId="67" fillId="2" borderId="28" xfId="18" applyFont="1" applyFill="1" applyBorder="1" applyAlignment="1" applyProtection="1">
      <alignment horizontal="center" vertical="top" wrapText="1"/>
      <protection hidden="1"/>
    </xf>
    <xf numFmtId="0" fontId="67" fillId="2" borderId="33" xfId="18" applyFont="1" applyFill="1" applyBorder="1" applyAlignment="1" applyProtection="1">
      <alignment horizontal="center" vertical="top" wrapText="1"/>
      <protection hidden="1"/>
    </xf>
    <xf numFmtId="0" fontId="67" fillId="2" borderId="28" xfId="20" applyFont="1" applyFill="1" applyBorder="1" applyAlignment="1" applyProtection="1">
      <alignment horizontal="center" vertical="top" wrapText="1"/>
      <protection hidden="1"/>
    </xf>
    <xf numFmtId="0" fontId="67" fillId="2" borderId="28" xfId="22" applyFont="1" applyFill="1" applyBorder="1" applyAlignment="1" applyProtection="1">
      <alignment horizontal="center" vertical="top" wrapText="1"/>
      <protection hidden="1"/>
    </xf>
    <xf numFmtId="0" fontId="64" fillId="9" borderId="7" xfId="11" applyFont="1" applyFill="1" applyBorder="1" applyAlignment="1" applyProtection="1">
      <alignment horizontal="left"/>
      <protection hidden="1"/>
    </xf>
    <xf numFmtId="4" fontId="45" fillId="0" borderId="0" xfId="21" applyNumberFormat="1" applyProtection="1">
      <protection hidden="1"/>
    </xf>
    <xf numFmtId="3" fontId="45" fillId="0" borderId="0" xfId="21" applyNumberFormat="1" applyAlignment="1" applyProtection="1">
      <alignment horizontal="center"/>
      <protection hidden="1"/>
    </xf>
    <xf numFmtId="0" fontId="61" fillId="0" borderId="29" xfId="0" applyFont="1" applyBorder="1" applyAlignment="1" applyProtection="1">
      <alignment horizontal="center"/>
      <protection hidden="1"/>
    </xf>
    <xf numFmtId="0" fontId="61" fillId="13" borderId="29" xfId="0" applyFont="1" applyFill="1" applyBorder="1" applyAlignment="1" applyProtection="1">
      <alignment horizontal="center"/>
      <protection hidden="1"/>
    </xf>
    <xf numFmtId="0" fontId="61" fillId="0" borderId="29" xfId="17" applyFont="1" applyBorder="1" applyAlignment="1" applyProtection="1">
      <alignment horizontal="center"/>
      <protection hidden="1"/>
    </xf>
    <xf numFmtId="0" fontId="61" fillId="13" borderId="29" xfId="17" applyFont="1" applyFill="1" applyBorder="1" applyAlignment="1" applyProtection="1">
      <alignment horizontal="center"/>
      <protection hidden="1"/>
    </xf>
    <xf numFmtId="3" fontId="0" fillId="13" borderId="29" xfId="0" applyNumberFormat="1" applyFill="1" applyBorder="1" applyAlignment="1" applyProtection="1">
      <alignment horizontal="center"/>
      <protection hidden="1"/>
    </xf>
    <xf numFmtId="0" fontId="50" fillId="8" borderId="29" xfId="11" applyFill="1" applyBorder="1" applyAlignment="1" applyProtection="1">
      <alignment horizontal="center"/>
      <protection hidden="1"/>
    </xf>
    <xf numFmtId="0" fontId="67" fillId="3" borderId="28" xfId="12" applyFont="1" applyFill="1" applyBorder="1" applyAlignment="1" applyProtection="1">
      <alignment horizontal="center" vertical="top"/>
      <protection hidden="1"/>
    </xf>
    <xf numFmtId="49" fontId="50" fillId="0" borderId="29" xfId="11" applyNumberFormat="1" applyBorder="1" applyAlignment="1" applyProtection="1">
      <alignment horizontal="center"/>
      <protection hidden="1"/>
    </xf>
    <xf numFmtId="165" fontId="71" fillId="0" borderId="0" xfId="11" applyNumberFormat="1" applyFont="1" applyAlignment="1" applyProtection="1">
      <alignment horizontal="center"/>
      <protection hidden="1"/>
    </xf>
    <xf numFmtId="165" fontId="73" fillId="9" borderId="7" xfId="11" applyNumberFormat="1" applyFont="1" applyFill="1" applyBorder="1" applyAlignment="1" applyProtection="1">
      <alignment horizontal="center"/>
      <protection hidden="1"/>
    </xf>
    <xf numFmtId="0" fontId="22" fillId="0" borderId="0" xfId="11" applyFont="1" applyProtection="1">
      <protection hidden="1"/>
    </xf>
    <xf numFmtId="0" fontId="67" fillId="2" borderId="25" xfId="12" applyFont="1" applyFill="1" applyBorder="1" applyAlignment="1" applyProtection="1">
      <alignment horizontal="center" vertical="top" wrapText="1"/>
      <protection hidden="1"/>
    </xf>
    <xf numFmtId="0" fontId="70" fillId="0" borderId="0" xfId="11" applyFont="1" applyProtection="1">
      <protection hidden="1"/>
    </xf>
    <xf numFmtId="0" fontId="62" fillId="6" borderId="0" xfId="0" applyFont="1" applyFill="1" applyAlignment="1" applyProtection="1">
      <alignment vertical="top" wrapText="1"/>
      <protection hidden="1"/>
    </xf>
    <xf numFmtId="9" fontId="79" fillId="0" borderId="0" xfId="33" applyNumberFormat="1" applyFill="1" applyBorder="1" applyAlignment="1" applyProtection="1">
      <alignment horizontal="left" vertical="center"/>
      <protection hidden="1"/>
    </xf>
    <xf numFmtId="0" fontId="12" fillId="0" borderId="29" xfId="15" applyFont="1" applyBorder="1" applyAlignment="1" applyProtection="1">
      <alignment horizontal="center"/>
      <protection hidden="1"/>
    </xf>
    <xf numFmtId="0" fontId="78" fillId="0" borderId="29" xfId="25" applyBorder="1" applyProtection="1">
      <protection hidden="1"/>
    </xf>
    <xf numFmtId="0" fontId="0" fillId="0" borderId="29" xfId="25" applyFont="1" applyBorder="1" applyProtection="1">
      <protection hidden="1"/>
    </xf>
    <xf numFmtId="0" fontId="0" fillId="0" borderId="29" xfId="25" applyFont="1" applyBorder="1" applyAlignment="1" applyProtection="1">
      <alignment horizontal="center"/>
      <protection hidden="1"/>
    </xf>
    <xf numFmtId="174" fontId="78" fillId="0" borderId="29" xfId="25" applyNumberFormat="1" applyBorder="1" applyAlignment="1" applyProtection="1">
      <alignment horizontal="center"/>
      <protection hidden="1"/>
    </xf>
    <xf numFmtId="167" fontId="78" fillId="0" borderId="29" xfId="25" applyNumberFormat="1" applyBorder="1" applyAlignment="1" applyProtection="1">
      <alignment horizontal="center"/>
      <protection hidden="1"/>
    </xf>
    <xf numFmtId="176" fontId="78" fillId="0" borderId="29" xfId="25" applyNumberFormat="1" applyBorder="1" applyAlignment="1" applyProtection="1">
      <alignment horizontal="center"/>
      <protection hidden="1"/>
    </xf>
    <xf numFmtId="171" fontId="78" fillId="0" borderId="29" xfId="25" applyNumberFormat="1" applyBorder="1" applyAlignment="1" applyProtection="1">
      <alignment horizontal="center"/>
      <protection hidden="1"/>
    </xf>
    <xf numFmtId="49" fontId="78" fillId="0" borderId="29" xfId="25" applyNumberFormat="1" applyBorder="1" applyAlignment="1" applyProtection="1">
      <alignment horizontal="center"/>
      <protection hidden="1"/>
    </xf>
    <xf numFmtId="173" fontId="78" fillId="0" borderId="29" xfId="25" applyNumberFormat="1" applyBorder="1" applyAlignment="1" applyProtection="1">
      <alignment horizontal="center"/>
      <protection hidden="1"/>
    </xf>
    <xf numFmtId="168" fontId="78" fillId="0" borderId="29" xfId="25" applyNumberFormat="1" applyBorder="1" applyAlignment="1" applyProtection="1">
      <alignment horizontal="center"/>
      <protection hidden="1"/>
    </xf>
    <xf numFmtId="0" fontId="78" fillId="0" borderId="29" xfId="25" applyBorder="1" applyAlignment="1" applyProtection="1">
      <alignment horizontal="center"/>
      <protection hidden="1"/>
    </xf>
    <xf numFmtId="169" fontId="78" fillId="0" borderId="29" xfId="25" applyNumberFormat="1" applyBorder="1" applyAlignment="1" applyProtection="1">
      <alignment horizontal="center"/>
      <protection hidden="1"/>
    </xf>
    <xf numFmtId="170" fontId="78" fillId="0" borderId="29" xfId="25" applyNumberFormat="1" applyBorder="1" applyAlignment="1" applyProtection="1">
      <alignment horizontal="center"/>
      <protection hidden="1"/>
    </xf>
    <xf numFmtId="176" fontId="0" fillId="0" borderId="29" xfId="25" applyNumberFormat="1" applyFont="1" applyBorder="1" applyAlignment="1" applyProtection="1">
      <alignment horizontal="center"/>
      <protection hidden="1"/>
    </xf>
    <xf numFmtId="49" fontId="0" fillId="0" borderId="29" xfId="25" applyNumberFormat="1" applyFont="1" applyBorder="1" applyAlignment="1" applyProtection="1">
      <alignment horizontal="center"/>
      <protection hidden="1"/>
    </xf>
    <xf numFmtId="172" fontId="78" fillId="0" borderId="29" xfId="25" applyNumberFormat="1" applyBorder="1" applyAlignment="1" applyProtection="1">
      <alignment horizontal="center"/>
      <protection hidden="1"/>
    </xf>
    <xf numFmtId="173" fontId="0" fillId="0" borderId="29" xfId="25" applyNumberFormat="1" applyFont="1" applyBorder="1" applyAlignment="1" applyProtection="1">
      <alignment horizontal="center"/>
      <protection hidden="1"/>
    </xf>
    <xf numFmtId="174" fontId="0" fillId="0" borderId="29" xfId="25" applyNumberFormat="1" applyFont="1" applyBorder="1" applyAlignment="1" applyProtection="1">
      <alignment horizontal="center"/>
      <protection hidden="1"/>
    </xf>
    <xf numFmtId="176" fontId="61" fillId="0" borderId="29" xfId="25" applyNumberFormat="1" applyFont="1" applyBorder="1" applyAlignment="1" applyProtection="1">
      <alignment horizontal="center"/>
      <protection hidden="1"/>
    </xf>
    <xf numFmtId="171" fontId="0" fillId="0" borderId="29" xfId="25" applyNumberFormat="1" applyFont="1" applyBorder="1" applyAlignment="1" applyProtection="1">
      <alignment horizontal="center"/>
      <protection hidden="1"/>
    </xf>
    <xf numFmtId="169" fontId="0" fillId="0" borderId="29" xfId="25" applyNumberFormat="1" applyFont="1" applyBorder="1" applyAlignment="1" applyProtection="1">
      <alignment horizontal="center"/>
      <protection hidden="1"/>
    </xf>
    <xf numFmtId="1" fontId="0" fillId="0" borderId="29" xfId="25" applyNumberFormat="1" applyFont="1" applyBorder="1" applyAlignment="1" applyProtection="1">
      <alignment horizontal="center"/>
      <protection hidden="1"/>
    </xf>
    <xf numFmtId="168" fontId="0" fillId="0" borderId="29" xfId="25" applyNumberFormat="1" applyFont="1" applyBorder="1" applyAlignment="1" applyProtection="1">
      <alignment horizontal="center"/>
      <protection hidden="1"/>
    </xf>
    <xf numFmtId="0" fontId="0" fillId="0" borderId="29" xfId="0" applyBorder="1" applyAlignment="1">
      <alignment horizontal="center"/>
    </xf>
    <xf numFmtId="1" fontId="57" fillId="11" borderId="7" xfId="25" applyNumberFormat="1" applyFont="1" applyFill="1" applyBorder="1" applyAlignment="1" applyProtection="1">
      <alignment horizontal="center" vertical="center" wrapText="1"/>
      <protection hidden="1"/>
    </xf>
    <xf numFmtId="1" fontId="57" fillId="11" borderId="7" xfId="25" applyNumberFormat="1" applyFont="1" applyFill="1" applyBorder="1" applyAlignment="1" applyProtection="1">
      <alignment horizontal="right" vertical="center" wrapText="1"/>
      <protection hidden="1"/>
    </xf>
    <xf numFmtId="0" fontId="78" fillId="11" borderId="7" xfId="25" applyFill="1" applyBorder="1" applyAlignment="1" applyProtection="1">
      <alignment horizontal="right"/>
      <protection hidden="1"/>
    </xf>
    <xf numFmtId="0" fontId="78" fillId="4" borderId="7" xfId="25" applyFill="1" applyBorder="1" applyProtection="1">
      <protection hidden="1"/>
    </xf>
    <xf numFmtId="1" fontId="78" fillId="4" borderId="7" xfId="25" applyNumberFormat="1" applyFill="1" applyBorder="1" applyAlignment="1" applyProtection="1">
      <alignment horizontal="center"/>
      <protection hidden="1"/>
    </xf>
    <xf numFmtId="167" fontId="78" fillId="4" borderId="7" xfId="25" applyNumberFormat="1" applyFill="1" applyBorder="1" applyAlignment="1" applyProtection="1">
      <alignment horizontal="center"/>
      <protection hidden="1"/>
    </xf>
    <xf numFmtId="49" fontId="78" fillId="4" borderId="7" xfId="25" applyNumberFormat="1" applyFill="1" applyBorder="1" applyAlignment="1" applyProtection="1">
      <alignment horizontal="center"/>
      <protection hidden="1"/>
    </xf>
    <xf numFmtId="173" fontId="78" fillId="4" borderId="7" xfId="25" applyNumberFormat="1" applyFill="1" applyBorder="1" applyAlignment="1" applyProtection="1">
      <alignment horizontal="center"/>
      <protection hidden="1"/>
    </xf>
    <xf numFmtId="168" fontId="78" fillId="4" borderId="7" xfId="25" applyNumberFormat="1" applyFill="1" applyBorder="1" applyAlignment="1" applyProtection="1">
      <alignment horizontal="center"/>
      <protection hidden="1"/>
    </xf>
    <xf numFmtId="176" fontId="78" fillId="4" borderId="7" xfId="25" applyNumberFormat="1" applyFill="1" applyBorder="1" applyAlignment="1" applyProtection="1">
      <alignment horizontal="center"/>
      <protection hidden="1"/>
    </xf>
    <xf numFmtId="0" fontId="78" fillId="4" borderId="7" xfId="25" applyFill="1" applyBorder="1" applyAlignment="1" applyProtection="1">
      <alignment horizontal="center"/>
      <protection hidden="1"/>
    </xf>
    <xf numFmtId="169" fontId="78" fillId="4" borderId="7" xfId="25" applyNumberFormat="1" applyFill="1" applyBorder="1" applyAlignment="1" applyProtection="1">
      <alignment horizontal="center"/>
      <protection hidden="1"/>
    </xf>
    <xf numFmtId="170" fontId="78" fillId="4" borderId="7" xfId="25" applyNumberFormat="1" applyFill="1" applyBorder="1" applyAlignment="1" applyProtection="1">
      <alignment horizontal="center"/>
      <protection hidden="1"/>
    </xf>
    <xf numFmtId="0" fontId="78" fillId="4" borderId="0" xfId="25" applyFill="1" applyAlignment="1" applyProtection="1">
      <alignment horizontal="right"/>
      <protection hidden="1"/>
    </xf>
    <xf numFmtId="1" fontId="78" fillId="4" borderId="0" xfId="32" applyNumberFormat="1" applyFill="1" applyAlignment="1" applyProtection="1">
      <alignment horizontal="right"/>
      <protection hidden="1"/>
    </xf>
    <xf numFmtId="1" fontId="78" fillId="4" borderId="0" xfId="25" applyNumberFormat="1" applyFill="1" applyAlignment="1" applyProtection="1">
      <alignment horizontal="center"/>
      <protection hidden="1"/>
    </xf>
    <xf numFmtId="0" fontId="78" fillId="4" borderId="0" xfId="25" applyFill="1" applyProtection="1">
      <protection hidden="1"/>
    </xf>
    <xf numFmtId="0" fontId="78" fillId="4" borderId="0" xfId="25" applyFill="1" applyAlignment="1" applyProtection="1">
      <alignment horizontal="center"/>
      <protection hidden="1"/>
    </xf>
    <xf numFmtId="167" fontId="78" fillId="4" borderId="0" xfId="25" applyNumberFormat="1" applyFill="1" applyAlignment="1" applyProtection="1">
      <alignment horizontal="center"/>
      <protection hidden="1"/>
    </xf>
    <xf numFmtId="176" fontId="78" fillId="4" borderId="0" xfId="25" applyNumberFormat="1" applyFill="1" applyAlignment="1" applyProtection="1">
      <alignment horizontal="center"/>
      <protection hidden="1"/>
    </xf>
    <xf numFmtId="49" fontId="78" fillId="4" borderId="0" xfId="25" applyNumberFormat="1" applyFill="1" applyAlignment="1" applyProtection="1">
      <alignment horizontal="center"/>
      <protection hidden="1"/>
    </xf>
    <xf numFmtId="173" fontId="78" fillId="4" borderId="0" xfId="25" applyNumberFormat="1" applyFill="1" applyAlignment="1" applyProtection="1">
      <alignment horizontal="center"/>
      <protection hidden="1"/>
    </xf>
    <xf numFmtId="168" fontId="78" fillId="4" borderId="0" xfId="25" applyNumberFormat="1" applyFill="1" applyAlignment="1" applyProtection="1">
      <alignment horizontal="center"/>
      <protection hidden="1"/>
    </xf>
    <xf numFmtId="169" fontId="78" fillId="4" borderId="0" xfId="25" applyNumberFormat="1" applyFill="1" applyAlignment="1" applyProtection="1">
      <alignment horizontal="center"/>
      <protection hidden="1"/>
    </xf>
    <xf numFmtId="170" fontId="78" fillId="4" borderId="0" xfId="25" applyNumberFormat="1" applyFill="1" applyAlignment="1" applyProtection="1">
      <alignment horizontal="center"/>
      <protection hidden="1"/>
    </xf>
    <xf numFmtId="0" fontId="0" fillId="8" borderId="4" xfId="0" applyFill="1" applyBorder="1"/>
    <xf numFmtId="0" fontId="0" fillId="8" borderId="6" xfId="0" applyFill="1" applyBorder="1"/>
    <xf numFmtId="0" fontId="0" fillId="8" borderId="8" xfId="0" applyFill="1" applyBorder="1" applyAlignment="1">
      <alignment horizontal="center"/>
    </xf>
    <xf numFmtId="0" fontId="0" fillId="4" borderId="0" xfId="0" quotePrefix="1" applyFill="1" applyAlignment="1">
      <alignment horizontal="left"/>
    </xf>
    <xf numFmtId="0" fontId="67" fillId="11" borderId="2" xfId="0" applyFont="1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179" fontId="84" fillId="4" borderId="8" xfId="32" applyNumberFormat="1" applyFont="1" applyFill="1" applyBorder="1" applyAlignment="1" applyProtection="1">
      <alignment horizontal="center" vertical="center" wrapText="1"/>
      <protection locked="0"/>
    </xf>
    <xf numFmtId="179" fontId="78" fillId="0" borderId="0" xfId="32" applyNumberFormat="1" applyFill="1" applyAlignment="1">
      <alignment horizontal="center"/>
    </xf>
    <xf numFmtId="0" fontId="8" fillId="0" borderId="0" xfId="9" applyFont="1" applyAlignment="1" applyProtection="1">
      <alignment horizontal="center"/>
      <protection hidden="1"/>
    </xf>
    <xf numFmtId="0" fontId="8" fillId="13" borderId="29" xfId="19" applyFont="1" applyFill="1" applyBorder="1" applyAlignment="1" applyProtection="1">
      <alignment horizontal="center"/>
      <protection hidden="1"/>
    </xf>
    <xf numFmtId="0" fontId="8" fillId="0" borderId="29" xfId="19" applyFont="1" applyBorder="1" applyAlignment="1" applyProtection="1">
      <alignment horizontal="center"/>
      <protection hidden="1"/>
    </xf>
    <xf numFmtId="0" fontId="7" fillId="0" borderId="29" xfId="6" applyFont="1" applyBorder="1" applyAlignment="1" applyProtection="1">
      <alignment horizontal="center"/>
      <protection hidden="1"/>
    </xf>
    <xf numFmtId="0" fontId="7" fillId="0" borderId="0" xfId="6" applyFont="1" applyProtection="1">
      <protection hidden="1"/>
    </xf>
    <xf numFmtId="0" fontId="0" fillId="0" borderId="29" xfId="0" applyBorder="1" applyAlignment="1">
      <alignment horizontal="left"/>
    </xf>
    <xf numFmtId="0" fontId="0" fillId="15" borderId="33" xfId="0" applyFill="1" applyBorder="1" applyAlignment="1">
      <alignment horizontal="center"/>
    </xf>
    <xf numFmtId="9" fontId="78" fillId="0" borderId="31" xfId="32" applyFill="1" applyBorder="1" applyAlignment="1" applyProtection="1">
      <alignment horizontal="center"/>
      <protection hidden="1"/>
    </xf>
    <xf numFmtId="1" fontId="88" fillId="0" borderId="31" xfId="5" applyNumberFormat="1" applyFont="1" applyBorder="1" applyAlignment="1" applyProtection="1">
      <alignment horizontal="left"/>
      <protection hidden="1"/>
    </xf>
    <xf numFmtId="1" fontId="88" fillId="0" borderId="0" xfId="32" applyNumberFormat="1" applyFont="1" applyFill="1" applyAlignment="1">
      <alignment horizontal="left"/>
    </xf>
    <xf numFmtId="1" fontId="64" fillId="9" borderId="7" xfId="25" applyNumberFormat="1" applyFont="1" applyFill="1" applyBorder="1" applyAlignment="1" applyProtection="1">
      <alignment horizontal="right" vertical="center" wrapText="1"/>
      <protection hidden="1"/>
    </xf>
    <xf numFmtId="9" fontId="59" fillId="5" borderId="16" xfId="0" applyNumberFormat="1" applyFont="1" applyFill="1" applyBorder="1" applyAlignment="1" applyProtection="1">
      <alignment horizontal="center" vertical="center"/>
      <protection locked="0"/>
    </xf>
    <xf numFmtId="9" fontId="59" fillId="5" borderId="17" xfId="0" applyNumberFormat="1" applyFont="1" applyFill="1" applyBorder="1" applyAlignment="1" applyProtection="1">
      <alignment horizontal="center" vertical="center"/>
      <protection locked="0"/>
    </xf>
    <xf numFmtId="0" fontId="4" fillId="0" borderId="0" xfId="13" applyFont="1" applyProtection="1">
      <protection hidden="1"/>
    </xf>
    <xf numFmtId="0" fontId="0" fillId="0" borderId="13" xfId="0" applyBorder="1" applyAlignment="1">
      <alignment wrapText="1"/>
    </xf>
    <xf numFmtId="0" fontId="67" fillId="3" borderId="40" xfId="24" applyNumberFormat="1" applyFont="1" applyFill="1" applyBorder="1" applyAlignment="1" applyProtection="1">
      <alignment horizontal="center" vertical="top" wrapText="1"/>
      <protection hidden="1"/>
    </xf>
    <xf numFmtId="0" fontId="67" fillId="3" borderId="43" xfId="24" applyNumberFormat="1" applyFont="1" applyFill="1" applyBorder="1" applyAlignment="1" applyProtection="1">
      <alignment horizontal="center" vertical="top" wrapText="1"/>
      <protection hidden="1"/>
    </xf>
    <xf numFmtId="1" fontId="88" fillId="0" borderId="29" xfId="5" applyNumberFormat="1" applyFont="1" applyBorder="1" applyAlignment="1" applyProtection="1">
      <alignment horizontal="left"/>
      <protection hidden="1"/>
    </xf>
    <xf numFmtId="9" fontId="78" fillId="0" borderId="29" xfId="32" applyFill="1" applyBorder="1" applyAlignment="1" applyProtection="1">
      <alignment horizontal="center"/>
      <protection hidden="1"/>
    </xf>
    <xf numFmtId="0" fontId="67" fillId="2" borderId="33" xfId="24" applyNumberFormat="1" applyFont="1" applyFill="1" applyBorder="1" applyAlignment="1" applyProtection="1">
      <alignment horizontal="center" vertical="top" wrapText="1"/>
      <protection hidden="1"/>
    </xf>
    <xf numFmtId="178" fontId="67" fillId="11" borderId="33" xfId="32" applyNumberFormat="1" applyFont="1" applyFill="1" applyBorder="1" applyAlignment="1" applyProtection="1">
      <alignment horizontal="center" vertical="top" wrapText="1"/>
      <protection hidden="1"/>
    </xf>
    <xf numFmtId="0" fontId="67" fillId="3" borderId="25" xfId="24" applyNumberFormat="1" applyFont="1" applyFill="1" applyBorder="1" applyAlignment="1" applyProtection="1">
      <alignment horizontal="center" vertical="top" wrapText="1"/>
      <protection hidden="1"/>
    </xf>
    <xf numFmtId="0" fontId="67" fillId="3" borderId="33" xfId="24" applyNumberFormat="1" applyFont="1" applyFill="1" applyBorder="1" applyAlignment="1" applyProtection="1">
      <alignment horizontal="center" vertical="top" wrapText="1"/>
      <protection hidden="1"/>
    </xf>
    <xf numFmtId="0" fontId="67" fillId="11" borderId="33" xfId="24" applyNumberFormat="1" applyFont="1" applyFill="1" applyBorder="1" applyAlignment="1" applyProtection="1">
      <alignment horizontal="center" vertical="top" wrapText="1"/>
      <protection hidden="1"/>
    </xf>
    <xf numFmtId="0" fontId="67" fillId="3" borderId="50" xfId="24" applyNumberFormat="1" applyFont="1" applyFill="1" applyBorder="1" applyAlignment="1" applyProtection="1">
      <alignment horizontal="center" vertical="top" wrapText="1"/>
      <protection hidden="1"/>
    </xf>
    <xf numFmtId="0" fontId="78" fillId="4" borderId="0" xfId="25" applyFill="1" applyAlignment="1">
      <alignment wrapText="1"/>
    </xf>
    <xf numFmtId="0" fontId="0" fillId="0" borderId="0" xfId="25" applyFont="1"/>
    <xf numFmtId="1" fontId="3" fillId="0" borderId="29" xfId="9" applyNumberFormat="1" applyFont="1" applyBorder="1" applyAlignment="1" applyProtection="1">
      <alignment horizontal="center"/>
      <protection hidden="1"/>
    </xf>
    <xf numFmtId="0" fontId="67" fillId="11" borderId="40" xfId="42" applyNumberFormat="1" applyFont="1" applyFill="1" applyBorder="1" applyAlignment="1" applyProtection="1">
      <alignment horizontal="center" vertical="top" wrapText="1"/>
      <protection hidden="1"/>
    </xf>
    <xf numFmtId="179" fontId="63" fillId="8" borderId="34" xfId="23" applyNumberFormat="1" applyFont="1" applyFill="1" applyBorder="1" applyAlignment="1" applyProtection="1">
      <alignment horizontal="center" vertical="center"/>
      <protection hidden="1"/>
    </xf>
    <xf numFmtId="179" fontId="63" fillId="8" borderId="34" xfId="21" applyNumberFormat="1" applyFont="1" applyFill="1" applyBorder="1" applyAlignment="1" applyProtection="1">
      <alignment horizontal="center" vertical="center"/>
      <protection hidden="1"/>
    </xf>
    <xf numFmtId="179" fontId="63" fillId="8" borderId="34" xfId="19" applyNumberFormat="1" applyFont="1" applyFill="1" applyBorder="1" applyAlignment="1" applyProtection="1">
      <alignment horizontal="center" vertical="center"/>
      <protection hidden="1"/>
    </xf>
    <xf numFmtId="179" fontId="63" fillId="8" borderId="34" xfId="17" applyNumberFormat="1" applyFont="1" applyFill="1" applyBorder="1" applyAlignment="1" applyProtection="1">
      <alignment horizontal="center" vertical="center"/>
      <protection hidden="1"/>
    </xf>
    <xf numFmtId="179" fontId="63" fillId="8" borderId="34" xfId="30" applyNumberFormat="1" applyFont="1" applyFill="1" applyBorder="1" applyAlignment="1" applyProtection="1">
      <alignment horizontal="center" vertical="center"/>
      <protection hidden="1"/>
    </xf>
    <xf numFmtId="179" fontId="63" fillId="8" borderId="34" xfId="15" applyNumberFormat="1" applyFont="1" applyFill="1" applyBorder="1" applyAlignment="1" applyProtection="1">
      <alignment horizontal="center" vertical="center"/>
      <protection hidden="1"/>
    </xf>
    <xf numFmtId="179" fontId="63" fillId="8" borderId="34" xfId="13" applyNumberFormat="1" applyFont="1" applyFill="1" applyBorder="1" applyAlignment="1" applyProtection="1">
      <alignment horizontal="center" vertical="center"/>
      <protection hidden="1"/>
    </xf>
    <xf numFmtId="179" fontId="63" fillId="8" borderId="34" xfId="11" applyNumberFormat="1" applyFont="1" applyFill="1" applyBorder="1" applyAlignment="1" applyProtection="1">
      <alignment horizontal="center" vertical="center"/>
      <protection hidden="1"/>
    </xf>
    <xf numFmtId="179" fontId="63" fillId="8" borderId="34" xfId="9" applyNumberFormat="1" applyFont="1" applyFill="1" applyBorder="1" applyAlignment="1" applyProtection="1">
      <alignment horizontal="center" vertical="center"/>
      <protection hidden="1"/>
    </xf>
    <xf numFmtId="179" fontId="63" fillId="8" borderId="34" xfId="6" applyNumberFormat="1" applyFont="1" applyFill="1" applyBorder="1" applyAlignment="1" applyProtection="1">
      <alignment horizontal="center" vertical="center"/>
      <protection hidden="1"/>
    </xf>
    <xf numFmtId="179" fontId="63" fillId="8" borderId="34" xfId="5" applyNumberFormat="1" applyFont="1" applyFill="1" applyBorder="1" applyAlignment="1" applyProtection="1">
      <alignment horizontal="center" vertical="center"/>
      <protection hidden="1"/>
    </xf>
    <xf numFmtId="179" fontId="63" fillId="8" borderId="34" xfId="28" applyNumberFormat="1" applyFont="1" applyFill="1" applyBorder="1" applyAlignment="1" applyProtection="1">
      <alignment horizontal="center" vertical="center"/>
      <protection hidden="1"/>
    </xf>
    <xf numFmtId="0" fontId="64" fillId="4" borderId="7" xfId="19" applyFont="1" applyFill="1" applyBorder="1" applyAlignment="1" applyProtection="1">
      <alignment horizontal="center"/>
      <protection hidden="1"/>
    </xf>
    <xf numFmtId="0" fontId="64" fillId="9" borderId="7" xfId="11" applyFont="1" applyFill="1" applyBorder="1" applyAlignment="1" applyProtection="1">
      <alignment horizontal="center"/>
      <protection hidden="1"/>
    </xf>
    <xf numFmtId="49" fontId="0" fillId="0" borderId="45" xfId="0" applyNumberFormat="1" applyBorder="1" applyProtection="1">
      <protection locked="0"/>
    </xf>
    <xf numFmtId="49" fontId="0" fillId="0" borderId="33" xfId="0" applyNumberFormat="1" applyBorder="1" applyProtection="1">
      <protection locked="0"/>
    </xf>
    <xf numFmtId="0" fontId="0" fillId="22" borderId="20" xfId="0" applyFill="1" applyBorder="1" applyAlignment="1">
      <alignment wrapText="1"/>
    </xf>
    <xf numFmtId="0" fontId="69" fillId="0" borderId="29" xfId="5" applyFont="1" applyBorder="1" applyAlignment="1">
      <alignment horizontal="center"/>
    </xf>
    <xf numFmtId="0" fontId="36" fillId="0" borderId="29" xfId="28" applyBorder="1" applyAlignment="1" applyProtection="1">
      <alignment horizontal="right"/>
      <protection hidden="1"/>
    </xf>
    <xf numFmtId="0" fontId="53" fillId="0" borderId="29" xfId="5" applyBorder="1" applyAlignment="1">
      <alignment horizontal="center"/>
    </xf>
    <xf numFmtId="0" fontId="36" fillId="0" borderId="29" xfId="28" applyBorder="1" applyAlignment="1">
      <alignment horizontal="center"/>
    </xf>
    <xf numFmtId="1" fontId="53" fillId="0" borderId="29" xfId="5" applyNumberFormat="1" applyBorder="1" applyAlignment="1">
      <alignment horizontal="center"/>
    </xf>
    <xf numFmtId="0" fontId="56" fillId="0" borderId="29" xfId="5" applyFont="1" applyBorder="1" applyAlignment="1">
      <alignment horizontal="center"/>
    </xf>
    <xf numFmtId="0" fontId="40" fillId="0" borderId="29" xfId="5" applyFont="1" applyBorder="1" applyAlignment="1">
      <alignment horizontal="center"/>
    </xf>
    <xf numFmtId="0" fontId="52" fillId="0" borderId="29" xfId="6" applyBorder="1" applyAlignment="1">
      <alignment horizontal="center"/>
    </xf>
    <xf numFmtId="0" fontId="9" fillId="0" borderId="29" xfId="6" applyFont="1" applyBorder="1" applyAlignment="1">
      <alignment horizontal="center"/>
    </xf>
    <xf numFmtId="0" fontId="35" fillId="0" borderId="29" xfId="30" applyBorder="1" applyAlignment="1">
      <alignment horizontal="center"/>
    </xf>
    <xf numFmtId="0" fontId="56" fillId="0" borderId="29" xfId="6" applyFont="1" applyBorder="1" applyAlignment="1">
      <alignment horizontal="center"/>
    </xf>
    <xf numFmtId="0" fontId="40" fillId="0" borderId="29" xfId="6" applyFont="1" applyBorder="1" applyAlignment="1">
      <alignment horizontal="center"/>
    </xf>
    <xf numFmtId="0" fontId="56" fillId="0" borderId="29" xfId="8" applyBorder="1" applyAlignment="1">
      <alignment horizontal="center"/>
    </xf>
    <xf numFmtId="0" fontId="78" fillId="0" borderId="29" xfId="25" applyBorder="1" applyAlignment="1">
      <alignment horizontal="center"/>
    </xf>
    <xf numFmtId="177" fontId="52" fillId="0" borderId="29" xfId="6" applyNumberFormat="1" applyBorder="1" applyAlignment="1" applyProtection="1">
      <alignment horizontal="right"/>
      <protection hidden="1"/>
    </xf>
    <xf numFmtId="1" fontId="6" fillId="0" borderId="29" xfId="5" applyNumberFormat="1" applyFont="1" applyBorder="1" applyAlignment="1" applyProtection="1">
      <alignment horizontal="center"/>
      <protection hidden="1"/>
    </xf>
    <xf numFmtId="0" fontId="51" fillId="0" borderId="29" xfId="9" applyBorder="1" applyAlignment="1">
      <alignment horizontal="center"/>
    </xf>
    <xf numFmtId="0" fontId="3" fillId="0" borderId="29" xfId="9" applyFont="1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46" fillId="0" borderId="29" xfId="19" applyBorder="1" applyAlignment="1">
      <alignment horizontal="center"/>
    </xf>
    <xf numFmtId="1" fontId="10" fillId="0" borderId="29" xfId="5" applyNumberFormat="1" applyFont="1" applyBorder="1" applyAlignment="1" applyProtection="1">
      <alignment horizontal="center"/>
      <protection hidden="1"/>
    </xf>
    <xf numFmtId="0" fontId="50" fillId="0" borderId="29" xfId="11" applyBorder="1" applyAlignment="1">
      <alignment horizontal="center"/>
    </xf>
    <xf numFmtId="177" fontId="36" fillId="0" borderId="29" xfId="28" applyNumberFormat="1" applyBorder="1" applyAlignment="1" applyProtection="1">
      <alignment horizontal="right"/>
      <protection hidden="1"/>
    </xf>
    <xf numFmtId="0" fontId="56" fillId="0" borderId="29" xfId="11" applyFont="1" applyBorder="1" applyAlignment="1">
      <alignment horizontal="center"/>
    </xf>
    <xf numFmtId="0" fontId="31" fillId="0" borderId="29" xfId="11" applyFont="1" applyBorder="1" applyAlignment="1">
      <alignment horizontal="center"/>
    </xf>
    <xf numFmtId="49" fontId="50" fillId="0" borderId="29" xfId="11" applyNumberFormat="1" applyBorder="1" applyAlignment="1">
      <alignment horizontal="center"/>
    </xf>
    <xf numFmtId="0" fontId="49" fillId="0" borderId="29" xfId="13" applyBorder="1" applyAlignment="1">
      <alignment horizontal="center"/>
    </xf>
    <xf numFmtId="1" fontId="5" fillId="0" borderId="29" xfId="5" applyNumberFormat="1" applyFont="1" applyBorder="1" applyAlignment="1" applyProtection="1">
      <alignment horizontal="center"/>
      <protection hidden="1"/>
    </xf>
    <xf numFmtId="0" fontId="56" fillId="0" borderId="29" xfId="13" applyFont="1" applyBorder="1" applyAlignment="1">
      <alignment horizontal="center"/>
    </xf>
    <xf numFmtId="0" fontId="74" fillId="0" borderId="29" xfId="13" applyFont="1" applyBorder="1" applyAlignment="1">
      <alignment horizontal="center" vertical="center"/>
    </xf>
    <xf numFmtId="0" fontId="36" fillId="0" borderId="29" xfId="13" applyFont="1" applyBorder="1" applyAlignment="1">
      <alignment horizontal="center"/>
    </xf>
    <xf numFmtId="0" fontId="48" fillId="0" borderId="29" xfId="15" applyBorder="1" applyAlignment="1">
      <alignment horizontal="center"/>
    </xf>
    <xf numFmtId="0" fontId="48" fillId="0" borderId="29" xfId="15" applyBorder="1" applyAlignment="1">
      <alignment horizontal="center" vertical="center"/>
    </xf>
    <xf numFmtId="0" fontId="43" fillId="0" borderId="29" xfId="23" applyFont="1" applyBorder="1" applyAlignment="1">
      <alignment horizontal="center"/>
    </xf>
    <xf numFmtId="0" fontId="44" fillId="0" borderId="29" xfId="23" applyBorder="1" applyAlignment="1">
      <alignment horizontal="center"/>
    </xf>
    <xf numFmtId="0" fontId="69" fillId="0" borderId="29" xfId="15" applyFont="1" applyBorder="1" applyAlignment="1">
      <alignment horizontal="center" vertical="center"/>
    </xf>
    <xf numFmtId="1" fontId="11" fillId="0" borderId="29" xfId="5" applyNumberFormat="1" applyFont="1" applyBorder="1" applyAlignment="1" applyProtection="1">
      <alignment horizontal="center"/>
      <protection hidden="1"/>
    </xf>
    <xf numFmtId="0" fontId="47" fillId="0" borderId="29" xfId="17" applyBorder="1" applyAlignment="1">
      <alignment horizontal="center"/>
    </xf>
    <xf numFmtId="0" fontId="61" fillId="0" borderId="29" xfId="17" applyFont="1" applyBorder="1" applyAlignment="1">
      <alignment horizontal="center"/>
    </xf>
    <xf numFmtId="0" fontId="69" fillId="0" borderId="29" xfId="0" applyFont="1" applyBorder="1" applyAlignment="1">
      <alignment horizontal="center"/>
    </xf>
    <xf numFmtId="0" fontId="56" fillId="0" borderId="29" xfId="17" applyFont="1" applyBorder="1" applyAlignment="1">
      <alignment horizontal="center"/>
    </xf>
    <xf numFmtId="0" fontId="69" fillId="0" borderId="29" xfId="17" applyFont="1" applyBorder="1" applyAlignment="1">
      <alignment horizontal="center"/>
    </xf>
    <xf numFmtId="0" fontId="61" fillId="0" borderId="29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26" fillId="0" borderId="30" xfId="23" applyFont="1" applyBorder="1" applyAlignment="1">
      <alignment horizontal="center"/>
    </xf>
    <xf numFmtId="0" fontId="45" fillId="0" borderId="29" xfId="21" applyBorder="1" applyAlignment="1">
      <alignment horizontal="center"/>
    </xf>
    <xf numFmtId="0" fontId="45" fillId="0" borderId="29" xfId="21" quotePrefix="1" applyBorder="1" applyAlignment="1">
      <alignment horizontal="center"/>
    </xf>
    <xf numFmtId="0" fontId="44" fillId="0" borderId="29" xfId="21" applyFont="1" applyBorder="1" applyAlignment="1">
      <alignment horizontal="center"/>
    </xf>
    <xf numFmtId="0" fontId="43" fillId="0" borderId="29" xfId="21" applyFont="1" applyBorder="1" applyAlignment="1">
      <alignment horizontal="center"/>
    </xf>
    <xf numFmtId="0" fontId="44" fillId="0" borderId="29" xfId="23" applyBorder="1" applyAlignment="1">
      <alignment horizontal="center" vertical="top"/>
    </xf>
    <xf numFmtId="0" fontId="0" fillId="0" borderId="37" xfId="0" applyBorder="1" applyAlignment="1">
      <alignment wrapText="1"/>
    </xf>
    <xf numFmtId="0" fontId="0" fillId="0" borderId="0" xfId="0" applyAlignment="1">
      <alignment wrapText="1"/>
    </xf>
    <xf numFmtId="0" fontId="0" fillId="0" borderId="14" xfId="0" applyBorder="1" applyAlignment="1">
      <alignment wrapText="1"/>
    </xf>
    <xf numFmtId="0" fontId="0" fillId="4" borderId="54" xfId="0" applyFill="1" applyBorder="1" applyAlignment="1">
      <alignment wrapText="1"/>
    </xf>
    <xf numFmtId="0" fontId="0" fillId="4" borderId="12" xfId="0" applyFill="1" applyBorder="1" applyAlignment="1">
      <alignment wrapText="1"/>
    </xf>
    <xf numFmtId="0" fontId="79" fillId="4" borderId="12" xfId="33" applyNumberFormat="1" applyFill="1" applyBorder="1" applyAlignment="1">
      <alignment vertical="center" wrapText="1"/>
    </xf>
    <xf numFmtId="0" fontId="0" fillId="18" borderId="55" xfId="0" applyFill="1" applyBorder="1" applyAlignment="1">
      <alignment wrapText="1"/>
    </xf>
    <xf numFmtId="0" fontId="0" fillId="4" borderId="2" xfId="0" applyFill="1" applyBorder="1" applyAlignment="1">
      <alignment wrapText="1"/>
    </xf>
    <xf numFmtId="164" fontId="2" fillId="0" borderId="0" xfId="28" applyNumberFormat="1" applyFont="1" applyProtection="1">
      <protection hidden="1"/>
    </xf>
    <xf numFmtId="0" fontId="1" fillId="0" borderId="0" xfId="5" applyFont="1" applyProtection="1">
      <protection hidden="1"/>
    </xf>
    <xf numFmtId="9" fontId="59" fillId="5" borderId="56" xfId="0" applyNumberFormat="1" applyFont="1" applyFill="1" applyBorder="1" applyAlignment="1" applyProtection="1">
      <alignment horizontal="center" vertical="center"/>
      <protection locked="0"/>
    </xf>
    <xf numFmtId="0" fontId="64" fillId="5" borderId="57" xfId="0" applyFont="1" applyFill="1" applyBorder="1" applyAlignment="1" applyProtection="1">
      <alignment horizontal="left" vertical="center"/>
      <protection hidden="1"/>
    </xf>
    <xf numFmtId="0" fontId="64" fillId="5" borderId="58" xfId="0" applyFont="1" applyFill="1" applyBorder="1" applyAlignment="1" applyProtection="1">
      <alignment horizontal="left" vertical="center"/>
      <protection hidden="1"/>
    </xf>
    <xf numFmtId="0" fontId="64" fillId="5" borderId="59" xfId="0" applyFont="1" applyFill="1" applyBorder="1" applyAlignment="1" applyProtection="1">
      <alignment horizontal="left" vertical="center"/>
      <protection hidden="1"/>
    </xf>
    <xf numFmtId="0" fontId="89" fillId="4" borderId="37" xfId="0" applyFont="1" applyFill="1" applyBorder="1" applyAlignment="1" applyProtection="1">
      <alignment horizontal="center" vertical="center"/>
      <protection hidden="1"/>
    </xf>
    <xf numFmtId="0" fontId="89" fillId="4" borderId="13" xfId="0" applyFont="1" applyFill="1" applyBorder="1" applyAlignment="1" applyProtection="1">
      <alignment horizontal="center" vertical="center"/>
      <protection hidden="1"/>
    </xf>
    <xf numFmtId="0" fontId="89" fillId="4" borderId="14" xfId="0" applyFont="1" applyFill="1" applyBorder="1" applyAlignment="1" applyProtection="1">
      <alignment horizontal="center" vertical="center"/>
      <protection hidden="1"/>
    </xf>
    <xf numFmtId="0" fontId="67" fillId="3" borderId="33" xfId="32" applyNumberFormat="1" applyFont="1" applyFill="1" applyBorder="1" applyAlignment="1" applyProtection="1">
      <alignment horizontal="center" vertical="top" wrapText="1"/>
      <protection hidden="1"/>
    </xf>
    <xf numFmtId="0" fontId="66" fillId="3" borderId="34" xfId="0" applyFont="1" applyFill="1" applyBorder="1" applyAlignment="1">
      <alignment horizontal="center" vertical="center" wrapText="1"/>
    </xf>
    <xf numFmtId="0" fontId="66" fillId="3" borderId="35" xfId="0" applyFont="1" applyFill="1" applyBorder="1" applyAlignment="1">
      <alignment horizontal="center" vertical="center" wrapText="1"/>
    </xf>
    <xf numFmtId="0" fontId="66" fillId="3" borderId="36" xfId="0" applyFont="1" applyFill="1" applyBorder="1" applyAlignment="1">
      <alignment horizontal="center" vertical="center" wrapText="1"/>
    </xf>
    <xf numFmtId="0" fontId="86" fillId="6" borderId="4" xfId="0" applyFont="1" applyFill="1" applyBorder="1" applyAlignment="1">
      <alignment horizontal="left" textRotation="90"/>
    </xf>
    <xf numFmtId="0" fontId="58" fillId="11" borderId="4" xfId="0" applyFont="1" applyFill="1" applyBorder="1" applyAlignment="1" applyProtection="1">
      <alignment horizontal="center" vertical="center"/>
      <protection hidden="1"/>
    </xf>
    <xf numFmtId="0" fontId="58" fillId="11" borderId="0" xfId="0" applyFont="1" applyFill="1" applyAlignment="1" applyProtection="1">
      <alignment horizontal="center" vertical="center"/>
      <protection hidden="1"/>
    </xf>
    <xf numFmtId="0" fontId="58" fillId="11" borderId="5" xfId="0" applyFont="1" applyFill="1" applyBorder="1" applyAlignment="1" applyProtection="1">
      <alignment horizontal="center" vertical="center"/>
      <protection hidden="1"/>
    </xf>
    <xf numFmtId="0" fontId="58" fillId="11" borderId="6" xfId="0" applyFont="1" applyFill="1" applyBorder="1" applyAlignment="1" applyProtection="1">
      <alignment horizontal="center" vertical="center"/>
      <protection hidden="1"/>
    </xf>
    <xf numFmtId="0" fontId="58" fillId="11" borderId="7" xfId="0" applyFont="1" applyFill="1" applyBorder="1" applyAlignment="1" applyProtection="1">
      <alignment horizontal="center" vertical="center"/>
      <protection hidden="1"/>
    </xf>
    <xf numFmtId="0" fontId="58" fillId="11" borderId="8" xfId="0" applyFont="1" applyFill="1" applyBorder="1" applyAlignment="1" applyProtection="1">
      <alignment horizontal="center" vertical="center"/>
      <protection hidden="1"/>
    </xf>
    <xf numFmtId="0" fontId="60" fillId="14" borderId="1" xfId="0" applyFont="1" applyFill="1" applyBorder="1" applyAlignment="1" applyProtection="1">
      <alignment horizontal="center" vertical="center" wrapText="1"/>
      <protection hidden="1"/>
    </xf>
    <xf numFmtId="0" fontId="60" fillId="14" borderId="2" xfId="0" applyFont="1" applyFill="1" applyBorder="1" applyAlignment="1" applyProtection="1">
      <alignment horizontal="center" vertical="center" wrapText="1"/>
      <protection hidden="1"/>
    </xf>
    <xf numFmtId="0" fontId="60" fillId="14" borderId="3" xfId="0" applyFont="1" applyFill="1" applyBorder="1" applyAlignment="1" applyProtection="1">
      <alignment horizontal="center" vertical="center" wrapText="1"/>
      <protection hidden="1"/>
    </xf>
    <xf numFmtId="0" fontId="57" fillId="3" borderId="7" xfId="0" applyFont="1" applyFill="1" applyBorder="1" applyAlignment="1" applyProtection="1">
      <alignment horizontal="center" vertical="center" wrapText="1"/>
      <protection hidden="1"/>
    </xf>
    <xf numFmtId="0" fontId="60" fillId="2" borderId="1" xfId="0" applyFont="1" applyFill="1" applyBorder="1" applyAlignment="1" applyProtection="1">
      <alignment horizontal="center" vertical="center" wrapText="1"/>
      <protection hidden="1"/>
    </xf>
    <xf numFmtId="0" fontId="60" fillId="2" borderId="2" xfId="0" applyFont="1" applyFill="1" applyBorder="1" applyAlignment="1" applyProtection="1">
      <alignment horizontal="center" vertical="center" wrapText="1"/>
      <protection hidden="1"/>
    </xf>
    <xf numFmtId="0" fontId="60" fillId="2" borderId="3" xfId="0" applyFont="1" applyFill="1" applyBorder="1" applyAlignment="1" applyProtection="1">
      <alignment horizontal="center" vertical="center" wrapText="1"/>
      <protection hidden="1"/>
    </xf>
    <xf numFmtId="0" fontId="85" fillId="2" borderId="4" xfId="0" applyFont="1" applyFill="1" applyBorder="1" applyAlignment="1" applyProtection="1">
      <alignment horizontal="center" vertical="center" wrapText="1"/>
      <protection hidden="1"/>
    </xf>
    <xf numFmtId="0" fontId="85" fillId="2" borderId="0" xfId="0" applyFont="1" applyFill="1" applyAlignment="1" applyProtection="1">
      <alignment horizontal="center" vertical="center" wrapText="1"/>
      <protection hidden="1"/>
    </xf>
    <xf numFmtId="0" fontId="85" fillId="2" borderId="5" xfId="0" applyFont="1" applyFill="1" applyBorder="1" applyAlignment="1" applyProtection="1">
      <alignment horizontal="center" vertical="center" wrapText="1"/>
      <protection hidden="1"/>
    </xf>
    <xf numFmtId="0" fontId="67" fillId="3" borderId="40" xfId="24" applyNumberFormat="1" applyFont="1" applyFill="1" applyBorder="1" applyAlignment="1" applyProtection="1">
      <alignment horizontal="center" vertical="top" wrapText="1"/>
      <protection hidden="1"/>
    </xf>
    <xf numFmtId="0" fontId="67" fillId="3" borderId="33" xfId="24" applyNumberFormat="1" applyFont="1" applyFill="1" applyBorder="1" applyAlignment="1" applyProtection="1">
      <alignment horizontal="center" vertical="top" wrapText="1"/>
      <protection hidden="1"/>
    </xf>
    <xf numFmtId="0" fontId="67" fillId="3" borderId="42" xfId="24" applyNumberFormat="1" applyFont="1" applyFill="1" applyBorder="1" applyAlignment="1" applyProtection="1">
      <alignment horizontal="center" vertical="top" wrapText="1"/>
      <protection hidden="1"/>
    </xf>
    <xf numFmtId="0" fontId="67" fillId="3" borderId="43" xfId="24" applyNumberFormat="1" applyFont="1" applyFill="1" applyBorder="1" applyAlignment="1" applyProtection="1">
      <alignment horizontal="center" vertical="top" wrapText="1"/>
      <protection hidden="1"/>
    </xf>
    <xf numFmtId="0" fontId="67" fillId="2" borderId="40" xfId="24" applyNumberFormat="1" applyFont="1" applyFill="1" applyBorder="1" applyAlignment="1" applyProtection="1">
      <alignment horizontal="center" vertical="top" wrapText="1"/>
      <protection hidden="1"/>
    </xf>
    <xf numFmtId="0" fontId="67" fillId="2" borderId="33" xfId="24" applyNumberFormat="1" applyFont="1" applyFill="1" applyBorder="1" applyAlignment="1" applyProtection="1">
      <alignment horizontal="center" vertical="top" wrapText="1"/>
      <protection hidden="1"/>
    </xf>
    <xf numFmtId="0" fontId="67" fillId="2" borderId="42" xfId="24" applyNumberFormat="1" applyFont="1" applyFill="1" applyBorder="1" applyAlignment="1" applyProtection="1">
      <alignment horizontal="center" vertical="top" wrapText="1"/>
      <protection hidden="1"/>
    </xf>
    <xf numFmtId="0" fontId="67" fillId="2" borderId="43" xfId="24" applyNumberFormat="1" applyFont="1" applyFill="1" applyBorder="1" applyAlignment="1" applyProtection="1">
      <alignment horizontal="center" vertical="top" wrapText="1"/>
      <protection hidden="1"/>
    </xf>
    <xf numFmtId="0" fontId="67" fillId="3" borderId="25" xfId="24" applyNumberFormat="1" applyFont="1" applyFill="1" applyBorder="1" applyAlignment="1" applyProtection="1">
      <alignment horizontal="center" vertical="top" wrapText="1"/>
      <protection hidden="1"/>
    </xf>
    <xf numFmtId="0" fontId="67" fillId="3" borderId="50" xfId="24" applyNumberFormat="1" applyFont="1" applyFill="1" applyBorder="1" applyAlignment="1" applyProtection="1">
      <alignment horizontal="center" vertical="top" wrapText="1"/>
      <protection hidden="1"/>
    </xf>
    <xf numFmtId="0" fontId="79" fillId="0" borderId="35" xfId="33" applyFill="1" applyBorder="1" applyAlignment="1" applyProtection="1">
      <alignment horizontal="left" vertical="center"/>
      <protection hidden="1"/>
    </xf>
    <xf numFmtId="0" fontId="79" fillId="0" borderId="36" xfId="33" applyFill="1" applyBorder="1" applyAlignment="1" applyProtection="1">
      <alignment horizontal="left" vertical="center"/>
      <protection hidden="1"/>
    </xf>
    <xf numFmtId="0" fontId="65" fillId="15" borderId="31" xfId="5" applyFont="1" applyFill="1" applyBorder="1" applyAlignment="1" applyProtection="1">
      <alignment horizontal="center"/>
      <protection hidden="1"/>
    </xf>
    <xf numFmtId="0" fontId="65" fillId="15" borderId="10" xfId="5" applyFont="1" applyFill="1" applyBorder="1" applyAlignment="1" applyProtection="1">
      <alignment horizontal="center"/>
      <protection hidden="1"/>
    </xf>
    <xf numFmtId="0" fontId="65" fillId="15" borderId="32" xfId="5" applyFont="1" applyFill="1" applyBorder="1" applyAlignment="1" applyProtection="1">
      <alignment horizontal="center"/>
      <protection hidden="1"/>
    </xf>
    <xf numFmtId="0" fontId="67" fillId="2" borderId="30" xfId="29" applyFont="1" applyFill="1" applyBorder="1" applyAlignment="1" applyProtection="1">
      <alignment horizontal="center" vertical="top" wrapText="1"/>
      <protection hidden="1"/>
    </xf>
    <xf numFmtId="0" fontId="67" fillId="7" borderId="26" xfId="4" applyFont="1" applyFill="1" applyBorder="1" applyAlignment="1" applyProtection="1">
      <alignment horizontal="center" vertical="center" wrapText="1"/>
      <protection hidden="1"/>
    </xf>
    <xf numFmtId="0" fontId="67" fillId="7" borderId="9" xfId="4" applyFont="1" applyFill="1" applyBorder="1" applyAlignment="1" applyProtection="1">
      <alignment horizontal="center" vertical="center" wrapText="1"/>
      <protection hidden="1"/>
    </xf>
    <xf numFmtId="0" fontId="67" fillId="7" borderId="27" xfId="4" applyFont="1" applyFill="1" applyBorder="1" applyAlignment="1" applyProtection="1">
      <alignment horizontal="center" vertical="center" wrapText="1"/>
      <protection hidden="1"/>
    </xf>
    <xf numFmtId="0" fontId="67" fillId="2" borderId="28" xfId="29" applyFont="1" applyFill="1" applyBorder="1" applyAlignment="1" applyProtection="1">
      <alignment horizontal="center" vertical="top" wrapText="1"/>
      <protection hidden="1"/>
    </xf>
    <xf numFmtId="0" fontId="67" fillId="7" borderId="25" xfId="4" applyFont="1" applyFill="1" applyBorder="1" applyAlignment="1" applyProtection="1">
      <alignment horizontal="center" vertical="center" wrapText="1"/>
      <protection hidden="1"/>
    </xf>
    <xf numFmtId="0" fontId="67" fillId="7" borderId="0" xfId="4" applyFont="1" applyFill="1" applyBorder="1" applyAlignment="1" applyProtection="1">
      <alignment horizontal="center" vertical="center" wrapText="1"/>
      <protection hidden="1"/>
    </xf>
    <xf numFmtId="0" fontId="67" fillId="7" borderId="50" xfId="4" applyFont="1" applyFill="1" applyBorder="1" applyAlignment="1" applyProtection="1">
      <alignment horizontal="center" vertical="center" wrapText="1"/>
      <protection hidden="1"/>
    </xf>
    <xf numFmtId="0" fontId="67" fillId="0" borderId="35" xfId="5" applyFont="1" applyBorder="1" applyAlignment="1" applyProtection="1">
      <alignment horizontal="left" vertical="center"/>
      <protection hidden="1"/>
    </xf>
    <xf numFmtId="0" fontId="67" fillId="0" borderId="36" xfId="5" applyFont="1" applyBorder="1" applyAlignment="1" applyProtection="1">
      <alignment horizontal="left" vertical="center"/>
      <protection hidden="1"/>
    </xf>
    <xf numFmtId="0" fontId="67" fillId="2" borderId="30" xfId="4" applyFont="1" applyFill="1" applyBorder="1" applyAlignment="1" applyProtection="1">
      <alignment horizontal="center" vertical="top" wrapText="1"/>
      <protection hidden="1"/>
    </xf>
    <xf numFmtId="0" fontId="67" fillId="2" borderId="28" xfId="4" applyFont="1" applyFill="1" applyBorder="1" applyAlignment="1" applyProtection="1">
      <alignment horizontal="center" vertical="top" wrapText="1"/>
      <protection hidden="1"/>
    </xf>
    <xf numFmtId="0" fontId="67" fillId="7" borderId="23" xfId="4" applyFont="1" applyFill="1" applyBorder="1" applyAlignment="1" applyProtection="1">
      <alignment horizontal="center" vertical="center" wrapText="1"/>
      <protection hidden="1"/>
    </xf>
    <xf numFmtId="0" fontId="67" fillId="7" borderId="12" xfId="4" applyFont="1" applyFill="1" applyBorder="1" applyAlignment="1" applyProtection="1">
      <alignment horizontal="center" vertical="center" wrapText="1"/>
      <protection hidden="1"/>
    </xf>
    <xf numFmtId="0" fontId="67" fillId="7" borderId="24" xfId="4" applyFont="1" applyFill="1" applyBorder="1" applyAlignment="1" applyProtection="1">
      <alignment horizontal="center" vertical="center" wrapText="1"/>
      <protection hidden="1"/>
    </xf>
    <xf numFmtId="0" fontId="65" fillId="0" borderId="10" xfId="5" applyFont="1" applyBorder="1" applyAlignment="1" applyProtection="1">
      <alignment horizontal="center"/>
      <protection hidden="1"/>
    </xf>
    <xf numFmtId="0" fontId="65" fillId="0" borderId="32" xfId="5" applyFont="1" applyBorder="1" applyAlignment="1" applyProtection="1">
      <alignment horizontal="center"/>
      <protection hidden="1"/>
    </xf>
    <xf numFmtId="164" fontId="53" fillId="0" borderId="31" xfId="5" applyNumberFormat="1" applyBorder="1" applyAlignment="1" applyProtection="1">
      <alignment horizontal="center"/>
      <protection hidden="1"/>
    </xf>
    <xf numFmtId="164" fontId="53" fillId="0" borderId="32" xfId="5" applyNumberFormat="1" applyBorder="1" applyAlignment="1" applyProtection="1">
      <alignment horizontal="center"/>
      <protection hidden="1"/>
    </xf>
    <xf numFmtId="0" fontId="79" fillId="0" borderId="0" xfId="33" applyAlignment="1" applyProtection="1">
      <alignment horizontal="left"/>
      <protection hidden="1"/>
    </xf>
    <xf numFmtId="0" fontId="67" fillId="0" borderId="35" xfId="6" applyFont="1" applyBorder="1" applyAlignment="1" applyProtection="1">
      <alignment horizontal="left" vertical="center"/>
      <protection hidden="1"/>
    </xf>
    <xf numFmtId="0" fontId="67" fillId="0" borderId="36" xfId="6" applyFont="1" applyBorder="1" applyAlignment="1" applyProtection="1">
      <alignment horizontal="left" vertical="center"/>
      <protection hidden="1"/>
    </xf>
    <xf numFmtId="0" fontId="67" fillId="2" borderId="28" xfId="7" applyFont="1" applyFill="1" applyBorder="1" applyAlignment="1" applyProtection="1">
      <alignment horizontal="center" vertical="top" wrapText="1"/>
      <protection hidden="1"/>
    </xf>
    <xf numFmtId="0" fontId="67" fillId="2" borderId="30" xfId="7" applyFont="1" applyFill="1" applyBorder="1" applyAlignment="1" applyProtection="1">
      <alignment horizontal="center" vertical="top" wrapText="1"/>
      <protection hidden="1"/>
    </xf>
    <xf numFmtId="0" fontId="67" fillId="0" borderId="35" xfId="30" applyFont="1" applyBorder="1" applyAlignment="1" applyProtection="1">
      <alignment horizontal="left" vertical="center"/>
      <protection hidden="1"/>
    </xf>
    <xf numFmtId="0" fontId="67" fillId="0" borderId="36" xfId="30" applyFont="1" applyBorder="1" applyAlignment="1" applyProtection="1">
      <alignment horizontal="left" vertical="center"/>
      <protection hidden="1"/>
    </xf>
    <xf numFmtId="0" fontId="67" fillId="2" borderId="26" xfId="31" applyFont="1" applyFill="1" applyBorder="1" applyAlignment="1" applyProtection="1">
      <alignment horizontal="center" vertical="top" wrapText="1"/>
      <protection hidden="1"/>
    </xf>
    <xf numFmtId="0" fontId="67" fillId="2" borderId="9" xfId="31" applyFont="1" applyFill="1" applyBorder="1" applyAlignment="1" applyProtection="1">
      <alignment horizontal="center" vertical="top" wrapText="1"/>
      <protection hidden="1"/>
    </xf>
    <xf numFmtId="0" fontId="67" fillId="2" borderId="27" xfId="31" applyFont="1" applyFill="1" applyBorder="1" applyAlignment="1" applyProtection="1">
      <alignment horizontal="center" vertical="top" wrapText="1"/>
      <protection hidden="1"/>
    </xf>
    <xf numFmtId="0" fontId="67" fillId="2" borderId="28" xfId="31" applyFont="1" applyFill="1" applyBorder="1" applyAlignment="1" applyProtection="1">
      <alignment horizontal="center" vertical="top" wrapText="1"/>
      <protection hidden="1"/>
    </xf>
    <xf numFmtId="0" fontId="67" fillId="2" borderId="26" xfId="7" applyFont="1" applyFill="1" applyBorder="1" applyAlignment="1" applyProtection="1">
      <alignment horizontal="center" vertical="top" wrapText="1"/>
      <protection hidden="1"/>
    </xf>
    <xf numFmtId="0" fontId="67" fillId="2" borderId="9" xfId="7" applyFont="1" applyFill="1" applyBorder="1" applyAlignment="1" applyProtection="1">
      <alignment horizontal="center" vertical="top" wrapText="1"/>
      <protection hidden="1"/>
    </xf>
    <xf numFmtId="0" fontId="67" fillId="2" borderId="27" xfId="7" applyFont="1" applyFill="1" applyBorder="1" applyAlignment="1" applyProtection="1">
      <alignment horizontal="center" vertical="top" wrapText="1"/>
      <protection hidden="1"/>
    </xf>
    <xf numFmtId="0" fontId="67" fillId="2" borderId="23" xfId="7" applyFont="1" applyFill="1" applyBorder="1" applyAlignment="1" applyProtection="1">
      <alignment horizontal="center" vertical="top" wrapText="1"/>
      <protection hidden="1"/>
    </xf>
    <xf numFmtId="0" fontId="67" fillId="2" borderId="12" xfId="7" applyFont="1" applyFill="1" applyBorder="1" applyAlignment="1" applyProtection="1">
      <alignment horizontal="center" vertical="top" wrapText="1"/>
      <protection hidden="1"/>
    </xf>
    <xf numFmtId="0" fontId="67" fillId="2" borderId="24" xfId="7" applyFont="1" applyFill="1" applyBorder="1" applyAlignment="1" applyProtection="1">
      <alignment horizontal="center" vertical="top" wrapText="1"/>
      <protection hidden="1"/>
    </xf>
    <xf numFmtId="0" fontId="52" fillId="0" borderId="31" xfId="6" applyBorder="1" applyAlignment="1" applyProtection="1">
      <alignment horizontal="center"/>
      <protection hidden="1"/>
    </xf>
    <xf numFmtId="0" fontId="52" fillId="0" borderId="32" xfId="6" applyBorder="1" applyAlignment="1" applyProtection="1">
      <alignment horizontal="center"/>
      <protection hidden="1"/>
    </xf>
    <xf numFmtId="0" fontId="67" fillId="2" borderId="28" xfId="7" quotePrefix="1" applyFont="1" applyFill="1" applyBorder="1" applyAlignment="1" applyProtection="1">
      <alignment horizontal="center" vertical="top" wrapText="1"/>
      <protection hidden="1"/>
    </xf>
    <xf numFmtId="0" fontId="67" fillId="2" borderId="33" xfId="7" applyFont="1" applyFill="1" applyBorder="1" applyAlignment="1" applyProtection="1">
      <alignment horizontal="center" vertical="top" wrapText="1"/>
      <protection hidden="1"/>
    </xf>
    <xf numFmtId="0" fontId="67" fillId="2" borderId="26" xfId="10" applyFont="1" applyFill="1" applyBorder="1" applyAlignment="1" applyProtection="1">
      <alignment horizontal="center" vertical="top" wrapText="1"/>
      <protection hidden="1"/>
    </xf>
    <xf numFmtId="0" fontId="67" fillId="2" borderId="9" xfId="10" applyFont="1" applyFill="1" applyBorder="1" applyAlignment="1" applyProtection="1">
      <alignment horizontal="center" vertical="top" wrapText="1"/>
      <protection hidden="1"/>
    </xf>
    <xf numFmtId="0" fontId="67" fillId="2" borderId="27" xfId="10" applyFont="1" applyFill="1" applyBorder="1" applyAlignment="1" applyProtection="1">
      <alignment horizontal="center" vertical="top" wrapText="1"/>
      <protection hidden="1"/>
    </xf>
    <xf numFmtId="0" fontId="67" fillId="0" borderId="35" xfId="9" applyFont="1" applyBorder="1" applyAlignment="1" applyProtection="1">
      <alignment horizontal="left" vertical="center"/>
      <protection hidden="1"/>
    </xf>
    <xf numFmtId="0" fontId="67" fillId="0" borderId="36" xfId="9" applyFont="1" applyBorder="1" applyAlignment="1" applyProtection="1">
      <alignment horizontal="left" vertical="center"/>
      <protection hidden="1"/>
    </xf>
    <xf numFmtId="0" fontId="67" fillId="2" borderId="30" xfId="10" applyFont="1" applyFill="1" applyBorder="1" applyAlignment="1" applyProtection="1">
      <alignment horizontal="center" vertical="top" wrapText="1"/>
      <protection hidden="1"/>
    </xf>
    <xf numFmtId="0" fontId="67" fillId="2" borderId="28" xfId="10" applyFont="1" applyFill="1" applyBorder="1" applyAlignment="1" applyProtection="1">
      <alignment horizontal="center" vertical="top" wrapText="1"/>
      <protection hidden="1"/>
    </xf>
    <xf numFmtId="0" fontId="67" fillId="2" borderId="23" xfId="10" applyFont="1" applyFill="1" applyBorder="1" applyAlignment="1" applyProtection="1">
      <alignment horizontal="center" vertical="top" wrapText="1"/>
      <protection hidden="1"/>
    </xf>
    <xf numFmtId="0" fontId="67" fillId="2" borderId="12" xfId="10" applyFont="1" applyFill="1" applyBorder="1" applyAlignment="1" applyProtection="1">
      <alignment horizontal="center" vertical="top" wrapText="1"/>
      <protection hidden="1"/>
    </xf>
    <xf numFmtId="0" fontId="67" fillId="2" borderId="24" xfId="10" applyFont="1" applyFill="1" applyBorder="1" applyAlignment="1" applyProtection="1">
      <alignment horizontal="center" vertical="top" wrapText="1"/>
      <protection hidden="1"/>
    </xf>
    <xf numFmtId="9" fontId="79" fillId="0" borderId="35" xfId="33" applyNumberFormat="1" applyFill="1" applyBorder="1" applyAlignment="1" applyProtection="1">
      <alignment horizontal="left" vertical="center"/>
      <protection hidden="1"/>
    </xf>
    <xf numFmtId="9" fontId="79" fillId="0" borderId="36" xfId="33" applyNumberFormat="1" applyFill="1" applyBorder="1" applyAlignment="1" applyProtection="1">
      <alignment horizontal="left" vertical="center"/>
      <protection hidden="1"/>
    </xf>
    <xf numFmtId="0" fontId="67" fillId="2" borderId="28" xfId="12" applyFont="1" applyFill="1" applyBorder="1" applyAlignment="1" applyProtection="1">
      <alignment horizontal="center" vertical="top" wrapText="1"/>
      <protection hidden="1"/>
    </xf>
    <xf numFmtId="0" fontId="67" fillId="2" borderId="30" xfId="12" applyFont="1" applyFill="1" applyBorder="1" applyAlignment="1" applyProtection="1">
      <alignment horizontal="center" vertical="top" wrapText="1"/>
      <protection hidden="1"/>
    </xf>
    <xf numFmtId="0" fontId="79" fillId="0" borderId="35" xfId="33" applyBorder="1" applyAlignment="1" applyProtection="1">
      <alignment horizontal="left" vertical="center"/>
      <protection hidden="1"/>
    </xf>
    <xf numFmtId="0" fontId="50" fillId="0" borderId="35" xfId="11" applyBorder="1" applyAlignment="1" applyProtection="1">
      <alignment horizontal="left" vertical="center"/>
      <protection hidden="1"/>
    </xf>
    <xf numFmtId="0" fontId="50" fillId="0" borderId="36" xfId="11" applyBorder="1" applyAlignment="1" applyProtection="1">
      <alignment horizontal="left" vertical="center"/>
      <protection hidden="1"/>
    </xf>
    <xf numFmtId="0" fontId="67" fillId="0" borderId="35" xfId="11" applyFont="1" applyBorder="1" applyAlignment="1" applyProtection="1">
      <alignment horizontal="left" vertical="center"/>
      <protection hidden="1"/>
    </xf>
    <xf numFmtId="0" fontId="67" fillId="0" borderId="36" xfId="11" applyFont="1" applyBorder="1" applyAlignment="1" applyProtection="1">
      <alignment horizontal="left" vertical="center"/>
      <protection hidden="1"/>
    </xf>
    <xf numFmtId="0" fontId="67" fillId="2" borderId="26" xfId="12" applyFont="1" applyFill="1" applyBorder="1" applyAlignment="1" applyProtection="1">
      <alignment horizontal="center" vertical="top" wrapText="1"/>
      <protection hidden="1"/>
    </xf>
    <xf numFmtId="0" fontId="67" fillId="2" borderId="9" xfId="12" applyFont="1" applyFill="1" applyBorder="1" applyAlignment="1" applyProtection="1">
      <alignment horizontal="center" vertical="top" wrapText="1"/>
      <protection hidden="1"/>
    </xf>
    <xf numFmtId="0" fontId="67" fillId="2" borderId="33" xfId="12" applyFont="1" applyFill="1" applyBorder="1" applyAlignment="1" applyProtection="1">
      <alignment horizontal="center" vertical="top" wrapText="1"/>
      <protection hidden="1"/>
    </xf>
    <xf numFmtId="0" fontId="67" fillId="2" borderId="12" xfId="12" applyFont="1" applyFill="1" applyBorder="1" applyAlignment="1" applyProtection="1">
      <alignment horizontal="center" vertical="top" wrapText="1"/>
      <protection hidden="1"/>
    </xf>
    <xf numFmtId="0" fontId="67" fillId="2" borderId="24" xfId="12" applyFont="1" applyFill="1" applyBorder="1" applyAlignment="1" applyProtection="1">
      <alignment horizontal="center" vertical="top" wrapText="1"/>
      <protection hidden="1"/>
    </xf>
    <xf numFmtId="0" fontId="67" fillId="2" borderId="25" xfId="12" applyFont="1" applyFill="1" applyBorder="1" applyAlignment="1" applyProtection="1">
      <alignment horizontal="center" vertical="top" wrapText="1"/>
      <protection hidden="1"/>
    </xf>
    <xf numFmtId="0" fontId="67" fillId="2" borderId="0" xfId="12" applyFont="1" applyFill="1" applyBorder="1" applyAlignment="1" applyProtection="1">
      <alignment horizontal="center" vertical="top" wrapText="1"/>
      <protection hidden="1"/>
    </xf>
    <xf numFmtId="0" fontId="67" fillId="2" borderId="28" xfId="14" applyFont="1" applyFill="1" applyBorder="1" applyAlignment="1" applyProtection="1">
      <alignment horizontal="center" vertical="top" wrapText="1"/>
      <protection hidden="1"/>
    </xf>
    <xf numFmtId="0" fontId="67" fillId="0" borderId="35" xfId="13" applyFont="1" applyBorder="1" applyAlignment="1" applyProtection="1">
      <alignment horizontal="left" vertical="center"/>
      <protection hidden="1"/>
    </xf>
    <xf numFmtId="0" fontId="67" fillId="0" borderId="36" xfId="13" applyFont="1" applyBorder="1" applyAlignment="1" applyProtection="1">
      <alignment horizontal="left" vertical="center"/>
      <protection hidden="1"/>
    </xf>
    <xf numFmtId="0" fontId="67" fillId="2" borderId="30" xfId="14" applyFont="1" applyFill="1" applyBorder="1" applyAlignment="1" applyProtection="1">
      <alignment horizontal="center" vertical="top" wrapText="1"/>
      <protection hidden="1"/>
    </xf>
    <xf numFmtId="9" fontId="63" fillId="0" borderId="35" xfId="13" applyNumberFormat="1" applyFont="1" applyBorder="1" applyAlignment="1" applyProtection="1">
      <alignment horizontal="left" vertical="center"/>
      <protection hidden="1"/>
    </xf>
    <xf numFmtId="9" fontId="63" fillId="0" borderId="36" xfId="13" applyNumberFormat="1" applyFont="1" applyBorder="1" applyAlignment="1" applyProtection="1">
      <alignment horizontal="left" vertical="center"/>
      <protection hidden="1"/>
    </xf>
    <xf numFmtId="0" fontId="67" fillId="2" borderId="26" xfId="14" applyFont="1" applyFill="1" applyBorder="1" applyAlignment="1" applyProtection="1">
      <alignment horizontal="center" vertical="top" wrapText="1"/>
      <protection hidden="1"/>
    </xf>
    <xf numFmtId="0" fontId="67" fillId="2" borderId="9" xfId="14" applyFont="1" applyFill="1" applyBorder="1" applyAlignment="1" applyProtection="1">
      <alignment horizontal="center" vertical="top" wrapText="1"/>
      <protection hidden="1"/>
    </xf>
    <xf numFmtId="0" fontId="67" fillId="2" borderId="27" xfId="14" applyFont="1" applyFill="1" applyBorder="1" applyAlignment="1" applyProtection="1">
      <alignment horizontal="center" vertical="top" wrapText="1"/>
      <protection hidden="1"/>
    </xf>
    <xf numFmtId="0" fontId="67" fillId="2" borderId="23" xfId="14" applyFont="1" applyFill="1" applyBorder="1" applyAlignment="1" applyProtection="1">
      <alignment horizontal="center" vertical="top" wrapText="1"/>
      <protection hidden="1"/>
    </xf>
    <xf numFmtId="0" fontId="67" fillId="2" borderId="12" xfId="14" applyFont="1" applyFill="1" applyBorder="1" applyAlignment="1" applyProtection="1">
      <alignment horizontal="center" vertical="top" wrapText="1"/>
      <protection hidden="1"/>
    </xf>
    <xf numFmtId="0" fontId="67" fillId="2" borderId="24" xfId="14" applyFont="1" applyFill="1" applyBorder="1" applyAlignment="1" applyProtection="1">
      <alignment horizontal="center" vertical="top" wrapText="1"/>
      <protection hidden="1"/>
    </xf>
    <xf numFmtId="0" fontId="67" fillId="2" borderId="28" xfId="14" quotePrefix="1" applyFont="1" applyFill="1" applyBorder="1" applyAlignment="1" applyProtection="1">
      <alignment horizontal="center" vertical="top" wrapText="1"/>
      <protection hidden="1"/>
    </xf>
    <xf numFmtId="0" fontId="67" fillId="0" borderId="35" xfId="15" applyFont="1" applyBorder="1" applyAlignment="1" applyProtection="1">
      <alignment horizontal="left" vertical="center"/>
      <protection hidden="1"/>
    </xf>
    <xf numFmtId="0" fontId="67" fillId="0" borderId="36" xfId="15" applyFont="1" applyBorder="1" applyAlignment="1" applyProtection="1">
      <alignment horizontal="left" vertical="center"/>
      <protection hidden="1"/>
    </xf>
    <xf numFmtId="0" fontId="67" fillId="2" borderId="30" xfId="16" applyFont="1" applyFill="1" applyBorder="1" applyAlignment="1" applyProtection="1">
      <alignment horizontal="center" vertical="top" wrapText="1"/>
      <protection hidden="1"/>
    </xf>
    <xf numFmtId="0" fontId="67" fillId="2" borderId="28" xfId="16" applyFont="1" applyFill="1" applyBorder="1" applyAlignment="1" applyProtection="1">
      <alignment horizontal="center" vertical="top" wrapText="1"/>
      <protection hidden="1"/>
    </xf>
    <xf numFmtId="0" fontId="67" fillId="2" borderId="30" xfId="16" applyFont="1" applyFill="1" applyBorder="1" applyAlignment="1" applyProtection="1">
      <alignment horizontal="center" vertical="center" wrapText="1"/>
      <protection hidden="1"/>
    </xf>
    <xf numFmtId="0" fontId="67" fillId="2" borderId="28" xfId="16" applyFont="1" applyFill="1" applyBorder="1" applyAlignment="1" applyProtection="1">
      <alignment horizontal="center" vertical="center" wrapText="1"/>
      <protection hidden="1"/>
    </xf>
    <xf numFmtId="0" fontId="67" fillId="2" borderId="30" xfId="31" applyFont="1" applyFill="1" applyBorder="1" applyAlignment="1" applyProtection="1">
      <alignment horizontal="center" vertical="top" wrapText="1"/>
      <protection hidden="1"/>
    </xf>
    <xf numFmtId="0" fontId="67" fillId="2" borderId="28" xfId="18" applyFont="1" applyFill="1" applyBorder="1" applyAlignment="1" applyProtection="1">
      <alignment horizontal="center" vertical="top" wrapText="1"/>
      <protection hidden="1"/>
    </xf>
    <xf numFmtId="0" fontId="67" fillId="2" borderId="30" xfId="18" applyFont="1" applyFill="1" applyBorder="1" applyAlignment="1" applyProtection="1">
      <alignment horizontal="center" vertical="top" wrapText="1"/>
      <protection hidden="1"/>
    </xf>
    <xf numFmtId="0" fontId="67" fillId="0" borderId="35" xfId="17" applyFont="1" applyBorder="1" applyAlignment="1" applyProtection="1">
      <alignment horizontal="left" vertical="center"/>
      <protection hidden="1"/>
    </xf>
    <xf numFmtId="0" fontId="67" fillId="0" borderId="36" xfId="17" applyFont="1" applyBorder="1" applyAlignment="1" applyProtection="1">
      <alignment horizontal="left" vertical="center"/>
      <protection hidden="1"/>
    </xf>
    <xf numFmtId="0" fontId="67" fillId="2" borderId="33" xfId="18" applyFont="1" applyFill="1" applyBorder="1" applyAlignment="1" applyProtection="1">
      <alignment horizontal="center" vertical="top" wrapText="1"/>
      <protection hidden="1"/>
    </xf>
    <xf numFmtId="0" fontId="67" fillId="2" borderId="23" xfId="18" applyFont="1" applyFill="1" applyBorder="1" applyAlignment="1" applyProtection="1">
      <alignment horizontal="center" vertical="top" wrapText="1"/>
      <protection hidden="1"/>
    </xf>
    <xf numFmtId="0" fontId="67" fillId="2" borderId="12" xfId="18" applyFont="1" applyFill="1" applyBorder="1" applyAlignment="1" applyProtection="1">
      <alignment horizontal="center" vertical="top" wrapText="1"/>
      <protection hidden="1"/>
    </xf>
    <xf numFmtId="0" fontId="67" fillId="2" borderId="24" xfId="18" applyFont="1" applyFill="1" applyBorder="1" applyAlignment="1" applyProtection="1">
      <alignment horizontal="center" vertical="top" wrapText="1"/>
      <protection hidden="1"/>
    </xf>
    <xf numFmtId="0" fontId="67" fillId="2" borderId="26" xfId="18" applyFont="1" applyFill="1" applyBorder="1" applyAlignment="1" applyProtection="1">
      <alignment horizontal="center" vertical="top" wrapText="1"/>
      <protection hidden="1"/>
    </xf>
    <xf numFmtId="0" fontId="67" fillId="2" borderId="9" xfId="18" applyFont="1" applyFill="1" applyBorder="1" applyAlignment="1" applyProtection="1">
      <alignment horizontal="center" vertical="top" wrapText="1"/>
      <protection hidden="1"/>
    </xf>
    <xf numFmtId="0" fontId="67" fillId="2" borderId="27" xfId="18" applyFont="1" applyFill="1" applyBorder="1" applyAlignment="1" applyProtection="1">
      <alignment horizontal="center" vertical="top" wrapText="1"/>
      <protection hidden="1"/>
    </xf>
    <xf numFmtId="0" fontId="67" fillId="2" borderId="30" xfId="20" applyFont="1" applyFill="1" applyBorder="1" applyAlignment="1" applyProtection="1">
      <alignment horizontal="center" vertical="top" wrapText="1"/>
      <protection hidden="1"/>
    </xf>
    <xf numFmtId="0" fontId="67" fillId="2" borderId="28" xfId="20" applyFont="1" applyFill="1" applyBorder="1" applyAlignment="1" applyProtection="1">
      <alignment horizontal="center" vertical="top" wrapText="1"/>
      <protection hidden="1"/>
    </xf>
    <xf numFmtId="0" fontId="67" fillId="0" borderId="35" xfId="19" applyFont="1" applyBorder="1" applyAlignment="1" applyProtection="1">
      <alignment horizontal="left" vertical="center"/>
      <protection hidden="1"/>
    </xf>
    <xf numFmtId="0" fontId="67" fillId="0" borderId="36" xfId="19" applyFont="1" applyBorder="1" applyAlignment="1" applyProtection="1">
      <alignment horizontal="left" vertical="center"/>
      <protection hidden="1"/>
    </xf>
    <xf numFmtId="0" fontId="46" fillId="0" borderId="35" xfId="19" applyBorder="1" applyAlignment="1" applyProtection="1">
      <alignment horizontal="left" vertical="center"/>
      <protection hidden="1"/>
    </xf>
    <xf numFmtId="0" fontId="46" fillId="0" borderId="36" xfId="19" applyBorder="1" applyAlignment="1" applyProtection="1">
      <alignment horizontal="left" vertical="center"/>
      <protection hidden="1"/>
    </xf>
    <xf numFmtId="0" fontId="67" fillId="2" borderId="33" xfId="20" applyFont="1" applyFill="1" applyBorder="1" applyAlignment="1" applyProtection="1">
      <alignment horizontal="center" vertical="top" wrapText="1"/>
      <protection hidden="1"/>
    </xf>
    <xf numFmtId="0" fontId="67" fillId="2" borderId="23" xfId="20" applyFont="1" applyFill="1" applyBorder="1" applyAlignment="1" applyProtection="1">
      <alignment horizontal="center" vertical="top"/>
      <protection hidden="1"/>
    </xf>
    <xf numFmtId="0" fontId="67" fillId="2" borderId="12" xfId="20" applyFont="1" applyFill="1" applyBorder="1" applyAlignment="1" applyProtection="1">
      <alignment horizontal="center" vertical="top"/>
      <protection hidden="1"/>
    </xf>
    <xf numFmtId="0" fontId="67" fillId="2" borderId="24" xfId="20" applyFont="1" applyFill="1" applyBorder="1" applyAlignment="1" applyProtection="1">
      <alignment horizontal="center" vertical="top"/>
      <protection hidden="1"/>
    </xf>
    <xf numFmtId="0" fontId="67" fillId="2" borderId="26" xfId="20" applyFont="1" applyFill="1" applyBorder="1" applyAlignment="1" applyProtection="1">
      <alignment horizontal="center" vertical="top"/>
      <protection hidden="1"/>
    </xf>
    <xf numFmtId="0" fontId="67" fillId="2" borderId="9" xfId="20" applyFont="1" applyFill="1" applyBorder="1" applyAlignment="1" applyProtection="1">
      <alignment horizontal="center" vertical="top"/>
      <protection hidden="1"/>
    </xf>
    <xf numFmtId="0" fontId="67" fillId="2" borderId="27" xfId="20" applyFont="1" applyFill="1" applyBorder="1" applyAlignment="1" applyProtection="1">
      <alignment horizontal="center" vertical="top"/>
      <protection hidden="1"/>
    </xf>
    <xf numFmtId="0" fontId="79" fillId="0" borderId="36" xfId="33" applyBorder="1" applyAlignment="1" applyProtection="1">
      <alignment horizontal="left" vertical="center"/>
      <protection hidden="1"/>
    </xf>
    <xf numFmtId="0" fontId="67" fillId="2" borderId="26" xfId="20" applyFont="1" applyFill="1" applyBorder="1" applyAlignment="1" applyProtection="1">
      <alignment horizontal="center" vertical="top" wrapText="1"/>
      <protection hidden="1"/>
    </xf>
    <xf numFmtId="0" fontId="67" fillId="2" borderId="9" xfId="20" applyFont="1" applyFill="1" applyBorder="1" applyAlignment="1" applyProtection="1">
      <alignment horizontal="center" vertical="top" wrapText="1"/>
      <protection hidden="1"/>
    </xf>
    <xf numFmtId="0" fontId="67" fillId="2" borderId="27" xfId="20" applyFont="1" applyFill="1" applyBorder="1" applyAlignment="1" applyProtection="1">
      <alignment horizontal="center" vertical="top" wrapText="1"/>
      <protection hidden="1"/>
    </xf>
    <xf numFmtId="0" fontId="67" fillId="2" borderId="23" xfId="20" applyFont="1" applyFill="1" applyBorder="1" applyAlignment="1" applyProtection="1">
      <alignment horizontal="center" vertical="top" wrapText="1"/>
      <protection hidden="1"/>
    </xf>
    <xf numFmtId="0" fontId="67" fillId="2" borderId="12" xfId="20" applyFont="1" applyFill="1" applyBorder="1" applyAlignment="1" applyProtection="1">
      <alignment horizontal="center" vertical="top" wrapText="1"/>
      <protection hidden="1"/>
    </xf>
    <xf numFmtId="0" fontId="67" fillId="2" borderId="24" xfId="20" applyFont="1" applyFill="1" applyBorder="1" applyAlignment="1" applyProtection="1">
      <alignment horizontal="center" vertical="top" wrapText="1"/>
      <protection hidden="1"/>
    </xf>
    <xf numFmtId="0" fontId="79" fillId="0" borderId="34" xfId="33" applyBorder="1" applyAlignment="1" applyProtection="1">
      <alignment horizontal="left" vertical="center"/>
      <protection hidden="1"/>
    </xf>
    <xf numFmtId="0" fontId="20" fillId="0" borderId="31" xfId="19" applyFont="1" applyBorder="1" applyAlignment="1" applyProtection="1">
      <alignment horizontal="left"/>
      <protection hidden="1"/>
    </xf>
    <xf numFmtId="0" fontId="33" fillId="0" borderId="32" xfId="19" applyFont="1" applyBorder="1" applyAlignment="1" applyProtection="1">
      <alignment horizontal="left"/>
      <protection hidden="1"/>
    </xf>
    <xf numFmtId="0" fontId="67" fillId="2" borderId="23" xfId="20" applyFont="1" applyFill="1" applyBorder="1" applyAlignment="1" applyProtection="1">
      <alignment horizontal="left" vertical="top"/>
      <protection hidden="1"/>
    </xf>
    <xf numFmtId="0" fontId="67" fillId="2" borderId="24" xfId="20" applyFont="1" applyFill="1" applyBorder="1" applyAlignment="1" applyProtection="1">
      <alignment horizontal="left" vertical="top"/>
      <protection hidden="1"/>
    </xf>
    <xf numFmtId="0" fontId="67" fillId="2" borderId="25" xfId="20" applyFont="1" applyFill="1" applyBorder="1" applyAlignment="1" applyProtection="1">
      <alignment horizontal="left" vertical="top"/>
      <protection hidden="1"/>
    </xf>
    <xf numFmtId="0" fontId="67" fillId="2" borderId="50" xfId="20" applyFont="1" applyFill="1" applyBorder="1" applyAlignment="1" applyProtection="1">
      <alignment horizontal="left" vertical="top"/>
      <protection hidden="1"/>
    </xf>
    <xf numFmtId="0" fontId="67" fillId="2" borderId="26" xfId="20" applyFont="1" applyFill="1" applyBorder="1" applyAlignment="1" applyProtection="1">
      <alignment horizontal="left" vertical="top"/>
      <protection hidden="1"/>
    </xf>
    <xf numFmtId="0" fontId="67" fillId="2" borderId="27" xfId="20" applyFont="1" applyFill="1" applyBorder="1" applyAlignment="1" applyProtection="1">
      <alignment horizontal="left" vertical="top"/>
      <protection hidden="1"/>
    </xf>
    <xf numFmtId="0" fontId="39" fillId="0" borderId="31" xfId="19" applyFont="1" applyBorder="1" applyAlignment="1" applyProtection="1">
      <alignment horizontal="left"/>
      <protection hidden="1"/>
    </xf>
    <xf numFmtId="0" fontId="39" fillId="0" borderId="32" xfId="19" applyFont="1" applyBorder="1" applyAlignment="1" applyProtection="1">
      <alignment horizontal="left"/>
      <protection hidden="1"/>
    </xf>
    <xf numFmtId="0" fontId="45" fillId="0" borderId="35" xfId="21" applyBorder="1" applyAlignment="1" applyProtection="1">
      <alignment horizontal="left" vertical="center"/>
      <protection hidden="1"/>
    </xf>
    <xf numFmtId="0" fontId="45" fillId="0" borderId="36" xfId="21" applyBorder="1" applyAlignment="1" applyProtection="1">
      <alignment horizontal="left" vertical="center"/>
      <protection hidden="1"/>
    </xf>
    <xf numFmtId="0" fontId="67" fillId="2" borderId="30" xfId="22" applyFont="1" applyFill="1" applyBorder="1" applyAlignment="1" applyProtection="1">
      <alignment horizontal="center" vertical="top" wrapText="1"/>
      <protection hidden="1"/>
    </xf>
    <xf numFmtId="0" fontId="67" fillId="2" borderId="28" xfId="22" applyFont="1" applyFill="1" applyBorder="1" applyAlignment="1" applyProtection="1">
      <alignment horizontal="center" vertical="top" wrapText="1"/>
      <protection hidden="1"/>
    </xf>
    <xf numFmtId="0" fontId="67" fillId="2" borderId="30" xfId="22" quotePrefix="1" applyFont="1" applyFill="1" applyBorder="1" applyAlignment="1" applyProtection="1">
      <alignment horizontal="center" vertical="top" wrapText="1"/>
      <protection hidden="1"/>
    </xf>
    <xf numFmtId="0" fontId="44" fillId="0" borderId="35" xfId="23" applyBorder="1" applyAlignment="1" applyProtection="1">
      <alignment horizontal="left" vertical="center"/>
      <protection hidden="1"/>
    </xf>
    <xf numFmtId="0" fontId="44" fillId="0" borderId="36" xfId="23" applyBorder="1" applyAlignment="1" applyProtection="1">
      <alignment horizontal="left" vertical="center"/>
      <protection hidden="1"/>
    </xf>
    <xf numFmtId="0" fontId="67" fillId="2" borderId="23" xfId="24" applyFont="1" applyFill="1" applyBorder="1" applyAlignment="1" applyProtection="1">
      <alignment horizontal="center" vertical="top" wrapText="1"/>
      <protection hidden="1"/>
    </xf>
    <xf numFmtId="0" fontId="67" fillId="2" borderId="12" xfId="24" applyFont="1" applyFill="1" applyBorder="1" applyAlignment="1" applyProtection="1">
      <alignment horizontal="center" vertical="top" wrapText="1"/>
      <protection hidden="1"/>
    </xf>
    <xf numFmtId="0" fontId="67" fillId="2" borderId="24" xfId="24" applyFont="1" applyFill="1" applyBorder="1" applyAlignment="1" applyProtection="1">
      <alignment horizontal="center" vertical="top" wrapText="1"/>
      <protection hidden="1"/>
    </xf>
    <xf numFmtId="0" fontId="67" fillId="2" borderId="26" xfId="24" applyFont="1" applyFill="1" applyBorder="1" applyAlignment="1" applyProtection="1">
      <alignment horizontal="center" vertical="top" wrapText="1"/>
      <protection hidden="1"/>
    </xf>
    <xf numFmtId="0" fontId="67" fillId="2" borderId="9" xfId="24" applyFont="1" applyFill="1" applyBorder="1" applyAlignment="1" applyProtection="1">
      <alignment horizontal="center" vertical="top" wrapText="1"/>
      <protection hidden="1"/>
    </xf>
    <xf numFmtId="0" fontId="67" fillId="2" borderId="27" xfId="24" applyFont="1" applyFill="1" applyBorder="1" applyAlignment="1" applyProtection="1">
      <alignment horizontal="center" vertical="top" wrapText="1"/>
      <protection hidden="1"/>
    </xf>
    <xf numFmtId="0" fontId="67" fillId="2" borderId="28" xfId="24" applyFont="1" applyFill="1" applyBorder="1" applyAlignment="1" applyProtection="1">
      <alignment horizontal="center" vertical="top" wrapText="1"/>
      <protection hidden="1"/>
    </xf>
    <xf numFmtId="0" fontId="67" fillId="2" borderId="30" xfId="24" applyFont="1" applyFill="1" applyBorder="1" applyAlignment="1" applyProtection="1">
      <alignment horizontal="center" vertical="top" wrapText="1"/>
      <protection hidden="1"/>
    </xf>
    <xf numFmtId="0" fontId="67" fillId="0" borderId="35" xfId="23" applyFont="1" applyBorder="1" applyAlignment="1" applyProtection="1">
      <alignment horizontal="left" vertical="center"/>
      <protection hidden="1"/>
    </xf>
    <xf numFmtId="0" fontId="67" fillId="0" borderId="36" xfId="23" applyFont="1" applyBorder="1" applyAlignment="1" applyProtection="1">
      <alignment horizontal="left" vertical="center"/>
      <protection hidden="1"/>
    </xf>
    <xf numFmtId="0" fontId="67" fillId="2" borderId="26" xfId="24" applyFont="1" applyFill="1" applyBorder="1" applyAlignment="1" applyProtection="1">
      <alignment horizontal="center" vertical="top"/>
      <protection hidden="1"/>
    </xf>
    <xf numFmtId="0" fontId="67" fillId="2" borderId="9" xfId="24" applyFont="1" applyFill="1" applyBorder="1" applyAlignment="1" applyProtection="1">
      <alignment horizontal="center" vertical="top"/>
      <protection hidden="1"/>
    </xf>
    <xf numFmtId="0" fontId="67" fillId="2" borderId="27" xfId="24" applyFont="1" applyFill="1" applyBorder="1" applyAlignment="1" applyProtection="1">
      <alignment horizontal="center" vertical="top"/>
      <protection hidden="1"/>
    </xf>
  </cellXfs>
  <cellStyles count="44">
    <cellStyle name="20% - Accent1" xfId="4" builtinId="30"/>
    <cellStyle name="20% - Accent1 10" xfId="24" xr:uid="{00000000-0005-0000-0000-000001000000}"/>
    <cellStyle name="20% - Accent1 11" xfId="27" xr:uid="{00000000-0005-0000-0000-000002000000}"/>
    <cellStyle name="20% - Accent1 12" xfId="29" xr:uid="{00000000-0005-0000-0000-000003000000}"/>
    <cellStyle name="20% - Accent1 12 2" xfId="42" xr:uid="{00000000-0005-0000-0000-000004000000}"/>
    <cellStyle name="20% - Accent1 13" xfId="31" xr:uid="{00000000-0005-0000-0000-000005000000}"/>
    <cellStyle name="20% - Accent1 13 2" xfId="43" xr:uid="{00000000-0005-0000-0000-000006000000}"/>
    <cellStyle name="20% - Accent1 2" xfId="7" xr:uid="{00000000-0005-0000-0000-000007000000}"/>
    <cellStyle name="20% - Accent1 3" xfId="10" xr:uid="{00000000-0005-0000-0000-000008000000}"/>
    <cellStyle name="20% - Accent1 4" xfId="12" xr:uid="{00000000-0005-0000-0000-000009000000}"/>
    <cellStyle name="20% - Accent1 5" xfId="14" xr:uid="{00000000-0005-0000-0000-00000A000000}"/>
    <cellStyle name="20% - Accent1 6" xfId="16" xr:uid="{00000000-0005-0000-0000-00000B000000}"/>
    <cellStyle name="20% - Accent1 7" xfId="18" xr:uid="{00000000-0005-0000-0000-00000C000000}"/>
    <cellStyle name="20% - Accent1 7 2" xfId="39" xr:uid="{00000000-0005-0000-0000-00000D000000}"/>
    <cellStyle name="20% - Accent1 8" xfId="20" xr:uid="{00000000-0005-0000-0000-00000E000000}"/>
    <cellStyle name="20% - Accent1 9" xfId="22" xr:uid="{00000000-0005-0000-0000-00000F000000}"/>
    <cellStyle name="Hyperlink" xfId="33" builtinId="8" customBuiltin="1"/>
    <cellStyle name="Normal" xfId="0" builtinId="0"/>
    <cellStyle name="Normal 10" xfId="21" xr:uid="{00000000-0005-0000-0000-000012000000}"/>
    <cellStyle name="Normal 11" xfId="23" xr:uid="{00000000-0005-0000-0000-000013000000}"/>
    <cellStyle name="Normal 12" xfId="26" xr:uid="{00000000-0005-0000-0000-000014000000}"/>
    <cellStyle name="Normal 13" xfId="28" xr:uid="{00000000-0005-0000-0000-000015000000}"/>
    <cellStyle name="Normal 13 2" xfId="37" xr:uid="{00000000-0005-0000-0000-000016000000}"/>
    <cellStyle name="Normal 14" xfId="30" xr:uid="{00000000-0005-0000-0000-000017000000}"/>
    <cellStyle name="Normal 15" xfId="34" xr:uid="{00000000-0005-0000-0000-000018000000}"/>
    <cellStyle name="Normal 16" xfId="35" xr:uid="{00000000-0005-0000-0000-000019000000}"/>
    <cellStyle name="Normal 2" xfId="5" xr:uid="{00000000-0005-0000-0000-00001A000000}"/>
    <cellStyle name="Normal 2 2" xfId="25" xr:uid="{00000000-0005-0000-0000-00001B000000}"/>
    <cellStyle name="Normal 2 3" xfId="40" xr:uid="{00000000-0005-0000-0000-00001C000000}"/>
    <cellStyle name="Normal 3" xfId="6" xr:uid="{00000000-0005-0000-0000-00001D000000}"/>
    <cellStyle name="Normal 4" xfId="9" xr:uid="{00000000-0005-0000-0000-00001E000000}"/>
    <cellStyle name="Normal 5" xfId="11" xr:uid="{00000000-0005-0000-0000-00001F000000}"/>
    <cellStyle name="Normal 5 2" xfId="38" xr:uid="{00000000-0005-0000-0000-000020000000}"/>
    <cellStyle name="Normal 6" xfId="13" xr:uid="{00000000-0005-0000-0000-000021000000}"/>
    <cellStyle name="Normal 7" xfId="15" xr:uid="{00000000-0005-0000-0000-000022000000}"/>
    <cellStyle name="Normal 7 2" xfId="41" xr:uid="{00000000-0005-0000-0000-000023000000}"/>
    <cellStyle name="Normal 8" xfId="17" xr:uid="{00000000-0005-0000-0000-000024000000}"/>
    <cellStyle name="Normal 8 2" xfId="36" xr:uid="{00000000-0005-0000-0000-000025000000}"/>
    <cellStyle name="Normal 9" xfId="19" xr:uid="{00000000-0005-0000-0000-000026000000}"/>
    <cellStyle name="Normální 2" xfId="2" xr:uid="{00000000-0005-0000-0000-000027000000}"/>
    <cellStyle name="Normální 3" xfId="1" xr:uid="{00000000-0005-0000-0000-000028000000}"/>
    <cellStyle name="Normální 3 2" xfId="3" xr:uid="{00000000-0005-0000-0000-000029000000}"/>
    <cellStyle name="normální_List1" xfId="8" xr:uid="{00000000-0005-0000-0000-00002A000000}"/>
    <cellStyle name="Percent" xfId="32" builtinId="5"/>
  </cellStyles>
  <dxfs count="26">
    <dxf>
      <fill>
        <patternFill>
          <bgColor theme="9" tint="0.79998168889431442"/>
        </patternFill>
      </fill>
    </dxf>
    <dxf>
      <fill>
        <patternFill>
          <bgColor rgb="FFFF00FF"/>
        </patternFill>
      </fill>
    </dxf>
    <dxf>
      <fill>
        <patternFill>
          <bgColor theme="9" tint="0.79998168889431442"/>
        </patternFill>
      </fill>
    </dxf>
    <dxf>
      <fill>
        <patternFill>
          <bgColor rgb="FFFF00FF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00FF"/>
        </patternFill>
      </fill>
    </dxf>
    <dxf>
      <fill>
        <patternFill>
          <bgColor rgb="FFFF00FF"/>
        </patternFill>
      </fill>
    </dxf>
    <dxf>
      <fill>
        <patternFill>
          <bgColor rgb="FFFF00FF"/>
        </patternFill>
      </fill>
    </dxf>
    <dxf>
      <fill>
        <patternFill>
          <bgColor theme="0"/>
        </patternFill>
      </fill>
    </dxf>
    <dxf>
      <font>
        <b val="0"/>
        <i val="0"/>
        <color theme="0" tint="-0.24994659260841701"/>
      </font>
      <fill>
        <patternFill>
          <bgColor theme="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Medium9"/>
  <colors>
    <mruColors>
      <color rgb="FF0A9B1E"/>
      <color rgb="FF0F6E23"/>
      <color rgb="FFA6A6A6"/>
      <color rgb="FFDDDDDD"/>
      <color rgb="FFFF00FF"/>
      <color rgb="FFF59B00"/>
      <color rgb="FFCCFF99"/>
      <color rgb="FFFF33CC"/>
      <color rgb="FF00FFFF"/>
      <color rgb="FFFFEE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microsoft.com/office/2017/10/relationships/person" Target="persons/perso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Drop" dropLines="4" dropStyle="combo" dx="16" fmlaLink="'CORE-SET'!$B$1" fmlaRange="'CORE-SET'!$A$2:$A$5" sel="4" val="0"/>
</file>

<file path=xl/ctrlProps/ctrlProp2.xml><?xml version="1.0" encoding="utf-8"?>
<formControlPr xmlns="http://schemas.microsoft.com/office/spreadsheetml/2009/9/main" objectType="Drop" dropLines="3" dropStyle="combo" dx="16" fmlaLink="'CORE-SET'!$E$2" fmlaRange="'CORE-SET'!$D$2:$D$4" noThreeD="1" sel="1" val="0"/>
</file>

<file path=xl/ctrlProps/ctrlProp3.xml><?xml version="1.0" encoding="utf-8"?>
<formControlPr xmlns="http://schemas.microsoft.com/office/spreadsheetml/2009/9/main" objectType="Drop" dropLines="3" dropStyle="combo" dx="16" fmlaLink="'CORE-SET'!$F$2" fmlaRange="'CORE-SET'!$D$2:$D$4" noThreeD="1" sel="1" val="0"/>
</file>

<file path=xl/ctrlProps/ctrlProp4.xml><?xml version="1.0" encoding="utf-8"?>
<formControlPr xmlns="http://schemas.microsoft.com/office/spreadsheetml/2009/9/main" objectType="Drop" dropLines="2" dropStyle="combo" dx="16" fmlaLink="'CORE-SET'!$I$1" fmlaRange="'CORE-SET'!$H$2:$H$3" noThreeD="1" sel="1" val="0"/>
</file>

<file path=xl/ctrlProps/ctrlProp5.xml><?xml version="1.0" encoding="utf-8"?>
<formControlPr xmlns="http://schemas.microsoft.com/office/spreadsheetml/2009/9/main" objectType="Drop" dropLines="4" dropStyle="combo" dx="16" fmlaLink="'CORE-SET'!$B$1" fmlaRange="'CORE-SET'!$A$2:$A$5" sel="4" val="0"/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1.jpeg"/><Relationship Id="rId21" Type="http://schemas.openxmlformats.org/officeDocument/2006/relationships/hyperlink" Target="#_01_IKOplus___With_rising_stem"/><Relationship Id="rId42" Type="http://schemas.openxmlformats.org/officeDocument/2006/relationships/hyperlink" Target="#_02_EROXplus"/><Relationship Id="rId63" Type="http://schemas.openxmlformats.org/officeDocument/2006/relationships/image" Target="../media/image32.jpeg"/><Relationship Id="rId84" Type="http://schemas.openxmlformats.org/officeDocument/2006/relationships/hyperlink" Target="#_04_Shut_off_valves"/><Relationship Id="rId138" Type="http://schemas.openxmlformats.org/officeDocument/2006/relationships/hyperlink" Target="#_09_FORTE"/><Relationship Id="rId159" Type="http://schemas.openxmlformats.org/officeDocument/2006/relationships/image" Target="../media/image82.jpeg"/><Relationship Id="rId170" Type="http://schemas.openxmlformats.org/officeDocument/2006/relationships/hyperlink" Target="#_11_BAIO_HYDRUS_G"/><Relationship Id="rId191" Type="http://schemas.openxmlformats.org/officeDocument/2006/relationships/hyperlink" Target="#_12_CEREX_300_L___Hand_wheel"/><Relationship Id="rId205" Type="http://schemas.openxmlformats.org/officeDocument/2006/relationships/image" Target="../media/image104.jpeg"/><Relationship Id="rId107" Type="http://schemas.openxmlformats.org/officeDocument/2006/relationships/image" Target="../media/image56.jpeg"/><Relationship Id="rId11" Type="http://schemas.openxmlformats.org/officeDocument/2006/relationships/image" Target="../media/image6.jpeg"/><Relationship Id="rId32" Type="http://schemas.openxmlformats.org/officeDocument/2006/relationships/image" Target="../media/image16.jpeg"/><Relationship Id="rId37" Type="http://schemas.openxmlformats.org/officeDocument/2006/relationships/hyperlink" Target="#_02_ZETA_With_actuator_for_actuator"/><Relationship Id="rId53" Type="http://schemas.openxmlformats.org/officeDocument/2006/relationships/image" Target="../media/image27.jpeg"/><Relationship Id="rId58" Type="http://schemas.openxmlformats.org/officeDocument/2006/relationships/hyperlink" Target="#_04_HOD_K___PVC__PE"/><Relationship Id="rId74" Type="http://schemas.openxmlformats.org/officeDocument/2006/relationships/hyperlink" Target="#_00_SETTINGS"/><Relationship Id="rId79" Type="http://schemas.openxmlformats.org/officeDocument/2006/relationships/hyperlink" Target="#_03_NOVA"/><Relationship Id="rId102" Type="http://schemas.openxmlformats.org/officeDocument/2006/relationships/hyperlink" Target="#_05_ZETKA"/><Relationship Id="rId123" Type="http://schemas.openxmlformats.org/officeDocument/2006/relationships/image" Target="../media/image64.jpeg"/><Relationship Id="rId128" Type="http://schemas.openxmlformats.org/officeDocument/2006/relationships/hyperlink" Target="#_07_BEV"/><Relationship Id="rId144" Type="http://schemas.openxmlformats.org/officeDocument/2006/relationships/hyperlink" Target="#_09_MONTY"/><Relationship Id="rId149" Type="http://schemas.openxmlformats.org/officeDocument/2006/relationships/image" Target="../media/image77.jpeg"/><Relationship Id="rId5" Type="http://schemas.openxmlformats.org/officeDocument/2006/relationships/image" Target="../media/image3.jpeg"/><Relationship Id="rId90" Type="http://schemas.openxmlformats.org/officeDocument/2006/relationships/hyperlink" Target="#_05_SKR"/><Relationship Id="rId95" Type="http://schemas.openxmlformats.org/officeDocument/2006/relationships/image" Target="../media/image50.jpeg"/><Relationship Id="rId160" Type="http://schemas.openxmlformats.org/officeDocument/2006/relationships/hyperlink" Target="#_10_RAMBO"/><Relationship Id="rId165" Type="http://schemas.openxmlformats.org/officeDocument/2006/relationships/image" Target="../media/image85.jpeg"/><Relationship Id="rId181" Type="http://schemas.openxmlformats.org/officeDocument/2006/relationships/image" Target="../media/image93.jpeg"/><Relationship Id="rId186" Type="http://schemas.openxmlformats.org/officeDocument/2006/relationships/image" Target="../media/image96.jpeg"/><Relationship Id="rId211" Type="http://schemas.openxmlformats.org/officeDocument/2006/relationships/image" Target="../media/image108.jpeg"/><Relationship Id="rId22" Type="http://schemas.openxmlformats.org/officeDocument/2006/relationships/image" Target="../media/image11.jpeg"/><Relationship Id="rId27" Type="http://schemas.openxmlformats.org/officeDocument/2006/relationships/hyperlink" Target="#_12_EKOplus_PE"/><Relationship Id="rId43" Type="http://schemas.openxmlformats.org/officeDocument/2006/relationships/image" Target="../media/image22.jpeg"/><Relationship Id="rId48" Type="http://schemas.openxmlformats.org/officeDocument/2006/relationships/hyperlink" Target="#_02_MONO___For_underground_installation"/><Relationship Id="rId64" Type="http://schemas.openxmlformats.org/officeDocument/2006/relationships/hyperlink" Target="#_04_LOCK_System___Steel__cast_iron__concrete"/><Relationship Id="rId69" Type="http://schemas.openxmlformats.org/officeDocument/2006/relationships/image" Target="../media/image35.jpeg"/><Relationship Id="rId113" Type="http://schemas.openxmlformats.org/officeDocument/2006/relationships/image" Target="../media/image59.jpeg"/><Relationship Id="rId118" Type="http://schemas.openxmlformats.org/officeDocument/2006/relationships/hyperlink" Target="#_06_CEREX_300_W___Hand_lever"/><Relationship Id="rId134" Type="http://schemas.openxmlformats.org/officeDocument/2006/relationships/hyperlink" Target="#_08_PICO_M"/><Relationship Id="rId139" Type="http://schemas.openxmlformats.org/officeDocument/2006/relationships/image" Target="../media/image72.jpeg"/><Relationship Id="rId80" Type="http://schemas.openxmlformats.org/officeDocument/2006/relationships/image" Target="../media/image41.jpeg"/><Relationship Id="rId85" Type="http://schemas.openxmlformats.org/officeDocument/2006/relationships/image" Target="../media/image44.jpeg"/><Relationship Id="rId150" Type="http://schemas.openxmlformats.org/officeDocument/2006/relationships/hyperlink" Target="#_09_VARIplus_RC"/><Relationship Id="rId155" Type="http://schemas.openxmlformats.org/officeDocument/2006/relationships/image" Target="../media/image80.jpeg"/><Relationship Id="rId171" Type="http://schemas.openxmlformats.org/officeDocument/2006/relationships/image" Target="../media/image88.jpeg"/><Relationship Id="rId176" Type="http://schemas.openxmlformats.org/officeDocument/2006/relationships/hyperlink" Target="#_11_BAIO___Sealing_rings"/><Relationship Id="rId192" Type="http://schemas.openxmlformats.org/officeDocument/2006/relationships/hyperlink" Target="#_12_CEREX_300_W___Hand_lever"/><Relationship Id="rId197" Type="http://schemas.openxmlformats.org/officeDocument/2006/relationships/image" Target="../media/image100.jpeg"/><Relationship Id="rId206" Type="http://schemas.openxmlformats.org/officeDocument/2006/relationships/image" Target="../media/image105.jpeg"/><Relationship Id="rId201" Type="http://schemas.openxmlformats.org/officeDocument/2006/relationships/image" Target="../media/image102.jpeg"/><Relationship Id="rId12" Type="http://schemas.openxmlformats.org/officeDocument/2006/relationships/hyperlink" Target="#_01_BETA_200_TS"/><Relationship Id="rId17" Type="http://schemas.openxmlformats.org/officeDocument/2006/relationships/image" Target="../media/image9.jpeg"/><Relationship Id="rId33" Type="http://schemas.openxmlformats.org/officeDocument/2006/relationships/hyperlink" Target="#_02_ZETA"/><Relationship Id="rId38" Type="http://schemas.openxmlformats.org/officeDocument/2006/relationships/image" Target="../media/image19.jpeg"/><Relationship Id="rId59" Type="http://schemas.openxmlformats.org/officeDocument/2006/relationships/image" Target="../media/image30.jpeg"/><Relationship Id="rId103" Type="http://schemas.openxmlformats.org/officeDocument/2006/relationships/image" Target="../media/image54.jpeg"/><Relationship Id="rId108" Type="http://schemas.openxmlformats.org/officeDocument/2006/relationships/hyperlink" Target="#_05_HADE___Installation_on_flange"/><Relationship Id="rId124" Type="http://schemas.openxmlformats.org/officeDocument/2006/relationships/hyperlink" Target="#_07_DUOJET"/><Relationship Id="rId129" Type="http://schemas.openxmlformats.org/officeDocument/2006/relationships/image" Target="../media/image67.jpeg"/><Relationship Id="rId54" Type="http://schemas.openxmlformats.org/officeDocument/2006/relationships/hyperlink" Target="#_04_HOD_M___Steel__cast_iron__concrete"/><Relationship Id="rId70" Type="http://schemas.openxmlformats.org/officeDocument/2006/relationships/hyperlink" Target="#_04_LOCK_System___Shut_off_valves"/><Relationship Id="rId75" Type="http://schemas.openxmlformats.org/officeDocument/2006/relationships/image" Target="../media/image38.jpg"/><Relationship Id="rId91" Type="http://schemas.openxmlformats.org/officeDocument/2006/relationships/image" Target="../media/image48.jpeg"/><Relationship Id="rId96" Type="http://schemas.openxmlformats.org/officeDocument/2006/relationships/hyperlink" Target="#_05_LIMU_STOP"/><Relationship Id="rId140" Type="http://schemas.openxmlformats.org/officeDocument/2006/relationships/hyperlink" Target="#_09_SAK"/><Relationship Id="rId145" Type="http://schemas.openxmlformats.org/officeDocument/2006/relationships/image" Target="../media/image75.jpeg"/><Relationship Id="rId161" Type="http://schemas.openxmlformats.org/officeDocument/2006/relationships/image" Target="../media/image83.jpeg"/><Relationship Id="rId166" Type="http://schemas.openxmlformats.org/officeDocument/2006/relationships/hyperlink" Target="#_10_Hand_wheel"/><Relationship Id="rId182" Type="http://schemas.openxmlformats.org/officeDocument/2006/relationships/hyperlink" Target="#_11_BAIOanti_twist"/><Relationship Id="rId187" Type="http://schemas.openxmlformats.org/officeDocument/2006/relationships/hyperlink" Target="#_06_Counter_flange"/><Relationship Id="rId1" Type="http://schemas.openxmlformats.org/officeDocument/2006/relationships/hyperlink" Target="#_01_EKOplus"/><Relationship Id="rId6" Type="http://schemas.openxmlformats.org/officeDocument/2006/relationships/hyperlink" Target="#_01_EKOplus_PE"/><Relationship Id="rId212" Type="http://schemas.openxmlformats.org/officeDocument/2006/relationships/hyperlink" Target="#_06_CEREX_300_L___Bare_shaft"/><Relationship Id="rId23" Type="http://schemas.openxmlformats.org/officeDocument/2006/relationships/hyperlink" Target="#_01_IKOplus_TRAFO___OIL"/><Relationship Id="rId28" Type="http://schemas.openxmlformats.org/officeDocument/2006/relationships/image" Target="../media/image14.jpeg"/><Relationship Id="rId49" Type="http://schemas.openxmlformats.org/officeDocument/2006/relationships/image" Target="../media/image25.jpeg"/><Relationship Id="rId114" Type="http://schemas.openxmlformats.org/officeDocument/2006/relationships/hyperlink" Target="#_06_CEREX_300_L___Hand_lever"/><Relationship Id="rId119" Type="http://schemas.openxmlformats.org/officeDocument/2006/relationships/image" Target="../media/image62.jpeg"/><Relationship Id="rId44" Type="http://schemas.openxmlformats.org/officeDocument/2006/relationships/hyperlink" Target="#_02_REMO_Sets"/><Relationship Id="rId60" Type="http://schemas.openxmlformats.org/officeDocument/2006/relationships/hyperlink" Target="#_04_TERRA_M___Steel__cast_iron__concrete"/><Relationship Id="rId65" Type="http://schemas.openxmlformats.org/officeDocument/2006/relationships/image" Target="../media/image33.jpeg"/><Relationship Id="rId81" Type="http://schemas.openxmlformats.org/officeDocument/2006/relationships/image" Target="../media/image42.jpeg"/><Relationship Id="rId86" Type="http://schemas.openxmlformats.org/officeDocument/2006/relationships/image" Target="../media/image45.jpeg"/><Relationship Id="rId130" Type="http://schemas.openxmlformats.org/officeDocument/2006/relationships/hyperlink" Target="#_07_HILL"/><Relationship Id="rId135" Type="http://schemas.openxmlformats.org/officeDocument/2006/relationships/image" Target="../media/image70.jpeg"/><Relationship Id="rId151" Type="http://schemas.openxmlformats.org/officeDocument/2006/relationships/image" Target="../media/image78.jpeg"/><Relationship Id="rId156" Type="http://schemas.openxmlformats.org/officeDocument/2006/relationships/hyperlink" Target="#_10_TELEMAX_EG___Telescopic"/><Relationship Id="rId177" Type="http://schemas.openxmlformats.org/officeDocument/2006/relationships/image" Target="../media/image91.jpeg"/><Relationship Id="rId198" Type="http://schemas.openxmlformats.org/officeDocument/2006/relationships/hyperlink" Target="#_02_EROXplus_O"/><Relationship Id="rId172" Type="http://schemas.openxmlformats.org/officeDocument/2006/relationships/hyperlink" Target="#_11_BAIO_BEV"/><Relationship Id="rId193" Type="http://schemas.openxmlformats.org/officeDocument/2006/relationships/image" Target="../media/image99.jpeg"/><Relationship Id="rId202" Type="http://schemas.openxmlformats.org/officeDocument/2006/relationships/hyperlink" Target="#_08_BEV_E"/><Relationship Id="rId207" Type="http://schemas.openxmlformats.org/officeDocument/2006/relationships/image" Target="../media/image106.jpeg"/><Relationship Id="rId13" Type="http://schemas.openxmlformats.org/officeDocument/2006/relationships/image" Target="../media/image7.jpeg"/><Relationship Id="rId18" Type="http://schemas.openxmlformats.org/officeDocument/2006/relationships/hyperlink" Target="#_01_EKOplus___WASTE_WATER"/><Relationship Id="rId39" Type="http://schemas.openxmlformats.org/officeDocument/2006/relationships/image" Target="../media/image20.jpeg"/><Relationship Id="rId109" Type="http://schemas.openxmlformats.org/officeDocument/2006/relationships/image" Target="../media/image57.jpeg"/><Relationship Id="rId34" Type="http://schemas.openxmlformats.org/officeDocument/2006/relationships/image" Target="../media/image17.jpeg"/><Relationship Id="rId50" Type="http://schemas.openxmlformats.org/officeDocument/2006/relationships/hyperlink" Target="#_03_RIGUS"/><Relationship Id="rId55" Type="http://schemas.openxmlformats.org/officeDocument/2006/relationships/image" Target="../media/image28.jpeg"/><Relationship Id="rId76" Type="http://schemas.openxmlformats.org/officeDocument/2006/relationships/hyperlink" Target="#_00_LIST"/><Relationship Id="rId97" Type="http://schemas.openxmlformats.org/officeDocument/2006/relationships/image" Target="../media/image51.jpeg"/><Relationship Id="rId104" Type="http://schemas.openxmlformats.org/officeDocument/2006/relationships/hyperlink" Target="#_05_HADE___Plug_in_type"/><Relationship Id="rId120" Type="http://schemas.openxmlformats.org/officeDocument/2006/relationships/hyperlink" Target="#_06_CEREX_300_W___Hand_wheel"/><Relationship Id="rId125" Type="http://schemas.openxmlformats.org/officeDocument/2006/relationships/image" Target="../media/image65.jpeg"/><Relationship Id="rId141" Type="http://schemas.openxmlformats.org/officeDocument/2006/relationships/image" Target="../media/image73.jpeg"/><Relationship Id="rId146" Type="http://schemas.openxmlformats.org/officeDocument/2006/relationships/hyperlink" Target="#_09_VAF"/><Relationship Id="rId167" Type="http://schemas.openxmlformats.org/officeDocument/2006/relationships/image" Target="../media/image86.jpeg"/><Relationship Id="rId188" Type="http://schemas.openxmlformats.org/officeDocument/2006/relationships/image" Target="../media/image97.jpeg"/><Relationship Id="rId7" Type="http://schemas.openxmlformats.org/officeDocument/2006/relationships/image" Target="../media/image4.jpeg"/><Relationship Id="rId71" Type="http://schemas.openxmlformats.org/officeDocument/2006/relationships/image" Target="../media/image36.jpeg"/><Relationship Id="rId92" Type="http://schemas.openxmlformats.org/officeDocument/2006/relationships/hyperlink" Target="#_05_RETO_STOP"/><Relationship Id="rId162" Type="http://schemas.openxmlformats.org/officeDocument/2006/relationships/hyperlink" Target="#_12_RAMBO"/><Relationship Id="rId183" Type="http://schemas.openxmlformats.org/officeDocument/2006/relationships/image" Target="../media/image94.jpeg"/><Relationship Id="rId213" Type="http://schemas.openxmlformats.org/officeDocument/2006/relationships/image" Target="../media/image109.jpeg"/><Relationship Id="rId2" Type="http://schemas.openxmlformats.org/officeDocument/2006/relationships/image" Target="../media/image1.jpeg"/><Relationship Id="rId29" Type="http://schemas.openxmlformats.org/officeDocument/2006/relationships/hyperlink" Target="#_12_EKOplus___With_rising_stem"/><Relationship Id="rId24" Type="http://schemas.openxmlformats.org/officeDocument/2006/relationships/image" Target="../media/image12.jpeg"/><Relationship Id="rId40" Type="http://schemas.openxmlformats.org/officeDocument/2006/relationships/hyperlink" Target="#_02_ERIplus"/><Relationship Id="rId45" Type="http://schemas.openxmlformats.org/officeDocument/2006/relationships/image" Target="../media/image23.jpeg"/><Relationship Id="rId66" Type="http://schemas.openxmlformats.org/officeDocument/2006/relationships/hyperlink" Target="#_04_TERRA_K___PVC__PE"/><Relationship Id="rId87" Type="http://schemas.openxmlformats.org/officeDocument/2006/relationships/hyperlink" Target="#_04_LOCK_System___Plug_fittings"/><Relationship Id="rId110" Type="http://schemas.openxmlformats.org/officeDocument/2006/relationships/hyperlink" Target="#_06_EKN_H"/><Relationship Id="rId115" Type="http://schemas.openxmlformats.org/officeDocument/2006/relationships/image" Target="../media/image60.jpeg"/><Relationship Id="rId131" Type="http://schemas.openxmlformats.org/officeDocument/2006/relationships/image" Target="../media/image68.jpeg"/><Relationship Id="rId136" Type="http://schemas.openxmlformats.org/officeDocument/2006/relationships/hyperlink" Target="#_08_DURA"/><Relationship Id="rId157" Type="http://schemas.openxmlformats.org/officeDocument/2006/relationships/image" Target="../media/image81.jpeg"/><Relationship Id="rId178" Type="http://schemas.openxmlformats.org/officeDocument/2006/relationships/hyperlink" Target="#_11_BAIOstop"/><Relationship Id="rId61" Type="http://schemas.openxmlformats.org/officeDocument/2006/relationships/image" Target="../media/image31.jpeg"/><Relationship Id="rId82" Type="http://schemas.openxmlformats.org/officeDocument/2006/relationships/hyperlink" Target="#_10_Operating_keys"/><Relationship Id="rId152" Type="http://schemas.openxmlformats.org/officeDocument/2006/relationships/hyperlink" Target="#_10_LADA___Rigid"/><Relationship Id="rId173" Type="http://schemas.openxmlformats.org/officeDocument/2006/relationships/image" Target="../media/image89.jpeg"/><Relationship Id="rId194" Type="http://schemas.openxmlformats.org/officeDocument/2006/relationships/hyperlink" Target="#_12_CEREX_300_W___Hand_wheel"/><Relationship Id="rId199" Type="http://schemas.openxmlformats.org/officeDocument/2006/relationships/image" Target="../media/image101.jpeg"/><Relationship Id="rId203" Type="http://schemas.openxmlformats.org/officeDocument/2006/relationships/image" Target="../media/image103.jpeg"/><Relationship Id="rId208" Type="http://schemas.openxmlformats.org/officeDocument/2006/relationships/hyperlink" Target="#_03_Hydrant_accessories"/><Relationship Id="rId19" Type="http://schemas.openxmlformats.org/officeDocument/2006/relationships/hyperlink" Target="#_01_IKOplus"/><Relationship Id="rId14" Type="http://schemas.openxmlformats.org/officeDocument/2006/relationships/hyperlink" Target="#_01_EKOplus___FIREWATER"/><Relationship Id="rId30" Type="http://schemas.openxmlformats.org/officeDocument/2006/relationships/image" Target="../media/image15.jpeg"/><Relationship Id="rId35" Type="http://schemas.openxmlformats.org/officeDocument/2006/relationships/hyperlink" Target="#_02_ZETAcontrol"/><Relationship Id="rId56" Type="http://schemas.openxmlformats.org/officeDocument/2006/relationships/hyperlink" Target="#_04_HOD_G___Ductile_Iron"/><Relationship Id="rId77" Type="http://schemas.openxmlformats.org/officeDocument/2006/relationships/image" Target="../media/image39.jpg"/><Relationship Id="rId100" Type="http://schemas.openxmlformats.org/officeDocument/2006/relationships/hyperlink" Target="#_05_TOP_STOP"/><Relationship Id="rId105" Type="http://schemas.openxmlformats.org/officeDocument/2006/relationships/image" Target="../media/image55.jpeg"/><Relationship Id="rId126" Type="http://schemas.openxmlformats.org/officeDocument/2006/relationships/hyperlink" Target="#_07_FLOWJET_PE"/><Relationship Id="rId147" Type="http://schemas.openxmlformats.org/officeDocument/2006/relationships/image" Target="../media/image76.jpeg"/><Relationship Id="rId168" Type="http://schemas.openxmlformats.org/officeDocument/2006/relationships/hyperlink" Target="#_11_BAIO_BETA_200"/><Relationship Id="rId8" Type="http://schemas.openxmlformats.org/officeDocument/2006/relationships/hyperlink" Target="#_01_EKOplus___With_BAIO_sockets"/><Relationship Id="rId51" Type="http://schemas.openxmlformats.org/officeDocument/2006/relationships/image" Target="../media/image26.jpeg"/><Relationship Id="rId72" Type="http://schemas.openxmlformats.org/officeDocument/2006/relationships/hyperlink" Target="#_04_Clamp"/><Relationship Id="rId93" Type="http://schemas.openxmlformats.org/officeDocument/2006/relationships/image" Target="../media/image49.jpeg"/><Relationship Id="rId98" Type="http://schemas.openxmlformats.org/officeDocument/2006/relationships/hyperlink" Target="#_05_KRV"/><Relationship Id="rId121" Type="http://schemas.openxmlformats.org/officeDocument/2006/relationships/image" Target="../media/image63.jpeg"/><Relationship Id="rId142" Type="http://schemas.openxmlformats.org/officeDocument/2006/relationships/hyperlink" Target="#_09_VARIplus_DJ"/><Relationship Id="rId163" Type="http://schemas.openxmlformats.org/officeDocument/2006/relationships/image" Target="../media/image84.jpeg"/><Relationship Id="rId184" Type="http://schemas.openxmlformats.org/officeDocument/2006/relationships/hyperlink" Target="#_12_EKN_M"/><Relationship Id="rId189" Type="http://schemas.openxmlformats.org/officeDocument/2006/relationships/hyperlink" Target="#_12_CEREX_300_L___Hand_lever"/><Relationship Id="rId3" Type="http://schemas.openxmlformats.org/officeDocument/2006/relationships/hyperlink" Target="#_01_EKOplus___With_actuator__for_actuator"/><Relationship Id="rId214" Type="http://schemas.openxmlformats.org/officeDocument/2006/relationships/image" Target="../media/image110.jpeg"/><Relationship Id="rId25" Type="http://schemas.openxmlformats.org/officeDocument/2006/relationships/hyperlink" Target="#_12_EKOplus"/><Relationship Id="rId46" Type="http://schemas.openxmlformats.org/officeDocument/2006/relationships/hyperlink" Target="#_02_HADE_PRA_G"/><Relationship Id="rId67" Type="http://schemas.openxmlformats.org/officeDocument/2006/relationships/image" Target="../media/image34.jpeg"/><Relationship Id="rId116" Type="http://schemas.openxmlformats.org/officeDocument/2006/relationships/hyperlink" Target="#_06_CEREX_300_L___Hand_wheel"/><Relationship Id="rId137" Type="http://schemas.openxmlformats.org/officeDocument/2006/relationships/image" Target="../media/image71.jpeg"/><Relationship Id="rId158" Type="http://schemas.openxmlformats.org/officeDocument/2006/relationships/hyperlink" Target="#_10_VA_TELESKOP___Telescopic_for_EKN"/><Relationship Id="rId20" Type="http://schemas.openxmlformats.org/officeDocument/2006/relationships/image" Target="../media/image10.jpeg"/><Relationship Id="rId41" Type="http://schemas.openxmlformats.org/officeDocument/2006/relationships/image" Target="../media/image21.jpeg"/><Relationship Id="rId62" Type="http://schemas.openxmlformats.org/officeDocument/2006/relationships/hyperlink" Target="#_04_Drilling_sets"/><Relationship Id="rId83" Type="http://schemas.openxmlformats.org/officeDocument/2006/relationships/image" Target="../media/image43.jpeg"/><Relationship Id="rId88" Type="http://schemas.openxmlformats.org/officeDocument/2006/relationships/image" Target="../media/image46.jpeg"/><Relationship Id="rId111" Type="http://schemas.openxmlformats.org/officeDocument/2006/relationships/image" Target="../media/image58.jpeg"/><Relationship Id="rId132" Type="http://schemas.openxmlformats.org/officeDocument/2006/relationships/hyperlink" Target="#_08_PICO_H"/><Relationship Id="rId153" Type="http://schemas.openxmlformats.org/officeDocument/2006/relationships/image" Target="../media/image79.jpeg"/><Relationship Id="rId174" Type="http://schemas.openxmlformats.org/officeDocument/2006/relationships/hyperlink" Target="#_11_BAIO___BAIO_Fittings"/><Relationship Id="rId179" Type="http://schemas.openxmlformats.org/officeDocument/2006/relationships/image" Target="../media/image92.jpeg"/><Relationship Id="rId195" Type="http://schemas.openxmlformats.org/officeDocument/2006/relationships/hyperlink" Target="#_01_EKOplus___SEA_WATER"/><Relationship Id="rId209" Type="http://schemas.openxmlformats.org/officeDocument/2006/relationships/image" Target="../media/image107.jpeg"/><Relationship Id="rId190" Type="http://schemas.openxmlformats.org/officeDocument/2006/relationships/image" Target="../media/image98.jpeg"/><Relationship Id="rId204" Type="http://schemas.openxmlformats.org/officeDocument/2006/relationships/hyperlink" Target="#_01_IKOplus_EPP"/><Relationship Id="rId15" Type="http://schemas.openxmlformats.org/officeDocument/2006/relationships/image" Target="../media/image8.jpeg"/><Relationship Id="rId36" Type="http://schemas.openxmlformats.org/officeDocument/2006/relationships/image" Target="../media/image18.jpeg"/><Relationship Id="rId57" Type="http://schemas.openxmlformats.org/officeDocument/2006/relationships/image" Target="../media/image29.jpeg"/><Relationship Id="rId106" Type="http://schemas.openxmlformats.org/officeDocument/2006/relationships/hyperlink" Target="#_05_HADE___Wall_mounted"/><Relationship Id="rId127" Type="http://schemas.openxmlformats.org/officeDocument/2006/relationships/image" Target="../media/image66.jpg"/><Relationship Id="rId10" Type="http://schemas.openxmlformats.org/officeDocument/2006/relationships/hyperlink" Target="#_01_EKOplus___With_spigots"/><Relationship Id="rId31" Type="http://schemas.openxmlformats.org/officeDocument/2006/relationships/hyperlink" Target="#_02_MONO___With_quick_operation_lever"/><Relationship Id="rId52" Type="http://schemas.openxmlformats.org/officeDocument/2006/relationships/hyperlink" Target="#_03_HYDRUS_G"/><Relationship Id="rId73" Type="http://schemas.openxmlformats.org/officeDocument/2006/relationships/image" Target="../media/image37.jpeg"/><Relationship Id="rId78" Type="http://schemas.openxmlformats.org/officeDocument/2006/relationships/image" Target="../media/image40.jpg"/><Relationship Id="rId94" Type="http://schemas.openxmlformats.org/officeDocument/2006/relationships/hyperlink" Target="#_05_RETA"/><Relationship Id="rId99" Type="http://schemas.openxmlformats.org/officeDocument/2006/relationships/image" Target="../media/image52.jpeg"/><Relationship Id="rId101" Type="http://schemas.openxmlformats.org/officeDocument/2006/relationships/image" Target="../media/image53.jpeg"/><Relationship Id="rId122" Type="http://schemas.openxmlformats.org/officeDocument/2006/relationships/hyperlink" Target="#_06_CEREX_300_W___Float"/><Relationship Id="rId143" Type="http://schemas.openxmlformats.org/officeDocument/2006/relationships/image" Target="../media/image74.jpeg"/><Relationship Id="rId148" Type="http://schemas.openxmlformats.org/officeDocument/2006/relationships/hyperlink" Target="#_09_VARIplus_RFA"/><Relationship Id="rId164" Type="http://schemas.openxmlformats.org/officeDocument/2006/relationships/hyperlink" Target="#_10_ROTOP_MOBITORQ"/><Relationship Id="rId169" Type="http://schemas.openxmlformats.org/officeDocument/2006/relationships/image" Target="../media/image87.jpeg"/><Relationship Id="rId185" Type="http://schemas.openxmlformats.org/officeDocument/2006/relationships/image" Target="../media/image95.jpeg"/><Relationship Id="rId4" Type="http://schemas.openxmlformats.org/officeDocument/2006/relationships/image" Target="../media/image2.jpeg"/><Relationship Id="rId9" Type="http://schemas.openxmlformats.org/officeDocument/2006/relationships/image" Target="../media/image5.jpeg"/><Relationship Id="rId180" Type="http://schemas.openxmlformats.org/officeDocument/2006/relationships/hyperlink" Target="#_11_BAIO_Split_ring_stiffener"/><Relationship Id="rId210" Type="http://schemas.openxmlformats.org/officeDocument/2006/relationships/hyperlink" Target="#_06_CEREX_300_W___Bare_shaft"/><Relationship Id="rId26" Type="http://schemas.openxmlformats.org/officeDocument/2006/relationships/image" Target="../media/image13.jpeg"/><Relationship Id="rId47" Type="http://schemas.openxmlformats.org/officeDocument/2006/relationships/image" Target="../media/image24.jpeg"/><Relationship Id="rId68" Type="http://schemas.openxmlformats.org/officeDocument/2006/relationships/hyperlink" Target="#_04_LOCK_System___PVC__PE"/><Relationship Id="rId89" Type="http://schemas.openxmlformats.org/officeDocument/2006/relationships/image" Target="../media/image47.jpeg"/><Relationship Id="rId112" Type="http://schemas.openxmlformats.org/officeDocument/2006/relationships/hyperlink" Target="#_06_EKN_M___For_underground_installation"/><Relationship Id="rId133" Type="http://schemas.openxmlformats.org/officeDocument/2006/relationships/image" Target="../media/image69.jpeg"/><Relationship Id="rId154" Type="http://schemas.openxmlformats.org/officeDocument/2006/relationships/hyperlink" Target="#_10_PATENTplus___Telescopic"/><Relationship Id="rId175" Type="http://schemas.openxmlformats.org/officeDocument/2006/relationships/image" Target="../media/image90.jpeg"/><Relationship Id="rId196" Type="http://schemas.openxmlformats.org/officeDocument/2006/relationships/hyperlink" Target="#_01_BETA_200"/><Relationship Id="rId200" Type="http://schemas.openxmlformats.org/officeDocument/2006/relationships/hyperlink" Target="#_07_TWINJET"/><Relationship Id="rId16" Type="http://schemas.openxmlformats.org/officeDocument/2006/relationships/hyperlink" Target="#_01_EKOplus___With_rising_stem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s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s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s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s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s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s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_00_LIST"/><Relationship Id="rId2" Type="http://schemas.openxmlformats.org/officeDocument/2006/relationships/image" Target="../media/image111.jpg"/><Relationship Id="rId1" Type="http://schemas.openxmlformats.org/officeDocument/2006/relationships/hyperlink" Target="#_00_HOME"/><Relationship Id="rId5" Type="http://schemas.openxmlformats.org/officeDocument/2006/relationships/image" Target="../media/image40.jpg"/><Relationship Id="rId4" Type="http://schemas.openxmlformats.org/officeDocument/2006/relationships/image" Target="../media/image39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g"/><Relationship Id="rId13" Type="http://schemas.openxmlformats.org/officeDocument/2006/relationships/image" Target="../media/image117.jpg"/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12" Type="http://schemas.openxmlformats.org/officeDocument/2006/relationships/image" Target="../media/image116.jpg"/><Relationship Id="rId2" Type="http://schemas.openxmlformats.org/officeDocument/2006/relationships/image" Target="../media/image111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9.jpg"/><Relationship Id="rId11" Type="http://schemas.openxmlformats.org/officeDocument/2006/relationships/image" Target="../media/image115.jpg"/><Relationship Id="rId5" Type="http://schemas.openxmlformats.org/officeDocument/2006/relationships/hyperlink" Target="#_00_LIST"/><Relationship Id="rId15" Type="http://schemas.openxmlformats.org/officeDocument/2006/relationships/image" Target="../media/image119.jpg"/><Relationship Id="rId10" Type="http://schemas.openxmlformats.org/officeDocument/2006/relationships/image" Target="../media/image114.jpg"/><Relationship Id="rId4" Type="http://schemas.openxmlformats.org/officeDocument/2006/relationships/image" Target="../media/image38.jpg"/><Relationship Id="rId9" Type="http://schemas.openxmlformats.org/officeDocument/2006/relationships/image" Target="../media/image113.jpg"/><Relationship Id="rId14" Type="http://schemas.openxmlformats.org/officeDocument/2006/relationships/image" Target="../media/image118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ydrant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2" Type="http://schemas.openxmlformats.org/officeDocument/2006/relationships/image" Target="../media/image111.jpg"/><Relationship Id="rId1" Type="http://schemas.openxmlformats.org/officeDocument/2006/relationships/hyperlink" Target="#_00_HOME"/><Relationship Id="rId5" Type="http://schemas.openxmlformats.org/officeDocument/2006/relationships/image" Target="../media/image40.jpg"/><Relationship Id="rId4" Type="http://schemas.openxmlformats.org/officeDocument/2006/relationships/image" Target="../media/image38.jp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ydrant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ydrant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ydrant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HouseConnection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NASTAVEN&#205;!A1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9.jpg"/><Relationship Id="rId5" Type="http://schemas.openxmlformats.org/officeDocument/2006/relationships/hyperlink" Target="#'&#344;&#225;dkov&#253; p&#345;ehled'!A1"/><Relationship Id="rId4" Type="http://schemas.openxmlformats.org/officeDocument/2006/relationships/image" Target="../media/image38.jp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i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i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i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i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i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i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Contro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Contro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Control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Othe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Othe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Othe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Othe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Othe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Othe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Other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ccessori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ccessori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ccessori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ccessori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ccessori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ccessori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ccessori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Accessori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AIOsystem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te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AIOsystem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AIOsystem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AIOsystem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AIOsystem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AIOsystem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AIOsystem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BAIOsystem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s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s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40.jpg"/><Relationship Id="rId2" Type="http://schemas.openxmlformats.org/officeDocument/2006/relationships/image" Target="../media/image111.jpg"/><Relationship Id="rId1" Type="http://schemas.openxmlformats.org/officeDocument/2006/relationships/hyperlink" Target="#GasValves"/><Relationship Id="rId6" Type="http://schemas.openxmlformats.org/officeDocument/2006/relationships/image" Target="../media/image39.jpg"/><Relationship Id="rId5" Type="http://schemas.openxmlformats.org/officeDocument/2006/relationships/hyperlink" Target="#_00_LIST"/><Relationship Id="rId4" Type="http://schemas.openxmlformats.org/officeDocument/2006/relationships/image" Target="../media/image3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6</xdr:row>
      <xdr:rowOff>31424</xdr:rowOff>
    </xdr:from>
    <xdr:to>
      <xdr:col>1</xdr:col>
      <xdr:colOff>577056</xdr:colOff>
      <xdr:row>6</xdr:row>
      <xdr:rowOff>745799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983924"/>
          <a:ext cx="424656" cy="714375"/>
        </a:xfrm>
        <a:prstGeom prst="rect">
          <a:avLst/>
        </a:prstGeom>
      </xdr:spPr>
    </xdr:pic>
    <xdr:clientData/>
  </xdr:twoCellAnchor>
  <xdr:twoCellAnchor>
    <xdr:from>
      <xdr:col>1</xdr:col>
      <xdr:colOff>19051</xdr:colOff>
      <xdr:row>7</xdr:row>
      <xdr:rowOff>70999</xdr:rowOff>
    </xdr:from>
    <xdr:to>
      <xdr:col>1</xdr:col>
      <xdr:colOff>733426</xdr:colOff>
      <xdr:row>7</xdr:row>
      <xdr:rowOff>715309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>
          <a:grpSpLocks noChangeAspect="1"/>
        </xdr:cNvGrpSpPr>
      </xdr:nvGrpSpPr>
      <xdr:grpSpPr>
        <a:xfrm>
          <a:off x="219076" y="3557149"/>
          <a:ext cx="714375" cy="644310"/>
          <a:chOff x="5143500" y="8639174"/>
          <a:chExt cx="854093" cy="77032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43500" y="8639174"/>
            <a:ext cx="486803" cy="77032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53087" y="8639174"/>
            <a:ext cx="344506" cy="7703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28576</xdr:colOff>
      <xdr:row>8</xdr:row>
      <xdr:rowOff>85725</xdr:rowOff>
    </xdr:from>
    <xdr:to>
      <xdr:col>1</xdr:col>
      <xdr:colOff>742951</xdr:colOff>
      <xdr:row>8</xdr:row>
      <xdr:rowOff>721716</xdr:rowOff>
    </xdr:to>
    <xdr:pic>
      <xdr:nvPicPr>
        <xdr:cNvPr id="7" name="Pictur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562225"/>
          <a:ext cx="714375" cy="63599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19051</xdr:rowOff>
    </xdr:from>
    <xdr:to>
      <xdr:col>1</xdr:col>
      <xdr:colOff>713780</xdr:colOff>
      <xdr:row>9</xdr:row>
      <xdr:rowOff>733426</xdr:rowOff>
    </xdr:to>
    <xdr:pic>
      <xdr:nvPicPr>
        <xdr:cNvPr id="8" name="Picture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257551"/>
          <a:ext cx="67568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</xdr:row>
      <xdr:rowOff>28576</xdr:rowOff>
    </xdr:from>
    <xdr:to>
      <xdr:col>1</xdr:col>
      <xdr:colOff>632721</xdr:colOff>
      <xdr:row>10</xdr:row>
      <xdr:rowOff>742816</xdr:rowOff>
    </xdr:to>
    <xdr:pic>
      <xdr:nvPicPr>
        <xdr:cNvPr id="9" name="Pictur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029076"/>
          <a:ext cx="508896" cy="71424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</xdr:row>
      <xdr:rowOff>28576</xdr:rowOff>
    </xdr:from>
    <xdr:to>
      <xdr:col>1</xdr:col>
      <xdr:colOff>651073</xdr:colOff>
      <xdr:row>5</xdr:row>
      <xdr:rowOff>742951</xdr:rowOff>
    </xdr:to>
    <xdr:pic>
      <xdr:nvPicPr>
        <xdr:cNvPr id="10" name="Picture 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600076"/>
          <a:ext cx="536773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197625</xdr:colOff>
      <xdr:row>14</xdr:row>
      <xdr:rowOff>26176</xdr:rowOff>
    </xdr:from>
    <xdr:to>
      <xdr:col>1</xdr:col>
      <xdr:colOff>568633</xdr:colOff>
      <xdr:row>14</xdr:row>
      <xdr:rowOff>740416</xdr:rowOff>
    </xdr:to>
    <xdr:pic>
      <xdr:nvPicPr>
        <xdr:cNvPr id="11" name="Picture 1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50" y="6312676"/>
          <a:ext cx="371008" cy="714240"/>
        </a:xfrm>
        <a:prstGeom prst="rect">
          <a:avLst/>
        </a:prstGeom>
      </xdr:spPr>
    </xdr:pic>
    <xdr:clientData/>
  </xdr:twoCellAnchor>
  <xdr:twoCellAnchor editAs="oneCell">
    <xdr:from>
      <xdr:col>1</xdr:col>
      <xdr:colOff>204750</xdr:colOff>
      <xdr:row>11</xdr:row>
      <xdr:rowOff>33301</xdr:rowOff>
    </xdr:from>
    <xdr:to>
      <xdr:col>1</xdr:col>
      <xdr:colOff>560022</xdr:colOff>
      <xdr:row>11</xdr:row>
      <xdr:rowOff>747676</xdr:rowOff>
    </xdr:to>
    <xdr:pic>
      <xdr:nvPicPr>
        <xdr:cNvPr id="12" name="Picture 1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775" y="4795801"/>
          <a:ext cx="355272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12</xdr:row>
      <xdr:rowOff>31424</xdr:rowOff>
    </xdr:from>
    <xdr:to>
      <xdr:col>1</xdr:col>
      <xdr:colOff>577056</xdr:colOff>
      <xdr:row>12</xdr:row>
      <xdr:rowOff>745799</xdr:rowOff>
    </xdr:to>
    <xdr:pic>
      <xdr:nvPicPr>
        <xdr:cNvPr id="13" name="Picture 1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5555924"/>
          <a:ext cx="424656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</xdr:row>
      <xdr:rowOff>28576</xdr:rowOff>
    </xdr:from>
    <xdr:to>
      <xdr:col>1</xdr:col>
      <xdr:colOff>567928</xdr:colOff>
      <xdr:row>15</xdr:row>
      <xdr:rowOff>742951</xdr:rowOff>
    </xdr:to>
    <xdr:pic>
      <xdr:nvPicPr>
        <xdr:cNvPr id="14" name="Picture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39076"/>
          <a:ext cx="434578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169050</xdr:colOff>
      <xdr:row>17</xdr:row>
      <xdr:rowOff>26176</xdr:rowOff>
    </xdr:from>
    <xdr:to>
      <xdr:col>1</xdr:col>
      <xdr:colOff>551042</xdr:colOff>
      <xdr:row>17</xdr:row>
      <xdr:rowOff>740551</xdr:rowOff>
    </xdr:to>
    <xdr:pic>
      <xdr:nvPicPr>
        <xdr:cNvPr id="15" name="Picture 1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75" y="11265676"/>
          <a:ext cx="381992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147600</xdr:colOff>
      <xdr:row>18</xdr:row>
      <xdr:rowOff>42826</xdr:rowOff>
    </xdr:from>
    <xdr:to>
      <xdr:col>1</xdr:col>
      <xdr:colOff>575822</xdr:colOff>
      <xdr:row>18</xdr:row>
      <xdr:rowOff>757201</xdr:rowOff>
    </xdr:to>
    <xdr:pic>
      <xdr:nvPicPr>
        <xdr:cNvPr id="16" name="Picture 1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25" y="9377326"/>
          <a:ext cx="428222" cy="714375"/>
        </a:xfrm>
        <a:prstGeom prst="rect">
          <a:avLst/>
        </a:prstGeom>
      </xdr:spPr>
    </xdr:pic>
    <xdr:clientData/>
  </xdr:twoCellAnchor>
  <xdr:oneCellAnchor>
    <xdr:from>
      <xdr:col>56</xdr:col>
      <xdr:colOff>171450</xdr:colOff>
      <xdr:row>4</xdr:row>
      <xdr:rowOff>41612</xdr:rowOff>
    </xdr:from>
    <xdr:ext cx="449462" cy="714375"/>
    <xdr:pic>
      <xdr:nvPicPr>
        <xdr:cNvPr id="17" name="Picture 1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7471112"/>
          <a:ext cx="449462" cy="714375"/>
        </a:xfrm>
        <a:prstGeom prst="rect">
          <a:avLst/>
        </a:prstGeom>
      </xdr:spPr>
    </xdr:pic>
    <xdr:clientData/>
  </xdr:oneCellAnchor>
  <xdr:oneCellAnchor>
    <xdr:from>
      <xdr:col>56</xdr:col>
      <xdr:colOff>28576</xdr:colOff>
      <xdr:row>5</xdr:row>
      <xdr:rowOff>96936</xdr:rowOff>
    </xdr:from>
    <xdr:ext cx="714375" cy="575468"/>
    <xdr:pic>
      <xdr:nvPicPr>
        <xdr:cNvPr id="18" name="Picture 1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8288436"/>
          <a:ext cx="714375" cy="575468"/>
        </a:xfrm>
        <a:prstGeom prst="rect">
          <a:avLst/>
        </a:prstGeom>
      </xdr:spPr>
    </xdr:pic>
    <xdr:clientData/>
  </xdr:oneCellAnchor>
  <xdr:oneCellAnchor>
    <xdr:from>
      <xdr:col>56</xdr:col>
      <xdr:colOff>166650</xdr:colOff>
      <xdr:row>6</xdr:row>
      <xdr:rowOff>42169</xdr:rowOff>
    </xdr:from>
    <xdr:ext cx="396875" cy="714375"/>
    <xdr:pic>
      <xdr:nvPicPr>
        <xdr:cNvPr id="20" name="Picture 1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675" y="9757669"/>
          <a:ext cx="396875" cy="714375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5</xdr:row>
      <xdr:rowOff>82791</xdr:rowOff>
    </xdr:from>
    <xdr:ext cx="714375" cy="612320"/>
    <xdr:pic>
      <xdr:nvPicPr>
        <xdr:cNvPr id="21" name="Picture 20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2178291"/>
          <a:ext cx="714375" cy="612320"/>
        </a:xfrm>
        <a:prstGeom prst="rect">
          <a:avLst/>
        </a:prstGeom>
      </xdr:spPr>
    </xdr:pic>
    <xdr:clientData/>
  </xdr:oneCellAnchor>
  <xdr:oneCellAnchor>
    <xdr:from>
      <xdr:col>6</xdr:col>
      <xdr:colOff>214782</xdr:colOff>
      <xdr:row>6</xdr:row>
      <xdr:rowOff>28575</xdr:rowOff>
    </xdr:from>
    <xdr:ext cx="341312" cy="714375"/>
    <xdr:pic>
      <xdr:nvPicPr>
        <xdr:cNvPr id="25" name="Picture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482" y="2886075"/>
          <a:ext cx="341312" cy="714375"/>
        </a:xfrm>
        <a:prstGeom prst="rect">
          <a:avLst/>
        </a:prstGeom>
      </xdr:spPr>
    </xdr:pic>
    <xdr:clientData/>
  </xdr:oneCellAnchor>
  <xdr:oneCellAnchor>
    <xdr:from>
      <xdr:col>6</xdr:col>
      <xdr:colOff>210521</xdr:colOff>
      <xdr:row>8</xdr:row>
      <xdr:rowOff>26176</xdr:rowOff>
    </xdr:from>
    <xdr:ext cx="345216" cy="714240"/>
    <xdr:pic>
      <xdr:nvPicPr>
        <xdr:cNvPr id="29" name="Picture 2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221" y="6693676"/>
          <a:ext cx="345216" cy="714240"/>
        </a:xfrm>
        <a:prstGeom prst="rect">
          <a:avLst/>
        </a:prstGeom>
      </xdr:spPr>
    </xdr:pic>
    <xdr:clientData/>
  </xdr:oneCellAnchor>
  <xdr:twoCellAnchor>
    <xdr:from>
      <xdr:col>6</xdr:col>
      <xdr:colOff>61841</xdr:colOff>
      <xdr:row>7</xdr:row>
      <xdr:rowOff>33408</xdr:rowOff>
    </xdr:from>
    <xdr:to>
      <xdr:col>6</xdr:col>
      <xdr:colOff>706338</xdr:colOff>
      <xdr:row>7</xdr:row>
      <xdr:rowOff>747783</xdr:rowOff>
    </xdr:to>
    <xdr:grpSp>
      <xdr:nvGrpSpPr>
        <xdr:cNvPr id="19" name="Group 18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pSpPr/>
      </xdr:nvGrpSpPr>
      <xdr:grpSpPr>
        <a:xfrm>
          <a:off x="4138541" y="3519558"/>
          <a:ext cx="644497" cy="714375"/>
          <a:chOff x="4138541" y="3519558"/>
          <a:chExt cx="644497" cy="714375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8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528"/>
          <a:stretch/>
        </xdr:blipFill>
        <xdr:spPr>
          <a:xfrm>
            <a:off x="4138541" y="3523033"/>
            <a:ext cx="376310" cy="707424"/>
          </a:xfrm>
          <a:prstGeom prst="rect">
            <a:avLst/>
          </a:prstGeom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37968" y="3519558"/>
            <a:ext cx="245070" cy="714375"/>
          </a:xfrm>
          <a:prstGeom prst="rect">
            <a:avLst/>
          </a:prstGeom>
        </xdr:spPr>
      </xdr:pic>
    </xdr:grpSp>
    <xdr:clientData/>
  </xdr:twoCellAnchor>
  <xdr:oneCellAnchor>
    <xdr:from>
      <xdr:col>6</xdr:col>
      <xdr:colOff>214015</xdr:colOff>
      <xdr:row>9</xdr:row>
      <xdr:rowOff>32087</xdr:rowOff>
    </xdr:from>
    <xdr:ext cx="345281" cy="714375"/>
    <xdr:pic>
      <xdr:nvPicPr>
        <xdr:cNvPr id="35" name="Picture 34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0715" y="7461587"/>
          <a:ext cx="345281" cy="714375"/>
        </a:xfrm>
        <a:prstGeom prst="rect">
          <a:avLst/>
        </a:prstGeom>
      </xdr:spPr>
    </xdr:pic>
    <xdr:clientData/>
  </xdr:oneCellAnchor>
  <xdr:oneCellAnchor>
    <xdr:from>
      <xdr:col>6</xdr:col>
      <xdr:colOff>173956</xdr:colOff>
      <xdr:row>10</xdr:row>
      <xdr:rowOff>30261</xdr:rowOff>
    </xdr:from>
    <xdr:ext cx="383904" cy="714240"/>
    <xdr:pic>
      <xdr:nvPicPr>
        <xdr:cNvPr id="36" name="Picture 35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656" y="8221761"/>
          <a:ext cx="383904" cy="714240"/>
        </a:xfrm>
        <a:prstGeom prst="rect">
          <a:avLst/>
        </a:prstGeom>
      </xdr:spPr>
    </xdr:pic>
    <xdr:clientData/>
  </xdr:oneCellAnchor>
  <xdr:oneCellAnchor>
    <xdr:from>
      <xdr:col>6</xdr:col>
      <xdr:colOff>32146</xdr:colOff>
      <xdr:row>12</xdr:row>
      <xdr:rowOff>27851</xdr:rowOff>
    </xdr:from>
    <xdr:ext cx="703462" cy="714375"/>
    <xdr:pic>
      <xdr:nvPicPr>
        <xdr:cNvPr id="37" name="Picture 36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8846" y="8981351"/>
          <a:ext cx="703462" cy="714375"/>
        </a:xfrm>
        <a:prstGeom prst="rect">
          <a:avLst/>
        </a:prstGeom>
      </xdr:spPr>
    </xdr:pic>
    <xdr:clientData/>
  </xdr:oneCellAnchor>
  <xdr:oneCellAnchor>
    <xdr:from>
      <xdr:col>6</xdr:col>
      <xdr:colOff>195126</xdr:colOff>
      <xdr:row>13</xdr:row>
      <xdr:rowOff>32644</xdr:rowOff>
    </xdr:from>
    <xdr:ext cx="378023" cy="714375"/>
    <xdr:pic>
      <xdr:nvPicPr>
        <xdr:cNvPr id="38" name="Picture 37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1826" y="9748144"/>
          <a:ext cx="378023" cy="714375"/>
        </a:xfrm>
        <a:prstGeom prst="rect">
          <a:avLst/>
        </a:prstGeom>
      </xdr:spPr>
    </xdr:pic>
    <xdr:clientData/>
  </xdr:oneCellAnchor>
  <xdr:oneCellAnchor>
    <xdr:from>
      <xdr:col>6</xdr:col>
      <xdr:colOff>269548</xdr:colOff>
      <xdr:row>4</xdr:row>
      <xdr:rowOff>18526</xdr:rowOff>
    </xdr:from>
    <xdr:ext cx="222577" cy="728435"/>
    <xdr:pic>
      <xdr:nvPicPr>
        <xdr:cNvPr id="75" name="Picture 74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245" y="1216671"/>
          <a:ext cx="222577" cy="728435"/>
        </a:xfrm>
        <a:prstGeom prst="rect">
          <a:avLst/>
        </a:prstGeom>
      </xdr:spPr>
    </xdr:pic>
    <xdr:clientData/>
  </xdr:oneCellAnchor>
  <xdr:oneCellAnchor>
    <xdr:from>
      <xdr:col>11</xdr:col>
      <xdr:colOff>266104</xdr:colOff>
      <xdr:row>6</xdr:row>
      <xdr:rowOff>25641</xdr:rowOff>
    </xdr:from>
    <xdr:ext cx="256976" cy="714375"/>
    <xdr:pic>
      <xdr:nvPicPr>
        <xdr:cNvPr id="76" name="Picture 7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9479" y="2845041"/>
          <a:ext cx="256976" cy="714375"/>
        </a:xfrm>
        <a:prstGeom prst="rect">
          <a:avLst/>
        </a:prstGeom>
      </xdr:spPr>
    </xdr:pic>
    <xdr:clientData/>
  </xdr:oneCellAnchor>
  <xdr:oneCellAnchor>
    <xdr:from>
      <xdr:col>11</xdr:col>
      <xdr:colOff>247451</xdr:colOff>
      <xdr:row>4</xdr:row>
      <xdr:rowOff>32999</xdr:rowOff>
    </xdr:from>
    <xdr:ext cx="347266" cy="714375"/>
    <xdr:pic>
      <xdr:nvPicPr>
        <xdr:cNvPr id="80" name="Picture 79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0826" y="1328399"/>
          <a:ext cx="347266" cy="714375"/>
        </a:xfrm>
        <a:prstGeom prst="rect">
          <a:avLst/>
        </a:prstGeom>
      </xdr:spPr>
    </xdr:pic>
    <xdr:clientData/>
  </xdr:oneCellAnchor>
  <xdr:oneCellAnchor>
    <xdr:from>
      <xdr:col>16</xdr:col>
      <xdr:colOff>53068</xdr:colOff>
      <xdr:row>6</xdr:row>
      <xdr:rowOff>29458</xdr:rowOff>
    </xdr:from>
    <xdr:ext cx="649883" cy="714375"/>
    <xdr:pic>
      <xdr:nvPicPr>
        <xdr:cNvPr id="141" name="Picture 140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3118" y="2753608"/>
          <a:ext cx="649883" cy="714375"/>
        </a:xfrm>
        <a:prstGeom prst="rect">
          <a:avLst/>
        </a:prstGeom>
      </xdr:spPr>
    </xdr:pic>
    <xdr:clientData/>
  </xdr:oneCellAnchor>
  <xdr:oneCellAnchor>
    <xdr:from>
      <xdr:col>16</xdr:col>
      <xdr:colOff>59009</xdr:colOff>
      <xdr:row>7</xdr:row>
      <xdr:rowOff>24131</xdr:rowOff>
    </xdr:from>
    <xdr:ext cx="642937" cy="714375"/>
    <xdr:pic>
      <xdr:nvPicPr>
        <xdr:cNvPr id="142" name="Picture 14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9059" y="3510281"/>
          <a:ext cx="642937" cy="714375"/>
        </a:xfrm>
        <a:prstGeom prst="rect">
          <a:avLst/>
        </a:prstGeom>
      </xdr:spPr>
    </xdr:pic>
    <xdr:clientData/>
  </xdr:oneCellAnchor>
  <xdr:oneCellAnchor>
    <xdr:from>
      <xdr:col>16</xdr:col>
      <xdr:colOff>48785</xdr:colOff>
      <xdr:row>8</xdr:row>
      <xdr:rowOff>53914</xdr:rowOff>
    </xdr:from>
    <xdr:ext cx="671789" cy="673659"/>
    <xdr:pic>
      <xdr:nvPicPr>
        <xdr:cNvPr id="143" name="Picture 142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5177" y="4304221"/>
          <a:ext cx="671789" cy="673659"/>
        </a:xfrm>
        <a:prstGeom prst="rect">
          <a:avLst/>
        </a:prstGeom>
      </xdr:spPr>
    </xdr:pic>
    <xdr:clientData/>
  </xdr:oneCellAnchor>
  <xdr:oneCellAnchor>
    <xdr:from>
      <xdr:col>16</xdr:col>
      <xdr:colOff>185666</xdr:colOff>
      <xdr:row>9</xdr:row>
      <xdr:rowOff>30914</xdr:rowOff>
    </xdr:from>
    <xdr:ext cx="407789" cy="714375"/>
    <xdr:pic>
      <xdr:nvPicPr>
        <xdr:cNvPr id="144" name="Picture 143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5716" y="5041064"/>
          <a:ext cx="407789" cy="714375"/>
        </a:xfrm>
        <a:prstGeom prst="rect">
          <a:avLst/>
        </a:prstGeom>
      </xdr:spPr>
    </xdr:pic>
    <xdr:clientData/>
  </xdr:oneCellAnchor>
  <xdr:oneCellAnchor>
    <xdr:from>
      <xdr:col>16</xdr:col>
      <xdr:colOff>46348</xdr:colOff>
      <xdr:row>4</xdr:row>
      <xdr:rowOff>134787</xdr:rowOff>
    </xdr:from>
    <xdr:ext cx="681351" cy="481424"/>
    <xdr:pic>
      <xdr:nvPicPr>
        <xdr:cNvPr id="145" name="Picture 144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740" y="1329905"/>
          <a:ext cx="681351" cy="481424"/>
        </a:xfrm>
        <a:prstGeom prst="rect">
          <a:avLst/>
        </a:prstGeom>
      </xdr:spPr>
    </xdr:pic>
    <xdr:clientData/>
  </xdr:oneCellAnchor>
  <xdr:oneCellAnchor>
    <xdr:from>
      <xdr:col>16</xdr:col>
      <xdr:colOff>29546</xdr:colOff>
      <xdr:row>12</xdr:row>
      <xdr:rowOff>99231</xdr:rowOff>
    </xdr:from>
    <xdr:ext cx="714375" cy="581421"/>
    <xdr:pic>
      <xdr:nvPicPr>
        <xdr:cNvPr id="146" name="Picture 145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9596" y="7395381"/>
          <a:ext cx="714375" cy="581421"/>
        </a:xfrm>
        <a:prstGeom prst="rect">
          <a:avLst/>
        </a:prstGeom>
      </xdr:spPr>
    </xdr:pic>
    <xdr:clientData/>
  </xdr:oneCellAnchor>
  <xdr:oneCellAnchor>
    <xdr:from>
      <xdr:col>16</xdr:col>
      <xdr:colOff>142574</xdr:colOff>
      <xdr:row>10</xdr:row>
      <xdr:rowOff>31132</xdr:rowOff>
    </xdr:from>
    <xdr:ext cx="468313" cy="714375"/>
    <xdr:pic>
      <xdr:nvPicPr>
        <xdr:cNvPr id="147" name="Picture 146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624" y="5803282"/>
          <a:ext cx="468313" cy="714375"/>
        </a:xfrm>
        <a:prstGeom prst="rect">
          <a:avLst/>
        </a:prstGeom>
      </xdr:spPr>
    </xdr:pic>
    <xdr:clientData/>
  </xdr:oneCellAnchor>
  <xdr:oneCellAnchor>
    <xdr:from>
      <xdr:col>16</xdr:col>
      <xdr:colOff>109239</xdr:colOff>
      <xdr:row>13</xdr:row>
      <xdr:rowOff>28709</xdr:rowOff>
    </xdr:from>
    <xdr:ext cx="566540" cy="714375"/>
    <xdr:pic>
      <xdr:nvPicPr>
        <xdr:cNvPr id="149" name="Picture 148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9289" y="8086859"/>
          <a:ext cx="566540" cy="714375"/>
        </a:xfrm>
        <a:prstGeom prst="rect">
          <a:avLst/>
        </a:prstGeom>
      </xdr:spPr>
    </xdr:pic>
    <xdr:clientData/>
  </xdr:oneCellAnchor>
  <xdr:oneCellAnchor>
    <xdr:from>
      <xdr:col>16</xdr:col>
      <xdr:colOff>121883</xdr:colOff>
      <xdr:row>15</xdr:row>
      <xdr:rowOff>27851</xdr:rowOff>
    </xdr:from>
    <xdr:ext cx="506015" cy="714375"/>
    <xdr:pic>
      <xdr:nvPicPr>
        <xdr:cNvPr id="151" name="Picture 150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275" y="9624738"/>
          <a:ext cx="506015" cy="714375"/>
        </a:xfrm>
        <a:prstGeom prst="rect">
          <a:avLst/>
        </a:prstGeom>
      </xdr:spPr>
    </xdr:pic>
    <xdr:clientData/>
  </xdr:oneCellAnchor>
  <xdr:oneCellAnchor>
    <xdr:from>
      <xdr:col>16</xdr:col>
      <xdr:colOff>40409</xdr:colOff>
      <xdr:row>5</xdr:row>
      <xdr:rowOff>152760</xdr:rowOff>
    </xdr:from>
    <xdr:ext cx="707083" cy="458646"/>
    <xdr:pic>
      <xdr:nvPicPr>
        <xdr:cNvPr id="153" name="Picture 15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6801" y="2111675"/>
          <a:ext cx="707083" cy="458646"/>
        </a:xfrm>
        <a:prstGeom prst="rect">
          <a:avLst/>
        </a:prstGeom>
      </xdr:spPr>
    </xdr:pic>
    <xdr:clientData/>
  </xdr:oneCellAnchor>
  <xdr:twoCellAnchor editAs="oneCell">
    <xdr:from>
      <xdr:col>3</xdr:col>
      <xdr:colOff>214583</xdr:colOff>
      <xdr:row>0</xdr:row>
      <xdr:rowOff>18439</xdr:rowOff>
    </xdr:from>
    <xdr:to>
      <xdr:col>3</xdr:col>
      <xdr:colOff>738458</xdr:colOff>
      <xdr:row>0</xdr:row>
      <xdr:rowOff>542314</xdr:rowOff>
    </xdr:to>
    <xdr:pic>
      <xdr:nvPicPr>
        <xdr:cNvPr id="219" name="Picture 218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08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748248</xdr:colOff>
      <xdr:row>0</xdr:row>
      <xdr:rowOff>18439</xdr:rowOff>
    </xdr:from>
    <xdr:to>
      <xdr:col>3</xdr:col>
      <xdr:colOff>1272123</xdr:colOff>
      <xdr:row>0</xdr:row>
      <xdr:rowOff>542314</xdr:rowOff>
    </xdr:to>
    <xdr:pic>
      <xdr:nvPicPr>
        <xdr:cNvPr id="220" name="Picture 219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773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178798</xdr:colOff>
      <xdr:row>0</xdr:row>
      <xdr:rowOff>552450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1323" cy="552450"/>
        </a:xfrm>
        <a:prstGeom prst="rect">
          <a:avLst/>
        </a:prstGeom>
      </xdr:spPr>
    </xdr:pic>
    <xdr:clientData/>
  </xdr:twoCellAnchor>
  <xdr:twoCellAnchor>
    <xdr:from>
      <xdr:col>11</xdr:col>
      <xdr:colOff>31423</xdr:colOff>
      <xdr:row>5</xdr:row>
      <xdr:rowOff>33236</xdr:rowOff>
    </xdr:from>
    <xdr:to>
      <xdr:col>11</xdr:col>
      <xdr:colOff>746592</xdr:colOff>
      <xdr:row>5</xdr:row>
      <xdr:rowOff>747611</xdr:rowOff>
    </xdr:to>
    <xdr:grpSp>
      <xdr:nvGrpSpPr>
        <xdr:cNvPr id="224" name="Group 223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800-0000E0000000}"/>
            </a:ext>
          </a:extLst>
        </xdr:cNvPr>
        <xdr:cNvGrpSpPr/>
      </xdr:nvGrpSpPr>
      <xdr:grpSpPr>
        <a:xfrm>
          <a:off x="7984798" y="1995386"/>
          <a:ext cx="715169" cy="714375"/>
          <a:chOff x="7984798" y="2090636"/>
          <a:chExt cx="715169" cy="714375"/>
        </a:xfrm>
      </xdr:grpSpPr>
      <xdr:pic>
        <xdr:nvPicPr>
          <xdr:cNvPr id="88" name="Picture 87">
            <a:extLst>
              <a:ext uri="{FF2B5EF4-FFF2-40B4-BE49-F238E27FC236}">
                <a16:creationId xmlns:a16="http://schemas.microsoft.com/office/drawing/2014/main" id="{00000000-0008-0000-0800-00005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84798" y="2090636"/>
            <a:ext cx="381001" cy="714375"/>
          </a:xfrm>
          <a:prstGeom prst="rect">
            <a:avLst/>
          </a:prstGeom>
        </xdr:spPr>
      </xdr:pic>
      <xdr:pic>
        <xdr:nvPicPr>
          <xdr:cNvPr id="223" name="Picture 222">
            <a:extLst>
              <a:ext uri="{FF2B5EF4-FFF2-40B4-BE49-F238E27FC236}">
                <a16:creationId xmlns:a16="http://schemas.microsoft.com/office/drawing/2014/main" id="{00000000-0008-0000-0800-0000D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74530" y="2090636"/>
            <a:ext cx="325437" cy="714375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38101</xdr:colOff>
      <xdr:row>8</xdr:row>
      <xdr:rowOff>19051</xdr:rowOff>
    </xdr:from>
    <xdr:to>
      <xdr:col>11</xdr:col>
      <xdr:colOff>752476</xdr:colOff>
      <xdr:row>8</xdr:row>
      <xdr:rowOff>733426</xdr:rowOff>
    </xdr:to>
    <xdr:pic>
      <xdr:nvPicPr>
        <xdr:cNvPr id="230" name="Picture 229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8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6" y="4362451"/>
          <a:ext cx="714375" cy="714375"/>
        </a:xfrm>
        <a:prstGeom prst="rect">
          <a:avLst/>
        </a:prstGeom>
      </xdr:spPr>
    </xdr:pic>
    <xdr:clientData/>
  </xdr:twoCellAnchor>
  <xdr:twoCellAnchor>
    <xdr:from>
      <xdr:col>16</xdr:col>
      <xdr:colOff>23117</xdr:colOff>
      <xdr:row>11</xdr:row>
      <xdr:rowOff>34604</xdr:rowOff>
    </xdr:from>
    <xdr:to>
      <xdr:col>16</xdr:col>
      <xdr:colOff>742950</xdr:colOff>
      <xdr:row>11</xdr:row>
      <xdr:rowOff>752092</xdr:rowOff>
    </xdr:to>
    <xdr:grpSp>
      <xdr:nvGrpSpPr>
        <xdr:cNvPr id="22" name="Group 21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pSpPr/>
      </xdr:nvGrpSpPr>
      <xdr:grpSpPr>
        <a:xfrm>
          <a:off x="11853167" y="6568754"/>
          <a:ext cx="719833" cy="717488"/>
          <a:chOff x="11853167" y="6568754"/>
          <a:chExt cx="719833" cy="717488"/>
        </a:xfrm>
      </xdr:grpSpPr>
      <xdr:pic>
        <xdr:nvPicPr>
          <xdr:cNvPr id="148" name="Picture 147">
            <a:extLst>
              <a:ext uri="{FF2B5EF4-FFF2-40B4-BE49-F238E27FC236}">
                <a16:creationId xmlns:a16="http://schemas.microsoft.com/office/drawing/2014/main" id="{00000000-0008-0000-0800-00009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53167" y="6663675"/>
            <a:ext cx="424557" cy="622567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82475" y="6568754"/>
            <a:ext cx="390525" cy="454980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19002</xdr:colOff>
      <xdr:row>14</xdr:row>
      <xdr:rowOff>34757</xdr:rowOff>
    </xdr:from>
    <xdr:to>
      <xdr:col>16</xdr:col>
      <xdr:colOff>735427</xdr:colOff>
      <xdr:row>14</xdr:row>
      <xdr:rowOff>744315</xdr:rowOff>
    </xdr:to>
    <xdr:grpSp>
      <xdr:nvGrpSpPr>
        <xdr:cNvPr id="23" name="Group 22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pSpPr/>
      </xdr:nvGrpSpPr>
      <xdr:grpSpPr>
        <a:xfrm>
          <a:off x="11849052" y="8854907"/>
          <a:ext cx="716425" cy="709558"/>
          <a:chOff x="11855687" y="8837355"/>
          <a:chExt cx="716425" cy="709558"/>
        </a:xfrm>
      </xdr:grpSpPr>
      <xdr:pic>
        <xdr:nvPicPr>
          <xdr:cNvPr id="150" name="Picture 149">
            <a:extLst>
              <a:ext uri="{FF2B5EF4-FFF2-40B4-BE49-F238E27FC236}">
                <a16:creationId xmlns:a16="http://schemas.microsoft.com/office/drawing/2014/main" id="{00000000-0008-0000-0800-00009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2011957" y="8988807"/>
            <a:ext cx="401836" cy="714375"/>
          </a:xfrm>
          <a:prstGeom prst="rect">
            <a:avLst/>
          </a:prstGeom>
        </xdr:spPr>
      </xdr:pic>
      <xdr:pic>
        <xdr:nvPicPr>
          <xdr:cNvPr id="125" name="Picture 124">
            <a:extLst>
              <a:ext uri="{FF2B5EF4-FFF2-40B4-BE49-F238E27FC236}">
                <a16:creationId xmlns:a16="http://schemas.microsoft.com/office/drawing/2014/main" id="{00000000-0008-0000-0800-00007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57737" y="8837355"/>
            <a:ext cx="714375" cy="301625"/>
          </a:xfrm>
          <a:prstGeom prst="rect">
            <a:avLst/>
          </a:prstGeom>
        </xdr:spPr>
      </xdr:pic>
    </xdr:grpSp>
    <xdr:clientData/>
  </xdr:twoCellAnchor>
  <xdr:twoCellAnchor editAs="oneCell">
    <xdr:from>
      <xdr:col>21</xdr:col>
      <xdr:colOff>26959</xdr:colOff>
      <xdr:row>4</xdr:row>
      <xdr:rowOff>49316</xdr:rowOff>
    </xdr:from>
    <xdr:to>
      <xdr:col>21</xdr:col>
      <xdr:colOff>741334</xdr:colOff>
      <xdr:row>4</xdr:row>
      <xdr:rowOff>736949</xdr:rowOff>
    </xdr:to>
    <xdr:pic>
      <xdr:nvPicPr>
        <xdr:cNvPr id="33" name="Picture 32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1244434"/>
          <a:ext cx="714375" cy="687633"/>
        </a:xfrm>
        <a:prstGeom prst="rect">
          <a:avLst/>
        </a:prstGeom>
      </xdr:spPr>
    </xdr:pic>
    <xdr:clientData/>
  </xdr:twoCellAnchor>
  <xdr:twoCellAnchor editAs="oneCell">
    <xdr:from>
      <xdr:col>21</xdr:col>
      <xdr:colOff>26959</xdr:colOff>
      <xdr:row>5</xdr:row>
      <xdr:rowOff>98523</xdr:rowOff>
    </xdr:from>
    <xdr:to>
      <xdr:col>21</xdr:col>
      <xdr:colOff>741334</xdr:colOff>
      <xdr:row>5</xdr:row>
      <xdr:rowOff>687024</xdr:rowOff>
    </xdr:to>
    <xdr:pic>
      <xdr:nvPicPr>
        <xdr:cNvPr id="292" name="Picture 291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8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2057438"/>
          <a:ext cx="714375" cy="588501"/>
        </a:xfrm>
        <a:prstGeom prst="rect">
          <a:avLst/>
        </a:prstGeom>
      </xdr:spPr>
    </xdr:pic>
    <xdr:clientData/>
  </xdr:twoCellAnchor>
  <xdr:twoCellAnchor editAs="oneCell">
    <xdr:from>
      <xdr:col>21</xdr:col>
      <xdr:colOff>26959</xdr:colOff>
      <xdr:row>6</xdr:row>
      <xdr:rowOff>123121</xdr:rowOff>
    </xdr:from>
    <xdr:to>
      <xdr:col>21</xdr:col>
      <xdr:colOff>741334</xdr:colOff>
      <xdr:row>6</xdr:row>
      <xdr:rowOff>661707</xdr:rowOff>
    </xdr:to>
    <xdr:pic>
      <xdr:nvPicPr>
        <xdr:cNvPr id="293" name="Picture 292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8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2845833"/>
          <a:ext cx="714375" cy="538586"/>
        </a:xfrm>
        <a:prstGeom prst="rect">
          <a:avLst/>
        </a:prstGeom>
      </xdr:spPr>
    </xdr:pic>
    <xdr:clientData/>
  </xdr:twoCellAnchor>
  <xdr:twoCellAnchor editAs="oneCell">
    <xdr:from>
      <xdr:col>21</xdr:col>
      <xdr:colOff>30928</xdr:colOff>
      <xdr:row>8</xdr:row>
      <xdr:rowOff>25882</xdr:rowOff>
    </xdr:from>
    <xdr:to>
      <xdr:col>21</xdr:col>
      <xdr:colOff>737365</xdr:colOff>
      <xdr:row>8</xdr:row>
      <xdr:rowOff>740257</xdr:rowOff>
    </xdr:to>
    <xdr:pic>
      <xdr:nvPicPr>
        <xdr:cNvPr id="294" name="Picture 293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8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0220" y="3512391"/>
          <a:ext cx="706437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26959</xdr:colOff>
      <xdr:row>9</xdr:row>
      <xdr:rowOff>65745</xdr:rowOff>
    </xdr:from>
    <xdr:to>
      <xdr:col>21</xdr:col>
      <xdr:colOff>741334</xdr:colOff>
      <xdr:row>9</xdr:row>
      <xdr:rowOff>717646</xdr:rowOff>
    </xdr:to>
    <xdr:pic>
      <xdr:nvPicPr>
        <xdr:cNvPr id="295" name="Picture 294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8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4316052"/>
          <a:ext cx="714375" cy="651901"/>
        </a:xfrm>
        <a:prstGeom prst="rect">
          <a:avLst/>
        </a:prstGeom>
      </xdr:spPr>
    </xdr:pic>
    <xdr:clientData/>
  </xdr:twoCellAnchor>
  <xdr:twoCellAnchor editAs="oneCell">
    <xdr:from>
      <xdr:col>21</xdr:col>
      <xdr:colOff>107270</xdr:colOff>
      <xdr:row>10</xdr:row>
      <xdr:rowOff>25163</xdr:rowOff>
    </xdr:from>
    <xdr:to>
      <xdr:col>21</xdr:col>
      <xdr:colOff>643051</xdr:colOff>
      <xdr:row>10</xdr:row>
      <xdr:rowOff>739538</xdr:rowOff>
    </xdr:to>
    <xdr:pic>
      <xdr:nvPicPr>
        <xdr:cNvPr id="296" name="Picture 295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8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6562" y="5039267"/>
          <a:ext cx="535781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43826</xdr:colOff>
      <xdr:row>11</xdr:row>
      <xdr:rowOff>24804</xdr:rowOff>
    </xdr:from>
    <xdr:to>
      <xdr:col>21</xdr:col>
      <xdr:colOff>724466</xdr:colOff>
      <xdr:row>11</xdr:row>
      <xdr:rowOff>739179</xdr:rowOff>
    </xdr:to>
    <xdr:pic>
      <xdr:nvPicPr>
        <xdr:cNvPr id="297" name="Picture 296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8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3118" y="5802705"/>
          <a:ext cx="680640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72104</xdr:colOff>
      <xdr:row>12</xdr:row>
      <xdr:rowOff>24086</xdr:rowOff>
    </xdr:from>
    <xdr:to>
      <xdr:col>21</xdr:col>
      <xdr:colOff>696189</xdr:colOff>
      <xdr:row>12</xdr:row>
      <xdr:rowOff>738461</xdr:rowOff>
    </xdr:to>
    <xdr:pic>
      <xdr:nvPicPr>
        <xdr:cNvPr id="299" name="Picture 298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8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1396" y="7329581"/>
          <a:ext cx="624085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93436</xdr:colOff>
      <xdr:row>13</xdr:row>
      <xdr:rowOff>23727</xdr:rowOff>
    </xdr:from>
    <xdr:to>
      <xdr:col>21</xdr:col>
      <xdr:colOff>674857</xdr:colOff>
      <xdr:row>13</xdr:row>
      <xdr:rowOff>738102</xdr:rowOff>
    </xdr:to>
    <xdr:pic>
      <xdr:nvPicPr>
        <xdr:cNvPr id="300" name="Picture 299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8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2728" y="8093019"/>
          <a:ext cx="581421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60693</xdr:colOff>
      <xdr:row>14</xdr:row>
      <xdr:rowOff>23367</xdr:rowOff>
    </xdr:from>
    <xdr:to>
      <xdr:col>21</xdr:col>
      <xdr:colOff>707599</xdr:colOff>
      <xdr:row>14</xdr:row>
      <xdr:rowOff>737742</xdr:rowOff>
    </xdr:to>
    <xdr:pic>
      <xdr:nvPicPr>
        <xdr:cNvPr id="301" name="Picture 300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8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9985" y="8856457"/>
          <a:ext cx="646906" cy="714375"/>
        </a:xfrm>
        <a:prstGeom prst="rect">
          <a:avLst/>
        </a:prstGeom>
      </xdr:spPr>
    </xdr:pic>
    <xdr:clientData/>
  </xdr:twoCellAnchor>
  <xdr:oneCellAnchor>
    <xdr:from>
      <xdr:col>26</xdr:col>
      <xdr:colOff>46009</xdr:colOff>
      <xdr:row>4</xdr:row>
      <xdr:rowOff>131139</xdr:rowOff>
    </xdr:from>
    <xdr:ext cx="714375" cy="506015"/>
    <xdr:pic>
      <xdr:nvPicPr>
        <xdr:cNvPr id="304" name="Picture 303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8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9409" y="1331289"/>
          <a:ext cx="714375" cy="506015"/>
        </a:xfrm>
        <a:prstGeom prst="rect">
          <a:avLst/>
        </a:prstGeom>
      </xdr:spPr>
    </xdr:pic>
    <xdr:clientData/>
  </xdr:oneCellAnchor>
  <xdr:oneCellAnchor>
    <xdr:from>
      <xdr:col>26</xdr:col>
      <xdr:colOff>191166</xdr:colOff>
      <xdr:row>5</xdr:row>
      <xdr:rowOff>26600</xdr:rowOff>
    </xdr:from>
    <xdr:ext cx="385960" cy="714375"/>
    <xdr:pic>
      <xdr:nvPicPr>
        <xdr:cNvPr id="305" name="Picture 304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00000000-0008-0000-08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3359" y="1985515"/>
          <a:ext cx="385960" cy="714375"/>
        </a:xfrm>
        <a:prstGeom prst="rect">
          <a:avLst/>
        </a:prstGeom>
      </xdr:spPr>
    </xdr:pic>
    <xdr:clientData/>
  </xdr:oneCellAnchor>
  <xdr:oneCellAnchor>
    <xdr:from>
      <xdr:col>26</xdr:col>
      <xdr:colOff>26959</xdr:colOff>
      <xdr:row>11</xdr:row>
      <xdr:rowOff>80309</xdr:rowOff>
    </xdr:from>
    <xdr:ext cx="714375" cy="624211"/>
    <xdr:pic>
      <xdr:nvPicPr>
        <xdr:cNvPr id="306" name="Picture 305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9152" y="2803021"/>
          <a:ext cx="714375" cy="624211"/>
        </a:xfrm>
        <a:prstGeom prst="rect">
          <a:avLst/>
        </a:prstGeom>
      </xdr:spPr>
    </xdr:pic>
    <xdr:clientData/>
  </xdr:oneCellAnchor>
  <xdr:oneCellAnchor>
    <xdr:from>
      <xdr:col>26</xdr:col>
      <xdr:colOff>168515</xdr:colOff>
      <xdr:row>12</xdr:row>
      <xdr:rowOff>25882</xdr:rowOff>
    </xdr:from>
    <xdr:ext cx="485179" cy="714375"/>
    <xdr:pic>
      <xdr:nvPicPr>
        <xdr:cNvPr id="307" name="Picture 306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708" y="3512391"/>
          <a:ext cx="485179" cy="714375"/>
        </a:xfrm>
        <a:prstGeom prst="rect">
          <a:avLst/>
        </a:prstGeom>
      </xdr:spPr>
    </xdr:pic>
    <xdr:clientData/>
  </xdr:oneCellAnchor>
  <xdr:oneCellAnchor>
    <xdr:from>
      <xdr:col>26</xdr:col>
      <xdr:colOff>26959</xdr:colOff>
      <xdr:row>7</xdr:row>
      <xdr:rowOff>57343</xdr:rowOff>
    </xdr:from>
    <xdr:ext cx="714375" cy="667987"/>
    <xdr:pic>
      <xdr:nvPicPr>
        <xdr:cNvPr id="309" name="Picture 308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9152" y="5071447"/>
          <a:ext cx="714375" cy="667987"/>
        </a:xfrm>
        <a:prstGeom prst="rect">
          <a:avLst/>
        </a:prstGeom>
      </xdr:spPr>
    </xdr:pic>
    <xdr:clientData/>
  </xdr:oneCellAnchor>
  <xdr:oneCellAnchor>
    <xdr:from>
      <xdr:col>26</xdr:col>
      <xdr:colOff>188189</xdr:colOff>
      <xdr:row>8</xdr:row>
      <xdr:rowOff>24804</xdr:rowOff>
    </xdr:from>
    <xdr:ext cx="391914" cy="714375"/>
    <xdr:pic>
      <xdr:nvPicPr>
        <xdr:cNvPr id="310" name="Picture 309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00000000-0008-0000-08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0382" y="5802705"/>
          <a:ext cx="391914" cy="714375"/>
        </a:xfrm>
        <a:prstGeom prst="rect">
          <a:avLst/>
        </a:prstGeom>
      </xdr:spPr>
    </xdr:pic>
    <xdr:clientData/>
  </xdr:oneCellAnchor>
  <xdr:oneCellAnchor>
    <xdr:from>
      <xdr:col>26</xdr:col>
      <xdr:colOff>26959</xdr:colOff>
      <xdr:row>9</xdr:row>
      <xdr:rowOff>24445</xdr:rowOff>
    </xdr:from>
    <xdr:ext cx="714375" cy="714375"/>
    <xdr:pic>
      <xdr:nvPicPr>
        <xdr:cNvPr id="311" name="Picture 310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9152" y="6566143"/>
          <a:ext cx="714375" cy="714375"/>
        </a:xfrm>
        <a:prstGeom prst="rect">
          <a:avLst/>
        </a:prstGeom>
      </xdr:spPr>
    </xdr:pic>
    <xdr:clientData/>
  </xdr:oneCellAnchor>
  <xdr:oneCellAnchor>
    <xdr:from>
      <xdr:col>31</xdr:col>
      <xdr:colOff>167850</xdr:colOff>
      <xdr:row>4</xdr:row>
      <xdr:rowOff>26959</xdr:rowOff>
    </xdr:from>
    <xdr:ext cx="432593" cy="714375"/>
    <xdr:pic>
      <xdr:nvPicPr>
        <xdr:cNvPr id="330" name="Picture 329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00000000-0008-0000-08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02944" y="1222077"/>
          <a:ext cx="432593" cy="714375"/>
        </a:xfrm>
        <a:prstGeom prst="rect">
          <a:avLst/>
        </a:prstGeom>
      </xdr:spPr>
    </xdr:pic>
    <xdr:clientData/>
  </xdr:oneCellAnchor>
  <xdr:oneCellAnchor>
    <xdr:from>
      <xdr:col>31</xdr:col>
      <xdr:colOff>114768</xdr:colOff>
      <xdr:row>5</xdr:row>
      <xdr:rowOff>60703</xdr:rowOff>
    </xdr:from>
    <xdr:ext cx="580557" cy="665705"/>
    <xdr:pic>
      <xdr:nvPicPr>
        <xdr:cNvPr id="331" name="Picture 330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00000000-0008-0000-08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74843" y="2022853"/>
          <a:ext cx="580557" cy="665705"/>
        </a:xfrm>
        <a:prstGeom prst="rect">
          <a:avLst/>
        </a:prstGeom>
      </xdr:spPr>
    </xdr:pic>
    <xdr:clientData/>
  </xdr:oneCellAnchor>
  <xdr:oneCellAnchor>
    <xdr:from>
      <xdr:col>31</xdr:col>
      <xdr:colOff>254666</xdr:colOff>
      <xdr:row>6</xdr:row>
      <xdr:rowOff>26241</xdr:rowOff>
    </xdr:from>
    <xdr:ext cx="258960" cy="714375"/>
    <xdr:pic>
      <xdr:nvPicPr>
        <xdr:cNvPr id="332" name="Picture 331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8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9760" y="2748953"/>
          <a:ext cx="258960" cy="714375"/>
        </a:xfrm>
        <a:prstGeom prst="rect">
          <a:avLst/>
        </a:prstGeom>
      </xdr:spPr>
    </xdr:pic>
    <xdr:clientData/>
  </xdr:oneCellAnchor>
  <xdr:oneCellAnchor>
    <xdr:from>
      <xdr:col>31</xdr:col>
      <xdr:colOff>26959</xdr:colOff>
      <xdr:row>7</xdr:row>
      <xdr:rowOff>35536</xdr:rowOff>
    </xdr:from>
    <xdr:ext cx="714375" cy="695067"/>
    <xdr:pic>
      <xdr:nvPicPr>
        <xdr:cNvPr id="333" name="Picture 332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8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2053" y="3522045"/>
          <a:ext cx="714375" cy="695067"/>
        </a:xfrm>
        <a:prstGeom prst="rect">
          <a:avLst/>
        </a:prstGeom>
      </xdr:spPr>
    </xdr:pic>
    <xdr:clientData/>
  </xdr:oneCellAnchor>
  <xdr:oneCellAnchor>
    <xdr:from>
      <xdr:col>36</xdr:col>
      <xdr:colOff>26959</xdr:colOff>
      <xdr:row>4</xdr:row>
      <xdr:rowOff>26959</xdr:rowOff>
    </xdr:from>
    <xdr:ext cx="714375" cy="714375"/>
    <xdr:pic>
      <xdr:nvPicPr>
        <xdr:cNvPr id="343" name="Picture 342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8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4954" y="1222077"/>
          <a:ext cx="714375" cy="714375"/>
        </a:xfrm>
        <a:prstGeom prst="rect">
          <a:avLst/>
        </a:prstGeom>
      </xdr:spPr>
    </xdr:pic>
    <xdr:clientData/>
  </xdr:oneCellAnchor>
  <xdr:oneCellAnchor>
    <xdr:from>
      <xdr:col>36</xdr:col>
      <xdr:colOff>56229</xdr:colOff>
      <xdr:row>5</xdr:row>
      <xdr:rowOff>26600</xdr:rowOff>
    </xdr:from>
    <xdr:ext cx="655835" cy="714375"/>
    <xdr:pic>
      <xdr:nvPicPr>
        <xdr:cNvPr id="344" name="Picture 343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8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64224" y="1985515"/>
          <a:ext cx="655835" cy="714375"/>
        </a:xfrm>
        <a:prstGeom prst="rect">
          <a:avLst/>
        </a:prstGeom>
      </xdr:spPr>
    </xdr:pic>
    <xdr:clientData/>
  </xdr:oneCellAnchor>
  <xdr:oneCellAnchor>
    <xdr:from>
      <xdr:col>36</xdr:col>
      <xdr:colOff>81033</xdr:colOff>
      <xdr:row>6</xdr:row>
      <xdr:rowOff>26241</xdr:rowOff>
    </xdr:from>
    <xdr:ext cx="606226" cy="714375"/>
    <xdr:pic>
      <xdr:nvPicPr>
        <xdr:cNvPr id="345" name="Picture 344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8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9028" y="2748953"/>
          <a:ext cx="606226" cy="714375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4</xdr:row>
      <xdr:rowOff>60656</xdr:rowOff>
    </xdr:from>
    <xdr:ext cx="714375" cy="646981"/>
    <xdr:pic>
      <xdr:nvPicPr>
        <xdr:cNvPr id="356" name="Picture 355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8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1255774"/>
          <a:ext cx="714375" cy="646981"/>
        </a:xfrm>
        <a:prstGeom prst="rect">
          <a:avLst/>
        </a:prstGeom>
      </xdr:spPr>
    </xdr:pic>
    <xdr:clientData/>
  </xdr:oneCellAnchor>
  <xdr:oneCellAnchor>
    <xdr:from>
      <xdr:col>41</xdr:col>
      <xdr:colOff>84506</xdr:colOff>
      <xdr:row>6</xdr:row>
      <xdr:rowOff>26600</xdr:rowOff>
    </xdr:from>
    <xdr:ext cx="599281" cy="714375"/>
    <xdr:pic>
      <xdr:nvPicPr>
        <xdr:cNvPr id="357" name="Picture 356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8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5402" y="1985515"/>
          <a:ext cx="599281" cy="714375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7</xdr:row>
      <xdr:rowOff>52870</xdr:rowOff>
    </xdr:from>
    <xdr:ext cx="714375" cy="661117"/>
    <xdr:pic>
      <xdr:nvPicPr>
        <xdr:cNvPr id="358" name="Picture 357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0000000-0008-0000-08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2775582"/>
          <a:ext cx="714375" cy="661117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8</xdr:row>
      <xdr:rowOff>41536</xdr:rowOff>
    </xdr:from>
    <xdr:ext cx="714375" cy="683067"/>
    <xdr:pic>
      <xdr:nvPicPr>
        <xdr:cNvPr id="359" name="Picture 358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8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3528045"/>
          <a:ext cx="714375" cy="683067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10</xdr:row>
      <xdr:rowOff>86425</xdr:rowOff>
    </xdr:from>
    <xdr:ext cx="714375" cy="592569"/>
    <xdr:pic>
      <xdr:nvPicPr>
        <xdr:cNvPr id="360" name="Picture 359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0000000-0008-0000-08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4336732"/>
          <a:ext cx="714375" cy="592569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11</xdr:row>
      <xdr:rowOff>27136</xdr:rowOff>
    </xdr:from>
    <xdr:ext cx="714375" cy="710428"/>
    <xdr:pic>
      <xdr:nvPicPr>
        <xdr:cNvPr id="361" name="Picture 360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8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5041240"/>
          <a:ext cx="714375" cy="710428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12</xdr:row>
      <xdr:rowOff>64491</xdr:rowOff>
    </xdr:from>
    <xdr:ext cx="714375" cy="635000"/>
    <xdr:pic>
      <xdr:nvPicPr>
        <xdr:cNvPr id="362" name="Picture 361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8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5842392"/>
          <a:ext cx="714375" cy="635000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4</xdr:row>
      <xdr:rowOff>26959</xdr:rowOff>
    </xdr:from>
    <xdr:ext cx="714375" cy="714375"/>
    <xdr:pic>
      <xdr:nvPicPr>
        <xdr:cNvPr id="369" name="Picture 368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id="{00000000-0008-0000-08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1222077"/>
          <a:ext cx="714375" cy="714375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5</xdr:row>
      <xdr:rowOff>26600</xdr:rowOff>
    </xdr:from>
    <xdr:ext cx="714375" cy="714375"/>
    <xdr:pic>
      <xdr:nvPicPr>
        <xdr:cNvPr id="370" name="Picture 369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8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1985515"/>
          <a:ext cx="714375" cy="714375"/>
        </a:xfrm>
        <a:prstGeom prst="rect">
          <a:avLst/>
        </a:prstGeom>
      </xdr:spPr>
    </xdr:pic>
    <xdr:clientData/>
  </xdr:oneCellAnchor>
  <xdr:oneCellAnchor>
    <xdr:from>
      <xdr:col>46</xdr:col>
      <xdr:colOff>250697</xdr:colOff>
      <xdr:row>6</xdr:row>
      <xdr:rowOff>26241</xdr:rowOff>
    </xdr:from>
    <xdr:ext cx="266898" cy="714375"/>
    <xdr:pic>
      <xdr:nvPicPr>
        <xdr:cNvPr id="371" name="Picture 370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id="{00000000-0008-0000-08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4494" y="2748953"/>
          <a:ext cx="266898" cy="714375"/>
        </a:xfrm>
        <a:prstGeom prst="rect">
          <a:avLst/>
        </a:prstGeom>
      </xdr:spPr>
    </xdr:pic>
    <xdr:clientData/>
  </xdr:oneCellAnchor>
  <xdr:oneCellAnchor>
    <xdr:from>
      <xdr:col>46</xdr:col>
      <xdr:colOff>336521</xdr:colOff>
      <xdr:row>7</xdr:row>
      <xdr:rowOff>25882</xdr:rowOff>
    </xdr:from>
    <xdr:ext cx="95250" cy="714375"/>
    <xdr:pic>
      <xdr:nvPicPr>
        <xdr:cNvPr id="372" name="Picture 371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00000000-0008-0000-08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90318" y="3512391"/>
          <a:ext cx="95250" cy="714375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8</xdr:row>
      <xdr:rowOff>25522</xdr:rowOff>
    </xdr:from>
    <xdr:ext cx="714375" cy="714375"/>
    <xdr:pic>
      <xdr:nvPicPr>
        <xdr:cNvPr id="373" name="Picture 372">
          <a:hlinkClick xmlns:r="http://schemas.openxmlformats.org/officeDocument/2006/relationships" r:id="rId160"/>
          <a:extLst>
            <a:ext uri="{FF2B5EF4-FFF2-40B4-BE49-F238E27FC236}">
              <a16:creationId xmlns:a16="http://schemas.microsoft.com/office/drawing/2014/main" id="{00000000-0008-0000-08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4275829"/>
          <a:ext cx="714375" cy="714375"/>
        </a:xfrm>
        <a:prstGeom prst="rect">
          <a:avLst/>
        </a:prstGeom>
      </xdr:spPr>
    </xdr:pic>
    <xdr:clientData/>
  </xdr:oneCellAnchor>
  <xdr:oneCellAnchor>
    <xdr:from>
      <xdr:col>56</xdr:col>
      <xdr:colOff>26959</xdr:colOff>
      <xdr:row>12</xdr:row>
      <xdr:rowOff>25163</xdr:rowOff>
    </xdr:from>
    <xdr:ext cx="714375" cy="714375"/>
    <xdr:pic>
      <xdr:nvPicPr>
        <xdr:cNvPr id="374" name="Picture 373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id="{00000000-0008-0000-08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5039267"/>
          <a:ext cx="714375" cy="714375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11</xdr:row>
      <xdr:rowOff>165199</xdr:rowOff>
    </xdr:from>
    <xdr:ext cx="714375" cy="433585"/>
    <xdr:pic>
      <xdr:nvPicPr>
        <xdr:cNvPr id="375" name="Picture 374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8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5943100"/>
          <a:ext cx="714375" cy="433585"/>
        </a:xfrm>
        <a:prstGeom prst="rect">
          <a:avLst/>
        </a:prstGeom>
      </xdr:spPr>
    </xdr:pic>
    <xdr:clientData/>
  </xdr:oneCellAnchor>
  <xdr:oneCellAnchor>
    <xdr:from>
      <xdr:col>46</xdr:col>
      <xdr:colOff>27951</xdr:colOff>
      <xdr:row>10</xdr:row>
      <xdr:rowOff>24445</xdr:rowOff>
    </xdr:from>
    <xdr:ext cx="712390" cy="714375"/>
    <xdr:pic>
      <xdr:nvPicPr>
        <xdr:cNvPr id="376" name="Picture 375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id="{00000000-0008-0000-08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1748" y="6566143"/>
          <a:ext cx="712390" cy="714375"/>
        </a:xfrm>
        <a:prstGeom prst="rect">
          <a:avLst/>
        </a:prstGeom>
      </xdr:spPr>
    </xdr:pic>
    <xdr:clientData/>
  </xdr:oneCellAnchor>
  <xdr:oneCellAnchor>
    <xdr:from>
      <xdr:col>51</xdr:col>
      <xdr:colOff>66150</xdr:colOff>
      <xdr:row>4</xdr:row>
      <xdr:rowOff>26959</xdr:rowOff>
    </xdr:from>
    <xdr:ext cx="635992" cy="714375"/>
    <xdr:pic>
      <xdr:nvPicPr>
        <xdr:cNvPr id="382" name="Picture 381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id="{00000000-0008-0000-08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2848" y="1222077"/>
          <a:ext cx="635992" cy="714375"/>
        </a:xfrm>
        <a:prstGeom prst="rect">
          <a:avLst/>
        </a:prstGeom>
      </xdr:spPr>
    </xdr:pic>
    <xdr:clientData/>
  </xdr:oneCellAnchor>
  <xdr:oneCellAnchor>
    <xdr:from>
      <xdr:col>51</xdr:col>
      <xdr:colOff>251689</xdr:colOff>
      <xdr:row>5</xdr:row>
      <xdr:rowOff>26600</xdr:rowOff>
    </xdr:from>
    <xdr:ext cx="264914" cy="714375"/>
    <xdr:pic>
      <xdr:nvPicPr>
        <xdr:cNvPr id="383" name="Picture 382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8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78387" y="1985515"/>
          <a:ext cx="264914" cy="714375"/>
        </a:xfrm>
        <a:prstGeom prst="rect">
          <a:avLst/>
        </a:prstGeom>
      </xdr:spPr>
    </xdr:pic>
    <xdr:clientData/>
  </xdr:oneCellAnchor>
  <xdr:oneCellAnchor>
    <xdr:from>
      <xdr:col>51</xdr:col>
      <xdr:colOff>259627</xdr:colOff>
      <xdr:row>6</xdr:row>
      <xdr:rowOff>26241</xdr:rowOff>
    </xdr:from>
    <xdr:ext cx="249039" cy="714375"/>
    <xdr:pic>
      <xdr:nvPicPr>
        <xdr:cNvPr id="384" name="Picture 383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id="{00000000-0008-0000-08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6325" y="2748953"/>
          <a:ext cx="249039" cy="714375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7</xdr:row>
      <xdr:rowOff>53780</xdr:rowOff>
    </xdr:from>
    <xdr:ext cx="714375" cy="658578"/>
    <xdr:pic>
      <xdr:nvPicPr>
        <xdr:cNvPr id="385" name="Picture 384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8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3540289"/>
          <a:ext cx="714375" cy="658578"/>
        </a:xfrm>
        <a:prstGeom prst="rect">
          <a:avLst/>
        </a:prstGeom>
      </xdr:spPr>
    </xdr:pic>
    <xdr:clientData/>
  </xdr:oneCellAnchor>
  <xdr:oneCellAnchor>
    <xdr:from>
      <xdr:col>51</xdr:col>
      <xdr:colOff>161896</xdr:colOff>
      <xdr:row>8</xdr:row>
      <xdr:rowOff>25522</xdr:rowOff>
    </xdr:from>
    <xdr:ext cx="444500" cy="714375"/>
    <xdr:pic>
      <xdr:nvPicPr>
        <xdr:cNvPr id="386" name="Picture 385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0000000-0008-0000-08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8594" y="4275829"/>
          <a:ext cx="444500" cy="714375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9</xdr:row>
      <xdr:rowOff>154643</xdr:rowOff>
    </xdr:from>
    <xdr:ext cx="714375" cy="455414"/>
    <xdr:pic>
      <xdr:nvPicPr>
        <xdr:cNvPr id="387" name="Picture 386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id="{00000000-0008-0000-08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5168747"/>
          <a:ext cx="714375" cy="455414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10</xdr:row>
      <xdr:rowOff>158943</xdr:rowOff>
    </xdr:from>
    <xdr:ext cx="714375" cy="446097"/>
    <xdr:pic>
      <xdr:nvPicPr>
        <xdr:cNvPr id="388" name="Picture 387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id="{00000000-0008-0000-08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5936844"/>
          <a:ext cx="714375" cy="446097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11</xdr:row>
      <xdr:rowOff>144167</xdr:rowOff>
    </xdr:from>
    <xdr:ext cx="714375" cy="474930"/>
    <xdr:pic>
      <xdr:nvPicPr>
        <xdr:cNvPr id="389" name="Picture 388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id="{00000000-0008-0000-08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6685865"/>
          <a:ext cx="714375" cy="474930"/>
        </a:xfrm>
        <a:prstGeom prst="rect">
          <a:avLst/>
        </a:prstGeom>
      </xdr:spPr>
    </xdr:pic>
    <xdr:clientData/>
  </xdr:oneCellAnchor>
  <xdr:oneCellAnchor>
    <xdr:from>
      <xdr:col>56</xdr:col>
      <xdr:colOff>23309</xdr:colOff>
      <xdr:row>7</xdr:row>
      <xdr:rowOff>104181</xdr:rowOff>
    </xdr:from>
    <xdr:ext cx="714375" cy="572137"/>
    <xdr:pic>
      <xdr:nvPicPr>
        <xdr:cNvPr id="404" name="Picture 403">
          <a:hlinkClick xmlns:r="http://schemas.openxmlformats.org/officeDocument/2006/relationships" r:id="rId184"/>
          <a:extLst>
            <a:ext uri="{FF2B5EF4-FFF2-40B4-BE49-F238E27FC236}">
              <a16:creationId xmlns:a16="http://schemas.microsoft.com/office/drawing/2014/main" id="{00000000-0008-0000-08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5502" y="2826893"/>
          <a:ext cx="714375" cy="572137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9</xdr:row>
      <xdr:rowOff>24445</xdr:rowOff>
    </xdr:from>
    <xdr:ext cx="714375" cy="714375"/>
    <xdr:pic>
      <xdr:nvPicPr>
        <xdr:cNvPr id="407" name="Picture 406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8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7329940"/>
          <a:ext cx="714375" cy="714375"/>
        </a:xfrm>
        <a:prstGeom prst="rect">
          <a:avLst/>
        </a:prstGeom>
      </xdr:spPr>
    </xdr:pic>
    <xdr:clientData/>
  </xdr:oneCellAnchor>
  <xdr:oneCellAnchor>
    <xdr:from>
      <xdr:col>26</xdr:col>
      <xdr:colOff>117248</xdr:colOff>
      <xdr:row>13</xdr:row>
      <xdr:rowOff>25522</xdr:rowOff>
    </xdr:from>
    <xdr:ext cx="533796" cy="714375"/>
    <xdr:pic>
      <xdr:nvPicPr>
        <xdr:cNvPr id="408" name="Picture 407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8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9441" y="5039626"/>
          <a:ext cx="533796" cy="714375"/>
        </a:xfrm>
        <a:prstGeom prst="rect">
          <a:avLst/>
        </a:prstGeom>
      </xdr:spPr>
    </xdr:pic>
    <xdr:clientData/>
  </xdr:oneCellAnchor>
  <xdr:oneCellAnchor>
    <xdr:from>
      <xdr:col>56</xdr:col>
      <xdr:colOff>51585</xdr:colOff>
      <xdr:row>8</xdr:row>
      <xdr:rowOff>26393</xdr:rowOff>
    </xdr:from>
    <xdr:ext cx="699491" cy="714375"/>
    <xdr:pic>
      <xdr:nvPicPr>
        <xdr:cNvPr id="409" name="Picture 408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8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3778" y="7331888"/>
          <a:ext cx="699491" cy="714375"/>
        </a:xfrm>
        <a:prstGeom prst="rect">
          <a:avLst/>
        </a:prstGeom>
      </xdr:spPr>
    </xdr:pic>
    <xdr:clientData/>
  </xdr:oneCellAnchor>
  <xdr:oneCellAnchor>
    <xdr:from>
      <xdr:col>56</xdr:col>
      <xdr:colOff>168515</xdr:colOff>
      <xdr:row>9</xdr:row>
      <xdr:rowOff>25882</xdr:rowOff>
    </xdr:from>
    <xdr:ext cx="485179" cy="714375"/>
    <xdr:pic>
      <xdr:nvPicPr>
        <xdr:cNvPr id="410" name="Picture 409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8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708" y="4276189"/>
          <a:ext cx="485179" cy="714375"/>
        </a:xfrm>
        <a:prstGeom prst="rect">
          <a:avLst/>
        </a:prstGeom>
      </xdr:spPr>
    </xdr:pic>
    <xdr:clientData/>
  </xdr:oneCellAnchor>
  <xdr:oneCellAnchor>
    <xdr:from>
      <xdr:col>56</xdr:col>
      <xdr:colOff>71783</xdr:colOff>
      <xdr:row>10</xdr:row>
      <xdr:rowOff>30385</xdr:rowOff>
    </xdr:from>
    <xdr:ext cx="648890" cy="714375"/>
    <xdr:pic>
      <xdr:nvPicPr>
        <xdr:cNvPr id="411" name="Picture 410">
          <a:hlinkClick xmlns:r="http://schemas.openxmlformats.org/officeDocument/2006/relationships" r:id="rId192"/>
          <a:extLst>
            <a:ext uri="{FF2B5EF4-FFF2-40B4-BE49-F238E27FC236}">
              <a16:creationId xmlns:a16="http://schemas.microsoft.com/office/drawing/2014/main" id="{00000000-0008-0000-08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3976" y="8863475"/>
          <a:ext cx="648890" cy="714375"/>
        </a:xfrm>
        <a:prstGeom prst="rect">
          <a:avLst/>
        </a:prstGeom>
      </xdr:spPr>
    </xdr:pic>
    <xdr:clientData/>
  </xdr:oneCellAnchor>
  <xdr:oneCellAnchor>
    <xdr:from>
      <xdr:col>56</xdr:col>
      <xdr:colOff>188189</xdr:colOff>
      <xdr:row>11</xdr:row>
      <xdr:rowOff>24804</xdr:rowOff>
    </xdr:from>
    <xdr:ext cx="391914" cy="714375"/>
    <xdr:pic>
      <xdr:nvPicPr>
        <xdr:cNvPr id="412" name="Picture 411">
          <a:hlinkClick xmlns:r="http://schemas.openxmlformats.org/officeDocument/2006/relationships" r:id="rId194"/>
          <a:extLst>
            <a:ext uri="{FF2B5EF4-FFF2-40B4-BE49-F238E27FC236}">
              <a16:creationId xmlns:a16="http://schemas.microsoft.com/office/drawing/2014/main" id="{00000000-0008-0000-08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0382" y="5802705"/>
          <a:ext cx="391914" cy="714375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13</xdr:row>
      <xdr:rowOff>31424</xdr:rowOff>
    </xdr:from>
    <xdr:ext cx="424656" cy="714375"/>
    <xdr:pic>
      <xdr:nvPicPr>
        <xdr:cNvPr id="117" name="Picture 116">
          <a:hlinkClick xmlns:r="http://schemas.openxmlformats.org/officeDocument/2006/relationships" r:id="rId195"/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7327574"/>
          <a:ext cx="424656" cy="714375"/>
        </a:xfrm>
        <a:prstGeom prst="rect">
          <a:avLst/>
        </a:prstGeom>
      </xdr:spPr>
    </xdr:pic>
    <xdr:clientData/>
  </xdr:oneCellAnchor>
  <xdr:twoCellAnchor editAs="oneCell">
    <xdr:from>
      <xdr:col>1</xdr:col>
      <xdr:colOff>191294</xdr:colOff>
      <xdr:row>4</xdr:row>
      <xdr:rowOff>28576</xdr:rowOff>
    </xdr:from>
    <xdr:to>
      <xdr:col>1</xdr:col>
      <xdr:colOff>593129</xdr:colOff>
      <xdr:row>4</xdr:row>
      <xdr:rowOff>742951</xdr:rowOff>
    </xdr:to>
    <xdr:pic>
      <xdr:nvPicPr>
        <xdr:cNvPr id="118" name="Picture 117">
          <a:hlinkClick xmlns:r="http://schemas.openxmlformats.org/officeDocument/2006/relationships" r:id="rId196"/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19" y="1228726"/>
          <a:ext cx="401835" cy="714375"/>
        </a:xfrm>
        <a:prstGeom prst="rect">
          <a:avLst/>
        </a:prstGeom>
      </xdr:spPr>
    </xdr:pic>
    <xdr:clientData/>
  </xdr:twoCellAnchor>
  <xdr:oneCellAnchor>
    <xdr:from>
      <xdr:col>6</xdr:col>
      <xdr:colOff>175940</xdr:colOff>
      <xdr:row>11</xdr:row>
      <xdr:rowOff>30261</xdr:rowOff>
    </xdr:from>
    <xdr:ext cx="379936" cy="714240"/>
    <xdr:pic>
      <xdr:nvPicPr>
        <xdr:cNvPr id="119" name="Picture 118">
          <a:hlinkClick xmlns:r="http://schemas.openxmlformats.org/officeDocument/2006/relationships" r:id="rId198"/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2640" y="8850411"/>
          <a:ext cx="379936" cy="714240"/>
        </a:xfrm>
        <a:prstGeom prst="rect">
          <a:avLst/>
        </a:prstGeom>
      </xdr:spPr>
    </xdr:pic>
    <xdr:clientData/>
  </xdr:oneCellAnchor>
  <xdr:oneCellAnchor>
    <xdr:from>
      <xdr:col>31</xdr:col>
      <xdr:colOff>122428</xdr:colOff>
      <xdr:row>8</xdr:row>
      <xdr:rowOff>29274</xdr:rowOff>
    </xdr:from>
    <xdr:ext cx="523437" cy="709745"/>
    <xdr:pic>
      <xdr:nvPicPr>
        <xdr:cNvPr id="120" name="Picture 119">
          <a:hlinkClick xmlns:r="http://schemas.openxmlformats.org/officeDocument/2006/relationships" r:id="rId200"/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82503" y="4277424"/>
          <a:ext cx="523437" cy="709745"/>
        </a:xfrm>
        <a:prstGeom prst="rect">
          <a:avLst/>
        </a:prstGeom>
      </xdr:spPr>
    </xdr:pic>
    <xdr:clientData/>
  </xdr:oneCellAnchor>
  <xdr:oneCellAnchor>
    <xdr:from>
      <xdr:col>31</xdr:col>
      <xdr:colOff>96256</xdr:colOff>
      <xdr:row>9</xdr:row>
      <xdr:rowOff>61781</xdr:rowOff>
    </xdr:from>
    <xdr:ext cx="575781" cy="644731"/>
    <xdr:pic>
      <xdr:nvPicPr>
        <xdr:cNvPr id="121" name="Picture 120">
          <a:hlinkClick xmlns:r="http://schemas.openxmlformats.org/officeDocument/2006/relationships" r:id="rId202"/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6331" y="5071931"/>
          <a:ext cx="575781" cy="644731"/>
        </a:xfrm>
        <a:prstGeom prst="rect">
          <a:avLst/>
        </a:prstGeom>
      </xdr:spPr>
    </xdr:pic>
    <xdr:clientData/>
  </xdr:oneCellAnchor>
  <xdr:oneCellAnchor>
    <xdr:from>
      <xdr:col>1</xdr:col>
      <xdr:colOff>143272</xdr:colOff>
      <xdr:row>16</xdr:row>
      <xdr:rowOff>28576</xdr:rowOff>
    </xdr:from>
    <xdr:ext cx="414734" cy="714375"/>
    <xdr:pic>
      <xdr:nvPicPr>
        <xdr:cNvPr id="122" name="Picture 121">
          <a:hlinkClick xmlns:r="http://schemas.openxmlformats.org/officeDocument/2006/relationships" r:id="rId204"/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297" y="9610726"/>
          <a:ext cx="414734" cy="714375"/>
        </a:xfrm>
        <a:prstGeom prst="rect">
          <a:avLst/>
        </a:prstGeom>
      </xdr:spPr>
    </xdr:pic>
    <xdr:clientData/>
  </xdr:oneCellAnchor>
  <xdr:oneCellAnchor>
    <xdr:from>
      <xdr:col>21</xdr:col>
      <xdr:colOff>26959</xdr:colOff>
      <xdr:row>7</xdr:row>
      <xdr:rowOff>123964</xdr:rowOff>
    </xdr:from>
    <xdr:ext cx="714375" cy="536899"/>
    <xdr:pic>
      <xdr:nvPicPr>
        <xdr:cNvPr id="123" name="Picture 122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733684" y="3610114"/>
          <a:ext cx="714375" cy="536899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5</xdr:row>
      <xdr:rowOff>60656</xdr:rowOff>
    </xdr:from>
    <xdr:ext cx="714374" cy="646981"/>
    <xdr:pic>
      <xdr:nvPicPr>
        <xdr:cNvPr id="124" name="Picture 123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240384" y="2022806"/>
          <a:ext cx="714374" cy="646981"/>
        </a:xfrm>
        <a:prstGeom prst="rect">
          <a:avLst/>
        </a:prstGeom>
      </xdr:spPr>
    </xdr:pic>
    <xdr:clientData/>
  </xdr:oneCellAnchor>
  <xdr:twoCellAnchor editAs="oneCell">
    <xdr:from>
      <xdr:col>11</xdr:col>
      <xdr:colOff>28575</xdr:colOff>
      <xdr:row>7</xdr:row>
      <xdr:rowOff>28575</xdr:rowOff>
    </xdr:from>
    <xdr:to>
      <xdr:col>11</xdr:col>
      <xdr:colOff>733425</xdr:colOff>
      <xdr:row>7</xdr:row>
      <xdr:rowOff>733425</xdr:rowOff>
    </xdr:to>
    <xdr:pic>
      <xdr:nvPicPr>
        <xdr:cNvPr id="28" name="Picture 27">
          <a:hlinkClick xmlns:r="http://schemas.openxmlformats.org/officeDocument/2006/relationships" r:id="rId208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0" y="3514725"/>
          <a:ext cx="704850" cy="704850"/>
        </a:xfrm>
        <a:prstGeom prst="rect">
          <a:avLst/>
        </a:prstGeom>
      </xdr:spPr>
    </xdr:pic>
    <xdr:clientData/>
  </xdr:twoCellAnchor>
  <xdr:oneCellAnchor>
    <xdr:from>
      <xdr:col>26</xdr:col>
      <xdr:colOff>182823</xdr:colOff>
      <xdr:row>6</xdr:row>
      <xdr:rowOff>57343</xdr:rowOff>
    </xdr:from>
    <xdr:ext cx="402647" cy="667987"/>
    <xdr:pic>
      <xdr:nvPicPr>
        <xdr:cNvPr id="129" name="Picture 128">
          <a:hlinkClick xmlns:r="http://schemas.openxmlformats.org/officeDocument/2006/relationships" r:id="rId210"/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766223" y="2781493"/>
          <a:ext cx="402647" cy="667987"/>
        </a:xfrm>
        <a:prstGeom prst="rect">
          <a:avLst/>
        </a:prstGeom>
      </xdr:spPr>
    </xdr:pic>
    <xdr:clientData/>
  </xdr:oneCellAnchor>
  <xdr:oneCellAnchor>
    <xdr:from>
      <xdr:col>26</xdr:col>
      <xdr:colOff>116291</xdr:colOff>
      <xdr:row>10</xdr:row>
      <xdr:rowOff>80309</xdr:rowOff>
    </xdr:from>
    <xdr:ext cx="478561" cy="624211"/>
    <xdr:pic>
      <xdr:nvPicPr>
        <xdr:cNvPr id="126" name="Picture 125">
          <a:hlinkClick xmlns:r="http://schemas.openxmlformats.org/officeDocument/2006/relationships" r:id="rId212"/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9691" y="5852459"/>
          <a:ext cx="478561" cy="624211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9</xdr:row>
      <xdr:rowOff>41536</xdr:rowOff>
    </xdr:from>
    <xdr:ext cx="714374" cy="683067"/>
    <xdr:pic>
      <xdr:nvPicPr>
        <xdr:cNvPr id="127" name="Picture 126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0384" y="5051686"/>
          <a:ext cx="714374" cy="683067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520744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540059</xdr:colOff>
      <xdr:row>0</xdr:row>
      <xdr:rowOff>18439</xdr:rowOff>
    </xdr:from>
    <xdr:to>
      <xdr:col>1</xdr:col>
      <xdr:colOff>1063934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1072791</xdr:colOff>
      <xdr:row>0</xdr:row>
      <xdr:rowOff>18439</xdr:rowOff>
    </xdr:from>
    <xdr:to>
      <xdr:col>2</xdr:col>
      <xdr:colOff>120291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7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7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4</xdr:col>
      <xdr:colOff>463191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10</xdr:row>
          <xdr:rowOff>85725</xdr:rowOff>
        </xdr:from>
        <xdr:to>
          <xdr:col>7</xdr:col>
          <xdr:colOff>657225</xdr:colOff>
          <xdr:row>11</xdr:row>
          <xdr:rowOff>123825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9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6</xdr:row>
          <xdr:rowOff>19050</xdr:rowOff>
        </xdr:from>
        <xdr:to>
          <xdr:col>9</xdr:col>
          <xdr:colOff>942975</xdr:colOff>
          <xdr:row>6</xdr:row>
          <xdr:rowOff>190500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9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7</xdr:row>
          <xdr:rowOff>19050</xdr:rowOff>
        </xdr:from>
        <xdr:to>
          <xdr:col>9</xdr:col>
          <xdr:colOff>942975</xdr:colOff>
          <xdr:row>7</xdr:row>
          <xdr:rowOff>190500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9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</xdr:row>
          <xdr:rowOff>19050</xdr:rowOff>
        </xdr:from>
        <xdr:to>
          <xdr:col>8</xdr:col>
          <xdr:colOff>742950</xdr:colOff>
          <xdr:row>7</xdr:row>
          <xdr:rowOff>190500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9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1176608</xdr:colOff>
      <xdr:row>0</xdr:row>
      <xdr:rowOff>18439</xdr:rowOff>
    </xdr:from>
    <xdr:to>
      <xdr:col>2</xdr:col>
      <xdr:colOff>1700483</xdr:colOff>
      <xdr:row>0</xdr:row>
      <xdr:rowOff>542314</xdr:rowOff>
    </xdr:to>
    <xdr:pic>
      <xdr:nvPicPr>
        <xdr:cNvPr id="13" name="Pictur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08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1710273</xdr:colOff>
      <xdr:row>0</xdr:row>
      <xdr:rowOff>18439</xdr:rowOff>
    </xdr:from>
    <xdr:to>
      <xdr:col>2</xdr:col>
      <xdr:colOff>2234148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773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664573</xdr:colOff>
      <xdr:row>0</xdr:row>
      <xdr:rowOff>552450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1323" cy="5524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5" name="Pictur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16" name="Pictur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9" name="Pictur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513940</xdr:colOff>
      <xdr:row>0</xdr:row>
      <xdr:rowOff>18439</xdr:rowOff>
    </xdr:from>
    <xdr:to>
      <xdr:col>2</xdr:col>
      <xdr:colOff>425494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444809</xdr:colOff>
      <xdr:row>0</xdr:row>
      <xdr:rowOff>18439</xdr:rowOff>
    </xdr:from>
    <xdr:to>
      <xdr:col>2</xdr:col>
      <xdr:colOff>968684</xdr:colOff>
      <xdr:row>0</xdr:row>
      <xdr:rowOff>542314</xdr:rowOff>
    </xdr:to>
    <xdr:pic>
      <xdr:nvPicPr>
        <xdr:cNvPr id="15" name="Pictur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977541</xdr:colOff>
      <xdr:row>0</xdr:row>
      <xdr:rowOff>18439</xdr:rowOff>
    </xdr:from>
    <xdr:to>
      <xdr:col>3</xdr:col>
      <xdr:colOff>25041</xdr:colOff>
      <xdr:row>0</xdr:row>
      <xdr:rowOff>542314</xdr:rowOff>
    </xdr:to>
    <xdr:pic>
      <xdr:nvPicPr>
        <xdr:cNvPr id="16" name="Pictur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468630</xdr:colOff>
      <xdr:row>0</xdr:row>
      <xdr:rowOff>552450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  <xdr:twoCellAnchor editAs="oneCell">
    <xdr:from>
      <xdr:col>14</xdr:col>
      <xdr:colOff>8164</xdr:colOff>
      <xdr:row>6</xdr:row>
      <xdr:rowOff>2721</xdr:rowOff>
    </xdr:from>
    <xdr:to>
      <xdr:col>16</xdr:col>
      <xdr:colOff>417739</xdr:colOff>
      <xdr:row>23</xdr:row>
      <xdr:rowOff>189139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1431471"/>
          <a:ext cx="1628775" cy="3424918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29</xdr:row>
      <xdr:rowOff>180975</xdr:rowOff>
    </xdr:from>
    <xdr:to>
      <xdr:col>16</xdr:col>
      <xdr:colOff>412296</xdr:colOff>
      <xdr:row>47</xdr:row>
      <xdr:rowOff>186418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5991225"/>
          <a:ext cx="1623332" cy="3453493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53</xdr:row>
      <xdr:rowOff>207150</xdr:rowOff>
    </xdr:from>
    <xdr:to>
      <xdr:col>16</xdr:col>
      <xdr:colOff>421821</xdr:colOff>
      <xdr:row>72</xdr:row>
      <xdr:rowOff>3043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10608450"/>
          <a:ext cx="1632857" cy="3434443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78</xdr:row>
      <xdr:rowOff>4725</xdr:rowOff>
    </xdr:from>
    <xdr:to>
      <xdr:col>16</xdr:col>
      <xdr:colOff>409575</xdr:colOff>
      <xdr:row>96</xdr:row>
      <xdr:rowOff>10168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15206625"/>
          <a:ext cx="1620611" cy="3434443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101</xdr:row>
      <xdr:rowOff>207793</xdr:rowOff>
    </xdr:from>
    <xdr:to>
      <xdr:col>16</xdr:col>
      <xdr:colOff>409575</xdr:colOff>
      <xdr:row>119</xdr:row>
      <xdr:rowOff>188743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19791193"/>
          <a:ext cx="1620611" cy="3429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126</xdr:row>
      <xdr:rowOff>186343</xdr:rowOff>
    </xdr:from>
    <xdr:to>
      <xdr:col>16</xdr:col>
      <xdr:colOff>409575</xdr:colOff>
      <xdr:row>144</xdr:row>
      <xdr:rowOff>186343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24570343"/>
          <a:ext cx="1620611" cy="3429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151</xdr:row>
      <xdr:rowOff>2968</xdr:rowOff>
    </xdr:from>
    <xdr:to>
      <xdr:col>16</xdr:col>
      <xdr:colOff>412296</xdr:colOff>
      <xdr:row>169</xdr:row>
      <xdr:rowOff>2968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29168518"/>
          <a:ext cx="1623332" cy="3429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174</xdr:row>
      <xdr:rowOff>208758</xdr:rowOff>
    </xdr:from>
    <xdr:to>
      <xdr:col>16</xdr:col>
      <xdr:colOff>355146</xdr:colOff>
      <xdr:row>193</xdr:row>
      <xdr:rowOff>4651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33755808"/>
          <a:ext cx="1566182" cy="3434443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2</xdr:col>
      <xdr:colOff>749344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768659</xdr:colOff>
      <xdr:row>0</xdr:row>
      <xdr:rowOff>18439</xdr:rowOff>
    </xdr:from>
    <xdr:to>
      <xdr:col>2</xdr:col>
      <xdr:colOff>1292534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63141</xdr:colOff>
      <xdr:row>0</xdr:row>
      <xdr:rowOff>18439</xdr:rowOff>
    </xdr:from>
    <xdr:to>
      <xdr:col>3</xdr:col>
      <xdr:colOff>587016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537416</xdr:colOff>
      <xdr:row>0</xdr:row>
      <xdr:rowOff>18439</xdr:rowOff>
    </xdr:from>
    <xdr:to>
      <xdr:col>12</xdr:col>
      <xdr:colOff>204042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295" y="18439"/>
          <a:ext cx="525577" cy="523875"/>
        </a:xfrm>
        <a:prstGeom prst="rect">
          <a:avLst/>
        </a:prstGeom>
      </xdr:spPr>
    </xdr:pic>
    <xdr:clientData/>
  </xdr:twoCellAnchor>
  <xdr:twoCellAnchor editAs="oneCell">
    <xdr:from>
      <xdr:col>12</xdr:col>
      <xdr:colOff>213831</xdr:colOff>
      <xdr:row>0</xdr:row>
      <xdr:rowOff>18439</xdr:rowOff>
    </xdr:from>
    <xdr:to>
      <xdr:col>12</xdr:col>
      <xdr:colOff>737706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066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28577</xdr:colOff>
      <xdr:row>0</xdr:row>
      <xdr:rowOff>0</xdr:rowOff>
    </xdr:from>
    <xdr:to>
      <xdr:col>11</xdr:col>
      <xdr:colOff>501971</xdr:colOff>
      <xdr:row>0</xdr:row>
      <xdr:rowOff>552450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506" y="0"/>
          <a:ext cx="1332344" cy="5524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0</xdr:row>
          <xdr:rowOff>161925</xdr:rowOff>
        </xdr:from>
        <xdr:to>
          <xdr:col>1</xdr:col>
          <xdr:colOff>0</xdr:colOff>
          <xdr:row>0</xdr:row>
          <xdr:rowOff>428625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A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4</xdr:col>
      <xdr:colOff>44759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53616</xdr:colOff>
      <xdr:row>0</xdr:row>
      <xdr:rowOff>18439</xdr:rowOff>
    </xdr:from>
    <xdr:to>
      <xdr:col>4</xdr:col>
      <xdr:colOff>577491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4</xdr:col>
      <xdr:colOff>149534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158391</xdr:colOff>
      <xdr:row>0</xdr:row>
      <xdr:rowOff>18439</xdr:rowOff>
    </xdr:from>
    <xdr:to>
      <xdr:col>4</xdr:col>
      <xdr:colOff>682266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159059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167916</xdr:colOff>
      <xdr:row>0</xdr:row>
      <xdr:rowOff>18439</xdr:rowOff>
    </xdr:from>
    <xdr:to>
      <xdr:col>2</xdr:col>
      <xdr:colOff>691791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415969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435284</xdr:colOff>
      <xdr:row>0</xdr:row>
      <xdr:rowOff>18439</xdr:rowOff>
    </xdr:from>
    <xdr:to>
      <xdr:col>1</xdr:col>
      <xdr:colOff>959159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968016</xdr:colOff>
      <xdr:row>0</xdr:row>
      <xdr:rowOff>18439</xdr:rowOff>
    </xdr:from>
    <xdr:to>
      <xdr:col>2</xdr:col>
      <xdr:colOff>15516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3</xdr:col>
      <xdr:colOff>425759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434616</xdr:colOff>
      <xdr:row>0</xdr:row>
      <xdr:rowOff>18439</xdr:rowOff>
    </xdr:from>
    <xdr:to>
      <xdr:col>3</xdr:col>
      <xdr:colOff>958491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3</xdr:col>
      <xdr:colOff>435284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444141</xdr:colOff>
      <xdr:row>0</xdr:row>
      <xdr:rowOff>18439</xdr:rowOff>
    </xdr:from>
    <xdr:to>
      <xdr:col>3</xdr:col>
      <xdr:colOff>968016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2</xdr:col>
      <xdr:colOff>749344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768659</xdr:colOff>
      <xdr:row>0</xdr:row>
      <xdr:rowOff>18439</xdr:rowOff>
    </xdr:from>
    <xdr:to>
      <xdr:col>3</xdr:col>
      <xdr:colOff>406709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415566</xdr:colOff>
      <xdr:row>0</xdr:row>
      <xdr:rowOff>18439</xdr:rowOff>
    </xdr:from>
    <xdr:to>
      <xdr:col>3</xdr:col>
      <xdr:colOff>939441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1</xdr:col>
      <xdr:colOff>1130344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1149659</xdr:colOff>
      <xdr:row>0</xdr:row>
      <xdr:rowOff>18439</xdr:rowOff>
    </xdr:from>
    <xdr:to>
      <xdr:col>2</xdr:col>
      <xdr:colOff>197159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206016</xdr:colOff>
      <xdr:row>0</xdr:row>
      <xdr:rowOff>18439</xdr:rowOff>
    </xdr:from>
    <xdr:to>
      <xdr:col>2</xdr:col>
      <xdr:colOff>729891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349559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310791</xdr:colOff>
      <xdr:row>0</xdr:row>
      <xdr:rowOff>18439</xdr:rowOff>
    </xdr:from>
    <xdr:to>
      <xdr:col>2</xdr:col>
      <xdr:colOff>834666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349559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310791</xdr:colOff>
      <xdr:row>0</xdr:row>
      <xdr:rowOff>18439</xdr:rowOff>
    </xdr:from>
    <xdr:to>
      <xdr:col>2</xdr:col>
      <xdr:colOff>834666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5" name="Pictur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6" name="Pictur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3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2</xdr:col>
      <xdr:colOff>463594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482909</xdr:colOff>
      <xdr:row>0</xdr:row>
      <xdr:rowOff>18439</xdr:rowOff>
    </xdr:from>
    <xdr:to>
      <xdr:col>3</xdr:col>
      <xdr:colOff>330509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339366</xdr:colOff>
      <xdr:row>0</xdr:row>
      <xdr:rowOff>18439</xdr:rowOff>
    </xdr:from>
    <xdr:to>
      <xdr:col>3</xdr:col>
      <xdr:colOff>863241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2</xdr:col>
      <xdr:colOff>473119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492434</xdr:colOff>
      <xdr:row>0</xdr:row>
      <xdr:rowOff>18439</xdr:rowOff>
    </xdr:from>
    <xdr:to>
      <xdr:col>3</xdr:col>
      <xdr:colOff>406709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415566</xdr:colOff>
      <xdr:row>0</xdr:row>
      <xdr:rowOff>18439</xdr:rowOff>
    </xdr:from>
    <xdr:to>
      <xdr:col>3</xdr:col>
      <xdr:colOff>939441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2</xdr:col>
      <xdr:colOff>215944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235259</xdr:colOff>
      <xdr:row>0</xdr:row>
      <xdr:rowOff>18439</xdr:rowOff>
    </xdr:from>
    <xdr:to>
      <xdr:col>3</xdr:col>
      <xdr:colOff>149534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158391</xdr:colOff>
      <xdr:row>0</xdr:row>
      <xdr:rowOff>18439</xdr:rowOff>
    </xdr:from>
    <xdr:to>
      <xdr:col>3</xdr:col>
      <xdr:colOff>682266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2</xdr:col>
      <xdr:colOff>215944</xdr:colOff>
      <xdr:row>0</xdr:row>
      <xdr:rowOff>542314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235259</xdr:colOff>
      <xdr:row>0</xdr:row>
      <xdr:rowOff>18439</xdr:rowOff>
    </xdr:from>
    <xdr:to>
      <xdr:col>2</xdr:col>
      <xdr:colOff>759134</xdr:colOff>
      <xdr:row>0</xdr:row>
      <xdr:rowOff>542314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767991</xdr:colOff>
      <xdr:row>0</xdr:row>
      <xdr:rowOff>18439</xdr:rowOff>
    </xdr:from>
    <xdr:to>
      <xdr:col>2</xdr:col>
      <xdr:colOff>1291866</xdr:colOff>
      <xdr:row>0</xdr:row>
      <xdr:rowOff>542314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3</xdr:col>
      <xdr:colOff>492434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501291</xdr:colOff>
      <xdr:row>0</xdr:row>
      <xdr:rowOff>18439</xdr:rowOff>
    </xdr:from>
    <xdr:to>
      <xdr:col>3</xdr:col>
      <xdr:colOff>1025166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56740</xdr:colOff>
      <xdr:row>0</xdr:row>
      <xdr:rowOff>18439</xdr:rowOff>
    </xdr:from>
    <xdr:to>
      <xdr:col>2</xdr:col>
      <xdr:colOff>577894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597209</xdr:colOff>
      <xdr:row>0</xdr:row>
      <xdr:rowOff>18439</xdr:rowOff>
    </xdr:from>
    <xdr:to>
      <xdr:col>2</xdr:col>
      <xdr:colOff>1121084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1129941</xdr:colOff>
      <xdr:row>0</xdr:row>
      <xdr:rowOff>18439</xdr:rowOff>
    </xdr:from>
    <xdr:to>
      <xdr:col>3</xdr:col>
      <xdr:colOff>177441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11430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704440</xdr:colOff>
      <xdr:row>0</xdr:row>
      <xdr:rowOff>18439</xdr:rowOff>
    </xdr:from>
    <xdr:to>
      <xdr:col>2</xdr:col>
      <xdr:colOff>377869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397184</xdr:colOff>
      <xdr:row>0</xdr:row>
      <xdr:rowOff>18439</xdr:rowOff>
    </xdr:from>
    <xdr:to>
      <xdr:col>2</xdr:col>
      <xdr:colOff>921059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929916</xdr:colOff>
      <xdr:row>0</xdr:row>
      <xdr:rowOff>18439</xdr:rowOff>
    </xdr:from>
    <xdr:to>
      <xdr:col>2</xdr:col>
      <xdr:colOff>1453791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659130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704440</xdr:colOff>
      <xdr:row>0</xdr:row>
      <xdr:rowOff>18439</xdr:rowOff>
    </xdr:from>
    <xdr:to>
      <xdr:col>2</xdr:col>
      <xdr:colOff>377869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397184</xdr:colOff>
      <xdr:row>0</xdr:row>
      <xdr:rowOff>18439</xdr:rowOff>
    </xdr:from>
    <xdr:to>
      <xdr:col>2</xdr:col>
      <xdr:colOff>921059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929916</xdr:colOff>
      <xdr:row>0</xdr:row>
      <xdr:rowOff>18439</xdr:rowOff>
    </xdr:from>
    <xdr:to>
      <xdr:col>2</xdr:col>
      <xdr:colOff>1453791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659130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520744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540059</xdr:colOff>
      <xdr:row>0</xdr:row>
      <xdr:rowOff>18439</xdr:rowOff>
    </xdr:from>
    <xdr:to>
      <xdr:col>1</xdr:col>
      <xdr:colOff>1063934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1072791</xdr:colOff>
      <xdr:row>0</xdr:row>
      <xdr:rowOff>18439</xdr:rowOff>
    </xdr:from>
    <xdr:to>
      <xdr:col>2</xdr:col>
      <xdr:colOff>120291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415969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435284</xdr:colOff>
      <xdr:row>0</xdr:row>
      <xdr:rowOff>18439</xdr:rowOff>
    </xdr:from>
    <xdr:to>
      <xdr:col>1</xdr:col>
      <xdr:colOff>959159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968016</xdr:colOff>
      <xdr:row>0</xdr:row>
      <xdr:rowOff>18439</xdr:rowOff>
    </xdr:from>
    <xdr:to>
      <xdr:col>2</xdr:col>
      <xdr:colOff>15516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113890</xdr:colOff>
      <xdr:row>0</xdr:row>
      <xdr:rowOff>18439</xdr:rowOff>
    </xdr:from>
    <xdr:to>
      <xdr:col>3</xdr:col>
      <xdr:colOff>25444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44759</xdr:colOff>
      <xdr:row>0</xdr:row>
      <xdr:rowOff>18439</xdr:rowOff>
    </xdr:from>
    <xdr:to>
      <xdr:col>3</xdr:col>
      <xdr:colOff>568634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577491</xdr:colOff>
      <xdr:row>0</xdr:row>
      <xdr:rowOff>18439</xdr:rowOff>
    </xdr:from>
    <xdr:to>
      <xdr:col>3</xdr:col>
      <xdr:colOff>1101366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44759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53616</xdr:colOff>
      <xdr:row>0</xdr:row>
      <xdr:rowOff>18439</xdr:rowOff>
    </xdr:from>
    <xdr:to>
      <xdr:col>2</xdr:col>
      <xdr:colOff>577491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6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349559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358416</xdr:colOff>
      <xdr:row>0</xdr:row>
      <xdr:rowOff>18439</xdr:rowOff>
    </xdr:from>
    <xdr:to>
      <xdr:col>2</xdr:col>
      <xdr:colOff>882291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6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6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8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83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84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85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8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2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75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76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77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78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79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4">
    <tabColor theme="1"/>
  </sheetPr>
  <dimension ref="A1:I37"/>
  <sheetViews>
    <sheetView topLeftCell="B1" workbookViewId="0"/>
  </sheetViews>
  <sheetFormatPr defaultRowHeight="15" x14ac:dyDescent="0.25"/>
  <cols>
    <col min="1" max="1" width="34" style="508" customWidth="1"/>
    <col min="2" max="2" width="67.5703125" style="585" customWidth="1"/>
    <col min="3" max="5" width="67.5703125" style="586" customWidth="1"/>
    <col min="6" max="6" width="5.42578125" style="581" customWidth="1"/>
    <col min="7" max="7" width="23.7109375" style="582" customWidth="1"/>
  </cols>
  <sheetData>
    <row r="1" spans="1:9" s="504" customFormat="1" ht="15.75" thickBot="1" x14ac:dyDescent="0.3">
      <c r="A1" s="505" t="s">
        <v>5879</v>
      </c>
      <c r="B1" s="601" t="s">
        <v>5880</v>
      </c>
      <c r="C1" s="602" t="s">
        <v>7398</v>
      </c>
      <c r="D1" s="602" t="s">
        <v>5881</v>
      </c>
      <c r="E1" s="602" t="s">
        <v>5882</v>
      </c>
      <c r="F1" s="580" t="s">
        <v>57</v>
      </c>
      <c r="G1" s="580" t="s">
        <v>6728</v>
      </c>
    </row>
    <row r="2" spans="1:9" x14ac:dyDescent="0.25">
      <c r="A2" s="508" t="str">
        <f>IF(CHOOSE(SET.LANGUAGE,'DICTIONARY-1'!B2,'DICTIONARY-1'!C2,'DICTIONARY-1'!D2,'DICTIONARY-1'!E2,'DICTIONARY-1'!F2)=0,("??? "&amp;"DICTIONARY-1/"&amp;"LINE"&amp;(ROW(A2))),CHOOSE(SET.LANGUAGE,'DICTIONARY-1'!B2,'DICTIONARY-1'!C2,'DICTIONARY-1'!D2,'DICTIONARY-1'!E2,'DICTIONARY-1'!F2))</f>
        <v>Dodatkowy rabat</v>
      </c>
      <c r="B2" s="585" t="s">
        <v>78</v>
      </c>
      <c r="C2" s="586" t="s">
        <v>7741</v>
      </c>
      <c r="D2" s="586" t="s">
        <v>7778</v>
      </c>
      <c r="E2" s="586" t="s">
        <v>5970</v>
      </c>
      <c r="F2" s="581" t="str">
        <f t="shared" ref="F2:F37" si="0">CONCATENATE(ROW(B2),"❶",B2)</f>
        <v>2❶Dodatkový rabat</v>
      </c>
      <c r="G2" s="582" t="str">
        <f t="shared" ref="G2:G36" si="1">"'DICTIONARY-1'!$A$"&amp;ROW(A2)</f>
        <v>'DICTIONARY-1'!$A$2</v>
      </c>
      <c r="I2" s="688"/>
    </row>
    <row r="3" spans="1:9" x14ac:dyDescent="0.25">
      <c r="A3" s="508" t="str">
        <f>IF(CHOOSE(SET.LANGUAGE,'DICTIONARY-1'!B3,'DICTIONARY-1'!C3,'DICTIONARY-1'!D3,'DICTIONARY-1'!E3,'DICTIONARY-1'!F3)=0,("??? "&amp;"DICTIONARY-1/"&amp;"LINE"&amp;(ROW(A3))),CHOOSE(SET.LANGUAGE,'DICTIONARY-1'!B3,'DICTIONARY-1'!C3,'DICTIONARY-1'!D3,'DICTIONARY-1'!E3,'DICTIONARY-1'!F3))</f>
        <v xml:space="preserve">zg. z umową </v>
      </c>
      <c r="B3" s="585" t="s">
        <v>7380</v>
      </c>
      <c r="C3" s="586" t="s">
        <v>7387</v>
      </c>
      <c r="D3" s="586" t="s">
        <v>7381</v>
      </c>
      <c r="E3" s="586" t="s">
        <v>7382</v>
      </c>
      <c r="F3" s="581" t="str">
        <f t="shared" si="0"/>
        <v>3❶dle smlouvy</v>
      </c>
      <c r="G3" s="582" t="str">
        <f t="shared" si="1"/>
        <v>'DICTIONARY-1'!$A$3</v>
      </c>
      <c r="I3" s="688"/>
    </row>
    <row r="4" spans="1:9" x14ac:dyDescent="0.25">
      <c r="A4" s="508" t="str">
        <f>IF(CHOOSE(SET.LANGUAGE,'DICTIONARY-1'!B4,'DICTIONARY-1'!C4,'DICTIONARY-1'!D4,'DICTIONARY-1'!E4,'DICTIONARY-1'!F4)=0,("??? "&amp;"DICTIONARY-1/"&amp;"LINE"&amp;(ROW(A4))),CHOOSE(SET.LANGUAGE,'DICTIONARY-1'!B4,'DICTIONARY-1'!C4,'DICTIONARY-1'!D4,'DICTIONARY-1'!E4,'DICTIONARY-1'!F4))</f>
        <v>Dopłata MTE</v>
      </c>
      <c r="B4" s="585" t="s">
        <v>8296</v>
      </c>
      <c r="C4" s="586" t="s">
        <v>8297</v>
      </c>
      <c r="D4" s="586" t="s">
        <v>8299</v>
      </c>
      <c r="E4" s="586" t="s">
        <v>8298</v>
      </c>
      <c r="F4" s="581" t="str">
        <f t="shared" ref="F4" si="2">CONCATENATE(ROW(B4),"❶",B4)</f>
        <v>4❶MTE přirážka</v>
      </c>
      <c r="G4" s="582" t="str">
        <f t="shared" ref="G4" si="3">"'DICTIONARY-1'!$A$"&amp;ROW(A4)</f>
        <v>'DICTIONARY-1'!$A$4</v>
      </c>
      <c r="I4" s="688"/>
    </row>
    <row r="5" spans="1:9" x14ac:dyDescent="0.25">
      <c r="A5" s="508" t="str">
        <f>IF(CHOOSE(SET.LANGUAGE,'DICTIONARY-1'!B5,'DICTIONARY-1'!C5,'DICTIONARY-1'!D5,'DICTIONARY-1'!E5,'DICTIONARY-1'!F5)=0,("??? "&amp;"DICTIONARY-1/"&amp;"LINE"&amp;(ROW(A5))),CHOOSE(SET.LANGUAGE,'DICTIONARY-1'!B5,'DICTIONARY-1'!C5,'DICTIONARY-1'!D5,'DICTIONARY-1'!E5,'DICTIONARY-1'!F5))</f>
        <v>Ustaw globalny dodatkowy rabat</v>
      </c>
      <c r="B5" s="585" t="s">
        <v>7383</v>
      </c>
      <c r="C5" s="586" t="s">
        <v>7742</v>
      </c>
      <c r="D5" s="586" t="s">
        <v>7779</v>
      </c>
      <c r="E5" s="586" t="s">
        <v>7384</v>
      </c>
      <c r="F5" s="581" t="str">
        <f t="shared" si="0"/>
        <v>5❶Nastavit plošný dodatkový rabat</v>
      </c>
      <c r="G5" s="582" t="str">
        <f t="shared" si="1"/>
        <v>'DICTIONARY-1'!$A$5</v>
      </c>
      <c r="I5" s="688"/>
    </row>
    <row r="6" spans="1:9" x14ac:dyDescent="0.25">
      <c r="A6" s="508" t="str">
        <f>IF(CHOOSE(SET.LANGUAGE,'DICTIONARY-1'!B6,'DICTIONARY-1'!C6,'DICTIONARY-1'!D6,'DICTIONARY-1'!E6,'DICTIONARY-1'!F6)=0,("??? "&amp;"DICTIONARY-1/"&amp;"LINE"&amp;(ROW(A6))),CHOOSE(SET.LANGUAGE,'DICTIONARY-1'!B6,'DICTIONARY-1'!C6,'DICTIONARY-1'!D6,'DICTIONARY-1'!E6,'DICTIONARY-1'!F6))</f>
        <v>Cennik</v>
      </c>
      <c r="B6" s="585" t="s">
        <v>5883</v>
      </c>
      <c r="C6" s="586" t="s">
        <v>7388</v>
      </c>
      <c r="D6" s="586" t="s">
        <v>5884</v>
      </c>
      <c r="E6" s="586" t="s">
        <v>5891</v>
      </c>
      <c r="F6" s="581" t="str">
        <f t="shared" si="0"/>
        <v>6❶Ceník</v>
      </c>
      <c r="G6" s="582" t="str">
        <f t="shared" si="1"/>
        <v>'DICTIONARY-1'!$A$6</v>
      </c>
      <c r="I6" s="688"/>
    </row>
    <row r="7" spans="1:9" x14ac:dyDescent="0.25">
      <c r="A7" s="508" t="str">
        <f>IF(CHOOSE(SET.LANGUAGE,'DICTIONARY-1'!B7,'DICTIONARY-1'!C7,'DICTIONARY-1'!D7,'DICTIONARY-1'!E7,'DICTIONARY-1'!F7)=0,("??? "&amp;"DICTIONARY-1/"&amp;"LINE"&amp;(ROW(A7))),CHOOSE(SET.LANGUAGE,'DICTIONARY-1'!B7,'DICTIONARY-1'!C7,'DICTIONARY-1'!D7,'DICTIONARY-1'!E7,'DICTIONARY-1'!F7))</f>
        <v>Grupa produktów</v>
      </c>
      <c r="B7" s="585" t="s">
        <v>74</v>
      </c>
      <c r="C7" s="586" t="s">
        <v>7407</v>
      </c>
      <c r="D7" s="586" t="s">
        <v>5885</v>
      </c>
      <c r="E7" s="586" t="s">
        <v>5892</v>
      </c>
      <c r="F7" s="581" t="str">
        <f t="shared" si="0"/>
        <v>7❶Skupina výrobků</v>
      </c>
      <c r="G7" s="582" t="str">
        <f t="shared" si="1"/>
        <v>'DICTIONARY-1'!$A$7</v>
      </c>
      <c r="I7" s="688"/>
    </row>
    <row r="8" spans="1:9" x14ac:dyDescent="0.25">
      <c r="A8" s="508" t="str">
        <f>IF(CHOOSE(SET.LANGUAGE,'DICTIONARY-1'!B8,'DICTIONARY-1'!C8,'DICTIONARY-1'!D8,'DICTIONARY-1'!E8,'DICTIONARY-1'!F8)=0,("??? "&amp;"DICTIONARY-1/"&amp;"LINE"&amp;(ROW(A8))),CHOOSE(SET.LANGUAGE,'DICTIONARY-1'!B8,'DICTIONARY-1'!C8,'DICTIONARY-1'!D8,'DICTIONARY-1'!E8,'DICTIONARY-1'!F8))</f>
        <v>Produkt</v>
      </c>
      <c r="B8" s="585" t="s">
        <v>66</v>
      </c>
      <c r="C8" s="586" t="s">
        <v>7408</v>
      </c>
      <c r="D8" s="586" t="s">
        <v>5555</v>
      </c>
      <c r="E8" s="586" t="s">
        <v>5893</v>
      </c>
      <c r="F8" s="581" t="str">
        <f t="shared" si="0"/>
        <v>8❶Výrobek</v>
      </c>
      <c r="G8" s="582" t="str">
        <f t="shared" si="1"/>
        <v>'DICTIONARY-1'!$A$8</v>
      </c>
      <c r="I8" s="688"/>
    </row>
    <row r="9" spans="1:9" x14ac:dyDescent="0.25">
      <c r="A9" s="508" t="str">
        <f>IF(CHOOSE(SET.LANGUAGE,'DICTIONARY-1'!B9,'DICTIONARY-1'!C9,'DICTIONARY-1'!D9,'DICTIONARY-1'!E9,'DICTIONARY-1'!F9)=0,("??? "&amp;"DICTIONARY-1/"&amp;"LINE"&amp;(ROW(A9))),CHOOSE(SET.LANGUAGE,'DICTIONARY-1'!B9,'DICTIONARY-1'!C9,'DICTIONARY-1'!D9,'DICTIONARY-1'!E9,'DICTIONARY-1'!F9))</f>
        <v>Wg grupy</v>
      </c>
      <c r="B9" s="585" t="s">
        <v>61</v>
      </c>
      <c r="C9" s="586" t="s">
        <v>7409</v>
      </c>
      <c r="D9" s="586" t="s">
        <v>5886</v>
      </c>
      <c r="E9" s="586" t="s">
        <v>5894</v>
      </c>
      <c r="F9" s="581" t="str">
        <f t="shared" si="0"/>
        <v>9❶Dle skupiny</v>
      </c>
      <c r="G9" s="582" t="str">
        <f t="shared" si="1"/>
        <v>'DICTIONARY-1'!$A$9</v>
      </c>
      <c r="I9" s="688"/>
    </row>
    <row r="10" spans="1:9" x14ac:dyDescent="0.25">
      <c r="A10" s="508" t="str">
        <f>IF(CHOOSE(SET.LANGUAGE,'DICTIONARY-1'!B10,'DICTIONARY-1'!C10,'DICTIONARY-1'!D10,'DICTIONARY-1'!E10,'DICTIONARY-1'!F10)=0,("??? "&amp;"DICTIONARY-1/"&amp;"LINE"&amp;(ROW(A10))),CHOOSE(SET.LANGUAGE,'DICTIONARY-1'!B10,'DICTIONARY-1'!C10,'DICTIONARY-1'!D10,'DICTIONARY-1'!E10,'DICTIONARY-1'!F10))</f>
        <v>Grupa rabatowa</v>
      </c>
      <c r="B10" s="585" t="s">
        <v>6016</v>
      </c>
      <c r="C10" s="586" t="s">
        <v>6016</v>
      </c>
      <c r="D10" s="586" t="s">
        <v>7781</v>
      </c>
      <c r="E10" s="586" t="s">
        <v>6172</v>
      </c>
      <c r="F10" s="581" t="str">
        <f t="shared" si="0"/>
        <v>10❶Rabatová skupina</v>
      </c>
      <c r="G10" s="582" t="str">
        <f t="shared" si="1"/>
        <v>'DICTIONARY-1'!$A$10</v>
      </c>
      <c r="I10" s="688"/>
    </row>
    <row r="11" spans="1:9" x14ac:dyDescent="0.25">
      <c r="A11" s="508" t="str">
        <f>IF(CHOOSE(SET.LANGUAGE,'DICTIONARY-1'!B11,'DICTIONARY-1'!C11,'DICTIONARY-1'!D11,'DICTIONARY-1'!E11,'DICTIONARY-1'!F11)=0,("??? "&amp;"DICTIONARY-1/"&amp;"LINE"&amp;(ROW(A11))),CHOOSE(SET.LANGUAGE,'DICTIONARY-1'!B11,'DICTIONARY-1'!C11,'DICTIONARY-1'!D11,'DICTIONARY-1'!E11,'DICTIONARY-1'!F11))</f>
        <v xml:space="preserve">Rabaty umowne </v>
      </c>
      <c r="B11" s="585" t="s">
        <v>8230</v>
      </c>
      <c r="C11" s="586" t="s">
        <v>8232</v>
      </c>
      <c r="D11" s="586" t="s">
        <v>8233</v>
      </c>
      <c r="E11" s="586" t="s">
        <v>8231</v>
      </c>
      <c r="F11" s="581" t="str">
        <f t="shared" ref="F11" si="4">CONCATENATE(ROW(B11),"❶",B11)</f>
        <v>11❶Smluvní rabaty</v>
      </c>
      <c r="G11" s="582" t="str">
        <f t="shared" ref="G11" si="5">"'DICTIONARY-1'!$A$"&amp;ROW(A11)</f>
        <v>'DICTIONARY-1'!$A$11</v>
      </c>
      <c r="I11" s="688"/>
    </row>
    <row r="12" spans="1:9" x14ac:dyDescent="0.25">
      <c r="A12" s="508" t="str">
        <f>IF(CHOOSE(SET.LANGUAGE,'DICTIONARY-1'!B12,'DICTIONARY-1'!C12,'DICTIONARY-1'!D12,'DICTIONARY-1'!E12,'DICTIONARY-1'!F12)=0,("??? "&amp;"DICTIONARY-1/"&amp;"LINE"&amp;(ROW(A12))),CHOOSE(SET.LANGUAGE,'DICTIONARY-1'!B12,'DICTIONARY-1'!C12,'DICTIONARY-1'!D12,'DICTIONARY-1'!E12,'DICTIONARY-1'!F12))</f>
        <v>Wpisz rabaty dla grup zgodnie z podpisaną umową handlową na rok</v>
      </c>
      <c r="B12" s="585" t="s">
        <v>8226</v>
      </c>
      <c r="C12" s="586" t="s">
        <v>8228</v>
      </c>
      <c r="D12" s="586" t="s">
        <v>8227</v>
      </c>
      <c r="E12" s="586" t="s">
        <v>8229</v>
      </c>
      <c r="F12" s="581" t="str">
        <f t="shared" si="0"/>
        <v>12❶Rabaty k jednotlivým skupinám vyplňte dle Vaší smlouvy na rok</v>
      </c>
      <c r="G12" s="582" t="str">
        <f t="shared" si="1"/>
        <v>'DICTIONARY-1'!$A$12</v>
      </c>
      <c r="I12" s="688"/>
    </row>
    <row r="13" spans="1:9" x14ac:dyDescent="0.25">
      <c r="A13" s="508" t="str">
        <f>IF(CHOOSE(SET.LANGUAGE,'DICTIONARY-1'!B13,'DICTIONARY-1'!C13,'DICTIONARY-1'!D13,'DICTIONARY-1'!E13,'DICTIONARY-1'!F13)=0,("??? "&amp;"DICTIONARY-1/"&amp;"LINE"&amp;(ROW(A13))),CHOOSE(SET.LANGUAGE,'DICTIONARY-1'!B13,'DICTIONARY-1'!C13,'DICTIONARY-1'!D13,'DICTIONARY-1'!E13,'DICTIONARY-1'!F13))</f>
        <v>Grupa</v>
      </c>
      <c r="B13" s="585" t="s">
        <v>7784</v>
      </c>
      <c r="C13" s="586" t="s">
        <v>7784</v>
      </c>
      <c r="D13" s="586" t="s">
        <v>7782</v>
      </c>
      <c r="E13" s="586" t="s">
        <v>7783</v>
      </c>
      <c r="F13" s="581" t="str">
        <f t="shared" si="0"/>
        <v>13❶Skupina</v>
      </c>
      <c r="G13" s="582" t="str">
        <f t="shared" si="1"/>
        <v>'DICTIONARY-1'!$A$13</v>
      </c>
      <c r="I13" s="688"/>
    </row>
    <row r="14" spans="1:9" x14ac:dyDescent="0.25">
      <c r="A14" s="508" t="str">
        <f>IF(CHOOSE(SET.LANGUAGE,'DICTIONARY-1'!B14,'DICTIONARY-1'!C14,'DICTIONARY-1'!D14,'DICTIONARY-1'!E14,'DICTIONARY-1'!F14)=0,("??? "&amp;"DICTIONARY-1/"&amp;"LINE"&amp;(ROW(A14))),CHOOSE(SET.LANGUAGE,'DICTIONARY-1'!B14,'DICTIONARY-1'!C14,'DICTIONARY-1'!D14,'DICTIONARY-1'!E14,'DICTIONARY-1'!F14))</f>
        <v>Rabat</v>
      </c>
      <c r="B14" s="585" t="s">
        <v>62</v>
      </c>
      <c r="C14" s="586" t="s">
        <v>62</v>
      </c>
      <c r="D14" s="586" t="s">
        <v>7780</v>
      </c>
      <c r="E14" s="586" t="s">
        <v>62</v>
      </c>
      <c r="F14" s="581" t="str">
        <f t="shared" si="0"/>
        <v>14❶Rabat</v>
      </c>
      <c r="G14" s="582" t="str">
        <f t="shared" si="1"/>
        <v>'DICTIONARY-1'!$A$14</v>
      </c>
      <c r="I14" s="688"/>
    </row>
    <row r="15" spans="1:9" x14ac:dyDescent="0.25">
      <c r="A15" s="508" t="str">
        <f>IF(CHOOSE(SET.LANGUAGE,'DICTIONARY-1'!B15,'DICTIONARY-1'!C15,'DICTIONARY-1'!D15,'DICTIONARY-1'!E15,'DICTIONARY-1'!F15)=0,("??? "&amp;"DICTIONARY-1/"&amp;"LINE"&amp;(ROW(A15))),CHOOSE(SET.LANGUAGE,'DICTIONARY-1'!B15,'DICTIONARY-1'!C15,'DICTIONARY-1'!D15,'DICTIONARY-1'!E15,'DICTIONARY-1'!F15))</f>
        <v>Ustawienie waluty</v>
      </c>
      <c r="B15" s="585" t="s">
        <v>6173</v>
      </c>
      <c r="C15" s="586" t="s">
        <v>7410</v>
      </c>
      <c r="D15" s="586" t="s">
        <v>6174</v>
      </c>
      <c r="E15" s="586" t="s">
        <v>6175</v>
      </c>
      <c r="F15" s="581" t="str">
        <f t="shared" si="0"/>
        <v>15❶Nastavení měny</v>
      </c>
      <c r="G15" s="582" t="str">
        <f t="shared" si="1"/>
        <v>'DICTIONARY-1'!$A$15</v>
      </c>
      <c r="I15" s="688"/>
    </row>
    <row r="16" spans="1:9" x14ac:dyDescent="0.25">
      <c r="A16" s="508" t="str">
        <f>IF(CHOOSE(SET.LANGUAGE,'DICTIONARY-1'!B16,'DICTIONARY-1'!C16,'DICTIONARY-1'!D16,'DICTIONARY-1'!E16,'DICTIONARY-1'!F16)=0,("??? "&amp;"DICTIONARY-1/"&amp;"LINE"&amp;(ROW(A16))),CHOOSE(SET.LANGUAGE,'DICTIONARY-1'!B16,'DICTIONARY-1'!C16,'DICTIONARY-1'!D16,'DICTIONARY-1'!E16,'DICTIONARY-1'!F16))</f>
        <v>Możesz użyć tej tabeli do ustawienia własnego sposobu wyświetlania cen w tabelach</v>
      </c>
      <c r="B16" s="585" t="s">
        <v>5900</v>
      </c>
      <c r="C16" s="586" t="s">
        <v>7389</v>
      </c>
      <c r="D16" s="586" t="s">
        <v>5887</v>
      </c>
      <c r="E16" s="586" t="s">
        <v>5966</v>
      </c>
      <c r="F16" s="581" t="str">
        <f t="shared" si="0"/>
        <v>16❶Pomocí této tabulky si můžete nastavit vlastní zobrazení cen v tabulkách</v>
      </c>
      <c r="G16" s="582" t="str">
        <f t="shared" si="1"/>
        <v>'DICTIONARY-1'!$A$16</v>
      </c>
      <c r="I16" s="688"/>
    </row>
    <row r="17" spans="1:9" x14ac:dyDescent="0.25">
      <c r="A17" s="508" t="str">
        <f>IF(CHOOSE(SET.LANGUAGE,'DICTIONARY-1'!B17,'DICTIONARY-1'!C17,'DICTIONARY-1'!D17,'DICTIONARY-1'!E17,'DICTIONARY-1'!F17)=0,("??? "&amp;"DICTIONARY-1/"&amp;"LINE"&amp;(ROW(A17))),CHOOSE(SET.LANGUAGE,'DICTIONARY-1'!B17,'DICTIONARY-1'!C17,'DICTIONARY-1'!D17,'DICTIONARY-1'!E17,'DICTIONARY-1'!F17))</f>
        <v>Kod</v>
      </c>
      <c r="B17" s="585" t="s">
        <v>63</v>
      </c>
      <c r="C17" s="586" t="s">
        <v>63</v>
      </c>
      <c r="D17" s="586" t="s">
        <v>5888</v>
      </c>
      <c r="E17" s="586" t="s">
        <v>5895</v>
      </c>
      <c r="F17" s="581" t="str">
        <f t="shared" si="0"/>
        <v>17❶Kód</v>
      </c>
      <c r="G17" s="582" t="str">
        <f t="shared" si="1"/>
        <v>'DICTIONARY-1'!$A$17</v>
      </c>
      <c r="I17" s="688"/>
    </row>
    <row r="18" spans="1:9" x14ac:dyDescent="0.25">
      <c r="A18" s="508" t="str">
        <f>IF(CHOOSE(SET.LANGUAGE,'DICTIONARY-1'!B18,'DICTIONARY-1'!C18,'DICTIONARY-1'!D18,'DICTIONARY-1'!E18,'DICTIONARY-1'!F18)=0,("??? "&amp;"DICTIONARY-1/"&amp;"LINE"&amp;(ROW(A18))),CHOOSE(SET.LANGUAGE,'DICTIONARY-1'!B18,'DICTIONARY-1'!C18,'DICTIONARY-1'!D18,'DICTIONARY-1'!E18,'DICTIONARY-1'!F18))</f>
        <v>Format</v>
      </c>
      <c r="B18" s="585" t="s">
        <v>5899</v>
      </c>
      <c r="C18" s="586" t="s">
        <v>5899</v>
      </c>
      <c r="D18" s="586" t="s">
        <v>5903</v>
      </c>
      <c r="E18" s="586" t="s">
        <v>5903</v>
      </c>
      <c r="F18" s="581" t="str">
        <f t="shared" si="0"/>
        <v>18❶Formát</v>
      </c>
      <c r="G18" s="582" t="str">
        <f t="shared" si="1"/>
        <v>'DICTIONARY-1'!$A$18</v>
      </c>
      <c r="I18" s="688"/>
    </row>
    <row r="19" spans="1:9" x14ac:dyDescent="0.25">
      <c r="A19" s="508" t="str">
        <f>IF(CHOOSE(SET.LANGUAGE,'DICTIONARY-1'!B19,'DICTIONARY-1'!C19,'DICTIONARY-1'!D19,'DICTIONARY-1'!E19,'DICTIONARY-1'!F19)=0,("??? "&amp;"DICTIONARY-1/"&amp;"LINE"&amp;(ROW(A19))),CHOOSE(SET.LANGUAGE,'DICTIONARY-1'!B19,'DICTIONARY-1'!C19,'DICTIONARY-1'!D19,'DICTIONARY-1'!E19,'DICTIONARY-1'!F19))</f>
        <v>Kurs</v>
      </c>
      <c r="B19" s="585" t="s">
        <v>75</v>
      </c>
      <c r="C19" s="586" t="s">
        <v>75</v>
      </c>
      <c r="D19" s="586" t="s">
        <v>5890</v>
      </c>
      <c r="E19" s="586" t="s">
        <v>5897</v>
      </c>
      <c r="F19" s="581" t="str">
        <f t="shared" si="0"/>
        <v>19❶Kurz</v>
      </c>
      <c r="G19" s="582" t="str">
        <f t="shared" si="1"/>
        <v>'DICTIONARY-1'!$A$19</v>
      </c>
      <c r="I19" s="688"/>
    </row>
    <row r="20" spans="1:9" x14ac:dyDescent="0.25">
      <c r="A20" s="508" t="str">
        <f>IF(CHOOSE(SET.LANGUAGE,'DICTIONARY-1'!B20,'DICTIONARY-1'!C20,'DICTIONARY-1'!D20,'DICTIONARY-1'!E20,'DICTIONARY-1'!F20)=0,("??? "&amp;"DICTIONARY-1/"&amp;"LINE"&amp;(ROW(A20))),CHOOSE(SET.LANGUAGE,'DICTIONARY-1'!B20,'DICTIONARY-1'!C20,'DICTIONARY-1'!D20,'DICTIONARY-1'!E20,'DICTIONARY-1'!F20))</f>
        <v>Waluta</v>
      </c>
      <c r="B20" s="585" t="s">
        <v>7737</v>
      </c>
      <c r="C20" s="586" t="s">
        <v>7738</v>
      </c>
      <c r="D20" s="586" t="s">
        <v>7739</v>
      </c>
      <c r="E20" s="586" t="s">
        <v>7740</v>
      </c>
      <c r="F20" s="581" t="str">
        <f t="shared" si="0"/>
        <v>20❶Měna</v>
      </c>
      <c r="G20" s="582" t="str">
        <f t="shared" si="1"/>
        <v>'DICTIONARY-1'!$A$20</v>
      </c>
      <c r="I20" s="688"/>
    </row>
    <row r="21" spans="1:9" x14ac:dyDescent="0.25">
      <c r="A21" s="508" t="str">
        <f>IF(CHOOSE(SET.LANGUAGE,'DICTIONARY-1'!B21,'DICTIONARY-1'!C21,'DICTIONARY-1'!D21,'DICTIONARY-1'!E21,'DICTIONARY-1'!F21)=0,("??? "&amp;"DICTIONARY-1/"&amp;"LINE"&amp;(ROW(A21))),CHOOSE(SET.LANGUAGE,'DICTIONARY-1'!B21,'DICTIONARY-1'!C21,'DICTIONARY-1'!D21,'DICTIONARY-1'!E21,'DICTIONARY-1'!F21))</f>
        <v>Nazwa</v>
      </c>
      <c r="B21" s="585" t="s">
        <v>77</v>
      </c>
      <c r="C21" s="586" t="s">
        <v>7390</v>
      </c>
      <c r="D21" s="586" t="s">
        <v>5889</v>
      </c>
      <c r="E21" s="586" t="s">
        <v>5896</v>
      </c>
      <c r="F21" s="581" t="str">
        <f t="shared" si="0"/>
        <v>21❶Název</v>
      </c>
      <c r="G21" s="582" t="str">
        <f t="shared" si="1"/>
        <v>'DICTIONARY-1'!$A$21</v>
      </c>
      <c r="I21" s="688"/>
    </row>
    <row r="22" spans="1:9" x14ac:dyDescent="0.25">
      <c r="A22" s="508" t="str">
        <f>IF(CHOOSE(SET.LANGUAGE,'DICTIONARY-1'!B22,'DICTIONARY-1'!C22,'DICTIONARY-1'!D22,'DICTIONARY-1'!E22,'DICTIONARY-1'!F22)=0,("??? "&amp;"DICTIONARY-1/"&amp;"LINE"&amp;(ROW(A22))),CHOOSE(SET.LANGUAGE,'DICTIONARY-1'!B22,'DICTIONARY-1'!C22,'DICTIONARY-1'!D22,'DICTIONARY-1'!E22,'DICTIONARY-1'!F22))</f>
        <v>Ustawienia języka</v>
      </c>
      <c r="B22" s="585" t="s">
        <v>6176</v>
      </c>
      <c r="C22" s="586" t="s">
        <v>7411</v>
      </c>
      <c r="D22" s="586" t="s">
        <v>6177</v>
      </c>
      <c r="E22" s="586" t="s">
        <v>6178</v>
      </c>
      <c r="F22" s="581" t="str">
        <f t="shared" si="0"/>
        <v>22❶Nastavení jazyka</v>
      </c>
      <c r="G22" s="582" t="str">
        <f t="shared" si="1"/>
        <v>'DICTIONARY-1'!$A$22</v>
      </c>
      <c r="I22" s="688"/>
    </row>
    <row r="23" spans="1:9" x14ac:dyDescent="0.25">
      <c r="A23" s="508" t="str">
        <f>IF(CHOOSE(SET.LANGUAGE,'DICTIONARY-1'!B23,'DICTIONARY-1'!C23,'DICTIONARY-1'!D23,'DICTIONARY-1'!E23,'DICTIONARY-1'!F23)=0,("??? "&amp;"DICTIONARY-1/"&amp;"LINE"&amp;(ROW(A23))),CHOOSE(SET.LANGUAGE,'DICTIONARY-1'!B23,'DICTIONARY-1'!C23,'DICTIONARY-1'!D23,'DICTIONARY-1'!E23,'DICTIONARY-1'!F23))</f>
        <v>Zasuwy klinowe</v>
      </c>
      <c r="B23" s="585" t="s">
        <v>54</v>
      </c>
      <c r="C23" s="586" t="s">
        <v>7743</v>
      </c>
      <c r="D23" s="586" t="s">
        <v>5911</v>
      </c>
      <c r="E23" s="586" t="s">
        <v>5934</v>
      </c>
      <c r="F23" s="581" t="str">
        <f t="shared" si="0"/>
        <v>23❶Měkko- a kovotěsnicí šoupátka</v>
      </c>
      <c r="G23" s="582" t="str">
        <f t="shared" si="1"/>
        <v>'DICTIONARY-1'!$A$23</v>
      </c>
      <c r="I23" s="688"/>
    </row>
    <row r="24" spans="1:9" x14ac:dyDescent="0.25">
      <c r="A24" s="508" t="str">
        <f>IF(CHOOSE(SET.LANGUAGE,'DICTIONARY-1'!B24,'DICTIONARY-1'!C24,'DICTIONARY-1'!D24,'DICTIONARY-1'!E24,'DICTIONARY-1'!F24)=0,("??? "&amp;"DICTIONARY-1/"&amp;"LINE"&amp;(ROW(A24))),CHOOSE(SET.LANGUAGE,'DICTIONARY-1'!B24,'DICTIONARY-1'!C24,'DICTIONARY-1'!D24,'DICTIONARY-1'!E24,'DICTIONARY-1'!F24))</f>
        <v>Zasuwy nożowe i wrzecionowe</v>
      </c>
      <c r="B24" s="585" t="s">
        <v>48</v>
      </c>
      <c r="C24" s="586" t="s">
        <v>7396</v>
      </c>
      <c r="D24" s="586" t="s">
        <v>5912</v>
      </c>
      <c r="E24" s="586" t="s">
        <v>5935</v>
      </c>
      <c r="F24" s="581" t="str">
        <f t="shared" si="0"/>
        <v>24❶Nožová a vřetenová šoupátka</v>
      </c>
      <c r="G24" s="582" t="str">
        <f t="shared" si="1"/>
        <v>'DICTIONARY-1'!$A$24</v>
      </c>
      <c r="I24" s="688"/>
    </row>
    <row r="25" spans="1:9" x14ac:dyDescent="0.25">
      <c r="A25" s="508" t="str">
        <f>IF(CHOOSE(SET.LANGUAGE,'DICTIONARY-1'!B25,'DICTIONARY-1'!C25,'DICTIONARY-1'!D25,'DICTIONARY-1'!E25,'DICTIONARY-1'!F25)=0,("??? "&amp;"DICTIONARY-1/"&amp;"LINE"&amp;(ROW(A25))),CHOOSE(SET.LANGUAGE,'DICTIONARY-1'!B25,'DICTIONARY-1'!C25,'DICTIONARY-1'!D25,'DICTIONARY-1'!E25,'DICTIONARY-1'!F25))</f>
        <v>Hydranty</v>
      </c>
      <c r="B25" s="585" t="s">
        <v>45</v>
      </c>
      <c r="C25" s="586" t="s">
        <v>45</v>
      </c>
      <c r="D25" s="586" t="s">
        <v>5913</v>
      </c>
      <c r="E25" s="586" t="s">
        <v>45</v>
      </c>
      <c r="F25" s="581" t="str">
        <f t="shared" si="0"/>
        <v>25❶Hydranty</v>
      </c>
      <c r="G25" s="582" t="str">
        <f t="shared" si="1"/>
        <v>'DICTIONARY-1'!$A$25</v>
      </c>
      <c r="I25" s="688"/>
    </row>
    <row r="26" spans="1:9" x14ac:dyDescent="0.25">
      <c r="A26" s="508" t="str">
        <f>IF(CHOOSE(SET.LANGUAGE,'DICTIONARY-1'!B26,'DICTIONARY-1'!C26,'DICTIONARY-1'!D26,'DICTIONARY-1'!E26,'DICTIONARY-1'!F26)=0,("??? "&amp;"DICTIONARY-1/"&amp;"LINE"&amp;(ROW(A26))),CHOOSE(SET.LANGUAGE,'DICTIONARY-1'!B26,'DICTIONARY-1'!C26,'DICTIONARY-1'!D26,'DICTIONARY-1'!E26,'DICTIONARY-1'!F26))</f>
        <v>Przyłącza domowe</v>
      </c>
      <c r="B26" s="585" t="s">
        <v>56</v>
      </c>
      <c r="C26" s="586" t="s">
        <v>7412</v>
      </c>
      <c r="D26" s="586" t="s">
        <v>5914</v>
      </c>
      <c r="E26" s="586" t="s">
        <v>5936</v>
      </c>
      <c r="F26" s="581" t="str">
        <f t="shared" si="0"/>
        <v>26❶Domovní přípojky</v>
      </c>
      <c r="G26" s="582" t="str">
        <f t="shared" si="1"/>
        <v>'DICTIONARY-1'!$A$26</v>
      </c>
      <c r="I26" s="688"/>
    </row>
    <row r="27" spans="1:9" x14ac:dyDescent="0.25">
      <c r="A27" s="508" t="str">
        <f>IF(CHOOSE(SET.LANGUAGE,'DICTIONARY-1'!B27,'DICTIONARY-1'!C27,'DICTIONARY-1'!D27,'DICTIONARY-1'!E27,'DICTIONARY-1'!F27)=0,("??? "&amp;"DICTIONARY-1/"&amp;"LINE"&amp;(ROW(A27))),CHOOSE(SET.LANGUAGE,'DICTIONARY-1'!B27,'DICTIONARY-1'!C27,'DICTIONARY-1'!D27,'DICTIONARY-1'!E27,'DICTIONARY-1'!F27))</f>
        <v>Klapy zwrotne i przeciwcofkowe</v>
      </c>
      <c r="B27" s="585" t="s">
        <v>58</v>
      </c>
      <c r="C27" s="586" t="s">
        <v>7391</v>
      </c>
      <c r="D27" s="586" t="s">
        <v>5915</v>
      </c>
      <c r="E27" s="605" t="s">
        <v>5937</v>
      </c>
      <c r="F27" s="581" t="str">
        <f t="shared" si="0"/>
        <v>27❶Zpětné a koncové klapky</v>
      </c>
      <c r="G27" s="582" t="str">
        <f t="shared" si="1"/>
        <v>'DICTIONARY-1'!$A$27</v>
      </c>
      <c r="I27" s="688"/>
    </row>
    <row r="28" spans="1:9" x14ac:dyDescent="0.25">
      <c r="A28" s="508" t="str">
        <f>IF(CHOOSE(SET.LANGUAGE,'DICTIONARY-1'!B28,'DICTIONARY-1'!C28,'DICTIONARY-1'!D28,'DICTIONARY-1'!E28,'DICTIONARY-1'!F28)=0,("??? "&amp;"DICTIONARY-1/"&amp;"LINE"&amp;(ROW(A28))),CHOOSE(SET.LANGUAGE,'DICTIONARY-1'!B28,'DICTIONARY-1'!C28,'DICTIONARY-1'!D28,'DICTIONARY-1'!E28,'DICTIONARY-1'!F28))</f>
        <v>Przepustnice</v>
      </c>
      <c r="B28" s="585" t="s">
        <v>4</v>
      </c>
      <c r="C28" s="586" t="s">
        <v>7413</v>
      </c>
      <c r="D28" s="586" t="s">
        <v>5916</v>
      </c>
      <c r="E28" s="586" t="s">
        <v>5938</v>
      </c>
      <c r="F28" s="581" t="str">
        <f t="shared" si="0"/>
        <v>28❶Uzavírací klapky</v>
      </c>
      <c r="G28" s="582" t="str">
        <f t="shared" si="1"/>
        <v>'DICTIONARY-1'!$A$28</v>
      </c>
      <c r="I28" s="688"/>
    </row>
    <row r="29" spans="1:9" x14ac:dyDescent="0.25">
      <c r="A29" s="508" t="str">
        <f>IF(CHOOSE(SET.LANGUAGE,'DICTIONARY-1'!B29,'DICTIONARY-1'!C29,'DICTIONARY-1'!D29,'DICTIONARY-1'!E29,'DICTIONARY-1'!F29)=0,("??? "&amp;"DICTIONARY-1/"&amp;"LINE"&amp;(ROW(A29))),CHOOSE(SET.LANGUAGE,'DICTIONARY-1'!B29,'DICTIONARY-1'!C29,'DICTIONARY-1'!D29,'DICTIONARY-1'!E29,'DICTIONARY-1'!F29))</f>
        <v>Zawory kulowe</v>
      </c>
      <c r="B29" s="585" t="s">
        <v>46</v>
      </c>
      <c r="C29" s="586" t="s">
        <v>7414</v>
      </c>
      <c r="D29" s="586" t="s">
        <v>5917</v>
      </c>
      <c r="E29" s="586" t="s">
        <v>5961</v>
      </c>
      <c r="F29" s="581" t="str">
        <f t="shared" si="0"/>
        <v>29❶Kulové kohouty</v>
      </c>
      <c r="G29" s="582" t="str">
        <f t="shared" si="1"/>
        <v>'DICTIONARY-1'!$A$29</v>
      </c>
      <c r="I29" s="688"/>
    </row>
    <row r="30" spans="1:9" x14ac:dyDescent="0.25">
      <c r="A30" s="508" t="str">
        <f>IF(CHOOSE(SET.LANGUAGE,'DICTIONARY-1'!B30,'DICTIONARY-1'!C30,'DICTIONARY-1'!D30,'DICTIONARY-1'!E30,'DICTIONARY-1'!F30)=0,("??? "&amp;"DICTIONARY-1/"&amp;"LINE"&amp;(ROW(A30))),CHOOSE(SET.LANGUAGE,'DICTIONARY-1'!B30,'DICTIONARY-1'!C30,'DICTIONARY-1'!D30,'DICTIONARY-1'!E30,'DICTIONARY-1'!F30))</f>
        <v>Przepustnice</v>
      </c>
      <c r="B30" s="585" t="s">
        <v>5969</v>
      </c>
      <c r="C30" s="586" t="s">
        <v>7392</v>
      </c>
      <c r="D30" s="584" t="str">
        <f>D28</f>
        <v>Butterfly Valves</v>
      </c>
      <c r="E30" s="584" t="str">
        <f>E28</f>
        <v>Przepustnice</v>
      </c>
      <c r="F30" s="581" t="str">
        <f t="shared" si="0"/>
        <v>30❶Uzavírací klapky a kulové kohouty</v>
      </c>
      <c r="G30" s="582" t="str">
        <f t="shared" si="1"/>
        <v>'DICTIONARY-1'!$A$30</v>
      </c>
      <c r="I30" s="688"/>
    </row>
    <row r="31" spans="1:9" x14ac:dyDescent="0.25">
      <c r="A31" s="508" t="str">
        <f>IF(CHOOSE(SET.LANGUAGE,'DICTIONARY-1'!B31,'DICTIONARY-1'!C31,'DICTIONARY-1'!D31,'DICTIONARY-1'!E31,'DICTIONARY-1'!F31)=0,("??? "&amp;"DICTIONARY-1/"&amp;"LINE"&amp;(ROW(A31))),CHOOSE(SET.LANGUAGE,'DICTIONARY-1'!B31,'DICTIONARY-1'!C31,'DICTIONARY-1'!D31,'DICTIONARY-1'!E31,'DICTIONARY-1'!F31))</f>
        <v>Zawory powietrzne</v>
      </c>
      <c r="B31" s="585" t="s">
        <v>59</v>
      </c>
      <c r="C31" s="586" t="s">
        <v>7393</v>
      </c>
      <c r="D31" s="586" t="s">
        <v>5918</v>
      </c>
      <c r="E31" s="586" t="s">
        <v>5939</v>
      </c>
      <c r="F31" s="581" t="str">
        <f t="shared" si="0"/>
        <v>31❶Od- a zavzdušňovací ventily</v>
      </c>
      <c r="G31" s="582" t="str">
        <f t="shared" si="1"/>
        <v>'DICTIONARY-1'!$A$31</v>
      </c>
      <c r="I31" s="688"/>
    </row>
    <row r="32" spans="1:9" x14ac:dyDescent="0.25">
      <c r="A32" s="508" t="str">
        <f>IF(CHOOSE(SET.LANGUAGE,'DICTIONARY-1'!B32,'DICTIONARY-1'!C32,'DICTIONARY-1'!D32,'DICTIONARY-1'!E32,'DICTIONARY-1'!F32)=0,("??? "&amp;"DICTIONARY-1/"&amp;"LINE"&amp;(ROW(A32))),CHOOSE(SET.LANGUAGE,'DICTIONARY-1'!B32,'DICTIONARY-1'!C32,'DICTIONARY-1'!D32,'DICTIONARY-1'!E32,'DICTIONARY-1'!F32))</f>
        <v>Zawory regulacyjne</v>
      </c>
      <c r="B32" s="585" t="s">
        <v>47</v>
      </c>
      <c r="C32" s="586" t="s">
        <v>7415</v>
      </c>
      <c r="D32" s="586" t="s">
        <v>5919</v>
      </c>
      <c r="E32" s="586" t="s">
        <v>5940</v>
      </c>
      <c r="F32" s="581" t="str">
        <f t="shared" si="0"/>
        <v>32❶Regulační armatury</v>
      </c>
      <c r="G32" s="582" t="str">
        <f t="shared" si="1"/>
        <v>'DICTIONARY-1'!$A$32</v>
      </c>
      <c r="I32" s="688"/>
    </row>
    <row r="33" spans="1:9" x14ac:dyDescent="0.25">
      <c r="A33" s="508" t="str">
        <f>IF(CHOOSE(SET.LANGUAGE,'DICTIONARY-1'!B33,'DICTIONARY-1'!C33,'DICTIONARY-1'!D33,'DICTIONARY-1'!E33,'DICTIONARY-1'!F33)=0,("??? "&amp;"DICTIONARY-1/"&amp;"LINE"&amp;(ROW(A33))),CHOOSE(SET.LANGUAGE,'DICTIONARY-1'!B33,'DICTIONARY-1'!C33,'DICTIONARY-1'!D33,'DICTIONARY-1'!E33,'DICTIONARY-1'!F33))</f>
        <v>Inna armatura</v>
      </c>
      <c r="B33" s="585" t="s">
        <v>73</v>
      </c>
      <c r="C33" s="586" t="s">
        <v>7394</v>
      </c>
      <c r="D33" s="586" t="s">
        <v>5920</v>
      </c>
      <c r="E33" s="586" t="s">
        <v>5941</v>
      </c>
      <c r="F33" s="581" t="str">
        <f t="shared" si="0"/>
        <v>33❶Ostatní armatury</v>
      </c>
      <c r="G33" s="582" t="str">
        <f t="shared" si="1"/>
        <v>'DICTIONARY-1'!$A$33</v>
      </c>
      <c r="I33" s="688"/>
    </row>
    <row r="34" spans="1:9" x14ac:dyDescent="0.25">
      <c r="A34" s="508" t="str">
        <f>IF(CHOOSE(SET.LANGUAGE,'DICTIONARY-1'!B34,'DICTIONARY-1'!C34,'DICTIONARY-1'!D34,'DICTIONARY-1'!E34,'DICTIONARY-1'!F34)=0,("??? "&amp;"DICTIONARY-1/"&amp;"LINE"&amp;(ROW(A34))),CHOOSE(SET.LANGUAGE,'DICTIONARY-1'!B34,'DICTIONARY-1'!C34,'DICTIONARY-1'!D34,'DICTIONARY-1'!E34,'DICTIONARY-1'!F34))</f>
        <v>Akcesoria</v>
      </c>
      <c r="B34" s="585" t="s">
        <v>5082</v>
      </c>
      <c r="C34" s="586" t="s">
        <v>7395</v>
      </c>
      <c r="D34" s="586" t="s">
        <v>5921</v>
      </c>
      <c r="E34" s="586" t="s">
        <v>5942</v>
      </c>
      <c r="F34" s="581" t="str">
        <f t="shared" si="0"/>
        <v>34❶Příslušenství</v>
      </c>
      <c r="G34" s="582" t="str">
        <f t="shared" si="1"/>
        <v>'DICTIONARY-1'!$A$34</v>
      </c>
      <c r="I34" s="688"/>
    </row>
    <row r="35" spans="1:9" ht="15" customHeight="1" x14ac:dyDescent="0.25">
      <c r="A35" s="508" t="str">
        <f>IF(CHOOSE(SET.LANGUAGE,'DICTIONARY-1'!B35,'DICTIONARY-1'!C35,'DICTIONARY-1'!D35,'DICTIONARY-1'!E35,'DICTIONARY-1'!F35)=0,("??? "&amp;"DICTIONARY-1/"&amp;"LINE"&amp;(ROW(A35))),CHOOSE(SET.LANGUAGE,'DICTIONARY-1'!B35,'DICTIONARY-1'!C35,'DICTIONARY-1'!D35,'DICTIONARY-1'!E35,'DICTIONARY-1'!F35))</f>
        <v>BAIOplus System</v>
      </c>
      <c r="B35" s="585" t="s">
        <v>5904</v>
      </c>
      <c r="C35" s="586" t="s">
        <v>5904</v>
      </c>
      <c r="D35" s="586" t="s">
        <v>5943</v>
      </c>
      <c r="E35" s="586" t="s">
        <v>5943</v>
      </c>
      <c r="F35" s="581" t="str">
        <f t="shared" si="0"/>
        <v>35❶BAIOplus Systém</v>
      </c>
      <c r="G35" s="582" t="str">
        <f t="shared" si="1"/>
        <v>'DICTIONARY-1'!$A$35</v>
      </c>
      <c r="I35" s="688"/>
    </row>
    <row r="36" spans="1:9" ht="15" customHeight="1" x14ac:dyDescent="0.25">
      <c r="A36" s="508" t="str">
        <f>IF(CHOOSE(SET.LANGUAGE,'DICTIONARY-1'!B36,'DICTIONARY-1'!C36,'DICTIONARY-1'!D36,'DICTIONARY-1'!E36,'DICTIONARY-1'!F36)=0,("??? "&amp;"DICTIONARY-1/"&amp;"LINE"&amp;(ROW(A36))),CHOOSE(SET.LANGUAGE,'DICTIONARY-1'!B36,'DICTIONARY-1'!C36,'DICTIONARY-1'!D36,'DICTIONARY-1'!E36,'DICTIONARY-1'!F36))</f>
        <v>Armatura gazowa</v>
      </c>
      <c r="B36" s="585" t="s">
        <v>60</v>
      </c>
      <c r="C36" s="586" t="s">
        <v>7416</v>
      </c>
      <c r="D36" s="586" t="s">
        <v>5922</v>
      </c>
      <c r="E36" s="586" t="s">
        <v>5944</v>
      </c>
      <c r="F36" s="581" t="str">
        <f t="shared" si="0"/>
        <v>36❶Plynárenské armatury</v>
      </c>
      <c r="G36" s="582" t="str">
        <f t="shared" si="1"/>
        <v>'DICTIONARY-1'!$A$36</v>
      </c>
      <c r="I36" s="688"/>
    </row>
    <row r="37" spans="1:9" ht="15" customHeight="1" x14ac:dyDescent="0.25">
      <c r="A37" s="508" t="str">
        <f>IF(CHOOSE(SET.LANGUAGE,'DICTIONARY-1'!B37,'DICTIONARY-1'!C37,'DICTIONARY-1'!D37,'DICTIONARY-1'!E37,'DICTIONARY-1'!F37)=0,("??? "&amp;"DICTIONARY-1/"&amp;"LINE"&amp;(ROW(A37))),CHOOSE(SET.LANGUAGE,'DICTIONARY-1'!B37,'DICTIONARY-1'!C37,'DICTIONARY-1'!D37,'DICTIONARY-1'!E37,'DICTIONARY-1'!F37))</f>
        <v>LOCK System</v>
      </c>
      <c r="B37" s="585" t="s">
        <v>6811</v>
      </c>
      <c r="C37" s="586" t="s">
        <v>6811</v>
      </c>
      <c r="D37" s="586" t="s">
        <v>6812</v>
      </c>
      <c r="E37" s="586" t="s">
        <v>6812</v>
      </c>
      <c r="F37" s="581" t="str">
        <f t="shared" si="0"/>
        <v>37❶LOCK Systém</v>
      </c>
      <c r="G37" s="582" t="str">
        <f t="shared" ref="G37" si="6">"'DICTIONARY-1'!$A$"&amp;ROW(A37)</f>
        <v>'DICTIONARY-1'!$A$37</v>
      </c>
      <c r="I37" s="688"/>
    </row>
  </sheetData>
  <sheetProtection algorithmName="SHA-512" hashValue="yRYgPbIdyNsKIjCFfk46QWQwB2qX/VLDiMWKzK9hJFf9FAIqrAhRf76UMvKYg+v3PwGnPq+ZQ9R45WkS/sk3gQ==" saltValue="MF3LP2nuRf4i2SO/ApQiOw==" spinCount="100000" sheet="1" objects="1" scenarios="1" autoFilter="0"/>
  <conditionalFormatting sqref="B1:E3 B5:E10 B12:E1048576">
    <cfRule type="containsBlanks" dxfId="25" priority="4">
      <formula>LEN(TRIM(B1))=0</formula>
    </cfRule>
  </conditionalFormatting>
  <conditionalFormatting sqref="B4:E4">
    <cfRule type="containsBlanks" dxfId="24" priority="2">
      <formula>LEN(TRIM(B4))=0</formula>
    </cfRule>
  </conditionalFormatting>
  <conditionalFormatting sqref="B11:E11">
    <cfRule type="containsBlanks" dxfId="23" priority="1">
      <formula>LEN(TRIM(B11))=0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3">
    <tabColor rgb="FFFF0000"/>
    <pageSetUpPr fitToPage="1"/>
  </sheetPr>
  <dimension ref="B1:K97"/>
  <sheetViews>
    <sheetView workbookViewId="0"/>
  </sheetViews>
  <sheetFormatPr defaultColWidth="9.140625" defaultRowHeight="15.75" x14ac:dyDescent="0.25"/>
  <cols>
    <col min="1" max="1" width="2.85546875" style="378" customWidth="1"/>
    <col min="2" max="2" width="7.140625" style="378" customWidth="1"/>
    <col min="3" max="3" width="46.42578125" style="378" bestFit="1" customWidth="1"/>
    <col min="4" max="4" width="17.28515625" style="378" customWidth="1"/>
    <col min="5" max="5" width="2.85546875" style="378" customWidth="1"/>
    <col min="6" max="6" width="14.28515625" style="378" customWidth="1"/>
    <col min="7" max="7" width="11.42578125" style="378" customWidth="1"/>
    <col min="8" max="9" width="11.28515625" style="378" customWidth="1"/>
    <col min="10" max="10" width="14.42578125" style="378" customWidth="1"/>
    <col min="11" max="11" width="3.5703125" style="378" customWidth="1"/>
    <col min="12" max="16384" width="9.140625" style="378"/>
  </cols>
  <sheetData>
    <row r="1" spans="2:11" s="420" customFormat="1" ht="45" customHeight="1" thickBot="1" x14ac:dyDescent="0.3"/>
    <row r="2" spans="2:11" s="433" customFormat="1" ht="4.5" customHeight="1" x14ac:dyDescent="0.25"/>
    <row r="3" spans="2:11" ht="15" customHeight="1" thickBot="1" x14ac:dyDescent="0.3"/>
    <row r="4" spans="2:11" ht="22.5" customHeight="1" x14ac:dyDescent="0.25">
      <c r="B4" s="917" t="str">
        <f>UPPER('DICTIONARY-1'!$A$11)</f>
        <v xml:space="preserve">RABATY UMOWNE </v>
      </c>
      <c r="C4" s="918"/>
      <c r="D4" s="919"/>
      <c r="F4" s="917" t="str">
        <f>UPPER('DICTIONARY-1'!$A$15)</f>
        <v>USTAWIENIE WALUTY</v>
      </c>
      <c r="G4" s="918"/>
      <c r="H4" s="918"/>
      <c r="I4" s="918"/>
      <c r="J4" s="919"/>
      <c r="K4" s="906" t="s">
        <v>8314</v>
      </c>
    </row>
    <row r="5" spans="2:11" ht="37.5" customHeight="1" x14ac:dyDescent="0.25">
      <c r="B5" s="920" t="str">
        <f>'DICTIONARY-1'!$A$12&amp;" "&amp;"2022"</f>
        <v>Wpisz rabaty dla grup zgodnie z podpisaną umową handlową na rok 2022</v>
      </c>
      <c r="C5" s="921"/>
      <c r="D5" s="922"/>
      <c r="F5" s="920" t="str">
        <f>'DICTIONARY-1'!$A$16</f>
        <v>Możesz użyć tej tabeli do ustawienia własnego sposobu wyświetlania cen w tabelach</v>
      </c>
      <c r="G5" s="921"/>
      <c r="H5" s="921"/>
      <c r="I5" s="921"/>
      <c r="J5" s="922"/>
      <c r="K5" s="906"/>
    </row>
    <row r="6" spans="2:11" ht="21.75" customHeight="1" thickBot="1" x14ac:dyDescent="0.3">
      <c r="B6" s="656" t="s">
        <v>57</v>
      </c>
      <c r="C6" s="380" t="str">
        <f>'DICTIONARY-1'!$A$10</f>
        <v>Grupa rabatowa</v>
      </c>
      <c r="D6" s="511" t="str">
        <f>'DICTIONARY-1'!$A$14</f>
        <v>Rabat</v>
      </c>
      <c r="F6" s="656"/>
      <c r="G6" s="380" t="str">
        <f>'DICTIONARY-1'!$A$17</f>
        <v>Kod</v>
      </c>
      <c r="H6" s="916" t="str">
        <f>'DICTIONARY-1'!$A$19</f>
        <v>Kurs</v>
      </c>
      <c r="I6" s="916"/>
      <c r="J6" s="511" t="str">
        <f>'DICTIONARY-1'!$A$18</f>
        <v>Format</v>
      </c>
      <c r="K6" s="906"/>
    </row>
    <row r="7" spans="2:11" ht="16.5" customHeight="1" thickBot="1" x14ac:dyDescent="0.3">
      <c r="B7" s="899" t="s">
        <v>7817</v>
      </c>
      <c r="C7" s="896" t="str">
        <f>'DICTIONARY-7'!$A$2</f>
        <v xml:space="preserve">BETA HA, BETA-ZZ, BETA-Z (cast iron) </v>
      </c>
      <c r="D7" s="895">
        <v>0</v>
      </c>
      <c r="E7" s="379"/>
      <c r="F7" s="695" t="str">
        <f>'DICTIONARY-1'!$A$20&amp;" 1"</f>
        <v>Waluta 1</v>
      </c>
      <c r="G7" s="657" t="s">
        <v>76</v>
      </c>
      <c r="H7" s="664">
        <v>1</v>
      </c>
      <c r="I7" s="660"/>
      <c r="J7" s="661"/>
      <c r="K7" s="906"/>
    </row>
    <row r="8" spans="2:11" ht="16.5" customHeight="1" thickTop="1" thickBot="1" x14ac:dyDescent="0.3">
      <c r="B8" s="900" t="s">
        <v>8155</v>
      </c>
      <c r="C8" s="897" t="str">
        <f>'DICTIONARY-7'!$A$3</f>
        <v xml:space="preserve">BETA-K, BETA-Z (brass) </v>
      </c>
      <c r="D8" s="800">
        <v>0</v>
      </c>
      <c r="E8" s="379"/>
      <c r="F8" s="696" t="str">
        <f>'DICTIONARY-1'!$A$20&amp;" 2"</f>
        <v>Waluta 2</v>
      </c>
      <c r="G8" s="697" t="s">
        <v>8312</v>
      </c>
      <c r="H8" s="698"/>
      <c r="I8" s="663"/>
      <c r="J8" s="662"/>
      <c r="K8" s="906"/>
    </row>
    <row r="9" spans="2:11" ht="17.25" customHeight="1" thickTop="1" thickBot="1" x14ac:dyDescent="0.3">
      <c r="B9" s="900" t="s">
        <v>7850</v>
      </c>
      <c r="C9" s="897" t="str">
        <f>'DICTIONARY-7'!$A$4</f>
        <v>BETA 200 BAIO</v>
      </c>
      <c r="D9" s="800">
        <v>0</v>
      </c>
      <c r="E9" s="379"/>
      <c r="F9" s="506"/>
      <c r="G9" s="507"/>
      <c r="H9" s="507"/>
      <c r="I9" s="507"/>
    </row>
    <row r="10" spans="2:11" ht="17.25" customHeight="1" thickTop="1" thickBot="1" x14ac:dyDescent="0.3">
      <c r="B10" s="900" t="s">
        <v>7787</v>
      </c>
      <c r="C10" s="897" t="str">
        <f>'DICTIONARY-7'!$A$5</f>
        <v>BETA 200</v>
      </c>
      <c r="D10" s="800">
        <v>0</v>
      </c>
      <c r="E10" s="379"/>
      <c r="F10" s="913" t="str">
        <f>UPPER('DICTIONARY-1'!$A$22)</f>
        <v>USTAWIENIA JĘZYKA</v>
      </c>
      <c r="G10" s="914"/>
      <c r="H10" s="915"/>
    </row>
    <row r="11" spans="2:11" ht="17.25" customHeight="1" thickTop="1" thickBot="1" x14ac:dyDescent="0.3">
      <c r="B11" s="900" t="s">
        <v>7788</v>
      </c>
      <c r="C11" s="897" t="str">
        <f>'DICTIONARY-7'!$A$6</f>
        <v>BETA 200 Exchange Valve</v>
      </c>
      <c r="D11" s="800">
        <v>0</v>
      </c>
      <c r="E11" s="379"/>
      <c r="F11" s="907"/>
      <c r="G11" s="908"/>
      <c r="H11" s="909"/>
    </row>
    <row r="12" spans="2:11" ht="17.25" customHeight="1" thickTop="1" thickBot="1" x14ac:dyDescent="0.3">
      <c r="B12" s="900" t="s">
        <v>7789</v>
      </c>
      <c r="C12" s="897" t="str">
        <f>'DICTIONARY-7'!$A$7</f>
        <v>EKOplus</v>
      </c>
      <c r="D12" s="800">
        <v>0</v>
      </c>
      <c r="E12" s="379"/>
      <c r="F12" s="910"/>
      <c r="G12" s="911"/>
      <c r="H12" s="912"/>
    </row>
    <row r="13" spans="2:11" ht="17.25" customHeight="1" thickTop="1" thickBot="1" x14ac:dyDescent="0.3">
      <c r="B13" s="900" t="s">
        <v>7791</v>
      </c>
      <c r="C13" s="897" t="str">
        <f>'DICTIONARY-7'!$A$8</f>
        <v>EKOplus PE Water</v>
      </c>
      <c r="D13" s="800">
        <v>0</v>
      </c>
      <c r="E13" s="379"/>
    </row>
    <row r="14" spans="2:11" ht="17.25" customHeight="1" thickTop="1" thickBot="1" x14ac:dyDescent="0.3">
      <c r="B14" s="900" t="s">
        <v>7852</v>
      </c>
      <c r="C14" s="897" t="str">
        <f>'DICTIONARY-7'!$A$9</f>
        <v>EKOplus Gas</v>
      </c>
      <c r="D14" s="800">
        <v>0</v>
      </c>
      <c r="E14" s="379"/>
      <c r="F14" s="728"/>
      <c r="G14" s="728"/>
      <c r="H14" s="728"/>
      <c r="I14" s="728"/>
      <c r="J14" s="728"/>
    </row>
    <row r="15" spans="2:11" ht="17.25" customHeight="1" thickTop="1" thickBot="1" x14ac:dyDescent="0.3">
      <c r="B15" s="900" t="s">
        <v>7793</v>
      </c>
      <c r="C15" s="897" t="str">
        <f>'DICTIONARY-7'!$A$10</f>
        <v>EKOplus Sea Water</v>
      </c>
      <c r="D15" s="800">
        <v>0</v>
      </c>
      <c r="E15" s="379"/>
      <c r="F15" s="728"/>
      <c r="G15" s="728"/>
      <c r="H15" s="728"/>
      <c r="I15" s="728"/>
      <c r="J15" s="728"/>
    </row>
    <row r="16" spans="2:11" ht="17.25" customHeight="1" thickTop="1" thickBot="1" x14ac:dyDescent="0.3">
      <c r="B16" s="900" t="s">
        <v>7792</v>
      </c>
      <c r="C16" s="897" t="str">
        <f>'DICTIONARY-7'!$A$11</f>
        <v>EKOplus Waste Water</v>
      </c>
      <c r="D16" s="800">
        <v>0</v>
      </c>
      <c r="E16" s="379"/>
      <c r="F16" s="728"/>
      <c r="G16" s="728"/>
      <c r="H16" s="728"/>
      <c r="I16" s="728"/>
      <c r="J16" s="728"/>
    </row>
    <row r="17" spans="2:10" ht="17.25" customHeight="1" thickTop="1" thickBot="1" x14ac:dyDescent="0.3">
      <c r="B17" s="900" t="s">
        <v>7790</v>
      </c>
      <c r="C17" s="897" t="str">
        <f>'DICTIONARY-7'!$A$12</f>
        <v>EKOplus (with Actuator)</v>
      </c>
      <c r="D17" s="800">
        <v>0</v>
      </c>
      <c r="E17" s="379"/>
      <c r="F17" s="728"/>
      <c r="G17" s="728"/>
      <c r="H17" s="728"/>
      <c r="I17" s="728"/>
      <c r="J17" s="728"/>
    </row>
    <row r="18" spans="2:10" ht="17.25" customHeight="1" thickTop="1" thickBot="1" x14ac:dyDescent="0.3">
      <c r="B18" s="900" t="s">
        <v>7794</v>
      </c>
      <c r="C18" s="897" t="str">
        <f>'DICTIONARY-7'!$A$13</f>
        <v>IKOplus</v>
      </c>
      <c r="D18" s="800">
        <v>0</v>
      </c>
      <c r="E18" s="379"/>
      <c r="F18" s="728"/>
      <c r="G18" s="728"/>
      <c r="H18" s="728"/>
      <c r="I18" s="728"/>
      <c r="J18" s="728"/>
    </row>
    <row r="19" spans="2:10" ht="18.75" customHeight="1" thickTop="1" thickBot="1" x14ac:dyDescent="0.3">
      <c r="B19" s="900" t="s">
        <v>7799</v>
      </c>
      <c r="C19" s="897" t="str">
        <f>'DICTIONARY-7'!$A$14</f>
        <v>ERIplus</v>
      </c>
      <c r="D19" s="800">
        <v>0</v>
      </c>
      <c r="E19" s="379"/>
      <c r="F19" s="728"/>
      <c r="G19" s="728"/>
      <c r="H19" s="728"/>
      <c r="I19" s="728"/>
      <c r="J19" s="728"/>
    </row>
    <row r="20" spans="2:10" ht="18.75" customHeight="1" thickTop="1" thickBot="1" x14ac:dyDescent="0.3">
      <c r="B20" s="900" t="s">
        <v>7800</v>
      </c>
      <c r="C20" s="897" t="str">
        <f>'DICTIONARY-7'!$A$15</f>
        <v>EROXplus</v>
      </c>
      <c r="D20" s="800">
        <v>0</v>
      </c>
      <c r="E20" s="379"/>
      <c r="F20" s="728"/>
      <c r="G20" s="728"/>
      <c r="H20" s="728"/>
      <c r="I20" s="728"/>
      <c r="J20" s="728"/>
    </row>
    <row r="21" spans="2:10" ht="18.75" customHeight="1" thickTop="1" thickBot="1" x14ac:dyDescent="0.3">
      <c r="B21" s="900" t="s">
        <v>7795</v>
      </c>
      <c r="C21" s="897" t="str">
        <f>'DICTIONARY-7'!$A$16</f>
        <v>MONO</v>
      </c>
      <c r="D21" s="800">
        <v>0</v>
      </c>
      <c r="E21" s="379"/>
    </row>
    <row r="22" spans="2:10" ht="18.75" customHeight="1" thickTop="1" thickBot="1" x14ac:dyDescent="0.3">
      <c r="B22" s="900" t="s">
        <v>7796</v>
      </c>
      <c r="C22" s="897" t="str">
        <f>'DICTIONARY-7'!$A$17</f>
        <v>ZETA</v>
      </c>
      <c r="D22" s="800">
        <v>0</v>
      </c>
      <c r="E22" s="379"/>
    </row>
    <row r="23" spans="2:10" ht="17.25" customHeight="1" thickTop="1" thickBot="1" x14ac:dyDescent="0.3">
      <c r="B23" s="900" t="s">
        <v>7980</v>
      </c>
      <c r="C23" s="897" t="str">
        <f>'DICTIONARY-7'!$A$18</f>
        <v>ZETAcontrol</v>
      </c>
      <c r="D23" s="800">
        <v>0</v>
      </c>
      <c r="E23" s="379"/>
    </row>
    <row r="24" spans="2:10" ht="17.25" customHeight="1" thickTop="1" thickBot="1" x14ac:dyDescent="0.3">
      <c r="B24" s="900" t="s">
        <v>7797</v>
      </c>
      <c r="C24" s="897" t="str">
        <f>'DICTIONARY-7'!$A$19</f>
        <v>ZETA (with E-Actuator)</v>
      </c>
      <c r="D24" s="800">
        <v>0</v>
      </c>
      <c r="E24" s="379"/>
    </row>
    <row r="25" spans="2:10" ht="17.25" customHeight="1" thickTop="1" thickBot="1" x14ac:dyDescent="0.3">
      <c r="B25" s="900" t="s">
        <v>7798</v>
      </c>
      <c r="C25" s="897" t="str">
        <f>'DICTIONARY-7'!$A$20</f>
        <v>ZETA (with Pneumatic Actuator)</v>
      </c>
      <c r="D25" s="800">
        <v>0</v>
      </c>
      <c r="E25" s="379"/>
    </row>
    <row r="26" spans="2:10" ht="17.25" customHeight="1" thickTop="1" thickBot="1" x14ac:dyDescent="0.3">
      <c r="B26" s="900" t="s">
        <v>7810</v>
      </c>
      <c r="C26" s="897" t="str">
        <f>'DICTIONARY-7'!$A$21</f>
        <v>Drilling Sets</v>
      </c>
      <c r="D26" s="800">
        <v>0</v>
      </c>
      <c r="E26" s="379"/>
    </row>
    <row r="27" spans="2:10" ht="17.25" customHeight="1" thickTop="1" thickBot="1" x14ac:dyDescent="0.3">
      <c r="B27" s="900" t="s">
        <v>7812</v>
      </c>
      <c r="C27" s="897" t="str">
        <f>'DICTIONARY-7'!$A$22</f>
        <v>HOD</v>
      </c>
      <c r="D27" s="800">
        <v>0</v>
      </c>
      <c r="E27" s="379"/>
    </row>
    <row r="28" spans="2:10" ht="17.25" customHeight="1" thickTop="1" thickBot="1" x14ac:dyDescent="0.3">
      <c r="B28" s="900" t="s">
        <v>7819</v>
      </c>
      <c r="C28" s="897" t="str">
        <f>'DICTIONARY-7'!$A$23</f>
        <v>HODlock</v>
      </c>
      <c r="D28" s="800">
        <v>0</v>
      </c>
      <c r="E28" s="379"/>
    </row>
    <row r="29" spans="2:10" ht="17.25" customHeight="1" thickTop="1" thickBot="1" x14ac:dyDescent="0.3">
      <c r="B29" s="900" t="s">
        <v>7811</v>
      </c>
      <c r="C29" s="897" t="str">
        <f>'DICTIONARY-7'!$A$24</f>
        <v>House Connection Bracket</v>
      </c>
      <c r="D29" s="800">
        <v>0</v>
      </c>
    </row>
    <row r="30" spans="2:10" ht="17.25" customHeight="1" thickTop="1" thickBot="1" x14ac:dyDescent="0.3">
      <c r="B30" s="900" t="s">
        <v>7816</v>
      </c>
      <c r="C30" s="897" t="str">
        <f>'DICTIONARY-7'!$A$25</f>
        <v>PE Sleeve (TERRA-K12)</v>
      </c>
      <c r="D30" s="800">
        <v>0</v>
      </c>
      <c r="E30" s="728"/>
      <c r="F30" s="728"/>
      <c r="G30" s="728"/>
      <c r="H30" s="728"/>
      <c r="I30" s="728"/>
      <c r="J30" s="728"/>
    </row>
    <row r="31" spans="2:10" ht="17.25" customHeight="1" thickTop="1" thickBot="1" x14ac:dyDescent="0.3">
      <c r="B31" s="900" t="s">
        <v>7814</v>
      </c>
      <c r="C31" s="897" t="str">
        <f>'DICTIONARY-7'!$A$26</f>
        <v>TERRA K1 PVC</v>
      </c>
      <c r="D31" s="800">
        <v>0</v>
      </c>
      <c r="E31" s="728"/>
      <c r="F31" s="728"/>
      <c r="G31" s="728"/>
      <c r="H31" s="728"/>
      <c r="I31" s="728"/>
      <c r="J31" s="728"/>
    </row>
    <row r="32" spans="2:10" ht="17.25" customHeight="1" thickTop="1" thickBot="1" x14ac:dyDescent="0.3">
      <c r="B32" s="900" t="s">
        <v>8166</v>
      </c>
      <c r="C32" s="897" t="str">
        <f>'DICTIONARY-7'!$A$27</f>
        <v>TERRA K2 PE-HD</v>
      </c>
      <c r="D32" s="800">
        <v>0</v>
      </c>
      <c r="E32" s="728"/>
      <c r="F32" s="728"/>
      <c r="G32" s="728"/>
      <c r="H32" s="728"/>
      <c r="I32" s="728"/>
      <c r="J32" s="728"/>
    </row>
    <row r="33" spans="2:4" ht="17.25" customHeight="1" thickTop="1" thickBot="1" x14ac:dyDescent="0.3">
      <c r="B33" s="900" t="s">
        <v>8167</v>
      </c>
      <c r="C33" s="897" t="str">
        <f>'DICTIONARY-7'!$A$28</f>
        <v>TERRA K3</v>
      </c>
      <c r="D33" s="800">
        <v>0</v>
      </c>
    </row>
    <row r="34" spans="2:4" ht="17.25" customHeight="1" thickTop="1" thickBot="1" x14ac:dyDescent="0.3">
      <c r="B34" s="900" t="s">
        <v>7821</v>
      </c>
      <c r="C34" s="897" t="str">
        <f>'DICTIONARY-7'!$A$29</f>
        <v>TERRA K3 BAIO</v>
      </c>
      <c r="D34" s="800">
        <v>0</v>
      </c>
    </row>
    <row r="35" spans="2:4" ht="17.25" customHeight="1" thickTop="1" thickBot="1" x14ac:dyDescent="0.3">
      <c r="B35" s="900" t="s">
        <v>8168</v>
      </c>
      <c r="C35" s="897" t="str">
        <f>'DICTIONARY-7'!$A$30</f>
        <v>TERRA K4</v>
      </c>
      <c r="D35" s="800">
        <v>0</v>
      </c>
    </row>
    <row r="36" spans="2:4" ht="17.25" customHeight="1" thickTop="1" thickBot="1" x14ac:dyDescent="0.3">
      <c r="B36" s="900" t="s">
        <v>7820</v>
      </c>
      <c r="C36" s="897" t="str">
        <f>'DICTIONARY-7'!$A$31</f>
        <v>TERRA M1 BAIO</v>
      </c>
      <c r="D36" s="800">
        <v>0</v>
      </c>
    </row>
    <row r="37" spans="2:4" ht="17.25" customHeight="1" thickTop="1" thickBot="1" x14ac:dyDescent="0.3">
      <c r="B37" s="900" t="s">
        <v>7813</v>
      </c>
      <c r="C37" s="897" t="str">
        <f>'DICTIONARY-7'!$A$32</f>
        <v>TERRA M1/TERRAlock</v>
      </c>
      <c r="D37" s="800">
        <v>0</v>
      </c>
    </row>
    <row r="38" spans="2:4" ht="17.25" customHeight="1" thickTop="1" thickBot="1" x14ac:dyDescent="0.3">
      <c r="B38" s="900" t="s">
        <v>7815</v>
      </c>
      <c r="C38" s="897" t="str">
        <f>'DICTIONARY-7'!$A$33</f>
        <v>TERRA-K12</v>
      </c>
      <c r="D38" s="800">
        <v>0</v>
      </c>
    </row>
    <row r="39" spans="2:4" ht="17.25" customHeight="1" thickTop="1" thickBot="1" x14ac:dyDescent="0.3">
      <c r="B39" s="900" t="s">
        <v>7851</v>
      </c>
      <c r="C39" s="897" t="str">
        <f>'DICTIONARY-7'!$A$34</f>
        <v>BAIO Fittings</v>
      </c>
      <c r="D39" s="800">
        <v>0</v>
      </c>
    </row>
    <row r="40" spans="2:4" ht="17.25" customHeight="1" thickTop="1" thickBot="1" x14ac:dyDescent="0.3">
      <c r="B40" s="900" t="s">
        <v>7853</v>
      </c>
      <c r="C40" s="897" t="str">
        <f>'DICTIONARY-7'!$A$35</f>
        <v>EKN (&gt;DN600)</v>
      </c>
      <c r="D40" s="800">
        <v>0</v>
      </c>
    </row>
    <row r="41" spans="2:4" ht="17.25" customHeight="1" thickTop="1" thickBot="1" x14ac:dyDescent="0.3">
      <c r="B41" s="900" t="s">
        <v>7830</v>
      </c>
      <c r="C41" s="897" t="str">
        <f>'DICTIONARY-7'!$A$36</f>
        <v>EKN (≤DN600)</v>
      </c>
      <c r="D41" s="800">
        <v>0</v>
      </c>
    </row>
    <row r="42" spans="2:4" ht="17.25" customHeight="1" thickTop="1" thickBot="1" x14ac:dyDescent="0.3">
      <c r="B42" s="900" t="s">
        <v>7832</v>
      </c>
      <c r="C42" s="897" t="str">
        <f>'DICTIONARY-7'!$A$37</f>
        <v>CEREX 300</v>
      </c>
      <c r="D42" s="800">
        <v>0</v>
      </c>
    </row>
    <row r="43" spans="2:4" ht="17.25" customHeight="1" thickTop="1" thickBot="1" x14ac:dyDescent="0.3">
      <c r="B43" s="900" t="s">
        <v>7834</v>
      </c>
      <c r="C43" s="897" t="str">
        <f>'DICTIONARY-7'!$A$38</f>
        <v>DUOJET</v>
      </c>
      <c r="D43" s="800">
        <v>0</v>
      </c>
    </row>
    <row r="44" spans="2:4" ht="17.25" customHeight="1" thickTop="1" thickBot="1" x14ac:dyDescent="0.3">
      <c r="B44" s="900" t="s">
        <v>7835</v>
      </c>
      <c r="C44" s="897" t="str">
        <f>'DICTIONARY-7'!$A$39</f>
        <v>FLOWJET</v>
      </c>
      <c r="D44" s="800">
        <v>0</v>
      </c>
    </row>
    <row r="45" spans="2:4" ht="17.25" customHeight="1" thickTop="1" thickBot="1" x14ac:dyDescent="0.3">
      <c r="B45" s="900" t="s">
        <v>7836</v>
      </c>
      <c r="C45" s="897" t="str">
        <f>'DICTIONARY-7'!$A$40</f>
        <v>BEV-E</v>
      </c>
      <c r="D45" s="800">
        <v>0</v>
      </c>
    </row>
    <row r="46" spans="2:4" ht="17.25" customHeight="1" thickTop="1" thickBot="1" x14ac:dyDescent="0.3">
      <c r="B46" s="900" t="s">
        <v>7855</v>
      </c>
      <c r="C46" s="897" t="str">
        <f>'DICTIONARY-7'!$A$41</f>
        <v>BEV-Garnitur</v>
      </c>
      <c r="D46" s="800">
        <v>0</v>
      </c>
    </row>
    <row r="47" spans="2:4" ht="17.25" customHeight="1" thickTop="1" thickBot="1" x14ac:dyDescent="0.3">
      <c r="B47" s="900" t="s">
        <v>7837</v>
      </c>
      <c r="C47" s="897" t="str">
        <f>'DICTIONARY-7'!$A$42</f>
        <v>HILL</v>
      </c>
      <c r="D47" s="800">
        <v>0</v>
      </c>
    </row>
    <row r="48" spans="2:4" ht="17.25" customHeight="1" thickTop="1" thickBot="1" x14ac:dyDescent="0.3">
      <c r="B48" s="900" t="s">
        <v>7833</v>
      </c>
      <c r="C48" s="897" t="str">
        <f>'DICTIONARY-7'!$A$43</f>
        <v>TWINJET</v>
      </c>
      <c r="D48" s="800">
        <v>0</v>
      </c>
    </row>
    <row r="49" spans="2:4" ht="17.25" customHeight="1" thickTop="1" thickBot="1" x14ac:dyDescent="0.3">
      <c r="B49" s="900" t="s">
        <v>7827</v>
      </c>
      <c r="C49" s="897" t="str">
        <f>'DICTIONARY-7'!$A$44</f>
        <v>TOP-STOP</v>
      </c>
      <c r="D49" s="800">
        <v>0</v>
      </c>
    </row>
    <row r="50" spans="2:4" ht="17.25" customHeight="1" thickTop="1" thickBot="1" x14ac:dyDescent="0.3">
      <c r="B50" s="900" t="s">
        <v>8175</v>
      </c>
      <c r="C50" s="897" t="str">
        <f>'DICTIONARY-7'!$A$45</f>
        <v>AW Disc Check Valve</v>
      </c>
      <c r="D50" s="800">
        <v>0</v>
      </c>
    </row>
    <row r="51" spans="2:4" ht="17.25" customHeight="1" thickTop="1" thickBot="1" x14ac:dyDescent="0.3">
      <c r="B51" s="900" t="s">
        <v>7826</v>
      </c>
      <c r="C51" s="897" t="str">
        <f>'DICTIONARY-7'!$A$46</f>
        <v>KRV</v>
      </c>
      <c r="D51" s="800">
        <v>0</v>
      </c>
    </row>
    <row r="52" spans="2:4" ht="17.25" customHeight="1" thickTop="1" thickBot="1" x14ac:dyDescent="0.3">
      <c r="B52" s="900" t="s">
        <v>7824</v>
      </c>
      <c r="C52" s="897" t="str">
        <f>'DICTIONARY-7'!$A$47</f>
        <v>RETA</v>
      </c>
      <c r="D52" s="800">
        <v>0</v>
      </c>
    </row>
    <row r="53" spans="2:4" ht="17.25" customHeight="1" thickTop="1" thickBot="1" x14ac:dyDescent="0.3">
      <c r="B53" s="900" t="s">
        <v>7823</v>
      </c>
      <c r="C53" s="897" t="str">
        <f>'DICTIONARY-7'!$A$48</f>
        <v>RETO-STOP</v>
      </c>
      <c r="D53" s="800">
        <v>0</v>
      </c>
    </row>
    <row r="54" spans="2:4" ht="17.25" customHeight="1" thickTop="1" thickBot="1" x14ac:dyDescent="0.3">
      <c r="B54" s="900" t="s">
        <v>7842</v>
      </c>
      <c r="C54" s="897" t="str">
        <f>'DICTIONARY-7'!$A$49</f>
        <v>SAK</v>
      </c>
      <c r="D54" s="800">
        <v>0</v>
      </c>
    </row>
    <row r="55" spans="2:4" ht="17.25" customHeight="1" thickTop="1" thickBot="1" x14ac:dyDescent="0.3">
      <c r="B55" s="900" t="s">
        <v>7828</v>
      </c>
      <c r="C55" s="897" t="str">
        <f>'DICTIONARY-7'!$A$51</f>
        <v>ZETKA</v>
      </c>
      <c r="D55" s="800">
        <v>0</v>
      </c>
    </row>
    <row r="56" spans="2:4" ht="17.25" customHeight="1" thickTop="1" thickBot="1" x14ac:dyDescent="0.3">
      <c r="B56" s="900" t="s">
        <v>7822</v>
      </c>
      <c r="C56" s="897" t="str">
        <f>'DICTIONARY-7'!$A$52</f>
        <v>SKR</v>
      </c>
      <c r="D56" s="800">
        <v>0</v>
      </c>
    </row>
    <row r="57" spans="2:4" ht="17.25" customHeight="1" thickTop="1" thickBot="1" x14ac:dyDescent="0.3">
      <c r="B57" s="900" t="s">
        <v>7829</v>
      </c>
      <c r="C57" s="897" t="str">
        <f>'DICTIONARY-7'!$A$53</f>
        <v>HADE</v>
      </c>
      <c r="D57" s="800">
        <v>0</v>
      </c>
    </row>
    <row r="58" spans="2:4" ht="17.25" customHeight="1" thickTop="1" thickBot="1" x14ac:dyDescent="0.3">
      <c r="B58" s="900" t="s">
        <v>7825</v>
      </c>
      <c r="C58" s="897" t="str">
        <f>'DICTIONARY-7'!$A$54</f>
        <v>LIMU-STOP</v>
      </c>
      <c r="D58" s="800">
        <v>0</v>
      </c>
    </row>
    <row r="59" spans="2:4" ht="17.25" customHeight="1" thickTop="1" thickBot="1" x14ac:dyDescent="0.3">
      <c r="B59" s="900" t="s">
        <v>7840</v>
      </c>
      <c r="C59" s="897" t="str">
        <f>'DICTIONARY-7'!$A$55</f>
        <v>DURA</v>
      </c>
      <c r="D59" s="800">
        <v>0</v>
      </c>
    </row>
    <row r="60" spans="2:4" ht="17.25" customHeight="1" thickTop="1" thickBot="1" x14ac:dyDescent="0.3">
      <c r="B60" s="900" t="s">
        <v>7838</v>
      </c>
      <c r="C60" s="897" t="str">
        <f>'DICTIONARY-7'!$A$56</f>
        <v>PICO-H</v>
      </c>
      <c r="D60" s="800">
        <v>0</v>
      </c>
    </row>
    <row r="61" spans="2:4" ht="17.25" customHeight="1" thickTop="1" thickBot="1" x14ac:dyDescent="0.3">
      <c r="B61" s="900" t="s">
        <v>7802</v>
      </c>
      <c r="C61" s="897" t="str">
        <f>'DICTIONARY-7'!$A$57</f>
        <v>NOVA 284</v>
      </c>
      <c r="D61" s="800">
        <v>0</v>
      </c>
    </row>
    <row r="62" spans="2:4" ht="17.25" customHeight="1" thickTop="1" thickBot="1" x14ac:dyDescent="0.3">
      <c r="B62" s="900" t="s">
        <v>8184</v>
      </c>
      <c r="C62" s="897" t="str">
        <f>'DICTIONARY-7'!$A$58</f>
        <v>NOVA 284 (not used anymore)</v>
      </c>
      <c r="D62" s="800">
        <v>0</v>
      </c>
    </row>
    <row r="63" spans="2:4" ht="17.25" customHeight="1" thickTop="1" thickBot="1" x14ac:dyDescent="0.3">
      <c r="B63" s="900" t="s">
        <v>7804</v>
      </c>
      <c r="C63" s="897" t="str">
        <f>'DICTIONARY-7'!$A$59</f>
        <v>NOVA 1885</v>
      </c>
      <c r="D63" s="800">
        <v>0</v>
      </c>
    </row>
    <row r="64" spans="2:4" ht="17.25" customHeight="1" thickTop="1" thickBot="1" x14ac:dyDescent="0.3">
      <c r="B64" s="900" t="s">
        <v>7805</v>
      </c>
      <c r="C64" s="897" t="str">
        <f>'DICTIONARY-7'!$A$60</f>
        <v>NOVA Niro / 365</v>
      </c>
      <c r="D64" s="800">
        <v>0</v>
      </c>
    </row>
    <row r="65" spans="2:4" ht="17.25" customHeight="1" thickTop="1" thickBot="1" x14ac:dyDescent="0.3">
      <c r="B65" s="900" t="s">
        <v>7806</v>
      </c>
      <c r="C65" s="897" t="str">
        <f>'DICTIONARY-7'!$A$61</f>
        <v>RIGUS</v>
      </c>
      <c r="D65" s="800">
        <v>0</v>
      </c>
    </row>
    <row r="66" spans="2:4" ht="17.25" customHeight="1" thickTop="1" thickBot="1" x14ac:dyDescent="0.3">
      <c r="B66" s="900" t="s">
        <v>7803</v>
      </c>
      <c r="C66" s="897" t="str">
        <f>'DICTIONARY-7'!$A$62</f>
        <v>UEH NOVA 150 AU/AFU</v>
      </c>
      <c r="D66" s="800">
        <v>0</v>
      </c>
    </row>
    <row r="67" spans="2:4" ht="17.25" customHeight="1" thickTop="1" thickBot="1" x14ac:dyDescent="0.3">
      <c r="B67" s="900" t="s">
        <v>8186</v>
      </c>
      <c r="C67" s="897" t="str">
        <f>'DICTIONARY-7'!$A$63</f>
        <v>SUPRA</v>
      </c>
      <c r="D67" s="800">
        <v>0</v>
      </c>
    </row>
    <row r="68" spans="2:4" ht="17.25" customHeight="1" thickTop="1" thickBot="1" x14ac:dyDescent="0.3">
      <c r="B68" s="900" t="s">
        <v>8188</v>
      </c>
      <c r="C68" s="897" t="str">
        <f>'DICTIONARY-7'!$A$64</f>
        <v>HYDRUS BAIO / SUPRA BAIO</v>
      </c>
      <c r="D68" s="800">
        <v>0</v>
      </c>
    </row>
    <row r="69" spans="2:4" ht="17.25" customHeight="1" thickTop="1" thickBot="1" x14ac:dyDescent="0.3">
      <c r="B69" s="900" t="s">
        <v>7801</v>
      </c>
      <c r="C69" s="897" t="str">
        <f>'DICTIONARY-7'!$A$65</f>
        <v>HYDRUS G</v>
      </c>
      <c r="D69" s="800">
        <v>0</v>
      </c>
    </row>
    <row r="70" spans="2:4" ht="17.25" customHeight="1" thickTop="1" thickBot="1" x14ac:dyDescent="0.3">
      <c r="B70" s="900" t="s">
        <v>7845</v>
      </c>
      <c r="C70" s="897" t="str">
        <f>'DICTIONARY-7'!$A$66</f>
        <v>LADA</v>
      </c>
      <c r="D70" s="800">
        <v>0</v>
      </c>
    </row>
    <row r="71" spans="2:4" ht="17.25" customHeight="1" thickTop="1" thickBot="1" x14ac:dyDescent="0.3">
      <c r="B71" s="900" t="s">
        <v>7847</v>
      </c>
      <c r="C71" s="897" t="str">
        <f>'DICTIONARY-7'!$A$67</f>
        <v>Telemax Accessories</v>
      </c>
      <c r="D71" s="800">
        <v>0</v>
      </c>
    </row>
    <row r="72" spans="2:4" ht="17.25" customHeight="1" thickTop="1" thickBot="1" x14ac:dyDescent="0.3">
      <c r="B72" s="900" t="s">
        <v>7848</v>
      </c>
      <c r="C72" s="897" t="str">
        <f>'DICTIONARY-7'!$A$68</f>
        <v>Telemax Galvanized</v>
      </c>
      <c r="D72" s="800">
        <v>0</v>
      </c>
    </row>
    <row r="73" spans="2:4" ht="17.25" customHeight="1" thickTop="1" thickBot="1" x14ac:dyDescent="0.3">
      <c r="B73" s="900" t="s">
        <v>7846</v>
      </c>
      <c r="C73" s="897" t="str">
        <f>'DICTIONARY-7'!$A$69</f>
        <v>Telemax Niro/PATENTplus/VA-TELESKOP</v>
      </c>
      <c r="D73" s="800">
        <v>0</v>
      </c>
    </row>
    <row r="74" spans="2:4" ht="17.25" customHeight="1" thickTop="1" thickBot="1" x14ac:dyDescent="0.3">
      <c r="B74" s="900" t="s">
        <v>7843</v>
      </c>
      <c r="C74" s="897" t="str">
        <f>'DICTIONARY-7'!$A$70</f>
        <v>VARIplus</v>
      </c>
      <c r="D74" s="800">
        <v>0</v>
      </c>
    </row>
    <row r="75" spans="2:4" ht="17.25" customHeight="1" thickTop="1" thickBot="1" x14ac:dyDescent="0.3">
      <c r="B75" s="900" t="s">
        <v>8193</v>
      </c>
      <c r="C75" s="897" t="str">
        <f>'DICTIONARY-7'!$A$71</f>
        <v>SPARE PARTS</v>
      </c>
      <c r="D75" s="800">
        <v>0</v>
      </c>
    </row>
    <row r="76" spans="2:4" ht="18.75" customHeight="1" thickTop="1" thickBot="1" x14ac:dyDescent="0.3">
      <c r="B76" s="900" t="s">
        <v>7807</v>
      </c>
      <c r="C76" s="897" t="str">
        <f>'DICTIONARY-7'!$A$72</f>
        <v>Accessory components</v>
      </c>
      <c r="D76" s="800">
        <v>0</v>
      </c>
    </row>
    <row r="77" spans="2:4" ht="17.25" thickTop="1" thickBot="1" x14ac:dyDescent="0.3">
      <c r="B77" s="900" t="s">
        <v>7809</v>
      </c>
      <c r="C77" s="897" t="str">
        <f>'DICTIONARY-7'!$A$73</f>
        <v>T-KLIC</v>
      </c>
      <c r="D77" s="800">
        <v>0</v>
      </c>
    </row>
    <row r="78" spans="2:4" ht="17.25" thickTop="1" thickBot="1" x14ac:dyDescent="0.3">
      <c r="B78" s="900" t="s">
        <v>7831</v>
      </c>
      <c r="C78" s="897" t="str">
        <f>'DICTIONARY-7'!$A$74</f>
        <v>Handwheel</v>
      </c>
      <c r="D78" s="800">
        <v>0</v>
      </c>
    </row>
    <row r="79" spans="2:4" ht="17.25" thickTop="1" thickBot="1" x14ac:dyDescent="0.3">
      <c r="B79" s="900" t="s">
        <v>8197</v>
      </c>
      <c r="C79" s="897" t="str">
        <f>'DICTIONARY-7'!$A$75</f>
        <v>OTHERS</v>
      </c>
      <c r="D79" s="800">
        <v>0</v>
      </c>
    </row>
    <row r="80" spans="2:4" ht="17.25" thickTop="1" thickBot="1" x14ac:dyDescent="0.3">
      <c r="B80" s="900" t="s">
        <v>8199</v>
      </c>
      <c r="C80" s="897" t="str">
        <f>'DICTIONARY-7'!$A$76</f>
        <v>OTHERS (with Actuator)</v>
      </c>
      <c r="D80" s="800">
        <v>0</v>
      </c>
    </row>
    <row r="81" spans="2:4" ht="17.25" thickTop="1" thickBot="1" x14ac:dyDescent="0.3">
      <c r="B81" s="900" t="s">
        <v>7857</v>
      </c>
      <c r="C81" s="897" t="str">
        <f>'DICTIONARY-7'!$A$77</f>
        <v>ALKA</v>
      </c>
      <c r="D81" s="800">
        <v>0</v>
      </c>
    </row>
    <row r="82" spans="2:4" ht="17.25" thickTop="1" thickBot="1" x14ac:dyDescent="0.3">
      <c r="B82" s="900" t="s">
        <v>8202</v>
      </c>
      <c r="C82" s="897" t="str">
        <f>'DICTIONARY-7'!$A$78</f>
        <v>RIKO</v>
      </c>
      <c r="D82" s="800">
        <v>0</v>
      </c>
    </row>
    <row r="83" spans="2:4" ht="17.25" thickTop="1" thickBot="1" x14ac:dyDescent="0.3">
      <c r="B83" s="900" t="s">
        <v>8204</v>
      </c>
      <c r="C83" s="897" t="str">
        <f>'DICTIONARY-7'!$A$79</f>
        <v>KSSplus</v>
      </c>
      <c r="D83" s="800">
        <v>0</v>
      </c>
    </row>
    <row r="84" spans="2:4" ht="17.25" thickTop="1" thickBot="1" x14ac:dyDescent="0.3">
      <c r="B84" s="900" t="s">
        <v>7839</v>
      </c>
      <c r="C84" s="897" t="str">
        <f>'DICTIONARY-7'!$A$80</f>
        <v>PICO-M</v>
      </c>
      <c r="D84" s="800">
        <v>0</v>
      </c>
    </row>
    <row r="85" spans="2:4" ht="17.25" thickTop="1" thickBot="1" x14ac:dyDescent="0.3">
      <c r="B85" s="900" t="s">
        <v>7856</v>
      </c>
      <c r="C85" s="897" t="str">
        <f>'DICTIONARY-7'!$A$81</f>
        <v>MONTY</v>
      </c>
      <c r="D85" s="800">
        <v>0</v>
      </c>
    </row>
    <row r="86" spans="2:4" ht="17.25" thickTop="1" thickBot="1" x14ac:dyDescent="0.3">
      <c r="B86" s="900" t="s">
        <v>7841</v>
      </c>
      <c r="C86" s="897" t="str">
        <f>'DICTIONARY-7'!$A$82</f>
        <v>FORTE</v>
      </c>
      <c r="D86" s="800">
        <v>0</v>
      </c>
    </row>
    <row r="87" spans="2:4" ht="17.25" thickTop="1" thickBot="1" x14ac:dyDescent="0.3">
      <c r="B87" s="900" t="s">
        <v>8209</v>
      </c>
      <c r="C87" s="897" t="str">
        <f>'DICTIONARY-7'!$A$83</f>
        <v>SERIOplus</v>
      </c>
      <c r="D87" s="800">
        <v>0</v>
      </c>
    </row>
    <row r="88" spans="2:4" ht="17.25" thickTop="1" thickBot="1" x14ac:dyDescent="0.3">
      <c r="B88" s="900" t="s">
        <v>8211</v>
      </c>
      <c r="C88" s="897" t="str">
        <f>'DICTIONARY-7'!$A$84</f>
        <v>REMO</v>
      </c>
      <c r="D88" s="800">
        <v>0</v>
      </c>
    </row>
    <row r="89" spans="2:4" ht="17.25" thickTop="1" thickBot="1" x14ac:dyDescent="0.3">
      <c r="B89" s="900" t="s">
        <v>7849</v>
      </c>
      <c r="C89" s="897" t="str">
        <f>'DICTIONARY-7'!$A$85</f>
        <v>STREET CAPS</v>
      </c>
      <c r="D89" s="800">
        <v>0</v>
      </c>
    </row>
    <row r="90" spans="2:4" ht="17.25" thickTop="1" thickBot="1" x14ac:dyDescent="0.3">
      <c r="B90" s="900" t="s">
        <v>7818</v>
      </c>
      <c r="C90" s="897" t="str">
        <f>'DICTIONARY-7'!$A$86</f>
        <v>BALL VALVES</v>
      </c>
      <c r="D90" s="800">
        <v>0</v>
      </c>
    </row>
    <row r="91" spans="2:4" ht="17.25" thickTop="1" thickBot="1" x14ac:dyDescent="0.3">
      <c r="B91" s="900" t="s">
        <v>7808</v>
      </c>
      <c r="C91" s="897" t="str">
        <f>'DICTIONARY-7'!$A$87</f>
        <v>Hydrant Accessories</v>
      </c>
      <c r="D91" s="800">
        <v>0</v>
      </c>
    </row>
    <row r="92" spans="2:4" ht="17.25" thickTop="1" thickBot="1" x14ac:dyDescent="0.3">
      <c r="B92" s="900" t="s">
        <v>7844</v>
      </c>
      <c r="C92" s="897" t="str">
        <f>'DICTIONARY-7'!$A$88</f>
        <v>VAF</v>
      </c>
      <c r="D92" s="800">
        <v>0</v>
      </c>
    </row>
    <row r="93" spans="2:4" ht="17.25" thickTop="1" thickBot="1" x14ac:dyDescent="0.3">
      <c r="B93" s="900" t="s">
        <v>8217</v>
      </c>
      <c r="C93" s="897" t="str">
        <f>'DICTIONARY-7'!$A$89</f>
        <v>CEREX 300 (with Actuator)</v>
      </c>
      <c r="D93" s="800">
        <v>0</v>
      </c>
    </row>
    <row r="94" spans="2:4" ht="17.25" thickTop="1" thickBot="1" x14ac:dyDescent="0.3">
      <c r="B94" s="900" t="s">
        <v>8219</v>
      </c>
      <c r="C94" s="897" t="str">
        <f>'DICTIONARY-7'!$A$90</f>
        <v>DURA (with Actuator)</v>
      </c>
      <c r="D94" s="800">
        <v>0</v>
      </c>
    </row>
    <row r="95" spans="2:4" ht="17.25" thickTop="1" thickBot="1" x14ac:dyDescent="0.3">
      <c r="B95" s="900" t="s">
        <v>8221</v>
      </c>
      <c r="C95" s="897" t="str">
        <f>'DICTIONARY-7'!$A$91</f>
        <v>EKN (&gt;DN600) (with Actuator)</v>
      </c>
      <c r="D95" s="800">
        <v>0</v>
      </c>
    </row>
    <row r="96" spans="2:4" ht="17.25" thickTop="1" thickBot="1" x14ac:dyDescent="0.3">
      <c r="B96" s="900" t="s">
        <v>8223</v>
      </c>
      <c r="C96" s="897" t="str">
        <f>'DICTIONARY-7'!$A$92</f>
        <v>EKN (≤DN600) (with Actuator)</v>
      </c>
      <c r="D96" s="800">
        <v>0</v>
      </c>
    </row>
    <row r="97" spans="2:4" ht="17.25" thickTop="1" thickBot="1" x14ac:dyDescent="0.3">
      <c r="B97" s="901" t="s">
        <v>8224</v>
      </c>
      <c r="C97" s="898" t="str">
        <f>'DICTIONARY-7'!$A$93</f>
        <v>Chamber Hydrant</v>
      </c>
      <c r="D97" s="801">
        <v>0</v>
      </c>
    </row>
  </sheetData>
  <sheetProtection algorithmName="SHA-512" hashValue="aCw0N7G/RdIw7rOjxhUBHQUduWfdcWSnxekyvYmjcZw26pMYCQqCtjTCaAGJuGXYisJt76oNf+tQVkmPdPuS5w==" saltValue="Jlksde0a5F9fifDopbakbA==" spinCount="100000" sheet="1" objects="1" scenarios="1" autoFilter="0"/>
  <dataConsolidate/>
  <mergeCells count="8">
    <mergeCell ref="B4:D4"/>
    <mergeCell ref="B5:D5"/>
    <mergeCell ref="K4:K8"/>
    <mergeCell ref="F11:H12"/>
    <mergeCell ref="F10:H10"/>
    <mergeCell ref="H6:I6"/>
    <mergeCell ref="F4:J4"/>
    <mergeCell ref="F5:J5"/>
  </mergeCells>
  <conditionalFormatting sqref="D7:D97">
    <cfRule type="expression" dxfId="11" priority="5">
      <formula>D7=0</formula>
    </cfRule>
  </conditionalFormatting>
  <conditionalFormatting sqref="C7:C97">
    <cfRule type="expression" dxfId="10" priority="1">
      <formula>D7=0</formula>
    </cfRule>
  </conditionalFormatting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Drop Down 3">
              <controlPr defaultSize="0" autoLine="0" autoPict="0">
                <anchor moveWithCells="1">
                  <from>
                    <xdr:col>5</xdr:col>
                    <xdr:colOff>95250</xdr:colOff>
                    <xdr:row>10</xdr:row>
                    <xdr:rowOff>85725</xdr:rowOff>
                  </from>
                  <to>
                    <xdr:col>7</xdr:col>
                    <xdr:colOff>657225</xdr:colOff>
                    <xdr:row>11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Drop Down 4">
              <controlPr defaultSize="0" autoLine="0" autoPict="0">
                <anchor moveWithCells="1">
                  <from>
                    <xdr:col>9</xdr:col>
                    <xdr:colOff>19050</xdr:colOff>
                    <xdr:row>6</xdr:row>
                    <xdr:rowOff>19050</xdr:rowOff>
                  </from>
                  <to>
                    <xdr:col>9</xdr:col>
                    <xdr:colOff>942975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Drop Down 5">
              <controlPr defaultSize="0" autoLine="0" autoPict="0">
                <anchor moveWithCells="1">
                  <from>
                    <xdr:col>9</xdr:col>
                    <xdr:colOff>19050</xdr:colOff>
                    <xdr:row>7</xdr:row>
                    <xdr:rowOff>19050</xdr:rowOff>
                  </from>
                  <to>
                    <xdr:col>9</xdr:col>
                    <xdr:colOff>942975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Drop Down 6">
              <controlPr defaultSize="0" autoLine="0" autoPict="0">
                <anchor moveWithCells="1">
                  <from>
                    <xdr:col>8</xdr:col>
                    <xdr:colOff>19050</xdr:colOff>
                    <xdr:row>7</xdr:row>
                    <xdr:rowOff>19050</xdr:rowOff>
                  </from>
                  <to>
                    <xdr:col>8</xdr:col>
                    <xdr:colOff>742950</xdr:colOff>
                    <xdr:row>7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87">
    <tabColor rgb="FFFFC000"/>
  </sheetPr>
  <dimension ref="A1:M389"/>
  <sheetViews>
    <sheetView workbookViewId="0"/>
  </sheetViews>
  <sheetFormatPr defaultColWidth="9.140625" defaultRowHeight="15" x14ac:dyDescent="0.25"/>
  <cols>
    <col min="1" max="4" width="9.140625" style="256"/>
    <col min="5" max="6" width="22.140625" style="256" customWidth="1"/>
    <col min="7" max="8" width="12.85546875" style="256" customWidth="1"/>
    <col min="9" max="9" width="9.140625" style="256"/>
    <col min="10" max="11" width="22" style="256" customWidth="1"/>
    <col min="12" max="13" width="12.85546875" style="256" customWidth="1"/>
    <col min="14" max="16384" width="9.140625" style="256"/>
  </cols>
  <sheetData>
    <row r="1" spans="1:10" s="394" customFormat="1" ht="45" customHeight="1" thickBot="1" x14ac:dyDescent="0.3">
      <c r="A1" s="425"/>
      <c r="B1" s="425"/>
      <c r="C1" s="425"/>
      <c r="D1" s="425"/>
    </row>
    <row r="2" spans="1:10" s="448" customFormat="1" ht="4.5" customHeight="1" x14ac:dyDescent="0.25">
      <c r="A2" s="447"/>
    </row>
    <row r="3" spans="1:10" ht="15.75" thickBot="1" x14ac:dyDescent="0.3"/>
    <row r="4" spans="1:10" ht="15.75" thickBot="1" x14ac:dyDescent="0.3">
      <c r="A4" s="819">
        <f>ADD.DISCOUNT</f>
        <v>0</v>
      </c>
      <c r="B4" s="992" t="str">
        <f>HYPERLINK("#'LIST'!ADD.DISCOUNT","» "&amp;'DICTIONARY-1'!$A$5)</f>
        <v>» Ustaw globalny dodatkowy rabat</v>
      </c>
      <c r="C4" s="1066"/>
      <c r="D4" s="1066"/>
      <c r="E4" s="1067"/>
    </row>
    <row r="6" spans="1:10" ht="16.5" thickBot="1" x14ac:dyDescent="0.3">
      <c r="A6" s="712" t="str">
        <f>CONCATENATE('DICTIONARY-3'!$A$153," ",'DICTIONARY-3'!$A$175,'DICTIONARY-3'!$A$155,'DICTIONARY-3'!$A$174," / ",'DICTIONARY-3'!$A$338)</f>
        <v>BAIO Kształtka-B‎ / Trójnik odgałęzieniem mufowym</v>
      </c>
      <c r="B6" s="712"/>
      <c r="C6" s="712"/>
      <c r="D6" s="712"/>
      <c r="E6" s="712"/>
      <c r="F6" s="712"/>
      <c r="G6" s="712"/>
      <c r="H6" s="712"/>
    </row>
    <row r="7" spans="1:10" x14ac:dyDescent="0.25">
      <c r="A7" s="268" t="str">
        <f>CONCATENATE('DICTIONARY-5'!$A$204,": ","2x ",'DICTIONARY-5'!$A$198," + ","1x ",'DICTIONARY-5'!$A$199)</f>
        <v>Połączenie: 2x mufa + 1x końcówka bosa</v>
      </c>
      <c r="B7" s="258"/>
      <c r="C7" s="258"/>
      <c r="D7" s="272"/>
      <c r="E7" s="273"/>
      <c r="F7" s="273"/>
      <c r="G7" s="255"/>
      <c r="H7" s="255"/>
    </row>
    <row r="8" spans="1:10" x14ac:dyDescent="0.25">
      <c r="A8" s="258" t="str">
        <f>CONCATENATE('DICTIONARY-1'!$A$10,": ",SETTINGS!$C$39)</f>
        <v>Grupa rabatowa: BAIO Fittings</v>
      </c>
      <c r="B8" s="258"/>
      <c r="C8" s="258"/>
      <c r="D8" s="272"/>
      <c r="E8" s="273"/>
      <c r="F8" s="273"/>
      <c r="G8" s="255"/>
      <c r="H8" s="255"/>
    </row>
    <row r="9" spans="1:10" x14ac:dyDescent="0.25">
      <c r="A9" s="259"/>
      <c r="B9" s="259"/>
      <c r="C9" s="259"/>
      <c r="D9" s="254"/>
      <c r="E9" s="254"/>
      <c r="F9" s="254"/>
      <c r="G9" s="255"/>
      <c r="H9" s="255"/>
    </row>
    <row r="10" spans="1:10" x14ac:dyDescent="0.25">
      <c r="A10" s="260" t="str">
        <f>'DICTIONARY-2'!$A$2</f>
        <v>DN</v>
      </c>
      <c r="B10" s="711" t="str">
        <f>'DICTIONARY-2'!$A$2</f>
        <v>DN</v>
      </c>
      <c r="C10" s="260" t="str">
        <f>'DICTIONARY-2'!$A$40&amp;" 1)"</f>
        <v>l 1)</v>
      </c>
      <c r="D10" s="260" t="str">
        <f>'DICTIONARY-2'!$A$24&amp;" 2)"</f>
        <v>L 2)</v>
      </c>
      <c r="E10" s="1069" t="str">
        <f>'DICTIONARY-3'!$A$153</f>
        <v>BAIO</v>
      </c>
      <c r="F10" s="1069"/>
      <c r="G10" s="1069"/>
      <c r="H10" s="1069"/>
    </row>
    <row r="11" spans="1:10" ht="30" x14ac:dyDescent="0.25">
      <c r="A11" s="531"/>
      <c r="B11" s="532" t="str">
        <f>'DICTIONARY-5'!$A$208</f>
        <v>odgałęzienie</v>
      </c>
      <c r="C11" s="531"/>
      <c r="D11" s="531"/>
      <c r="E11" s="1070" t="str">
        <f>'DICTIONARY-3'!$A$175&amp;'DICTIONARY-3'!$A$155&amp;'DICTIONARY-3'!$A$174</f>
        <v>Kształtka-B‎</v>
      </c>
      <c r="F11" s="1068"/>
      <c r="G11" s="1068"/>
      <c r="H11" s="1068"/>
    </row>
    <row r="12" spans="1:10" x14ac:dyDescent="0.25">
      <c r="A12" s="261"/>
      <c r="B12" s="261"/>
      <c r="C12" s="261" t="str">
        <f>'DICTIONARY-2'!$A$18</f>
        <v>[mm]</v>
      </c>
      <c r="D12" s="261" t="str">
        <f>'DICTIONARY-2'!$A$18</f>
        <v>[mm]</v>
      </c>
      <c r="E12" s="262" t="str">
        <f>'DICTIONARY-2'!$A$28</f>
        <v>stary nr zamówienia</v>
      </c>
      <c r="F12" s="262" t="str">
        <f>'DICTIONARY-2'!$A$29</f>
        <v>nowy nr zamówienia</v>
      </c>
      <c r="G12" s="263" t="str">
        <f>CURRENCY.CODE_1</f>
        <v>EUR</v>
      </c>
      <c r="H12" s="263" t="str">
        <f>CURRENCY.CODE_2</f>
        <v>---</v>
      </c>
    </row>
    <row r="13" spans="1:10" x14ac:dyDescent="0.25">
      <c r="A13" s="264">
        <v>100</v>
      </c>
      <c r="B13" s="264">
        <v>80</v>
      </c>
      <c r="C13" s="264">
        <v>850</v>
      </c>
      <c r="D13" s="264">
        <v>745</v>
      </c>
      <c r="E13" s="264" t="s">
        <v>2379</v>
      </c>
      <c r="F13" s="309" t="s">
        <v>2852</v>
      </c>
      <c r="G13" s="339" t="str">
        <f>IFERROR(IF(OR(F13='DICTIONARY-5'!$A$2,F13='DICTIONARY-5'!$A$4,ISBLANK(F13)),VLOOKUP(E13,LIST!$A$6:$L$3250,CURR_1.SEARCH.OLD,0),VLOOKUP(F13,LIST!$B$6:$L$3250,CURR_1.SEARCH.NEW,0)),'DICTIONARY-5'!$A$2)</f>
        <v>595,-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  <c r="J13" s="491"/>
    </row>
    <row r="14" spans="1:10" x14ac:dyDescent="0.25">
      <c r="A14" s="264">
        <v>150</v>
      </c>
      <c r="B14" s="264">
        <v>80</v>
      </c>
      <c r="C14" s="264">
        <v>850</v>
      </c>
      <c r="D14" s="264">
        <v>745</v>
      </c>
      <c r="E14" s="264" t="s">
        <v>2380</v>
      </c>
      <c r="F14" s="309" t="s">
        <v>2853</v>
      </c>
      <c r="G14" s="339" t="str">
        <f>IFERROR(IF(OR(F14='DICTIONARY-5'!$A$2,F14='DICTIONARY-5'!$A$4,ISBLANK(F14)),VLOOKUP(E14,LIST!$A$6:$L$3250,CURR_1.SEARCH.OLD,0),VLOOKUP(F14,LIST!$B$6:$L$3250,CURR_1.SEARCH.NEW,0)),'DICTIONARY-5'!$A$2)</f>
        <v>1 392,-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  <c r="J14" s="491"/>
    </row>
    <row r="15" spans="1:10" x14ac:dyDescent="0.25">
      <c r="A15" s="264">
        <v>200</v>
      </c>
      <c r="B15" s="264">
        <v>80</v>
      </c>
      <c r="C15" s="264">
        <v>850</v>
      </c>
      <c r="D15" s="264">
        <v>745</v>
      </c>
      <c r="E15" s="264" t="s">
        <v>2381</v>
      </c>
      <c r="F15" s="309" t="s">
        <v>2854</v>
      </c>
      <c r="G15" s="339" t="str">
        <f>IFERROR(IF(OR(F15='DICTIONARY-5'!$A$2,F15='DICTIONARY-5'!$A$4,ISBLANK(F15)),VLOOKUP(E15,LIST!$A$6:$L$3250,CURR_1.SEARCH.OLD,0),VLOOKUP(F15,LIST!$B$6:$L$3250,CURR_1.SEARCH.NEW,0)),'DICTIONARY-5'!$A$2)</f>
        <v>1 518,-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  <c r="J15" s="491"/>
    </row>
    <row r="17" spans="1:10" x14ac:dyDescent="0.25">
      <c r="A17" s="256" t="str">
        <f>" 1)"&amp;'DICTIONARY-5'!$A$205</f>
        <v xml:space="preserve"> 1)Długość kształtki</v>
      </c>
    </row>
    <row r="18" spans="1:10" x14ac:dyDescent="0.25">
      <c r="A18" s="256" t="str">
        <f>" 2)"&amp;'DICTIONARY-5'!$A$205&amp;" "&amp;'DICTIONARY-5'!$A$206</f>
        <v xml:space="preserve"> 2)Długość kształtki po włożeniu do mufy</v>
      </c>
    </row>
    <row r="21" spans="1:10" ht="16.5" thickBot="1" x14ac:dyDescent="0.3">
      <c r="A21" s="712" t="str">
        <f>CONCATENATE('DICTIONARY-3'!$A$153," ",'DICTIONARY-3'!$A$175,'DICTIONARY-3'!$A$156,'DICTIONARY-3'!$A$174,)</f>
        <v>BAIO Kształtka-S‎</v>
      </c>
      <c r="B21" s="712"/>
      <c r="C21" s="712"/>
      <c r="D21" s="712"/>
      <c r="E21" s="712"/>
      <c r="F21" s="712"/>
      <c r="G21" s="712"/>
      <c r="H21" s="712"/>
    </row>
    <row r="22" spans="1:10" x14ac:dyDescent="0.25">
      <c r="A22" s="268" t="str">
        <f>CONCATENATE('DICTIONARY-5'!$A$204,": ","2x ",'DICTIONARY-5'!$A$199)</f>
        <v>Połączenie: 2x końcówka bosa</v>
      </c>
      <c r="B22" s="258"/>
    </row>
    <row r="23" spans="1:10" x14ac:dyDescent="0.25">
      <c r="A23" s="258" t="str">
        <f>CONCATENATE('DICTIONARY-1'!$A$10,": ",SETTINGS!$C$39)</f>
        <v>Grupa rabatowa: BAIO Fittings</v>
      </c>
      <c r="B23" s="258"/>
    </row>
    <row r="25" spans="1:10" x14ac:dyDescent="0.25">
      <c r="A25" s="260" t="str">
        <f>'DICTIONARY-2'!$A$2</f>
        <v>DN</v>
      </c>
      <c r="B25" s="260" t="str">
        <f>'DICTIONARY-2'!$A$40&amp;" 1)"</f>
        <v>l 1)</v>
      </c>
      <c r="C25" s="260" t="str">
        <f>'DICTIONARY-2'!$A$24&amp;" 2)"</f>
        <v>L 2)</v>
      </c>
      <c r="D25" s="260"/>
      <c r="E25" s="1069" t="str">
        <f>'DICTIONARY-3'!$A$153</f>
        <v>BAIO</v>
      </c>
      <c r="F25" s="1069"/>
      <c r="G25" s="1069"/>
      <c r="H25" s="1069"/>
    </row>
    <row r="26" spans="1:10" x14ac:dyDescent="0.25">
      <c r="A26" s="531"/>
      <c r="B26" s="531"/>
      <c r="C26" s="531"/>
      <c r="D26" s="531"/>
      <c r="E26" s="1068" t="str">
        <f>'DICTIONARY-3'!$A$175&amp;'DICTIONARY-3'!$A$156&amp;'DICTIONARY-3'!$A$174</f>
        <v>Kształtka-S‎</v>
      </c>
      <c r="F26" s="1068"/>
      <c r="G26" s="1068"/>
      <c r="H26" s="1068"/>
    </row>
    <row r="27" spans="1:10" x14ac:dyDescent="0.25">
      <c r="A27" s="261"/>
      <c r="B27" s="261" t="str">
        <f>'DICTIONARY-2'!$A$18</f>
        <v>[mm]</v>
      </c>
      <c r="C27" s="261" t="str">
        <f>'DICTIONARY-2'!$A$18</f>
        <v>[mm]</v>
      </c>
      <c r="D27" s="261"/>
      <c r="E27" s="262" t="str">
        <f>'DICTIONARY-2'!$A$28</f>
        <v>stary nr zamówienia</v>
      </c>
      <c r="F27" s="262" t="str">
        <f>'DICTIONARY-2'!$A$29</f>
        <v>nowy nr zamówienia</v>
      </c>
      <c r="G27" s="263" t="str">
        <f>CURRENCY.CODE_1</f>
        <v>EUR</v>
      </c>
      <c r="H27" s="263" t="str">
        <f>CURRENCY.CODE_2</f>
        <v>---</v>
      </c>
    </row>
    <row r="28" spans="1:10" x14ac:dyDescent="0.25">
      <c r="A28" s="264">
        <v>80</v>
      </c>
      <c r="B28" s="264">
        <v>215</v>
      </c>
      <c r="C28" s="264">
        <v>45</v>
      </c>
      <c r="D28" s="275"/>
      <c r="E28" s="264" t="s">
        <v>2382</v>
      </c>
      <c r="F28" s="309" t="s">
        <v>2822</v>
      </c>
      <c r="G28" s="339" t="str">
        <f>IFERROR(IF(OR(F28='DICTIONARY-5'!$A$2,F28='DICTIONARY-5'!$A$4,ISBLANK(F28)),VLOOKUP(E28,LIST!$A$6:$L$3250,CURR_1.SEARCH.OLD,0),VLOOKUP(F28,LIST!$B$6:$L$3250,CURR_1.SEARCH.NEW,0)),'DICTIONARY-5'!$A$2)</f>
        <v>122,-</v>
      </c>
      <c r="H28" s="339" t="str">
        <f>IFERROR(IF(OR(F28='DICTIONARY-5'!$A$2,F28='DICTIONARY-5'!$A$4,ISBLANK(F28)),VLOOKUP(E28,LIST!$A$6:$M$3250,CURR_2.SEARCH.OLD,0),VLOOKUP(F28,LIST!$B$6:$M$3250,CURR_2.SEARCH.NEW,0)),'DICTIONARY-5'!$A$2)</f>
        <v/>
      </c>
      <c r="J28" s="491"/>
    </row>
    <row r="29" spans="1:10" x14ac:dyDescent="0.25">
      <c r="A29" s="264">
        <v>80</v>
      </c>
      <c r="B29" s="264">
        <v>500</v>
      </c>
      <c r="C29" s="264">
        <v>330</v>
      </c>
      <c r="D29" s="275"/>
      <c r="E29" s="264" t="s">
        <v>2383</v>
      </c>
      <c r="F29" s="309" t="s">
        <v>2823</v>
      </c>
      <c r="G29" s="339" t="str">
        <f>IFERROR(IF(OR(F29='DICTIONARY-5'!$A$2,F29='DICTIONARY-5'!$A$4,ISBLANK(F29)),VLOOKUP(E29,LIST!$A$6:$L$3250,CURR_1.SEARCH.OLD,0),VLOOKUP(F29,LIST!$B$6:$L$3250,CURR_1.SEARCH.NEW,0)),'DICTIONARY-5'!$A$2)</f>
        <v>187,-</v>
      </c>
      <c r="H29" s="339" t="str">
        <f>IFERROR(IF(OR(F29='DICTIONARY-5'!$A$2,F29='DICTIONARY-5'!$A$4,ISBLANK(F29)),VLOOKUP(E29,LIST!$A$6:$M$3250,CURR_2.SEARCH.OLD,0),VLOOKUP(F29,LIST!$B$6:$M$3250,CURR_2.SEARCH.NEW,0)),'DICTIONARY-5'!$A$2)</f>
        <v/>
      </c>
      <c r="J29" s="491"/>
    </row>
    <row r="30" spans="1:10" x14ac:dyDescent="0.25">
      <c r="A30" s="264">
        <v>100</v>
      </c>
      <c r="B30" s="264">
        <v>255</v>
      </c>
      <c r="C30" s="264">
        <v>45</v>
      </c>
      <c r="D30" s="275"/>
      <c r="E30" s="264" t="s">
        <v>2384</v>
      </c>
      <c r="F30" s="309" t="s">
        <v>2824</v>
      </c>
      <c r="G30" s="339" t="str">
        <f>IFERROR(IF(OR(F30='DICTIONARY-5'!$A$2,F30='DICTIONARY-5'!$A$4,ISBLANK(F30)),VLOOKUP(E30,LIST!$A$6:$L$3250,CURR_1.SEARCH.OLD,0),VLOOKUP(F30,LIST!$B$6:$L$3250,CURR_1.SEARCH.NEW,0)),'DICTIONARY-5'!$A$2)</f>
        <v>170,-</v>
      </c>
      <c r="H30" s="339" t="str">
        <f>IFERROR(IF(OR(F30='DICTIONARY-5'!$A$2,F30='DICTIONARY-5'!$A$4,ISBLANK(F30)),VLOOKUP(E30,LIST!$A$6:$M$3250,CURR_2.SEARCH.OLD,0),VLOOKUP(F30,LIST!$B$6:$M$3250,CURR_2.SEARCH.NEW,0)),'DICTIONARY-5'!$A$2)</f>
        <v/>
      </c>
      <c r="J30" s="491"/>
    </row>
    <row r="31" spans="1:10" x14ac:dyDescent="0.25">
      <c r="A31" s="264">
        <v>100</v>
      </c>
      <c r="B31" s="264">
        <v>500</v>
      </c>
      <c r="C31" s="264">
        <v>290</v>
      </c>
      <c r="D31" s="275"/>
      <c r="E31" s="264" t="s">
        <v>2385</v>
      </c>
      <c r="F31" s="309" t="s">
        <v>2825</v>
      </c>
      <c r="G31" s="339" t="str">
        <f>IFERROR(IF(OR(F31='DICTIONARY-5'!$A$2,F31='DICTIONARY-5'!$A$4,ISBLANK(F31)),VLOOKUP(E31,LIST!$A$6:$L$3250,CURR_1.SEARCH.OLD,0),VLOOKUP(F31,LIST!$B$6:$L$3250,CURR_1.SEARCH.NEW,0)),'DICTIONARY-5'!$A$2)</f>
        <v>185,-</v>
      </c>
      <c r="H31" s="339" t="str">
        <f>IFERROR(IF(OR(F31='DICTIONARY-5'!$A$2,F31='DICTIONARY-5'!$A$4,ISBLANK(F31)),VLOOKUP(E31,LIST!$A$6:$M$3250,CURR_2.SEARCH.OLD,0),VLOOKUP(F31,LIST!$B$6:$M$3250,CURR_2.SEARCH.NEW,0)),'DICTIONARY-5'!$A$2)</f>
        <v/>
      </c>
      <c r="J31" s="491"/>
    </row>
    <row r="32" spans="1:10" x14ac:dyDescent="0.25">
      <c r="A32" s="264">
        <v>125</v>
      </c>
      <c r="B32" s="264">
        <v>270</v>
      </c>
      <c r="C32" s="264">
        <v>50</v>
      </c>
      <c r="D32" s="275"/>
      <c r="E32" s="264" t="s">
        <v>2386</v>
      </c>
      <c r="F32" s="309" t="s">
        <v>2826</v>
      </c>
      <c r="G32" s="339" t="str">
        <f>IFERROR(IF(OR(F32='DICTIONARY-5'!$A$2,F32='DICTIONARY-5'!$A$4,ISBLANK(F32)),VLOOKUP(E32,LIST!$A$6:$L$3250,CURR_1.SEARCH.OLD,0),VLOOKUP(F32,LIST!$B$6:$L$3250,CURR_1.SEARCH.NEW,0)),'DICTIONARY-5'!$A$2)</f>
        <v>187,-</v>
      </c>
      <c r="H32" s="339" t="str">
        <f>IFERROR(IF(OR(F32='DICTIONARY-5'!$A$2,F32='DICTIONARY-5'!$A$4,ISBLANK(F32)),VLOOKUP(E32,LIST!$A$6:$M$3250,CURR_2.SEARCH.OLD,0),VLOOKUP(F32,LIST!$B$6:$M$3250,CURR_2.SEARCH.NEW,0)),'DICTIONARY-5'!$A$2)</f>
        <v/>
      </c>
      <c r="J32" s="491"/>
    </row>
    <row r="33" spans="1:10" x14ac:dyDescent="0.25">
      <c r="A33" s="264">
        <v>150</v>
      </c>
      <c r="B33" s="264">
        <v>270</v>
      </c>
      <c r="C33" s="264">
        <v>50</v>
      </c>
      <c r="D33" s="275"/>
      <c r="E33" s="264" t="s">
        <v>2387</v>
      </c>
      <c r="F33" s="309" t="s">
        <v>2827</v>
      </c>
      <c r="G33" s="339" t="str">
        <f>IFERROR(IF(OR(F33='DICTIONARY-5'!$A$2,F33='DICTIONARY-5'!$A$4,ISBLANK(F33)),VLOOKUP(E33,LIST!$A$6:$L$3250,CURR_1.SEARCH.OLD,0),VLOOKUP(F33,LIST!$B$6:$L$3250,CURR_1.SEARCH.NEW,0)),'DICTIONARY-5'!$A$2)</f>
        <v>210,-</v>
      </c>
      <c r="H33" s="339" t="str">
        <f>IFERROR(IF(OR(F33='DICTIONARY-5'!$A$2,F33='DICTIONARY-5'!$A$4,ISBLANK(F33)),VLOOKUP(E33,LIST!$A$6:$M$3250,CURR_2.SEARCH.OLD,0),VLOOKUP(F33,LIST!$B$6:$M$3250,CURR_2.SEARCH.NEW,0)),'DICTIONARY-5'!$A$2)</f>
        <v/>
      </c>
      <c r="J33" s="491"/>
    </row>
    <row r="34" spans="1:10" x14ac:dyDescent="0.25">
      <c r="A34" s="264">
        <v>200</v>
      </c>
      <c r="B34" s="264">
        <v>280</v>
      </c>
      <c r="C34" s="264">
        <v>50</v>
      </c>
      <c r="D34" s="275"/>
      <c r="E34" s="264" t="s">
        <v>2388</v>
      </c>
      <c r="F34" s="309" t="s">
        <v>2828</v>
      </c>
      <c r="G34" s="339" t="str">
        <f>IFERROR(IF(OR(F34='DICTIONARY-5'!$A$2,F34='DICTIONARY-5'!$A$4,ISBLANK(F34)),VLOOKUP(E34,LIST!$A$6:$L$3250,CURR_1.SEARCH.OLD,0),VLOOKUP(F34,LIST!$B$6:$L$3250,CURR_1.SEARCH.NEW,0)),'DICTIONARY-5'!$A$2)</f>
        <v>302,-</v>
      </c>
      <c r="H34" s="339" t="str">
        <f>IFERROR(IF(OR(F34='DICTIONARY-5'!$A$2,F34='DICTIONARY-5'!$A$4,ISBLANK(F34)),VLOOKUP(E34,LIST!$A$6:$M$3250,CURR_2.SEARCH.OLD,0),VLOOKUP(F34,LIST!$B$6:$M$3250,CURR_2.SEARCH.NEW,0)),'DICTIONARY-5'!$A$2)</f>
        <v/>
      </c>
      <c r="J34" s="491"/>
    </row>
    <row r="36" spans="1:10" x14ac:dyDescent="0.25">
      <c r="A36" s="256" t="str">
        <f>" 1)"&amp;'DICTIONARY-5'!$A$205</f>
        <v xml:space="preserve"> 1)Długość kształtki</v>
      </c>
    </row>
    <row r="37" spans="1:10" x14ac:dyDescent="0.25">
      <c r="A37" s="256" t="str">
        <f>" 2)"&amp;'DICTIONARY-5'!$A$205&amp;" "&amp;'DICTIONARY-5'!$A$206</f>
        <v xml:space="preserve"> 2)Długość kształtki po włożeniu do mufy</v>
      </c>
    </row>
    <row r="40" spans="1:10" ht="16.5" thickBot="1" x14ac:dyDescent="0.3">
      <c r="A40" s="712" t="str">
        <f>CONCATENATE('DICTIONARY-3'!$A$153," ",'DICTIONARY-3'!$A$175,'DICTIONARY-3'!$A$157,'DICTIONARY-3'!$A$174)</f>
        <v>BAIO Kształtka-SM‎</v>
      </c>
      <c r="B40" s="712"/>
      <c r="C40" s="712"/>
      <c r="D40" s="712"/>
      <c r="E40" s="712"/>
      <c r="F40" s="712"/>
      <c r="G40" s="712"/>
      <c r="H40" s="712"/>
    </row>
    <row r="41" spans="1:10" x14ac:dyDescent="0.25">
      <c r="A41" s="268" t="str">
        <f>CONCATENATE('DICTIONARY-5'!$A$204,": ","1x ",'DICTIONARY-5'!$A$198," + ","1x ",'DICTIONARY-5'!$A$199)</f>
        <v>Połączenie: 1x mufa + 1x końcówka bosa</v>
      </c>
    </row>
    <row r="42" spans="1:10" x14ac:dyDescent="0.25">
      <c r="A42" s="258" t="str">
        <f>CONCATENATE('DICTIONARY-1'!$A$10,": ",SETTINGS!$C$39)</f>
        <v>Grupa rabatowa: BAIO Fittings</v>
      </c>
    </row>
    <row r="44" spans="1:10" x14ac:dyDescent="0.25">
      <c r="A44" s="260" t="s">
        <v>2389</v>
      </c>
      <c r="B44" s="260" t="str">
        <f>'DICTIONARY-2'!$A$40&amp;" 1)"</f>
        <v>l 1)</v>
      </c>
      <c r="C44" s="260" t="str">
        <f>'DICTIONARY-2'!$A$24&amp;" 2)"</f>
        <v>L 2)</v>
      </c>
      <c r="D44" s="260"/>
      <c r="E44" s="1069" t="str">
        <f>'DICTIONARY-3'!$A$153</f>
        <v>BAIO</v>
      </c>
      <c r="F44" s="1069"/>
      <c r="G44" s="1069"/>
      <c r="H44" s="1069"/>
    </row>
    <row r="45" spans="1:10" x14ac:dyDescent="0.25">
      <c r="A45" s="531"/>
      <c r="B45" s="531"/>
      <c r="C45" s="531"/>
      <c r="D45" s="531"/>
      <c r="E45" s="1068" t="str">
        <f>'DICTIONARY-3'!$A$175&amp;'DICTIONARY-3'!$A$157&amp;'DICTIONARY-3'!$A$174</f>
        <v>Kształtka-SM‎</v>
      </c>
      <c r="F45" s="1068"/>
      <c r="G45" s="1068"/>
      <c r="H45" s="1068"/>
    </row>
    <row r="46" spans="1:10" x14ac:dyDescent="0.25">
      <c r="A46" s="261"/>
      <c r="B46" s="261" t="str">
        <f>'DICTIONARY-2'!$A$18</f>
        <v>[mm]</v>
      </c>
      <c r="C46" s="261" t="str">
        <f>'DICTIONARY-2'!$A$18</f>
        <v>[mm]</v>
      </c>
      <c r="D46" s="261"/>
      <c r="E46" s="262" t="str">
        <f>'DICTIONARY-2'!$A$28</f>
        <v>stary nr zamówienia</v>
      </c>
      <c r="F46" s="262" t="str">
        <f>'DICTIONARY-2'!$A$29</f>
        <v>nowy nr zamówienia</v>
      </c>
      <c r="G46" s="263" t="str">
        <f>CURRENCY.CODE_1</f>
        <v>EUR</v>
      </c>
      <c r="H46" s="263" t="str">
        <f>CURRENCY.CODE_2</f>
        <v>---</v>
      </c>
    </row>
    <row r="47" spans="1:10" x14ac:dyDescent="0.25">
      <c r="A47" s="264">
        <v>80</v>
      </c>
      <c r="B47" s="264">
        <v>230</v>
      </c>
      <c r="C47" s="264">
        <v>150</v>
      </c>
      <c r="D47" s="275"/>
      <c r="E47" s="264" t="s">
        <v>2390</v>
      </c>
      <c r="F47" s="309" t="s">
        <v>2829</v>
      </c>
      <c r="G47" s="339" t="str">
        <f>IFERROR(IF(OR(F47='DICTIONARY-5'!$A$2,F47='DICTIONARY-5'!$A$4,ISBLANK(F47)),VLOOKUP(E47,LIST!$A$6:$L$3250,CURR_1.SEARCH.OLD,0),VLOOKUP(F47,LIST!$B$6:$L$3250,CURR_1.SEARCH.NEW,0)),'DICTIONARY-5'!$A$2)</f>
        <v>162,-</v>
      </c>
      <c r="H47" s="339" t="str">
        <f>IFERROR(IF(OR(F47='DICTIONARY-5'!$A$2,F47='DICTIONARY-5'!$A$4,ISBLANK(F47)),VLOOKUP(E47,LIST!$A$6:$M$3250,CURR_2.SEARCH.OLD,0),VLOOKUP(F47,LIST!$B$6:$M$3250,CURR_2.SEARCH.NEW,0)),'DICTIONARY-5'!$A$2)</f>
        <v/>
      </c>
      <c r="J47" s="491"/>
    </row>
    <row r="48" spans="1:10" x14ac:dyDescent="0.25">
      <c r="A48" s="264">
        <v>80</v>
      </c>
      <c r="B48" s="264">
        <v>280</v>
      </c>
      <c r="C48" s="264">
        <v>200</v>
      </c>
      <c r="D48" s="275"/>
      <c r="E48" s="264" t="s">
        <v>2391</v>
      </c>
      <c r="F48" s="309" t="s">
        <v>2830</v>
      </c>
      <c r="G48" s="339" t="str">
        <f>IFERROR(IF(OR(F48='DICTIONARY-5'!$A$2,F48='DICTIONARY-5'!$A$4,ISBLANK(F48)),VLOOKUP(E48,LIST!$A$6:$L$3250,CURR_1.SEARCH.OLD,0),VLOOKUP(F48,LIST!$B$6:$L$3250,CURR_1.SEARCH.NEW,0)),'DICTIONARY-5'!$A$2)</f>
        <v>204,-</v>
      </c>
      <c r="H48" s="339" t="str">
        <f>IFERROR(IF(OR(F48='DICTIONARY-5'!$A$2,F48='DICTIONARY-5'!$A$4,ISBLANK(F48)),VLOOKUP(E48,LIST!$A$6:$M$3250,CURR_2.SEARCH.OLD,0),VLOOKUP(F48,LIST!$B$6:$M$3250,CURR_2.SEARCH.NEW,0)),'DICTIONARY-5'!$A$2)</f>
        <v/>
      </c>
      <c r="J48" s="491"/>
    </row>
    <row r="49" spans="1:10" x14ac:dyDescent="0.25">
      <c r="A49" s="264">
        <v>80</v>
      </c>
      <c r="B49" s="264">
        <v>380</v>
      </c>
      <c r="C49" s="264">
        <v>300</v>
      </c>
      <c r="D49" s="275"/>
      <c r="E49" s="264" t="s">
        <v>2392</v>
      </c>
      <c r="F49" s="309" t="s">
        <v>2831</v>
      </c>
      <c r="G49" s="339" t="str">
        <f>IFERROR(IF(OR(F49='DICTIONARY-5'!$A$2,F49='DICTIONARY-5'!$A$4,ISBLANK(F49)),VLOOKUP(E49,LIST!$A$6:$L$3250,CURR_1.SEARCH.OLD,0),VLOOKUP(F49,LIST!$B$6:$L$3250,CURR_1.SEARCH.NEW,0)),'DICTIONARY-5'!$A$2)</f>
        <v>212,-</v>
      </c>
      <c r="H49" s="339" t="str">
        <f>IFERROR(IF(OR(F49='DICTIONARY-5'!$A$2,F49='DICTIONARY-5'!$A$4,ISBLANK(F49)),VLOOKUP(E49,LIST!$A$6:$M$3250,CURR_2.SEARCH.OLD,0),VLOOKUP(F49,LIST!$B$6:$M$3250,CURR_2.SEARCH.NEW,0)),'DICTIONARY-5'!$A$2)</f>
        <v/>
      </c>
      <c r="J49" s="491"/>
    </row>
    <row r="50" spans="1:10" x14ac:dyDescent="0.25">
      <c r="A50" s="264">
        <v>100</v>
      </c>
      <c r="B50" s="264">
        <v>290</v>
      </c>
      <c r="C50" s="264">
        <v>195</v>
      </c>
      <c r="D50" s="275"/>
      <c r="E50" s="264" t="s">
        <v>2393</v>
      </c>
      <c r="F50" s="309" t="s">
        <v>2855</v>
      </c>
      <c r="G50" s="339" t="str">
        <f>IFERROR(IF(OR(F50='DICTIONARY-5'!$A$2,F50='DICTIONARY-5'!$A$4,ISBLANK(F50)),VLOOKUP(E50,LIST!$A$6:$L$3250,CURR_1.SEARCH.OLD,0),VLOOKUP(F50,LIST!$B$6:$L$3250,CURR_1.SEARCH.NEW,0)),'DICTIONARY-5'!$A$2)</f>
        <v>205,-</v>
      </c>
      <c r="H50" s="339" t="str">
        <f>IFERROR(IF(OR(F50='DICTIONARY-5'!$A$2,F50='DICTIONARY-5'!$A$4,ISBLANK(F50)),VLOOKUP(E50,LIST!$A$6:$M$3250,CURR_2.SEARCH.OLD,0),VLOOKUP(F50,LIST!$B$6:$M$3250,CURR_2.SEARCH.NEW,0)),'DICTIONARY-5'!$A$2)</f>
        <v/>
      </c>
      <c r="J50" s="491"/>
    </row>
    <row r="51" spans="1:10" x14ac:dyDescent="0.25">
      <c r="A51" s="264">
        <v>100</v>
      </c>
      <c r="B51" s="264">
        <v>465</v>
      </c>
      <c r="C51" s="264">
        <v>360</v>
      </c>
      <c r="D51" s="275"/>
      <c r="E51" s="264" t="s">
        <v>2394</v>
      </c>
      <c r="F51" s="309" t="s">
        <v>2779</v>
      </c>
      <c r="G51" s="339" t="str">
        <f>IFERROR(IF(OR(F51='DICTIONARY-5'!$A$2,F51='DICTIONARY-5'!$A$4,ISBLANK(F51)),VLOOKUP(E51,LIST!$A$6:$L$3250,CURR_1.SEARCH.OLD,0),VLOOKUP(F51,LIST!$B$6:$L$3250,CURR_1.SEARCH.NEW,0)),'DICTIONARY-5'!$A$2)</f>
        <v>211,-</v>
      </c>
      <c r="H51" s="339" t="str">
        <f>IFERROR(IF(OR(F51='DICTIONARY-5'!$A$2,F51='DICTIONARY-5'!$A$4,ISBLANK(F51)),VLOOKUP(E51,LIST!$A$6:$M$3250,CURR_2.SEARCH.OLD,0),VLOOKUP(F51,LIST!$B$6:$M$3250,CURR_2.SEARCH.NEW,0)),'DICTIONARY-5'!$A$2)</f>
        <v/>
      </c>
      <c r="J51" s="491"/>
    </row>
    <row r="52" spans="1:10" x14ac:dyDescent="0.25">
      <c r="A52" s="264">
        <v>125</v>
      </c>
      <c r="B52" s="264">
        <v>480</v>
      </c>
      <c r="C52" s="264">
        <v>380</v>
      </c>
      <c r="D52" s="275"/>
      <c r="E52" s="264" t="s">
        <v>2395</v>
      </c>
      <c r="F52" s="309" t="s">
        <v>2780</v>
      </c>
      <c r="G52" s="339" t="str">
        <f>IFERROR(IF(OR(F52='DICTIONARY-5'!$A$2,F52='DICTIONARY-5'!$A$4,ISBLANK(F52)),VLOOKUP(E52,LIST!$A$6:$L$3250,CURR_1.SEARCH.OLD,0),VLOOKUP(F52,LIST!$B$6:$L$3250,CURR_1.SEARCH.NEW,0)),'DICTIONARY-5'!$A$2)</f>
        <v>213,-</v>
      </c>
      <c r="H52" s="339" t="str">
        <f>IFERROR(IF(OR(F52='DICTIONARY-5'!$A$2,F52='DICTIONARY-5'!$A$4,ISBLANK(F52)),VLOOKUP(E52,LIST!$A$6:$M$3250,CURR_2.SEARCH.OLD,0),VLOOKUP(F52,LIST!$B$6:$M$3250,CURR_2.SEARCH.NEW,0)),'DICTIONARY-5'!$A$2)</f>
        <v/>
      </c>
      <c r="J52" s="491"/>
    </row>
    <row r="53" spans="1:10" x14ac:dyDescent="0.25">
      <c r="A53" s="264">
        <v>150</v>
      </c>
      <c r="B53" s="264">
        <v>300</v>
      </c>
      <c r="C53" s="264">
        <v>190</v>
      </c>
      <c r="D53" s="275"/>
      <c r="E53" s="264" t="s">
        <v>2396</v>
      </c>
      <c r="F53" s="309" t="s">
        <v>2856</v>
      </c>
      <c r="G53" s="339" t="str">
        <f>IFERROR(IF(OR(F53='DICTIONARY-5'!$A$2,F53='DICTIONARY-5'!$A$4,ISBLANK(F53)),VLOOKUP(E53,LIST!$A$6:$L$3250,CURR_1.SEARCH.OLD,0),VLOOKUP(F53,LIST!$B$6:$L$3250,CURR_1.SEARCH.NEW,0)),'DICTIONARY-5'!$A$2)</f>
        <v>274,-</v>
      </c>
      <c r="H53" s="339" t="str">
        <f>IFERROR(IF(OR(F53='DICTIONARY-5'!$A$2,F53='DICTIONARY-5'!$A$4,ISBLANK(F53)),VLOOKUP(E53,LIST!$A$6:$M$3250,CURR_2.SEARCH.OLD,0),VLOOKUP(F53,LIST!$B$6:$M$3250,CURR_2.SEARCH.NEW,0)),'DICTIONARY-5'!$A$2)</f>
        <v/>
      </c>
      <c r="J53" s="491"/>
    </row>
    <row r="54" spans="1:10" x14ac:dyDescent="0.25">
      <c r="A54" s="264">
        <v>150</v>
      </c>
      <c r="B54" s="264">
        <v>480</v>
      </c>
      <c r="C54" s="264">
        <v>370</v>
      </c>
      <c r="D54" s="275"/>
      <c r="E54" s="264" t="s">
        <v>2397</v>
      </c>
      <c r="F54" s="309" t="s">
        <v>2781</v>
      </c>
      <c r="G54" s="339" t="str">
        <f>IFERROR(IF(OR(F54='DICTIONARY-5'!$A$2,F54='DICTIONARY-5'!$A$4,ISBLANK(F54)),VLOOKUP(E54,LIST!$A$6:$L$3250,CURR_1.SEARCH.OLD,0),VLOOKUP(F54,LIST!$B$6:$L$3250,CURR_1.SEARCH.NEW,0)),'DICTIONARY-5'!$A$2)</f>
        <v>232,-</v>
      </c>
      <c r="H54" s="339" t="str">
        <f>IFERROR(IF(OR(F54='DICTIONARY-5'!$A$2,F54='DICTIONARY-5'!$A$4,ISBLANK(F54)),VLOOKUP(E54,LIST!$A$6:$M$3250,CURR_2.SEARCH.OLD,0),VLOOKUP(F54,LIST!$B$6:$M$3250,CURR_2.SEARCH.NEW,0)),'DICTIONARY-5'!$A$2)</f>
        <v/>
      </c>
      <c r="J54" s="491"/>
    </row>
    <row r="55" spans="1:10" x14ac:dyDescent="0.25">
      <c r="A55" s="264">
        <v>200</v>
      </c>
      <c r="B55" s="264">
        <v>510</v>
      </c>
      <c r="C55" s="264">
        <v>395</v>
      </c>
      <c r="D55" s="275"/>
      <c r="E55" s="264" t="s">
        <v>2398</v>
      </c>
      <c r="F55" s="309" t="s">
        <v>2778</v>
      </c>
      <c r="G55" s="339" t="str">
        <f>IFERROR(IF(OR(F55='DICTIONARY-5'!$A$2,F55='DICTIONARY-5'!$A$4,ISBLANK(F55)),VLOOKUP(E55,LIST!$A$6:$L$3250,CURR_1.SEARCH.OLD,0),VLOOKUP(F55,LIST!$B$6:$L$3250,CURR_1.SEARCH.NEW,0)),'DICTIONARY-5'!$A$2)</f>
        <v>364,-</v>
      </c>
      <c r="H55" s="339" t="str">
        <f>IFERROR(IF(OR(F55='DICTIONARY-5'!$A$2,F55='DICTIONARY-5'!$A$4,ISBLANK(F55)),VLOOKUP(E55,LIST!$A$6:$M$3250,CURR_2.SEARCH.OLD,0),VLOOKUP(F55,LIST!$B$6:$M$3250,CURR_2.SEARCH.NEW,0)),'DICTIONARY-5'!$A$2)</f>
        <v/>
      </c>
      <c r="J55" s="491"/>
    </row>
    <row r="57" spans="1:10" x14ac:dyDescent="0.25">
      <c r="A57" s="256" t="str">
        <f>" 1)"&amp;'DICTIONARY-5'!$A$205</f>
        <v xml:space="preserve"> 1)Długość kształtki</v>
      </c>
    </row>
    <row r="58" spans="1:10" x14ac:dyDescent="0.25">
      <c r="A58" s="256" t="str">
        <f>" 2)"&amp;'DICTIONARY-5'!$A$205&amp;" "&amp;'DICTIONARY-5'!$A$206</f>
        <v xml:space="preserve"> 2)Długość kształtki po włożeniu do mufy</v>
      </c>
    </row>
    <row r="61" spans="1:10" ht="16.5" thickBot="1" x14ac:dyDescent="0.3">
      <c r="A61" s="712" t="str">
        <f>CONCATENATE('DICTIONARY-3'!$A$153," ",'DICTIONARY-3'!$A$175,'DICTIONARY-3'!$A$158,'DICTIONARY-3'!$A$174," / ",'DICTIONARY-3'!$A$339)</f>
        <v>BAIO Kształtka-EMS‎ / Z możliwością przesuwu koncówki rury w mufie śrubowej UNION</v>
      </c>
      <c r="B61" s="712"/>
      <c r="C61" s="712"/>
      <c r="D61" s="712"/>
      <c r="E61" s="712"/>
      <c r="F61" s="712"/>
      <c r="G61" s="712"/>
      <c r="H61" s="712"/>
    </row>
    <row r="62" spans="1:10" x14ac:dyDescent="0.25">
      <c r="A62" s="268" t="str">
        <f>CONCATENATE('DICTIONARY-5'!$A$204,": ","1x ",'DICTIONARY-5'!$A$198," + ","1x ",'DICTIONARY-5'!$A$199)</f>
        <v>Połączenie: 1x mufa + 1x końcówka bosa</v>
      </c>
    </row>
    <row r="63" spans="1:10" x14ac:dyDescent="0.25">
      <c r="A63" s="258" t="str">
        <f>CONCATENATE('DICTIONARY-1'!$A$10,": ",SETTINGS!$C$39)</f>
        <v>Grupa rabatowa: BAIO Fittings</v>
      </c>
    </row>
    <row r="65" spans="1:10" x14ac:dyDescent="0.25">
      <c r="A65" s="711" t="str">
        <f>'DICTIONARY-2'!$A$2</f>
        <v>DN</v>
      </c>
      <c r="B65" s="260" t="str">
        <f>'DICTIONARY-2'!$A$40&amp;" 1)"</f>
        <v>l 1)</v>
      </c>
      <c r="C65" s="260" t="str">
        <f>'DICTIONARY-2'!$A$24&amp;" 2)"</f>
        <v>L 2)</v>
      </c>
      <c r="D65" s="260"/>
      <c r="E65" s="1069" t="str">
        <f>'DICTIONARY-3'!$A$153</f>
        <v>BAIO</v>
      </c>
      <c r="F65" s="1069"/>
      <c r="G65" s="1069"/>
      <c r="H65" s="1069"/>
    </row>
    <row r="66" spans="1:10" x14ac:dyDescent="0.25">
      <c r="A66" s="531"/>
      <c r="B66" s="531"/>
      <c r="C66" s="531"/>
      <c r="D66" s="531"/>
      <c r="E66" s="1068" t="str">
        <f>'DICTIONARY-3'!$A$175&amp;'DICTIONARY-3'!$A$158&amp;'DICTIONARY-3'!$A$174</f>
        <v>Kształtka-EMS‎</v>
      </c>
      <c r="F66" s="1068"/>
      <c r="G66" s="1068"/>
      <c r="H66" s="1068"/>
    </row>
    <row r="67" spans="1:10" x14ac:dyDescent="0.25">
      <c r="A67" s="261"/>
      <c r="B67" s="261" t="str">
        <f>'DICTIONARY-2'!$A$18</f>
        <v>[mm]</v>
      </c>
      <c r="C67" s="261" t="str">
        <f>'DICTIONARY-2'!$A$18</f>
        <v>[mm]</v>
      </c>
      <c r="D67" s="261"/>
      <c r="E67" s="262" t="str">
        <f>'DICTIONARY-2'!$A$28</f>
        <v>stary nr zamówienia</v>
      </c>
      <c r="F67" s="262" t="str">
        <f>'DICTIONARY-2'!$A$29</f>
        <v>nowy nr zamówienia</v>
      </c>
      <c r="G67" s="263" t="str">
        <f>CURRENCY.CODE_1</f>
        <v>EUR</v>
      </c>
      <c r="H67" s="263" t="str">
        <f>CURRENCY.CODE_2</f>
        <v>---</v>
      </c>
    </row>
    <row r="68" spans="1:10" x14ac:dyDescent="0.25">
      <c r="A68" s="264">
        <v>80</v>
      </c>
      <c r="B68" s="264">
        <v>555</v>
      </c>
      <c r="C68" s="264">
        <v>471</v>
      </c>
      <c r="D68" s="275"/>
      <c r="E68" s="264" t="s">
        <v>2399</v>
      </c>
      <c r="F68" s="309" t="s">
        <v>2915</v>
      </c>
      <c r="G68" s="339" t="str">
        <f>IFERROR(IF(OR(F68='DICTIONARY-5'!$A$2,F68='DICTIONARY-5'!$A$4,ISBLANK(F68)),VLOOKUP(E68,LIST!$A$6:$L$3250,CURR_1.SEARCH.OLD,0),VLOOKUP(F68,LIST!$B$6:$L$3250,CURR_1.SEARCH.NEW,0)),'DICTIONARY-5'!$A$2)</f>
        <v>205,-</v>
      </c>
      <c r="H68" s="339" t="str">
        <f>IFERROR(IF(OR(F68='DICTIONARY-5'!$A$2,F68='DICTIONARY-5'!$A$4,ISBLANK(F68)),VLOOKUP(E68,LIST!$A$6:$M$3250,CURR_2.SEARCH.OLD,0),VLOOKUP(F68,LIST!$B$6:$M$3250,CURR_2.SEARCH.NEW,0)),'DICTIONARY-5'!$A$2)</f>
        <v/>
      </c>
      <c r="J68" s="491"/>
    </row>
    <row r="69" spans="1:10" x14ac:dyDescent="0.25">
      <c r="A69" s="264">
        <v>100</v>
      </c>
      <c r="B69" s="264">
        <v>580</v>
      </c>
      <c r="C69" s="264">
        <v>746</v>
      </c>
      <c r="D69" s="275"/>
      <c r="E69" s="264" t="s">
        <v>2400</v>
      </c>
      <c r="F69" s="309" t="s">
        <v>2916</v>
      </c>
      <c r="G69" s="339" t="str">
        <f>IFERROR(IF(OR(F69='DICTIONARY-5'!$A$2,F69='DICTIONARY-5'!$A$4,ISBLANK(F69)),VLOOKUP(E69,LIST!$A$6:$L$3250,CURR_1.SEARCH.OLD,0),VLOOKUP(F69,LIST!$B$6:$L$3250,CURR_1.SEARCH.NEW,0)),'DICTIONARY-5'!$A$2)</f>
        <v>236,-</v>
      </c>
      <c r="H69" s="339" t="str">
        <f>IFERROR(IF(OR(F69='DICTIONARY-5'!$A$2,F69='DICTIONARY-5'!$A$4,ISBLANK(F69)),VLOOKUP(E69,LIST!$A$6:$M$3250,CURR_2.SEARCH.OLD,0),VLOOKUP(F69,LIST!$B$6:$M$3250,CURR_2.SEARCH.NEW,0)),'DICTIONARY-5'!$A$2)</f>
        <v/>
      </c>
      <c r="J69" s="491"/>
    </row>
    <row r="70" spans="1:10" x14ac:dyDescent="0.25">
      <c r="A70" s="264">
        <v>125</v>
      </c>
      <c r="B70" s="264">
        <v>615</v>
      </c>
      <c r="C70" s="264">
        <v>504</v>
      </c>
      <c r="D70" s="275"/>
      <c r="E70" s="264" t="s">
        <v>2401</v>
      </c>
      <c r="F70" s="309" t="s">
        <v>2917</v>
      </c>
      <c r="G70" s="339" t="str">
        <f>IFERROR(IF(OR(F70='DICTIONARY-5'!$A$2,F70='DICTIONARY-5'!$A$4,ISBLANK(F70)),VLOOKUP(E70,LIST!$A$6:$L$3250,CURR_1.SEARCH.OLD,0),VLOOKUP(F70,LIST!$B$6:$L$3250,CURR_1.SEARCH.NEW,0)),'DICTIONARY-5'!$A$2)</f>
        <v>316,-</v>
      </c>
      <c r="H70" s="339" t="str">
        <f>IFERROR(IF(OR(F70='DICTIONARY-5'!$A$2,F70='DICTIONARY-5'!$A$4,ISBLANK(F70)),VLOOKUP(E70,LIST!$A$6:$M$3250,CURR_2.SEARCH.OLD,0),VLOOKUP(F70,LIST!$B$6:$M$3250,CURR_2.SEARCH.NEW,0)),'DICTIONARY-5'!$A$2)</f>
        <v/>
      </c>
      <c r="J70" s="491"/>
    </row>
    <row r="71" spans="1:10" x14ac:dyDescent="0.25">
      <c r="A71" s="264">
        <v>150</v>
      </c>
      <c r="B71" s="264">
        <v>615</v>
      </c>
      <c r="C71" s="264">
        <v>504</v>
      </c>
      <c r="D71" s="275"/>
      <c r="E71" s="264" t="s">
        <v>2402</v>
      </c>
      <c r="F71" s="309" t="s">
        <v>2918</v>
      </c>
      <c r="G71" s="339" t="str">
        <f>IFERROR(IF(OR(F71='DICTIONARY-5'!$A$2,F71='DICTIONARY-5'!$A$4,ISBLANK(F71)),VLOOKUP(E71,LIST!$A$6:$L$3250,CURR_1.SEARCH.OLD,0),VLOOKUP(F71,LIST!$B$6:$L$3250,CURR_1.SEARCH.NEW,0)),'DICTIONARY-5'!$A$2)</f>
        <v>366,-</v>
      </c>
      <c r="H71" s="339" t="str">
        <f>IFERROR(IF(OR(F71='DICTIONARY-5'!$A$2,F71='DICTIONARY-5'!$A$4,ISBLANK(F71)),VLOOKUP(E71,LIST!$A$6:$M$3250,CURR_2.SEARCH.OLD,0),VLOOKUP(F71,LIST!$B$6:$M$3250,CURR_2.SEARCH.NEW,0)),'DICTIONARY-5'!$A$2)</f>
        <v/>
      </c>
      <c r="J71" s="491"/>
    </row>
    <row r="72" spans="1:10" x14ac:dyDescent="0.25">
      <c r="A72" s="264">
        <v>200</v>
      </c>
      <c r="B72" s="264">
        <v>695</v>
      </c>
      <c r="C72" s="264">
        <v>578</v>
      </c>
      <c r="D72" s="275"/>
      <c r="E72" s="264" t="s">
        <v>2403</v>
      </c>
      <c r="F72" s="309" t="s">
        <v>2919</v>
      </c>
      <c r="G72" s="339" t="str">
        <f>IFERROR(IF(OR(F72='DICTIONARY-5'!$A$2,F72='DICTIONARY-5'!$A$4,ISBLANK(F72)),VLOOKUP(E72,LIST!$A$6:$L$3250,CURR_1.SEARCH.OLD,0),VLOOKUP(F72,LIST!$B$6:$L$3250,CURR_1.SEARCH.NEW,0)),'DICTIONARY-5'!$A$2)</f>
        <v>614,-</v>
      </c>
      <c r="H72" s="339" t="str">
        <f>IFERROR(IF(OR(F72='DICTIONARY-5'!$A$2,F72='DICTIONARY-5'!$A$4,ISBLANK(F72)),VLOOKUP(E72,LIST!$A$6:$M$3250,CURR_2.SEARCH.OLD,0),VLOOKUP(F72,LIST!$B$6:$M$3250,CURR_2.SEARCH.NEW,0)),'DICTIONARY-5'!$A$2)</f>
        <v/>
      </c>
      <c r="J72" s="491"/>
    </row>
    <row r="74" spans="1:10" x14ac:dyDescent="0.25">
      <c r="A74" s="256" t="str">
        <f>" 1)"&amp;'DICTIONARY-5'!$A$205</f>
        <v xml:space="preserve"> 1)Długość kształtki</v>
      </c>
    </row>
    <row r="75" spans="1:10" x14ac:dyDescent="0.25">
      <c r="A75" s="256" t="str">
        <f>" 2)"&amp;'DICTIONARY-5'!$A$205&amp;" "&amp;'DICTIONARY-5'!$A$206</f>
        <v xml:space="preserve"> 2)Długość kształtki po włożeniu do mufy</v>
      </c>
    </row>
    <row r="78" spans="1:10" ht="16.5" thickBot="1" x14ac:dyDescent="0.3">
      <c r="A78" s="712" t="str">
        <f>CONCATENATE('DICTIONARY-3'!$A$153," ",'DICTIONARY-3'!$A$175,'DICTIONARY-3'!$A$159,'DICTIONARY-3'!$A$174," / ",'DICTIONARY-3'!$A$340)</f>
        <v>BAIO Kształtka-R‎ / Z przejściem na większą średnicę DN</v>
      </c>
      <c r="B78" s="712"/>
      <c r="C78" s="712"/>
      <c r="D78" s="712"/>
      <c r="E78" s="712"/>
      <c r="F78" s="712"/>
      <c r="G78" s="712"/>
      <c r="H78" s="712"/>
    </row>
    <row r="79" spans="1:10" x14ac:dyDescent="0.25">
      <c r="A79" s="268" t="str">
        <f>CONCATENATE('DICTIONARY-5'!$A$204,": ","1x ",'DICTIONARY-5'!$A$198," + ","1x ",'DICTIONARY-5'!$A$199)</f>
        <v>Połączenie: 1x mufa + 1x końcówka bosa</v>
      </c>
      <c r="B79" s="258"/>
    </row>
    <row r="80" spans="1:10" x14ac:dyDescent="0.25">
      <c r="A80" s="258" t="str">
        <f>CONCATENATE('DICTIONARY-1'!$A$10,": ",SETTINGS!$C$39)</f>
        <v>Grupa rabatowa: BAIO Fittings</v>
      </c>
      <c r="B80" s="258"/>
    </row>
    <row r="82" spans="1:8" x14ac:dyDescent="0.25">
      <c r="A82" s="711" t="str">
        <f>'DICTIONARY-2'!$A$2</f>
        <v>DN</v>
      </c>
      <c r="B82" s="711" t="str">
        <f>'DICTIONARY-2'!$A$2</f>
        <v>DN</v>
      </c>
      <c r="C82" s="260" t="str">
        <f>'DICTIONARY-2'!$A$40&amp;" 1)"</f>
        <v>l 1)</v>
      </c>
      <c r="D82" s="260" t="str">
        <f>'DICTIONARY-2'!$A$24&amp;" 2)"</f>
        <v>L 2)</v>
      </c>
      <c r="E82" s="1069" t="str">
        <f>'DICTIONARY-3'!$A$153</f>
        <v>BAIO</v>
      </c>
      <c r="F82" s="1069"/>
      <c r="G82" s="1069"/>
      <c r="H82" s="1069"/>
    </row>
    <row r="83" spans="1:8" ht="30" x14ac:dyDescent="0.25">
      <c r="A83" s="532" t="str">
        <f>'DICTIONARY-5'!$A$198</f>
        <v>mufa</v>
      </c>
      <c r="B83" s="532" t="str">
        <f>'DICTIONARY-5'!$A$199</f>
        <v>końcówka bosa</v>
      </c>
      <c r="C83" s="531"/>
      <c r="D83" s="531"/>
      <c r="E83" s="1068" t="str">
        <f>'DICTIONARY-3'!$A$175&amp;'DICTIONARY-3'!$A$159&amp;'DICTIONARY-3'!$A$174</f>
        <v>Kształtka-R‎</v>
      </c>
      <c r="F83" s="1068"/>
      <c r="G83" s="1068"/>
      <c r="H83" s="1068"/>
    </row>
    <row r="84" spans="1:8" x14ac:dyDescent="0.25">
      <c r="A84" s="261"/>
      <c r="B84" s="261"/>
      <c r="C84" s="261" t="str">
        <f>'DICTIONARY-2'!$A$18</f>
        <v>[mm]</v>
      </c>
      <c r="D84" s="261" t="str">
        <f>'DICTIONARY-2'!$A$18</f>
        <v>[mm]</v>
      </c>
      <c r="E84" s="262" t="str">
        <f>'DICTIONARY-2'!$A$28</f>
        <v>stary nr zamówienia</v>
      </c>
      <c r="F84" s="262" t="str">
        <f>'DICTIONARY-2'!$A$29</f>
        <v>nowy nr zamówienia</v>
      </c>
      <c r="G84" s="263" t="str">
        <f>CURRENCY.CODE_1</f>
        <v>EUR</v>
      </c>
      <c r="H84" s="263" t="str">
        <f>CURRENCY.CODE_2</f>
        <v>---</v>
      </c>
    </row>
    <row r="85" spans="1:8" x14ac:dyDescent="0.25">
      <c r="A85" s="264">
        <v>80</v>
      </c>
      <c r="B85" s="264">
        <v>100</v>
      </c>
      <c r="C85" s="264">
        <v>310</v>
      </c>
      <c r="D85" s="264">
        <v>210</v>
      </c>
      <c r="E85" s="274" t="s">
        <v>4876</v>
      </c>
      <c r="F85" s="310" t="s">
        <v>2404</v>
      </c>
      <c r="G85" s="339" t="str">
        <f>IFERROR(IF(OR(F85='DICTIONARY-5'!$A$2,F85='DICTIONARY-5'!$A$4,ISBLANK(F85)),VLOOKUP(E85,LIST!$A$6:$L$3250,CURR_1.SEARCH.OLD,0),VLOOKUP(F85,LIST!$B$6:$L$3250,CURR_1.SEARCH.NEW,0)),'DICTIONARY-5'!$A$2)</f>
        <v>182,-</v>
      </c>
      <c r="H85" s="339" t="str">
        <f>IFERROR(IF(OR(F85='DICTIONARY-5'!$A$2,F85='DICTIONARY-5'!$A$4,ISBLANK(F85)),VLOOKUP(E85,LIST!$A$6:$M$3250,CURR_2.SEARCH.OLD,0),VLOOKUP(F85,LIST!$B$6:$M$3250,CURR_2.SEARCH.NEW,0)),'DICTIONARY-5'!$A$2)</f>
        <v/>
      </c>
    </row>
    <row r="86" spans="1:8" x14ac:dyDescent="0.25">
      <c r="A86" s="264">
        <v>80</v>
      </c>
      <c r="B86" s="264">
        <v>125</v>
      </c>
      <c r="C86" s="264">
        <v>370</v>
      </c>
      <c r="D86" s="264">
        <v>259</v>
      </c>
      <c r="E86" s="274" t="s">
        <v>4877</v>
      </c>
      <c r="F86" s="310" t="s">
        <v>2405</v>
      </c>
      <c r="G86" s="339" t="str">
        <f>IFERROR(IF(OR(F86='DICTIONARY-5'!$A$2,F86='DICTIONARY-5'!$A$4,ISBLANK(F86)),VLOOKUP(E86,LIST!$A$6:$L$3250,CURR_1.SEARCH.OLD,0),VLOOKUP(F86,LIST!$B$6:$L$3250,CURR_1.SEARCH.NEW,0)),'DICTIONARY-5'!$A$2)</f>
        <v>205,-</v>
      </c>
      <c r="H86" s="339" t="str">
        <f>IFERROR(IF(OR(F86='DICTIONARY-5'!$A$2,F86='DICTIONARY-5'!$A$4,ISBLANK(F86)),VLOOKUP(E86,LIST!$A$6:$M$3250,CURR_2.SEARCH.OLD,0),VLOOKUP(F86,LIST!$B$6:$M$3250,CURR_2.SEARCH.NEW,0)),'DICTIONARY-5'!$A$2)</f>
        <v/>
      </c>
    </row>
    <row r="87" spans="1:8" x14ac:dyDescent="0.25">
      <c r="A87" s="264">
        <v>80</v>
      </c>
      <c r="B87" s="264">
        <v>150</v>
      </c>
      <c r="C87" s="264">
        <v>420</v>
      </c>
      <c r="D87" s="264">
        <v>319</v>
      </c>
      <c r="E87" s="274" t="s">
        <v>4879</v>
      </c>
      <c r="F87" s="310" t="s">
        <v>2406</v>
      </c>
      <c r="G87" s="339" t="str">
        <f>IFERROR(IF(OR(F87='DICTIONARY-5'!$A$2,F87='DICTIONARY-5'!$A$4,ISBLANK(F87)),VLOOKUP(E87,LIST!$A$6:$L$3250,CURR_1.SEARCH.OLD,0),VLOOKUP(F87,LIST!$B$6:$L$3250,CURR_1.SEARCH.NEW,0)),'DICTIONARY-5'!$A$2)</f>
        <v>239,-</v>
      </c>
      <c r="H87" s="339" t="str">
        <f>IFERROR(IF(OR(F87='DICTIONARY-5'!$A$2,F87='DICTIONARY-5'!$A$4,ISBLANK(F87)),VLOOKUP(E87,LIST!$A$6:$M$3250,CURR_2.SEARCH.OLD,0),VLOOKUP(F87,LIST!$B$6:$M$3250,CURR_2.SEARCH.NEW,0)),'DICTIONARY-5'!$A$2)</f>
        <v/>
      </c>
    </row>
    <row r="88" spans="1:8" x14ac:dyDescent="0.25">
      <c r="A88" s="264">
        <v>100</v>
      </c>
      <c r="B88" s="264">
        <v>125</v>
      </c>
      <c r="C88" s="264">
        <v>340</v>
      </c>
      <c r="D88" s="264">
        <v>229</v>
      </c>
      <c r="E88" s="274" t="s">
        <v>4878</v>
      </c>
      <c r="F88" s="310" t="s">
        <v>2407</v>
      </c>
      <c r="G88" s="339" t="str">
        <f>IFERROR(IF(OR(F88='DICTIONARY-5'!$A$2,F88='DICTIONARY-5'!$A$4,ISBLANK(F88)),VLOOKUP(E88,LIST!$A$6:$L$3250,CURR_1.SEARCH.OLD,0),VLOOKUP(F88,LIST!$B$6:$L$3250,CURR_1.SEARCH.NEW,0)),'DICTIONARY-5'!$A$2)</f>
        <v>206,-</v>
      </c>
      <c r="H88" s="339" t="str">
        <f>IFERROR(IF(OR(F88='DICTIONARY-5'!$A$2,F88='DICTIONARY-5'!$A$4,ISBLANK(F88)),VLOOKUP(E88,LIST!$A$6:$M$3250,CURR_2.SEARCH.OLD,0),VLOOKUP(F88,LIST!$B$6:$M$3250,CURR_2.SEARCH.NEW,0)),'DICTIONARY-5'!$A$2)</f>
        <v/>
      </c>
    </row>
    <row r="89" spans="1:8" x14ac:dyDescent="0.25">
      <c r="A89" s="264">
        <v>100</v>
      </c>
      <c r="B89" s="264">
        <v>150</v>
      </c>
      <c r="C89" s="264">
        <v>395</v>
      </c>
      <c r="D89" s="264">
        <v>284</v>
      </c>
      <c r="E89" s="274" t="s">
        <v>4880</v>
      </c>
      <c r="F89" s="310" t="s">
        <v>2408</v>
      </c>
      <c r="G89" s="339" t="str">
        <f>IFERROR(IF(OR(F89='DICTIONARY-5'!$A$2,F89='DICTIONARY-5'!$A$4,ISBLANK(F89)),VLOOKUP(E89,LIST!$A$6:$L$3250,CURR_1.SEARCH.OLD,0),VLOOKUP(F89,LIST!$B$6:$L$3250,CURR_1.SEARCH.NEW,0)),'DICTIONARY-5'!$A$2)</f>
        <v>254,-</v>
      </c>
      <c r="H89" s="339" t="str">
        <f>IFERROR(IF(OR(F89='DICTIONARY-5'!$A$2,F89='DICTIONARY-5'!$A$4,ISBLANK(F89)),VLOOKUP(E89,LIST!$A$6:$M$3250,CURR_2.SEARCH.OLD,0),VLOOKUP(F89,LIST!$B$6:$M$3250,CURR_2.SEARCH.NEW,0)),'DICTIONARY-5'!$A$2)</f>
        <v/>
      </c>
    </row>
    <row r="90" spans="1:8" x14ac:dyDescent="0.25">
      <c r="A90" s="264">
        <v>100</v>
      </c>
      <c r="B90" s="264">
        <v>200</v>
      </c>
      <c r="C90" s="264">
        <v>500</v>
      </c>
      <c r="D90" s="264">
        <v>383</v>
      </c>
      <c r="E90" s="274" t="s">
        <v>4882</v>
      </c>
      <c r="F90" s="310" t="s">
        <v>2409</v>
      </c>
      <c r="G90" s="339" t="str">
        <f>IFERROR(IF(OR(F90='DICTIONARY-5'!$A$2,F90='DICTIONARY-5'!$A$4,ISBLANK(F90)),VLOOKUP(E90,LIST!$A$6:$L$3250,CURR_1.SEARCH.OLD,0),VLOOKUP(F90,LIST!$B$6:$L$3250,CURR_1.SEARCH.NEW,0)),'DICTIONARY-5'!$A$2)</f>
        <v>316,-</v>
      </c>
      <c r="H90" s="339" t="str">
        <f>IFERROR(IF(OR(F90='DICTIONARY-5'!$A$2,F90='DICTIONARY-5'!$A$4,ISBLANK(F90)),VLOOKUP(E90,LIST!$A$6:$M$3250,CURR_2.SEARCH.OLD,0),VLOOKUP(F90,LIST!$B$6:$M$3250,CURR_2.SEARCH.NEW,0)),'DICTIONARY-5'!$A$2)</f>
        <v/>
      </c>
    </row>
    <row r="91" spans="1:8" x14ac:dyDescent="0.25">
      <c r="A91" s="264">
        <v>125</v>
      </c>
      <c r="B91" s="264">
        <v>150</v>
      </c>
      <c r="C91" s="264">
        <v>335</v>
      </c>
      <c r="D91" s="264">
        <v>224</v>
      </c>
      <c r="E91" s="274" t="s">
        <v>4881</v>
      </c>
      <c r="F91" s="310" t="s">
        <v>2410</v>
      </c>
      <c r="G91" s="339" t="str">
        <f>IFERROR(IF(OR(F91='DICTIONARY-5'!$A$2,F91='DICTIONARY-5'!$A$4,ISBLANK(F91)),VLOOKUP(E91,LIST!$A$6:$L$3250,CURR_1.SEARCH.OLD,0),VLOOKUP(F91,LIST!$B$6:$L$3250,CURR_1.SEARCH.NEW,0)),'DICTIONARY-5'!$A$2)</f>
        <v>262,-</v>
      </c>
      <c r="H91" s="339" t="str">
        <f>IFERROR(IF(OR(F91='DICTIONARY-5'!$A$2,F91='DICTIONARY-5'!$A$4,ISBLANK(F91)),VLOOKUP(E91,LIST!$A$6:$M$3250,CURR_2.SEARCH.OLD,0),VLOOKUP(F91,LIST!$B$6:$M$3250,CURR_2.SEARCH.NEW,0)),'DICTIONARY-5'!$A$2)</f>
        <v/>
      </c>
    </row>
    <row r="92" spans="1:8" x14ac:dyDescent="0.25">
      <c r="A92" s="264">
        <v>125</v>
      </c>
      <c r="B92" s="264">
        <v>200</v>
      </c>
      <c r="C92" s="264">
        <v>435</v>
      </c>
      <c r="D92" s="264">
        <v>318</v>
      </c>
      <c r="E92" s="274" t="s">
        <v>4883</v>
      </c>
      <c r="F92" s="310" t="s">
        <v>2411</v>
      </c>
      <c r="G92" s="339" t="str">
        <f>IFERROR(IF(OR(F92='DICTIONARY-5'!$A$2,F92='DICTIONARY-5'!$A$4,ISBLANK(F92)),VLOOKUP(E92,LIST!$A$6:$L$3250,CURR_1.SEARCH.OLD,0),VLOOKUP(F92,LIST!$B$6:$L$3250,CURR_1.SEARCH.NEW,0)),'DICTIONARY-5'!$A$2)</f>
        <v>316,-</v>
      </c>
      <c r="H92" s="339" t="str">
        <f>IFERROR(IF(OR(F92='DICTIONARY-5'!$A$2,F92='DICTIONARY-5'!$A$4,ISBLANK(F92)),VLOOKUP(E92,LIST!$A$6:$M$3250,CURR_2.SEARCH.OLD,0),VLOOKUP(F92,LIST!$B$6:$M$3250,CURR_2.SEARCH.NEW,0)),'DICTIONARY-5'!$A$2)</f>
        <v/>
      </c>
    </row>
    <row r="93" spans="1:8" x14ac:dyDescent="0.25">
      <c r="A93" s="264">
        <v>150</v>
      </c>
      <c r="B93" s="264">
        <v>200</v>
      </c>
      <c r="C93" s="264">
        <v>410</v>
      </c>
      <c r="D93" s="264">
        <v>293</v>
      </c>
      <c r="E93" s="274" t="s">
        <v>4884</v>
      </c>
      <c r="F93" s="310" t="s">
        <v>2412</v>
      </c>
      <c r="G93" s="339" t="str">
        <f>IFERROR(IF(OR(F93='DICTIONARY-5'!$A$2,F93='DICTIONARY-5'!$A$4,ISBLANK(F93)),VLOOKUP(E93,LIST!$A$6:$L$3250,CURR_1.SEARCH.OLD,0),VLOOKUP(F93,LIST!$B$6:$L$3250,CURR_1.SEARCH.NEW,0)),'DICTIONARY-5'!$A$2)</f>
        <v>348,-</v>
      </c>
      <c r="H93" s="339" t="str">
        <f>IFERROR(IF(OR(F93='DICTIONARY-5'!$A$2,F93='DICTIONARY-5'!$A$4,ISBLANK(F93)),VLOOKUP(E93,LIST!$A$6:$M$3250,CURR_2.SEARCH.OLD,0),VLOOKUP(F93,LIST!$B$6:$M$3250,CURR_2.SEARCH.NEW,0)),'DICTIONARY-5'!$A$2)</f>
        <v/>
      </c>
    </row>
    <row r="95" spans="1:8" x14ac:dyDescent="0.25">
      <c r="A95" s="256" t="str">
        <f>" 1)"&amp;'DICTIONARY-5'!$A$205</f>
        <v xml:space="preserve"> 1)Długość kształtki</v>
      </c>
    </row>
    <row r="96" spans="1:8" x14ac:dyDescent="0.25">
      <c r="A96" s="256" t="str">
        <f>" 2)"&amp;'DICTIONARY-5'!$A$205&amp;" "&amp;'DICTIONARY-5'!$A$206</f>
        <v xml:space="preserve"> 2)Długość kształtki po włożeniu do mufy</v>
      </c>
    </row>
    <row r="99" spans="1:8" ht="16.5" thickBot="1" x14ac:dyDescent="0.3">
      <c r="A99" s="712" t="str">
        <f>CONCATENATE('DICTIONARY-3'!$A$153," ",'DICTIONARY-3'!$A$175,'DICTIONARY-3'!$A$160,'DICTIONARY-3'!$A$174," / ",'DICTIONARY-3'!$A$341)</f>
        <v>BAIO Kształtka-RU‎ / Z prześciem na mniejszą średnicę DN</v>
      </c>
      <c r="B99" s="712"/>
      <c r="C99" s="712"/>
      <c r="D99" s="712"/>
      <c r="E99" s="712"/>
      <c r="F99" s="712"/>
      <c r="G99" s="712"/>
      <c r="H99" s="712"/>
    </row>
    <row r="100" spans="1:8" x14ac:dyDescent="0.25">
      <c r="A100" s="268" t="str">
        <f>CONCATENATE('DICTIONARY-5'!$A$204,": ","1x ",'DICTIONARY-5'!$A$198," + ","1x ",'DICTIONARY-5'!$A$199)</f>
        <v>Połączenie: 1x mufa + 1x końcówka bosa</v>
      </c>
      <c r="B100" s="258"/>
    </row>
    <row r="101" spans="1:8" x14ac:dyDescent="0.25">
      <c r="A101" s="258" t="str">
        <f>CONCATENATE('DICTIONARY-1'!$A$10,": ",SETTINGS!$C$39)</f>
        <v>Grupa rabatowa: BAIO Fittings</v>
      </c>
      <c r="B101" s="258"/>
    </row>
    <row r="103" spans="1:8" x14ac:dyDescent="0.25">
      <c r="A103" s="711" t="str">
        <f>'DICTIONARY-2'!$A$2</f>
        <v>DN</v>
      </c>
      <c r="B103" s="711" t="str">
        <f>'DICTIONARY-2'!$A$2</f>
        <v>DN</v>
      </c>
      <c r="C103" s="260" t="str">
        <f>'DICTIONARY-2'!$A$40&amp;" 1)"</f>
        <v>l 1)</v>
      </c>
      <c r="D103" s="260" t="str">
        <f>'DICTIONARY-2'!$A$24&amp;" 2)"</f>
        <v>L 2)</v>
      </c>
      <c r="E103" s="1069" t="str">
        <f>'DICTIONARY-3'!$A$153</f>
        <v>BAIO</v>
      </c>
      <c r="F103" s="1069"/>
      <c r="G103" s="1069"/>
      <c r="H103" s="1069"/>
    </row>
    <row r="104" spans="1:8" ht="30" x14ac:dyDescent="0.25">
      <c r="A104" s="532" t="str">
        <f>'DICTIONARY-5'!$A$198</f>
        <v>mufa</v>
      </c>
      <c r="B104" s="532" t="str">
        <f>'DICTIONARY-5'!$A$199</f>
        <v>końcówka bosa</v>
      </c>
      <c r="C104" s="531"/>
      <c r="D104" s="531"/>
      <c r="E104" s="1068" t="str">
        <f>'DICTIONARY-3'!$A$175&amp;'DICTIONARY-3'!$A$160&amp;'DICTIONARY-3'!$A$174</f>
        <v>Kształtka-RU‎</v>
      </c>
      <c r="F104" s="1068"/>
      <c r="G104" s="1068"/>
      <c r="H104" s="1068"/>
    </row>
    <row r="105" spans="1:8" x14ac:dyDescent="0.25">
      <c r="A105" s="261"/>
      <c r="B105" s="261"/>
      <c r="C105" s="261" t="str">
        <f>'DICTIONARY-2'!$A$18</f>
        <v>[mm]</v>
      </c>
      <c r="D105" s="261" t="str">
        <f>'DICTIONARY-2'!$A$18</f>
        <v>[mm]</v>
      </c>
      <c r="E105" s="262" t="str">
        <f>'DICTIONARY-2'!$A$28</f>
        <v>stary nr zamówienia</v>
      </c>
      <c r="F105" s="262" t="str">
        <f>'DICTIONARY-2'!$A$29</f>
        <v>nowy nr zamówienia</v>
      </c>
      <c r="G105" s="263" t="str">
        <f>CURRENCY.CODE_1</f>
        <v>EUR</v>
      </c>
      <c r="H105" s="263" t="str">
        <f>CURRENCY.CODE_2</f>
        <v>---</v>
      </c>
    </row>
    <row r="106" spans="1:8" x14ac:dyDescent="0.25">
      <c r="A106" s="264">
        <v>125</v>
      </c>
      <c r="B106" s="264">
        <v>80</v>
      </c>
      <c r="C106" s="264">
        <v>420</v>
      </c>
      <c r="D106" s="264">
        <v>336</v>
      </c>
      <c r="E106" s="264" t="s">
        <v>2413</v>
      </c>
      <c r="F106" s="309" t="s">
        <v>2791</v>
      </c>
      <c r="G106" s="339" t="str">
        <f>IFERROR(IF(OR(F106='DICTIONARY-5'!$A$2,F106='DICTIONARY-5'!$A$4,ISBLANK(F106)),VLOOKUP(E106,LIST!$A$6:$L$3250,CURR_1.SEARCH.OLD,0),VLOOKUP(F106,LIST!$B$6:$L$3250,CURR_1.SEARCH.NEW,0)),'DICTIONARY-5'!$A$2)</f>
        <v>203,-</v>
      </c>
      <c r="H106" s="339" t="str">
        <f>IFERROR(IF(OR(F106='DICTIONARY-5'!$A$2,F106='DICTIONARY-5'!$A$4,ISBLANK(F106)),VLOOKUP(E106,LIST!$A$6:$M$3250,CURR_2.SEARCH.OLD,0),VLOOKUP(F106,LIST!$B$6:$M$3250,CURR_2.SEARCH.NEW,0)),'DICTIONARY-5'!$A$2)</f>
        <v/>
      </c>
    </row>
    <row r="107" spans="1:8" x14ac:dyDescent="0.25">
      <c r="A107" s="264">
        <v>125</v>
      </c>
      <c r="B107" s="264">
        <v>100</v>
      </c>
      <c r="C107" s="264">
        <v>325</v>
      </c>
      <c r="D107" s="264">
        <v>221</v>
      </c>
      <c r="E107" s="264" t="s">
        <v>2414</v>
      </c>
      <c r="F107" s="309" t="s">
        <v>2792</v>
      </c>
      <c r="G107" s="339" t="str">
        <f>IFERROR(IF(OR(F107='DICTIONARY-5'!$A$2,F107='DICTIONARY-5'!$A$4,ISBLANK(F107)),VLOOKUP(E107,LIST!$A$6:$L$3250,CURR_1.SEARCH.OLD,0),VLOOKUP(F107,LIST!$B$6:$L$3250,CURR_1.SEARCH.NEW,0)),'DICTIONARY-5'!$A$2)</f>
        <v>218,-</v>
      </c>
      <c r="H107" s="339" t="str">
        <f>IFERROR(IF(OR(F107='DICTIONARY-5'!$A$2,F107='DICTIONARY-5'!$A$4,ISBLANK(F107)),VLOOKUP(E107,LIST!$A$6:$M$3250,CURR_2.SEARCH.OLD,0),VLOOKUP(F107,LIST!$B$6:$M$3250,CURR_2.SEARCH.NEW,0)),'DICTIONARY-5'!$A$2)</f>
        <v/>
      </c>
    </row>
    <row r="108" spans="1:8" x14ac:dyDescent="0.25">
      <c r="A108" s="264">
        <v>150</v>
      </c>
      <c r="B108" s="264">
        <v>100</v>
      </c>
      <c r="C108" s="264">
        <v>395</v>
      </c>
      <c r="D108" s="264">
        <v>291</v>
      </c>
      <c r="E108" s="264" t="s">
        <v>2415</v>
      </c>
      <c r="F108" s="309" t="s">
        <v>2793</v>
      </c>
      <c r="G108" s="339" t="str">
        <f>IFERROR(IF(OR(F108='DICTIONARY-5'!$A$2,F108='DICTIONARY-5'!$A$4,ISBLANK(F108)),VLOOKUP(E108,LIST!$A$6:$L$3250,CURR_1.SEARCH.OLD,0),VLOOKUP(F108,LIST!$B$6:$L$3250,CURR_1.SEARCH.NEW,0)),'DICTIONARY-5'!$A$2)</f>
        <v>232,-</v>
      </c>
      <c r="H108" s="339" t="str">
        <f>IFERROR(IF(OR(F108='DICTIONARY-5'!$A$2,F108='DICTIONARY-5'!$A$4,ISBLANK(F108)),VLOOKUP(E108,LIST!$A$6:$M$3250,CURR_2.SEARCH.OLD,0),VLOOKUP(F108,LIST!$B$6:$M$3250,CURR_2.SEARCH.NEW,0)),'DICTIONARY-5'!$A$2)</f>
        <v/>
      </c>
    </row>
    <row r="110" spans="1:8" x14ac:dyDescent="0.25">
      <c r="A110" s="568" t="str">
        <f>" 1)"&amp;'DICTIONARY-5'!$A$205</f>
        <v xml:space="preserve"> 1)Długość kształtki</v>
      </c>
    </row>
    <row r="111" spans="1:8" x14ac:dyDescent="0.25">
      <c r="A111" s="568" t="str">
        <f>" 2)"&amp;'DICTIONARY-5'!$A$205&amp;" "&amp;'DICTIONARY-5'!$A$206</f>
        <v xml:space="preserve"> 2)Długość kształtki po włożeniu do mufy</v>
      </c>
    </row>
    <row r="114" spans="1:13" ht="16.5" thickBot="1" x14ac:dyDescent="0.3">
      <c r="A114" s="712" t="str">
        <f>CONCATENATE('DICTIONARY-3'!$A$153," ",'DICTIONARY-3'!$A$175,'DICTIONARY-3'!$A$161,'DICTIONARY-3'!$A$174," / ",'DICTIONARY-3'!$A$342)</f>
        <v>BAIO Kształtka-X‎ / Zaślepka</v>
      </c>
      <c r="B114" s="712"/>
      <c r="C114" s="712"/>
      <c r="D114" s="712"/>
      <c r="E114" s="712"/>
      <c r="F114" s="712"/>
      <c r="G114" s="712"/>
      <c r="H114" s="712"/>
      <c r="I114" s="712"/>
      <c r="J114" s="712"/>
      <c r="K114" s="712"/>
      <c r="L114" s="712"/>
      <c r="M114" s="712"/>
    </row>
    <row r="115" spans="1:13" x14ac:dyDescent="0.25">
      <c r="A115" s="268" t="str">
        <f>CONCATENATE('DICTIONARY-5'!$A$204,": ","1x ",'DICTIONARY-5'!$A$198)</f>
        <v>Połączenie: 1x mufa</v>
      </c>
      <c r="B115" s="258"/>
      <c r="C115" s="258"/>
      <c r="D115" s="254"/>
      <c r="E115" s="255"/>
      <c r="F115" s="255"/>
      <c r="G115" s="255"/>
    </row>
    <row r="116" spans="1:13" x14ac:dyDescent="0.25">
      <c r="A116" s="258" t="str">
        <f>CONCATENATE('DICTIONARY-1'!$A$10,": ",SETTINGS!$C$39)</f>
        <v>Grupa rabatowa: BAIO Fittings</v>
      </c>
      <c r="B116" s="258"/>
      <c r="C116" s="258"/>
      <c r="D116" s="254"/>
      <c r="E116" s="255"/>
      <c r="F116" s="255"/>
      <c r="G116" s="255"/>
    </row>
    <row r="117" spans="1:13" x14ac:dyDescent="0.25">
      <c r="B117" s="259"/>
      <c r="C117" s="259"/>
      <c r="D117" s="254"/>
      <c r="E117" s="255"/>
      <c r="F117" s="255"/>
      <c r="G117" s="255"/>
    </row>
    <row r="118" spans="1:13" x14ac:dyDescent="0.25">
      <c r="A118" s="260" t="str">
        <f>'DICTIONARY-2'!$A$2</f>
        <v>DN</v>
      </c>
      <c r="B118" s="260" t="str">
        <f>'DICTIONARY-2'!$A$40&amp;" 1)"</f>
        <v>l 1)</v>
      </c>
      <c r="C118" s="260"/>
      <c r="D118" s="260" t="str">
        <f>'DICTIONARY-2'!$A$26</f>
        <v>G</v>
      </c>
      <c r="E118" s="1069" t="str">
        <f>'DICTIONARY-3'!$A$153</f>
        <v>BAIO</v>
      </c>
      <c r="F118" s="1069"/>
      <c r="G118" s="1069"/>
      <c r="H118" s="1069"/>
      <c r="I118" s="260" t="str">
        <f>'DICTIONARY-2'!$A$26</f>
        <v>G</v>
      </c>
      <c r="J118" s="1069" t="str">
        <f>'DICTIONARY-3'!$A$153</f>
        <v>BAIO</v>
      </c>
      <c r="K118" s="1069"/>
      <c r="L118" s="1069"/>
      <c r="M118" s="1069"/>
    </row>
    <row r="119" spans="1:13" x14ac:dyDescent="0.25">
      <c r="A119" s="531"/>
      <c r="B119" s="531"/>
      <c r="C119" s="531"/>
      <c r="D119" s="531"/>
      <c r="E119" s="1068" t="str">
        <f>'DICTIONARY-3'!$A$175&amp;'DICTIONARY-3'!$A$161&amp;'DICTIONARY-3'!$A$174</f>
        <v>Kształtka-X‎</v>
      </c>
      <c r="F119" s="1068"/>
      <c r="G119" s="1068"/>
      <c r="H119" s="1068"/>
      <c r="I119" s="531"/>
      <c r="J119" s="1068" t="str">
        <f>'DICTIONARY-3'!$A$175&amp;'DICTIONARY-3'!$A$161&amp;'DICTIONARY-3'!$A$174</f>
        <v>Kształtka-X‎</v>
      </c>
      <c r="K119" s="1068"/>
      <c r="L119" s="1068"/>
      <c r="M119" s="1068"/>
    </row>
    <row r="120" spans="1:13" x14ac:dyDescent="0.25">
      <c r="A120" s="261"/>
      <c r="B120" s="261" t="str">
        <f>'DICTIONARY-2'!$A$18</f>
        <v>[mm]</v>
      </c>
      <c r="C120" s="261"/>
      <c r="D120" s="261"/>
      <c r="E120" s="262" t="str">
        <f>'DICTIONARY-2'!$A$28</f>
        <v>stary nr zamówienia</v>
      </c>
      <c r="F120" s="262" t="str">
        <f>'DICTIONARY-2'!$A$29</f>
        <v>nowy nr zamówienia</v>
      </c>
      <c r="G120" s="263" t="str">
        <f>CURRENCY.CODE_1</f>
        <v>EUR</v>
      </c>
      <c r="H120" s="263" t="str">
        <f>CURRENCY.CODE_2</f>
        <v>---</v>
      </c>
      <c r="I120" s="261"/>
      <c r="J120" s="262" t="str">
        <f>'DICTIONARY-2'!$A$28</f>
        <v>stary nr zamówienia</v>
      </c>
      <c r="K120" s="262" t="str">
        <f>'DICTIONARY-2'!$A$29</f>
        <v>nowy nr zamówienia</v>
      </c>
      <c r="L120" s="263" t="str">
        <f>CURRENCY.CODE_1</f>
        <v>EUR</v>
      </c>
      <c r="M120" s="263" t="str">
        <f>CURRENCY.CODE_2</f>
        <v>---</v>
      </c>
    </row>
    <row r="121" spans="1:13" x14ac:dyDescent="0.25">
      <c r="A121" s="264">
        <v>80</v>
      </c>
      <c r="B121" s="264">
        <v>157</v>
      </c>
      <c r="C121" s="275"/>
      <c r="D121" s="264" t="s">
        <v>911</v>
      </c>
      <c r="E121" s="264" t="s">
        <v>2416</v>
      </c>
      <c r="F121" s="309" t="s">
        <v>2759</v>
      </c>
      <c r="G121" s="339" t="str">
        <f>IFERROR(IF(OR(F121='DICTIONARY-5'!$A$2,F121='DICTIONARY-5'!$A$4,ISBLANK(F121)),VLOOKUP(E121,LIST!$A$6:$L$3250,CURR_1.SEARCH.OLD,0),VLOOKUP(F121,LIST!$B$6:$L$3250,CURR_1.SEARCH.NEW,0)),'DICTIONARY-5'!$A$2)</f>
        <v>140,-</v>
      </c>
      <c r="H121" s="339" t="str">
        <f>IFERROR(IF(OR(F121='DICTIONARY-5'!$A$2,F121='DICTIONARY-5'!$A$4,ISBLANK(F121)),VLOOKUP(E121,LIST!$A$6:$M$3250,CURR_2.SEARCH.OLD,0),VLOOKUP(F121,LIST!$B$6:$M$3250,CURR_2.SEARCH.NEW,0)),'DICTIONARY-5'!$A$2)</f>
        <v/>
      </c>
      <c r="I121" s="264" t="s">
        <v>893</v>
      </c>
      <c r="J121" s="264" t="s">
        <v>2417</v>
      </c>
      <c r="K121" s="309" t="s">
        <v>2761</v>
      </c>
      <c r="L121" s="339" t="str">
        <f>IFERROR(IF(OR(K121='DICTIONARY-5'!$A$2,K121='DICTIONARY-5'!$A$4,ISBLANK(K121)),VLOOKUP(J121,LIST!$A$6:$L$3250,CURR_1.SEARCH.OLD,0),VLOOKUP(K121,LIST!$B$6:$L$3250,CURR_1.SEARCH.NEW,0)),'DICTIONARY-5'!$A$2)</f>
        <v>140,-</v>
      </c>
      <c r="M121" s="339" t="str">
        <f>IFERROR(IF(OR(K121='DICTIONARY-5'!$A$2,K121='DICTIONARY-5'!$A$4,ISBLANK(K121)),VLOOKUP(J121,LIST!$A$6:$M$3250,CURR_2.SEARCH.OLD,0),VLOOKUP(K121,LIST!$B$6:$M$3250,CURR_2.SEARCH.NEW,0)),'DICTIONARY-5'!$A$2)</f>
        <v/>
      </c>
    </row>
    <row r="122" spans="1:13" x14ac:dyDescent="0.25">
      <c r="A122" s="264">
        <v>100</v>
      </c>
      <c r="B122" s="264">
        <v>162</v>
      </c>
      <c r="C122" s="275"/>
      <c r="D122" s="264" t="s">
        <v>911</v>
      </c>
      <c r="E122" s="264" t="s">
        <v>2418</v>
      </c>
      <c r="F122" s="309" t="s">
        <v>2760</v>
      </c>
      <c r="G122" s="339" t="str">
        <f>IFERROR(IF(OR(F122='DICTIONARY-5'!$A$2,F122='DICTIONARY-5'!$A$4,ISBLANK(F122)),VLOOKUP(E122,LIST!$A$6:$L$3250,CURR_1.SEARCH.OLD,0),VLOOKUP(F122,LIST!$B$6:$L$3250,CURR_1.SEARCH.NEW,0)),'DICTIONARY-5'!$A$2)</f>
        <v>141,-</v>
      </c>
      <c r="H122" s="339" t="str">
        <f>IFERROR(IF(OR(F122='DICTIONARY-5'!$A$2,F122='DICTIONARY-5'!$A$4,ISBLANK(F122)),VLOOKUP(E122,LIST!$A$6:$M$3250,CURR_2.SEARCH.OLD,0),VLOOKUP(F122,LIST!$B$6:$M$3250,CURR_2.SEARCH.NEW,0)),'DICTIONARY-5'!$A$2)</f>
        <v/>
      </c>
      <c r="I122" s="264" t="s">
        <v>893</v>
      </c>
      <c r="J122" s="264" t="s">
        <v>2419</v>
      </c>
      <c r="K122" s="309" t="s">
        <v>2762</v>
      </c>
      <c r="L122" s="339" t="str">
        <f>IFERROR(IF(OR(K122='DICTIONARY-5'!$A$2,K122='DICTIONARY-5'!$A$4,ISBLANK(K122)),VLOOKUP(J122,LIST!$A$6:$L$3250,CURR_1.SEARCH.OLD,0),VLOOKUP(K122,LIST!$B$6:$L$3250,CURR_1.SEARCH.NEW,0)),'DICTIONARY-5'!$A$2)</f>
        <v>141,-</v>
      </c>
      <c r="M122" s="339" t="str">
        <f>IFERROR(IF(OR(K122='DICTIONARY-5'!$A$2,K122='DICTIONARY-5'!$A$4,ISBLANK(K122)),VLOOKUP(J122,LIST!$A$6:$M$3250,CURR_2.SEARCH.OLD,0),VLOOKUP(K122,LIST!$B$6:$M$3250,CURR_2.SEARCH.NEW,0)),'DICTIONARY-5'!$A$2)</f>
        <v/>
      </c>
    </row>
    <row r="123" spans="1:13" x14ac:dyDescent="0.25">
      <c r="A123" s="264">
        <v>125</v>
      </c>
      <c r="B123" s="264">
        <v>162</v>
      </c>
      <c r="C123" s="275"/>
      <c r="D123" s="264" t="s">
        <v>911</v>
      </c>
      <c r="E123" s="264" t="s">
        <v>2420</v>
      </c>
      <c r="F123" s="309" t="s">
        <v>2922</v>
      </c>
      <c r="G123" s="339" t="str">
        <f>IFERROR(IF(OR(F123='DICTIONARY-5'!$A$2,F123='DICTIONARY-5'!$A$4,ISBLANK(F123)),VLOOKUP(E123,LIST!$A$6:$L$3250,CURR_1.SEARCH.OLD,0),VLOOKUP(F123,LIST!$B$6:$L$3250,CURR_1.SEARCH.NEW,0)),'DICTIONARY-5'!$A$2)</f>
        <v>118,-</v>
      </c>
      <c r="H123" s="339" t="str">
        <f>IFERROR(IF(OR(F123='DICTIONARY-5'!$A$2,F123='DICTIONARY-5'!$A$4,ISBLANK(F123)),VLOOKUP(E123,LIST!$A$6:$M$3250,CURR_2.SEARCH.OLD,0),VLOOKUP(F123,LIST!$B$6:$M$3250,CURR_2.SEARCH.NEW,0)),'DICTIONARY-5'!$A$2)</f>
        <v/>
      </c>
      <c r="I123" s="264" t="s">
        <v>893</v>
      </c>
      <c r="J123" s="264" t="s">
        <v>5598</v>
      </c>
      <c r="K123" s="309" t="s">
        <v>5597</v>
      </c>
      <c r="L123" s="339" t="str">
        <f>IFERROR(IF(OR(K123='DICTIONARY-5'!$A$2,K123='DICTIONARY-5'!$A$4,ISBLANK(K123)),VLOOKUP(J123,LIST!$A$6:$L$3250,CURR_1.SEARCH.OLD,0),VLOOKUP(K123,LIST!$B$6:$L$3250,CURR_1.SEARCH.NEW,0)),'DICTIONARY-5'!$A$2)</f>
        <v>168,-</v>
      </c>
      <c r="M123" s="339" t="str">
        <f>IFERROR(IF(OR(K123='DICTIONARY-5'!$A$2,K123='DICTIONARY-5'!$A$4,ISBLANK(K123)),VLOOKUP(J123,LIST!$A$6:$M$3250,CURR_2.SEARCH.OLD,0),VLOOKUP(K123,LIST!$B$6:$M$3250,CURR_2.SEARCH.NEW,0)),'DICTIONARY-5'!$A$2)</f>
        <v/>
      </c>
    </row>
    <row r="124" spans="1:13" x14ac:dyDescent="0.25">
      <c r="A124" s="264">
        <v>150</v>
      </c>
      <c r="B124" s="264">
        <v>167</v>
      </c>
      <c r="C124" s="275"/>
      <c r="D124" s="264" t="s">
        <v>911</v>
      </c>
      <c r="E124" s="264" t="s">
        <v>2422</v>
      </c>
      <c r="F124" s="309" t="s">
        <v>2763</v>
      </c>
      <c r="G124" s="339" t="str">
        <f>IFERROR(IF(OR(F124='DICTIONARY-5'!$A$2,F124='DICTIONARY-5'!$A$4,ISBLANK(F124)),VLOOKUP(E124,LIST!$A$6:$L$3250,CURR_1.SEARCH.OLD,0),VLOOKUP(F124,LIST!$B$6:$L$3250,CURR_1.SEARCH.NEW,0)),'DICTIONARY-5'!$A$2)</f>
        <v>188,-</v>
      </c>
      <c r="H124" s="339" t="str">
        <f>IFERROR(IF(OR(F124='DICTIONARY-5'!$A$2,F124='DICTIONARY-5'!$A$4,ISBLANK(F124)),VLOOKUP(E124,LIST!$A$6:$M$3250,CURR_2.SEARCH.OLD,0),VLOOKUP(F124,LIST!$B$6:$M$3250,CURR_2.SEARCH.NEW,0)),'DICTIONARY-5'!$A$2)</f>
        <v/>
      </c>
      <c r="I124" s="264" t="s">
        <v>893</v>
      </c>
      <c r="J124" s="264" t="s">
        <v>2423</v>
      </c>
      <c r="K124" s="309" t="s">
        <v>2764</v>
      </c>
      <c r="L124" s="339" t="str">
        <f>IFERROR(IF(OR(K124='DICTIONARY-5'!$A$2,K124='DICTIONARY-5'!$A$4,ISBLANK(K124)),VLOOKUP(J124,LIST!$A$6:$L$3250,CURR_1.SEARCH.OLD,0),VLOOKUP(K124,LIST!$B$6:$L$3250,CURR_1.SEARCH.NEW,0)),'DICTIONARY-5'!$A$2)</f>
        <v>188,-</v>
      </c>
      <c r="M124" s="339" t="str">
        <f>IFERROR(IF(OR(K124='DICTIONARY-5'!$A$2,K124='DICTIONARY-5'!$A$4,ISBLANK(K124)),VLOOKUP(J124,LIST!$A$6:$M$3250,CURR_2.SEARCH.OLD,0),VLOOKUP(K124,LIST!$B$6:$M$3250,CURR_2.SEARCH.NEW,0)),'DICTIONARY-5'!$A$2)</f>
        <v/>
      </c>
    </row>
    <row r="125" spans="1:13" x14ac:dyDescent="0.25">
      <c r="A125" s="264">
        <v>200</v>
      </c>
      <c r="B125" s="264">
        <v>182</v>
      </c>
      <c r="C125" s="275"/>
      <c r="D125" s="264" t="s">
        <v>911</v>
      </c>
      <c r="E125" s="264" t="s">
        <v>2424</v>
      </c>
      <c r="F125" s="309" t="s">
        <v>2765</v>
      </c>
      <c r="G125" s="339" t="str">
        <f>IFERROR(IF(OR(F125='DICTIONARY-5'!$A$2,F125='DICTIONARY-5'!$A$4,ISBLANK(F125)),VLOOKUP(E125,LIST!$A$6:$L$3250,CURR_1.SEARCH.OLD,0),VLOOKUP(F125,LIST!$B$6:$L$3250,CURR_1.SEARCH.NEW,0)),'DICTIONARY-5'!$A$2)</f>
        <v>197,-</v>
      </c>
      <c r="H125" s="339" t="str">
        <f>IFERROR(IF(OR(F125='DICTIONARY-5'!$A$2,F125='DICTIONARY-5'!$A$4,ISBLANK(F125)),VLOOKUP(E125,LIST!$A$6:$M$3250,CURR_2.SEARCH.OLD,0),VLOOKUP(F125,LIST!$B$6:$M$3250,CURR_2.SEARCH.NEW,0)),'DICTIONARY-5'!$A$2)</f>
        <v/>
      </c>
      <c r="I125" s="264" t="s">
        <v>893</v>
      </c>
      <c r="J125" s="264" t="s">
        <v>2425</v>
      </c>
      <c r="K125" s="309" t="s">
        <v>2766</v>
      </c>
      <c r="L125" s="339" t="str">
        <f>IFERROR(IF(OR(K125='DICTIONARY-5'!$A$2,K125='DICTIONARY-5'!$A$4,ISBLANK(K125)),VLOOKUP(J125,LIST!$A$6:$L$3250,CURR_1.SEARCH.OLD,0),VLOOKUP(K125,LIST!$B$6:$L$3250,CURR_1.SEARCH.NEW,0)),'DICTIONARY-5'!$A$2)</f>
        <v>198,-</v>
      </c>
      <c r="M125" s="339" t="str">
        <f>IFERROR(IF(OR(K125='DICTIONARY-5'!$A$2,K125='DICTIONARY-5'!$A$4,ISBLANK(K125)),VLOOKUP(J125,LIST!$A$6:$M$3250,CURR_2.SEARCH.OLD,0),VLOOKUP(K125,LIST!$B$6:$M$3250,CURR_2.SEARCH.NEW,0)),'DICTIONARY-5'!$A$2)</f>
        <v/>
      </c>
    </row>
    <row r="126" spans="1:13" x14ac:dyDescent="0.25">
      <c r="A126" s="254"/>
      <c r="B126" s="254"/>
      <c r="C126" s="254"/>
      <c r="D126" s="254"/>
      <c r="E126" s="255"/>
      <c r="F126" s="255"/>
      <c r="G126" s="255"/>
    </row>
    <row r="127" spans="1:13" x14ac:dyDescent="0.25">
      <c r="A127" s="256" t="str">
        <f>" 1)"&amp;'DICTIONARY-5'!$A$205</f>
        <v xml:space="preserve"> 1)Długość kształtki</v>
      </c>
      <c r="B127" s="254"/>
      <c r="C127" s="254"/>
      <c r="D127" s="254"/>
      <c r="E127" s="255"/>
      <c r="F127" s="255"/>
      <c r="G127" s="255"/>
    </row>
    <row r="130" spans="1:13" ht="16.5" thickBot="1" x14ac:dyDescent="0.3">
      <c r="A130" s="712" t="str">
        <f>CONCATENATE('DICTIONARY-3'!$A$153," ",'DICTIONARY-3'!$A$175,'DICTIONARY-3'!$A$162,'DICTIONARY-3'!$A$174," / ",'DICTIONARY-3'!$A$342," ",'DICTIONARY-3'!$A$344)</f>
        <v>BAIO Kształtka-P‎ / Zaślepka Z korkiem dla prób i odpowietrzania</v>
      </c>
      <c r="B130" s="712"/>
      <c r="C130" s="712"/>
      <c r="D130" s="712"/>
      <c r="E130" s="712"/>
      <c r="F130" s="712"/>
      <c r="G130" s="712"/>
      <c r="H130" s="712"/>
      <c r="I130" s="712"/>
      <c r="J130" s="712"/>
      <c r="K130" s="712"/>
      <c r="L130" s="712"/>
      <c r="M130" s="712"/>
    </row>
    <row r="131" spans="1:13" x14ac:dyDescent="0.25">
      <c r="A131" s="268" t="str">
        <f>CONCATENATE('DICTIONARY-5'!$A$204,": ","1x ",'DICTIONARY-5'!$A$199)</f>
        <v>Połączenie: 1x końcówka bosa</v>
      </c>
      <c r="B131" s="258"/>
      <c r="C131" s="258"/>
      <c r="D131" s="258"/>
      <c r="E131" s="254"/>
      <c r="F131" s="254"/>
      <c r="G131" s="255"/>
      <c r="H131" s="255"/>
    </row>
    <row r="132" spans="1:13" x14ac:dyDescent="0.25">
      <c r="A132" s="258" t="str">
        <f>CONCATENATE('DICTIONARY-1'!$A$10,": ",SETTINGS!$C$39)</f>
        <v>Grupa rabatowa: BAIO Fittings</v>
      </c>
      <c r="B132" s="258"/>
      <c r="C132" s="258"/>
      <c r="D132" s="258"/>
      <c r="E132" s="254"/>
      <c r="F132" s="254"/>
      <c r="G132" s="255"/>
      <c r="H132" s="255"/>
    </row>
    <row r="133" spans="1:13" x14ac:dyDescent="0.25">
      <c r="A133" s="257"/>
      <c r="B133" s="259"/>
      <c r="C133" s="259"/>
      <c r="D133" s="259"/>
      <c r="E133" s="254"/>
      <c r="F133" s="254"/>
      <c r="G133" s="255"/>
      <c r="H133" s="255"/>
    </row>
    <row r="134" spans="1:13" x14ac:dyDescent="0.25">
      <c r="A134" s="260" t="str">
        <f>'DICTIONARY-2'!$A$2</f>
        <v>DN</v>
      </c>
      <c r="B134" s="260" t="str">
        <f>'DICTIONARY-2'!$A$40&amp;" 1)"</f>
        <v>l 1)</v>
      </c>
      <c r="C134" s="260" t="str">
        <f>'DICTIONARY-2'!$A$24&amp;" 2)"</f>
        <v>L 2)</v>
      </c>
      <c r="D134" s="260" t="str">
        <f>'DICTIONARY-2'!$A$26</f>
        <v>G</v>
      </c>
      <c r="E134" s="1069" t="str">
        <f>'DICTIONARY-3'!$A$153</f>
        <v>BAIO</v>
      </c>
      <c r="F134" s="1069"/>
      <c r="G134" s="1069"/>
      <c r="H134" s="1069"/>
      <c r="I134" s="260" t="str">
        <f>'DICTIONARY-2'!$A$26</f>
        <v>G</v>
      </c>
      <c r="J134" s="1069" t="str">
        <f>'DICTIONARY-3'!$A$153</f>
        <v>BAIO</v>
      </c>
      <c r="K134" s="1069"/>
      <c r="L134" s="1069"/>
      <c r="M134" s="1069"/>
    </row>
    <row r="135" spans="1:13" x14ac:dyDescent="0.25">
      <c r="A135" s="531"/>
      <c r="B135" s="531"/>
      <c r="C135" s="531"/>
      <c r="D135" s="531"/>
      <c r="E135" s="1068" t="str">
        <f>'DICTIONARY-3'!$A$175&amp;'DICTIONARY-3'!$A$162&amp;'DICTIONARY-3'!$A$174</f>
        <v>Kształtka-P‎</v>
      </c>
      <c r="F135" s="1068"/>
      <c r="G135" s="1068"/>
      <c r="H135" s="1068"/>
      <c r="I135" s="531"/>
      <c r="J135" s="1068" t="str">
        <f>'DICTIONARY-3'!$A$175&amp;'DICTIONARY-3'!$A$162&amp;'DICTIONARY-3'!$A$174</f>
        <v>Kształtka-P‎</v>
      </c>
      <c r="K135" s="1068"/>
      <c r="L135" s="1068"/>
      <c r="M135" s="1068"/>
    </row>
    <row r="136" spans="1:13" x14ac:dyDescent="0.25">
      <c r="A136" s="261"/>
      <c r="B136" s="261" t="str">
        <f>'DICTIONARY-2'!$A$18</f>
        <v>[mm]</v>
      </c>
      <c r="C136" s="261" t="str">
        <f>'DICTIONARY-2'!$A$18</f>
        <v>[mm]</v>
      </c>
      <c r="D136" s="261"/>
      <c r="E136" s="262" t="str">
        <f>'DICTIONARY-2'!$A$28</f>
        <v>stary nr zamówienia</v>
      </c>
      <c r="F136" s="262" t="str">
        <f>'DICTIONARY-2'!$A$29</f>
        <v>nowy nr zamówienia</v>
      </c>
      <c r="G136" s="263" t="str">
        <f>CURRENCY.CODE_1</f>
        <v>EUR</v>
      </c>
      <c r="H136" s="263" t="str">
        <f>CURRENCY.CODE_2</f>
        <v>---</v>
      </c>
      <c r="I136" s="261"/>
      <c r="J136" s="262" t="str">
        <f>'DICTIONARY-2'!$A$28</f>
        <v>stary nr zamówienia</v>
      </c>
      <c r="K136" s="262" t="str">
        <f>'DICTIONARY-2'!$A$29</f>
        <v>nowy nr zamówienia</v>
      </c>
      <c r="L136" s="263" t="str">
        <f>CURRENCY.CODE_1</f>
        <v>EUR</v>
      </c>
      <c r="M136" s="263" t="str">
        <f>CURRENCY.CODE_2</f>
        <v>---</v>
      </c>
    </row>
    <row r="137" spans="1:13" x14ac:dyDescent="0.25">
      <c r="A137" s="264">
        <v>80</v>
      </c>
      <c r="B137" s="264">
        <v>185</v>
      </c>
      <c r="C137" s="264">
        <v>101</v>
      </c>
      <c r="D137" s="264" t="s">
        <v>911</v>
      </c>
      <c r="E137" s="264" t="s">
        <v>2426</v>
      </c>
      <c r="F137" s="309" t="s">
        <v>2920</v>
      </c>
      <c r="G137" s="339" t="str">
        <f>IFERROR(IF(OR(F137='DICTIONARY-5'!$A$2,F137='DICTIONARY-5'!$A$4,ISBLANK(F137)),VLOOKUP(E137,LIST!$A$6:$L$3250,CURR_1.SEARCH.OLD,0),VLOOKUP(F137,LIST!$B$6:$L$3250,CURR_1.SEARCH.NEW,0)),'DICTIONARY-5'!$A$2)</f>
        <v>88,-</v>
      </c>
      <c r="H137" s="339" t="str">
        <f>IFERROR(IF(OR(F137='DICTIONARY-5'!$A$2,F137='DICTIONARY-5'!$A$4,ISBLANK(F137)),VLOOKUP(E137,LIST!$A$6:$M$3250,CURR_2.SEARCH.OLD,0),VLOOKUP(F137,LIST!$B$6:$M$3250,CURR_2.SEARCH.NEW,0)),'DICTIONARY-5'!$A$2)</f>
        <v/>
      </c>
      <c r="I137" s="264" t="s">
        <v>893</v>
      </c>
      <c r="J137" s="264" t="s">
        <v>2427</v>
      </c>
      <c r="K137" s="309" t="s">
        <v>2923</v>
      </c>
      <c r="L137" s="339" t="str">
        <f>IFERROR(IF(OR(K137='DICTIONARY-5'!$A$2,K137='DICTIONARY-5'!$A$4,ISBLANK(K137)),VLOOKUP(J137,LIST!$A$6:$L$3250,CURR_1.SEARCH.OLD,0),VLOOKUP(K137,LIST!$B$6:$L$3250,CURR_1.SEARCH.NEW,0)),'DICTIONARY-5'!$A$2)</f>
        <v>96,-</v>
      </c>
      <c r="M137" s="339" t="str">
        <f>IFERROR(IF(OR(K137='DICTIONARY-5'!$A$2,K137='DICTIONARY-5'!$A$4,ISBLANK(K137)),VLOOKUP(J137,LIST!$A$6:$M$3250,CURR_2.SEARCH.OLD,0),VLOOKUP(K137,LIST!$B$6:$M$3250,CURR_2.SEARCH.NEW,0)),'DICTIONARY-5'!$A$2)</f>
        <v/>
      </c>
    </row>
    <row r="138" spans="1:13" x14ac:dyDescent="0.25">
      <c r="A138" s="264">
        <v>100</v>
      </c>
      <c r="B138" s="264">
        <v>205</v>
      </c>
      <c r="C138" s="264">
        <v>101</v>
      </c>
      <c r="D138" s="264" t="s">
        <v>911</v>
      </c>
      <c r="E138" s="264" t="s">
        <v>2428</v>
      </c>
      <c r="F138" s="309" t="s">
        <v>2921</v>
      </c>
      <c r="G138" s="339" t="str">
        <f>IFERROR(IF(OR(F138='DICTIONARY-5'!$A$2,F138='DICTIONARY-5'!$A$4,ISBLANK(F138)),VLOOKUP(E138,LIST!$A$6:$L$3250,CURR_1.SEARCH.OLD,0),VLOOKUP(F138,LIST!$B$6:$L$3250,CURR_1.SEARCH.NEW,0)),'DICTIONARY-5'!$A$2)</f>
        <v>103,-</v>
      </c>
      <c r="H138" s="339" t="str">
        <f>IFERROR(IF(OR(F138='DICTIONARY-5'!$A$2,F138='DICTIONARY-5'!$A$4,ISBLANK(F138)),VLOOKUP(E138,LIST!$A$6:$M$3250,CURR_2.SEARCH.OLD,0),VLOOKUP(F138,LIST!$B$6:$M$3250,CURR_2.SEARCH.NEW,0)),'DICTIONARY-5'!$A$2)</f>
        <v/>
      </c>
      <c r="I138" s="264" t="s">
        <v>893</v>
      </c>
      <c r="J138" s="264" t="s">
        <v>2429</v>
      </c>
      <c r="K138" s="309" t="s">
        <v>2924</v>
      </c>
      <c r="L138" s="339" t="str">
        <f>IFERROR(IF(OR(K138='DICTIONARY-5'!$A$2,K138='DICTIONARY-5'!$A$4,ISBLANK(K138)),VLOOKUP(J138,LIST!$A$6:$L$3250,CURR_1.SEARCH.OLD,0),VLOOKUP(K138,LIST!$B$6:$L$3250,CURR_1.SEARCH.NEW,0)),'DICTIONARY-5'!$A$2)</f>
        <v>107,-</v>
      </c>
      <c r="M138" s="339" t="str">
        <f>IFERROR(IF(OR(K138='DICTIONARY-5'!$A$2,K138='DICTIONARY-5'!$A$4,ISBLANK(K138)),VLOOKUP(J138,LIST!$A$6:$M$3250,CURR_2.SEARCH.OLD,0),VLOOKUP(K138,LIST!$B$6:$M$3250,CURR_2.SEARCH.NEW,0)),'DICTIONARY-5'!$A$2)</f>
        <v/>
      </c>
    </row>
    <row r="139" spans="1:13" x14ac:dyDescent="0.25">
      <c r="A139" s="264">
        <v>125</v>
      </c>
      <c r="B139" s="264">
        <v>212</v>
      </c>
      <c r="C139" s="264">
        <v>101</v>
      </c>
      <c r="D139" s="264" t="s">
        <v>911</v>
      </c>
      <c r="E139" s="264" t="s">
        <v>2430</v>
      </c>
      <c r="F139" s="309" t="s">
        <v>2767</v>
      </c>
      <c r="G139" s="339" t="str">
        <f>IFERROR(IF(OR(F139='DICTIONARY-5'!$A$2,F139='DICTIONARY-5'!$A$4,ISBLANK(F139)),VLOOKUP(E139,LIST!$A$6:$L$3250,CURR_1.SEARCH.OLD,0),VLOOKUP(F139,LIST!$B$6:$L$3250,CURR_1.SEARCH.NEW,0)),'DICTIONARY-5'!$A$2)</f>
        <v>160,-</v>
      </c>
      <c r="H139" s="339" t="str">
        <f>IFERROR(IF(OR(F139='DICTIONARY-5'!$A$2,F139='DICTIONARY-5'!$A$4,ISBLANK(F139)),VLOOKUP(E139,LIST!$A$6:$M$3250,CURR_2.SEARCH.OLD,0),VLOOKUP(F139,LIST!$B$6:$M$3250,CURR_2.SEARCH.NEW,0)),'DICTIONARY-5'!$A$2)</f>
        <v/>
      </c>
      <c r="I139" s="264" t="s">
        <v>893</v>
      </c>
      <c r="J139" s="264" t="s">
        <v>2421</v>
      </c>
      <c r="K139" s="309" t="s">
        <v>2768</v>
      </c>
      <c r="L139" s="339" t="str">
        <f>IFERROR(IF(OR(K139='DICTIONARY-5'!$A$2,K139='DICTIONARY-5'!$A$4,ISBLANK(K139)),VLOOKUP(J139,LIST!$A$6:$L$3250,CURR_1.SEARCH.OLD,0),VLOOKUP(K139,LIST!$B$6:$L$3250,CURR_1.SEARCH.NEW,0)),'DICTIONARY-5'!$A$2)</f>
        <v>160,-</v>
      </c>
      <c r="M139" s="339" t="str">
        <f>IFERROR(IF(OR(K139='DICTIONARY-5'!$A$2,K139='DICTIONARY-5'!$A$4,ISBLANK(K139)),VLOOKUP(J139,LIST!$A$6:$M$3250,CURR_2.SEARCH.OLD,0),VLOOKUP(K139,LIST!$B$6:$M$3250,CURR_2.SEARCH.NEW,0)),'DICTIONARY-5'!$A$2)</f>
        <v/>
      </c>
    </row>
    <row r="140" spans="1:13" x14ac:dyDescent="0.25">
      <c r="A140" s="264">
        <v>150</v>
      </c>
      <c r="B140" s="264">
        <v>212</v>
      </c>
      <c r="C140" s="264">
        <v>101</v>
      </c>
      <c r="D140" s="264" t="s">
        <v>911</v>
      </c>
      <c r="E140" s="264" t="s">
        <v>2431</v>
      </c>
      <c r="F140" s="309" t="s">
        <v>2769</v>
      </c>
      <c r="G140" s="339" t="str">
        <f>IFERROR(IF(OR(F140='DICTIONARY-5'!$A$2,F140='DICTIONARY-5'!$A$4,ISBLANK(F140)),VLOOKUP(E140,LIST!$A$6:$L$3250,CURR_1.SEARCH.OLD,0),VLOOKUP(F140,LIST!$B$6:$L$3250,CURR_1.SEARCH.NEW,0)),'DICTIONARY-5'!$A$2)</f>
        <v>177,-</v>
      </c>
      <c r="H140" s="339" t="str">
        <f>IFERROR(IF(OR(F140='DICTIONARY-5'!$A$2,F140='DICTIONARY-5'!$A$4,ISBLANK(F140)),VLOOKUP(E140,LIST!$A$6:$M$3250,CURR_2.SEARCH.OLD,0),VLOOKUP(F140,LIST!$B$6:$M$3250,CURR_2.SEARCH.NEW,0)),'DICTIONARY-5'!$A$2)</f>
        <v/>
      </c>
      <c r="I140" s="264" t="s">
        <v>893</v>
      </c>
      <c r="J140" s="264" t="s">
        <v>2432</v>
      </c>
      <c r="K140" s="309" t="s">
        <v>2770</v>
      </c>
      <c r="L140" s="339" t="str">
        <f>IFERROR(IF(OR(K140='DICTIONARY-5'!$A$2,K140='DICTIONARY-5'!$A$4,ISBLANK(K140)),VLOOKUP(J140,LIST!$A$6:$L$3250,CURR_1.SEARCH.OLD,0),VLOOKUP(K140,LIST!$B$6:$L$3250,CURR_1.SEARCH.NEW,0)),'DICTIONARY-5'!$A$2)</f>
        <v>177,-</v>
      </c>
      <c r="M140" s="339" t="str">
        <f>IFERROR(IF(OR(K140='DICTIONARY-5'!$A$2,K140='DICTIONARY-5'!$A$4,ISBLANK(K140)),VLOOKUP(J140,LIST!$A$6:$M$3250,CURR_2.SEARCH.OLD,0),VLOOKUP(K140,LIST!$B$6:$M$3250,CURR_2.SEARCH.NEW,0)),'DICTIONARY-5'!$A$2)</f>
        <v/>
      </c>
    </row>
    <row r="141" spans="1:13" x14ac:dyDescent="0.25">
      <c r="A141" s="264">
        <v>200</v>
      </c>
      <c r="B141" s="264">
        <v>222</v>
      </c>
      <c r="C141" s="264">
        <v>105</v>
      </c>
      <c r="D141" s="264" t="s">
        <v>911</v>
      </c>
      <c r="E141" s="264" t="s">
        <v>2433</v>
      </c>
      <c r="F141" s="309" t="s">
        <v>2771</v>
      </c>
      <c r="G141" s="339" t="str">
        <f>IFERROR(IF(OR(F141='DICTIONARY-5'!$A$2,F141='DICTIONARY-5'!$A$4,ISBLANK(F141)),VLOOKUP(E141,LIST!$A$6:$L$3250,CURR_1.SEARCH.OLD,0),VLOOKUP(F141,LIST!$B$6:$L$3250,CURR_1.SEARCH.NEW,0)),'DICTIONARY-5'!$A$2)</f>
        <v>197,-</v>
      </c>
      <c r="H141" s="339" t="str">
        <f>IFERROR(IF(OR(F141='DICTIONARY-5'!$A$2,F141='DICTIONARY-5'!$A$4,ISBLANK(F141)),VLOOKUP(E141,LIST!$A$6:$M$3250,CURR_2.SEARCH.OLD,0),VLOOKUP(F141,LIST!$B$6:$M$3250,CURR_2.SEARCH.NEW,0)),'DICTIONARY-5'!$A$2)</f>
        <v/>
      </c>
      <c r="I141" s="264" t="s">
        <v>893</v>
      </c>
      <c r="J141" s="264" t="s">
        <v>2434</v>
      </c>
      <c r="K141" s="309" t="s">
        <v>2772</v>
      </c>
      <c r="L141" s="339" t="str">
        <f>IFERROR(IF(OR(K141='DICTIONARY-5'!$A$2,K141='DICTIONARY-5'!$A$4,ISBLANK(K141)),VLOOKUP(J141,LIST!$A$6:$L$3250,CURR_1.SEARCH.OLD,0),VLOOKUP(K141,LIST!$B$6:$L$3250,CURR_1.SEARCH.NEW,0)),'DICTIONARY-5'!$A$2)</f>
        <v>196,-</v>
      </c>
      <c r="M141" s="339" t="str">
        <f>IFERROR(IF(OR(K141='DICTIONARY-5'!$A$2,K141='DICTIONARY-5'!$A$4,ISBLANK(K141)),VLOOKUP(J141,LIST!$A$6:$M$3250,CURR_2.SEARCH.OLD,0),VLOOKUP(K141,LIST!$B$6:$M$3250,CURR_2.SEARCH.NEW,0)),'DICTIONARY-5'!$A$2)</f>
        <v/>
      </c>
    </row>
    <row r="142" spans="1:13" x14ac:dyDescent="0.25">
      <c r="A142" s="254"/>
      <c r="B142" s="254"/>
      <c r="C142" s="254"/>
      <c r="D142" s="254"/>
      <c r="E142" s="254"/>
      <c r="F142" s="254"/>
      <c r="G142" s="255"/>
      <c r="H142" s="255"/>
    </row>
    <row r="143" spans="1:13" x14ac:dyDescent="0.25">
      <c r="A143" s="256" t="str">
        <f>" 1)"&amp;'DICTIONARY-5'!$A$205</f>
        <v xml:space="preserve"> 1)Długość kształtki</v>
      </c>
      <c r="B143" s="254"/>
      <c r="C143" s="254"/>
      <c r="D143" s="254"/>
      <c r="E143" s="254"/>
      <c r="F143" s="254"/>
      <c r="G143" s="255"/>
      <c r="H143" s="255"/>
    </row>
    <row r="144" spans="1:13" x14ac:dyDescent="0.25">
      <c r="A144" s="256" t="str">
        <f>" 2)"&amp;'DICTIONARY-5'!$A$205&amp;" "&amp;'DICTIONARY-5'!$A$206</f>
        <v xml:space="preserve"> 2)Długość kształtki po włożeniu do mufy</v>
      </c>
      <c r="B144" s="259"/>
      <c r="C144" s="259"/>
      <c r="D144" s="259"/>
      <c r="E144" s="254"/>
      <c r="F144" s="254"/>
      <c r="G144" s="255"/>
      <c r="H144" s="255"/>
    </row>
    <row r="147" spans="1:13" ht="16.5" thickBot="1" x14ac:dyDescent="0.3">
      <c r="A147" s="712" t="str">
        <f>CONCATENATE('DICTIONARY-3'!$A$153," ",'DICTIONARY-3'!$A$175,'DICTIONARY-3'!$A$163,'DICTIONARY-3'!$A$174," / ",'DICTIONARY-3'!$A$344)</f>
        <v>BAIO Kształtka-U‎ / Z korkiem dla prób i odpowietrzania</v>
      </c>
      <c r="B147" s="712"/>
      <c r="C147" s="712"/>
      <c r="D147" s="712"/>
      <c r="E147" s="712"/>
      <c r="F147" s="712"/>
      <c r="G147" s="712"/>
      <c r="H147" s="712"/>
      <c r="I147" s="712"/>
      <c r="J147" s="712"/>
      <c r="K147" s="712"/>
      <c r="L147" s="712"/>
      <c r="M147" s="712"/>
    </row>
    <row r="148" spans="1:13" x14ac:dyDescent="0.25">
      <c r="A148" s="268" t="str">
        <f>CONCATENATE('DICTIONARY-5'!$A$204,": ","2x ",'DICTIONARY-5'!$A$198)</f>
        <v>Połączenie: 2x mufa</v>
      </c>
      <c r="B148" s="258"/>
      <c r="C148" s="258"/>
      <c r="D148" s="254"/>
      <c r="E148" s="255"/>
      <c r="F148" s="255"/>
      <c r="G148" s="255"/>
    </row>
    <row r="149" spans="1:13" x14ac:dyDescent="0.25">
      <c r="A149" s="258" t="str">
        <f>CONCATENATE('DICTIONARY-1'!$A$10,": ",SETTINGS!$C$39)</f>
        <v>Grupa rabatowa: BAIO Fittings</v>
      </c>
      <c r="B149" s="258"/>
      <c r="C149" s="258"/>
      <c r="D149" s="254"/>
      <c r="E149" s="255"/>
      <c r="F149" s="255"/>
      <c r="G149" s="255"/>
    </row>
    <row r="150" spans="1:13" x14ac:dyDescent="0.25">
      <c r="A150" s="259"/>
      <c r="B150" s="259"/>
      <c r="C150" s="259"/>
      <c r="D150" s="254"/>
      <c r="E150" s="255"/>
      <c r="F150" s="255"/>
      <c r="G150" s="255"/>
    </row>
    <row r="151" spans="1:13" x14ac:dyDescent="0.25">
      <c r="A151" s="260" t="str">
        <f>'DICTIONARY-2'!$A$2</f>
        <v>DN</v>
      </c>
      <c r="B151" s="260" t="str">
        <f>'DICTIONARY-2'!$A$40&amp;" 1)"</f>
        <v>l 1)</v>
      </c>
      <c r="C151" s="260"/>
      <c r="D151" s="260" t="str">
        <f>'DICTIONARY-2'!$A$26</f>
        <v>G</v>
      </c>
      <c r="E151" s="1069" t="str">
        <f>'DICTIONARY-3'!$A$153</f>
        <v>BAIO</v>
      </c>
      <c r="F151" s="1069"/>
      <c r="G151" s="1069"/>
      <c r="H151" s="1069"/>
      <c r="I151" s="260" t="str">
        <f>'DICTIONARY-2'!$A$26</f>
        <v>G</v>
      </c>
      <c r="J151" s="1069" t="str">
        <f>'DICTIONARY-3'!$A$153</f>
        <v>BAIO</v>
      </c>
      <c r="K151" s="1069"/>
      <c r="L151" s="1069"/>
      <c r="M151" s="1069"/>
    </row>
    <row r="152" spans="1:13" x14ac:dyDescent="0.25">
      <c r="A152" s="531"/>
      <c r="B152" s="531"/>
      <c r="C152" s="531"/>
      <c r="D152" s="531"/>
      <c r="E152" s="1068" t="str">
        <f>'DICTIONARY-3'!$A$175&amp;'DICTIONARY-3'!$A$163&amp;'DICTIONARY-3'!$A$174</f>
        <v>Kształtka-U‎</v>
      </c>
      <c r="F152" s="1068"/>
      <c r="G152" s="1068"/>
      <c r="H152" s="1068"/>
      <c r="I152" s="531"/>
      <c r="J152" s="1068" t="str">
        <f>'DICTIONARY-3'!$A$175&amp;'DICTIONARY-3'!$A$163&amp;'DICTIONARY-3'!$A$174</f>
        <v>Kształtka-U‎</v>
      </c>
      <c r="K152" s="1068"/>
      <c r="L152" s="1068"/>
      <c r="M152" s="1068"/>
    </row>
    <row r="153" spans="1:13" x14ac:dyDescent="0.25">
      <c r="A153" s="261"/>
      <c r="B153" s="261" t="str">
        <f>'DICTIONARY-2'!$A$18</f>
        <v>[mm]</v>
      </c>
      <c r="C153" s="261"/>
      <c r="D153" s="261"/>
      <c r="E153" s="262" t="str">
        <f>'DICTIONARY-2'!$A$28</f>
        <v>stary nr zamówienia</v>
      </c>
      <c r="F153" s="262" t="str">
        <f>'DICTIONARY-2'!$A$29</f>
        <v>nowy nr zamówienia</v>
      </c>
      <c r="G153" s="263" t="str">
        <f>CURRENCY.CODE_1</f>
        <v>EUR</v>
      </c>
      <c r="H153" s="263" t="str">
        <f>CURRENCY.CODE_2</f>
        <v>---</v>
      </c>
      <c r="I153" s="261"/>
      <c r="J153" s="262" t="str">
        <f>'DICTIONARY-2'!$A$28</f>
        <v>stary nr zamówienia</v>
      </c>
      <c r="K153" s="262" t="str">
        <f>'DICTIONARY-2'!$A$29</f>
        <v>nowy nr zamówienia</v>
      </c>
      <c r="L153" s="263" t="str">
        <f>CURRENCY.CODE_1</f>
        <v>EUR</v>
      </c>
      <c r="M153" s="263" t="str">
        <f>CURRENCY.CODE_2</f>
        <v>---</v>
      </c>
    </row>
    <row r="154" spans="1:13" x14ac:dyDescent="0.25">
      <c r="A154" s="264">
        <v>80</v>
      </c>
      <c r="B154" s="264">
        <v>145</v>
      </c>
      <c r="C154" s="275"/>
      <c r="D154" s="264" t="s">
        <v>893</v>
      </c>
      <c r="E154" s="264" t="s">
        <v>2435</v>
      </c>
      <c r="F154" s="309" t="str">
        <f>'DICTIONARY-5'!$A$2</f>
        <v>na zapytanie</v>
      </c>
      <c r="G154" s="339" t="str">
        <f>IFERROR(IF(OR(F154='DICTIONARY-5'!$A$2,F154='DICTIONARY-5'!$A$4,ISBLANK(F154)),VLOOKUP(E154,LIST!$A$6:$L$3250,CURR_1.SEARCH.OLD,0),VLOOKUP(F154,LIST!$B$6:$L$3250,CURR_1.SEARCH.NEW,0)),'DICTIONARY-5'!$A$2)</f>
        <v>na zapytanie</v>
      </c>
      <c r="H154" s="339" t="str">
        <f>IFERROR(IF(OR(F154='DICTIONARY-5'!$A$2,F154='DICTIONARY-5'!$A$4,ISBLANK(F154)),VLOOKUP(E154,LIST!$A$6:$M$3250,CURR_2.SEARCH.OLD,0),VLOOKUP(F154,LIST!$B$6:$M$3250,CURR_2.SEARCH.NEW,0)),'DICTIONARY-5'!$A$2)</f>
        <v/>
      </c>
      <c r="I154" s="264" t="s">
        <v>904</v>
      </c>
      <c r="J154" s="264" t="s">
        <v>2436</v>
      </c>
      <c r="K154" s="309" t="s">
        <v>2782</v>
      </c>
      <c r="L154" s="339" t="str">
        <f>IFERROR(IF(OR(K154='DICTIONARY-5'!$A$2,K154='DICTIONARY-5'!$A$4,ISBLANK(K154)),VLOOKUP(J154,LIST!$A$6:$L$3250,CURR_1.SEARCH.OLD,0),VLOOKUP(K154,LIST!$B$6:$L$3250,CURR_1.SEARCH.NEW,0)),'DICTIONARY-5'!$A$2)</f>
        <v>211,-</v>
      </c>
      <c r="M154" s="339" t="str">
        <f>IFERROR(IF(OR(K154='DICTIONARY-5'!$A$2,K154='DICTIONARY-5'!$A$4,ISBLANK(K154)),VLOOKUP(J154,LIST!$A$6:$M$3250,CURR_2.SEARCH.OLD,0),VLOOKUP(K154,LIST!$B$6:$M$3250,CURR_2.SEARCH.NEW,0)),'DICTIONARY-5'!$A$2)</f>
        <v/>
      </c>
    </row>
    <row r="155" spans="1:13" x14ac:dyDescent="0.25">
      <c r="A155" s="264">
        <v>100</v>
      </c>
      <c r="B155" s="264">
        <v>150</v>
      </c>
      <c r="C155" s="275"/>
      <c r="D155" s="264" t="s">
        <v>893</v>
      </c>
      <c r="E155" s="264" t="s">
        <v>2437</v>
      </c>
      <c r="F155" s="309" t="str">
        <f>'DICTIONARY-5'!$A$2</f>
        <v>na zapytanie</v>
      </c>
      <c r="G155" s="339" t="str">
        <f>IFERROR(IF(OR(F155='DICTIONARY-5'!$A$2,F155='DICTIONARY-5'!$A$4,ISBLANK(F155)),VLOOKUP(E155,LIST!$A$6:$L$3250,CURR_1.SEARCH.OLD,0),VLOOKUP(F155,LIST!$B$6:$L$3250,CURR_1.SEARCH.NEW,0)),'DICTIONARY-5'!$A$2)</f>
        <v>na zapytanie</v>
      </c>
      <c r="H155" s="339" t="str">
        <f>IFERROR(IF(OR(F155='DICTIONARY-5'!$A$2,F155='DICTIONARY-5'!$A$4,ISBLANK(F155)),VLOOKUP(E155,LIST!$A$6:$M$3250,CURR_2.SEARCH.OLD,0),VLOOKUP(F155,LIST!$B$6:$M$3250,CURR_2.SEARCH.NEW,0)),'DICTIONARY-5'!$A$2)</f>
        <v/>
      </c>
      <c r="I155" s="264" t="s">
        <v>904</v>
      </c>
      <c r="J155" s="264" t="s">
        <v>2438</v>
      </c>
      <c r="K155" s="309" t="s">
        <v>2783</v>
      </c>
      <c r="L155" s="339" t="str">
        <f>IFERROR(IF(OR(K155='DICTIONARY-5'!$A$2,K155='DICTIONARY-5'!$A$4,ISBLANK(K155)),VLOOKUP(J155,LIST!$A$6:$L$3250,CURR_1.SEARCH.OLD,0),VLOOKUP(K155,LIST!$B$6:$L$3250,CURR_1.SEARCH.NEW,0)),'DICTIONARY-5'!$A$2)</f>
        <v>201,-</v>
      </c>
      <c r="M155" s="339" t="str">
        <f>IFERROR(IF(OR(K155='DICTIONARY-5'!$A$2,K155='DICTIONARY-5'!$A$4,ISBLANK(K155)),VLOOKUP(J155,LIST!$A$6:$M$3250,CURR_2.SEARCH.OLD,0),VLOOKUP(K155,LIST!$B$6:$M$3250,CURR_2.SEARCH.NEW,0)),'DICTIONARY-5'!$A$2)</f>
        <v/>
      </c>
    </row>
    <row r="156" spans="1:13" x14ac:dyDescent="0.25">
      <c r="A156" s="264">
        <v>125</v>
      </c>
      <c r="B156" s="264">
        <v>158</v>
      </c>
      <c r="C156" s="275"/>
      <c r="D156" s="264" t="s">
        <v>893</v>
      </c>
      <c r="E156" s="264" t="s">
        <v>2439</v>
      </c>
      <c r="F156" s="309" t="str">
        <f>'DICTIONARY-5'!$A$2</f>
        <v>na zapytanie</v>
      </c>
      <c r="G156" s="339" t="str">
        <f>IFERROR(IF(OR(F156='DICTIONARY-5'!$A$2,F156='DICTIONARY-5'!$A$4,ISBLANK(F156)),VLOOKUP(E156,LIST!$A$6:$L$3250,CURR_1.SEARCH.OLD,0),VLOOKUP(F156,LIST!$B$6:$L$3250,CURR_1.SEARCH.NEW,0)),'DICTIONARY-5'!$A$2)</f>
        <v>na zapytanie</v>
      </c>
      <c r="H156" s="339" t="str">
        <f>IFERROR(IF(OR(F156='DICTIONARY-5'!$A$2,F156='DICTIONARY-5'!$A$4,ISBLANK(F156)),VLOOKUP(E156,LIST!$A$6:$M$3250,CURR_2.SEARCH.OLD,0),VLOOKUP(F156,LIST!$B$6:$M$3250,CURR_2.SEARCH.NEW,0)),'DICTIONARY-5'!$A$2)</f>
        <v/>
      </c>
      <c r="I156" s="264" t="s">
        <v>904</v>
      </c>
      <c r="J156" s="264" t="s">
        <v>2440</v>
      </c>
      <c r="K156" s="309" t="s">
        <v>2784</v>
      </c>
      <c r="L156" s="339" t="str">
        <f>IFERROR(IF(OR(K156='DICTIONARY-5'!$A$2,K156='DICTIONARY-5'!$A$4,ISBLANK(K156)),VLOOKUP(J156,LIST!$A$6:$L$3250,CURR_1.SEARCH.OLD,0),VLOOKUP(K156,LIST!$B$6:$L$3250,CURR_1.SEARCH.NEW,0)),'DICTIONARY-5'!$A$2)</f>
        <v>206,-</v>
      </c>
      <c r="M156" s="339" t="str">
        <f>IFERROR(IF(OR(K156='DICTIONARY-5'!$A$2,K156='DICTIONARY-5'!$A$4,ISBLANK(K156)),VLOOKUP(J156,LIST!$A$6:$M$3250,CURR_2.SEARCH.OLD,0),VLOOKUP(K156,LIST!$B$6:$M$3250,CURR_2.SEARCH.NEW,0)),'DICTIONARY-5'!$A$2)</f>
        <v/>
      </c>
    </row>
    <row r="157" spans="1:13" x14ac:dyDescent="0.25">
      <c r="A157" s="264">
        <v>150</v>
      </c>
      <c r="B157" s="264">
        <v>155</v>
      </c>
      <c r="C157" s="275"/>
      <c r="D157" s="264" t="s">
        <v>893</v>
      </c>
      <c r="E157" s="264" t="s">
        <v>2441</v>
      </c>
      <c r="F157" s="309" t="str">
        <f>'DICTIONARY-5'!$A$2</f>
        <v>na zapytanie</v>
      </c>
      <c r="G157" s="339" t="str">
        <f>IFERROR(IF(OR(F157='DICTIONARY-5'!$A$2,F157='DICTIONARY-5'!$A$4,ISBLANK(F157)),VLOOKUP(E157,LIST!$A$6:$L$3250,CURR_1.SEARCH.OLD,0),VLOOKUP(F157,LIST!$B$6:$L$3250,CURR_1.SEARCH.NEW,0)),'DICTIONARY-5'!$A$2)</f>
        <v>na zapytanie</v>
      </c>
      <c r="H157" s="339" t="str">
        <f>IFERROR(IF(OR(F157='DICTIONARY-5'!$A$2,F157='DICTIONARY-5'!$A$4,ISBLANK(F157)),VLOOKUP(E157,LIST!$A$6:$M$3250,CURR_2.SEARCH.OLD,0),VLOOKUP(F157,LIST!$B$6:$M$3250,CURR_2.SEARCH.NEW,0)),'DICTIONARY-5'!$A$2)</f>
        <v/>
      </c>
      <c r="I157" s="264" t="s">
        <v>904</v>
      </c>
      <c r="J157" s="264" t="s">
        <v>2442</v>
      </c>
      <c r="K157" s="309" t="s">
        <v>2785</v>
      </c>
      <c r="L157" s="339" t="str">
        <f>IFERROR(IF(OR(K157='DICTIONARY-5'!$A$2,K157='DICTIONARY-5'!$A$4,ISBLANK(K157)),VLOOKUP(J157,LIST!$A$6:$L$3250,CURR_1.SEARCH.OLD,0),VLOOKUP(K157,LIST!$B$6:$L$3250,CURR_1.SEARCH.NEW,0)),'DICTIONARY-5'!$A$2)</f>
        <v>213,-</v>
      </c>
      <c r="M157" s="339" t="str">
        <f>IFERROR(IF(OR(K157='DICTIONARY-5'!$A$2,K157='DICTIONARY-5'!$A$4,ISBLANK(K157)),VLOOKUP(J157,LIST!$A$6:$M$3250,CURR_2.SEARCH.OLD,0),VLOOKUP(K157,LIST!$B$6:$M$3250,CURR_2.SEARCH.NEW,0)),'DICTIONARY-5'!$A$2)</f>
        <v/>
      </c>
    </row>
    <row r="158" spans="1:13" x14ac:dyDescent="0.25">
      <c r="A158" s="264">
        <v>200</v>
      </c>
      <c r="B158" s="264">
        <v>165</v>
      </c>
      <c r="C158" s="275"/>
      <c r="D158" s="264" t="s">
        <v>893</v>
      </c>
      <c r="E158" s="264" t="s">
        <v>2443</v>
      </c>
      <c r="F158" s="309" t="str">
        <f>'DICTIONARY-5'!$A$2</f>
        <v>na zapytanie</v>
      </c>
      <c r="G158" s="339" t="str">
        <f>IFERROR(IF(OR(F158='DICTIONARY-5'!$A$2,F158='DICTIONARY-5'!$A$4,ISBLANK(F158)),VLOOKUP(E158,LIST!$A$6:$L$3250,CURR_1.SEARCH.OLD,0),VLOOKUP(F158,LIST!$B$6:$L$3250,CURR_1.SEARCH.NEW,0)),'DICTIONARY-5'!$A$2)</f>
        <v>na zapytanie</v>
      </c>
      <c r="H158" s="339" t="str">
        <f>IFERROR(IF(OR(F158='DICTIONARY-5'!$A$2,F158='DICTIONARY-5'!$A$4,ISBLANK(F158)),VLOOKUP(E158,LIST!$A$6:$M$3250,CURR_2.SEARCH.OLD,0),VLOOKUP(F158,LIST!$B$6:$M$3250,CURR_2.SEARCH.NEW,0)),'DICTIONARY-5'!$A$2)</f>
        <v/>
      </c>
      <c r="I158" s="264" t="s">
        <v>904</v>
      </c>
      <c r="J158" s="264" t="s">
        <v>2444</v>
      </c>
      <c r="K158" s="309" t="s">
        <v>2786</v>
      </c>
      <c r="L158" s="339" t="str">
        <f>IFERROR(IF(OR(K158='DICTIONARY-5'!$A$2,K158='DICTIONARY-5'!$A$4,ISBLANK(K158)),VLOOKUP(J158,LIST!$A$6:$L$3250,CURR_1.SEARCH.OLD,0),VLOOKUP(K158,LIST!$B$6:$L$3250,CURR_1.SEARCH.NEW,0)),'DICTIONARY-5'!$A$2)</f>
        <v>348,-</v>
      </c>
      <c r="M158" s="339" t="str">
        <f>IFERROR(IF(OR(K158='DICTIONARY-5'!$A$2,K158='DICTIONARY-5'!$A$4,ISBLANK(K158)),VLOOKUP(J158,LIST!$A$6:$M$3250,CURR_2.SEARCH.OLD,0),VLOOKUP(K158,LIST!$B$6:$M$3250,CURR_2.SEARCH.NEW,0)),'DICTIONARY-5'!$A$2)</f>
        <v/>
      </c>
    </row>
    <row r="159" spans="1:13" x14ac:dyDescent="0.25">
      <c r="A159" s="254"/>
      <c r="B159" s="254"/>
      <c r="C159" s="254"/>
      <c r="E159" s="254"/>
      <c r="F159" s="254"/>
      <c r="G159" s="255"/>
      <c r="H159" s="255"/>
    </row>
    <row r="160" spans="1:13" x14ac:dyDescent="0.25">
      <c r="A160" s="254"/>
      <c r="B160" s="254"/>
      <c r="C160" s="254"/>
      <c r="E160" s="254"/>
      <c r="F160" s="254"/>
      <c r="G160" s="255"/>
      <c r="H160" s="255"/>
    </row>
    <row r="161" spans="1:8" ht="16.5" thickBot="1" x14ac:dyDescent="0.3">
      <c r="A161" s="712" t="str">
        <f>CONCATENATE('DICTIONARY-3'!$A$153," ",'DICTIONARY-3'!$A$175,'DICTIONARY-3'!$A$163,'DICTIONARY-3'!$A$174," / ",'DICTIONARY-3'!$A$345)</f>
        <v>BAIO Kształtka-U‎ / Bez gwintowanego owiertu</v>
      </c>
      <c r="B161" s="712"/>
      <c r="C161" s="712"/>
      <c r="D161" s="712"/>
      <c r="E161" s="712"/>
      <c r="F161" s="712"/>
      <c r="G161" s="712"/>
      <c r="H161" s="712"/>
    </row>
    <row r="162" spans="1:8" x14ac:dyDescent="0.25">
      <c r="A162" s="268" t="str">
        <f>CONCATENATE('DICTIONARY-5'!$A$204,": ","2x ",'DICTIONARY-5'!$A$198)</f>
        <v>Połączenie: 2x mufa</v>
      </c>
      <c r="B162" s="254"/>
      <c r="C162" s="254"/>
      <c r="E162" s="254"/>
      <c r="F162" s="254"/>
      <c r="G162" s="255"/>
      <c r="H162" s="255"/>
    </row>
    <row r="163" spans="1:8" x14ac:dyDescent="0.25">
      <c r="A163" s="258" t="str">
        <f>CONCATENATE('DICTIONARY-1'!$A$10,": ",SETTINGS!$C$39)</f>
        <v>Grupa rabatowa: BAIO Fittings</v>
      </c>
      <c r="B163" s="254"/>
      <c r="C163" s="254"/>
      <c r="E163" s="254"/>
      <c r="F163" s="254"/>
      <c r="G163" s="255"/>
      <c r="H163" s="255"/>
    </row>
    <row r="164" spans="1:8" x14ac:dyDescent="0.25">
      <c r="B164" s="259"/>
      <c r="C164" s="259"/>
      <c r="E164" s="254"/>
      <c r="F164" s="254"/>
      <c r="G164" s="255"/>
      <c r="H164" s="255"/>
    </row>
    <row r="165" spans="1:8" x14ac:dyDescent="0.25">
      <c r="A165" s="260" t="str">
        <f>'DICTIONARY-2'!$A$2</f>
        <v>DN</v>
      </c>
      <c r="B165" s="260" t="str">
        <f>'DICTIONARY-2'!$A$40&amp;" 1)"</f>
        <v>l 1)</v>
      </c>
      <c r="C165" s="260"/>
      <c r="D165" s="260" t="str">
        <f>'DICTIONARY-2'!$A$26</f>
        <v>G</v>
      </c>
      <c r="E165" s="1069" t="str">
        <f>'DICTIONARY-3'!$A$153</f>
        <v>BAIO</v>
      </c>
      <c r="F165" s="1069"/>
      <c r="G165" s="1069"/>
      <c r="H165" s="1069"/>
    </row>
    <row r="166" spans="1:8" x14ac:dyDescent="0.25">
      <c r="A166" s="531"/>
      <c r="B166" s="531"/>
      <c r="C166" s="531"/>
      <c r="D166" s="531"/>
      <c r="E166" s="1068" t="str">
        <f>'DICTIONARY-3'!$A$175&amp;'DICTIONARY-3'!$A$163&amp;'DICTIONARY-3'!$A$174</f>
        <v>Kształtka-U‎</v>
      </c>
      <c r="F166" s="1068"/>
      <c r="G166" s="1068"/>
      <c r="H166" s="1068"/>
    </row>
    <row r="167" spans="1:8" x14ac:dyDescent="0.25">
      <c r="A167" s="261"/>
      <c r="B167" s="261" t="str">
        <f>'DICTIONARY-2'!$A$18</f>
        <v>[mm]</v>
      </c>
      <c r="C167" s="261"/>
      <c r="D167" s="261"/>
      <c r="E167" s="262" t="str">
        <f>'DICTIONARY-2'!$A$28</f>
        <v>stary nr zamówienia</v>
      </c>
      <c r="F167" s="262" t="str">
        <f>'DICTIONARY-2'!$A$29</f>
        <v>nowy nr zamówienia</v>
      </c>
      <c r="G167" s="263" t="str">
        <f>CURRENCY.CODE_1</f>
        <v>EUR</v>
      </c>
      <c r="H167" s="263" t="str">
        <f>CURRENCY.CODE_2</f>
        <v>---</v>
      </c>
    </row>
    <row r="168" spans="1:8" x14ac:dyDescent="0.25">
      <c r="A168" s="264">
        <v>80</v>
      </c>
      <c r="B168" s="264">
        <v>145</v>
      </c>
      <c r="C168" s="275"/>
      <c r="D168" s="264" t="s">
        <v>67</v>
      </c>
      <c r="E168" s="264" t="s">
        <v>2445</v>
      </c>
      <c r="F168" s="309" t="s">
        <v>2773</v>
      </c>
      <c r="G168" s="339" t="str">
        <f>IFERROR(IF(OR(F168='DICTIONARY-5'!$A$2,F168='DICTIONARY-5'!$A$4,ISBLANK(F168)),VLOOKUP(E168,LIST!$A$6:$L$3250,CURR_1.SEARCH.OLD,0),VLOOKUP(F168,LIST!$B$6:$L$3250,CURR_1.SEARCH.NEW,0)),'DICTIONARY-5'!$A$2)</f>
        <v>168,-</v>
      </c>
      <c r="H168" s="339" t="str">
        <f>IFERROR(IF(OR(F168='DICTIONARY-5'!$A$2,F168='DICTIONARY-5'!$A$4,ISBLANK(F168)),VLOOKUP(E168,LIST!$A$6:$M$3250,CURR_2.SEARCH.OLD,0),VLOOKUP(F168,LIST!$B$6:$M$3250,CURR_2.SEARCH.NEW,0)),'DICTIONARY-5'!$A$2)</f>
        <v/>
      </c>
    </row>
    <row r="169" spans="1:8" x14ac:dyDescent="0.25">
      <c r="A169" s="264">
        <v>100</v>
      </c>
      <c r="B169" s="264">
        <v>150</v>
      </c>
      <c r="C169" s="275"/>
      <c r="D169" s="264" t="s">
        <v>67</v>
      </c>
      <c r="E169" s="264" t="s">
        <v>2446</v>
      </c>
      <c r="F169" s="309" t="s">
        <v>2774</v>
      </c>
      <c r="G169" s="339" t="str">
        <f>IFERROR(IF(OR(F169='DICTIONARY-5'!$A$2,F169='DICTIONARY-5'!$A$4,ISBLANK(F169)),VLOOKUP(E169,LIST!$A$6:$L$3250,CURR_1.SEARCH.OLD,0),VLOOKUP(F169,LIST!$B$6:$L$3250,CURR_1.SEARCH.NEW,0)),'DICTIONARY-5'!$A$2)</f>
        <v>180,-</v>
      </c>
      <c r="H169" s="339" t="str">
        <f>IFERROR(IF(OR(F169='DICTIONARY-5'!$A$2,F169='DICTIONARY-5'!$A$4,ISBLANK(F169)),VLOOKUP(E169,LIST!$A$6:$M$3250,CURR_2.SEARCH.OLD,0),VLOOKUP(F169,LIST!$B$6:$M$3250,CURR_2.SEARCH.NEW,0)),'DICTIONARY-5'!$A$2)</f>
        <v/>
      </c>
    </row>
    <row r="170" spans="1:8" x14ac:dyDescent="0.25">
      <c r="A170" s="264">
        <v>125</v>
      </c>
      <c r="B170" s="264">
        <v>158</v>
      </c>
      <c r="C170" s="275"/>
      <c r="D170" s="264" t="s">
        <v>67</v>
      </c>
      <c r="E170" s="264" t="s">
        <v>2447</v>
      </c>
      <c r="F170" s="309" t="s">
        <v>2775</v>
      </c>
      <c r="G170" s="339" t="str">
        <f>IFERROR(IF(OR(F170='DICTIONARY-5'!$A$2,F170='DICTIONARY-5'!$A$4,ISBLANK(F170)),VLOOKUP(E170,LIST!$A$6:$L$3250,CURR_1.SEARCH.OLD,0),VLOOKUP(F170,LIST!$B$6:$L$3250,CURR_1.SEARCH.NEW,0)),'DICTIONARY-5'!$A$2)</f>
        <v>184,-</v>
      </c>
      <c r="H170" s="339" t="str">
        <f>IFERROR(IF(OR(F170='DICTIONARY-5'!$A$2,F170='DICTIONARY-5'!$A$4,ISBLANK(F170)),VLOOKUP(E170,LIST!$A$6:$M$3250,CURR_2.SEARCH.OLD,0),VLOOKUP(F170,LIST!$B$6:$M$3250,CURR_2.SEARCH.NEW,0)),'DICTIONARY-5'!$A$2)</f>
        <v/>
      </c>
    </row>
    <row r="171" spans="1:8" x14ac:dyDescent="0.25">
      <c r="A171" s="264">
        <v>150</v>
      </c>
      <c r="B171" s="264">
        <v>155</v>
      </c>
      <c r="C171" s="275"/>
      <c r="D171" s="264" t="s">
        <v>67</v>
      </c>
      <c r="E171" s="264" t="s">
        <v>2448</v>
      </c>
      <c r="F171" s="309" t="s">
        <v>2776</v>
      </c>
      <c r="G171" s="339" t="str">
        <f>IFERROR(IF(OR(F171='DICTIONARY-5'!$A$2,F171='DICTIONARY-5'!$A$4,ISBLANK(F171)),VLOOKUP(E171,LIST!$A$6:$L$3250,CURR_1.SEARCH.OLD,0),VLOOKUP(F171,LIST!$B$6:$L$3250,CURR_1.SEARCH.NEW,0)),'DICTIONARY-5'!$A$2)</f>
        <v>193,-</v>
      </c>
      <c r="H171" s="339" t="str">
        <f>IFERROR(IF(OR(F171='DICTIONARY-5'!$A$2,F171='DICTIONARY-5'!$A$4,ISBLANK(F171)),VLOOKUP(E171,LIST!$A$6:$M$3250,CURR_2.SEARCH.OLD,0),VLOOKUP(F171,LIST!$B$6:$M$3250,CURR_2.SEARCH.NEW,0)),'DICTIONARY-5'!$A$2)</f>
        <v/>
      </c>
    </row>
    <row r="172" spans="1:8" x14ac:dyDescent="0.25">
      <c r="A172" s="264">
        <v>200</v>
      </c>
      <c r="B172" s="264">
        <v>165</v>
      </c>
      <c r="C172" s="275"/>
      <c r="D172" s="264" t="s">
        <v>67</v>
      </c>
      <c r="E172" s="264" t="s">
        <v>2449</v>
      </c>
      <c r="F172" s="309" t="s">
        <v>2777</v>
      </c>
      <c r="G172" s="339" t="str">
        <f>IFERROR(IF(OR(F172='DICTIONARY-5'!$A$2,F172='DICTIONARY-5'!$A$4,ISBLANK(F172)),VLOOKUP(E172,LIST!$A$6:$L$3250,CURR_1.SEARCH.OLD,0),VLOOKUP(F172,LIST!$B$6:$L$3250,CURR_1.SEARCH.NEW,0)),'DICTIONARY-5'!$A$2)</f>
        <v>346,-</v>
      </c>
      <c r="H172" s="339" t="str">
        <f>IFERROR(IF(OR(F172='DICTIONARY-5'!$A$2,F172='DICTIONARY-5'!$A$4,ISBLANK(F172)),VLOOKUP(E172,LIST!$A$6:$M$3250,CURR_2.SEARCH.OLD,0),VLOOKUP(F172,LIST!$B$6:$M$3250,CURR_2.SEARCH.NEW,0)),'DICTIONARY-5'!$A$2)</f>
        <v/>
      </c>
    </row>
    <row r="173" spans="1:8" x14ac:dyDescent="0.25">
      <c r="A173" s="254"/>
      <c r="B173" s="254"/>
      <c r="C173" s="254"/>
      <c r="D173" s="254"/>
      <c r="E173" s="255"/>
      <c r="F173" s="255"/>
      <c r="G173" s="255"/>
    </row>
    <row r="174" spans="1:8" x14ac:dyDescent="0.25">
      <c r="A174" s="256" t="str">
        <f>" 1)"&amp;'DICTIONARY-5'!$A$205</f>
        <v xml:space="preserve"> 1)Długość kształtki</v>
      </c>
      <c r="B174" s="254"/>
      <c r="C174" s="254"/>
      <c r="D174" s="254"/>
      <c r="E174" s="255"/>
      <c r="F174" s="255"/>
      <c r="G174" s="255"/>
    </row>
    <row r="177" spans="1:8" ht="16.5" thickBot="1" x14ac:dyDescent="0.3">
      <c r="A177" s="712" t="str">
        <f>CONCATENATE('DICTIONARY-3'!$A$153," ",'DICTIONARY-3'!$A$175,'DICTIONARY-3'!$A$164,'DICTIONARY-3'!$A$174," / ",'DICTIONARY-3'!$A$348)</f>
        <v>BAIO Kształtka-DVS‎ / Z pierścieniem blokującym</v>
      </c>
      <c r="B177" s="712"/>
      <c r="C177" s="712"/>
      <c r="D177" s="712"/>
      <c r="E177" s="712"/>
      <c r="F177" s="712"/>
      <c r="G177" s="712"/>
      <c r="H177" s="712"/>
    </row>
    <row r="178" spans="1:8" x14ac:dyDescent="0.25">
      <c r="A178" s="268" t="str">
        <f>CONCATENATE('DICTIONARY-5'!$A$204,": ","2x ",'DICTIONARY-5'!$A$198)</f>
        <v>Połączenie: 2x mufa</v>
      </c>
      <c r="B178" s="258"/>
      <c r="C178" s="254"/>
      <c r="D178" s="255"/>
      <c r="E178" s="255"/>
      <c r="F178" s="255"/>
    </row>
    <row r="179" spans="1:8" x14ac:dyDescent="0.25">
      <c r="A179" s="258" t="str">
        <f>CONCATENATE('DICTIONARY-1'!$A$10,": ",SETTINGS!$C$39)</f>
        <v>Grupa rabatowa: BAIO Fittings</v>
      </c>
      <c r="B179" s="258"/>
      <c r="C179" s="254"/>
      <c r="D179" s="255"/>
      <c r="E179" s="255"/>
      <c r="F179" s="255"/>
    </row>
    <row r="180" spans="1:8" x14ac:dyDescent="0.25">
      <c r="A180" s="259"/>
      <c r="B180" s="259"/>
      <c r="C180" s="254"/>
      <c r="D180" s="255"/>
      <c r="E180" s="255"/>
      <c r="F180" s="255"/>
    </row>
    <row r="181" spans="1:8" x14ac:dyDescent="0.25">
      <c r="A181" s="260" t="str">
        <f>'DICTIONARY-2'!$A$2</f>
        <v>DN</v>
      </c>
      <c r="B181" s="260" t="str">
        <f>'DICTIONARY-2'!$A$40&amp;" 1)"</f>
        <v>l 1)</v>
      </c>
      <c r="C181" s="260"/>
      <c r="D181" s="260"/>
      <c r="E181" s="1069" t="str">
        <f>'DICTIONARY-3'!$A$153</f>
        <v>BAIO</v>
      </c>
      <c r="F181" s="1069"/>
      <c r="G181" s="1069"/>
      <c r="H181" s="1069"/>
    </row>
    <row r="182" spans="1:8" x14ac:dyDescent="0.25">
      <c r="A182" s="531"/>
      <c r="B182" s="531"/>
      <c r="C182" s="531"/>
      <c r="D182" s="531"/>
      <c r="E182" s="1068" t="str">
        <f>'DICTIONARY-3'!$A$175&amp;'DICTIONARY-3'!$A$164&amp;'DICTIONARY-3'!$A$174</f>
        <v>Kształtka-DVS‎</v>
      </c>
      <c r="F182" s="1068"/>
      <c r="G182" s="1068"/>
      <c r="H182" s="1068"/>
    </row>
    <row r="183" spans="1:8" x14ac:dyDescent="0.25">
      <c r="A183" s="261"/>
      <c r="B183" s="261" t="str">
        <f>'DICTIONARY-2'!$A$18</f>
        <v>[mm]</v>
      </c>
      <c r="C183" s="261"/>
      <c r="D183" s="261"/>
      <c r="E183" s="262" t="str">
        <f>'DICTIONARY-2'!$A$28</f>
        <v>stary nr zamówienia</v>
      </c>
      <c r="F183" s="262" t="str">
        <f>'DICTIONARY-2'!$A$29</f>
        <v>nowy nr zamówienia</v>
      </c>
      <c r="G183" s="263" t="str">
        <f>CURRENCY.CODE_1</f>
        <v>EUR</v>
      </c>
      <c r="H183" s="263" t="str">
        <f>CURRENCY.CODE_2</f>
        <v>---</v>
      </c>
    </row>
    <row r="184" spans="1:8" x14ac:dyDescent="0.25">
      <c r="A184" s="264">
        <v>100</v>
      </c>
      <c r="B184" s="264">
        <v>215</v>
      </c>
      <c r="C184" s="275"/>
      <c r="D184" s="275"/>
      <c r="E184" s="274" t="s">
        <v>4893</v>
      </c>
      <c r="F184" s="310" t="s">
        <v>2450</v>
      </c>
      <c r="G184" s="339" t="str">
        <f>IFERROR(IF(OR(F184='DICTIONARY-5'!$A$2,F184='DICTIONARY-5'!$A$4,ISBLANK(F184)),VLOOKUP(E184,LIST!$A$6:$L$3250,CURR_1.SEARCH.OLD,0),VLOOKUP(F184,LIST!$B$6:$L$3250,CURR_1.SEARCH.NEW,0)),'DICTIONARY-5'!$A$2)</f>
        <v>384,-</v>
      </c>
      <c r="H184" s="339" t="str">
        <f>IFERROR(IF(OR(F184='DICTIONARY-5'!$A$2,F184='DICTIONARY-5'!$A$4,ISBLANK(F184)),VLOOKUP(E184,LIST!$A$6:$M$3250,CURR_2.SEARCH.OLD,0),VLOOKUP(F184,LIST!$B$6:$M$3250,CURR_2.SEARCH.NEW,0)),'DICTIONARY-5'!$A$2)</f>
        <v/>
      </c>
    </row>
    <row r="185" spans="1:8" x14ac:dyDescent="0.25">
      <c r="A185" s="264">
        <v>150</v>
      </c>
      <c r="B185" s="264">
        <v>228</v>
      </c>
      <c r="C185" s="275"/>
      <c r="D185" s="275"/>
      <c r="E185" s="274" t="s">
        <v>4894</v>
      </c>
      <c r="F185" s="310" t="s">
        <v>2451</v>
      </c>
      <c r="G185" s="339" t="str">
        <f>IFERROR(IF(OR(F185='DICTIONARY-5'!$A$2,F185='DICTIONARY-5'!$A$4,ISBLANK(F185)),VLOOKUP(E185,LIST!$A$6:$L$3250,CURR_1.SEARCH.OLD,0),VLOOKUP(F185,LIST!$B$6:$L$3250,CURR_1.SEARCH.NEW,0)),'DICTIONARY-5'!$A$2)</f>
        <v>415,-</v>
      </c>
      <c r="H185" s="339" t="str">
        <f>IFERROR(IF(OR(F185='DICTIONARY-5'!$A$2,F185='DICTIONARY-5'!$A$4,ISBLANK(F185)),VLOOKUP(E185,LIST!$A$6:$M$3250,CURR_2.SEARCH.OLD,0),VLOOKUP(F185,LIST!$B$6:$M$3250,CURR_2.SEARCH.NEW,0)),'DICTIONARY-5'!$A$2)</f>
        <v/>
      </c>
    </row>
    <row r="186" spans="1:8" x14ac:dyDescent="0.25">
      <c r="A186" s="254"/>
      <c r="B186" s="254"/>
      <c r="C186" s="254"/>
      <c r="D186" s="255"/>
      <c r="E186" s="255"/>
      <c r="F186" s="255"/>
    </row>
    <row r="187" spans="1:8" x14ac:dyDescent="0.25">
      <c r="A187" s="256" t="str">
        <f>" 1)"&amp;'DICTIONARY-5'!$A$205</f>
        <v xml:space="preserve"> 1)Długość kształtki</v>
      </c>
      <c r="B187" s="254"/>
      <c r="C187" s="254"/>
      <c r="D187" s="255"/>
      <c r="E187" s="255"/>
      <c r="F187" s="255"/>
    </row>
    <row r="188" spans="1:8" x14ac:dyDescent="0.25">
      <c r="B188" s="254"/>
      <c r="C188" s="254"/>
      <c r="D188" s="255"/>
      <c r="E188" s="255"/>
      <c r="F188" s="255"/>
    </row>
    <row r="190" spans="1:8" ht="16.5" thickBot="1" x14ac:dyDescent="0.3">
      <c r="A190" s="712" t="str">
        <f>CONCATENATE('DICTIONARY-3'!$A$153," ",'DICTIONARY-3'!$A$175,'DICTIONARY-3'!$A$165,'DICTIONARY-3'!$A$174," / ",'DICTIONARY-3'!$A$349)</f>
        <v>BAIO Kształtka-MTT‎ / Krzyżak</v>
      </c>
      <c r="B190" s="712"/>
      <c r="C190" s="712"/>
      <c r="D190" s="712"/>
      <c r="E190" s="712"/>
      <c r="F190" s="712"/>
      <c r="G190" s="712"/>
      <c r="H190" s="712"/>
    </row>
    <row r="191" spans="1:8" x14ac:dyDescent="0.25">
      <c r="A191" s="268" t="str">
        <f>CONCATENATE('DICTIONARY-5'!$A$204,": ","4x ",'DICTIONARY-5'!$A$198)</f>
        <v>Połączenie: 4x mufa</v>
      </c>
    </row>
    <row r="192" spans="1:8" x14ac:dyDescent="0.25">
      <c r="A192" s="258" t="str">
        <f>CONCATENATE('DICTIONARY-1'!$A$10,": ",SETTINGS!$C$39)</f>
        <v>Grupa rabatowa: BAIO Fittings</v>
      </c>
      <c r="B192" s="258"/>
      <c r="C192" s="258"/>
      <c r="D192" s="272"/>
      <c r="E192" s="273"/>
      <c r="F192" s="273"/>
    </row>
    <row r="194" spans="1:8" x14ac:dyDescent="0.25">
      <c r="A194" s="260" t="str">
        <f>'DICTIONARY-2'!$A$2</f>
        <v>DN</v>
      </c>
      <c r="B194" s="260" t="str">
        <f>'DICTIONARY-2'!$A$40&amp;" 1)"</f>
        <v>l 1)</v>
      </c>
      <c r="C194" s="260"/>
      <c r="D194" s="260"/>
      <c r="E194" s="1069" t="str">
        <f>'DICTIONARY-3'!$A$153</f>
        <v>BAIO</v>
      </c>
      <c r="F194" s="1069"/>
      <c r="G194" s="1069"/>
      <c r="H194" s="1069"/>
    </row>
    <row r="195" spans="1:8" x14ac:dyDescent="0.25">
      <c r="A195" s="531"/>
      <c r="B195" s="531"/>
      <c r="C195" s="531"/>
      <c r="D195" s="531"/>
      <c r="E195" s="1068" t="str">
        <f>'DICTIONARY-3'!$A$175&amp;'DICTIONARY-3'!$A$165&amp;'DICTIONARY-3'!$A$174</f>
        <v>Kształtka-MTT‎</v>
      </c>
      <c r="F195" s="1068"/>
      <c r="G195" s="1068"/>
      <c r="H195" s="1068"/>
    </row>
    <row r="196" spans="1:8" x14ac:dyDescent="0.25">
      <c r="A196" s="261"/>
      <c r="B196" s="261" t="str">
        <f>'DICTIONARY-2'!$A$18</f>
        <v>[mm]</v>
      </c>
      <c r="C196" s="261"/>
      <c r="D196" s="261"/>
      <c r="E196" s="262" t="str">
        <f>'DICTIONARY-2'!$A$28</f>
        <v>stary nr zamówienia</v>
      </c>
      <c r="F196" s="262" t="str">
        <f>'DICTIONARY-2'!$A$29</f>
        <v>nowy nr zamówienia</v>
      </c>
      <c r="G196" s="263" t="str">
        <f>CURRENCY.CODE_1</f>
        <v>EUR</v>
      </c>
      <c r="H196" s="263" t="str">
        <f>CURRENCY.CODE_2</f>
        <v>---</v>
      </c>
    </row>
    <row r="197" spans="1:8" x14ac:dyDescent="0.25">
      <c r="A197" s="264">
        <v>80</v>
      </c>
      <c r="B197" s="264">
        <v>390</v>
      </c>
      <c r="C197" s="275"/>
      <c r="D197" s="275"/>
      <c r="E197" s="264" t="s">
        <v>2452</v>
      </c>
      <c r="F197" s="309" t="s">
        <v>2931</v>
      </c>
      <c r="G197" s="339" t="str">
        <f>IFERROR(IF(OR(F197='DICTIONARY-5'!$A$2,F197='DICTIONARY-5'!$A$4,ISBLANK(F197)),VLOOKUP(E197,LIST!$A$6:$L$3250,CURR_1.SEARCH.OLD,0),VLOOKUP(F197,LIST!$B$6:$L$3250,CURR_1.SEARCH.NEW,0)),'DICTIONARY-5'!$A$2)</f>
        <v>322,-</v>
      </c>
      <c r="H197" s="339" t="str">
        <f>IFERROR(IF(OR(F197='DICTIONARY-5'!$A$2,F197='DICTIONARY-5'!$A$4,ISBLANK(F197)),VLOOKUP(E197,LIST!$A$6:$M$3250,CURR_2.SEARCH.OLD,0),VLOOKUP(F197,LIST!$B$6:$M$3250,CURR_2.SEARCH.NEW,0)),'DICTIONARY-5'!$A$2)</f>
        <v/>
      </c>
    </row>
    <row r="198" spans="1:8" x14ac:dyDescent="0.25">
      <c r="A198" s="264">
        <v>100</v>
      </c>
      <c r="B198" s="264">
        <v>420</v>
      </c>
      <c r="C198" s="275"/>
      <c r="D198" s="275"/>
      <c r="E198" s="264" t="s">
        <v>2453</v>
      </c>
      <c r="F198" s="309" t="s">
        <v>2794</v>
      </c>
      <c r="G198" s="339" t="str">
        <f>IFERROR(IF(OR(F198='DICTIONARY-5'!$A$2,F198='DICTIONARY-5'!$A$4,ISBLANK(F198)),VLOOKUP(E198,LIST!$A$6:$L$3250,CURR_1.SEARCH.OLD,0),VLOOKUP(F198,LIST!$B$6:$L$3250,CURR_1.SEARCH.NEW,0)),'DICTIONARY-5'!$A$2)</f>
        <v>505,-</v>
      </c>
      <c r="H198" s="339" t="str">
        <f>IFERROR(IF(OR(F198='DICTIONARY-5'!$A$2,F198='DICTIONARY-5'!$A$4,ISBLANK(F198)),VLOOKUP(E198,LIST!$A$6:$M$3250,CURR_2.SEARCH.OLD,0),VLOOKUP(F198,LIST!$B$6:$M$3250,CURR_2.SEARCH.NEW,0)),'DICTIONARY-5'!$A$2)</f>
        <v/>
      </c>
    </row>
    <row r="199" spans="1:8" x14ac:dyDescent="0.25">
      <c r="A199" s="264">
        <v>125</v>
      </c>
      <c r="B199" s="264">
        <v>645</v>
      </c>
      <c r="C199" s="275"/>
      <c r="D199" s="275"/>
      <c r="E199" s="264" t="s">
        <v>2454</v>
      </c>
      <c r="F199" s="309" t="s">
        <v>2795</v>
      </c>
      <c r="G199" s="339" t="str">
        <f>IFERROR(IF(OR(F199='DICTIONARY-5'!$A$2,F199='DICTIONARY-5'!$A$4,ISBLANK(F199)),VLOOKUP(E199,LIST!$A$6:$L$3250,CURR_1.SEARCH.OLD,0),VLOOKUP(F199,LIST!$B$6:$L$3250,CURR_1.SEARCH.NEW,0)),'DICTIONARY-5'!$A$2)</f>
        <v>545,-</v>
      </c>
      <c r="H199" s="339" t="str">
        <f>IFERROR(IF(OR(F199='DICTIONARY-5'!$A$2,F199='DICTIONARY-5'!$A$4,ISBLANK(F199)),VLOOKUP(E199,LIST!$A$6:$M$3250,CURR_2.SEARCH.OLD,0),VLOOKUP(F199,LIST!$B$6:$M$3250,CURR_2.SEARCH.NEW,0)),'DICTIONARY-5'!$A$2)</f>
        <v/>
      </c>
    </row>
    <row r="200" spans="1:8" x14ac:dyDescent="0.25">
      <c r="A200" s="264">
        <v>150</v>
      </c>
      <c r="B200" s="264">
        <v>500</v>
      </c>
      <c r="C200" s="275"/>
      <c r="D200" s="275"/>
      <c r="E200" s="264" t="s">
        <v>2455</v>
      </c>
      <c r="F200" s="309" t="s">
        <v>2796</v>
      </c>
      <c r="G200" s="339" t="str">
        <f>IFERROR(IF(OR(F200='DICTIONARY-5'!$A$2,F200='DICTIONARY-5'!$A$4,ISBLANK(F200)),VLOOKUP(E200,LIST!$A$6:$L$3250,CURR_1.SEARCH.OLD,0),VLOOKUP(F200,LIST!$B$6:$L$3250,CURR_1.SEARCH.NEW,0)),'DICTIONARY-5'!$A$2)</f>
        <v>517,-</v>
      </c>
      <c r="H200" s="339" t="str">
        <f>IFERROR(IF(OR(F200='DICTIONARY-5'!$A$2,F200='DICTIONARY-5'!$A$4,ISBLANK(F200)),VLOOKUP(E200,LIST!$A$6:$M$3250,CURR_2.SEARCH.OLD,0),VLOOKUP(F200,LIST!$B$6:$M$3250,CURR_2.SEARCH.NEW,0)),'DICTIONARY-5'!$A$2)</f>
        <v/>
      </c>
    </row>
    <row r="201" spans="1:8" x14ac:dyDescent="0.25">
      <c r="A201" s="264">
        <v>200</v>
      </c>
      <c r="B201" s="264">
        <v>600</v>
      </c>
      <c r="C201" s="275"/>
      <c r="D201" s="275"/>
      <c r="E201" s="264" t="s">
        <v>2456</v>
      </c>
      <c r="F201" s="309" t="s">
        <v>2932</v>
      </c>
      <c r="G201" s="339" t="str">
        <f>IFERROR(IF(OR(F201='DICTIONARY-5'!$A$2,F201='DICTIONARY-5'!$A$4,ISBLANK(F201)),VLOOKUP(E201,LIST!$A$6:$L$3250,CURR_1.SEARCH.OLD,0),VLOOKUP(F201,LIST!$B$6:$L$3250,CURR_1.SEARCH.NEW,0)),'DICTIONARY-5'!$A$2)</f>
        <v>1 010,-</v>
      </c>
      <c r="H201" s="339" t="str">
        <f>IFERROR(IF(OR(F201='DICTIONARY-5'!$A$2,F201='DICTIONARY-5'!$A$4,ISBLANK(F201)),VLOOKUP(E201,LIST!$A$6:$M$3250,CURR_2.SEARCH.OLD,0),VLOOKUP(F201,LIST!$B$6:$M$3250,CURR_2.SEARCH.NEW,0)),'DICTIONARY-5'!$A$2)</f>
        <v/>
      </c>
    </row>
    <row r="203" spans="1:8" x14ac:dyDescent="0.25">
      <c r="A203" s="256" t="str">
        <f>" 1)"&amp;'DICTIONARY-5'!$A$205</f>
        <v xml:space="preserve"> 1)Długość kształtki</v>
      </c>
    </row>
    <row r="206" spans="1:8" ht="16.5" thickBot="1" x14ac:dyDescent="0.3">
      <c r="A206" s="712" t="str">
        <f>CONCATENATE('DICTIONARY-3'!$A$153," ",'DICTIONARY-3'!$A$175,'DICTIONARY-3'!$A$166,'DICTIONARY-3'!$A$174," / ",'DICTIONARY-3'!$A$338)</f>
        <v>BAIO Kształtka-MMB‎ / Trójnik odgałęzieniem mufowym</v>
      </c>
      <c r="B206" s="712"/>
      <c r="C206" s="712"/>
      <c r="D206" s="712"/>
      <c r="E206" s="712"/>
      <c r="F206" s="712"/>
      <c r="G206" s="712"/>
      <c r="H206" s="712"/>
    </row>
    <row r="207" spans="1:8" x14ac:dyDescent="0.25">
      <c r="A207" s="268" t="str">
        <f>CONCATENATE('DICTIONARY-5'!$A$204,": ","3x ",'DICTIONARY-5'!$A$198)</f>
        <v>Połączenie: 3x mufa</v>
      </c>
      <c r="B207" s="258"/>
    </row>
    <row r="208" spans="1:8" x14ac:dyDescent="0.25">
      <c r="A208" s="258" t="str">
        <f>CONCATENATE('DICTIONARY-1'!$A$10,": ",SETTINGS!$C$39)</f>
        <v>Grupa rabatowa: BAIO Fittings</v>
      </c>
      <c r="B208" s="258"/>
    </row>
    <row r="210" spans="1:8" x14ac:dyDescent="0.25">
      <c r="A210" s="260" t="str">
        <f>'DICTIONARY-2'!$A$2</f>
        <v>DN</v>
      </c>
      <c r="B210" s="711" t="str">
        <f>'DICTIONARY-2'!$A$2</f>
        <v>DN</v>
      </c>
      <c r="C210" s="260" t="str">
        <f>'DICTIONARY-2'!$A$40&amp;" 1)"</f>
        <v>l 1)</v>
      </c>
      <c r="D210" s="260"/>
      <c r="E210" s="1069" t="str">
        <f>'DICTIONARY-3'!$A$153</f>
        <v>BAIO</v>
      </c>
      <c r="F210" s="1069"/>
      <c r="G210" s="1069"/>
      <c r="H210" s="1069"/>
    </row>
    <row r="211" spans="1:8" ht="30" x14ac:dyDescent="0.25">
      <c r="A211" s="531"/>
      <c r="B211" s="532" t="str">
        <f>'DICTIONARY-5'!$A$208</f>
        <v>odgałęzienie</v>
      </c>
      <c r="C211" s="531"/>
      <c r="D211" s="531"/>
      <c r="E211" s="1068" t="str">
        <f>'DICTIONARY-3'!$A$175&amp;'DICTIONARY-3'!$A$166&amp;'DICTIONARY-3'!$A$174</f>
        <v>Kształtka-MMB‎</v>
      </c>
      <c r="F211" s="1068"/>
      <c r="G211" s="1068"/>
      <c r="H211" s="1068"/>
    </row>
    <row r="212" spans="1:8" x14ac:dyDescent="0.25">
      <c r="A212" s="261"/>
      <c r="B212" s="261"/>
      <c r="C212" s="261" t="str">
        <f>'DICTIONARY-2'!$A$18</f>
        <v>[mm]</v>
      </c>
      <c r="D212" s="261"/>
      <c r="E212" s="262" t="str">
        <f>'DICTIONARY-2'!$A$28</f>
        <v>stary nr zamówienia</v>
      </c>
      <c r="F212" s="262" t="str">
        <f>'DICTIONARY-2'!$A$29</f>
        <v>nowy nr zamówienia</v>
      </c>
      <c r="G212" s="263" t="str">
        <f>CURRENCY.CODE_1</f>
        <v>EUR</v>
      </c>
      <c r="H212" s="263" t="str">
        <f>CURRENCY.CODE_2</f>
        <v>---</v>
      </c>
    </row>
    <row r="213" spans="1:8" x14ac:dyDescent="0.25">
      <c r="A213" s="264">
        <v>80</v>
      </c>
      <c r="B213" s="264">
        <v>80</v>
      </c>
      <c r="C213" s="264">
        <v>380</v>
      </c>
      <c r="D213" s="275"/>
      <c r="E213" s="264" t="s">
        <v>2457</v>
      </c>
      <c r="F213" s="309" t="s">
        <v>2801</v>
      </c>
      <c r="G213" s="339" t="str">
        <f>IFERROR(IF(OR(F213='DICTIONARY-5'!$A$2,F213='DICTIONARY-5'!$A$4,ISBLANK(F213)),VLOOKUP(E213,LIST!$A$6:$L$3250,CURR_1.SEARCH.OLD,0),VLOOKUP(F213,LIST!$B$6:$L$3250,CURR_1.SEARCH.NEW,0)),'DICTIONARY-5'!$A$2)</f>
        <v>265,-</v>
      </c>
      <c r="H213" s="339" t="str">
        <f>IFERROR(IF(OR(F213='DICTIONARY-5'!$A$2,F213='DICTIONARY-5'!$A$4,ISBLANK(F213)),VLOOKUP(E213,LIST!$A$6:$M$3250,CURR_2.SEARCH.OLD,0),VLOOKUP(F213,LIST!$B$6:$M$3250,CURR_2.SEARCH.NEW,0)),'DICTIONARY-5'!$A$2)</f>
        <v/>
      </c>
    </row>
    <row r="214" spans="1:8" x14ac:dyDescent="0.25">
      <c r="A214" s="264">
        <v>100</v>
      </c>
      <c r="B214" s="264">
        <v>80</v>
      </c>
      <c r="C214" s="264">
        <v>410</v>
      </c>
      <c r="D214" s="275"/>
      <c r="E214" s="264" t="s">
        <v>2458</v>
      </c>
      <c r="F214" s="309" t="s">
        <v>2802</v>
      </c>
      <c r="G214" s="339" t="str">
        <f>IFERROR(IF(OR(F214='DICTIONARY-5'!$A$2,F214='DICTIONARY-5'!$A$4,ISBLANK(F214)),VLOOKUP(E214,LIST!$A$6:$L$3250,CURR_1.SEARCH.OLD,0),VLOOKUP(F214,LIST!$B$6:$L$3250,CURR_1.SEARCH.NEW,0)),'DICTIONARY-5'!$A$2)</f>
        <v>252,-</v>
      </c>
      <c r="H214" s="339" t="str">
        <f>IFERROR(IF(OR(F214='DICTIONARY-5'!$A$2,F214='DICTIONARY-5'!$A$4,ISBLANK(F214)),VLOOKUP(E214,LIST!$A$6:$M$3250,CURR_2.SEARCH.OLD,0),VLOOKUP(F214,LIST!$B$6:$M$3250,CURR_2.SEARCH.NEW,0)),'DICTIONARY-5'!$A$2)</f>
        <v/>
      </c>
    </row>
    <row r="215" spans="1:8" x14ac:dyDescent="0.25">
      <c r="A215" s="264">
        <v>100</v>
      </c>
      <c r="B215" s="264">
        <v>100</v>
      </c>
      <c r="C215" s="264">
        <v>420</v>
      </c>
      <c r="D215" s="275"/>
      <c r="E215" s="264" t="s">
        <v>2459</v>
      </c>
      <c r="F215" s="309" t="s">
        <v>2803</v>
      </c>
      <c r="G215" s="339" t="str">
        <f>IFERROR(IF(OR(F215='DICTIONARY-5'!$A$2,F215='DICTIONARY-5'!$A$4,ISBLANK(F215)),VLOOKUP(E215,LIST!$A$6:$L$3250,CURR_1.SEARCH.OLD,0),VLOOKUP(F215,LIST!$B$6:$L$3250,CURR_1.SEARCH.NEW,0)),'DICTIONARY-5'!$A$2)</f>
        <v>279,-</v>
      </c>
      <c r="H215" s="339" t="str">
        <f>IFERROR(IF(OR(F215='DICTIONARY-5'!$A$2,F215='DICTIONARY-5'!$A$4,ISBLANK(F215)),VLOOKUP(E215,LIST!$A$6:$M$3250,CURR_2.SEARCH.OLD,0),VLOOKUP(F215,LIST!$B$6:$M$3250,CURR_2.SEARCH.NEW,0)),'DICTIONARY-5'!$A$2)</f>
        <v/>
      </c>
    </row>
    <row r="216" spans="1:8" x14ac:dyDescent="0.25">
      <c r="A216" s="264">
        <v>125</v>
      </c>
      <c r="B216" s="264">
        <v>80</v>
      </c>
      <c r="C216" s="264">
        <v>410</v>
      </c>
      <c r="D216" s="275"/>
      <c r="E216" s="264" t="s">
        <v>2460</v>
      </c>
      <c r="F216" s="309" t="s">
        <v>2804</v>
      </c>
      <c r="G216" s="339" t="str">
        <f>IFERROR(IF(OR(F216='DICTIONARY-5'!$A$2,F216='DICTIONARY-5'!$A$4,ISBLANK(F216)),VLOOKUP(E216,LIST!$A$6:$L$3250,CURR_1.SEARCH.OLD,0),VLOOKUP(F216,LIST!$B$6:$L$3250,CURR_1.SEARCH.NEW,0)),'DICTIONARY-5'!$A$2)</f>
        <v>314,-</v>
      </c>
      <c r="H216" s="339" t="str">
        <f>IFERROR(IF(OR(F216='DICTIONARY-5'!$A$2,F216='DICTIONARY-5'!$A$4,ISBLANK(F216)),VLOOKUP(E216,LIST!$A$6:$M$3250,CURR_2.SEARCH.OLD,0),VLOOKUP(F216,LIST!$B$6:$M$3250,CURR_2.SEARCH.NEW,0)),'DICTIONARY-5'!$A$2)</f>
        <v/>
      </c>
    </row>
    <row r="217" spans="1:8" x14ac:dyDescent="0.25">
      <c r="A217" s="264">
        <v>125</v>
      </c>
      <c r="B217" s="264">
        <v>100</v>
      </c>
      <c r="C217" s="264">
        <v>435</v>
      </c>
      <c r="D217" s="275"/>
      <c r="E217" s="264" t="s">
        <v>2461</v>
      </c>
      <c r="F217" s="309" t="s">
        <v>2805</v>
      </c>
      <c r="G217" s="339" t="str">
        <f>IFERROR(IF(OR(F217='DICTIONARY-5'!$A$2,F217='DICTIONARY-5'!$A$4,ISBLANK(F217)),VLOOKUP(E217,LIST!$A$6:$L$3250,CURR_1.SEARCH.OLD,0),VLOOKUP(F217,LIST!$B$6:$L$3250,CURR_1.SEARCH.NEW,0)),'DICTIONARY-5'!$A$2)</f>
        <v>328,-</v>
      </c>
      <c r="H217" s="339" t="str">
        <f>IFERROR(IF(OR(F217='DICTIONARY-5'!$A$2,F217='DICTIONARY-5'!$A$4,ISBLANK(F217)),VLOOKUP(E217,LIST!$A$6:$M$3250,CURR_2.SEARCH.OLD,0),VLOOKUP(F217,LIST!$B$6:$M$3250,CURR_2.SEARCH.NEW,0)),'DICTIONARY-5'!$A$2)</f>
        <v/>
      </c>
    </row>
    <row r="218" spans="1:8" x14ac:dyDescent="0.25">
      <c r="A218" s="264">
        <v>125</v>
      </c>
      <c r="B218" s="264">
        <v>125</v>
      </c>
      <c r="C218" s="264">
        <v>465</v>
      </c>
      <c r="D218" s="275"/>
      <c r="E218" s="264" t="s">
        <v>2462</v>
      </c>
      <c r="F218" s="309" t="s">
        <v>2806</v>
      </c>
      <c r="G218" s="339" t="str">
        <f>IFERROR(IF(OR(F218='DICTIONARY-5'!$A$2,F218='DICTIONARY-5'!$A$4,ISBLANK(F218)),VLOOKUP(E218,LIST!$A$6:$L$3250,CURR_1.SEARCH.OLD,0),VLOOKUP(F218,LIST!$B$6:$L$3250,CURR_1.SEARCH.NEW,0)),'DICTIONARY-5'!$A$2)</f>
        <v>358,-</v>
      </c>
      <c r="H218" s="339" t="str">
        <f>IFERROR(IF(OR(F218='DICTIONARY-5'!$A$2,F218='DICTIONARY-5'!$A$4,ISBLANK(F218)),VLOOKUP(E218,LIST!$A$6:$M$3250,CURR_2.SEARCH.OLD,0),VLOOKUP(F218,LIST!$B$6:$M$3250,CURR_2.SEARCH.NEW,0)),'DICTIONARY-5'!$A$2)</f>
        <v/>
      </c>
    </row>
    <row r="219" spans="1:8" x14ac:dyDescent="0.25">
      <c r="A219" s="264">
        <v>150</v>
      </c>
      <c r="B219" s="264">
        <v>80</v>
      </c>
      <c r="C219" s="264">
        <v>415</v>
      </c>
      <c r="D219" s="275"/>
      <c r="E219" s="264" t="s">
        <v>2463</v>
      </c>
      <c r="F219" s="309" t="s">
        <v>2807</v>
      </c>
      <c r="G219" s="339" t="str">
        <f>IFERROR(IF(OR(F219='DICTIONARY-5'!$A$2,F219='DICTIONARY-5'!$A$4,ISBLANK(F219)),VLOOKUP(E219,LIST!$A$6:$L$3250,CURR_1.SEARCH.OLD,0),VLOOKUP(F219,LIST!$B$6:$L$3250,CURR_1.SEARCH.NEW,0)),'DICTIONARY-5'!$A$2)</f>
        <v>343,-</v>
      </c>
      <c r="H219" s="339" t="str">
        <f>IFERROR(IF(OR(F219='DICTIONARY-5'!$A$2,F219='DICTIONARY-5'!$A$4,ISBLANK(F219)),VLOOKUP(E219,LIST!$A$6:$M$3250,CURR_2.SEARCH.OLD,0),VLOOKUP(F219,LIST!$B$6:$M$3250,CURR_2.SEARCH.NEW,0)),'DICTIONARY-5'!$A$2)</f>
        <v/>
      </c>
    </row>
    <row r="220" spans="1:8" x14ac:dyDescent="0.25">
      <c r="A220" s="264">
        <v>150</v>
      </c>
      <c r="B220" s="264">
        <v>100</v>
      </c>
      <c r="C220" s="264">
        <v>415</v>
      </c>
      <c r="D220" s="275"/>
      <c r="E220" s="264" t="s">
        <v>2464</v>
      </c>
      <c r="F220" s="309" t="s">
        <v>2808</v>
      </c>
      <c r="G220" s="339" t="str">
        <f>IFERROR(IF(OR(F220='DICTIONARY-5'!$A$2,F220='DICTIONARY-5'!$A$4,ISBLANK(F220)),VLOOKUP(E220,LIST!$A$6:$L$3250,CURR_1.SEARCH.OLD,0),VLOOKUP(F220,LIST!$B$6:$L$3250,CURR_1.SEARCH.NEW,0)),'DICTIONARY-5'!$A$2)</f>
        <v>378,-</v>
      </c>
      <c r="H220" s="339" t="str">
        <f>IFERROR(IF(OR(F220='DICTIONARY-5'!$A$2,F220='DICTIONARY-5'!$A$4,ISBLANK(F220)),VLOOKUP(E220,LIST!$A$6:$M$3250,CURR_2.SEARCH.OLD,0),VLOOKUP(F220,LIST!$B$6:$M$3250,CURR_2.SEARCH.NEW,0)),'DICTIONARY-5'!$A$2)</f>
        <v/>
      </c>
    </row>
    <row r="221" spans="1:8" x14ac:dyDescent="0.25">
      <c r="A221" s="264">
        <v>150</v>
      </c>
      <c r="B221" s="264">
        <v>125</v>
      </c>
      <c r="C221" s="264">
        <v>450</v>
      </c>
      <c r="D221" s="275"/>
      <c r="E221" s="264" t="s">
        <v>2465</v>
      </c>
      <c r="F221" s="309" t="s">
        <v>2809</v>
      </c>
      <c r="G221" s="339" t="str">
        <f>IFERROR(IF(OR(F221='DICTIONARY-5'!$A$2,F221='DICTIONARY-5'!$A$4,ISBLANK(F221)),VLOOKUP(E221,LIST!$A$6:$L$3250,CURR_1.SEARCH.OLD,0),VLOOKUP(F221,LIST!$B$6:$L$3250,CURR_1.SEARCH.NEW,0)),'DICTIONARY-5'!$A$2)</f>
        <v>400,-</v>
      </c>
      <c r="H221" s="339" t="str">
        <f>IFERROR(IF(OR(F221='DICTIONARY-5'!$A$2,F221='DICTIONARY-5'!$A$4,ISBLANK(F221)),VLOOKUP(E221,LIST!$A$6:$M$3250,CURR_2.SEARCH.OLD,0),VLOOKUP(F221,LIST!$B$6:$M$3250,CURR_2.SEARCH.NEW,0)),'DICTIONARY-5'!$A$2)</f>
        <v/>
      </c>
    </row>
    <row r="222" spans="1:8" x14ac:dyDescent="0.25">
      <c r="A222" s="264">
        <v>150</v>
      </c>
      <c r="B222" s="264">
        <v>150</v>
      </c>
      <c r="C222" s="264">
        <v>500</v>
      </c>
      <c r="D222" s="275"/>
      <c r="E222" s="264" t="s">
        <v>2466</v>
      </c>
      <c r="F222" s="309" t="s">
        <v>2810</v>
      </c>
      <c r="G222" s="339" t="str">
        <f>IFERROR(IF(OR(F222='DICTIONARY-5'!$A$2,F222='DICTIONARY-5'!$A$4,ISBLANK(F222)),VLOOKUP(E222,LIST!$A$6:$L$3250,CURR_1.SEARCH.OLD,0),VLOOKUP(F222,LIST!$B$6:$L$3250,CURR_1.SEARCH.NEW,0)),'DICTIONARY-5'!$A$2)</f>
        <v>423,-</v>
      </c>
      <c r="H222" s="339" t="str">
        <f>IFERROR(IF(OR(F222='DICTIONARY-5'!$A$2,F222='DICTIONARY-5'!$A$4,ISBLANK(F222)),VLOOKUP(E222,LIST!$A$6:$M$3250,CURR_2.SEARCH.OLD,0),VLOOKUP(F222,LIST!$B$6:$M$3250,CURR_2.SEARCH.NEW,0)),'DICTIONARY-5'!$A$2)</f>
        <v/>
      </c>
    </row>
    <row r="223" spans="1:8" x14ac:dyDescent="0.25">
      <c r="A223" s="264">
        <v>200</v>
      </c>
      <c r="B223" s="264">
        <v>80</v>
      </c>
      <c r="C223" s="264">
        <v>460</v>
      </c>
      <c r="D223" s="275"/>
      <c r="E223" s="264" t="s">
        <v>2467</v>
      </c>
      <c r="F223" s="309" t="s">
        <v>2811</v>
      </c>
      <c r="G223" s="339" t="str">
        <f>IFERROR(IF(OR(F223='DICTIONARY-5'!$A$2,F223='DICTIONARY-5'!$A$4,ISBLANK(F223)),VLOOKUP(E223,LIST!$A$6:$L$3250,CURR_1.SEARCH.OLD,0),VLOOKUP(F223,LIST!$B$6:$L$3250,CURR_1.SEARCH.NEW,0)),'DICTIONARY-5'!$A$2)</f>
        <v>405,-</v>
      </c>
      <c r="H223" s="339" t="str">
        <f>IFERROR(IF(OR(F223='DICTIONARY-5'!$A$2,F223='DICTIONARY-5'!$A$4,ISBLANK(F223)),VLOOKUP(E223,LIST!$A$6:$M$3250,CURR_2.SEARCH.OLD,0),VLOOKUP(F223,LIST!$B$6:$M$3250,CURR_2.SEARCH.NEW,0)),'DICTIONARY-5'!$A$2)</f>
        <v/>
      </c>
    </row>
    <row r="224" spans="1:8" x14ac:dyDescent="0.25">
      <c r="A224" s="264">
        <v>200</v>
      </c>
      <c r="B224" s="264">
        <v>100</v>
      </c>
      <c r="C224" s="264">
        <v>485</v>
      </c>
      <c r="D224" s="275"/>
      <c r="E224" s="264" t="s">
        <v>2468</v>
      </c>
      <c r="F224" s="309" t="s">
        <v>2812</v>
      </c>
      <c r="G224" s="339" t="str">
        <f>IFERROR(IF(OR(F224='DICTIONARY-5'!$A$2,F224='DICTIONARY-5'!$A$4,ISBLANK(F224)),VLOOKUP(E224,LIST!$A$6:$L$3250,CURR_1.SEARCH.OLD,0),VLOOKUP(F224,LIST!$B$6:$L$3250,CURR_1.SEARCH.NEW,0)),'DICTIONARY-5'!$A$2)</f>
        <v>429,-</v>
      </c>
      <c r="H224" s="339" t="str">
        <f>IFERROR(IF(OR(F224='DICTIONARY-5'!$A$2,F224='DICTIONARY-5'!$A$4,ISBLANK(F224)),VLOOKUP(E224,LIST!$A$6:$M$3250,CURR_2.SEARCH.OLD,0),VLOOKUP(F224,LIST!$B$6:$M$3250,CURR_2.SEARCH.NEW,0)),'DICTIONARY-5'!$A$2)</f>
        <v/>
      </c>
    </row>
    <row r="225" spans="1:9" x14ac:dyDescent="0.25">
      <c r="A225" s="264">
        <v>200</v>
      </c>
      <c r="B225" s="264">
        <v>125</v>
      </c>
      <c r="C225" s="264">
        <v>510</v>
      </c>
      <c r="D225" s="275"/>
      <c r="E225" s="264" t="s">
        <v>2469</v>
      </c>
      <c r="F225" s="309" t="s">
        <v>2813</v>
      </c>
      <c r="G225" s="339" t="str">
        <f>IFERROR(IF(OR(F225='DICTIONARY-5'!$A$2,F225='DICTIONARY-5'!$A$4,ISBLANK(F225)),VLOOKUP(E225,LIST!$A$6:$L$3250,CURR_1.SEARCH.OLD,0),VLOOKUP(F225,LIST!$B$6:$L$3250,CURR_1.SEARCH.NEW,0)),'DICTIONARY-5'!$A$2)</f>
        <v>420,-</v>
      </c>
      <c r="H225" s="339" t="str">
        <f>IFERROR(IF(OR(F225='DICTIONARY-5'!$A$2,F225='DICTIONARY-5'!$A$4,ISBLANK(F225)),VLOOKUP(E225,LIST!$A$6:$M$3250,CURR_2.SEARCH.OLD,0),VLOOKUP(F225,LIST!$B$6:$M$3250,CURR_2.SEARCH.NEW,0)),'DICTIONARY-5'!$A$2)</f>
        <v/>
      </c>
    </row>
    <row r="226" spans="1:9" x14ac:dyDescent="0.25">
      <c r="A226" s="264">
        <v>200</v>
      </c>
      <c r="B226" s="264">
        <v>150</v>
      </c>
      <c r="C226" s="264">
        <v>540</v>
      </c>
      <c r="D226" s="275"/>
      <c r="E226" s="264" t="s">
        <v>2470</v>
      </c>
      <c r="F226" s="309" t="s">
        <v>2814</v>
      </c>
      <c r="G226" s="339" t="str">
        <f>IFERROR(IF(OR(F226='DICTIONARY-5'!$A$2,F226='DICTIONARY-5'!$A$4,ISBLANK(F226)),VLOOKUP(E226,LIST!$A$6:$L$3250,CURR_1.SEARCH.OLD,0),VLOOKUP(F226,LIST!$B$6:$L$3250,CURR_1.SEARCH.NEW,0)),'DICTIONARY-5'!$A$2)</f>
        <v>421,-</v>
      </c>
      <c r="H226" s="339" t="str">
        <f>IFERROR(IF(OR(F226='DICTIONARY-5'!$A$2,F226='DICTIONARY-5'!$A$4,ISBLANK(F226)),VLOOKUP(E226,LIST!$A$6:$M$3250,CURR_2.SEARCH.OLD,0),VLOOKUP(F226,LIST!$B$6:$M$3250,CURR_2.SEARCH.NEW,0)),'DICTIONARY-5'!$A$2)</f>
        <v/>
      </c>
    </row>
    <row r="227" spans="1:9" x14ac:dyDescent="0.25">
      <c r="A227" s="264">
        <v>200</v>
      </c>
      <c r="B227" s="264">
        <v>200</v>
      </c>
      <c r="C227" s="264">
        <v>600</v>
      </c>
      <c r="D227" s="275"/>
      <c r="E227" s="264" t="s">
        <v>2471</v>
      </c>
      <c r="F227" s="309" t="s">
        <v>2815</v>
      </c>
      <c r="G227" s="339" t="str">
        <f>IFERROR(IF(OR(F227='DICTIONARY-5'!$A$2,F227='DICTIONARY-5'!$A$4,ISBLANK(F227)),VLOOKUP(E227,LIST!$A$6:$L$3250,CURR_1.SEARCH.OLD,0),VLOOKUP(F227,LIST!$B$6:$L$3250,CURR_1.SEARCH.NEW,0)),'DICTIONARY-5'!$A$2)</f>
        <v>1 046,-</v>
      </c>
      <c r="H227" s="339" t="str">
        <f>IFERROR(IF(OR(F227='DICTIONARY-5'!$A$2,F227='DICTIONARY-5'!$A$4,ISBLANK(F227)),VLOOKUP(E227,LIST!$A$6:$M$3250,CURR_2.SEARCH.OLD,0),VLOOKUP(F227,LIST!$B$6:$M$3250,CURR_2.SEARCH.NEW,0)),'DICTIONARY-5'!$A$2)</f>
        <v/>
      </c>
    </row>
    <row r="229" spans="1:9" x14ac:dyDescent="0.25">
      <c r="A229" s="256" t="str">
        <f>" 1)"&amp;'DICTIONARY-5'!$A$205</f>
        <v xml:space="preserve"> 1)Długość kształtki</v>
      </c>
    </row>
    <row r="232" spans="1:9" ht="16.5" thickBot="1" x14ac:dyDescent="0.3">
      <c r="A232" s="712" t="str">
        <f>CONCATENATE('DICTIONARY-3'!$A$153," ",'DICTIONARY-3'!$A$175,'DICTIONARY-3'!$A$167,'DICTIONARY-3'!$A$174," / ",'DICTIONARY-3'!$A$347," ",LOWER('DICTIONARY-3'!$A$344))</f>
        <v>BAIO Kształtka-EN‎ / Kolano stopowe z korkiem dla prób i odpowietrzania</v>
      </c>
      <c r="B232" s="712"/>
      <c r="C232" s="712"/>
      <c r="D232" s="712"/>
      <c r="E232" s="712"/>
      <c r="F232" s="712"/>
      <c r="G232" s="712"/>
      <c r="H232" s="712"/>
    </row>
    <row r="233" spans="1:9" x14ac:dyDescent="0.25">
      <c r="A233" s="268" t="str">
        <f>CONCATENATE('DICTIONARY-5'!$A$204,": ","1x ",'DICTIONARY-5'!$A$198," + ","1x ",LOWER('DICTIONARY-3'!$A$241))</f>
        <v>Połączenie: 1x mufa + 1x kołnierz</v>
      </c>
      <c r="B233" s="258"/>
      <c r="C233" s="258"/>
      <c r="D233" s="258"/>
      <c r="E233" s="258"/>
      <c r="F233" s="258"/>
      <c r="G233" s="255"/>
      <c r="H233" s="255"/>
      <c r="I233" s="255"/>
    </row>
    <row r="234" spans="1:9" x14ac:dyDescent="0.25">
      <c r="A234" s="258" t="str">
        <f>CONCATENATE('DICTIONARY-1'!$A$10,": ",SETTINGS!$C$39)</f>
        <v>Grupa rabatowa: BAIO Fittings</v>
      </c>
      <c r="B234" s="258"/>
      <c r="C234" s="258"/>
      <c r="D234" s="258"/>
      <c r="E234" s="258"/>
      <c r="F234" s="258"/>
      <c r="G234" s="255"/>
      <c r="H234" s="255"/>
      <c r="I234" s="255"/>
    </row>
    <row r="235" spans="1:9" x14ac:dyDescent="0.25">
      <c r="A235" s="259"/>
      <c r="B235" s="259"/>
      <c r="C235" s="259"/>
      <c r="D235" s="259"/>
      <c r="E235" s="259"/>
      <c r="F235" s="259"/>
      <c r="G235" s="255"/>
      <c r="H235" s="255"/>
      <c r="I235" s="255"/>
    </row>
    <row r="236" spans="1:9" x14ac:dyDescent="0.25">
      <c r="A236" s="711" t="str">
        <f>'DICTIONARY-2'!$A$2</f>
        <v>DN</v>
      </c>
      <c r="B236" s="711" t="str">
        <f>'DICTIONARY-2'!$A$2</f>
        <v>DN</v>
      </c>
      <c r="C236" s="260" t="str">
        <f>'DICTIONARY-5'!$A$207</f>
        <v>Kąt</v>
      </c>
      <c r="D236" s="260" t="str">
        <f>'DICTIONARY-2'!$A$26</f>
        <v>G</v>
      </c>
      <c r="E236" s="1069" t="str">
        <f>'DICTIONARY-3'!$A$153</f>
        <v>BAIO</v>
      </c>
      <c r="F236" s="1069"/>
      <c r="G236" s="1069"/>
      <c r="H236" s="1069"/>
    </row>
    <row r="237" spans="1:9" x14ac:dyDescent="0.25">
      <c r="A237" s="532" t="str">
        <f>'DICTIONARY-5'!$A$198</f>
        <v>mufa</v>
      </c>
      <c r="B237" s="532" t="str">
        <f>LOWER('DICTIONARY-3'!$A$241)</f>
        <v>kołnierz</v>
      </c>
      <c r="C237" s="531"/>
      <c r="D237" s="531"/>
      <c r="E237" s="1068" t="str">
        <f>'DICTIONARY-3'!$A$175&amp;'DICTIONARY-3'!$A$167&amp;'DICTIONARY-3'!$A$174</f>
        <v>Kształtka-EN‎</v>
      </c>
      <c r="F237" s="1068"/>
      <c r="G237" s="1068"/>
      <c r="H237" s="1068"/>
    </row>
    <row r="238" spans="1:9" x14ac:dyDescent="0.25">
      <c r="A238" s="261"/>
      <c r="B238" s="261"/>
      <c r="C238" s="261"/>
      <c r="D238" s="261"/>
      <c r="E238" s="262" t="str">
        <f>'DICTIONARY-2'!$A$28</f>
        <v>stary nr zamówienia</v>
      </c>
      <c r="F238" s="262" t="str">
        <f>'DICTIONARY-2'!$A$29</f>
        <v>nowy nr zamówienia</v>
      </c>
      <c r="G238" s="263" t="str">
        <f>CURRENCY.CODE_1</f>
        <v>EUR</v>
      </c>
      <c r="H238" s="263" t="str">
        <f>CURRENCY.CODE_2</f>
        <v>---</v>
      </c>
    </row>
    <row r="239" spans="1:9" x14ac:dyDescent="0.25">
      <c r="A239" s="264">
        <v>80</v>
      </c>
      <c r="B239" s="264">
        <v>80</v>
      </c>
      <c r="C239" s="264" t="s">
        <v>2473</v>
      </c>
      <c r="D239" s="264" t="s">
        <v>893</v>
      </c>
      <c r="E239" s="264" t="s">
        <v>2474</v>
      </c>
      <c r="F239" s="309" t="s">
        <v>2817</v>
      </c>
      <c r="G239" s="339" t="str">
        <f>IFERROR(IF(OR(F239='DICTIONARY-5'!$A$2,F239='DICTIONARY-5'!$A$4,ISBLANK(F239)),VLOOKUP(E239,LIST!$A$6:$L$3250,CURR_1.SEARCH.OLD,0),VLOOKUP(F239,LIST!$B$6:$L$3250,CURR_1.SEARCH.NEW,0)),'DICTIONARY-5'!$A$2)</f>
        <v>308,-</v>
      </c>
      <c r="H239" s="339" t="str">
        <f>IFERROR(IF(OR(F239='DICTIONARY-5'!$A$2,F239='DICTIONARY-5'!$A$4,ISBLANK(F239)),VLOOKUP(E239,LIST!$A$6:$M$3250,CURR_2.SEARCH.OLD,0),VLOOKUP(F239,LIST!$B$6:$M$3250,CURR_2.SEARCH.NEW,0)),'DICTIONARY-5'!$A$2)</f>
        <v/>
      </c>
    </row>
    <row r="240" spans="1:9" x14ac:dyDescent="0.25">
      <c r="A240" s="264">
        <v>100</v>
      </c>
      <c r="B240" s="264">
        <v>80</v>
      </c>
      <c r="C240" s="264" t="s">
        <v>2473</v>
      </c>
      <c r="D240" s="264" t="s">
        <v>893</v>
      </c>
      <c r="E240" s="264" t="s">
        <v>2475</v>
      </c>
      <c r="F240" s="309" t="s">
        <v>2819</v>
      </c>
      <c r="G240" s="339" t="str">
        <f>IFERROR(IF(OR(F240='DICTIONARY-5'!$A$2,F240='DICTIONARY-5'!$A$4,ISBLANK(F240)),VLOOKUP(E240,LIST!$A$6:$L$3250,CURR_1.SEARCH.OLD,0),VLOOKUP(F240,LIST!$B$6:$L$3250,CURR_1.SEARCH.NEW,0)),'DICTIONARY-5'!$A$2)</f>
        <v>373,-</v>
      </c>
      <c r="H240" s="339" t="str">
        <f>IFERROR(IF(OR(F240='DICTIONARY-5'!$A$2,F240='DICTIONARY-5'!$A$4,ISBLANK(F240)),VLOOKUP(E240,LIST!$A$6:$M$3250,CURR_2.SEARCH.OLD,0),VLOOKUP(F240,LIST!$B$6:$M$3250,CURR_2.SEARCH.NEW,0)),'DICTIONARY-5'!$A$2)</f>
        <v/>
      </c>
    </row>
    <row r="241" spans="1:9" x14ac:dyDescent="0.25">
      <c r="A241" s="264">
        <v>100</v>
      </c>
      <c r="B241" s="264">
        <v>100</v>
      </c>
      <c r="C241" s="264" t="s">
        <v>2473</v>
      </c>
      <c r="D241" s="264" t="s">
        <v>893</v>
      </c>
      <c r="E241" s="264" t="s">
        <v>2476</v>
      </c>
      <c r="F241" s="309" t="s">
        <v>2821</v>
      </c>
      <c r="G241" s="339" t="str">
        <f>IFERROR(IF(OR(F241='DICTIONARY-5'!$A$2,F241='DICTIONARY-5'!$A$4,ISBLANK(F241)),VLOOKUP(E241,LIST!$A$6:$L$3250,CURR_1.SEARCH.OLD,0),VLOOKUP(F241,LIST!$B$6:$L$3250,CURR_1.SEARCH.NEW,0)),'DICTIONARY-5'!$A$2)</f>
        <v>391,-</v>
      </c>
      <c r="H241" s="339" t="str">
        <f>IFERROR(IF(OR(F241='DICTIONARY-5'!$A$2,F241='DICTIONARY-5'!$A$4,ISBLANK(F241)),VLOOKUP(E241,LIST!$A$6:$M$3250,CURR_2.SEARCH.OLD,0),VLOOKUP(F241,LIST!$B$6:$M$3250,CURR_2.SEARCH.NEW,0)),'DICTIONARY-5'!$A$2)</f>
        <v/>
      </c>
    </row>
    <row r="242" spans="1:9" x14ac:dyDescent="0.25">
      <c r="A242" s="254"/>
      <c r="B242" s="254"/>
      <c r="C242" s="254"/>
      <c r="D242" s="254"/>
      <c r="E242" s="254"/>
      <c r="F242" s="254"/>
      <c r="G242" s="255"/>
      <c r="H242" s="255"/>
      <c r="I242" s="255"/>
    </row>
    <row r="243" spans="1:9" x14ac:dyDescent="0.25">
      <c r="A243" s="254"/>
      <c r="B243" s="254"/>
      <c r="C243" s="254"/>
      <c r="D243" s="254"/>
      <c r="E243" s="254"/>
      <c r="F243" s="254"/>
      <c r="G243" s="255"/>
      <c r="H243" s="255"/>
      <c r="I243" s="255"/>
    </row>
    <row r="244" spans="1:9" ht="16.5" thickBot="1" x14ac:dyDescent="0.3">
      <c r="A244" s="712" t="str">
        <f>CONCATENATE('DICTIONARY-3'!$A$153," ",'DICTIONARY-3'!$A$175,'DICTIONARY-3'!$A$167,'DICTIONARY-3'!$A$174," / ",'DICTIONARY-3'!$A$347," ",LOWER('DICTIONARY-3'!$A$345))</f>
        <v>BAIO Kształtka-EN‎ / Kolano stopowe bez gwintowanego owiertu</v>
      </c>
      <c r="B244" s="712"/>
      <c r="C244" s="712"/>
      <c r="D244" s="712"/>
      <c r="E244" s="712"/>
      <c r="F244" s="712"/>
      <c r="G244" s="712"/>
      <c r="H244" s="712"/>
      <c r="I244" s="255"/>
    </row>
    <row r="245" spans="1:9" x14ac:dyDescent="0.25">
      <c r="A245" s="268" t="str">
        <f>CONCATENATE('DICTIONARY-5'!$A$204,": ","1x ",'DICTIONARY-5'!$A$198," + ","1x ",LOWER('DICTIONARY-3'!$A$241))</f>
        <v>Połączenie: 1x mufa + 1x kołnierz</v>
      </c>
      <c r="B245" s="258"/>
      <c r="C245" s="258"/>
      <c r="D245" s="258"/>
      <c r="E245" s="254"/>
      <c r="F245" s="254"/>
      <c r="G245" s="255"/>
      <c r="H245" s="255"/>
      <c r="I245" s="255"/>
    </row>
    <row r="246" spans="1:9" x14ac:dyDescent="0.25">
      <c r="A246" s="258" t="str">
        <f>CONCATENATE('DICTIONARY-1'!$A$10,": ",SETTINGS!$C$39)</f>
        <v>Grupa rabatowa: BAIO Fittings</v>
      </c>
      <c r="B246" s="258"/>
      <c r="C246" s="258"/>
      <c r="D246" s="258"/>
      <c r="E246" s="254"/>
      <c r="F246" s="254"/>
      <c r="G246" s="255"/>
      <c r="H246" s="255"/>
      <c r="I246" s="255"/>
    </row>
    <row r="247" spans="1:9" x14ac:dyDescent="0.25">
      <c r="E247" s="259"/>
      <c r="F247" s="259"/>
      <c r="G247" s="255"/>
      <c r="H247" s="255"/>
      <c r="I247" s="255"/>
    </row>
    <row r="248" spans="1:9" x14ac:dyDescent="0.25">
      <c r="A248" s="711" t="str">
        <f>'DICTIONARY-2'!$A$2</f>
        <v>DN</v>
      </c>
      <c r="B248" s="711" t="str">
        <f>'DICTIONARY-2'!$A$2</f>
        <v>DN</v>
      </c>
      <c r="C248" s="260" t="str">
        <f>'DICTIONARY-5'!$A$207</f>
        <v>Kąt</v>
      </c>
      <c r="D248" s="260" t="str">
        <f>'DICTIONARY-2'!$A$26</f>
        <v>G</v>
      </c>
      <c r="E248" s="1069" t="str">
        <f>'DICTIONARY-3'!$A$153</f>
        <v>BAIO</v>
      </c>
      <c r="F248" s="1069"/>
      <c r="G248" s="1069"/>
      <c r="H248" s="1069"/>
    </row>
    <row r="249" spans="1:9" x14ac:dyDescent="0.25">
      <c r="A249" s="532" t="str">
        <f>'DICTIONARY-5'!$A$198</f>
        <v>mufa</v>
      </c>
      <c r="B249" s="532" t="str">
        <f>LOWER('DICTIONARY-3'!$A$241)</f>
        <v>kołnierz</v>
      </c>
      <c r="C249" s="531"/>
      <c r="D249" s="531"/>
      <c r="E249" s="1068" t="str">
        <f>'DICTIONARY-3'!$A$175&amp;'DICTIONARY-3'!$A$167&amp;'DICTIONARY-3'!$A$174</f>
        <v>Kształtka-EN‎</v>
      </c>
      <c r="F249" s="1068"/>
      <c r="G249" s="1068"/>
      <c r="H249" s="1068"/>
    </row>
    <row r="250" spans="1:9" x14ac:dyDescent="0.25">
      <c r="A250" s="261"/>
      <c r="B250" s="261"/>
      <c r="C250" s="261"/>
      <c r="D250" s="261"/>
      <c r="E250" s="262" t="str">
        <f>'DICTIONARY-2'!$A$28</f>
        <v>stary nr zamówienia</v>
      </c>
      <c r="F250" s="262" t="str">
        <f>'DICTIONARY-2'!$A$29</f>
        <v>nowy nr zamówienia</v>
      </c>
      <c r="G250" s="263" t="str">
        <f>CURRENCY.CODE_1</f>
        <v>EUR</v>
      </c>
      <c r="H250" s="263" t="str">
        <f>CURRENCY.CODE_2</f>
        <v>---</v>
      </c>
    </row>
    <row r="251" spans="1:9" x14ac:dyDescent="0.25">
      <c r="A251" s="264">
        <v>80</v>
      </c>
      <c r="B251" s="264">
        <v>80</v>
      </c>
      <c r="C251" s="264" t="s">
        <v>2473</v>
      </c>
      <c r="D251" s="264" t="s">
        <v>67</v>
      </c>
      <c r="E251" s="264" t="s">
        <v>2477</v>
      </c>
      <c r="F251" s="309" t="s">
        <v>2816</v>
      </c>
      <c r="G251" s="339" t="str">
        <f>IFERROR(IF(OR(F251='DICTIONARY-5'!$A$2,F251='DICTIONARY-5'!$A$4,ISBLANK(F251)),VLOOKUP(E251,LIST!$A$6:$L$3250,CURR_1.SEARCH.OLD,0),VLOOKUP(F251,LIST!$B$6:$L$3250,CURR_1.SEARCH.NEW,0)),'DICTIONARY-5'!$A$2)</f>
        <v>251,-</v>
      </c>
      <c r="H251" s="339" t="str">
        <f>IFERROR(IF(OR(F251='DICTIONARY-5'!$A$2,F251='DICTIONARY-5'!$A$4,ISBLANK(F251)),VLOOKUP(E251,LIST!$A$6:$M$3250,CURR_2.SEARCH.OLD,0),VLOOKUP(F251,LIST!$B$6:$M$3250,CURR_2.SEARCH.NEW,0)),'DICTIONARY-5'!$A$2)</f>
        <v/>
      </c>
    </row>
    <row r="252" spans="1:9" x14ac:dyDescent="0.25">
      <c r="A252" s="264">
        <v>100</v>
      </c>
      <c r="B252" s="264">
        <v>80</v>
      </c>
      <c r="C252" s="264" t="s">
        <v>2473</v>
      </c>
      <c r="D252" s="264" t="s">
        <v>67</v>
      </c>
      <c r="E252" s="264" t="s">
        <v>2478</v>
      </c>
      <c r="F252" s="309" t="s">
        <v>2818</v>
      </c>
      <c r="G252" s="339" t="str">
        <f>IFERROR(IF(OR(F252='DICTIONARY-5'!$A$2,F252='DICTIONARY-5'!$A$4,ISBLANK(F252)),VLOOKUP(E252,LIST!$A$6:$L$3250,CURR_1.SEARCH.OLD,0),VLOOKUP(F252,LIST!$B$6:$L$3250,CURR_1.SEARCH.NEW,0)),'DICTIONARY-5'!$A$2)</f>
        <v>316,-</v>
      </c>
      <c r="H252" s="339" t="str">
        <f>IFERROR(IF(OR(F252='DICTIONARY-5'!$A$2,F252='DICTIONARY-5'!$A$4,ISBLANK(F252)),VLOOKUP(E252,LIST!$A$6:$M$3250,CURR_2.SEARCH.OLD,0),VLOOKUP(F252,LIST!$B$6:$M$3250,CURR_2.SEARCH.NEW,0)),'DICTIONARY-5'!$A$2)</f>
        <v/>
      </c>
    </row>
    <row r="253" spans="1:9" x14ac:dyDescent="0.25">
      <c r="A253" s="264">
        <v>100</v>
      </c>
      <c r="B253" s="264">
        <v>100</v>
      </c>
      <c r="C253" s="264" t="s">
        <v>2473</v>
      </c>
      <c r="D253" s="264" t="s">
        <v>67</v>
      </c>
      <c r="E253" s="264" t="s">
        <v>2479</v>
      </c>
      <c r="F253" s="309" t="s">
        <v>2820</v>
      </c>
      <c r="G253" s="339" t="str">
        <f>IFERROR(IF(OR(F253='DICTIONARY-5'!$A$2,F253='DICTIONARY-5'!$A$4,ISBLANK(F253)),VLOOKUP(E253,LIST!$A$6:$L$3250,CURR_1.SEARCH.OLD,0),VLOOKUP(F253,LIST!$B$6:$L$3250,CURR_1.SEARCH.NEW,0)),'DICTIONARY-5'!$A$2)</f>
        <v>334,-</v>
      </c>
      <c r="H253" s="339" t="str">
        <f>IFERROR(IF(OR(F253='DICTIONARY-5'!$A$2,F253='DICTIONARY-5'!$A$4,ISBLANK(F253)),VLOOKUP(E253,LIST!$A$6:$M$3250,CURR_2.SEARCH.OLD,0),VLOOKUP(F253,LIST!$B$6:$M$3250,CURR_2.SEARCH.NEW,0)),'DICTIONARY-5'!$A$2)</f>
        <v/>
      </c>
    </row>
    <row r="256" spans="1:9" ht="16.5" thickBot="1" x14ac:dyDescent="0.3">
      <c r="A256" s="712" t="str">
        <f>CONCATENATE('DICTIONARY-3'!$A$153," ",'DICTIONARY-3'!$A$175,'DICTIONARY-3'!$A$168,'DICTIONARY-3'!$A$174," / ",'DICTIONARY-3'!$A$347," ",LOWER('DICTIONARY-3'!$A$344))</f>
        <v>BAIO Kształtka-MMN‎ / Kolano stopowe z korkiem dla prób i odpowietrzania</v>
      </c>
      <c r="B256" s="712"/>
      <c r="C256" s="712"/>
      <c r="D256" s="712"/>
      <c r="E256" s="712"/>
      <c r="F256" s="712"/>
      <c r="G256" s="712"/>
      <c r="H256" s="712"/>
    </row>
    <row r="257" spans="1:8" x14ac:dyDescent="0.25">
      <c r="A257" s="268" t="str">
        <f>CONCATENATE('DICTIONARY-5'!$A$204,": ","2x ",'DICTIONARY-5'!$A$198)</f>
        <v>Połączenie: 2x mufa</v>
      </c>
      <c r="B257" s="258"/>
      <c r="C257" s="258"/>
      <c r="D257" s="258"/>
      <c r="E257" s="254"/>
      <c r="F257" s="254"/>
      <c r="G257" s="255"/>
      <c r="H257" s="255"/>
    </row>
    <row r="258" spans="1:8" x14ac:dyDescent="0.25">
      <c r="A258" s="258" t="str">
        <f>CONCATENATE('DICTIONARY-1'!$A$10,": ",SETTINGS!$C$39)</f>
        <v>Grupa rabatowa: BAIO Fittings</v>
      </c>
      <c r="B258" s="258"/>
      <c r="C258" s="258"/>
      <c r="D258" s="258"/>
      <c r="E258" s="254"/>
      <c r="F258" s="254"/>
      <c r="G258" s="255"/>
      <c r="H258" s="255"/>
    </row>
    <row r="259" spans="1:8" x14ac:dyDescent="0.25">
      <c r="A259" s="259"/>
      <c r="B259" s="259"/>
      <c r="C259" s="259"/>
      <c r="D259" s="259"/>
      <c r="E259" s="254"/>
      <c r="F259" s="254"/>
      <c r="G259" s="255"/>
      <c r="H259" s="255"/>
    </row>
    <row r="260" spans="1:8" x14ac:dyDescent="0.25">
      <c r="A260" s="711" t="str">
        <f>'DICTIONARY-2'!$A$2</f>
        <v>DN</v>
      </c>
      <c r="B260" s="711"/>
      <c r="C260" s="260" t="str">
        <f>'DICTIONARY-5'!$A$207</f>
        <v>Kąt</v>
      </c>
      <c r="D260" s="260" t="str">
        <f>'DICTIONARY-2'!$A$26</f>
        <v>G</v>
      </c>
      <c r="E260" s="1069" t="str">
        <f>'DICTIONARY-3'!$A$153</f>
        <v>BAIO</v>
      </c>
      <c r="F260" s="1069"/>
      <c r="G260" s="1069"/>
      <c r="H260" s="1069"/>
    </row>
    <row r="261" spans="1:8" x14ac:dyDescent="0.25">
      <c r="A261" s="532" t="str">
        <f>'DICTIONARY-5'!$A$198</f>
        <v>mufa</v>
      </c>
      <c r="B261" s="532"/>
      <c r="C261" s="531"/>
      <c r="D261" s="531"/>
      <c r="E261" s="1068" t="str">
        <f>'DICTIONARY-3'!$A$175&amp;'DICTIONARY-3'!$A$168&amp;'DICTIONARY-3'!$A$174</f>
        <v>Kształtka-MMN‎</v>
      </c>
      <c r="F261" s="1068"/>
      <c r="G261" s="1068"/>
      <c r="H261" s="1068"/>
    </row>
    <row r="262" spans="1:8" x14ac:dyDescent="0.25">
      <c r="A262" s="261"/>
      <c r="B262" s="261"/>
      <c r="C262" s="261"/>
      <c r="D262" s="261"/>
      <c r="E262" s="262" t="str">
        <f>'DICTIONARY-2'!$A$28</f>
        <v>stary nr zamówienia</v>
      </c>
      <c r="F262" s="262" t="str">
        <f>'DICTIONARY-2'!$A$29</f>
        <v>nowy nr zamówienia</v>
      </c>
      <c r="G262" s="263" t="str">
        <f>CURRENCY.CODE_1</f>
        <v>EUR</v>
      </c>
      <c r="H262" s="263" t="str">
        <f>CURRENCY.CODE_2</f>
        <v>---</v>
      </c>
    </row>
    <row r="263" spans="1:8" x14ac:dyDescent="0.25">
      <c r="A263" s="264">
        <v>80</v>
      </c>
      <c r="B263" s="275"/>
      <c r="C263" s="264" t="s">
        <v>2473</v>
      </c>
      <c r="D263" s="264" t="s">
        <v>893</v>
      </c>
      <c r="E263" s="264" t="s">
        <v>2480</v>
      </c>
      <c r="F263" s="309" t="s">
        <v>2833</v>
      </c>
      <c r="G263" s="339" t="str">
        <f>IFERROR(IF(OR(F263='DICTIONARY-5'!$A$2,F263='DICTIONARY-5'!$A$4,ISBLANK(F263)),VLOOKUP(E263,LIST!$A$6:$L$3250,CURR_1.SEARCH.OLD,0),VLOOKUP(F263,LIST!$B$6:$L$3250,CURR_1.SEARCH.NEW,0)),'DICTIONARY-5'!$A$2)</f>
        <v>380,-</v>
      </c>
      <c r="H263" s="339" t="str">
        <f>IFERROR(IF(OR(F263='DICTIONARY-5'!$A$2,F263='DICTIONARY-5'!$A$4,ISBLANK(F263)),VLOOKUP(E263,LIST!$A$6:$M$3250,CURR_2.SEARCH.OLD,0),VLOOKUP(F263,LIST!$B$6:$M$3250,CURR_2.SEARCH.NEW,0)),'DICTIONARY-5'!$A$2)</f>
        <v/>
      </c>
    </row>
    <row r="264" spans="1:8" x14ac:dyDescent="0.25">
      <c r="A264" s="264">
        <v>100</v>
      </c>
      <c r="B264" s="275"/>
      <c r="C264" s="264" t="s">
        <v>2473</v>
      </c>
      <c r="D264" s="264" t="s">
        <v>893</v>
      </c>
      <c r="E264" s="264" t="s">
        <v>2481</v>
      </c>
      <c r="F264" s="309" t="s">
        <v>2835</v>
      </c>
      <c r="G264" s="339" t="str">
        <f>IFERROR(IF(OR(F264='DICTIONARY-5'!$A$2,F264='DICTIONARY-5'!$A$4,ISBLANK(F264)),VLOOKUP(E264,LIST!$A$6:$L$3250,CURR_1.SEARCH.OLD,0),VLOOKUP(F264,LIST!$B$6:$L$3250,CURR_1.SEARCH.NEW,0)),'DICTIONARY-5'!$A$2)</f>
        <v>246,-</v>
      </c>
      <c r="H264" s="339" t="str">
        <f>IFERROR(IF(OR(F264='DICTIONARY-5'!$A$2,F264='DICTIONARY-5'!$A$4,ISBLANK(F264)),VLOOKUP(E264,LIST!$A$6:$M$3250,CURR_2.SEARCH.OLD,0),VLOOKUP(F264,LIST!$B$6:$M$3250,CURR_2.SEARCH.NEW,0)),'DICTIONARY-5'!$A$2)</f>
        <v/>
      </c>
    </row>
    <row r="265" spans="1:8" x14ac:dyDescent="0.25">
      <c r="A265" s="254"/>
      <c r="B265" s="254"/>
      <c r="C265" s="254"/>
      <c r="D265" s="254"/>
      <c r="E265" s="254"/>
      <c r="F265" s="254"/>
      <c r="G265" s="255"/>
      <c r="H265" s="255"/>
    </row>
    <row r="266" spans="1:8" x14ac:dyDescent="0.25">
      <c r="A266" s="254"/>
      <c r="B266" s="254"/>
      <c r="C266" s="254"/>
      <c r="D266" s="254"/>
      <c r="E266" s="254"/>
      <c r="F266" s="254"/>
      <c r="G266" s="255"/>
      <c r="H266" s="255"/>
    </row>
    <row r="267" spans="1:8" ht="16.5" thickBot="1" x14ac:dyDescent="0.3">
      <c r="A267" s="712" t="str">
        <f>CONCATENATE('DICTIONARY-3'!$A$153," ",'DICTIONARY-3'!$A$175,'DICTIONARY-3'!$A$168,'DICTIONARY-3'!$A$174," / ",'DICTIONARY-3'!$A$347," ",LOWER('DICTIONARY-3'!$A$345))</f>
        <v>BAIO Kształtka-MMN‎ / Kolano stopowe bez gwintowanego owiertu</v>
      </c>
      <c r="B267" s="712"/>
      <c r="C267" s="712"/>
      <c r="D267" s="712"/>
      <c r="E267" s="712"/>
      <c r="F267" s="712"/>
      <c r="G267" s="712"/>
      <c r="H267" s="712"/>
    </row>
    <row r="268" spans="1:8" x14ac:dyDescent="0.25">
      <c r="A268" s="268" t="str">
        <f>CONCATENATE('DICTIONARY-5'!$A$204,": ","2x ",'DICTIONARY-5'!$A$198)</f>
        <v>Połączenie: 2x mufa</v>
      </c>
      <c r="B268" s="258"/>
      <c r="C268" s="258"/>
      <c r="D268" s="254"/>
      <c r="E268" s="254"/>
      <c r="F268" s="254"/>
      <c r="G268" s="255"/>
      <c r="H268" s="255"/>
    </row>
    <row r="269" spans="1:8" x14ac:dyDescent="0.25">
      <c r="A269" s="258" t="str">
        <f>CONCATENATE('DICTIONARY-1'!$A$10,": ",SETTINGS!$C$39)</f>
        <v>Grupa rabatowa: BAIO Fittings</v>
      </c>
      <c r="B269" s="258"/>
      <c r="C269" s="258"/>
      <c r="D269" s="254"/>
      <c r="E269" s="254"/>
      <c r="F269" s="254"/>
      <c r="G269" s="255"/>
      <c r="H269" s="255"/>
    </row>
    <row r="270" spans="1:8" x14ac:dyDescent="0.25">
      <c r="D270" s="259"/>
      <c r="E270" s="254"/>
      <c r="F270" s="254"/>
      <c r="G270" s="255"/>
      <c r="H270" s="255"/>
    </row>
    <row r="271" spans="1:8" x14ac:dyDescent="0.25">
      <c r="A271" s="711" t="str">
        <f>'DICTIONARY-2'!$A$2</f>
        <v>DN</v>
      </c>
      <c r="B271" s="711"/>
      <c r="C271" s="260" t="str">
        <f>'DICTIONARY-5'!$A$207</f>
        <v>Kąt</v>
      </c>
      <c r="D271" s="260" t="str">
        <f>'DICTIONARY-2'!$A$26</f>
        <v>G</v>
      </c>
      <c r="E271" s="1069" t="str">
        <f>'DICTIONARY-3'!$A$153</f>
        <v>BAIO</v>
      </c>
      <c r="F271" s="1069"/>
      <c r="G271" s="1069"/>
      <c r="H271" s="1069"/>
    </row>
    <row r="272" spans="1:8" x14ac:dyDescent="0.25">
      <c r="A272" s="532" t="str">
        <f>'DICTIONARY-5'!$A$198</f>
        <v>mufa</v>
      </c>
      <c r="B272" s="532"/>
      <c r="C272" s="531"/>
      <c r="D272" s="531"/>
      <c r="E272" s="1068" t="str">
        <f>'DICTIONARY-3'!$A$175&amp;'DICTIONARY-3'!$A$168&amp;'DICTIONARY-3'!$A$174</f>
        <v>Kształtka-MMN‎</v>
      </c>
      <c r="F272" s="1068"/>
      <c r="G272" s="1068"/>
      <c r="H272" s="1068"/>
    </row>
    <row r="273" spans="1:8" x14ac:dyDescent="0.25">
      <c r="A273" s="261"/>
      <c r="B273" s="261"/>
      <c r="C273" s="261"/>
      <c r="D273" s="261"/>
      <c r="E273" s="262" t="str">
        <f>'DICTIONARY-2'!$A$28</f>
        <v>stary nr zamówienia</v>
      </c>
      <c r="F273" s="262" t="str">
        <f>'DICTIONARY-2'!$A$29</f>
        <v>nowy nr zamówienia</v>
      </c>
      <c r="G273" s="263" t="str">
        <f>CURRENCY.CODE_1</f>
        <v>EUR</v>
      </c>
      <c r="H273" s="263" t="str">
        <f>CURRENCY.CODE_2</f>
        <v>---</v>
      </c>
    </row>
    <row r="274" spans="1:8" x14ac:dyDescent="0.25">
      <c r="A274" s="264">
        <v>80</v>
      </c>
      <c r="B274" s="275"/>
      <c r="C274" s="264" t="s">
        <v>2473</v>
      </c>
      <c r="D274" s="264" t="s">
        <v>67</v>
      </c>
      <c r="E274" s="264" t="s">
        <v>2482</v>
      </c>
      <c r="F274" s="309" t="s">
        <v>2832</v>
      </c>
      <c r="G274" s="339" t="str">
        <f>IFERROR(IF(OR(F274='DICTIONARY-5'!$A$2,F274='DICTIONARY-5'!$A$4,ISBLANK(F274)),VLOOKUP(E274,LIST!$A$6:$L$3250,CURR_1.SEARCH.OLD,0),VLOOKUP(F274,LIST!$B$6:$L$3250,CURR_1.SEARCH.NEW,0)),'DICTIONARY-5'!$A$2)</f>
        <v>323,-</v>
      </c>
      <c r="H274" s="339" t="str">
        <f>IFERROR(IF(OR(F274='DICTIONARY-5'!$A$2,F274='DICTIONARY-5'!$A$4,ISBLANK(F274)),VLOOKUP(E274,LIST!$A$6:$M$3250,CURR_2.SEARCH.OLD,0),VLOOKUP(F274,LIST!$B$6:$M$3250,CURR_2.SEARCH.NEW,0)),'DICTIONARY-5'!$A$2)</f>
        <v/>
      </c>
    </row>
    <row r="275" spans="1:8" x14ac:dyDescent="0.25">
      <c r="A275" s="264">
        <v>100</v>
      </c>
      <c r="B275" s="275"/>
      <c r="C275" s="264" t="s">
        <v>2473</v>
      </c>
      <c r="D275" s="264" t="s">
        <v>67</v>
      </c>
      <c r="E275" s="264" t="s">
        <v>2483</v>
      </c>
      <c r="F275" s="309" t="s">
        <v>2834</v>
      </c>
      <c r="G275" s="339" t="str">
        <f>IFERROR(IF(OR(F275='DICTIONARY-5'!$A$2,F275='DICTIONARY-5'!$A$4,ISBLANK(F275)),VLOOKUP(E275,LIST!$A$6:$L$3250,CURR_1.SEARCH.OLD,0),VLOOKUP(F275,LIST!$B$6:$L$3250,CURR_1.SEARCH.NEW,0)),'DICTIONARY-5'!$A$2)</f>
        <v>195,-</v>
      </c>
      <c r="H275" s="339" t="str">
        <f>IFERROR(IF(OR(F275='DICTIONARY-5'!$A$2,F275='DICTIONARY-5'!$A$4,ISBLANK(F275)),VLOOKUP(E275,LIST!$A$6:$M$3250,CURR_2.SEARCH.OLD,0),VLOOKUP(F275,LIST!$B$6:$M$3250,CURR_2.SEARCH.NEW,0)),'DICTIONARY-5'!$A$2)</f>
        <v/>
      </c>
    </row>
    <row r="278" spans="1:8" ht="16.5" thickBot="1" x14ac:dyDescent="0.3">
      <c r="A278" s="712" t="str">
        <f>CONCATENATE('DICTIONARY-3'!$A$153," ",'DICTIONARY-3'!$A$175,'DICTIONARY-3'!$A$169,'DICTIONARY-3'!$A$174)</f>
        <v>BAIO Kształtka-EU‎</v>
      </c>
      <c r="B278" s="712"/>
      <c r="C278" s="712"/>
      <c r="D278" s="712"/>
      <c r="E278" s="712"/>
      <c r="F278" s="712"/>
      <c r="G278" s="712"/>
      <c r="H278" s="712"/>
    </row>
    <row r="279" spans="1:8" x14ac:dyDescent="0.25">
      <c r="A279" s="268" t="str">
        <f>CONCATENATE('DICTIONARY-5'!$A$204,": ","1x ",'DICTIONARY-5'!$A$198," + ","1x ",LOWER('DICTIONARY-3'!$A$241))</f>
        <v>Połączenie: 1x mufa + 1x kołnierz</v>
      </c>
      <c r="B279" s="258"/>
    </row>
    <row r="280" spans="1:8" x14ac:dyDescent="0.25">
      <c r="A280" s="258" t="str">
        <f>CONCATENATE('DICTIONARY-1'!$A$10,": ",SETTINGS!$C$39)</f>
        <v>Grupa rabatowa: BAIO Fittings</v>
      </c>
      <c r="B280" s="258"/>
    </row>
    <row r="282" spans="1:8" x14ac:dyDescent="0.25">
      <c r="A282" s="260" t="str">
        <f>'DICTIONARY-2'!$A$2</f>
        <v>DN</v>
      </c>
      <c r="B282" s="711" t="str">
        <f>'DICTIONARY-2'!$A$3</f>
        <v>PN</v>
      </c>
      <c r="C282" s="260" t="str">
        <f>'DICTIONARY-2'!$A$40&amp;" 1)"</f>
        <v>l 1)</v>
      </c>
      <c r="D282" s="260"/>
      <c r="E282" s="1069" t="str">
        <f>'DICTIONARY-3'!$A$153</f>
        <v>BAIO</v>
      </c>
      <c r="F282" s="1069"/>
      <c r="G282" s="1069"/>
      <c r="H282" s="1069"/>
    </row>
    <row r="283" spans="1:8" x14ac:dyDescent="0.25">
      <c r="A283" s="531"/>
      <c r="B283" s="532"/>
      <c r="C283" s="531"/>
      <c r="D283" s="531"/>
      <c r="E283" s="1068" t="str">
        <f>'DICTIONARY-3'!$A$175&amp;'DICTIONARY-3'!$A$169&amp;'DICTIONARY-3'!$A$174</f>
        <v>Kształtka-EU‎</v>
      </c>
      <c r="F283" s="1068"/>
      <c r="G283" s="1068"/>
      <c r="H283" s="1068"/>
    </row>
    <row r="284" spans="1:8" x14ac:dyDescent="0.25">
      <c r="A284" s="261"/>
      <c r="B284" s="261"/>
      <c r="C284" s="261" t="str">
        <f>'DICTIONARY-2'!$A$18</f>
        <v>[mm]</v>
      </c>
      <c r="D284" s="261"/>
      <c r="E284" s="262" t="str">
        <f>'DICTIONARY-2'!$A$28</f>
        <v>stary nr zamówienia</v>
      </c>
      <c r="F284" s="262" t="str">
        <f>'DICTIONARY-2'!$A$29</f>
        <v>nowy nr zamówienia</v>
      </c>
      <c r="G284" s="263" t="str">
        <f>CURRENCY.CODE_1</f>
        <v>EUR</v>
      </c>
      <c r="H284" s="263" t="str">
        <f>CURRENCY.CODE_2</f>
        <v>---</v>
      </c>
    </row>
    <row r="285" spans="1:8" x14ac:dyDescent="0.25">
      <c r="A285" s="264">
        <v>80</v>
      </c>
      <c r="B285" s="264" t="s">
        <v>85</v>
      </c>
      <c r="C285" s="264">
        <v>170</v>
      </c>
      <c r="D285" s="275"/>
      <c r="E285" s="264" t="s">
        <v>2484</v>
      </c>
      <c r="F285" s="309" t="s">
        <v>2748</v>
      </c>
      <c r="G285" s="339" t="str">
        <f>IFERROR(IF(OR(F285='DICTIONARY-5'!$A$2,F285='DICTIONARY-5'!$A$4,ISBLANK(F285)),VLOOKUP(E285,LIST!$A$6:$L$3250,CURR_1.SEARCH.OLD,0),VLOOKUP(F285,LIST!$B$6:$L$3250,CURR_1.SEARCH.NEW,0)),'DICTIONARY-5'!$A$2)</f>
        <v>125,-</v>
      </c>
      <c r="H285" s="339" t="str">
        <f>IFERROR(IF(OR(F285='DICTIONARY-5'!$A$2,F285='DICTIONARY-5'!$A$4,ISBLANK(F285)),VLOOKUP(E285,LIST!$A$6:$M$3250,CURR_2.SEARCH.OLD,0),VLOOKUP(F285,LIST!$B$6:$M$3250,CURR_2.SEARCH.NEW,0)),'DICTIONARY-5'!$A$2)</f>
        <v/>
      </c>
    </row>
    <row r="286" spans="1:8" x14ac:dyDescent="0.25">
      <c r="A286" s="264">
        <v>100</v>
      </c>
      <c r="B286" s="264" t="s">
        <v>85</v>
      </c>
      <c r="C286" s="264">
        <v>175</v>
      </c>
      <c r="D286" s="275"/>
      <c r="E286" s="264" t="s">
        <v>2485</v>
      </c>
      <c r="F286" s="309" t="s">
        <v>2749</v>
      </c>
      <c r="G286" s="339" t="str">
        <f>IFERROR(IF(OR(F286='DICTIONARY-5'!$A$2,F286='DICTIONARY-5'!$A$4,ISBLANK(F286)),VLOOKUP(E286,LIST!$A$6:$L$3250,CURR_1.SEARCH.OLD,0),VLOOKUP(F286,LIST!$B$6:$L$3250,CURR_1.SEARCH.NEW,0)),'DICTIONARY-5'!$A$2)</f>
        <v>118,-</v>
      </c>
      <c r="H286" s="339" t="str">
        <f>IFERROR(IF(OR(F286='DICTIONARY-5'!$A$2,F286='DICTIONARY-5'!$A$4,ISBLANK(F286)),VLOOKUP(E286,LIST!$A$6:$M$3250,CURR_2.SEARCH.OLD,0),VLOOKUP(F286,LIST!$B$6:$M$3250,CURR_2.SEARCH.NEW,0)),'DICTIONARY-5'!$A$2)</f>
        <v/>
      </c>
    </row>
    <row r="287" spans="1:8" x14ac:dyDescent="0.25">
      <c r="A287" s="264">
        <v>125</v>
      </c>
      <c r="B287" s="264" t="s">
        <v>85</v>
      </c>
      <c r="C287" s="264">
        <v>180</v>
      </c>
      <c r="D287" s="275"/>
      <c r="E287" s="264" t="s">
        <v>2486</v>
      </c>
      <c r="F287" s="309" t="s">
        <v>2750</v>
      </c>
      <c r="G287" s="339" t="str">
        <f>IFERROR(IF(OR(F287='DICTIONARY-5'!$A$2,F287='DICTIONARY-5'!$A$4,ISBLANK(F287)),VLOOKUP(E287,LIST!$A$6:$L$3250,CURR_1.SEARCH.OLD,0),VLOOKUP(F287,LIST!$B$6:$L$3250,CURR_1.SEARCH.NEW,0)),'DICTIONARY-5'!$A$2)</f>
        <v>145,-</v>
      </c>
      <c r="H287" s="339" t="str">
        <f>IFERROR(IF(OR(F287='DICTIONARY-5'!$A$2,F287='DICTIONARY-5'!$A$4,ISBLANK(F287)),VLOOKUP(E287,LIST!$A$6:$M$3250,CURR_2.SEARCH.OLD,0),VLOOKUP(F287,LIST!$B$6:$M$3250,CURR_2.SEARCH.NEW,0)),'DICTIONARY-5'!$A$2)</f>
        <v/>
      </c>
    </row>
    <row r="288" spans="1:8" x14ac:dyDescent="0.25">
      <c r="A288" s="264">
        <v>150</v>
      </c>
      <c r="B288" s="264" t="s">
        <v>85</v>
      </c>
      <c r="C288" s="264">
        <v>180</v>
      </c>
      <c r="D288" s="275"/>
      <c r="E288" s="264" t="s">
        <v>2487</v>
      </c>
      <c r="F288" s="309" t="s">
        <v>2751</v>
      </c>
      <c r="G288" s="339" t="str">
        <f>IFERROR(IF(OR(F288='DICTIONARY-5'!$A$2,F288='DICTIONARY-5'!$A$4,ISBLANK(F288)),VLOOKUP(E288,LIST!$A$6:$L$3250,CURR_1.SEARCH.OLD,0),VLOOKUP(F288,LIST!$B$6:$L$3250,CURR_1.SEARCH.NEW,0)),'DICTIONARY-5'!$A$2)</f>
        <v>165,-</v>
      </c>
      <c r="H288" s="339" t="str">
        <f>IFERROR(IF(OR(F288='DICTIONARY-5'!$A$2,F288='DICTIONARY-5'!$A$4,ISBLANK(F288)),VLOOKUP(E288,LIST!$A$6:$M$3250,CURR_2.SEARCH.OLD,0),VLOOKUP(F288,LIST!$B$6:$M$3250,CURR_2.SEARCH.NEW,0)),'DICTIONARY-5'!$A$2)</f>
        <v/>
      </c>
    </row>
    <row r="289" spans="1:8" x14ac:dyDescent="0.25">
      <c r="A289" s="264">
        <v>200</v>
      </c>
      <c r="B289" s="264">
        <v>10</v>
      </c>
      <c r="C289" s="264">
        <v>185</v>
      </c>
      <c r="D289" s="275"/>
      <c r="E289" s="264" t="s">
        <v>2488</v>
      </c>
      <c r="F289" s="309" t="s">
        <v>2752</v>
      </c>
      <c r="G289" s="339" t="str">
        <f>IFERROR(IF(OR(F289='DICTIONARY-5'!$A$2,F289='DICTIONARY-5'!$A$4,ISBLANK(F289)),VLOOKUP(E289,LIST!$A$6:$L$3250,CURR_1.SEARCH.OLD,0),VLOOKUP(F289,LIST!$B$6:$L$3250,CURR_1.SEARCH.NEW,0)),'DICTIONARY-5'!$A$2)</f>
        <v>234,-</v>
      </c>
      <c r="H289" s="339" t="str">
        <f>IFERROR(IF(OR(F289='DICTIONARY-5'!$A$2,F289='DICTIONARY-5'!$A$4,ISBLANK(F289)),VLOOKUP(E289,LIST!$A$6:$M$3250,CURR_2.SEARCH.OLD,0),VLOOKUP(F289,LIST!$B$6:$M$3250,CURR_2.SEARCH.NEW,0)),'DICTIONARY-5'!$A$2)</f>
        <v/>
      </c>
    </row>
    <row r="290" spans="1:8" x14ac:dyDescent="0.25">
      <c r="A290" s="264">
        <v>200</v>
      </c>
      <c r="B290" s="264">
        <v>16</v>
      </c>
      <c r="C290" s="264">
        <v>185</v>
      </c>
      <c r="D290" s="275"/>
      <c r="E290" s="264" t="s">
        <v>2489</v>
      </c>
      <c r="F290" s="309" t="s">
        <v>2753</v>
      </c>
      <c r="G290" s="339" t="str">
        <f>IFERROR(IF(OR(F290='DICTIONARY-5'!$A$2,F290='DICTIONARY-5'!$A$4,ISBLANK(F290)),VLOOKUP(E290,LIST!$A$6:$L$3250,CURR_1.SEARCH.OLD,0),VLOOKUP(F290,LIST!$B$6:$L$3250,CURR_1.SEARCH.NEW,0)),'DICTIONARY-5'!$A$2)</f>
        <v>239,-</v>
      </c>
      <c r="H290" s="339" t="str">
        <f>IFERROR(IF(OR(F290='DICTIONARY-5'!$A$2,F290='DICTIONARY-5'!$A$4,ISBLANK(F290)),VLOOKUP(E290,LIST!$A$6:$M$3250,CURR_2.SEARCH.OLD,0),VLOOKUP(F290,LIST!$B$6:$M$3250,CURR_2.SEARCH.NEW,0)),'DICTIONARY-5'!$A$2)</f>
        <v/>
      </c>
    </row>
    <row r="292" spans="1:8" x14ac:dyDescent="0.25">
      <c r="A292" s="256" t="str">
        <f>" 1)"&amp;'DICTIONARY-5'!$A$205</f>
        <v xml:space="preserve"> 1)Długość kształtki</v>
      </c>
    </row>
    <row r="295" spans="1:8" ht="16.5" thickBot="1" x14ac:dyDescent="0.3">
      <c r="A295" s="712" t="str">
        <f>CONCATENATE('DICTIONARY-3'!$A$153," ",'DICTIONARY-3'!$A$175,'DICTIONARY-3'!$A$170,'DICTIONARY-3'!$A$174)</f>
        <v>BAIO Kształtka-F‎</v>
      </c>
      <c r="B295" s="712"/>
      <c r="C295" s="712"/>
      <c r="D295" s="712"/>
      <c r="E295" s="712"/>
      <c r="F295" s="712"/>
      <c r="G295" s="712"/>
      <c r="H295" s="712"/>
    </row>
    <row r="296" spans="1:8" x14ac:dyDescent="0.25">
      <c r="A296" s="268" t="str">
        <f>CONCATENATE('DICTIONARY-5'!$A$204,": ","1x ",'DICTIONARY-5'!$A$199," + ","1x ",LOWER('DICTIONARY-3'!$A$241))</f>
        <v>Połączenie: 1x końcówka bosa + 1x kołnierz</v>
      </c>
      <c r="B296" s="258"/>
      <c r="C296" s="258"/>
    </row>
    <row r="297" spans="1:8" x14ac:dyDescent="0.25">
      <c r="A297" s="258" t="str">
        <f>CONCATENATE('DICTIONARY-1'!$A$10,": ",SETTINGS!$C$39)</f>
        <v>Grupa rabatowa: BAIO Fittings</v>
      </c>
      <c r="B297" s="258"/>
      <c r="C297" s="258"/>
    </row>
    <row r="299" spans="1:8" x14ac:dyDescent="0.25">
      <c r="A299" s="260" t="str">
        <f>'DICTIONARY-2'!$A$2</f>
        <v>DN</v>
      </c>
      <c r="B299" s="711" t="str">
        <f>'DICTIONARY-2'!$A$3</f>
        <v>PN</v>
      </c>
      <c r="C299" s="260" t="str">
        <f>'DICTIONARY-2'!$A$40&amp;" 1)"</f>
        <v>l 1)</v>
      </c>
      <c r="D299" s="260" t="str">
        <f>'DICTIONARY-2'!$A$24&amp;" 2)"</f>
        <v>L 2)</v>
      </c>
      <c r="E299" s="1069" t="str">
        <f>'DICTIONARY-3'!$A$153</f>
        <v>BAIO</v>
      </c>
      <c r="F299" s="1069"/>
      <c r="G299" s="1069"/>
      <c r="H299" s="1069"/>
    </row>
    <row r="300" spans="1:8" x14ac:dyDescent="0.25">
      <c r="A300" s="531"/>
      <c r="B300" s="532"/>
      <c r="C300" s="531"/>
      <c r="D300" s="531"/>
      <c r="E300" s="1068" t="str">
        <f>'DICTIONARY-3'!$A$175&amp;'DICTIONARY-3'!$A$170&amp;'DICTIONARY-3'!$A$174</f>
        <v>Kształtka-F‎</v>
      </c>
      <c r="F300" s="1068"/>
      <c r="G300" s="1068"/>
      <c r="H300" s="1068"/>
    </row>
    <row r="301" spans="1:8" x14ac:dyDescent="0.25">
      <c r="A301" s="261"/>
      <c r="B301" s="261"/>
      <c r="C301" s="261" t="str">
        <f>'DICTIONARY-2'!$A$18</f>
        <v>[mm]</v>
      </c>
      <c r="D301" s="261" t="str">
        <f>'DICTIONARY-2'!$A$18</f>
        <v>[mm]</v>
      </c>
      <c r="E301" s="262" t="str">
        <f>'DICTIONARY-2'!$A$28</f>
        <v>stary nr zamówienia</v>
      </c>
      <c r="F301" s="262" t="str">
        <f>'DICTIONARY-2'!$A$29</f>
        <v>nowy nr zamówienia</v>
      </c>
      <c r="G301" s="263" t="str">
        <f>CURRENCY.CODE_1</f>
        <v>EUR</v>
      </c>
      <c r="H301" s="263" t="str">
        <f>CURRENCY.CODE_2</f>
        <v>---</v>
      </c>
    </row>
    <row r="302" spans="1:8" x14ac:dyDescent="0.25">
      <c r="A302" s="264">
        <v>80</v>
      </c>
      <c r="B302" s="264" t="s">
        <v>85</v>
      </c>
      <c r="C302" s="264">
        <v>145</v>
      </c>
      <c r="D302" s="264">
        <v>60</v>
      </c>
      <c r="E302" s="302" t="s">
        <v>2490</v>
      </c>
      <c r="F302" s="309" t="s">
        <v>2758</v>
      </c>
      <c r="G302" s="339" t="str">
        <f>IFERROR(IF(OR(F302='DICTIONARY-5'!$A$2,F302='DICTIONARY-5'!$A$4,ISBLANK(F302)),VLOOKUP(E302,LIST!$A$6:$L$3250,CURR_1.SEARCH.OLD,0),VLOOKUP(F302,LIST!$B$6:$L$3250,CURR_1.SEARCH.NEW,0)),'DICTIONARY-5'!$A$2)</f>
        <v>127,-</v>
      </c>
      <c r="H302" s="339" t="str">
        <f>IFERROR(IF(OR(F302='DICTIONARY-5'!$A$2,F302='DICTIONARY-5'!$A$4,ISBLANK(F302)),VLOOKUP(E302,LIST!$A$6:$M$3250,CURR_2.SEARCH.OLD,0),VLOOKUP(F302,LIST!$B$6:$M$3250,CURR_2.SEARCH.NEW,0)),'DICTIONARY-5'!$A$2)</f>
        <v/>
      </c>
    </row>
    <row r="303" spans="1:8" x14ac:dyDescent="0.25">
      <c r="A303" s="264">
        <v>100</v>
      </c>
      <c r="B303" s="264" t="s">
        <v>85</v>
      </c>
      <c r="C303" s="264">
        <v>165</v>
      </c>
      <c r="D303" s="264">
        <v>61</v>
      </c>
      <c r="E303" s="264" t="s">
        <v>2491</v>
      </c>
      <c r="F303" s="309" t="s">
        <v>2754</v>
      </c>
      <c r="G303" s="339" t="str">
        <f>IFERROR(IF(OR(F303='DICTIONARY-5'!$A$2,F303='DICTIONARY-5'!$A$4,ISBLANK(F303)),VLOOKUP(E303,LIST!$A$6:$L$3250,CURR_1.SEARCH.OLD,0),VLOOKUP(F303,LIST!$B$6:$L$3250,CURR_1.SEARCH.NEW,0)),'DICTIONARY-5'!$A$2)</f>
        <v>135,-</v>
      </c>
      <c r="H303" s="339" t="str">
        <f>IFERROR(IF(OR(F303='DICTIONARY-5'!$A$2,F303='DICTIONARY-5'!$A$4,ISBLANK(F303)),VLOOKUP(E303,LIST!$A$6:$M$3250,CURR_2.SEARCH.OLD,0),VLOOKUP(F303,LIST!$B$6:$M$3250,CURR_2.SEARCH.NEW,0)),'DICTIONARY-5'!$A$2)</f>
        <v/>
      </c>
    </row>
    <row r="304" spans="1:8" x14ac:dyDescent="0.25">
      <c r="A304" s="264">
        <v>150</v>
      </c>
      <c r="B304" s="264" t="s">
        <v>85</v>
      </c>
      <c r="C304" s="264">
        <v>175</v>
      </c>
      <c r="D304" s="264">
        <v>64</v>
      </c>
      <c r="E304" s="264" t="s">
        <v>2492</v>
      </c>
      <c r="F304" s="309" t="s">
        <v>2755</v>
      </c>
      <c r="G304" s="339" t="str">
        <f>IFERROR(IF(OR(F304='DICTIONARY-5'!$A$2,F304='DICTIONARY-5'!$A$4,ISBLANK(F304)),VLOOKUP(E304,LIST!$A$6:$L$3250,CURR_1.SEARCH.OLD,0),VLOOKUP(F304,LIST!$B$6:$L$3250,CURR_1.SEARCH.NEW,0)),'DICTIONARY-5'!$A$2)</f>
        <v>163,-</v>
      </c>
      <c r="H304" s="339" t="str">
        <f>IFERROR(IF(OR(F304='DICTIONARY-5'!$A$2,F304='DICTIONARY-5'!$A$4,ISBLANK(F304)),VLOOKUP(E304,LIST!$A$6:$M$3250,CURR_2.SEARCH.OLD,0),VLOOKUP(F304,LIST!$B$6:$M$3250,CURR_2.SEARCH.NEW,0)),'DICTIONARY-5'!$A$2)</f>
        <v/>
      </c>
    </row>
    <row r="305" spans="1:8" x14ac:dyDescent="0.25">
      <c r="A305" s="264">
        <v>200</v>
      </c>
      <c r="B305" s="264">
        <v>16</v>
      </c>
      <c r="C305" s="264">
        <v>185</v>
      </c>
      <c r="D305" s="264">
        <v>68</v>
      </c>
      <c r="E305" s="264" t="s">
        <v>2493</v>
      </c>
      <c r="F305" s="309" t="s">
        <v>2757</v>
      </c>
      <c r="G305" s="339" t="str">
        <f>IFERROR(IF(OR(F305='DICTIONARY-5'!$A$2,F305='DICTIONARY-5'!$A$4,ISBLANK(F305)),VLOOKUP(E305,LIST!$A$6:$L$3250,CURR_1.SEARCH.OLD,0),VLOOKUP(F305,LIST!$B$6:$L$3250,CURR_1.SEARCH.NEW,0)),'DICTIONARY-5'!$A$2)</f>
        <v>281,-</v>
      </c>
      <c r="H305" s="339" t="str">
        <f>IFERROR(IF(OR(F305='DICTIONARY-5'!$A$2,F305='DICTIONARY-5'!$A$4,ISBLANK(F305)),VLOOKUP(E305,LIST!$A$6:$M$3250,CURR_2.SEARCH.OLD,0),VLOOKUP(F305,LIST!$B$6:$M$3250,CURR_2.SEARCH.NEW,0)),'DICTIONARY-5'!$A$2)</f>
        <v/>
      </c>
    </row>
    <row r="306" spans="1:8" x14ac:dyDescent="0.25">
      <c r="A306" s="264">
        <v>200</v>
      </c>
      <c r="B306" s="264">
        <v>10</v>
      </c>
      <c r="C306" s="264">
        <v>185</v>
      </c>
      <c r="D306" s="264">
        <v>68</v>
      </c>
      <c r="E306" s="264" t="s">
        <v>2494</v>
      </c>
      <c r="F306" s="309" t="s">
        <v>2756</v>
      </c>
      <c r="G306" s="339" t="str">
        <f>IFERROR(IF(OR(F306='DICTIONARY-5'!$A$2,F306='DICTIONARY-5'!$A$4,ISBLANK(F306)),VLOOKUP(E306,LIST!$A$6:$L$3250,CURR_1.SEARCH.OLD,0),VLOOKUP(F306,LIST!$B$6:$L$3250,CURR_1.SEARCH.NEW,0)),'DICTIONARY-5'!$A$2)</f>
        <v>277,-</v>
      </c>
      <c r="H306" s="339" t="str">
        <f>IFERROR(IF(OR(F306='DICTIONARY-5'!$A$2,F306='DICTIONARY-5'!$A$4,ISBLANK(F306)),VLOOKUP(E306,LIST!$A$6:$M$3250,CURR_2.SEARCH.OLD,0),VLOOKUP(F306,LIST!$B$6:$M$3250,CURR_2.SEARCH.NEW,0)),'DICTIONARY-5'!$A$2)</f>
        <v/>
      </c>
    </row>
    <row r="308" spans="1:8" x14ac:dyDescent="0.25">
      <c r="A308" s="256" t="str">
        <f>" 1)"&amp;'DICTIONARY-5'!$A$205</f>
        <v xml:space="preserve"> 1)Długość kształtki</v>
      </c>
    </row>
    <row r="309" spans="1:8" x14ac:dyDescent="0.25">
      <c r="A309" s="256" t="str">
        <f>" 2)"&amp;'DICTIONARY-5'!$A$205&amp;" "&amp;'DICTIONARY-5'!$A$206</f>
        <v xml:space="preserve"> 2)Długość kształtki po włożeniu do mufy</v>
      </c>
    </row>
    <row r="312" spans="1:8" ht="16.5" thickBot="1" x14ac:dyDescent="0.3">
      <c r="A312" s="712" t="str">
        <f>CONCATENATE('DICTIONARY-3'!$A$153," ",'DICTIONARY-3'!$A$175,'DICTIONARY-3'!$A$171,'DICTIONARY-3'!$A$174)</f>
        <v>BAIO Kształtka-MMQ‎</v>
      </c>
      <c r="B312" s="712"/>
      <c r="C312" s="712"/>
      <c r="D312" s="712"/>
      <c r="E312" s="712"/>
      <c r="F312" s="712"/>
      <c r="G312" s="712"/>
      <c r="H312" s="712"/>
    </row>
    <row r="313" spans="1:8" x14ac:dyDescent="0.25">
      <c r="A313" s="268" t="str">
        <f>CONCATENATE('DICTIONARY-5'!$A$204,": ","2x ",'DICTIONARY-5'!$A$198)</f>
        <v>Połączenie: 2x mufa</v>
      </c>
      <c r="B313" s="258"/>
    </row>
    <row r="314" spans="1:8" x14ac:dyDescent="0.25">
      <c r="A314" s="258" t="str">
        <f>CONCATENATE('DICTIONARY-1'!$A$10,": ",SETTINGS!$C$39)</f>
        <v>Grupa rabatowa: BAIO Fittings</v>
      </c>
      <c r="B314" s="258"/>
    </row>
    <row r="316" spans="1:8" x14ac:dyDescent="0.25">
      <c r="A316" s="260" t="str">
        <f>'DICTIONARY-2'!$A$2</f>
        <v>DN</v>
      </c>
      <c r="B316" s="260" t="str">
        <f>'DICTIONARY-5'!$A$207</f>
        <v>Kąt</v>
      </c>
      <c r="C316" s="260"/>
      <c r="D316" s="260"/>
      <c r="E316" s="1069" t="str">
        <f>'DICTIONARY-3'!$A$153</f>
        <v>BAIO</v>
      </c>
      <c r="F316" s="1069"/>
      <c r="G316" s="1069"/>
      <c r="H316" s="1069"/>
    </row>
    <row r="317" spans="1:8" x14ac:dyDescent="0.25">
      <c r="A317" s="531"/>
      <c r="B317" s="531"/>
      <c r="C317" s="531"/>
      <c r="D317" s="531"/>
      <c r="E317" s="1068" t="str">
        <f>'DICTIONARY-3'!$A$175&amp;'DICTIONARY-3'!$A$171&amp;'DICTIONARY-3'!$A$174</f>
        <v>Kształtka-MMQ‎</v>
      </c>
      <c r="F317" s="1068"/>
      <c r="G317" s="1068"/>
      <c r="H317" s="1068"/>
    </row>
    <row r="318" spans="1:8" x14ac:dyDescent="0.25">
      <c r="A318" s="261"/>
      <c r="B318" s="261"/>
      <c r="C318" s="261"/>
      <c r="D318" s="261"/>
      <c r="E318" s="262" t="str">
        <f>'DICTIONARY-2'!$A$28</f>
        <v>stary nr zamówienia</v>
      </c>
      <c r="F318" s="262" t="str">
        <f>'DICTIONARY-2'!$A$29</f>
        <v>nowy nr zamówienia</v>
      </c>
      <c r="G318" s="263" t="str">
        <f>CURRENCY.CODE_1</f>
        <v>EUR</v>
      </c>
      <c r="H318" s="263" t="str">
        <f>CURRENCY.CODE_2</f>
        <v>---</v>
      </c>
    </row>
    <row r="319" spans="1:8" x14ac:dyDescent="0.25">
      <c r="A319" s="264">
        <v>80</v>
      </c>
      <c r="B319" s="503" t="s">
        <v>2473</v>
      </c>
      <c r="C319" s="275"/>
      <c r="D319" s="275"/>
      <c r="E319" s="264" t="s">
        <v>2495</v>
      </c>
      <c r="F319" s="309" t="s">
        <v>2797</v>
      </c>
      <c r="G319" s="339" t="str">
        <f>IFERROR(IF(OR(F319='DICTIONARY-5'!$A$2,F319='DICTIONARY-5'!$A$4,ISBLANK(F319)),VLOOKUP(E319,LIST!$A$6:$L$3250,CURR_1.SEARCH.OLD,0),VLOOKUP(F319,LIST!$B$6:$L$3250,CURR_1.SEARCH.NEW,0)),'DICTIONARY-5'!$A$2)</f>
        <v>191,-</v>
      </c>
      <c r="H319" s="339" t="str">
        <f>IFERROR(IF(OR(F319='DICTIONARY-5'!$A$2,F319='DICTIONARY-5'!$A$4,ISBLANK(F319)),VLOOKUP(E319,LIST!$A$6:$M$3250,CURR_2.SEARCH.OLD,0),VLOOKUP(F319,LIST!$B$6:$M$3250,CURR_2.SEARCH.NEW,0)),'DICTIONARY-5'!$A$2)</f>
        <v/>
      </c>
    </row>
    <row r="320" spans="1:8" x14ac:dyDescent="0.25">
      <c r="A320" s="264">
        <v>100</v>
      </c>
      <c r="B320" s="264" t="s">
        <v>2473</v>
      </c>
      <c r="C320" s="275"/>
      <c r="D320" s="275"/>
      <c r="E320" s="264" t="s">
        <v>2496</v>
      </c>
      <c r="F320" s="309" t="s">
        <v>2798</v>
      </c>
      <c r="G320" s="339" t="str">
        <f>IFERROR(IF(OR(F320='DICTIONARY-5'!$A$2,F320='DICTIONARY-5'!$A$4,ISBLANK(F320)),VLOOKUP(E320,LIST!$A$6:$L$3250,CURR_1.SEARCH.OLD,0),VLOOKUP(F320,LIST!$B$6:$L$3250,CURR_1.SEARCH.NEW,0)),'DICTIONARY-5'!$A$2)</f>
        <v>250,-</v>
      </c>
      <c r="H320" s="339" t="str">
        <f>IFERROR(IF(OR(F320='DICTIONARY-5'!$A$2,F320='DICTIONARY-5'!$A$4,ISBLANK(F320)),VLOOKUP(E320,LIST!$A$6:$M$3250,CURR_2.SEARCH.OLD,0),VLOOKUP(F320,LIST!$B$6:$M$3250,CURR_2.SEARCH.NEW,0)),'DICTIONARY-5'!$A$2)</f>
        <v/>
      </c>
    </row>
    <row r="321" spans="1:8" x14ac:dyDescent="0.25">
      <c r="A321" s="264">
        <v>125</v>
      </c>
      <c r="B321" s="264" t="s">
        <v>2473</v>
      </c>
      <c r="C321" s="275"/>
      <c r="D321" s="275"/>
      <c r="E321" s="264" t="s">
        <v>2497</v>
      </c>
      <c r="F321" s="309" t="s">
        <v>2925</v>
      </c>
      <c r="G321" s="339" t="str">
        <f>IFERROR(IF(OR(F321='DICTIONARY-5'!$A$2,F321='DICTIONARY-5'!$A$4,ISBLANK(F321)),VLOOKUP(E321,LIST!$A$6:$L$3250,CURR_1.SEARCH.OLD,0),VLOOKUP(F321,LIST!$B$6:$L$3250,CURR_1.SEARCH.NEW,0)),'DICTIONARY-5'!$A$2)</f>
        <v>261,-</v>
      </c>
      <c r="H321" s="339" t="str">
        <f>IFERROR(IF(OR(F321='DICTIONARY-5'!$A$2,F321='DICTIONARY-5'!$A$4,ISBLANK(F321)),VLOOKUP(E321,LIST!$A$6:$M$3250,CURR_2.SEARCH.OLD,0),VLOOKUP(F321,LIST!$B$6:$M$3250,CURR_2.SEARCH.NEW,0)),'DICTIONARY-5'!$A$2)</f>
        <v/>
      </c>
    </row>
    <row r="322" spans="1:8" x14ac:dyDescent="0.25">
      <c r="A322" s="264">
        <v>150</v>
      </c>
      <c r="B322" s="264" t="s">
        <v>2473</v>
      </c>
      <c r="C322" s="275"/>
      <c r="D322" s="275"/>
      <c r="E322" s="264" t="s">
        <v>2498</v>
      </c>
      <c r="F322" s="309" t="s">
        <v>2799</v>
      </c>
      <c r="G322" s="339" t="str">
        <f>IFERROR(IF(OR(F322='DICTIONARY-5'!$A$2,F322='DICTIONARY-5'!$A$4,ISBLANK(F322)),VLOOKUP(E322,LIST!$A$6:$L$3250,CURR_1.SEARCH.OLD,0),VLOOKUP(F322,LIST!$B$6:$L$3250,CURR_1.SEARCH.NEW,0)),'DICTIONARY-5'!$A$2)</f>
        <v>339,-</v>
      </c>
      <c r="H322" s="339" t="str">
        <f>IFERROR(IF(OR(F322='DICTIONARY-5'!$A$2,F322='DICTIONARY-5'!$A$4,ISBLANK(F322)),VLOOKUP(E322,LIST!$A$6:$M$3250,CURR_2.SEARCH.OLD,0),VLOOKUP(F322,LIST!$B$6:$M$3250,CURR_2.SEARCH.NEW,0)),'DICTIONARY-5'!$A$2)</f>
        <v/>
      </c>
    </row>
    <row r="323" spans="1:8" x14ac:dyDescent="0.25">
      <c r="A323" s="264">
        <v>200</v>
      </c>
      <c r="B323" s="264" t="s">
        <v>2473</v>
      </c>
      <c r="C323" s="275"/>
      <c r="D323" s="275"/>
      <c r="E323" s="264" t="s">
        <v>2499</v>
      </c>
      <c r="F323" s="309" t="s">
        <v>2800</v>
      </c>
      <c r="G323" s="339" t="str">
        <f>IFERROR(IF(OR(F323='DICTIONARY-5'!$A$2,F323='DICTIONARY-5'!$A$4,ISBLANK(F323)),VLOOKUP(E323,LIST!$A$6:$L$3250,CURR_1.SEARCH.OLD,0),VLOOKUP(F323,LIST!$B$6:$L$3250,CURR_1.SEARCH.NEW,0)),'DICTIONARY-5'!$A$2)</f>
        <v>503,-</v>
      </c>
      <c r="H323" s="339" t="str">
        <f>IFERROR(IF(OR(F323='DICTIONARY-5'!$A$2,F323='DICTIONARY-5'!$A$4,ISBLANK(F323)),VLOOKUP(E323,LIST!$A$6:$M$3250,CURR_2.SEARCH.OLD,0),VLOOKUP(F323,LIST!$B$6:$M$3250,CURR_2.SEARCH.NEW,0)),'DICTIONARY-5'!$A$2)</f>
        <v/>
      </c>
    </row>
    <row r="326" spans="1:8" ht="16.5" thickBot="1" x14ac:dyDescent="0.3">
      <c r="A326" s="712" t="str">
        <f>CONCATENATE('DICTIONARY-3'!$A$153," ",'DICTIONARY-3'!$A$175,'DICTIONARY-3'!$A$172,'DICTIONARY-3'!$A$174," / ",'DICTIONARY-3'!$A$346)</f>
        <v>BAIO Kształtka-MMK‎ / Kolano</v>
      </c>
      <c r="B326" s="712"/>
      <c r="C326" s="712"/>
      <c r="D326" s="712"/>
      <c r="E326" s="712"/>
      <c r="F326" s="712"/>
      <c r="G326" s="712"/>
      <c r="H326" s="712"/>
    </row>
    <row r="327" spans="1:8" x14ac:dyDescent="0.25">
      <c r="A327" s="268" t="str">
        <f>CONCATENATE('DICTIONARY-5'!$A$204,": ","2x ",'DICTIONARY-5'!$A$198)</f>
        <v>Połączenie: 2x mufa</v>
      </c>
      <c r="B327" s="258"/>
    </row>
    <row r="328" spans="1:8" x14ac:dyDescent="0.25">
      <c r="A328" s="258" t="str">
        <f>CONCATENATE('DICTIONARY-1'!$A$10,": ",SETTINGS!$C$39)</f>
        <v>Grupa rabatowa: BAIO Fittings</v>
      </c>
      <c r="B328" s="258"/>
    </row>
    <row r="330" spans="1:8" x14ac:dyDescent="0.25">
      <c r="A330" s="260" t="str">
        <f>'DICTIONARY-2'!$A$2</f>
        <v>DN</v>
      </c>
      <c r="B330" s="260" t="str">
        <f>'DICTIONARY-5'!$A$207</f>
        <v>Kąt</v>
      </c>
      <c r="C330" s="260"/>
      <c r="D330" s="260"/>
      <c r="E330" s="1069" t="str">
        <f>'DICTIONARY-3'!$A$153</f>
        <v>BAIO</v>
      </c>
      <c r="F330" s="1069"/>
      <c r="G330" s="1069"/>
      <c r="H330" s="1069"/>
    </row>
    <row r="331" spans="1:8" x14ac:dyDescent="0.25">
      <c r="A331" s="531"/>
      <c r="B331" s="531"/>
      <c r="C331" s="531"/>
      <c r="D331" s="531"/>
      <c r="E331" s="1068" t="str">
        <f>'DICTIONARY-3'!$A$175&amp;'DICTIONARY-3'!$A$172&amp;'DICTIONARY-3'!$A$174</f>
        <v>Kształtka-MMK‎</v>
      </c>
      <c r="F331" s="1068"/>
      <c r="G331" s="1068"/>
      <c r="H331" s="1068"/>
    </row>
    <row r="332" spans="1:8" x14ac:dyDescent="0.25">
      <c r="A332" s="261"/>
      <c r="B332" s="261"/>
      <c r="C332" s="261"/>
      <c r="D332" s="261"/>
      <c r="E332" s="262" t="str">
        <f>'DICTIONARY-2'!$A$28</f>
        <v>stary nr zamówienia</v>
      </c>
      <c r="F332" s="262" t="str">
        <f>'DICTIONARY-2'!$A$29</f>
        <v>nowy nr zamówienia</v>
      </c>
      <c r="G332" s="263" t="str">
        <f>CURRENCY.CODE_1</f>
        <v>EUR</v>
      </c>
      <c r="H332" s="263" t="str">
        <f>CURRENCY.CODE_2</f>
        <v>---</v>
      </c>
    </row>
    <row r="333" spans="1:8" x14ac:dyDescent="0.25">
      <c r="A333" s="264">
        <v>80</v>
      </c>
      <c r="B333" s="264" t="s">
        <v>2500</v>
      </c>
      <c r="C333" s="275"/>
      <c r="D333" s="275"/>
      <c r="E333" s="304" t="s">
        <v>2501</v>
      </c>
      <c r="F333" s="309" t="s">
        <v>2836</v>
      </c>
      <c r="G333" s="339" t="str">
        <f>IFERROR(IF(OR(F333='DICTIONARY-5'!$A$2,F333='DICTIONARY-5'!$A$4,ISBLANK(F333)),VLOOKUP(E333,LIST!$A$6:$L$3250,CURR_1.SEARCH.OLD,0),VLOOKUP(F333,LIST!$B$6:$L$3250,CURR_1.SEARCH.NEW,0)),'DICTIONARY-5'!$A$2)</f>
        <v>176,-</v>
      </c>
      <c r="H333" s="339" t="str">
        <f>IFERROR(IF(OR(F333='DICTIONARY-5'!$A$2,F333='DICTIONARY-5'!$A$4,ISBLANK(F333)),VLOOKUP(E333,LIST!$A$6:$M$3250,CURR_2.SEARCH.OLD,0),VLOOKUP(F333,LIST!$B$6:$M$3250,CURR_2.SEARCH.NEW,0)),'DICTIONARY-5'!$A$2)</f>
        <v/>
      </c>
    </row>
    <row r="334" spans="1:8" x14ac:dyDescent="0.25">
      <c r="A334" s="264">
        <v>100</v>
      </c>
      <c r="B334" s="264" t="s">
        <v>2500</v>
      </c>
      <c r="C334" s="275"/>
      <c r="D334" s="275"/>
      <c r="E334" s="264" t="s">
        <v>2508</v>
      </c>
      <c r="F334" s="309" t="s">
        <v>2840</v>
      </c>
      <c r="G334" s="339" t="str">
        <f>IFERROR(IF(OR(F334='DICTIONARY-5'!$A$2,F334='DICTIONARY-5'!$A$4,ISBLANK(F334)),VLOOKUP(E334,LIST!$A$6:$L$3250,CURR_1.SEARCH.OLD,0),VLOOKUP(F334,LIST!$B$6:$L$3250,CURR_1.SEARCH.NEW,0)),'DICTIONARY-5'!$A$2)</f>
        <v>216,-</v>
      </c>
      <c r="H334" s="339" t="str">
        <f>IFERROR(IF(OR(F334='DICTIONARY-5'!$A$2,F334='DICTIONARY-5'!$A$4,ISBLANK(F334)),VLOOKUP(E334,LIST!$A$6:$M$3250,CURR_2.SEARCH.OLD,0),VLOOKUP(F334,LIST!$B$6:$M$3250,CURR_2.SEARCH.NEW,0)),'DICTIONARY-5'!$A$2)</f>
        <v/>
      </c>
    </row>
    <row r="335" spans="1:8" x14ac:dyDescent="0.25">
      <c r="A335" s="264">
        <v>125</v>
      </c>
      <c r="B335" s="264" t="s">
        <v>2500</v>
      </c>
      <c r="C335" s="275"/>
      <c r="D335" s="275"/>
      <c r="E335" s="264" t="s">
        <v>2512</v>
      </c>
      <c r="F335" s="309" t="s">
        <v>2930</v>
      </c>
      <c r="G335" s="339" t="str">
        <f>IFERROR(IF(OR(F335='DICTIONARY-5'!$A$2,F335='DICTIONARY-5'!$A$4,ISBLANK(F335)),VLOOKUP(E335,LIST!$A$6:$L$3250,CURR_1.SEARCH.OLD,0),VLOOKUP(F335,LIST!$B$6:$L$3250,CURR_1.SEARCH.NEW,0)),'DICTIONARY-5'!$A$2)</f>
        <v>221,-</v>
      </c>
      <c r="H335" s="339" t="str">
        <f>IFERROR(IF(OR(F335='DICTIONARY-5'!$A$2,F335='DICTIONARY-5'!$A$4,ISBLANK(F335)),VLOOKUP(E335,LIST!$A$6:$M$3250,CURR_2.SEARCH.OLD,0),VLOOKUP(F335,LIST!$B$6:$M$3250,CURR_2.SEARCH.NEW,0)),'DICTIONARY-5'!$A$2)</f>
        <v/>
      </c>
    </row>
    <row r="336" spans="1:8" x14ac:dyDescent="0.25">
      <c r="A336" s="264">
        <v>150</v>
      </c>
      <c r="B336" s="264" t="s">
        <v>2500</v>
      </c>
      <c r="C336" s="275"/>
      <c r="D336" s="275"/>
      <c r="E336" s="264" t="s">
        <v>2516</v>
      </c>
      <c r="F336" s="309" t="s">
        <v>2844</v>
      </c>
      <c r="G336" s="339" t="str">
        <f>IFERROR(IF(OR(F336='DICTIONARY-5'!$A$2,F336='DICTIONARY-5'!$A$4,ISBLANK(F336)),VLOOKUP(E336,LIST!$A$6:$L$3250,CURR_1.SEARCH.OLD,0),VLOOKUP(F336,LIST!$B$6:$L$3250,CURR_1.SEARCH.NEW,0)),'DICTIONARY-5'!$A$2)</f>
        <v>232,-</v>
      </c>
      <c r="H336" s="339" t="str">
        <f>IFERROR(IF(OR(F336='DICTIONARY-5'!$A$2,F336='DICTIONARY-5'!$A$4,ISBLANK(F336)),VLOOKUP(E336,LIST!$A$6:$M$3250,CURR_2.SEARCH.OLD,0),VLOOKUP(F336,LIST!$B$6:$M$3250,CURR_2.SEARCH.NEW,0)),'DICTIONARY-5'!$A$2)</f>
        <v/>
      </c>
    </row>
    <row r="337" spans="1:8" x14ac:dyDescent="0.25">
      <c r="A337" s="264">
        <v>200</v>
      </c>
      <c r="B337" s="264" t="s">
        <v>2500</v>
      </c>
      <c r="C337" s="275"/>
      <c r="D337" s="275"/>
      <c r="E337" s="264" t="s">
        <v>2520</v>
      </c>
      <c r="F337" s="309" t="s">
        <v>2848</v>
      </c>
      <c r="G337" s="339" t="str">
        <f>IFERROR(IF(OR(F337='DICTIONARY-5'!$A$2,F337='DICTIONARY-5'!$A$4,ISBLANK(F337)),VLOOKUP(E337,LIST!$A$6:$L$3250,CURR_1.SEARCH.OLD,0),VLOOKUP(F337,LIST!$B$6:$L$3250,CURR_1.SEARCH.NEW,0)),'DICTIONARY-5'!$A$2)</f>
        <v>429,-</v>
      </c>
      <c r="H337" s="339" t="str">
        <f>IFERROR(IF(OR(F337='DICTIONARY-5'!$A$2,F337='DICTIONARY-5'!$A$4,ISBLANK(F337)),VLOOKUP(E337,LIST!$A$6:$M$3250,CURR_2.SEARCH.OLD,0),VLOOKUP(F337,LIST!$B$6:$M$3250,CURR_2.SEARCH.NEW,0)),'DICTIONARY-5'!$A$2)</f>
        <v/>
      </c>
    </row>
    <row r="339" spans="1:8" x14ac:dyDescent="0.25">
      <c r="A339" s="264">
        <v>80</v>
      </c>
      <c r="B339" s="264" t="s">
        <v>2502</v>
      </c>
      <c r="C339" s="275"/>
      <c r="D339" s="275"/>
      <c r="E339" s="264" t="s">
        <v>2503</v>
      </c>
      <c r="F339" s="309" t="s">
        <v>2837</v>
      </c>
      <c r="G339" s="339" t="str">
        <f>IFERROR(IF(OR(F339='DICTIONARY-5'!$A$2,F339='DICTIONARY-5'!$A$4,ISBLANK(F339)),VLOOKUP(E339,LIST!$A$6:$L$3250,CURR_1.SEARCH.OLD,0),VLOOKUP(F339,LIST!$B$6:$L$3250,CURR_1.SEARCH.NEW,0)),'DICTIONARY-5'!$A$2)</f>
        <v>188,-</v>
      </c>
      <c r="H339" s="339" t="str">
        <f>IFERROR(IF(OR(F339='DICTIONARY-5'!$A$2,F339='DICTIONARY-5'!$A$4,ISBLANK(F339)),VLOOKUP(E339,LIST!$A$6:$M$3250,CURR_2.SEARCH.OLD,0),VLOOKUP(F339,LIST!$B$6:$M$3250,CURR_2.SEARCH.NEW,0)),'DICTIONARY-5'!$A$2)</f>
        <v/>
      </c>
    </row>
    <row r="340" spans="1:8" x14ac:dyDescent="0.25">
      <c r="A340" s="264">
        <v>100</v>
      </c>
      <c r="B340" s="264" t="s">
        <v>2502</v>
      </c>
      <c r="C340" s="275"/>
      <c r="D340" s="275"/>
      <c r="E340" s="264" t="s">
        <v>2509</v>
      </c>
      <c r="F340" s="309" t="s">
        <v>2841</v>
      </c>
      <c r="G340" s="339" t="str">
        <f>IFERROR(IF(OR(F340='DICTIONARY-5'!$A$2,F340='DICTIONARY-5'!$A$4,ISBLANK(F340)),VLOOKUP(E340,LIST!$A$6:$L$3250,CURR_1.SEARCH.OLD,0),VLOOKUP(F340,LIST!$B$6:$L$3250,CURR_1.SEARCH.NEW,0)),'DICTIONARY-5'!$A$2)</f>
        <v>212,-</v>
      </c>
      <c r="H340" s="339" t="str">
        <f>IFERROR(IF(OR(F340='DICTIONARY-5'!$A$2,F340='DICTIONARY-5'!$A$4,ISBLANK(F340)),VLOOKUP(E340,LIST!$A$6:$M$3250,CURR_2.SEARCH.OLD,0),VLOOKUP(F340,LIST!$B$6:$M$3250,CURR_2.SEARCH.NEW,0)),'DICTIONARY-5'!$A$2)</f>
        <v/>
      </c>
    </row>
    <row r="341" spans="1:8" x14ac:dyDescent="0.25">
      <c r="A341" s="264">
        <v>125</v>
      </c>
      <c r="B341" s="264" t="s">
        <v>2502</v>
      </c>
      <c r="C341" s="275"/>
      <c r="D341" s="275"/>
      <c r="E341" s="264" t="s">
        <v>2513</v>
      </c>
      <c r="F341" s="309" t="s">
        <v>2928</v>
      </c>
      <c r="G341" s="339" t="str">
        <f>IFERROR(IF(OR(F341='DICTIONARY-5'!$A$2,F341='DICTIONARY-5'!$A$4,ISBLANK(F341)),VLOOKUP(E341,LIST!$A$6:$L$3250,CURR_1.SEARCH.OLD,0),VLOOKUP(F341,LIST!$B$6:$L$3250,CURR_1.SEARCH.NEW,0)),'DICTIONARY-5'!$A$2)</f>
        <v>213,-</v>
      </c>
      <c r="H341" s="339" t="str">
        <f>IFERROR(IF(OR(F341='DICTIONARY-5'!$A$2,F341='DICTIONARY-5'!$A$4,ISBLANK(F341)),VLOOKUP(E341,LIST!$A$6:$M$3250,CURR_2.SEARCH.OLD,0),VLOOKUP(F341,LIST!$B$6:$M$3250,CURR_2.SEARCH.NEW,0)),'DICTIONARY-5'!$A$2)</f>
        <v/>
      </c>
    </row>
    <row r="342" spans="1:8" x14ac:dyDescent="0.25">
      <c r="A342" s="264">
        <v>150</v>
      </c>
      <c r="B342" s="264" t="s">
        <v>2502</v>
      </c>
      <c r="C342" s="275"/>
      <c r="D342" s="275"/>
      <c r="E342" s="264" t="s">
        <v>2517</v>
      </c>
      <c r="F342" s="309" t="s">
        <v>2845</v>
      </c>
      <c r="G342" s="339" t="str">
        <f>IFERROR(IF(OR(F342='DICTIONARY-5'!$A$2,F342='DICTIONARY-5'!$A$4,ISBLANK(F342)),VLOOKUP(E342,LIST!$A$6:$L$3250,CURR_1.SEARCH.OLD,0),VLOOKUP(F342,LIST!$B$6:$L$3250,CURR_1.SEARCH.NEW,0)),'DICTIONARY-5'!$A$2)</f>
        <v>254,-</v>
      </c>
      <c r="H342" s="339" t="str">
        <f>IFERROR(IF(OR(F342='DICTIONARY-5'!$A$2,F342='DICTIONARY-5'!$A$4,ISBLANK(F342)),VLOOKUP(E342,LIST!$A$6:$M$3250,CURR_2.SEARCH.OLD,0),VLOOKUP(F342,LIST!$B$6:$M$3250,CURR_2.SEARCH.NEW,0)),'DICTIONARY-5'!$A$2)</f>
        <v/>
      </c>
    </row>
    <row r="343" spans="1:8" x14ac:dyDescent="0.25">
      <c r="A343" s="264">
        <v>200</v>
      </c>
      <c r="B343" s="264" t="s">
        <v>2502</v>
      </c>
      <c r="C343" s="275"/>
      <c r="D343" s="275"/>
      <c r="E343" s="264" t="s">
        <v>2521</v>
      </c>
      <c r="F343" s="309" t="s">
        <v>2849</v>
      </c>
      <c r="G343" s="339" t="str">
        <f>IFERROR(IF(OR(F343='DICTIONARY-5'!$A$2,F343='DICTIONARY-5'!$A$4,ISBLANK(F343)),VLOOKUP(E343,LIST!$A$6:$L$3250,CURR_1.SEARCH.OLD,0),VLOOKUP(F343,LIST!$B$6:$L$3250,CURR_1.SEARCH.NEW,0)),'DICTIONARY-5'!$A$2)</f>
        <v>367,-</v>
      </c>
      <c r="H343" s="339" t="str">
        <f>IFERROR(IF(OR(F343='DICTIONARY-5'!$A$2,F343='DICTIONARY-5'!$A$4,ISBLANK(F343)),VLOOKUP(E343,LIST!$A$6:$M$3250,CURR_2.SEARCH.OLD,0),VLOOKUP(F343,LIST!$B$6:$M$3250,CURR_2.SEARCH.NEW,0)),'DICTIONARY-5'!$A$2)</f>
        <v/>
      </c>
    </row>
    <row r="345" spans="1:8" x14ac:dyDescent="0.25">
      <c r="A345" s="264">
        <v>80</v>
      </c>
      <c r="B345" s="264" t="s">
        <v>2504</v>
      </c>
      <c r="C345" s="275"/>
      <c r="D345" s="275"/>
      <c r="E345" s="264" t="s">
        <v>2505</v>
      </c>
      <c r="F345" s="309" t="s">
        <v>2838</v>
      </c>
      <c r="G345" s="339" t="str">
        <f>IFERROR(IF(OR(F345='DICTIONARY-5'!$A$2,F345='DICTIONARY-5'!$A$4,ISBLANK(F345)),VLOOKUP(E345,LIST!$A$6:$L$3250,CURR_1.SEARCH.OLD,0),VLOOKUP(F345,LIST!$B$6:$L$3250,CURR_1.SEARCH.NEW,0)),'DICTIONARY-5'!$A$2)</f>
        <v>185,-</v>
      </c>
      <c r="H345" s="339" t="str">
        <f>IFERROR(IF(OR(F345='DICTIONARY-5'!$A$2,F345='DICTIONARY-5'!$A$4,ISBLANK(F345)),VLOOKUP(E345,LIST!$A$6:$M$3250,CURR_2.SEARCH.OLD,0),VLOOKUP(F345,LIST!$B$6:$M$3250,CURR_2.SEARCH.NEW,0)),'DICTIONARY-5'!$A$2)</f>
        <v/>
      </c>
    </row>
    <row r="346" spans="1:8" x14ac:dyDescent="0.25">
      <c r="A346" s="264">
        <v>100</v>
      </c>
      <c r="B346" s="264" t="s">
        <v>2504</v>
      </c>
      <c r="C346" s="275"/>
      <c r="D346" s="275"/>
      <c r="E346" s="264" t="s">
        <v>2510</v>
      </c>
      <c r="F346" s="309" t="s">
        <v>2842</v>
      </c>
      <c r="G346" s="339" t="str">
        <f>IFERROR(IF(OR(F346='DICTIONARY-5'!$A$2,F346='DICTIONARY-5'!$A$4,ISBLANK(F346)),VLOOKUP(E346,LIST!$A$6:$L$3250,CURR_1.SEARCH.OLD,0),VLOOKUP(F346,LIST!$B$6:$L$3250,CURR_1.SEARCH.NEW,0)),'DICTIONARY-5'!$A$2)</f>
        <v>203,-</v>
      </c>
      <c r="H346" s="339" t="str">
        <f>IFERROR(IF(OR(F346='DICTIONARY-5'!$A$2,F346='DICTIONARY-5'!$A$4,ISBLANK(F346)),VLOOKUP(E346,LIST!$A$6:$M$3250,CURR_2.SEARCH.OLD,0),VLOOKUP(F346,LIST!$B$6:$M$3250,CURR_2.SEARCH.NEW,0)),'DICTIONARY-5'!$A$2)</f>
        <v/>
      </c>
    </row>
    <row r="347" spans="1:8" x14ac:dyDescent="0.25">
      <c r="A347" s="264">
        <v>125</v>
      </c>
      <c r="B347" s="264" t="s">
        <v>2504</v>
      </c>
      <c r="C347" s="275"/>
      <c r="D347" s="275"/>
      <c r="E347" s="264" t="s">
        <v>2514</v>
      </c>
      <c r="F347" s="309" t="s">
        <v>2927</v>
      </c>
      <c r="G347" s="339" t="str">
        <f>IFERROR(IF(OR(F347='DICTIONARY-5'!$A$2,F347='DICTIONARY-5'!$A$4,ISBLANK(F347)),VLOOKUP(E347,LIST!$A$6:$L$3250,CURR_1.SEARCH.OLD,0),VLOOKUP(F347,LIST!$B$6:$L$3250,CURR_1.SEARCH.NEW,0)),'DICTIONARY-5'!$A$2)</f>
        <v>182,-</v>
      </c>
      <c r="H347" s="339" t="str">
        <f>IFERROR(IF(OR(F347='DICTIONARY-5'!$A$2,F347='DICTIONARY-5'!$A$4,ISBLANK(F347)),VLOOKUP(E347,LIST!$A$6:$M$3250,CURR_2.SEARCH.OLD,0),VLOOKUP(F347,LIST!$B$6:$M$3250,CURR_2.SEARCH.NEW,0)),'DICTIONARY-5'!$A$2)</f>
        <v/>
      </c>
    </row>
    <row r="348" spans="1:8" x14ac:dyDescent="0.25">
      <c r="A348" s="264">
        <v>150</v>
      </c>
      <c r="B348" s="264" t="s">
        <v>2504</v>
      </c>
      <c r="C348" s="275"/>
      <c r="D348" s="275"/>
      <c r="E348" s="264" t="s">
        <v>2518</v>
      </c>
      <c r="F348" s="309" t="s">
        <v>2846</v>
      </c>
      <c r="G348" s="339" t="str">
        <f>IFERROR(IF(OR(F348='DICTIONARY-5'!$A$2,F348='DICTIONARY-5'!$A$4,ISBLANK(F348)),VLOOKUP(E348,LIST!$A$6:$L$3250,CURR_1.SEARCH.OLD,0),VLOOKUP(F348,LIST!$B$6:$L$3250,CURR_1.SEARCH.NEW,0)),'DICTIONARY-5'!$A$2)</f>
        <v>258,-</v>
      </c>
      <c r="H348" s="339" t="str">
        <f>IFERROR(IF(OR(F348='DICTIONARY-5'!$A$2,F348='DICTIONARY-5'!$A$4,ISBLANK(F348)),VLOOKUP(E348,LIST!$A$6:$M$3250,CURR_2.SEARCH.OLD,0),VLOOKUP(F348,LIST!$B$6:$M$3250,CURR_2.SEARCH.NEW,0)),'DICTIONARY-5'!$A$2)</f>
        <v/>
      </c>
    </row>
    <row r="349" spans="1:8" x14ac:dyDescent="0.25">
      <c r="A349" s="264">
        <v>200</v>
      </c>
      <c r="B349" s="264" t="s">
        <v>2504</v>
      </c>
      <c r="C349" s="275"/>
      <c r="D349" s="275"/>
      <c r="E349" s="264" t="s">
        <v>2522</v>
      </c>
      <c r="F349" s="309" t="s">
        <v>2850</v>
      </c>
      <c r="G349" s="339" t="str">
        <f>IFERROR(IF(OR(F349='DICTIONARY-5'!$A$2,F349='DICTIONARY-5'!$A$4,ISBLANK(F349)),VLOOKUP(E349,LIST!$A$6:$L$3250,CURR_1.SEARCH.OLD,0),VLOOKUP(F349,LIST!$B$6:$L$3250,CURR_1.SEARCH.NEW,0)),'DICTIONARY-5'!$A$2)</f>
        <v>405,-</v>
      </c>
      <c r="H349" s="339" t="str">
        <f>IFERROR(IF(OR(F349='DICTIONARY-5'!$A$2,F349='DICTIONARY-5'!$A$4,ISBLANK(F349)),VLOOKUP(E349,LIST!$A$6:$M$3250,CURR_2.SEARCH.OLD,0),VLOOKUP(F349,LIST!$B$6:$M$3250,CURR_2.SEARCH.NEW,0)),'DICTIONARY-5'!$A$2)</f>
        <v/>
      </c>
    </row>
    <row r="351" spans="1:8" x14ac:dyDescent="0.25">
      <c r="A351" s="264">
        <v>80</v>
      </c>
      <c r="B351" s="264" t="s">
        <v>2506</v>
      </c>
      <c r="C351" s="275"/>
      <c r="D351" s="275"/>
      <c r="E351" s="264" t="s">
        <v>2507</v>
      </c>
      <c r="F351" s="309" t="s">
        <v>2839</v>
      </c>
      <c r="G351" s="339" t="str">
        <f>IFERROR(IF(OR(F351='DICTIONARY-5'!$A$2,F351='DICTIONARY-5'!$A$4,ISBLANK(F351)),VLOOKUP(E351,LIST!$A$6:$L$3250,CURR_1.SEARCH.OLD,0),VLOOKUP(F351,LIST!$B$6:$L$3250,CURR_1.SEARCH.NEW,0)),'DICTIONARY-5'!$A$2)</f>
        <v>196,-</v>
      </c>
      <c r="H351" s="339" t="str">
        <f>IFERROR(IF(OR(F351='DICTIONARY-5'!$A$2,F351='DICTIONARY-5'!$A$4,ISBLANK(F351)),VLOOKUP(E351,LIST!$A$6:$M$3250,CURR_2.SEARCH.OLD,0),VLOOKUP(F351,LIST!$B$6:$M$3250,CURR_2.SEARCH.NEW,0)),'DICTIONARY-5'!$A$2)</f>
        <v/>
      </c>
    </row>
    <row r="352" spans="1:8" x14ac:dyDescent="0.25">
      <c r="A352" s="264">
        <v>100</v>
      </c>
      <c r="B352" s="264" t="s">
        <v>2506</v>
      </c>
      <c r="C352" s="275"/>
      <c r="D352" s="275"/>
      <c r="E352" s="264" t="s">
        <v>2511</v>
      </c>
      <c r="F352" s="309" t="s">
        <v>2843</v>
      </c>
      <c r="G352" s="339" t="str">
        <f>IFERROR(IF(OR(F352='DICTIONARY-5'!$A$2,F352='DICTIONARY-5'!$A$4,ISBLANK(F352)),VLOOKUP(E352,LIST!$A$6:$L$3250,CURR_1.SEARCH.OLD,0),VLOOKUP(F352,LIST!$B$6:$L$3250,CURR_1.SEARCH.NEW,0)),'DICTIONARY-5'!$A$2)</f>
        <v>216,-</v>
      </c>
      <c r="H352" s="339" t="str">
        <f>IFERROR(IF(OR(F352='DICTIONARY-5'!$A$2,F352='DICTIONARY-5'!$A$4,ISBLANK(F352)),VLOOKUP(E352,LIST!$A$6:$M$3250,CURR_2.SEARCH.OLD,0),VLOOKUP(F352,LIST!$B$6:$M$3250,CURR_2.SEARCH.NEW,0)),'DICTIONARY-5'!$A$2)</f>
        <v/>
      </c>
    </row>
    <row r="353" spans="1:8" x14ac:dyDescent="0.25">
      <c r="A353" s="264">
        <v>125</v>
      </c>
      <c r="B353" s="264" t="s">
        <v>2506</v>
      </c>
      <c r="C353" s="275"/>
      <c r="D353" s="275"/>
      <c r="E353" s="264" t="s">
        <v>2515</v>
      </c>
      <c r="F353" s="309" t="s">
        <v>2926</v>
      </c>
      <c r="G353" s="339" t="str">
        <f>IFERROR(IF(OR(F353='DICTIONARY-5'!$A$2,F353='DICTIONARY-5'!$A$4,ISBLANK(F353)),VLOOKUP(E353,LIST!$A$6:$L$3250,CURR_1.SEARCH.OLD,0),VLOOKUP(F353,LIST!$B$6:$L$3250,CURR_1.SEARCH.NEW,0)),'DICTIONARY-5'!$A$2)</f>
        <v>202,-</v>
      </c>
      <c r="H353" s="339" t="str">
        <f>IFERROR(IF(OR(F353='DICTIONARY-5'!$A$2,F353='DICTIONARY-5'!$A$4,ISBLANK(F353)),VLOOKUP(E353,LIST!$A$6:$M$3250,CURR_2.SEARCH.OLD,0),VLOOKUP(F353,LIST!$B$6:$M$3250,CURR_2.SEARCH.NEW,0)),'DICTIONARY-5'!$A$2)</f>
        <v/>
      </c>
    </row>
    <row r="354" spans="1:8" x14ac:dyDescent="0.25">
      <c r="A354" s="264">
        <v>150</v>
      </c>
      <c r="B354" s="264" t="s">
        <v>2506</v>
      </c>
      <c r="C354" s="275"/>
      <c r="D354" s="275"/>
      <c r="E354" s="264" t="s">
        <v>2519</v>
      </c>
      <c r="F354" s="309" t="s">
        <v>2847</v>
      </c>
      <c r="G354" s="339" t="str">
        <f>IFERROR(IF(OR(F354='DICTIONARY-5'!$A$2,F354='DICTIONARY-5'!$A$4,ISBLANK(F354)),VLOOKUP(E354,LIST!$A$6:$L$3250,CURR_1.SEARCH.OLD,0),VLOOKUP(F354,LIST!$B$6:$L$3250,CURR_1.SEARCH.NEW,0)),'DICTIONARY-5'!$A$2)</f>
        <v>241,-</v>
      </c>
      <c r="H354" s="339" t="str">
        <f>IFERROR(IF(OR(F354='DICTIONARY-5'!$A$2,F354='DICTIONARY-5'!$A$4,ISBLANK(F354)),VLOOKUP(E354,LIST!$A$6:$M$3250,CURR_2.SEARCH.OLD,0),VLOOKUP(F354,LIST!$B$6:$M$3250,CURR_2.SEARCH.NEW,0)),'DICTIONARY-5'!$A$2)</f>
        <v/>
      </c>
    </row>
    <row r="355" spans="1:8" x14ac:dyDescent="0.25">
      <c r="A355" s="264">
        <v>200</v>
      </c>
      <c r="B355" s="264" t="s">
        <v>2506</v>
      </c>
      <c r="C355" s="275"/>
      <c r="D355" s="275"/>
      <c r="E355" s="264" t="s">
        <v>2523</v>
      </c>
      <c r="F355" s="309" t="s">
        <v>2851</v>
      </c>
      <c r="G355" s="339" t="str">
        <f>IFERROR(IF(OR(F355='DICTIONARY-5'!$A$2,F355='DICTIONARY-5'!$A$4,ISBLANK(F355)),VLOOKUP(E355,LIST!$A$6:$L$3250,CURR_1.SEARCH.OLD,0),VLOOKUP(F355,LIST!$B$6:$L$3250,CURR_1.SEARCH.NEW,0)),'DICTIONARY-5'!$A$2)</f>
        <v>460,-</v>
      </c>
      <c r="H355" s="339" t="str">
        <f>IFERROR(IF(OR(F355='DICTIONARY-5'!$A$2,F355='DICTIONARY-5'!$A$4,ISBLANK(F355)),VLOOKUP(E355,LIST!$A$6:$M$3250,CURR_2.SEARCH.OLD,0),VLOOKUP(F355,LIST!$B$6:$M$3250,CURR_2.SEARCH.NEW,0)),'DICTIONARY-5'!$A$2)</f>
        <v/>
      </c>
    </row>
    <row r="358" spans="1:8" ht="16.5" thickBot="1" x14ac:dyDescent="0.3">
      <c r="A358" s="712" t="str">
        <f>CONCATENATE('DICTIONARY-3'!$A$153," ",'DICTIONARY-3'!$A$175,'DICTIONARY-3'!$A$173,'DICTIONARY-3'!$A$174," / ",'DICTIONARY-3'!$A$346)</f>
        <v>BAIO Kształtka-MSK‎ / Kolano</v>
      </c>
      <c r="B358" s="712"/>
      <c r="C358" s="712"/>
      <c r="D358" s="712"/>
      <c r="E358" s="712"/>
      <c r="F358" s="712"/>
      <c r="G358" s="712"/>
      <c r="H358" s="712"/>
    </row>
    <row r="359" spans="1:8" x14ac:dyDescent="0.25">
      <c r="A359" s="268" t="str">
        <f>CONCATENATE('DICTIONARY-5'!$A$204,": ","1x ",'DICTIONARY-5'!$A$198," + ","1x ",'DICTIONARY-5'!$A$199)</f>
        <v>Połączenie: 1x mufa + 1x końcówka bosa</v>
      </c>
      <c r="B359" s="258"/>
    </row>
    <row r="360" spans="1:8" x14ac:dyDescent="0.25">
      <c r="A360" s="258" t="str">
        <f>CONCATENATE('DICTIONARY-1'!$A$10,": ",SETTINGS!$C$39)</f>
        <v>Grupa rabatowa: BAIO Fittings</v>
      </c>
      <c r="B360" s="258"/>
    </row>
    <row r="361" spans="1:8" x14ac:dyDescent="0.25">
      <c r="A361" s="258"/>
    </row>
    <row r="362" spans="1:8" x14ac:dyDescent="0.25">
      <c r="A362" s="260" t="str">
        <f>'DICTIONARY-2'!$A$2</f>
        <v>DN</v>
      </c>
      <c r="B362" s="260" t="str">
        <f>'DICTIONARY-5'!$A$207</f>
        <v>Kąt</v>
      </c>
      <c r="C362" s="260"/>
      <c r="D362" s="260"/>
      <c r="E362" s="1069" t="str">
        <f>'DICTIONARY-3'!$A$153</f>
        <v>BAIO</v>
      </c>
      <c r="F362" s="1069"/>
      <c r="G362" s="1069"/>
      <c r="H362" s="1069"/>
    </row>
    <row r="363" spans="1:8" x14ac:dyDescent="0.25">
      <c r="A363" s="531"/>
      <c r="B363" s="531"/>
      <c r="C363" s="531"/>
      <c r="D363" s="531"/>
      <c r="E363" s="1068" t="str">
        <f>'DICTIONARY-3'!$A$175&amp;'DICTIONARY-3'!$A$173&amp;'DICTIONARY-3'!$A$174</f>
        <v>Kształtka-MSK‎</v>
      </c>
      <c r="F363" s="1068"/>
      <c r="G363" s="1068"/>
      <c r="H363" s="1068"/>
    </row>
    <row r="364" spans="1:8" x14ac:dyDescent="0.25">
      <c r="A364" s="261"/>
      <c r="B364" s="261"/>
      <c r="C364" s="261"/>
      <c r="D364" s="261"/>
      <c r="E364" s="262" t="str">
        <f>'DICTIONARY-2'!$A$28</f>
        <v>stary nr zamówienia</v>
      </c>
      <c r="F364" s="262" t="str">
        <f>'DICTIONARY-2'!$A$29</f>
        <v>nowy nr zamówienia</v>
      </c>
      <c r="G364" s="263" t="str">
        <f>CURRENCY.CODE_1</f>
        <v>EUR</v>
      </c>
      <c r="H364" s="263" t="str">
        <f>CURRENCY.CODE_2</f>
        <v>---</v>
      </c>
    </row>
    <row r="365" spans="1:8" x14ac:dyDescent="0.25">
      <c r="A365" s="264">
        <v>80</v>
      </c>
      <c r="B365" s="264" t="s">
        <v>2506</v>
      </c>
      <c r="C365" s="275"/>
      <c r="D365" s="275"/>
      <c r="E365" s="264" t="s">
        <v>2524</v>
      </c>
      <c r="F365" s="309" t="s">
        <v>2787</v>
      </c>
      <c r="G365" s="339" t="str">
        <f>IFERROR(IF(OR(F365='DICTIONARY-5'!$A$2,F365='DICTIONARY-5'!$A$4,ISBLANK(F365)),VLOOKUP(E365,LIST!$A$6:$L$3250,CURR_1.SEARCH.OLD,0),VLOOKUP(F365,LIST!$B$6:$L$3250,CURR_1.SEARCH.NEW,0)),'DICTIONARY-5'!$A$2)</f>
        <v>178,-</v>
      </c>
      <c r="H365" s="339" t="str">
        <f>IFERROR(IF(OR(F365='DICTIONARY-5'!$A$2,F365='DICTIONARY-5'!$A$4,ISBLANK(F365)),VLOOKUP(E365,LIST!$A$6:$M$3250,CURR_2.SEARCH.OLD,0),VLOOKUP(F365,LIST!$B$6:$M$3250,CURR_2.SEARCH.NEW,0)),'DICTIONARY-5'!$A$2)</f>
        <v/>
      </c>
    </row>
    <row r="366" spans="1:8" x14ac:dyDescent="0.25">
      <c r="A366" s="264">
        <v>100</v>
      </c>
      <c r="B366" s="264" t="s">
        <v>2506</v>
      </c>
      <c r="C366" s="275"/>
      <c r="D366" s="275"/>
      <c r="E366" s="264" t="s">
        <v>2525</v>
      </c>
      <c r="F366" s="309" t="s">
        <v>2788</v>
      </c>
      <c r="G366" s="339" t="str">
        <f>IFERROR(IF(OR(F366='DICTIONARY-5'!$A$2,F366='DICTIONARY-5'!$A$4,ISBLANK(F366)),VLOOKUP(E366,LIST!$A$6:$L$3250,CURR_1.SEARCH.OLD,0),VLOOKUP(F366,LIST!$B$6:$L$3250,CURR_1.SEARCH.NEW,0)),'DICTIONARY-5'!$A$2)</f>
        <v>218,-</v>
      </c>
      <c r="H366" s="339" t="str">
        <f>IFERROR(IF(OR(F366='DICTIONARY-5'!$A$2,F366='DICTIONARY-5'!$A$4,ISBLANK(F366)),VLOOKUP(E366,LIST!$A$6:$M$3250,CURR_2.SEARCH.OLD,0),VLOOKUP(F366,LIST!$B$6:$M$3250,CURR_2.SEARCH.NEW,0)),'DICTIONARY-5'!$A$2)</f>
        <v/>
      </c>
    </row>
    <row r="367" spans="1:8" x14ac:dyDescent="0.25">
      <c r="A367" s="264">
        <v>125</v>
      </c>
      <c r="B367" s="264" t="s">
        <v>2506</v>
      </c>
      <c r="C367" s="275"/>
      <c r="D367" s="275"/>
      <c r="E367" s="264" t="s">
        <v>2526</v>
      </c>
      <c r="F367" s="309" t="s">
        <v>2929</v>
      </c>
      <c r="G367" s="339" t="str">
        <f>IFERROR(IF(OR(F367='DICTIONARY-5'!$A$2,F367='DICTIONARY-5'!$A$4,ISBLANK(F367)),VLOOKUP(E367,LIST!$A$6:$L$3250,CURR_1.SEARCH.OLD,0),VLOOKUP(F367,LIST!$B$6:$L$3250,CURR_1.SEARCH.NEW,0)),'DICTIONARY-5'!$A$2)</f>
        <v>218,-</v>
      </c>
      <c r="H367" s="339" t="str">
        <f>IFERROR(IF(OR(F367='DICTIONARY-5'!$A$2,F367='DICTIONARY-5'!$A$4,ISBLANK(F367)),VLOOKUP(E367,LIST!$A$6:$M$3250,CURR_2.SEARCH.OLD,0),VLOOKUP(F367,LIST!$B$6:$M$3250,CURR_2.SEARCH.NEW,0)),'DICTIONARY-5'!$A$2)</f>
        <v/>
      </c>
    </row>
    <row r="368" spans="1:8" x14ac:dyDescent="0.25">
      <c r="A368" s="264">
        <v>150</v>
      </c>
      <c r="B368" s="264" t="s">
        <v>2506</v>
      </c>
      <c r="C368" s="275"/>
      <c r="D368" s="275"/>
      <c r="E368" s="264" t="s">
        <v>2527</v>
      </c>
      <c r="F368" s="309" t="s">
        <v>2789</v>
      </c>
      <c r="G368" s="339" t="str">
        <f>IFERROR(IF(OR(F368='DICTIONARY-5'!$A$2,F368='DICTIONARY-5'!$A$4,ISBLANK(F368)),VLOOKUP(E368,LIST!$A$6:$L$3250,CURR_1.SEARCH.OLD,0),VLOOKUP(F368,LIST!$B$6:$L$3250,CURR_1.SEARCH.NEW,0)),'DICTIONARY-5'!$A$2)</f>
        <v>281,-</v>
      </c>
      <c r="H368" s="339" t="str">
        <f>IFERROR(IF(OR(F368='DICTIONARY-5'!$A$2,F368='DICTIONARY-5'!$A$4,ISBLANK(F368)),VLOOKUP(E368,LIST!$A$6:$M$3250,CURR_2.SEARCH.OLD,0),VLOOKUP(F368,LIST!$B$6:$M$3250,CURR_2.SEARCH.NEW,0)),'DICTIONARY-5'!$A$2)</f>
        <v/>
      </c>
    </row>
    <row r="369" spans="1:8" x14ac:dyDescent="0.25">
      <c r="A369" s="264">
        <v>200</v>
      </c>
      <c r="B369" s="264" t="s">
        <v>2506</v>
      </c>
      <c r="C369" s="275"/>
      <c r="D369" s="275"/>
      <c r="E369" s="264" t="s">
        <v>2528</v>
      </c>
      <c r="F369" s="309" t="s">
        <v>2790</v>
      </c>
      <c r="G369" s="339" t="str">
        <f>IFERROR(IF(OR(F369='DICTIONARY-5'!$A$2,F369='DICTIONARY-5'!$A$4,ISBLANK(F369)),VLOOKUP(E369,LIST!$A$6:$L$3250,CURR_1.SEARCH.OLD,0),VLOOKUP(F369,LIST!$B$6:$L$3250,CURR_1.SEARCH.NEW,0)),'DICTIONARY-5'!$A$2)</f>
        <v>504,-</v>
      </c>
      <c r="H369" s="339" t="str">
        <f>IFERROR(IF(OR(F369='DICTIONARY-5'!$A$2,F369='DICTIONARY-5'!$A$4,ISBLANK(F369)),VLOOKUP(E369,LIST!$A$6:$M$3250,CURR_2.SEARCH.OLD,0),VLOOKUP(F369,LIST!$B$6:$M$3250,CURR_2.SEARCH.NEW,0)),'DICTIONARY-5'!$A$2)</f>
        <v/>
      </c>
    </row>
    <row r="372" spans="1:8" ht="16.5" thickBot="1" x14ac:dyDescent="0.3">
      <c r="A372" s="712" t="str">
        <f>CONCATENATE('DICTIONARY-3'!$A$176," ",'DICTIONARY-3'!$A$228)</f>
        <v>PEa Końcówka do zgrzewania</v>
      </c>
      <c r="B372" s="712"/>
      <c r="C372" s="712"/>
      <c r="D372" s="712"/>
      <c r="E372" s="712"/>
      <c r="F372" s="712"/>
      <c r="G372" s="712"/>
      <c r="H372" s="712"/>
    </row>
    <row r="373" spans="1:8" x14ac:dyDescent="0.25">
      <c r="A373" s="268" t="str">
        <f>CONCATENATE('DICTIONARY-5'!$A$204,": ","1x ",'DICTIONARY-5'!$A$199," + ","1x ",LOWER('DICTIONARY-3'!$A$228))</f>
        <v>Połączenie: 1x końcówka bosa + 1x końcówka do zgrzewania</v>
      </c>
      <c r="B373" s="258"/>
      <c r="C373" s="258"/>
    </row>
    <row r="374" spans="1:8" x14ac:dyDescent="0.25">
      <c r="A374" s="258" t="str">
        <f>CONCATENATE('DICTIONARY-1'!$A$10,": ",SETTINGS!$C$39)</f>
        <v>Grupa rabatowa: BAIO Fittings</v>
      </c>
      <c r="B374" s="258"/>
      <c r="C374" s="258"/>
    </row>
    <row r="376" spans="1:8" x14ac:dyDescent="0.25">
      <c r="A376" s="260" t="str">
        <f>'DICTIONARY-2'!$A$2</f>
        <v>DN</v>
      </c>
      <c r="B376" s="260" t="str">
        <f>'DICTIONARY-2'!$A$5&amp;" 1)"</f>
        <v>Da 1)</v>
      </c>
      <c r="C376" s="260" t="str">
        <f>'DICTIONARY-2'!$A$24&amp;" 2)"</f>
        <v>L 2)</v>
      </c>
      <c r="D376" s="260"/>
      <c r="E376" s="1069" t="str">
        <f>'DICTIONARY-3'!$A$176</f>
        <v>PEa</v>
      </c>
      <c r="F376" s="1069"/>
      <c r="G376" s="1069"/>
      <c r="H376" s="1069"/>
    </row>
    <row r="377" spans="1:8" x14ac:dyDescent="0.25">
      <c r="A377" s="531"/>
      <c r="B377" s="531" t="str">
        <f>'DICTIONARY-5'!$A$202</f>
        <v>PE-końcówka</v>
      </c>
      <c r="C377" s="531"/>
      <c r="D377" s="531"/>
      <c r="E377" s="1070" t="str">
        <f>'DICTIONARY-3'!$A$228</f>
        <v>Końcówka do zgrzewania</v>
      </c>
      <c r="F377" s="1068"/>
      <c r="G377" s="1068"/>
      <c r="H377" s="1068"/>
    </row>
    <row r="378" spans="1:8" x14ac:dyDescent="0.25">
      <c r="A378" s="261"/>
      <c r="B378" s="261" t="str">
        <f>'DICTIONARY-2'!$A$18</f>
        <v>[mm]</v>
      </c>
      <c r="C378" s="261" t="str">
        <f>'DICTIONARY-2'!$A$18</f>
        <v>[mm]</v>
      </c>
      <c r="D378" s="261"/>
      <c r="E378" s="262" t="str">
        <f>'DICTIONARY-2'!$A$28</f>
        <v>stary nr zamówienia</v>
      </c>
      <c r="F378" s="262" t="str">
        <f>'DICTIONARY-2'!$A$29</f>
        <v>nowy nr zamówienia</v>
      </c>
      <c r="G378" s="263" t="str">
        <f>CURRENCY.CODE_1</f>
        <v>EUR</v>
      </c>
      <c r="H378" s="263" t="str">
        <f>CURRENCY.CODE_2</f>
        <v>---</v>
      </c>
    </row>
    <row r="379" spans="1:8" x14ac:dyDescent="0.25">
      <c r="A379" s="264">
        <v>80</v>
      </c>
      <c r="B379" s="264">
        <v>90</v>
      </c>
      <c r="C379" s="264">
        <v>260</v>
      </c>
      <c r="D379" s="275"/>
      <c r="E379" s="274" t="s">
        <v>4885</v>
      </c>
      <c r="F379" s="310" t="s">
        <v>2529</v>
      </c>
      <c r="G379" s="339" t="str">
        <f>IFERROR(IF(OR(F379='DICTIONARY-5'!$A$2,F379='DICTIONARY-5'!$A$4,ISBLANK(F379)),VLOOKUP(E379,LIST!$A$6:$L$3250,CURR_1.SEARCH.OLD,0),VLOOKUP(F379,LIST!$B$6:$L$3250,CURR_1.SEARCH.NEW,0)),'DICTIONARY-5'!$A$2)</f>
        <v>187,-</v>
      </c>
      <c r="H379" s="339" t="str">
        <f>IFERROR(IF(OR(F379='DICTIONARY-5'!$A$2,F379='DICTIONARY-5'!$A$4,ISBLANK(F379)),VLOOKUP(E379,LIST!$A$6:$M$3250,CURR_2.SEARCH.OLD,0),VLOOKUP(F379,LIST!$B$6:$M$3250,CURR_2.SEARCH.NEW,0)),'DICTIONARY-5'!$A$2)</f>
        <v/>
      </c>
    </row>
    <row r="380" spans="1:8" x14ac:dyDescent="0.25">
      <c r="A380" s="264">
        <v>100</v>
      </c>
      <c r="B380" s="264">
        <v>110</v>
      </c>
      <c r="C380" s="264">
        <v>290</v>
      </c>
      <c r="D380" s="275"/>
      <c r="E380" s="274" t="s">
        <v>4886</v>
      </c>
      <c r="F380" s="310" t="s">
        <v>2530</v>
      </c>
      <c r="G380" s="339" t="str">
        <f>IFERROR(IF(OR(F380='DICTIONARY-5'!$A$2,F380='DICTIONARY-5'!$A$4,ISBLANK(F380)),VLOOKUP(E380,LIST!$A$6:$L$3250,CURR_1.SEARCH.OLD,0),VLOOKUP(F380,LIST!$B$6:$L$3250,CURR_1.SEARCH.NEW,0)),'DICTIONARY-5'!$A$2)</f>
        <v>212,-</v>
      </c>
      <c r="H380" s="339" t="str">
        <f>IFERROR(IF(OR(F380='DICTIONARY-5'!$A$2,F380='DICTIONARY-5'!$A$4,ISBLANK(F380)),VLOOKUP(E380,LIST!$A$6:$M$3250,CURR_2.SEARCH.OLD,0),VLOOKUP(F380,LIST!$B$6:$M$3250,CURR_2.SEARCH.NEW,0)),'DICTIONARY-5'!$A$2)</f>
        <v/>
      </c>
    </row>
    <row r="381" spans="1:8" x14ac:dyDescent="0.25">
      <c r="A381" s="264">
        <v>100</v>
      </c>
      <c r="B381" s="264">
        <v>125</v>
      </c>
      <c r="C381" s="264">
        <v>300</v>
      </c>
      <c r="D381" s="275"/>
      <c r="E381" s="274" t="s">
        <v>4887</v>
      </c>
      <c r="F381" s="310" t="s">
        <v>2531</v>
      </c>
      <c r="G381" s="339" t="str">
        <f>IFERROR(IF(OR(F381='DICTIONARY-5'!$A$2,F381='DICTIONARY-5'!$A$4,ISBLANK(F381)),VLOOKUP(E381,LIST!$A$6:$L$3250,CURR_1.SEARCH.OLD,0),VLOOKUP(F381,LIST!$B$6:$L$3250,CURR_1.SEARCH.NEW,0)),'DICTIONARY-5'!$A$2)</f>
        <v>218,-</v>
      </c>
      <c r="H381" s="339" t="str">
        <f>IFERROR(IF(OR(F381='DICTIONARY-5'!$A$2,F381='DICTIONARY-5'!$A$4,ISBLANK(F381)),VLOOKUP(E381,LIST!$A$6:$M$3250,CURR_2.SEARCH.OLD,0),VLOOKUP(F381,LIST!$B$6:$M$3250,CURR_2.SEARCH.NEW,0)),'DICTIONARY-5'!$A$2)</f>
        <v/>
      </c>
    </row>
    <row r="382" spans="1:8" x14ac:dyDescent="0.25">
      <c r="A382" s="264">
        <v>125</v>
      </c>
      <c r="B382" s="264">
        <v>140</v>
      </c>
      <c r="C382" s="264">
        <v>335</v>
      </c>
      <c r="D382" s="275"/>
      <c r="E382" s="274" t="s">
        <v>4892</v>
      </c>
      <c r="F382" s="310" t="s">
        <v>2532</v>
      </c>
      <c r="G382" s="339" t="str">
        <f>IFERROR(IF(OR(F382='DICTIONARY-5'!$A$2,F382='DICTIONARY-5'!$A$4,ISBLANK(F382)),VLOOKUP(E382,LIST!$A$6:$L$3250,CURR_1.SEARCH.OLD,0),VLOOKUP(F382,LIST!$B$6:$L$3250,CURR_1.SEARCH.NEW,0)),'DICTIONARY-5'!$A$2)</f>
        <v>441,-</v>
      </c>
      <c r="H382" s="339" t="str">
        <f>IFERROR(IF(OR(F382='DICTIONARY-5'!$A$2,F382='DICTIONARY-5'!$A$4,ISBLANK(F382)),VLOOKUP(E382,LIST!$A$6:$M$3250,CURR_2.SEARCH.OLD,0),VLOOKUP(F382,LIST!$B$6:$M$3250,CURR_2.SEARCH.NEW,0)),'DICTIONARY-5'!$A$2)</f>
        <v/>
      </c>
    </row>
    <row r="383" spans="1:8" x14ac:dyDescent="0.25">
      <c r="A383" s="264">
        <v>150</v>
      </c>
      <c r="B383" s="264">
        <v>160</v>
      </c>
      <c r="C383" s="264">
        <v>345</v>
      </c>
      <c r="D383" s="275"/>
      <c r="E383" s="274" t="s">
        <v>4888</v>
      </c>
      <c r="F383" s="310" t="s">
        <v>2533</v>
      </c>
      <c r="G383" s="339" t="str">
        <f>IFERROR(IF(OR(F383='DICTIONARY-5'!$A$2,F383='DICTIONARY-5'!$A$4,ISBLANK(F383)),VLOOKUP(E383,LIST!$A$6:$L$3250,CURR_1.SEARCH.OLD,0),VLOOKUP(F383,LIST!$B$6:$L$3250,CURR_1.SEARCH.NEW,0)),'DICTIONARY-5'!$A$2)</f>
        <v>323,-</v>
      </c>
      <c r="H383" s="339" t="str">
        <f>IFERROR(IF(OR(F383='DICTIONARY-5'!$A$2,F383='DICTIONARY-5'!$A$4,ISBLANK(F383)),VLOOKUP(E383,LIST!$A$6:$M$3250,CURR_2.SEARCH.OLD,0),VLOOKUP(F383,LIST!$B$6:$M$3250,CURR_2.SEARCH.NEW,0)),'DICTIONARY-5'!$A$2)</f>
        <v/>
      </c>
    </row>
    <row r="384" spans="1:8" x14ac:dyDescent="0.25">
      <c r="A384" s="264">
        <v>150</v>
      </c>
      <c r="B384" s="264">
        <v>180</v>
      </c>
      <c r="C384" s="264">
        <v>355</v>
      </c>
      <c r="D384" s="275"/>
      <c r="E384" s="274" t="s">
        <v>4889</v>
      </c>
      <c r="F384" s="310" t="s">
        <v>2534</v>
      </c>
      <c r="G384" s="339" t="str">
        <f>IFERROR(IF(OR(F384='DICTIONARY-5'!$A$2,F384='DICTIONARY-5'!$A$4,ISBLANK(F384)),VLOOKUP(E384,LIST!$A$6:$L$3250,CURR_1.SEARCH.OLD,0),VLOOKUP(F384,LIST!$B$6:$L$3250,CURR_1.SEARCH.NEW,0)),'DICTIONARY-5'!$A$2)</f>
        <v>320,-</v>
      </c>
      <c r="H384" s="339" t="str">
        <f>IFERROR(IF(OR(F384='DICTIONARY-5'!$A$2,F384='DICTIONARY-5'!$A$4,ISBLANK(F384)),VLOOKUP(E384,LIST!$A$6:$M$3250,CURR_2.SEARCH.OLD,0),VLOOKUP(F384,LIST!$B$6:$M$3250,CURR_2.SEARCH.NEW,0)),'DICTIONARY-5'!$A$2)</f>
        <v/>
      </c>
    </row>
    <row r="385" spans="1:8" x14ac:dyDescent="0.25">
      <c r="A385" s="264">
        <v>200</v>
      </c>
      <c r="B385" s="264">
        <v>200</v>
      </c>
      <c r="C385" s="264">
        <v>380</v>
      </c>
      <c r="D385" s="275"/>
      <c r="E385" s="274" t="s">
        <v>4890</v>
      </c>
      <c r="F385" s="310" t="s">
        <v>2535</v>
      </c>
      <c r="G385" s="339" t="str">
        <f>IFERROR(IF(OR(F385='DICTIONARY-5'!$A$2,F385='DICTIONARY-5'!$A$4,ISBLANK(F385)),VLOOKUP(E385,LIST!$A$6:$L$3250,CURR_1.SEARCH.OLD,0),VLOOKUP(F385,LIST!$B$6:$L$3250,CURR_1.SEARCH.NEW,0)),'DICTIONARY-5'!$A$2)</f>
        <v>756,-</v>
      </c>
      <c r="H385" s="339" t="str">
        <f>IFERROR(IF(OR(F385='DICTIONARY-5'!$A$2,F385='DICTIONARY-5'!$A$4,ISBLANK(F385)),VLOOKUP(E385,LIST!$A$6:$M$3250,CURR_2.SEARCH.OLD,0),VLOOKUP(F385,LIST!$B$6:$M$3250,CURR_2.SEARCH.NEW,0)),'DICTIONARY-5'!$A$2)</f>
        <v/>
      </c>
    </row>
    <row r="386" spans="1:8" x14ac:dyDescent="0.25">
      <c r="A386" s="264">
        <v>200</v>
      </c>
      <c r="B386" s="264">
        <v>225</v>
      </c>
      <c r="C386" s="264">
        <v>395</v>
      </c>
      <c r="D386" s="275"/>
      <c r="E386" s="274" t="s">
        <v>4891</v>
      </c>
      <c r="F386" s="310" t="s">
        <v>2536</v>
      </c>
      <c r="G386" s="339" t="str">
        <f>IFERROR(IF(OR(F386='DICTIONARY-5'!$A$2,F386='DICTIONARY-5'!$A$4,ISBLANK(F386)),VLOOKUP(E386,LIST!$A$6:$L$3250,CURR_1.SEARCH.OLD,0),VLOOKUP(F386,LIST!$B$6:$L$3250,CURR_1.SEARCH.NEW,0)),'DICTIONARY-5'!$A$2)</f>
        <v>737,-</v>
      </c>
      <c r="H386" s="339" t="str">
        <f>IFERROR(IF(OR(F386='DICTIONARY-5'!$A$2,F386='DICTIONARY-5'!$A$4,ISBLANK(F386)),VLOOKUP(E386,LIST!$A$6:$M$3250,CURR_2.SEARCH.OLD,0),VLOOKUP(F386,LIST!$B$6:$M$3250,CURR_2.SEARCH.NEW,0)),'DICTIONARY-5'!$A$2)</f>
        <v/>
      </c>
    </row>
    <row r="388" spans="1:8" x14ac:dyDescent="0.25">
      <c r="A388" s="256" t="str">
        <f>" 1)"&amp;'DICTIONARY-5'!$A$74</f>
        <v xml:space="preserve"> 1)Zewnętrzna średnica rury</v>
      </c>
    </row>
    <row r="389" spans="1:8" x14ac:dyDescent="0.25">
      <c r="A389" s="256" t="str">
        <f>" 2)"&amp;'DICTIONARY-5'!$A$205</f>
        <v xml:space="preserve"> 2)Długość kształtki</v>
      </c>
    </row>
  </sheetData>
  <sheetProtection algorithmName="SHA-512" hashValue="ps/5qgAXeznqGI729k+OMj3uvEgWoiykd20EXzRN37D7w57DFfzYBeaBnRxnPG1PRyOnS2aMhgqwVP/1Mi1AQw==" saltValue="v//bnpz4Yy3Erep2IXNvLA==" spinCount="100000" sheet="1" objects="1" scenarios="1" autoFilter="0"/>
  <mergeCells count="53">
    <mergeCell ref="B4:E4"/>
    <mergeCell ref="E83:H83"/>
    <mergeCell ref="E66:H66"/>
    <mergeCell ref="E45:H45"/>
    <mergeCell ref="E82:H82"/>
    <mergeCell ref="E10:H10"/>
    <mergeCell ref="E25:H25"/>
    <mergeCell ref="E44:H44"/>
    <mergeCell ref="E65:H65"/>
    <mergeCell ref="E26:H26"/>
    <mergeCell ref="E11:H11"/>
    <mergeCell ref="J152:M152"/>
    <mergeCell ref="E135:H135"/>
    <mergeCell ref="J135:M135"/>
    <mergeCell ref="E151:H151"/>
    <mergeCell ref="J151:M151"/>
    <mergeCell ref="E261:H261"/>
    <mergeCell ref="E249:H249"/>
    <mergeCell ref="E237:H237"/>
    <mergeCell ref="E211:H211"/>
    <mergeCell ref="E195:H195"/>
    <mergeCell ref="E260:H260"/>
    <mergeCell ref="E236:H236"/>
    <mergeCell ref="E248:H248"/>
    <mergeCell ref="E271:H271"/>
    <mergeCell ref="E282:H282"/>
    <mergeCell ref="E299:H299"/>
    <mergeCell ref="E316:H316"/>
    <mergeCell ref="E330:H330"/>
    <mergeCell ref="E283:H283"/>
    <mergeCell ref="E272:H272"/>
    <mergeCell ref="E377:H377"/>
    <mergeCell ref="E363:H363"/>
    <mergeCell ref="E331:H331"/>
    <mergeCell ref="E317:H317"/>
    <mergeCell ref="E300:H300"/>
    <mergeCell ref="E362:H362"/>
    <mergeCell ref="E376:H376"/>
    <mergeCell ref="E181:H181"/>
    <mergeCell ref="E194:H194"/>
    <mergeCell ref="E210:H210"/>
    <mergeCell ref="E182:H182"/>
    <mergeCell ref="E134:H134"/>
    <mergeCell ref="E166:H166"/>
    <mergeCell ref="E152:H152"/>
    <mergeCell ref="E165:H165"/>
    <mergeCell ref="J118:M118"/>
    <mergeCell ref="J134:M134"/>
    <mergeCell ref="J119:M119"/>
    <mergeCell ref="E104:H104"/>
    <mergeCell ref="E103:H103"/>
    <mergeCell ref="E118:H118"/>
    <mergeCell ref="E119:H119"/>
  </mergeCells>
  <pageMargins left="0.7" right="0.7" top="0.78740157499999996" bottom="0.78740157499999996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89">
    <tabColor rgb="FFFFC000"/>
  </sheetPr>
  <dimension ref="A1:F52"/>
  <sheetViews>
    <sheetView workbookViewId="0"/>
  </sheetViews>
  <sheetFormatPr defaultColWidth="9.140625" defaultRowHeight="15" x14ac:dyDescent="0.25"/>
  <cols>
    <col min="1" max="2" width="9.140625" style="277"/>
    <col min="3" max="4" width="22.140625" style="277" customWidth="1"/>
    <col min="5" max="6" width="12.85546875" style="277" customWidth="1"/>
    <col min="7" max="16384" width="9.140625" style="277"/>
  </cols>
  <sheetData>
    <row r="1" spans="1:6" s="391" customFormat="1" ht="45" customHeight="1" thickBot="1" x14ac:dyDescent="0.3">
      <c r="A1" s="424"/>
      <c r="B1" s="424"/>
      <c r="C1" s="424"/>
      <c r="D1" s="424"/>
    </row>
    <row r="2" spans="1:6" s="444" customFormat="1" ht="4.5" customHeight="1" x14ac:dyDescent="0.25">
      <c r="A2" s="443"/>
    </row>
    <row r="3" spans="1:6" ht="16.5" thickBot="1" x14ac:dyDescent="0.3">
      <c r="A3" s="443"/>
    </row>
    <row r="4" spans="1:6" ht="15.75" thickBot="1" x14ac:dyDescent="0.3">
      <c r="A4" s="818">
        <f>ADD.DISCOUNT</f>
        <v>0</v>
      </c>
      <c r="B4" s="992" t="str">
        <f>HYPERLINK("#'LIST'!ADD.DISCOUNT","» "&amp;'DICTIONARY-1'!$A$5)</f>
        <v>» Ustaw globalny dodatkowy rabat</v>
      </c>
      <c r="C4" s="1071"/>
      <c r="D4" s="1071"/>
      <c r="E4" s="1072"/>
    </row>
    <row r="6" spans="1:6" ht="16.5" thickBot="1" x14ac:dyDescent="0.3">
      <c r="A6" s="712" t="str">
        <f>CONCATENATE('DICTIONARY-3'!$A$153," ",'DICTIONARY-3'!$A$227)</f>
        <v>BAIO Uszczelki</v>
      </c>
      <c r="B6" s="712"/>
      <c r="C6" s="712"/>
      <c r="D6" s="712"/>
      <c r="E6" s="712"/>
      <c r="F6" s="712"/>
    </row>
    <row r="7" spans="1:6" x14ac:dyDescent="0.25">
      <c r="A7" s="258" t="str">
        <f>CONCATENATE('DICTIONARY-1'!$A$10,": ",SETTINGS!$C$39)</f>
        <v>Grupa rabatowa: BAIO Fittings</v>
      </c>
    </row>
    <row r="8" spans="1:6" x14ac:dyDescent="0.25">
      <c r="A8" s="280"/>
      <c r="B8" s="280"/>
      <c r="C8" s="278"/>
      <c r="D8" s="278"/>
      <c r="E8" s="276"/>
      <c r="F8" s="276"/>
    </row>
    <row r="9" spans="1:6" x14ac:dyDescent="0.25">
      <c r="A9" s="281" t="str">
        <f>'DICTIONARY-2'!$A$2</f>
        <v>DN</v>
      </c>
      <c r="B9" s="281" t="str">
        <f>'DICTIONARY-2'!$A$5&amp;" 1)"</f>
        <v>Da 1)</v>
      </c>
      <c r="C9" s="1073" t="str">
        <f>'DICTIONARY-3'!$A$178</f>
        <v>BAIO GKS</v>
      </c>
      <c r="D9" s="1074"/>
      <c r="E9" s="1074"/>
      <c r="F9" s="1075"/>
    </row>
    <row r="10" spans="1:6" ht="15" customHeight="1" x14ac:dyDescent="0.25">
      <c r="A10" s="290"/>
      <c r="B10" s="290"/>
      <c r="C10" s="1076" t="str">
        <f>'DICTIONARY-5'!$A$43&amp;": "&amp;'DICTIONARY-5'!$A$44&amp;", "&amp;'DICTIONARY-5'!$A$122&amp;": "&amp;'DICTIONARY-5'!$A$58</f>
        <v>guma: EPDM, rura: PE-HD</v>
      </c>
      <c r="D10" s="1077"/>
      <c r="E10" s="1077"/>
      <c r="F10" s="1078"/>
    </row>
    <row r="11" spans="1:6" x14ac:dyDescent="0.25">
      <c r="A11" s="282"/>
      <c r="B11" s="282" t="str">
        <f>'DICTIONARY-2'!$A$18</f>
        <v>[mm]</v>
      </c>
      <c r="C11" s="283" t="str">
        <f>'DICTIONARY-2'!$A$28</f>
        <v>stary nr zamówienia</v>
      </c>
      <c r="D11" s="283" t="str">
        <f>'DICTIONARY-2'!$A$29</f>
        <v>nowy nr zamówienia</v>
      </c>
      <c r="E11" s="284" t="str">
        <f>CURRENCY.CODE_1</f>
        <v>EUR</v>
      </c>
      <c r="F11" s="284" t="str">
        <f>CURRENCY.CODE_2</f>
        <v>---</v>
      </c>
    </row>
    <row r="12" spans="1:6" x14ac:dyDescent="0.25">
      <c r="A12" s="286">
        <v>80</v>
      </c>
      <c r="B12" s="286">
        <v>90</v>
      </c>
      <c r="C12" s="286" t="s">
        <v>2564</v>
      </c>
      <c r="D12" s="305" t="s">
        <v>2955</v>
      </c>
      <c r="E12" s="339" t="str">
        <f>IFERROR(IF(OR(D12='DICTIONARY-5'!$A$2,D12='DICTIONARY-5'!$A$4,ISBLANK(D12)),VLOOKUP(C12,LIST!$A$6:$L$3250,CURR_1.SEARCH.OLD,0),VLOOKUP(D12,LIST!$B$6:$L$3250,CURR_1.SEARCH.NEW,0)),'DICTIONARY-5'!$A$2)</f>
        <v>4,-</v>
      </c>
      <c r="F12" s="339" t="str">
        <f>IFERROR(IF(OR(D12='DICTIONARY-5'!$A$2,D12='DICTIONARY-5'!$A$4,ISBLANK(D12)),VLOOKUP(C12,LIST!$A$6:$M$3250,CURR_2.SEARCH.OLD,0),VLOOKUP(D12,LIST!$B$6:$M$3250,CURR_2.SEARCH.NEW,0)),'DICTIONARY-5'!$A$2)</f>
        <v/>
      </c>
    </row>
    <row r="13" spans="1:6" x14ac:dyDescent="0.25">
      <c r="A13" s="286">
        <v>100</v>
      </c>
      <c r="B13" s="286">
        <v>110</v>
      </c>
      <c r="C13" s="286" t="s">
        <v>2566</v>
      </c>
      <c r="D13" s="305" t="s">
        <v>2956</v>
      </c>
      <c r="E13" s="339" t="str">
        <f>IFERROR(IF(OR(D13='DICTIONARY-5'!$A$2,D13='DICTIONARY-5'!$A$4,ISBLANK(D13)),VLOOKUP(C13,LIST!$A$6:$L$3250,CURR_1.SEARCH.OLD,0),VLOOKUP(D13,LIST!$B$6:$L$3250,CURR_1.SEARCH.NEW,0)),'DICTIONARY-5'!$A$2)</f>
        <v>9,-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</row>
    <row r="14" spans="1:6" x14ac:dyDescent="0.25">
      <c r="A14" s="286">
        <v>100</v>
      </c>
      <c r="B14" s="286">
        <v>125</v>
      </c>
      <c r="C14" s="286" t="s">
        <v>2568</v>
      </c>
      <c r="D14" s="305" t="s">
        <v>2961</v>
      </c>
      <c r="E14" s="339" t="str">
        <f>IFERROR(IF(OR(D14='DICTIONARY-5'!$A$2,D14='DICTIONARY-5'!$A$4,ISBLANK(D14)),VLOOKUP(C14,LIST!$A$6:$L$3250,CURR_1.SEARCH.OLD,0),VLOOKUP(D14,LIST!$B$6:$L$3250,CURR_1.SEARCH.NEW,0)),'DICTIONARY-5'!$A$2)</f>
        <v>21,-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6" x14ac:dyDescent="0.25">
      <c r="A15" s="286">
        <v>125</v>
      </c>
      <c r="B15" s="286">
        <v>125</v>
      </c>
      <c r="C15" s="286" t="s">
        <v>2570</v>
      </c>
      <c r="D15" s="305" t="s">
        <v>2874</v>
      </c>
      <c r="E15" s="339" t="str">
        <f>IFERROR(IF(OR(D15='DICTIONARY-5'!$A$2,D15='DICTIONARY-5'!$A$4,ISBLANK(D15)),VLOOKUP(C15,LIST!$A$6:$L$3250,CURR_1.SEARCH.OLD,0),VLOOKUP(D15,LIST!$B$6:$L$3250,CURR_1.SEARCH.NEW,0)),'DICTIONARY-5'!$A$2)</f>
        <v>52,-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</row>
    <row r="16" spans="1:6" x14ac:dyDescent="0.25">
      <c r="A16" s="286">
        <v>125</v>
      </c>
      <c r="B16" s="286">
        <v>140</v>
      </c>
      <c r="C16" s="286" t="s">
        <v>2571</v>
      </c>
      <c r="D16" s="305" t="s">
        <v>2957</v>
      </c>
      <c r="E16" s="339" t="str">
        <f>IFERROR(IF(OR(D16='DICTIONARY-5'!$A$2,D16='DICTIONARY-5'!$A$4,ISBLANK(D16)),VLOOKUP(C16,LIST!$A$6:$L$3250,CURR_1.SEARCH.OLD,0),VLOOKUP(D16,LIST!$B$6:$L$3250,CURR_1.SEARCH.NEW,0)),'DICTIONARY-5'!$A$2)</f>
        <v>11,-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</row>
    <row r="17" spans="1:6" x14ac:dyDescent="0.25">
      <c r="A17" s="286">
        <v>150</v>
      </c>
      <c r="B17" s="286">
        <v>160</v>
      </c>
      <c r="C17" s="286" t="s">
        <v>2573</v>
      </c>
      <c r="D17" s="305" t="s">
        <v>2958</v>
      </c>
      <c r="E17" s="339" t="str">
        <f>IFERROR(IF(OR(D17='DICTIONARY-5'!$A$2,D17='DICTIONARY-5'!$A$4,ISBLANK(D17)),VLOOKUP(C17,LIST!$A$6:$L$3250,CURR_1.SEARCH.OLD,0),VLOOKUP(D17,LIST!$B$6:$L$3250,CURR_1.SEARCH.NEW,0)),'DICTIONARY-5'!$A$2)</f>
        <v>12,-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</row>
    <row r="18" spans="1:6" x14ac:dyDescent="0.25">
      <c r="A18" s="286">
        <v>150</v>
      </c>
      <c r="B18" s="286">
        <v>180</v>
      </c>
      <c r="C18" s="286" t="s">
        <v>2575</v>
      </c>
      <c r="D18" s="305" t="s">
        <v>2960</v>
      </c>
      <c r="E18" s="339" t="str">
        <f>IFERROR(IF(OR(D18='DICTIONARY-5'!$A$2,D18='DICTIONARY-5'!$A$4,ISBLANK(D18)),VLOOKUP(C18,LIST!$A$6:$L$3250,CURR_1.SEARCH.OLD,0),VLOOKUP(D18,LIST!$B$6:$L$3250,CURR_1.SEARCH.NEW,0)),'DICTIONARY-5'!$A$2)</f>
        <v>33,-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</row>
    <row r="19" spans="1:6" x14ac:dyDescent="0.25">
      <c r="A19" s="286">
        <v>200</v>
      </c>
      <c r="B19" s="286">
        <v>200</v>
      </c>
      <c r="C19" s="286" t="s">
        <v>2577</v>
      </c>
      <c r="D19" s="305" t="s">
        <v>2962</v>
      </c>
      <c r="E19" s="339" t="str">
        <f>IFERROR(IF(OR(D19='DICTIONARY-5'!$A$2,D19='DICTIONARY-5'!$A$4,ISBLANK(D19)),VLOOKUP(C19,LIST!$A$6:$L$3250,CURR_1.SEARCH.OLD,0),VLOOKUP(D19,LIST!$B$6:$L$3250,CURR_1.SEARCH.NEW,0)),'DICTIONARY-5'!$A$2)</f>
        <v>105,-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</row>
    <row r="20" spans="1:6" x14ac:dyDescent="0.25">
      <c r="A20" s="286">
        <v>200</v>
      </c>
      <c r="B20" s="286">
        <v>225</v>
      </c>
      <c r="C20" s="286" t="s">
        <v>2579</v>
      </c>
      <c r="D20" s="305" t="s">
        <v>2959</v>
      </c>
      <c r="E20" s="339" t="str">
        <f>IFERROR(IF(OR(D20='DICTIONARY-5'!$A$2,D20='DICTIONARY-5'!$A$4,ISBLANK(D20)),VLOOKUP(C20,LIST!$A$6:$L$3250,CURR_1.SEARCH.OLD,0),VLOOKUP(D20,LIST!$B$6:$L$3250,CURR_1.SEARCH.NEW,0)),'DICTIONARY-5'!$A$2)</f>
        <v>19,-</v>
      </c>
      <c r="F20" s="339" t="str">
        <f>IFERROR(IF(OR(D20='DICTIONARY-5'!$A$2,D20='DICTIONARY-5'!$A$4,ISBLANK(D20)),VLOOKUP(C20,LIST!$A$6:$M$3250,CURR_2.SEARCH.OLD,0),VLOOKUP(D20,LIST!$B$6:$M$3250,CURR_2.SEARCH.NEW,0)),'DICTIONARY-5'!$A$2)</f>
        <v/>
      </c>
    </row>
    <row r="23" spans="1:6" x14ac:dyDescent="0.25">
      <c r="A23" s="281" t="str">
        <f>'DICTIONARY-2'!$A$2</f>
        <v>DN</v>
      </c>
      <c r="B23" s="281" t="str">
        <f>'DICTIONARY-2'!$A$5&amp;" 1)"</f>
        <v>Da 1)</v>
      </c>
      <c r="C23" s="1073" t="str">
        <f>'DICTIONARY-3'!$A$179</f>
        <v>BAIO TYTON</v>
      </c>
      <c r="D23" s="1074"/>
      <c r="E23" s="1074"/>
      <c r="F23" s="1075"/>
    </row>
    <row r="24" spans="1:6" ht="15" customHeight="1" x14ac:dyDescent="0.25">
      <c r="A24" s="290"/>
      <c r="B24" s="290"/>
      <c r="C24" s="1076" t="str">
        <f>'DICTIONARY-5'!$A$43&amp;": "&amp;'DICTIONARY-5'!$A$44&amp;", "&amp;'DICTIONARY-5'!$A$122&amp;": "&amp;'DICTIONARY-5'!$A$48</f>
        <v>guma: EPDM, rura: żeliwo</v>
      </c>
      <c r="D24" s="1077"/>
      <c r="E24" s="1077"/>
      <c r="F24" s="1078"/>
    </row>
    <row r="25" spans="1:6" x14ac:dyDescent="0.25">
      <c r="A25" s="290"/>
      <c r="B25" s="282" t="str">
        <f>'DICTIONARY-2'!$A$18</f>
        <v>[mm]</v>
      </c>
      <c r="C25" s="291" t="str">
        <f>'DICTIONARY-2'!$A$28</f>
        <v>stary nr zamówienia</v>
      </c>
      <c r="D25" s="283" t="str">
        <f>'DICTIONARY-2'!$A$29</f>
        <v>nowy nr zamówienia</v>
      </c>
      <c r="E25" s="284" t="str">
        <f>CURRENCY.CODE_1</f>
        <v>EUR</v>
      </c>
      <c r="F25" s="284" t="str">
        <f>CURRENCY.CODE_2</f>
        <v>---</v>
      </c>
    </row>
    <row r="26" spans="1:6" x14ac:dyDescent="0.25">
      <c r="A26" s="286">
        <v>80</v>
      </c>
      <c r="B26" s="286">
        <v>98</v>
      </c>
      <c r="C26" s="286" t="s">
        <v>2559</v>
      </c>
      <c r="D26" s="305" t="s">
        <v>2950</v>
      </c>
      <c r="E26" s="339" t="str">
        <f>IFERROR(IF(OR(D26='DICTIONARY-5'!$A$2,D26='DICTIONARY-5'!$A$4,ISBLANK(D26)),VLOOKUP(C26,LIST!$A$6:$L$3250,CURR_1.SEARCH.OLD,0),VLOOKUP(D26,LIST!$B$6:$L$3250,CURR_1.SEARCH.NEW,0)),'DICTIONARY-5'!$A$2)</f>
        <v>12,-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</row>
    <row r="27" spans="1:6" x14ac:dyDescent="0.25">
      <c r="A27" s="286">
        <v>100</v>
      </c>
      <c r="B27" s="286">
        <v>118</v>
      </c>
      <c r="C27" s="286" t="s">
        <v>2560</v>
      </c>
      <c r="D27" s="305" t="s">
        <v>2951</v>
      </c>
      <c r="E27" s="339" t="str">
        <f>IFERROR(IF(OR(D27='DICTIONARY-5'!$A$2,D27='DICTIONARY-5'!$A$4,ISBLANK(D27)),VLOOKUP(C27,LIST!$A$6:$L$3250,CURR_1.SEARCH.OLD,0),VLOOKUP(D27,LIST!$B$6:$L$3250,CURR_1.SEARCH.NEW,0)),'DICTIONARY-5'!$A$2)</f>
        <v>14,-</v>
      </c>
      <c r="F27" s="339" t="str">
        <f>IFERROR(IF(OR(D27='DICTIONARY-5'!$A$2,D27='DICTIONARY-5'!$A$4,ISBLANK(D27)),VLOOKUP(C27,LIST!$A$6:$M$3250,CURR_2.SEARCH.OLD,0),VLOOKUP(D27,LIST!$B$6:$M$3250,CURR_2.SEARCH.NEW,0)),'DICTIONARY-5'!$A$2)</f>
        <v/>
      </c>
    </row>
    <row r="28" spans="1:6" x14ac:dyDescent="0.25">
      <c r="A28" s="286">
        <v>125</v>
      </c>
      <c r="B28" s="286">
        <v>144</v>
      </c>
      <c r="C28" s="286" t="s">
        <v>2561</v>
      </c>
      <c r="D28" s="305" t="s">
        <v>2954</v>
      </c>
      <c r="E28" s="339" t="str">
        <f>IFERROR(IF(OR(D28='DICTIONARY-5'!$A$2,D28='DICTIONARY-5'!$A$4,ISBLANK(D28)),VLOOKUP(C28,LIST!$A$6:$L$3250,CURR_1.SEARCH.OLD,0),VLOOKUP(D28,LIST!$B$6:$L$3250,CURR_1.SEARCH.NEW,0)),'DICTIONARY-5'!$A$2)</f>
        <v>15,-</v>
      </c>
      <c r="F28" s="339" t="str">
        <f>IFERROR(IF(OR(D28='DICTIONARY-5'!$A$2,D28='DICTIONARY-5'!$A$4,ISBLANK(D28)),VLOOKUP(C28,LIST!$A$6:$M$3250,CURR_2.SEARCH.OLD,0),VLOOKUP(D28,LIST!$B$6:$M$3250,CURR_2.SEARCH.NEW,0)),'DICTIONARY-5'!$A$2)</f>
        <v/>
      </c>
    </row>
    <row r="29" spans="1:6" x14ac:dyDescent="0.25">
      <c r="A29" s="286">
        <v>150</v>
      </c>
      <c r="B29" s="286">
        <v>170</v>
      </c>
      <c r="C29" s="286" t="s">
        <v>2562</v>
      </c>
      <c r="D29" s="305" t="s">
        <v>2952</v>
      </c>
      <c r="E29" s="339" t="str">
        <f>IFERROR(IF(OR(D29='DICTIONARY-5'!$A$2,D29='DICTIONARY-5'!$A$4,ISBLANK(D29)),VLOOKUP(C29,LIST!$A$6:$L$3250,CURR_1.SEARCH.OLD,0),VLOOKUP(D29,LIST!$B$6:$L$3250,CURR_1.SEARCH.NEW,0)),'DICTIONARY-5'!$A$2)</f>
        <v>19,-</v>
      </c>
      <c r="F29" s="339" t="str">
        <f>IFERROR(IF(OR(D29='DICTIONARY-5'!$A$2,D29='DICTIONARY-5'!$A$4,ISBLANK(D29)),VLOOKUP(C29,LIST!$A$6:$M$3250,CURR_2.SEARCH.OLD,0),VLOOKUP(D29,LIST!$B$6:$M$3250,CURR_2.SEARCH.NEW,0)),'DICTIONARY-5'!$A$2)</f>
        <v/>
      </c>
    </row>
    <row r="30" spans="1:6" x14ac:dyDescent="0.25">
      <c r="A30" s="286">
        <v>200</v>
      </c>
      <c r="B30" s="286">
        <v>222</v>
      </c>
      <c r="C30" s="286" t="s">
        <v>2563</v>
      </c>
      <c r="D30" s="305" t="s">
        <v>2953</v>
      </c>
      <c r="E30" s="339" t="str">
        <f>IFERROR(IF(OR(D30='DICTIONARY-5'!$A$2,D30='DICTIONARY-5'!$A$4,ISBLANK(D30)),VLOOKUP(C30,LIST!$A$6:$L$3250,CURR_1.SEARCH.OLD,0),VLOOKUP(D30,LIST!$B$6:$L$3250,CURR_1.SEARCH.NEW,0)),'DICTIONARY-5'!$A$2)</f>
        <v>23,-</v>
      </c>
      <c r="F30" s="339" t="str">
        <f>IFERROR(IF(OR(D30='DICTIONARY-5'!$A$2,D30='DICTIONARY-5'!$A$4,ISBLANK(D30)),VLOOKUP(C30,LIST!$A$6:$M$3250,CURR_2.SEARCH.OLD,0),VLOOKUP(D30,LIST!$B$6:$M$3250,CURR_2.SEARCH.NEW,0)),'DICTIONARY-5'!$A$2)</f>
        <v/>
      </c>
    </row>
    <row r="32" spans="1:6" x14ac:dyDescent="0.25">
      <c r="A32" s="277" t="str">
        <f>"1) "&amp;'DICTIONARY-5'!$A$74</f>
        <v>1) Zewnętrzna średnica rury</v>
      </c>
    </row>
    <row r="36" spans="1:6" ht="16.5" thickBot="1" x14ac:dyDescent="0.3">
      <c r="A36" s="712" t="str">
        <f>CONCATENATE('DICTIONARY-3'!$A$153," ",'DICTIONARY-3'!$A$227," / ",UPPER('DICTIONARY-5'!$A$18))</f>
        <v>BAIO Uszczelki / GAZ</v>
      </c>
      <c r="B36" s="712"/>
      <c r="C36" s="712"/>
      <c r="D36" s="712"/>
      <c r="E36" s="712"/>
      <c r="F36" s="712"/>
    </row>
    <row r="37" spans="1:6" x14ac:dyDescent="0.25">
      <c r="A37" s="258" t="str">
        <f>CONCATENATE('DICTIONARY-1'!$A$10,": ",SETTINGS!$C$39)</f>
        <v>Grupa rabatowa: BAIO Fittings</v>
      </c>
    </row>
    <row r="38" spans="1:6" x14ac:dyDescent="0.25">
      <c r="A38" s="280"/>
      <c r="B38" s="280"/>
      <c r="C38" s="278"/>
      <c r="D38" s="278"/>
      <c r="E38" s="276"/>
      <c r="F38" s="276"/>
    </row>
    <row r="39" spans="1:6" x14ac:dyDescent="0.25">
      <c r="A39" s="281" t="str">
        <f>'DICTIONARY-2'!$A$2</f>
        <v>DN</v>
      </c>
      <c r="B39" s="281" t="str">
        <f>'DICTIONARY-2'!$A$5&amp;" 1)"</f>
        <v>Da 1)</v>
      </c>
      <c r="C39" s="1073" t="str">
        <f>'DICTIONARY-3'!$A$178</f>
        <v>BAIO GKS</v>
      </c>
      <c r="D39" s="1074"/>
      <c r="E39" s="1074"/>
      <c r="F39" s="1075"/>
    </row>
    <row r="40" spans="1:6" ht="15" customHeight="1" x14ac:dyDescent="0.25">
      <c r="A40" s="290"/>
      <c r="B40" s="290"/>
      <c r="C40" s="1076" t="str">
        <f>'DICTIONARY-5'!$A$43&amp;": "&amp;'DICTIONARY-5'!$A$45&amp;", "&amp;'DICTIONARY-5'!$A$122&amp;": "&amp;'DICTIONARY-5'!$A$58</f>
        <v>guma: NBR, rura: PE-HD</v>
      </c>
      <c r="D40" s="1077"/>
      <c r="E40" s="1077"/>
      <c r="F40" s="1078"/>
    </row>
    <row r="41" spans="1:6" x14ac:dyDescent="0.25">
      <c r="A41" s="282"/>
      <c r="B41" s="282" t="str">
        <f>'DICTIONARY-2'!$A$18</f>
        <v>[mm]</v>
      </c>
      <c r="C41" s="283" t="str">
        <f>'DICTIONARY-2'!$A$28</f>
        <v>stary nr zamówienia</v>
      </c>
      <c r="D41" s="283" t="str">
        <f>'DICTIONARY-2'!$A$29</f>
        <v>nowy nr zamówienia</v>
      </c>
      <c r="E41" s="284" t="str">
        <f>CURRENCY.CODE_1</f>
        <v>EUR</v>
      </c>
      <c r="F41" s="284" t="str">
        <f>CURRENCY.CODE_2</f>
        <v>---</v>
      </c>
    </row>
    <row r="42" spans="1:6" x14ac:dyDescent="0.25">
      <c r="A42" s="286">
        <v>80</v>
      </c>
      <c r="B42" s="286">
        <v>90</v>
      </c>
      <c r="C42" s="286" t="s">
        <v>2565</v>
      </c>
      <c r="D42" s="305" t="s">
        <v>2946</v>
      </c>
      <c r="E42" s="339" t="str">
        <f>IFERROR(IF(OR(D42='DICTIONARY-5'!$A$2,D42='DICTIONARY-5'!$A$4,ISBLANK(D42)),VLOOKUP(C42,LIST!$A$6:$L$3250,CURR_1.SEARCH.OLD,0),VLOOKUP(D42,LIST!$B$6:$L$3250,CURR_1.SEARCH.NEW,0)),'DICTIONARY-5'!$A$2)</f>
        <v>21,-</v>
      </c>
      <c r="F42" s="339" t="str">
        <f>IFERROR(IF(OR(D42='DICTIONARY-5'!$A$2,D42='DICTIONARY-5'!$A$4,ISBLANK(D42)),VLOOKUP(C42,LIST!$A$6:$M$3250,CURR_2.SEARCH.OLD,0),VLOOKUP(D42,LIST!$B$6:$M$3250,CURR_2.SEARCH.NEW,0)),'DICTIONARY-5'!$A$2)</f>
        <v/>
      </c>
    </row>
    <row r="43" spans="1:6" x14ac:dyDescent="0.25">
      <c r="A43" s="286">
        <v>100</v>
      </c>
      <c r="B43" s="286">
        <v>110</v>
      </c>
      <c r="C43" s="286" t="s">
        <v>2567</v>
      </c>
      <c r="D43" s="305" t="s">
        <v>2942</v>
      </c>
      <c r="E43" s="339" t="str">
        <f>IFERROR(IF(OR(D43='DICTIONARY-5'!$A$2,D43='DICTIONARY-5'!$A$4,ISBLANK(D43)),VLOOKUP(C43,LIST!$A$6:$L$3250,CURR_1.SEARCH.OLD,0),VLOOKUP(D43,LIST!$B$6:$L$3250,CURR_1.SEARCH.NEW,0)),'DICTIONARY-5'!$A$2)</f>
        <v>23,-</v>
      </c>
      <c r="F43" s="339" t="str">
        <f>IFERROR(IF(OR(D43='DICTIONARY-5'!$A$2,D43='DICTIONARY-5'!$A$4,ISBLANK(D43)),VLOOKUP(C43,LIST!$A$6:$M$3250,CURR_2.SEARCH.OLD,0),VLOOKUP(D43,LIST!$B$6:$M$3250,CURR_2.SEARCH.NEW,0)),'DICTIONARY-5'!$A$2)</f>
        <v/>
      </c>
    </row>
    <row r="44" spans="1:6" x14ac:dyDescent="0.25">
      <c r="A44" s="286">
        <v>100</v>
      </c>
      <c r="B44" s="286">
        <v>125</v>
      </c>
      <c r="C44" s="286" t="s">
        <v>2569</v>
      </c>
      <c r="D44" s="305" t="s">
        <v>2947</v>
      </c>
      <c r="E44" s="339" t="str">
        <f>IFERROR(IF(OR(D44='DICTIONARY-5'!$A$2,D44='DICTIONARY-5'!$A$4,ISBLANK(D44)),VLOOKUP(C44,LIST!$A$6:$L$3250,CURR_1.SEARCH.OLD,0),VLOOKUP(D44,LIST!$B$6:$L$3250,CURR_1.SEARCH.NEW,0)),'DICTIONARY-5'!$A$2)</f>
        <v>26,-</v>
      </c>
      <c r="F44" s="339" t="str">
        <f>IFERROR(IF(OR(D44='DICTIONARY-5'!$A$2,D44='DICTIONARY-5'!$A$4,ISBLANK(D44)),VLOOKUP(C44,LIST!$A$6:$M$3250,CURR_2.SEARCH.OLD,0),VLOOKUP(D44,LIST!$B$6:$M$3250,CURR_2.SEARCH.NEW,0)),'DICTIONARY-5'!$A$2)</f>
        <v/>
      </c>
    </row>
    <row r="45" spans="1:6" x14ac:dyDescent="0.25">
      <c r="A45" s="286">
        <v>125</v>
      </c>
      <c r="B45" s="286">
        <v>125</v>
      </c>
      <c r="C45" s="286"/>
      <c r="D45" s="287"/>
      <c r="E45" s="287"/>
      <c r="F45" s="287"/>
    </row>
    <row r="46" spans="1:6" x14ac:dyDescent="0.25">
      <c r="A46" s="286">
        <v>125</v>
      </c>
      <c r="B46" s="286">
        <v>140</v>
      </c>
      <c r="C46" s="286" t="s">
        <v>2572</v>
      </c>
      <c r="D46" s="305" t="s">
        <v>2943</v>
      </c>
      <c r="E46" s="339" t="str">
        <f>IFERROR(IF(OR(D46='DICTIONARY-5'!$A$2,D46='DICTIONARY-5'!$A$4,ISBLANK(D46)),VLOOKUP(C46,LIST!$A$6:$L$3250,CURR_1.SEARCH.OLD,0),VLOOKUP(D46,LIST!$B$6:$L$3250,CURR_1.SEARCH.NEW,0)),'DICTIONARY-5'!$A$2)</f>
        <v>29,-</v>
      </c>
      <c r="F46" s="339" t="str">
        <f>IFERROR(IF(OR(D46='DICTIONARY-5'!$A$2,D46='DICTIONARY-5'!$A$4,ISBLANK(D46)),VLOOKUP(C46,LIST!$A$6:$M$3250,CURR_2.SEARCH.OLD,0),VLOOKUP(D46,LIST!$B$6:$M$3250,CURR_2.SEARCH.NEW,0)),'DICTIONARY-5'!$A$2)</f>
        <v/>
      </c>
    </row>
    <row r="47" spans="1:6" x14ac:dyDescent="0.25">
      <c r="A47" s="286">
        <v>150</v>
      </c>
      <c r="B47" s="286">
        <v>160</v>
      </c>
      <c r="C47" s="286" t="s">
        <v>2574</v>
      </c>
      <c r="D47" s="305" t="s">
        <v>2944</v>
      </c>
      <c r="E47" s="339" t="str">
        <f>IFERROR(IF(OR(D47='DICTIONARY-5'!$A$2,D47='DICTIONARY-5'!$A$4,ISBLANK(D47)),VLOOKUP(C47,LIST!$A$6:$L$3250,CURR_1.SEARCH.OLD,0),VLOOKUP(D47,LIST!$B$6:$L$3250,CURR_1.SEARCH.NEW,0)),'DICTIONARY-5'!$A$2)</f>
        <v>32,-</v>
      </c>
      <c r="F47" s="339" t="str">
        <f>IFERROR(IF(OR(D47='DICTIONARY-5'!$A$2,D47='DICTIONARY-5'!$A$4,ISBLANK(D47)),VLOOKUP(C47,LIST!$A$6:$M$3250,CURR_2.SEARCH.OLD,0),VLOOKUP(D47,LIST!$B$6:$M$3250,CURR_2.SEARCH.NEW,0)),'DICTIONARY-5'!$A$2)</f>
        <v/>
      </c>
    </row>
    <row r="48" spans="1:6" x14ac:dyDescent="0.25">
      <c r="A48" s="286">
        <v>150</v>
      </c>
      <c r="B48" s="286">
        <v>180</v>
      </c>
      <c r="C48" s="286" t="s">
        <v>2576</v>
      </c>
      <c r="D48" s="305" t="s">
        <v>2948</v>
      </c>
      <c r="E48" s="339" t="str">
        <f>IFERROR(IF(OR(D48='DICTIONARY-5'!$A$2,D48='DICTIONARY-5'!$A$4,ISBLANK(D48)),VLOOKUP(C48,LIST!$A$6:$L$3250,CURR_1.SEARCH.OLD,0),VLOOKUP(D48,LIST!$B$6:$L$3250,CURR_1.SEARCH.NEW,0)),'DICTIONARY-5'!$A$2)</f>
        <v>36,-</v>
      </c>
      <c r="F48" s="339" t="str">
        <f>IFERROR(IF(OR(D48='DICTIONARY-5'!$A$2,D48='DICTIONARY-5'!$A$4,ISBLANK(D48)),VLOOKUP(C48,LIST!$A$6:$M$3250,CURR_2.SEARCH.OLD,0),VLOOKUP(D48,LIST!$B$6:$M$3250,CURR_2.SEARCH.NEW,0)),'DICTIONARY-5'!$A$2)</f>
        <v/>
      </c>
    </row>
    <row r="49" spans="1:6" x14ac:dyDescent="0.25">
      <c r="A49" s="286">
        <v>200</v>
      </c>
      <c r="B49" s="286">
        <v>200</v>
      </c>
      <c r="C49" s="286" t="s">
        <v>2578</v>
      </c>
      <c r="D49" s="305" t="s">
        <v>2949</v>
      </c>
      <c r="E49" s="339" t="str">
        <f>IFERROR(IF(OR(D49='DICTIONARY-5'!$A$2,D49='DICTIONARY-5'!$A$4,ISBLANK(D49)),VLOOKUP(C49,LIST!$A$6:$L$3250,CURR_1.SEARCH.OLD,0),VLOOKUP(D49,LIST!$B$6:$L$3250,CURR_1.SEARCH.NEW,0)),'DICTIONARY-5'!$A$2)</f>
        <v>49,-</v>
      </c>
      <c r="F49" s="339" t="str">
        <f>IFERROR(IF(OR(D49='DICTIONARY-5'!$A$2,D49='DICTIONARY-5'!$A$4,ISBLANK(D49)),VLOOKUP(C49,LIST!$A$6:$M$3250,CURR_2.SEARCH.OLD,0),VLOOKUP(D49,LIST!$B$6:$M$3250,CURR_2.SEARCH.NEW,0)),'DICTIONARY-5'!$A$2)</f>
        <v/>
      </c>
    </row>
    <row r="50" spans="1:6" x14ac:dyDescent="0.25">
      <c r="A50" s="286">
        <v>200</v>
      </c>
      <c r="B50" s="286">
        <v>225</v>
      </c>
      <c r="C50" s="286" t="s">
        <v>2580</v>
      </c>
      <c r="D50" s="305" t="s">
        <v>2945</v>
      </c>
      <c r="E50" s="339" t="str">
        <f>IFERROR(IF(OR(D50='DICTIONARY-5'!$A$2,D50='DICTIONARY-5'!$A$4,ISBLANK(D50)),VLOOKUP(C50,LIST!$A$6:$L$3250,CURR_1.SEARCH.OLD,0),VLOOKUP(D50,LIST!$B$6:$L$3250,CURR_1.SEARCH.NEW,0)),'DICTIONARY-5'!$A$2)</f>
        <v>43,-</v>
      </c>
      <c r="F50" s="339" t="str">
        <f>IFERROR(IF(OR(D50='DICTIONARY-5'!$A$2,D50='DICTIONARY-5'!$A$4,ISBLANK(D50)),VLOOKUP(C50,LIST!$A$6:$M$3250,CURR_2.SEARCH.OLD,0),VLOOKUP(D50,LIST!$B$6:$M$3250,CURR_2.SEARCH.NEW,0)),'DICTIONARY-5'!$A$2)</f>
        <v/>
      </c>
    </row>
    <row r="52" spans="1:6" x14ac:dyDescent="0.25">
      <c r="A52" s="277" t="str">
        <f>"1) "&amp;'DICTIONARY-5'!$A$74</f>
        <v>1) Zewnętrzna średnica rury</v>
      </c>
    </row>
  </sheetData>
  <sheetProtection algorithmName="SHA-512" hashValue="qg9sctjIvHvfkGNW07f/p/FprZWykMvsNsQJ1swfto1OMG73+dvL4COxgRDmcG6yItLveEqjvjz//U+sV+y+xA==" saltValue="lIPEyDzOmzVk+Z9EZiBAbQ==" spinCount="100000" sheet="1" objects="1" scenarios="1" autoFilter="0"/>
  <mergeCells count="7">
    <mergeCell ref="B4:E4"/>
    <mergeCell ref="C39:F39"/>
    <mergeCell ref="C40:F40"/>
    <mergeCell ref="C24:F24"/>
    <mergeCell ref="C9:F9"/>
    <mergeCell ref="C23:F23"/>
    <mergeCell ref="C10:F10"/>
  </mergeCells>
  <pageMargins left="0.7" right="0.7" top="0.78740157499999996" bottom="0.78740157499999996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8">
    <tabColor rgb="FFFFC000"/>
  </sheetPr>
  <dimension ref="A1:H45"/>
  <sheetViews>
    <sheetView workbookViewId="0"/>
  </sheetViews>
  <sheetFormatPr defaultColWidth="9.140625" defaultRowHeight="15" x14ac:dyDescent="0.25"/>
  <cols>
    <col min="1" max="2" width="9.140625" style="278"/>
    <col min="3" max="4" width="22.140625" style="278" customWidth="1"/>
    <col min="5" max="6" width="12.85546875" style="276" customWidth="1"/>
    <col min="7" max="16384" width="9.140625" style="277"/>
  </cols>
  <sheetData>
    <row r="1" spans="1:8" s="391" customFormat="1" ht="45" customHeight="1" thickBot="1" x14ac:dyDescent="0.3">
      <c r="A1" s="424"/>
      <c r="B1" s="424"/>
      <c r="C1" s="424"/>
      <c r="D1" s="424"/>
      <c r="E1" s="393"/>
      <c r="F1" s="393"/>
    </row>
    <row r="2" spans="1:8" s="444" customFormat="1" ht="4.5" customHeight="1" x14ac:dyDescent="0.25">
      <c r="A2" s="443"/>
      <c r="B2" s="445"/>
      <c r="C2" s="445"/>
      <c r="D2" s="445"/>
      <c r="E2" s="446"/>
      <c r="F2" s="446"/>
    </row>
    <row r="3" spans="1:8" ht="15.75" thickBot="1" x14ac:dyDescent="0.3"/>
    <row r="4" spans="1:8" ht="15.75" thickBot="1" x14ac:dyDescent="0.3">
      <c r="A4" s="818">
        <f>ADD.DISCOUNT</f>
        <v>0</v>
      </c>
      <c r="B4" s="992" t="str">
        <f>HYPERLINK("#'LIST'!ADD.DISCOUNT","» "&amp;'DICTIONARY-1'!$A$5)</f>
        <v>» Ustaw globalny dodatkowy rabat</v>
      </c>
      <c r="C4" s="1071"/>
      <c r="D4" s="1071"/>
      <c r="E4" s="1072"/>
    </row>
    <row r="6" spans="1:8" ht="16.5" thickBot="1" x14ac:dyDescent="0.3">
      <c r="A6" s="712" t="str">
        <f>CONCATENATE('DICTIONARY-3'!$A$180," ",'DICTIONARY-3'!$A$224)</f>
        <v>BAIOstop Zabezpieczenie przed wyrwaniem</v>
      </c>
      <c r="B6" s="712"/>
      <c r="C6" s="712"/>
      <c r="D6" s="712"/>
      <c r="E6" s="712"/>
      <c r="F6" s="712"/>
    </row>
    <row r="7" spans="1:8" x14ac:dyDescent="0.25">
      <c r="A7" s="279" t="str">
        <f>'DICTIONARY-5'!$A$210</f>
        <v>Przeciwdziała przemieszczeniu końcówki rury w kielichu</v>
      </c>
      <c r="B7" s="279"/>
    </row>
    <row r="8" spans="1:8" x14ac:dyDescent="0.25">
      <c r="A8" s="258" t="str">
        <f>CONCATENATE('DICTIONARY-1'!$A$10,": ",SETTINGS!$C$39)</f>
        <v>Grupa rabatowa: BAIO Fittings</v>
      </c>
      <c r="B8" s="279"/>
    </row>
    <row r="9" spans="1:8" x14ac:dyDescent="0.25">
      <c r="A9" s="258"/>
      <c r="B9" s="280"/>
    </row>
    <row r="10" spans="1:8" x14ac:dyDescent="0.25">
      <c r="A10" s="281" t="str">
        <f>'DICTIONARY-2'!$A$2</f>
        <v>DN</v>
      </c>
      <c r="B10" s="281" t="str">
        <f>'DICTIONARY-2'!$A$5&amp;" 1)"</f>
        <v>Da 1)</v>
      </c>
      <c r="C10" s="1079" t="str">
        <f>'DICTIONARY-3'!$A$180</f>
        <v>BAIOstop</v>
      </c>
      <c r="D10" s="1079"/>
      <c r="E10" s="1079"/>
      <c r="F10" s="1079"/>
    </row>
    <row r="11" spans="1:8" x14ac:dyDescent="0.25">
      <c r="A11" s="290"/>
      <c r="B11" s="290"/>
      <c r="C11" s="1076" t="str">
        <f>'DICTIONARY-5'!$A$122&amp;": "&amp;'DICTIONARY-5'!$A$48</f>
        <v>rura: żeliwo</v>
      </c>
      <c r="D11" s="1077"/>
      <c r="E11" s="1077"/>
      <c r="F11" s="1078"/>
    </row>
    <row r="12" spans="1:8" x14ac:dyDescent="0.25">
      <c r="A12" s="282"/>
      <c r="B12" s="282" t="str">
        <f>'DICTIONARY-2'!$A$18</f>
        <v>[mm]</v>
      </c>
      <c r="C12" s="283" t="str">
        <f>'DICTIONARY-2'!$A$28</f>
        <v>stary nr zamówienia</v>
      </c>
      <c r="D12" s="283" t="str">
        <f>'DICTIONARY-2'!$A$29</f>
        <v>nowy nr zamówienia</v>
      </c>
      <c r="E12" s="284" t="str">
        <f>CURRENCY.CODE_1</f>
        <v>EUR</v>
      </c>
      <c r="F12" s="284" t="str">
        <f>CURRENCY.CODE_2</f>
        <v>---</v>
      </c>
      <c r="H12" s="285"/>
    </row>
    <row r="13" spans="1:8" x14ac:dyDescent="0.25">
      <c r="A13" s="286">
        <v>80</v>
      </c>
      <c r="B13" s="286">
        <v>98</v>
      </c>
      <c r="C13" s="286" t="s">
        <v>2538</v>
      </c>
      <c r="D13" s="305" t="s">
        <v>2879</v>
      </c>
      <c r="E13" s="339" t="str">
        <f>IFERROR(IF(OR(D13='DICTIONARY-5'!$A$2,D13='DICTIONARY-5'!$A$4,ISBLANK(D13)),VLOOKUP(C13,LIST!$A$6:$L$3250,CURR_1.SEARCH.OLD,0),VLOOKUP(D13,LIST!$B$6:$L$3250,CURR_1.SEARCH.NEW,0)),'DICTIONARY-5'!$A$2)</f>
        <v>72,-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  <c r="H13" s="288"/>
    </row>
    <row r="14" spans="1:8" x14ac:dyDescent="0.25">
      <c r="A14" s="286">
        <v>100</v>
      </c>
      <c r="B14" s="286">
        <v>118</v>
      </c>
      <c r="C14" s="286" t="s">
        <v>2539</v>
      </c>
      <c r="D14" s="305" t="s">
        <v>3569</v>
      </c>
      <c r="E14" s="339" t="str">
        <f>IFERROR(IF(OR(D14='DICTIONARY-5'!$A$2,D14='DICTIONARY-5'!$A$4,ISBLANK(D14)),VLOOKUP(C14,LIST!$A$6:$L$3250,CURR_1.SEARCH.OLD,0),VLOOKUP(D14,LIST!$B$6:$L$3250,CURR_1.SEARCH.NEW,0)),'DICTIONARY-5'!$A$2)</f>
        <v>119,-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  <c r="H14" s="288"/>
    </row>
    <row r="15" spans="1:8" x14ac:dyDescent="0.25">
      <c r="A15" s="286">
        <v>125</v>
      </c>
      <c r="B15" s="286">
        <v>144</v>
      </c>
      <c r="C15" s="286" t="s">
        <v>2540</v>
      </c>
      <c r="D15" s="305" t="s">
        <v>2880</v>
      </c>
      <c r="E15" s="339" t="str">
        <f>IFERROR(IF(OR(D15='DICTIONARY-5'!$A$2,D15='DICTIONARY-5'!$A$4,ISBLANK(D15)),VLOOKUP(C15,LIST!$A$6:$L$3250,CURR_1.SEARCH.OLD,0),VLOOKUP(D15,LIST!$B$6:$L$3250,CURR_1.SEARCH.NEW,0)),'DICTIONARY-5'!$A$2)</f>
        <v>106,-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  <c r="H15" s="288"/>
    </row>
    <row r="16" spans="1:8" x14ac:dyDescent="0.25">
      <c r="A16" s="286">
        <v>150</v>
      </c>
      <c r="B16" s="286">
        <v>170</v>
      </c>
      <c r="C16" s="286" t="s">
        <v>2541</v>
      </c>
      <c r="D16" s="305" t="s">
        <v>2881</v>
      </c>
      <c r="E16" s="339" t="str">
        <f>IFERROR(IF(OR(D16='DICTIONARY-5'!$A$2,D16='DICTIONARY-5'!$A$4,ISBLANK(D16)),VLOOKUP(C16,LIST!$A$6:$L$3250,CURR_1.SEARCH.OLD,0),VLOOKUP(D16,LIST!$B$6:$L$3250,CURR_1.SEARCH.NEW,0)),'DICTIONARY-5'!$A$2)</f>
        <v>109,-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  <c r="H16" s="288"/>
    </row>
    <row r="17" spans="1:8" x14ac:dyDescent="0.25">
      <c r="A17" s="286">
        <v>200</v>
      </c>
      <c r="B17" s="286">
        <v>222</v>
      </c>
      <c r="C17" s="286" t="s">
        <v>2542</v>
      </c>
      <c r="D17" s="305" t="str">
        <f>'DICTIONARY-5'!$A$2</f>
        <v>na zapytanie</v>
      </c>
      <c r="E17" s="339" t="str">
        <f>IFERROR(IF(OR(D17='DICTIONARY-5'!$A$2,D17='DICTIONARY-5'!$A$4,ISBLANK(D17)),VLOOKUP(C17,LIST!$A$6:$L$3250,CURR_1.SEARCH.OLD,0),VLOOKUP(D17,LIST!$B$6:$L$3250,CURR_1.SEARCH.NEW,0)),'DICTIONARY-5'!$A$2)</f>
        <v>na zapytanie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  <c r="H17" s="288"/>
    </row>
    <row r="18" spans="1:8" x14ac:dyDescent="0.25">
      <c r="H18" s="288"/>
    </row>
    <row r="19" spans="1:8" x14ac:dyDescent="0.25">
      <c r="H19" s="288"/>
    </row>
    <row r="20" spans="1:8" x14ac:dyDescent="0.25">
      <c r="A20" s="281" t="str">
        <f>'DICTIONARY-2'!$A$2</f>
        <v>DN</v>
      </c>
      <c r="B20" s="281" t="str">
        <f>'DICTIONARY-2'!$A$5&amp;" 1)"</f>
        <v>Da 1)</v>
      </c>
      <c r="C20" s="1079" t="str">
        <f>'DICTIONARY-3'!$A$180</f>
        <v>BAIOstop</v>
      </c>
      <c r="D20" s="1079"/>
      <c r="E20" s="1079"/>
      <c r="F20" s="1079"/>
      <c r="H20" s="288"/>
    </row>
    <row r="21" spans="1:8" x14ac:dyDescent="0.25">
      <c r="A21" s="290"/>
      <c r="B21" s="290"/>
      <c r="C21" s="1076" t="str">
        <f>'DICTIONARY-5'!$A$122&amp;": "&amp;'DICTIONARY-5'!$A$56</f>
        <v>rura: PVC</v>
      </c>
      <c r="D21" s="1077"/>
      <c r="E21" s="1077"/>
      <c r="F21" s="1078"/>
      <c r="H21" s="288"/>
    </row>
    <row r="22" spans="1:8" x14ac:dyDescent="0.25">
      <c r="A22" s="282"/>
      <c r="B22" s="282" t="str">
        <f>'DICTIONARY-2'!$A$18</f>
        <v>[mm]</v>
      </c>
      <c r="C22" s="283" t="str">
        <f>'DICTIONARY-2'!$A$28</f>
        <v>stary nr zamówienia</v>
      </c>
      <c r="D22" s="283" t="str">
        <f>'DICTIONARY-2'!$A$29</f>
        <v>nowy nr zamówienia</v>
      </c>
      <c r="E22" s="284" t="str">
        <f>CURRENCY.CODE_1</f>
        <v>EUR</v>
      </c>
      <c r="F22" s="284" t="str">
        <f>CURRENCY.CODE_2</f>
        <v>---</v>
      </c>
      <c r="H22" s="288"/>
    </row>
    <row r="23" spans="1:8" x14ac:dyDescent="0.25">
      <c r="A23" s="286">
        <v>80</v>
      </c>
      <c r="B23" s="286">
        <v>90</v>
      </c>
      <c r="C23" s="286" t="s">
        <v>2543</v>
      </c>
      <c r="D23" s="305" t="s">
        <v>2882</v>
      </c>
      <c r="E23" s="339" t="str">
        <f>IFERROR(IF(OR(D23='DICTIONARY-5'!$A$2,D23='DICTIONARY-5'!$A$4,ISBLANK(D23)),VLOOKUP(C23,LIST!$A$6:$L$3250,CURR_1.SEARCH.OLD,0),VLOOKUP(D23,LIST!$B$6:$L$3250,CURR_1.SEARCH.NEW,0)),'DICTIONARY-5'!$A$2)</f>
        <v>69,-</v>
      </c>
      <c r="F23" s="339" t="str">
        <f>IFERROR(IF(OR(D23='DICTIONARY-5'!$A$2,D23='DICTIONARY-5'!$A$4,ISBLANK(D23)),VLOOKUP(C23,LIST!$A$6:$M$3250,CURR_2.SEARCH.OLD,0),VLOOKUP(D23,LIST!$B$6:$M$3250,CURR_2.SEARCH.NEW,0)),'DICTIONARY-5'!$A$2)</f>
        <v/>
      </c>
      <c r="H23" s="288"/>
    </row>
    <row r="24" spans="1:8" x14ac:dyDescent="0.25">
      <c r="A24" s="286">
        <v>100</v>
      </c>
      <c r="B24" s="286">
        <v>110</v>
      </c>
      <c r="C24" s="286" t="s">
        <v>2544</v>
      </c>
      <c r="D24" s="305" t="s">
        <v>3570</v>
      </c>
      <c r="E24" s="339" t="str">
        <f>IFERROR(IF(OR(D24='DICTIONARY-5'!$A$2,D24='DICTIONARY-5'!$A$4,ISBLANK(D24)),VLOOKUP(C24,LIST!$A$6:$L$3250,CURR_1.SEARCH.OLD,0),VLOOKUP(D24,LIST!$B$6:$L$3250,CURR_1.SEARCH.NEW,0)),'DICTIONARY-5'!$A$2)</f>
        <v>99,-</v>
      </c>
      <c r="F24" s="339" t="str">
        <f>IFERROR(IF(OR(D24='DICTIONARY-5'!$A$2,D24='DICTIONARY-5'!$A$4,ISBLANK(D24)),VLOOKUP(C24,LIST!$A$6:$M$3250,CURR_2.SEARCH.OLD,0),VLOOKUP(D24,LIST!$B$6:$M$3250,CURR_2.SEARCH.NEW,0)),'DICTIONARY-5'!$A$2)</f>
        <v/>
      </c>
      <c r="H24" s="288"/>
    </row>
    <row r="25" spans="1:8" x14ac:dyDescent="0.25">
      <c r="A25" s="286">
        <v>125</v>
      </c>
      <c r="B25" s="286">
        <v>125</v>
      </c>
      <c r="C25" s="286" t="s">
        <v>2545</v>
      </c>
      <c r="D25" s="305" t="s">
        <v>2889</v>
      </c>
      <c r="E25" s="339" t="str">
        <f>IFERROR(IF(OR(D25='DICTIONARY-5'!$A$2,D25='DICTIONARY-5'!$A$4,ISBLANK(D25)),VLOOKUP(C25,LIST!$A$6:$L$3250,CURR_1.SEARCH.OLD,0),VLOOKUP(D25,LIST!$B$6:$L$3250,CURR_1.SEARCH.NEW,0)),'DICTIONARY-5'!$A$2)</f>
        <v>106,-</v>
      </c>
      <c r="F25" s="339" t="str">
        <f>IFERROR(IF(OR(D25='DICTIONARY-5'!$A$2,D25='DICTIONARY-5'!$A$4,ISBLANK(D25)),VLOOKUP(C25,LIST!$A$6:$M$3250,CURR_2.SEARCH.OLD,0),VLOOKUP(D25,LIST!$B$6:$M$3250,CURR_2.SEARCH.NEW,0)),'DICTIONARY-5'!$A$2)</f>
        <v/>
      </c>
      <c r="H25" s="288"/>
    </row>
    <row r="26" spans="1:8" x14ac:dyDescent="0.25">
      <c r="A26" s="286">
        <v>125</v>
      </c>
      <c r="B26" s="286">
        <v>140</v>
      </c>
      <c r="C26" s="286" t="s">
        <v>2546</v>
      </c>
      <c r="D26" s="305" t="s">
        <v>2883</v>
      </c>
      <c r="E26" s="339" t="str">
        <f>IFERROR(IF(OR(D26='DICTIONARY-5'!$A$2,D26='DICTIONARY-5'!$A$4,ISBLANK(D26)),VLOOKUP(C26,LIST!$A$6:$L$3250,CURR_1.SEARCH.OLD,0),VLOOKUP(D26,LIST!$B$6:$L$3250,CURR_1.SEARCH.NEW,0)),'DICTIONARY-5'!$A$2)</f>
        <v>114,-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  <c r="H26" s="288"/>
    </row>
    <row r="27" spans="1:8" x14ac:dyDescent="0.25">
      <c r="A27" s="286">
        <v>150</v>
      </c>
      <c r="B27" s="286">
        <v>160</v>
      </c>
      <c r="C27" s="286" t="s">
        <v>2547</v>
      </c>
      <c r="D27" s="305" t="s">
        <v>2884</v>
      </c>
      <c r="E27" s="339" t="str">
        <f>IFERROR(IF(OR(D27='DICTIONARY-5'!$A$2,D27='DICTIONARY-5'!$A$4,ISBLANK(D27)),VLOOKUP(C27,LIST!$A$6:$L$3250,CURR_1.SEARCH.OLD,0),VLOOKUP(D27,LIST!$B$6:$L$3250,CURR_1.SEARCH.NEW,0)),'DICTIONARY-5'!$A$2)</f>
        <v>105,-</v>
      </c>
      <c r="F27" s="339" t="str">
        <f>IFERROR(IF(OR(D27='DICTIONARY-5'!$A$2,D27='DICTIONARY-5'!$A$4,ISBLANK(D27)),VLOOKUP(C27,LIST!$A$6:$M$3250,CURR_2.SEARCH.OLD,0),VLOOKUP(D27,LIST!$B$6:$M$3250,CURR_2.SEARCH.NEW,0)),'DICTIONARY-5'!$A$2)</f>
        <v/>
      </c>
      <c r="H27" s="288"/>
    </row>
    <row r="28" spans="1:8" x14ac:dyDescent="0.25">
      <c r="A28" s="286">
        <v>200</v>
      </c>
      <c r="B28" s="286">
        <v>200</v>
      </c>
      <c r="C28" s="286" t="s">
        <v>2548</v>
      </c>
      <c r="D28" s="305" t="s">
        <v>2890</v>
      </c>
      <c r="E28" s="339" t="str">
        <f>IFERROR(IF(OR(D28='DICTIONARY-5'!$A$2,D28='DICTIONARY-5'!$A$4,ISBLANK(D28)),VLOOKUP(C28,LIST!$A$6:$L$3250,CURR_1.SEARCH.OLD,0),VLOOKUP(D28,LIST!$B$6:$L$3250,CURR_1.SEARCH.NEW,0)),'DICTIONARY-5'!$A$2)</f>
        <v>156,-</v>
      </c>
      <c r="F28" s="339" t="str">
        <f>IFERROR(IF(OR(D28='DICTIONARY-5'!$A$2,D28='DICTIONARY-5'!$A$4,ISBLANK(D28)),VLOOKUP(C28,LIST!$A$6:$M$3250,CURR_2.SEARCH.OLD,0),VLOOKUP(D28,LIST!$B$6:$M$3250,CURR_2.SEARCH.NEW,0)),'DICTIONARY-5'!$A$2)</f>
        <v/>
      </c>
      <c r="H28" s="288"/>
    </row>
    <row r="29" spans="1:8" x14ac:dyDescent="0.25">
      <c r="A29" s="286">
        <v>200</v>
      </c>
      <c r="B29" s="286">
        <v>225</v>
      </c>
      <c r="C29" s="286" t="s">
        <v>2549</v>
      </c>
      <c r="D29" s="305" t="s">
        <v>2885</v>
      </c>
      <c r="E29" s="339" t="str">
        <f>IFERROR(IF(OR(D29='DICTIONARY-5'!$A$2,D29='DICTIONARY-5'!$A$4,ISBLANK(D29)),VLOOKUP(C29,LIST!$A$6:$L$3250,CURR_1.SEARCH.OLD,0),VLOOKUP(D29,LIST!$B$6:$L$3250,CURR_1.SEARCH.NEW,0)),'DICTIONARY-5'!$A$2)</f>
        <v>156,-</v>
      </c>
      <c r="F29" s="339" t="str">
        <f>IFERROR(IF(OR(D29='DICTIONARY-5'!$A$2,D29='DICTIONARY-5'!$A$4,ISBLANK(D29)),VLOOKUP(C29,LIST!$A$6:$M$3250,CURR_2.SEARCH.OLD,0),VLOOKUP(D29,LIST!$B$6:$M$3250,CURR_2.SEARCH.NEW,0)),'DICTIONARY-5'!$A$2)</f>
        <v/>
      </c>
      <c r="H29" s="288"/>
    </row>
    <row r="30" spans="1:8" x14ac:dyDescent="0.25">
      <c r="H30" s="288"/>
    </row>
    <row r="31" spans="1:8" x14ac:dyDescent="0.25">
      <c r="H31" s="288"/>
    </row>
    <row r="32" spans="1:8" x14ac:dyDescent="0.25">
      <c r="A32" s="281" t="str">
        <f>'DICTIONARY-2'!$A$2</f>
        <v>DN</v>
      </c>
      <c r="B32" s="281" t="str">
        <f>'DICTIONARY-2'!$A$5&amp;" 1)"</f>
        <v>Da 1)</v>
      </c>
      <c r="C32" s="1079" t="str">
        <f>'DICTIONARY-3'!$A$180</f>
        <v>BAIOstop</v>
      </c>
      <c r="D32" s="1079"/>
      <c r="E32" s="1079"/>
      <c r="F32" s="1079"/>
      <c r="H32" s="288"/>
    </row>
    <row r="33" spans="1:8" x14ac:dyDescent="0.25">
      <c r="A33" s="290"/>
      <c r="B33" s="290"/>
      <c r="C33" s="1076" t="str">
        <f>'DICTIONARY-5'!$A$122&amp;": "&amp;'DICTIONARY-5'!$A$58</f>
        <v>rura: PE-HD</v>
      </c>
      <c r="D33" s="1077"/>
      <c r="E33" s="1077"/>
      <c r="F33" s="1078"/>
      <c r="H33" s="288"/>
    </row>
    <row r="34" spans="1:8" x14ac:dyDescent="0.25">
      <c r="A34" s="282"/>
      <c r="B34" s="282" t="str">
        <f>'DICTIONARY-2'!$A$18</f>
        <v>[mm]</v>
      </c>
      <c r="C34" s="283" t="str">
        <f>'DICTIONARY-2'!$A$28</f>
        <v>stary nr zamówienia</v>
      </c>
      <c r="D34" s="283" t="str">
        <f>'DICTIONARY-2'!$A$29</f>
        <v>nowy nr zamówienia</v>
      </c>
      <c r="E34" s="284" t="str">
        <f>CURRENCY.CODE_1</f>
        <v>EUR</v>
      </c>
      <c r="F34" s="284" t="str">
        <f>CURRENCY.CODE_2</f>
        <v>---</v>
      </c>
      <c r="H34" s="288"/>
    </row>
    <row r="35" spans="1:8" x14ac:dyDescent="0.25">
      <c r="A35" s="286">
        <v>80</v>
      </c>
      <c r="B35" s="286">
        <v>90</v>
      </c>
      <c r="C35" s="303" t="s">
        <v>2550</v>
      </c>
      <c r="D35" s="305" t="s">
        <v>2875</v>
      </c>
      <c r="E35" s="339" t="str">
        <f>IFERROR(IF(OR(D35='DICTIONARY-5'!$A$2,D35='DICTIONARY-5'!$A$4,ISBLANK(D35)),VLOOKUP(C35,LIST!$A$6:$L$3250,CURR_1.SEARCH.OLD,0),VLOOKUP(D35,LIST!$B$6:$L$3250,CURR_1.SEARCH.NEW,0)),'DICTIONARY-5'!$A$2)</f>
        <v>77,-</v>
      </c>
      <c r="F35" s="339" t="str">
        <f>IFERROR(IF(OR(D35='DICTIONARY-5'!$A$2,D35='DICTIONARY-5'!$A$4,ISBLANK(D35)),VLOOKUP(C35,LIST!$A$6:$M$3250,CURR_2.SEARCH.OLD,0),VLOOKUP(D35,LIST!$B$6:$M$3250,CURR_2.SEARCH.NEW,0)),'DICTIONARY-5'!$A$2)</f>
        <v/>
      </c>
      <c r="H35" s="288"/>
    </row>
    <row r="36" spans="1:8" x14ac:dyDescent="0.25">
      <c r="A36" s="286">
        <v>100</v>
      </c>
      <c r="B36" s="286">
        <v>110</v>
      </c>
      <c r="C36" s="286" t="s">
        <v>2551</v>
      </c>
      <c r="D36" s="305" t="s">
        <v>3571</v>
      </c>
      <c r="E36" s="339" t="str">
        <f>IFERROR(IF(OR(D36='DICTIONARY-5'!$A$2,D36='DICTIONARY-5'!$A$4,ISBLANK(D36)),VLOOKUP(C36,LIST!$A$6:$L$3250,CURR_1.SEARCH.OLD,0),VLOOKUP(D36,LIST!$B$6:$L$3250,CURR_1.SEARCH.NEW,0)),'DICTIONARY-5'!$A$2)</f>
        <v>107,-</v>
      </c>
      <c r="F36" s="339" t="str">
        <f>IFERROR(IF(OR(D36='DICTIONARY-5'!$A$2,D36='DICTIONARY-5'!$A$4,ISBLANK(D36)),VLOOKUP(C36,LIST!$A$6:$M$3250,CURR_2.SEARCH.OLD,0),VLOOKUP(D36,LIST!$B$6:$M$3250,CURR_2.SEARCH.NEW,0)),'DICTIONARY-5'!$A$2)</f>
        <v/>
      </c>
      <c r="H36" s="288"/>
    </row>
    <row r="37" spans="1:8" x14ac:dyDescent="0.25">
      <c r="A37" s="286">
        <v>100</v>
      </c>
      <c r="B37" s="286">
        <v>125</v>
      </c>
      <c r="C37" s="286" t="s">
        <v>2552</v>
      </c>
      <c r="D37" s="305" t="s">
        <v>2878</v>
      </c>
      <c r="E37" s="339" t="str">
        <f>IFERROR(IF(OR(D37='DICTIONARY-5'!$A$2,D37='DICTIONARY-5'!$A$4,ISBLANK(D37)),VLOOKUP(C37,LIST!$A$6:$L$3250,CURR_1.SEARCH.OLD,0),VLOOKUP(D37,LIST!$B$6:$L$3250,CURR_1.SEARCH.NEW,0)),'DICTIONARY-5'!$A$2)</f>
        <v>97,-</v>
      </c>
      <c r="F37" s="339" t="str">
        <f>IFERROR(IF(OR(D37='DICTIONARY-5'!$A$2,D37='DICTIONARY-5'!$A$4,ISBLANK(D37)),VLOOKUP(C37,LIST!$A$6:$M$3250,CURR_2.SEARCH.OLD,0),VLOOKUP(D37,LIST!$B$6:$M$3250,CURR_2.SEARCH.NEW,0)),'DICTIONARY-5'!$A$2)</f>
        <v/>
      </c>
      <c r="H37" s="288"/>
    </row>
    <row r="38" spans="1:8" x14ac:dyDescent="0.25">
      <c r="A38" s="286">
        <v>125</v>
      </c>
      <c r="B38" s="286">
        <v>125</v>
      </c>
      <c r="C38" s="286" t="s">
        <v>2553</v>
      </c>
      <c r="D38" s="305" t="s">
        <v>2873</v>
      </c>
      <c r="E38" s="339" t="str">
        <f>IFERROR(IF(OR(D38='DICTIONARY-5'!$A$2,D38='DICTIONARY-5'!$A$4,ISBLANK(D38)),VLOOKUP(C38,LIST!$A$6:$L$3250,CURR_1.SEARCH.OLD,0),VLOOKUP(D38,LIST!$B$6:$L$3250,CURR_1.SEARCH.NEW,0)),'DICTIONARY-5'!$A$2)</f>
        <v>90,-</v>
      </c>
      <c r="F38" s="339" t="str">
        <f>IFERROR(IF(OR(D38='DICTIONARY-5'!$A$2,D38='DICTIONARY-5'!$A$4,ISBLANK(D38)),VLOOKUP(C38,LIST!$A$6:$M$3250,CURR_2.SEARCH.OLD,0),VLOOKUP(D38,LIST!$B$6:$M$3250,CURR_2.SEARCH.NEW,0)),'DICTIONARY-5'!$A$2)</f>
        <v/>
      </c>
      <c r="H38" s="288"/>
    </row>
    <row r="39" spans="1:8" x14ac:dyDescent="0.25">
      <c r="A39" s="286">
        <v>125</v>
      </c>
      <c r="B39" s="286">
        <v>140</v>
      </c>
      <c r="C39" s="286" t="s">
        <v>2554</v>
      </c>
      <c r="D39" s="305" t="s">
        <v>2886</v>
      </c>
      <c r="E39" s="339" t="str">
        <f>IFERROR(IF(OR(D39='DICTIONARY-5'!$A$2,D39='DICTIONARY-5'!$A$4,ISBLANK(D39)),VLOOKUP(C39,LIST!$A$6:$L$3250,CURR_1.SEARCH.OLD,0),VLOOKUP(D39,LIST!$B$6:$L$3250,CURR_1.SEARCH.NEW,0)),'DICTIONARY-5'!$A$2)</f>
        <v>107,-</v>
      </c>
      <c r="F39" s="339" t="str">
        <f>IFERROR(IF(OR(D39='DICTIONARY-5'!$A$2,D39='DICTIONARY-5'!$A$4,ISBLANK(D39)),VLOOKUP(C39,LIST!$A$6:$M$3250,CURR_2.SEARCH.OLD,0),VLOOKUP(D39,LIST!$B$6:$M$3250,CURR_2.SEARCH.NEW,0)),'DICTIONARY-5'!$A$2)</f>
        <v/>
      </c>
      <c r="H39" s="288"/>
    </row>
    <row r="40" spans="1:8" x14ac:dyDescent="0.25">
      <c r="A40" s="286">
        <v>150</v>
      </c>
      <c r="B40" s="286">
        <v>160</v>
      </c>
      <c r="C40" s="286" t="s">
        <v>2555</v>
      </c>
      <c r="D40" s="305" t="s">
        <v>2876</v>
      </c>
      <c r="E40" s="339" t="str">
        <f>IFERROR(IF(OR(D40='DICTIONARY-5'!$A$2,D40='DICTIONARY-5'!$A$4,ISBLANK(D40)),VLOOKUP(C40,LIST!$A$6:$L$3250,CURR_1.SEARCH.OLD,0),VLOOKUP(D40,LIST!$B$6:$L$3250,CURR_1.SEARCH.NEW,0)),'DICTIONARY-5'!$A$2)</f>
        <v>109,-</v>
      </c>
      <c r="F40" s="339" t="str">
        <f>IFERROR(IF(OR(D40='DICTIONARY-5'!$A$2,D40='DICTIONARY-5'!$A$4,ISBLANK(D40)),VLOOKUP(C40,LIST!$A$6:$M$3250,CURR_2.SEARCH.OLD,0),VLOOKUP(D40,LIST!$B$6:$M$3250,CURR_2.SEARCH.NEW,0)),'DICTIONARY-5'!$A$2)</f>
        <v/>
      </c>
      <c r="H40" s="288"/>
    </row>
    <row r="41" spans="1:8" x14ac:dyDescent="0.25">
      <c r="A41" s="286">
        <v>150</v>
      </c>
      <c r="B41" s="286">
        <v>180</v>
      </c>
      <c r="C41" s="286" t="s">
        <v>2556</v>
      </c>
      <c r="D41" s="305" t="s">
        <v>2887</v>
      </c>
      <c r="E41" s="339" t="str">
        <f>IFERROR(IF(OR(D41='DICTIONARY-5'!$A$2,D41='DICTIONARY-5'!$A$4,ISBLANK(D41)),VLOOKUP(C41,LIST!$A$6:$L$3250,CURR_1.SEARCH.OLD,0),VLOOKUP(D41,LIST!$B$6:$L$3250,CURR_1.SEARCH.NEW,0)),'DICTIONARY-5'!$A$2)</f>
        <v>141,-</v>
      </c>
      <c r="F41" s="339" t="str">
        <f>IFERROR(IF(OR(D41='DICTIONARY-5'!$A$2,D41='DICTIONARY-5'!$A$4,ISBLANK(D41)),VLOOKUP(C41,LIST!$A$6:$M$3250,CURR_2.SEARCH.OLD,0),VLOOKUP(D41,LIST!$B$6:$M$3250,CURR_2.SEARCH.NEW,0)),'DICTIONARY-5'!$A$2)</f>
        <v/>
      </c>
      <c r="H41" s="288"/>
    </row>
    <row r="42" spans="1:8" x14ac:dyDescent="0.25">
      <c r="A42" s="286">
        <v>200</v>
      </c>
      <c r="B42" s="286">
        <v>200</v>
      </c>
      <c r="C42" s="286" t="s">
        <v>2557</v>
      </c>
      <c r="D42" s="305" t="s">
        <v>2888</v>
      </c>
      <c r="E42" s="339" t="str">
        <f>IFERROR(IF(OR(D42='DICTIONARY-5'!$A$2,D42='DICTIONARY-5'!$A$4,ISBLANK(D42)),VLOOKUP(C42,LIST!$A$6:$L$3250,CURR_1.SEARCH.OLD,0),VLOOKUP(D42,LIST!$B$6:$L$3250,CURR_1.SEARCH.NEW,0)),'DICTIONARY-5'!$A$2)</f>
        <v>154,-</v>
      </c>
      <c r="F42" s="339" t="str">
        <f>IFERROR(IF(OR(D42='DICTIONARY-5'!$A$2,D42='DICTIONARY-5'!$A$4,ISBLANK(D42)),VLOOKUP(C42,LIST!$A$6:$M$3250,CURR_2.SEARCH.OLD,0),VLOOKUP(D42,LIST!$B$6:$M$3250,CURR_2.SEARCH.NEW,0)),'DICTIONARY-5'!$A$2)</f>
        <v/>
      </c>
      <c r="H42" s="288"/>
    </row>
    <row r="43" spans="1:8" x14ac:dyDescent="0.25">
      <c r="A43" s="286">
        <v>200</v>
      </c>
      <c r="B43" s="286">
        <v>225</v>
      </c>
      <c r="C43" s="286" t="s">
        <v>2558</v>
      </c>
      <c r="D43" s="305" t="s">
        <v>2877</v>
      </c>
      <c r="E43" s="339" t="str">
        <f>IFERROR(IF(OR(D43='DICTIONARY-5'!$A$2,D43='DICTIONARY-5'!$A$4,ISBLANK(D43)),VLOOKUP(C43,LIST!$A$6:$L$3250,CURR_1.SEARCH.OLD,0),VLOOKUP(D43,LIST!$B$6:$L$3250,CURR_1.SEARCH.NEW,0)),'DICTIONARY-5'!$A$2)</f>
        <v>159,-</v>
      </c>
      <c r="F43" s="339" t="str">
        <f>IFERROR(IF(OR(D43='DICTIONARY-5'!$A$2,D43='DICTIONARY-5'!$A$4,ISBLANK(D43)),VLOOKUP(C43,LIST!$A$6:$M$3250,CURR_2.SEARCH.OLD,0),VLOOKUP(D43,LIST!$B$6:$M$3250,CURR_2.SEARCH.NEW,0)),'DICTIONARY-5'!$A$2)</f>
        <v/>
      </c>
      <c r="H43" s="288"/>
    </row>
    <row r="45" spans="1:8" x14ac:dyDescent="0.25">
      <c r="A45" s="277" t="str">
        <f>"1) "&amp;'DICTIONARY-5'!$A$74</f>
        <v>1) Zewnętrzna średnica rury</v>
      </c>
    </row>
  </sheetData>
  <sheetProtection algorithmName="SHA-512" hashValue="4Z/zHUGz8DUNnSgQlh6s5xGf1I0sEgB9XIo4FNxtN7uuKKZJJHL4iKzYwGUvXbXdgU5vBmgLkiKAlINKMz2x6g==" saltValue="M1Vy9OCBd/3EqX2BHDY2KA==" spinCount="100000" sheet="1" objects="1" scenarios="1" autoFilter="0"/>
  <mergeCells count="7">
    <mergeCell ref="B4:E4"/>
    <mergeCell ref="C33:F33"/>
    <mergeCell ref="C10:F10"/>
    <mergeCell ref="C20:F20"/>
    <mergeCell ref="C32:F32"/>
    <mergeCell ref="C11:F11"/>
    <mergeCell ref="C21:F2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FFC000"/>
  </sheetPr>
  <dimension ref="A1:L22"/>
  <sheetViews>
    <sheetView workbookViewId="0"/>
  </sheetViews>
  <sheetFormatPr defaultColWidth="9.140625" defaultRowHeight="15" x14ac:dyDescent="0.25"/>
  <cols>
    <col min="1" max="2" width="9.140625" style="277"/>
    <col min="3" max="4" width="22.140625" style="277" customWidth="1"/>
    <col min="5" max="6" width="12.85546875" style="277" customWidth="1"/>
    <col min="7" max="8" width="22.140625" style="277" customWidth="1"/>
    <col min="9" max="10" width="12.85546875" style="277" customWidth="1"/>
    <col min="11" max="16384" width="9.140625" style="277"/>
  </cols>
  <sheetData>
    <row r="1" spans="1:12" s="391" customFormat="1" ht="45" customHeight="1" thickBot="1" x14ac:dyDescent="0.3">
      <c r="A1" s="424"/>
      <c r="B1" s="424"/>
      <c r="C1" s="424"/>
      <c r="D1" s="424"/>
    </row>
    <row r="2" spans="1:12" s="444" customFormat="1" ht="4.5" customHeight="1" x14ac:dyDescent="0.25">
      <c r="A2" s="443"/>
    </row>
    <row r="3" spans="1:12" ht="15.75" thickBot="1" x14ac:dyDescent="0.3"/>
    <row r="4" spans="1:12" ht="15.75" thickBot="1" x14ac:dyDescent="0.3">
      <c r="A4" s="818">
        <f>ADD.DISCOUNT</f>
        <v>0</v>
      </c>
      <c r="B4" s="992" t="str">
        <f>HYPERLINK("#'LIST'!ADD.DISCOUNT","» "&amp;'DICTIONARY-1'!$A$5)</f>
        <v>» Ustaw globalny dodatkowy rabat</v>
      </c>
      <c r="C4" s="1071"/>
      <c r="D4" s="1071"/>
      <c r="E4" s="1072"/>
    </row>
    <row r="6" spans="1:12" ht="16.5" thickBot="1" x14ac:dyDescent="0.3">
      <c r="A6" s="712" t="str">
        <f>CONCATENATE('DICTIONARY-3'!$A$153," ",'DICTIONARY-3'!$A$226)</f>
        <v>BAIO Tuleja wsporcza</v>
      </c>
      <c r="B6" s="712"/>
      <c r="C6" s="712"/>
      <c r="D6" s="712"/>
      <c r="E6" s="712"/>
      <c r="F6" s="712"/>
      <c r="G6" s="712"/>
      <c r="H6" s="712"/>
      <c r="I6" s="712"/>
      <c r="J6" s="712"/>
    </row>
    <row r="7" spans="1:12" x14ac:dyDescent="0.25">
      <c r="A7" s="279" t="str">
        <f>'DICTIONARY-3'!$A$302</f>
        <v>Dla rur z PE</v>
      </c>
      <c r="B7" s="279"/>
      <c r="C7" s="278"/>
      <c r="D7" s="278"/>
      <c r="E7" s="276"/>
      <c r="F7" s="276"/>
    </row>
    <row r="8" spans="1:12" x14ac:dyDescent="0.25">
      <c r="A8" s="258" t="str">
        <f>CONCATENATE('DICTIONARY-1'!$A$10,": ",SETTINGS!$C$39)</f>
        <v>Grupa rabatowa: BAIO Fittings</v>
      </c>
      <c r="B8" s="279"/>
      <c r="C8" s="278"/>
      <c r="D8" s="278"/>
      <c r="E8" s="276"/>
      <c r="F8" s="276"/>
    </row>
    <row r="9" spans="1:12" x14ac:dyDescent="0.25">
      <c r="A9" s="280"/>
      <c r="B9" s="280"/>
      <c r="C9" s="278"/>
      <c r="D9" s="278"/>
      <c r="E9" s="276"/>
      <c r="F9" s="276"/>
    </row>
    <row r="10" spans="1:12" x14ac:dyDescent="0.25">
      <c r="A10" s="281" t="str">
        <f>'DICTIONARY-2'!$A$2</f>
        <v>DN</v>
      </c>
      <c r="B10" s="281" t="str">
        <f>'DICTIONARY-2'!$A$5&amp;" 1)"</f>
        <v>Da 1)</v>
      </c>
      <c r="C10" s="1079" t="str">
        <f>'DICTIONARY-3'!$A$226</f>
        <v>Tuleja wsporcza</v>
      </c>
      <c r="D10" s="1079"/>
      <c r="E10" s="1079"/>
      <c r="F10" s="1079"/>
      <c r="G10" s="1079" t="str">
        <f>'DICTIONARY-3'!$A$226</f>
        <v>Tuleja wsporcza</v>
      </c>
      <c r="H10" s="1079"/>
      <c r="I10" s="1079"/>
      <c r="J10" s="1079"/>
    </row>
    <row r="11" spans="1:12" ht="15" customHeight="1" x14ac:dyDescent="0.25">
      <c r="A11" s="290"/>
      <c r="B11" s="290"/>
      <c r="C11" s="1080" t="str">
        <f>'DICTIONARY-5'!$A$122&amp;": "&amp;'DICTIONARY-5'!$A$58&amp;" "&amp;'DICTIONARY-5'!$A$60</f>
        <v>rura: PE-HD SDR 17</v>
      </c>
      <c r="D11" s="1080"/>
      <c r="E11" s="1080"/>
      <c r="F11" s="1080"/>
      <c r="G11" s="1080" t="str">
        <f>'DICTIONARY-5'!$A$122&amp;": "&amp;'DICTIONARY-5'!$A$58&amp;" "&amp;'DICTIONARY-5'!$A$59</f>
        <v>rura: PE-HD SDR 11</v>
      </c>
      <c r="H11" s="1080"/>
      <c r="I11" s="1080"/>
      <c r="J11" s="1080"/>
    </row>
    <row r="12" spans="1:12" x14ac:dyDescent="0.25">
      <c r="A12" s="282"/>
      <c r="B12" s="282" t="str">
        <f>'DICTIONARY-2'!$A$18</f>
        <v>[mm]</v>
      </c>
      <c r="C12" s="283" t="str">
        <f>'DICTIONARY-2'!$A$28</f>
        <v>stary nr zamówienia</v>
      </c>
      <c r="D12" s="283" t="str">
        <f>'DICTIONARY-2'!$A$29</f>
        <v>nowy nr zamówienia</v>
      </c>
      <c r="E12" s="284" t="str">
        <f>CURRENCY.CODE_1</f>
        <v>EUR</v>
      </c>
      <c r="F12" s="284" t="str">
        <f>CURRENCY.CODE_2</f>
        <v>---</v>
      </c>
      <c r="G12" s="283" t="str">
        <f>'DICTIONARY-2'!$A$28</f>
        <v>stary nr zamówienia</v>
      </c>
      <c r="H12" s="283" t="str">
        <f>'DICTIONARY-2'!$A$29</f>
        <v>nowy nr zamówienia</v>
      </c>
      <c r="I12" s="284" t="str">
        <f>CURRENCY.CODE_1</f>
        <v>EUR</v>
      </c>
      <c r="J12" s="284" t="str">
        <f>CURRENCY.CODE_2</f>
        <v>---</v>
      </c>
    </row>
    <row r="13" spans="1:12" x14ac:dyDescent="0.25">
      <c r="A13" s="286">
        <v>80</v>
      </c>
      <c r="B13" s="286">
        <v>90</v>
      </c>
      <c r="C13" s="286" t="s">
        <v>2581</v>
      </c>
      <c r="D13" s="305" t="s">
        <v>2907</v>
      </c>
      <c r="E13" s="339" t="str">
        <f>IFERROR(IF(OR(D13='DICTIONARY-5'!$A$2,D13='DICTIONARY-5'!$A$4,ISBLANK(D13)),VLOOKUP(C13,LIST!$A$6:$L$3250,CURR_1.SEARCH.OLD,0),VLOOKUP(D13,LIST!$B$6:$L$3250,CURR_1.SEARCH.NEW,0)),'DICTIONARY-5'!$A$2)</f>
        <v>30,-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  <c r="G13" s="286" t="s">
        <v>2582</v>
      </c>
      <c r="H13" s="305" t="s">
        <v>2900</v>
      </c>
      <c r="I13" s="339" t="str">
        <f>IFERROR(IF(OR(H13='DICTIONARY-5'!$A$2,H13='DICTIONARY-5'!$A$4,ISBLANK(H13)),VLOOKUP(G13,LIST!$A$6:$L$3250,CURR_1.SEARCH.OLD,0),VLOOKUP(H13,LIST!$B$6:$L$3250,CURR_1.SEARCH.NEW,0)),'DICTIONARY-5'!$A$2)</f>
        <v>27,-</v>
      </c>
      <c r="J13" s="339" t="str">
        <f>IFERROR(IF(OR(H13='DICTIONARY-5'!$A$2,H13='DICTIONARY-5'!$A$4,ISBLANK(H13)),VLOOKUP(G13,LIST!$A$6:$M$3250,CURR_2.SEARCH.OLD,0),VLOOKUP(H13,LIST!$B$6:$M$3250,CURR_2.SEARCH.NEW,0)),'DICTIONARY-5'!$A$2)</f>
        <v/>
      </c>
      <c r="L13" s="288"/>
    </row>
    <row r="14" spans="1:12" x14ac:dyDescent="0.25">
      <c r="A14" s="286">
        <v>100</v>
      </c>
      <c r="B14" s="286">
        <v>110</v>
      </c>
      <c r="C14" s="286" t="s">
        <v>2583</v>
      </c>
      <c r="D14" s="305" t="s">
        <v>2908</v>
      </c>
      <c r="E14" s="339" t="str">
        <f>IFERROR(IF(OR(D14='DICTIONARY-5'!$A$2,D14='DICTIONARY-5'!$A$4,ISBLANK(D14)),VLOOKUP(C14,LIST!$A$6:$L$3250,CURR_1.SEARCH.OLD,0),VLOOKUP(D14,LIST!$B$6:$L$3250,CURR_1.SEARCH.NEW,0)),'DICTIONARY-5'!$A$2)</f>
        <v>34,-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  <c r="G14" s="286" t="s">
        <v>2584</v>
      </c>
      <c r="H14" s="305" t="s">
        <v>2903</v>
      </c>
      <c r="I14" s="339" t="str">
        <f>IFERROR(IF(OR(H14='DICTIONARY-5'!$A$2,H14='DICTIONARY-5'!$A$4,ISBLANK(H14)),VLOOKUP(G14,LIST!$A$6:$L$3250,CURR_1.SEARCH.OLD,0),VLOOKUP(H14,LIST!$B$6:$L$3250,CURR_1.SEARCH.NEW,0)),'DICTIONARY-5'!$A$2)</f>
        <v>28,-</v>
      </c>
      <c r="J14" s="339" t="str">
        <f>IFERROR(IF(OR(H14='DICTIONARY-5'!$A$2,H14='DICTIONARY-5'!$A$4,ISBLANK(H14)),VLOOKUP(G14,LIST!$A$6:$M$3250,CURR_2.SEARCH.OLD,0),VLOOKUP(H14,LIST!$B$6:$M$3250,CURR_2.SEARCH.NEW,0)),'DICTIONARY-5'!$A$2)</f>
        <v/>
      </c>
      <c r="L14" s="288"/>
    </row>
    <row r="15" spans="1:12" x14ac:dyDescent="0.25">
      <c r="A15" s="286">
        <v>100</v>
      </c>
      <c r="B15" s="286">
        <v>125</v>
      </c>
      <c r="C15" s="286" t="s">
        <v>2585</v>
      </c>
      <c r="D15" s="305" t="s">
        <v>2909</v>
      </c>
      <c r="E15" s="339" t="str">
        <f>IFERROR(IF(OR(D15='DICTIONARY-5'!$A$2,D15='DICTIONARY-5'!$A$4,ISBLANK(D15)),VLOOKUP(C15,LIST!$A$6:$L$3250,CURR_1.SEARCH.OLD,0),VLOOKUP(D15,LIST!$B$6:$L$3250,CURR_1.SEARCH.NEW,0)),'DICTIONARY-5'!$A$2)</f>
        <v>42,-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  <c r="G15" s="286" t="s">
        <v>2586</v>
      </c>
      <c r="H15" s="305" t="s">
        <v>2899</v>
      </c>
      <c r="I15" s="339" t="str">
        <f>IFERROR(IF(OR(H15='DICTIONARY-5'!$A$2,H15='DICTIONARY-5'!$A$4,ISBLANK(H15)),VLOOKUP(G15,LIST!$A$6:$L$3250,CURR_1.SEARCH.OLD,0),VLOOKUP(H15,LIST!$B$6:$L$3250,CURR_1.SEARCH.NEW,0)),'DICTIONARY-5'!$A$2)</f>
        <v>41,-</v>
      </c>
      <c r="J15" s="339" t="str">
        <f>IFERROR(IF(OR(H15='DICTIONARY-5'!$A$2,H15='DICTIONARY-5'!$A$4,ISBLANK(H15)),VLOOKUP(G15,LIST!$A$6:$M$3250,CURR_2.SEARCH.OLD,0),VLOOKUP(H15,LIST!$B$6:$M$3250,CURR_2.SEARCH.NEW,0)),'DICTIONARY-5'!$A$2)</f>
        <v/>
      </c>
      <c r="L15" s="288"/>
    </row>
    <row r="16" spans="1:12" x14ac:dyDescent="0.25">
      <c r="A16" s="286">
        <v>125</v>
      </c>
      <c r="B16" s="286">
        <v>140</v>
      </c>
      <c r="C16" s="286" t="s">
        <v>2587</v>
      </c>
      <c r="D16" s="305" t="s">
        <v>2910</v>
      </c>
      <c r="E16" s="339" t="str">
        <f>IFERROR(IF(OR(D16='DICTIONARY-5'!$A$2,D16='DICTIONARY-5'!$A$4,ISBLANK(D16)),VLOOKUP(C16,LIST!$A$6:$L$3250,CURR_1.SEARCH.OLD,0),VLOOKUP(D16,LIST!$B$6:$L$3250,CURR_1.SEARCH.NEW,0)),'DICTIONARY-5'!$A$2)</f>
        <v>49,-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  <c r="G16" s="286" t="s">
        <v>2588</v>
      </c>
      <c r="H16" s="305" t="s">
        <v>2904</v>
      </c>
      <c r="I16" s="339" t="str">
        <f>IFERROR(IF(OR(H16='DICTIONARY-5'!$A$2,H16='DICTIONARY-5'!$A$4,ISBLANK(H16)),VLOOKUP(G16,LIST!$A$6:$L$3250,CURR_1.SEARCH.OLD,0),VLOOKUP(H16,LIST!$B$6:$L$3250,CURR_1.SEARCH.NEW,0)),'DICTIONARY-5'!$A$2)</f>
        <v>41,-</v>
      </c>
      <c r="J16" s="339" t="str">
        <f>IFERROR(IF(OR(H16='DICTIONARY-5'!$A$2,H16='DICTIONARY-5'!$A$4,ISBLANK(H16)),VLOOKUP(G16,LIST!$A$6:$M$3250,CURR_2.SEARCH.OLD,0),VLOOKUP(H16,LIST!$B$6:$M$3250,CURR_2.SEARCH.NEW,0)),'DICTIONARY-5'!$A$2)</f>
        <v/>
      </c>
      <c r="L16" s="288"/>
    </row>
    <row r="17" spans="1:12" x14ac:dyDescent="0.25">
      <c r="A17" s="286">
        <v>150</v>
      </c>
      <c r="B17" s="286">
        <v>160</v>
      </c>
      <c r="C17" s="286" t="s">
        <v>2589</v>
      </c>
      <c r="D17" s="305" t="s">
        <v>2911</v>
      </c>
      <c r="E17" s="339" t="str">
        <f>IFERROR(IF(OR(D17='DICTIONARY-5'!$A$2,D17='DICTIONARY-5'!$A$4,ISBLANK(D17)),VLOOKUP(C17,LIST!$A$6:$L$3250,CURR_1.SEARCH.OLD,0),VLOOKUP(D17,LIST!$B$6:$L$3250,CURR_1.SEARCH.NEW,0)),'DICTIONARY-5'!$A$2)</f>
        <v>61,-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  <c r="G17" s="286" t="s">
        <v>2590</v>
      </c>
      <c r="H17" s="305" t="s">
        <v>2901</v>
      </c>
      <c r="I17" s="339" t="str">
        <f>IFERROR(IF(OR(H17='DICTIONARY-5'!$A$2,H17='DICTIONARY-5'!$A$4,ISBLANK(H17)),VLOOKUP(G17,LIST!$A$6:$L$3250,CURR_1.SEARCH.OLD,0),VLOOKUP(H17,LIST!$B$6:$L$3250,CURR_1.SEARCH.NEW,0)),'DICTIONARY-5'!$A$2)</f>
        <v>57,-</v>
      </c>
      <c r="J17" s="339" t="str">
        <f>IFERROR(IF(OR(H17='DICTIONARY-5'!$A$2,H17='DICTIONARY-5'!$A$4,ISBLANK(H17)),VLOOKUP(G17,LIST!$A$6:$M$3250,CURR_2.SEARCH.OLD,0),VLOOKUP(H17,LIST!$B$6:$M$3250,CURR_2.SEARCH.NEW,0)),'DICTIONARY-5'!$A$2)</f>
        <v/>
      </c>
      <c r="L17" s="288"/>
    </row>
    <row r="18" spans="1:12" x14ac:dyDescent="0.25">
      <c r="A18" s="286">
        <v>150</v>
      </c>
      <c r="B18" s="286">
        <v>180</v>
      </c>
      <c r="C18" s="286" t="s">
        <v>2591</v>
      </c>
      <c r="D18" s="305" t="s">
        <v>2912</v>
      </c>
      <c r="E18" s="339" t="str">
        <f>IFERROR(IF(OR(D18='DICTIONARY-5'!$A$2,D18='DICTIONARY-5'!$A$4,ISBLANK(D18)),VLOOKUP(C18,LIST!$A$6:$L$3250,CURR_1.SEARCH.OLD,0),VLOOKUP(D18,LIST!$B$6:$L$3250,CURR_1.SEARCH.NEW,0)),'DICTIONARY-5'!$A$2)</f>
        <v>55,-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  <c r="G18" s="286" t="s">
        <v>2592</v>
      </c>
      <c r="H18" s="305" t="s">
        <v>2906</v>
      </c>
      <c r="I18" s="339" t="str">
        <f>IFERROR(IF(OR(H18='DICTIONARY-5'!$A$2,H18='DICTIONARY-5'!$A$4,ISBLANK(H18)),VLOOKUP(G18,LIST!$A$6:$L$3250,CURR_1.SEARCH.OLD,0),VLOOKUP(H18,LIST!$B$6:$L$3250,CURR_1.SEARCH.NEW,0)),'DICTIONARY-5'!$A$2)</f>
        <v>65,-</v>
      </c>
      <c r="J18" s="339" t="str">
        <f>IFERROR(IF(OR(H18='DICTIONARY-5'!$A$2,H18='DICTIONARY-5'!$A$4,ISBLANK(H18)),VLOOKUP(G18,LIST!$A$6:$M$3250,CURR_2.SEARCH.OLD,0),VLOOKUP(H18,LIST!$B$6:$M$3250,CURR_2.SEARCH.NEW,0)),'DICTIONARY-5'!$A$2)</f>
        <v/>
      </c>
      <c r="L18" s="288"/>
    </row>
    <row r="19" spans="1:12" x14ac:dyDescent="0.25">
      <c r="A19" s="286">
        <v>200</v>
      </c>
      <c r="B19" s="286">
        <v>200</v>
      </c>
      <c r="C19" s="286" t="s">
        <v>2593</v>
      </c>
      <c r="D19" s="305" t="s">
        <v>2913</v>
      </c>
      <c r="E19" s="339" t="str">
        <f>IFERROR(IF(OR(D19='DICTIONARY-5'!$A$2,D19='DICTIONARY-5'!$A$4,ISBLANK(D19)),VLOOKUP(C19,LIST!$A$6:$L$3250,CURR_1.SEARCH.OLD,0),VLOOKUP(D19,LIST!$B$6:$L$3250,CURR_1.SEARCH.NEW,0)),'DICTIONARY-5'!$A$2)</f>
        <v>63,-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  <c r="G19" s="286" t="s">
        <v>2594</v>
      </c>
      <c r="H19" s="305" t="s">
        <v>2905</v>
      </c>
      <c r="I19" s="339" t="str">
        <f>IFERROR(IF(OR(H19='DICTIONARY-5'!$A$2,H19='DICTIONARY-5'!$A$4,ISBLANK(H19)),VLOOKUP(G19,LIST!$A$6:$L$3250,CURR_1.SEARCH.OLD,0),VLOOKUP(H19,LIST!$B$6:$L$3250,CURR_1.SEARCH.NEW,0)),'DICTIONARY-5'!$A$2)</f>
        <v>72,-</v>
      </c>
      <c r="J19" s="339" t="str">
        <f>IFERROR(IF(OR(H19='DICTIONARY-5'!$A$2,H19='DICTIONARY-5'!$A$4,ISBLANK(H19)),VLOOKUP(G19,LIST!$A$6:$M$3250,CURR_2.SEARCH.OLD,0),VLOOKUP(H19,LIST!$B$6:$M$3250,CURR_2.SEARCH.NEW,0)),'DICTIONARY-5'!$A$2)</f>
        <v/>
      </c>
      <c r="L19" s="288"/>
    </row>
    <row r="20" spans="1:12" x14ac:dyDescent="0.25">
      <c r="A20" s="286">
        <v>200</v>
      </c>
      <c r="B20" s="286">
        <v>225</v>
      </c>
      <c r="C20" s="286" t="s">
        <v>2595</v>
      </c>
      <c r="D20" s="305" t="s">
        <v>2914</v>
      </c>
      <c r="E20" s="339" t="str">
        <f>IFERROR(IF(OR(D20='DICTIONARY-5'!$A$2,D20='DICTIONARY-5'!$A$4,ISBLANK(D20)),VLOOKUP(C20,LIST!$A$6:$L$3250,CURR_1.SEARCH.OLD,0),VLOOKUP(D20,LIST!$B$6:$L$3250,CURR_1.SEARCH.NEW,0)),'DICTIONARY-5'!$A$2)</f>
        <v>86,-</v>
      </c>
      <c r="F20" s="339" t="str">
        <f>IFERROR(IF(OR(D20='DICTIONARY-5'!$A$2,D20='DICTIONARY-5'!$A$4,ISBLANK(D20)),VLOOKUP(C20,LIST!$A$6:$M$3250,CURR_2.SEARCH.OLD,0),VLOOKUP(D20,LIST!$B$6:$M$3250,CURR_2.SEARCH.NEW,0)),'DICTIONARY-5'!$A$2)</f>
        <v/>
      </c>
      <c r="G20" s="286" t="s">
        <v>2596</v>
      </c>
      <c r="H20" s="305" t="s">
        <v>2902</v>
      </c>
      <c r="I20" s="339" t="str">
        <f>IFERROR(IF(OR(H20='DICTIONARY-5'!$A$2,H20='DICTIONARY-5'!$A$4,ISBLANK(H20)),VLOOKUP(G20,LIST!$A$6:$L$3250,CURR_1.SEARCH.OLD,0),VLOOKUP(H20,LIST!$B$6:$L$3250,CURR_1.SEARCH.NEW,0)),'DICTIONARY-5'!$A$2)</f>
        <v>91,-</v>
      </c>
      <c r="J20" s="339" t="str">
        <f>IFERROR(IF(OR(H20='DICTIONARY-5'!$A$2,H20='DICTIONARY-5'!$A$4,ISBLANK(H20)),VLOOKUP(G20,LIST!$A$6:$M$3250,CURR_2.SEARCH.OLD,0),VLOOKUP(H20,LIST!$B$6:$M$3250,CURR_2.SEARCH.NEW,0)),'DICTIONARY-5'!$A$2)</f>
        <v/>
      </c>
      <c r="L20" s="288"/>
    </row>
    <row r="22" spans="1:12" x14ac:dyDescent="0.25">
      <c r="A22" s="292" t="str">
        <f>"1) "&amp;'DICTIONARY-5'!$A$74</f>
        <v>1) Zewnętrzna średnica rury</v>
      </c>
    </row>
  </sheetData>
  <sheetProtection algorithmName="SHA-512" hashValue="D0mX7ex3trxviFSpQGmwj/kqFzt75xml2mf8GEPA+32oF5+zP5yCRUnQTqs5zeLJRqQfjW7QPzyRJCge1vaXPQ==" saltValue="iv4G56ixM9edZveRFfryOQ==" spinCount="100000" sheet="1" objects="1" scenarios="1" autoFilter="0"/>
  <mergeCells count="5">
    <mergeCell ref="B4:E4"/>
    <mergeCell ref="C10:F10"/>
    <mergeCell ref="G10:J10"/>
    <mergeCell ref="C11:F11"/>
    <mergeCell ref="G11:J11"/>
  </mergeCells>
  <pageMargins left="0.7" right="0.7" top="0.78740157499999996" bottom="0.78740157499999996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FFC000"/>
  </sheetPr>
  <dimension ref="A1:E21"/>
  <sheetViews>
    <sheetView workbookViewId="0"/>
  </sheetViews>
  <sheetFormatPr defaultColWidth="9.140625" defaultRowHeight="15" x14ac:dyDescent="0.25"/>
  <cols>
    <col min="1" max="1" width="9.140625" style="277"/>
    <col min="2" max="3" width="22.140625" style="277" customWidth="1"/>
    <col min="4" max="5" width="12.85546875" style="277" customWidth="1"/>
    <col min="6" max="16384" width="9.140625" style="277"/>
  </cols>
  <sheetData>
    <row r="1" spans="1:5" s="391" customFormat="1" ht="45" customHeight="1" thickBot="1" x14ac:dyDescent="0.3">
      <c r="A1" s="424"/>
      <c r="B1" s="424"/>
      <c r="C1" s="424"/>
    </row>
    <row r="2" spans="1:5" s="444" customFormat="1" ht="4.5" customHeight="1" x14ac:dyDescent="0.25">
      <c r="A2" s="443"/>
    </row>
    <row r="3" spans="1:5" ht="15.75" thickBot="1" x14ac:dyDescent="0.3"/>
    <row r="4" spans="1:5" ht="15.75" thickBot="1" x14ac:dyDescent="0.3">
      <c r="A4" s="818">
        <f>ADD.DISCOUNT</f>
        <v>0</v>
      </c>
      <c r="B4" s="992" t="str">
        <f>HYPERLINK("#'LIST'!ADD.DISCOUNT","» "&amp;'DICTIONARY-1'!$A$5)</f>
        <v>» Ustaw globalny dodatkowy rabat</v>
      </c>
      <c r="C4" s="1071"/>
      <c r="D4" s="1071"/>
      <c r="E4" s="1072"/>
    </row>
    <row r="6" spans="1:5" ht="16.5" thickBot="1" x14ac:dyDescent="0.3">
      <c r="A6" s="712" t="str">
        <f>CONCATENATE('DICTIONARY-3'!$A$177," ",'DICTIONARY-3'!$A$225)</f>
        <v>BAIOanti-twist Zabezpieczenie przed wykręcaniem</v>
      </c>
      <c r="B6" s="712"/>
      <c r="C6" s="712"/>
      <c r="D6" s="712"/>
      <c r="E6" s="712"/>
    </row>
    <row r="7" spans="1:5" x14ac:dyDescent="0.25">
      <c r="A7" s="279" t="str">
        <f>'DICTIONARY-5'!$A$211</f>
        <v>Przeciwdziała obróceniu końcówki bagnetowej w kielichu</v>
      </c>
    </row>
    <row r="8" spans="1:5" x14ac:dyDescent="0.25">
      <c r="A8" s="289" t="str">
        <f>CONCATENATE(PROPER('DICTIONARY-5'!$A$69),": ",'DICTIONARY-3'!$A$3," ",'DICTIONARY-3'!$A$187,", ",'DICTIONARY-3'!$A$182," ",'DICTIONARY-3'!$A$193,", ",'DICTIONARY-3'!$A$181," ",'DICTIONARY-3'!$A$207)</f>
        <v>Armatura: BAIO EKOplus Zasuwa klinowa, BAIO HYDRUS G Hydrant podziemny, BAIO BEV Zawór na- i odpowietrzający</v>
      </c>
    </row>
    <row r="9" spans="1:5" x14ac:dyDescent="0.25">
      <c r="A9" s="258" t="str">
        <f>CONCATENATE('DICTIONARY-1'!$A$10,": ",SETTINGS!$C$39)</f>
        <v>Grupa rabatowa: BAIO Fittings</v>
      </c>
    </row>
    <row r="10" spans="1:5" x14ac:dyDescent="0.25">
      <c r="A10" s="280"/>
      <c r="B10" s="278"/>
      <c r="C10" s="278"/>
      <c r="D10" s="276"/>
      <c r="E10" s="276"/>
    </row>
    <row r="11" spans="1:5" x14ac:dyDescent="0.25">
      <c r="A11" s="281" t="str">
        <f>'DICTIONARY-2'!$A$2</f>
        <v>DN</v>
      </c>
      <c r="B11" s="1079" t="str">
        <f>'DICTIONARY-3'!$A$177</f>
        <v>BAIOanti-twist</v>
      </c>
      <c r="C11" s="1079"/>
      <c r="D11" s="1079"/>
      <c r="E11" s="1079"/>
    </row>
    <row r="12" spans="1:5" x14ac:dyDescent="0.25">
      <c r="A12" s="290"/>
      <c r="B12" s="1080"/>
      <c r="C12" s="1080"/>
      <c r="D12" s="1080"/>
      <c r="E12" s="1080"/>
    </row>
    <row r="13" spans="1:5" x14ac:dyDescent="0.25">
      <c r="A13" s="282"/>
      <c r="B13" s="283" t="str">
        <f>'DICTIONARY-2'!$A$28</f>
        <v>stary nr zamówienia</v>
      </c>
      <c r="C13" s="283" t="str">
        <f>'DICTIONARY-2'!$A$29</f>
        <v>nowy nr zamówienia</v>
      </c>
      <c r="D13" s="284" t="str">
        <f>CURRENCY.CODE_1</f>
        <v>EUR</v>
      </c>
      <c r="E13" s="284" t="str">
        <f>CURRENCY.CODE_2</f>
        <v>---</v>
      </c>
    </row>
    <row r="14" spans="1:5" x14ac:dyDescent="0.25">
      <c r="A14" s="286">
        <v>80</v>
      </c>
      <c r="B14" s="293" t="s">
        <v>2598</v>
      </c>
      <c r="C14" s="308" t="s">
        <v>2966</v>
      </c>
      <c r="D14" s="339" t="str">
        <f>IFERROR(IF(OR(C14='DICTIONARY-5'!$A$2,C14='DICTIONARY-5'!$A$4,ISBLANK(C14)),VLOOKUP(B14,LIST!$A$6:$L$3250,CURR_1.SEARCH.OLD,0),VLOOKUP(C14,LIST!$B$6:$L$3250,CURR_1.SEARCH.NEW,0)),'DICTIONARY-5'!$A$2)</f>
        <v>2,-</v>
      </c>
      <c r="E14" s="339" t="str">
        <f>IFERROR(IF(OR(C14='DICTIONARY-5'!$A$2,C14='DICTIONARY-5'!$A$4,ISBLANK(C14)),VLOOKUP(B14,LIST!$A$6:$M$3250,CURR_2.SEARCH.OLD,0),VLOOKUP(C14,LIST!$B$6:$M$3250,CURR_2.SEARCH.NEW,0)),'DICTIONARY-5'!$A$2)</f>
        <v/>
      </c>
    </row>
    <row r="15" spans="1:5" x14ac:dyDescent="0.25">
      <c r="A15" s="286">
        <v>100</v>
      </c>
      <c r="B15" s="293" t="s">
        <v>2599</v>
      </c>
      <c r="C15" s="308" t="s">
        <v>2963</v>
      </c>
      <c r="D15" s="339" t="str">
        <f>IFERROR(IF(OR(C15='DICTIONARY-5'!$A$2,C15='DICTIONARY-5'!$A$4,ISBLANK(C15)),VLOOKUP(B15,LIST!$A$6:$L$3250,CURR_1.SEARCH.OLD,0),VLOOKUP(C15,LIST!$B$6:$L$3250,CURR_1.SEARCH.NEW,0)),'DICTIONARY-5'!$A$2)</f>
        <v>2,-</v>
      </c>
      <c r="E15" s="339" t="str">
        <f>IFERROR(IF(OR(C15='DICTIONARY-5'!$A$2,C15='DICTIONARY-5'!$A$4,ISBLANK(C15)),VLOOKUP(B15,LIST!$A$6:$M$3250,CURR_2.SEARCH.OLD,0),VLOOKUP(C15,LIST!$B$6:$M$3250,CURR_2.SEARCH.NEW,0)),'DICTIONARY-5'!$A$2)</f>
        <v/>
      </c>
    </row>
    <row r="16" spans="1:5" x14ac:dyDescent="0.25">
      <c r="A16" s="286">
        <v>100</v>
      </c>
      <c r="B16" s="293" t="s">
        <v>2600</v>
      </c>
      <c r="C16" s="308" t="s">
        <v>2967</v>
      </c>
      <c r="D16" s="339" t="str">
        <f>IFERROR(IF(OR(C16='DICTIONARY-5'!$A$2,C16='DICTIONARY-5'!$A$4,ISBLANK(C16)),VLOOKUP(B16,LIST!$A$6:$L$3250,CURR_1.SEARCH.OLD,0),VLOOKUP(C16,LIST!$B$6:$L$3250,CURR_1.SEARCH.NEW,0)),'DICTIONARY-5'!$A$2)</f>
        <v>2,-</v>
      </c>
      <c r="E16" s="339" t="str">
        <f>IFERROR(IF(OR(C16='DICTIONARY-5'!$A$2,C16='DICTIONARY-5'!$A$4,ISBLANK(C16)),VLOOKUP(B16,LIST!$A$6:$M$3250,CURR_2.SEARCH.OLD,0),VLOOKUP(C16,LIST!$B$6:$M$3250,CURR_2.SEARCH.NEW,0)),'DICTIONARY-5'!$A$2)</f>
        <v/>
      </c>
    </row>
    <row r="17" spans="1:5" x14ac:dyDescent="0.25">
      <c r="A17" s="286">
        <v>125</v>
      </c>
      <c r="B17" s="293" t="s">
        <v>2601</v>
      </c>
      <c r="C17" s="308" t="s">
        <v>2964</v>
      </c>
      <c r="D17" s="339" t="str">
        <f>IFERROR(IF(OR(C17='DICTIONARY-5'!$A$2,C17='DICTIONARY-5'!$A$4,ISBLANK(C17)),VLOOKUP(B17,LIST!$A$6:$L$3250,CURR_1.SEARCH.OLD,0),VLOOKUP(C17,LIST!$B$6:$L$3250,CURR_1.SEARCH.NEW,0)),'DICTIONARY-5'!$A$2)</f>
        <v>2,-</v>
      </c>
      <c r="E17" s="339" t="str">
        <f>IFERROR(IF(OR(C17='DICTIONARY-5'!$A$2,C17='DICTIONARY-5'!$A$4,ISBLANK(C17)),VLOOKUP(B17,LIST!$A$6:$M$3250,CURR_2.SEARCH.OLD,0),VLOOKUP(C17,LIST!$B$6:$M$3250,CURR_2.SEARCH.NEW,0)),'DICTIONARY-5'!$A$2)</f>
        <v/>
      </c>
    </row>
    <row r="18" spans="1:5" x14ac:dyDescent="0.25">
      <c r="A18" s="286">
        <v>150</v>
      </c>
      <c r="B18" s="293" t="s">
        <v>2602</v>
      </c>
      <c r="C18" s="308" t="s">
        <v>2965</v>
      </c>
      <c r="D18" s="339" t="str">
        <f>IFERROR(IF(OR(C18='DICTIONARY-5'!$A$2,C18='DICTIONARY-5'!$A$4,ISBLANK(C18)),VLOOKUP(B18,LIST!$A$6:$L$3250,CURR_1.SEARCH.OLD,0),VLOOKUP(C18,LIST!$B$6:$L$3250,CURR_1.SEARCH.NEW,0)),'DICTIONARY-5'!$A$2)</f>
        <v>4,-</v>
      </c>
      <c r="E18" s="339" t="str">
        <f>IFERROR(IF(OR(C18='DICTIONARY-5'!$A$2,C18='DICTIONARY-5'!$A$4,ISBLANK(C18)),VLOOKUP(B18,LIST!$A$6:$M$3250,CURR_2.SEARCH.OLD,0),VLOOKUP(C18,LIST!$B$6:$M$3250,CURR_2.SEARCH.NEW,0)),'DICTIONARY-5'!$A$2)</f>
        <v/>
      </c>
    </row>
    <row r="21" spans="1:5" x14ac:dyDescent="0.25">
      <c r="A21" s="289"/>
    </row>
  </sheetData>
  <sheetProtection algorithmName="SHA-512" hashValue="10+wf4gSm6So3jFvXbwbxhDn0NL55SnKjTvdjgmCOKN8OfhNri8sFu6yA7poDCB1BYVFK4E6Y30B1fhp1PMr9A==" saltValue="I8jdF8zY8+BzzigILrJdLw==" spinCount="100000" sheet="1" objects="1" scenarios="1" autoFilter="0"/>
  <mergeCells count="3">
    <mergeCell ref="B11:E11"/>
    <mergeCell ref="B12:E12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0F6E23"/>
  </sheetPr>
  <dimension ref="A1:Q52"/>
  <sheetViews>
    <sheetView workbookViewId="0"/>
  </sheetViews>
  <sheetFormatPr defaultColWidth="9.140625" defaultRowHeight="15" x14ac:dyDescent="0.25"/>
  <cols>
    <col min="1" max="3" width="9.140625" style="278"/>
    <col min="4" max="5" width="22.140625" style="278" customWidth="1"/>
    <col min="6" max="7" width="12.85546875" style="276" customWidth="1"/>
    <col min="8" max="8" width="9.140625" style="276"/>
    <col min="9" max="10" width="22.140625" style="278" customWidth="1"/>
    <col min="11" max="12" width="12.85546875" style="276" customWidth="1"/>
    <col min="13" max="13" width="11.42578125" style="276" customWidth="1"/>
    <col min="14" max="15" width="22.140625" style="277" customWidth="1"/>
    <col min="16" max="17" width="12.85546875" style="277" customWidth="1"/>
    <col min="18" max="16384" width="9.140625" style="277"/>
  </cols>
  <sheetData>
    <row r="1" spans="1:17" s="391" customFormat="1" ht="45" customHeight="1" thickBot="1" x14ac:dyDescent="0.3">
      <c r="A1" s="424"/>
      <c r="B1" s="424"/>
      <c r="C1" s="424"/>
      <c r="D1" s="424"/>
      <c r="E1" s="392"/>
      <c r="F1" s="393"/>
      <c r="G1" s="393"/>
      <c r="H1" s="393"/>
      <c r="I1" s="392"/>
      <c r="J1" s="392"/>
      <c r="K1" s="393"/>
      <c r="L1" s="393"/>
      <c r="M1" s="393"/>
    </row>
    <row r="2" spans="1:17" s="444" customFormat="1" ht="4.5" customHeight="1" x14ac:dyDescent="0.25">
      <c r="A2" s="443"/>
      <c r="B2" s="445"/>
      <c r="C2" s="445"/>
      <c r="D2" s="445"/>
      <c r="E2" s="445"/>
      <c r="F2" s="446"/>
      <c r="G2" s="446"/>
      <c r="H2" s="446"/>
      <c r="I2" s="445"/>
      <c r="J2" s="445"/>
      <c r="K2" s="446"/>
      <c r="L2" s="446"/>
      <c r="M2" s="446"/>
    </row>
    <row r="3" spans="1:17" ht="15.75" thickBot="1" x14ac:dyDescent="0.3">
      <c r="A3" s="294"/>
      <c r="B3" s="295"/>
      <c r="C3" s="295"/>
    </row>
    <row r="4" spans="1:17" ht="15.75" thickBot="1" x14ac:dyDescent="0.3">
      <c r="A4" s="818">
        <f>ADD.DISCOUNT</f>
        <v>0</v>
      </c>
      <c r="B4" s="933" t="str">
        <f>HYPERLINK("#'LIST'!ADD.DISCOUNT","» "&amp;'DICTIONARY-1'!$A$5)</f>
        <v>» Ustaw globalny dodatkowy rabat</v>
      </c>
      <c r="C4" s="1081"/>
      <c r="D4" s="1081"/>
      <c r="E4" s="1082"/>
    </row>
    <row r="5" spans="1:17" x14ac:dyDescent="0.25">
      <c r="A5" s="294"/>
      <c r="B5" s="295"/>
      <c r="C5" s="295"/>
    </row>
    <row r="6" spans="1:17" ht="15" customHeight="1" thickBot="1" x14ac:dyDescent="0.3">
      <c r="A6" s="81" t="str">
        <f>CONCATENATE('DICTIONARY-3'!$A$2," ",'DICTIONARY-3'!$A$187," / ",UPPER('DICTIONARY-5'!$A$18))</f>
        <v>EKOplus Zasuwa klinowa / GAZ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  <c r="M6" s="712"/>
      <c r="N6" s="712"/>
      <c r="O6" s="712"/>
      <c r="P6" s="712"/>
      <c r="Q6" s="712"/>
    </row>
    <row r="7" spans="1:17" x14ac:dyDescent="0.25">
      <c r="A7" s="9" t="str">
        <f>CONCATENATE('DICTIONARY-3'!$A$243," ",'DICTIONARY-3'!$A$244,", ",LOWER('DICTIONARY-2'!$A$12)," ",'DICTIONARY-5'!$A$9)</f>
        <v>Z wolnym końcem wałka i adapterem do podłączenia VAG obudowy ziemnej, długość zabudowy EN 558</v>
      </c>
    </row>
    <row r="8" spans="1:17" x14ac:dyDescent="0.25">
      <c r="A8" s="279" t="str">
        <f>CONCATENATE('DICTIONARY-1'!$A$10,": ",SETTINGS!$C$14)</f>
        <v>Grupa rabatowa: EKOplus Gas</v>
      </c>
    </row>
    <row r="9" spans="1:17" x14ac:dyDescent="0.25">
      <c r="A9" s="280"/>
      <c r="N9" s="935" t="str">
        <f>'DICTIONARY-5'!$A$5</f>
        <v xml:space="preserve">Należy zamówić oddzielnie </v>
      </c>
      <c r="O9" s="953"/>
      <c r="P9" s="953"/>
      <c r="Q9" s="954"/>
    </row>
    <row r="10" spans="1:17" x14ac:dyDescent="0.25">
      <c r="A10" s="281" t="str">
        <f>'DICTIONARY-2'!$A$2</f>
        <v>DN</v>
      </c>
      <c r="B10" s="281" t="str">
        <f>'DICTIONARY-2'!$A$3</f>
        <v>PN</v>
      </c>
      <c r="C10" s="281" t="str">
        <f>'DICTIONARY-2'!$A$24</f>
        <v>L</v>
      </c>
      <c r="D10" s="1079" t="str">
        <f>'DICTIONARY-3'!$A$2</f>
        <v>EKOplus</v>
      </c>
      <c r="E10" s="1079"/>
      <c r="F10" s="1079"/>
      <c r="G10" s="1079"/>
      <c r="H10" s="281" t="str">
        <f>'DICTIONARY-2'!$A$24</f>
        <v>L</v>
      </c>
      <c r="I10" s="1079" t="str">
        <f>'DICTIONARY-3'!$A$2</f>
        <v>EKOplus</v>
      </c>
      <c r="J10" s="1079"/>
      <c r="K10" s="1079"/>
      <c r="L10" s="1079"/>
      <c r="N10" s="950" t="str">
        <f>'DICTIONARY-4'!$A$23</f>
        <v>Kółko ręczne</v>
      </c>
      <c r="O10" s="951"/>
      <c r="P10" s="951"/>
      <c r="Q10" s="952"/>
    </row>
    <row r="11" spans="1:17" ht="15" customHeight="1" x14ac:dyDescent="0.25">
      <c r="A11" s="290"/>
      <c r="B11" s="290"/>
      <c r="C11" s="290"/>
      <c r="D11" s="948" t="str">
        <f>CONCATENATE('DICTIONARY-5'!$A$66," (",'DICTIONARY-5'!$A$10," 14), ",'DICTIONARY-5'!$A$43&amp;": "&amp;'DICTIONARY-5'!$A$45)</f>
        <v>budowa krótka (szereg 14), guma: NBR</v>
      </c>
      <c r="E11" s="948"/>
      <c r="F11" s="948"/>
      <c r="G11" s="948"/>
      <c r="H11" s="290"/>
      <c r="I11" s="948" t="str">
        <f>CONCATENATE('DICTIONARY-5'!$A$67," (",'DICTIONARY-5'!$A$10," 15), ",'DICTIONARY-5'!$A$43&amp;": "&amp;'DICTIONARY-5'!$A$45)</f>
        <v>budowa długa (szereg 15), guma: NBR</v>
      </c>
      <c r="J11" s="948"/>
      <c r="K11" s="948"/>
      <c r="L11" s="948"/>
      <c r="N11" s="939"/>
      <c r="O11" s="940"/>
      <c r="P11" s="940"/>
      <c r="Q11" s="941"/>
    </row>
    <row r="12" spans="1:17" x14ac:dyDescent="0.25">
      <c r="A12" s="282"/>
      <c r="B12" s="282"/>
      <c r="C12" s="282" t="str">
        <f>'DICTIONARY-2'!$A$18</f>
        <v>[mm]</v>
      </c>
      <c r="D12" s="283" t="str">
        <f>'DICTIONARY-2'!$A$28</f>
        <v>stary nr zamówienia</v>
      </c>
      <c r="E12" s="283" t="str">
        <f>'DICTIONARY-2'!$A$29</f>
        <v>nowy nr zamówienia</v>
      </c>
      <c r="F12" s="284" t="str">
        <f>CURRENCY.CODE_1</f>
        <v>EUR</v>
      </c>
      <c r="G12" s="284" t="str">
        <f>CURRENCY.CODE_2</f>
        <v>---</v>
      </c>
      <c r="H12" s="282" t="str">
        <f>'DICTIONARY-2'!$A$18</f>
        <v>[mm]</v>
      </c>
      <c r="I12" s="283" t="str">
        <f>'DICTIONARY-2'!$A$28</f>
        <v>stary nr zamówienia</v>
      </c>
      <c r="J12" s="283" t="str">
        <f>'DICTIONARY-2'!$A$29</f>
        <v>nowy nr zamówienia</v>
      </c>
      <c r="K12" s="284" t="str">
        <f>CURRENCY.CODE_1</f>
        <v>EUR</v>
      </c>
      <c r="L12" s="284" t="str">
        <f>CURRENCY.CODE_2</f>
        <v>---</v>
      </c>
      <c r="N12" s="165" t="str">
        <f>'DICTIONARY-2'!$A$28</f>
        <v>stary nr zamówienia</v>
      </c>
      <c r="O12" s="165" t="str">
        <f>'DICTIONARY-2'!$A$29</f>
        <v>nowy nr zamówienia</v>
      </c>
      <c r="P12" s="166" t="str">
        <f>CURRENCY.CODE_1</f>
        <v>EUR</v>
      </c>
      <c r="Q12" s="166" t="str">
        <f>CURRENCY.CODE_2</f>
        <v>---</v>
      </c>
    </row>
    <row r="13" spans="1:17" x14ac:dyDescent="0.25">
      <c r="A13" s="286">
        <v>40</v>
      </c>
      <c r="B13" s="286" t="s">
        <v>85</v>
      </c>
      <c r="C13" s="286">
        <v>140</v>
      </c>
      <c r="D13" s="286" t="s">
        <v>2603</v>
      </c>
      <c r="E13" s="305" t="s">
        <v>3374</v>
      </c>
      <c r="F13" s="339" t="str">
        <f>IFERROR(IF(OR(E13='DICTIONARY-5'!$A$2,E13='DICTIONARY-5'!$A$4,ISBLANK(E13)),VLOOKUP(D13,LIST!$A$6:$L$3250,CURR_1.SEARCH.OLD,0),VLOOKUP(E13,LIST!$B$6:$L$3250,CURR_1.SEARCH.NEW,0)),'DICTIONARY-5'!$A$2)</f>
        <v>215,-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286">
        <v>240</v>
      </c>
      <c r="I13" s="286" t="s">
        <v>2604</v>
      </c>
      <c r="J13" s="305" t="s">
        <v>3354</v>
      </c>
      <c r="K13" s="339" t="str">
        <f>IFERROR(IF(OR(J13='DICTIONARY-5'!$A$2,J13='DICTIONARY-5'!$A$4,ISBLANK(J13)),VLOOKUP(I13,LIST!$A$6:$L$3250,CURR_1.SEARCH.OLD,0),VLOOKUP(J13,LIST!$B$6:$L$3250,CURR_1.SEARCH.NEW,0)),'DICTIONARY-5'!$A$2)</f>
        <v>224,-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  <c r="N13" s="297" t="s">
        <v>109</v>
      </c>
      <c r="O13" s="306" t="s">
        <v>2892</v>
      </c>
      <c r="P13" s="339" t="str">
        <f>IFERROR(IF(OR(O13='DICTIONARY-5'!$A$2,O13='DICTIONARY-5'!$A$4,ISBLANK(O13)),VLOOKUP(N13,LIST!$A$6:$L$3250,CURR_1.SEARCH.OLD,0),VLOOKUP(O13,LIST!$B$6:$L$3250,CURR_1.SEARCH.NEW,0)),'DICTIONARY-5'!$A$2)</f>
        <v>8,-</v>
      </c>
      <c r="Q13" s="339" t="str">
        <f>IFERROR(IF(OR(O13='DICTIONARY-5'!$A$2,O13='DICTIONARY-5'!$A$4,ISBLANK(O13)),VLOOKUP(N13,LIST!$A$6:$M$3250,CURR_2.SEARCH.OLD,0),VLOOKUP(O13,LIST!$B$6:$M$3250,CURR_2.SEARCH.NEW,0)),'DICTIONARY-5'!$A$2)</f>
        <v/>
      </c>
    </row>
    <row r="14" spans="1:17" x14ac:dyDescent="0.25">
      <c r="A14" s="286">
        <v>50</v>
      </c>
      <c r="B14" s="286" t="s">
        <v>85</v>
      </c>
      <c r="C14" s="286">
        <v>150</v>
      </c>
      <c r="D14" s="286" t="s">
        <v>2605</v>
      </c>
      <c r="E14" s="305" t="s">
        <v>3378</v>
      </c>
      <c r="F14" s="339" t="str">
        <f>IFERROR(IF(OR(E14='DICTIONARY-5'!$A$2,E14='DICTIONARY-5'!$A$4,ISBLANK(E14)),VLOOKUP(D14,LIST!$A$6:$L$3250,CURR_1.SEARCH.OLD,0),VLOOKUP(E14,LIST!$B$6:$L$3250,CURR_1.SEARCH.NEW,0)),'DICTIONARY-5'!$A$2)</f>
        <v>216,-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286">
        <v>250</v>
      </c>
      <c r="I14" s="286" t="s">
        <v>2606</v>
      </c>
      <c r="J14" s="305" t="s">
        <v>3356</v>
      </c>
      <c r="K14" s="339" t="str">
        <f>IFERROR(IF(OR(J14='DICTIONARY-5'!$A$2,J14='DICTIONARY-5'!$A$4,ISBLANK(J14)),VLOOKUP(I14,LIST!$A$6:$L$3250,CURR_1.SEARCH.OLD,0),VLOOKUP(J14,LIST!$B$6:$L$3250,CURR_1.SEARCH.NEW,0)),'DICTIONARY-5'!$A$2)</f>
        <v>241,-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  <c r="N14" s="297" t="s">
        <v>109</v>
      </c>
      <c r="O14" s="306" t="s">
        <v>2892</v>
      </c>
      <c r="P14" s="339" t="str">
        <f>IFERROR(IF(OR(O14='DICTIONARY-5'!$A$2,O14='DICTIONARY-5'!$A$4,ISBLANK(O14)),VLOOKUP(N14,LIST!$A$6:$L$3250,CURR_1.SEARCH.OLD,0),VLOOKUP(O14,LIST!$B$6:$L$3250,CURR_1.SEARCH.NEW,0)),'DICTIONARY-5'!$A$2)</f>
        <v>8,-</v>
      </c>
      <c r="Q14" s="339" t="str">
        <f>IFERROR(IF(OR(O14='DICTIONARY-5'!$A$2,O14='DICTIONARY-5'!$A$4,ISBLANK(O14)),VLOOKUP(N14,LIST!$A$6:$M$3250,CURR_2.SEARCH.OLD,0),VLOOKUP(O14,LIST!$B$6:$M$3250,CURR_2.SEARCH.NEW,0)),'DICTIONARY-5'!$A$2)</f>
        <v/>
      </c>
    </row>
    <row r="15" spans="1:17" x14ac:dyDescent="0.25">
      <c r="A15" s="286">
        <v>65</v>
      </c>
      <c r="B15" s="286" t="s">
        <v>85</v>
      </c>
      <c r="C15" s="286">
        <v>170</v>
      </c>
      <c r="D15" s="286" t="s">
        <v>2607</v>
      </c>
      <c r="E15" s="305" t="s">
        <v>3383</v>
      </c>
      <c r="F15" s="339" t="str">
        <f>IFERROR(IF(OR(E15='DICTIONARY-5'!$A$2,E15='DICTIONARY-5'!$A$4,ISBLANK(E15)),VLOOKUP(D15,LIST!$A$6:$L$3250,CURR_1.SEARCH.OLD,0),VLOOKUP(E15,LIST!$B$6:$L$3250,CURR_1.SEARCH.NEW,0)),'DICTIONARY-5'!$A$2)</f>
        <v>255,-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286">
        <v>270</v>
      </c>
      <c r="I15" s="286" t="s">
        <v>2608</v>
      </c>
      <c r="J15" s="305" t="s">
        <v>3358</v>
      </c>
      <c r="K15" s="339" t="str">
        <f>IFERROR(IF(OR(J15='DICTIONARY-5'!$A$2,J15='DICTIONARY-5'!$A$4,ISBLANK(J15)),VLOOKUP(I15,LIST!$A$6:$L$3250,CURR_1.SEARCH.OLD,0),VLOOKUP(J15,LIST!$B$6:$L$3250,CURR_1.SEARCH.NEW,0)),'DICTIONARY-5'!$A$2)</f>
        <v>267,-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  <c r="N15" s="297" t="s">
        <v>88</v>
      </c>
      <c r="O15" s="306" t="s">
        <v>2893</v>
      </c>
      <c r="P15" s="339" t="str">
        <f>IFERROR(IF(OR(O15='DICTIONARY-5'!$A$2,O15='DICTIONARY-5'!$A$4,ISBLANK(O15)),VLOOKUP(N15,LIST!$A$6:$L$3250,CURR_1.SEARCH.OLD,0),VLOOKUP(O15,LIST!$B$6:$L$3250,CURR_1.SEARCH.NEW,0)),'DICTIONARY-5'!$A$2)</f>
        <v>15,-</v>
      </c>
      <c r="Q15" s="339" t="str">
        <f>IFERROR(IF(OR(O15='DICTIONARY-5'!$A$2,O15='DICTIONARY-5'!$A$4,ISBLANK(O15)),VLOOKUP(N15,LIST!$A$6:$M$3250,CURR_2.SEARCH.OLD,0),VLOOKUP(O15,LIST!$B$6:$M$3250,CURR_2.SEARCH.NEW,0)),'DICTIONARY-5'!$A$2)</f>
        <v/>
      </c>
    </row>
    <row r="16" spans="1:17" x14ac:dyDescent="0.25">
      <c r="A16" s="286">
        <v>80</v>
      </c>
      <c r="B16" s="286" t="s">
        <v>85</v>
      </c>
      <c r="C16" s="286">
        <v>180</v>
      </c>
      <c r="D16" s="286" t="s">
        <v>2609</v>
      </c>
      <c r="E16" s="305" t="s">
        <v>3388</v>
      </c>
      <c r="F16" s="339" t="str">
        <f>IFERROR(IF(OR(E16='DICTIONARY-5'!$A$2,E16='DICTIONARY-5'!$A$4,ISBLANK(E16)),VLOOKUP(D16,LIST!$A$6:$L$3250,CURR_1.SEARCH.OLD,0),VLOOKUP(E16,LIST!$B$6:$L$3250,CURR_1.SEARCH.NEW,0)),'DICTIONARY-5'!$A$2)</f>
        <v>259,-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286">
        <v>280</v>
      </c>
      <c r="I16" s="286" t="s">
        <v>2610</v>
      </c>
      <c r="J16" s="305" t="s">
        <v>3360</v>
      </c>
      <c r="K16" s="339" t="str">
        <f>IFERROR(IF(OR(J16='DICTIONARY-5'!$A$2,J16='DICTIONARY-5'!$A$4,ISBLANK(J16)),VLOOKUP(I16,LIST!$A$6:$L$3250,CURR_1.SEARCH.OLD,0),VLOOKUP(J16,LIST!$B$6:$L$3250,CURR_1.SEARCH.NEW,0)),'DICTIONARY-5'!$A$2)</f>
        <v>268,-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  <c r="N16" s="297" t="s">
        <v>88</v>
      </c>
      <c r="O16" s="306" t="s">
        <v>2893</v>
      </c>
      <c r="P16" s="339" t="str">
        <f>IFERROR(IF(OR(O16='DICTIONARY-5'!$A$2,O16='DICTIONARY-5'!$A$4,ISBLANK(O16)),VLOOKUP(N16,LIST!$A$6:$L$3250,CURR_1.SEARCH.OLD,0),VLOOKUP(O16,LIST!$B$6:$L$3250,CURR_1.SEARCH.NEW,0)),'DICTIONARY-5'!$A$2)</f>
        <v>15,-</v>
      </c>
      <c r="Q16" s="339" t="str">
        <f>IFERROR(IF(OR(O16='DICTIONARY-5'!$A$2,O16='DICTIONARY-5'!$A$4,ISBLANK(O16)),VLOOKUP(N16,LIST!$A$6:$M$3250,CURR_2.SEARCH.OLD,0),VLOOKUP(O16,LIST!$B$6:$M$3250,CURR_2.SEARCH.NEW,0)),'DICTIONARY-5'!$A$2)</f>
        <v/>
      </c>
    </row>
    <row r="17" spans="1:17" x14ac:dyDescent="0.25">
      <c r="A17" s="286">
        <v>100</v>
      </c>
      <c r="B17" s="286" t="s">
        <v>85</v>
      </c>
      <c r="C17" s="286">
        <v>190</v>
      </c>
      <c r="D17" s="286" t="s">
        <v>2611</v>
      </c>
      <c r="E17" s="305" t="s">
        <v>3391</v>
      </c>
      <c r="F17" s="339" t="str">
        <f>IFERROR(IF(OR(E17='DICTIONARY-5'!$A$2,E17='DICTIONARY-5'!$A$4,ISBLANK(E17)),VLOOKUP(D17,LIST!$A$6:$L$3250,CURR_1.SEARCH.OLD,0),VLOOKUP(E17,LIST!$B$6:$L$3250,CURR_1.SEARCH.NEW,0)),'DICTIONARY-5'!$A$2)</f>
        <v>294,-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286">
        <v>300</v>
      </c>
      <c r="I17" s="286" t="s">
        <v>2612</v>
      </c>
      <c r="J17" s="305" t="s">
        <v>3362</v>
      </c>
      <c r="K17" s="339" t="str">
        <f>IFERROR(IF(OR(J17='DICTIONARY-5'!$A$2,J17='DICTIONARY-5'!$A$4,ISBLANK(J17)),VLOOKUP(I17,LIST!$A$6:$L$3250,CURR_1.SEARCH.OLD,0),VLOOKUP(J17,LIST!$B$6:$L$3250,CURR_1.SEARCH.NEW,0)),'DICTIONARY-5'!$A$2)</f>
        <v>315,-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  <c r="N17" s="297" t="s">
        <v>91</v>
      </c>
      <c r="O17" s="306" t="s">
        <v>2894</v>
      </c>
      <c r="P17" s="339" t="str">
        <f>IFERROR(IF(OR(O17='DICTIONARY-5'!$A$2,O17='DICTIONARY-5'!$A$4,ISBLANK(O17)),VLOOKUP(N17,LIST!$A$6:$L$3250,CURR_1.SEARCH.OLD,0),VLOOKUP(O17,LIST!$B$6:$L$3250,CURR_1.SEARCH.NEW,0)),'DICTIONARY-5'!$A$2)</f>
        <v>20,-</v>
      </c>
      <c r="Q17" s="339" t="str">
        <f>IFERROR(IF(OR(O17='DICTIONARY-5'!$A$2,O17='DICTIONARY-5'!$A$4,ISBLANK(O17)),VLOOKUP(N17,LIST!$A$6:$M$3250,CURR_2.SEARCH.OLD,0),VLOOKUP(O17,LIST!$B$6:$M$3250,CURR_2.SEARCH.NEW,0)),'DICTIONARY-5'!$A$2)</f>
        <v/>
      </c>
    </row>
    <row r="18" spans="1:17" x14ac:dyDescent="0.25">
      <c r="A18" s="286">
        <v>125</v>
      </c>
      <c r="B18" s="286" t="s">
        <v>85</v>
      </c>
      <c r="C18" s="286">
        <v>200</v>
      </c>
      <c r="D18" s="286" t="s">
        <v>2613</v>
      </c>
      <c r="E18" s="305" t="s">
        <v>3394</v>
      </c>
      <c r="F18" s="339" t="str">
        <f>IFERROR(IF(OR(E18='DICTIONARY-5'!$A$2,E18='DICTIONARY-5'!$A$4,ISBLANK(E18)),VLOOKUP(D18,LIST!$A$6:$L$3250,CURR_1.SEARCH.OLD,0),VLOOKUP(E18,LIST!$B$6:$L$3250,CURR_1.SEARCH.NEW,0)),'DICTIONARY-5'!$A$2)</f>
        <v>388,-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286">
        <v>325</v>
      </c>
      <c r="I18" s="286" t="s">
        <v>2614</v>
      </c>
      <c r="J18" s="305" t="s">
        <v>3364</v>
      </c>
      <c r="K18" s="339" t="str">
        <f>IFERROR(IF(OR(J18='DICTIONARY-5'!$A$2,J18='DICTIONARY-5'!$A$4,ISBLANK(J18)),VLOOKUP(I18,LIST!$A$6:$L$3250,CURR_1.SEARCH.OLD,0),VLOOKUP(J18,LIST!$B$6:$L$3250,CURR_1.SEARCH.NEW,0)),'DICTIONARY-5'!$A$2)</f>
        <v>450,-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  <c r="N18" s="297" t="s">
        <v>91</v>
      </c>
      <c r="O18" s="306" t="s">
        <v>2894</v>
      </c>
      <c r="P18" s="339" t="str">
        <f>IFERROR(IF(OR(O18='DICTIONARY-5'!$A$2,O18='DICTIONARY-5'!$A$4,ISBLANK(O18)),VLOOKUP(N18,LIST!$A$6:$L$3250,CURR_1.SEARCH.OLD,0),VLOOKUP(O18,LIST!$B$6:$L$3250,CURR_1.SEARCH.NEW,0)),'DICTIONARY-5'!$A$2)</f>
        <v>20,-</v>
      </c>
      <c r="Q18" s="339" t="str">
        <f>IFERROR(IF(OR(O18='DICTIONARY-5'!$A$2,O18='DICTIONARY-5'!$A$4,ISBLANK(O18)),VLOOKUP(N18,LIST!$A$6:$M$3250,CURR_2.SEARCH.OLD,0),VLOOKUP(O18,LIST!$B$6:$M$3250,CURR_2.SEARCH.NEW,0)),'DICTIONARY-5'!$A$2)</f>
        <v/>
      </c>
    </row>
    <row r="19" spans="1:17" x14ac:dyDescent="0.25">
      <c r="A19" s="286">
        <v>150</v>
      </c>
      <c r="B19" s="286" t="s">
        <v>85</v>
      </c>
      <c r="C19" s="286">
        <v>210</v>
      </c>
      <c r="D19" s="286" t="s">
        <v>2615</v>
      </c>
      <c r="E19" s="305" t="s">
        <v>3397</v>
      </c>
      <c r="F19" s="339" t="str">
        <f>IFERROR(IF(OR(E19='DICTIONARY-5'!$A$2,E19='DICTIONARY-5'!$A$4,ISBLANK(E19)),VLOOKUP(D19,LIST!$A$6:$L$3250,CURR_1.SEARCH.OLD,0),VLOOKUP(E19,LIST!$B$6:$L$3250,CURR_1.SEARCH.NEW,0)),'DICTIONARY-5'!$A$2)</f>
        <v>425,-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286">
        <v>350</v>
      </c>
      <c r="I19" s="286" t="s">
        <v>2616</v>
      </c>
      <c r="J19" s="305" t="s">
        <v>3366</v>
      </c>
      <c r="K19" s="339" t="str">
        <f>IFERROR(IF(OR(J19='DICTIONARY-5'!$A$2,J19='DICTIONARY-5'!$A$4,ISBLANK(J19)),VLOOKUP(I19,LIST!$A$6:$L$3250,CURR_1.SEARCH.OLD,0),VLOOKUP(J19,LIST!$B$6:$L$3250,CURR_1.SEARCH.NEW,0)),'DICTIONARY-5'!$A$2)</f>
        <v>488,-</v>
      </c>
      <c r="L19" s="339" t="str">
        <f>IFERROR(IF(OR(J19='DICTIONARY-5'!$A$2,J19='DICTIONARY-5'!$A$4,ISBLANK(J19)),VLOOKUP(I19,LIST!$A$6:$M$3250,CURR_2.SEARCH.OLD,0),VLOOKUP(J19,LIST!$B$6:$M$3250,CURR_2.SEARCH.NEW,0)),'DICTIONARY-5'!$A$2)</f>
        <v/>
      </c>
      <c r="N19" s="297" t="s">
        <v>91</v>
      </c>
      <c r="O19" s="306" t="s">
        <v>2894</v>
      </c>
      <c r="P19" s="339" t="str">
        <f>IFERROR(IF(OR(O19='DICTIONARY-5'!$A$2,O19='DICTIONARY-5'!$A$4,ISBLANK(O19)),VLOOKUP(N19,LIST!$A$6:$L$3250,CURR_1.SEARCH.OLD,0),VLOOKUP(O19,LIST!$B$6:$L$3250,CURR_1.SEARCH.NEW,0)),'DICTIONARY-5'!$A$2)</f>
        <v>20,-</v>
      </c>
      <c r="Q19" s="339" t="str">
        <f>IFERROR(IF(OR(O19='DICTIONARY-5'!$A$2,O19='DICTIONARY-5'!$A$4,ISBLANK(O19)),VLOOKUP(N19,LIST!$A$6:$M$3250,CURR_2.SEARCH.OLD,0),VLOOKUP(O19,LIST!$B$6:$M$3250,CURR_2.SEARCH.NEW,0)),'DICTIONARY-5'!$A$2)</f>
        <v/>
      </c>
    </row>
    <row r="20" spans="1:17" x14ac:dyDescent="0.25">
      <c r="A20" s="286">
        <v>200</v>
      </c>
      <c r="B20" s="286">
        <v>10</v>
      </c>
      <c r="C20" s="286">
        <v>230</v>
      </c>
      <c r="D20" s="286" t="s">
        <v>2617</v>
      </c>
      <c r="E20" s="305" t="s">
        <v>3335</v>
      </c>
      <c r="F20" s="339" t="str">
        <f>IFERROR(IF(OR(E20='DICTIONARY-5'!$A$2,E20='DICTIONARY-5'!$A$4,ISBLANK(E20)),VLOOKUP(D20,LIST!$A$6:$L$3250,CURR_1.SEARCH.OLD,0),VLOOKUP(E20,LIST!$B$6:$L$3250,CURR_1.SEARCH.NEW,0)),'DICTIONARY-5'!$A$2)</f>
        <v>624,-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286">
        <v>400</v>
      </c>
      <c r="I20" s="286" t="s">
        <v>2618</v>
      </c>
      <c r="J20" s="305" t="s">
        <v>3346</v>
      </c>
      <c r="K20" s="339" t="str">
        <f>IFERROR(IF(OR(J20='DICTIONARY-5'!$A$2,J20='DICTIONARY-5'!$A$4,ISBLANK(J20)),VLOOKUP(I20,LIST!$A$6:$L$3250,CURR_1.SEARCH.OLD,0),VLOOKUP(J20,LIST!$B$6:$L$3250,CURR_1.SEARCH.NEW,0)),'DICTIONARY-5'!$A$2)</f>
        <v>734,-</v>
      </c>
      <c r="L20" s="339" t="str">
        <f>IFERROR(IF(OR(J20='DICTIONARY-5'!$A$2,J20='DICTIONARY-5'!$A$4,ISBLANK(J20)),VLOOKUP(I20,LIST!$A$6:$M$3250,CURR_2.SEARCH.OLD,0),VLOOKUP(J20,LIST!$B$6:$M$3250,CURR_2.SEARCH.NEW,0)),'DICTIONARY-5'!$A$2)</f>
        <v/>
      </c>
      <c r="N20" s="297" t="s">
        <v>98</v>
      </c>
      <c r="O20" s="306" t="s">
        <v>2895</v>
      </c>
      <c r="P20" s="339" t="str">
        <f>IFERROR(IF(OR(O20='DICTIONARY-5'!$A$2,O20='DICTIONARY-5'!$A$4,ISBLANK(O20)),VLOOKUP(N20,LIST!$A$6:$L$3250,CURR_1.SEARCH.OLD,0),VLOOKUP(O20,LIST!$B$6:$L$3250,CURR_1.SEARCH.NEW,0)),'DICTIONARY-5'!$A$2)</f>
        <v>35,-</v>
      </c>
      <c r="Q20" s="339" t="str">
        <f>IFERROR(IF(OR(O20='DICTIONARY-5'!$A$2,O20='DICTIONARY-5'!$A$4,ISBLANK(O20)),VLOOKUP(N20,LIST!$A$6:$M$3250,CURR_2.SEARCH.OLD,0),VLOOKUP(O20,LIST!$B$6:$M$3250,CURR_2.SEARCH.NEW,0)),'DICTIONARY-5'!$A$2)</f>
        <v/>
      </c>
    </row>
    <row r="21" spans="1:17" x14ac:dyDescent="0.25">
      <c r="A21" s="286">
        <v>200</v>
      </c>
      <c r="B21" s="286">
        <v>16</v>
      </c>
      <c r="C21" s="286">
        <v>230</v>
      </c>
      <c r="D21" s="286" t="s">
        <v>2619</v>
      </c>
      <c r="E21" s="305" t="s">
        <v>3400</v>
      </c>
      <c r="F21" s="339" t="str">
        <f>IFERROR(IF(OR(E21='DICTIONARY-5'!$A$2,E21='DICTIONARY-5'!$A$4,ISBLANK(E21)),VLOOKUP(D21,LIST!$A$6:$L$3250,CURR_1.SEARCH.OLD,0),VLOOKUP(E21,LIST!$B$6:$L$3250,CURR_1.SEARCH.NEW,0)),'DICTIONARY-5'!$A$2)</f>
        <v>629,-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286">
        <v>400</v>
      </c>
      <c r="I21" s="286" t="s">
        <v>2620</v>
      </c>
      <c r="J21" s="305" t="s">
        <v>3368</v>
      </c>
      <c r="K21" s="339" t="str">
        <f>IFERROR(IF(OR(J21='DICTIONARY-5'!$A$2,J21='DICTIONARY-5'!$A$4,ISBLANK(J21)),VLOOKUP(I21,LIST!$A$6:$L$3250,CURR_1.SEARCH.OLD,0),VLOOKUP(J21,LIST!$B$6:$L$3250,CURR_1.SEARCH.NEW,0)),'DICTIONARY-5'!$A$2)</f>
        <v>737,-</v>
      </c>
      <c r="L21" s="339" t="str">
        <f>IFERROR(IF(OR(J21='DICTIONARY-5'!$A$2,J21='DICTIONARY-5'!$A$4,ISBLANK(J21)),VLOOKUP(I21,LIST!$A$6:$M$3250,CURR_2.SEARCH.OLD,0),VLOOKUP(J21,LIST!$B$6:$M$3250,CURR_2.SEARCH.NEW,0)),'DICTIONARY-5'!$A$2)</f>
        <v/>
      </c>
      <c r="N21" s="297" t="s">
        <v>98</v>
      </c>
      <c r="O21" s="306" t="s">
        <v>2895</v>
      </c>
      <c r="P21" s="339" t="str">
        <f>IFERROR(IF(OR(O21='DICTIONARY-5'!$A$2,O21='DICTIONARY-5'!$A$4,ISBLANK(O21)),VLOOKUP(N21,LIST!$A$6:$L$3250,CURR_1.SEARCH.OLD,0),VLOOKUP(O21,LIST!$B$6:$L$3250,CURR_1.SEARCH.NEW,0)),'DICTIONARY-5'!$A$2)</f>
        <v>35,-</v>
      </c>
      <c r="Q21" s="339" t="str">
        <f>IFERROR(IF(OR(O21='DICTIONARY-5'!$A$2,O21='DICTIONARY-5'!$A$4,ISBLANK(O21)),VLOOKUP(N21,LIST!$A$6:$M$3250,CURR_2.SEARCH.OLD,0),VLOOKUP(O21,LIST!$B$6:$M$3250,CURR_2.SEARCH.NEW,0)),'DICTIONARY-5'!$A$2)</f>
        <v/>
      </c>
    </row>
    <row r="22" spans="1:17" x14ac:dyDescent="0.25">
      <c r="A22" s="286">
        <v>250</v>
      </c>
      <c r="B22" s="286">
        <v>10</v>
      </c>
      <c r="C22" s="286">
        <v>250</v>
      </c>
      <c r="D22" s="286" t="s">
        <v>2621</v>
      </c>
      <c r="E22" s="305" t="s">
        <v>3337</v>
      </c>
      <c r="F22" s="339" t="str">
        <f>IFERROR(IF(OR(E22='DICTIONARY-5'!$A$2,E22='DICTIONARY-5'!$A$4,ISBLANK(E22)),VLOOKUP(D22,LIST!$A$6:$L$3250,CURR_1.SEARCH.OLD,0),VLOOKUP(E22,LIST!$B$6:$L$3250,CURR_1.SEARCH.NEW,0)),'DICTIONARY-5'!$A$2)</f>
        <v>941,-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286">
        <v>450</v>
      </c>
      <c r="I22" s="286" t="s">
        <v>2622</v>
      </c>
      <c r="J22" s="305" t="s">
        <v>3348</v>
      </c>
      <c r="K22" s="339" t="str">
        <f>IFERROR(IF(OR(J22='DICTIONARY-5'!$A$2,J22='DICTIONARY-5'!$A$4,ISBLANK(J22)),VLOOKUP(I22,LIST!$A$6:$L$3250,CURR_1.SEARCH.OLD,0),VLOOKUP(J22,LIST!$B$6:$L$3250,CURR_1.SEARCH.NEW,0)),'DICTIONARY-5'!$A$2)</f>
        <v>1 269,-</v>
      </c>
      <c r="L22" s="339" t="str">
        <f>IFERROR(IF(OR(J22='DICTIONARY-5'!$A$2,J22='DICTIONARY-5'!$A$4,ISBLANK(J22)),VLOOKUP(I22,LIST!$A$6:$M$3250,CURR_2.SEARCH.OLD,0),VLOOKUP(J22,LIST!$B$6:$M$3250,CURR_2.SEARCH.NEW,0)),'DICTIONARY-5'!$A$2)</f>
        <v/>
      </c>
      <c r="N22" s="297" t="s">
        <v>102</v>
      </c>
      <c r="O22" s="306" t="s">
        <v>2896</v>
      </c>
      <c r="P22" s="339" t="str">
        <f>IFERROR(IF(OR(O22='DICTIONARY-5'!$A$2,O22='DICTIONARY-5'!$A$4,ISBLANK(O22)),VLOOKUP(N22,LIST!$A$6:$L$3250,CURR_1.SEARCH.OLD,0),VLOOKUP(O22,LIST!$B$6:$L$3250,CURR_1.SEARCH.NEW,0)),'DICTIONARY-5'!$A$2)</f>
        <v>54,-</v>
      </c>
      <c r="Q22" s="339" t="str">
        <f>IFERROR(IF(OR(O22='DICTIONARY-5'!$A$2,O22='DICTIONARY-5'!$A$4,ISBLANK(O22)),VLOOKUP(N22,LIST!$A$6:$M$3250,CURR_2.SEARCH.OLD,0),VLOOKUP(O22,LIST!$B$6:$M$3250,CURR_2.SEARCH.NEW,0)),'DICTIONARY-5'!$A$2)</f>
        <v/>
      </c>
    </row>
    <row r="23" spans="1:17" x14ac:dyDescent="0.25">
      <c r="A23" s="286">
        <v>250</v>
      </c>
      <c r="B23" s="286">
        <v>16</v>
      </c>
      <c r="C23" s="286">
        <v>250</v>
      </c>
      <c r="D23" s="286" t="s">
        <v>2623</v>
      </c>
      <c r="E23" s="305" t="s">
        <v>3403</v>
      </c>
      <c r="F23" s="339" t="str">
        <f>IFERROR(IF(OR(E23='DICTIONARY-5'!$A$2,E23='DICTIONARY-5'!$A$4,ISBLANK(E23)),VLOOKUP(D23,LIST!$A$6:$L$3250,CURR_1.SEARCH.OLD,0),VLOOKUP(E23,LIST!$B$6:$L$3250,CURR_1.SEARCH.NEW,0)),'DICTIONARY-5'!$A$2)</f>
        <v>943,-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286">
        <v>450</v>
      </c>
      <c r="I23" s="286" t="s">
        <v>2624</v>
      </c>
      <c r="J23" s="305" t="s">
        <v>3370</v>
      </c>
      <c r="K23" s="339" t="str">
        <f>IFERROR(IF(OR(J23='DICTIONARY-5'!$A$2,J23='DICTIONARY-5'!$A$4,ISBLANK(J23)),VLOOKUP(I23,LIST!$A$6:$L$3250,CURR_1.SEARCH.OLD,0),VLOOKUP(J23,LIST!$B$6:$L$3250,CURR_1.SEARCH.NEW,0)),'DICTIONARY-5'!$A$2)</f>
        <v>1 314,-</v>
      </c>
      <c r="L23" s="339" t="str">
        <f>IFERROR(IF(OR(J23='DICTIONARY-5'!$A$2,J23='DICTIONARY-5'!$A$4,ISBLANK(J23)),VLOOKUP(I23,LIST!$A$6:$M$3250,CURR_2.SEARCH.OLD,0),VLOOKUP(J23,LIST!$B$6:$M$3250,CURR_2.SEARCH.NEW,0)),'DICTIONARY-5'!$A$2)</f>
        <v/>
      </c>
      <c r="N23" s="297" t="s">
        <v>102</v>
      </c>
      <c r="O23" s="306" t="s">
        <v>2896</v>
      </c>
      <c r="P23" s="339" t="str">
        <f>IFERROR(IF(OR(O23='DICTIONARY-5'!$A$2,O23='DICTIONARY-5'!$A$4,ISBLANK(O23)),VLOOKUP(N23,LIST!$A$6:$L$3250,CURR_1.SEARCH.OLD,0),VLOOKUP(O23,LIST!$B$6:$L$3250,CURR_1.SEARCH.NEW,0)),'DICTIONARY-5'!$A$2)</f>
        <v>54,-</v>
      </c>
      <c r="Q23" s="339" t="str">
        <f>IFERROR(IF(OR(O23='DICTIONARY-5'!$A$2,O23='DICTIONARY-5'!$A$4,ISBLANK(O23)),VLOOKUP(N23,LIST!$A$6:$M$3250,CURR_2.SEARCH.OLD,0),VLOOKUP(O23,LIST!$B$6:$M$3250,CURR_2.SEARCH.NEW,0)),'DICTIONARY-5'!$A$2)</f>
        <v/>
      </c>
    </row>
    <row r="24" spans="1:17" x14ac:dyDescent="0.25">
      <c r="A24" s="286">
        <v>300</v>
      </c>
      <c r="B24" s="286">
        <v>10</v>
      </c>
      <c r="C24" s="286">
        <v>270</v>
      </c>
      <c r="D24" s="286" t="s">
        <v>2625</v>
      </c>
      <c r="E24" s="305" t="s">
        <v>3340</v>
      </c>
      <c r="F24" s="339" t="str">
        <f>IFERROR(IF(OR(E24='DICTIONARY-5'!$A$2,E24='DICTIONARY-5'!$A$4,ISBLANK(E24)),VLOOKUP(D24,LIST!$A$6:$L$3250,CURR_1.SEARCH.OLD,0),VLOOKUP(E24,LIST!$B$6:$L$3250,CURR_1.SEARCH.NEW,0)),'DICTIONARY-5'!$A$2)</f>
        <v>1 108,-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286">
        <v>500</v>
      </c>
      <c r="I24" s="286" t="s">
        <v>2626</v>
      </c>
      <c r="J24" s="305" t="s">
        <v>3350</v>
      </c>
      <c r="K24" s="339" t="str">
        <f>IFERROR(IF(OR(J24='DICTIONARY-5'!$A$2,J24='DICTIONARY-5'!$A$4,ISBLANK(J24)),VLOOKUP(I24,LIST!$A$6:$L$3250,CURR_1.SEARCH.OLD,0),VLOOKUP(J24,LIST!$B$6:$L$3250,CURR_1.SEARCH.NEW,0)),'DICTIONARY-5'!$A$2)</f>
        <v>1 611,-</v>
      </c>
      <c r="L24" s="339" t="str">
        <f>IFERROR(IF(OR(J24='DICTIONARY-5'!$A$2,J24='DICTIONARY-5'!$A$4,ISBLANK(J24)),VLOOKUP(I24,LIST!$A$6:$M$3250,CURR_2.SEARCH.OLD,0),VLOOKUP(J24,LIST!$B$6:$M$3250,CURR_2.SEARCH.NEW,0)),'DICTIONARY-5'!$A$2)</f>
        <v/>
      </c>
      <c r="N24" s="297" t="s">
        <v>102</v>
      </c>
      <c r="O24" s="306" t="s">
        <v>2896</v>
      </c>
      <c r="P24" s="339" t="str">
        <f>IFERROR(IF(OR(O24='DICTIONARY-5'!$A$2,O24='DICTIONARY-5'!$A$4,ISBLANK(O24)),VLOOKUP(N24,LIST!$A$6:$L$3250,CURR_1.SEARCH.OLD,0),VLOOKUP(O24,LIST!$B$6:$L$3250,CURR_1.SEARCH.NEW,0)),'DICTIONARY-5'!$A$2)</f>
        <v>54,-</v>
      </c>
      <c r="Q24" s="339" t="str">
        <f>IFERROR(IF(OR(O24='DICTIONARY-5'!$A$2,O24='DICTIONARY-5'!$A$4,ISBLANK(O24)),VLOOKUP(N24,LIST!$A$6:$M$3250,CURR_2.SEARCH.OLD,0),VLOOKUP(O24,LIST!$B$6:$M$3250,CURR_2.SEARCH.NEW,0)),'DICTIONARY-5'!$A$2)</f>
        <v/>
      </c>
    </row>
    <row r="25" spans="1:17" x14ac:dyDescent="0.25">
      <c r="A25" s="286">
        <v>300</v>
      </c>
      <c r="B25" s="286">
        <v>16</v>
      </c>
      <c r="C25" s="286">
        <v>270</v>
      </c>
      <c r="D25" s="286" t="s">
        <v>2627</v>
      </c>
      <c r="E25" s="305" t="s">
        <v>3407</v>
      </c>
      <c r="F25" s="339" t="str">
        <f>IFERROR(IF(OR(E25='DICTIONARY-5'!$A$2,E25='DICTIONARY-5'!$A$4,ISBLANK(E25)),VLOOKUP(D25,LIST!$A$6:$L$3250,CURR_1.SEARCH.OLD,0),VLOOKUP(E25,LIST!$B$6:$L$3250,CURR_1.SEARCH.NEW,0)),'DICTIONARY-5'!$A$2)</f>
        <v>1 111,-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286">
        <v>500</v>
      </c>
      <c r="I25" s="286" t="s">
        <v>2628</v>
      </c>
      <c r="J25" s="305" t="s">
        <v>3372</v>
      </c>
      <c r="K25" s="339" t="str">
        <f>IFERROR(IF(OR(J25='DICTIONARY-5'!$A$2,J25='DICTIONARY-5'!$A$4,ISBLANK(J25)),VLOOKUP(I25,LIST!$A$6:$L$3250,CURR_1.SEARCH.OLD,0),VLOOKUP(J25,LIST!$B$6:$L$3250,CURR_1.SEARCH.NEW,0)),'DICTIONARY-5'!$A$2)</f>
        <v>1 611,-</v>
      </c>
      <c r="L25" s="339" t="str">
        <f>IFERROR(IF(OR(J25='DICTIONARY-5'!$A$2,J25='DICTIONARY-5'!$A$4,ISBLANK(J25)),VLOOKUP(I25,LIST!$A$6:$M$3250,CURR_2.SEARCH.OLD,0),VLOOKUP(J25,LIST!$B$6:$M$3250,CURR_2.SEARCH.NEW,0)),'DICTIONARY-5'!$A$2)</f>
        <v/>
      </c>
      <c r="N25" s="297" t="s">
        <v>102</v>
      </c>
      <c r="O25" s="306" t="s">
        <v>2896</v>
      </c>
      <c r="P25" s="339" t="str">
        <f>IFERROR(IF(OR(O25='DICTIONARY-5'!$A$2,O25='DICTIONARY-5'!$A$4,ISBLANK(O25)),VLOOKUP(N25,LIST!$A$6:$L$3250,CURR_1.SEARCH.OLD,0),VLOOKUP(O25,LIST!$B$6:$L$3250,CURR_1.SEARCH.NEW,0)),'DICTIONARY-5'!$A$2)</f>
        <v>54,-</v>
      </c>
      <c r="Q25" s="339" t="str">
        <f>IFERROR(IF(OR(O25='DICTIONARY-5'!$A$2,O25='DICTIONARY-5'!$A$4,ISBLANK(O25)),VLOOKUP(N25,LIST!$A$6:$M$3250,CURR_2.SEARCH.OLD,0),VLOOKUP(O25,LIST!$B$6:$M$3250,CURR_2.SEARCH.NEW,0)),'DICTIONARY-5'!$A$2)</f>
        <v/>
      </c>
    </row>
    <row r="26" spans="1:17" x14ac:dyDescent="0.25">
      <c r="A26" s="286">
        <v>350</v>
      </c>
      <c r="B26" s="571" t="s">
        <v>1605</v>
      </c>
      <c r="C26" s="286">
        <v>290</v>
      </c>
      <c r="D26" s="286" t="s">
        <v>2629</v>
      </c>
      <c r="E26" s="305" t="s">
        <v>3341</v>
      </c>
      <c r="F26" s="339" t="str">
        <f>IFERROR(IF(OR(E26='DICTIONARY-5'!$A$2,E26='DICTIONARY-5'!$A$4,ISBLANK(E26)),VLOOKUP(D26,LIST!$A$6:$L$3250,CURR_1.SEARCH.OLD,0),VLOOKUP(E26,LIST!$B$6:$L$3250,CURR_1.SEARCH.NEW,0)),'DICTIONARY-5'!$A$2)</f>
        <v>2 466,-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286">
        <v>550</v>
      </c>
      <c r="I26" s="286" t="s">
        <v>2630</v>
      </c>
      <c r="J26" s="307" t="s">
        <v>3351</v>
      </c>
      <c r="K26" s="339" t="str">
        <f>IFERROR(IF(OR(J26='DICTIONARY-5'!$A$2,J26='DICTIONARY-5'!$A$4,ISBLANK(J26)),VLOOKUP(I26,LIST!$A$6:$L$3250,CURR_1.SEARCH.OLD,0),VLOOKUP(J26,LIST!$B$6:$L$3250,CURR_1.SEARCH.NEW,0)),'DICTIONARY-5'!$A$2)</f>
        <v>2 694,-</v>
      </c>
      <c r="L26" s="339" t="str">
        <f>IFERROR(IF(OR(J26='DICTIONARY-5'!$A$2,J26='DICTIONARY-5'!$A$4,ISBLANK(J26)),VLOOKUP(I26,LIST!$A$6:$M$3250,CURR_2.SEARCH.OLD,0),VLOOKUP(J26,LIST!$B$6:$M$3250,CURR_2.SEARCH.NEW,0)),'DICTIONARY-5'!$A$2)</f>
        <v/>
      </c>
      <c r="N26" s="297" t="s">
        <v>102</v>
      </c>
      <c r="O26" s="306" t="s">
        <v>2896</v>
      </c>
      <c r="P26" s="339" t="str">
        <f>IFERROR(IF(OR(O26='DICTIONARY-5'!$A$2,O26='DICTIONARY-5'!$A$4,ISBLANK(O26)),VLOOKUP(N26,LIST!$A$6:$L$3250,CURR_1.SEARCH.OLD,0),VLOOKUP(O26,LIST!$B$6:$L$3250,CURR_1.SEARCH.NEW,0)),'DICTIONARY-5'!$A$2)</f>
        <v>54,-</v>
      </c>
      <c r="Q26" s="339" t="str">
        <f>IFERROR(IF(OR(O26='DICTIONARY-5'!$A$2,O26='DICTIONARY-5'!$A$4,ISBLANK(O26)),VLOOKUP(N26,LIST!$A$6:$M$3250,CURR_2.SEARCH.OLD,0),VLOOKUP(O26,LIST!$B$6:$M$3250,CURR_2.SEARCH.NEW,0)),'DICTIONARY-5'!$A$2)</f>
        <v/>
      </c>
    </row>
    <row r="27" spans="1:17" x14ac:dyDescent="0.25">
      <c r="A27" s="286">
        <v>400</v>
      </c>
      <c r="B27" s="571" t="s">
        <v>1605</v>
      </c>
      <c r="C27" s="286">
        <v>310</v>
      </c>
      <c r="D27" s="286" t="s">
        <v>2631</v>
      </c>
      <c r="E27" s="305" t="s">
        <v>3342</v>
      </c>
      <c r="F27" s="339" t="str">
        <f>IFERROR(IF(OR(E27='DICTIONARY-5'!$A$2,E27='DICTIONARY-5'!$A$4,ISBLANK(E27)),VLOOKUP(D27,LIST!$A$6:$L$3250,CURR_1.SEARCH.OLD,0),VLOOKUP(E27,LIST!$B$6:$L$3250,CURR_1.SEARCH.NEW,0)),'DICTIONARY-5'!$A$2)</f>
        <v>3 088,-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H27" s="286">
        <v>600</v>
      </c>
      <c r="I27" s="286" t="s">
        <v>2632</v>
      </c>
      <c r="J27" s="307" t="s">
        <v>3352</v>
      </c>
      <c r="K27" s="339" t="str">
        <f>IFERROR(IF(OR(J27='DICTIONARY-5'!$A$2,J27='DICTIONARY-5'!$A$4,ISBLANK(J27)),VLOOKUP(I27,LIST!$A$6:$L$3250,CURR_1.SEARCH.OLD,0),VLOOKUP(J27,LIST!$B$6:$L$3250,CURR_1.SEARCH.NEW,0)),'DICTIONARY-5'!$A$2)</f>
        <v>3 361,-</v>
      </c>
      <c r="L27" s="339" t="str">
        <f>IFERROR(IF(OR(J27='DICTIONARY-5'!$A$2,J27='DICTIONARY-5'!$A$4,ISBLANK(J27)),VLOOKUP(I27,LIST!$A$6:$M$3250,CURR_2.SEARCH.OLD,0),VLOOKUP(J27,LIST!$B$6:$M$3250,CURR_2.SEARCH.NEW,0)),'DICTIONARY-5'!$A$2)</f>
        <v/>
      </c>
      <c r="N27" s="297" t="s">
        <v>142</v>
      </c>
      <c r="O27" s="306" t="s">
        <v>2897</v>
      </c>
      <c r="P27" s="339" t="str">
        <f>IFERROR(IF(OR(O27='DICTIONARY-5'!$A$2,O27='DICTIONARY-5'!$A$4,ISBLANK(O27)),VLOOKUP(N27,LIST!$A$6:$L$3250,CURR_1.SEARCH.OLD,0),VLOOKUP(O27,LIST!$B$6:$L$3250,CURR_1.SEARCH.NEW,0)),'DICTIONARY-5'!$A$2)</f>
        <v>99,-</v>
      </c>
      <c r="Q27" s="339" t="str">
        <f>IFERROR(IF(OR(O27='DICTIONARY-5'!$A$2,O27='DICTIONARY-5'!$A$4,ISBLANK(O27)),VLOOKUP(N27,LIST!$A$6:$M$3250,CURR_2.SEARCH.OLD,0),VLOOKUP(O27,LIST!$B$6:$M$3250,CURR_2.SEARCH.NEW,0)),'DICTIONARY-5'!$A$2)</f>
        <v/>
      </c>
    </row>
    <row r="28" spans="1:17" x14ac:dyDescent="0.25">
      <c r="A28" s="286">
        <v>500</v>
      </c>
      <c r="B28" s="571" t="s">
        <v>1605</v>
      </c>
      <c r="C28" s="286">
        <v>350</v>
      </c>
      <c r="D28" s="286" t="s">
        <v>2633</v>
      </c>
      <c r="E28" s="305" t="s">
        <v>3343</v>
      </c>
      <c r="F28" s="339" t="str">
        <f>IFERROR(IF(OR(E28='DICTIONARY-5'!$A$2,E28='DICTIONARY-5'!$A$4,ISBLANK(E28)),VLOOKUP(D28,LIST!$A$6:$L$3250,CURR_1.SEARCH.OLD,0),VLOOKUP(E28,LIST!$B$6:$L$3250,CURR_1.SEARCH.NEW,0)),'DICTIONARY-5'!$A$2)</f>
        <v>5 323,-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286"/>
      <c r="I28" s="286"/>
      <c r="J28" s="286"/>
      <c r="K28" s="287"/>
      <c r="L28" s="287"/>
      <c r="N28" s="297" t="s">
        <v>142</v>
      </c>
      <c r="O28" s="306" t="s">
        <v>2897</v>
      </c>
      <c r="P28" s="339" t="str">
        <f>IFERROR(IF(OR(O28='DICTIONARY-5'!$A$2,O28='DICTIONARY-5'!$A$4,ISBLANK(O28)),VLOOKUP(N28,LIST!$A$6:$L$3250,CURR_1.SEARCH.OLD,0),VLOOKUP(O28,LIST!$B$6:$L$3250,CURR_1.SEARCH.NEW,0)),'DICTIONARY-5'!$A$2)</f>
        <v>99,-</v>
      </c>
      <c r="Q28" s="339" t="str">
        <f>IFERROR(IF(OR(O28='DICTIONARY-5'!$A$2,O28='DICTIONARY-5'!$A$4,ISBLANK(O28)),VLOOKUP(N28,LIST!$A$6:$M$3250,CURR_2.SEARCH.OLD,0),VLOOKUP(O28,LIST!$B$6:$M$3250,CURR_2.SEARCH.NEW,0)),'DICTIONARY-5'!$A$2)</f>
        <v/>
      </c>
    </row>
    <row r="30" spans="1:17" x14ac:dyDescent="0.25">
      <c r="A30" s="549" t="str">
        <f>"1) "&amp;'DICTIONARY-5'!$A$3&amp;'DICTIONARY-5'!$A$61&amp;" PN 16 ("&amp;LOWER('DICTIONARY-5'!$A$92)&amp;": max. 1,0 MPa / 10 bar)"</f>
        <v>1) Na zapytanie: owiert kołnierzy PN 16 (ciśnienie robocze: max. 1,0 MPa / 10 bar)</v>
      </c>
    </row>
    <row r="34" spans="1:7" ht="16.5" thickBot="1" x14ac:dyDescent="0.3">
      <c r="A34" s="81" t="str">
        <f>CONCATENATE('DICTIONARY-3'!$A$2," ",'DICTIONARY-3'!$A$187," / ",'DICTIONARY-5'!$A$80," / ",UPPER('DICTIONARY-5'!$A$18))</f>
        <v>EKOplus Zasuwa klinowa / Z mechanicznym wskaźnikiem położenia / GAZ</v>
      </c>
      <c r="B34" s="712"/>
      <c r="C34" s="712"/>
      <c r="D34" s="712"/>
      <c r="E34" s="712"/>
      <c r="F34" s="712"/>
      <c r="G34" s="712"/>
    </row>
    <row r="35" spans="1:7" x14ac:dyDescent="0.25">
      <c r="A35" s="279" t="str">
        <f>CONCATENATE('DICTIONARY-2'!$A$12," ",'DICTIONARY-5'!$A$9)</f>
        <v>Długość zabudowy EN 558</v>
      </c>
    </row>
    <row r="36" spans="1:7" x14ac:dyDescent="0.25">
      <c r="A36" s="279" t="str">
        <f>CONCATENATE('DICTIONARY-1'!$A$10,": ",SETTINGS!$C$14)</f>
        <v>Grupa rabatowa: EKOplus Gas</v>
      </c>
    </row>
    <row r="37" spans="1:7" x14ac:dyDescent="0.25">
      <c r="A37" s="280"/>
    </row>
    <row r="38" spans="1:7" x14ac:dyDescent="0.25">
      <c r="A38" s="281" t="str">
        <f>'DICTIONARY-2'!$A$2</f>
        <v>DN</v>
      </c>
      <c r="B38" s="281" t="str">
        <f>'DICTIONARY-2'!$A$3</f>
        <v>PN</v>
      </c>
      <c r="C38" s="281" t="str">
        <f>'DICTIONARY-2'!$A$24</f>
        <v>L</v>
      </c>
      <c r="D38" s="1079" t="str">
        <f>'DICTIONARY-3'!$A$2</f>
        <v>EKOplus</v>
      </c>
      <c r="E38" s="1079"/>
      <c r="F38" s="1079"/>
      <c r="G38" s="1079"/>
    </row>
    <row r="39" spans="1:7" ht="15" customHeight="1" x14ac:dyDescent="0.25">
      <c r="A39" s="290"/>
      <c r="B39" s="290"/>
      <c r="C39" s="290"/>
      <c r="D39" s="948" t="str">
        <f>CONCATENATE('DICTIONARY-5'!$A$66," (",'DICTIONARY-5'!$A$10," 14), ",'DICTIONARY-5'!$A$43&amp;": "&amp;'DICTIONARY-5'!$A$45)</f>
        <v>budowa krótka (szereg 14), guma: NBR</v>
      </c>
      <c r="E39" s="948"/>
      <c r="F39" s="948"/>
      <c r="G39" s="948"/>
    </row>
    <row r="40" spans="1:7" x14ac:dyDescent="0.25">
      <c r="A40" s="282"/>
      <c r="B40" s="282"/>
      <c r="C40" s="282" t="str">
        <f>'DICTIONARY-2'!$A$18</f>
        <v>[mm]</v>
      </c>
      <c r="D40" s="283" t="str">
        <f>'DICTIONARY-2'!$A$28</f>
        <v>stary nr zamówienia</v>
      </c>
      <c r="E40" s="283" t="str">
        <f>'DICTIONARY-2'!$A$29</f>
        <v>nowy nr zamówienia</v>
      </c>
      <c r="F40" s="284" t="str">
        <f>CURRENCY.CODE_1</f>
        <v>EUR</v>
      </c>
      <c r="G40" s="284" t="str">
        <f>CURRENCY.CODE_2</f>
        <v>---</v>
      </c>
    </row>
    <row r="41" spans="1:7" x14ac:dyDescent="0.25">
      <c r="A41" s="286">
        <v>40</v>
      </c>
      <c r="B41" s="286" t="s">
        <v>85</v>
      </c>
      <c r="C41" s="286">
        <v>140</v>
      </c>
      <c r="D41" s="286" t="s">
        <v>2660</v>
      </c>
      <c r="E41" s="305" t="s">
        <v>3375</v>
      </c>
      <c r="F41" s="339" t="str">
        <f>IFERROR(IF(OR(E41='DICTIONARY-5'!$A$2,E41='DICTIONARY-5'!$A$4,ISBLANK(E41)),VLOOKUP(D41,LIST!$A$6:$L$3250,CURR_1.SEARCH.OLD,0),VLOOKUP(E41,LIST!$B$6:$L$3250,CURR_1.SEARCH.NEW,0)),'DICTIONARY-5'!$A$2)</f>
        <v>364,-</v>
      </c>
      <c r="G41" s="339" t="str">
        <f>IFERROR(IF(OR(E41='DICTIONARY-5'!$A$2,E41='DICTIONARY-5'!$A$4,ISBLANK(E41)),VLOOKUP(D41,LIST!$A$6:$M$3250,CURR_2.SEARCH.OLD,0),VLOOKUP(E41,LIST!$B$6:$M$3250,CURR_2.SEARCH.NEW,0)),'DICTIONARY-5'!$A$2)</f>
        <v/>
      </c>
    </row>
    <row r="42" spans="1:7" x14ac:dyDescent="0.25">
      <c r="A42" s="286">
        <v>50</v>
      </c>
      <c r="B42" s="286" t="s">
        <v>85</v>
      </c>
      <c r="C42" s="286">
        <v>150</v>
      </c>
      <c r="D42" s="286" t="s">
        <v>2661</v>
      </c>
      <c r="E42" s="305" t="s">
        <v>3379</v>
      </c>
      <c r="F42" s="339" t="str">
        <f>IFERROR(IF(OR(E42='DICTIONARY-5'!$A$2,E42='DICTIONARY-5'!$A$4,ISBLANK(E42)),VLOOKUP(D42,LIST!$A$6:$L$3250,CURR_1.SEARCH.OLD,0),VLOOKUP(E42,LIST!$B$6:$L$3250,CURR_1.SEARCH.NEW,0)),'DICTIONARY-5'!$A$2)</f>
        <v>365,-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</row>
    <row r="43" spans="1:7" x14ac:dyDescent="0.25">
      <c r="A43" s="286">
        <v>65</v>
      </c>
      <c r="B43" s="286" t="s">
        <v>85</v>
      </c>
      <c r="C43" s="286">
        <v>170</v>
      </c>
      <c r="D43" s="286" t="s">
        <v>2662</v>
      </c>
      <c r="E43" s="305" t="s">
        <v>3384</v>
      </c>
      <c r="F43" s="339" t="str">
        <f>IFERROR(IF(OR(E43='DICTIONARY-5'!$A$2,E43='DICTIONARY-5'!$A$4,ISBLANK(E43)),VLOOKUP(D43,LIST!$A$6:$L$3250,CURR_1.SEARCH.OLD,0),VLOOKUP(E43,LIST!$B$6:$L$3250,CURR_1.SEARCH.NEW,0)),'DICTIONARY-5'!$A$2)</f>
        <v>402,-</v>
      </c>
      <c r="G43" s="339" t="str">
        <f>IFERROR(IF(OR(E43='DICTIONARY-5'!$A$2,E43='DICTIONARY-5'!$A$4,ISBLANK(E43)),VLOOKUP(D43,LIST!$A$6:$M$3250,CURR_2.SEARCH.OLD,0),VLOOKUP(E43,LIST!$B$6:$M$3250,CURR_2.SEARCH.NEW,0)),'DICTIONARY-5'!$A$2)</f>
        <v/>
      </c>
    </row>
    <row r="44" spans="1:7" x14ac:dyDescent="0.25">
      <c r="A44" s="286">
        <v>80</v>
      </c>
      <c r="B44" s="286" t="s">
        <v>85</v>
      </c>
      <c r="C44" s="286">
        <v>180</v>
      </c>
      <c r="D44" s="286" t="s">
        <v>2663</v>
      </c>
      <c r="E44" s="305" t="s">
        <v>3389</v>
      </c>
      <c r="F44" s="339" t="str">
        <f>IFERROR(IF(OR(E44='DICTIONARY-5'!$A$2,E44='DICTIONARY-5'!$A$4,ISBLANK(E44)),VLOOKUP(D44,LIST!$A$6:$L$3250,CURR_1.SEARCH.OLD,0),VLOOKUP(E44,LIST!$B$6:$L$3250,CURR_1.SEARCH.NEW,0)),'DICTIONARY-5'!$A$2)</f>
        <v>407,-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</row>
    <row r="45" spans="1:7" x14ac:dyDescent="0.25">
      <c r="A45" s="286">
        <v>100</v>
      </c>
      <c r="B45" s="286" t="s">
        <v>85</v>
      </c>
      <c r="C45" s="286">
        <v>190</v>
      </c>
      <c r="D45" s="286" t="s">
        <v>2664</v>
      </c>
      <c r="E45" s="305" t="s">
        <v>3392</v>
      </c>
      <c r="F45" s="339" t="str">
        <f>IFERROR(IF(OR(E45='DICTIONARY-5'!$A$2,E45='DICTIONARY-5'!$A$4,ISBLANK(E45)),VLOOKUP(D45,LIST!$A$6:$L$3250,CURR_1.SEARCH.OLD,0),VLOOKUP(E45,LIST!$B$6:$L$3250,CURR_1.SEARCH.NEW,0)),'DICTIONARY-5'!$A$2)</f>
        <v>462,-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</row>
    <row r="46" spans="1:7" x14ac:dyDescent="0.25">
      <c r="A46" s="286">
        <v>125</v>
      </c>
      <c r="B46" s="286" t="s">
        <v>85</v>
      </c>
      <c r="C46" s="286">
        <v>200</v>
      </c>
      <c r="D46" s="286" t="s">
        <v>2665</v>
      </c>
      <c r="E46" s="305" t="s">
        <v>3395</v>
      </c>
      <c r="F46" s="339" t="str">
        <f>IFERROR(IF(OR(E46='DICTIONARY-5'!$A$2,E46='DICTIONARY-5'!$A$4,ISBLANK(E46)),VLOOKUP(D46,LIST!$A$6:$L$3250,CURR_1.SEARCH.OLD,0),VLOOKUP(E46,LIST!$B$6:$L$3250,CURR_1.SEARCH.NEW,0)),'DICTIONARY-5'!$A$2)</f>
        <v>553,-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</row>
    <row r="47" spans="1:7" x14ac:dyDescent="0.25">
      <c r="A47" s="286">
        <v>150</v>
      </c>
      <c r="B47" s="286" t="s">
        <v>85</v>
      </c>
      <c r="C47" s="286">
        <v>210</v>
      </c>
      <c r="D47" s="286" t="s">
        <v>2666</v>
      </c>
      <c r="E47" s="305" t="s">
        <v>3398</v>
      </c>
      <c r="F47" s="339" t="str">
        <f>IFERROR(IF(OR(E47='DICTIONARY-5'!$A$2,E47='DICTIONARY-5'!$A$4,ISBLANK(E47)),VLOOKUP(D47,LIST!$A$6:$L$3250,CURR_1.SEARCH.OLD,0),VLOOKUP(E47,LIST!$B$6:$L$3250,CURR_1.SEARCH.NEW,0)),'DICTIONARY-5'!$A$2)</f>
        <v>589,-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</row>
    <row r="48" spans="1:7" x14ac:dyDescent="0.25">
      <c r="A48" s="286">
        <v>200</v>
      </c>
      <c r="B48" s="286" t="s">
        <v>436</v>
      </c>
      <c r="C48" s="286">
        <v>230</v>
      </c>
      <c r="D48" s="286" t="s">
        <v>2667</v>
      </c>
      <c r="E48" s="305" t="s">
        <v>3401</v>
      </c>
      <c r="F48" s="339" t="str">
        <f>IFERROR(IF(OR(E48='DICTIONARY-5'!$A$2,E48='DICTIONARY-5'!$A$4,ISBLANK(E48)),VLOOKUP(D48,LIST!$A$6:$L$3250,CURR_1.SEARCH.OLD,0),VLOOKUP(E48,LIST!$B$6:$L$3250,CURR_1.SEARCH.NEW,0)),'DICTIONARY-5'!$A$2)</f>
        <v>832,-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</row>
    <row r="49" spans="1:7" x14ac:dyDescent="0.25">
      <c r="A49" s="286">
        <v>250</v>
      </c>
      <c r="B49" s="286" t="s">
        <v>436</v>
      </c>
      <c r="C49" s="286">
        <v>250</v>
      </c>
      <c r="D49" s="286" t="s">
        <v>2668</v>
      </c>
      <c r="E49" s="305" t="s">
        <v>3404</v>
      </c>
      <c r="F49" s="339" t="str">
        <f>IFERROR(IF(OR(E49='DICTIONARY-5'!$A$2,E49='DICTIONARY-5'!$A$4,ISBLANK(E49)),VLOOKUP(D49,LIST!$A$6:$L$3250,CURR_1.SEARCH.OLD,0),VLOOKUP(E49,LIST!$B$6:$L$3250,CURR_1.SEARCH.NEW,0)),'DICTIONARY-5'!$A$2)</f>
        <v>1 175,-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</row>
    <row r="50" spans="1:7" x14ac:dyDescent="0.25">
      <c r="A50" s="286">
        <v>300</v>
      </c>
      <c r="B50" s="286" t="s">
        <v>436</v>
      </c>
      <c r="C50" s="286">
        <v>270</v>
      </c>
      <c r="D50" s="286" t="s">
        <v>2669</v>
      </c>
      <c r="E50" s="305" t="s">
        <v>3408</v>
      </c>
      <c r="F50" s="339" t="str">
        <f>IFERROR(IF(OR(E50='DICTIONARY-5'!$A$2,E50='DICTIONARY-5'!$A$4,ISBLANK(E50)),VLOOKUP(D50,LIST!$A$6:$L$3250,CURR_1.SEARCH.OLD,0),VLOOKUP(E50,LIST!$B$6:$L$3250,CURR_1.SEARCH.NEW,0)),'DICTIONARY-5'!$A$2)</f>
        <v>1 343,-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</row>
    <row r="52" spans="1:7" x14ac:dyDescent="0.25">
      <c r="A52" s="549" t="str">
        <f>"1) "&amp;'DICTIONARY-5'!$A$3&amp;" PN 10"</f>
        <v>1) Na zapytanie:  PN 10</v>
      </c>
    </row>
  </sheetData>
  <sheetProtection algorithmName="SHA-512" hashValue="LmRZDCUt0u3RylMzenK13ri7uxhJil/So6CvKDq9csZCQDX1NZv7RH89CWDPfx0iHUEFRs5U6b+w+xcnC5dcwQ==" saltValue="tTYI5or2pkK/uQ2fsPiK+w==" spinCount="100000" sheet="1" objects="1" scenarios="1" autoFilter="0"/>
  <mergeCells count="10">
    <mergeCell ref="B4:E4"/>
    <mergeCell ref="D39:G39"/>
    <mergeCell ref="N11:Q11"/>
    <mergeCell ref="N9:Q9"/>
    <mergeCell ref="D38:G38"/>
    <mergeCell ref="D10:G10"/>
    <mergeCell ref="I10:L10"/>
    <mergeCell ref="N10:Q10"/>
    <mergeCell ref="D11:G11"/>
    <mergeCell ref="I11:L11"/>
  </mergeCells>
  <pageMargins left="0.7" right="0.7" top="0.78740157499999996" bottom="0.78740157499999996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0F6E23"/>
  </sheetPr>
  <dimension ref="A1:R46"/>
  <sheetViews>
    <sheetView workbookViewId="0"/>
  </sheetViews>
  <sheetFormatPr defaultColWidth="9.140625" defaultRowHeight="15" x14ac:dyDescent="0.25"/>
  <cols>
    <col min="1" max="4" width="9.140625" style="277"/>
    <col min="5" max="6" width="22.140625" style="277" customWidth="1"/>
    <col min="7" max="8" width="12.85546875" style="277" customWidth="1"/>
    <col min="9" max="9" width="11.42578125" style="277" customWidth="1"/>
    <col min="10" max="11" width="22.140625" style="277" customWidth="1"/>
    <col min="12" max="13" width="12.85546875" style="277" customWidth="1"/>
    <col min="14" max="14" width="9.140625" style="277"/>
    <col min="15" max="16" width="22.140625" style="277" customWidth="1"/>
    <col min="17" max="18" width="12.85546875" style="277" customWidth="1"/>
    <col min="19" max="16384" width="9.140625" style="277"/>
  </cols>
  <sheetData>
    <row r="1" spans="1:18" s="391" customFormat="1" ht="45" customHeight="1" thickBot="1" x14ac:dyDescent="0.3">
      <c r="A1" s="424"/>
      <c r="B1" s="424"/>
      <c r="C1" s="424"/>
      <c r="D1" s="424"/>
    </row>
    <row r="2" spans="1:18" s="444" customFormat="1" ht="4.5" customHeight="1" x14ac:dyDescent="0.25">
      <c r="A2" s="443"/>
    </row>
    <row r="3" spans="1:18" ht="15.75" thickBot="1" x14ac:dyDescent="0.3">
      <c r="A3" s="294"/>
      <c r="B3" s="295"/>
      <c r="C3" s="295"/>
    </row>
    <row r="4" spans="1:18" ht="15.75" thickBot="1" x14ac:dyDescent="0.3">
      <c r="A4" s="818">
        <f>ADD.DISCOUNT</f>
        <v>0</v>
      </c>
      <c r="B4" s="933" t="str">
        <f>HYPERLINK("#'LIST'!ADD.DISCOUNT","» "&amp;'DICTIONARY-1'!$A$5)</f>
        <v>» Ustaw globalny dodatkowy rabat</v>
      </c>
      <c r="C4" s="1081"/>
      <c r="D4" s="1081"/>
      <c r="E4" s="1082"/>
    </row>
    <row r="5" spans="1:18" x14ac:dyDescent="0.25">
      <c r="A5" s="294"/>
      <c r="B5" s="295"/>
      <c r="C5" s="295"/>
    </row>
    <row r="6" spans="1:18" ht="16.5" thickBot="1" x14ac:dyDescent="0.3">
      <c r="A6" s="81" t="str">
        <f>CONCATENATE('DICTIONARY-3'!$A$4," ",'DICTIONARY-3'!$A$187," / ",'DICTIONARY-3'!$A$252," / ",UPPER('DICTIONARY-5'!$A$18))</f>
        <v>EKOplus PE Zasuwa klinowa / Z końcówkami PE-HD / GAZ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  <c r="M6" s="712"/>
      <c r="N6" s="712"/>
      <c r="O6" s="712"/>
      <c r="P6" s="712"/>
      <c r="Q6" s="712"/>
      <c r="R6" s="712"/>
    </row>
    <row r="7" spans="1:18" x14ac:dyDescent="0.25">
      <c r="A7" s="9" t="str">
        <f>CONCATENATE('DICTIONARY-3'!$A$252,", ",LOWER('DICTIONARY-3'!$A$243)," ",'DICTIONARY-3'!$A$244)</f>
        <v>Z końcówkami PE-HD, z wolnym końcem wałka i adapterem do podłączenia VAG obudowy ziemnej</v>
      </c>
      <c r="B7" s="278"/>
      <c r="C7" s="278"/>
      <c r="D7" s="278"/>
      <c r="E7" s="278"/>
      <c r="F7" s="278"/>
      <c r="G7" s="276"/>
      <c r="H7" s="276"/>
      <c r="I7" s="276"/>
    </row>
    <row r="8" spans="1:18" x14ac:dyDescent="0.25">
      <c r="A8" s="279" t="str">
        <f>CONCATENATE('DICTIONARY-1'!$A$10,": ",SETTINGS!$C$14)</f>
        <v>Grupa rabatowa: EKOplus Gas</v>
      </c>
      <c r="B8" s="278"/>
      <c r="C8" s="278"/>
      <c r="D8" s="278"/>
      <c r="E8" s="278"/>
      <c r="F8" s="278"/>
      <c r="G8" s="276"/>
      <c r="H8" s="276"/>
      <c r="I8" s="276"/>
    </row>
    <row r="9" spans="1:18" x14ac:dyDescent="0.25">
      <c r="A9" s="280"/>
      <c r="B9" s="278"/>
      <c r="C9" s="278"/>
      <c r="D9" s="278"/>
      <c r="E9" s="278"/>
      <c r="F9" s="278"/>
      <c r="G9" s="276"/>
      <c r="H9" s="276"/>
      <c r="I9" s="276"/>
      <c r="O9" s="935" t="str">
        <f>'DICTIONARY-5'!$A$5</f>
        <v xml:space="preserve">Należy zamówić oddzielnie </v>
      </c>
      <c r="P9" s="953"/>
      <c r="Q9" s="953"/>
      <c r="R9" s="954"/>
    </row>
    <row r="10" spans="1:18" ht="15" customHeight="1" x14ac:dyDescent="0.25">
      <c r="A10" s="281" t="str">
        <f>'DICTIONARY-2'!$A$2</f>
        <v>DN</v>
      </c>
      <c r="B10" s="281" t="str">
        <f>'DICTIONARY-2'!$A$24</f>
        <v>L</v>
      </c>
      <c r="C10" s="281" t="str">
        <f>'DICTIONARY-2'!$A$5&amp;" 1)"</f>
        <v>Da 1)</v>
      </c>
      <c r="D10" s="281" t="str">
        <f>'DICTIONARY-2'!$A$11</f>
        <v>PS/PFA</v>
      </c>
      <c r="E10" s="1079" t="str">
        <f>'DICTIONARY-3'!$A$4</f>
        <v>EKOplus PE</v>
      </c>
      <c r="F10" s="1079"/>
      <c r="G10" s="1079"/>
      <c r="H10" s="1079"/>
      <c r="I10" s="281" t="str">
        <f>'DICTIONARY-2'!$A$11</f>
        <v>PS/PFA</v>
      </c>
      <c r="J10" s="1079" t="str">
        <f>'DICTIONARY-3'!$A$4</f>
        <v>EKOplus PE</v>
      </c>
      <c r="K10" s="1079"/>
      <c r="L10" s="1079"/>
      <c r="M10" s="1079"/>
      <c r="O10" s="950" t="str">
        <f>'DICTIONARY-4'!$A$23</f>
        <v>Kółko ręczne</v>
      </c>
      <c r="P10" s="951"/>
      <c r="Q10" s="951"/>
      <c r="R10" s="952"/>
    </row>
    <row r="11" spans="1:18" ht="15" customHeight="1" x14ac:dyDescent="0.25">
      <c r="A11" s="290"/>
      <c r="B11" s="290"/>
      <c r="C11" s="290"/>
      <c r="D11" s="290"/>
      <c r="E11" s="1080" t="str">
        <f>'DICTIONARY-5'!$A$58&amp;" "&amp;'DICTIONARY-5'!$A$59&amp;", "&amp;'DICTIONARY-5'!$A$43&amp;": "&amp;'DICTIONARY-5'!$A$45</f>
        <v>PE-HD SDR 11, guma: NBR</v>
      </c>
      <c r="F11" s="1080"/>
      <c r="G11" s="1080"/>
      <c r="H11" s="1080"/>
      <c r="I11" s="290"/>
      <c r="J11" s="1080" t="str">
        <f>'DICTIONARY-5'!$A$58&amp;" "&amp;'DICTIONARY-5'!$A$60&amp;", "&amp;'DICTIONARY-5'!$A$43&amp;": "&amp;'DICTIONARY-5'!$A$45</f>
        <v>PE-HD SDR 17, guma: NBR</v>
      </c>
      <c r="K11" s="1080"/>
      <c r="L11" s="1080"/>
      <c r="M11" s="1080"/>
      <c r="O11" s="939"/>
      <c r="P11" s="940"/>
      <c r="Q11" s="940"/>
      <c r="R11" s="941"/>
    </row>
    <row r="12" spans="1:18" x14ac:dyDescent="0.25">
      <c r="A12" s="282"/>
      <c r="B12" s="282" t="str">
        <f>'DICTIONARY-2'!$A$18</f>
        <v>[mm]</v>
      </c>
      <c r="C12" s="282" t="str">
        <f>'DICTIONARY-2'!$A$18</f>
        <v>[mm]</v>
      </c>
      <c r="D12" s="282" t="str">
        <f>'DICTIONARY-2'!$A$21</f>
        <v>[bar]</v>
      </c>
      <c r="E12" s="283" t="str">
        <f>'DICTIONARY-2'!$A$28</f>
        <v>stary nr zamówienia</v>
      </c>
      <c r="F12" s="283" t="str">
        <f>'DICTIONARY-2'!$A$29</f>
        <v>nowy nr zamówienia</v>
      </c>
      <c r="G12" s="284" t="str">
        <f>CURRENCY.CODE_1</f>
        <v>EUR</v>
      </c>
      <c r="H12" s="284" t="str">
        <f>CURRENCY.CODE_2</f>
        <v>---</v>
      </c>
      <c r="I12" s="282" t="str">
        <f>'DICTIONARY-2'!$A$21</f>
        <v>[bar]</v>
      </c>
      <c r="J12" s="283" t="str">
        <f>'DICTIONARY-2'!$A$28</f>
        <v>stary nr zamówienia</v>
      </c>
      <c r="K12" s="283" t="str">
        <f>'DICTIONARY-2'!$A$29</f>
        <v>nowy nr zamówienia</v>
      </c>
      <c r="L12" s="284" t="str">
        <f>CURRENCY.CODE_1</f>
        <v>EUR</v>
      </c>
      <c r="M12" s="284" t="str">
        <f>CURRENCY.CODE_2</f>
        <v>---</v>
      </c>
      <c r="O12" s="165" t="str">
        <f>'DICTIONARY-2'!$A$28</f>
        <v>stary nr zamówienia</v>
      </c>
      <c r="P12" s="165" t="str">
        <f>'DICTIONARY-2'!$A$29</f>
        <v>nowy nr zamówienia</v>
      </c>
      <c r="Q12" s="166" t="str">
        <f>CURRENCY.CODE_1</f>
        <v>EUR</v>
      </c>
      <c r="R12" s="166" t="str">
        <f>CURRENCY.CODE_2</f>
        <v>---</v>
      </c>
    </row>
    <row r="13" spans="1:18" x14ac:dyDescent="0.25">
      <c r="A13" s="296">
        <v>40</v>
      </c>
      <c r="B13" s="286">
        <v>648</v>
      </c>
      <c r="C13" s="296">
        <v>50</v>
      </c>
      <c r="D13" s="286">
        <v>10</v>
      </c>
      <c r="E13" s="286" t="s">
        <v>2634</v>
      </c>
      <c r="F13" s="305" t="s">
        <v>3423</v>
      </c>
      <c r="G13" s="339" t="str">
        <f>IFERROR(IF(OR(F13='DICTIONARY-5'!$A$2,F13='DICTIONARY-5'!$A$4,ISBLANK(F13)),VLOOKUP(E13,LIST!$A$6:$L$3250,CURR_1.SEARCH.OLD,0),VLOOKUP(F13,LIST!$B$6:$L$3250,CURR_1.SEARCH.NEW,0)),'DICTIONARY-5'!$A$2)</f>
        <v>510,-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  <c r="I13" s="286">
        <v>4</v>
      </c>
      <c r="J13" s="286" t="s">
        <v>2635</v>
      </c>
      <c r="K13" s="305" t="str">
        <f>'DICTIONARY-5'!$A$2</f>
        <v>na zapytanie</v>
      </c>
      <c r="L13" s="339" t="str">
        <f>IFERROR(IF(OR(K13='DICTIONARY-5'!$A$2,K13='DICTIONARY-5'!$A$4,ISBLANK(K13)),VLOOKUP(J13,LIST!$A$6:$L$3250,CURR_1.SEARCH.OLD,0),VLOOKUP(K13,LIST!$B$6:$L$3250,CURR_1.SEARCH.NEW,0)),'DICTIONARY-5'!$A$2)</f>
        <v>na zapytanie</v>
      </c>
      <c r="M13" s="339" t="str">
        <f>IFERROR(IF(OR(K13='DICTIONARY-5'!$A$2,K13='DICTIONARY-5'!$A$4,ISBLANK(K13)),VLOOKUP(J13,LIST!$A$6:$M$3250,CURR_2.SEARCH.OLD,0),VLOOKUP(K13,LIST!$B$6:$M$3250,CURR_2.SEARCH.NEW,0)),'DICTIONARY-5'!$A$2)</f>
        <v/>
      </c>
      <c r="O13" s="297" t="s">
        <v>109</v>
      </c>
      <c r="P13" s="306" t="s">
        <v>2892</v>
      </c>
      <c r="Q13" s="339" t="str">
        <f>IFERROR(IF(OR(P13='DICTIONARY-5'!$A$2,P13='DICTIONARY-5'!$A$4,ISBLANK(P13)),VLOOKUP(O13,LIST!$A$6:$L$3250,CURR_1.SEARCH.OLD,0),VLOOKUP(P13,LIST!$B$6:$L$3250,CURR_1.SEARCH.NEW,0)),'DICTIONARY-5'!$A$2)</f>
        <v>8,-</v>
      </c>
      <c r="R13" s="339" t="str">
        <f>IFERROR(IF(OR(P13='DICTIONARY-5'!$A$2,P13='DICTIONARY-5'!$A$4,ISBLANK(P13)),VLOOKUP(O13,LIST!$A$6:$M$3250,CURR_2.SEARCH.OLD,0),VLOOKUP(P13,LIST!$B$6:$M$3250,CURR_2.SEARCH.NEW,0)),'DICTIONARY-5'!$A$2)</f>
        <v/>
      </c>
    </row>
    <row r="14" spans="1:18" x14ac:dyDescent="0.25">
      <c r="A14" s="296">
        <v>50</v>
      </c>
      <c r="B14" s="286">
        <v>566</v>
      </c>
      <c r="C14" s="296">
        <v>63</v>
      </c>
      <c r="D14" s="286">
        <v>10</v>
      </c>
      <c r="E14" s="286" t="s">
        <v>2636</v>
      </c>
      <c r="F14" s="305" t="s">
        <v>3425</v>
      </c>
      <c r="G14" s="339" t="str">
        <f>IFERROR(IF(OR(F14='DICTIONARY-5'!$A$2,F14='DICTIONARY-5'!$A$4,ISBLANK(F14)),VLOOKUP(E14,LIST!$A$6:$L$3250,CURR_1.SEARCH.OLD,0),VLOOKUP(F14,LIST!$B$6:$L$3250,CURR_1.SEARCH.NEW,0)),'DICTIONARY-5'!$A$2)</f>
        <v>430,-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  <c r="I14" s="286">
        <v>4</v>
      </c>
      <c r="J14" s="286" t="s">
        <v>2637</v>
      </c>
      <c r="K14" s="305" t="s">
        <v>3447</v>
      </c>
      <c r="L14" s="339" t="str">
        <f>IFERROR(IF(OR(K14='DICTIONARY-5'!$A$2,K14='DICTIONARY-5'!$A$4,ISBLANK(K14)),VLOOKUP(J14,LIST!$A$6:$L$3250,CURR_1.SEARCH.OLD,0),VLOOKUP(K14,LIST!$B$6:$L$3250,CURR_1.SEARCH.NEW,0)),'DICTIONARY-5'!$A$2)</f>
        <v>443,-</v>
      </c>
      <c r="M14" s="339" t="str">
        <f>IFERROR(IF(OR(K14='DICTIONARY-5'!$A$2,K14='DICTIONARY-5'!$A$4,ISBLANK(K14)),VLOOKUP(J14,LIST!$A$6:$M$3250,CURR_2.SEARCH.OLD,0),VLOOKUP(K14,LIST!$B$6:$M$3250,CURR_2.SEARCH.NEW,0)),'DICTIONARY-5'!$A$2)</f>
        <v/>
      </c>
      <c r="O14" s="297" t="s">
        <v>109</v>
      </c>
      <c r="P14" s="306" t="s">
        <v>2892</v>
      </c>
      <c r="Q14" s="339" t="str">
        <f>IFERROR(IF(OR(P14='DICTIONARY-5'!$A$2,P14='DICTIONARY-5'!$A$4,ISBLANK(P14)),VLOOKUP(O14,LIST!$A$6:$L$3250,CURR_1.SEARCH.OLD,0),VLOOKUP(P14,LIST!$B$6:$L$3250,CURR_1.SEARCH.NEW,0)),'DICTIONARY-5'!$A$2)</f>
        <v>8,-</v>
      </c>
      <c r="R14" s="339" t="str">
        <f>IFERROR(IF(OR(P14='DICTIONARY-5'!$A$2,P14='DICTIONARY-5'!$A$4,ISBLANK(P14)),VLOOKUP(O14,LIST!$A$6:$M$3250,CURR_2.SEARCH.OLD,0),VLOOKUP(P14,LIST!$B$6:$M$3250,CURR_2.SEARCH.NEW,0)),'DICTIONARY-5'!$A$2)</f>
        <v/>
      </c>
    </row>
    <row r="15" spans="1:18" x14ac:dyDescent="0.25">
      <c r="A15" s="286">
        <v>80</v>
      </c>
      <c r="B15" s="286">
        <v>740</v>
      </c>
      <c r="C15" s="286">
        <v>90</v>
      </c>
      <c r="D15" s="286">
        <v>10</v>
      </c>
      <c r="E15" s="286" t="s">
        <v>2638</v>
      </c>
      <c r="F15" s="305" t="s">
        <v>3427</v>
      </c>
      <c r="G15" s="339" t="str">
        <f>IFERROR(IF(OR(F15='DICTIONARY-5'!$A$2,F15='DICTIONARY-5'!$A$4,ISBLANK(F15)),VLOOKUP(E15,LIST!$A$6:$L$3250,CURR_1.SEARCH.OLD,0),VLOOKUP(F15,LIST!$B$6:$L$3250,CURR_1.SEARCH.NEW,0)),'DICTIONARY-5'!$A$2)</f>
        <v>517,-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  <c r="I15" s="286">
        <v>4</v>
      </c>
      <c r="J15" s="286" t="s">
        <v>2639</v>
      </c>
      <c r="K15" s="305" t="s">
        <v>3448</v>
      </c>
      <c r="L15" s="339" t="str">
        <f>IFERROR(IF(OR(K15='DICTIONARY-5'!$A$2,K15='DICTIONARY-5'!$A$4,ISBLANK(K15)),VLOOKUP(J15,LIST!$A$6:$L$3250,CURR_1.SEARCH.OLD,0),VLOOKUP(K15,LIST!$B$6:$L$3250,CURR_1.SEARCH.NEW,0)),'DICTIONARY-5'!$A$2)</f>
        <v>534,-</v>
      </c>
      <c r="M15" s="339" t="str">
        <f>IFERROR(IF(OR(K15='DICTIONARY-5'!$A$2,K15='DICTIONARY-5'!$A$4,ISBLANK(K15)),VLOOKUP(J15,LIST!$A$6:$M$3250,CURR_2.SEARCH.OLD,0),VLOOKUP(K15,LIST!$B$6:$M$3250,CURR_2.SEARCH.NEW,0)),'DICTIONARY-5'!$A$2)</f>
        <v/>
      </c>
      <c r="O15" s="297" t="s">
        <v>88</v>
      </c>
      <c r="P15" s="306" t="s">
        <v>2893</v>
      </c>
      <c r="Q15" s="339" t="str">
        <f>IFERROR(IF(OR(P15='DICTIONARY-5'!$A$2,P15='DICTIONARY-5'!$A$4,ISBLANK(P15)),VLOOKUP(O15,LIST!$A$6:$L$3250,CURR_1.SEARCH.OLD,0),VLOOKUP(P15,LIST!$B$6:$L$3250,CURR_1.SEARCH.NEW,0)),'DICTIONARY-5'!$A$2)</f>
        <v>15,-</v>
      </c>
      <c r="R15" s="339" t="str">
        <f>IFERROR(IF(OR(P15='DICTIONARY-5'!$A$2,P15='DICTIONARY-5'!$A$4,ISBLANK(P15)),VLOOKUP(O15,LIST!$A$6:$M$3250,CURR_2.SEARCH.OLD,0),VLOOKUP(P15,LIST!$B$6:$M$3250,CURR_2.SEARCH.NEW,0)),'DICTIONARY-5'!$A$2)</f>
        <v/>
      </c>
    </row>
    <row r="16" spans="1:18" x14ac:dyDescent="0.25">
      <c r="A16" s="286">
        <v>100</v>
      </c>
      <c r="B16" s="286">
        <v>775</v>
      </c>
      <c r="C16" s="286">
        <v>110</v>
      </c>
      <c r="D16" s="286">
        <v>10</v>
      </c>
      <c r="E16" s="286" t="s">
        <v>2640</v>
      </c>
      <c r="F16" s="305" t="s">
        <v>3429</v>
      </c>
      <c r="G16" s="339" t="str">
        <f>IFERROR(IF(OR(F16='DICTIONARY-5'!$A$2,F16='DICTIONARY-5'!$A$4,ISBLANK(F16)),VLOOKUP(E16,LIST!$A$6:$L$3250,CURR_1.SEARCH.OLD,0),VLOOKUP(F16,LIST!$B$6:$L$3250,CURR_1.SEARCH.NEW,0)),'DICTIONARY-5'!$A$2)</f>
        <v>582,-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  <c r="I16" s="286">
        <v>4</v>
      </c>
      <c r="J16" s="286" t="s">
        <v>2641</v>
      </c>
      <c r="K16" s="305" t="s">
        <v>3449</v>
      </c>
      <c r="L16" s="339" t="str">
        <f>IFERROR(IF(OR(K16='DICTIONARY-5'!$A$2,K16='DICTIONARY-5'!$A$4,ISBLANK(K16)),VLOOKUP(J16,LIST!$A$6:$L$3250,CURR_1.SEARCH.OLD,0),VLOOKUP(K16,LIST!$B$6:$L$3250,CURR_1.SEARCH.NEW,0)),'DICTIONARY-5'!$A$2)</f>
        <v>600,-</v>
      </c>
      <c r="M16" s="339" t="str">
        <f>IFERROR(IF(OR(K16='DICTIONARY-5'!$A$2,K16='DICTIONARY-5'!$A$4,ISBLANK(K16)),VLOOKUP(J16,LIST!$A$6:$M$3250,CURR_2.SEARCH.OLD,0),VLOOKUP(K16,LIST!$B$6:$M$3250,CURR_2.SEARCH.NEW,0)),'DICTIONARY-5'!$A$2)</f>
        <v/>
      </c>
      <c r="O16" s="297" t="s">
        <v>91</v>
      </c>
      <c r="P16" s="306" t="s">
        <v>2894</v>
      </c>
      <c r="Q16" s="339" t="str">
        <f>IFERROR(IF(OR(P16='DICTIONARY-5'!$A$2,P16='DICTIONARY-5'!$A$4,ISBLANK(P16)),VLOOKUP(O16,LIST!$A$6:$L$3250,CURR_1.SEARCH.OLD,0),VLOOKUP(P16,LIST!$B$6:$L$3250,CURR_1.SEARCH.NEW,0)),'DICTIONARY-5'!$A$2)</f>
        <v>20,-</v>
      </c>
      <c r="R16" s="339" t="str">
        <f>IFERROR(IF(OR(P16='DICTIONARY-5'!$A$2,P16='DICTIONARY-5'!$A$4,ISBLANK(P16)),VLOOKUP(O16,LIST!$A$6:$M$3250,CURR_2.SEARCH.OLD,0),VLOOKUP(P16,LIST!$B$6:$M$3250,CURR_2.SEARCH.NEW,0)),'DICTIONARY-5'!$A$2)</f>
        <v/>
      </c>
    </row>
    <row r="17" spans="1:18" x14ac:dyDescent="0.25">
      <c r="A17" s="286">
        <v>100</v>
      </c>
      <c r="B17" s="286">
        <v>775</v>
      </c>
      <c r="C17" s="286">
        <v>125</v>
      </c>
      <c r="D17" s="286">
        <v>10</v>
      </c>
      <c r="E17" s="286" t="s">
        <v>2642</v>
      </c>
      <c r="F17" s="305" t="s">
        <v>3440</v>
      </c>
      <c r="G17" s="339" t="str">
        <f>IFERROR(IF(OR(F17='DICTIONARY-5'!$A$2,F17='DICTIONARY-5'!$A$4,ISBLANK(F17)),VLOOKUP(E17,LIST!$A$6:$L$3250,CURR_1.SEARCH.OLD,0),VLOOKUP(F17,LIST!$B$6:$L$3250,CURR_1.SEARCH.NEW,0)),'DICTIONARY-5'!$A$2)</f>
        <v>615,-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  <c r="I17" s="286">
        <v>4</v>
      </c>
      <c r="J17" s="286" t="s">
        <v>2643</v>
      </c>
      <c r="K17" s="305" t="s">
        <v>3455</v>
      </c>
      <c r="L17" s="339" t="str">
        <f>IFERROR(IF(OR(K17='DICTIONARY-5'!$A$2,K17='DICTIONARY-5'!$A$4,ISBLANK(K17)),VLOOKUP(J17,LIST!$A$6:$L$3250,CURR_1.SEARCH.OLD,0),VLOOKUP(K17,LIST!$B$6:$L$3250,CURR_1.SEARCH.NEW,0)),'DICTIONARY-5'!$A$2)</f>
        <v>636,-</v>
      </c>
      <c r="M17" s="339" t="str">
        <f>IFERROR(IF(OR(K17='DICTIONARY-5'!$A$2,K17='DICTIONARY-5'!$A$4,ISBLANK(K17)),VLOOKUP(J17,LIST!$A$6:$M$3250,CURR_2.SEARCH.OLD,0),VLOOKUP(K17,LIST!$B$6:$M$3250,CURR_2.SEARCH.NEW,0)),'DICTIONARY-5'!$A$2)</f>
        <v/>
      </c>
      <c r="O17" s="297" t="s">
        <v>91</v>
      </c>
      <c r="P17" s="306" t="s">
        <v>2894</v>
      </c>
      <c r="Q17" s="339" t="str">
        <f>IFERROR(IF(OR(P17='DICTIONARY-5'!$A$2,P17='DICTIONARY-5'!$A$4,ISBLANK(P17)),VLOOKUP(O17,LIST!$A$6:$L$3250,CURR_1.SEARCH.OLD,0),VLOOKUP(P17,LIST!$B$6:$L$3250,CURR_1.SEARCH.NEW,0)),'DICTIONARY-5'!$A$2)</f>
        <v>20,-</v>
      </c>
      <c r="R17" s="339" t="str">
        <f>IFERROR(IF(OR(P17='DICTIONARY-5'!$A$2,P17='DICTIONARY-5'!$A$4,ISBLANK(P17)),VLOOKUP(O17,LIST!$A$6:$M$3250,CURR_2.SEARCH.OLD,0),VLOOKUP(P17,LIST!$B$6:$M$3250,CURR_2.SEARCH.NEW,0)),'DICTIONARY-5'!$A$2)</f>
        <v/>
      </c>
    </row>
    <row r="18" spans="1:18" x14ac:dyDescent="0.25">
      <c r="A18" s="286">
        <v>125</v>
      </c>
      <c r="B18" s="286">
        <v>862</v>
      </c>
      <c r="C18" s="286">
        <v>140</v>
      </c>
      <c r="D18" s="286">
        <v>10</v>
      </c>
      <c r="E18" s="286" t="s">
        <v>2644</v>
      </c>
      <c r="F18" s="305" t="str">
        <f>'DICTIONARY-5'!$A$2</f>
        <v>na zapytanie</v>
      </c>
      <c r="G18" s="339" t="str">
        <f>IFERROR(IF(OR(F18='DICTIONARY-5'!$A$2,F18='DICTIONARY-5'!$A$4,ISBLANK(F18)),VLOOKUP(E18,LIST!$A$6:$L$3250,CURR_1.SEARCH.OLD,0),VLOOKUP(F18,LIST!$B$6:$L$3250,CURR_1.SEARCH.NEW,0)),'DICTIONARY-5'!$A$2)</f>
        <v>na zapytanie</v>
      </c>
      <c r="H18" s="339" t="str">
        <f>IFERROR(IF(OR(F18='DICTIONARY-5'!$A$2,F18='DICTIONARY-5'!$A$4,ISBLANK(F18)),VLOOKUP(E18,LIST!$A$6:$M$3250,CURR_2.SEARCH.OLD,0),VLOOKUP(F18,LIST!$B$6:$M$3250,CURR_2.SEARCH.NEW,0)),'DICTIONARY-5'!$A$2)</f>
        <v/>
      </c>
      <c r="I18" s="286">
        <v>4</v>
      </c>
      <c r="J18" s="286" t="s">
        <v>2645</v>
      </c>
      <c r="K18" s="305" t="s">
        <v>3450</v>
      </c>
      <c r="L18" s="339" t="str">
        <f>IFERROR(IF(OR(K18='DICTIONARY-5'!$A$2,K18='DICTIONARY-5'!$A$4,ISBLANK(K18)),VLOOKUP(J18,LIST!$A$6:$L$3250,CURR_1.SEARCH.OLD,0),VLOOKUP(K18,LIST!$B$6:$L$3250,CURR_1.SEARCH.NEW,0)),'DICTIONARY-5'!$A$2)</f>
        <v>815,-</v>
      </c>
      <c r="M18" s="339" t="str">
        <f>IFERROR(IF(OR(K18='DICTIONARY-5'!$A$2,K18='DICTIONARY-5'!$A$4,ISBLANK(K18)),VLOOKUP(J18,LIST!$A$6:$M$3250,CURR_2.SEARCH.OLD,0),VLOOKUP(K18,LIST!$B$6:$M$3250,CURR_2.SEARCH.NEW,0)),'DICTIONARY-5'!$A$2)</f>
        <v/>
      </c>
      <c r="O18" s="297" t="s">
        <v>91</v>
      </c>
      <c r="P18" s="306" t="s">
        <v>2894</v>
      </c>
      <c r="Q18" s="339" t="str">
        <f>IFERROR(IF(OR(P18='DICTIONARY-5'!$A$2,P18='DICTIONARY-5'!$A$4,ISBLANK(P18)),VLOOKUP(O18,LIST!$A$6:$L$3250,CURR_1.SEARCH.OLD,0),VLOOKUP(P18,LIST!$B$6:$L$3250,CURR_1.SEARCH.NEW,0)),'DICTIONARY-5'!$A$2)</f>
        <v>20,-</v>
      </c>
      <c r="R18" s="339" t="str">
        <f>IFERROR(IF(OR(P18='DICTIONARY-5'!$A$2,P18='DICTIONARY-5'!$A$4,ISBLANK(P18)),VLOOKUP(O18,LIST!$A$6:$M$3250,CURR_2.SEARCH.OLD,0),VLOOKUP(P18,LIST!$B$6:$M$3250,CURR_2.SEARCH.NEW,0)),'DICTIONARY-5'!$A$2)</f>
        <v/>
      </c>
    </row>
    <row r="19" spans="1:18" x14ac:dyDescent="0.25">
      <c r="A19" s="286">
        <v>150</v>
      </c>
      <c r="B19" s="286">
        <v>902</v>
      </c>
      <c r="C19" s="286">
        <v>160</v>
      </c>
      <c r="D19" s="286">
        <v>10</v>
      </c>
      <c r="E19" s="286" t="s">
        <v>2646</v>
      </c>
      <c r="F19" s="305" t="s">
        <v>3432</v>
      </c>
      <c r="G19" s="339" t="str">
        <f>IFERROR(IF(OR(F19='DICTIONARY-5'!$A$2,F19='DICTIONARY-5'!$A$4,ISBLANK(F19)),VLOOKUP(E19,LIST!$A$6:$L$3250,CURR_1.SEARCH.OLD,0),VLOOKUP(F19,LIST!$B$6:$L$3250,CURR_1.SEARCH.NEW,0)),'DICTIONARY-5'!$A$2)</f>
        <v>934,-</v>
      </c>
      <c r="H19" s="339" t="str">
        <f>IFERROR(IF(OR(F19='DICTIONARY-5'!$A$2,F19='DICTIONARY-5'!$A$4,ISBLANK(F19)),VLOOKUP(E19,LIST!$A$6:$M$3250,CURR_2.SEARCH.OLD,0),VLOOKUP(F19,LIST!$B$6:$M$3250,CURR_2.SEARCH.NEW,0)),'DICTIONARY-5'!$A$2)</f>
        <v/>
      </c>
      <c r="I19" s="286">
        <v>4</v>
      </c>
      <c r="J19" s="286" t="s">
        <v>2647</v>
      </c>
      <c r="K19" s="305" t="s">
        <v>3451</v>
      </c>
      <c r="L19" s="339" t="str">
        <f>IFERROR(IF(OR(K19='DICTIONARY-5'!$A$2,K19='DICTIONARY-5'!$A$4,ISBLANK(K19)),VLOOKUP(J19,LIST!$A$6:$L$3250,CURR_1.SEARCH.OLD,0),VLOOKUP(K19,LIST!$B$6:$L$3250,CURR_1.SEARCH.NEW,0)),'DICTIONARY-5'!$A$2)</f>
        <v>958,-</v>
      </c>
      <c r="M19" s="339" t="str">
        <f>IFERROR(IF(OR(K19='DICTIONARY-5'!$A$2,K19='DICTIONARY-5'!$A$4,ISBLANK(K19)),VLOOKUP(J19,LIST!$A$6:$M$3250,CURR_2.SEARCH.OLD,0),VLOOKUP(K19,LIST!$B$6:$M$3250,CURR_2.SEARCH.NEW,0)),'DICTIONARY-5'!$A$2)</f>
        <v/>
      </c>
      <c r="O19" s="297" t="s">
        <v>91</v>
      </c>
      <c r="P19" s="306" t="s">
        <v>2894</v>
      </c>
      <c r="Q19" s="339" t="str">
        <f>IFERROR(IF(OR(P19='DICTIONARY-5'!$A$2,P19='DICTIONARY-5'!$A$4,ISBLANK(P19)),VLOOKUP(O19,LIST!$A$6:$L$3250,CURR_1.SEARCH.OLD,0),VLOOKUP(P19,LIST!$B$6:$L$3250,CURR_1.SEARCH.NEW,0)),'DICTIONARY-5'!$A$2)</f>
        <v>20,-</v>
      </c>
      <c r="R19" s="339" t="str">
        <f>IFERROR(IF(OR(P19='DICTIONARY-5'!$A$2,P19='DICTIONARY-5'!$A$4,ISBLANK(P19)),VLOOKUP(O19,LIST!$A$6:$M$3250,CURR_2.SEARCH.OLD,0),VLOOKUP(P19,LIST!$B$6:$M$3250,CURR_2.SEARCH.NEW,0)),'DICTIONARY-5'!$A$2)</f>
        <v/>
      </c>
    </row>
    <row r="20" spans="1:18" x14ac:dyDescent="0.25">
      <c r="A20" s="286">
        <v>150</v>
      </c>
      <c r="B20" s="286">
        <v>982</v>
      </c>
      <c r="C20" s="286">
        <v>180</v>
      </c>
      <c r="D20" s="286">
        <v>10</v>
      </c>
      <c r="E20" s="286" t="s">
        <v>2648</v>
      </c>
      <c r="F20" s="305" t="s">
        <v>3442</v>
      </c>
      <c r="G20" s="339" t="str">
        <f>IFERROR(IF(OR(F20='DICTIONARY-5'!$A$2,F20='DICTIONARY-5'!$A$4,ISBLANK(F20)),VLOOKUP(E20,LIST!$A$6:$L$3250,CURR_1.SEARCH.OLD,0),VLOOKUP(F20,LIST!$B$6:$L$3250,CURR_1.SEARCH.NEW,0)),'DICTIONARY-5'!$A$2)</f>
        <v>1 059,-</v>
      </c>
      <c r="H20" s="339" t="str">
        <f>IFERROR(IF(OR(F20='DICTIONARY-5'!$A$2,F20='DICTIONARY-5'!$A$4,ISBLANK(F20)),VLOOKUP(E20,LIST!$A$6:$M$3250,CURR_2.SEARCH.OLD,0),VLOOKUP(F20,LIST!$B$6:$M$3250,CURR_2.SEARCH.NEW,0)),'DICTIONARY-5'!$A$2)</f>
        <v/>
      </c>
      <c r="I20" s="286">
        <v>4</v>
      </c>
      <c r="J20" s="286" t="s">
        <v>2649</v>
      </c>
      <c r="K20" s="305" t="s">
        <v>3456</v>
      </c>
      <c r="L20" s="339" t="str">
        <f>IFERROR(IF(OR(K20='DICTIONARY-5'!$A$2,K20='DICTIONARY-5'!$A$4,ISBLANK(K20)),VLOOKUP(J20,LIST!$A$6:$L$3250,CURR_1.SEARCH.OLD,0),VLOOKUP(K20,LIST!$B$6:$L$3250,CURR_1.SEARCH.NEW,0)),'DICTIONARY-5'!$A$2)</f>
        <v>1 087,-</v>
      </c>
      <c r="M20" s="339" t="str">
        <f>IFERROR(IF(OR(K20='DICTIONARY-5'!$A$2,K20='DICTIONARY-5'!$A$4,ISBLANK(K20)),VLOOKUP(J20,LIST!$A$6:$M$3250,CURR_2.SEARCH.OLD,0),VLOOKUP(K20,LIST!$B$6:$M$3250,CURR_2.SEARCH.NEW,0)),'DICTIONARY-5'!$A$2)</f>
        <v/>
      </c>
      <c r="O20" s="297" t="s">
        <v>91</v>
      </c>
      <c r="P20" s="306" t="s">
        <v>2894</v>
      </c>
      <c r="Q20" s="339" t="str">
        <f>IFERROR(IF(OR(P20='DICTIONARY-5'!$A$2,P20='DICTIONARY-5'!$A$4,ISBLANK(P20)),VLOOKUP(O20,LIST!$A$6:$L$3250,CURR_1.SEARCH.OLD,0),VLOOKUP(P20,LIST!$B$6:$L$3250,CURR_1.SEARCH.NEW,0)),'DICTIONARY-5'!$A$2)</f>
        <v>20,-</v>
      </c>
      <c r="R20" s="339" t="str">
        <f>IFERROR(IF(OR(P20='DICTIONARY-5'!$A$2,P20='DICTIONARY-5'!$A$4,ISBLANK(P20)),VLOOKUP(O20,LIST!$A$6:$M$3250,CURR_2.SEARCH.OLD,0),VLOOKUP(P20,LIST!$B$6:$M$3250,CURR_2.SEARCH.NEW,0)),'DICTIONARY-5'!$A$2)</f>
        <v/>
      </c>
    </row>
    <row r="21" spans="1:18" x14ac:dyDescent="0.25">
      <c r="A21" s="286">
        <v>200</v>
      </c>
      <c r="B21" s="286">
        <v>1099</v>
      </c>
      <c r="C21" s="286">
        <v>200</v>
      </c>
      <c r="D21" s="286">
        <v>10</v>
      </c>
      <c r="E21" s="286" t="s">
        <v>2650</v>
      </c>
      <c r="F21" s="305" t="s">
        <v>3444</v>
      </c>
      <c r="G21" s="339" t="str">
        <f>IFERROR(IF(OR(F21='DICTIONARY-5'!$A$2,F21='DICTIONARY-5'!$A$4,ISBLANK(F21)),VLOOKUP(E21,LIST!$A$6:$L$3250,CURR_1.SEARCH.OLD,0),VLOOKUP(F21,LIST!$B$6:$L$3250,CURR_1.SEARCH.NEW,0)),'DICTIONARY-5'!$A$2)</f>
        <v>1 456,-</v>
      </c>
      <c r="H21" s="339" t="str">
        <f>IFERROR(IF(OR(F21='DICTIONARY-5'!$A$2,F21='DICTIONARY-5'!$A$4,ISBLANK(F21)),VLOOKUP(E21,LIST!$A$6:$M$3250,CURR_2.SEARCH.OLD,0),VLOOKUP(F21,LIST!$B$6:$M$3250,CURR_2.SEARCH.NEW,0)),'DICTIONARY-5'!$A$2)</f>
        <v/>
      </c>
      <c r="I21" s="286">
        <v>4</v>
      </c>
      <c r="J21" s="286" t="s">
        <v>2651</v>
      </c>
      <c r="K21" s="305" t="s">
        <v>3457</v>
      </c>
      <c r="L21" s="339" t="str">
        <f>IFERROR(IF(OR(K21='DICTIONARY-5'!$A$2,K21='DICTIONARY-5'!$A$4,ISBLANK(K21)),VLOOKUP(J21,LIST!$A$6:$L$3250,CURR_1.SEARCH.OLD,0),VLOOKUP(K21,LIST!$B$6:$L$3250,CURR_1.SEARCH.NEW,0)),'DICTIONARY-5'!$A$2)</f>
        <v>1 485,-</v>
      </c>
      <c r="M21" s="339" t="str">
        <f>IFERROR(IF(OR(K21='DICTIONARY-5'!$A$2,K21='DICTIONARY-5'!$A$4,ISBLANK(K21)),VLOOKUP(J21,LIST!$A$6:$M$3250,CURR_2.SEARCH.OLD,0),VLOOKUP(K21,LIST!$B$6:$M$3250,CURR_2.SEARCH.NEW,0)),'DICTIONARY-5'!$A$2)</f>
        <v/>
      </c>
      <c r="O21" s="297" t="s">
        <v>98</v>
      </c>
      <c r="P21" s="306" t="s">
        <v>2895</v>
      </c>
      <c r="Q21" s="339" t="str">
        <f>IFERROR(IF(OR(P21='DICTIONARY-5'!$A$2,P21='DICTIONARY-5'!$A$4,ISBLANK(P21)),VLOOKUP(O21,LIST!$A$6:$L$3250,CURR_1.SEARCH.OLD,0),VLOOKUP(P21,LIST!$B$6:$L$3250,CURR_1.SEARCH.NEW,0)),'DICTIONARY-5'!$A$2)</f>
        <v>35,-</v>
      </c>
      <c r="R21" s="339" t="str">
        <f>IFERROR(IF(OR(P21='DICTIONARY-5'!$A$2,P21='DICTIONARY-5'!$A$4,ISBLANK(P21)),VLOOKUP(O21,LIST!$A$6:$M$3250,CURR_2.SEARCH.OLD,0),VLOOKUP(P21,LIST!$B$6:$M$3250,CURR_2.SEARCH.NEW,0)),'DICTIONARY-5'!$A$2)</f>
        <v/>
      </c>
    </row>
    <row r="22" spans="1:18" x14ac:dyDescent="0.25">
      <c r="A22" s="286">
        <v>200</v>
      </c>
      <c r="B22" s="286">
        <v>1129</v>
      </c>
      <c r="C22" s="286">
        <v>225</v>
      </c>
      <c r="D22" s="286">
        <v>10</v>
      </c>
      <c r="E22" s="286" t="s">
        <v>2652</v>
      </c>
      <c r="F22" s="305" t="s">
        <v>3434</v>
      </c>
      <c r="G22" s="339" t="str">
        <f>IFERROR(IF(OR(F22='DICTIONARY-5'!$A$2,F22='DICTIONARY-5'!$A$4,ISBLANK(F22)),VLOOKUP(E22,LIST!$A$6:$L$3250,CURR_1.SEARCH.OLD,0),VLOOKUP(F22,LIST!$B$6:$L$3250,CURR_1.SEARCH.NEW,0)),'DICTIONARY-5'!$A$2)</f>
        <v>1 637,-</v>
      </c>
      <c r="H22" s="339" t="str">
        <f>IFERROR(IF(OR(F22='DICTIONARY-5'!$A$2,F22='DICTIONARY-5'!$A$4,ISBLANK(F22)),VLOOKUP(E22,LIST!$A$6:$M$3250,CURR_2.SEARCH.OLD,0),VLOOKUP(F22,LIST!$B$6:$M$3250,CURR_2.SEARCH.NEW,0)),'DICTIONARY-5'!$A$2)</f>
        <v/>
      </c>
      <c r="I22" s="286">
        <v>4</v>
      </c>
      <c r="J22" s="286" t="s">
        <v>2653</v>
      </c>
      <c r="K22" s="305" t="s">
        <v>3452</v>
      </c>
      <c r="L22" s="339" t="str">
        <f>IFERROR(IF(OR(K22='DICTIONARY-5'!$A$2,K22='DICTIONARY-5'!$A$4,ISBLANK(K22)),VLOOKUP(J22,LIST!$A$6:$L$3250,CURR_1.SEARCH.OLD,0),VLOOKUP(K22,LIST!$B$6:$L$3250,CURR_1.SEARCH.NEW,0)),'DICTIONARY-5'!$A$2)</f>
        <v>1 672,-</v>
      </c>
      <c r="M22" s="339" t="str">
        <f>IFERROR(IF(OR(K22='DICTIONARY-5'!$A$2,K22='DICTIONARY-5'!$A$4,ISBLANK(K22)),VLOOKUP(J22,LIST!$A$6:$M$3250,CURR_2.SEARCH.OLD,0),VLOOKUP(K22,LIST!$B$6:$M$3250,CURR_2.SEARCH.NEW,0)),'DICTIONARY-5'!$A$2)</f>
        <v/>
      </c>
      <c r="O22" s="297" t="s">
        <v>98</v>
      </c>
      <c r="P22" s="306" t="s">
        <v>2895</v>
      </c>
      <c r="Q22" s="339" t="str">
        <f>IFERROR(IF(OR(P22='DICTIONARY-5'!$A$2,P22='DICTIONARY-5'!$A$4,ISBLANK(P22)),VLOOKUP(O22,LIST!$A$6:$L$3250,CURR_1.SEARCH.OLD,0),VLOOKUP(P22,LIST!$B$6:$L$3250,CURR_1.SEARCH.NEW,0)),'DICTIONARY-5'!$A$2)</f>
        <v>35,-</v>
      </c>
      <c r="R22" s="339" t="str">
        <f>IFERROR(IF(OR(P22='DICTIONARY-5'!$A$2,P22='DICTIONARY-5'!$A$4,ISBLANK(P22)),VLOOKUP(O22,LIST!$A$6:$M$3250,CURR_2.SEARCH.OLD,0),VLOOKUP(P22,LIST!$B$6:$M$3250,CURR_2.SEARCH.NEW,0)),'DICTIONARY-5'!$A$2)</f>
        <v/>
      </c>
    </row>
    <row r="23" spans="1:18" x14ac:dyDescent="0.25">
      <c r="A23" s="286">
        <v>250</v>
      </c>
      <c r="B23" s="286">
        <v>1388</v>
      </c>
      <c r="C23" s="286">
        <v>250</v>
      </c>
      <c r="D23" s="286">
        <v>10</v>
      </c>
      <c r="E23" s="286" t="s">
        <v>2654</v>
      </c>
      <c r="F23" s="305" t="s">
        <v>3446</v>
      </c>
      <c r="G23" s="339" t="str">
        <f>IFERROR(IF(OR(F23='DICTIONARY-5'!$A$2,F23='DICTIONARY-5'!$A$4,ISBLANK(F23)),VLOOKUP(E23,LIST!$A$6:$L$3250,CURR_1.SEARCH.OLD,0),VLOOKUP(F23,LIST!$B$6:$L$3250,CURR_1.SEARCH.NEW,0)),'DICTIONARY-5'!$A$2)</f>
        <v>3 987,-</v>
      </c>
      <c r="H23" s="339" t="str">
        <f>IFERROR(IF(OR(F23='DICTIONARY-5'!$A$2,F23='DICTIONARY-5'!$A$4,ISBLANK(F23)),VLOOKUP(E23,LIST!$A$6:$M$3250,CURR_2.SEARCH.OLD,0),VLOOKUP(F23,LIST!$B$6:$M$3250,CURR_2.SEARCH.NEW,0)),'DICTIONARY-5'!$A$2)</f>
        <v/>
      </c>
      <c r="I23" s="286">
        <v>4</v>
      </c>
      <c r="J23" s="286" t="s">
        <v>2655</v>
      </c>
      <c r="K23" s="305" t="s">
        <v>3458</v>
      </c>
      <c r="L23" s="339" t="str">
        <f>IFERROR(IF(OR(K23='DICTIONARY-5'!$A$2,K23='DICTIONARY-5'!$A$4,ISBLANK(K23)),VLOOKUP(J23,LIST!$A$6:$L$3250,CURR_1.SEARCH.OLD,0),VLOOKUP(K23,LIST!$B$6:$L$3250,CURR_1.SEARCH.NEW,0)),'DICTIONARY-5'!$A$2)</f>
        <v>3 984,-</v>
      </c>
      <c r="M23" s="339" t="str">
        <f>IFERROR(IF(OR(K23='DICTIONARY-5'!$A$2,K23='DICTIONARY-5'!$A$4,ISBLANK(K23)),VLOOKUP(J23,LIST!$A$6:$M$3250,CURR_2.SEARCH.OLD,0),VLOOKUP(K23,LIST!$B$6:$M$3250,CURR_2.SEARCH.NEW,0)),'DICTIONARY-5'!$A$2)</f>
        <v/>
      </c>
      <c r="O23" s="297" t="s">
        <v>102</v>
      </c>
      <c r="P23" s="306" t="s">
        <v>2896</v>
      </c>
      <c r="Q23" s="339" t="str">
        <f>IFERROR(IF(OR(P23='DICTIONARY-5'!$A$2,P23='DICTIONARY-5'!$A$4,ISBLANK(P23)),VLOOKUP(O23,LIST!$A$6:$L$3250,CURR_1.SEARCH.OLD,0),VLOOKUP(P23,LIST!$B$6:$L$3250,CURR_1.SEARCH.NEW,0)),'DICTIONARY-5'!$A$2)</f>
        <v>54,-</v>
      </c>
      <c r="R23" s="339" t="str">
        <f>IFERROR(IF(OR(P23='DICTIONARY-5'!$A$2,P23='DICTIONARY-5'!$A$4,ISBLANK(P23)),VLOOKUP(O23,LIST!$A$6:$M$3250,CURR_2.SEARCH.OLD,0),VLOOKUP(P23,LIST!$B$6:$M$3250,CURR_2.SEARCH.NEW,0)),'DICTIONARY-5'!$A$2)</f>
        <v/>
      </c>
    </row>
    <row r="24" spans="1:18" x14ac:dyDescent="0.25">
      <c r="A24" s="286">
        <v>250</v>
      </c>
      <c r="B24" s="286">
        <v>1428</v>
      </c>
      <c r="C24" s="286">
        <v>280</v>
      </c>
      <c r="D24" s="286">
        <v>10</v>
      </c>
      <c r="E24" s="286" t="s">
        <v>2656</v>
      </c>
      <c r="F24" s="305" t="s">
        <v>3436</v>
      </c>
      <c r="G24" s="339" t="str">
        <f>IFERROR(IF(OR(F24='DICTIONARY-5'!$A$2,F24='DICTIONARY-5'!$A$4,ISBLANK(F24)),VLOOKUP(E24,LIST!$A$6:$L$3250,CURR_1.SEARCH.OLD,0),VLOOKUP(F24,LIST!$B$6:$L$3250,CURR_1.SEARCH.NEW,0)),'DICTIONARY-5'!$A$2)</f>
        <v>3 584,-</v>
      </c>
      <c r="H24" s="339" t="str">
        <f>IFERROR(IF(OR(F24='DICTIONARY-5'!$A$2,F24='DICTIONARY-5'!$A$4,ISBLANK(F24)),VLOOKUP(E24,LIST!$A$6:$M$3250,CURR_2.SEARCH.OLD,0),VLOOKUP(F24,LIST!$B$6:$M$3250,CURR_2.SEARCH.NEW,0)),'DICTIONARY-5'!$A$2)</f>
        <v/>
      </c>
      <c r="I24" s="286">
        <v>4</v>
      </c>
      <c r="J24" s="286" t="s">
        <v>2657</v>
      </c>
      <c r="K24" s="305" t="s">
        <v>3453</v>
      </c>
      <c r="L24" s="339" t="str">
        <f>IFERROR(IF(OR(K24='DICTIONARY-5'!$A$2,K24='DICTIONARY-5'!$A$4,ISBLANK(K24)),VLOOKUP(J24,LIST!$A$6:$L$3250,CURR_1.SEARCH.OLD,0),VLOOKUP(K24,LIST!$B$6:$L$3250,CURR_1.SEARCH.NEW,0)),'DICTIONARY-5'!$A$2)</f>
        <v>3 579,-</v>
      </c>
      <c r="M24" s="339" t="str">
        <f>IFERROR(IF(OR(K24='DICTIONARY-5'!$A$2,K24='DICTIONARY-5'!$A$4,ISBLANK(K24)),VLOOKUP(J24,LIST!$A$6:$M$3250,CURR_2.SEARCH.OLD,0),VLOOKUP(K24,LIST!$B$6:$M$3250,CURR_2.SEARCH.NEW,0)),'DICTIONARY-5'!$A$2)</f>
        <v/>
      </c>
      <c r="O24" s="297" t="s">
        <v>102</v>
      </c>
      <c r="P24" s="306" t="s">
        <v>2896</v>
      </c>
      <c r="Q24" s="339" t="str">
        <f>IFERROR(IF(OR(P24='DICTIONARY-5'!$A$2,P24='DICTIONARY-5'!$A$4,ISBLANK(P24)),VLOOKUP(O24,LIST!$A$6:$L$3250,CURR_1.SEARCH.OLD,0),VLOOKUP(P24,LIST!$B$6:$L$3250,CURR_1.SEARCH.NEW,0)),'DICTIONARY-5'!$A$2)</f>
        <v>54,-</v>
      </c>
      <c r="R24" s="339" t="str">
        <f>IFERROR(IF(OR(P24='DICTIONARY-5'!$A$2,P24='DICTIONARY-5'!$A$4,ISBLANK(P24)),VLOOKUP(O24,LIST!$A$6:$M$3250,CURR_2.SEARCH.OLD,0),VLOOKUP(P24,LIST!$B$6:$M$3250,CURR_2.SEARCH.NEW,0)),'DICTIONARY-5'!$A$2)</f>
        <v/>
      </c>
    </row>
    <row r="25" spans="1:18" x14ac:dyDescent="0.25">
      <c r="A25" s="286">
        <v>300</v>
      </c>
      <c r="B25" s="286">
        <v>1520</v>
      </c>
      <c r="C25" s="286">
        <v>315</v>
      </c>
      <c r="D25" s="286">
        <v>10</v>
      </c>
      <c r="E25" s="286" t="s">
        <v>2658</v>
      </c>
      <c r="F25" s="305" t="s">
        <v>3438</v>
      </c>
      <c r="G25" s="339" t="str">
        <f>IFERROR(IF(OR(F25='DICTIONARY-5'!$A$2,F25='DICTIONARY-5'!$A$4,ISBLANK(F25)),VLOOKUP(E25,LIST!$A$6:$L$3250,CURR_1.SEARCH.OLD,0),VLOOKUP(F25,LIST!$B$6:$L$3250,CURR_1.SEARCH.NEW,0)),'DICTIONARY-5'!$A$2)</f>
        <v>4 215,-</v>
      </c>
      <c r="H25" s="339" t="str">
        <f>IFERROR(IF(OR(F25='DICTIONARY-5'!$A$2,F25='DICTIONARY-5'!$A$4,ISBLANK(F25)),VLOOKUP(E25,LIST!$A$6:$M$3250,CURR_2.SEARCH.OLD,0),VLOOKUP(F25,LIST!$B$6:$M$3250,CURR_2.SEARCH.NEW,0)),'DICTIONARY-5'!$A$2)</f>
        <v/>
      </c>
      <c r="I25" s="286">
        <v>4</v>
      </c>
      <c r="J25" s="286" t="s">
        <v>2659</v>
      </c>
      <c r="K25" s="305" t="s">
        <v>3454</v>
      </c>
      <c r="L25" s="339" t="str">
        <f>IFERROR(IF(OR(K25='DICTIONARY-5'!$A$2,K25='DICTIONARY-5'!$A$4,ISBLANK(K25)),VLOOKUP(J25,LIST!$A$6:$L$3250,CURR_1.SEARCH.OLD,0),VLOOKUP(K25,LIST!$B$6:$L$3250,CURR_1.SEARCH.NEW,0)),'DICTIONARY-5'!$A$2)</f>
        <v>4 217,-</v>
      </c>
      <c r="M25" s="339" t="str">
        <f>IFERROR(IF(OR(K25='DICTIONARY-5'!$A$2,K25='DICTIONARY-5'!$A$4,ISBLANK(K25)),VLOOKUP(J25,LIST!$A$6:$M$3250,CURR_2.SEARCH.OLD,0),VLOOKUP(K25,LIST!$B$6:$M$3250,CURR_2.SEARCH.NEW,0)),'DICTIONARY-5'!$A$2)</f>
        <v/>
      </c>
      <c r="O25" s="297" t="s">
        <v>102</v>
      </c>
      <c r="P25" s="306" t="s">
        <v>2896</v>
      </c>
      <c r="Q25" s="339" t="str">
        <f>IFERROR(IF(OR(P25='DICTIONARY-5'!$A$2,P25='DICTIONARY-5'!$A$4,ISBLANK(P25)),VLOOKUP(O25,LIST!$A$6:$L$3250,CURR_1.SEARCH.OLD,0),VLOOKUP(P25,LIST!$B$6:$L$3250,CURR_1.SEARCH.NEW,0)),'DICTIONARY-5'!$A$2)</f>
        <v>54,-</v>
      </c>
      <c r="R25" s="339" t="str">
        <f>IFERROR(IF(OR(P25='DICTIONARY-5'!$A$2,P25='DICTIONARY-5'!$A$4,ISBLANK(P25)),VLOOKUP(O25,LIST!$A$6:$M$3250,CURR_2.SEARCH.OLD,0),VLOOKUP(P25,LIST!$B$6:$M$3250,CURR_2.SEARCH.NEW,0)),'DICTIONARY-5'!$A$2)</f>
        <v/>
      </c>
    </row>
    <row r="27" spans="1:18" x14ac:dyDescent="0.25">
      <c r="A27" s="277" t="str">
        <f>"1) "&amp;'DICTIONARY-5'!$A$74</f>
        <v>1) Zewnętrzna średnica rury</v>
      </c>
    </row>
    <row r="28" spans="1:18" x14ac:dyDescent="0.25">
      <c r="A28" s="552"/>
    </row>
    <row r="46" spans="13:13" x14ac:dyDescent="0.25">
      <c r="M46" s="277" t="s">
        <v>2670</v>
      </c>
    </row>
  </sheetData>
  <sheetProtection algorithmName="SHA-512" hashValue="yEI85PEHKFKlr/5GzxBgNUj0fjTWte6lP76G9dow/BXvPVpWDhe1iiGUC8/HjGYc7qk0/xb3djdkl+iY9lG4Hw==" saltValue="Q8r+l5WOgWWwWD6otzlduQ==" spinCount="100000" sheet="1" objects="1" scenarios="1" autoFilter="0"/>
  <mergeCells count="8">
    <mergeCell ref="B4:E4"/>
    <mergeCell ref="O9:R9"/>
    <mergeCell ref="O11:R11"/>
    <mergeCell ref="E11:H11"/>
    <mergeCell ref="J11:M11"/>
    <mergeCell ref="E10:H10"/>
    <mergeCell ref="J10:M10"/>
    <mergeCell ref="O10:R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0F6E23"/>
  </sheetPr>
  <dimension ref="A1:G31"/>
  <sheetViews>
    <sheetView workbookViewId="0"/>
  </sheetViews>
  <sheetFormatPr defaultColWidth="9.140625" defaultRowHeight="15" x14ac:dyDescent="0.25"/>
  <cols>
    <col min="1" max="3" width="9.140625" style="278"/>
    <col min="4" max="5" width="22.140625" style="278" customWidth="1"/>
    <col min="6" max="7" width="12.85546875" style="276" customWidth="1"/>
    <col min="8" max="16384" width="9.140625" style="277"/>
  </cols>
  <sheetData>
    <row r="1" spans="1:7" s="391" customFormat="1" ht="45" customHeight="1" thickBot="1" x14ac:dyDescent="0.3">
      <c r="A1" s="424"/>
      <c r="B1" s="424"/>
      <c r="C1" s="424"/>
      <c r="D1" s="424"/>
      <c r="E1" s="392"/>
      <c r="F1" s="393"/>
      <c r="G1" s="393"/>
    </row>
    <row r="2" spans="1:7" s="444" customFormat="1" ht="4.5" customHeight="1" x14ac:dyDescent="0.25">
      <c r="A2" s="443"/>
      <c r="B2" s="445"/>
      <c r="C2" s="445"/>
      <c r="D2" s="445"/>
      <c r="E2" s="445"/>
      <c r="F2" s="446"/>
      <c r="G2" s="446"/>
    </row>
    <row r="3" spans="1:7" ht="15.75" thickBot="1" x14ac:dyDescent="0.3">
      <c r="A3" s="294"/>
      <c r="B3" s="295"/>
      <c r="C3" s="295"/>
    </row>
    <row r="4" spans="1:7" ht="15.75" thickBot="1" x14ac:dyDescent="0.3">
      <c r="A4" s="818">
        <f>ADD.DISCOUNT</f>
        <v>0</v>
      </c>
      <c r="B4" s="933" t="str">
        <f>HYPERLINK("#'LIST'!ADD.DISCOUNT","» "&amp;'DICTIONARY-1'!$A$5)</f>
        <v>» Ustaw globalny dodatkowy rabat</v>
      </c>
      <c r="C4" s="1081"/>
      <c r="D4" s="1081"/>
      <c r="E4" s="1082"/>
    </row>
    <row r="5" spans="1:7" x14ac:dyDescent="0.25">
      <c r="A5" s="294"/>
      <c r="B5" s="295"/>
      <c r="C5" s="295"/>
    </row>
    <row r="6" spans="1:7" ht="15" customHeight="1" thickBot="1" x14ac:dyDescent="0.3">
      <c r="A6" s="81" t="str">
        <f>CONCATENATE('DICTIONARY-3'!$A$2," ",'DICTIONARY-3'!$A$187," / ",'DICTIONARY-3'!$A$256," / ",UPPER('DICTIONARY-5'!$A$18))</f>
        <v>EKOplus Zasuwa klinowa / Z wrzecionem wznoszącym się / GAZ</v>
      </c>
      <c r="B6" s="712"/>
      <c r="C6" s="712"/>
      <c r="D6" s="712"/>
      <c r="E6" s="712"/>
      <c r="F6" s="712"/>
      <c r="G6" s="712"/>
    </row>
    <row r="7" spans="1:7" s="32" customFormat="1" ht="15" customHeight="1" x14ac:dyDescent="0.25">
      <c r="A7" s="36" t="str">
        <f>CONCATENATE('DICTIONARY-3'!$A$258," ",LOWER('DICTIONARY-3'!$A$242),", ",LOWER('DICTIONARY-2'!$A$12)," ",'DICTIONARY-5'!$A$9)</f>
        <v>Z wrzecionem wznoszącym się z kółkiem ręcznym, długość zabudowy EN 558</v>
      </c>
      <c r="B7" s="36"/>
      <c r="C7" s="36"/>
      <c r="D7" s="36"/>
      <c r="E7" s="36"/>
      <c r="F7" s="36"/>
      <c r="G7" s="36"/>
    </row>
    <row r="8" spans="1:7" x14ac:dyDescent="0.25">
      <c r="A8" s="279" t="str">
        <f>CONCATENATE('DICTIONARY-1'!$A$10,": ",SETTINGS!$C$14)</f>
        <v>Grupa rabatowa: EKOplus Gas</v>
      </c>
    </row>
    <row r="9" spans="1:7" x14ac:dyDescent="0.25">
      <c r="A9" s="280"/>
    </row>
    <row r="10" spans="1:7" x14ac:dyDescent="0.25">
      <c r="A10" s="281" t="str">
        <f>'DICTIONARY-2'!$A$2</f>
        <v>DN</v>
      </c>
      <c r="B10" s="281" t="str">
        <f>'DICTIONARY-2'!$A$3</f>
        <v>PN</v>
      </c>
      <c r="C10" s="281" t="str">
        <f>'DICTIONARY-2'!$A$24</f>
        <v>L</v>
      </c>
      <c r="D10" s="960" t="str">
        <f>'DICTIONARY-3'!$A$2&amp;" "&amp;LOWER('DICTIONARY-3'!$A$258)</f>
        <v>EKOplus z wrzecionem wznoszącym się</v>
      </c>
      <c r="E10" s="960"/>
      <c r="F10" s="960"/>
      <c r="G10" s="960"/>
    </row>
    <row r="11" spans="1:7" ht="15" customHeight="1" x14ac:dyDescent="0.25">
      <c r="A11" s="290"/>
      <c r="B11" s="290"/>
      <c r="C11" s="290"/>
      <c r="D11" s="961" t="str">
        <f>CONCATENATE('DICTIONARY-5'!$A$66," (",'DICTIONARY-5'!$A$10," 14), ",'DICTIONARY-5'!$A$43&amp;": "&amp;'DICTIONARY-5'!$A$45)</f>
        <v>budowa krótka (szereg 14), guma: NBR</v>
      </c>
      <c r="E11" s="961"/>
      <c r="F11" s="961"/>
      <c r="G11" s="961"/>
    </row>
    <row r="12" spans="1:7" x14ac:dyDescent="0.25">
      <c r="A12" s="282"/>
      <c r="B12" s="282"/>
      <c r="C12" s="282" t="str">
        <f>'DICTIONARY-2'!$A$18</f>
        <v>[mm]</v>
      </c>
      <c r="D12" s="283" t="str">
        <f>'DICTIONARY-2'!$A$28</f>
        <v>stary nr zamówienia</v>
      </c>
      <c r="E12" s="283" t="str">
        <f>'DICTIONARY-2'!$A$29</f>
        <v>nowy nr zamówienia</v>
      </c>
      <c r="F12" s="284" t="str">
        <f>CURRENCY.CODE_1</f>
        <v>EUR</v>
      </c>
      <c r="G12" s="284" t="str">
        <f>CURRENCY.CODE_2</f>
        <v>---</v>
      </c>
    </row>
    <row r="13" spans="1:7" x14ac:dyDescent="0.25">
      <c r="A13" s="286">
        <v>40</v>
      </c>
      <c r="B13" s="286" t="s">
        <v>85</v>
      </c>
      <c r="C13" s="286">
        <v>140</v>
      </c>
      <c r="D13" s="286" t="s">
        <v>2671</v>
      </c>
      <c r="E13" s="305" t="s">
        <v>3472</v>
      </c>
      <c r="F13" s="339" t="str">
        <f>IFERROR(IF(OR(E13='DICTIONARY-5'!$A$2,E13='DICTIONARY-5'!$A$4,ISBLANK(E13)),VLOOKUP(D13,LIST!$A$6:$L$3250,CURR_1.SEARCH.OLD,0),VLOOKUP(E13,LIST!$B$6:$L$3250,CURR_1.SEARCH.NEW,0)),'DICTIONARY-5'!$A$2)</f>
        <v>485,-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286">
        <v>50</v>
      </c>
      <c r="B14" s="286" t="s">
        <v>85</v>
      </c>
      <c r="C14" s="286">
        <v>150</v>
      </c>
      <c r="D14" s="286" t="s">
        <v>2673</v>
      </c>
      <c r="E14" s="305" t="s">
        <v>3474</v>
      </c>
      <c r="F14" s="339" t="str">
        <f>IFERROR(IF(OR(E14='DICTIONARY-5'!$A$2,E14='DICTIONARY-5'!$A$4,ISBLANK(E14)),VLOOKUP(D14,LIST!$A$6:$L$3250,CURR_1.SEARCH.OLD,0),VLOOKUP(E14,LIST!$B$6:$L$3250,CURR_1.SEARCH.NEW,0)),'DICTIONARY-5'!$A$2)</f>
        <v>487,-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286">
        <v>65</v>
      </c>
      <c r="B15" s="286" t="s">
        <v>85</v>
      </c>
      <c r="C15" s="286">
        <v>170</v>
      </c>
      <c r="D15" s="286" t="s">
        <v>2675</v>
      </c>
      <c r="E15" s="305" t="s">
        <v>3476</v>
      </c>
      <c r="F15" s="339" t="str">
        <f>IFERROR(IF(OR(E15='DICTIONARY-5'!$A$2,E15='DICTIONARY-5'!$A$4,ISBLANK(E15)),VLOOKUP(D15,LIST!$A$6:$L$3250,CURR_1.SEARCH.OLD,0),VLOOKUP(E15,LIST!$B$6:$L$3250,CURR_1.SEARCH.NEW,0)),'DICTIONARY-5'!$A$2)</f>
        <v>563,-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286">
        <v>80</v>
      </c>
      <c r="B16" s="286" t="s">
        <v>85</v>
      </c>
      <c r="C16" s="286">
        <v>180</v>
      </c>
      <c r="D16" s="286" t="s">
        <v>2677</v>
      </c>
      <c r="E16" s="305" t="s">
        <v>3478</v>
      </c>
      <c r="F16" s="339" t="str">
        <f>IFERROR(IF(OR(E16='DICTIONARY-5'!$A$2,E16='DICTIONARY-5'!$A$4,ISBLANK(E16)),VLOOKUP(D16,LIST!$A$6:$L$3250,CURR_1.SEARCH.OLD,0),VLOOKUP(E16,LIST!$B$6:$L$3250,CURR_1.SEARCH.NEW,0)),'DICTIONARY-5'!$A$2)</f>
        <v>567,-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286">
        <v>100</v>
      </c>
      <c r="B17" s="286" t="s">
        <v>85</v>
      </c>
      <c r="C17" s="286">
        <v>190</v>
      </c>
      <c r="D17" s="286" t="s">
        <v>2679</v>
      </c>
      <c r="E17" s="305" t="s">
        <v>3480</v>
      </c>
      <c r="F17" s="339" t="str">
        <f>IFERROR(IF(OR(E17='DICTIONARY-5'!$A$2,E17='DICTIONARY-5'!$A$4,ISBLANK(E17)),VLOOKUP(D17,LIST!$A$6:$L$3250,CURR_1.SEARCH.OLD,0),VLOOKUP(E17,LIST!$B$6:$L$3250,CURR_1.SEARCH.NEW,0)),'DICTIONARY-5'!$A$2)</f>
        <v>657,-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286">
        <v>125</v>
      </c>
      <c r="B18" s="286" t="s">
        <v>85</v>
      </c>
      <c r="C18" s="286">
        <v>200</v>
      </c>
      <c r="D18" s="286" t="s">
        <v>2681</v>
      </c>
      <c r="E18" s="305" t="s">
        <v>3482</v>
      </c>
      <c r="F18" s="339" t="str">
        <f>IFERROR(IF(OR(E18='DICTIONARY-5'!$A$2,E18='DICTIONARY-5'!$A$4,ISBLANK(E18)),VLOOKUP(D18,LIST!$A$6:$L$3250,CURR_1.SEARCH.OLD,0),VLOOKUP(E18,LIST!$B$6:$L$3250,CURR_1.SEARCH.NEW,0)),'DICTIONARY-5'!$A$2)</f>
        <v>721,-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286">
        <v>150</v>
      </c>
      <c r="B19" s="286" t="s">
        <v>85</v>
      </c>
      <c r="C19" s="286">
        <v>210</v>
      </c>
      <c r="D19" s="286" t="s">
        <v>2683</v>
      </c>
      <c r="E19" s="305" t="s">
        <v>3484</v>
      </c>
      <c r="F19" s="339" t="str">
        <f>IFERROR(IF(OR(E19='DICTIONARY-5'!$A$2,E19='DICTIONARY-5'!$A$4,ISBLANK(E19)),VLOOKUP(D19,LIST!$A$6:$L$3250,CURR_1.SEARCH.OLD,0),VLOOKUP(E19,LIST!$B$6:$L$3250,CURR_1.SEARCH.NEW,0)),'DICTIONARY-5'!$A$2)</f>
        <v>752,-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0" spans="1:7" x14ac:dyDescent="0.25">
      <c r="A20" s="286">
        <v>200</v>
      </c>
      <c r="B20" s="286">
        <v>10</v>
      </c>
      <c r="C20" s="286">
        <v>230</v>
      </c>
      <c r="D20" s="286" t="s">
        <v>2685</v>
      </c>
      <c r="E20" s="305" t="str">
        <f>'DICTIONARY-5'!$A$2</f>
        <v>na zapytanie</v>
      </c>
      <c r="F20" s="339" t="str">
        <f>IFERROR(IF(OR(E20='DICTIONARY-5'!$A$2,E20='DICTIONARY-5'!$A$4,ISBLANK(E20)),VLOOKUP(D20,LIST!$A$6:$L$3250,CURR_1.SEARCH.OLD,0),VLOOKUP(E20,LIST!$B$6:$L$3250,CURR_1.SEARCH.NEW,0)),'DICTIONARY-5'!$A$2)</f>
        <v>na zapytanie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</row>
    <row r="21" spans="1:7" x14ac:dyDescent="0.25">
      <c r="A21" s="286">
        <v>200</v>
      </c>
      <c r="B21" s="286">
        <v>16</v>
      </c>
      <c r="C21" s="286">
        <v>230</v>
      </c>
      <c r="D21" s="286" t="s">
        <v>2687</v>
      </c>
      <c r="E21" s="305" t="s">
        <v>3486</v>
      </c>
      <c r="F21" s="339" t="str">
        <f>IFERROR(IF(OR(E21='DICTIONARY-5'!$A$2,E21='DICTIONARY-5'!$A$4,ISBLANK(E21)),VLOOKUP(D21,LIST!$A$6:$L$3250,CURR_1.SEARCH.OLD,0),VLOOKUP(E21,LIST!$B$6:$L$3250,CURR_1.SEARCH.NEW,0)),'DICTIONARY-5'!$A$2)</f>
        <v>1 165,-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</row>
    <row r="22" spans="1:7" x14ac:dyDescent="0.25">
      <c r="A22" s="286">
        <v>250</v>
      </c>
      <c r="B22" s="286">
        <v>10</v>
      </c>
      <c r="C22" s="286">
        <v>250</v>
      </c>
      <c r="D22" s="286" t="s">
        <v>2689</v>
      </c>
      <c r="E22" s="305" t="str">
        <f>'DICTIONARY-5'!$A$2</f>
        <v>na zapytanie</v>
      </c>
      <c r="F22" s="339" t="str">
        <f>IFERROR(IF(OR(E22='DICTIONARY-5'!$A$2,E22='DICTIONARY-5'!$A$4,ISBLANK(E22)),VLOOKUP(D22,LIST!$A$6:$L$3250,CURR_1.SEARCH.OLD,0),VLOOKUP(E22,LIST!$B$6:$L$3250,CURR_1.SEARCH.NEW,0)),'DICTIONARY-5'!$A$2)</f>
        <v>na zapytanie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</row>
    <row r="23" spans="1:7" x14ac:dyDescent="0.25">
      <c r="A23" s="286">
        <v>250</v>
      </c>
      <c r="B23" s="286">
        <v>16</v>
      </c>
      <c r="C23" s="286">
        <v>250</v>
      </c>
      <c r="D23" s="286" t="s">
        <v>2691</v>
      </c>
      <c r="E23" s="305" t="s">
        <v>3488</v>
      </c>
      <c r="F23" s="339" t="str">
        <f>IFERROR(IF(OR(E23='DICTIONARY-5'!$A$2,E23='DICTIONARY-5'!$A$4,ISBLANK(E23)),VLOOKUP(D23,LIST!$A$6:$L$3250,CURR_1.SEARCH.OLD,0),VLOOKUP(E23,LIST!$B$6:$L$3250,CURR_1.SEARCH.NEW,0)),'DICTIONARY-5'!$A$2)</f>
        <v>2 004,-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</row>
    <row r="24" spans="1:7" x14ac:dyDescent="0.25">
      <c r="A24" s="286">
        <v>300</v>
      </c>
      <c r="B24" s="286">
        <v>10</v>
      </c>
      <c r="C24" s="286">
        <v>270</v>
      </c>
      <c r="D24" s="286" t="s">
        <v>2693</v>
      </c>
      <c r="E24" s="305" t="str">
        <f>'DICTIONARY-5'!$A$2</f>
        <v>na zapytanie</v>
      </c>
      <c r="F24" s="339" t="str">
        <f>IFERROR(IF(OR(E24='DICTIONARY-5'!$A$2,E24='DICTIONARY-5'!$A$4,ISBLANK(E24)),VLOOKUP(D24,LIST!$A$6:$L$3250,CURR_1.SEARCH.OLD,0),VLOOKUP(E24,LIST!$B$6:$L$3250,CURR_1.SEARCH.NEW,0)),'DICTIONARY-5'!$A$2)</f>
        <v>na zapytanie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</row>
    <row r="25" spans="1:7" x14ac:dyDescent="0.25">
      <c r="A25" s="286">
        <v>300</v>
      </c>
      <c r="B25" s="286">
        <v>16</v>
      </c>
      <c r="C25" s="286">
        <v>270</v>
      </c>
      <c r="D25" s="286" t="s">
        <v>2695</v>
      </c>
      <c r="E25" s="305" t="s">
        <v>3490</v>
      </c>
      <c r="F25" s="339" t="str">
        <f>IFERROR(IF(OR(E25='DICTIONARY-5'!$A$2,E25='DICTIONARY-5'!$A$4,ISBLANK(E25)),VLOOKUP(D25,LIST!$A$6:$L$3250,CURR_1.SEARCH.OLD,0),VLOOKUP(E25,LIST!$B$6:$L$3250,CURR_1.SEARCH.NEW,0)),'DICTIONARY-5'!$A$2)</f>
        <v>2 194,-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</row>
    <row r="26" spans="1:7" x14ac:dyDescent="0.25">
      <c r="A26" s="286" t="s">
        <v>2697</v>
      </c>
      <c r="B26" s="286">
        <v>10</v>
      </c>
      <c r="C26" s="286">
        <v>290</v>
      </c>
      <c r="D26" s="286" t="s">
        <v>2698</v>
      </c>
      <c r="E26" s="305" t="str">
        <f>'DICTIONARY-5'!$A$2</f>
        <v>na zapytanie</v>
      </c>
      <c r="F26" s="339" t="str">
        <f>IFERROR(IF(OR(E26='DICTIONARY-5'!$A$2,E26='DICTIONARY-5'!$A$4,ISBLANK(E26)),VLOOKUP(D26,LIST!$A$6:$L$3250,CURR_1.SEARCH.OLD,0),VLOOKUP(E26,LIST!$B$6:$L$3250,CURR_1.SEARCH.NEW,0)),'DICTIONARY-5'!$A$2)</f>
        <v>na zapytanie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</row>
    <row r="27" spans="1:7" x14ac:dyDescent="0.25">
      <c r="A27" s="286" t="s">
        <v>2700</v>
      </c>
      <c r="B27" s="286">
        <v>10</v>
      </c>
      <c r="C27" s="286">
        <v>310</v>
      </c>
      <c r="D27" s="286" t="s">
        <v>2701</v>
      </c>
      <c r="E27" s="305" t="str">
        <f>'DICTIONARY-5'!$A$2</f>
        <v>na zapytanie</v>
      </c>
      <c r="F27" s="339" t="str">
        <f>IFERROR(IF(OR(E27='DICTIONARY-5'!$A$2,E27='DICTIONARY-5'!$A$4,ISBLANK(E27)),VLOOKUP(D27,LIST!$A$6:$L$3250,CURR_1.SEARCH.OLD,0),VLOOKUP(E27,LIST!$B$6:$L$3250,CURR_1.SEARCH.NEW,0)),'DICTIONARY-5'!$A$2)</f>
        <v>na zapytanie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</row>
    <row r="28" spans="1:7" x14ac:dyDescent="0.25">
      <c r="A28" s="286" t="s">
        <v>2703</v>
      </c>
      <c r="B28" s="286">
        <v>10</v>
      </c>
      <c r="C28" s="286">
        <v>350</v>
      </c>
      <c r="D28" s="286" t="s">
        <v>2704</v>
      </c>
      <c r="E28" s="305" t="str">
        <f>'DICTIONARY-5'!$A$2</f>
        <v>na zapytanie</v>
      </c>
      <c r="F28" s="339" t="str">
        <f>IFERROR(IF(OR(E28='DICTIONARY-5'!$A$2,E28='DICTIONARY-5'!$A$4,ISBLANK(E28)),VLOOKUP(D28,LIST!$A$6:$L$3250,CURR_1.SEARCH.OLD,0),VLOOKUP(E28,LIST!$B$6:$L$3250,CURR_1.SEARCH.NEW,0)),'DICTIONARY-5'!$A$2)</f>
        <v>na zapytanie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</row>
    <row r="29" spans="1:7" x14ac:dyDescent="0.25">
      <c r="A29" s="292"/>
    </row>
    <row r="30" spans="1:7" x14ac:dyDescent="0.25">
      <c r="A30" s="549" t="str">
        <f>"1) "&amp;'DICTIONARY-5'!$A$3&amp;'DICTIONARY-5'!$A$61&amp;" PN 16 ("&amp;LOWER('DICTIONARY-5'!$A$92)&amp;": max. 1,0 MPa / 10 bar)"</f>
        <v>1) Na zapytanie: owiert kołnierzy PN 16 (ciśnienie robocze: max. 1,0 MPa / 10 bar)</v>
      </c>
    </row>
    <row r="31" spans="1:7" x14ac:dyDescent="0.25">
      <c r="A31" s="292"/>
    </row>
  </sheetData>
  <sheetProtection algorithmName="SHA-512" hashValue="xqdntd+3Dk9ffYKpC9leynrAbP2RGfG49gjUGcEWbym1MZCzWvXAcavSg8IfkdJU0IyxMo4nZUj49vK7/O9Xvg==" saltValue="b4m9Rls2cERd7ZLWbWGv5w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0F6E23"/>
  </sheetPr>
  <dimension ref="A1:G30"/>
  <sheetViews>
    <sheetView workbookViewId="0"/>
  </sheetViews>
  <sheetFormatPr defaultColWidth="9.140625" defaultRowHeight="15" x14ac:dyDescent="0.25"/>
  <cols>
    <col min="1" max="3" width="9.140625" style="278"/>
    <col min="4" max="5" width="22.140625" style="278" customWidth="1"/>
    <col min="6" max="7" width="12.85546875" style="276" customWidth="1"/>
    <col min="8" max="16384" width="9.140625" style="277"/>
  </cols>
  <sheetData>
    <row r="1" spans="1:7" s="391" customFormat="1" ht="45" customHeight="1" thickBot="1" x14ac:dyDescent="0.3">
      <c r="A1" s="424"/>
      <c r="B1" s="424"/>
      <c r="C1" s="424"/>
      <c r="D1" s="424"/>
      <c r="E1" s="392"/>
      <c r="F1" s="393"/>
      <c r="G1" s="393"/>
    </row>
    <row r="2" spans="1:7" s="444" customFormat="1" ht="4.5" customHeight="1" x14ac:dyDescent="0.25">
      <c r="A2" s="443"/>
      <c r="B2" s="445"/>
      <c r="C2" s="445"/>
      <c r="D2" s="445"/>
      <c r="E2" s="445"/>
      <c r="F2" s="446"/>
      <c r="G2" s="446"/>
    </row>
    <row r="3" spans="1:7" ht="15.75" thickBot="1" x14ac:dyDescent="0.3">
      <c r="A3" s="294"/>
      <c r="B3" s="295"/>
      <c r="C3" s="295"/>
    </row>
    <row r="4" spans="1:7" ht="15.75" thickBot="1" x14ac:dyDescent="0.3">
      <c r="A4" s="818">
        <f>ADD.DISCOUNT</f>
        <v>0</v>
      </c>
      <c r="B4" s="933" t="str">
        <f>HYPERLINK("#'LIST'!ADD.DISCOUNT","» "&amp;'DICTIONARY-1'!$A$5)</f>
        <v>» Ustaw globalny dodatkowy rabat</v>
      </c>
      <c r="C4" s="1081"/>
      <c r="D4" s="1081"/>
      <c r="E4" s="1082"/>
    </row>
    <row r="5" spans="1:7" x14ac:dyDescent="0.25">
      <c r="A5" s="294"/>
      <c r="B5" s="295"/>
      <c r="C5" s="295"/>
    </row>
    <row r="6" spans="1:7" ht="16.5" thickBot="1" x14ac:dyDescent="0.3">
      <c r="A6" s="712" t="str">
        <f>CONCATENATE('DICTIONARY-3'!$A$146," ",'DICTIONARY-3'!$A$204," / ",UPPER('DICTIONARY-5'!$A$18))</f>
        <v>EKN M Przepustnica kołnierzowa / GAZ</v>
      </c>
      <c r="B6" s="712"/>
      <c r="C6" s="712"/>
      <c r="D6" s="712"/>
      <c r="E6" s="712"/>
      <c r="F6" s="712"/>
      <c r="G6" s="712"/>
    </row>
    <row r="7" spans="1:7" x14ac:dyDescent="0.25">
      <c r="A7" s="289" t="str">
        <f>'DICTIONARY-3'!$A$242</f>
        <v>Z kółkiem ręcznym</v>
      </c>
    </row>
    <row r="8" spans="1:7" x14ac:dyDescent="0.25">
      <c r="A8" s="289" t="str">
        <f>CONCATENATE('DICTIONARY-1'!$A$10,": ",SETTINGS!$C$41)</f>
        <v>Grupa rabatowa: EKN (≤DN600)</v>
      </c>
    </row>
    <row r="9" spans="1:7" x14ac:dyDescent="0.25">
      <c r="A9" s="280"/>
    </row>
    <row r="10" spans="1:7" ht="15" customHeight="1" x14ac:dyDescent="0.25">
      <c r="A10" s="281" t="str">
        <f>'DICTIONARY-2'!$A$2</f>
        <v>DN</v>
      </c>
      <c r="B10" s="281" t="str">
        <f>'DICTIONARY-2'!$A$24</f>
        <v>L</v>
      </c>
      <c r="C10" s="281" t="str">
        <f>'DICTIONARY-2'!$A$3</f>
        <v>PN</v>
      </c>
      <c r="D10" s="1079" t="str">
        <f>'DICTIONARY-3'!$A$146</f>
        <v>EKN M</v>
      </c>
      <c r="E10" s="1079"/>
      <c r="F10" s="1079"/>
      <c r="G10" s="1079"/>
    </row>
    <row r="11" spans="1:7" x14ac:dyDescent="0.25">
      <c r="A11" s="290"/>
      <c r="B11" s="290"/>
      <c r="C11" s="290"/>
      <c r="D11" s="1080" t="str">
        <f>'DICTIONARY-5'!$A$43&amp;": "&amp;'DICTIONARY-5'!$A$45</f>
        <v>guma: NBR</v>
      </c>
      <c r="E11" s="1080"/>
      <c r="F11" s="1080"/>
      <c r="G11" s="1080"/>
    </row>
    <row r="12" spans="1:7" x14ac:dyDescent="0.25">
      <c r="A12" s="290"/>
      <c r="B12" s="290" t="str">
        <f>'DICTIONARY-2'!$A$18</f>
        <v>[mm]</v>
      </c>
      <c r="C12" s="290"/>
      <c r="D12" s="291" t="str">
        <f>'DICTIONARY-2'!$A$28</f>
        <v>stary nr zamówienia</v>
      </c>
      <c r="E12" s="291" t="str">
        <f>'DICTIONARY-2'!$A$29</f>
        <v>nowy nr zamówienia</v>
      </c>
      <c r="F12" s="284" t="str">
        <f>CURRENCY.CODE_1</f>
        <v>EUR</v>
      </c>
      <c r="G12" s="284" t="str">
        <f>CURRENCY.CODE_2</f>
        <v>---</v>
      </c>
    </row>
    <row r="13" spans="1:7" x14ac:dyDescent="0.25">
      <c r="A13" s="298">
        <v>100</v>
      </c>
      <c r="B13" s="298">
        <v>190</v>
      </c>
      <c r="C13" s="349" t="s">
        <v>85</v>
      </c>
      <c r="D13" s="286" t="s">
        <v>2707</v>
      </c>
      <c r="E13" s="305" t="s">
        <v>3674</v>
      </c>
      <c r="F13" s="339" t="str">
        <f>IFERROR(IF(OR(E13='DICTIONARY-5'!$A$2,E13='DICTIONARY-5'!$A$4,ISBLANK(E13)),VLOOKUP(D13,LIST!$A$6:$L$3250,CURR_1.SEARCH.OLD,0),VLOOKUP(E13,LIST!$B$6:$L$3250,CURR_1.SEARCH.NEW,0)),'DICTIONARY-5'!$A$2)</f>
        <v>1 247,-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298">
        <v>150</v>
      </c>
      <c r="B14" s="298">
        <v>250</v>
      </c>
      <c r="C14" s="349" t="s">
        <v>85</v>
      </c>
      <c r="D14" s="286" t="s">
        <v>2708</v>
      </c>
      <c r="E14" s="305" t="s">
        <v>2968</v>
      </c>
      <c r="F14" s="339" t="str">
        <f>IFERROR(IF(OR(E14='DICTIONARY-5'!$A$2,E14='DICTIONARY-5'!$A$4,ISBLANK(E14)),VLOOKUP(D14,LIST!$A$6:$L$3250,CURR_1.SEARCH.OLD,0),VLOOKUP(E14,LIST!$B$6:$L$3250,CURR_1.SEARCH.NEW,0)),'DICTIONARY-5'!$A$2)</f>
        <v>1 550,-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286">
        <v>200</v>
      </c>
      <c r="B15" s="286">
        <v>230</v>
      </c>
      <c r="C15" s="286">
        <v>10</v>
      </c>
      <c r="D15" s="286" t="s">
        <v>2709</v>
      </c>
      <c r="E15" s="305" t="s">
        <v>2969</v>
      </c>
      <c r="F15" s="339" t="str">
        <f>IFERROR(IF(OR(E15='DICTIONARY-5'!$A$2,E15='DICTIONARY-5'!$A$4,ISBLANK(E15)),VLOOKUP(D15,LIST!$A$6:$L$3250,CURR_1.SEARCH.OLD,0),VLOOKUP(E15,LIST!$B$6:$L$3250,CURR_1.SEARCH.NEW,0)),'DICTIONARY-5'!$A$2)</f>
        <v>1 655,-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286">
        <v>200</v>
      </c>
      <c r="B16" s="286">
        <v>230</v>
      </c>
      <c r="C16" s="286">
        <v>16</v>
      </c>
      <c r="D16" s="286" t="s">
        <v>2717</v>
      </c>
      <c r="E16" s="305" t="s">
        <v>2970</v>
      </c>
      <c r="F16" s="339" t="str">
        <f>IFERROR(IF(OR(E16='DICTIONARY-5'!$A$2,E16='DICTIONARY-5'!$A$4,ISBLANK(E16)),VLOOKUP(D16,LIST!$A$6:$L$3250,CURR_1.SEARCH.OLD,0),VLOOKUP(E16,LIST!$B$6:$L$3250,CURR_1.SEARCH.NEW,0)),'DICTIONARY-5'!$A$2)</f>
        <v>1 658,-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286">
        <v>250</v>
      </c>
      <c r="B17" s="286">
        <v>250</v>
      </c>
      <c r="C17" s="286">
        <v>10</v>
      </c>
      <c r="D17" s="286" t="s">
        <v>2710</v>
      </c>
      <c r="E17" s="305" t="s">
        <v>2971</v>
      </c>
      <c r="F17" s="339" t="str">
        <f>IFERROR(IF(OR(E17='DICTIONARY-5'!$A$2,E17='DICTIONARY-5'!$A$4,ISBLANK(E17)),VLOOKUP(D17,LIST!$A$6:$L$3250,CURR_1.SEARCH.OLD,0),VLOOKUP(E17,LIST!$B$6:$L$3250,CURR_1.SEARCH.NEW,0)),'DICTIONARY-5'!$A$2)</f>
        <v>1 877,-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286">
        <v>250</v>
      </c>
      <c r="B18" s="286">
        <v>250</v>
      </c>
      <c r="C18" s="286">
        <v>16</v>
      </c>
      <c r="D18" s="286" t="s">
        <v>2718</v>
      </c>
      <c r="E18" s="305" t="str">
        <f>'DICTIONARY-5'!$A$2</f>
        <v>na zapytanie</v>
      </c>
      <c r="F18" s="339" t="str">
        <f>IFERROR(IF(OR(E18='DICTIONARY-5'!$A$2,E18='DICTIONARY-5'!$A$4,ISBLANK(E18)),VLOOKUP(D18,LIST!$A$6:$L$3250,CURR_1.SEARCH.OLD,0),VLOOKUP(E18,LIST!$B$6:$L$3250,CURR_1.SEARCH.NEW,0)),'DICTIONARY-5'!$A$2)</f>
        <v>na zapytanie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286">
        <v>300</v>
      </c>
      <c r="B19" s="286">
        <v>270</v>
      </c>
      <c r="C19" s="286">
        <v>10</v>
      </c>
      <c r="D19" s="286" t="s">
        <v>2711</v>
      </c>
      <c r="E19" s="305" t="s">
        <v>2972</v>
      </c>
      <c r="F19" s="339" t="str">
        <f>IFERROR(IF(OR(E19='DICTIONARY-5'!$A$2,E19='DICTIONARY-5'!$A$4,ISBLANK(E19)),VLOOKUP(D19,LIST!$A$6:$L$3250,CURR_1.SEARCH.OLD,0),VLOOKUP(E19,LIST!$B$6:$L$3250,CURR_1.SEARCH.NEW,0)),'DICTIONARY-5'!$A$2)</f>
        <v>2 176,-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0" spans="1:7" x14ac:dyDescent="0.25">
      <c r="A20" s="286">
        <v>300</v>
      </c>
      <c r="B20" s="286">
        <v>270</v>
      </c>
      <c r="C20" s="286">
        <v>16</v>
      </c>
      <c r="D20" s="286" t="s">
        <v>2719</v>
      </c>
      <c r="E20" s="305" t="str">
        <f>'DICTIONARY-5'!$A$2</f>
        <v>na zapytanie</v>
      </c>
      <c r="F20" s="339" t="str">
        <f>IFERROR(IF(OR(E20='DICTIONARY-5'!$A$2,E20='DICTIONARY-5'!$A$4,ISBLANK(E20)),VLOOKUP(D20,LIST!$A$6:$L$3250,CURR_1.SEARCH.OLD,0),VLOOKUP(E20,LIST!$B$6:$L$3250,CURR_1.SEARCH.NEW,0)),'DICTIONARY-5'!$A$2)</f>
        <v>na zapytanie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</row>
    <row r="21" spans="1:7" x14ac:dyDescent="0.25">
      <c r="A21" s="286">
        <v>350</v>
      </c>
      <c r="B21" s="286">
        <v>290</v>
      </c>
      <c r="C21" s="286">
        <v>10</v>
      </c>
      <c r="D21" s="286" t="s">
        <v>2712</v>
      </c>
      <c r="E21" s="305" t="str">
        <f>'DICTIONARY-5'!$A$2</f>
        <v>na zapytanie</v>
      </c>
      <c r="F21" s="339" t="str">
        <f>IFERROR(IF(OR(E21='DICTIONARY-5'!$A$2,E21='DICTIONARY-5'!$A$4,ISBLANK(E21)),VLOOKUP(D21,LIST!$A$6:$L$3250,CURR_1.SEARCH.OLD,0),VLOOKUP(E21,LIST!$B$6:$L$3250,CURR_1.SEARCH.NEW,0)),'DICTIONARY-5'!$A$2)</f>
        <v>na zapytanie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</row>
    <row r="22" spans="1:7" x14ac:dyDescent="0.25">
      <c r="A22" s="286">
        <v>350</v>
      </c>
      <c r="B22" s="286">
        <v>290</v>
      </c>
      <c r="C22" s="286">
        <v>16</v>
      </c>
      <c r="D22" s="286" t="s">
        <v>2720</v>
      </c>
      <c r="E22" s="305" t="str">
        <f>'DICTIONARY-5'!$A$2</f>
        <v>na zapytanie</v>
      </c>
      <c r="F22" s="339" t="str">
        <f>IFERROR(IF(OR(E22='DICTIONARY-5'!$A$2,E22='DICTIONARY-5'!$A$4,ISBLANK(E22)),VLOOKUP(D22,LIST!$A$6:$L$3250,CURR_1.SEARCH.OLD,0),VLOOKUP(E22,LIST!$B$6:$L$3250,CURR_1.SEARCH.NEW,0)),'DICTIONARY-5'!$A$2)</f>
        <v>na zapytanie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</row>
    <row r="23" spans="1:7" x14ac:dyDescent="0.25">
      <c r="A23" s="286">
        <v>400</v>
      </c>
      <c r="B23" s="286">
        <v>310</v>
      </c>
      <c r="C23" s="286">
        <v>10</v>
      </c>
      <c r="D23" s="286" t="s">
        <v>2713</v>
      </c>
      <c r="E23" s="305" t="s">
        <v>2973</v>
      </c>
      <c r="F23" s="339" t="str">
        <f>IFERROR(IF(OR(E23='DICTIONARY-5'!$A$2,E23='DICTIONARY-5'!$A$4,ISBLANK(E23)),VLOOKUP(D23,LIST!$A$6:$L$3250,CURR_1.SEARCH.OLD,0),VLOOKUP(E23,LIST!$B$6:$L$3250,CURR_1.SEARCH.NEW,0)),'DICTIONARY-5'!$A$2)</f>
        <v>3 327,-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</row>
    <row r="24" spans="1:7" x14ac:dyDescent="0.25">
      <c r="A24" s="286">
        <v>400</v>
      </c>
      <c r="B24" s="286">
        <v>310</v>
      </c>
      <c r="C24" s="286">
        <v>16</v>
      </c>
      <c r="D24" s="286" t="s">
        <v>2721</v>
      </c>
      <c r="E24" s="305" t="s">
        <v>2974</v>
      </c>
      <c r="F24" s="339" t="str">
        <f>IFERROR(IF(OR(E24='DICTIONARY-5'!$A$2,E24='DICTIONARY-5'!$A$4,ISBLANK(E24)),VLOOKUP(D24,LIST!$A$6:$L$3250,CURR_1.SEARCH.OLD,0),VLOOKUP(E24,LIST!$B$6:$L$3250,CURR_1.SEARCH.NEW,0)),'DICTIONARY-5'!$A$2)</f>
        <v>4 043,-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</row>
    <row r="25" spans="1:7" x14ac:dyDescent="0.25">
      <c r="A25" s="286">
        <v>450</v>
      </c>
      <c r="B25" s="286">
        <v>330</v>
      </c>
      <c r="C25" s="286">
        <v>10</v>
      </c>
      <c r="D25" s="286" t="s">
        <v>2714</v>
      </c>
      <c r="E25" s="305" t="str">
        <f>'DICTIONARY-5'!$A$2</f>
        <v>na zapytanie</v>
      </c>
      <c r="F25" s="339" t="str">
        <f>IFERROR(IF(OR(E25='DICTIONARY-5'!$A$2,E25='DICTIONARY-5'!$A$4,ISBLANK(E25)),VLOOKUP(D25,LIST!$A$6:$L$3250,CURR_1.SEARCH.OLD,0),VLOOKUP(E25,LIST!$B$6:$L$3250,CURR_1.SEARCH.NEW,0)),'DICTIONARY-5'!$A$2)</f>
        <v>na zapytanie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</row>
    <row r="26" spans="1:7" x14ac:dyDescent="0.25">
      <c r="A26" s="286">
        <v>450</v>
      </c>
      <c r="B26" s="286">
        <v>330</v>
      </c>
      <c r="C26" s="286">
        <v>16</v>
      </c>
      <c r="D26" s="286" t="s">
        <v>2722</v>
      </c>
      <c r="E26" s="305" t="s">
        <v>2975</v>
      </c>
      <c r="F26" s="339" t="str">
        <f>IFERROR(IF(OR(E26='DICTIONARY-5'!$A$2,E26='DICTIONARY-5'!$A$4,ISBLANK(E26)),VLOOKUP(D26,LIST!$A$6:$L$3250,CURR_1.SEARCH.OLD,0),VLOOKUP(E26,LIST!$B$6:$L$3250,CURR_1.SEARCH.NEW,0)),'DICTIONARY-5'!$A$2)</f>
        <v>3 943,-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</row>
    <row r="27" spans="1:7" x14ac:dyDescent="0.25">
      <c r="A27" s="286">
        <v>500</v>
      </c>
      <c r="B27" s="286">
        <v>350</v>
      </c>
      <c r="C27" s="286">
        <v>10</v>
      </c>
      <c r="D27" s="286" t="s">
        <v>2715</v>
      </c>
      <c r="E27" s="305" t="str">
        <f>'DICTIONARY-5'!$A$2</f>
        <v>na zapytanie</v>
      </c>
      <c r="F27" s="339" t="str">
        <f>IFERROR(IF(OR(E27='DICTIONARY-5'!$A$2,E27='DICTIONARY-5'!$A$4,ISBLANK(E27)),VLOOKUP(D27,LIST!$A$6:$L$3250,CURR_1.SEARCH.OLD,0),VLOOKUP(E27,LIST!$B$6:$L$3250,CURR_1.SEARCH.NEW,0)),'DICTIONARY-5'!$A$2)</f>
        <v>na zapytanie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</row>
    <row r="28" spans="1:7" x14ac:dyDescent="0.25">
      <c r="A28" s="286">
        <v>500</v>
      </c>
      <c r="B28" s="286">
        <v>350</v>
      </c>
      <c r="C28" s="286">
        <v>16</v>
      </c>
      <c r="D28" s="286" t="s">
        <v>2723</v>
      </c>
      <c r="E28" s="305" t="s">
        <v>2976</v>
      </c>
      <c r="F28" s="339" t="str">
        <f>IFERROR(IF(OR(E28='DICTIONARY-5'!$A$2,E28='DICTIONARY-5'!$A$4,ISBLANK(E28)),VLOOKUP(D28,LIST!$A$6:$L$3250,CURR_1.SEARCH.OLD,0),VLOOKUP(E28,LIST!$B$6:$L$3250,CURR_1.SEARCH.NEW,0)),'DICTIONARY-5'!$A$2)</f>
        <v>6 364,-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</row>
    <row r="29" spans="1:7" x14ac:dyDescent="0.25">
      <c r="A29" s="286">
        <v>600</v>
      </c>
      <c r="B29" s="286">
        <v>390</v>
      </c>
      <c r="C29" s="286">
        <v>10</v>
      </c>
      <c r="D29" s="286" t="s">
        <v>2716</v>
      </c>
      <c r="E29" s="305" t="str">
        <f>'DICTIONARY-5'!$A$2</f>
        <v>na zapytanie</v>
      </c>
      <c r="F29" s="339" t="str">
        <f>IFERROR(IF(OR(E29='DICTIONARY-5'!$A$2,E29='DICTIONARY-5'!$A$4,ISBLANK(E29)),VLOOKUP(D29,LIST!$A$6:$L$3250,CURR_1.SEARCH.OLD,0),VLOOKUP(E29,LIST!$B$6:$L$3250,CURR_1.SEARCH.NEW,0)),'DICTIONARY-5'!$A$2)</f>
        <v>na zapytanie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</row>
    <row r="30" spans="1:7" x14ac:dyDescent="0.25">
      <c r="A30" s="286">
        <v>600</v>
      </c>
      <c r="B30" s="286">
        <v>390</v>
      </c>
      <c r="C30" s="286">
        <v>16</v>
      </c>
      <c r="D30" s="286" t="s">
        <v>2724</v>
      </c>
      <c r="E30" s="305" t="str">
        <f>'DICTIONARY-5'!$A$2</f>
        <v>na zapytanie</v>
      </c>
      <c r="F30" s="339" t="str">
        <f>IFERROR(IF(OR(E30='DICTIONARY-5'!$A$2,E30='DICTIONARY-5'!$A$4,ISBLANK(E30)),VLOOKUP(D30,LIST!$A$6:$L$3250,CURR_1.SEARCH.OLD,0),VLOOKUP(E30,LIST!$B$6:$L$3250,CURR_1.SEARCH.NEW,0)),'DICTIONARY-5'!$A$2)</f>
        <v>na zapytanie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</row>
  </sheetData>
  <sheetProtection algorithmName="SHA-512" hashValue="mSBLe7aV+3qkDfsM3g3rmCsZ2BxuE75/G4WaTsDULXqLDTjof4KE/yn+gTU/anaMOaM1q5f0VJQmr5D7MIgnnw==" saltValue="HSNjUpSM2P8WJ4ylzbE96A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9">
    <tabColor rgb="FF0F6E23"/>
  </sheetPr>
  <dimension ref="A1:K52"/>
  <sheetViews>
    <sheetView workbookViewId="0"/>
  </sheetViews>
  <sheetFormatPr defaultColWidth="9.140625" defaultRowHeight="15" x14ac:dyDescent="0.25"/>
  <cols>
    <col min="1" max="3" width="9.140625" style="277"/>
    <col min="4" max="5" width="22.140625" style="277" customWidth="1"/>
    <col min="6" max="7" width="12.85546875" style="277" customWidth="1"/>
    <col min="8" max="9" width="22.140625" style="277" customWidth="1"/>
    <col min="10" max="11" width="12.85546875" style="277" customWidth="1"/>
    <col min="12" max="16384" width="9.140625" style="277"/>
  </cols>
  <sheetData>
    <row r="1" spans="1:11" s="391" customFormat="1" ht="45" customHeight="1" thickBot="1" x14ac:dyDescent="0.3">
      <c r="A1" s="424"/>
      <c r="B1" s="424"/>
      <c r="C1" s="424"/>
      <c r="D1" s="424"/>
    </row>
    <row r="2" spans="1:11" s="444" customFormat="1" ht="4.5" customHeight="1" x14ac:dyDescent="0.25">
      <c r="A2" s="443"/>
    </row>
    <row r="3" spans="1:11" ht="15.75" thickBot="1" x14ac:dyDescent="0.3">
      <c r="A3" s="294"/>
      <c r="B3" s="295"/>
      <c r="C3" s="295"/>
    </row>
    <row r="4" spans="1:11" ht="15.75" thickBot="1" x14ac:dyDescent="0.3">
      <c r="A4" s="818">
        <f>ADD.DISCOUNT</f>
        <v>0</v>
      </c>
      <c r="B4" s="933" t="str">
        <f>HYPERLINK("#'LIST'!ADD.DISCOUNT","» "&amp;'DICTIONARY-1'!$A$5)</f>
        <v>» Ustaw globalny dodatkowy rabat</v>
      </c>
      <c r="C4" s="1081"/>
      <c r="D4" s="1081"/>
      <c r="E4" s="1082"/>
    </row>
    <row r="5" spans="1:11" x14ac:dyDescent="0.25">
      <c r="A5" s="294"/>
      <c r="B5" s="295"/>
      <c r="C5" s="295"/>
    </row>
    <row r="6" spans="1:11" ht="16.5" thickBot="1" x14ac:dyDescent="0.3">
      <c r="A6" s="712" t="str">
        <f>CONCATENATE('DICTIONARY-3'!$A$148," ",'DICTIONARY-3'!$A$204," / ",'DICTIONARY-3'!$A$323," / ",UPPER('DICTIONARY-5'!$A$18))</f>
        <v>CEREX 300-L Przepustnica kołnierzowa / Z dźwignią stalową / GAZ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80" t="str">
        <f>'DICTIONARY-5'!$A$145</f>
        <v>Typ Lug z otworami centrującymi do montażu na śruby</v>
      </c>
      <c r="B7" s="278"/>
      <c r="C7" s="278"/>
      <c r="D7" s="278"/>
      <c r="E7" s="278"/>
      <c r="F7" s="276"/>
      <c r="G7" s="276"/>
      <c r="H7" s="278"/>
      <c r="I7" s="278"/>
      <c r="J7" s="276"/>
      <c r="K7" s="276"/>
    </row>
    <row r="8" spans="1:11" x14ac:dyDescent="0.25">
      <c r="A8" s="279" t="str">
        <f>CONCATENATE('DICTIONARY-1'!$A$10,": ",SETTINGS!$C$42)</f>
        <v>Grupa rabatowa: CEREX 300</v>
      </c>
      <c r="B8" s="278"/>
      <c r="C8" s="278"/>
      <c r="D8" s="278"/>
      <c r="E8" s="278"/>
      <c r="F8" s="276"/>
      <c r="G8" s="276"/>
      <c r="H8" s="278"/>
      <c r="I8" s="278"/>
      <c r="J8" s="276"/>
      <c r="K8" s="276"/>
    </row>
    <row r="9" spans="1:11" x14ac:dyDescent="0.25">
      <c r="A9" s="280"/>
      <c r="B9" s="278"/>
      <c r="C9" s="278"/>
      <c r="D9" s="278"/>
      <c r="E9" s="278"/>
      <c r="F9" s="276"/>
      <c r="G9" s="276"/>
      <c r="H9" s="278"/>
      <c r="I9" s="278"/>
      <c r="J9" s="276"/>
      <c r="K9" s="276"/>
    </row>
    <row r="10" spans="1:11" x14ac:dyDescent="0.25">
      <c r="A10" s="281" t="str">
        <f>'DICTIONARY-2'!$A$2</f>
        <v>DN</v>
      </c>
      <c r="B10" s="281" t="str">
        <f>'DICTIONARY-2'!$A$3</f>
        <v>PN</v>
      </c>
      <c r="C10" s="281" t="str">
        <f>'DICTIONARY-2'!$A$24</f>
        <v>L</v>
      </c>
      <c r="D10" s="1079" t="str">
        <f>'DICTIONARY-3'!$A$148</f>
        <v>CEREX 300-L</v>
      </c>
      <c r="E10" s="1079"/>
      <c r="F10" s="1079"/>
      <c r="G10" s="1079"/>
      <c r="H10" s="1079" t="str">
        <f>'DICTIONARY-3'!$A$148</f>
        <v>CEREX 300-L</v>
      </c>
      <c r="I10" s="1079"/>
      <c r="J10" s="1079"/>
      <c r="K10" s="1079"/>
    </row>
    <row r="11" spans="1:11" x14ac:dyDescent="0.25">
      <c r="A11" s="290"/>
      <c r="B11" s="290"/>
      <c r="C11" s="290"/>
      <c r="D11" s="1080" t="str">
        <f>'DICTIONARY-5'!$A$43&amp;": "&amp;'DICTIONARY-5'!$A$45&amp;", "&amp;'DICTIONARY-5'!$A$147&amp;": "&amp;'DICTIONARY-5'!$A$50</f>
        <v xml:space="preserve">guma: NBR, dysk: żeliwo sferoidalne </v>
      </c>
      <c r="E11" s="1080"/>
      <c r="F11" s="1080"/>
      <c r="G11" s="1080"/>
      <c r="H11" s="1080" t="str">
        <f>'DICTIONARY-5'!$A$43&amp;": "&amp;'DICTIONARY-5'!$A$45&amp;", "&amp;'DICTIONARY-5'!$A$147&amp;": "&amp;'DICTIONARY-5'!$A$32</f>
        <v>guma: NBR, dysk: stal nierdzewna</v>
      </c>
      <c r="I11" s="1080"/>
      <c r="J11" s="1080"/>
      <c r="K11" s="1080"/>
    </row>
    <row r="12" spans="1:11" x14ac:dyDescent="0.25">
      <c r="A12" s="282"/>
      <c r="B12" s="282"/>
      <c r="C12" s="282" t="str">
        <f>'DICTIONARY-2'!$A$18</f>
        <v>[mm]</v>
      </c>
      <c r="D12" s="283" t="str">
        <f>'DICTIONARY-2'!$A$28</f>
        <v>stary nr zamówienia</v>
      </c>
      <c r="E12" s="283" t="str">
        <f>'DICTIONARY-2'!$A$29</f>
        <v>nowy nr zamówienia</v>
      </c>
      <c r="F12" s="284" t="str">
        <f>CURRENCY.CODE_1</f>
        <v>EUR</v>
      </c>
      <c r="G12" s="284" t="str">
        <f>CURRENCY.CODE_2</f>
        <v>---</v>
      </c>
      <c r="H12" s="283" t="str">
        <f>'DICTIONARY-2'!$A$28</f>
        <v>stary nr zamówienia</v>
      </c>
      <c r="I12" s="283" t="str">
        <f>'DICTIONARY-2'!$A$29</f>
        <v>nowy nr zamówienia</v>
      </c>
      <c r="J12" s="284" t="str">
        <f>CURRENCY.CODE_1</f>
        <v>EUR</v>
      </c>
      <c r="K12" s="284" t="str">
        <f>CURRENCY.CODE_2</f>
        <v>---</v>
      </c>
    </row>
    <row r="13" spans="1:11" x14ac:dyDescent="0.25">
      <c r="A13" s="286">
        <v>50</v>
      </c>
      <c r="B13" s="286" t="s">
        <v>85</v>
      </c>
      <c r="C13" s="286">
        <v>43</v>
      </c>
      <c r="D13" s="286" t="s">
        <v>1557</v>
      </c>
      <c r="E13" s="305" t="s">
        <v>3878</v>
      </c>
      <c r="F13" s="339" t="str">
        <f>IFERROR(IF(OR(E13='DICTIONARY-5'!$A$2,E13='DICTIONARY-5'!$A$4,ISBLANK(E13)),VLOOKUP(D13,LIST!$A$6:$L$3250,CURR_1.SEARCH.OLD,0),VLOOKUP(E13,LIST!$B$6:$L$3250,CURR_1.SEARCH.NEW,0)),'DICTIONARY-5'!$A$2)</f>
        <v>185,-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286" t="s">
        <v>1558</v>
      </c>
      <c r="I13" s="305" t="s">
        <v>3822</v>
      </c>
      <c r="J13" s="339" t="str">
        <f>IFERROR(IF(OR(I13='DICTIONARY-5'!$A$2,I13='DICTIONARY-5'!$A$4,ISBLANK(I13)),VLOOKUP(H13,LIST!$A$6:$L$3250,CURR_1.SEARCH.OLD,0),VLOOKUP(I13,LIST!$B$6:$L$3250,CURR_1.SEARCH.NEW,0)),'DICTIONARY-5'!$A$2)</f>
        <v>185,-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286">
        <v>65</v>
      </c>
      <c r="B14" s="286" t="s">
        <v>85</v>
      </c>
      <c r="C14" s="286">
        <v>46</v>
      </c>
      <c r="D14" s="286" t="s">
        <v>1559</v>
      </c>
      <c r="E14" s="305" t="s">
        <v>3884</v>
      </c>
      <c r="F14" s="339" t="str">
        <f>IFERROR(IF(OR(E14='DICTIONARY-5'!$A$2,E14='DICTIONARY-5'!$A$4,ISBLANK(E14)),VLOOKUP(D14,LIST!$A$6:$L$3250,CURR_1.SEARCH.OLD,0),VLOOKUP(E14,LIST!$B$6:$L$3250,CURR_1.SEARCH.NEW,0)),'DICTIONARY-5'!$A$2)</f>
        <v>197,-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286" t="s">
        <v>1560</v>
      </c>
      <c r="I14" s="305" t="s">
        <v>3828</v>
      </c>
      <c r="J14" s="339" t="str">
        <f>IFERROR(IF(OR(I14='DICTIONARY-5'!$A$2,I14='DICTIONARY-5'!$A$4,ISBLANK(I14)),VLOOKUP(H14,LIST!$A$6:$L$3250,CURR_1.SEARCH.OLD,0),VLOOKUP(I14,LIST!$B$6:$L$3250,CURR_1.SEARCH.NEW,0)),'DICTIONARY-5'!$A$2)</f>
        <v>198,-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286">
        <v>80</v>
      </c>
      <c r="B15" s="286" t="s">
        <v>85</v>
      </c>
      <c r="C15" s="286">
        <v>46</v>
      </c>
      <c r="D15" s="286" t="s">
        <v>1561</v>
      </c>
      <c r="E15" s="305" t="s">
        <v>3890</v>
      </c>
      <c r="F15" s="339" t="str">
        <f>IFERROR(IF(OR(E15='DICTIONARY-5'!$A$2,E15='DICTIONARY-5'!$A$4,ISBLANK(E15)),VLOOKUP(D15,LIST!$A$6:$L$3250,CURR_1.SEARCH.OLD,0),VLOOKUP(E15,LIST!$B$6:$L$3250,CURR_1.SEARCH.NEW,0)),'DICTIONARY-5'!$A$2)</f>
        <v>227,-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286" t="s">
        <v>1562</v>
      </c>
      <c r="I15" s="305" t="s">
        <v>3834</v>
      </c>
      <c r="J15" s="339" t="str">
        <f>IFERROR(IF(OR(I15='DICTIONARY-5'!$A$2,I15='DICTIONARY-5'!$A$4,ISBLANK(I15)),VLOOKUP(H15,LIST!$A$6:$L$3250,CURR_1.SEARCH.OLD,0),VLOOKUP(I15,LIST!$B$6:$L$3250,CURR_1.SEARCH.NEW,0)),'DICTIONARY-5'!$A$2)</f>
        <v>232,-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286">
        <v>100</v>
      </c>
      <c r="B16" s="286" t="s">
        <v>85</v>
      </c>
      <c r="C16" s="286">
        <v>52</v>
      </c>
      <c r="D16" s="286" t="s">
        <v>1563</v>
      </c>
      <c r="E16" s="305" t="s">
        <v>3896</v>
      </c>
      <c r="F16" s="339" t="str">
        <f>IFERROR(IF(OR(E16='DICTIONARY-5'!$A$2,E16='DICTIONARY-5'!$A$4,ISBLANK(E16)),VLOOKUP(D16,LIST!$A$6:$L$3250,CURR_1.SEARCH.OLD,0),VLOOKUP(E16,LIST!$B$6:$L$3250,CURR_1.SEARCH.NEW,0)),'DICTIONARY-5'!$A$2)</f>
        <v>259,-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286" t="s">
        <v>1564</v>
      </c>
      <c r="I16" s="305" t="s">
        <v>3840</v>
      </c>
      <c r="J16" s="339" t="str">
        <f>IFERROR(IF(OR(I16='DICTIONARY-5'!$A$2,I16='DICTIONARY-5'!$A$4,ISBLANK(I16)),VLOOKUP(H16,LIST!$A$6:$L$3250,CURR_1.SEARCH.OLD,0),VLOOKUP(I16,LIST!$B$6:$L$3250,CURR_1.SEARCH.NEW,0)),'DICTIONARY-5'!$A$2)</f>
        <v>265,-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286">
        <v>125</v>
      </c>
      <c r="B17" s="286" t="s">
        <v>85</v>
      </c>
      <c r="C17" s="286">
        <v>56</v>
      </c>
      <c r="D17" s="286" t="s">
        <v>1565</v>
      </c>
      <c r="E17" s="305" t="s">
        <v>3902</v>
      </c>
      <c r="F17" s="339" t="str">
        <f>IFERROR(IF(OR(E17='DICTIONARY-5'!$A$2,E17='DICTIONARY-5'!$A$4,ISBLANK(E17)),VLOOKUP(D17,LIST!$A$6:$L$3250,CURR_1.SEARCH.OLD,0),VLOOKUP(E17,LIST!$B$6:$L$3250,CURR_1.SEARCH.NEW,0)),'DICTIONARY-5'!$A$2)</f>
        <v>293,-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286" t="s">
        <v>1566</v>
      </c>
      <c r="I17" s="305" t="s">
        <v>3846</v>
      </c>
      <c r="J17" s="339" t="str">
        <f>IFERROR(IF(OR(I17='DICTIONARY-5'!$A$2,I17='DICTIONARY-5'!$A$4,ISBLANK(I17)),VLOOKUP(H17,LIST!$A$6:$L$3250,CURR_1.SEARCH.OLD,0),VLOOKUP(I17,LIST!$B$6:$L$3250,CURR_1.SEARCH.NEW,0)),'DICTIONARY-5'!$A$2)</f>
        <v>308,-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286">
        <v>150</v>
      </c>
      <c r="B18" s="286" t="s">
        <v>85</v>
      </c>
      <c r="C18" s="286">
        <v>56</v>
      </c>
      <c r="D18" s="286" t="s">
        <v>1567</v>
      </c>
      <c r="E18" s="305" t="s">
        <v>3908</v>
      </c>
      <c r="F18" s="339" t="str">
        <f>IFERROR(IF(OR(E18='DICTIONARY-5'!$A$2,E18='DICTIONARY-5'!$A$4,ISBLANK(E18)),VLOOKUP(D18,LIST!$A$6:$L$3250,CURR_1.SEARCH.OLD,0),VLOOKUP(E18,LIST!$B$6:$L$3250,CURR_1.SEARCH.NEW,0)),'DICTIONARY-5'!$A$2)</f>
        <v>392,-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286" t="s">
        <v>1568</v>
      </c>
      <c r="I18" s="305" t="s">
        <v>3852</v>
      </c>
      <c r="J18" s="339" t="str">
        <f>IFERROR(IF(OR(I18='DICTIONARY-5'!$A$2,I18='DICTIONARY-5'!$A$4,ISBLANK(I18)),VLOOKUP(H18,LIST!$A$6:$L$3250,CURR_1.SEARCH.OLD,0),VLOOKUP(I18,LIST!$B$6:$L$3250,CURR_1.SEARCH.NEW,0)),'DICTIONARY-5'!$A$2)</f>
        <v>430,-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286">
        <v>200</v>
      </c>
      <c r="B19" s="286">
        <v>10</v>
      </c>
      <c r="C19" s="286">
        <v>60</v>
      </c>
      <c r="D19" s="286" t="s">
        <v>1569</v>
      </c>
      <c r="E19" s="305" t="s">
        <v>3958</v>
      </c>
      <c r="F19" s="339" t="str">
        <f>IFERROR(IF(OR(E19='DICTIONARY-5'!$A$2,E19='DICTIONARY-5'!$A$4,ISBLANK(E19)),VLOOKUP(D19,LIST!$A$6:$L$3250,CURR_1.SEARCH.OLD,0),VLOOKUP(E19,LIST!$B$6:$L$3250,CURR_1.SEARCH.NEW,0)),'DICTIONARY-5'!$A$2)</f>
        <v>502,-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286" t="s">
        <v>1570</v>
      </c>
      <c r="I19" s="305" t="s">
        <v>3934</v>
      </c>
      <c r="J19" s="339" t="str">
        <f>IFERROR(IF(OR(I19='DICTIONARY-5'!$A$2,I19='DICTIONARY-5'!$A$4,ISBLANK(I19)),VLOOKUP(H19,LIST!$A$6:$L$3250,CURR_1.SEARCH.OLD,0),VLOOKUP(I19,LIST!$B$6:$L$3250,CURR_1.SEARCH.NEW,0)),'DICTIONARY-5'!$A$2)</f>
        <v>556,-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286">
        <v>200</v>
      </c>
      <c r="B20" s="286">
        <v>16</v>
      </c>
      <c r="C20" s="286">
        <v>60</v>
      </c>
      <c r="D20" s="286" t="s">
        <v>1571</v>
      </c>
      <c r="E20" s="305" t="s">
        <v>3914</v>
      </c>
      <c r="F20" s="339" t="str">
        <f>IFERROR(IF(OR(E20='DICTIONARY-5'!$A$2,E20='DICTIONARY-5'!$A$4,ISBLANK(E20)),VLOOKUP(D20,LIST!$A$6:$L$3250,CURR_1.SEARCH.OLD,0),VLOOKUP(E20,LIST!$B$6:$L$3250,CURR_1.SEARCH.NEW,0)),'DICTIONARY-5'!$A$2)</f>
        <v>551,-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286" t="s">
        <v>1572</v>
      </c>
      <c r="I20" s="305" t="s">
        <v>3858</v>
      </c>
      <c r="J20" s="339" t="str">
        <f>IFERROR(IF(OR(I20='DICTIONARY-5'!$A$2,I20='DICTIONARY-5'!$A$4,ISBLANK(I20)),VLOOKUP(H20,LIST!$A$6:$L$3250,CURR_1.SEARCH.OLD,0),VLOOKUP(I20,LIST!$B$6:$L$3250,CURR_1.SEARCH.NEW,0)),'DICTIONARY-5'!$A$2)</f>
        <v>607,-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4" spans="1:11" ht="16.5" thickBot="1" x14ac:dyDescent="0.3">
      <c r="A24" s="712" t="str">
        <f>CONCATENATE('DICTIONARY-3'!$A$148," ",'DICTIONARY-3'!$A$204," / ",'DICTIONARY-3'!$A$324," / ",UPPER('DICTIONARY-5'!$A$18))</f>
        <v>CEREX 300-L Przepustnica kołnierzowa / Z dźwignią ze stali nierdzewnej / GAZ</v>
      </c>
      <c r="B24" s="712"/>
      <c r="C24" s="712"/>
      <c r="D24" s="712"/>
      <c r="E24" s="712"/>
      <c r="F24" s="712"/>
      <c r="G24" s="712"/>
      <c r="H24" s="712"/>
      <c r="I24" s="712"/>
      <c r="J24" s="712"/>
      <c r="K24" s="712"/>
    </row>
    <row r="25" spans="1:11" x14ac:dyDescent="0.25">
      <c r="A25" s="180" t="str">
        <f>'DICTIONARY-5'!$A$145</f>
        <v>Typ Lug z otworami centrującymi do montażu na śruby</v>
      </c>
      <c r="B25" s="278"/>
      <c r="C25" s="278"/>
      <c r="D25" s="278"/>
      <c r="E25" s="278"/>
      <c r="F25" s="276"/>
      <c r="G25" s="276"/>
      <c r="H25" s="278"/>
      <c r="I25" s="278"/>
      <c r="J25" s="276"/>
      <c r="K25" s="276"/>
    </row>
    <row r="26" spans="1:11" x14ac:dyDescent="0.25">
      <c r="A26" s="279" t="str">
        <f>CONCATENATE('DICTIONARY-1'!$A$10,": ",SETTINGS!$C$42)</f>
        <v>Grupa rabatowa: CEREX 300</v>
      </c>
      <c r="B26" s="278"/>
      <c r="C26" s="278"/>
      <c r="D26" s="278"/>
      <c r="E26" s="278"/>
      <c r="F26" s="276"/>
      <c r="G26" s="276"/>
      <c r="H26" s="278"/>
      <c r="I26" s="278"/>
      <c r="J26" s="276"/>
      <c r="K26" s="276"/>
    </row>
    <row r="27" spans="1:11" x14ac:dyDescent="0.25">
      <c r="A27" s="280"/>
      <c r="B27" s="278"/>
      <c r="C27" s="278"/>
      <c r="D27" s="278"/>
      <c r="E27" s="278"/>
      <c r="F27" s="276"/>
      <c r="G27" s="276"/>
      <c r="H27" s="278"/>
      <c r="I27" s="278"/>
      <c r="J27" s="276"/>
      <c r="K27" s="276"/>
    </row>
    <row r="28" spans="1:11" x14ac:dyDescent="0.25">
      <c r="A28" s="281" t="str">
        <f>'DICTIONARY-2'!$A$2</f>
        <v>DN</v>
      </c>
      <c r="B28" s="281" t="str">
        <f>'DICTIONARY-2'!$A$3</f>
        <v>PN</v>
      </c>
      <c r="C28" s="281" t="str">
        <f>'DICTIONARY-2'!$A$24</f>
        <v>L</v>
      </c>
      <c r="D28" s="1079" t="str">
        <f>'DICTIONARY-3'!$A$148</f>
        <v>CEREX 300-L</v>
      </c>
      <c r="E28" s="1079"/>
      <c r="F28" s="1079"/>
      <c r="G28" s="1079"/>
      <c r="H28" s="1079" t="str">
        <f>'DICTIONARY-3'!$A$148</f>
        <v>CEREX 300-L</v>
      </c>
      <c r="I28" s="1079"/>
      <c r="J28" s="1079"/>
      <c r="K28" s="1079"/>
    </row>
    <row r="29" spans="1:11" x14ac:dyDescent="0.25">
      <c r="A29" s="290"/>
      <c r="B29" s="290"/>
      <c r="C29" s="290"/>
      <c r="D29" s="1080" t="str">
        <f>'DICTIONARY-5'!$A$43&amp;": "&amp;'DICTIONARY-5'!$A$45&amp;", "&amp;'DICTIONARY-5'!$A$147&amp;": "&amp;'DICTIONARY-5'!$A$50</f>
        <v xml:space="preserve">guma: NBR, dysk: żeliwo sferoidalne </v>
      </c>
      <c r="E29" s="1080"/>
      <c r="F29" s="1080"/>
      <c r="G29" s="1080"/>
      <c r="H29" s="1080" t="str">
        <f>'DICTIONARY-5'!$A$43&amp;": "&amp;'DICTIONARY-5'!$A$45&amp;", "&amp;'DICTIONARY-5'!$A$147&amp;": "&amp;'DICTIONARY-5'!$A$32</f>
        <v>guma: NBR, dysk: stal nierdzewna</v>
      </c>
      <c r="I29" s="1080"/>
      <c r="J29" s="1080"/>
      <c r="K29" s="1080"/>
    </row>
    <row r="30" spans="1:11" x14ac:dyDescent="0.25">
      <c r="A30" s="282"/>
      <c r="B30" s="282"/>
      <c r="C30" s="282" t="str">
        <f>'DICTIONARY-2'!$A$18</f>
        <v>[mm]</v>
      </c>
      <c r="D30" s="283" t="str">
        <f>'DICTIONARY-2'!$A$28</f>
        <v>stary nr zamówienia</v>
      </c>
      <c r="E30" s="283" t="str">
        <f>'DICTIONARY-2'!$A$29</f>
        <v>nowy nr zamówienia</v>
      </c>
      <c r="F30" s="284" t="str">
        <f>CURRENCY.CODE_1</f>
        <v>EUR</v>
      </c>
      <c r="G30" s="284" t="str">
        <f>CURRENCY.CODE_2</f>
        <v>---</v>
      </c>
      <c r="H30" s="283" t="str">
        <f>'DICTIONARY-2'!$A$28</f>
        <v>stary nr zamówienia</v>
      </c>
      <c r="I30" s="283" t="str">
        <f>'DICTIONARY-2'!$A$29</f>
        <v>nowy nr zamówienia</v>
      </c>
      <c r="J30" s="284" t="str">
        <f>CURRENCY.CODE_1</f>
        <v>EUR</v>
      </c>
      <c r="K30" s="284" t="str">
        <f>CURRENCY.CODE_2</f>
        <v>---</v>
      </c>
    </row>
    <row r="31" spans="1:11" x14ac:dyDescent="0.25">
      <c r="A31" s="286">
        <v>50</v>
      </c>
      <c r="B31" s="286" t="s">
        <v>85</v>
      </c>
      <c r="C31" s="286">
        <v>43</v>
      </c>
      <c r="D31" s="286" t="s">
        <v>1589</v>
      </c>
      <c r="E31" s="305" t="s">
        <v>3874</v>
      </c>
      <c r="F31" s="339" t="str">
        <f>IFERROR(IF(OR(E31='DICTIONARY-5'!$A$2,E31='DICTIONARY-5'!$A$4,ISBLANK(E31)),VLOOKUP(D31,LIST!$A$6:$L$3250,CURR_1.SEARCH.OLD,0),VLOOKUP(E31,LIST!$B$6:$L$3250,CURR_1.SEARCH.NEW,0)),'DICTIONARY-5'!$A$2)</f>
        <v>208,-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286" t="s">
        <v>1590</v>
      </c>
      <c r="I31" s="305" t="s">
        <v>3818</v>
      </c>
      <c r="J31" s="339" t="str">
        <f>IFERROR(IF(OR(I31='DICTIONARY-5'!$A$2,I31='DICTIONARY-5'!$A$4,ISBLANK(I31)),VLOOKUP(H31,LIST!$A$6:$L$3250,CURR_1.SEARCH.OLD,0),VLOOKUP(I31,LIST!$B$6:$L$3250,CURR_1.SEARCH.NEW,0)),'DICTIONARY-5'!$A$2)</f>
        <v>206,-</v>
      </c>
      <c r="K31" s="339" t="str">
        <f>IFERROR(IF(OR(I31='DICTIONARY-5'!$A$2,I31='DICTIONARY-5'!$A$4,ISBLANK(I31)),VLOOKUP(H31,LIST!$A$6:$M$3250,CURR_2.SEARCH.OLD,0),VLOOKUP(I31,LIST!$B$6:$M$3250,CURR_2.SEARCH.NEW,0)),'DICTIONARY-5'!$A$2)</f>
        <v/>
      </c>
    </row>
    <row r="32" spans="1:11" x14ac:dyDescent="0.25">
      <c r="A32" s="286">
        <v>65</v>
      </c>
      <c r="B32" s="286" t="s">
        <v>85</v>
      </c>
      <c r="C32" s="286">
        <v>46</v>
      </c>
      <c r="D32" s="286" t="s">
        <v>1591</v>
      </c>
      <c r="E32" s="305" t="s">
        <v>3880</v>
      </c>
      <c r="F32" s="339" t="str">
        <f>IFERROR(IF(OR(E32='DICTIONARY-5'!$A$2,E32='DICTIONARY-5'!$A$4,ISBLANK(E32)),VLOOKUP(D32,LIST!$A$6:$L$3250,CURR_1.SEARCH.OLD,0),VLOOKUP(E32,LIST!$B$6:$L$3250,CURR_1.SEARCH.NEW,0)),'DICTIONARY-5'!$A$2)</f>
        <v>218,-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H32" s="286" t="s">
        <v>1592</v>
      </c>
      <c r="I32" s="305" t="s">
        <v>3824</v>
      </c>
      <c r="J32" s="339" t="str">
        <f>IFERROR(IF(OR(I32='DICTIONARY-5'!$A$2,I32='DICTIONARY-5'!$A$4,ISBLANK(I32)),VLOOKUP(H32,LIST!$A$6:$L$3250,CURR_1.SEARCH.OLD,0),VLOOKUP(I32,LIST!$B$6:$L$3250,CURR_1.SEARCH.NEW,0)),'DICTIONARY-5'!$A$2)</f>
        <v>221,-</v>
      </c>
      <c r="K32" s="339" t="str">
        <f>IFERROR(IF(OR(I32='DICTIONARY-5'!$A$2,I32='DICTIONARY-5'!$A$4,ISBLANK(I32)),VLOOKUP(H32,LIST!$A$6:$M$3250,CURR_2.SEARCH.OLD,0),VLOOKUP(I32,LIST!$B$6:$M$3250,CURR_2.SEARCH.NEW,0)),'DICTIONARY-5'!$A$2)</f>
        <v/>
      </c>
    </row>
    <row r="33" spans="1:11" x14ac:dyDescent="0.25">
      <c r="A33" s="286">
        <v>80</v>
      </c>
      <c r="B33" s="286" t="s">
        <v>85</v>
      </c>
      <c r="C33" s="286">
        <v>46</v>
      </c>
      <c r="D33" s="286" t="s">
        <v>1593</v>
      </c>
      <c r="E33" s="305" t="s">
        <v>3886</v>
      </c>
      <c r="F33" s="339" t="str">
        <f>IFERROR(IF(OR(E33='DICTIONARY-5'!$A$2,E33='DICTIONARY-5'!$A$4,ISBLANK(E33)),VLOOKUP(D33,LIST!$A$6:$L$3250,CURR_1.SEARCH.OLD,0),VLOOKUP(E33,LIST!$B$6:$L$3250,CURR_1.SEARCH.NEW,0)),'DICTIONARY-5'!$A$2)</f>
        <v>249,-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H33" s="286" t="s">
        <v>1594</v>
      </c>
      <c r="I33" s="305" t="s">
        <v>3830</v>
      </c>
      <c r="J33" s="339" t="str">
        <f>IFERROR(IF(OR(I33='DICTIONARY-5'!$A$2,I33='DICTIONARY-5'!$A$4,ISBLANK(I33)),VLOOKUP(H33,LIST!$A$6:$L$3250,CURR_1.SEARCH.OLD,0),VLOOKUP(I33,LIST!$B$6:$L$3250,CURR_1.SEARCH.NEW,0)),'DICTIONARY-5'!$A$2)</f>
        <v>254,-</v>
      </c>
      <c r="K33" s="339" t="str">
        <f>IFERROR(IF(OR(I33='DICTIONARY-5'!$A$2,I33='DICTIONARY-5'!$A$4,ISBLANK(I33)),VLOOKUP(H33,LIST!$A$6:$M$3250,CURR_2.SEARCH.OLD,0),VLOOKUP(I33,LIST!$B$6:$M$3250,CURR_2.SEARCH.NEW,0)),'DICTIONARY-5'!$A$2)</f>
        <v/>
      </c>
    </row>
    <row r="34" spans="1:11" x14ac:dyDescent="0.25">
      <c r="A34" s="286">
        <v>100</v>
      </c>
      <c r="B34" s="286" t="s">
        <v>85</v>
      </c>
      <c r="C34" s="286">
        <v>52</v>
      </c>
      <c r="D34" s="286" t="s">
        <v>1595</v>
      </c>
      <c r="E34" s="305" t="s">
        <v>3892</v>
      </c>
      <c r="F34" s="339" t="str">
        <f>IFERROR(IF(OR(E34='DICTIONARY-5'!$A$2,E34='DICTIONARY-5'!$A$4,ISBLANK(E34)),VLOOKUP(D34,LIST!$A$6:$L$3250,CURR_1.SEARCH.OLD,0),VLOOKUP(E34,LIST!$B$6:$L$3250,CURR_1.SEARCH.NEW,0)),'DICTIONARY-5'!$A$2)</f>
        <v>279,-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H34" s="286" t="s">
        <v>1596</v>
      </c>
      <c r="I34" s="305" t="s">
        <v>3836</v>
      </c>
      <c r="J34" s="339" t="str">
        <f>IFERROR(IF(OR(I34='DICTIONARY-5'!$A$2,I34='DICTIONARY-5'!$A$4,ISBLANK(I34)),VLOOKUP(H34,LIST!$A$6:$L$3250,CURR_1.SEARCH.OLD,0),VLOOKUP(I34,LIST!$B$6:$L$3250,CURR_1.SEARCH.NEW,0)),'DICTIONARY-5'!$A$2)</f>
        <v>287,-</v>
      </c>
      <c r="K34" s="339" t="str">
        <f>IFERROR(IF(OR(I34='DICTIONARY-5'!$A$2,I34='DICTIONARY-5'!$A$4,ISBLANK(I34)),VLOOKUP(H34,LIST!$A$6:$M$3250,CURR_2.SEARCH.OLD,0),VLOOKUP(I34,LIST!$B$6:$M$3250,CURR_2.SEARCH.NEW,0)),'DICTIONARY-5'!$A$2)</f>
        <v/>
      </c>
    </row>
    <row r="35" spans="1:11" x14ac:dyDescent="0.25">
      <c r="A35" s="286">
        <v>125</v>
      </c>
      <c r="B35" s="286" t="s">
        <v>85</v>
      </c>
      <c r="C35" s="286">
        <v>56</v>
      </c>
      <c r="D35" s="286" t="s">
        <v>1597</v>
      </c>
      <c r="E35" s="305" t="s">
        <v>3898</v>
      </c>
      <c r="F35" s="339" t="str">
        <f>IFERROR(IF(OR(E35='DICTIONARY-5'!$A$2,E35='DICTIONARY-5'!$A$4,ISBLANK(E35)),VLOOKUP(D35,LIST!$A$6:$L$3250,CURR_1.SEARCH.OLD,0),VLOOKUP(E35,LIST!$B$6:$L$3250,CURR_1.SEARCH.NEW,0)),'DICTIONARY-5'!$A$2)</f>
        <v>314,-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H35" s="286" t="s">
        <v>1598</v>
      </c>
      <c r="I35" s="305" t="s">
        <v>3842</v>
      </c>
      <c r="J35" s="339" t="str">
        <f>IFERROR(IF(OR(I35='DICTIONARY-5'!$A$2,I35='DICTIONARY-5'!$A$4,ISBLANK(I35)),VLOOKUP(H35,LIST!$A$6:$L$3250,CURR_1.SEARCH.OLD,0),VLOOKUP(I35,LIST!$B$6:$L$3250,CURR_1.SEARCH.NEW,0)),'DICTIONARY-5'!$A$2)</f>
        <v>329,-</v>
      </c>
      <c r="K35" s="339" t="str">
        <f>IFERROR(IF(OR(I35='DICTIONARY-5'!$A$2,I35='DICTIONARY-5'!$A$4,ISBLANK(I35)),VLOOKUP(H35,LIST!$A$6:$M$3250,CURR_2.SEARCH.OLD,0),VLOOKUP(I35,LIST!$B$6:$M$3250,CURR_2.SEARCH.NEW,0)),'DICTIONARY-5'!$A$2)</f>
        <v/>
      </c>
    </row>
    <row r="36" spans="1:11" x14ac:dyDescent="0.25">
      <c r="A36" s="286">
        <v>150</v>
      </c>
      <c r="B36" s="286" t="s">
        <v>85</v>
      </c>
      <c r="C36" s="286">
        <v>56</v>
      </c>
      <c r="D36" s="286" t="s">
        <v>1599</v>
      </c>
      <c r="E36" s="305" t="s">
        <v>3904</v>
      </c>
      <c r="F36" s="339" t="str">
        <f>IFERROR(IF(OR(E36='DICTIONARY-5'!$A$2,E36='DICTIONARY-5'!$A$4,ISBLANK(E36)),VLOOKUP(D36,LIST!$A$6:$L$3250,CURR_1.SEARCH.OLD,0),VLOOKUP(E36,LIST!$B$6:$L$3250,CURR_1.SEARCH.NEW,0)),'DICTIONARY-5'!$A$2)</f>
        <v>404,-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H36" s="286" t="s">
        <v>1600</v>
      </c>
      <c r="I36" s="305" t="s">
        <v>3848</v>
      </c>
      <c r="J36" s="339" t="str">
        <f>IFERROR(IF(OR(I36='DICTIONARY-5'!$A$2,I36='DICTIONARY-5'!$A$4,ISBLANK(I36)),VLOOKUP(H36,LIST!$A$6:$L$3250,CURR_1.SEARCH.OLD,0),VLOOKUP(I36,LIST!$B$6:$L$3250,CURR_1.SEARCH.NEW,0)),'DICTIONARY-5'!$A$2)</f>
        <v>443,-</v>
      </c>
      <c r="K36" s="339" t="str">
        <f>IFERROR(IF(OR(I36='DICTIONARY-5'!$A$2,I36='DICTIONARY-5'!$A$4,ISBLANK(I36)),VLOOKUP(H36,LIST!$A$6:$M$3250,CURR_2.SEARCH.OLD,0),VLOOKUP(I36,LIST!$B$6:$M$3250,CURR_2.SEARCH.NEW,0)),'DICTIONARY-5'!$A$2)</f>
        <v/>
      </c>
    </row>
    <row r="37" spans="1:11" x14ac:dyDescent="0.25">
      <c r="A37" s="286">
        <v>200</v>
      </c>
      <c r="B37" s="286">
        <v>10</v>
      </c>
      <c r="C37" s="286">
        <v>60</v>
      </c>
      <c r="D37" s="286" t="s">
        <v>1601</v>
      </c>
      <c r="E37" s="305" t="s">
        <v>3954</v>
      </c>
      <c r="F37" s="339" t="str">
        <f>IFERROR(IF(OR(E37='DICTIONARY-5'!$A$2,E37='DICTIONARY-5'!$A$4,ISBLANK(E37)),VLOOKUP(D37,LIST!$A$6:$L$3250,CURR_1.SEARCH.OLD,0),VLOOKUP(E37,LIST!$B$6:$L$3250,CURR_1.SEARCH.NEW,0)),'DICTIONARY-5'!$A$2)</f>
        <v>512,-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  <c r="H37" s="286" t="s">
        <v>1602</v>
      </c>
      <c r="I37" s="305" t="s">
        <v>3930</v>
      </c>
      <c r="J37" s="339" t="str">
        <f>IFERROR(IF(OR(I37='DICTIONARY-5'!$A$2,I37='DICTIONARY-5'!$A$4,ISBLANK(I37)),VLOOKUP(H37,LIST!$A$6:$L$3250,CURR_1.SEARCH.OLD,0),VLOOKUP(I37,LIST!$B$6:$L$3250,CURR_1.SEARCH.NEW,0)),'DICTIONARY-5'!$A$2)</f>
        <v>568,-</v>
      </c>
      <c r="K37" s="339" t="str">
        <f>IFERROR(IF(OR(I37='DICTIONARY-5'!$A$2,I37='DICTIONARY-5'!$A$4,ISBLANK(I37)),VLOOKUP(H37,LIST!$A$6:$M$3250,CURR_2.SEARCH.OLD,0),VLOOKUP(I37,LIST!$B$6:$M$3250,CURR_2.SEARCH.NEW,0)),'DICTIONARY-5'!$A$2)</f>
        <v/>
      </c>
    </row>
    <row r="38" spans="1:11" x14ac:dyDescent="0.25">
      <c r="A38" s="286">
        <v>200</v>
      </c>
      <c r="B38" s="286">
        <v>16</v>
      </c>
      <c r="C38" s="286">
        <v>60</v>
      </c>
      <c r="D38" s="286" t="s">
        <v>1603</v>
      </c>
      <c r="E38" s="305" t="s">
        <v>3910</v>
      </c>
      <c r="F38" s="339" t="str">
        <f>IFERROR(IF(OR(E38='DICTIONARY-5'!$A$2,E38='DICTIONARY-5'!$A$4,ISBLANK(E38)),VLOOKUP(D38,LIST!$A$6:$L$3250,CURR_1.SEARCH.OLD,0),VLOOKUP(E38,LIST!$B$6:$L$3250,CURR_1.SEARCH.NEW,0)),'DICTIONARY-5'!$A$2)</f>
        <v>562,-</v>
      </c>
      <c r="G38" s="339" t="str">
        <f>IFERROR(IF(OR(E38='DICTIONARY-5'!$A$2,E38='DICTIONARY-5'!$A$4,ISBLANK(E38)),VLOOKUP(D38,LIST!$A$6:$M$3250,CURR_2.SEARCH.OLD,0),VLOOKUP(E38,LIST!$B$6:$M$3250,CURR_2.SEARCH.NEW,0)),'DICTIONARY-5'!$A$2)</f>
        <v/>
      </c>
      <c r="H38" s="286" t="s">
        <v>1604</v>
      </c>
      <c r="I38" s="305" t="s">
        <v>3854</v>
      </c>
      <c r="J38" s="339" t="str">
        <f>IFERROR(IF(OR(I38='DICTIONARY-5'!$A$2,I38='DICTIONARY-5'!$A$4,ISBLANK(I38)),VLOOKUP(H38,LIST!$A$6:$L$3250,CURR_1.SEARCH.OLD,0),VLOOKUP(I38,LIST!$B$6:$L$3250,CURR_1.SEARCH.NEW,0)),'DICTIONARY-5'!$A$2)</f>
        <v>618,-</v>
      </c>
      <c r="K38" s="339" t="str">
        <f>IFERROR(IF(OR(I38='DICTIONARY-5'!$A$2,I38='DICTIONARY-5'!$A$4,ISBLANK(I38)),VLOOKUP(H38,LIST!$A$6:$M$3250,CURR_2.SEARCH.OLD,0),VLOOKUP(I38,LIST!$B$6:$M$3250,CURR_2.SEARCH.NEW,0)),'DICTIONARY-5'!$A$2)</f>
        <v/>
      </c>
    </row>
    <row r="42" spans="1:11" ht="16.5" thickBot="1" x14ac:dyDescent="0.3">
      <c r="A42" s="712" t="str">
        <f>CONCATENATE('DICTIONARY-3'!$A$148," ",'DICTIONARY-3'!$A$204," / ",'DICTIONARY-3'!$A$325," / ",UPPER('DICTIONARY-5'!$A$18))</f>
        <v>CEREX 300-L Przepustnica kołnierzowa / Z dźwignią żeliwną / GAZ</v>
      </c>
      <c r="B42" s="712"/>
      <c r="C42" s="712"/>
      <c r="D42" s="712"/>
      <c r="E42" s="712"/>
      <c r="F42" s="712"/>
      <c r="G42" s="712"/>
      <c r="H42" s="712"/>
      <c r="I42" s="712"/>
      <c r="J42" s="712"/>
      <c r="K42" s="712"/>
    </row>
    <row r="43" spans="1:11" x14ac:dyDescent="0.25">
      <c r="A43" s="180" t="str">
        <f>'DICTIONARY-5'!$A$145</f>
        <v>Typ Lug z otworami centrującymi do montażu na śruby</v>
      </c>
      <c r="B43" s="278"/>
      <c r="C43" s="278"/>
      <c r="D43" s="278"/>
      <c r="E43" s="278"/>
      <c r="F43" s="276"/>
      <c r="G43" s="276"/>
      <c r="H43" s="278"/>
      <c r="I43" s="278"/>
      <c r="J43" s="276"/>
      <c r="K43" s="276"/>
    </row>
    <row r="44" spans="1:11" x14ac:dyDescent="0.25">
      <c r="A44" s="279" t="str">
        <f>CONCATENATE('DICTIONARY-1'!$A$10,": ",SETTINGS!$C$42)</f>
        <v>Grupa rabatowa: CEREX 300</v>
      </c>
      <c r="B44" s="278"/>
      <c r="C44" s="278"/>
      <c r="D44" s="278"/>
      <c r="E44" s="278"/>
      <c r="F44" s="276"/>
      <c r="G44" s="276"/>
      <c r="H44" s="278"/>
      <c r="I44" s="278"/>
      <c r="J44" s="276"/>
      <c r="K44" s="276"/>
    </row>
    <row r="45" spans="1:11" x14ac:dyDescent="0.25">
      <c r="A45" s="280"/>
      <c r="B45" s="278"/>
      <c r="C45" s="278"/>
      <c r="D45" s="278"/>
      <c r="E45" s="278"/>
      <c r="F45" s="276"/>
      <c r="G45" s="276"/>
      <c r="H45" s="278"/>
      <c r="I45" s="278"/>
      <c r="J45" s="276"/>
      <c r="K45" s="276"/>
    </row>
    <row r="46" spans="1:11" x14ac:dyDescent="0.25">
      <c r="A46" s="281" t="str">
        <f>'DICTIONARY-2'!$A$2</f>
        <v>DN</v>
      </c>
      <c r="B46" s="281" t="str">
        <f>'DICTIONARY-2'!$A$3</f>
        <v>PN</v>
      </c>
      <c r="C46" s="281" t="str">
        <f>'DICTIONARY-2'!$A$24</f>
        <v>L</v>
      </c>
      <c r="D46" s="1079" t="str">
        <f>'DICTIONARY-3'!$A$148</f>
        <v>CEREX 300-L</v>
      </c>
      <c r="E46" s="1079"/>
      <c r="F46" s="1079"/>
      <c r="G46" s="1079"/>
      <c r="H46" s="1079" t="str">
        <f>'DICTIONARY-3'!$A$148</f>
        <v>CEREX 300-L</v>
      </c>
      <c r="I46" s="1079"/>
      <c r="J46" s="1079"/>
      <c r="K46" s="1079"/>
    </row>
    <row r="47" spans="1:11" x14ac:dyDescent="0.25">
      <c r="A47" s="290"/>
      <c r="B47" s="290"/>
      <c r="C47" s="290"/>
      <c r="D47" s="1080" t="str">
        <f>'DICTIONARY-5'!$A$43&amp;": "&amp;'DICTIONARY-5'!$A$45&amp;", "&amp;'DICTIONARY-5'!$A$147&amp;": "&amp;'DICTIONARY-5'!$A$50</f>
        <v xml:space="preserve">guma: NBR, dysk: żeliwo sferoidalne </v>
      </c>
      <c r="E47" s="1080"/>
      <c r="F47" s="1080"/>
      <c r="G47" s="1080"/>
      <c r="H47" s="1080" t="str">
        <f>'DICTIONARY-5'!$A$43&amp;": "&amp;'DICTIONARY-5'!$A$45&amp;", "&amp;'DICTIONARY-5'!$A$147&amp;": "&amp;'DICTIONARY-5'!$A$32</f>
        <v>guma: NBR, dysk: stal nierdzewna</v>
      </c>
      <c r="I47" s="1080"/>
      <c r="J47" s="1080"/>
      <c r="K47" s="1080"/>
    </row>
    <row r="48" spans="1:11" x14ac:dyDescent="0.25">
      <c r="A48" s="282"/>
      <c r="B48" s="282"/>
      <c r="C48" s="282" t="str">
        <f>'DICTIONARY-2'!$A$18</f>
        <v>[mm]</v>
      </c>
      <c r="D48" s="283" t="str">
        <f>'DICTIONARY-2'!$A$28</f>
        <v>stary nr zamówienia</v>
      </c>
      <c r="E48" s="283" t="str">
        <f>'DICTIONARY-2'!$A$29</f>
        <v>nowy nr zamówienia</v>
      </c>
      <c r="F48" s="284" t="str">
        <f>CURRENCY.CODE_1</f>
        <v>EUR</v>
      </c>
      <c r="G48" s="284" t="str">
        <f>CURRENCY.CODE_2</f>
        <v>---</v>
      </c>
      <c r="H48" s="283" t="str">
        <f>'DICTIONARY-2'!$A$28</f>
        <v>stary nr zamówienia</v>
      </c>
      <c r="I48" s="283" t="str">
        <f>'DICTIONARY-2'!$A$29</f>
        <v>nowy nr zamówienia</v>
      </c>
      <c r="J48" s="284" t="str">
        <f>CURRENCY.CODE_1</f>
        <v>EUR</v>
      </c>
      <c r="K48" s="284" t="str">
        <f>CURRENCY.CODE_2</f>
        <v>---</v>
      </c>
    </row>
    <row r="49" spans="1:11" x14ac:dyDescent="0.25">
      <c r="A49" s="286">
        <v>250</v>
      </c>
      <c r="B49" s="299" t="s">
        <v>1605</v>
      </c>
      <c r="C49" s="286">
        <v>68</v>
      </c>
      <c r="D49" s="286" t="s">
        <v>1610</v>
      </c>
      <c r="E49" s="305" t="s">
        <v>3962</v>
      </c>
      <c r="F49" s="339" t="str">
        <f>IFERROR(IF(OR(E49='DICTIONARY-5'!$A$2,E49='DICTIONARY-5'!$A$4,ISBLANK(E49)),VLOOKUP(D49,LIST!$A$6:$L$3250,CURR_1.SEARCH.OLD,0),VLOOKUP(E49,LIST!$B$6:$L$3250,CURR_1.SEARCH.NEW,0)),'DICTIONARY-5'!$A$2)</f>
        <v>649,-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  <c r="H49" s="286" t="s">
        <v>1611</v>
      </c>
      <c r="I49" s="305" t="s">
        <v>3938</v>
      </c>
      <c r="J49" s="339" t="str">
        <f>IFERROR(IF(OR(I49='DICTIONARY-5'!$A$2,I49='DICTIONARY-5'!$A$4,ISBLANK(I49)),VLOOKUP(H49,LIST!$A$6:$L$3250,CURR_1.SEARCH.OLD,0),VLOOKUP(I49,LIST!$B$6:$L$3250,CURR_1.SEARCH.NEW,0)),'DICTIONARY-5'!$A$2)</f>
        <v>800,-</v>
      </c>
      <c r="K49" s="339" t="str">
        <f>IFERROR(IF(OR(I49='DICTIONARY-5'!$A$2,I49='DICTIONARY-5'!$A$4,ISBLANK(I49)),VLOOKUP(H49,LIST!$A$6:$M$3250,CURR_2.SEARCH.OLD,0),VLOOKUP(I49,LIST!$B$6:$M$3250,CURR_2.SEARCH.NEW,0)),'DICTIONARY-5'!$A$2)</f>
        <v/>
      </c>
    </row>
    <row r="50" spans="1:11" x14ac:dyDescent="0.25">
      <c r="A50" s="286">
        <v>300</v>
      </c>
      <c r="B50" s="299" t="s">
        <v>1605</v>
      </c>
      <c r="C50" s="286">
        <v>78</v>
      </c>
      <c r="D50" s="286" t="s">
        <v>1612</v>
      </c>
      <c r="E50" s="305" t="s">
        <v>3966</v>
      </c>
      <c r="F50" s="339" t="str">
        <f>IFERROR(IF(OR(E50='DICTIONARY-5'!$A$2,E50='DICTIONARY-5'!$A$4,ISBLANK(E50)),VLOOKUP(D50,LIST!$A$6:$L$3250,CURR_1.SEARCH.OLD,0),VLOOKUP(E50,LIST!$B$6:$L$3250,CURR_1.SEARCH.NEW,0)),'DICTIONARY-5'!$A$2)</f>
        <v>822,-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  <c r="H50" s="286" t="s">
        <v>1613</v>
      </c>
      <c r="I50" s="305" t="s">
        <v>3942</v>
      </c>
      <c r="J50" s="339" t="str">
        <f>IFERROR(IF(OR(I50='DICTIONARY-5'!$A$2,I50='DICTIONARY-5'!$A$4,ISBLANK(I50)),VLOOKUP(H50,LIST!$A$6:$L$3250,CURR_1.SEARCH.OLD,0),VLOOKUP(I50,LIST!$B$6:$L$3250,CURR_1.SEARCH.NEW,0)),'DICTIONARY-5'!$A$2)</f>
        <v>1 048,-</v>
      </c>
      <c r="K50" s="339" t="str">
        <f>IFERROR(IF(OR(I50='DICTIONARY-5'!$A$2,I50='DICTIONARY-5'!$A$4,ISBLANK(I50)),VLOOKUP(H50,LIST!$A$6:$M$3250,CURR_2.SEARCH.OLD,0),VLOOKUP(I50,LIST!$B$6:$M$3250,CURR_2.SEARCH.NEW,0)),'DICTIONARY-5'!$A$2)</f>
        <v/>
      </c>
    </row>
    <row r="51" spans="1:11" x14ac:dyDescent="0.25">
      <c r="A51" s="300"/>
    </row>
    <row r="52" spans="1:11" x14ac:dyDescent="0.25">
      <c r="A52" s="570" t="str">
        <f>"1) "&amp;'DICTIONARY-5'!$A$92&amp;": max. 0,6 MPa / 6 bar"</f>
        <v>1) Ciśnienie robocze: max. 0,6 MPa / 6 bar</v>
      </c>
    </row>
  </sheetData>
  <sheetProtection algorithmName="SHA-512" hashValue="+TfSWU3yCcYtRcIi+mhVDsDm+OhqHkpTpul13h5o/R8BDO6zh1fSNsXWPoLwsw4aM612rT3pJzMDN9i6Xa2Kwg==" saltValue="nOSOKAXJO2eGLm3bO1ETsw==" spinCount="100000" sheet="1" objects="1" scenarios="1" autoFilter="0"/>
  <mergeCells count="13">
    <mergeCell ref="B4:E4"/>
    <mergeCell ref="D47:G47"/>
    <mergeCell ref="H47:K47"/>
    <mergeCell ref="D46:G46"/>
    <mergeCell ref="H46:K46"/>
    <mergeCell ref="D10:G10"/>
    <mergeCell ref="H10:K10"/>
    <mergeCell ref="D28:G28"/>
    <mergeCell ref="H28:K28"/>
    <mergeCell ref="D11:G11"/>
    <mergeCell ref="H11:K11"/>
    <mergeCell ref="D29:G29"/>
    <mergeCell ref="H29:K29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2">
    <tabColor rgb="FFFF0000"/>
  </sheetPr>
  <dimension ref="A1:AH2828"/>
  <sheetViews>
    <sheetView zoomScale="85" zoomScaleNormal="85" workbookViewId="0">
      <pane ySplit="5" topLeftCell="A6" activePane="bottomLeft" state="frozen"/>
      <selection pane="bottomLeft"/>
    </sheetView>
  </sheetViews>
  <sheetFormatPr defaultColWidth="9.140625" defaultRowHeight="15" x14ac:dyDescent="0.25"/>
  <cols>
    <col min="1" max="2" width="22.42578125" style="671" customWidth="1"/>
    <col min="3" max="6" width="15.28515625" style="676" hidden="1" customWidth="1"/>
    <col min="7" max="7" width="7.140625" style="674" customWidth="1"/>
    <col min="8" max="8" width="30.42578125" style="798" bestFit="1" customWidth="1"/>
    <col min="9" max="9" width="14.140625" style="788" customWidth="1"/>
    <col min="10" max="13" width="12.85546875" style="676" customWidth="1"/>
    <col min="14" max="14" width="8.5703125" style="677" customWidth="1"/>
    <col min="15" max="15" width="8.5703125" style="677" hidden="1" customWidth="1"/>
    <col min="16" max="16" width="26.5703125" style="671" customWidth="1"/>
    <col min="17" max="17" width="29.85546875" style="671" customWidth="1"/>
    <col min="18" max="18" width="84.42578125" style="671" customWidth="1"/>
    <col min="19" max="19" width="8.5703125" style="675" customWidth="1"/>
    <col min="20" max="20" width="34.140625" style="671" customWidth="1"/>
    <col min="21" max="21" width="13.5703125" style="677" customWidth="1"/>
    <col min="22" max="22" width="8.5703125" style="678" customWidth="1"/>
    <col min="23" max="23" width="10.42578125" style="679" bestFit="1" customWidth="1"/>
    <col min="24" max="24" width="9.42578125" style="680" customWidth="1"/>
    <col min="25" max="25" width="11" style="681" customWidth="1"/>
    <col min="26" max="27" width="10" style="682" customWidth="1"/>
    <col min="28" max="28" width="7.85546875" style="683" customWidth="1"/>
    <col min="29" max="29" width="22" style="675" customWidth="1"/>
    <col min="30" max="30" width="23.5703125" style="675" customWidth="1"/>
    <col min="31" max="31" width="12.140625" style="684" customWidth="1"/>
    <col min="32" max="32" width="9.7109375" style="685" customWidth="1"/>
    <col min="33" max="33" width="37" style="675" customWidth="1"/>
    <col min="34" max="16384" width="9.140625" style="671"/>
  </cols>
  <sheetData>
    <row r="1" spans="1:33" s="758" customFormat="1" ht="45" customHeight="1" thickBot="1" x14ac:dyDescent="0.3">
      <c r="A1" s="755"/>
      <c r="B1" s="756" t="str">
        <f>'DICTIONARY-1'!$A$2&amp;": "</f>
        <v>Dodatkowy rabat: </v>
      </c>
      <c r="C1" s="757"/>
      <c r="D1" s="757"/>
      <c r="E1" s="757"/>
      <c r="F1" s="757"/>
      <c r="G1" s="757"/>
      <c r="H1" s="787">
        <v>0</v>
      </c>
      <c r="I1" s="799" t="str">
        <f>'DICTIONARY-1'!$A$4&amp;": "</f>
        <v>Dopłata MTE: </v>
      </c>
      <c r="J1" s="787">
        <v>3.9E-2</v>
      </c>
      <c r="O1" s="759"/>
      <c r="P1" s="760"/>
      <c r="Q1" s="761"/>
      <c r="R1" s="762"/>
      <c r="S1" s="761"/>
      <c r="T1" s="762"/>
      <c r="U1" s="762"/>
      <c r="V1" s="763"/>
      <c r="W1" s="764"/>
      <c r="X1" s="765"/>
      <c r="Y1" s="761"/>
      <c r="Z1" s="762"/>
      <c r="AA1" s="762"/>
      <c r="AB1" s="763"/>
      <c r="AC1" s="765"/>
      <c r="AD1" s="765"/>
      <c r="AE1" s="766"/>
      <c r="AF1" s="767"/>
      <c r="AG1" s="765"/>
    </row>
    <row r="2" spans="1:33" s="771" customFormat="1" ht="9" customHeight="1" thickBot="1" x14ac:dyDescent="0.3">
      <c r="A2" s="421"/>
      <c r="B2" s="421"/>
      <c r="C2" s="768"/>
      <c r="D2" s="768"/>
      <c r="E2" s="768"/>
      <c r="F2" s="768"/>
      <c r="G2" s="769"/>
      <c r="H2" s="772"/>
      <c r="I2" s="768"/>
      <c r="J2" s="768"/>
      <c r="K2" s="768"/>
      <c r="L2" s="768"/>
      <c r="M2" s="768"/>
      <c r="N2" s="770"/>
      <c r="O2" s="770"/>
      <c r="S2" s="772"/>
      <c r="U2" s="770"/>
      <c r="V2" s="773"/>
      <c r="W2" s="774"/>
      <c r="X2" s="772"/>
      <c r="Y2" s="775"/>
      <c r="Z2" s="776"/>
      <c r="AA2" s="776"/>
      <c r="AB2" s="777"/>
      <c r="AC2" s="772"/>
      <c r="AD2" s="772"/>
      <c r="AE2" s="778"/>
      <c r="AF2" s="779"/>
      <c r="AG2" s="772"/>
    </row>
    <row r="3" spans="1:33" s="513" customFormat="1" ht="15" customHeight="1" x14ac:dyDescent="0.25">
      <c r="A3" s="923" t="str">
        <f>UPPER(LEFT('DICTIONARY-2'!$A$28))&amp;LOWER(MID('DICTIONARY-2'!$A$28,2,LEN('DICTIONARY-2'!$A$28)))</f>
        <v>Stary nr zamówienia</v>
      </c>
      <c r="B3" s="927" t="str">
        <f>UPPER(LEFT('DICTIONARY-2'!$A$29))&amp;LOWER(MID('DICTIONARY-2'!$A$29,2,LEN('DICTIONARY-2'!$A$29)))</f>
        <v>Nowy nr zamówienia</v>
      </c>
      <c r="C3" s="817" t="s">
        <v>8235</v>
      </c>
      <c r="D3" s="817"/>
      <c r="E3" s="817"/>
      <c r="F3" s="817"/>
      <c r="G3" s="925" t="str">
        <f>'DICTIONARY-1'!$A$10</f>
        <v>Grupa rabatowa</v>
      </c>
      <c r="H3" s="926"/>
      <c r="I3" s="804" t="str">
        <f>'DICTIONARY-1'!$A$14</f>
        <v>Rabat</v>
      </c>
      <c r="J3" s="925" t="str">
        <f>'DICTIONARY-2'!$A$33</f>
        <v>Cena brutto</v>
      </c>
      <c r="K3" s="926"/>
      <c r="L3" s="929" t="str">
        <f>'DICTIONARY-2'!$A$34</f>
        <v>Cena sprzedaży</v>
      </c>
      <c r="M3" s="930"/>
      <c r="N3" s="805" t="str">
        <f>'DICTIONARY-2'!$A$35</f>
        <v>Rozdział</v>
      </c>
      <c r="O3" s="669"/>
      <c r="P3" s="923" t="str">
        <f>'DICTIONARY-1'!$A$8</f>
        <v>Produkt</v>
      </c>
      <c r="Q3" s="923" t="str">
        <f>'DICTIONARY-2'!$A$36</f>
        <v>Typ</v>
      </c>
      <c r="R3" s="923" t="str">
        <f>'DICTIONARY-2'!$A$37</f>
        <v>Opis produktu</v>
      </c>
      <c r="S3" s="925" t="str">
        <f>'DICTIONARY-2'!$A$38</f>
        <v>Sterowanie</v>
      </c>
      <c r="T3" s="926"/>
      <c r="U3" s="804" t="str">
        <f>'DICTIONARY-2'!$A$2</f>
        <v>DN</v>
      </c>
      <c r="V3" s="923" t="str">
        <f>'DICTIONARY-2'!$A$4</f>
        <v>PN kołnierza</v>
      </c>
      <c r="W3" s="804" t="str">
        <f>'DICTIONARY-2'!$A$5</f>
        <v>Da</v>
      </c>
      <c r="X3" s="804" t="str">
        <f>'DICTIONARY-2'!$A$6</f>
        <v>Gwint</v>
      </c>
      <c r="Y3" s="804" t="str">
        <f>'DICTIONARY-2'!$A$7</f>
        <v>Rd</v>
      </c>
      <c r="Z3" s="804" t="str">
        <f>'DICTIONARY-2'!$A$8</f>
        <v>Tmin</v>
      </c>
      <c r="AA3" s="804" t="str">
        <f>'DICTIONARY-2'!$A$9</f>
        <v>Tmax</v>
      </c>
      <c r="AB3" s="804" t="str">
        <f>'DICTIONARY-2'!$A$11</f>
        <v>PS/PFA</v>
      </c>
      <c r="AC3" s="923" t="str">
        <f>'DICTIONARY-2'!$A$12</f>
        <v>Długość zabudowy</v>
      </c>
      <c r="AD3" s="923" t="str">
        <f>'DICTIONARY-2'!$A$13</f>
        <v>Medium</v>
      </c>
      <c r="AE3" s="804" t="str">
        <f>'DICTIONARY-2'!$A$14</f>
        <v>Max. temp.</v>
      </c>
      <c r="AF3" s="804" t="str">
        <f>'DICTIONARY-2'!$A$15</f>
        <v>Ciężar</v>
      </c>
      <c r="AG3" s="923" t="str">
        <f>'DICTIONARY-2'!$A$16</f>
        <v>Ochrona przed korozją</v>
      </c>
    </row>
    <row r="4" spans="1:33" s="814" customFormat="1" ht="15" customHeight="1" x14ac:dyDescent="0.25">
      <c r="A4" s="924"/>
      <c r="B4" s="928"/>
      <c r="C4" s="809"/>
      <c r="D4" s="809"/>
      <c r="E4" s="809"/>
      <c r="F4" s="809"/>
      <c r="G4" s="931"/>
      <c r="H4" s="932"/>
      <c r="I4" s="811" t="str">
        <f>LOWER('DICTIONARY-1'!$A$3)</f>
        <v xml:space="preserve">zg. z umową </v>
      </c>
      <c r="J4" s="811" t="str">
        <f>CURRENCY.CODE_1</f>
        <v>EUR</v>
      </c>
      <c r="K4" s="811" t="str">
        <f>CURRENCY.CODE_2</f>
        <v>---</v>
      </c>
      <c r="L4" s="808" t="str">
        <f>CURRENCY.CODE_1</f>
        <v>EUR</v>
      </c>
      <c r="M4" s="808" t="str">
        <f>CURRENCY.CODE_2</f>
        <v>---</v>
      </c>
      <c r="N4" s="811"/>
      <c r="O4" s="812"/>
      <c r="P4" s="924"/>
      <c r="Q4" s="924"/>
      <c r="R4" s="924"/>
      <c r="S4" s="810"/>
      <c r="T4" s="813"/>
      <c r="U4" s="811"/>
      <c r="V4" s="924"/>
      <c r="W4" s="811" t="str">
        <f>'DICTIONARY-2'!$A$18</f>
        <v>[mm]</v>
      </c>
      <c r="X4" s="811"/>
      <c r="Y4" s="811" t="str">
        <f>'DICTIONARY-2'!$A$19</f>
        <v>[m]</v>
      </c>
      <c r="Z4" s="811" t="str">
        <f>'DICTIONARY-2'!$A$18</f>
        <v>[mm]</v>
      </c>
      <c r="AA4" s="811" t="str">
        <f>'DICTIONARY-2'!$A$18</f>
        <v>[mm]</v>
      </c>
      <c r="AB4" s="811" t="str">
        <f>'DICTIONARY-2'!$A$21</f>
        <v>[bar]</v>
      </c>
      <c r="AC4" s="924"/>
      <c r="AD4" s="924"/>
      <c r="AE4" s="811" t="str">
        <f>'DICTIONARY-2'!$A$22</f>
        <v>[°C]</v>
      </c>
      <c r="AF4" s="811" t="str">
        <f>'DICTIONARY-2'!$A$23</f>
        <v>[kg]</v>
      </c>
      <c r="AG4" s="924"/>
    </row>
    <row r="5" spans="1:33" s="814" customFormat="1" ht="11.25" customHeight="1" x14ac:dyDescent="0.25">
      <c r="A5" s="811"/>
      <c r="B5" s="808"/>
      <c r="C5" s="809"/>
      <c r="D5" s="809"/>
      <c r="E5" s="809"/>
      <c r="F5" s="809"/>
      <c r="G5" s="902"/>
      <c r="H5" s="810"/>
      <c r="I5" s="810"/>
      <c r="J5" s="811"/>
      <c r="K5" s="811"/>
      <c r="L5" s="808"/>
      <c r="M5" s="808"/>
      <c r="N5" s="811"/>
      <c r="O5" s="812"/>
      <c r="P5" s="811"/>
      <c r="Q5" s="811"/>
      <c r="R5" s="811"/>
      <c r="S5" s="810"/>
      <c r="T5" s="813"/>
      <c r="U5" s="811"/>
      <c r="V5" s="811"/>
      <c r="W5" s="811"/>
      <c r="X5" s="811"/>
      <c r="Y5" s="811"/>
      <c r="Z5" s="811"/>
      <c r="AA5" s="811"/>
      <c r="AB5" s="811"/>
      <c r="AC5" s="811"/>
      <c r="AD5" s="811"/>
      <c r="AE5" s="811"/>
      <c r="AF5" s="811"/>
      <c r="AG5" s="811"/>
    </row>
    <row r="6" spans="1:33" x14ac:dyDescent="0.25">
      <c r="A6" s="838" t="s">
        <v>5085</v>
      </c>
      <c r="B6" s="838" t="s">
        <v>5315</v>
      </c>
      <c r="C6" s="836">
        <v>186</v>
      </c>
      <c r="D6" s="836"/>
      <c r="E6" s="836"/>
      <c r="F6" s="836"/>
      <c r="G6" s="496" t="s">
        <v>7787</v>
      </c>
      <c r="H6" s="797" t="str">
        <f>VLOOKUP(G6,SETTINGS!$B$7:$D$97,2,0)</f>
        <v>BETA 200</v>
      </c>
      <c r="I6" s="796">
        <f>VLOOKUP(G6,SETTINGS!$B$7:$D$97,3,0)</f>
        <v>0</v>
      </c>
      <c r="J6" s="670" t="str">
        <f>IFERROR(IF(CURRENCY.FORMAT_1=0,CONCATENATE(TEXT(FIXED(ROUND((C6/EXC.RATE_1),CURRENCY.FORMAT_1),CURRENCY.FORMAT_1,1),"# ##0;-# ##0"),",-"),FIXED(ROUND((C6/EXC.RATE_1),CURRENCY.FORMAT_1),CURRENCY.FORMAT_1,0)),'DICTIONARY-5'!$A$2)</f>
        <v>186,-</v>
      </c>
      <c r="K6" s="670" t="str">
        <f>IF(EXC.RATE_2=0,"",IFERROR(IF(CURRENCY.FORMAT_2=0,CONCATENATE(TEXT(FIXED(ROUND(IF(EXC.RATE.SWITCH=1,C6/EXC.RATE_2,C6*EXC.RATE_2),CURRENCY.FORMAT_2),CURRENCY.FORMAT_2,1),"# ##0;-# ##0"),",-"),FIXED(ROUND(IF(EXC.RATE.SWITCH=1,C6/EXC.RATE_2,C6*EXC.RATE_2),CURRENCY.FORMAT_2),CURRENCY.FORMAT_2,0)),'DICTIONARY-5'!$A$2))</f>
        <v/>
      </c>
      <c r="L6" s="670" t="str">
        <f>IFERROR(IF(CURRENCY.FORMAT_1=0,CONCATENATE(TEXT(FIXED(ROUND((C6*(1-I6)*(1-ADD.DISCOUNT)*(1+MAT.SURCHARGE)/EXC.RATE_1),CURRENCY.FORMAT_1),CURRENCY.FORMAT_1,1),"# ##0;-# ##0"),",-"),FIXED(ROUND((C6*(1-I6)*(1-ADD.DISCOUNT)*(1+MAT.SURCHARGE)/EXC.RATE_1),CURRENCY.FORMAT_1),CURRENCY.FORMAT_1,0)),'DICTIONARY-5'!$A$2)</f>
        <v>193,-</v>
      </c>
      <c r="M6" s="670" t="str">
        <f>IF(EXC.RATE_2=0,"",IFERROR(IF(CURRENCY.FORMAT_2=0,CONCATENATE(TEXT(FIXED(ROUND(IF(EXC.RATE.SWITCH=1,C6*(1-I6)*(1-ADD.DISCOUNT)*(1+MAT.SURCHARGE)/EXC.RATE_2,C6*(1-I6)*(1-ADD.DISCOUNT)*(1+MAT.SURCHARGE)*EXC.RATE_2),CURRENCY.FORMAT_2),CURRENCY.FORMAT_2,1),"# ##0;-# ##0"),",-"),FIXED(ROUND(IF(EXC.RATE.SWITCH=1,C6*(1-I6)*(1-ADD.DISCOUNT)*(1+MAT.SURCHARGE)/EXC.RATE_2,C6*(1-I6)*(1-ADD.DISCOUNT)*(1+MAT.SURCHARGE)*EXC.RATE_2),CURRENCY.FORMAT_2),CURRENCY.FORMAT_2,0)),'DICTIONARY-5'!$A$2))</f>
        <v/>
      </c>
      <c r="N6" s="496">
        <v>1</v>
      </c>
      <c r="O6" s="654" t="s">
        <v>7363</v>
      </c>
      <c r="P6" s="731" t="str">
        <f>'DICTIONARY-3'!$A$6</f>
        <v>BETA 200</v>
      </c>
      <c r="Q6" s="732" t="str">
        <f>'DICTIONARY-3'!$A$187</f>
        <v>Zasuwa klinowa</v>
      </c>
      <c r="R6" s="732" t="str">
        <f>CONCATENATE('DICTIONARY-3'!$A$6," ",'DICTIONARY-6'!$A$3," ",'DICTIONARY-2'!$A$2,U6," ",'DICTIONARY-2'!$A$3,"10/",V6," ","R14",", ",'DICTIONARY-4'!$A$2)</f>
        <v>BETA 200 Zasuwa DN40 PN10/16 R14, WW</v>
      </c>
      <c r="S6" s="733" t="str">
        <f>'DICTIONARY-4'!$A$2</f>
        <v>WW</v>
      </c>
      <c r="T6" s="732" t="str">
        <f>'DICTIONARY-4'!$A$18</f>
        <v>Wolny wałek</v>
      </c>
      <c r="U6" s="734" t="s">
        <v>5758</v>
      </c>
      <c r="V6" s="735">
        <v>16</v>
      </c>
      <c r="W6" s="736"/>
      <c r="X6" s="737"/>
      <c r="Y6" s="738"/>
      <c r="Z6" s="739"/>
      <c r="AA6" s="739"/>
      <c r="AB6" s="740">
        <v>16</v>
      </c>
      <c r="AC6" s="741" t="str">
        <f>'DICTIONARY-5'!$A$11&amp;" 14"</f>
        <v>EN 558 szereg 14</v>
      </c>
      <c r="AD6" s="741" t="str">
        <f>'DICTIONARY-5'!$A$13</f>
        <v>woda pitna</v>
      </c>
      <c r="AE6" s="742">
        <v>50</v>
      </c>
      <c r="AF6" s="743">
        <v>10</v>
      </c>
      <c r="AG6" s="741" t="str">
        <f>'DICTIONARY-5'!$A$23</f>
        <v>powłoka epoksydowa</v>
      </c>
    </row>
    <row r="7" spans="1:33" x14ac:dyDescent="0.25">
      <c r="A7" s="838" t="s">
        <v>5087</v>
      </c>
      <c r="B7" s="838" t="s">
        <v>5316</v>
      </c>
      <c r="C7" s="836">
        <v>183</v>
      </c>
      <c r="D7" s="836"/>
      <c r="E7" s="836"/>
      <c r="F7" s="836"/>
      <c r="G7" s="496" t="s">
        <v>7787</v>
      </c>
      <c r="H7" s="797" t="str">
        <f>VLOOKUP(G7,SETTINGS!$B$7:$D$97,2,0)</f>
        <v>BETA 200</v>
      </c>
      <c r="I7" s="796">
        <f>VLOOKUP(G7,SETTINGS!$B$7:$D$97,3,0)</f>
        <v>0</v>
      </c>
      <c r="J7" s="670" t="str">
        <f>IFERROR(IF(CURRENCY.FORMAT_1=0,CONCATENATE(TEXT(FIXED(ROUND((C7/EXC.RATE_1),CURRENCY.FORMAT_1),CURRENCY.FORMAT_1,1),"# ##0;-# ##0"),",-"),FIXED(ROUND((C7/EXC.RATE_1),CURRENCY.FORMAT_1),CURRENCY.FORMAT_1,0)),'DICTIONARY-5'!$A$2)</f>
        <v>183,-</v>
      </c>
      <c r="K7" s="670" t="str">
        <f>IF(EXC.RATE_2=0,"",IFERROR(IF(CURRENCY.FORMAT_2=0,CONCATENATE(TEXT(FIXED(ROUND(IF(EXC.RATE.SWITCH=1,C7/EXC.RATE_2,C7*EXC.RATE_2),CURRENCY.FORMAT_2),CURRENCY.FORMAT_2,1),"# ##0;-# ##0"),",-"),FIXED(ROUND(IF(EXC.RATE.SWITCH=1,C7/EXC.RATE_2,C7*EXC.RATE_2),CURRENCY.FORMAT_2),CURRENCY.FORMAT_2,0)),'DICTIONARY-5'!$A$2))</f>
        <v/>
      </c>
      <c r="L7" s="670" t="str">
        <f>IFERROR(IF(CURRENCY.FORMAT_1=0,CONCATENATE(TEXT(FIXED(ROUND((C7*(1-I7)*(1-ADD.DISCOUNT)*(1+MAT.SURCHARGE)/EXC.RATE_1),CURRENCY.FORMAT_1),CURRENCY.FORMAT_1,1),"# ##0;-# ##0"),",-"),FIXED(ROUND((C7*(1-I7)*(1-ADD.DISCOUNT)*(1+MAT.SURCHARGE)/EXC.RATE_1),CURRENCY.FORMAT_1),CURRENCY.FORMAT_1,0)),'DICTIONARY-5'!$A$2)</f>
        <v>190,-</v>
      </c>
      <c r="M7" s="670" t="str">
        <f>IF(EXC.RATE_2=0,"",IFERROR(IF(CURRENCY.FORMAT_2=0,CONCATENATE(TEXT(FIXED(ROUND(IF(EXC.RATE.SWITCH=1,C7*(1-I7)*(1-ADD.DISCOUNT)*(1+MAT.SURCHARGE)/EXC.RATE_2,C7*(1-I7)*(1-ADD.DISCOUNT)*(1+MAT.SURCHARGE)*EXC.RATE_2),CURRENCY.FORMAT_2),CURRENCY.FORMAT_2,1),"# ##0;-# ##0"),",-"),FIXED(ROUND(IF(EXC.RATE.SWITCH=1,C7*(1-I7)*(1-ADD.DISCOUNT)*(1+MAT.SURCHARGE)/EXC.RATE_2,C7*(1-I7)*(1-ADD.DISCOUNT)*(1+MAT.SURCHARGE)*EXC.RATE_2),CURRENCY.FORMAT_2),CURRENCY.FORMAT_2,0)),'DICTIONARY-5'!$A$2))</f>
        <v/>
      </c>
      <c r="N7" s="496">
        <v>1</v>
      </c>
      <c r="O7" s="654" t="s">
        <v>7363</v>
      </c>
      <c r="P7" s="731" t="str">
        <f>'DICTIONARY-3'!$A$6</f>
        <v>BETA 200</v>
      </c>
      <c r="Q7" s="732" t="str">
        <f>'DICTIONARY-3'!$A$187</f>
        <v>Zasuwa klinowa</v>
      </c>
      <c r="R7" s="732" t="str">
        <f>CONCATENATE('DICTIONARY-3'!$A$6," ",'DICTIONARY-6'!$A$3," ",'DICTIONARY-2'!$A$2,U7," ",'DICTIONARY-2'!$A$3,"10/",V7," ","R14",", ",'DICTIONARY-4'!$A$2)</f>
        <v>BETA 200 Zasuwa DN50 PN10/16 R14, WW</v>
      </c>
      <c r="S7" s="733" t="str">
        <f>'DICTIONARY-4'!$A$2</f>
        <v>WW</v>
      </c>
      <c r="T7" s="732" t="str">
        <f>'DICTIONARY-4'!$A$18</f>
        <v>Wolny wałek</v>
      </c>
      <c r="U7" s="734" t="s">
        <v>5748</v>
      </c>
      <c r="V7" s="735">
        <v>16</v>
      </c>
      <c r="W7" s="736"/>
      <c r="X7" s="737"/>
      <c r="Y7" s="738"/>
      <c r="Z7" s="739"/>
      <c r="AA7" s="739"/>
      <c r="AB7" s="740">
        <v>16</v>
      </c>
      <c r="AC7" s="741" t="str">
        <f>'DICTIONARY-5'!$A$11&amp;" 14"</f>
        <v>EN 558 szereg 14</v>
      </c>
      <c r="AD7" s="741" t="str">
        <f>'DICTIONARY-5'!$A$13</f>
        <v>woda pitna</v>
      </c>
      <c r="AE7" s="742">
        <v>50</v>
      </c>
      <c r="AF7" s="743">
        <v>10.5</v>
      </c>
      <c r="AG7" s="741" t="str">
        <f>'DICTIONARY-5'!$A$23</f>
        <v>powłoka epoksydowa</v>
      </c>
    </row>
    <row r="8" spans="1:33" x14ac:dyDescent="0.25">
      <c r="A8" s="838" t="s">
        <v>5089</v>
      </c>
      <c r="B8" s="838" t="s">
        <v>5317</v>
      </c>
      <c r="C8" s="836">
        <v>223</v>
      </c>
      <c r="D8" s="836"/>
      <c r="E8" s="836"/>
      <c r="F8" s="836"/>
      <c r="G8" s="496" t="s">
        <v>7787</v>
      </c>
      <c r="H8" s="797" t="str">
        <f>VLOOKUP(G8,SETTINGS!$B$7:$D$97,2,0)</f>
        <v>BETA 200</v>
      </c>
      <c r="I8" s="796">
        <f>VLOOKUP(G8,SETTINGS!$B$7:$D$97,3,0)</f>
        <v>0</v>
      </c>
      <c r="J8" s="670" t="str">
        <f>IFERROR(IF(CURRENCY.FORMAT_1=0,CONCATENATE(TEXT(FIXED(ROUND((C8/EXC.RATE_1),CURRENCY.FORMAT_1),CURRENCY.FORMAT_1,1),"# ##0;-# ##0"),",-"),FIXED(ROUND((C8/EXC.RATE_1),CURRENCY.FORMAT_1),CURRENCY.FORMAT_1,0)),'DICTIONARY-5'!$A$2)</f>
        <v>223,-</v>
      </c>
      <c r="K8" s="670" t="str">
        <f>IF(EXC.RATE_2=0,"",IFERROR(IF(CURRENCY.FORMAT_2=0,CONCATENATE(TEXT(FIXED(ROUND(IF(EXC.RATE.SWITCH=1,C8/EXC.RATE_2,C8*EXC.RATE_2),CURRENCY.FORMAT_2),CURRENCY.FORMAT_2,1),"# ##0;-# ##0"),",-"),FIXED(ROUND(IF(EXC.RATE.SWITCH=1,C8/EXC.RATE_2,C8*EXC.RATE_2),CURRENCY.FORMAT_2),CURRENCY.FORMAT_2,0)),'DICTIONARY-5'!$A$2))</f>
        <v/>
      </c>
      <c r="L8" s="670" t="str">
        <f>IFERROR(IF(CURRENCY.FORMAT_1=0,CONCATENATE(TEXT(FIXED(ROUND((C8*(1-I8)*(1-ADD.DISCOUNT)*(1+MAT.SURCHARGE)/EXC.RATE_1),CURRENCY.FORMAT_1),CURRENCY.FORMAT_1,1),"# ##0;-# ##0"),",-"),FIXED(ROUND((C8*(1-I8)*(1-ADD.DISCOUNT)*(1+MAT.SURCHARGE)/EXC.RATE_1),CURRENCY.FORMAT_1),CURRENCY.FORMAT_1,0)),'DICTIONARY-5'!$A$2)</f>
        <v>232,-</v>
      </c>
      <c r="M8" s="670" t="str">
        <f>IF(EXC.RATE_2=0,"",IFERROR(IF(CURRENCY.FORMAT_2=0,CONCATENATE(TEXT(FIXED(ROUND(IF(EXC.RATE.SWITCH=1,C8*(1-I8)*(1-ADD.DISCOUNT)*(1+MAT.SURCHARGE)/EXC.RATE_2,C8*(1-I8)*(1-ADD.DISCOUNT)*(1+MAT.SURCHARGE)*EXC.RATE_2),CURRENCY.FORMAT_2),CURRENCY.FORMAT_2,1),"# ##0;-# ##0"),",-"),FIXED(ROUND(IF(EXC.RATE.SWITCH=1,C8*(1-I8)*(1-ADD.DISCOUNT)*(1+MAT.SURCHARGE)/EXC.RATE_2,C8*(1-I8)*(1-ADD.DISCOUNT)*(1+MAT.SURCHARGE)*EXC.RATE_2),CURRENCY.FORMAT_2),CURRENCY.FORMAT_2,0)),'DICTIONARY-5'!$A$2))</f>
        <v/>
      </c>
      <c r="N8" s="496">
        <v>1</v>
      </c>
      <c r="O8" s="654" t="s">
        <v>7363</v>
      </c>
      <c r="P8" s="731" t="str">
        <f>'DICTIONARY-3'!$A$6</f>
        <v>BETA 200</v>
      </c>
      <c r="Q8" s="732" t="str">
        <f>'DICTIONARY-3'!$A$187</f>
        <v>Zasuwa klinowa</v>
      </c>
      <c r="R8" s="732" t="str">
        <f>CONCATENATE('DICTIONARY-3'!$A$6," ",'DICTIONARY-6'!$A$3," ",'DICTIONARY-2'!$A$2,U8," ",'DICTIONARY-2'!$A$3,"10/",V8," ","R14",", ",'DICTIONARY-4'!$A$2)</f>
        <v>BETA 200 Zasuwa DN65 PN10/16 R14, WW</v>
      </c>
      <c r="S8" s="733" t="str">
        <f>'DICTIONARY-4'!$A$2</f>
        <v>WW</v>
      </c>
      <c r="T8" s="732" t="str">
        <f>'DICTIONARY-4'!$A$18</f>
        <v>Wolny wałek</v>
      </c>
      <c r="U8" s="734" t="s">
        <v>5759</v>
      </c>
      <c r="V8" s="735">
        <v>16</v>
      </c>
      <c r="W8" s="736"/>
      <c r="X8" s="737"/>
      <c r="Y8" s="738"/>
      <c r="Z8" s="739"/>
      <c r="AA8" s="739"/>
      <c r="AB8" s="740">
        <v>16</v>
      </c>
      <c r="AC8" s="741" t="str">
        <f>'DICTIONARY-5'!$A$11&amp;" 14"</f>
        <v>EN 558 szereg 14</v>
      </c>
      <c r="AD8" s="741" t="str">
        <f>'DICTIONARY-5'!$A$13</f>
        <v>woda pitna</v>
      </c>
      <c r="AE8" s="742">
        <v>50</v>
      </c>
      <c r="AF8" s="743">
        <v>15.5</v>
      </c>
      <c r="AG8" s="741" t="str">
        <f>'DICTIONARY-5'!$A$23</f>
        <v>powłoka epoksydowa</v>
      </c>
    </row>
    <row r="9" spans="1:33" x14ac:dyDescent="0.25">
      <c r="A9" s="838" t="s">
        <v>5091</v>
      </c>
      <c r="B9" s="838" t="s">
        <v>5318</v>
      </c>
      <c r="C9" s="836">
        <v>230</v>
      </c>
      <c r="D9" s="836"/>
      <c r="E9" s="836"/>
      <c r="F9" s="836"/>
      <c r="G9" s="496" t="s">
        <v>7787</v>
      </c>
      <c r="H9" s="797" t="str">
        <f>VLOOKUP(G9,SETTINGS!$B$7:$D$97,2,0)</f>
        <v>BETA 200</v>
      </c>
      <c r="I9" s="796">
        <f>VLOOKUP(G9,SETTINGS!$B$7:$D$97,3,0)</f>
        <v>0</v>
      </c>
      <c r="J9" s="670" t="str">
        <f>IFERROR(IF(CURRENCY.FORMAT_1=0,CONCATENATE(TEXT(FIXED(ROUND((C9/EXC.RATE_1),CURRENCY.FORMAT_1),CURRENCY.FORMAT_1,1),"# ##0;-# ##0"),",-"),FIXED(ROUND((C9/EXC.RATE_1),CURRENCY.FORMAT_1),CURRENCY.FORMAT_1,0)),'DICTIONARY-5'!$A$2)</f>
        <v>230,-</v>
      </c>
      <c r="K9" s="670" t="str">
        <f>IF(EXC.RATE_2=0,"",IFERROR(IF(CURRENCY.FORMAT_2=0,CONCATENATE(TEXT(FIXED(ROUND(IF(EXC.RATE.SWITCH=1,C9/EXC.RATE_2,C9*EXC.RATE_2),CURRENCY.FORMAT_2),CURRENCY.FORMAT_2,1),"# ##0;-# ##0"),",-"),FIXED(ROUND(IF(EXC.RATE.SWITCH=1,C9/EXC.RATE_2,C9*EXC.RATE_2),CURRENCY.FORMAT_2),CURRENCY.FORMAT_2,0)),'DICTIONARY-5'!$A$2))</f>
        <v/>
      </c>
      <c r="L9" s="670" t="str">
        <f>IFERROR(IF(CURRENCY.FORMAT_1=0,CONCATENATE(TEXT(FIXED(ROUND((C9*(1-I9)*(1-ADD.DISCOUNT)*(1+MAT.SURCHARGE)/EXC.RATE_1),CURRENCY.FORMAT_1),CURRENCY.FORMAT_1,1),"# ##0;-# ##0"),",-"),FIXED(ROUND((C9*(1-I9)*(1-ADD.DISCOUNT)*(1+MAT.SURCHARGE)/EXC.RATE_1),CURRENCY.FORMAT_1),CURRENCY.FORMAT_1,0)),'DICTIONARY-5'!$A$2)</f>
        <v>239,-</v>
      </c>
      <c r="M9" s="670" t="str">
        <f>IF(EXC.RATE_2=0,"",IFERROR(IF(CURRENCY.FORMAT_2=0,CONCATENATE(TEXT(FIXED(ROUND(IF(EXC.RATE.SWITCH=1,C9*(1-I9)*(1-ADD.DISCOUNT)*(1+MAT.SURCHARGE)/EXC.RATE_2,C9*(1-I9)*(1-ADD.DISCOUNT)*(1+MAT.SURCHARGE)*EXC.RATE_2),CURRENCY.FORMAT_2),CURRENCY.FORMAT_2,1),"# ##0;-# ##0"),",-"),FIXED(ROUND(IF(EXC.RATE.SWITCH=1,C9*(1-I9)*(1-ADD.DISCOUNT)*(1+MAT.SURCHARGE)/EXC.RATE_2,C9*(1-I9)*(1-ADD.DISCOUNT)*(1+MAT.SURCHARGE)*EXC.RATE_2),CURRENCY.FORMAT_2),CURRENCY.FORMAT_2,0)),'DICTIONARY-5'!$A$2))</f>
        <v/>
      </c>
      <c r="N9" s="496">
        <v>1</v>
      </c>
      <c r="O9" s="654" t="s">
        <v>7363</v>
      </c>
      <c r="P9" s="731" t="str">
        <f>'DICTIONARY-3'!$A$6</f>
        <v>BETA 200</v>
      </c>
      <c r="Q9" s="732" t="str">
        <f>'DICTIONARY-3'!$A$187</f>
        <v>Zasuwa klinowa</v>
      </c>
      <c r="R9" s="732" t="str">
        <f>CONCATENATE('DICTIONARY-3'!$A$6," ",'DICTIONARY-6'!$A$3," ",'DICTIONARY-2'!$A$2,U9," ",'DICTIONARY-2'!$A$3,"10/",V9," ","R14"," ",'DICTIONARY-5'!$A$64,", ",'DICTIONARY-4'!$A$2)</f>
        <v>BETA 200 Zasuwa DN80 PN10/16 R14 owiert 4 otw., WW</v>
      </c>
      <c r="S9" s="733" t="str">
        <f>'DICTIONARY-4'!$A$2</f>
        <v>WW</v>
      </c>
      <c r="T9" s="732" t="str">
        <f>'DICTIONARY-4'!$A$18</f>
        <v>Wolny wałek</v>
      </c>
      <c r="U9" s="734" t="s">
        <v>5760</v>
      </c>
      <c r="V9" s="735">
        <v>16</v>
      </c>
      <c r="W9" s="736"/>
      <c r="X9" s="737"/>
      <c r="Y9" s="738"/>
      <c r="Z9" s="739"/>
      <c r="AA9" s="739"/>
      <c r="AB9" s="740">
        <v>16</v>
      </c>
      <c r="AC9" s="741" t="str">
        <f>'DICTIONARY-5'!$A$11&amp;" 14"</f>
        <v>EN 558 szereg 14</v>
      </c>
      <c r="AD9" s="741" t="str">
        <f>'DICTIONARY-5'!$A$13</f>
        <v>woda pitna</v>
      </c>
      <c r="AE9" s="742">
        <v>50</v>
      </c>
      <c r="AF9" s="743">
        <v>17.5</v>
      </c>
      <c r="AG9" s="741" t="str">
        <f>'DICTIONARY-5'!$A$23</f>
        <v>powłoka epoksydowa</v>
      </c>
    </row>
    <row r="10" spans="1:33" x14ac:dyDescent="0.25">
      <c r="A10" s="838" t="s">
        <v>5093</v>
      </c>
      <c r="B10" s="838" t="s">
        <v>5319</v>
      </c>
      <c r="C10" s="836">
        <v>225</v>
      </c>
      <c r="D10" s="836"/>
      <c r="E10" s="836"/>
      <c r="F10" s="836"/>
      <c r="G10" s="496" t="s">
        <v>7787</v>
      </c>
      <c r="H10" s="797" t="str">
        <f>VLOOKUP(G10,SETTINGS!$B$7:$D$97,2,0)</f>
        <v>BETA 200</v>
      </c>
      <c r="I10" s="796">
        <f>VLOOKUP(G10,SETTINGS!$B$7:$D$97,3,0)</f>
        <v>0</v>
      </c>
      <c r="J10" s="670" t="str">
        <f>IFERROR(IF(CURRENCY.FORMAT_1=0,CONCATENATE(TEXT(FIXED(ROUND((C10/EXC.RATE_1),CURRENCY.FORMAT_1),CURRENCY.FORMAT_1,1),"# ##0;-# ##0"),",-"),FIXED(ROUND((C10/EXC.RATE_1),CURRENCY.FORMAT_1),CURRENCY.FORMAT_1,0)),'DICTIONARY-5'!$A$2)</f>
        <v>225,-</v>
      </c>
      <c r="K10" s="670" t="str">
        <f>IF(EXC.RATE_2=0,"",IFERROR(IF(CURRENCY.FORMAT_2=0,CONCATENATE(TEXT(FIXED(ROUND(IF(EXC.RATE.SWITCH=1,C10/EXC.RATE_2,C10*EXC.RATE_2),CURRENCY.FORMAT_2),CURRENCY.FORMAT_2,1),"# ##0;-# ##0"),",-"),FIXED(ROUND(IF(EXC.RATE.SWITCH=1,C10/EXC.RATE_2,C10*EXC.RATE_2),CURRENCY.FORMAT_2),CURRENCY.FORMAT_2,0)),'DICTIONARY-5'!$A$2))</f>
        <v/>
      </c>
      <c r="L10" s="670" t="str">
        <f>IFERROR(IF(CURRENCY.FORMAT_1=0,CONCATENATE(TEXT(FIXED(ROUND((C10*(1-I10)*(1-ADD.DISCOUNT)*(1+MAT.SURCHARGE)/EXC.RATE_1),CURRENCY.FORMAT_1),CURRENCY.FORMAT_1,1),"# ##0;-# ##0"),",-"),FIXED(ROUND((C10*(1-I10)*(1-ADD.DISCOUNT)*(1+MAT.SURCHARGE)/EXC.RATE_1),CURRENCY.FORMAT_1),CURRENCY.FORMAT_1,0)),'DICTIONARY-5'!$A$2)</f>
        <v>234,-</v>
      </c>
      <c r="M10" s="670" t="str">
        <f>IF(EXC.RATE_2=0,"",IFERROR(IF(CURRENCY.FORMAT_2=0,CONCATENATE(TEXT(FIXED(ROUND(IF(EXC.RATE.SWITCH=1,C10*(1-I10)*(1-ADD.DISCOUNT)*(1+MAT.SURCHARGE)/EXC.RATE_2,C10*(1-I10)*(1-ADD.DISCOUNT)*(1+MAT.SURCHARGE)*EXC.RATE_2),CURRENCY.FORMAT_2),CURRENCY.FORMAT_2,1),"# ##0;-# ##0"),",-"),FIXED(ROUND(IF(EXC.RATE.SWITCH=1,C10*(1-I10)*(1-ADD.DISCOUNT)*(1+MAT.SURCHARGE)/EXC.RATE_2,C10*(1-I10)*(1-ADD.DISCOUNT)*(1+MAT.SURCHARGE)*EXC.RATE_2),CURRENCY.FORMAT_2),CURRENCY.FORMAT_2,0)),'DICTIONARY-5'!$A$2))</f>
        <v/>
      </c>
      <c r="N10" s="496">
        <v>1</v>
      </c>
      <c r="O10" s="654" t="s">
        <v>7363</v>
      </c>
      <c r="P10" s="731" t="str">
        <f>'DICTIONARY-3'!$A$6</f>
        <v>BETA 200</v>
      </c>
      <c r="Q10" s="732" t="str">
        <f>'DICTIONARY-3'!$A$187</f>
        <v>Zasuwa klinowa</v>
      </c>
      <c r="R10" s="732" t="str">
        <f>CONCATENATE('DICTIONARY-3'!$A$6," ",'DICTIONARY-6'!$A$3," ",'DICTIONARY-2'!$A$2,U10," ",'DICTIONARY-2'!$A$3,"10/",V10," ","R14",", ",'DICTIONARY-4'!$A$2)</f>
        <v>BETA 200 Zasuwa DN80 PN10/16 R14, WW</v>
      </c>
      <c r="S10" s="733" t="str">
        <f>'DICTIONARY-4'!$A$2</f>
        <v>WW</v>
      </c>
      <c r="T10" s="732" t="str">
        <f>'DICTIONARY-4'!$A$18</f>
        <v>Wolny wałek</v>
      </c>
      <c r="U10" s="734" t="s">
        <v>5760</v>
      </c>
      <c r="V10" s="735">
        <v>16</v>
      </c>
      <c r="W10" s="736"/>
      <c r="X10" s="737"/>
      <c r="Y10" s="738"/>
      <c r="Z10" s="739"/>
      <c r="AA10" s="739"/>
      <c r="AB10" s="740">
        <v>16</v>
      </c>
      <c r="AC10" s="741" t="str">
        <f>'DICTIONARY-5'!$A$11&amp;" 14"</f>
        <v>EN 558 szereg 14</v>
      </c>
      <c r="AD10" s="741" t="str">
        <f>'DICTIONARY-5'!$A$13</f>
        <v>woda pitna</v>
      </c>
      <c r="AE10" s="742">
        <v>50</v>
      </c>
      <c r="AF10" s="743">
        <v>17</v>
      </c>
      <c r="AG10" s="741" t="str">
        <f>'DICTIONARY-5'!$A$23</f>
        <v>powłoka epoksydowa</v>
      </c>
    </row>
    <row r="11" spans="1:33" x14ac:dyDescent="0.25">
      <c r="A11" s="838" t="s">
        <v>5095</v>
      </c>
      <c r="B11" s="838" t="s">
        <v>5320</v>
      </c>
      <c r="C11" s="836">
        <v>270</v>
      </c>
      <c r="D11" s="836"/>
      <c r="E11" s="836"/>
      <c r="F11" s="836"/>
      <c r="G11" s="496" t="s">
        <v>7787</v>
      </c>
      <c r="H11" s="797" t="str">
        <f>VLOOKUP(G11,SETTINGS!$B$7:$D$97,2,0)</f>
        <v>BETA 200</v>
      </c>
      <c r="I11" s="796">
        <f>VLOOKUP(G11,SETTINGS!$B$7:$D$97,3,0)</f>
        <v>0</v>
      </c>
      <c r="J11" s="670" t="str">
        <f>IFERROR(IF(CURRENCY.FORMAT_1=0,CONCATENATE(TEXT(FIXED(ROUND((C11/EXC.RATE_1),CURRENCY.FORMAT_1),CURRENCY.FORMAT_1,1),"# ##0;-# ##0"),",-"),FIXED(ROUND((C11/EXC.RATE_1),CURRENCY.FORMAT_1),CURRENCY.FORMAT_1,0)),'DICTIONARY-5'!$A$2)</f>
        <v>270,-</v>
      </c>
      <c r="K11" s="670" t="str">
        <f>IF(EXC.RATE_2=0,"",IFERROR(IF(CURRENCY.FORMAT_2=0,CONCATENATE(TEXT(FIXED(ROUND(IF(EXC.RATE.SWITCH=1,C11/EXC.RATE_2,C11*EXC.RATE_2),CURRENCY.FORMAT_2),CURRENCY.FORMAT_2,1),"# ##0;-# ##0"),",-"),FIXED(ROUND(IF(EXC.RATE.SWITCH=1,C11/EXC.RATE_2,C11*EXC.RATE_2),CURRENCY.FORMAT_2),CURRENCY.FORMAT_2,0)),'DICTIONARY-5'!$A$2))</f>
        <v/>
      </c>
      <c r="L11" s="670" t="str">
        <f>IFERROR(IF(CURRENCY.FORMAT_1=0,CONCATENATE(TEXT(FIXED(ROUND((C11*(1-I11)*(1-ADD.DISCOUNT)*(1+MAT.SURCHARGE)/EXC.RATE_1),CURRENCY.FORMAT_1),CURRENCY.FORMAT_1,1),"# ##0;-# ##0"),",-"),FIXED(ROUND((C11*(1-I11)*(1-ADD.DISCOUNT)*(1+MAT.SURCHARGE)/EXC.RATE_1),CURRENCY.FORMAT_1),CURRENCY.FORMAT_1,0)),'DICTIONARY-5'!$A$2)</f>
        <v>281,-</v>
      </c>
      <c r="M11" s="670" t="str">
        <f>IF(EXC.RATE_2=0,"",IFERROR(IF(CURRENCY.FORMAT_2=0,CONCATENATE(TEXT(FIXED(ROUND(IF(EXC.RATE.SWITCH=1,C11*(1-I11)*(1-ADD.DISCOUNT)*(1+MAT.SURCHARGE)/EXC.RATE_2,C11*(1-I11)*(1-ADD.DISCOUNT)*(1+MAT.SURCHARGE)*EXC.RATE_2),CURRENCY.FORMAT_2),CURRENCY.FORMAT_2,1),"# ##0;-# ##0"),",-"),FIXED(ROUND(IF(EXC.RATE.SWITCH=1,C11*(1-I11)*(1-ADD.DISCOUNT)*(1+MAT.SURCHARGE)/EXC.RATE_2,C11*(1-I11)*(1-ADD.DISCOUNT)*(1+MAT.SURCHARGE)*EXC.RATE_2),CURRENCY.FORMAT_2),CURRENCY.FORMAT_2,0)),'DICTIONARY-5'!$A$2))</f>
        <v/>
      </c>
      <c r="N11" s="496">
        <v>1</v>
      </c>
      <c r="O11" s="654" t="s">
        <v>7363</v>
      </c>
      <c r="P11" s="731" t="str">
        <f>'DICTIONARY-3'!$A$6</f>
        <v>BETA 200</v>
      </c>
      <c r="Q11" s="732" t="str">
        <f>'DICTIONARY-3'!$A$187</f>
        <v>Zasuwa klinowa</v>
      </c>
      <c r="R11" s="732" t="str">
        <f>CONCATENATE('DICTIONARY-3'!$A$6," ",'DICTIONARY-6'!$A$3," ",'DICTIONARY-2'!$A$2,U11," ",'DICTIONARY-2'!$A$3,"10/",V11," ","R14",", ",'DICTIONARY-4'!$A$2)</f>
        <v>BETA 200 Zasuwa DN100 PN10/16 R14, WW</v>
      </c>
      <c r="S11" s="733" t="str">
        <f>'DICTIONARY-4'!$A$2</f>
        <v>WW</v>
      </c>
      <c r="T11" s="732" t="str">
        <f>'DICTIONARY-4'!$A$18</f>
        <v>Wolny wałek</v>
      </c>
      <c r="U11" s="734" t="s">
        <v>5749</v>
      </c>
      <c r="V11" s="735">
        <v>16</v>
      </c>
      <c r="W11" s="736"/>
      <c r="X11" s="737"/>
      <c r="Y11" s="738"/>
      <c r="Z11" s="739"/>
      <c r="AA11" s="739"/>
      <c r="AB11" s="740">
        <v>16</v>
      </c>
      <c r="AC11" s="741" t="str">
        <f>'DICTIONARY-5'!$A$11&amp;" 14"</f>
        <v>EN 558 szereg 14</v>
      </c>
      <c r="AD11" s="741" t="str">
        <f>'DICTIONARY-5'!$A$13</f>
        <v>woda pitna</v>
      </c>
      <c r="AE11" s="742">
        <v>50</v>
      </c>
      <c r="AF11" s="743">
        <v>21.5</v>
      </c>
      <c r="AG11" s="741" t="str">
        <f>'DICTIONARY-5'!$A$23</f>
        <v>powłoka epoksydowa</v>
      </c>
    </row>
    <row r="12" spans="1:33" x14ac:dyDescent="0.25">
      <c r="A12" s="838" t="s">
        <v>5097</v>
      </c>
      <c r="B12" s="838" t="s">
        <v>5321</v>
      </c>
      <c r="C12" s="836">
        <v>363</v>
      </c>
      <c r="D12" s="836"/>
      <c r="E12" s="836"/>
      <c r="F12" s="836"/>
      <c r="G12" s="496" t="s">
        <v>7787</v>
      </c>
      <c r="H12" s="797" t="str">
        <f>VLOOKUP(G12,SETTINGS!$B$7:$D$97,2,0)</f>
        <v>BETA 200</v>
      </c>
      <c r="I12" s="796">
        <f>VLOOKUP(G12,SETTINGS!$B$7:$D$97,3,0)</f>
        <v>0</v>
      </c>
      <c r="J12" s="670" t="str">
        <f>IFERROR(IF(CURRENCY.FORMAT_1=0,CONCATENATE(TEXT(FIXED(ROUND((C12/EXC.RATE_1),CURRENCY.FORMAT_1),CURRENCY.FORMAT_1,1),"# ##0;-# ##0"),",-"),FIXED(ROUND((C12/EXC.RATE_1),CURRENCY.FORMAT_1),CURRENCY.FORMAT_1,0)),'DICTIONARY-5'!$A$2)</f>
        <v>363,-</v>
      </c>
      <c r="K12" s="670" t="str">
        <f>IF(EXC.RATE_2=0,"",IFERROR(IF(CURRENCY.FORMAT_2=0,CONCATENATE(TEXT(FIXED(ROUND(IF(EXC.RATE.SWITCH=1,C12/EXC.RATE_2,C12*EXC.RATE_2),CURRENCY.FORMAT_2),CURRENCY.FORMAT_2,1),"# ##0;-# ##0"),",-"),FIXED(ROUND(IF(EXC.RATE.SWITCH=1,C12/EXC.RATE_2,C12*EXC.RATE_2),CURRENCY.FORMAT_2),CURRENCY.FORMAT_2,0)),'DICTIONARY-5'!$A$2))</f>
        <v/>
      </c>
      <c r="L12" s="670" t="str">
        <f>IFERROR(IF(CURRENCY.FORMAT_1=0,CONCATENATE(TEXT(FIXED(ROUND((C12*(1-I12)*(1-ADD.DISCOUNT)*(1+MAT.SURCHARGE)/EXC.RATE_1),CURRENCY.FORMAT_1),CURRENCY.FORMAT_1,1),"# ##0;-# ##0"),",-"),FIXED(ROUND((C12*(1-I12)*(1-ADD.DISCOUNT)*(1+MAT.SURCHARGE)/EXC.RATE_1),CURRENCY.FORMAT_1),CURRENCY.FORMAT_1,0)),'DICTIONARY-5'!$A$2)</f>
        <v>377,-</v>
      </c>
      <c r="M12" s="670" t="str">
        <f>IF(EXC.RATE_2=0,"",IFERROR(IF(CURRENCY.FORMAT_2=0,CONCATENATE(TEXT(FIXED(ROUND(IF(EXC.RATE.SWITCH=1,C12*(1-I12)*(1-ADD.DISCOUNT)*(1+MAT.SURCHARGE)/EXC.RATE_2,C12*(1-I12)*(1-ADD.DISCOUNT)*(1+MAT.SURCHARGE)*EXC.RATE_2),CURRENCY.FORMAT_2),CURRENCY.FORMAT_2,1),"# ##0;-# ##0"),",-"),FIXED(ROUND(IF(EXC.RATE.SWITCH=1,C12*(1-I12)*(1-ADD.DISCOUNT)*(1+MAT.SURCHARGE)/EXC.RATE_2,C12*(1-I12)*(1-ADD.DISCOUNT)*(1+MAT.SURCHARGE)*EXC.RATE_2),CURRENCY.FORMAT_2),CURRENCY.FORMAT_2,0)),'DICTIONARY-5'!$A$2))</f>
        <v/>
      </c>
      <c r="N12" s="496">
        <v>1</v>
      </c>
      <c r="O12" s="654" t="s">
        <v>7363</v>
      </c>
      <c r="P12" s="731" t="str">
        <f>'DICTIONARY-3'!$A$6</f>
        <v>BETA 200</v>
      </c>
      <c r="Q12" s="732" t="str">
        <f>'DICTIONARY-3'!$A$187</f>
        <v>Zasuwa klinowa</v>
      </c>
      <c r="R12" s="732" t="str">
        <f>CONCATENATE('DICTIONARY-3'!$A$6," ",'DICTIONARY-6'!$A$3," ",'DICTIONARY-2'!$A$2,U12," ",'DICTIONARY-2'!$A$3,"10/",V12," ","R14",", ",'DICTIONARY-4'!$A$2)</f>
        <v>BETA 200 Zasuwa DN125 PN10/16 R14, WW</v>
      </c>
      <c r="S12" s="733" t="str">
        <f>'DICTIONARY-4'!$A$2</f>
        <v>WW</v>
      </c>
      <c r="T12" s="732" t="str">
        <f>'DICTIONARY-4'!$A$18</f>
        <v>Wolny wałek</v>
      </c>
      <c r="U12" s="734" t="s">
        <v>5761</v>
      </c>
      <c r="V12" s="735">
        <v>16</v>
      </c>
      <c r="W12" s="736"/>
      <c r="X12" s="737"/>
      <c r="Y12" s="738"/>
      <c r="Z12" s="739"/>
      <c r="AA12" s="739"/>
      <c r="AB12" s="740">
        <v>16</v>
      </c>
      <c r="AC12" s="741" t="str">
        <f>'DICTIONARY-5'!$A$11&amp;" 14"</f>
        <v>EN 558 szereg 14</v>
      </c>
      <c r="AD12" s="741" t="str">
        <f>'DICTIONARY-5'!$A$13</f>
        <v>woda pitna</v>
      </c>
      <c r="AE12" s="742">
        <v>50</v>
      </c>
      <c r="AF12" s="743">
        <v>31.5</v>
      </c>
      <c r="AG12" s="741" t="str">
        <f>'DICTIONARY-5'!$A$23</f>
        <v>powłoka epoksydowa</v>
      </c>
    </row>
    <row r="13" spans="1:33" x14ac:dyDescent="0.25">
      <c r="A13" s="838" t="s">
        <v>5099</v>
      </c>
      <c r="B13" s="838" t="s">
        <v>5322</v>
      </c>
      <c r="C13" s="836">
        <v>375</v>
      </c>
      <c r="D13" s="836"/>
      <c r="E13" s="836"/>
      <c r="F13" s="836"/>
      <c r="G13" s="496" t="s">
        <v>7787</v>
      </c>
      <c r="H13" s="797" t="str">
        <f>VLOOKUP(G13,SETTINGS!$B$7:$D$97,2,0)</f>
        <v>BETA 200</v>
      </c>
      <c r="I13" s="796">
        <f>VLOOKUP(G13,SETTINGS!$B$7:$D$97,3,0)</f>
        <v>0</v>
      </c>
      <c r="J13" s="670" t="str">
        <f>IFERROR(IF(CURRENCY.FORMAT_1=0,CONCATENATE(TEXT(FIXED(ROUND((C13/EXC.RATE_1),CURRENCY.FORMAT_1),CURRENCY.FORMAT_1,1),"# ##0;-# ##0"),",-"),FIXED(ROUND((C13/EXC.RATE_1),CURRENCY.FORMAT_1),CURRENCY.FORMAT_1,0)),'DICTIONARY-5'!$A$2)</f>
        <v>375,-</v>
      </c>
      <c r="K13" s="670" t="str">
        <f>IF(EXC.RATE_2=0,"",IFERROR(IF(CURRENCY.FORMAT_2=0,CONCATENATE(TEXT(FIXED(ROUND(IF(EXC.RATE.SWITCH=1,C13/EXC.RATE_2,C13*EXC.RATE_2),CURRENCY.FORMAT_2),CURRENCY.FORMAT_2,1),"# ##0;-# ##0"),",-"),FIXED(ROUND(IF(EXC.RATE.SWITCH=1,C13/EXC.RATE_2,C13*EXC.RATE_2),CURRENCY.FORMAT_2),CURRENCY.FORMAT_2,0)),'DICTIONARY-5'!$A$2))</f>
        <v/>
      </c>
      <c r="L13" s="670" t="str">
        <f>IFERROR(IF(CURRENCY.FORMAT_1=0,CONCATENATE(TEXT(FIXED(ROUND((C13*(1-I13)*(1-ADD.DISCOUNT)*(1+MAT.SURCHARGE)/EXC.RATE_1),CURRENCY.FORMAT_1),CURRENCY.FORMAT_1,1),"# ##0;-# ##0"),",-"),FIXED(ROUND((C13*(1-I13)*(1-ADD.DISCOUNT)*(1+MAT.SURCHARGE)/EXC.RATE_1),CURRENCY.FORMAT_1),CURRENCY.FORMAT_1,0)),'DICTIONARY-5'!$A$2)</f>
        <v>390,-</v>
      </c>
      <c r="M13" s="670" t="str">
        <f>IF(EXC.RATE_2=0,"",IFERROR(IF(CURRENCY.FORMAT_2=0,CONCATENATE(TEXT(FIXED(ROUND(IF(EXC.RATE.SWITCH=1,C13*(1-I13)*(1-ADD.DISCOUNT)*(1+MAT.SURCHARGE)/EXC.RATE_2,C13*(1-I13)*(1-ADD.DISCOUNT)*(1+MAT.SURCHARGE)*EXC.RATE_2),CURRENCY.FORMAT_2),CURRENCY.FORMAT_2,1),"# ##0;-# ##0"),",-"),FIXED(ROUND(IF(EXC.RATE.SWITCH=1,C13*(1-I13)*(1-ADD.DISCOUNT)*(1+MAT.SURCHARGE)/EXC.RATE_2,C13*(1-I13)*(1-ADD.DISCOUNT)*(1+MAT.SURCHARGE)*EXC.RATE_2),CURRENCY.FORMAT_2),CURRENCY.FORMAT_2,0)),'DICTIONARY-5'!$A$2))</f>
        <v/>
      </c>
      <c r="N13" s="496">
        <v>1</v>
      </c>
      <c r="O13" s="654" t="s">
        <v>7363</v>
      </c>
      <c r="P13" s="731" t="str">
        <f>'DICTIONARY-3'!$A$6</f>
        <v>BETA 200</v>
      </c>
      <c r="Q13" s="732" t="str">
        <f>'DICTIONARY-3'!$A$187</f>
        <v>Zasuwa klinowa</v>
      </c>
      <c r="R13" s="732" t="str">
        <f>CONCATENATE('DICTIONARY-3'!$A$6," ",'DICTIONARY-6'!$A$3," ",'DICTIONARY-2'!$A$2,U13," ",'DICTIONARY-2'!$A$3,"10/",V13," ","R14",", ",'DICTIONARY-4'!$A$2)</f>
        <v>BETA 200 Zasuwa DN150 PN10/16 R14, WW</v>
      </c>
      <c r="S13" s="733" t="str">
        <f>'DICTIONARY-4'!$A$2</f>
        <v>WW</v>
      </c>
      <c r="T13" s="732" t="str">
        <f>'DICTIONARY-4'!$A$18</f>
        <v>Wolny wałek</v>
      </c>
      <c r="U13" s="734" t="s">
        <v>5572</v>
      </c>
      <c r="V13" s="735">
        <v>16</v>
      </c>
      <c r="W13" s="736"/>
      <c r="X13" s="737"/>
      <c r="Y13" s="738"/>
      <c r="Z13" s="739"/>
      <c r="AA13" s="739"/>
      <c r="AB13" s="740">
        <v>16</v>
      </c>
      <c r="AC13" s="741" t="str">
        <f>'DICTIONARY-5'!$A$11&amp;" 14"</f>
        <v>EN 558 szereg 14</v>
      </c>
      <c r="AD13" s="741" t="str">
        <f>'DICTIONARY-5'!$A$13</f>
        <v>woda pitna</v>
      </c>
      <c r="AE13" s="742">
        <v>50</v>
      </c>
      <c r="AF13" s="743">
        <v>40.5</v>
      </c>
      <c r="AG13" s="741" t="str">
        <f>'DICTIONARY-5'!$A$23</f>
        <v>powłoka epoksydowa</v>
      </c>
    </row>
    <row r="14" spans="1:33" x14ac:dyDescent="0.25">
      <c r="A14" s="838" t="s">
        <v>5101</v>
      </c>
      <c r="B14" s="838" t="s">
        <v>5323</v>
      </c>
      <c r="C14" s="836">
        <v>751</v>
      </c>
      <c r="D14" s="836"/>
      <c r="E14" s="836"/>
      <c r="F14" s="836"/>
      <c r="G14" s="496" t="s">
        <v>7787</v>
      </c>
      <c r="H14" s="797" t="str">
        <f>VLOOKUP(G14,SETTINGS!$B$7:$D$97,2,0)</f>
        <v>BETA 200</v>
      </c>
      <c r="I14" s="796">
        <f>VLOOKUP(G14,SETTINGS!$B$7:$D$97,3,0)</f>
        <v>0</v>
      </c>
      <c r="J14" s="670" t="str">
        <f>IFERROR(IF(CURRENCY.FORMAT_1=0,CONCATENATE(TEXT(FIXED(ROUND((C14/EXC.RATE_1),CURRENCY.FORMAT_1),CURRENCY.FORMAT_1,1),"# ##0;-# ##0"),",-"),FIXED(ROUND((C14/EXC.RATE_1),CURRENCY.FORMAT_1),CURRENCY.FORMAT_1,0)),'DICTIONARY-5'!$A$2)</f>
        <v>751,-</v>
      </c>
      <c r="K14" s="670" t="str">
        <f>IF(EXC.RATE_2=0,"",IFERROR(IF(CURRENCY.FORMAT_2=0,CONCATENATE(TEXT(FIXED(ROUND(IF(EXC.RATE.SWITCH=1,C14/EXC.RATE_2,C14*EXC.RATE_2),CURRENCY.FORMAT_2),CURRENCY.FORMAT_2,1),"# ##0;-# ##0"),",-"),FIXED(ROUND(IF(EXC.RATE.SWITCH=1,C14/EXC.RATE_2,C14*EXC.RATE_2),CURRENCY.FORMAT_2),CURRENCY.FORMAT_2,0)),'DICTIONARY-5'!$A$2))</f>
        <v/>
      </c>
      <c r="L14" s="670" t="str">
        <f>IFERROR(IF(CURRENCY.FORMAT_1=0,CONCATENATE(TEXT(FIXED(ROUND((C14*(1-I14)*(1-ADD.DISCOUNT)*(1+MAT.SURCHARGE)/EXC.RATE_1),CURRENCY.FORMAT_1),CURRENCY.FORMAT_1,1),"# ##0;-# ##0"),",-"),FIXED(ROUND((C14*(1-I14)*(1-ADD.DISCOUNT)*(1+MAT.SURCHARGE)/EXC.RATE_1),CURRENCY.FORMAT_1),CURRENCY.FORMAT_1,0)),'DICTIONARY-5'!$A$2)</f>
        <v>780,-</v>
      </c>
      <c r="M14" s="670" t="str">
        <f>IF(EXC.RATE_2=0,"",IFERROR(IF(CURRENCY.FORMAT_2=0,CONCATENATE(TEXT(FIXED(ROUND(IF(EXC.RATE.SWITCH=1,C14*(1-I14)*(1-ADD.DISCOUNT)*(1+MAT.SURCHARGE)/EXC.RATE_2,C14*(1-I14)*(1-ADD.DISCOUNT)*(1+MAT.SURCHARGE)*EXC.RATE_2),CURRENCY.FORMAT_2),CURRENCY.FORMAT_2,1),"# ##0;-# ##0"),",-"),FIXED(ROUND(IF(EXC.RATE.SWITCH=1,C14*(1-I14)*(1-ADD.DISCOUNT)*(1+MAT.SURCHARGE)/EXC.RATE_2,C14*(1-I14)*(1-ADD.DISCOUNT)*(1+MAT.SURCHARGE)*EXC.RATE_2),CURRENCY.FORMAT_2),CURRENCY.FORMAT_2,0)),'DICTIONARY-5'!$A$2))</f>
        <v/>
      </c>
      <c r="N14" s="496">
        <v>1</v>
      </c>
      <c r="O14" s="654" t="s">
        <v>7363</v>
      </c>
      <c r="P14" s="731" t="str">
        <f>'DICTIONARY-3'!$A$6</f>
        <v>BETA 200</v>
      </c>
      <c r="Q14" s="732" t="str">
        <f>'DICTIONARY-3'!$A$187</f>
        <v>Zasuwa klinowa</v>
      </c>
      <c r="R14" s="732" t="str">
        <f>CONCATENATE('DICTIONARY-3'!$A$6," ",'DICTIONARY-6'!$A$3," ",'DICTIONARY-2'!$A$2,U14," ",'DICTIONARY-2'!$A$3,V14," ","R14",", ",'DICTIONARY-4'!$A$2)</f>
        <v>BETA 200 Zasuwa DN200 PN10 R14, WW</v>
      </c>
      <c r="S14" s="733" t="str">
        <f>'DICTIONARY-4'!$A$2</f>
        <v>WW</v>
      </c>
      <c r="T14" s="732" t="str">
        <f>'DICTIONARY-4'!$A$18</f>
        <v>Wolny wałek</v>
      </c>
      <c r="U14" s="734" t="s">
        <v>5750</v>
      </c>
      <c r="V14" s="735">
        <v>10</v>
      </c>
      <c r="W14" s="736"/>
      <c r="X14" s="737"/>
      <c r="Y14" s="738"/>
      <c r="Z14" s="739"/>
      <c r="AA14" s="739"/>
      <c r="AB14" s="740">
        <v>10</v>
      </c>
      <c r="AC14" s="741" t="str">
        <f>'DICTIONARY-5'!$A$11&amp;" 14"</f>
        <v>EN 558 szereg 14</v>
      </c>
      <c r="AD14" s="741" t="str">
        <f>'DICTIONARY-5'!$A$13</f>
        <v>woda pitna</v>
      </c>
      <c r="AE14" s="742">
        <v>50</v>
      </c>
      <c r="AF14" s="743">
        <v>68.5</v>
      </c>
      <c r="AG14" s="741" t="str">
        <f>'DICTIONARY-5'!$A$23</f>
        <v>powłoka epoksydowa</v>
      </c>
    </row>
    <row r="15" spans="1:33" x14ac:dyDescent="0.25">
      <c r="A15" s="838" t="s">
        <v>5103</v>
      </c>
      <c r="B15" s="838" t="s">
        <v>5324</v>
      </c>
      <c r="C15" s="836">
        <v>735</v>
      </c>
      <c r="D15" s="836"/>
      <c r="E15" s="836"/>
      <c r="F15" s="836"/>
      <c r="G15" s="496" t="s">
        <v>7787</v>
      </c>
      <c r="H15" s="797" t="str">
        <f>VLOOKUP(G15,SETTINGS!$B$7:$D$97,2,0)</f>
        <v>BETA 200</v>
      </c>
      <c r="I15" s="796">
        <f>VLOOKUP(G15,SETTINGS!$B$7:$D$97,3,0)</f>
        <v>0</v>
      </c>
      <c r="J15" s="670" t="str">
        <f>IFERROR(IF(CURRENCY.FORMAT_1=0,CONCATENATE(TEXT(FIXED(ROUND((C15/EXC.RATE_1),CURRENCY.FORMAT_1),CURRENCY.FORMAT_1,1),"# ##0;-# ##0"),",-"),FIXED(ROUND((C15/EXC.RATE_1),CURRENCY.FORMAT_1),CURRENCY.FORMAT_1,0)),'DICTIONARY-5'!$A$2)</f>
        <v>735,-</v>
      </c>
      <c r="K15" s="670" t="str">
        <f>IF(EXC.RATE_2=0,"",IFERROR(IF(CURRENCY.FORMAT_2=0,CONCATENATE(TEXT(FIXED(ROUND(IF(EXC.RATE.SWITCH=1,C15/EXC.RATE_2,C15*EXC.RATE_2),CURRENCY.FORMAT_2),CURRENCY.FORMAT_2,1),"# ##0;-# ##0"),",-"),FIXED(ROUND(IF(EXC.RATE.SWITCH=1,C15/EXC.RATE_2,C15*EXC.RATE_2),CURRENCY.FORMAT_2),CURRENCY.FORMAT_2,0)),'DICTIONARY-5'!$A$2))</f>
        <v/>
      </c>
      <c r="L15" s="670" t="str">
        <f>IFERROR(IF(CURRENCY.FORMAT_1=0,CONCATENATE(TEXT(FIXED(ROUND((C15*(1-I15)*(1-ADD.DISCOUNT)*(1+MAT.SURCHARGE)/EXC.RATE_1),CURRENCY.FORMAT_1),CURRENCY.FORMAT_1,1),"# ##0;-# ##0"),",-"),FIXED(ROUND((C15*(1-I15)*(1-ADD.DISCOUNT)*(1+MAT.SURCHARGE)/EXC.RATE_1),CURRENCY.FORMAT_1),CURRENCY.FORMAT_1,0)),'DICTIONARY-5'!$A$2)</f>
        <v>764,-</v>
      </c>
      <c r="M15" s="670" t="str">
        <f>IF(EXC.RATE_2=0,"",IFERROR(IF(CURRENCY.FORMAT_2=0,CONCATENATE(TEXT(FIXED(ROUND(IF(EXC.RATE.SWITCH=1,C15*(1-I15)*(1-ADD.DISCOUNT)*(1+MAT.SURCHARGE)/EXC.RATE_2,C15*(1-I15)*(1-ADD.DISCOUNT)*(1+MAT.SURCHARGE)*EXC.RATE_2),CURRENCY.FORMAT_2),CURRENCY.FORMAT_2,1),"# ##0;-# ##0"),",-"),FIXED(ROUND(IF(EXC.RATE.SWITCH=1,C15*(1-I15)*(1-ADD.DISCOUNT)*(1+MAT.SURCHARGE)/EXC.RATE_2,C15*(1-I15)*(1-ADD.DISCOUNT)*(1+MAT.SURCHARGE)*EXC.RATE_2),CURRENCY.FORMAT_2),CURRENCY.FORMAT_2,0)),'DICTIONARY-5'!$A$2))</f>
        <v/>
      </c>
      <c r="N15" s="496">
        <v>1</v>
      </c>
      <c r="O15" s="654" t="s">
        <v>7363</v>
      </c>
      <c r="P15" s="731" t="str">
        <f>'DICTIONARY-3'!$A$6</f>
        <v>BETA 200</v>
      </c>
      <c r="Q15" s="732" t="str">
        <f>'DICTIONARY-3'!$A$187</f>
        <v>Zasuwa klinowa</v>
      </c>
      <c r="R15" s="732" t="str">
        <f>CONCATENATE('DICTIONARY-3'!$A$6," ",'DICTIONARY-6'!$A$3," ",'DICTIONARY-2'!$A$2,U15," ",'DICTIONARY-2'!$A$3,V15," ","R14",", ",'DICTIONARY-4'!$A$2)</f>
        <v>BETA 200 Zasuwa DN200 PN16 R14, WW</v>
      </c>
      <c r="S15" s="733" t="str">
        <f>'DICTIONARY-4'!$A$2</f>
        <v>WW</v>
      </c>
      <c r="T15" s="732" t="str">
        <f>'DICTIONARY-4'!$A$18</f>
        <v>Wolny wałek</v>
      </c>
      <c r="U15" s="734" t="s">
        <v>5750</v>
      </c>
      <c r="V15" s="735">
        <v>16</v>
      </c>
      <c r="W15" s="736"/>
      <c r="X15" s="737"/>
      <c r="Y15" s="738"/>
      <c r="Z15" s="739"/>
      <c r="AA15" s="739"/>
      <c r="AB15" s="740">
        <v>16</v>
      </c>
      <c r="AC15" s="741" t="str">
        <f>'DICTIONARY-5'!$A$11&amp;" 14"</f>
        <v>EN 558 szereg 14</v>
      </c>
      <c r="AD15" s="741" t="str">
        <f>'DICTIONARY-5'!$A$13</f>
        <v>woda pitna</v>
      </c>
      <c r="AE15" s="742">
        <v>50</v>
      </c>
      <c r="AF15" s="743">
        <v>67.25</v>
      </c>
      <c r="AG15" s="741" t="str">
        <f>'DICTIONARY-5'!$A$23</f>
        <v>powłoka epoksydowa</v>
      </c>
    </row>
    <row r="16" spans="1:33" x14ac:dyDescent="0.25">
      <c r="A16" s="838" t="s">
        <v>5105</v>
      </c>
      <c r="B16" s="838" t="s">
        <v>5325</v>
      </c>
      <c r="C16" s="836">
        <v>1348</v>
      </c>
      <c r="D16" s="836"/>
      <c r="E16" s="836"/>
      <c r="F16" s="836"/>
      <c r="G16" s="496" t="s">
        <v>7787</v>
      </c>
      <c r="H16" s="797" t="str">
        <f>VLOOKUP(G16,SETTINGS!$B$7:$D$97,2,0)</f>
        <v>BETA 200</v>
      </c>
      <c r="I16" s="796">
        <f>VLOOKUP(G16,SETTINGS!$B$7:$D$97,3,0)</f>
        <v>0</v>
      </c>
      <c r="J16" s="670" t="str">
        <f>IFERROR(IF(CURRENCY.FORMAT_1=0,CONCATENATE(TEXT(FIXED(ROUND((C16/EXC.RATE_1),CURRENCY.FORMAT_1),CURRENCY.FORMAT_1,1),"# ##0;-# ##0"),",-"),FIXED(ROUND((C16/EXC.RATE_1),CURRENCY.FORMAT_1),CURRENCY.FORMAT_1,0)),'DICTIONARY-5'!$A$2)</f>
        <v>1 348,-</v>
      </c>
      <c r="K16" s="670" t="str">
        <f>IF(EXC.RATE_2=0,"",IFERROR(IF(CURRENCY.FORMAT_2=0,CONCATENATE(TEXT(FIXED(ROUND(IF(EXC.RATE.SWITCH=1,C16/EXC.RATE_2,C16*EXC.RATE_2),CURRENCY.FORMAT_2),CURRENCY.FORMAT_2,1),"# ##0;-# ##0"),",-"),FIXED(ROUND(IF(EXC.RATE.SWITCH=1,C16/EXC.RATE_2,C16*EXC.RATE_2),CURRENCY.FORMAT_2),CURRENCY.FORMAT_2,0)),'DICTIONARY-5'!$A$2))</f>
        <v/>
      </c>
      <c r="L16" s="670" t="str">
        <f>IFERROR(IF(CURRENCY.FORMAT_1=0,CONCATENATE(TEXT(FIXED(ROUND((C16*(1-I16)*(1-ADD.DISCOUNT)*(1+MAT.SURCHARGE)/EXC.RATE_1),CURRENCY.FORMAT_1),CURRENCY.FORMAT_1,1),"# ##0;-# ##0"),",-"),FIXED(ROUND((C16*(1-I16)*(1-ADD.DISCOUNT)*(1+MAT.SURCHARGE)/EXC.RATE_1),CURRENCY.FORMAT_1),CURRENCY.FORMAT_1,0)),'DICTIONARY-5'!$A$2)</f>
        <v>1 401,-</v>
      </c>
      <c r="M16" s="670" t="str">
        <f>IF(EXC.RATE_2=0,"",IFERROR(IF(CURRENCY.FORMAT_2=0,CONCATENATE(TEXT(FIXED(ROUND(IF(EXC.RATE.SWITCH=1,C16*(1-I16)*(1-ADD.DISCOUNT)*(1+MAT.SURCHARGE)/EXC.RATE_2,C16*(1-I16)*(1-ADD.DISCOUNT)*(1+MAT.SURCHARGE)*EXC.RATE_2),CURRENCY.FORMAT_2),CURRENCY.FORMAT_2,1),"# ##0;-# ##0"),",-"),FIXED(ROUND(IF(EXC.RATE.SWITCH=1,C16*(1-I16)*(1-ADD.DISCOUNT)*(1+MAT.SURCHARGE)/EXC.RATE_2,C16*(1-I16)*(1-ADD.DISCOUNT)*(1+MAT.SURCHARGE)*EXC.RATE_2),CURRENCY.FORMAT_2),CURRENCY.FORMAT_2,0)),'DICTIONARY-5'!$A$2))</f>
        <v/>
      </c>
      <c r="N16" s="496">
        <v>1</v>
      </c>
      <c r="O16" s="654" t="s">
        <v>7363</v>
      </c>
      <c r="P16" s="731" t="str">
        <f>'DICTIONARY-3'!$A$6</f>
        <v>BETA 200</v>
      </c>
      <c r="Q16" s="732" t="str">
        <f>'DICTIONARY-3'!$A$187</f>
        <v>Zasuwa klinowa</v>
      </c>
      <c r="R16" s="732" t="str">
        <f>CONCATENATE('DICTIONARY-3'!$A$6," ",'DICTIONARY-6'!$A$3," ",'DICTIONARY-2'!$A$2,U16," ",'DICTIONARY-2'!$A$3,V16," ","R14",", ",'DICTIONARY-4'!$A$2)</f>
        <v>BETA 200 Zasuwa DN250 PN10 R14, WW</v>
      </c>
      <c r="S16" s="733" t="str">
        <f>'DICTIONARY-4'!$A$2</f>
        <v>WW</v>
      </c>
      <c r="T16" s="732" t="str">
        <f>'DICTIONARY-4'!$A$18</f>
        <v>Wolny wałek</v>
      </c>
      <c r="U16" s="734" t="s">
        <v>5751</v>
      </c>
      <c r="V16" s="735">
        <v>10</v>
      </c>
      <c r="W16" s="736"/>
      <c r="X16" s="737"/>
      <c r="Y16" s="738"/>
      <c r="Z16" s="739"/>
      <c r="AA16" s="739"/>
      <c r="AB16" s="740">
        <v>10</v>
      </c>
      <c r="AC16" s="741" t="str">
        <f>'DICTIONARY-5'!$A$11&amp;" 14"</f>
        <v>EN 558 szereg 14</v>
      </c>
      <c r="AD16" s="741" t="str">
        <f>'DICTIONARY-5'!$A$13</f>
        <v>woda pitna</v>
      </c>
      <c r="AE16" s="742">
        <v>50</v>
      </c>
      <c r="AF16" s="743">
        <v>107.5</v>
      </c>
      <c r="AG16" s="741" t="str">
        <f>'DICTIONARY-5'!$A$23</f>
        <v>powłoka epoksydowa</v>
      </c>
    </row>
    <row r="17" spans="1:33" x14ac:dyDescent="0.25">
      <c r="A17" s="838" t="s">
        <v>5107</v>
      </c>
      <c r="B17" s="838" t="s">
        <v>5326</v>
      </c>
      <c r="C17" s="836">
        <v>1350</v>
      </c>
      <c r="D17" s="836"/>
      <c r="E17" s="836"/>
      <c r="F17" s="836"/>
      <c r="G17" s="496" t="s">
        <v>7787</v>
      </c>
      <c r="H17" s="797" t="str">
        <f>VLOOKUP(G17,SETTINGS!$B$7:$D$97,2,0)</f>
        <v>BETA 200</v>
      </c>
      <c r="I17" s="796">
        <f>VLOOKUP(G17,SETTINGS!$B$7:$D$97,3,0)</f>
        <v>0</v>
      </c>
      <c r="J17" s="670" t="str">
        <f>IFERROR(IF(CURRENCY.FORMAT_1=0,CONCATENATE(TEXT(FIXED(ROUND((C17/EXC.RATE_1),CURRENCY.FORMAT_1),CURRENCY.FORMAT_1,1),"# ##0;-# ##0"),",-"),FIXED(ROUND((C17/EXC.RATE_1),CURRENCY.FORMAT_1),CURRENCY.FORMAT_1,0)),'DICTIONARY-5'!$A$2)</f>
        <v>1 350,-</v>
      </c>
      <c r="K17" s="670" t="str">
        <f>IF(EXC.RATE_2=0,"",IFERROR(IF(CURRENCY.FORMAT_2=0,CONCATENATE(TEXT(FIXED(ROUND(IF(EXC.RATE.SWITCH=1,C17/EXC.RATE_2,C17*EXC.RATE_2),CURRENCY.FORMAT_2),CURRENCY.FORMAT_2,1),"# ##0;-# ##0"),",-"),FIXED(ROUND(IF(EXC.RATE.SWITCH=1,C17/EXC.RATE_2,C17*EXC.RATE_2),CURRENCY.FORMAT_2),CURRENCY.FORMAT_2,0)),'DICTIONARY-5'!$A$2))</f>
        <v/>
      </c>
      <c r="L17" s="670" t="str">
        <f>IFERROR(IF(CURRENCY.FORMAT_1=0,CONCATENATE(TEXT(FIXED(ROUND((C17*(1-I17)*(1-ADD.DISCOUNT)*(1+MAT.SURCHARGE)/EXC.RATE_1),CURRENCY.FORMAT_1),CURRENCY.FORMAT_1,1),"# ##0;-# ##0"),",-"),FIXED(ROUND((C17*(1-I17)*(1-ADD.DISCOUNT)*(1+MAT.SURCHARGE)/EXC.RATE_1),CURRENCY.FORMAT_1),CURRENCY.FORMAT_1,0)),'DICTIONARY-5'!$A$2)</f>
        <v>1 403,-</v>
      </c>
      <c r="M17" s="670" t="str">
        <f>IF(EXC.RATE_2=0,"",IFERROR(IF(CURRENCY.FORMAT_2=0,CONCATENATE(TEXT(FIXED(ROUND(IF(EXC.RATE.SWITCH=1,C17*(1-I17)*(1-ADD.DISCOUNT)*(1+MAT.SURCHARGE)/EXC.RATE_2,C17*(1-I17)*(1-ADD.DISCOUNT)*(1+MAT.SURCHARGE)*EXC.RATE_2),CURRENCY.FORMAT_2),CURRENCY.FORMAT_2,1),"# ##0;-# ##0"),",-"),FIXED(ROUND(IF(EXC.RATE.SWITCH=1,C17*(1-I17)*(1-ADD.DISCOUNT)*(1+MAT.SURCHARGE)/EXC.RATE_2,C17*(1-I17)*(1-ADD.DISCOUNT)*(1+MAT.SURCHARGE)*EXC.RATE_2),CURRENCY.FORMAT_2),CURRENCY.FORMAT_2,0)),'DICTIONARY-5'!$A$2))</f>
        <v/>
      </c>
      <c r="N17" s="496">
        <v>1</v>
      </c>
      <c r="O17" s="654" t="s">
        <v>7363</v>
      </c>
      <c r="P17" s="731" t="str">
        <f>'DICTIONARY-3'!$A$6</f>
        <v>BETA 200</v>
      </c>
      <c r="Q17" s="732" t="str">
        <f>'DICTIONARY-3'!$A$187</f>
        <v>Zasuwa klinowa</v>
      </c>
      <c r="R17" s="732" t="str">
        <f>CONCATENATE('DICTIONARY-3'!$A$6," ",'DICTIONARY-6'!$A$3," ",'DICTIONARY-2'!$A$2,U17," ",'DICTIONARY-2'!$A$3,V17," ","R14",", ",'DICTIONARY-4'!$A$2)</f>
        <v>BETA 200 Zasuwa DN250 PN16 R14, WW</v>
      </c>
      <c r="S17" s="733" t="str">
        <f>'DICTIONARY-4'!$A$2</f>
        <v>WW</v>
      </c>
      <c r="T17" s="732" t="str">
        <f>'DICTIONARY-4'!$A$18</f>
        <v>Wolny wałek</v>
      </c>
      <c r="U17" s="734" t="s">
        <v>5751</v>
      </c>
      <c r="V17" s="735">
        <v>16</v>
      </c>
      <c r="W17" s="736"/>
      <c r="X17" s="737"/>
      <c r="Y17" s="738"/>
      <c r="Z17" s="739"/>
      <c r="AA17" s="739"/>
      <c r="AB17" s="740">
        <v>16</v>
      </c>
      <c r="AC17" s="741" t="str">
        <f>'DICTIONARY-5'!$A$11&amp;" 14"</f>
        <v>EN 558 szereg 14</v>
      </c>
      <c r="AD17" s="741" t="str">
        <f>'DICTIONARY-5'!$A$13</f>
        <v>woda pitna</v>
      </c>
      <c r="AE17" s="742">
        <v>50</v>
      </c>
      <c r="AF17" s="743">
        <v>107</v>
      </c>
      <c r="AG17" s="741" t="str">
        <f>'DICTIONARY-5'!$A$23</f>
        <v>powłoka epoksydowa</v>
      </c>
    </row>
    <row r="18" spans="1:33" x14ac:dyDescent="0.25">
      <c r="A18" s="838" t="s">
        <v>5109</v>
      </c>
      <c r="B18" s="838" t="s">
        <v>5327</v>
      </c>
      <c r="C18" s="836">
        <v>2200</v>
      </c>
      <c r="D18" s="836"/>
      <c r="E18" s="836"/>
      <c r="F18" s="836"/>
      <c r="G18" s="496" t="s">
        <v>7787</v>
      </c>
      <c r="H18" s="797" t="str">
        <f>VLOOKUP(G18,SETTINGS!$B$7:$D$97,2,0)</f>
        <v>BETA 200</v>
      </c>
      <c r="I18" s="796">
        <f>VLOOKUP(G18,SETTINGS!$B$7:$D$97,3,0)</f>
        <v>0</v>
      </c>
      <c r="J18" s="670" t="str">
        <f>IFERROR(IF(CURRENCY.FORMAT_1=0,CONCATENATE(TEXT(FIXED(ROUND((C18/EXC.RATE_1),CURRENCY.FORMAT_1),CURRENCY.FORMAT_1,1),"# ##0;-# ##0"),",-"),FIXED(ROUND((C18/EXC.RATE_1),CURRENCY.FORMAT_1),CURRENCY.FORMAT_1,0)),'DICTIONARY-5'!$A$2)</f>
        <v>2 200,-</v>
      </c>
      <c r="K18" s="670" t="str">
        <f>IF(EXC.RATE_2=0,"",IFERROR(IF(CURRENCY.FORMAT_2=0,CONCATENATE(TEXT(FIXED(ROUND(IF(EXC.RATE.SWITCH=1,C18/EXC.RATE_2,C18*EXC.RATE_2),CURRENCY.FORMAT_2),CURRENCY.FORMAT_2,1),"# ##0;-# ##0"),",-"),FIXED(ROUND(IF(EXC.RATE.SWITCH=1,C18/EXC.RATE_2,C18*EXC.RATE_2),CURRENCY.FORMAT_2),CURRENCY.FORMAT_2,0)),'DICTIONARY-5'!$A$2))</f>
        <v/>
      </c>
      <c r="L18" s="670" t="str">
        <f>IFERROR(IF(CURRENCY.FORMAT_1=0,CONCATENATE(TEXT(FIXED(ROUND((C18*(1-I18)*(1-ADD.DISCOUNT)*(1+MAT.SURCHARGE)/EXC.RATE_1),CURRENCY.FORMAT_1),CURRENCY.FORMAT_1,1),"# ##0;-# ##0"),",-"),FIXED(ROUND((C18*(1-I18)*(1-ADD.DISCOUNT)*(1+MAT.SURCHARGE)/EXC.RATE_1),CURRENCY.FORMAT_1),CURRENCY.FORMAT_1,0)),'DICTIONARY-5'!$A$2)</f>
        <v>2 286,-</v>
      </c>
      <c r="M18" s="670" t="str">
        <f>IF(EXC.RATE_2=0,"",IFERROR(IF(CURRENCY.FORMAT_2=0,CONCATENATE(TEXT(FIXED(ROUND(IF(EXC.RATE.SWITCH=1,C18*(1-I18)*(1-ADD.DISCOUNT)*(1+MAT.SURCHARGE)/EXC.RATE_2,C18*(1-I18)*(1-ADD.DISCOUNT)*(1+MAT.SURCHARGE)*EXC.RATE_2),CURRENCY.FORMAT_2),CURRENCY.FORMAT_2,1),"# ##0;-# ##0"),",-"),FIXED(ROUND(IF(EXC.RATE.SWITCH=1,C18*(1-I18)*(1-ADD.DISCOUNT)*(1+MAT.SURCHARGE)/EXC.RATE_2,C18*(1-I18)*(1-ADD.DISCOUNT)*(1+MAT.SURCHARGE)*EXC.RATE_2),CURRENCY.FORMAT_2),CURRENCY.FORMAT_2,0)),'DICTIONARY-5'!$A$2))</f>
        <v/>
      </c>
      <c r="N18" s="496">
        <v>1</v>
      </c>
      <c r="O18" s="654" t="s">
        <v>7363</v>
      </c>
      <c r="P18" s="731" t="str">
        <f>'DICTIONARY-3'!$A$6</f>
        <v>BETA 200</v>
      </c>
      <c r="Q18" s="732" t="str">
        <f>'DICTIONARY-3'!$A$187</f>
        <v>Zasuwa klinowa</v>
      </c>
      <c r="R18" s="732" t="str">
        <f>CONCATENATE('DICTIONARY-3'!$A$6," ",'DICTIONARY-6'!$A$3," ",'DICTIONARY-2'!$A$2,U18," ",'DICTIONARY-2'!$A$3,V18," ","R14",", ",'DICTIONARY-4'!$A$2)</f>
        <v>BETA 200 Zasuwa DN300 PN10 R14, WW</v>
      </c>
      <c r="S18" s="733" t="str">
        <f>'DICTIONARY-4'!$A$2</f>
        <v>WW</v>
      </c>
      <c r="T18" s="732" t="str">
        <f>'DICTIONARY-4'!$A$18</f>
        <v>Wolny wałek</v>
      </c>
      <c r="U18" s="734" t="s">
        <v>5752</v>
      </c>
      <c r="V18" s="735">
        <v>10</v>
      </c>
      <c r="W18" s="736"/>
      <c r="X18" s="737"/>
      <c r="Y18" s="738"/>
      <c r="Z18" s="739"/>
      <c r="AA18" s="739"/>
      <c r="AB18" s="740">
        <v>10</v>
      </c>
      <c r="AC18" s="741" t="str">
        <f>'DICTIONARY-5'!$A$11&amp;" 14"</f>
        <v>EN 558 szereg 14</v>
      </c>
      <c r="AD18" s="741" t="str">
        <f>'DICTIONARY-5'!$A$13</f>
        <v>woda pitna</v>
      </c>
      <c r="AE18" s="742">
        <v>50</v>
      </c>
      <c r="AF18" s="743">
        <v>153.5</v>
      </c>
      <c r="AG18" s="741" t="str">
        <f>'DICTIONARY-5'!$A$23</f>
        <v>powłoka epoksydowa</v>
      </c>
    </row>
    <row r="19" spans="1:33" x14ac:dyDescent="0.25">
      <c r="A19" s="838" t="s">
        <v>5111</v>
      </c>
      <c r="B19" s="838" t="s">
        <v>5328</v>
      </c>
      <c r="C19" s="836">
        <v>2203</v>
      </c>
      <c r="D19" s="836"/>
      <c r="E19" s="836"/>
      <c r="F19" s="836"/>
      <c r="G19" s="496" t="s">
        <v>7787</v>
      </c>
      <c r="H19" s="797" t="str">
        <f>VLOOKUP(G19,SETTINGS!$B$7:$D$97,2,0)</f>
        <v>BETA 200</v>
      </c>
      <c r="I19" s="796">
        <f>VLOOKUP(G19,SETTINGS!$B$7:$D$97,3,0)</f>
        <v>0</v>
      </c>
      <c r="J19" s="670" t="str">
        <f>IFERROR(IF(CURRENCY.FORMAT_1=0,CONCATENATE(TEXT(FIXED(ROUND((C19/EXC.RATE_1),CURRENCY.FORMAT_1),CURRENCY.FORMAT_1,1),"# ##0;-# ##0"),",-"),FIXED(ROUND((C19/EXC.RATE_1),CURRENCY.FORMAT_1),CURRENCY.FORMAT_1,0)),'DICTIONARY-5'!$A$2)</f>
        <v>2 203,-</v>
      </c>
      <c r="K19" s="670" t="str">
        <f>IF(EXC.RATE_2=0,"",IFERROR(IF(CURRENCY.FORMAT_2=0,CONCATENATE(TEXT(FIXED(ROUND(IF(EXC.RATE.SWITCH=1,C19/EXC.RATE_2,C19*EXC.RATE_2),CURRENCY.FORMAT_2),CURRENCY.FORMAT_2,1),"# ##0;-# ##0"),",-"),FIXED(ROUND(IF(EXC.RATE.SWITCH=1,C19/EXC.RATE_2,C19*EXC.RATE_2),CURRENCY.FORMAT_2),CURRENCY.FORMAT_2,0)),'DICTIONARY-5'!$A$2))</f>
        <v/>
      </c>
      <c r="L19" s="670" t="str">
        <f>IFERROR(IF(CURRENCY.FORMAT_1=0,CONCATENATE(TEXT(FIXED(ROUND((C19*(1-I19)*(1-ADD.DISCOUNT)*(1+MAT.SURCHARGE)/EXC.RATE_1),CURRENCY.FORMAT_1),CURRENCY.FORMAT_1,1),"# ##0;-# ##0"),",-"),FIXED(ROUND((C19*(1-I19)*(1-ADD.DISCOUNT)*(1+MAT.SURCHARGE)/EXC.RATE_1),CURRENCY.FORMAT_1),CURRENCY.FORMAT_1,0)),'DICTIONARY-5'!$A$2)</f>
        <v>2 289,-</v>
      </c>
      <c r="M19" s="670" t="str">
        <f>IF(EXC.RATE_2=0,"",IFERROR(IF(CURRENCY.FORMAT_2=0,CONCATENATE(TEXT(FIXED(ROUND(IF(EXC.RATE.SWITCH=1,C19*(1-I19)*(1-ADD.DISCOUNT)*(1+MAT.SURCHARGE)/EXC.RATE_2,C19*(1-I19)*(1-ADD.DISCOUNT)*(1+MAT.SURCHARGE)*EXC.RATE_2),CURRENCY.FORMAT_2),CURRENCY.FORMAT_2,1),"# ##0;-# ##0"),",-"),FIXED(ROUND(IF(EXC.RATE.SWITCH=1,C19*(1-I19)*(1-ADD.DISCOUNT)*(1+MAT.SURCHARGE)/EXC.RATE_2,C19*(1-I19)*(1-ADD.DISCOUNT)*(1+MAT.SURCHARGE)*EXC.RATE_2),CURRENCY.FORMAT_2),CURRENCY.FORMAT_2,0)),'DICTIONARY-5'!$A$2))</f>
        <v/>
      </c>
      <c r="N19" s="496">
        <v>1</v>
      </c>
      <c r="O19" s="654" t="s">
        <v>7363</v>
      </c>
      <c r="P19" s="731" t="str">
        <f>'DICTIONARY-3'!$A$6</f>
        <v>BETA 200</v>
      </c>
      <c r="Q19" s="732" t="str">
        <f>'DICTIONARY-3'!$A$187</f>
        <v>Zasuwa klinowa</v>
      </c>
      <c r="R19" s="732" t="str">
        <f>CONCATENATE('DICTIONARY-3'!$A$6," ",'DICTIONARY-6'!$A$3," ",'DICTIONARY-2'!$A$2,U19," ",'DICTIONARY-2'!$A$3,V19," ","R14",", ",'DICTIONARY-4'!$A$2)</f>
        <v>BETA 200 Zasuwa DN300 PN16 R14, WW</v>
      </c>
      <c r="S19" s="733" t="str">
        <f>'DICTIONARY-4'!$A$2</f>
        <v>WW</v>
      </c>
      <c r="T19" s="732" t="str">
        <f>'DICTIONARY-4'!$A$18</f>
        <v>Wolny wałek</v>
      </c>
      <c r="U19" s="734" t="s">
        <v>5752</v>
      </c>
      <c r="V19" s="735">
        <v>16</v>
      </c>
      <c r="W19" s="736"/>
      <c r="X19" s="737"/>
      <c r="Y19" s="738"/>
      <c r="Z19" s="739"/>
      <c r="AA19" s="739"/>
      <c r="AB19" s="740">
        <v>16</v>
      </c>
      <c r="AC19" s="741" t="str">
        <f>'DICTIONARY-5'!$A$11&amp;" 14"</f>
        <v>EN 558 szereg 14</v>
      </c>
      <c r="AD19" s="741" t="str">
        <f>'DICTIONARY-5'!$A$13</f>
        <v>woda pitna</v>
      </c>
      <c r="AE19" s="742">
        <v>50</v>
      </c>
      <c r="AF19" s="743">
        <v>147.5</v>
      </c>
      <c r="AG19" s="741" t="str">
        <f>'DICTIONARY-5'!$A$23</f>
        <v>powłoka epoksydowa</v>
      </c>
    </row>
    <row r="20" spans="1:33" x14ac:dyDescent="0.25">
      <c r="A20" s="838" t="s">
        <v>5086</v>
      </c>
      <c r="B20" s="838" t="s">
        <v>5329</v>
      </c>
      <c r="C20" s="836">
        <v>188</v>
      </c>
      <c r="D20" s="836"/>
      <c r="E20" s="836"/>
      <c r="F20" s="836"/>
      <c r="G20" s="496" t="s">
        <v>7787</v>
      </c>
      <c r="H20" s="797" t="str">
        <f>VLOOKUP(G20,SETTINGS!$B$7:$D$97,2,0)</f>
        <v>BETA 200</v>
      </c>
      <c r="I20" s="796">
        <f>VLOOKUP(G20,SETTINGS!$B$7:$D$97,3,0)</f>
        <v>0</v>
      </c>
      <c r="J20" s="670" t="str">
        <f>IFERROR(IF(CURRENCY.FORMAT_1=0,CONCATENATE(TEXT(FIXED(ROUND((C20/EXC.RATE_1),CURRENCY.FORMAT_1),CURRENCY.FORMAT_1,1),"# ##0;-# ##0"),",-"),FIXED(ROUND((C20/EXC.RATE_1),CURRENCY.FORMAT_1),CURRENCY.FORMAT_1,0)),'DICTIONARY-5'!$A$2)</f>
        <v>188,-</v>
      </c>
      <c r="K20" s="670" t="str">
        <f>IF(EXC.RATE_2=0,"",IFERROR(IF(CURRENCY.FORMAT_2=0,CONCATENATE(TEXT(FIXED(ROUND(IF(EXC.RATE.SWITCH=1,C20/EXC.RATE_2,C20*EXC.RATE_2),CURRENCY.FORMAT_2),CURRENCY.FORMAT_2,1),"# ##0;-# ##0"),",-"),FIXED(ROUND(IF(EXC.RATE.SWITCH=1,C20/EXC.RATE_2,C20*EXC.RATE_2),CURRENCY.FORMAT_2),CURRENCY.FORMAT_2,0)),'DICTIONARY-5'!$A$2))</f>
        <v/>
      </c>
      <c r="L20" s="670" t="str">
        <f>IFERROR(IF(CURRENCY.FORMAT_1=0,CONCATENATE(TEXT(FIXED(ROUND((C20*(1-I20)*(1-ADD.DISCOUNT)*(1+MAT.SURCHARGE)/EXC.RATE_1),CURRENCY.FORMAT_1),CURRENCY.FORMAT_1,1),"# ##0;-# ##0"),",-"),FIXED(ROUND((C20*(1-I20)*(1-ADD.DISCOUNT)*(1+MAT.SURCHARGE)/EXC.RATE_1),CURRENCY.FORMAT_1),CURRENCY.FORMAT_1,0)),'DICTIONARY-5'!$A$2)</f>
        <v>195,-</v>
      </c>
      <c r="M20" s="670" t="str">
        <f>IF(EXC.RATE_2=0,"",IFERROR(IF(CURRENCY.FORMAT_2=0,CONCATENATE(TEXT(FIXED(ROUND(IF(EXC.RATE.SWITCH=1,C20*(1-I20)*(1-ADD.DISCOUNT)*(1+MAT.SURCHARGE)/EXC.RATE_2,C20*(1-I20)*(1-ADD.DISCOUNT)*(1+MAT.SURCHARGE)*EXC.RATE_2),CURRENCY.FORMAT_2),CURRENCY.FORMAT_2,1),"# ##0;-# ##0"),",-"),FIXED(ROUND(IF(EXC.RATE.SWITCH=1,C20*(1-I20)*(1-ADD.DISCOUNT)*(1+MAT.SURCHARGE)/EXC.RATE_2,C20*(1-I20)*(1-ADD.DISCOUNT)*(1+MAT.SURCHARGE)*EXC.RATE_2),CURRENCY.FORMAT_2),CURRENCY.FORMAT_2,0)),'DICTIONARY-5'!$A$2))</f>
        <v/>
      </c>
      <c r="N20" s="496">
        <v>1</v>
      </c>
      <c r="O20" s="654" t="s">
        <v>7363</v>
      </c>
      <c r="P20" s="731" t="str">
        <f>'DICTIONARY-3'!$A$6</f>
        <v>BETA 200</v>
      </c>
      <c r="Q20" s="732" t="str">
        <f>'DICTIONARY-3'!$A$187</f>
        <v>Zasuwa klinowa</v>
      </c>
      <c r="R20" s="732" t="str">
        <f>CONCATENATE('DICTIONARY-3'!$A$6," ",'DICTIONARY-6'!$A$3," ",'DICTIONARY-2'!$A$2,U20," ",'DICTIONARY-2'!$A$3,"10/",V20," ","R15",", ",'DICTIONARY-4'!$A$2)</f>
        <v>BETA 200 Zasuwa DN40 PN10/16 R15, WW</v>
      </c>
      <c r="S20" s="733" t="str">
        <f>'DICTIONARY-4'!$A$2</f>
        <v>WW</v>
      </c>
      <c r="T20" s="732" t="str">
        <f>'DICTIONARY-4'!$A$18</f>
        <v>Wolny wałek</v>
      </c>
      <c r="U20" s="734" t="s">
        <v>5758</v>
      </c>
      <c r="V20" s="735">
        <v>16</v>
      </c>
      <c r="W20" s="736"/>
      <c r="X20" s="737"/>
      <c r="Y20" s="738"/>
      <c r="Z20" s="739"/>
      <c r="AA20" s="739"/>
      <c r="AB20" s="740">
        <v>16</v>
      </c>
      <c r="AC20" s="741" t="str">
        <f>'DICTIONARY-5'!$A$11&amp;" 15"</f>
        <v>EN 558 szereg 15</v>
      </c>
      <c r="AD20" s="741" t="str">
        <f>'DICTIONARY-5'!$A$13</f>
        <v>woda pitna</v>
      </c>
      <c r="AE20" s="742">
        <v>50</v>
      </c>
      <c r="AF20" s="743">
        <v>10.5</v>
      </c>
      <c r="AG20" s="741" t="str">
        <f>'DICTIONARY-5'!$A$23</f>
        <v>powłoka epoksydowa</v>
      </c>
    </row>
    <row r="21" spans="1:33" x14ac:dyDescent="0.25">
      <c r="A21" s="838" t="s">
        <v>5088</v>
      </c>
      <c r="B21" s="838" t="s">
        <v>5330</v>
      </c>
      <c r="C21" s="836">
        <v>196</v>
      </c>
      <c r="D21" s="836"/>
      <c r="E21" s="836"/>
      <c r="F21" s="836"/>
      <c r="G21" s="496" t="s">
        <v>7787</v>
      </c>
      <c r="H21" s="797" t="str">
        <f>VLOOKUP(G21,SETTINGS!$B$7:$D$97,2,0)</f>
        <v>BETA 200</v>
      </c>
      <c r="I21" s="796">
        <f>VLOOKUP(G21,SETTINGS!$B$7:$D$97,3,0)</f>
        <v>0</v>
      </c>
      <c r="J21" s="670" t="str">
        <f>IFERROR(IF(CURRENCY.FORMAT_1=0,CONCATENATE(TEXT(FIXED(ROUND((C21/EXC.RATE_1),CURRENCY.FORMAT_1),CURRENCY.FORMAT_1,1),"# ##0;-# ##0"),",-"),FIXED(ROUND((C21/EXC.RATE_1),CURRENCY.FORMAT_1),CURRENCY.FORMAT_1,0)),'DICTIONARY-5'!$A$2)</f>
        <v>196,-</v>
      </c>
      <c r="K21" s="670" t="str">
        <f>IF(EXC.RATE_2=0,"",IFERROR(IF(CURRENCY.FORMAT_2=0,CONCATENATE(TEXT(FIXED(ROUND(IF(EXC.RATE.SWITCH=1,C21/EXC.RATE_2,C21*EXC.RATE_2),CURRENCY.FORMAT_2),CURRENCY.FORMAT_2,1),"# ##0;-# ##0"),",-"),FIXED(ROUND(IF(EXC.RATE.SWITCH=1,C21/EXC.RATE_2,C21*EXC.RATE_2),CURRENCY.FORMAT_2),CURRENCY.FORMAT_2,0)),'DICTIONARY-5'!$A$2))</f>
        <v/>
      </c>
      <c r="L21" s="670" t="str">
        <f>IFERROR(IF(CURRENCY.FORMAT_1=0,CONCATENATE(TEXT(FIXED(ROUND((C21*(1-I21)*(1-ADD.DISCOUNT)*(1+MAT.SURCHARGE)/EXC.RATE_1),CURRENCY.FORMAT_1),CURRENCY.FORMAT_1,1),"# ##0;-# ##0"),",-"),FIXED(ROUND((C21*(1-I21)*(1-ADD.DISCOUNT)*(1+MAT.SURCHARGE)/EXC.RATE_1),CURRENCY.FORMAT_1),CURRENCY.FORMAT_1,0)),'DICTIONARY-5'!$A$2)</f>
        <v>204,-</v>
      </c>
      <c r="M21" s="670" t="str">
        <f>IF(EXC.RATE_2=0,"",IFERROR(IF(CURRENCY.FORMAT_2=0,CONCATENATE(TEXT(FIXED(ROUND(IF(EXC.RATE.SWITCH=1,C21*(1-I21)*(1-ADD.DISCOUNT)*(1+MAT.SURCHARGE)/EXC.RATE_2,C21*(1-I21)*(1-ADD.DISCOUNT)*(1+MAT.SURCHARGE)*EXC.RATE_2),CURRENCY.FORMAT_2),CURRENCY.FORMAT_2,1),"# ##0;-# ##0"),",-"),FIXED(ROUND(IF(EXC.RATE.SWITCH=1,C21*(1-I21)*(1-ADD.DISCOUNT)*(1+MAT.SURCHARGE)/EXC.RATE_2,C21*(1-I21)*(1-ADD.DISCOUNT)*(1+MAT.SURCHARGE)*EXC.RATE_2),CURRENCY.FORMAT_2),CURRENCY.FORMAT_2,0)),'DICTIONARY-5'!$A$2))</f>
        <v/>
      </c>
      <c r="N21" s="496">
        <v>1</v>
      </c>
      <c r="O21" s="654" t="s">
        <v>7363</v>
      </c>
      <c r="P21" s="731" t="str">
        <f>'DICTIONARY-3'!$A$6</f>
        <v>BETA 200</v>
      </c>
      <c r="Q21" s="732" t="str">
        <f>'DICTIONARY-3'!$A$187</f>
        <v>Zasuwa klinowa</v>
      </c>
      <c r="R21" s="732" t="str">
        <f>CONCATENATE('DICTIONARY-3'!$A$6," ",'DICTIONARY-6'!$A$3," ",'DICTIONARY-2'!$A$2,U21," ",'DICTIONARY-2'!$A$3,"10/",V21," ","R15",", ",'DICTIONARY-4'!$A$2)</f>
        <v>BETA 200 Zasuwa DN50 PN10/16 R15, WW</v>
      </c>
      <c r="S21" s="733" t="str">
        <f>'DICTIONARY-4'!$A$2</f>
        <v>WW</v>
      </c>
      <c r="T21" s="732" t="str">
        <f>'DICTIONARY-4'!$A$18</f>
        <v>Wolny wałek</v>
      </c>
      <c r="U21" s="734" t="s">
        <v>5748</v>
      </c>
      <c r="V21" s="735">
        <v>16</v>
      </c>
      <c r="W21" s="736"/>
      <c r="X21" s="737"/>
      <c r="Y21" s="738"/>
      <c r="Z21" s="739"/>
      <c r="AA21" s="739"/>
      <c r="AB21" s="740">
        <v>16</v>
      </c>
      <c r="AC21" s="741" t="str">
        <f>'DICTIONARY-5'!$A$11&amp;" 15"</f>
        <v>EN 558 szereg 15</v>
      </c>
      <c r="AD21" s="741" t="str">
        <f>'DICTIONARY-5'!$A$13</f>
        <v>woda pitna</v>
      </c>
      <c r="AE21" s="742">
        <v>50</v>
      </c>
      <c r="AF21" s="743">
        <v>11.5</v>
      </c>
      <c r="AG21" s="741" t="str">
        <f>'DICTIONARY-5'!$A$23</f>
        <v>powłoka epoksydowa</v>
      </c>
    </row>
    <row r="22" spans="1:33" x14ac:dyDescent="0.25">
      <c r="A22" s="838" t="s">
        <v>5090</v>
      </c>
      <c r="B22" s="838" t="s">
        <v>5331</v>
      </c>
      <c r="C22" s="836">
        <v>252</v>
      </c>
      <c r="D22" s="836"/>
      <c r="E22" s="836"/>
      <c r="F22" s="836"/>
      <c r="G22" s="496" t="s">
        <v>7787</v>
      </c>
      <c r="H22" s="797" t="str">
        <f>VLOOKUP(G22,SETTINGS!$B$7:$D$97,2,0)</f>
        <v>BETA 200</v>
      </c>
      <c r="I22" s="796">
        <f>VLOOKUP(G22,SETTINGS!$B$7:$D$97,3,0)</f>
        <v>0</v>
      </c>
      <c r="J22" s="670" t="str">
        <f>IFERROR(IF(CURRENCY.FORMAT_1=0,CONCATENATE(TEXT(FIXED(ROUND((C22/EXC.RATE_1),CURRENCY.FORMAT_1),CURRENCY.FORMAT_1,1),"# ##0;-# ##0"),",-"),FIXED(ROUND((C22/EXC.RATE_1),CURRENCY.FORMAT_1),CURRENCY.FORMAT_1,0)),'DICTIONARY-5'!$A$2)</f>
        <v>252,-</v>
      </c>
      <c r="K22" s="670" t="str">
        <f>IF(EXC.RATE_2=0,"",IFERROR(IF(CURRENCY.FORMAT_2=0,CONCATENATE(TEXT(FIXED(ROUND(IF(EXC.RATE.SWITCH=1,C22/EXC.RATE_2,C22*EXC.RATE_2),CURRENCY.FORMAT_2),CURRENCY.FORMAT_2,1),"# ##0;-# ##0"),",-"),FIXED(ROUND(IF(EXC.RATE.SWITCH=1,C22/EXC.RATE_2,C22*EXC.RATE_2),CURRENCY.FORMAT_2),CURRENCY.FORMAT_2,0)),'DICTIONARY-5'!$A$2))</f>
        <v/>
      </c>
      <c r="L22" s="670" t="str">
        <f>IFERROR(IF(CURRENCY.FORMAT_1=0,CONCATENATE(TEXT(FIXED(ROUND((C22*(1-I22)*(1-ADD.DISCOUNT)*(1+MAT.SURCHARGE)/EXC.RATE_1),CURRENCY.FORMAT_1),CURRENCY.FORMAT_1,1),"# ##0;-# ##0"),",-"),FIXED(ROUND((C22*(1-I22)*(1-ADD.DISCOUNT)*(1+MAT.SURCHARGE)/EXC.RATE_1),CURRENCY.FORMAT_1),CURRENCY.FORMAT_1,0)),'DICTIONARY-5'!$A$2)</f>
        <v>262,-</v>
      </c>
      <c r="M22" s="670" t="str">
        <f>IF(EXC.RATE_2=0,"",IFERROR(IF(CURRENCY.FORMAT_2=0,CONCATENATE(TEXT(FIXED(ROUND(IF(EXC.RATE.SWITCH=1,C22*(1-I22)*(1-ADD.DISCOUNT)*(1+MAT.SURCHARGE)/EXC.RATE_2,C22*(1-I22)*(1-ADD.DISCOUNT)*(1+MAT.SURCHARGE)*EXC.RATE_2),CURRENCY.FORMAT_2),CURRENCY.FORMAT_2,1),"# ##0;-# ##0"),",-"),FIXED(ROUND(IF(EXC.RATE.SWITCH=1,C22*(1-I22)*(1-ADD.DISCOUNT)*(1+MAT.SURCHARGE)/EXC.RATE_2,C22*(1-I22)*(1-ADD.DISCOUNT)*(1+MAT.SURCHARGE)*EXC.RATE_2),CURRENCY.FORMAT_2),CURRENCY.FORMAT_2,0)),'DICTIONARY-5'!$A$2))</f>
        <v/>
      </c>
      <c r="N22" s="496">
        <v>1</v>
      </c>
      <c r="O22" s="654" t="s">
        <v>7363</v>
      </c>
      <c r="P22" s="731" t="str">
        <f>'DICTIONARY-3'!$A$6</f>
        <v>BETA 200</v>
      </c>
      <c r="Q22" s="732" t="str">
        <f>'DICTIONARY-3'!$A$187</f>
        <v>Zasuwa klinowa</v>
      </c>
      <c r="R22" s="732" t="str">
        <f>CONCATENATE('DICTIONARY-3'!$A$6," ",'DICTIONARY-6'!$A$3," ",'DICTIONARY-2'!$A$2,U22," ",'DICTIONARY-2'!$A$3,"10/",V22," ","R15",", ",'DICTIONARY-4'!$A$2)</f>
        <v>BETA 200 Zasuwa DN65 PN10/16 R15, WW</v>
      </c>
      <c r="S22" s="733" t="str">
        <f>'DICTIONARY-4'!$A$2</f>
        <v>WW</v>
      </c>
      <c r="T22" s="732" t="str">
        <f>'DICTIONARY-4'!$A$18</f>
        <v>Wolny wałek</v>
      </c>
      <c r="U22" s="734" t="s">
        <v>5759</v>
      </c>
      <c r="V22" s="735">
        <v>16</v>
      </c>
      <c r="W22" s="736"/>
      <c r="X22" s="737"/>
      <c r="Y22" s="738"/>
      <c r="Z22" s="739"/>
      <c r="AA22" s="739"/>
      <c r="AB22" s="740">
        <v>16</v>
      </c>
      <c r="AC22" s="741" t="str">
        <f>'DICTIONARY-5'!$A$11&amp;" 15"</f>
        <v>EN 558 szereg 15</v>
      </c>
      <c r="AD22" s="741" t="str">
        <f>'DICTIONARY-5'!$A$13</f>
        <v>woda pitna</v>
      </c>
      <c r="AE22" s="742">
        <v>50</v>
      </c>
      <c r="AF22" s="743">
        <v>16.5</v>
      </c>
      <c r="AG22" s="741" t="str">
        <f>'DICTIONARY-5'!$A$23</f>
        <v>powłoka epoksydowa</v>
      </c>
    </row>
    <row r="23" spans="1:33" x14ac:dyDescent="0.25">
      <c r="A23" s="838" t="s">
        <v>5092</v>
      </c>
      <c r="B23" s="838" t="s">
        <v>5332</v>
      </c>
      <c r="C23" s="836">
        <v>261</v>
      </c>
      <c r="D23" s="836"/>
      <c r="E23" s="836"/>
      <c r="F23" s="836"/>
      <c r="G23" s="496" t="s">
        <v>7787</v>
      </c>
      <c r="H23" s="797" t="str">
        <f>VLOOKUP(G23,SETTINGS!$B$7:$D$97,2,0)</f>
        <v>BETA 200</v>
      </c>
      <c r="I23" s="796">
        <f>VLOOKUP(G23,SETTINGS!$B$7:$D$97,3,0)</f>
        <v>0</v>
      </c>
      <c r="J23" s="670" t="str">
        <f>IFERROR(IF(CURRENCY.FORMAT_1=0,CONCATENATE(TEXT(FIXED(ROUND((C23/EXC.RATE_1),CURRENCY.FORMAT_1),CURRENCY.FORMAT_1,1),"# ##0;-# ##0"),",-"),FIXED(ROUND((C23/EXC.RATE_1),CURRENCY.FORMAT_1),CURRENCY.FORMAT_1,0)),'DICTIONARY-5'!$A$2)</f>
        <v>261,-</v>
      </c>
      <c r="K23" s="670" t="str">
        <f>IF(EXC.RATE_2=0,"",IFERROR(IF(CURRENCY.FORMAT_2=0,CONCATENATE(TEXT(FIXED(ROUND(IF(EXC.RATE.SWITCH=1,C23/EXC.RATE_2,C23*EXC.RATE_2),CURRENCY.FORMAT_2),CURRENCY.FORMAT_2,1),"# ##0;-# ##0"),",-"),FIXED(ROUND(IF(EXC.RATE.SWITCH=1,C23/EXC.RATE_2,C23*EXC.RATE_2),CURRENCY.FORMAT_2),CURRENCY.FORMAT_2,0)),'DICTIONARY-5'!$A$2))</f>
        <v/>
      </c>
      <c r="L23" s="670" t="str">
        <f>IFERROR(IF(CURRENCY.FORMAT_1=0,CONCATENATE(TEXT(FIXED(ROUND((C23*(1-I23)*(1-ADD.DISCOUNT)*(1+MAT.SURCHARGE)/EXC.RATE_1),CURRENCY.FORMAT_1),CURRENCY.FORMAT_1,1),"# ##0;-# ##0"),",-"),FIXED(ROUND((C23*(1-I23)*(1-ADD.DISCOUNT)*(1+MAT.SURCHARGE)/EXC.RATE_1),CURRENCY.FORMAT_1),CURRENCY.FORMAT_1,0)),'DICTIONARY-5'!$A$2)</f>
        <v>271,-</v>
      </c>
      <c r="M23" s="670" t="str">
        <f>IF(EXC.RATE_2=0,"",IFERROR(IF(CURRENCY.FORMAT_2=0,CONCATENATE(TEXT(FIXED(ROUND(IF(EXC.RATE.SWITCH=1,C23*(1-I23)*(1-ADD.DISCOUNT)*(1+MAT.SURCHARGE)/EXC.RATE_2,C23*(1-I23)*(1-ADD.DISCOUNT)*(1+MAT.SURCHARGE)*EXC.RATE_2),CURRENCY.FORMAT_2),CURRENCY.FORMAT_2,1),"# ##0;-# ##0"),",-"),FIXED(ROUND(IF(EXC.RATE.SWITCH=1,C23*(1-I23)*(1-ADD.DISCOUNT)*(1+MAT.SURCHARGE)/EXC.RATE_2,C23*(1-I23)*(1-ADD.DISCOUNT)*(1+MAT.SURCHARGE)*EXC.RATE_2),CURRENCY.FORMAT_2),CURRENCY.FORMAT_2,0)),'DICTIONARY-5'!$A$2))</f>
        <v/>
      </c>
      <c r="N23" s="496">
        <v>1</v>
      </c>
      <c r="O23" s="654" t="s">
        <v>7363</v>
      </c>
      <c r="P23" s="731" t="str">
        <f>'DICTIONARY-3'!$A$6</f>
        <v>BETA 200</v>
      </c>
      <c r="Q23" s="732" t="str">
        <f>'DICTIONARY-3'!$A$187</f>
        <v>Zasuwa klinowa</v>
      </c>
      <c r="R23" s="732" t="str">
        <f>CONCATENATE('DICTIONARY-3'!$A$6," ",'DICTIONARY-6'!$A$3," ",'DICTIONARY-2'!$A$2,U23," ",'DICTIONARY-2'!$A$3,"10/",V23," ","R15"," ",'DICTIONARY-5'!$A$64,", ",'DICTIONARY-4'!$A$2)</f>
        <v>BETA 200 Zasuwa DN80 PN10/16 R15 owiert 4 otw., WW</v>
      </c>
      <c r="S23" s="733" t="str">
        <f>'DICTIONARY-4'!$A$2</f>
        <v>WW</v>
      </c>
      <c r="T23" s="732" t="str">
        <f>'DICTIONARY-4'!$A$18</f>
        <v>Wolny wałek</v>
      </c>
      <c r="U23" s="734" t="s">
        <v>5760</v>
      </c>
      <c r="V23" s="735">
        <v>16</v>
      </c>
      <c r="W23" s="736"/>
      <c r="X23" s="737"/>
      <c r="Y23" s="738"/>
      <c r="Z23" s="739"/>
      <c r="AA23" s="739"/>
      <c r="AB23" s="740">
        <v>16</v>
      </c>
      <c r="AC23" s="741" t="str">
        <f>'DICTIONARY-5'!$A$11&amp;" 15"</f>
        <v>EN 558 szereg 15</v>
      </c>
      <c r="AD23" s="741" t="str">
        <f>'DICTIONARY-5'!$A$13</f>
        <v>woda pitna</v>
      </c>
      <c r="AE23" s="742">
        <v>50</v>
      </c>
      <c r="AF23" s="743">
        <v>18.5</v>
      </c>
      <c r="AG23" s="741" t="str">
        <f>'DICTIONARY-5'!$A$23</f>
        <v>powłoka epoksydowa</v>
      </c>
    </row>
    <row r="24" spans="1:33" x14ac:dyDescent="0.25">
      <c r="A24" s="838" t="s">
        <v>5094</v>
      </c>
      <c r="B24" s="838" t="s">
        <v>5333</v>
      </c>
      <c r="C24" s="836">
        <v>261</v>
      </c>
      <c r="D24" s="836"/>
      <c r="E24" s="836"/>
      <c r="F24" s="836"/>
      <c r="G24" s="496" t="s">
        <v>7787</v>
      </c>
      <c r="H24" s="797" t="str">
        <f>VLOOKUP(G24,SETTINGS!$B$7:$D$97,2,0)</f>
        <v>BETA 200</v>
      </c>
      <c r="I24" s="796">
        <f>VLOOKUP(G24,SETTINGS!$B$7:$D$97,3,0)</f>
        <v>0</v>
      </c>
      <c r="J24" s="670" t="str">
        <f>IFERROR(IF(CURRENCY.FORMAT_1=0,CONCATENATE(TEXT(FIXED(ROUND((C24/EXC.RATE_1),CURRENCY.FORMAT_1),CURRENCY.FORMAT_1,1),"# ##0;-# ##0"),",-"),FIXED(ROUND((C24/EXC.RATE_1),CURRENCY.FORMAT_1),CURRENCY.FORMAT_1,0)),'DICTIONARY-5'!$A$2)</f>
        <v>261,-</v>
      </c>
      <c r="K24" s="670" t="str">
        <f>IF(EXC.RATE_2=0,"",IFERROR(IF(CURRENCY.FORMAT_2=0,CONCATENATE(TEXT(FIXED(ROUND(IF(EXC.RATE.SWITCH=1,C24/EXC.RATE_2,C24*EXC.RATE_2),CURRENCY.FORMAT_2),CURRENCY.FORMAT_2,1),"# ##0;-# ##0"),",-"),FIXED(ROUND(IF(EXC.RATE.SWITCH=1,C24/EXC.RATE_2,C24*EXC.RATE_2),CURRENCY.FORMAT_2),CURRENCY.FORMAT_2,0)),'DICTIONARY-5'!$A$2))</f>
        <v/>
      </c>
      <c r="L24" s="670" t="str">
        <f>IFERROR(IF(CURRENCY.FORMAT_1=0,CONCATENATE(TEXT(FIXED(ROUND((C24*(1-I24)*(1-ADD.DISCOUNT)*(1+MAT.SURCHARGE)/EXC.RATE_1),CURRENCY.FORMAT_1),CURRENCY.FORMAT_1,1),"# ##0;-# ##0"),",-"),FIXED(ROUND((C24*(1-I24)*(1-ADD.DISCOUNT)*(1+MAT.SURCHARGE)/EXC.RATE_1),CURRENCY.FORMAT_1),CURRENCY.FORMAT_1,0)),'DICTIONARY-5'!$A$2)</f>
        <v>271,-</v>
      </c>
      <c r="M24" s="670" t="str">
        <f>IF(EXC.RATE_2=0,"",IFERROR(IF(CURRENCY.FORMAT_2=0,CONCATENATE(TEXT(FIXED(ROUND(IF(EXC.RATE.SWITCH=1,C24*(1-I24)*(1-ADD.DISCOUNT)*(1+MAT.SURCHARGE)/EXC.RATE_2,C24*(1-I24)*(1-ADD.DISCOUNT)*(1+MAT.SURCHARGE)*EXC.RATE_2),CURRENCY.FORMAT_2),CURRENCY.FORMAT_2,1),"# ##0;-# ##0"),",-"),FIXED(ROUND(IF(EXC.RATE.SWITCH=1,C24*(1-I24)*(1-ADD.DISCOUNT)*(1+MAT.SURCHARGE)/EXC.RATE_2,C24*(1-I24)*(1-ADD.DISCOUNT)*(1+MAT.SURCHARGE)*EXC.RATE_2),CURRENCY.FORMAT_2),CURRENCY.FORMAT_2,0)),'DICTIONARY-5'!$A$2))</f>
        <v/>
      </c>
      <c r="N24" s="496">
        <v>1</v>
      </c>
      <c r="O24" s="654" t="s">
        <v>7363</v>
      </c>
      <c r="P24" s="731" t="str">
        <f>'DICTIONARY-3'!$A$6</f>
        <v>BETA 200</v>
      </c>
      <c r="Q24" s="732" t="str">
        <f>'DICTIONARY-3'!$A$187</f>
        <v>Zasuwa klinowa</v>
      </c>
      <c r="R24" s="732" t="str">
        <f>CONCATENATE('DICTIONARY-3'!$A$6," ",'DICTIONARY-6'!$A$3," ",'DICTIONARY-2'!$A$2,U24," ",'DICTIONARY-2'!$A$3,"10/",V24," ","R15",", ",'DICTIONARY-4'!$A$2)</f>
        <v>BETA 200 Zasuwa DN80 PN10/16 R15, WW</v>
      </c>
      <c r="S24" s="733" t="str">
        <f>'DICTIONARY-4'!$A$2</f>
        <v>WW</v>
      </c>
      <c r="T24" s="732" t="str">
        <f>'DICTIONARY-4'!$A$18</f>
        <v>Wolny wałek</v>
      </c>
      <c r="U24" s="734" t="s">
        <v>5760</v>
      </c>
      <c r="V24" s="735">
        <v>16</v>
      </c>
      <c r="W24" s="736"/>
      <c r="X24" s="737"/>
      <c r="Y24" s="738"/>
      <c r="Z24" s="739"/>
      <c r="AA24" s="739"/>
      <c r="AB24" s="740">
        <v>16</v>
      </c>
      <c r="AC24" s="741" t="str">
        <f>'DICTIONARY-5'!$A$11&amp;" 15"</f>
        <v>EN 558 szereg 15</v>
      </c>
      <c r="AD24" s="741" t="str">
        <f>'DICTIONARY-5'!$A$13</f>
        <v>woda pitna</v>
      </c>
      <c r="AE24" s="742">
        <v>50</v>
      </c>
      <c r="AF24" s="743">
        <v>18</v>
      </c>
      <c r="AG24" s="741" t="str">
        <f>'DICTIONARY-5'!$A$23</f>
        <v>powłoka epoksydowa</v>
      </c>
    </row>
    <row r="25" spans="1:33" x14ac:dyDescent="0.25">
      <c r="A25" s="838" t="s">
        <v>5096</v>
      </c>
      <c r="B25" s="838" t="s">
        <v>5334</v>
      </c>
      <c r="C25" s="836">
        <v>284</v>
      </c>
      <c r="D25" s="836"/>
      <c r="E25" s="836"/>
      <c r="F25" s="836"/>
      <c r="G25" s="496" t="s">
        <v>7787</v>
      </c>
      <c r="H25" s="797" t="str">
        <f>VLOOKUP(G25,SETTINGS!$B$7:$D$97,2,0)</f>
        <v>BETA 200</v>
      </c>
      <c r="I25" s="796">
        <f>VLOOKUP(G25,SETTINGS!$B$7:$D$97,3,0)</f>
        <v>0</v>
      </c>
      <c r="J25" s="670" t="str">
        <f>IFERROR(IF(CURRENCY.FORMAT_1=0,CONCATENATE(TEXT(FIXED(ROUND((C25/EXC.RATE_1),CURRENCY.FORMAT_1),CURRENCY.FORMAT_1,1),"# ##0;-# ##0"),",-"),FIXED(ROUND((C25/EXC.RATE_1),CURRENCY.FORMAT_1),CURRENCY.FORMAT_1,0)),'DICTIONARY-5'!$A$2)</f>
        <v>284,-</v>
      </c>
      <c r="K25" s="670" t="str">
        <f>IF(EXC.RATE_2=0,"",IFERROR(IF(CURRENCY.FORMAT_2=0,CONCATENATE(TEXT(FIXED(ROUND(IF(EXC.RATE.SWITCH=1,C25/EXC.RATE_2,C25*EXC.RATE_2),CURRENCY.FORMAT_2),CURRENCY.FORMAT_2,1),"# ##0;-# ##0"),",-"),FIXED(ROUND(IF(EXC.RATE.SWITCH=1,C25/EXC.RATE_2,C25*EXC.RATE_2),CURRENCY.FORMAT_2),CURRENCY.FORMAT_2,0)),'DICTIONARY-5'!$A$2))</f>
        <v/>
      </c>
      <c r="L25" s="670" t="str">
        <f>IFERROR(IF(CURRENCY.FORMAT_1=0,CONCATENATE(TEXT(FIXED(ROUND((C25*(1-I25)*(1-ADD.DISCOUNT)*(1+MAT.SURCHARGE)/EXC.RATE_1),CURRENCY.FORMAT_1),CURRENCY.FORMAT_1,1),"# ##0;-# ##0"),",-"),FIXED(ROUND((C25*(1-I25)*(1-ADD.DISCOUNT)*(1+MAT.SURCHARGE)/EXC.RATE_1),CURRENCY.FORMAT_1),CURRENCY.FORMAT_1,0)),'DICTIONARY-5'!$A$2)</f>
        <v>295,-</v>
      </c>
      <c r="M25" s="670" t="str">
        <f>IF(EXC.RATE_2=0,"",IFERROR(IF(CURRENCY.FORMAT_2=0,CONCATENATE(TEXT(FIXED(ROUND(IF(EXC.RATE.SWITCH=1,C25*(1-I25)*(1-ADD.DISCOUNT)*(1+MAT.SURCHARGE)/EXC.RATE_2,C25*(1-I25)*(1-ADD.DISCOUNT)*(1+MAT.SURCHARGE)*EXC.RATE_2),CURRENCY.FORMAT_2),CURRENCY.FORMAT_2,1),"# ##0;-# ##0"),",-"),FIXED(ROUND(IF(EXC.RATE.SWITCH=1,C25*(1-I25)*(1-ADD.DISCOUNT)*(1+MAT.SURCHARGE)/EXC.RATE_2,C25*(1-I25)*(1-ADD.DISCOUNT)*(1+MAT.SURCHARGE)*EXC.RATE_2),CURRENCY.FORMAT_2),CURRENCY.FORMAT_2,0)),'DICTIONARY-5'!$A$2))</f>
        <v/>
      </c>
      <c r="N25" s="496">
        <v>1</v>
      </c>
      <c r="O25" s="654" t="s">
        <v>7363</v>
      </c>
      <c r="P25" s="731" t="str">
        <f>'DICTIONARY-3'!$A$6</f>
        <v>BETA 200</v>
      </c>
      <c r="Q25" s="732" t="str">
        <f>'DICTIONARY-3'!$A$187</f>
        <v>Zasuwa klinowa</v>
      </c>
      <c r="R25" s="732" t="str">
        <f>CONCATENATE('DICTIONARY-3'!$A$6," ",'DICTIONARY-6'!$A$3," ",'DICTIONARY-2'!$A$2,U25," ",'DICTIONARY-2'!$A$3,"10/",V25," ","R15",", ",'DICTIONARY-4'!$A$2)</f>
        <v>BETA 200 Zasuwa DN100 PN10/16 R15, WW</v>
      </c>
      <c r="S25" s="733" t="str">
        <f>'DICTIONARY-4'!$A$2</f>
        <v>WW</v>
      </c>
      <c r="T25" s="732" t="str">
        <f>'DICTIONARY-4'!$A$18</f>
        <v>Wolny wałek</v>
      </c>
      <c r="U25" s="734" t="s">
        <v>5749</v>
      </c>
      <c r="V25" s="735">
        <v>16</v>
      </c>
      <c r="W25" s="736"/>
      <c r="X25" s="737"/>
      <c r="Y25" s="738"/>
      <c r="Z25" s="739"/>
      <c r="AA25" s="739"/>
      <c r="AB25" s="740">
        <v>16</v>
      </c>
      <c r="AC25" s="741" t="str">
        <f>'DICTIONARY-5'!$A$11&amp;" 15"</f>
        <v>EN 558 szereg 15</v>
      </c>
      <c r="AD25" s="741" t="str">
        <f>'DICTIONARY-5'!$A$13</f>
        <v>woda pitna</v>
      </c>
      <c r="AE25" s="742">
        <v>50</v>
      </c>
      <c r="AF25" s="743">
        <v>23.7</v>
      </c>
      <c r="AG25" s="741" t="str">
        <f>'DICTIONARY-5'!$A$23</f>
        <v>powłoka epoksydowa</v>
      </c>
    </row>
    <row r="26" spans="1:33" x14ac:dyDescent="0.25">
      <c r="A26" s="838" t="s">
        <v>5098</v>
      </c>
      <c r="B26" s="838" t="s">
        <v>5335</v>
      </c>
      <c r="C26" s="836">
        <v>429</v>
      </c>
      <c r="D26" s="836"/>
      <c r="E26" s="836"/>
      <c r="F26" s="836"/>
      <c r="G26" s="496" t="s">
        <v>7787</v>
      </c>
      <c r="H26" s="797" t="str">
        <f>VLOOKUP(G26,SETTINGS!$B$7:$D$97,2,0)</f>
        <v>BETA 200</v>
      </c>
      <c r="I26" s="796">
        <f>VLOOKUP(G26,SETTINGS!$B$7:$D$97,3,0)</f>
        <v>0</v>
      </c>
      <c r="J26" s="670" t="str">
        <f>IFERROR(IF(CURRENCY.FORMAT_1=0,CONCATENATE(TEXT(FIXED(ROUND((C26/EXC.RATE_1),CURRENCY.FORMAT_1),CURRENCY.FORMAT_1,1),"# ##0;-# ##0"),",-"),FIXED(ROUND((C26/EXC.RATE_1),CURRENCY.FORMAT_1),CURRENCY.FORMAT_1,0)),'DICTIONARY-5'!$A$2)</f>
        <v>429,-</v>
      </c>
      <c r="K26" s="670" t="str">
        <f>IF(EXC.RATE_2=0,"",IFERROR(IF(CURRENCY.FORMAT_2=0,CONCATENATE(TEXT(FIXED(ROUND(IF(EXC.RATE.SWITCH=1,C26/EXC.RATE_2,C26*EXC.RATE_2),CURRENCY.FORMAT_2),CURRENCY.FORMAT_2,1),"# ##0;-# ##0"),",-"),FIXED(ROUND(IF(EXC.RATE.SWITCH=1,C26/EXC.RATE_2,C26*EXC.RATE_2),CURRENCY.FORMAT_2),CURRENCY.FORMAT_2,0)),'DICTIONARY-5'!$A$2))</f>
        <v/>
      </c>
      <c r="L26" s="670" t="str">
        <f>IFERROR(IF(CURRENCY.FORMAT_1=0,CONCATENATE(TEXT(FIXED(ROUND((C26*(1-I26)*(1-ADD.DISCOUNT)*(1+MAT.SURCHARGE)/EXC.RATE_1),CURRENCY.FORMAT_1),CURRENCY.FORMAT_1,1),"# ##0;-# ##0"),",-"),FIXED(ROUND((C26*(1-I26)*(1-ADD.DISCOUNT)*(1+MAT.SURCHARGE)/EXC.RATE_1),CURRENCY.FORMAT_1),CURRENCY.FORMAT_1,0)),'DICTIONARY-5'!$A$2)</f>
        <v>446,-</v>
      </c>
      <c r="M26" s="670" t="str">
        <f>IF(EXC.RATE_2=0,"",IFERROR(IF(CURRENCY.FORMAT_2=0,CONCATENATE(TEXT(FIXED(ROUND(IF(EXC.RATE.SWITCH=1,C26*(1-I26)*(1-ADD.DISCOUNT)*(1+MAT.SURCHARGE)/EXC.RATE_2,C26*(1-I26)*(1-ADD.DISCOUNT)*(1+MAT.SURCHARGE)*EXC.RATE_2),CURRENCY.FORMAT_2),CURRENCY.FORMAT_2,1),"# ##0;-# ##0"),",-"),FIXED(ROUND(IF(EXC.RATE.SWITCH=1,C26*(1-I26)*(1-ADD.DISCOUNT)*(1+MAT.SURCHARGE)/EXC.RATE_2,C26*(1-I26)*(1-ADD.DISCOUNT)*(1+MAT.SURCHARGE)*EXC.RATE_2),CURRENCY.FORMAT_2),CURRENCY.FORMAT_2,0)),'DICTIONARY-5'!$A$2))</f>
        <v/>
      </c>
      <c r="N26" s="496">
        <v>1</v>
      </c>
      <c r="O26" s="654" t="s">
        <v>7363</v>
      </c>
      <c r="P26" s="731" t="str">
        <f>'DICTIONARY-3'!$A$6</f>
        <v>BETA 200</v>
      </c>
      <c r="Q26" s="732" t="str">
        <f>'DICTIONARY-3'!$A$187</f>
        <v>Zasuwa klinowa</v>
      </c>
      <c r="R26" s="732" t="str">
        <f>CONCATENATE('DICTIONARY-3'!$A$6," ",'DICTIONARY-6'!$A$3," ",'DICTIONARY-2'!$A$2,U26," ",'DICTIONARY-2'!$A$3,"10/",V26," ","R15",", ",'DICTIONARY-4'!$A$2)</f>
        <v>BETA 200 Zasuwa DN125 PN10/16 R15, WW</v>
      </c>
      <c r="S26" s="733" t="str">
        <f>'DICTIONARY-4'!$A$2</f>
        <v>WW</v>
      </c>
      <c r="T26" s="732" t="str">
        <f>'DICTIONARY-4'!$A$18</f>
        <v>Wolny wałek</v>
      </c>
      <c r="U26" s="734" t="s">
        <v>5761</v>
      </c>
      <c r="V26" s="735">
        <v>16</v>
      </c>
      <c r="W26" s="736"/>
      <c r="X26" s="737"/>
      <c r="Y26" s="738"/>
      <c r="Z26" s="739"/>
      <c r="AA26" s="739"/>
      <c r="AB26" s="740">
        <v>16</v>
      </c>
      <c r="AC26" s="741" t="str">
        <f>'DICTIONARY-5'!$A$11&amp;" 15"</f>
        <v>EN 558 szereg 15</v>
      </c>
      <c r="AD26" s="741" t="str">
        <f>'DICTIONARY-5'!$A$13</f>
        <v>woda pitna</v>
      </c>
      <c r="AE26" s="742">
        <v>50</v>
      </c>
      <c r="AF26" s="743">
        <v>32</v>
      </c>
      <c r="AG26" s="741" t="str">
        <f>'DICTIONARY-5'!$A$23</f>
        <v>powłoka epoksydowa</v>
      </c>
    </row>
    <row r="27" spans="1:33" x14ac:dyDescent="0.25">
      <c r="A27" s="838" t="s">
        <v>5100</v>
      </c>
      <c r="B27" s="838" t="s">
        <v>5336</v>
      </c>
      <c r="C27" s="836">
        <v>452</v>
      </c>
      <c r="D27" s="836"/>
      <c r="E27" s="836"/>
      <c r="F27" s="836"/>
      <c r="G27" s="496" t="s">
        <v>7787</v>
      </c>
      <c r="H27" s="797" t="str">
        <f>VLOOKUP(G27,SETTINGS!$B$7:$D$97,2,0)</f>
        <v>BETA 200</v>
      </c>
      <c r="I27" s="796">
        <f>VLOOKUP(G27,SETTINGS!$B$7:$D$97,3,0)</f>
        <v>0</v>
      </c>
      <c r="J27" s="670" t="str">
        <f>IFERROR(IF(CURRENCY.FORMAT_1=0,CONCATENATE(TEXT(FIXED(ROUND((C27/EXC.RATE_1),CURRENCY.FORMAT_1),CURRENCY.FORMAT_1,1),"# ##0;-# ##0"),",-"),FIXED(ROUND((C27/EXC.RATE_1),CURRENCY.FORMAT_1),CURRENCY.FORMAT_1,0)),'DICTIONARY-5'!$A$2)</f>
        <v>452,-</v>
      </c>
      <c r="K27" s="670" t="str">
        <f>IF(EXC.RATE_2=0,"",IFERROR(IF(CURRENCY.FORMAT_2=0,CONCATENATE(TEXT(FIXED(ROUND(IF(EXC.RATE.SWITCH=1,C27/EXC.RATE_2,C27*EXC.RATE_2),CURRENCY.FORMAT_2),CURRENCY.FORMAT_2,1),"# ##0;-# ##0"),",-"),FIXED(ROUND(IF(EXC.RATE.SWITCH=1,C27/EXC.RATE_2,C27*EXC.RATE_2),CURRENCY.FORMAT_2),CURRENCY.FORMAT_2,0)),'DICTIONARY-5'!$A$2))</f>
        <v/>
      </c>
      <c r="L27" s="670" t="str">
        <f>IFERROR(IF(CURRENCY.FORMAT_1=0,CONCATENATE(TEXT(FIXED(ROUND((C27*(1-I27)*(1-ADD.DISCOUNT)*(1+MAT.SURCHARGE)/EXC.RATE_1),CURRENCY.FORMAT_1),CURRENCY.FORMAT_1,1),"# ##0;-# ##0"),",-"),FIXED(ROUND((C27*(1-I27)*(1-ADD.DISCOUNT)*(1+MAT.SURCHARGE)/EXC.RATE_1),CURRENCY.FORMAT_1),CURRENCY.FORMAT_1,0)),'DICTIONARY-5'!$A$2)</f>
        <v>470,-</v>
      </c>
      <c r="M27" s="670" t="str">
        <f>IF(EXC.RATE_2=0,"",IFERROR(IF(CURRENCY.FORMAT_2=0,CONCATENATE(TEXT(FIXED(ROUND(IF(EXC.RATE.SWITCH=1,C27*(1-I27)*(1-ADD.DISCOUNT)*(1+MAT.SURCHARGE)/EXC.RATE_2,C27*(1-I27)*(1-ADD.DISCOUNT)*(1+MAT.SURCHARGE)*EXC.RATE_2),CURRENCY.FORMAT_2),CURRENCY.FORMAT_2,1),"# ##0;-# ##0"),",-"),FIXED(ROUND(IF(EXC.RATE.SWITCH=1,C27*(1-I27)*(1-ADD.DISCOUNT)*(1+MAT.SURCHARGE)/EXC.RATE_2,C27*(1-I27)*(1-ADD.DISCOUNT)*(1+MAT.SURCHARGE)*EXC.RATE_2),CURRENCY.FORMAT_2),CURRENCY.FORMAT_2,0)),'DICTIONARY-5'!$A$2))</f>
        <v/>
      </c>
      <c r="N27" s="496">
        <v>1</v>
      </c>
      <c r="O27" s="654" t="s">
        <v>7363</v>
      </c>
      <c r="P27" s="731" t="str">
        <f>'DICTIONARY-3'!$A$6</f>
        <v>BETA 200</v>
      </c>
      <c r="Q27" s="732" t="str">
        <f>'DICTIONARY-3'!$A$187</f>
        <v>Zasuwa klinowa</v>
      </c>
      <c r="R27" s="732" t="str">
        <f>CONCATENATE('DICTIONARY-3'!$A$6," ",'DICTIONARY-6'!$A$3," ",'DICTIONARY-2'!$A$2,U27," ",'DICTIONARY-2'!$A$3,"10/",V27," ","R15",", ",'DICTIONARY-4'!$A$2)</f>
        <v>BETA 200 Zasuwa DN150 PN10/16 R15, WW</v>
      </c>
      <c r="S27" s="733" t="str">
        <f>'DICTIONARY-4'!$A$2</f>
        <v>WW</v>
      </c>
      <c r="T27" s="732" t="str">
        <f>'DICTIONARY-4'!$A$18</f>
        <v>Wolny wałek</v>
      </c>
      <c r="U27" s="734" t="s">
        <v>5572</v>
      </c>
      <c r="V27" s="735">
        <v>16</v>
      </c>
      <c r="W27" s="736"/>
      <c r="X27" s="737"/>
      <c r="Y27" s="738"/>
      <c r="Z27" s="739"/>
      <c r="AA27" s="739"/>
      <c r="AB27" s="740">
        <v>16</v>
      </c>
      <c r="AC27" s="741" t="str">
        <f>'DICTIONARY-5'!$A$11&amp;" 15"</f>
        <v>EN 558 szereg 15</v>
      </c>
      <c r="AD27" s="741" t="str">
        <f>'DICTIONARY-5'!$A$13</f>
        <v>woda pitna</v>
      </c>
      <c r="AE27" s="742">
        <v>50</v>
      </c>
      <c r="AF27" s="743">
        <v>43.2</v>
      </c>
      <c r="AG27" s="741" t="str">
        <f>'DICTIONARY-5'!$A$23</f>
        <v>powłoka epoksydowa</v>
      </c>
    </row>
    <row r="28" spans="1:33" x14ac:dyDescent="0.25">
      <c r="A28" s="838" t="s">
        <v>5102</v>
      </c>
      <c r="B28" s="838" t="s">
        <v>5337</v>
      </c>
      <c r="C28" s="836">
        <v>705</v>
      </c>
      <c r="D28" s="836"/>
      <c r="E28" s="836"/>
      <c r="F28" s="836"/>
      <c r="G28" s="496" t="s">
        <v>7787</v>
      </c>
      <c r="H28" s="797" t="str">
        <f>VLOOKUP(G28,SETTINGS!$B$7:$D$97,2,0)</f>
        <v>BETA 200</v>
      </c>
      <c r="I28" s="796">
        <f>VLOOKUP(G28,SETTINGS!$B$7:$D$97,3,0)</f>
        <v>0</v>
      </c>
      <c r="J28" s="670" t="str">
        <f>IFERROR(IF(CURRENCY.FORMAT_1=0,CONCATENATE(TEXT(FIXED(ROUND((C28/EXC.RATE_1),CURRENCY.FORMAT_1),CURRENCY.FORMAT_1,1),"# ##0;-# ##0"),",-"),FIXED(ROUND((C28/EXC.RATE_1),CURRENCY.FORMAT_1),CURRENCY.FORMAT_1,0)),'DICTIONARY-5'!$A$2)</f>
        <v>705,-</v>
      </c>
      <c r="K28" s="670" t="str">
        <f>IF(EXC.RATE_2=0,"",IFERROR(IF(CURRENCY.FORMAT_2=0,CONCATENATE(TEXT(FIXED(ROUND(IF(EXC.RATE.SWITCH=1,C28/EXC.RATE_2,C28*EXC.RATE_2),CURRENCY.FORMAT_2),CURRENCY.FORMAT_2,1),"# ##0;-# ##0"),",-"),FIXED(ROUND(IF(EXC.RATE.SWITCH=1,C28/EXC.RATE_2,C28*EXC.RATE_2),CURRENCY.FORMAT_2),CURRENCY.FORMAT_2,0)),'DICTIONARY-5'!$A$2))</f>
        <v/>
      </c>
      <c r="L28" s="670" t="str">
        <f>IFERROR(IF(CURRENCY.FORMAT_1=0,CONCATENATE(TEXT(FIXED(ROUND((C28*(1-I28)*(1-ADD.DISCOUNT)*(1+MAT.SURCHARGE)/EXC.RATE_1),CURRENCY.FORMAT_1),CURRENCY.FORMAT_1,1),"# ##0;-# ##0"),",-"),FIXED(ROUND((C28*(1-I28)*(1-ADD.DISCOUNT)*(1+MAT.SURCHARGE)/EXC.RATE_1),CURRENCY.FORMAT_1),CURRENCY.FORMAT_1,0)),'DICTIONARY-5'!$A$2)</f>
        <v>732,-</v>
      </c>
      <c r="M28" s="670" t="str">
        <f>IF(EXC.RATE_2=0,"",IFERROR(IF(CURRENCY.FORMAT_2=0,CONCATENATE(TEXT(FIXED(ROUND(IF(EXC.RATE.SWITCH=1,C28*(1-I28)*(1-ADD.DISCOUNT)*(1+MAT.SURCHARGE)/EXC.RATE_2,C28*(1-I28)*(1-ADD.DISCOUNT)*(1+MAT.SURCHARGE)*EXC.RATE_2),CURRENCY.FORMAT_2),CURRENCY.FORMAT_2,1),"# ##0;-# ##0"),",-"),FIXED(ROUND(IF(EXC.RATE.SWITCH=1,C28*(1-I28)*(1-ADD.DISCOUNT)*(1+MAT.SURCHARGE)/EXC.RATE_2,C28*(1-I28)*(1-ADD.DISCOUNT)*(1+MAT.SURCHARGE)*EXC.RATE_2),CURRENCY.FORMAT_2),CURRENCY.FORMAT_2,0)),'DICTIONARY-5'!$A$2))</f>
        <v/>
      </c>
      <c r="N28" s="496">
        <v>1</v>
      </c>
      <c r="O28" s="654" t="s">
        <v>7363</v>
      </c>
      <c r="P28" s="731" t="str">
        <f>'DICTIONARY-3'!$A$6</f>
        <v>BETA 200</v>
      </c>
      <c r="Q28" s="732" t="str">
        <f>'DICTIONARY-3'!$A$187</f>
        <v>Zasuwa klinowa</v>
      </c>
      <c r="R28" s="732" t="str">
        <f>CONCATENATE('DICTIONARY-3'!$A$6," ",'DICTIONARY-6'!$A$3," ",'DICTIONARY-2'!$A$2,U28," ",'DICTIONARY-2'!$A$3,V28," ","R15",", ",'DICTIONARY-4'!$A$2)</f>
        <v>BETA 200 Zasuwa DN200 PN10 R15, WW</v>
      </c>
      <c r="S28" s="733" t="str">
        <f>'DICTIONARY-4'!$A$2</f>
        <v>WW</v>
      </c>
      <c r="T28" s="732" t="str">
        <f>'DICTIONARY-4'!$A$18</f>
        <v>Wolny wałek</v>
      </c>
      <c r="U28" s="734" t="s">
        <v>5750</v>
      </c>
      <c r="V28" s="735">
        <v>10</v>
      </c>
      <c r="W28" s="736"/>
      <c r="X28" s="737"/>
      <c r="Y28" s="738"/>
      <c r="Z28" s="739"/>
      <c r="AA28" s="739"/>
      <c r="AB28" s="740">
        <v>10</v>
      </c>
      <c r="AC28" s="741" t="str">
        <f>'DICTIONARY-5'!$A$11&amp;" 15"</f>
        <v>EN 558 szereg 15</v>
      </c>
      <c r="AD28" s="741" t="str">
        <f>'DICTIONARY-5'!$A$13</f>
        <v>woda pitna</v>
      </c>
      <c r="AE28" s="742">
        <v>50</v>
      </c>
      <c r="AF28" s="743">
        <v>74.5</v>
      </c>
      <c r="AG28" s="741" t="str">
        <f>'DICTIONARY-5'!$A$23</f>
        <v>powłoka epoksydowa</v>
      </c>
    </row>
    <row r="29" spans="1:33" x14ac:dyDescent="0.25">
      <c r="A29" s="838" t="s">
        <v>5104</v>
      </c>
      <c r="B29" s="838" t="s">
        <v>5338</v>
      </c>
      <c r="C29" s="836">
        <v>709</v>
      </c>
      <c r="D29" s="836"/>
      <c r="E29" s="836"/>
      <c r="F29" s="836"/>
      <c r="G29" s="496" t="s">
        <v>7787</v>
      </c>
      <c r="H29" s="797" t="str">
        <f>VLOOKUP(G29,SETTINGS!$B$7:$D$97,2,0)</f>
        <v>BETA 200</v>
      </c>
      <c r="I29" s="796">
        <f>VLOOKUP(G29,SETTINGS!$B$7:$D$97,3,0)</f>
        <v>0</v>
      </c>
      <c r="J29" s="670" t="str">
        <f>IFERROR(IF(CURRENCY.FORMAT_1=0,CONCATENATE(TEXT(FIXED(ROUND((C29/EXC.RATE_1),CURRENCY.FORMAT_1),CURRENCY.FORMAT_1,1),"# ##0;-# ##0"),",-"),FIXED(ROUND((C29/EXC.RATE_1),CURRENCY.FORMAT_1),CURRENCY.FORMAT_1,0)),'DICTIONARY-5'!$A$2)</f>
        <v>709,-</v>
      </c>
      <c r="K29" s="670" t="str">
        <f>IF(EXC.RATE_2=0,"",IFERROR(IF(CURRENCY.FORMAT_2=0,CONCATENATE(TEXT(FIXED(ROUND(IF(EXC.RATE.SWITCH=1,C29/EXC.RATE_2,C29*EXC.RATE_2),CURRENCY.FORMAT_2),CURRENCY.FORMAT_2,1),"# ##0;-# ##0"),",-"),FIXED(ROUND(IF(EXC.RATE.SWITCH=1,C29/EXC.RATE_2,C29*EXC.RATE_2),CURRENCY.FORMAT_2),CURRENCY.FORMAT_2,0)),'DICTIONARY-5'!$A$2))</f>
        <v/>
      </c>
      <c r="L29" s="670" t="str">
        <f>IFERROR(IF(CURRENCY.FORMAT_1=0,CONCATENATE(TEXT(FIXED(ROUND((C29*(1-I29)*(1-ADD.DISCOUNT)*(1+MAT.SURCHARGE)/EXC.RATE_1),CURRENCY.FORMAT_1),CURRENCY.FORMAT_1,1),"# ##0;-# ##0"),",-"),FIXED(ROUND((C29*(1-I29)*(1-ADD.DISCOUNT)*(1+MAT.SURCHARGE)/EXC.RATE_1),CURRENCY.FORMAT_1),CURRENCY.FORMAT_1,0)),'DICTIONARY-5'!$A$2)</f>
        <v>737,-</v>
      </c>
      <c r="M29" s="670" t="str">
        <f>IF(EXC.RATE_2=0,"",IFERROR(IF(CURRENCY.FORMAT_2=0,CONCATENATE(TEXT(FIXED(ROUND(IF(EXC.RATE.SWITCH=1,C29*(1-I29)*(1-ADD.DISCOUNT)*(1+MAT.SURCHARGE)/EXC.RATE_2,C29*(1-I29)*(1-ADD.DISCOUNT)*(1+MAT.SURCHARGE)*EXC.RATE_2),CURRENCY.FORMAT_2),CURRENCY.FORMAT_2,1),"# ##0;-# ##0"),",-"),FIXED(ROUND(IF(EXC.RATE.SWITCH=1,C29*(1-I29)*(1-ADD.DISCOUNT)*(1+MAT.SURCHARGE)/EXC.RATE_2,C29*(1-I29)*(1-ADD.DISCOUNT)*(1+MAT.SURCHARGE)*EXC.RATE_2),CURRENCY.FORMAT_2),CURRENCY.FORMAT_2,0)),'DICTIONARY-5'!$A$2))</f>
        <v/>
      </c>
      <c r="N29" s="496">
        <v>1</v>
      </c>
      <c r="O29" s="654" t="s">
        <v>7363</v>
      </c>
      <c r="P29" s="731" t="str">
        <f>'DICTIONARY-3'!$A$6</f>
        <v>BETA 200</v>
      </c>
      <c r="Q29" s="732" t="str">
        <f>'DICTIONARY-3'!$A$187</f>
        <v>Zasuwa klinowa</v>
      </c>
      <c r="R29" s="732" t="str">
        <f>CONCATENATE('DICTIONARY-3'!$A$6," ",'DICTIONARY-6'!$A$3," ",'DICTIONARY-2'!$A$2,U29," ",'DICTIONARY-2'!$A$3,V29," ","R15",", ",'DICTIONARY-4'!$A$2)</f>
        <v>BETA 200 Zasuwa DN200 PN16 R15, WW</v>
      </c>
      <c r="S29" s="733" t="str">
        <f>'DICTIONARY-4'!$A$2</f>
        <v>WW</v>
      </c>
      <c r="T29" s="732" t="str">
        <f>'DICTIONARY-4'!$A$18</f>
        <v>Wolny wałek</v>
      </c>
      <c r="U29" s="734" t="s">
        <v>5750</v>
      </c>
      <c r="V29" s="735">
        <v>16</v>
      </c>
      <c r="W29" s="736"/>
      <c r="X29" s="737"/>
      <c r="Y29" s="738"/>
      <c r="Z29" s="739"/>
      <c r="AA29" s="739"/>
      <c r="AB29" s="740">
        <v>16</v>
      </c>
      <c r="AC29" s="741" t="str">
        <f>'DICTIONARY-5'!$A$11&amp;" 15"</f>
        <v>EN 558 szereg 15</v>
      </c>
      <c r="AD29" s="741" t="str">
        <f>'DICTIONARY-5'!$A$13</f>
        <v>woda pitna</v>
      </c>
      <c r="AE29" s="742">
        <v>50</v>
      </c>
      <c r="AF29" s="743">
        <v>74.5</v>
      </c>
      <c r="AG29" s="741" t="str">
        <f>'DICTIONARY-5'!$A$23</f>
        <v>powłoka epoksydowa</v>
      </c>
    </row>
    <row r="30" spans="1:33" x14ac:dyDescent="0.25">
      <c r="A30" s="838" t="s">
        <v>5106</v>
      </c>
      <c r="B30" s="838" t="s">
        <v>5339</v>
      </c>
      <c r="C30" s="836">
        <v>1430</v>
      </c>
      <c r="D30" s="836"/>
      <c r="E30" s="836"/>
      <c r="F30" s="836"/>
      <c r="G30" s="496" t="s">
        <v>7787</v>
      </c>
      <c r="H30" s="797" t="str">
        <f>VLOOKUP(G30,SETTINGS!$B$7:$D$97,2,0)</f>
        <v>BETA 200</v>
      </c>
      <c r="I30" s="796">
        <f>VLOOKUP(G30,SETTINGS!$B$7:$D$97,3,0)</f>
        <v>0</v>
      </c>
      <c r="J30" s="670" t="str">
        <f>IFERROR(IF(CURRENCY.FORMAT_1=0,CONCATENATE(TEXT(FIXED(ROUND((C30/EXC.RATE_1),CURRENCY.FORMAT_1),CURRENCY.FORMAT_1,1),"# ##0;-# ##0"),",-"),FIXED(ROUND((C30/EXC.RATE_1),CURRENCY.FORMAT_1),CURRENCY.FORMAT_1,0)),'DICTIONARY-5'!$A$2)</f>
        <v>1 430,-</v>
      </c>
      <c r="K30" s="670" t="str">
        <f>IF(EXC.RATE_2=0,"",IFERROR(IF(CURRENCY.FORMAT_2=0,CONCATENATE(TEXT(FIXED(ROUND(IF(EXC.RATE.SWITCH=1,C30/EXC.RATE_2,C30*EXC.RATE_2),CURRENCY.FORMAT_2),CURRENCY.FORMAT_2,1),"# ##0;-# ##0"),",-"),FIXED(ROUND(IF(EXC.RATE.SWITCH=1,C30/EXC.RATE_2,C30*EXC.RATE_2),CURRENCY.FORMAT_2),CURRENCY.FORMAT_2,0)),'DICTIONARY-5'!$A$2))</f>
        <v/>
      </c>
      <c r="L30" s="670" t="str">
        <f>IFERROR(IF(CURRENCY.FORMAT_1=0,CONCATENATE(TEXT(FIXED(ROUND((C30*(1-I30)*(1-ADD.DISCOUNT)*(1+MAT.SURCHARGE)/EXC.RATE_1),CURRENCY.FORMAT_1),CURRENCY.FORMAT_1,1),"# ##0;-# ##0"),",-"),FIXED(ROUND((C30*(1-I30)*(1-ADD.DISCOUNT)*(1+MAT.SURCHARGE)/EXC.RATE_1),CURRENCY.FORMAT_1),CURRENCY.FORMAT_1,0)),'DICTIONARY-5'!$A$2)</f>
        <v>1 486,-</v>
      </c>
      <c r="M30" s="670" t="str">
        <f>IF(EXC.RATE_2=0,"",IFERROR(IF(CURRENCY.FORMAT_2=0,CONCATENATE(TEXT(FIXED(ROUND(IF(EXC.RATE.SWITCH=1,C30*(1-I30)*(1-ADD.DISCOUNT)*(1+MAT.SURCHARGE)/EXC.RATE_2,C30*(1-I30)*(1-ADD.DISCOUNT)*(1+MAT.SURCHARGE)*EXC.RATE_2),CURRENCY.FORMAT_2),CURRENCY.FORMAT_2,1),"# ##0;-# ##0"),",-"),FIXED(ROUND(IF(EXC.RATE.SWITCH=1,C30*(1-I30)*(1-ADD.DISCOUNT)*(1+MAT.SURCHARGE)/EXC.RATE_2,C30*(1-I30)*(1-ADD.DISCOUNT)*(1+MAT.SURCHARGE)*EXC.RATE_2),CURRENCY.FORMAT_2),CURRENCY.FORMAT_2,0)),'DICTIONARY-5'!$A$2))</f>
        <v/>
      </c>
      <c r="N30" s="496">
        <v>1</v>
      </c>
      <c r="O30" s="654" t="s">
        <v>7363</v>
      </c>
      <c r="P30" s="731" t="str">
        <f>'DICTIONARY-3'!$A$6</f>
        <v>BETA 200</v>
      </c>
      <c r="Q30" s="732" t="str">
        <f>'DICTIONARY-3'!$A$187</f>
        <v>Zasuwa klinowa</v>
      </c>
      <c r="R30" s="732" t="str">
        <f>CONCATENATE('DICTIONARY-3'!$A$6," ",'DICTIONARY-6'!$A$3," ",'DICTIONARY-2'!$A$2,U30," ",'DICTIONARY-2'!$A$3,V30," ","R15",", ",'DICTIONARY-4'!$A$2)</f>
        <v>BETA 200 Zasuwa DN250 PN10 R15, WW</v>
      </c>
      <c r="S30" s="733" t="str">
        <f>'DICTIONARY-4'!$A$2</f>
        <v>WW</v>
      </c>
      <c r="T30" s="732" t="str">
        <f>'DICTIONARY-4'!$A$18</f>
        <v>Wolny wałek</v>
      </c>
      <c r="U30" s="734" t="s">
        <v>5751</v>
      </c>
      <c r="V30" s="735">
        <v>10</v>
      </c>
      <c r="W30" s="736"/>
      <c r="X30" s="737"/>
      <c r="Y30" s="738"/>
      <c r="Z30" s="739"/>
      <c r="AA30" s="739"/>
      <c r="AB30" s="740">
        <v>10</v>
      </c>
      <c r="AC30" s="741" t="str">
        <f>'DICTIONARY-5'!$A$11&amp;" 15"</f>
        <v>EN 558 szereg 15</v>
      </c>
      <c r="AD30" s="741" t="str">
        <f>'DICTIONARY-5'!$A$13</f>
        <v>woda pitna</v>
      </c>
      <c r="AE30" s="742">
        <v>50</v>
      </c>
      <c r="AF30" s="743">
        <v>123</v>
      </c>
      <c r="AG30" s="741" t="str">
        <f>'DICTIONARY-5'!$A$23</f>
        <v>powłoka epoksydowa</v>
      </c>
    </row>
    <row r="31" spans="1:33" x14ac:dyDescent="0.25">
      <c r="A31" s="838" t="s">
        <v>5108</v>
      </c>
      <c r="B31" s="838" t="s">
        <v>5340</v>
      </c>
      <c r="C31" s="836">
        <v>1430</v>
      </c>
      <c r="D31" s="836"/>
      <c r="E31" s="836"/>
      <c r="F31" s="836"/>
      <c r="G31" s="496" t="s">
        <v>7787</v>
      </c>
      <c r="H31" s="797" t="str">
        <f>VLOOKUP(G31,SETTINGS!$B$7:$D$97,2,0)</f>
        <v>BETA 200</v>
      </c>
      <c r="I31" s="796">
        <f>VLOOKUP(G31,SETTINGS!$B$7:$D$97,3,0)</f>
        <v>0</v>
      </c>
      <c r="J31" s="670" t="str">
        <f>IFERROR(IF(CURRENCY.FORMAT_1=0,CONCATENATE(TEXT(FIXED(ROUND((C31/EXC.RATE_1),CURRENCY.FORMAT_1),CURRENCY.FORMAT_1,1),"# ##0;-# ##0"),",-"),FIXED(ROUND((C31/EXC.RATE_1),CURRENCY.FORMAT_1),CURRENCY.FORMAT_1,0)),'DICTIONARY-5'!$A$2)</f>
        <v>1 430,-</v>
      </c>
      <c r="K31" s="670" t="str">
        <f>IF(EXC.RATE_2=0,"",IFERROR(IF(CURRENCY.FORMAT_2=0,CONCATENATE(TEXT(FIXED(ROUND(IF(EXC.RATE.SWITCH=1,C31/EXC.RATE_2,C31*EXC.RATE_2),CURRENCY.FORMAT_2),CURRENCY.FORMAT_2,1),"# ##0;-# ##0"),",-"),FIXED(ROUND(IF(EXC.RATE.SWITCH=1,C31/EXC.RATE_2,C31*EXC.RATE_2),CURRENCY.FORMAT_2),CURRENCY.FORMAT_2,0)),'DICTIONARY-5'!$A$2))</f>
        <v/>
      </c>
      <c r="L31" s="670" t="str">
        <f>IFERROR(IF(CURRENCY.FORMAT_1=0,CONCATENATE(TEXT(FIXED(ROUND((C31*(1-I31)*(1-ADD.DISCOUNT)*(1+MAT.SURCHARGE)/EXC.RATE_1),CURRENCY.FORMAT_1),CURRENCY.FORMAT_1,1),"# ##0;-# ##0"),",-"),FIXED(ROUND((C31*(1-I31)*(1-ADD.DISCOUNT)*(1+MAT.SURCHARGE)/EXC.RATE_1),CURRENCY.FORMAT_1),CURRENCY.FORMAT_1,0)),'DICTIONARY-5'!$A$2)</f>
        <v>1 486,-</v>
      </c>
      <c r="M31" s="670" t="str">
        <f>IF(EXC.RATE_2=0,"",IFERROR(IF(CURRENCY.FORMAT_2=0,CONCATENATE(TEXT(FIXED(ROUND(IF(EXC.RATE.SWITCH=1,C31*(1-I31)*(1-ADD.DISCOUNT)*(1+MAT.SURCHARGE)/EXC.RATE_2,C31*(1-I31)*(1-ADD.DISCOUNT)*(1+MAT.SURCHARGE)*EXC.RATE_2),CURRENCY.FORMAT_2),CURRENCY.FORMAT_2,1),"# ##0;-# ##0"),",-"),FIXED(ROUND(IF(EXC.RATE.SWITCH=1,C31*(1-I31)*(1-ADD.DISCOUNT)*(1+MAT.SURCHARGE)/EXC.RATE_2,C31*(1-I31)*(1-ADD.DISCOUNT)*(1+MAT.SURCHARGE)*EXC.RATE_2),CURRENCY.FORMAT_2),CURRENCY.FORMAT_2,0)),'DICTIONARY-5'!$A$2))</f>
        <v/>
      </c>
      <c r="N31" s="496">
        <v>1</v>
      </c>
      <c r="O31" s="654" t="s">
        <v>7363</v>
      </c>
      <c r="P31" s="731" t="str">
        <f>'DICTIONARY-3'!$A$6</f>
        <v>BETA 200</v>
      </c>
      <c r="Q31" s="732" t="str">
        <f>'DICTIONARY-3'!$A$187</f>
        <v>Zasuwa klinowa</v>
      </c>
      <c r="R31" s="732" t="str">
        <f>CONCATENATE('DICTIONARY-3'!$A$6," ",'DICTIONARY-6'!$A$3," ",'DICTIONARY-2'!$A$2,U31," ",'DICTIONARY-2'!$A$3,V31," ","R15",", ",'DICTIONARY-4'!$A$2)</f>
        <v>BETA 200 Zasuwa DN250 PN16 R15, WW</v>
      </c>
      <c r="S31" s="733" t="str">
        <f>'DICTIONARY-4'!$A$2</f>
        <v>WW</v>
      </c>
      <c r="T31" s="732" t="str">
        <f>'DICTIONARY-4'!$A$18</f>
        <v>Wolny wałek</v>
      </c>
      <c r="U31" s="734" t="s">
        <v>5751</v>
      </c>
      <c r="V31" s="735">
        <v>16</v>
      </c>
      <c r="W31" s="736"/>
      <c r="X31" s="737"/>
      <c r="Y31" s="738"/>
      <c r="Z31" s="739"/>
      <c r="AA31" s="739"/>
      <c r="AB31" s="740">
        <v>16</v>
      </c>
      <c r="AC31" s="741" t="str">
        <f>'DICTIONARY-5'!$A$11&amp;" 15"</f>
        <v>EN 558 szereg 15</v>
      </c>
      <c r="AD31" s="741" t="str">
        <f>'DICTIONARY-5'!$A$13</f>
        <v>woda pitna</v>
      </c>
      <c r="AE31" s="742">
        <v>50</v>
      </c>
      <c r="AF31" s="743">
        <v>121</v>
      </c>
      <c r="AG31" s="741" t="str">
        <f>'DICTIONARY-5'!$A$23</f>
        <v>powłoka epoksydowa</v>
      </c>
    </row>
    <row r="32" spans="1:33" x14ac:dyDescent="0.25">
      <c r="A32" s="838" t="s">
        <v>5110</v>
      </c>
      <c r="B32" s="838" t="s">
        <v>5341</v>
      </c>
      <c r="C32" s="836">
        <v>2102</v>
      </c>
      <c r="D32" s="836"/>
      <c r="E32" s="836"/>
      <c r="F32" s="836"/>
      <c r="G32" s="496" t="s">
        <v>7787</v>
      </c>
      <c r="H32" s="797" t="str">
        <f>VLOOKUP(G32,SETTINGS!$B$7:$D$97,2,0)</f>
        <v>BETA 200</v>
      </c>
      <c r="I32" s="796">
        <f>VLOOKUP(G32,SETTINGS!$B$7:$D$97,3,0)</f>
        <v>0</v>
      </c>
      <c r="J32" s="670" t="str">
        <f>IFERROR(IF(CURRENCY.FORMAT_1=0,CONCATENATE(TEXT(FIXED(ROUND((C32/EXC.RATE_1),CURRENCY.FORMAT_1),CURRENCY.FORMAT_1,1),"# ##0;-# ##0"),",-"),FIXED(ROUND((C32/EXC.RATE_1),CURRENCY.FORMAT_1),CURRENCY.FORMAT_1,0)),'DICTIONARY-5'!$A$2)</f>
        <v>2 102,-</v>
      </c>
      <c r="K32" s="670" t="str">
        <f>IF(EXC.RATE_2=0,"",IFERROR(IF(CURRENCY.FORMAT_2=0,CONCATENATE(TEXT(FIXED(ROUND(IF(EXC.RATE.SWITCH=1,C32/EXC.RATE_2,C32*EXC.RATE_2),CURRENCY.FORMAT_2),CURRENCY.FORMAT_2,1),"# ##0;-# ##0"),",-"),FIXED(ROUND(IF(EXC.RATE.SWITCH=1,C32/EXC.RATE_2,C32*EXC.RATE_2),CURRENCY.FORMAT_2),CURRENCY.FORMAT_2,0)),'DICTIONARY-5'!$A$2))</f>
        <v/>
      </c>
      <c r="L32" s="670" t="str">
        <f>IFERROR(IF(CURRENCY.FORMAT_1=0,CONCATENATE(TEXT(FIXED(ROUND((C32*(1-I32)*(1-ADD.DISCOUNT)*(1+MAT.SURCHARGE)/EXC.RATE_1),CURRENCY.FORMAT_1),CURRENCY.FORMAT_1,1),"# ##0;-# ##0"),",-"),FIXED(ROUND((C32*(1-I32)*(1-ADD.DISCOUNT)*(1+MAT.SURCHARGE)/EXC.RATE_1),CURRENCY.FORMAT_1),CURRENCY.FORMAT_1,0)),'DICTIONARY-5'!$A$2)</f>
        <v>2 184,-</v>
      </c>
      <c r="M32" s="670" t="str">
        <f>IF(EXC.RATE_2=0,"",IFERROR(IF(CURRENCY.FORMAT_2=0,CONCATENATE(TEXT(FIXED(ROUND(IF(EXC.RATE.SWITCH=1,C32*(1-I32)*(1-ADD.DISCOUNT)*(1+MAT.SURCHARGE)/EXC.RATE_2,C32*(1-I32)*(1-ADD.DISCOUNT)*(1+MAT.SURCHARGE)*EXC.RATE_2),CURRENCY.FORMAT_2),CURRENCY.FORMAT_2,1),"# ##0;-# ##0"),",-"),FIXED(ROUND(IF(EXC.RATE.SWITCH=1,C32*(1-I32)*(1-ADD.DISCOUNT)*(1+MAT.SURCHARGE)/EXC.RATE_2,C32*(1-I32)*(1-ADD.DISCOUNT)*(1+MAT.SURCHARGE)*EXC.RATE_2),CURRENCY.FORMAT_2),CURRENCY.FORMAT_2,0)),'DICTIONARY-5'!$A$2))</f>
        <v/>
      </c>
      <c r="N32" s="496">
        <v>1</v>
      </c>
      <c r="O32" s="654" t="s">
        <v>7363</v>
      </c>
      <c r="P32" s="731" t="str">
        <f>'DICTIONARY-3'!$A$6</f>
        <v>BETA 200</v>
      </c>
      <c r="Q32" s="732" t="str">
        <f>'DICTIONARY-3'!$A$187</f>
        <v>Zasuwa klinowa</v>
      </c>
      <c r="R32" s="732" t="str">
        <f>CONCATENATE('DICTIONARY-3'!$A$6," ",'DICTIONARY-6'!$A$3," ",'DICTIONARY-2'!$A$2,U32," ",'DICTIONARY-2'!$A$3,V32," ","R15",", ",'DICTIONARY-4'!$A$2)</f>
        <v>BETA 200 Zasuwa DN300 PN10 R15, WW</v>
      </c>
      <c r="S32" s="733" t="str">
        <f>'DICTIONARY-4'!$A$2</f>
        <v>WW</v>
      </c>
      <c r="T32" s="732" t="str">
        <f>'DICTIONARY-4'!$A$18</f>
        <v>Wolny wałek</v>
      </c>
      <c r="U32" s="734" t="s">
        <v>5752</v>
      </c>
      <c r="V32" s="735">
        <v>10</v>
      </c>
      <c r="W32" s="736"/>
      <c r="X32" s="737"/>
      <c r="Y32" s="738"/>
      <c r="Z32" s="739"/>
      <c r="AA32" s="739"/>
      <c r="AB32" s="740">
        <v>10</v>
      </c>
      <c r="AC32" s="741" t="str">
        <f>'DICTIONARY-5'!$A$11&amp;" 15"</f>
        <v>EN 558 szereg 15</v>
      </c>
      <c r="AD32" s="741" t="str">
        <f>'DICTIONARY-5'!$A$13</f>
        <v>woda pitna</v>
      </c>
      <c r="AE32" s="742">
        <v>50</v>
      </c>
      <c r="AF32" s="743">
        <v>175.5</v>
      </c>
      <c r="AG32" s="741" t="str">
        <f>'DICTIONARY-5'!$A$23</f>
        <v>powłoka epoksydowa</v>
      </c>
    </row>
    <row r="33" spans="1:33" x14ac:dyDescent="0.25">
      <c r="A33" s="838" t="s">
        <v>5112</v>
      </c>
      <c r="B33" s="838" t="s">
        <v>5342</v>
      </c>
      <c r="C33" s="836">
        <v>2099</v>
      </c>
      <c r="D33" s="836"/>
      <c r="E33" s="836"/>
      <c r="F33" s="836"/>
      <c r="G33" s="496" t="s">
        <v>7787</v>
      </c>
      <c r="H33" s="797" t="str">
        <f>VLOOKUP(G33,SETTINGS!$B$7:$D$97,2,0)</f>
        <v>BETA 200</v>
      </c>
      <c r="I33" s="796">
        <f>VLOOKUP(G33,SETTINGS!$B$7:$D$97,3,0)</f>
        <v>0</v>
      </c>
      <c r="J33" s="670" t="str">
        <f>IFERROR(IF(CURRENCY.FORMAT_1=0,CONCATENATE(TEXT(FIXED(ROUND((C33/EXC.RATE_1),CURRENCY.FORMAT_1),CURRENCY.FORMAT_1,1),"# ##0;-# ##0"),",-"),FIXED(ROUND((C33/EXC.RATE_1),CURRENCY.FORMAT_1),CURRENCY.FORMAT_1,0)),'DICTIONARY-5'!$A$2)</f>
        <v>2 099,-</v>
      </c>
      <c r="K33" s="670" t="str">
        <f>IF(EXC.RATE_2=0,"",IFERROR(IF(CURRENCY.FORMAT_2=0,CONCATENATE(TEXT(FIXED(ROUND(IF(EXC.RATE.SWITCH=1,C33/EXC.RATE_2,C33*EXC.RATE_2),CURRENCY.FORMAT_2),CURRENCY.FORMAT_2,1),"# ##0;-# ##0"),",-"),FIXED(ROUND(IF(EXC.RATE.SWITCH=1,C33/EXC.RATE_2,C33*EXC.RATE_2),CURRENCY.FORMAT_2),CURRENCY.FORMAT_2,0)),'DICTIONARY-5'!$A$2))</f>
        <v/>
      </c>
      <c r="L33" s="670" t="str">
        <f>IFERROR(IF(CURRENCY.FORMAT_1=0,CONCATENATE(TEXT(FIXED(ROUND((C33*(1-I33)*(1-ADD.DISCOUNT)*(1+MAT.SURCHARGE)/EXC.RATE_1),CURRENCY.FORMAT_1),CURRENCY.FORMAT_1,1),"# ##0;-# ##0"),",-"),FIXED(ROUND((C33*(1-I33)*(1-ADD.DISCOUNT)*(1+MAT.SURCHARGE)/EXC.RATE_1),CURRENCY.FORMAT_1),CURRENCY.FORMAT_1,0)),'DICTIONARY-5'!$A$2)</f>
        <v>2 181,-</v>
      </c>
      <c r="M33" s="670" t="str">
        <f>IF(EXC.RATE_2=0,"",IFERROR(IF(CURRENCY.FORMAT_2=0,CONCATENATE(TEXT(FIXED(ROUND(IF(EXC.RATE.SWITCH=1,C33*(1-I33)*(1-ADD.DISCOUNT)*(1+MAT.SURCHARGE)/EXC.RATE_2,C33*(1-I33)*(1-ADD.DISCOUNT)*(1+MAT.SURCHARGE)*EXC.RATE_2),CURRENCY.FORMAT_2),CURRENCY.FORMAT_2,1),"# ##0;-# ##0"),",-"),FIXED(ROUND(IF(EXC.RATE.SWITCH=1,C33*(1-I33)*(1-ADD.DISCOUNT)*(1+MAT.SURCHARGE)/EXC.RATE_2,C33*(1-I33)*(1-ADD.DISCOUNT)*(1+MAT.SURCHARGE)*EXC.RATE_2),CURRENCY.FORMAT_2),CURRENCY.FORMAT_2,0)),'DICTIONARY-5'!$A$2))</f>
        <v/>
      </c>
      <c r="N33" s="496">
        <v>1</v>
      </c>
      <c r="O33" s="654" t="s">
        <v>7363</v>
      </c>
      <c r="P33" s="731" t="str">
        <f>'DICTIONARY-3'!$A$6</f>
        <v>BETA 200</v>
      </c>
      <c r="Q33" s="732" t="str">
        <f>'DICTIONARY-3'!$A$187</f>
        <v>Zasuwa klinowa</v>
      </c>
      <c r="R33" s="732" t="str">
        <f>CONCATENATE('DICTIONARY-3'!$A$6," ",'DICTIONARY-6'!$A$3," ",'DICTIONARY-2'!$A$2,U33," ",'DICTIONARY-2'!$A$3,V33," ","R15",", ",'DICTIONARY-4'!$A$2)</f>
        <v>BETA 200 Zasuwa DN300 PN16 R15, WW</v>
      </c>
      <c r="S33" s="733" t="str">
        <f>'DICTIONARY-4'!$A$2</f>
        <v>WW</v>
      </c>
      <c r="T33" s="732" t="str">
        <f>'DICTIONARY-4'!$A$18</f>
        <v>Wolny wałek</v>
      </c>
      <c r="U33" s="734" t="s">
        <v>5752</v>
      </c>
      <c r="V33" s="735">
        <v>16</v>
      </c>
      <c r="W33" s="736"/>
      <c r="X33" s="737"/>
      <c r="Y33" s="738"/>
      <c r="Z33" s="739"/>
      <c r="AA33" s="739"/>
      <c r="AB33" s="740">
        <v>16</v>
      </c>
      <c r="AC33" s="741" t="str">
        <f>'DICTIONARY-5'!$A$11&amp;" 15"</f>
        <v>EN 558 szereg 15</v>
      </c>
      <c r="AD33" s="741" t="str">
        <f>'DICTIONARY-5'!$A$13</f>
        <v>woda pitna</v>
      </c>
      <c r="AE33" s="742">
        <v>50</v>
      </c>
      <c r="AF33" s="743">
        <v>176.5</v>
      </c>
      <c r="AG33" s="741" t="str">
        <f>'DICTIONARY-5'!$A$23</f>
        <v>powłoka epoksydowa</v>
      </c>
    </row>
    <row r="34" spans="1:33" x14ac:dyDescent="0.25">
      <c r="A34" s="839" t="s">
        <v>87</v>
      </c>
      <c r="B34" s="839" t="s">
        <v>3509</v>
      </c>
      <c r="C34" s="836">
        <v>407</v>
      </c>
      <c r="D34" s="836"/>
      <c r="E34" s="836"/>
      <c r="F34" s="836"/>
      <c r="G34" s="496" t="s">
        <v>7788</v>
      </c>
      <c r="H34" s="797" t="str">
        <f>VLOOKUP(G34,SETTINGS!$B$7:$D$97,2,0)</f>
        <v>BETA 200 Exchange Valve</v>
      </c>
      <c r="I34" s="796">
        <f>VLOOKUP(G34,SETTINGS!$B$7:$D$97,3,0)</f>
        <v>0</v>
      </c>
      <c r="J34" s="670" t="str">
        <f>IFERROR(IF(CURRENCY.FORMAT_1=0,CONCATENATE(TEXT(FIXED(ROUND((C34/EXC.RATE_1),CURRENCY.FORMAT_1),CURRENCY.FORMAT_1,1),"# ##0;-# ##0"),",-"),FIXED(ROUND((C34/EXC.RATE_1),CURRENCY.FORMAT_1),CURRENCY.FORMAT_1,0)),'DICTIONARY-5'!$A$2)</f>
        <v>407,-</v>
      </c>
      <c r="K34" s="670" t="str">
        <f>IF(EXC.RATE_2=0,"",IFERROR(IF(CURRENCY.FORMAT_2=0,CONCATENATE(TEXT(FIXED(ROUND(IF(EXC.RATE.SWITCH=1,C34/EXC.RATE_2,C34*EXC.RATE_2),CURRENCY.FORMAT_2),CURRENCY.FORMAT_2,1),"# ##0;-# ##0"),",-"),FIXED(ROUND(IF(EXC.RATE.SWITCH=1,C34/EXC.RATE_2,C34*EXC.RATE_2),CURRENCY.FORMAT_2),CURRENCY.FORMAT_2,0)),'DICTIONARY-5'!$A$2))</f>
        <v/>
      </c>
      <c r="L34" s="670" t="str">
        <f>IFERROR(IF(CURRENCY.FORMAT_1=0,CONCATENATE(TEXT(FIXED(ROUND((C34*(1-I34)*(1-ADD.DISCOUNT)*(1+MAT.SURCHARGE)/EXC.RATE_1),CURRENCY.FORMAT_1),CURRENCY.FORMAT_1,1),"# ##0;-# ##0"),",-"),FIXED(ROUND((C34*(1-I34)*(1-ADD.DISCOUNT)*(1+MAT.SURCHARGE)/EXC.RATE_1),CURRENCY.FORMAT_1),CURRENCY.FORMAT_1,0)),'DICTIONARY-5'!$A$2)</f>
        <v>423,-</v>
      </c>
      <c r="M34" s="670" t="str">
        <f>IF(EXC.RATE_2=0,"",IFERROR(IF(CURRENCY.FORMAT_2=0,CONCATENATE(TEXT(FIXED(ROUND(IF(EXC.RATE.SWITCH=1,C34*(1-I34)*(1-ADD.DISCOUNT)*(1+MAT.SURCHARGE)/EXC.RATE_2,C34*(1-I34)*(1-ADD.DISCOUNT)*(1+MAT.SURCHARGE)*EXC.RATE_2),CURRENCY.FORMAT_2),CURRENCY.FORMAT_2,1),"# ##0;-# ##0"),",-"),FIXED(ROUND(IF(EXC.RATE.SWITCH=1,C34*(1-I34)*(1-ADD.DISCOUNT)*(1+MAT.SURCHARGE)/EXC.RATE_2,C34*(1-I34)*(1-ADD.DISCOUNT)*(1+MAT.SURCHARGE)*EXC.RATE_2),CURRENCY.FORMAT_2),CURRENCY.FORMAT_2,0)),'DICTIONARY-5'!$A$2))</f>
        <v/>
      </c>
      <c r="N34" s="496">
        <v>1</v>
      </c>
      <c r="O34" s="496"/>
      <c r="P34" s="731" t="str">
        <f>'DICTIONARY-3'!$A$7</f>
        <v>BETA 200 TS</v>
      </c>
      <c r="Q34" s="732" t="str">
        <f>'DICTIONARY-3'!$A$187</f>
        <v>Zasuwa klinowa</v>
      </c>
      <c r="R34" s="732" t="str">
        <f>CONCATENATE('DICTIONARY-3'!$A$7," ",'DICTIONARY-6'!$A$3," ",'DICTIONARY-2'!$A$2,"80"," ",'DICTIONARY-2'!$A$3,"10/16"," ",'DICTIONARY-2'!$A$24,"=","266-282",", ",'DICTIONARY-4'!$A$2)</f>
        <v>BETA 200 TS Zasuwa DN80 PN10/16 L=266-282, WW</v>
      </c>
      <c r="S34" s="733" t="str">
        <f>'DICTIONARY-4'!$A$2</f>
        <v>WW</v>
      </c>
      <c r="T34" s="732" t="str">
        <f>'DICTIONARY-4'!$A$18</f>
        <v>Wolny wałek</v>
      </c>
      <c r="U34" s="734" t="s">
        <v>5760</v>
      </c>
      <c r="V34" s="735">
        <v>16</v>
      </c>
      <c r="W34" s="736"/>
      <c r="X34" s="737"/>
      <c r="Y34" s="738"/>
      <c r="Z34" s="739"/>
      <c r="AA34" s="739"/>
      <c r="AB34" s="740">
        <v>16</v>
      </c>
      <c r="AC34" s="741" t="str">
        <f>'DICTIONARY-5'!$A$11&amp;" 15"</f>
        <v>EN 558 szereg 15</v>
      </c>
      <c r="AD34" s="741" t="str">
        <f>'DICTIONARY-5'!$A$13</f>
        <v>woda pitna</v>
      </c>
      <c r="AE34" s="742">
        <v>50</v>
      </c>
      <c r="AF34" s="743">
        <v>20.5</v>
      </c>
      <c r="AG34" s="741" t="str">
        <f>'DICTIONARY-5'!$A$23</f>
        <v>powłoka epoksydowa</v>
      </c>
    </row>
    <row r="35" spans="1:33" x14ac:dyDescent="0.25">
      <c r="A35" s="839" t="s">
        <v>90</v>
      </c>
      <c r="B35" s="839" t="s">
        <v>3510</v>
      </c>
      <c r="C35" s="836">
        <v>446</v>
      </c>
      <c r="D35" s="836"/>
      <c r="E35" s="836"/>
      <c r="F35" s="836"/>
      <c r="G35" s="496" t="s">
        <v>7788</v>
      </c>
      <c r="H35" s="797" t="str">
        <f>VLOOKUP(G35,SETTINGS!$B$7:$D$97,2,0)</f>
        <v>BETA 200 Exchange Valve</v>
      </c>
      <c r="I35" s="796">
        <f>VLOOKUP(G35,SETTINGS!$B$7:$D$97,3,0)</f>
        <v>0</v>
      </c>
      <c r="J35" s="670" t="str">
        <f>IFERROR(IF(CURRENCY.FORMAT_1=0,CONCATENATE(TEXT(FIXED(ROUND((C35/EXC.RATE_1),CURRENCY.FORMAT_1),CURRENCY.FORMAT_1,1),"# ##0;-# ##0"),",-"),FIXED(ROUND((C35/EXC.RATE_1),CURRENCY.FORMAT_1),CURRENCY.FORMAT_1,0)),'DICTIONARY-5'!$A$2)</f>
        <v>446,-</v>
      </c>
      <c r="K35" s="670" t="str">
        <f>IF(EXC.RATE_2=0,"",IFERROR(IF(CURRENCY.FORMAT_2=0,CONCATENATE(TEXT(FIXED(ROUND(IF(EXC.RATE.SWITCH=1,C35/EXC.RATE_2,C35*EXC.RATE_2),CURRENCY.FORMAT_2),CURRENCY.FORMAT_2,1),"# ##0;-# ##0"),",-"),FIXED(ROUND(IF(EXC.RATE.SWITCH=1,C35/EXC.RATE_2,C35*EXC.RATE_2),CURRENCY.FORMAT_2),CURRENCY.FORMAT_2,0)),'DICTIONARY-5'!$A$2))</f>
        <v/>
      </c>
      <c r="L35" s="670" t="str">
        <f>IFERROR(IF(CURRENCY.FORMAT_1=0,CONCATENATE(TEXT(FIXED(ROUND((C35*(1-I35)*(1-ADD.DISCOUNT)*(1+MAT.SURCHARGE)/EXC.RATE_1),CURRENCY.FORMAT_1),CURRENCY.FORMAT_1,1),"# ##0;-# ##0"),",-"),FIXED(ROUND((C35*(1-I35)*(1-ADD.DISCOUNT)*(1+MAT.SURCHARGE)/EXC.RATE_1),CURRENCY.FORMAT_1),CURRENCY.FORMAT_1,0)),'DICTIONARY-5'!$A$2)</f>
        <v>463,-</v>
      </c>
      <c r="M35" s="670" t="str">
        <f>IF(EXC.RATE_2=0,"",IFERROR(IF(CURRENCY.FORMAT_2=0,CONCATENATE(TEXT(FIXED(ROUND(IF(EXC.RATE.SWITCH=1,C35*(1-I35)*(1-ADD.DISCOUNT)*(1+MAT.SURCHARGE)/EXC.RATE_2,C35*(1-I35)*(1-ADD.DISCOUNT)*(1+MAT.SURCHARGE)*EXC.RATE_2),CURRENCY.FORMAT_2),CURRENCY.FORMAT_2,1),"# ##0;-# ##0"),",-"),FIXED(ROUND(IF(EXC.RATE.SWITCH=1,C35*(1-I35)*(1-ADD.DISCOUNT)*(1+MAT.SURCHARGE)/EXC.RATE_2,C35*(1-I35)*(1-ADD.DISCOUNT)*(1+MAT.SURCHARGE)*EXC.RATE_2),CURRENCY.FORMAT_2),CURRENCY.FORMAT_2,0)),'DICTIONARY-5'!$A$2))</f>
        <v/>
      </c>
      <c r="N35" s="496">
        <v>1</v>
      </c>
      <c r="O35" s="496"/>
      <c r="P35" s="731" t="str">
        <f>'DICTIONARY-3'!$A$7</f>
        <v>BETA 200 TS</v>
      </c>
      <c r="Q35" s="732" t="str">
        <f>'DICTIONARY-3'!$A$187</f>
        <v>Zasuwa klinowa</v>
      </c>
      <c r="R35" s="732" t="str">
        <f>CONCATENATE('DICTIONARY-3'!$A$7," ",'DICTIONARY-6'!$A$3," ",'DICTIONARY-2'!$A$2,"100"," ",'DICTIONARY-2'!$A$3,"10/16"," ",'DICTIONARY-2'!$A$24,"=","286-302",", ",'DICTIONARY-4'!$A$2)</f>
        <v>BETA 200 TS Zasuwa DN100 PN10/16 L=286-302, WW</v>
      </c>
      <c r="S35" s="733" t="str">
        <f>'DICTIONARY-4'!$A$2</f>
        <v>WW</v>
      </c>
      <c r="T35" s="732" t="str">
        <f>'DICTIONARY-4'!$A$18</f>
        <v>Wolny wałek</v>
      </c>
      <c r="U35" s="734" t="s">
        <v>5749</v>
      </c>
      <c r="V35" s="735">
        <v>16</v>
      </c>
      <c r="W35" s="736"/>
      <c r="X35" s="737"/>
      <c r="Y35" s="738"/>
      <c r="Z35" s="739"/>
      <c r="AA35" s="739"/>
      <c r="AB35" s="740">
        <v>16</v>
      </c>
      <c r="AC35" s="741" t="str">
        <f>'DICTIONARY-5'!$A$11&amp;" 15"</f>
        <v>EN 558 szereg 15</v>
      </c>
      <c r="AD35" s="741" t="str">
        <f>'DICTIONARY-5'!$A$13</f>
        <v>woda pitna</v>
      </c>
      <c r="AE35" s="742">
        <v>50</v>
      </c>
      <c r="AF35" s="743">
        <v>27.5</v>
      </c>
      <c r="AG35" s="741" t="str">
        <f>'DICTIONARY-5'!$A$23</f>
        <v>powłoka epoksydowa</v>
      </c>
    </row>
    <row r="36" spans="1:33" x14ac:dyDescent="0.25">
      <c r="A36" s="839" t="s">
        <v>93</v>
      </c>
      <c r="B36" s="839" t="s">
        <v>3511</v>
      </c>
      <c r="C36" s="836">
        <v>653</v>
      </c>
      <c r="D36" s="836"/>
      <c r="E36" s="836"/>
      <c r="F36" s="836"/>
      <c r="G36" s="496" t="s">
        <v>7788</v>
      </c>
      <c r="H36" s="797" t="str">
        <f>VLOOKUP(G36,SETTINGS!$B$7:$D$97,2,0)</f>
        <v>BETA 200 Exchange Valve</v>
      </c>
      <c r="I36" s="796">
        <f>VLOOKUP(G36,SETTINGS!$B$7:$D$97,3,0)</f>
        <v>0</v>
      </c>
      <c r="J36" s="670" t="str">
        <f>IFERROR(IF(CURRENCY.FORMAT_1=0,CONCATENATE(TEXT(FIXED(ROUND((C36/EXC.RATE_1),CURRENCY.FORMAT_1),CURRENCY.FORMAT_1,1),"# ##0;-# ##0"),",-"),FIXED(ROUND((C36/EXC.RATE_1),CURRENCY.FORMAT_1),CURRENCY.FORMAT_1,0)),'DICTIONARY-5'!$A$2)</f>
        <v>653,-</v>
      </c>
      <c r="K36" s="670" t="str">
        <f>IF(EXC.RATE_2=0,"",IFERROR(IF(CURRENCY.FORMAT_2=0,CONCATENATE(TEXT(FIXED(ROUND(IF(EXC.RATE.SWITCH=1,C36/EXC.RATE_2,C36*EXC.RATE_2),CURRENCY.FORMAT_2),CURRENCY.FORMAT_2,1),"# ##0;-# ##0"),",-"),FIXED(ROUND(IF(EXC.RATE.SWITCH=1,C36/EXC.RATE_2,C36*EXC.RATE_2),CURRENCY.FORMAT_2),CURRENCY.FORMAT_2,0)),'DICTIONARY-5'!$A$2))</f>
        <v/>
      </c>
      <c r="L36" s="670" t="str">
        <f>IFERROR(IF(CURRENCY.FORMAT_1=0,CONCATENATE(TEXT(FIXED(ROUND((C36*(1-I36)*(1-ADD.DISCOUNT)*(1+MAT.SURCHARGE)/EXC.RATE_1),CURRENCY.FORMAT_1),CURRENCY.FORMAT_1,1),"# ##0;-# ##0"),",-"),FIXED(ROUND((C36*(1-I36)*(1-ADD.DISCOUNT)*(1+MAT.SURCHARGE)/EXC.RATE_1),CURRENCY.FORMAT_1),CURRENCY.FORMAT_1,0)),'DICTIONARY-5'!$A$2)</f>
        <v>678,-</v>
      </c>
      <c r="M36" s="670" t="str">
        <f>IF(EXC.RATE_2=0,"",IFERROR(IF(CURRENCY.FORMAT_2=0,CONCATENATE(TEXT(FIXED(ROUND(IF(EXC.RATE.SWITCH=1,C36*(1-I36)*(1-ADD.DISCOUNT)*(1+MAT.SURCHARGE)/EXC.RATE_2,C36*(1-I36)*(1-ADD.DISCOUNT)*(1+MAT.SURCHARGE)*EXC.RATE_2),CURRENCY.FORMAT_2),CURRENCY.FORMAT_2,1),"# ##0;-# ##0"),",-"),FIXED(ROUND(IF(EXC.RATE.SWITCH=1,C36*(1-I36)*(1-ADD.DISCOUNT)*(1+MAT.SURCHARGE)/EXC.RATE_2,C36*(1-I36)*(1-ADD.DISCOUNT)*(1+MAT.SURCHARGE)*EXC.RATE_2),CURRENCY.FORMAT_2),CURRENCY.FORMAT_2,0)),'DICTIONARY-5'!$A$2))</f>
        <v/>
      </c>
      <c r="N36" s="496">
        <v>1</v>
      </c>
      <c r="O36" s="496"/>
      <c r="P36" s="731" t="str">
        <f>'DICTIONARY-3'!$A$7</f>
        <v>BETA 200 TS</v>
      </c>
      <c r="Q36" s="732" t="str">
        <f>'DICTIONARY-3'!$A$187</f>
        <v>Zasuwa klinowa</v>
      </c>
      <c r="R36" s="732" t="str">
        <f>CONCATENATE('DICTIONARY-3'!$A$7," ",'DICTIONARY-6'!$A$3," ",'DICTIONARY-2'!$A$2,"125"," ",'DICTIONARY-2'!$A$3,"10/16"," ",'DICTIONARY-2'!$A$24,"=","311-327",", ",'DICTIONARY-4'!$A$2)</f>
        <v>BETA 200 TS Zasuwa DN125 PN10/16 L=311-327, WW</v>
      </c>
      <c r="S36" s="733" t="str">
        <f>'DICTIONARY-4'!$A$2</f>
        <v>WW</v>
      </c>
      <c r="T36" s="732" t="str">
        <f>'DICTIONARY-4'!$A$18</f>
        <v>Wolny wałek</v>
      </c>
      <c r="U36" s="734" t="s">
        <v>5761</v>
      </c>
      <c r="V36" s="735">
        <v>16</v>
      </c>
      <c r="W36" s="736"/>
      <c r="X36" s="737"/>
      <c r="Y36" s="738"/>
      <c r="Z36" s="739"/>
      <c r="AA36" s="739"/>
      <c r="AB36" s="740">
        <v>16</v>
      </c>
      <c r="AC36" s="741" t="str">
        <f>'DICTIONARY-5'!$A$11&amp;" 15"</f>
        <v>EN 558 szereg 15</v>
      </c>
      <c r="AD36" s="741" t="str">
        <f>'DICTIONARY-5'!$A$13</f>
        <v>woda pitna</v>
      </c>
      <c r="AE36" s="742">
        <v>50</v>
      </c>
      <c r="AF36" s="743">
        <v>38</v>
      </c>
      <c r="AG36" s="741" t="str">
        <f>'DICTIONARY-5'!$A$23</f>
        <v>powłoka epoksydowa</v>
      </c>
    </row>
    <row r="37" spans="1:33" x14ac:dyDescent="0.25">
      <c r="A37" s="839" t="s">
        <v>95</v>
      </c>
      <c r="B37" s="839" t="s">
        <v>3512</v>
      </c>
      <c r="C37" s="836">
        <v>631</v>
      </c>
      <c r="D37" s="836"/>
      <c r="E37" s="836"/>
      <c r="F37" s="836"/>
      <c r="G37" s="496" t="s">
        <v>7788</v>
      </c>
      <c r="H37" s="797" t="str">
        <f>VLOOKUP(G37,SETTINGS!$B$7:$D$97,2,0)</f>
        <v>BETA 200 Exchange Valve</v>
      </c>
      <c r="I37" s="796">
        <f>VLOOKUP(G37,SETTINGS!$B$7:$D$97,3,0)</f>
        <v>0</v>
      </c>
      <c r="J37" s="670" t="str">
        <f>IFERROR(IF(CURRENCY.FORMAT_1=0,CONCATENATE(TEXT(FIXED(ROUND((C37/EXC.RATE_1),CURRENCY.FORMAT_1),CURRENCY.FORMAT_1,1),"# ##0;-# ##0"),",-"),FIXED(ROUND((C37/EXC.RATE_1),CURRENCY.FORMAT_1),CURRENCY.FORMAT_1,0)),'DICTIONARY-5'!$A$2)</f>
        <v>631,-</v>
      </c>
      <c r="K37" s="670" t="str">
        <f>IF(EXC.RATE_2=0,"",IFERROR(IF(CURRENCY.FORMAT_2=0,CONCATENATE(TEXT(FIXED(ROUND(IF(EXC.RATE.SWITCH=1,C37/EXC.RATE_2,C37*EXC.RATE_2),CURRENCY.FORMAT_2),CURRENCY.FORMAT_2,1),"# ##0;-# ##0"),",-"),FIXED(ROUND(IF(EXC.RATE.SWITCH=1,C37/EXC.RATE_2,C37*EXC.RATE_2),CURRENCY.FORMAT_2),CURRENCY.FORMAT_2,0)),'DICTIONARY-5'!$A$2))</f>
        <v/>
      </c>
      <c r="L37" s="670" t="str">
        <f>IFERROR(IF(CURRENCY.FORMAT_1=0,CONCATENATE(TEXT(FIXED(ROUND((C37*(1-I37)*(1-ADD.DISCOUNT)*(1+MAT.SURCHARGE)/EXC.RATE_1),CURRENCY.FORMAT_1),CURRENCY.FORMAT_1,1),"# ##0;-# ##0"),",-"),FIXED(ROUND((C37*(1-I37)*(1-ADD.DISCOUNT)*(1+MAT.SURCHARGE)/EXC.RATE_1),CURRENCY.FORMAT_1),CURRENCY.FORMAT_1,0)),'DICTIONARY-5'!$A$2)</f>
        <v>656,-</v>
      </c>
      <c r="M37" s="670" t="str">
        <f>IF(EXC.RATE_2=0,"",IFERROR(IF(CURRENCY.FORMAT_2=0,CONCATENATE(TEXT(FIXED(ROUND(IF(EXC.RATE.SWITCH=1,C37*(1-I37)*(1-ADD.DISCOUNT)*(1+MAT.SURCHARGE)/EXC.RATE_2,C37*(1-I37)*(1-ADD.DISCOUNT)*(1+MAT.SURCHARGE)*EXC.RATE_2),CURRENCY.FORMAT_2),CURRENCY.FORMAT_2,1),"# ##0;-# ##0"),",-"),FIXED(ROUND(IF(EXC.RATE.SWITCH=1,C37*(1-I37)*(1-ADD.DISCOUNT)*(1+MAT.SURCHARGE)/EXC.RATE_2,C37*(1-I37)*(1-ADD.DISCOUNT)*(1+MAT.SURCHARGE)*EXC.RATE_2),CURRENCY.FORMAT_2),CURRENCY.FORMAT_2,0)),'DICTIONARY-5'!$A$2))</f>
        <v/>
      </c>
      <c r="N37" s="496">
        <v>1</v>
      </c>
      <c r="O37" s="496"/>
      <c r="P37" s="731" t="str">
        <f>'DICTIONARY-3'!$A$7</f>
        <v>BETA 200 TS</v>
      </c>
      <c r="Q37" s="732" t="str">
        <f>'DICTIONARY-3'!$A$187</f>
        <v>Zasuwa klinowa</v>
      </c>
      <c r="R37" s="732" t="str">
        <f>CONCATENATE('DICTIONARY-3'!$A$7," ",'DICTIONARY-6'!$A$3," ",'DICTIONARY-2'!$A$2,"150"," ",'DICTIONARY-2'!$A$3,"10/16"," ",'DICTIONARY-2'!$A$24,"=","336-350",", ",'DICTIONARY-4'!$A$2)</f>
        <v>BETA 200 TS Zasuwa DN150 PN10/16 L=336-350, WW</v>
      </c>
      <c r="S37" s="733" t="str">
        <f>'DICTIONARY-4'!$A$2</f>
        <v>WW</v>
      </c>
      <c r="T37" s="732" t="str">
        <f>'DICTIONARY-4'!$A$18</f>
        <v>Wolny wałek</v>
      </c>
      <c r="U37" s="734" t="s">
        <v>5572</v>
      </c>
      <c r="V37" s="735">
        <v>16</v>
      </c>
      <c r="W37" s="736"/>
      <c r="X37" s="737"/>
      <c r="Y37" s="738"/>
      <c r="Z37" s="739"/>
      <c r="AA37" s="739"/>
      <c r="AB37" s="740">
        <v>16</v>
      </c>
      <c r="AC37" s="741" t="str">
        <f>'DICTIONARY-5'!$A$11&amp;" 15"</f>
        <v>EN 558 szereg 15</v>
      </c>
      <c r="AD37" s="741" t="str">
        <f>'DICTIONARY-5'!$A$13</f>
        <v>woda pitna</v>
      </c>
      <c r="AE37" s="742">
        <v>50</v>
      </c>
      <c r="AF37" s="743">
        <v>49</v>
      </c>
      <c r="AG37" s="741" t="str">
        <f>'DICTIONARY-5'!$A$23</f>
        <v>powłoka epoksydowa</v>
      </c>
    </row>
    <row r="38" spans="1:33" x14ac:dyDescent="0.25">
      <c r="A38" s="839" t="s">
        <v>97</v>
      </c>
      <c r="B38" s="839" t="s">
        <v>3516</v>
      </c>
      <c r="C38" s="836">
        <v>997</v>
      </c>
      <c r="D38" s="836"/>
      <c r="E38" s="836"/>
      <c r="F38" s="836"/>
      <c r="G38" s="496" t="s">
        <v>7788</v>
      </c>
      <c r="H38" s="797" t="str">
        <f>VLOOKUP(G38,SETTINGS!$B$7:$D$97,2,0)</f>
        <v>BETA 200 Exchange Valve</v>
      </c>
      <c r="I38" s="796">
        <f>VLOOKUP(G38,SETTINGS!$B$7:$D$97,3,0)</f>
        <v>0</v>
      </c>
      <c r="J38" s="670" t="str">
        <f>IFERROR(IF(CURRENCY.FORMAT_1=0,CONCATENATE(TEXT(FIXED(ROUND((C38/EXC.RATE_1),CURRENCY.FORMAT_1),CURRENCY.FORMAT_1,1),"# ##0;-# ##0"),",-"),FIXED(ROUND((C38/EXC.RATE_1),CURRENCY.FORMAT_1),CURRENCY.FORMAT_1,0)),'DICTIONARY-5'!$A$2)</f>
        <v>997,-</v>
      </c>
      <c r="K38" s="670" t="str">
        <f>IF(EXC.RATE_2=0,"",IFERROR(IF(CURRENCY.FORMAT_2=0,CONCATENATE(TEXT(FIXED(ROUND(IF(EXC.RATE.SWITCH=1,C38/EXC.RATE_2,C38*EXC.RATE_2),CURRENCY.FORMAT_2),CURRENCY.FORMAT_2,1),"# ##0;-# ##0"),",-"),FIXED(ROUND(IF(EXC.RATE.SWITCH=1,C38/EXC.RATE_2,C38*EXC.RATE_2),CURRENCY.FORMAT_2),CURRENCY.FORMAT_2,0)),'DICTIONARY-5'!$A$2))</f>
        <v/>
      </c>
      <c r="L38" s="670" t="str">
        <f>IFERROR(IF(CURRENCY.FORMAT_1=0,CONCATENATE(TEXT(FIXED(ROUND((C38*(1-I38)*(1-ADD.DISCOUNT)*(1+MAT.SURCHARGE)/EXC.RATE_1),CURRENCY.FORMAT_1),CURRENCY.FORMAT_1,1),"# ##0;-# ##0"),",-"),FIXED(ROUND((C38*(1-I38)*(1-ADD.DISCOUNT)*(1+MAT.SURCHARGE)/EXC.RATE_1),CURRENCY.FORMAT_1),CURRENCY.FORMAT_1,0)),'DICTIONARY-5'!$A$2)</f>
        <v>1 036,-</v>
      </c>
      <c r="M38" s="670" t="str">
        <f>IF(EXC.RATE_2=0,"",IFERROR(IF(CURRENCY.FORMAT_2=0,CONCATENATE(TEXT(FIXED(ROUND(IF(EXC.RATE.SWITCH=1,C38*(1-I38)*(1-ADD.DISCOUNT)*(1+MAT.SURCHARGE)/EXC.RATE_2,C38*(1-I38)*(1-ADD.DISCOUNT)*(1+MAT.SURCHARGE)*EXC.RATE_2),CURRENCY.FORMAT_2),CURRENCY.FORMAT_2,1),"# ##0;-# ##0"),",-"),FIXED(ROUND(IF(EXC.RATE.SWITCH=1,C38*(1-I38)*(1-ADD.DISCOUNT)*(1+MAT.SURCHARGE)/EXC.RATE_2,C38*(1-I38)*(1-ADD.DISCOUNT)*(1+MAT.SURCHARGE)*EXC.RATE_2),CURRENCY.FORMAT_2),CURRENCY.FORMAT_2,0)),'DICTIONARY-5'!$A$2))</f>
        <v/>
      </c>
      <c r="N38" s="496">
        <v>1</v>
      </c>
      <c r="O38" s="496"/>
      <c r="P38" s="731" t="str">
        <f>'DICTIONARY-3'!$A$7</f>
        <v>BETA 200 TS</v>
      </c>
      <c r="Q38" s="732" t="str">
        <f>'DICTIONARY-3'!$A$187</f>
        <v>Zasuwa klinowa</v>
      </c>
      <c r="R38" s="732" t="str">
        <f>CONCATENATE('DICTIONARY-3'!$A$7," ",'DICTIONARY-6'!$A$3," ",'DICTIONARY-2'!$A$2,"200"," ",'DICTIONARY-2'!$A$3,"10"," ",'DICTIONARY-2'!$A$24,"=","383-405",", ",'DICTIONARY-4'!$A$2)</f>
        <v>BETA 200 TS Zasuwa DN200 PN10 L=383-405, WW</v>
      </c>
      <c r="S38" s="733" t="str">
        <f>'DICTIONARY-4'!$A$2</f>
        <v>WW</v>
      </c>
      <c r="T38" s="732" t="str">
        <f>'DICTIONARY-4'!$A$18</f>
        <v>Wolny wałek</v>
      </c>
      <c r="U38" s="734" t="s">
        <v>5750</v>
      </c>
      <c r="V38" s="735">
        <v>10</v>
      </c>
      <c r="W38" s="736"/>
      <c r="X38" s="737"/>
      <c r="Y38" s="738"/>
      <c r="Z38" s="739"/>
      <c r="AA38" s="739"/>
      <c r="AB38" s="740">
        <v>10</v>
      </c>
      <c r="AC38" s="741" t="str">
        <f>'DICTIONARY-5'!$A$11&amp;" 15"</f>
        <v>EN 558 szereg 15</v>
      </c>
      <c r="AD38" s="741" t="str">
        <f>'DICTIONARY-5'!$A$13</f>
        <v>woda pitna</v>
      </c>
      <c r="AE38" s="742">
        <v>50</v>
      </c>
      <c r="AF38" s="743">
        <v>85.5</v>
      </c>
      <c r="AG38" s="741" t="str">
        <f>'DICTIONARY-5'!$A$23</f>
        <v>powłoka epoksydowa</v>
      </c>
    </row>
    <row r="39" spans="1:33" x14ac:dyDescent="0.25">
      <c r="A39" s="839" t="s">
        <v>99</v>
      </c>
      <c r="B39" s="839" t="s">
        <v>3513</v>
      </c>
      <c r="C39" s="836">
        <v>980</v>
      </c>
      <c r="D39" s="836"/>
      <c r="E39" s="836"/>
      <c r="F39" s="836"/>
      <c r="G39" s="496" t="s">
        <v>7788</v>
      </c>
      <c r="H39" s="797" t="str">
        <f>VLOOKUP(G39,SETTINGS!$B$7:$D$97,2,0)</f>
        <v>BETA 200 Exchange Valve</v>
      </c>
      <c r="I39" s="796">
        <f>VLOOKUP(G39,SETTINGS!$B$7:$D$97,3,0)</f>
        <v>0</v>
      </c>
      <c r="J39" s="670" t="str">
        <f>IFERROR(IF(CURRENCY.FORMAT_1=0,CONCATENATE(TEXT(FIXED(ROUND((C39/EXC.RATE_1),CURRENCY.FORMAT_1),CURRENCY.FORMAT_1,1),"# ##0;-# ##0"),",-"),FIXED(ROUND((C39/EXC.RATE_1),CURRENCY.FORMAT_1),CURRENCY.FORMAT_1,0)),'DICTIONARY-5'!$A$2)</f>
        <v>980,-</v>
      </c>
      <c r="K39" s="670" t="str">
        <f>IF(EXC.RATE_2=0,"",IFERROR(IF(CURRENCY.FORMAT_2=0,CONCATENATE(TEXT(FIXED(ROUND(IF(EXC.RATE.SWITCH=1,C39/EXC.RATE_2,C39*EXC.RATE_2),CURRENCY.FORMAT_2),CURRENCY.FORMAT_2,1),"# ##0;-# ##0"),",-"),FIXED(ROUND(IF(EXC.RATE.SWITCH=1,C39/EXC.RATE_2,C39*EXC.RATE_2),CURRENCY.FORMAT_2),CURRENCY.FORMAT_2,0)),'DICTIONARY-5'!$A$2))</f>
        <v/>
      </c>
      <c r="L39" s="670" t="str">
        <f>IFERROR(IF(CURRENCY.FORMAT_1=0,CONCATENATE(TEXT(FIXED(ROUND((C39*(1-I39)*(1-ADD.DISCOUNT)*(1+MAT.SURCHARGE)/EXC.RATE_1),CURRENCY.FORMAT_1),CURRENCY.FORMAT_1,1),"# ##0;-# ##0"),",-"),FIXED(ROUND((C39*(1-I39)*(1-ADD.DISCOUNT)*(1+MAT.SURCHARGE)/EXC.RATE_1),CURRENCY.FORMAT_1),CURRENCY.FORMAT_1,0)),'DICTIONARY-5'!$A$2)</f>
        <v>1 018,-</v>
      </c>
      <c r="M39" s="670" t="str">
        <f>IF(EXC.RATE_2=0,"",IFERROR(IF(CURRENCY.FORMAT_2=0,CONCATENATE(TEXT(FIXED(ROUND(IF(EXC.RATE.SWITCH=1,C39*(1-I39)*(1-ADD.DISCOUNT)*(1+MAT.SURCHARGE)/EXC.RATE_2,C39*(1-I39)*(1-ADD.DISCOUNT)*(1+MAT.SURCHARGE)*EXC.RATE_2),CURRENCY.FORMAT_2),CURRENCY.FORMAT_2,1),"# ##0;-# ##0"),",-"),FIXED(ROUND(IF(EXC.RATE.SWITCH=1,C39*(1-I39)*(1-ADD.DISCOUNT)*(1+MAT.SURCHARGE)/EXC.RATE_2,C39*(1-I39)*(1-ADD.DISCOUNT)*(1+MAT.SURCHARGE)*EXC.RATE_2),CURRENCY.FORMAT_2),CURRENCY.FORMAT_2,0)),'DICTIONARY-5'!$A$2))</f>
        <v/>
      </c>
      <c r="N39" s="496">
        <v>1</v>
      </c>
      <c r="O39" s="496"/>
      <c r="P39" s="731" t="str">
        <f>'DICTIONARY-3'!$A$7</f>
        <v>BETA 200 TS</v>
      </c>
      <c r="Q39" s="732" t="str">
        <f>'DICTIONARY-3'!$A$187</f>
        <v>Zasuwa klinowa</v>
      </c>
      <c r="R39" s="732" t="str">
        <f>CONCATENATE('DICTIONARY-3'!$A$7," ",'DICTIONARY-6'!$A$3," ",'DICTIONARY-2'!$A$2,"200"," ",'DICTIONARY-2'!$A$3,"16"," ",'DICTIONARY-2'!$A$24,"=","383-405",", ",'DICTIONARY-4'!$A$2)</f>
        <v>BETA 200 TS Zasuwa DN200 PN16 L=383-405, WW</v>
      </c>
      <c r="S39" s="733" t="str">
        <f>'DICTIONARY-4'!$A$2</f>
        <v>WW</v>
      </c>
      <c r="T39" s="732" t="str">
        <f>'DICTIONARY-4'!$A$18</f>
        <v>Wolny wałek</v>
      </c>
      <c r="U39" s="734" t="s">
        <v>5750</v>
      </c>
      <c r="V39" s="735">
        <v>16</v>
      </c>
      <c r="W39" s="736"/>
      <c r="X39" s="737"/>
      <c r="Y39" s="738"/>
      <c r="Z39" s="739"/>
      <c r="AA39" s="739"/>
      <c r="AB39" s="740">
        <v>16</v>
      </c>
      <c r="AC39" s="741" t="str">
        <f>'DICTIONARY-5'!$A$11&amp;" 15"</f>
        <v>EN 558 szereg 15</v>
      </c>
      <c r="AD39" s="741" t="str">
        <f>'DICTIONARY-5'!$A$13</f>
        <v>woda pitna</v>
      </c>
      <c r="AE39" s="742">
        <v>50</v>
      </c>
      <c r="AF39" s="743">
        <v>87</v>
      </c>
      <c r="AG39" s="741" t="str">
        <f>'DICTIONARY-5'!$A$23</f>
        <v>powłoka epoksydowa</v>
      </c>
    </row>
    <row r="40" spans="1:33" x14ac:dyDescent="0.25">
      <c r="A40" s="839" t="s">
        <v>101</v>
      </c>
      <c r="B40" s="839" t="s">
        <v>3517</v>
      </c>
      <c r="C40" s="836">
        <v>1839</v>
      </c>
      <c r="D40" s="836"/>
      <c r="E40" s="836"/>
      <c r="F40" s="836"/>
      <c r="G40" s="496" t="s">
        <v>7788</v>
      </c>
      <c r="H40" s="797" t="str">
        <f>VLOOKUP(G40,SETTINGS!$B$7:$D$97,2,0)</f>
        <v>BETA 200 Exchange Valve</v>
      </c>
      <c r="I40" s="796">
        <f>VLOOKUP(G40,SETTINGS!$B$7:$D$97,3,0)</f>
        <v>0</v>
      </c>
      <c r="J40" s="670" t="str">
        <f>IFERROR(IF(CURRENCY.FORMAT_1=0,CONCATENATE(TEXT(FIXED(ROUND((C40/EXC.RATE_1),CURRENCY.FORMAT_1),CURRENCY.FORMAT_1,1),"# ##0;-# ##0"),",-"),FIXED(ROUND((C40/EXC.RATE_1),CURRENCY.FORMAT_1),CURRENCY.FORMAT_1,0)),'DICTIONARY-5'!$A$2)</f>
        <v>1 839,-</v>
      </c>
      <c r="K40" s="670" t="str">
        <f>IF(EXC.RATE_2=0,"",IFERROR(IF(CURRENCY.FORMAT_2=0,CONCATENATE(TEXT(FIXED(ROUND(IF(EXC.RATE.SWITCH=1,C40/EXC.RATE_2,C40*EXC.RATE_2),CURRENCY.FORMAT_2),CURRENCY.FORMAT_2,1),"# ##0;-# ##0"),",-"),FIXED(ROUND(IF(EXC.RATE.SWITCH=1,C40/EXC.RATE_2,C40*EXC.RATE_2),CURRENCY.FORMAT_2),CURRENCY.FORMAT_2,0)),'DICTIONARY-5'!$A$2))</f>
        <v/>
      </c>
      <c r="L40" s="670" t="str">
        <f>IFERROR(IF(CURRENCY.FORMAT_1=0,CONCATENATE(TEXT(FIXED(ROUND((C40*(1-I40)*(1-ADD.DISCOUNT)*(1+MAT.SURCHARGE)/EXC.RATE_1),CURRENCY.FORMAT_1),CURRENCY.FORMAT_1,1),"# ##0;-# ##0"),",-"),FIXED(ROUND((C40*(1-I40)*(1-ADD.DISCOUNT)*(1+MAT.SURCHARGE)/EXC.RATE_1),CURRENCY.FORMAT_1),CURRENCY.FORMAT_1,0)),'DICTIONARY-5'!$A$2)</f>
        <v>1 911,-</v>
      </c>
      <c r="M40" s="670" t="str">
        <f>IF(EXC.RATE_2=0,"",IFERROR(IF(CURRENCY.FORMAT_2=0,CONCATENATE(TEXT(FIXED(ROUND(IF(EXC.RATE.SWITCH=1,C40*(1-I40)*(1-ADD.DISCOUNT)*(1+MAT.SURCHARGE)/EXC.RATE_2,C40*(1-I40)*(1-ADD.DISCOUNT)*(1+MAT.SURCHARGE)*EXC.RATE_2),CURRENCY.FORMAT_2),CURRENCY.FORMAT_2,1),"# ##0;-# ##0"),",-"),FIXED(ROUND(IF(EXC.RATE.SWITCH=1,C40*(1-I40)*(1-ADD.DISCOUNT)*(1+MAT.SURCHARGE)/EXC.RATE_2,C40*(1-I40)*(1-ADD.DISCOUNT)*(1+MAT.SURCHARGE)*EXC.RATE_2),CURRENCY.FORMAT_2),CURRENCY.FORMAT_2,0)),'DICTIONARY-5'!$A$2))</f>
        <v/>
      </c>
      <c r="N40" s="496">
        <v>1</v>
      </c>
      <c r="O40" s="496"/>
      <c r="P40" s="731" t="str">
        <f>'DICTIONARY-3'!$A$7</f>
        <v>BETA 200 TS</v>
      </c>
      <c r="Q40" s="732" t="str">
        <f>'DICTIONARY-3'!$A$187</f>
        <v>Zasuwa klinowa</v>
      </c>
      <c r="R40" s="732" t="str">
        <f>CONCATENATE('DICTIONARY-3'!$A$7," ",'DICTIONARY-6'!$A$3," ",'DICTIONARY-2'!$A$2,"250"," ",'DICTIONARY-2'!$A$3,"10"," ",'DICTIONARY-2'!$A$24,"=","433-458",", ",'DICTIONARY-4'!$A$2)</f>
        <v>BETA 200 TS Zasuwa DN250 PN10 L=433-458, WW</v>
      </c>
      <c r="S40" s="733" t="str">
        <f>'DICTIONARY-4'!$A$2</f>
        <v>WW</v>
      </c>
      <c r="T40" s="732" t="str">
        <f>'DICTIONARY-4'!$A$18</f>
        <v>Wolny wałek</v>
      </c>
      <c r="U40" s="734" t="s">
        <v>5751</v>
      </c>
      <c r="V40" s="735">
        <v>10</v>
      </c>
      <c r="W40" s="736"/>
      <c r="X40" s="737"/>
      <c r="Y40" s="738"/>
      <c r="Z40" s="739"/>
      <c r="AA40" s="739"/>
      <c r="AB40" s="740">
        <v>10</v>
      </c>
      <c r="AC40" s="741" t="str">
        <f>'DICTIONARY-5'!$A$11&amp;" 15"</f>
        <v>EN 558 szereg 15</v>
      </c>
      <c r="AD40" s="741" t="str">
        <f>'DICTIONARY-5'!$A$13</f>
        <v>woda pitna</v>
      </c>
      <c r="AE40" s="742">
        <v>50</v>
      </c>
      <c r="AF40" s="743">
        <v>136</v>
      </c>
      <c r="AG40" s="741" t="str">
        <f>'DICTIONARY-5'!$A$23</f>
        <v>powłoka epoksydowa</v>
      </c>
    </row>
    <row r="41" spans="1:33" x14ac:dyDescent="0.25">
      <c r="A41" s="839" t="s">
        <v>103</v>
      </c>
      <c r="B41" s="839" t="s">
        <v>3514</v>
      </c>
      <c r="C41" s="836">
        <v>1839</v>
      </c>
      <c r="D41" s="836"/>
      <c r="E41" s="836"/>
      <c r="F41" s="836"/>
      <c r="G41" s="496" t="s">
        <v>7788</v>
      </c>
      <c r="H41" s="797" t="str">
        <f>VLOOKUP(G41,SETTINGS!$B$7:$D$97,2,0)</f>
        <v>BETA 200 Exchange Valve</v>
      </c>
      <c r="I41" s="796">
        <f>VLOOKUP(G41,SETTINGS!$B$7:$D$97,3,0)</f>
        <v>0</v>
      </c>
      <c r="J41" s="670" t="str">
        <f>IFERROR(IF(CURRENCY.FORMAT_1=0,CONCATENATE(TEXT(FIXED(ROUND((C41/EXC.RATE_1),CURRENCY.FORMAT_1),CURRENCY.FORMAT_1,1),"# ##0;-# ##0"),",-"),FIXED(ROUND((C41/EXC.RATE_1),CURRENCY.FORMAT_1),CURRENCY.FORMAT_1,0)),'DICTIONARY-5'!$A$2)</f>
        <v>1 839,-</v>
      </c>
      <c r="K41" s="670" t="str">
        <f>IF(EXC.RATE_2=0,"",IFERROR(IF(CURRENCY.FORMAT_2=0,CONCATENATE(TEXT(FIXED(ROUND(IF(EXC.RATE.SWITCH=1,C41/EXC.RATE_2,C41*EXC.RATE_2),CURRENCY.FORMAT_2),CURRENCY.FORMAT_2,1),"# ##0;-# ##0"),",-"),FIXED(ROUND(IF(EXC.RATE.SWITCH=1,C41/EXC.RATE_2,C41*EXC.RATE_2),CURRENCY.FORMAT_2),CURRENCY.FORMAT_2,0)),'DICTIONARY-5'!$A$2))</f>
        <v/>
      </c>
      <c r="L41" s="670" t="str">
        <f>IFERROR(IF(CURRENCY.FORMAT_1=0,CONCATENATE(TEXT(FIXED(ROUND((C41*(1-I41)*(1-ADD.DISCOUNT)*(1+MAT.SURCHARGE)/EXC.RATE_1),CURRENCY.FORMAT_1),CURRENCY.FORMAT_1,1),"# ##0;-# ##0"),",-"),FIXED(ROUND((C41*(1-I41)*(1-ADD.DISCOUNT)*(1+MAT.SURCHARGE)/EXC.RATE_1),CURRENCY.FORMAT_1),CURRENCY.FORMAT_1,0)),'DICTIONARY-5'!$A$2)</f>
        <v>1 911,-</v>
      </c>
      <c r="M41" s="670" t="str">
        <f>IF(EXC.RATE_2=0,"",IFERROR(IF(CURRENCY.FORMAT_2=0,CONCATENATE(TEXT(FIXED(ROUND(IF(EXC.RATE.SWITCH=1,C41*(1-I41)*(1-ADD.DISCOUNT)*(1+MAT.SURCHARGE)/EXC.RATE_2,C41*(1-I41)*(1-ADD.DISCOUNT)*(1+MAT.SURCHARGE)*EXC.RATE_2),CURRENCY.FORMAT_2),CURRENCY.FORMAT_2,1),"# ##0;-# ##0"),",-"),FIXED(ROUND(IF(EXC.RATE.SWITCH=1,C41*(1-I41)*(1-ADD.DISCOUNT)*(1+MAT.SURCHARGE)/EXC.RATE_2,C41*(1-I41)*(1-ADD.DISCOUNT)*(1+MAT.SURCHARGE)*EXC.RATE_2),CURRENCY.FORMAT_2),CURRENCY.FORMAT_2,0)),'DICTIONARY-5'!$A$2))</f>
        <v/>
      </c>
      <c r="N41" s="496">
        <v>1</v>
      </c>
      <c r="O41" s="496"/>
      <c r="P41" s="731" t="str">
        <f>'DICTIONARY-3'!$A$7</f>
        <v>BETA 200 TS</v>
      </c>
      <c r="Q41" s="732" t="str">
        <f>'DICTIONARY-3'!$A$187</f>
        <v>Zasuwa klinowa</v>
      </c>
      <c r="R41" s="732" t="str">
        <f>CONCATENATE('DICTIONARY-3'!$A$7," ",'DICTIONARY-6'!$A$3," ",'DICTIONARY-2'!$A$2,"250"," ",'DICTIONARY-2'!$A$3,"16"," ",'DICTIONARY-2'!$A$24,"=","433-458",", ",'DICTIONARY-4'!$A$2)</f>
        <v>BETA 200 TS Zasuwa DN250 PN16 L=433-458, WW</v>
      </c>
      <c r="S41" s="733" t="str">
        <f>'DICTIONARY-4'!$A$2</f>
        <v>WW</v>
      </c>
      <c r="T41" s="732" t="str">
        <f>'DICTIONARY-4'!$A$18</f>
        <v>Wolny wałek</v>
      </c>
      <c r="U41" s="734" t="s">
        <v>5751</v>
      </c>
      <c r="V41" s="735">
        <v>16</v>
      </c>
      <c r="W41" s="736"/>
      <c r="X41" s="737"/>
      <c r="Y41" s="738"/>
      <c r="Z41" s="739"/>
      <c r="AA41" s="739"/>
      <c r="AB41" s="740">
        <v>16</v>
      </c>
      <c r="AC41" s="741" t="str">
        <f>'DICTIONARY-5'!$A$11&amp;" 15"</f>
        <v>EN 558 szereg 15</v>
      </c>
      <c r="AD41" s="741" t="str">
        <f>'DICTIONARY-5'!$A$13</f>
        <v>woda pitna</v>
      </c>
      <c r="AE41" s="742">
        <v>50</v>
      </c>
      <c r="AF41" s="743">
        <v>134</v>
      </c>
      <c r="AG41" s="741" t="str">
        <f>'DICTIONARY-5'!$A$23</f>
        <v>powłoka epoksydowa</v>
      </c>
    </row>
    <row r="42" spans="1:33" x14ac:dyDescent="0.25">
      <c r="A42" s="839" t="s">
        <v>105</v>
      </c>
      <c r="B42" s="839" t="s">
        <v>3518</v>
      </c>
      <c r="C42" s="836">
        <v>3494</v>
      </c>
      <c r="D42" s="836"/>
      <c r="E42" s="836"/>
      <c r="F42" s="836"/>
      <c r="G42" s="496" t="s">
        <v>7788</v>
      </c>
      <c r="H42" s="797" t="str">
        <f>VLOOKUP(G42,SETTINGS!$B$7:$D$97,2,0)</f>
        <v>BETA 200 Exchange Valve</v>
      </c>
      <c r="I42" s="796">
        <f>VLOOKUP(G42,SETTINGS!$B$7:$D$97,3,0)</f>
        <v>0</v>
      </c>
      <c r="J42" s="670" t="str">
        <f>IFERROR(IF(CURRENCY.FORMAT_1=0,CONCATENATE(TEXT(FIXED(ROUND((C42/EXC.RATE_1),CURRENCY.FORMAT_1),CURRENCY.FORMAT_1,1),"# ##0;-# ##0"),",-"),FIXED(ROUND((C42/EXC.RATE_1),CURRENCY.FORMAT_1),CURRENCY.FORMAT_1,0)),'DICTIONARY-5'!$A$2)</f>
        <v>3 494,-</v>
      </c>
      <c r="K42" s="670" t="str">
        <f>IF(EXC.RATE_2=0,"",IFERROR(IF(CURRENCY.FORMAT_2=0,CONCATENATE(TEXT(FIXED(ROUND(IF(EXC.RATE.SWITCH=1,C42/EXC.RATE_2,C42*EXC.RATE_2),CURRENCY.FORMAT_2),CURRENCY.FORMAT_2,1),"# ##0;-# ##0"),",-"),FIXED(ROUND(IF(EXC.RATE.SWITCH=1,C42/EXC.RATE_2,C42*EXC.RATE_2),CURRENCY.FORMAT_2),CURRENCY.FORMAT_2,0)),'DICTIONARY-5'!$A$2))</f>
        <v/>
      </c>
      <c r="L42" s="670" t="str">
        <f>IFERROR(IF(CURRENCY.FORMAT_1=0,CONCATENATE(TEXT(FIXED(ROUND((C42*(1-I42)*(1-ADD.DISCOUNT)*(1+MAT.SURCHARGE)/EXC.RATE_1),CURRENCY.FORMAT_1),CURRENCY.FORMAT_1,1),"# ##0;-# ##0"),",-"),FIXED(ROUND((C42*(1-I42)*(1-ADD.DISCOUNT)*(1+MAT.SURCHARGE)/EXC.RATE_1),CURRENCY.FORMAT_1),CURRENCY.FORMAT_1,0)),'DICTIONARY-5'!$A$2)</f>
        <v>3 630,-</v>
      </c>
      <c r="M42" s="670" t="str">
        <f>IF(EXC.RATE_2=0,"",IFERROR(IF(CURRENCY.FORMAT_2=0,CONCATENATE(TEXT(FIXED(ROUND(IF(EXC.RATE.SWITCH=1,C42*(1-I42)*(1-ADD.DISCOUNT)*(1+MAT.SURCHARGE)/EXC.RATE_2,C42*(1-I42)*(1-ADD.DISCOUNT)*(1+MAT.SURCHARGE)*EXC.RATE_2),CURRENCY.FORMAT_2),CURRENCY.FORMAT_2,1),"# ##0;-# ##0"),",-"),FIXED(ROUND(IF(EXC.RATE.SWITCH=1,C42*(1-I42)*(1-ADD.DISCOUNT)*(1+MAT.SURCHARGE)/EXC.RATE_2,C42*(1-I42)*(1-ADD.DISCOUNT)*(1+MAT.SURCHARGE)*EXC.RATE_2),CURRENCY.FORMAT_2),CURRENCY.FORMAT_2,0)),'DICTIONARY-5'!$A$2))</f>
        <v/>
      </c>
      <c r="N42" s="496">
        <v>1</v>
      </c>
      <c r="O42" s="496"/>
      <c r="P42" s="731" t="str">
        <f>'DICTIONARY-3'!$A$7</f>
        <v>BETA 200 TS</v>
      </c>
      <c r="Q42" s="732" t="str">
        <f>'DICTIONARY-3'!$A$187</f>
        <v>Zasuwa klinowa</v>
      </c>
      <c r="R42" s="732" t="str">
        <f>CONCATENATE('DICTIONARY-3'!$A$7," ",'DICTIONARY-6'!$A$3," ",'DICTIONARY-2'!$A$2,"300"," ",'DICTIONARY-2'!$A$3,"10"," ",'DICTIONARY-2'!$A$24,"=","483-509",", ",'DICTIONARY-4'!$A$2)</f>
        <v>BETA 200 TS Zasuwa DN300 PN10 L=483-509, WW</v>
      </c>
      <c r="S42" s="733" t="str">
        <f>'DICTIONARY-4'!$A$2</f>
        <v>WW</v>
      </c>
      <c r="T42" s="732" t="str">
        <f>'DICTIONARY-4'!$A$18</f>
        <v>Wolny wałek</v>
      </c>
      <c r="U42" s="734" t="s">
        <v>5752</v>
      </c>
      <c r="V42" s="735">
        <v>10</v>
      </c>
      <c r="W42" s="736"/>
      <c r="X42" s="737"/>
      <c r="Y42" s="738"/>
      <c r="Z42" s="739"/>
      <c r="AA42" s="739"/>
      <c r="AB42" s="740">
        <v>10</v>
      </c>
      <c r="AC42" s="741" t="str">
        <f>'DICTIONARY-5'!$A$11&amp;" 15"</f>
        <v>EN 558 szereg 15</v>
      </c>
      <c r="AD42" s="741" t="str">
        <f>'DICTIONARY-5'!$A$13</f>
        <v>woda pitna</v>
      </c>
      <c r="AE42" s="742">
        <v>50</v>
      </c>
      <c r="AF42" s="743">
        <v>193.5</v>
      </c>
      <c r="AG42" s="741" t="str">
        <f>'DICTIONARY-5'!$A$23</f>
        <v>powłoka epoksydowa</v>
      </c>
    </row>
    <row r="43" spans="1:33" x14ac:dyDescent="0.25">
      <c r="A43" s="839" t="s">
        <v>106</v>
      </c>
      <c r="B43" s="839" t="s">
        <v>3515</v>
      </c>
      <c r="C43" s="836">
        <v>2894</v>
      </c>
      <c r="D43" s="836"/>
      <c r="E43" s="836"/>
      <c r="F43" s="836"/>
      <c r="G43" s="496" t="s">
        <v>7788</v>
      </c>
      <c r="H43" s="797" t="str">
        <f>VLOOKUP(G43,SETTINGS!$B$7:$D$97,2,0)</f>
        <v>BETA 200 Exchange Valve</v>
      </c>
      <c r="I43" s="796">
        <f>VLOOKUP(G43,SETTINGS!$B$7:$D$97,3,0)</f>
        <v>0</v>
      </c>
      <c r="J43" s="670" t="str">
        <f>IFERROR(IF(CURRENCY.FORMAT_1=0,CONCATENATE(TEXT(FIXED(ROUND((C43/EXC.RATE_1),CURRENCY.FORMAT_1),CURRENCY.FORMAT_1,1),"# ##0;-# ##0"),",-"),FIXED(ROUND((C43/EXC.RATE_1),CURRENCY.FORMAT_1),CURRENCY.FORMAT_1,0)),'DICTIONARY-5'!$A$2)</f>
        <v>2 894,-</v>
      </c>
      <c r="K43" s="670" t="str">
        <f>IF(EXC.RATE_2=0,"",IFERROR(IF(CURRENCY.FORMAT_2=0,CONCATENATE(TEXT(FIXED(ROUND(IF(EXC.RATE.SWITCH=1,C43/EXC.RATE_2,C43*EXC.RATE_2),CURRENCY.FORMAT_2),CURRENCY.FORMAT_2,1),"# ##0;-# ##0"),",-"),FIXED(ROUND(IF(EXC.RATE.SWITCH=1,C43/EXC.RATE_2,C43*EXC.RATE_2),CURRENCY.FORMAT_2),CURRENCY.FORMAT_2,0)),'DICTIONARY-5'!$A$2))</f>
        <v/>
      </c>
      <c r="L43" s="670" t="str">
        <f>IFERROR(IF(CURRENCY.FORMAT_1=0,CONCATENATE(TEXT(FIXED(ROUND((C43*(1-I43)*(1-ADD.DISCOUNT)*(1+MAT.SURCHARGE)/EXC.RATE_1),CURRENCY.FORMAT_1),CURRENCY.FORMAT_1,1),"# ##0;-# ##0"),",-"),FIXED(ROUND((C43*(1-I43)*(1-ADD.DISCOUNT)*(1+MAT.SURCHARGE)/EXC.RATE_1),CURRENCY.FORMAT_1),CURRENCY.FORMAT_1,0)),'DICTIONARY-5'!$A$2)</f>
        <v>3 007,-</v>
      </c>
      <c r="M43" s="670" t="str">
        <f>IF(EXC.RATE_2=0,"",IFERROR(IF(CURRENCY.FORMAT_2=0,CONCATENATE(TEXT(FIXED(ROUND(IF(EXC.RATE.SWITCH=1,C43*(1-I43)*(1-ADD.DISCOUNT)*(1+MAT.SURCHARGE)/EXC.RATE_2,C43*(1-I43)*(1-ADD.DISCOUNT)*(1+MAT.SURCHARGE)*EXC.RATE_2),CURRENCY.FORMAT_2),CURRENCY.FORMAT_2,1),"# ##0;-# ##0"),",-"),FIXED(ROUND(IF(EXC.RATE.SWITCH=1,C43*(1-I43)*(1-ADD.DISCOUNT)*(1+MAT.SURCHARGE)/EXC.RATE_2,C43*(1-I43)*(1-ADD.DISCOUNT)*(1+MAT.SURCHARGE)*EXC.RATE_2),CURRENCY.FORMAT_2),CURRENCY.FORMAT_2,0)),'DICTIONARY-5'!$A$2))</f>
        <v/>
      </c>
      <c r="N43" s="496">
        <v>1</v>
      </c>
      <c r="O43" s="496"/>
      <c r="P43" s="731" t="str">
        <f>'DICTIONARY-3'!$A$7</f>
        <v>BETA 200 TS</v>
      </c>
      <c r="Q43" s="732" t="str">
        <f>'DICTIONARY-3'!$A$187</f>
        <v>Zasuwa klinowa</v>
      </c>
      <c r="R43" s="732" t="str">
        <f>CONCATENATE('DICTIONARY-3'!$A$7," ",'DICTIONARY-6'!$A$3," ",'DICTIONARY-2'!$A$2,"300"," ",'DICTIONARY-2'!$A$3,"16"," ",'DICTIONARY-2'!$A$24,"=","483-509",", ",'DICTIONARY-4'!$A$2)</f>
        <v>BETA 200 TS Zasuwa DN300 PN16 L=483-509, WW</v>
      </c>
      <c r="S43" s="733" t="str">
        <f>'DICTIONARY-4'!$A$2</f>
        <v>WW</v>
      </c>
      <c r="T43" s="732" t="str">
        <f>'DICTIONARY-4'!$A$18</f>
        <v>Wolny wałek</v>
      </c>
      <c r="U43" s="734" t="s">
        <v>5752</v>
      </c>
      <c r="V43" s="735">
        <v>16</v>
      </c>
      <c r="W43" s="736"/>
      <c r="X43" s="737"/>
      <c r="Y43" s="738"/>
      <c r="Z43" s="739"/>
      <c r="AA43" s="739"/>
      <c r="AB43" s="740">
        <v>16</v>
      </c>
      <c r="AC43" s="741" t="str">
        <f>'DICTIONARY-5'!$A$11&amp;" 15"</f>
        <v>EN 558 szereg 15</v>
      </c>
      <c r="AD43" s="741" t="str">
        <f>'DICTIONARY-5'!$A$13</f>
        <v>woda pitna</v>
      </c>
      <c r="AE43" s="742">
        <v>50</v>
      </c>
      <c r="AF43" s="743">
        <v>195</v>
      </c>
      <c r="AG43" s="741" t="str">
        <f>'DICTIONARY-5'!$A$23</f>
        <v>powłoka epoksydowa</v>
      </c>
    </row>
    <row r="44" spans="1:33" x14ac:dyDescent="0.25">
      <c r="A44" s="837" t="s">
        <v>107</v>
      </c>
      <c r="B44" s="837" t="s">
        <v>4986</v>
      </c>
      <c r="C44" s="836">
        <v>146</v>
      </c>
      <c r="D44" s="836"/>
      <c r="E44" s="836"/>
      <c r="F44" s="836"/>
      <c r="G44" s="496" t="s">
        <v>7789</v>
      </c>
      <c r="H44" s="797" t="str">
        <f>VLOOKUP(G44,SETTINGS!$B$7:$D$97,2,0)</f>
        <v>EKOplus</v>
      </c>
      <c r="I44" s="796">
        <f>VLOOKUP(G44,SETTINGS!$B$7:$D$97,3,0)</f>
        <v>0</v>
      </c>
      <c r="J44" s="670" t="str">
        <f>IFERROR(IF(CURRENCY.FORMAT_1=0,CONCATENATE(TEXT(FIXED(ROUND((C44/EXC.RATE_1),CURRENCY.FORMAT_1),CURRENCY.FORMAT_1,1),"# ##0;-# ##0"),",-"),FIXED(ROUND((C44/EXC.RATE_1),CURRENCY.FORMAT_1),CURRENCY.FORMAT_1,0)),'DICTIONARY-5'!$A$2)</f>
        <v>146,-</v>
      </c>
      <c r="K44" s="670" t="str">
        <f>IF(EXC.RATE_2=0,"",IFERROR(IF(CURRENCY.FORMAT_2=0,CONCATENATE(TEXT(FIXED(ROUND(IF(EXC.RATE.SWITCH=1,C44/EXC.RATE_2,C44*EXC.RATE_2),CURRENCY.FORMAT_2),CURRENCY.FORMAT_2,1),"# ##0;-# ##0"),",-"),FIXED(ROUND(IF(EXC.RATE.SWITCH=1,C44/EXC.RATE_2,C44*EXC.RATE_2),CURRENCY.FORMAT_2),CURRENCY.FORMAT_2,0)),'DICTIONARY-5'!$A$2))</f>
        <v/>
      </c>
      <c r="L44" s="670" t="str">
        <f>IFERROR(IF(CURRENCY.FORMAT_1=0,CONCATENATE(TEXT(FIXED(ROUND((C44*(1-I44)*(1-ADD.DISCOUNT)*(1+MAT.SURCHARGE)/EXC.RATE_1),CURRENCY.FORMAT_1),CURRENCY.FORMAT_1,1),"# ##0;-# ##0"),",-"),FIXED(ROUND((C44*(1-I44)*(1-ADD.DISCOUNT)*(1+MAT.SURCHARGE)/EXC.RATE_1),CURRENCY.FORMAT_1),CURRENCY.FORMAT_1,0)),'DICTIONARY-5'!$A$2)</f>
        <v>152,-</v>
      </c>
      <c r="M44" s="670" t="str">
        <f>IF(EXC.RATE_2=0,"",IFERROR(IF(CURRENCY.FORMAT_2=0,CONCATENATE(TEXT(FIXED(ROUND(IF(EXC.RATE.SWITCH=1,C44*(1-I44)*(1-ADD.DISCOUNT)*(1+MAT.SURCHARGE)/EXC.RATE_2,C44*(1-I44)*(1-ADD.DISCOUNT)*(1+MAT.SURCHARGE)*EXC.RATE_2),CURRENCY.FORMAT_2),CURRENCY.FORMAT_2,1),"# ##0;-# ##0"),",-"),FIXED(ROUND(IF(EXC.RATE.SWITCH=1,C44*(1-I44)*(1-ADD.DISCOUNT)*(1+MAT.SURCHARGE)/EXC.RATE_2,C44*(1-I44)*(1-ADD.DISCOUNT)*(1+MAT.SURCHARGE)*EXC.RATE_2),CURRENCY.FORMAT_2),CURRENCY.FORMAT_2,0)),'DICTIONARY-5'!$A$2))</f>
        <v/>
      </c>
      <c r="N44" s="496">
        <v>1</v>
      </c>
      <c r="O44" s="496"/>
      <c r="P44" s="731" t="str">
        <f>'DICTIONARY-3'!$A$2</f>
        <v>EKOplus</v>
      </c>
      <c r="Q44" s="732" t="str">
        <f>'DICTIONARY-3'!$A$187</f>
        <v>Zasuwa klinowa</v>
      </c>
      <c r="R44" s="732" t="str">
        <f>CONCATENATE('DICTIONARY-3'!$A$2," ",'DICTIONARY-6'!$A$3," ",'DICTIONARY-2'!$A$2,"40"," ",'DICTIONARY-2'!$A$3,"10/16"," ","R14",", ",'DICTIONARY-4'!$A$2)</f>
        <v>EKOplus Zasuwa DN40 PN10/16 R14, WW</v>
      </c>
      <c r="S44" s="733" t="str">
        <f>'DICTIONARY-4'!$A$2</f>
        <v>WW</v>
      </c>
      <c r="T44" s="732" t="str">
        <f>'DICTIONARY-4'!$A$18</f>
        <v>Wolny wałek</v>
      </c>
      <c r="U44" s="734" t="s">
        <v>5758</v>
      </c>
      <c r="V44" s="735">
        <v>16</v>
      </c>
      <c r="W44" s="736"/>
      <c r="X44" s="737"/>
      <c r="Y44" s="738"/>
      <c r="Z44" s="739"/>
      <c r="AA44" s="739"/>
      <c r="AB44" s="740">
        <v>16</v>
      </c>
      <c r="AC44" s="741" t="str">
        <f>'DICTIONARY-5'!$A$11&amp;" 14"</f>
        <v>EN 558 szereg 14</v>
      </c>
      <c r="AD44" s="741" t="str">
        <f>'DICTIONARY-5'!$A$13</f>
        <v>woda pitna</v>
      </c>
      <c r="AE44" s="742">
        <v>50</v>
      </c>
      <c r="AF44" s="743">
        <v>8.5</v>
      </c>
      <c r="AG44" s="741" t="str">
        <f>'DICTIONARY-5'!$A$23</f>
        <v>powłoka epoksydowa</v>
      </c>
    </row>
    <row r="45" spans="1:33" x14ac:dyDescent="0.25">
      <c r="A45" s="837" t="s">
        <v>110</v>
      </c>
      <c r="B45" s="837" t="s">
        <v>4987</v>
      </c>
      <c r="C45" s="836">
        <v>146</v>
      </c>
      <c r="D45" s="836"/>
      <c r="E45" s="836"/>
      <c r="F45" s="836"/>
      <c r="G45" s="496" t="s">
        <v>7789</v>
      </c>
      <c r="H45" s="797" t="str">
        <f>VLOOKUP(G45,SETTINGS!$B$7:$D$97,2,0)</f>
        <v>EKOplus</v>
      </c>
      <c r="I45" s="796">
        <f>VLOOKUP(G45,SETTINGS!$B$7:$D$97,3,0)</f>
        <v>0</v>
      </c>
      <c r="J45" s="670" t="str">
        <f>IFERROR(IF(CURRENCY.FORMAT_1=0,CONCATENATE(TEXT(FIXED(ROUND((C45/EXC.RATE_1),CURRENCY.FORMAT_1),CURRENCY.FORMAT_1,1),"# ##0;-# ##0"),",-"),FIXED(ROUND((C45/EXC.RATE_1),CURRENCY.FORMAT_1),CURRENCY.FORMAT_1,0)),'DICTIONARY-5'!$A$2)</f>
        <v>146,-</v>
      </c>
      <c r="K45" s="670" t="str">
        <f>IF(EXC.RATE_2=0,"",IFERROR(IF(CURRENCY.FORMAT_2=0,CONCATENATE(TEXT(FIXED(ROUND(IF(EXC.RATE.SWITCH=1,C45/EXC.RATE_2,C45*EXC.RATE_2),CURRENCY.FORMAT_2),CURRENCY.FORMAT_2,1),"# ##0;-# ##0"),",-"),FIXED(ROUND(IF(EXC.RATE.SWITCH=1,C45/EXC.RATE_2,C45*EXC.RATE_2),CURRENCY.FORMAT_2),CURRENCY.FORMAT_2,0)),'DICTIONARY-5'!$A$2))</f>
        <v/>
      </c>
      <c r="L45" s="670" t="str">
        <f>IFERROR(IF(CURRENCY.FORMAT_1=0,CONCATENATE(TEXT(FIXED(ROUND((C45*(1-I45)*(1-ADD.DISCOUNT)*(1+MAT.SURCHARGE)/EXC.RATE_1),CURRENCY.FORMAT_1),CURRENCY.FORMAT_1,1),"# ##0;-# ##0"),",-"),FIXED(ROUND((C45*(1-I45)*(1-ADD.DISCOUNT)*(1+MAT.SURCHARGE)/EXC.RATE_1),CURRENCY.FORMAT_1),CURRENCY.FORMAT_1,0)),'DICTIONARY-5'!$A$2)</f>
        <v>152,-</v>
      </c>
      <c r="M45" s="670" t="str">
        <f>IF(EXC.RATE_2=0,"",IFERROR(IF(CURRENCY.FORMAT_2=0,CONCATENATE(TEXT(FIXED(ROUND(IF(EXC.RATE.SWITCH=1,C45*(1-I45)*(1-ADD.DISCOUNT)*(1+MAT.SURCHARGE)/EXC.RATE_2,C45*(1-I45)*(1-ADD.DISCOUNT)*(1+MAT.SURCHARGE)*EXC.RATE_2),CURRENCY.FORMAT_2),CURRENCY.FORMAT_2,1),"# ##0;-# ##0"),",-"),FIXED(ROUND(IF(EXC.RATE.SWITCH=1,C45*(1-I45)*(1-ADD.DISCOUNT)*(1+MAT.SURCHARGE)/EXC.RATE_2,C45*(1-I45)*(1-ADD.DISCOUNT)*(1+MAT.SURCHARGE)*EXC.RATE_2),CURRENCY.FORMAT_2),CURRENCY.FORMAT_2,0)),'DICTIONARY-5'!$A$2))</f>
        <v/>
      </c>
      <c r="N45" s="496">
        <v>1</v>
      </c>
      <c r="O45" s="496"/>
      <c r="P45" s="731" t="str">
        <f>'DICTIONARY-3'!$A$2</f>
        <v>EKOplus</v>
      </c>
      <c r="Q45" s="732" t="str">
        <f>'DICTIONARY-3'!$A$187</f>
        <v>Zasuwa klinowa</v>
      </c>
      <c r="R45" s="732" t="str">
        <f>CONCATENATE('DICTIONARY-3'!$A$2," ",'DICTIONARY-6'!$A$3," ",'DICTIONARY-2'!$A$2,"50"," ",'DICTIONARY-2'!$A$3,"10/16"," ","R14",", ",'DICTIONARY-4'!$A$2)</f>
        <v>EKOplus Zasuwa DN50 PN10/16 R14, WW</v>
      </c>
      <c r="S45" s="733" t="str">
        <f>'DICTIONARY-4'!$A$2</f>
        <v>WW</v>
      </c>
      <c r="T45" s="732" t="str">
        <f>'DICTIONARY-4'!$A$18</f>
        <v>Wolny wałek</v>
      </c>
      <c r="U45" s="734" t="s">
        <v>5748</v>
      </c>
      <c r="V45" s="735">
        <v>16</v>
      </c>
      <c r="W45" s="736"/>
      <c r="X45" s="737"/>
      <c r="Y45" s="738"/>
      <c r="Z45" s="739"/>
      <c r="AA45" s="739"/>
      <c r="AB45" s="740">
        <v>16</v>
      </c>
      <c r="AC45" s="741" t="str">
        <f>'DICTIONARY-5'!$A$11&amp;" 14"</f>
        <v>EN 558 szereg 14</v>
      </c>
      <c r="AD45" s="741" t="str">
        <f>'DICTIONARY-5'!$A$13</f>
        <v>woda pitna</v>
      </c>
      <c r="AE45" s="742">
        <v>50</v>
      </c>
      <c r="AF45" s="743">
        <v>10</v>
      </c>
      <c r="AG45" s="741" t="str">
        <f>'DICTIONARY-5'!$A$23</f>
        <v>powłoka epoksydowa</v>
      </c>
    </row>
    <row r="46" spans="1:33" x14ac:dyDescent="0.25">
      <c r="A46" s="837" t="s">
        <v>112</v>
      </c>
      <c r="B46" s="837" t="s">
        <v>4988</v>
      </c>
      <c r="C46" s="836">
        <v>175</v>
      </c>
      <c r="D46" s="836"/>
      <c r="E46" s="836"/>
      <c r="F46" s="836"/>
      <c r="G46" s="496" t="s">
        <v>7789</v>
      </c>
      <c r="H46" s="797" t="str">
        <f>VLOOKUP(G46,SETTINGS!$B$7:$D$97,2,0)</f>
        <v>EKOplus</v>
      </c>
      <c r="I46" s="796">
        <f>VLOOKUP(G46,SETTINGS!$B$7:$D$97,3,0)</f>
        <v>0</v>
      </c>
      <c r="J46" s="670" t="str">
        <f>IFERROR(IF(CURRENCY.FORMAT_1=0,CONCATENATE(TEXT(FIXED(ROUND((C46/EXC.RATE_1),CURRENCY.FORMAT_1),CURRENCY.FORMAT_1,1),"# ##0;-# ##0"),",-"),FIXED(ROUND((C46/EXC.RATE_1),CURRENCY.FORMAT_1),CURRENCY.FORMAT_1,0)),'DICTIONARY-5'!$A$2)</f>
        <v>175,-</v>
      </c>
      <c r="K46" s="670" t="str">
        <f>IF(EXC.RATE_2=0,"",IFERROR(IF(CURRENCY.FORMAT_2=0,CONCATENATE(TEXT(FIXED(ROUND(IF(EXC.RATE.SWITCH=1,C46/EXC.RATE_2,C46*EXC.RATE_2),CURRENCY.FORMAT_2),CURRENCY.FORMAT_2,1),"# ##0;-# ##0"),",-"),FIXED(ROUND(IF(EXC.RATE.SWITCH=1,C46/EXC.RATE_2,C46*EXC.RATE_2),CURRENCY.FORMAT_2),CURRENCY.FORMAT_2,0)),'DICTIONARY-5'!$A$2))</f>
        <v/>
      </c>
      <c r="L46" s="670" t="str">
        <f>IFERROR(IF(CURRENCY.FORMAT_1=0,CONCATENATE(TEXT(FIXED(ROUND((C46*(1-I46)*(1-ADD.DISCOUNT)*(1+MAT.SURCHARGE)/EXC.RATE_1),CURRENCY.FORMAT_1),CURRENCY.FORMAT_1,1),"# ##0;-# ##0"),",-"),FIXED(ROUND((C46*(1-I46)*(1-ADD.DISCOUNT)*(1+MAT.SURCHARGE)/EXC.RATE_1),CURRENCY.FORMAT_1),CURRENCY.FORMAT_1,0)),'DICTIONARY-5'!$A$2)</f>
        <v>182,-</v>
      </c>
      <c r="M46" s="670" t="str">
        <f>IF(EXC.RATE_2=0,"",IFERROR(IF(CURRENCY.FORMAT_2=0,CONCATENATE(TEXT(FIXED(ROUND(IF(EXC.RATE.SWITCH=1,C46*(1-I46)*(1-ADD.DISCOUNT)*(1+MAT.SURCHARGE)/EXC.RATE_2,C46*(1-I46)*(1-ADD.DISCOUNT)*(1+MAT.SURCHARGE)*EXC.RATE_2),CURRENCY.FORMAT_2),CURRENCY.FORMAT_2,1),"# ##0;-# ##0"),",-"),FIXED(ROUND(IF(EXC.RATE.SWITCH=1,C46*(1-I46)*(1-ADD.DISCOUNT)*(1+MAT.SURCHARGE)/EXC.RATE_2,C46*(1-I46)*(1-ADD.DISCOUNT)*(1+MAT.SURCHARGE)*EXC.RATE_2),CURRENCY.FORMAT_2),CURRENCY.FORMAT_2,0)),'DICTIONARY-5'!$A$2))</f>
        <v/>
      </c>
      <c r="N46" s="496">
        <v>1</v>
      </c>
      <c r="O46" s="496"/>
      <c r="P46" s="731" t="str">
        <f>'DICTIONARY-3'!$A$2</f>
        <v>EKOplus</v>
      </c>
      <c r="Q46" s="732" t="str">
        <f>'DICTIONARY-3'!$A$187</f>
        <v>Zasuwa klinowa</v>
      </c>
      <c r="R46" s="732" t="str">
        <f>CONCATENATE('DICTIONARY-3'!$A$2," ",'DICTIONARY-6'!$A$3," ",'DICTIONARY-2'!$A$2,"65"," ",'DICTIONARY-2'!$A$3,"10/16"," ","R14",", ",'DICTIONARY-4'!$A$2)</f>
        <v>EKOplus Zasuwa DN65 PN10/16 R14, WW</v>
      </c>
      <c r="S46" s="733" t="str">
        <f>'DICTIONARY-4'!$A$2</f>
        <v>WW</v>
      </c>
      <c r="T46" s="732" t="str">
        <f>'DICTIONARY-4'!$A$18</f>
        <v>Wolny wałek</v>
      </c>
      <c r="U46" s="734" t="s">
        <v>5759</v>
      </c>
      <c r="V46" s="735">
        <v>16</v>
      </c>
      <c r="W46" s="736"/>
      <c r="X46" s="737"/>
      <c r="Y46" s="738"/>
      <c r="Z46" s="739"/>
      <c r="AA46" s="739"/>
      <c r="AB46" s="740">
        <v>16</v>
      </c>
      <c r="AC46" s="741" t="str">
        <f>'DICTIONARY-5'!$A$11&amp;" 14"</f>
        <v>EN 558 szereg 14</v>
      </c>
      <c r="AD46" s="741" t="str">
        <f>'DICTIONARY-5'!$A$13</f>
        <v>woda pitna</v>
      </c>
      <c r="AE46" s="742">
        <v>50</v>
      </c>
      <c r="AF46" s="743">
        <v>13.75</v>
      </c>
      <c r="AG46" s="741" t="str">
        <f>'DICTIONARY-5'!$A$23</f>
        <v>powłoka epoksydowa</v>
      </c>
    </row>
    <row r="47" spans="1:33" x14ac:dyDescent="0.25">
      <c r="A47" s="837" t="s">
        <v>114</v>
      </c>
      <c r="B47" s="837" t="s">
        <v>4990</v>
      </c>
      <c r="C47" s="836">
        <v>175</v>
      </c>
      <c r="D47" s="836"/>
      <c r="E47" s="836"/>
      <c r="F47" s="836"/>
      <c r="G47" s="496" t="s">
        <v>7789</v>
      </c>
      <c r="H47" s="797" t="str">
        <f>VLOOKUP(G47,SETTINGS!$B$7:$D$97,2,0)</f>
        <v>EKOplus</v>
      </c>
      <c r="I47" s="796">
        <f>VLOOKUP(G47,SETTINGS!$B$7:$D$97,3,0)</f>
        <v>0</v>
      </c>
      <c r="J47" s="670" t="str">
        <f>IFERROR(IF(CURRENCY.FORMAT_1=0,CONCATENATE(TEXT(FIXED(ROUND((C47/EXC.RATE_1),CURRENCY.FORMAT_1),CURRENCY.FORMAT_1,1),"# ##0;-# ##0"),",-"),FIXED(ROUND((C47/EXC.RATE_1),CURRENCY.FORMAT_1),CURRENCY.FORMAT_1,0)),'DICTIONARY-5'!$A$2)</f>
        <v>175,-</v>
      </c>
      <c r="K47" s="670" t="str">
        <f>IF(EXC.RATE_2=0,"",IFERROR(IF(CURRENCY.FORMAT_2=0,CONCATENATE(TEXT(FIXED(ROUND(IF(EXC.RATE.SWITCH=1,C47/EXC.RATE_2,C47*EXC.RATE_2),CURRENCY.FORMAT_2),CURRENCY.FORMAT_2,1),"# ##0;-# ##0"),",-"),FIXED(ROUND(IF(EXC.RATE.SWITCH=1,C47/EXC.RATE_2,C47*EXC.RATE_2),CURRENCY.FORMAT_2),CURRENCY.FORMAT_2,0)),'DICTIONARY-5'!$A$2))</f>
        <v/>
      </c>
      <c r="L47" s="670" t="str">
        <f>IFERROR(IF(CURRENCY.FORMAT_1=0,CONCATENATE(TEXT(FIXED(ROUND((C47*(1-I47)*(1-ADD.DISCOUNT)*(1+MAT.SURCHARGE)/EXC.RATE_1),CURRENCY.FORMAT_1),CURRENCY.FORMAT_1,1),"# ##0;-# ##0"),",-"),FIXED(ROUND((C47*(1-I47)*(1-ADD.DISCOUNT)*(1+MAT.SURCHARGE)/EXC.RATE_1),CURRENCY.FORMAT_1),CURRENCY.FORMAT_1,0)),'DICTIONARY-5'!$A$2)</f>
        <v>182,-</v>
      </c>
      <c r="M47" s="670" t="str">
        <f>IF(EXC.RATE_2=0,"",IFERROR(IF(CURRENCY.FORMAT_2=0,CONCATENATE(TEXT(FIXED(ROUND(IF(EXC.RATE.SWITCH=1,C47*(1-I47)*(1-ADD.DISCOUNT)*(1+MAT.SURCHARGE)/EXC.RATE_2,C47*(1-I47)*(1-ADD.DISCOUNT)*(1+MAT.SURCHARGE)*EXC.RATE_2),CURRENCY.FORMAT_2),CURRENCY.FORMAT_2,1),"# ##0;-# ##0"),",-"),FIXED(ROUND(IF(EXC.RATE.SWITCH=1,C47*(1-I47)*(1-ADD.DISCOUNT)*(1+MAT.SURCHARGE)/EXC.RATE_2,C47*(1-I47)*(1-ADD.DISCOUNT)*(1+MAT.SURCHARGE)*EXC.RATE_2),CURRENCY.FORMAT_2),CURRENCY.FORMAT_2,0)),'DICTIONARY-5'!$A$2))</f>
        <v/>
      </c>
      <c r="N47" s="496">
        <v>1</v>
      </c>
      <c r="O47" s="496"/>
      <c r="P47" s="731" t="str">
        <f>'DICTIONARY-3'!$A$2</f>
        <v>EKOplus</v>
      </c>
      <c r="Q47" s="732" t="str">
        <f>'DICTIONARY-3'!$A$187</f>
        <v>Zasuwa klinowa</v>
      </c>
      <c r="R47" s="732" t="str">
        <f>CONCATENATE('DICTIONARY-3'!$A$2," ",'DICTIONARY-6'!$A$3," ",'DICTIONARY-2'!$A$2,"80"," ",'DICTIONARY-2'!$A$3,"10/16"," ","R14"," ",'DICTIONARY-5'!$A$64,", ",'DICTIONARY-4'!$A$2)</f>
        <v>EKOplus Zasuwa DN80 PN10/16 R14 owiert 4 otw., WW</v>
      </c>
      <c r="S47" s="733" t="str">
        <f>'DICTIONARY-4'!$A$2</f>
        <v>WW</v>
      </c>
      <c r="T47" s="732" t="str">
        <f>'DICTIONARY-4'!$A$18</f>
        <v>Wolny wałek</v>
      </c>
      <c r="U47" s="734" t="s">
        <v>5760</v>
      </c>
      <c r="V47" s="735">
        <v>16</v>
      </c>
      <c r="W47" s="736"/>
      <c r="X47" s="737"/>
      <c r="Y47" s="738"/>
      <c r="Z47" s="739"/>
      <c r="AA47" s="739"/>
      <c r="AB47" s="740">
        <v>16</v>
      </c>
      <c r="AC47" s="741" t="str">
        <f>'DICTIONARY-5'!$A$11&amp;" 14"</f>
        <v>EN 558 szereg 14</v>
      </c>
      <c r="AD47" s="741" t="str">
        <f>'DICTIONARY-5'!$A$13</f>
        <v>woda pitna</v>
      </c>
      <c r="AE47" s="742">
        <v>50</v>
      </c>
      <c r="AF47" s="743">
        <v>15</v>
      </c>
      <c r="AG47" s="741" t="str">
        <f>'DICTIONARY-5'!$A$23</f>
        <v>powłoka epoksydowa</v>
      </c>
    </row>
    <row r="48" spans="1:33" x14ac:dyDescent="0.25">
      <c r="A48" s="837" t="s">
        <v>116</v>
      </c>
      <c r="B48" s="837" t="s">
        <v>4989</v>
      </c>
      <c r="C48" s="836">
        <v>175</v>
      </c>
      <c r="D48" s="836"/>
      <c r="E48" s="836"/>
      <c r="F48" s="836"/>
      <c r="G48" s="496" t="s">
        <v>7789</v>
      </c>
      <c r="H48" s="797" t="str">
        <f>VLOOKUP(G48,SETTINGS!$B$7:$D$97,2,0)</f>
        <v>EKOplus</v>
      </c>
      <c r="I48" s="796">
        <f>VLOOKUP(G48,SETTINGS!$B$7:$D$97,3,0)</f>
        <v>0</v>
      </c>
      <c r="J48" s="670" t="str">
        <f>IFERROR(IF(CURRENCY.FORMAT_1=0,CONCATENATE(TEXT(FIXED(ROUND((C48/EXC.RATE_1),CURRENCY.FORMAT_1),CURRENCY.FORMAT_1,1),"# ##0;-# ##0"),",-"),FIXED(ROUND((C48/EXC.RATE_1),CURRENCY.FORMAT_1),CURRENCY.FORMAT_1,0)),'DICTIONARY-5'!$A$2)</f>
        <v>175,-</v>
      </c>
      <c r="K48" s="670" t="str">
        <f>IF(EXC.RATE_2=0,"",IFERROR(IF(CURRENCY.FORMAT_2=0,CONCATENATE(TEXT(FIXED(ROUND(IF(EXC.RATE.SWITCH=1,C48/EXC.RATE_2,C48*EXC.RATE_2),CURRENCY.FORMAT_2),CURRENCY.FORMAT_2,1),"# ##0;-# ##0"),",-"),FIXED(ROUND(IF(EXC.RATE.SWITCH=1,C48/EXC.RATE_2,C48*EXC.RATE_2),CURRENCY.FORMAT_2),CURRENCY.FORMAT_2,0)),'DICTIONARY-5'!$A$2))</f>
        <v/>
      </c>
      <c r="L48" s="670" t="str">
        <f>IFERROR(IF(CURRENCY.FORMAT_1=0,CONCATENATE(TEXT(FIXED(ROUND((C48*(1-I48)*(1-ADD.DISCOUNT)*(1+MAT.SURCHARGE)/EXC.RATE_1),CURRENCY.FORMAT_1),CURRENCY.FORMAT_1,1),"# ##0;-# ##0"),",-"),FIXED(ROUND((C48*(1-I48)*(1-ADD.DISCOUNT)*(1+MAT.SURCHARGE)/EXC.RATE_1),CURRENCY.FORMAT_1),CURRENCY.FORMAT_1,0)),'DICTIONARY-5'!$A$2)</f>
        <v>182,-</v>
      </c>
      <c r="M48" s="670" t="str">
        <f>IF(EXC.RATE_2=0,"",IFERROR(IF(CURRENCY.FORMAT_2=0,CONCATENATE(TEXT(FIXED(ROUND(IF(EXC.RATE.SWITCH=1,C48*(1-I48)*(1-ADD.DISCOUNT)*(1+MAT.SURCHARGE)/EXC.RATE_2,C48*(1-I48)*(1-ADD.DISCOUNT)*(1+MAT.SURCHARGE)*EXC.RATE_2),CURRENCY.FORMAT_2),CURRENCY.FORMAT_2,1),"# ##0;-# ##0"),",-"),FIXED(ROUND(IF(EXC.RATE.SWITCH=1,C48*(1-I48)*(1-ADD.DISCOUNT)*(1+MAT.SURCHARGE)/EXC.RATE_2,C48*(1-I48)*(1-ADD.DISCOUNT)*(1+MAT.SURCHARGE)*EXC.RATE_2),CURRENCY.FORMAT_2),CURRENCY.FORMAT_2,0)),'DICTIONARY-5'!$A$2))</f>
        <v/>
      </c>
      <c r="N48" s="496">
        <v>1</v>
      </c>
      <c r="O48" s="496"/>
      <c r="P48" s="731" t="str">
        <f>'DICTIONARY-3'!$A$2</f>
        <v>EKOplus</v>
      </c>
      <c r="Q48" s="732" t="str">
        <f>'DICTIONARY-3'!$A$187</f>
        <v>Zasuwa klinowa</v>
      </c>
      <c r="R48" s="732" t="str">
        <f>CONCATENATE('DICTIONARY-3'!$A$2," ",'DICTIONARY-6'!$A$3," ",'DICTIONARY-2'!$A$2,"80"," ",'DICTIONARY-2'!$A$3,"10/16"," ","R14",", ",'DICTIONARY-4'!$A$2)</f>
        <v>EKOplus Zasuwa DN80 PN10/16 R14, WW</v>
      </c>
      <c r="S48" s="733" t="str">
        <f>'DICTIONARY-4'!$A$2</f>
        <v>WW</v>
      </c>
      <c r="T48" s="732" t="str">
        <f>'DICTIONARY-4'!$A$18</f>
        <v>Wolny wałek</v>
      </c>
      <c r="U48" s="734" t="s">
        <v>5760</v>
      </c>
      <c r="V48" s="735">
        <v>16</v>
      </c>
      <c r="W48" s="736"/>
      <c r="X48" s="737"/>
      <c r="Y48" s="738"/>
      <c r="Z48" s="739"/>
      <c r="AA48" s="739"/>
      <c r="AB48" s="740">
        <v>16</v>
      </c>
      <c r="AC48" s="741" t="str">
        <f>'DICTIONARY-5'!$A$11&amp;" 14"</f>
        <v>EN 558 szereg 14</v>
      </c>
      <c r="AD48" s="741" t="str">
        <f>'DICTIONARY-5'!$A$13</f>
        <v>woda pitna</v>
      </c>
      <c r="AE48" s="742">
        <v>50</v>
      </c>
      <c r="AF48" s="743">
        <v>15</v>
      </c>
      <c r="AG48" s="741" t="str">
        <f>'DICTIONARY-5'!$A$23</f>
        <v>powłoka epoksydowa</v>
      </c>
    </row>
    <row r="49" spans="1:33" x14ac:dyDescent="0.25">
      <c r="A49" s="837" t="s">
        <v>118</v>
      </c>
      <c r="B49" s="837" t="s">
        <v>4991</v>
      </c>
      <c r="C49" s="836">
        <v>196</v>
      </c>
      <c r="D49" s="836"/>
      <c r="E49" s="836"/>
      <c r="F49" s="836"/>
      <c r="G49" s="496" t="s">
        <v>7789</v>
      </c>
      <c r="H49" s="797" t="str">
        <f>VLOOKUP(G49,SETTINGS!$B$7:$D$97,2,0)</f>
        <v>EKOplus</v>
      </c>
      <c r="I49" s="796">
        <f>VLOOKUP(G49,SETTINGS!$B$7:$D$97,3,0)</f>
        <v>0</v>
      </c>
      <c r="J49" s="670" t="str">
        <f>IFERROR(IF(CURRENCY.FORMAT_1=0,CONCATENATE(TEXT(FIXED(ROUND((C49/EXC.RATE_1),CURRENCY.FORMAT_1),CURRENCY.FORMAT_1,1),"# ##0;-# ##0"),",-"),FIXED(ROUND((C49/EXC.RATE_1),CURRENCY.FORMAT_1),CURRENCY.FORMAT_1,0)),'DICTIONARY-5'!$A$2)</f>
        <v>196,-</v>
      </c>
      <c r="K49" s="670" t="str">
        <f>IF(EXC.RATE_2=0,"",IFERROR(IF(CURRENCY.FORMAT_2=0,CONCATENATE(TEXT(FIXED(ROUND(IF(EXC.RATE.SWITCH=1,C49/EXC.RATE_2,C49*EXC.RATE_2),CURRENCY.FORMAT_2),CURRENCY.FORMAT_2,1),"# ##0;-# ##0"),",-"),FIXED(ROUND(IF(EXC.RATE.SWITCH=1,C49/EXC.RATE_2,C49*EXC.RATE_2),CURRENCY.FORMAT_2),CURRENCY.FORMAT_2,0)),'DICTIONARY-5'!$A$2))</f>
        <v/>
      </c>
      <c r="L49" s="670" t="str">
        <f>IFERROR(IF(CURRENCY.FORMAT_1=0,CONCATENATE(TEXT(FIXED(ROUND((C49*(1-I49)*(1-ADD.DISCOUNT)*(1+MAT.SURCHARGE)/EXC.RATE_1),CURRENCY.FORMAT_1),CURRENCY.FORMAT_1,1),"# ##0;-# ##0"),",-"),FIXED(ROUND((C49*(1-I49)*(1-ADD.DISCOUNT)*(1+MAT.SURCHARGE)/EXC.RATE_1),CURRENCY.FORMAT_1),CURRENCY.FORMAT_1,0)),'DICTIONARY-5'!$A$2)</f>
        <v>204,-</v>
      </c>
      <c r="M49" s="670" t="str">
        <f>IF(EXC.RATE_2=0,"",IFERROR(IF(CURRENCY.FORMAT_2=0,CONCATENATE(TEXT(FIXED(ROUND(IF(EXC.RATE.SWITCH=1,C49*(1-I49)*(1-ADD.DISCOUNT)*(1+MAT.SURCHARGE)/EXC.RATE_2,C49*(1-I49)*(1-ADD.DISCOUNT)*(1+MAT.SURCHARGE)*EXC.RATE_2),CURRENCY.FORMAT_2),CURRENCY.FORMAT_2,1),"# ##0;-# ##0"),",-"),FIXED(ROUND(IF(EXC.RATE.SWITCH=1,C49*(1-I49)*(1-ADD.DISCOUNT)*(1+MAT.SURCHARGE)/EXC.RATE_2,C49*(1-I49)*(1-ADD.DISCOUNT)*(1+MAT.SURCHARGE)*EXC.RATE_2),CURRENCY.FORMAT_2),CURRENCY.FORMAT_2,0)),'DICTIONARY-5'!$A$2))</f>
        <v/>
      </c>
      <c r="N49" s="496">
        <v>1</v>
      </c>
      <c r="O49" s="496"/>
      <c r="P49" s="731" t="str">
        <f>'DICTIONARY-3'!$A$2</f>
        <v>EKOplus</v>
      </c>
      <c r="Q49" s="732" t="str">
        <f>'DICTIONARY-3'!$A$187</f>
        <v>Zasuwa klinowa</v>
      </c>
      <c r="R49" s="732" t="str">
        <f>CONCATENATE('DICTIONARY-3'!$A$2," ",'DICTIONARY-6'!$A$3," ",'DICTIONARY-2'!$A$2,"100"," ",'DICTIONARY-2'!$A$3,"10/16"," ","R14",", ",'DICTIONARY-4'!$A$2)</f>
        <v>EKOplus Zasuwa DN100 PN10/16 R14, WW</v>
      </c>
      <c r="S49" s="733" t="str">
        <f>'DICTIONARY-4'!$A$2</f>
        <v>WW</v>
      </c>
      <c r="T49" s="732" t="str">
        <f>'DICTIONARY-4'!$A$18</f>
        <v>Wolny wałek</v>
      </c>
      <c r="U49" s="734" t="s">
        <v>5749</v>
      </c>
      <c r="V49" s="735">
        <v>16</v>
      </c>
      <c r="W49" s="736"/>
      <c r="X49" s="737"/>
      <c r="Y49" s="738"/>
      <c r="Z49" s="739"/>
      <c r="AA49" s="739"/>
      <c r="AB49" s="740">
        <v>16</v>
      </c>
      <c r="AC49" s="741" t="str">
        <f>'DICTIONARY-5'!$A$11&amp;" 14"</f>
        <v>EN 558 szereg 14</v>
      </c>
      <c r="AD49" s="741" t="str">
        <f>'DICTIONARY-5'!$A$13</f>
        <v>woda pitna</v>
      </c>
      <c r="AE49" s="742">
        <v>50</v>
      </c>
      <c r="AF49" s="743">
        <v>19.5</v>
      </c>
      <c r="AG49" s="741" t="str">
        <f>'DICTIONARY-5'!$A$23</f>
        <v>powłoka epoksydowa</v>
      </c>
    </row>
    <row r="50" spans="1:33" x14ac:dyDescent="0.25">
      <c r="A50" s="837" t="s">
        <v>120</v>
      </c>
      <c r="B50" s="837" t="s">
        <v>4992</v>
      </c>
      <c r="C50" s="836">
        <v>290</v>
      </c>
      <c r="D50" s="836"/>
      <c r="E50" s="836"/>
      <c r="F50" s="836"/>
      <c r="G50" s="496" t="s">
        <v>7789</v>
      </c>
      <c r="H50" s="797" t="str">
        <f>VLOOKUP(G50,SETTINGS!$B$7:$D$97,2,0)</f>
        <v>EKOplus</v>
      </c>
      <c r="I50" s="796">
        <f>VLOOKUP(G50,SETTINGS!$B$7:$D$97,3,0)</f>
        <v>0</v>
      </c>
      <c r="J50" s="670" t="str">
        <f>IFERROR(IF(CURRENCY.FORMAT_1=0,CONCATENATE(TEXT(FIXED(ROUND((C50/EXC.RATE_1),CURRENCY.FORMAT_1),CURRENCY.FORMAT_1,1),"# ##0;-# ##0"),",-"),FIXED(ROUND((C50/EXC.RATE_1),CURRENCY.FORMAT_1),CURRENCY.FORMAT_1,0)),'DICTIONARY-5'!$A$2)</f>
        <v>290,-</v>
      </c>
      <c r="K50" s="670" t="str">
        <f>IF(EXC.RATE_2=0,"",IFERROR(IF(CURRENCY.FORMAT_2=0,CONCATENATE(TEXT(FIXED(ROUND(IF(EXC.RATE.SWITCH=1,C50/EXC.RATE_2,C50*EXC.RATE_2),CURRENCY.FORMAT_2),CURRENCY.FORMAT_2,1),"# ##0;-# ##0"),",-"),FIXED(ROUND(IF(EXC.RATE.SWITCH=1,C50/EXC.RATE_2,C50*EXC.RATE_2),CURRENCY.FORMAT_2),CURRENCY.FORMAT_2,0)),'DICTIONARY-5'!$A$2))</f>
        <v/>
      </c>
      <c r="L50" s="670" t="str">
        <f>IFERROR(IF(CURRENCY.FORMAT_1=0,CONCATENATE(TEXT(FIXED(ROUND((C50*(1-I50)*(1-ADD.DISCOUNT)*(1+MAT.SURCHARGE)/EXC.RATE_1),CURRENCY.FORMAT_1),CURRENCY.FORMAT_1,1),"# ##0;-# ##0"),",-"),FIXED(ROUND((C50*(1-I50)*(1-ADD.DISCOUNT)*(1+MAT.SURCHARGE)/EXC.RATE_1),CURRENCY.FORMAT_1),CURRENCY.FORMAT_1,0)),'DICTIONARY-5'!$A$2)</f>
        <v>301,-</v>
      </c>
      <c r="M50" s="670" t="str">
        <f>IF(EXC.RATE_2=0,"",IFERROR(IF(CURRENCY.FORMAT_2=0,CONCATENATE(TEXT(FIXED(ROUND(IF(EXC.RATE.SWITCH=1,C50*(1-I50)*(1-ADD.DISCOUNT)*(1+MAT.SURCHARGE)/EXC.RATE_2,C50*(1-I50)*(1-ADD.DISCOUNT)*(1+MAT.SURCHARGE)*EXC.RATE_2),CURRENCY.FORMAT_2),CURRENCY.FORMAT_2,1),"# ##0;-# ##0"),",-"),FIXED(ROUND(IF(EXC.RATE.SWITCH=1,C50*(1-I50)*(1-ADD.DISCOUNT)*(1+MAT.SURCHARGE)/EXC.RATE_2,C50*(1-I50)*(1-ADD.DISCOUNT)*(1+MAT.SURCHARGE)*EXC.RATE_2),CURRENCY.FORMAT_2),CURRENCY.FORMAT_2,0)),'DICTIONARY-5'!$A$2))</f>
        <v/>
      </c>
      <c r="N50" s="496">
        <v>1</v>
      </c>
      <c r="O50" s="496"/>
      <c r="P50" s="731" t="str">
        <f>'DICTIONARY-3'!$A$2</f>
        <v>EKOplus</v>
      </c>
      <c r="Q50" s="732" t="str">
        <f>'DICTIONARY-3'!$A$187</f>
        <v>Zasuwa klinowa</v>
      </c>
      <c r="R50" s="732" t="str">
        <f>CONCATENATE('DICTIONARY-3'!$A$2," ",'DICTIONARY-6'!$A$3," ",'DICTIONARY-2'!$A$2,"125"," ",'DICTIONARY-2'!$A$3,"10/16"," ","R14",", ",'DICTIONARY-4'!$A$2)</f>
        <v>EKOplus Zasuwa DN125 PN10/16 R14, WW</v>
      </c>
      <c r="S50" s="733" t="str">
        <f>'DICTIONARY-4'!$A$2</f>
        <v>WW</v>
      </c>
      <c r="T50" s="732" t="str">
        <f>'DICTIONARY-4'!$A$18</f>
        <v>Wolny wałek</v>
      </c>
      <c r="U50" s="734" t="s">
        <v>5761</v>
      </c>
      <c r="V50" s="735">
        <v>16</v>
      </c>
      <c r="W50" s="736"/>
      <c r="X50" s="737"/>
      <c r="Y50" s="738"/>
      <c r="Z50" s="739"/>
      <c r="AA50" s="739"/>
      <c r="AB50" s="740">
        <v>16</v>
      </c>
      <c r="AC50" s="741" t="str">
        <f>'DICTIONARY-5'!$A$11&amp;" 14"</f>
        <v>EN 558 szereg 14</v>
      </c>
      <c r="AD50" s="741" t="str">
        <f>'DICTIONARY-5'!$A$13</f>
        <v>woda pitna</v>
      </c>
      <c r="AE50" s="742">
        <v>50</v>
      </c>
      <c r="AF50" s="743">
        <v>27.5</v>
      </c>
      <c r="AG50" s="741" t="str">
        <f>'DICTIONARY-5'!$A$23</f>
        <v>powłoka epoksydowa</v>
      </c>
    </row>
    <row r="51" spans="1:33" x14ac:dyDescent="0.25">
      <c r="A51" s="837" t="s">
        <v>122</v>
      </c>
      <c r="B51" s="837" t="s">
        <v>4993</v>
      </c>
      <c r="C51" s="836">
        <v>305</v>
      </c>
      <c r="D51" s="836"/>
      <c r="E51" s="836"/>
      <c r="F51" s="836"/>
      <c r="G51" s="496" t="s">
        <v>7789</v>
      </c>
      <c r="H51" s="797" t="str">
        <f>VLOOKUP(G51,SETTINGS!$B$7:$D$97,2,0)</f>
        <v>EKOplus</v>
      </c>
      <c r="I51" s="796">
        <f>VLOOKUP(G51,SETTINGS!$B$7:$D$97,3,0)</f>
        <v>0</v>
      </c>
      <c r="J51" s="670" t="str">
        <f>IFERROR(IF(CURRENCY.FORMAT_1=0,CONCATENATE(TEXT(FIXED(ROUND((C51/EXC.RATE_1),CURRENCY.FORMAT_1),CURRENCY.FORMAT_1,1),"# ##0;-# ##0"),",-"),FIXED(ROUND((C51/EXC.RATE_1),CURRENCY.FORMAT_1),CURRENCY.FORMAT_1,0)),'DICTIONARY-5'!$A$2)</f>
        <v>305,-</v>
      </c>
      <c r="K51" s="670" t="str">
        <f>IF(EXC.RATE_2=0,"",IFERROR(IF(CURRENCY.FORMAT_2=0,CONCATENATE(TEXT(FIXED(ROUND(IF(EXC.RATE.SWITCH=1,C51/EXC.RATE_2,C51*EXC.RATE_2),CURRENCY.FORMAT_2),CURRENCY.FORMAT_2,1),"# ##0;-# ##0"),",-"),FIXED(ROUND(IF(EXC.RATE.SWITCH=1,C51/EXC.RATE_2,C51*EXC.RATE_2),CURRENCY.FORMAT_2),CURRENCY.FORMAT_2,0)),'DICTIONARY-5'!$A$2))</f>
        <v/>
      </c>
      <c r="L51" s="670" t="str">
        <f>IFERROR(IF(CURRENCY.FORMAT_1=0,CONCATENATE(TEXT(FIXED(ROUND((C51*(1-I51)*(1-ADD.DISCOUNT)*(1+MAT.SURCHARGE)/EXC.RATE_1),CURRENCY.FORMAT_1),CURRENCY.FORMAT_1,1),"# ##0;-# ##0"),",-"),FIXED(ROUND((C51*(1-I51)*(1-ADD.DISCOUNT)*(1+MAT.SURCHARGE)/EXC.RATE_1),CURRENCY.FORMAT_1),CURRENCY.FORMAT_1,0)),'DICTIONARY-5'!$A$2)</f>
        <v>317,-</v>
      </c>
      <c r="M51" s="670" t="str">
        <f>IF(EXC.RATE_2=0,"",IFERROR(IF(CURRENCY.FORMAT_2=0,CONCATENATE(TEXT(FIXED(ROUND(IF(EXC.RATE.SWITCH=1,C51*(1-I51)*(1-ADD.DISCOUNT)*(1+MAT.SURCHARGE)/EXC.RATE_2,C51*(1-I51)*(1-ADD.DISCOUNT)*(1+MAT.SURCHARGE)*EXC.RATE_2),CURRENCY.FORMAT_2),CURRENCY.FORMAT_2,1),"# ##0;-# ##0"),",-"),FIXED(ROUND(IF(EXC.RATE.SWITCH=1,C51*(1-I51)*(1-ADD.DISCOUNT)*(1+MAT.SURCHARGE)/EXC.RATE_2,C51*(1-I51)*(1-ADD.DISCOUNT)*(1+MAT.SURCHARGE)*EXC.RATE_2),CURRENCY.FORMAT_2),CURRENCY.FORMAT_2,0)),'DICTIONARY-5'!$A$2))</f>
        <v/>
      </c>
      <c r="N51" s="496">
        <v>1</v>
      </c>
      <c r="O51" s="496"/>
      <c r="P51" s="731" t="str">
        <f>'DICTIONARY-3'!$A$2</f>
        <v>EKOplus</v>
      </c>
      <c r="Q51" s="732" t="str">
        <f>'DICTIONARY-3'!$A$187</f>
        <v>Zasuwa klinowa</v>
      </c>
      <c r="R51" s="732" t="str">
        <f>CONCATENATE('DICTIONARY-3'!$A$2," ",'DICTIONARY-6'!$A$3," ",'DICTIONARY-2'!$A$2,"150"," ",'DICTIONARY-2'!$A$3,"10/16"," ","R14",", ",'DICTIONARY-4'!$A$2)</f>
        <v>EKOplus Zasuwa DN150 PN10/16 R14, WW</v>
      </c>
      <c r="S51" s="733" t="str">
        <f>'DICTIONARY-4'!$A$2</f>
        <v>WW</v>
      </c>
      <c r="T51" s="732" t="str">
        <f>'DICTIONARY-4'!$A$18</f>
        <v>Wolny wałek</v>
      </c>
      <c r="U51" s="734" t="s">
        <v>5572</v>
      </c>
      <c r="V51" s="735">
        <v>16</v>
      </c>
      <c r="W51" s="736"/>
      <c r="X51" s="737"/>
      <c r="Y51" s="738"/>
      <c r="Z51" s="739"/>
      <c r="AA51" s="739"/>
      <c r="AB51" s="740">
        <v>16</v>
      </c>
      <c r="AC51" s="741" t="str">
        <f>'DICTIONARY-5'!$A$11&amp;" 14"</f>
        <v>EN 558 szereg 14</v>
      </c>
      <c r="AD51" s="741" t="str">
        <f>'DICTIONARY-5'!$A$13</f>
        <v>woda pitna</v>
      </c>
      <c r="AE51" s="742">
        <v>50</v>
      </c>
      <c r="AF51" s="743">
        <v>33.299999999999997</v>
      </c>
      <c r="AG51" s="741" t="str">
        <f>'DICTIONARY-5'!$A$23</f>
        <v>powłoka epoksydowa</v>
      </c>
    </row>
    <row r="52" spans="1:33" x14ac:dyDescent="0.25">
      <c r="A52" s="837" t="s">
        <v>124</v>
      </c>
      <c r="B52" s="837" t="s">
        <v>4957</v>
      </c>
      <c r="C52" s="836">
        <v>548</v>
      </c>
      <c r="D52" s="836"/>
      <c r="E52" s="836"/>
      <c r="F52" s="836"/>
      <c r="G52" s="496" t="s">
        <v>7789</v>
      </c>
      <c r="H52" s="797" t="str">
        <f>VLOOKUP(G52,SETTINGS!$B$7:$D$97,2,0)</f>
        <v>EKOplus</v>
      </c>
      <c r="I52" s="796">
        <f>VLOOKUP(G52,SETTINGS!$B$7:$D$97,3,0)</f>
        <v>0</v>
      </c>
      <c r="J52" s="670" t="str">
        <f>IFERROR(IF(CURRENCY.FORMAT_1=0,CONCATENATE(TEXT(FIXED(ROUND((C52/EXC.RATE_1),CURRENCY.FORMAT_1),CURRENCY.FORMAT_1,1),"# ##0;-# ##0"),",-"),FIXED(ROUND((C52/EXC.RATE_1),CURRENCY.FORMAT_1),CURRENCY.FORMAT_1,0)),'DICTIONARY-5'!$A$2)</f>
        <v>548,-</v>
      </c>
      <c r="K52" s="670" t="str">
        <f>IF(EXC.RATE_2=0,"",IFERROR(IF(CURRENCY.FORMAT_2=0,CONCATENATE(TEXT(FIXED(ROUND(IF(EXC.RATE.SWITCH=1,C52/EXC.RATE_2,C52*EXC.RATE_2),CURRENCY.FORMAT_2),CURRENCY.FORMAT_2,1),"# ##0;-# ##0"),",-"),FIXED(ROUND(IF(EXC.RATE.SWITCH=1,C52/EXC.RATE_2,C52*EXC.RATE_2),CURRENCY.FORMAT_2),CURRENCY.FORMAT_2,0)),'DICTIONARY-5'!$A$2))</f>
        <v/>
      </c>
      <c r="L52" s="670" t="str">
        <f>IFERROR(IF(CURRENCY.FORMAT_1=0,CONCATENATE(TEXT(FIXED(ROUND((C52*(1-I52)*(1-ADD.DISCOUNT)*(1+MAT.SURCHARGE)/EXC.RATE_1),CURRENCY.FORMAT_1),CURRENCY.FORMAT_1,1),"# ##0;-# ##0"),",-"),FIXED(ROUND((C52*(1-I52)*(1-ADD.DISCOUNT)*(1+MAT.SURCHARGE)/EXC.RATE_1),CURRENCY.FORMAT_1),CURRENCY.FORMAT_1,0)),'DICTIONARY-5'!$A$2)</f>
        <v>569,-</v>
      </c>
      <c r="M52" s="670" t="str">
        <f>IF(EXC.RATE_2=0,"",IFERROR(IF(CURRENCY.FORMAT_2=0,CONCATENATE(TEXT(FIXED(ROUND(IF(EXC.RATE.SWITCH=1,C52*(1-I52)*(1-ADD.DISCOUNT)*(1+MAT.SURCHARGE)/EXC.RATE_2,C52*(1-I52)*(1-ADD.DISCOUNT)*(1+MAT.SURCHARGE)*EXC.RATE_2),CURRENCY.FORMAT_2),CURRENCY.FORMAT_2,1),"# ##0;-# ##0"),",-"),FIXED(ROUND(IF(EXC.RATE.SWITCH=1,C52*(1-I52)*(1-ADD.DISCOUNT)*(1+MAT.SURCHARGE)/EXC.RATE_2,C52*(1-I52)*(1-ADD.DISCOUNT)*(1+MAT.SURCHARGE)*EXC.RATE_2),CURRENCY.FORMAT_2),CURRENCY.FORMAT_2,0)),'DICTIONARY-5'!$A$2))</f>
        <v/>
      </c>
      <c r="N52" s="496">
        <v>1</v>
      </c>
      <c r="O52" s="496"/>
      <c r="P52" s="731" t="str">
        <f>'DICTIONARY-3'!$A$2</f>
        <v>EKOplus</v>
      </c>
      <c r="Q52" s="732" t="str">
        <f>'DICTIONARY-3'!$A$187</f>
        <v>Zasuwa klinowa</v>
      </c>
      <c r="R52" s="732" t="str">
        <f>CONCATENATE('DICTIONARY-3'!$A$2," ",'DICTIONARY-6'!$A$3," ",'DICTIONARY-2'!$A$2,"200"," ",'DICTIONARY-2'!$A$3,"10"," ","R14",", ",'DICTIONARY-4'!$A$2)</f>
        <v>EKOplus Zasuwa DN200 PN10 R14, WW</v>
      </c>
      <c r="S52" s="733" t="str">
        <f>'DICTIONARY-4'!$A$2</f>
        <v>WW</v>
      </c>
      <c r="T52" s="732" t="str">
        <f>'DICTIONARY-4'!$A$18</f>
        <v>Wolny wałek</v>
      </c>
      <c r="U52" s="734" t="s">
        <v>5750</v>
      </c>
      <c r="V52" s="735">
        <v>10</v>
      </c>
      <c r="W52" s="736"/>
      <c r="X52" s="737"/>
      <c r="Y52" s="738"/>
      <c r="Z52" s="739"/>
      <c r="AA52" s="739"/>
      <c r="AB52" s="740">
        <v>10</v>
      </c>
      <c r="AC52" s="741" t="str">
        <f>'DICTIONARY-5'!$A$11&amp;" 14"</f>
        <v>EN 558 szereg 14</v>
      </c>
      <c r="AD52" s="741" t="str">
        <f>'DICTIONARY-5'!$A$13</f>
        <v>woda pitna</v>
      </c>
      <c r="AE52" s="742">
        <v>50</v>
      </c>
      <c r="AF52" s="743">
        <v>53.5</v>
      </c>
      <c r="AG52" s="741" t="str">
        <f>'DICTIONARY-5'!$A$23</f>
        <v>powłoka epoksydowa</v>
      </c>
    </row>
    <row r="53" spans="1:33" x14ac:dyDescent="0.25">
      <c r="A53" s="837" t="s">
        <v>126</v>
      </c>
      <c r="B53" s="837" t="s">
        <v>4994</v>
      </c>
      <c r="C53" s="836">
        <v>551</v>
      </c>
      <c r="D53" s="836"/>
      <c r="E53" s="836"/>
      <c r="F53" s="836"/>
      <c r="G53" s="496" t="s">
        <v>7789</v>
      </c>
      <c r="H53" s="797" t="str">
        <f>VLOOKUP(G53,SETTINGS!$B$7:$D$97,2,0)</f>
        <v>EKOplus</v>
      </c>
      <c r="I53" s="796">
        <f>VLOOKUP(G53,SETTINGS!$B$7:$D$97,3,0)</f>
        <v>0</v>
      </c>
      <c r="J53" s="670" t="str">
        <f>IFERROR(IF(CURRENCY.FORMAT_1=0,CONCATENATE(TEXT(FIXED(ROUND((C53/EXC.RATE_1),CURRENCY.FORMAT_1),CURRENCY.FORMAT_1,1),"# ##0;-# ##0"),",-"),FIXED(ROUND((C53/EXC.RATE_1),CURRENCY.FORMAT_1),CURRENCY.FORMAT_1,0)),'DICTIONARY-5'!$A$2)</f>
        <v>551,-</v>
      </c>
      <c r="K53" s="670" t="str">
        <f>IF(EXC.RATE_2=0,"",IFERROR(IF(CURRENCY.FORMAT_2=0,CONCATENATE(TEXT(FIXED(ROUND(IF(EXC.RATE.SWITCH=1,C53/EXC.RATE_2,C53*EXC.RATE_2),CURRENCY.FORMAT_2),CURRENCY.FORMAT_2,1),"# ##0;-# ##0"),",-"),FIXED(ROUND(IF(EXC.RATE.SWITCH=1,C53/EXC.RATE_2,C53*EXC.RATE_2),CURRENCY.FORMAT_2),CURRENCY.FORMAT_2,0)),'DICTIONARY-5'!$A$2))</f>
        <v/>
      </c>
      <c r="L53" s="670" t="str">
        <f>IFERROR(IF(CURRENCY.FORMAT_1=0,CONCATENATE(TEXT(FIXED(ROUND((C53*(1-I53)*(1-ADD.DISCOUNT)*(1+MAT.SURCHARGE)/EXC.RATE_1),CURRENCY.FORMAT_1),CURRENCY.FORMAT_1,1),"# ##0;-# ##0"),",-"),FIXED(ROUND((C53*(1-I53)*(1-ADD.DISCOUNT)*(1+MAT.SURCHARGE)/EXC.RATE_1),CURRENCY.FORMAT_1),CURRENCY.FORMAT_1,0)),'DICTIONARY-5'!$A$2)</f>
        <v>572,-</v>
      </c>
      <c r="M53" s="670" t="str">
        <f>IF(EXC.RATE_2=0,"",IFERROR(IF(CURRENCY.FORMAT_2=0,CONCATENATE(TEXT(FIXED(ROUND(IF(EXC.RATE.SWITCH=1,C53*(1-I53)*(1-ADD.DISCOUNT)*(1+MAT.SURCHARGE)/EXC.RATE_2,C53*(1-I53)*(1-ADD.DISCOUNT)*(1+MAT.SURCHARGE)*EXC.RATE_2),CURRENCY.FORMAT_2),CURRENCY.FORMAT_2,1),"# ##0;-# ##0"),",-"),FIXED(ROUND(IF(EXC.RATE.SWITCH=1,C53*(1-I53)*(1-ADD.DISCOUNT)*(1+MAT.SURCHARGE)/EXC.RATE_2,C53*(1-I53)*(1-ADD.DISCOUNT)*(1+MAT.SURCHARGE)*EXC.RATE_2),CURRENCY.FORMAT_2),CURRENCY.FORMAT_2,0)),'DICTIONARY-5'!$A$2))</f>
        <v/>
      </c>
      <c r="N53" s="496">
        <v>1</v>
      </c>
      <c r="O53" s="496"/>
      <c r="P53" s="731" t="str">
        <f>'DICTIONARY-3'!$A$2</f>
        <v>EKOplus</v>
      </c>
      <c r="Q53" s="732" t="str">
        <f>'DICTIONARY-3'!$A$187</f>
        <v>Zasuwa klinowa</v>
      </c>
      <c r="R53" s="732" t="str">
        <f>CONCATENATE('DICTIONARY-3'!$A$2," ",'DICTIONARY-6'!$A$3," ",'DICTIONARY-2'!$A$2,"200"," ",'DICTIONARY-2'!$A$3,"16"," ","R14",", ",'DICTIONARY-4'!$A$2)</f>
        <v>EKOplus Zasuwa DN200 PN16 R14, WW</v>
      </c>
      <c r="S53" s="733" t="str">
        <f>'DICTIONARY-4'!$A$2</f>
        <v>WW</v>
      </c>
      <c r="T53" s="732" t="str">
        <f>'DICTIONARY-4'!$A$18</f>
        <v>Wolny wałek</v>
      </c>
      <c r="U53" s="734" t="s">
        <v>5750</v>
      </c>
      <c r="V53" s="735">
        <v>16</v>
      </c>
      <c r="W53" s="736"/>
      <c r="X53" s="737"/>
      <c r="Y53" s="738"/>
      <c r="Z53" s="739"/>
      <c r="AA53" s="739"/>
      <c r="AB53" s="740">
        <v>16</v>
      </c>
      <c r="AC53" s="741" t="str">
        <f>'DICTIONARY-5'!$A$11&amp;" 14"</f>
        <v>EN 558 szereg 14</v>
      </c>
      <c r="AD53" s="741" t="str">
        <f>'DICTIONARY-5'!$A$13</f>
        <v>woda pitna</v>
      </c>
      <c r="AE53" s="742">
        <v>50</v>
      </c>
      <c r="AF53" s="743">
        <v>52</v>
      </c>
      <c r="AG53" s="741" t="str">
        <f>'DICTIONARY-5'!$A$23</f>
        <v>powłoka epoksydowa</v>
      </c>
    </row>
    <row r="54" spans="1:33" x14ac:dyDescent="0.25">
      <c r="A54" s="837" t="s">
        <v>128</v>
      </c>
      <c r="B54" s="837" t="s">
        <v>4958</v>
      </c>
      <c r="C54" s="836">
        <v>787</v>
      </c>
      <c r="D54" s="836"/>
      <c r="E54" s="836"/>
      <c r="F54" s="836"/>
      <c r="G54" s="496" t="s">
        <v>7789</v>
      </c>
      <c r="H54" s="797" t="str">
        <f>VLOOKUP(G54,SETTINGS!$B$7:$D$97,2,0)</f>
        <v>EKOplus</v>
      </c>
      <c r="I54" s="796">
        <f>VLOOKUP(G54,SETTINGS!$B$7:$D$97,3,0)</f>
        <v>0</v>
      </c>
      <c r="J54" s="670" t="str">
        <f>IFERROR(IF(CURRENCY.FORMAT_1=0,CONCATENATE(TEXT(FIXED(ROUND((C54/EXC.RATE_1),CURRENCY.FORMAT_1),CURRENCY.FORMAT_1,1),"# ##0;-# ##0"),",-"),FIXED(ROUND((C54/EXC.RATE_1),CURRENCY.FORMAT_1),CURRENCY.FORMAT_1,0)),'DICTIONARY-5'!$A$2)</f>
        <v>787,-</v>
      </c>
      <c r="K54" s="670" t="str">
        <f>IF(EXC.RATE_2=0,"",IFERROR(IF(CURRENCY.FORMAT_2=0,CONCATENATE(TEXT(FIXED(ROUND(IF(EXC.RATE.SWITCH=1,C54/EXC.RATE_2,C54*EXC.RATE_2),CURRENCY.FORMAT_2),CURRENCY.FORMAT_2,1),"# ##0;-# ##0"),",-"),FIXED(ROUND(IF(EXC.RATE.SWITCH=1,C54/EXC.RATE_2,C54*EXC.RATE_2),CURRENCY.FORMAT_2),CURRENCY.FORMAT_2,0)),'DICTIONARY-5'!$A$2))</f>
        <v/>
      </c>
      <c r="L54" s="670" t="str">
        <f>IFERROR(IF(CURRENCY.FORMAT_1=0,CONCATENATE(TEXT(FIXED(ROUND((C54*(1-I54)*(1-ADD.DISCOUNT)*(1+MAT.SURCHARGE)/EXC.RATE_1),CURRENCY.FORMAT_1),CURRENCY.FORMAT_1,1),"# ##0;-# ##0"),",-"),FIXED(ROUND((C54*(1-I54)*(1-ADD.DISCOUNT)*(1+MAT.SURCHARGE)/EXC.RATE_1),CURRENCY.FORMAT_1),CURRENCY.FORMAT_1,0)),'DICTIONARY-5'!$A$2)</f>
        <v>818,-</v>
      </c>
      <c r="M54" s="670" t="str">
        <f>IF(EXC.RATE_2=0,"",IFERROR(IF(CURRENCY.FORMAT_2=0,CONCATENATE(TEXT(FIXED(ROUND(IF(EXC.RATE.SWITCH=1,C54*(1-I54)*(1-ADD.DISCOUNT)*(1+MAT.SURCHARGE)/EXC.RATE_2,C54*(1-I54)*(1-ADD.DISCOUNT)*(1+MAT.SURCHARGE)*EXC.RATE_2),CURRENCY.FORMAT_2),CURRENCY.FORMAT_2,1),"# ##0;-# ##0"),",-"),FIXED(ROUND(IF(EXC.RATE.SWITCH=1,C54*(1-I54)*(1-ADD.DISCOUNT)*(1+MAT.SURCHARGE)/EXC.RATE_2,C54*(1-I54)*(1-ADD.DISCOUNT)*(1+MAT.SURCHARGE)*EXC.RATE_2),CURRENCY.FORMAT_2),CURRENCY.FORMAT_2,0)),'DICTIONARY-5'!$A$2))</f>
        <v/>
      </c>
      <c r="N54" s="496">
        <v>1</v>
      </c>
      <c r="O54" s="496"/>
      <c r="P54" s="731" t="str">
        <f>'DICTIONARY-3'!$A$2</f>
        <v>EKOplus</v>
      </c>
      <c r="Q54" s="732" t="str">
        <f>'DICTIONARY-3'!$A$187</f>
        <v>Zasuwa klinowa</v>
      </c>
      <c r="R54" s="732" t="str">
        <f>CONCATENATE('DICTIONARY-3'!$A$2," ",'DICTIONARY-6'!$A$3," ",'DICTIONARY-2'!$A$2,"250"," ",'DICTIONARY-2'!$A$3,"10"," ","R14",", ",'DICTIONARY-4'!$A$2)</f>
        <v>EKOplus Zasuwa DN250 PN10 R14, WW</v>
      </c>
      <c r="S54" s="733" t="str">
        <f>'DICTIONARY-4'!$A$2</f>
        <v>WW</v>
      </c>
      <c r="T54" s="732" t="str">
        <f>'DICTIONARY-4'!$A$18</f>
        <v>Wolny wałek</v>
      </c>
      <c r="U54" s="734" t="s">
        <v>5751</v>
      </c>
      <c r="V54" s="735">
        <v>10</v>
      </c>
      <c r="W54" s="736"/>
      <c r="X54" s="737"/>
      <c r="Y54" s="738"/>
      <c r="Z54" s="739"/>
      <c r="AA54" s="739"/>
      <c r="AB54" s="740">
        <v>10</v>
      </c>
      <c r="AC54" s="741" t="str">
        <f>'DICTIONARY-5'!$A$11&amp;" 14"</f>
        <v>EN 558 szereg 14</v>
      </c>
      <c r="AD54" s="741" t="str">
        <f>'DICTIONARY-5'!$A$13</f>
        <v>woda pitna</v>
      </c>
      <c r="AE54" s="742">
        <v>50</v>
      </c>
      <c r="AF54" s="743">
        <v>86</v>
      </c>
      <c r="AG54" s="741" t="str">
        <f>'DICTIONARY-5'!$A$23</f>
        <v>powłoka epoksydowa</v>
      </c>
    </row>
    <row r="55" spans="1:33" x14ac:dyDescent="0.25">
      <c r="A55" s="837" t="s">
        <v>130</v>
      </c>
      <c r="B55" s="837" t="s">
        <v>4995</v>
      </c>
      <c r="C55" s="836">
        <v>788</v>
      </c>
      <c r="D55" s="836"/>
      <c r="E55" s="836"/>
      <c r="F55" s="836"/>
      <c r="G55" s="496" t="s">
        <v>7789</v>
      </c>
      <c r="H55" s="797" t="str">
        <f>VLOOKUP(G55,SETTINGS!$B$7:$D$97,2,0)</f>
        <v>EKOplus</v>
      </c>
      <c r="I55" s="796">
        <f>VLOOKUP(G55,SETTINGS!$B$7:$D$97,3,0)</f>
        <v>0</v>
      </c>
      <c r="J55" s="670" t="str">
        <f>IFERROR(IF(CURRENCY.FORMAT_1=0,CONCATENATE(TEXT(FIXED(ROUND((C55/EXC.RATE_1),CURRENCY.FORMAT_1),CURRENCY.FORMAT_1,1),"# ##0;-# ##0"),",-"),FIXED(ROUND((C55/EXC.RATE_1),CURRENCY.FORMAT_1),CURRENCY.FORMAT_1,0)),'DICTIONARY-5'!$A$2)</f>
        <v>788,-</v>
      </c>
      <c r="K55" s="670" t="str">
        <f>IF(EXC.RATE_2=0,"",IFERROR(IF(CURRENCY.FORMAT_2=0,CONCATENATE(TEXT(FIXED(ROUND(IF(EXC.RATE.SWITCH=1,C55/EXC.RATE_2,C55*EXC.RATE_2),CURRENCY.FORMAT_2),CURRENCY.FORMAT_2,1),"# ##0;-# ##0"),",-"),FIXED(ROUND(IF(EXC.RATE.SWITCH=1,C55/EXC.RATE_2,C55*EXC.RATE_2),CURRENCY.FORMAT_2),CURRENCY.FORMAT_2,0)),'DICTIONARY-5'!$A$2))</f>
        <v/>
      </c>
      <c r="L55" s="670" t="str">
        <f>IFERROR(IF(CURRENCY.FORMAT_1=0,CONCATENATE(TEXT(FIXED(ROUND((C55*(1-I55)*(1-ADD.DISCOUNT)*(1+MAT.SURCHARGE)/EXC.RATE_1),CURRENCY.FORMAT_1),CURRENCY.FORMAT_1,1),"# ##0;-# ##0"),",-"),FIXED(ROUND((C55*(1-I55)*(1-ADD.DISCOUNT)*(1+MAT.SURCHARGE)/EXC.RATE_1),CURRENCY.FORMAT_1),CURRENCY.FORMAT_1,0)),'DICTIONARY-5'!$A$2)</f>
        <v>819,-</v>
      </c>
      <c r="M55" s="670" t="str">
        <f>IF(EXC.RATE_2=0,"",IFERROR(IF(CURRENCY.FORMAT_2=0,CONCATENATE(TEXT(FIXED(ROUND(IF(EXC.RATE.SWITCH=1,C55*(1-I55)*(1-ADD.DISCOUNT)*(1+MAT.SURCHARGE)/EXC.RATE_2,C55*(1-I55)*(1-ADD.DISCOUNT)*(1+MAT.SURCHARGE)*EXC.RATE_2),CURRENCY.FORMAT_2),CURRENCY.FORMAT_2,1),"# ##0;-# ##0"),",-"),FIXED(ROUND(IF(EXC.RATE.SWITCH=1,C55*(1-I55)*(1-ADD.DISCOUNT)*(1+MAT.SURCHARGE)/EXC.RATE_2,C55*(1-I55)*(1-ADD.DISCOUNT)*(1+MAT.SURCHARGE)*EXC.RATE_2),CURRENCY.FORMAT_2),CURRENCY.FORMAT_2,0)),'DICTIONARY-5'!$A$2))</f>
        <v/>
      </c>
      <c r="N55" s="496">
        <v>1</v>
      </c>
      <c r="O55" s="496"/>
      <c r="P55" s="731" t="str">
        <f>'DICTIONARY-3'!$A$2</f>
        <v>EKOplus</v>
      </c>
      <c r="Q55" s="732" t="str">
        <f>'DICTIONARY-3'!$A$187</f>
        <v>Zasuwa klinowa</v>
      </c>
      <c r="R55" s="732" t="str">
        <f>CONCATENATE('DICTIONARY-3'!$A$2," ",'DICTIONARY-6'!$A$3," ",'DICTIONARY-2'!$A$2,"250"," ",'DICTIONARY-2'!$A$3,"16"," ","R14",", ",'DICTIONARY-4'!$A$2)</f>
        <v>EKOplus Zasuwa DN250 PN16 R14, WW</v>
      </c>
      <c r="S55" s="733" t="str">
        <f>'DICTIONARY-4'!$A$2</f>
        <v>WW</v>
      </c>
      <c r="T55" s="732" t="str">
        <f>'DICTIONARY-4'!$A$18</f>
        <v>Wolny wałek</v>
      </c>
      <c r="U55" s="734" t="s">
        <v>5751</v>
      </c>
      <c r="V55" s="735">
        <v>16</v>
      </c>
      <c r="W55" s="736"/>
      <c r="X55" s="737"/>
      <c r="Y55" s="738"/>
      <c r="Z55" s="739"/>
      <c r="AA55" s="739"/>
      <c r="AB55" s="740">
        <v>16</v>
      </c>
      <c r="AC55" s="741" t="str">
        <f>'DICTIONARY-5'!$A$11&amp;" 14"</f>
        <v>EN 558 szereg 14</v>
      </c>
      <c r="AD55" s="741" t="str">
        <f>'DICTIONARY-5'!$A$13</f>
        <v>woda pitna</v>
      </c>
      <c r="AE55" s="742">
        <v>50</v>
      </c>
      <c r="AF55" s="743">
        <v>86.5</v>
      </c>
      <c r="AG55" s="741" t="str">
        <f>'DICTIONARY-5'!$A$23</f>
        <v>powłoka epoksydowa</v>
      </c>
    </row>
    <row r="56" spans="1:33" x14ac:dyDescent="0.25">
      <c r="A56" s="837" t="s">
        <v>132</v>
      </c>
      <c r="B56" s="837" t="s">
        <v>4959</v>
      </c>
      <c r="C56" s="836">
        <v>931</v>
      </c>
      <c r="D56" s="836"/>
      <c r="E56" s="836"/>
      <c r="F56" s="836"/>
      <c r="G56" s="496" t="s">
        <v>7789</v>
      </c>
      <c r="H56" s="797" t="str">
        <f>VLOOKUP(G56,SETTINGS!$B$7:$D$97,2,0)</f>
        <v>EKOplus</v>
      </c>
      <c r="I56" s="796">
        <f>VLOOKUP(G56,SETTINGS!$B$7:$D$97,3,0)</f>
        <v>0</v>
      </c>
      <c r="J56" s="670" t="str">
        <f>IFERROR(IF(CURRENCY.FORMAT_1=0,CONCATENATE(TEXT(FIXED(ROUND((C56/EXC.RATE_1),CURRENCY.FORMAT_1),CURRENCY.FORMAT_1,1),"# ##0;-# ##0"),",-"),FIXED(ROUND((C56/EXC.RATE_1),CURRENCY.FORMAT_1),CURRENCY.FORMAT_1,0)),'DICTIONARY-5'!$A$2)</f>
        <v>931,-</v>
      </c>
      <c r="K56" s="670" t="str">
        <f>IF(EXC.RATE_2=0,"",IFERROR(IF(CURRENCY.FORMAT_2=0,CONCATENATE(TEXT(FIXED(ROUND(IF(EXC.RATE.SWITCH=1,C56/EXC.RATE_2,C56*EXC.RATE_2),CURRENCY.FORMAT_2),CURRENCY.FORMAT_2,1),"# ##0;-# ##0"),",-"),FIXED(ROUND(IF(EXC.RATE.SWITCH=1,C56/EXC.RATE_2,C56*EXC.RATE_2),CURRENCY.FORMAT_2),CURRENCY.FORMAT_2,0)),'DICTIONARY-5'!$A$2))</f>
        <v/>
      </c>
      <c r="L56" s="670" t="str">
        <f>IFERROR(IF(CURRENCY.FORMAT_1=0,CONCATENATE(TEXT(FIXED(ROUND((C56*(1-I56)*(1-ADD.DISCOUNT)*(1+MAT.SURCHARGE)/EXC.RATE_1),CURRENCY.FORMAT_1),CURRENCY.FORMAT_1,1),"# ##0;-# ##0"),",-"),FIXED(ROUND((C56*(1-I56)*(1-ADD.DISCOUNT)*(1+MAT.SURCHARGE)/EXC.RATE_1),CURRENCY.FORMAT_1),CURRENCY.FORMAT_1,0)),'DICTIONARY-5'!$A$2)</f>
        <v>967,-</v>
      </c>
      <c r="M56" s="670" t="str">
        <f>IF(EXC.RATE_2=0,"",IFERROR(IF(CURRENCY.FORMAT_2=0,CONCATENATE(TEXT(FIXED(ROUND(IF(EXC.RATE.SWITCH=1,C56*(1-I56)*(1-ADD.DISCOUNT)*(1+MAT.SURCHARGE)/EXC.RATE_2,C56*(1-I56)*(1-ADD.DISCOUNT)*(1+MAT.SURCHARGE)*EXC.RATE_2),CURRENCY.FORMAT_2),CURRENCY.FORMAT_2,1),"# ##0;-# ##0"),",-"),FIXED(ROUND(IF(EXC.RATE.SWITCH=1,C56*(1-I56)*(1-ADD.DISCOUNT)*(1+MAT.SURCHARGE)/EXC.RATE_2,C56*(1-I56)*(1-ADD.DISCOUNT)*(1+MAT.SURCHARGE)*EXC.RATE_2),CURRENCY.FORMAT_2),CURRENCY.FORMAT_2,0)),'DICTIONARY-5'!$A$2))</f>
        <v/>
      </c>
      <c r="N56" s="496">
        <v>1</v>
      </c>
      <c r="O56" s="496"/>
      <c r="P56" s="731" t="str">
        <f>'DICTIONARY-3'!$A$2</f>
        <v>EKOplus</v>
      </c>
      <c r="Q56" s="732" t="str">
        <f>'DICTIONARY-3'!$A$187</f>
        <v>Zasuwa klinowa</v>
      </c>
      <c r="R56" s="732" t="str">
        <f>CONCATENATE('DICTIONARY-3'!$A$2," ",'DICTIONARY-6'!$A$3," ",'DICTIONARY-2'!$A$2,"300"," ",'DICTIONARY-2'!$A$3,"10"," ","R14",", ",'DICTIONARY-4'!$A$2)</f>
        <v>EKOplus Zasuwa DN300 PN10 R14, WW</v>
      </c>
      <c r="S56" s="733" t="str">
        <f>'DICTIONARY-4'!$A$2</f>
        <v>WW</v>
      </c>
      <c r="T56" s="732" t="str">
        <f>'DICTIONARY-4'!$A$18</f>
        <v>Wolny wałek</v>
      </c>
      <c r="U56" s="734" t="s">
        <v>5752</v>
      </c>
      <c r="V56" s="735">
        <v>10</v>
      </c>
      <c r="W56" s="736"/>
      <c r="X56" s="737"/>
      <c r="Y56" s="738"/>
      <c r="Z56" s="739"/>
      <c r="AA56" s="739"/>
      <c r="AB56" s="740">
        <v>10</v>
      </c>
      <c r="AC56" s="741" t="str">
        <f>'DICTIONARY-5'!$A$11&amp;" 14"</f>
        <v>EN 558 szereg 14</v>
      </c>
      <c r="AD56" s="741" t="str">
        <f>'DICTIONARY-5'!$A$13</f>
        <v>woda pitna</v>
      </c>
      <c r="AE56" s="742">
        <v>50</v>
      </c>
      <c r="AF56" s="743">
        <v>114</v>
      </c>
      <c r="AG56" s="741" t="str">
        <f>'DICTIONARY-5'!$A$23</f>
        <v>powłoka epoksydowa</v>
      </c>
    </row>
    <row r="57" spans="1:33" x14ac:dyDescent="0.25">
      <c r="A57" s="837" t="s">
        <v>134</v>
      </c>
      <c r="B57" s="837" t="s">
        <v>4996</v>
      </c>
      <c r="C57" s="836">
        <v>919</v>
      </c>
      <c r="D57" s="836"/>
      <c r="E57" s="836"/>
      <c r="F57" s="836"/>
      <c r="G57" s="496" t="s">
        <v>7789</v>
      </c>
      <c r="H57" s="797" t="str">
        <f>VLOOKUP(G57,SETTINGS!$B$7:$D$97,2,0)</f>
        <v>EKOplus</v>
      </c>
      <c r="I57" s="796">
        <f>VLOOKUP(G57,SETTINGS!$B$7:$D$97,3,0)</f>
        <v>0</v>
      </c>
      <c r="J57" s="670" t="str">
        <f>IFERROR(IF(CURRENCY.FORMAT_1=0,CONCATENATE(TEXT(FIXED(ROUND((C57/EXC.RATE_1),CURRENCY.FORMAT_1),CURRENCY.FORMAT_1,1),"# ##0;-# ##0"),",-"),FIXED(ROUND((C57/EXC.RATE_1),CURRENCY.FORMAT_1),CURRENCY.FORMAT_1,0)),'DICTIONARY-5'!$A$2)</f>
        <v>919,-</v>
      </c>
      <c r="K57" s="670" t="str">
        <f>IF(EXC.RATE_2=0,"",IFERROR(IF(CURRENCY.FORMAT_2=0,CONCATENATE(TEXT(FIXED(ROUND(IF(EXC.RATE.SWITCH=1,C57/EXC.RATE_2,C57*EXC.RATE_2),CURRENCY.FORMAT_2),CURRENCY.FORMAT_2,1),"# ##0;-# ##0"),",-"),FIXED(ROUND(IF(EXC.RATE.SWITCH=1,C57/EXC.RATE_2,C57*EXC.RATE_2),CURRENCY.FORMAT_2),CURRENCY.FORMAT_2,0)),'DICTIONARY-5'!$A$2))</f>
        <v/>
      </c>
      <c r="L57" s="670" t="str">
        <f>IFERROR(IF(CURRENCY.FORMAT_1=0,CONCATENATE(TEXT(FIXED(ROUND((C57*(1-I57)*(1-ADD.DISCOUNT)*(1+MAT.SURCHARGE)/EXC.RATE_1),CURRENCY.FORMAT_1),CURRENCY.FORMAT_1,1),"# ##0;-# ##0"),",-"),FIXED(ROUND((C57*(1-I57)*(1-ADD.DISCOUNT)*(1+MAT.SURCHARGE)/EXC.RATE_1),CURRENCY.FORMAT_1),CURRENCY.FORMAT_1,0)),'DICTIONARY-5'!$A$2)</f>
        <v>955,-</v>
      </c>
      <c r="M57" s="670" t="str">
        <f>IF(EXC.RATE_2=0,"",IFERROR(IF(CURRENCY.FORMAT_2=0,CONCATENATE(TEXT(FIXED(ROUND(IF(EXC.RATE.SWITCH=1,C57*(1-I57)*(1-ADD.DISCOUNT)*(1+MAT.SURCHARGE)/EXC.RATE_2,C57*(1-I57)*(1-ADD.DISCOUNT)*(1+MAT.SURCHARGE)*EXC.RATE_2),CURRENCY.FORMAT_2),CURRENCY.FORMAT_2,1),"# ##0;-# ##0"),",-"),FIXED(ROUND(IF(EXC.RATE.SWITCH=1,C57*(1-I57)*(1-ADD.DISCOUNT)*(1+MAT.SURCHARGE)/EXC.RATE_2,C57*(1-I57)*(1-ADD.DISCOUNT)*(1+MAT.SURCHARGE)*EXC.RATE_2),CURRENCY.FORMAT_2),CURRENCY.FORMAT_2,0)),'DICTIONARY-5'!$A$2))</f>
        <v/>
      </c>
      <c r="N57" s="496">
        <v>1</v>
      </c>
      <c r="O57" s="496"/>
      <c r="P57" s="731" t="str">
        <f>'DICTIONARY-3'!$A$2</f>
        <v>EKOplus</v>
      </c>
      <c r="Q57" s="732" t="str">
        <f>'DICTIONARY-3'!$A$187</f>
        <v>Zasuwa klinowa</v>
      </c>
      <c r="R57" s="732" t="str">
        <f>CONCATENATE('DICTIONARY-3'!$A$2," ",'DICTIONARY-6'!$A$3," ",'DICTIONARY-2'!$A$2,"300"," ",'DICTIONARY-2'!$A$3,"16"," ","R14",", ",'DICTIONARY-4'!$A$2)</f>
        <v>EKOplus Zasuwa DN300 PN16 R14, WW</v>
      </c>
      <c r="S57" s="733" t="str">
        <f>'DICTIONARY-4'!$A$2</f>
        <v>WW</v>
      </c>
      <c r="T57" s="732" t="str">
        <f>'DICTIONARY-4'!$A$18</f>
        <v>Wolny wałek</v>
      </c>
      <c r="U57" s="734" t="s">
        <v>5752</v>
      </c>
      <c r="V57" s="735">
        <v>16</v>
      </c>
      <c r="W57" s="736"/>
      <c r="X57" s="737"/>
      <c r="Y57" s="738"/>
      <c r="Z57" s="739"/>
      <c r="AA57" s="739"/>
      <c r="AB57" s="740">
        <v>16</v>
      </c>
      <c r="AC57" s="741" t="str">
        <f>'DICTIONARY-5'!$A$11&amp;" 14"</f>
        <v>EN 558 szereg 14</v>
      </c>
      <c r="AD57" s="741" t="str">
        <f>'DICTIONARY-5'!$A$13</f>
        <v>woda pitna</v>
      </c>
      <c r="AE57" s="742">
        <v>50</v>
      </c>
      <c r="AF57" s="743">
        <v>114</v>
      </c>
      <c r="AG57" s="741" t="str">
        <f>'DICTIONARY-5'!$A$23</f>
        <v>powłoka epoksydowa</v>
      </c>
    </row>
    <row r="58" spans="1:33" x14ac:dyDescent="0.25">
      <c r="A58" s="837" t="s">
        <v>136</v>
      </c>
      <c r="B58" s="837" t="s">
        <v>4941</v>
      </c>
      <c r="C58" s="836">
        <v>2225</v>
      </c>
      <c r="D58" s="836"/>
      <c r="E58" s="836"/>
      <c r="F58" s="836"/>
      <c r="G58" s="496" t="s">
        <v>7789</v>
      </c>
      <c r="H58" s="797" t="str">
        <f>VLOOKUP(G58,SETTINGS!$B$7:$D$97,2,0)</f>
        <v>EKOplus</v>
      </c>
      <c r="I58" s="796">
        <f>VLOOKUP(G58,SETTINGS!$B$7:$D$97,3,0)</f>
        <v>0</v>
      </c>
      <c r="J58" s="670" t="str">
        <f>IFERROR(IF(CURRENCY.FORMAT_1=0,CONCATENATE(TEXT(FIXED(ROUND((C58/EXC.RATE_1),CURRENCY.FORMAT_1),CURRENCY.FORMAT_1,1),"# ##0;-# ##0"),",-"),FIXED(ROUND((C58/EXC.RATE_1),CURRENCY.FORMAT_1),CURRENCY.FORMAT_1,0)),'DICTIONARY-5'!$A$2)</f>
        <v>2 225,-</v>
      </c>
      <c r="K58" s="670" t="str">
        <f>IF(EXC.RATE_2=0,"",IFERROR(IF(CURRENCY.FORMAT_2=0,CONCATENATE(TEXT(FIXED(ROUND(IF(EXC.RATE.SWITCH=1,C58/EXC.RATE_2,C58*EXC.RATE_2),CURRENCY.FORMAT_2),CURRENCY.FORMAT_2,1),"# ##0;-# ##0"),",-"),FIXED(ROUND(IF(EXC.RATE.SWITCH=1,C58/EXC.RATE_2,C58*EXC.RATE_2),CURRENCY.FORMAT_2),CURRENCY.FORMAT_2,0)),'DICTIONARY-5'!$A$2))</f>
        <v/>
      </c>
      <c r="L58" s="670" t="str">
        <f>IFERROR(IF(CURRENCY.FORMAT_1=0,CONCATENATE(TEXT(FIXED(ROUND((C58*(1-I58)*(1-ADD.DISCOUNT)*(1+MAT.SURCHARGE)/EXC.RATE_1),CURRENCY.FORMAT_1),CURRENCY.FORMAT_1,1),"# ##0;-# ##0"),",-"),FIXED(ROUND((C58*(1-I58)*(1-ADD.DISCOUNT)*(1+MAT.SURCHARGE)/EXC.RATE_1),CURRENCY.FORMAT_1),CURRENCY.FORMAT_1,0)),'DICTIONARY-5'!$A$2)</f>
        <v>2 312,-</v>
      </c>
      <c r="M58" s="670" t="str">
        <f>IF(EXC.RATE_2=0,"",IFERROR(IF(CURRENCY.FORMAT_2=0,CONCATENATE(TEXT(FIXED(ROUND(IF(EXC.RATE.SWITCH=1,C58*(1-I58)*(1-ADD.DISCOUNT)*(1+MAT.SURCHARGE)/EXC.RATE_2,C58*(1-I58)*(1-ADD.DISCOUNT)*(1+MAT.SURCHARGE)*EXC.RATE_2),CURRENCY.FORMAT_2),CURRENCY.FORMAT_2,1),"# ##0;-# ##0"),",-"),FIXED(ROUND(IF(EXC.RATE.SWITCH=1,C58*(1-I58)*(1-ADD.DISCOUNT)*(1+MAT.SURCHARGE)/EXC.RATE_2,C58*(1-I58)*(1-ADD.DISCOUNT)*(1+MAT.SURCHARGE)*EXC.RATE_2),CURRENCY.FORMAT_2),CURRENCY.FORMAT_2,0)),'DICTIONARY-5'!$A$2))</f>
        <v/>
      </c>
      <c r="N58" s="496">
        <v>1</v>
      </c>
      <c r="O58" s="496"/>
      <c r="P58" s="731" t="str">
        <f>'DICTIONARY-3'!$A$2</f>
        <v>EKOplus</v>
      </c>
      <c r="Q58" s="732" t="str">
        <f>'DICTIONARY-3'!$A$187</f>
        <v>Zasuwa klinowa</v>
      </c>
      <c r="R58" s="732" t="str">
        <f>CONCATENATE('DICTIONARY-3'!$A$2," ",'DICTIONARY-6'!$A$3," ",'DICTIONARY-2'!$A$2,"350"," ",'DICTIONARY-2'!$A$3,"10"," ","R14",", ",'DICTIONARY-4'!$A$2)</f>
        <v>EKOplus Zasuwa DN350 PN10 R14, WW</v>
      </c>
      <c r="S58" s="733" t="str">
        <f>'DICTIONARY-4'!$A$2</f>
        <v>WW</v>
      </c>
      <c r="T58" s="732" t="str">
        <f>'DICTIONARY-4'!$A$18</f>
        <v>Wolny wałek</v>
      </c>
      <c r="U58" s="734" t="s">
        <v>5753</v>
      </c>
      <c r="V58" s="735">
        <v>10</v>
      </c>
      <c r="W58" s="736"/>
      <c r="X58" s="737"/>
      <c r="Y58" s="738"/>
      <c r="Z58" s="739"/>
      <c r="AA58" s="739"/>
      <c r="AB58" s="740">
        <v>10</v>
      </c>
      <c r="AC58" s="741" t="str">
        <f>'DICTIONARY-5'!$A$11&amp;" 14"</f>
        <v>EN 558 szereg 14</v>
      </c>
      <c r="AD58" s="741" t="str">
        <f>'DICTIONARY-5'!$A$13</f>
        <v>woda pitna</v>
      </c>
      <c r="AE58" s="742">
        <v>50</v>
      </c>
      <c r="AF58" s="743">
        <v>256</v>
      </c>
      <c r="AG58" s="741" t="str">
        <f>'DICTIONARY-5'!$A$23</f>
        <v>powłoka epoksydowa</v>
      </c>
    </row>
    <row r="59" spans="1:33" x14ac:dyDescent="0.25">
      <c r="A59" s="837" t="s">
        <v>138</v>
      </c>
      <c r="B59" s="837" t="s">
        <v>4953</v>
      </c>
      <c r="C59" s="836">
        <v>2149</v>
      </c>
      <c r="D59" s="836"/>
      <c r="E59" s="836"/>
      <c r="F59" s="836"/>
      <c r="G59" s="496" t="s">
        <v>7789</v>
      </c>
      <c r="H59" s="797" t="str">
        <f>VLOOKUP(G59,SETTINGS!$B$7:$D$97,2,0)</f>
        <v>EKOplus</v>
      </c>
      <c r="I59" s="796">
        <f>VLOOKUP(G59,SETTINGS!$B$7:$D$97,3,0)</f>
        <v>0</v>
      </c>
      <c r="J59" s="670" t="str">
        <f>IFERROR(IF(CURRENCY.FORMAT_1=0,CONCATENATE(TEXT(FIXED(ROUND((C59/EXC.RATE_1),CURRENCY.FORMAT_1),CURRENCY.FORMAT_1,1),"# ##0;-# ##0"),",-"),FIXED(ROUND((C59/EXC.RATE_1),CURRENCY.FORMAT_1),CURRENCY.FORMAT_1,0)),'DICTIONARY-5'!$A$2)</f>
        <v>2 149,-</v>
      </c>
      <c r="K59" s="670" t="str">
        <f>IF(EXC.RATE_2=0,"",IFERROR(IF(CURRENCY.FORMAT_2=0,CONCATENATE(TEXT(FIXED(ROUND(IF(EXC.RATE.SWITCH=1,C59/EXC.RATE_2,C59*EXC.RATE_2),CURRENCY.FORMAT_2),CURRENCY.FORMAT_2,1),"# ##0;-# ##0"),",-"),FIXED(ROUND(IF(EXC.RATE.SWITCH=1,C59/EXC.RATE_2,C59*EXC.RATE_2),CURRENCY.FORMAT_2),CURRENCY.FORMAT_2,0)),'DICTIONARY-5'!$A$2))</f>
        <v/>
      </c>
      <c r="L59" s="670" t="str">
        <f>IFERROR(IF(CURRENCY.FORMAT_1=0,CONCATENATE(TEXT(FIXED(ROUND((C59*(1-I59)*(1-ADD.DISCOUNT)*(1+MAT.SURCHARGE)/EXC.RATE_1),CURRENCY.FORMAT_1),CURRENCY.FORMAT_1,1),"# ##0;-# ##0"),",-"),FIXED(ROUND((C59*(1-I59)*(1-ADD.DISCOUNT)*(1+MAT.SURCHARGE)/EXC.RATE_1),CURRENCY.FORMAT_1),CURRENCY.FORMAT_1,0)),'DICTIONARY-5'!$A$2)</f>
        <v>2 233,-</v>
      </c>
      <c r="M59" s="670" t="str">
        <f>IF(EXC.RATE_2=0,"",IFERROR(IF(CURRENCY.FORMAT_2=0,CONCATENATE(TEXT(FIXED(ROUND(IF(EXC.RATE.SWITCH=1,C59*(1-I59)*(1-ADD.DISCOUNT)*(1+MAT.SURCHARGE)/EXC.RATE_2,C59*(1-I59)*(1-ADD.DISCOUNT)*(1+MAT.SURCHARGE)*EXC.RATE_2),CURRENCY.FORMAT_2),CURRENCY.FORMAT_2,1),"# ##0;-# ##0"),",-"),FIXED(ROUND(IF(EXC.RATE.SWITCH=1,C59*(1-I59)*(1-ADD.DISCOUNT)*(1+MAT.SURCHARGE)/EXC.RATE_2,C59*(1-I59)*(1-ADD.DISCOUNT)*(1+MAT.SURCHARGE)*EXC.RATE_2),CURRENCY.FORMAT_2),CURRENCY.FORMAT_2,0)),'DICTIONARY-5'!$A$2))</f>
        <v/>
      </c>
      <c r="N59" s="496">
        <v>1</v>
      </c>
      <c r="O59" s="496"/>
      <c r="P59" s="731" t="str">
        <f>'DICTIONARY-3'!$A$2</f>
        <v>EKOplus</v>
      </c>
      <c r="Q59" s="732" t="str">
        <f>'DICTIONARY-3'!$A$187</f>
        <v>Zasuwa klinowa</v>
      </c>
      <c r="R59" s="732" t="str">
        <f>CONCATENATE('DICTIONARY-3'!$A$2," ",'DICTIONARY-6'!$A$3," ",'DICTIONARY-2'!$A$2,"350"," ",'DICTIONARY-2'!$A$3,"16"," ","R14",", ",'DICTIONARY-4'!$A$2)</f>
        <v>EKOplus Zasuwa DN350 PN16 R14, WW</v>
      </c>
      <c r="S59" s="733" t="str">
        <f>'DICTIONARY-4'!$A$2</f>
        <v>WW</v>
      </c>
      <c r="T59" s="732" t="str">
        <f>'DICTIONARY-4'!$A$18</f>
        <v>Wolny wałek</v>
      </c>
      <c r="U59" s="734" t="s">
        <v>5753</v>
      </c>
      <c r="V59" s="735">
        <v>16</v>
      </c>
      <c r="W59" s="736"/>
      <c r="X59" s="737"/>
      <c r="Y59" s="738"/>
      <c r="Z59" s="739"/>
      <c r="AA59" s="739"/>
      <c r="AB59" s="740">
        <v>16</v>
      </c>
      <c r="AC59" s="741" t="str">
        <f>'DICTIONARY-5'!$A$11&amp;" 14"</f>
        <v>EN 558 szereg 14</v>
      </c>
      <c r="AD59" s="741" t="str">
        <f>'DICTIONARY-5'!$A$13</f>
        <v>woda pitna</v>
      </c>
      <c r="AE59" s="742">
        <v>50</v>
      </c>
      <c r="AF59" s="743">
        <v>258</v>
      </c>
      <c r="AG59" s="741" t="str">
        <f>'DICTIONARY-5'!$A$23</f>
        <v>powłoka epoksydowa</v>
      </c>
    </row>
    <row r="60" spans="1:33" x14ac:dyDescent="0.25">
      <c r="A60" s="837" t="s">
        <v>140</v>
      </c>
      <c r="B60" s="837" t="s">
        <v>4942</v>
      </c>
      <c r="C60" s="836">
        <v>2803</v>
      </c>
      <c r="D60" s="836"/>
      <c r="E60" s="836"/>
      <c r="F60" s="836"/>
      <c r="G60" s="496" t="s">
        <v>7789</v>
      </c>
      <c r="H60" s="797" t="str">
        <f>VLOOKUP(G60,SETTINGS!$B$7:$D$97,2,0)</f>
        <v>EKOplus</v>
      </c>
      <c r="I60" s="796">
        <f>VLOOKUP(G60,SETTINGS!$B$7:$D$97,3,0)</f>
        <v>0</v>
      </c>
      <c r="J60" s="670" t="str">
        <f>IFERROR(IF(CURRENCY.FORMAT_1=0,CONCATENATE(TEXT(FIXED(ROUND((C60/EXC.RATE_1),CURRENCY.FORMAT_1),CURRENCY.FORMAT_1,1),"# ##0;-# ##0"),",-"),FIXED(ROUND((C60/EXC.RATE_1),CURRENCY.FORMAT_1),CURRENCY.FORMAT_1,0)),'DICTIONARY-5'!$A$2)</f>
        <v>2 803,-</v>
      </c>
      <c r="K60" s="670" t="str">
        <f>IF(EXC.RATE_2=0,"",IFERROR(IF(CURRENCY.FORMAT_2=0,CONCATENATE(TEXT(FIXED(ROUND(IF(EXC.RATE.SWITCH=1,C60/EXC.RATE_2,C60*EXC.RATE_2),CURRENCY.FORMAT_2),CURRENCY.FORMAT_2,1),"# ##0;-# ##0"),",-"),FIXED(ROUND(IF(EXC.RATE.SWITCH=1,C60/EXC.RATE_2,C60*EXC.RATE_2),CURRENCY.FORMAT_2),CURRENCY.FORMAT_2,0)),'DICTIONARY-5'!$A$2))</f>
        <v/>
      </c>
      <c r="L60" s="670" t="str">
        <f>IFERROR(IF(CURRENCY.FORMAT_1=0,CONCATENATE(TEXT(FIXED(ROUND((C60*(1-I60)*(1-ADD.DISCOUNT)*(1+MAT.SURCHARGE)/EXC.RATE_1),CURRENCY.FORMAT_1),CURRENCY.FORMAT_1,1),"# ##0;-# ##0"),",-"),FIXED(ROUND((C60*(1-I60)*(1-ADD.DISCOUNT)*(1+MAT.SURCHARGE)/EXC.RATE_1),CURRENCY.FORMAT_1),CURRENCY.FORMAT_1,0)),'DICTIONARY-5'!$A$2)</f>
        <v>2 912,-</v>
      </c>
      <c r="M60" s="670" t="str">
        <f>IF(EXC.RATE_2=0,"",IFERROR(IF(CURRENCY.FORMAT_2=0,CONCATENATE(TEXT(FIXED(ROUND(IF(EXC.RATE.SWITCH=1,C60*(1-I60)*(1-ADD.DISCOUNT)*(1+MAT.SURCHARGE)/EXC.RATE_2,C60*(1-I60)*(1-ADD.DISCOUNT)*(1+MAT.SURCHARGE)*EXC.RATE_2),CURRENCY.FORMAT_2),CURRENCY.FORMAT_2,1),"# ##0;-# ##0"),",-"),FIXED(ROUND(IF(EXC.RATE.SWITCH=1,C60*(1-I60)*(1-ADD.DISCOUNT)*(1+MAT.SURCHARGE)/EXC.RATE_2,C60*(1-I60)*(1-ADD.DISCOUNT)*(1+MAT.SURCHARGE)*EXC.RATE_2),CURRENCY.FORMAT_2),CURRENCY.FORMAT_2,0)),'DICTIONARY-5'!$A$2))</f>
        <v/>
      </c>
      <c r="N60" s="496">
        <v>1</v>
      </c>
      <c r="O60" s="496"/>
      <c r="P60" s="731" t="str">
        <f>'DICTIONARY-3'!$A$2</f>
        <v>EKOplus</v>
      </c>
      <c r="Q60" s="732" t="str">
        <f>'DICTIONARY-3'!$A$187</f>
        <v>Zasuwa klinowa</v>
      </c>
      <c r="R60" s="732" t="str">
        <f>CONCATENATE('DICTIONARY-3'!$A$2," ",'DICTIONARY-6'!$A$3," ",'DICTIONARY-2'!$A$2,"400"," ",'DICTIONARY-2'!$A$3,"10"," ","R14",", ",'DICTIONARY-4'!$A$2)</f>
        <v>EKOplus Zasuwa DN400 PN10 R14, WW</v>
      </c>
      <c r="S60" s="733" t="str">
        <f>'DICTIONARY-4'!$A$2</f>
        <v>WW</v>
      </c>
      <c r="T60" s="732" t="str">
        <f>'DICTIONARY-4'!$A$18</f>
        <v>Wolny wałek</v>
      </c>
      <c r="U60" s="734" t="s">
        <v>5754</v>
      </c>
      <c r="V60" s="735">
        <v>10</v>
      </c>
      <c r="W60" s="736"/>
      <c r="X60" s="737"/>
      <c r="Y60" s="738"/>
      <c r="Z60" s="739"/>
      <c r="AA60" s="739"/>
      <c r="AB60" s="740">
        <v>10</v>
      </c>
      <c r="AC60" s="741" t="str">
        <f>'DICTIONARY-5'!$A$11&amp;" 14"</f>
        <v>EN 558 szereg 14</v>
      </c>
      <c r="AD60" s="741" t="str">
        <f>'DICTIONARY-5'!$A$13</f>
        <v>woda pitna</v>
      </c>
      <c r="AE60" s="742">
        <v>50</v>
      </c>
      <c r="AF60" s="743">
        <v>307</v>
      </c>
      <c r="AG60" s="741" t="str">
        <f>'DICTIONARY-5'!$A$23</f>
        <v>powłoka epoksydowa</v>
      </c>
    </row>
    <row r="61" spans="1:33" x14ac:dyDescent="0.25">
      <c r="A61" s="837" t="s">
        <v>143</v>
      </c>
      <c r="B61" s="837" t="s">
        <v>4954</v>
      </c>
      <c r="C61" s="836">
        <v>2806</v>
      </c>
      <c r="D61" s="836"/>
      <c r="E61" s="836"/>
      <c r="F61" s="836"/>
      <c r="G61" s="496" t="s">
        <v>7789</v>
      </c>
      <c r="H61" s="797" t="str">
        <f>VLOOKUP(G61,SETTINGS!$B$7:$D$97,2,0)</f>
        <v>EKOplus</v>
      </c>
      <c r="I61" s="796">
        <f>VLOOKUP(G61,SETTINGS!$B$7:$D$97,3,0)</f>
        <v>0</v>
      </c>
      <c r="J61" s="670" t="str">
        <f>IFERROR(IF(CURRENCY.FORMAT_1=0,CONCATENATE(TEXT(FIXED(ROUND((C61/EXC.RATE_1),CURRENCY.FORMAT_1),CURRENCY.FORMAT_1,1),"# ##0;-# ##0"),",-"),FIXED(ROUND((C61/EXC.RATE_1),CURRENCY.FORMAT_1),CURRENCY.FORMAT_1,0)),'DICTIONARY-5'!$A$2)</f>
        <v>2 806,-</v>
      </c>
      <c r="K61" s="670" t="str">
        <f>IF(EXC.RATE_2=0,"",IFERROR(IF(CURRENCY.FORMAT_2=0,CONCATENATE(TEXT(FIXED(ROUND(IF(EXC.RATE.SWITCH=1,C61/EXC.RATE_2,C61*EXC.RATE_2),CURRENCY.FORMAT_2),CURRENCY.FORMAT_2,1),"# ##0;-# ##0"),",-"),FIXED(ROUND(IF(EXC.RATE.SWITCH=1,C61/EXC.RATE_2,C61*EXC.RATE_2),CURRENCY.FORMAT_2),CURRENCY.FORMAT_2,0)),'DICTIONARY-5'!$A$2))</f>
        <v/>
      </c>
      <c r="L61" s="670" t="str">
        <f>IFERROR(IF(CURRENCY.FORMAT_1=0,CONCATENATE(TEXT(FIXED(ROUND((C61*(1-I61)*(1-ADD.DISCOUNT)*(1+MAT.SURCHARGE)/EXC.RATE_1),CURRENCY.FORMAT_1),CURRENCY.FORMAT_1,1),"# ##0;-# ##0"),",-"),FIXED(ROUND((C61*(1-I61)*(1-ADD.DISCOUNT)*(1+MAT.SURCHARGE)/EXC.RATE_1),CURRENCY.FORMAT_1),CURRENCY.FORMAT_1,0)),'DICTIONARY-5'!$A$2)</f>
        <v>2 915,-</v>
      </c>
      <c r="M61" s="670" t="str">
        <f>IF(EXC.RATE_2=0,"",IFERROR(IF(CURRENCY.FORMAT_2=0,CONCATENATE(TEXT(FIXED(ROUND(IF(EXC.RATE.SWITCH=1,C61*(1-I61)*(1-ADD.DISCOUNT)*(1+MAT.SURCHARGE)/EXC.RATE_2,C61*(1-I61)*(1-ADD.DISCOUNT)*(1+MAT.SURCHARGE)*EXC.RATE_2),CURRENCY.FORMAT_2),CURRENCY.FORMAT_2,1),"# ##0;-# ##0"),",-"),FIXED(ROUND(IF(EXC.RATE.SWITCH=1,C61*(1-I61)*(1-ADD.DISCOUNT)*(1+MAT.SURCHARGE)/EXC.RATE_2,C61*(1-I61)*(1-ADD.DISCOUNT)*(1+MAT.SURCHARGE)*EXC.RATE_2),CURRENCY.FORMAT_2),CURRENCY.FORMAT_2,0)),'DICTIONARY-5'!$A$2))</f>
        <v/>
      </c>
      <c r="N61" s="496">
        <v>1</v>
      </c>
      <c r="O61" s="496"/>
      <c r="P61" s="731" t="str">
        <f>'DICTIONARY-3'!$A$2</f>
        <v>EKOplus</v>
      </c>
      <c r="Q61" s="732" t="str">
        <f>'DICTIONARY-3'!$A$187</f>
        <v>Zasuwa klinowa</v>
      </c>
      <c r="R61" s="732" t="str">
        <f>CONCATENATE('DICTIONARY-3'!$A$2," ",'DICTIONARY-6'!$A$3," ",'DICTIONARY-2'!$A$2,"400"," ",'DICTIONARY-2'!$A$3,"16"," ","R14",", ",'DICTIONARY-4'!$A$2)</f>
        <v>EKOplus Zasuwa DN400 PN16 R14, WW</v>
      </c>
      <c r="S61" s="733" t="str">
        <f>'DICTIONARY-4'!$A$2</f>
        <v>WW</v>
      </c>
      <c r="T61" s="732" t="str">
        <f>'DICTIONARY-4'!$A$18</f>
        <v>Wolny wałek</v>
      </c>
      <c r="U61" s="734" t="s">
        <v>5754</v>
      </c>
      <c r="V61" s="735">
        <v>16</v>
      </c>
      <c r="W61" s="736"/>
      <c r="X61" s="737"/>
      <c r="Y61" s="738"/>
      <c r="Z61" s="739"/>
      <c r="AA61" s="739"/>
      <c r="AB61" s="740">
        <v>16</v>
      </c>
      <c r="AC61" s="741" t="str">
        <f>'DICTIONARY-5'!$A$11&amp;" 14"</f>
        <v>EN 558 szereg 14</v>
      </c>
      <c r="AD61" s="741" t="str">
        <f>'DICTIONARY-5'!$A$13</f>
        <v>woda pitna</v>
      </c>
      <c r="AE61" s="742">
        <v>50</v>
      </c>
      <c r="AF61" s="743">
        <v>306.5</v>
      </c>
      <c r="AG61" s="741" t="str">
        <f>'DICTIONARY-5'!$A$23</f>
        <v>powłoka epoksydowa</v>
      </c>
    </row>
    <row r="62" spans="1:33" x14ac:dyDescent="0.25">
      <c r="A62" s="837" t="s">
        <v>145</v>
      </c>
      <c r="B62" s="837" t="s">
        <v>4943</v>
      </c>
      <c r="C62" s="836">
        <v>4800</v>
      </c>
      <c r="D62" s="836"/>
      <c r="E62" s="836"/>
      <c r="F62" s="836"/>
      <c r="G62" s="496" t="s">
        <v>7789</v>
      </c>
      <c r="H62" s="797" t="str">
        <f>VLOOKUP(G62,SETTINGS!$B$7:$D$97,2,0)</f>
        <v>EKOplus</v>
      </c>
      <c r="I62" s="796">
        <f>VLOOKUP(G62,SETTINGS!$B$7:$D$97,3,0)</f>
        <v>0</v>
      </c>
      <c r="J62" s="670" t="str">
        <f>IFERROR(IF(CURRENCY.FORMAT_1=0,CONCATENATE(TEXT(FIXED(ROUND((C62/EXC.RATE_1),CURRENCY.FORMAT_1),CURRENCY.FORMAT_1,1),"# ##0;-# ##0"),",-"),FIXED(ROUND((C62/EXC.RATE_1),CURRENCY.FORMAT_1),CURRENCY.FORMAT_1,0)),'DICTIONARY-5'!$A$2)</f>
        <v>4 800,-</v>
      </c>
      <c r="K62" s="670" t="str">
        <f>IF(EXC.RATE_2=0,"",IFERROR(IF(CURRENCY.FORMAT_2=0,CONCATENATE(TEXT(FIXED(ROUND(IF(EXC.RATE.SWITCH=1,C62/EXC.RATE_2,C62*EXC.RATE_2),CURRENCY.FORMAT_2),CURRENCY.FORMAT_2,1),"# ##0;-# ##0"),",-"),FIXED(ROUND(IF(EXC.RATE.SWITCH=1,C62/EXC.RATE_2,C62*EXC.RATE_2),CURRENCY.FORMAT_2),CURRENCY.FORMAT_2,0)),'DICTIONARY-5'!$A$2))</f>
        <v/>
      </c>
      <c r="L62" s="670" t="str">
        <f>IFERROR(IF(CURRENCY.FORMAT_1=0,CONCATENATE(TEXT(FIXED(ROUND((C62*(1-I62)*(1-ADD.DISCOUNT)*(1+MAT.SURCHARGE)/EXC.RATE_1),CURRENCY.FORMAT_1),CURRENCY.FORMAT_1,1),"# ##0;-# ##0"),",-"),FIXED(ROUND((C62*(1-I62)*(1-ADD.DISCOUNT)*(1+MAT.SURCHARGE)/EXC.RATE_1),CURRENCY.FORMAT_1),CURRENCY.FORMAT_1,0)),'DICTIONARY-5'!$A$2)</f>
        <v>4 987,-</v>
      </c>
      <c r="M62" s="670" t="str">
        <f>IF(EXC.RATE_2=0,"",IFERROR(IF(CURRENCY.FORMAT_2=0,CONCATENATE(TEXT(FIXED(ROUND(IF(EXC.RATE.SWITCH=1,C62*(1-I62)*(1-ADD.DISCOUNT)*(1+MAT.SURCHARGE)/EXC.RATE_2,C62*(1-I62)*(1-ADD.DISCOUNT)*(1+MAT.SURCHARGE)*EXC.RATE_2),CURRENCY.FORMAT_2),CURRENCY.FORMAT_2,1),"# ##0;-# ##0"),",-"),FIXED(ROUND(IF(EXC.RATE.SWITCH=1,C62*(1-I62)*(1-ADD.DISCOUNT)*(1+MAT.SURCHARGE)/EXC.RATE_2,C62*(1-I62)*(1-ADD.DISCOUNT)*(1+MAT.SURCHARGE)*EXC.RATE_2),CURRENCY.FORMAT_2),CURRENCY.FORMAT_2,0)),'DICTIONARY-5'!$A$2))</f>
        <v/>
      </c>
      <c r="N62" s="496">
        <v>1</v>
      </c>
      <c r="O62" s="496"/>
      <c r="P62" s="731" t="str">
        <f>'DICTIONARY-3'!$A$2</f>
        <v>EKOplus</v>
      </c>
      <c r="Q62" s="732" t="str">
        <f>'DICTIONARY-3'!$A$187</f>
        <v>Zasuwa klinowa</v>
      </c>
      <c r="R62" s="732" t="str">
        <f>CONCATENATE('DICTIONARY-3'!$A$2," ",'DICTIONARY-6'!$A$3," ",'DICTIONARY-2'!$A$2,"500"," ",'DICTIONARY-2'!$A$3,"10"," ","R14",", ",'DICTIONARY-4'!$A$2)</f>
        <v>EKOplus Zasuwa DN500 PN10 R14, WW</v>
      </c>
      <c r="S62" s="733" t="str">
        <f>'DICTIONARY-4'!$A$2</f>
        <v>WW</v>
      </c>
      <c r="T62" s="732" t="str">
        <f>'DICTIONARY-4'!$A$18</f>
        <v>Wolny wałek</v>
      </c>
      <c r="U62" s="734" t="s">
        <v>5756</v>
      </c>
      <c r="V62" s="735">
        <v>10</v>
      </c>
      <c r="W62" s="736"/>
      <c r="X62" s="737"/>
      <c r="Y62" s="738"/>
      <c r="Z62" s="739"/>
      <c r="AA62" s="739"/>
      <c r="AB62" s="740">
        <v>10</v>
      </c>
      <c r="AC62" s="741" t="str">
        <f>'DICTIONARY-5'!$A$11&amp;" 14"</f>
        <v>EN 558 szereg 14</v>
      </c>
      <c r="AD62" s="741" t="str">
        <f>'DICTIONARY-5'!$A$13</f>
        <v>woda pitna</v>
      </c>
      <c r="AE62" s="742">
        <v>50</v>
      </c>
      <c r="AF62" s="743">
        <v>450</v>
      </c>
      <c r="AG62" s="741" t="str">
        <f>'DICTIONARY-5'!$A$23</f>
        <v>powłoka epoksydowa</v>
      </c>
    </row>
    <row r="63" spans="1:33" x14ac:dyDescent="0.25">
      <c r="A63" s="837" t="s">
        <v>147</v>
      </c>
      <c r="B63" s="837" t="s">
        <v>4955</v>
      </c>
      <c r="C63" s="836">
        <v>5051</v>
      </c>
      <c r="D63" s="836"/>
      <c r="E63" s="836"/>
      <c r="F63" s="836"/>
      <c r="G63" s="496" t="s">
        <v>7789</v>
      </c>
      <c r="H63" s="797" t="str">
        <f>VLOOKUP(G63,SETTINGS!$B$7:$D$97,2,0)</f>
        <v>EKOplus</v>
      </c>
      <c r="I63" s="796">
        <f>VLOOKUP(G63,SETTINGS!$B$7:$D$97,3,0)</f>
        <v>0</v>
      </c>
      <c r="J63" s="670" t="str">
        <f>IFERROR(IF(CURRENCY.FORMAT_1=0,CONCATENATE(TEXT(FIXED(ROUND((C63/EXC.RATE_1),CURRENCY.FORMAT_1),CURRENCY.FORMAT_1,1),"# ##0;-# ##0"),",-"),FIXED(ROUND((C63/EXC.RATE_1),CURRENCY.FORMAT_1),CURRENCY.FORMAT_1,0)),'DICTIONARY-5'!$A$2)</f>
        <v>5 051,-</v>
      </c>
      <c r="K63" s="670" t="str">
        <f>IF(EXC.RATE_2=0,"",IFERROR(IF(CURRENCY.FORMAT_2=0,CONCATENATE(TEXT(FIXED(ROUND(IF(EXC.RATE.SWITCH=1,C63/EXC.RATE_2,C63*EXC.RATE_2),CURRENCY.FORMAT_2),CURRENCY.FORMAT_2,1),"# ##0;-# ##0"),",-"),FIXED(ROUND(IF(EXC.RATE.SWITCH=1,C63/EXC.RATE_2,C63*EXC.RATE_2),CURRENCY.FORMAT_2),CURRENCY.FORMAT_2,0)),'DICTIONARY-5'!$A$2))</f>
        <v/>
      </c>
      <c r="L63" s="670" t="str">
        <f>IFERROR(IF(CURRENCY.FORMAT_1=0,CONCATENATE(TEXT(FIXED(ROUND((C63*(1-I63)*(1-ADD.DISCOUNT)*(1+MAT.SURCHARGE)/EXC.RATE_1),CURRENCY.FORMAT_1),CURRENCY.FORMAT_1,1),"# ##0;-# ##0"),",-"),FIXED(ROUND((C63*(1-I63)*(1-ADD.DISCOUNT)*(1+MAT.SURCHARGE)/EXC.RATE_1),CURRENCY.FORMAT_1),CURRENCY.FORMAT_1,0)),'DICTIONARY-5'!$A$2)</f>
        <v>5 248,-</v>
      </c>
      <c r="M63" s="670" t="str">
        <f>IF(EXC.RATE_2=0,"",IFERROR(IF(CURRENCY.FORMAT_2=0,CONCATENATE(TEXT(FIXED(ROUND(IF(EXC.RATE.SWITCH=1,C63*(1-I63)*(1-ADD.DISCOUNT)*(1+MAT.SURCHARGE)/EXC.RATE_2,C63*(1-I63)*(1-ADD.DISCOUNT)*(1+MAT.SURCHARGE)*EXC.RATE_2),CURRENCY.FORMAT_2),CURRENCY.FORMAT_2,1),"# ##0;-# ##0"),",-"),FIXED(ROUND(IF(EXC.RATE.SWITCH=1,C63*(1-I63)*(1-ADD.DISCOUNT)*(1+MAT.SURCHARGE)/EXC.RATE_2,C63*(1-I63)*(1-ADD.DISCOUNT)*(1+MAT.SURCHARGE)*EXC.RATE_2),CURRENCY.FORMAT_2),CURRENCY.FORMAT_2,0)),'DICTIONARY-5'!$A$2))</f>
        <v/>
      </c>
      <c r="N63" s="496">
        <v>1</v>
      </c>
      <c r="O63" s="496"/>
      <c r="P63" s="731" t="str">
        <f>'DICTIONARY-3'!$A$2</f>
        <v>EKOplus</v>
      </c>
      <c r="Q63" s="732" t="str">
        <f>'DICTIONARY-3'!$A$187</f>
        <v>Zasuwa klinowa</v>
      </c>
      <c r="R63" s="732" t="str">
        <f>CONCATENATE('DICTIONARY-3'!$A$2," ",'DICTIONARY-6'!$A$3," ",'DICTIONARY-2'!$A$2,"500"," ",'DICTIONARY-2'!$A$3,"16"," ","R14",", ",'DICTIONARY-4'!$A$2)</f>
        <v>EKOplus Zasuwa DN500 PN16 R14, WW</v>
      </c>
      <c r="S63" s="733" t="str">
        <f>'DICTIONARY-4'!$A$2</f>
        <v>WW</v>
      </c>
      <c r="T63" s="732" t="str">
        <f>'DICTIONARY-4'!$A$18</f>
        <v>Wolny wałek</v>
      </c>
      <c r="U63" s="734" t="s">
        <v>5756</v>
      </c>
      <c r="V63" s="735">
        <v>16</v>
      </c>
      <c r="W63" s="736"/>
      <c r="X63" s="737"/>
      <c r="Y63" s="738"/>
      <c r="Z63" s="739"/>
      <c r="AA63" s="739"/>
      <c r="AB63" s="740">
        <v>16</v>
      </c>
      <c r="AC63" s="741" t="str">
        <f>'DICTIONARY-5'!$A$11&amp;" 14"</f>
        <v>EN 558 szereg 14</v>
      </c>
      <c r="AD63" s="741" t="str">
        <f>'DICTIONARY-5'!$A$13</f>
        <v>woda pitna</v>
      </c>
      <c r="AE63" s="742">
        <v>50</v>
      </c>
      <c r="AF63" s="743">
        <v>480</v>
      </c>
      <c r="AG63" s="741" t="str">
        <f>'DICTIONARY-5'!$A$23</f>
        <v>powłoka epoksydowa</v>
      </c>
    </row>
    <row r="64" spans="1:33" x14ac:dyDescent="0.25">
      <c r="A64" s="837" t="s">
        <v>152</v>
      </c>
      <c r="B64" s="837" t="s">
        <v>4944</v>
      </c>
      <c r="C64" s="836">
        <v>7811</v>
      </c>
      <c r="D64" s="836"/>
      <c r="E64" s="836"/>
      <c r="F64" s="836"/>
      <c r="G64" s="496" t="s">
        <v>7789</v>
      </c>
      <c r="H64" s="797" t="str">
        <f>VLOOKUP(G64,SETTINGS!$B$7:$D$97,2,0)</f>
        <v>EKOplus</v>
      </c>
      <c r="I64" s="796">
        <f>VLOOKUP(G64,SETTINGS!$B$7:$D$97,3,0)</f>
        <v>0</v>
      </c>
      <c r="J64" s="670" t="str">
        <f>IFERROR(IF(CURRENCY.FORMAT_1=0,CONCATENATE(TEXT(FIXED(ROUND((C64/EXC.RATE_1),CURRENCY.FORMAT_1),CURRENCY.FORMAT_1,1),"# ##0;-# ##0"),",-"),FIXED(ROUND((C64/EXC.RATE_1),CURRENCY.FORMAT_1),CURRENCY.FORMAT_1,0)),'DICTIONARY-5'!$A$2)</f>
        <v>7 811,-</v>
      </c>
      <c r="K64" s="670" t="str">
        <f>IF(EXC.RATE_2=0,"",IFERROR(IF(CURRENCY.FORMAT_2=0,CONCATENATE(TEXT(FIXED(ROUND(IF(EXC.RATE.SWITCH=1,C64/EXC.RATE_2,C64*EXC.RATE_2),CURRENCY.FORMAT_2),CURRENCY.FORMAT_2,1),"# ##0;-# ##0"),",-"),FIXED(ROUND(IF(EXC.RATE.SWITCH=1,C64/EXC.RATE_2,C64*EXC.RATE_2),CURRENCY.FORMAT_2),CURRENCY.FORMAT_2,0)),'DICTIONARY-5'!$A$2))</f>
        <v/>
      </c>
      <c r="L64" s="670" t="str">
        <f>IFERROR(IF(CURRENCY.FORMAT_1=0,CONCATENATE(TEXT(FIXED(ROUND((C64*(1-I64)*(1-ADD.DISCOUNT)*(1+MAT.SURCHARGE)/EXC.RATE_1),CURRENCY.FORMAT_1),CURRENCY.FORMAT_1,1),"# ##0;-# ##0"),",-"),FIXED(ROUND((C64*(1-I64)*(1-ADD.DISCOUNT)*(1+MAT.SURCHARGE)/EXC.RATE_1),CURRENCY.FORMAT_1),CURRENCY.FORMAT_1,0)),'DICTIONARY-5'!$A$2)</f>
        <v>8 116,-</v>
      </c>
      <c r="M64" s="670" t="str">
        <f>IF(EXC.RATE_2=0,"",IFERROR(IF(CURRENCY.FORMAT_2=0,CONCATENATE(TEXT(FIXED(ROUND(IF(EXC.RATE.SWITCH=1,C64*(1-I64)*(1-ADD.DISCOUNT)*(1+MAT.SURCHARGE)/EXC.RATE_2,C64*(1-I64)*(1-ADD.DISCOUNT)*(1+MAT.SURCHARGE)*EXC.RATE_2),CURRENCY.FORMAT_2),CURRENCY.FORMAT_2,1),"# ##0;-# ##0"),",-"),FIXED(ROUND(IF(EXC.RATE.SWITCH=1,C64*(1-I64)*(1-ADD.DISCOUNT)*(1+MAT.SURCHARGE)/EXC.RATE_2,C64*(1-I64)*(1-ADD.DISCOUNT)*(1+MAT.SURCHARGE)*EXC.RATE_2),CURRENCY.FORMAT_2),CURRENCY.FORMAT_2,0)),'DICTIONARY-5'!$A$2))</f>
        <v/>
      </c>
      <c r="N64" s="496">
        <v>1</v>
      </c>
      <c r="O64" s="496"/>
      <c r="P64" s="731" t="str">
        <f>'DICTIONARY-3'!$A$2</f>
        <v>EKOplus</v>
      </c>
      <c r="Q64" s="732" t="str">
        <f>'DICTIONARY-3'!$A$187</f>
        <v>Zasuwa klinowa</v>
      </c>
      <c r="R64" s="732" t="str">
        <f>CONCATENATE('DICTIONARY-3'!$A$2," ",'DICTIONARY-6'!$A$3," ",'DICTIONARY-2'!$A$2,"600"," ",'DICTIONARY-2'!$A$3,"10"," ","R14",", ",'DICTIONARY-4'!$A$2)</f>
        <v>EKOplus Zasuwa DN600 PN10 R14, WW</v>
      </c>
      <c r="S64" s="733" t="str">
        <f>'DICTIONARY-4'!$A$2</f>
        <v>WW</v>
      </c>
      <c r="T64" s="732" t="str">
        <f>'DICTIONARY-4'!$A$18</f>
        <v>Wolny wałek</v>
      </c>
      <c r="U64" s="734" t="s">
        <v>5757</v>
      </c>
      <c r="V64" s="735">
        <v>10</v>
      </c>
      <c r="W64" s="736"/>
      <c r="X64" s="737"/>
      <c r="Y64" s="738"/>
      <c r="Z64" s="739"/>
      <c r="AA64" s="739"/>
      <c r="AB64" s="740">
        <v>10</v>
      </c>
      <c r="AC64" s="741" t="str">
        <f>'DICTIONARY-5'!$A$11&amp;" 14"</f>
        <v>EN 558 szereg 14</v>
      </c>
      <c r="AD64" s="741" t="str">
        <f>'DICTIONARY-5'!$A$13</f>
        <v>woda pitna</v>
      </c>
      <c r="AE64" s="742">
        <v>50</v>
      </c>
      <c r="AF64" s="743">
        <v>734</v>
      </c>
      <c r="AG64" s="741" t="str">
        <f>'DICTIONARY-5'!$A$23</f>
        <v>powłoka epoksydowa</v>
      </c>
    </row>
    <row r="65" spans="1:33" x14ac:dyDescent="0.25">
      <c r="A65" s="837" t="s">
        <v>154</v>
      </c>
      <c r="B65" s="837" t="s">
        <v>4956</v>
      </c>
      <c r="C65" s="836">
        <v>8424</v>
      </c>
      <c r="D65" s="836"/>
      <c r="E65" s="836"/>
      <c r="F65" s="836"/>
      <c r="G65" s="496" t="s">
        <v>7789</v>
      </c>
      <c r="H65" s="797" t="str">
        <f>VLOOKUP(G65,SETTINGS!$B$7:$D$97,2,0)</f>
        <v>EKOplus</v>
      </c>
      <c r="I65" s="796">
        <f>VLOOKUP(G65,SETTINGS!$B$7:$D$97,3,0)</f>
        <v>0</v>
      </c>
      <c r="J65" s="670" t="str">
        <f>IFERROR(IF(CURRENCY.FORMAT_1=0,CONCATENATE(TEXT(FIXED(ROUND((C65/EXC.RATE_1),CURRENCY.FORMAT_1),CURRENCY.FORMAT_1,1),"# ##0;-# ##0"),",-"),FIXED(ROUND((C65/EXC.RATE_1),CURRENCY.FORMAT_1),CURRENCY.FORMAT_1,0)),'DICTIONARY-5'!$A$2)</f>
        <v>8 424,-</v>
      </c>
      <c r="K65" s="670" t="str">
        <f>IF(EXC.RATE_2=0,"",IFERROR(IF(CURRENCY.FORMAT_2=0,CONCATENATE(TEXT(FIXED(ROUND(IF(EXC.RATE.SWITCH=1,C65/EXC.RATE_2,C65*EXC.RATE_2),CURRENCY.FORMAT_2),CURRENCY.FORMAT_2,1),"# ##0;-# ##0"),",-"),FIXED(ROUND(IF(EXC.RATE.SWITCH=1,C65/EXC.RATE_2,C65*EXC.RATE_2),CURRENCY.FORMAT_2),CURRENCY.FORMAT_2,0)),'DICTIONARY-5'!$A$2))</f>
        <v/>
      </c>
      <c r="L65" s="670" t="str">
        <f>IFERROR(IF(CURRENCY.FORMAT_1=0,CONCATENATE(TEXT(FIXED(ROUND((C65*(1-I65)*(1-ADD.DISCOUNT)*(1+MAT.SURCHARGE)/EXC.RATE_1),CURRENCY.FORMAT_1),CURRENCY.FORMAT_1,1),"# ##0;-# ##0"),",-"),FIXED(ROUND((C65*(1-I65)*(1-ADD.DISCOUNT)*(1+MAT.SURCHARGE)/EXC.RATE_1),CURRENCY.FORMAT_1),CURRENCY.FORMAT_1,0)),'DICTIONARY-5'!$A$2)</f>
        <v>8 753,-</v>
      </c>
      <c r="M65" s="670" t="str">
        <f>IF(EXC.RATE_2=0,"",IFERROR(IF(CURRENCY.FORMAT_2=0,CONCATENATE(TEXT(FIXED(ROUND(IF(EXC.RATE.SWITCH=1,C65*(1-I65)*(1-ADD.DISCOUNT)*(1+MAT.SURCHARGE)/EXC.RATE_2,C65*(1-I65)*(1-ADD.DISCOUNT)*(1+MAT.SURCHARGE)*EXC.RATE_2),CURRENCY.FORMAT_2),CURRENCY.FORMAT_2,1),"# ##0;-# ##0"),",-"),FIXED(ROUND(IF(EXC.RATE.SWITCH=1,C65*(1-I65)*(1-ADD.DISCOUNT)*(1+MAT.SURCHARGE)/EXC.RATE_2,C65*(1-I65)*(1-ADD.DISCOUNT)*(1+MAT.SURCHARGE)*EXC.RATE_2),CURRENCY.FORMAT_2),CURRENCY.FORMAT_2,0)),'DICTIONARY-5'!$A$2))</f>
        <v/>
      </c>
      <c r="N65" s="496">
        <v>1</v>
      </c>
      <c r="O65" s="496"/>
      <c r="P65" s="731" t="str">
        <f>'DICTIONARY-3'!$A$2</f>
        <v>EKOplus</v>
      </c>
      <c r="Q65" s="732" t="str">
        <f>'DICTIONARY-3'!$A$187</f>
        <v>Zasuwa klinowa</v>
      </c>
      <c r="R65" s="732" t="str">
        <f>CONCATENATE('DICTIONARY-3'!$A$2," ",'DICTIONARY-6'!$A$3," ",'DICTIONARY-2'!$A$2,"600"," ",'DICTIONARY-2'!$A$3,"16"," ","R14",", ",'DICTIONARY-4'!$A$2)</f>
        <v>EKOplus Zasuwa DN600 PN16 R14, WW</v>
      </c>
      <c r="S65" s="733" t="str">
        <f>'DICTIONARY-4'!$A$2</f>
        <v>WW</v>
      </c>
      <c r="T65" s="732" t="str">
        <f>'DICTIONARY-4'!$A$18</f>
        <v>Wolny wałek</v>
      </c>
      <c r="U65" s="734" t="s">
        <v>5757</v>
      </c>
      <c r="V65" s="735">
        <v>16</v>
      </c>
      <c r="W65" s="736"/>
      <c r="X65" s="737"/>
      <c r="Y65" s="738"/>
      <c r="Z65" s="739"/>
      <c r="AA65" s="739"/>
      <c r="AB65" s="740">
        <v>16</v>
      </c>
      <c r="AC65" s="741" t="str">
        <f>'DICTIONARY-5'!$A$11&amp;" 14"</f>
        <v>EN 558 szereg 14</v>
      </c>
      <c r="AD65" s="741" t="str">
        <f>'DICTIONARY-5'!$A$13</f>
        <v>woda pitna</v>
      </c>
      <c r="AE65" s="742">
        <v>50</v>
      </c>
      <c r="AF65" s="743">
        <v>812</v>
      </c>
      <c r="AG65" s="741" t="str">
        <f>'DICTIONARY-5'!$A$23</f>
        <v>powłoka epoksydowa</v>
      </c>
    </row>
    <row r="66" spans="1:33" x14ac:dyDescent="0.25">
      <c r="A66" s="837" t="s">
        <v>108</v>
      </c>
      <c r="B66" s="837" t="s">
        <v>4963</v>
      </c>
      <c r="C66" s="836">
        <v>153</v>
      </c>
      <c r="D66" s="836"/>
      <c r="E66" s="836"/>
      <c r="F66" s="836"/>
      <c r="G66" s="496" t="s">
        <v>7789</v>
      </c>
      <c r="H66" s="797" t="str">
        <f>VLOOKUP(G66,SETTINGS!$B$7:$D$97,2,0)</f>
        <v>EKOplus</v>
      </c>
      <c r="I66" s="796">
        <f>VLOOKUP(G66,SETTINGS!$B$7:$D$97,3,0)</f>
        <v>0</v>
      </c>
      <c r="J66" s="670" t="str">
        <f>IFERROR(IF(CURRENCY.FORMAT_1=0,CONCATENATE(TEXT(FIXED(ROUND((C66/EXC.RATE_1),CURRENCY.FORMAT_1),CURRENCY.FORMAT_1,1),"# ##0;-# ##0"),",-"),FIXED(ROUND((C66/EXC.RATE_1),CURRENCY.FORMAT_1),CURRENCY.FORMAT_1,0)),'DICTIONARY-5'!$A$2)</f>
        <v>153,-</v>
      </c>
      <c r="K66" s="670" t="str">
        <f>IF(EXC.RATE_2=0,"",IFERROR(IF(CURRENCY.FORMAT_2=0,CONCATENATE(TEXT(FIXED(ROUND(IF(EXC.RATE.SWITCH=1,C66/EXC.RATE_2,C66*EXC.RATE_2),CURRENCY.FORMAT_2),CURRENCY.FORMAT_2,1),"# ##0;-# ##0"),",-"),FIXED(ROUND(IF(EXC.RATE.SWITCH=1,C66/EXC.RATE_2,C66*EXC.RATE_2),CURRENCY.FORMAT_2),CURRENCY.FORMAT_2,0)),'DICTIONARY-5'!$A$2))</f>
        <v/>
      </c>
      <c r="L66" s="670" t="str">
        <f>IFERROR(IF(CURRENCY.FORMAT_1=0,CONCATENATE(TEXT(FIXED(ROUND((C66*(1-I66)*(1-ADD.DISCOUNT)*(1+MAT.SURCHARGE)/EXC.RATE_1),CURRENCY.FORMAT_1),CURRENCY.FORMAT_1,1),"# ##0;-# ##0"),",-"),FIXED(ROUND((C66*(1-I66)*(1-ADD.DISCOUNT)*(1+MAT.SURCHARGE)/EXC.RATE_1),CURRENCY.FORMAT_1),CURRENCY.FORMAT_1,0)),'DICTIONARY-5'!$A$2)</f>
        <v>159,-</v>
      </c>
      <c r="M66" s="670" t="str">
        <f>IF(EXC.RATE_2=0,"",IFERROR(IF(CURRENCY.FORMAT_2=0,CONCATENATE(TEXT(FIXED(ROUND(IF(EXC.RATE.SWITCH=1,C66*(1-I66)*(1-ADD.DISCOUNT)*(1+MAT.SURCHARGE)/EXC.RATE_2,C66*(1-I66)*(1-ADD.DISCOUNT)*(1+MAT.SURCHARGE)*EXC.RATE_2),CURRENCY.FORMAT_2),CURRENCY.FORMAT_2,1),"# ##0;-# ##0"),",-"),FIXED(ROUND(IF(EXC.RATE.SWITCH=1,C66*(1-I66)*(1-ADD.DISCOUNT)*(1+MAT.SURCHARGE)/EXC.RATE_2,C66*(1-I66)*(1-ADD.DISCOUNT)*(1+MAT.SURCHARGE)*EXC.RATE_2),CURRENCY.FORMAT_2),CURRENCY.FORMAT_2,0)),'DICTIONARY-5'!$A$2))</f>
        <v/>
      </c>
      <c r="N66" s="496">
        <v>1</v>
      </c>
      <c r="O66" s="496"/>
      <c r="P66" s="731" t="str">
        <f>'DICTIONARY-3'!$A$2</f>
        <v>EKOplus</v>
      </c>
      <c r="Q66" s="732" t="str">
        <f>'DICTIONARY-3'!$A$187</f>
        <v>Zasuwa klinowa</v>
      </c>
      <c r="R66" s="732" t="str">
        <f>CONCATENATE('DICTIONARY-3'!$A$2," ",'DICTIONARY-6'!$A$3," ",'DICTIONARY-2'!$A$2,"40"," ",'DICTIONARY-2'!$A$3,"10/16"," ","R15",", ",'DICTIONARY-4'!$A$2)</f>
        <v>EKOplus Zasuwa DN40 PN10/16 R15, WW</v>
      </c>
      <c r="S66" s="733" t="str">
        <f>'DICTIONARY-4'!$A$2</f>
        <v>WW</v>
      </c>
      <c r="T66" s="732" t="str">
        <f>'DICTIONARY-4'!$A$18</f>
        <v>Wolny wałek</v>
      </c>
      <c r="U66" s="734" t="s">
        <v>5758</v>
      </c>
      <c r="V66" s="735">
        <v>16</v>
      </c>
      <c r="W66" s="736"/>
      <c r="X66" s="737"/>
      <c r="Y66" s="738"/>
      <c r="Z66" s="739"/>
      <c r="AA66" s="739"/>
      <c r="AB66" s="740">
        <v>16</v>
      </c>
      <c r="AC66" s="741" t="str">
        <f>'DICTIONARY-5'!$A$11&amp;" 15"</f>
        <v>EN 558 szereg 15</v>
      </c>
      <c r="AD66" s="741" t="str">
        <f>'DICTIONARY-5'!$A$13</f>
        <v>woda pitna</v>
      </c>
      <c r="AE66" s="742">
        <v>50</v>
      </c>
      <c r="AF66" s="743">
        <v>8.5</v>
      </c>
      <c r="AG66" s="741" t="str">
        <f>'DICTIONARY-5'!$A$23</f>
        <v>powłoka epoksydowa</v>
      </c>
    </row>
    <row r="67" spans="1:33" x14ac:dyDescent="0.25">
      <c r="A67" s="837" t="s">
        <v>111</v>
      </c>
      <c r="B67" s="837" t="s">
        <v>4964</v>
      </c>
      <c r="C67" s="836">
        <v>168</v>
      </c>
      <c r="D67" s="836"/>
      <c r="E67" s="836"/>
      <c r="F67" s="836"/>
      <c r="G67" s="496" t="s">
        <v>7789</v>
      </c>
      <c r="H67" s="797" t="str">
        <f>VLOOKUP(G67,SETTINGS!$B$7:$D$97,2,0)</f>
        <v>EKOplus</v>
      </c>
      <c r="I67" s="796">
        <f>VLOOKUP(G67,SETTINGS!$B$7:$D$97,3,0)</f>
        <v>0</v>
      </c>
      <c r="J67" s="670" t="str">
        <f>IFERROR(IF(CURRENCY.FORMAT_1=0,CONCATENATE(TEXT(FIXED(ROUND((C67/EXC.RATE_1),CURRENCY.FORMAT_1),CURRENCY.FORMAT_1,1),"# ##0;-# ##0"),",-"),FIXED(ROUND((C67/EXC.RATE_1),CURRENCY.FORMAT_1),CURRENCY.FORMAT_1,0)),'DICTIONARY-5'!$A$2)</f>
        <v>168,-</v>
      </c>
      <c r="K67" s="670" t="str">
        <f>IF(EXC.RATE_2=0,"",IFERROR(IF(CURRENCY.FORMAT_2=0,CONCATENATE(TEXT(FIXED(ROUND(IF(EXC.RATE.SWITCH=1,C67/EXC.RATE_2,C67*EXC.RATE_2),CURRENCY.FORMAT_2),CURRENCY.FORMAT_2,1),"# ##0;-# ##0"),",-"),FIXED(ROUND(IF(EXC.RATE.SWITCH=1,C67/EXC.RATE_2,C67*EXC.RATE_2),CURRENCY.FORMAT_2),CURRENCY.FORMAT_2,0)),'DICTIONARY-5'!$A$2))</f>
        <v/>
      </c>
      <c r="L67" s="670" t="str">
        <f>IFERROR(IF(CURRENCY.FORMAT_1=0,CONCATENATE(TEXT(FIXED(ROUND((C67*(1-I67)*(1-ADD.DISCOUNT)*(1+MAT.SURCHARGE)/EXC.RATE_1),CURRENCY.FORMAT_1),CURRENCY.FORMAT_1,1),"# ##0;-# ##0"),",-"),FIXED(ROUND((C67*(1-I67)*(1-ADD.DISCOUNT)*(1+MAT.SURCHARGE)/EXC.RATE_1),CURRENCY.FORMAT_1),CURRENCY.FORMAT_1,0)),'DICTIONARY-5'!$A$2)</f>
        <v>175,-</v>
      </c>
      <c r="M67" s="670" t="str">
        <f>IF(EXC.RATE_2=0,"",IFERROR(IF(CURRENCY.FORMAT_2=0,CONCATENATE(TEXT(FIXED(ROUND(IF(EXC.RATE.SWITCH=1,C67*(1-I67)*(1-ADD.DISCOUNT)*(1+MAT.SURCHARGE)/EXC.RATE_2,C67*(1-I67)*(1-ADD.DISCOUNT)*(1+MAT.SURCHARGE)*EXC.RATE_2),CURRENCY.FORMAT_2),CURRENCY.FORMAT_2,1),"# ##0;-# ##0"),",-"),FIXED(ROUND(IF(EXC.RATE.SWITCH=1,C67*(1-I67)*(1-ADD.DISCOUNT)*(1+MAT.SURCHARGE)/EXC.RATE_2,C67*(1-I67)*(1-ADD.DISCOUNT)*(1+MAT.SURCHARGE)*EXC.RATE_2),CURRENCY.FORMAT_2),CURRENCY.FORMAT_2,0)),'DICTIONARY-5'!$A$2))</f>
        <v/>
      </c>
      <c r="N67" s="496">
        <v>1</v>
      </c>
      <c r="O67" s="496"/>
      <c r="P67" s="731" t="str">
        <f>'DICTIONARY-3'!$A$2</f>
        <v>EKOplus</v>
      </c>
      <c r="Q67" s="732" t="str">
        <f>'DICTIONARY-3'!$A$187</f>
        <v>Zasuwa klinowa</v>
      </c>
      <c r="R67" s="732" t="str">
        <f>CONCATENATE('DICTIONARY-3'!$A$2," ",'DICTIONARY-6'!$A$3," ",'DICTIONARY-2'!$A$2,"50"," ",'DICTIONARY-2'!$A$3,"10/16"," ","R15",", ",'DICTIONARY-4'!$A$2)</f>
        <v>EKOplus Zasuwa DN50 PN10/16 R15, WW</v>
      </c>
      <c r="S67" s="733" t="str">
        <f>'DICTIONARY-4'!$A$2</f>
        <v>WW</v>
      </c>
      <c r="T67" s="732" t="str">
        <f>'DICTIONARY-4'!$A$18</f>
        <v>Wolny wałek</v>
      </c>
      <c r="U67" s="734" t="s">
        <v>5748</v>
      </c>
      <c r="V67" s="735">
        <v>16</v>
      </c>
      <c r="W67" s="736"/>
      <c r="X67" s="737"/>
      <c r="Y67" s="738"/>
      <c r="Z67" s="739"/>
      <c r="AA67" s="739"/>
      <c r="AB67" s="740">
        <v>16</v>
      </c>
      <c r="AC67" s="741" t="str">
        <f>'DICTIONARY-5'!$A$11&amp;" 15"</f>
        <v>EN 558 szereg 15</v>
      </c>
      <c r="AD67" s="741" t="str">
        <f>'DICTIONARY-5'!$A$13</f>
        <v>woda pitna</v>
      </c>
      <c r="AE67" s="742">
        <v>50</v>
      </c>
      <c r="AF67" s="743">
        <v>10.5</v>
      </c>
      <c r="AG67" s="741" t="str">
        <f>'DICTIONARY-5'!$A$23</f>
        <v>powłoka epoksydowa</v>
      </c>
    </row>
    <row r="68" spans="1:33" x14ac:dyDescent="0.25">
      <c r="A68" s="837" t="s">
        <v>113</v>
      </c>
      <c r="B68" s="837" t="s">
        <v>4965</v>
      </c>
      <c r="C68" s="836">
        <v>186</v>
      </c>
      <c r="D68" s="836"/>
      <c r="E68" s="836"/>
      <c r="F68" s="836"/>
      <c r="G68" s="496" t="s">
        <v>7789</v>
      </c>
      <c r="H68" s="797" t="str">
        <f>VLOOKUP(G68,SETTINGS!$B$7:$D$97,2,0)</f>
        <v>EKOplus</v>
      </c>
      <c r="I68" s="796">
        <f>VLOOKUP(G68,SETTINGS!$B$7:$D$97,3,0)</f>
        <v>0</v>
      </c>
      <c r="J68" s="670" t="str">
        <f>IFERROR(IF(CURRENCY.FORMAT_1=0,CONCATENATE(TEXT(FIXED(ROUND((C68/EXC.RATE_1),CURRENCY.FORMAT_1),CURRENCY.FORMAT_1,1),"# ##0;-# ##0"),",-"),FIXED(ROUND((C68/EXC.RATE_1),CURRENCY.FORMAT_1),CURRENCY.FORMAT_1,0)),'DICTIONARY-5'!$A$2)</f>
        <v>186,-</v>
      </c>
      <c r="K68" s="670" t="str">
        <f>IF(EXC.RATE_2=0,"",IFERROR(IF(CURRENCY.FORMAT_2=0,CONCATENATE(TEXT(FIXED(ROUND(IF(EXC.RATE.SWITCH=1,C68/EXC.RATE_2,C68*EXC.RATE_2),CURRENCY.FORMAT_2),CURRENCY.FORMAT_2,1),"# ##0;-# ##0"),",-"),FIXED(ROUND(IF(EXC.RATE.SWITCH=1,C68/EXC.RATE_2,C68*EXC.RATE_2),CURRENCY.FORMAT_2),CURRENCY.FORMAT_2,0)),'DICTIONARY-5'!$A$2))</f>
        <v/>
      </c>
      <c r="L68" s="670" t="str">
        <f>IFERROR(IF(CURRENCY.FORMAT_1=0,CONCATENATE(TEXT(FIXED(ROUND((C68*(1-I68)*(1-ADD.DISCOUNT)*(1+MAT.SURCHARGE)/EXC.RATE_1),CURRENCY.FORMAT_1),CURRENCY.FORMAT_1,1),"# ##0;-# ##0"),",-"),FIXED(ROUND((C68*(1-I68)*(1-ADD.DISCOUNT)*(1+MAT.SURCHARGE)/EXC.RATE_1),CURRENCY.FORMAT_1),CURRENCY.FORMAT_1,0)),'DICTIONARY-5'!$A$2)</f>
        <v>193,-</v>
      </c>
      <c r="M68" s="670" t="str">
        <f>IF(EXC.RATE_2=0,"",IFERROR(IF(CURRENCY.FORMAT_2=0,CONCATENATE(TEXT(FIXED(ROUND(IF(EXC.RATE.SWITCH=1,C68*(1-I68)*(1-ADD.DISCOUNT)*(1+MAT.SURCHARGE)/EXC.RATE_2,C68*(1-I68)*(1-ADD.DISCOUNT)*(1+MAT.SURCHARGE)*EXC.RATE_2),CURRENCY.FORMAT_2),CURRENCY.FORMAT_2,1),"# ##0;-# ##0"),",-"),FIXED(ROUND(IF(EXC.RATE.SWITCH=1,C68*(1-I68)*(1-ADD.DISCOUNT)*(1+MAT.SURCHARGE)/EXC.RATE_2,C68*(1-I68)*(1-ADD.DISCOUNT)*(1+MAT.SURCHARGE)*EXC.RATE_2),CURRENCY.FORMAT_2),CURRENCY.FORMAT_2,0)),'DICTIONARY-5'!$A$2))</f>
        <v/>
      </c>
      <c r="N68" s="496">
        <v>1</v>
      </c>
      <c r="O68" s="496"/>
      <c r="P68" s="731" t="str">
        <f>'DICTIONARY-3'!$A$2</f>
        <v>EKOplus</v>
      </c>
      <c r="Q68" s="732" t="str">
        <f>'DICTIONARY-3'!$A$187</f>
        <v>Zasuwa klinowa</v>
      </c>
      <c r="R68" s="732" t="str">
        <f>CONCATENATE('DICTIONARY-3'!$A$2," ",'DICTIONARY-6'!$A$3," ",'DICTIONARY-2'!$A$2,"65"," ",'DICTIONARY-2'!$A$3,"10/16"," ","R15",", ",'DICTIONARY-4'!$A$2)</f>
        <v>EKOplus Zasuwa DN65 PN10/16 R15, WW</v>
      </c>
      <c r="S68" s="733" t="str">
        <f>'DICTIONARY-4'!$A$2</f>
        <v>WW</v>
      </c>
      <c r="T68" s="732" t="str">
        <f>'DICTIONARY-4'!$A$18</f>
        <v>Wolny wałek</v>
      </c>
      <c r="U68" s="734" t="s">
        <v>5759</v>
      </c>
      <c r="V68" s="735">
        <v>16</v>
      </c>
      <c r="W68" s="736"/>
      <c r="X68" s="737"/>
      <c r="Y68" s="738"/>
      <c r="Z68" s="739"/>
      <c r="AA68" s="739"/>
      <c r="AB68" s="740">
        <v>16</v>
      </c>
      <c r="AC68" s="741" t="str">
        <f>'DICTIONARY-5'!$A$11&amp;" 15"</f>
        <v>EN 558 szereg 15</v>
      </c>
      <c r="AD68" s="741" t="str">
        <f>'DICTIONARY-5'!$A$13</f>
        <v>woda pitna</v>
      </c>
      <c r="AE68" s="742">
        <v>50</v>
      </c>
      <c r="AF68" s="743">
        <v>14.5</v>
      </c>
      <c r="AG68" s="741" t="str">
        <f>'DICTIONARY-5'!$A$23</f>
        <v>powłoka epoksydowa</v>
      </c>
    </row>
    <row r="69" spans="1:33" x14ac:dyDescent="0.25">
      <c r="A69" s="837" t="s">
        <v>115</v>
      </c>
      <c r="B69" s="837" t="s">
        <v>4967</v>
      </c>
      <c r="C69" s="836">
        <v>183</v>
      </c>
      <c r="D69" s="836"/>
      <c r="E69" s="836"/>
      <c r="F69" s="836"/>
      <c r="G69" s="496" t="s">
        <v>7789</v>
      </c>
      <c r="H69" s="797" t="str">
        <f>VLOOKUP(G69,SETTINGS!$B$7:$D$97,2,0)</f>
        <v>EKOplus</v>
      </c>
      <c r="I69" s="796">
        <f>VLOOKUP(G69,SETTINGS!$B$7:$D$97,3,0)</f>
        <v>0</v>
      </c>
      <c r="J69" s="670" t="str">
        <f>IFERROR(IF(CURRENCY.FORMAT_1=0,CONCATENATE(TEXT(FIXED(ROUND((C69/EXC.RATE_1),CURRENCY.FORMAT_1),CURRENCY.FORMAT_1,1),"# ##0;-# ##0"),",-"),FIXED(ROUND((C69/EXC.RATE_1),CURRENCY.FORMAT_1),CURRENCY.FORMAT_1,0)),'DICTIONARY-5'!$A$2)</f>
        <v>183,-</v>
      </c>
      <c r="K69" s="670" t="str">
        <f>IF(EXC.RATE_2=0,"",IFERROR(IF(CURRENCY.FORMAT_2=0,CONCATENATE(TEXT(FIXED(ROUND(IF(EXC.RATE.SWITCH=1,C69/EXC.RATE_2,C69*EXC.RATE_2),CURRENCY.FORMAT_2),CURRENCY.FORMAT_2,1),"# ##0;-# ##0"),",-"),FIXED(ROUND(IF(EXC.RATE.SWITCH=1,C69/EXC.RATE_2,C69*EXC.RATE_2),CURRENCY.FORMAT_2),CURRENCY.FORMAT_2,0)),'DICTIONARY-5'!$A$2))</f>
        <v/>
      </c>
      <c r="L69" s="670" t="str">
        <f>IFERROR(IF(CURRENCY.FORMAT_1=0,CONCATENATE(TEXT(FIXED(ROUND((C69*(1-I69)*(1-ADD.DISCOUNT)*(1+MAT.SURCHARGE)/EXC.RATE_1),CURRENCY.FORMAT_1),CURRENCY.FORMAT_1,1),"# ##0;-# ##0"),",-"),FIXED(ROUND((C69*(1-I69)*(1-ADD.DISCOUNT)*(1+MAT.SURCHARGE)/EXC.RATE_1),CURRENCY.FORMAT_1),CURRENCY.FORMAT_1,0)),'DICTIONARY-5'!$A$2)</f>
        <v>190,-</v>
      </c>
      <c r="M69" s="670" t="str">
        <f>IF(EXC.RATE_2=0,"",IFERROR(IF(CURRENCY.FORMAT_2=0,CONCATENATE(TEXT(FIXED(ROUND(IF(EXC.RATE.SWITCH=1,C69*(1-I69)*(1-ADD.DISCOUNT)*(1+MAT.SURCHARGE)/EXC.RATE_2,C69*(1-I69)*(1-ADD.DISCOUNT)*(1+MAT.SURCHARGE)*EXC.RATE_2),CURRENCY.FORMAT_2),CURRENCY.FORMAT_2,1),"# ##0;-# ##0"),",-"),FIXED(ROUND(IF(EXC.RATE.SWITCH=1,C69*(1-I69)*(1-ADD.DISCOUNT)*(1+MAT.SURCHARGE)/EXC.RATE_2,C69*(1-I69)*(1-ADD.DISCOUNT)*(1+MAT.SURCHARGE)*EXC.RATE_2),CURRENCY.FORMAT_2),CURRENCY.FORMAT_2,0)),'DICTIONARY-5'!$A$2))</f>
        <v/>
      </c>
      <c r="N69" s="496">
        <v>1</v>
      </c>
      <c r="O69" s="496"/>
      <c r="P69" s="731" t="str">
        <f>'DICTIONARY-3'!$A$2</f>
        <v>EKOplus</v>
      </c>
      <c r="Q69" s="732" t="str">
        <f>'DICTIONARY-3'!$A$187</f>
        <v>Zasuwa klinowa</v>
      </c>
      <c r="R69" s="732" t="str">
        <f>CONCATENATE('DICTIONARY-3'!$A$2," ",'DICTIONARY-6'!$A$3," ",'DICTIONARY-2'!$A$2,"80"," ",'DICTIONARY-2'!$A$3,"10/16"," ","R15"," ",'DICTIONARY-5'!$A$64,", ",'DICTIONARY-4'!$A$2)</f>
        <v>EKOplus Zasuwa DN80 PN10/16 R15 owiert 4 otw., WW</v>
      </c>
      <c r="S69" s="733" t="str">
        <f>'DICTIONARY-4'!$A$2</f>
        <v>WW</v>
      </c>
      <c r="T69" s="732" t="str">
        <f>'DICTIONARY-4'!$A$18</f>
        <v>Wolny wałek</v>
      </c>
      <c r="U69" s="734" t="s">
        <v>5760</v>
      </c>
      <c r="V69" s="735">
        <v>16</v>
      </c>
      <c r="W69" s="736"/>
      <c r="X69" s="737"/>
      <c r="Y69" s="738"/>
      <c r="Z69" s="739"/>
      <c r="AA69" s="739"/>
      <c r="AB69" s="740">
        <v>16</v>
      </c>
      <c r="AC69" s="741" t="str">
        <f>'DICTIONARY-5'!$A$11&amp;" 15"</f>
        <v>EN 558 szereg 15</v>
      </c>
      <c r="AD69" s="741" t="str">
        <f>'DICTIONARY-5'!$A$13</f>
        <v>woda pitna</v>
      </c>
      <c r="AE69" s="742">
        <v>50</v>
      </c>
      <c r="AF69" s="743">
        <v>16.5</v>
      </c>
      <c r="AG69" s="741" t="str">
        <f>'DICTIONARY-5'!$A$23</f>
        <v>powłoka epoksydowa</v>
      </c>
    </row>
    <row r="70" spans="1:33" x14ac:dyDescent="0.25">
      <c r="A70" s="837" t="s">
        <v>117</v>
      </c>
      <c r="B70" s="837" t="s">
        <v>4966</v>
      </c>
      <c r="C70" s="836">
        <v>186</v>
      </c>
      <c r="D70" s="836"/>
      <c r="E70" s="836"/>
      <c r="F70" s="836"/>
      <c r="G70" s="496" t="s">
        <v>7789</v>
      </c>
      <c r="H70" s="797" t="str">
        <f>VLOOKUP(G70,SETTINGS!$B$7:$D$97,2,0)</f>
        <v>EKOplus</v>
      </c>
      <c r="I70" s="796">
        <f>VLOOKUP(G70,SETTINGS!$B$7:$D$97,3,0)</f>
        <v>0</v>
      </c>
      <c r="J70" s="670" t="str">
        <f>IFERROR(IF(CURRENCY.FORMAT_1=0,CONCATENATE(TEXT(FIXED(ROUND((C70/EXC.RATE_1),CURRENCY.FORMAT_1),CURRENCY.FORMAT_1,1),"# ##0;-# ##0"),",-"),FIXED(ROUND((C70/EXC.RATE_1),CURRENCY.FORMAT_1),CURRENCY.FORMAT_1,0)),'DICTIONARY-5'!$A$2)</f>
        <v>186,-</v>
      </c>
      <c r="K70" s="670" t="str">
        <f>IF(EXC.RATE_2=0,"",IFERROR(IF(CURRENCY.FORMAT_2=0,CONCATENATE(TEXT(FIXED(ROUND(IF(EXC.RATE.SWITCH=1,C70/EXC.RATE_2,C70*EXC.RATE_2),CURRENCY.FORMAT_2),CURRENCY.FORMAT_2,1),"# ##0;-# ##0"),",-"),FIXED(ROUND(IF(EXC.RATE.SWITCH=1,C70/EXC.RATE_2,C70*EXC.RATE_2),CURRENCY.FORMAT_2),CURRENCY.FORMAT_2,0)),'DICTIONARY-5'!$A$2))</f>
        <v/>
      </c>
      <c r="L70" s="670" t="str">
        <f>IFERROR(IF(CURRENCY.FORMAT_1=0,CONCATENATE(TEXT(FIXED(ROUND((C70*(1-I70)*(1-ADD.DISCOUNT)*(1+MAT.SURCHARGE)/EXC.RATE_1),CURRENCY.FORMAT_1),CURRENCY.FORMAT_1,1),"# ##0;-# ##0"),",-"),FIXED(ROUND((C70*(1-I70)*(1-ADD.DISCOUNT)*(1+MAT.SURCHARGE)/EXC.RATE_1),CURRENCY.FORMAT_1),CURRENCY.FORMAT_1,0)),'DICTIONARY-5'!$A$2)</f>
        <v>193,-</v>
      </c>
      <c r="M70" s="670" t="str">
        <f>IF(EXC.RATE_2=0,"",IFERROR(IF(CURRENCY.FORMAT_2=0,CONCATENATE(TEXT(FIXED(ROUND(IF(EXC.RATE.SWITCH=1,C70*(1-I70)*(1-ADD.DISCOUNT)*(1+MAT.SURCHARGE)/EXC.RATE_2,C70*(1-I70)*(1-ADD.DISCOUNT)*(1+MAT.SURCHARGE)*EXC.RATE_2),CURRENCY.FORMAT_2),CURRENCY.FORMAT_2,1),"# ##0;-# ##0"),",-"),FIXED(ROUND(IF(EXC.RATE.SWITCH=1,C70*(1-I70)*(1-ADD.DISCOUNT)*(1+MAT.SURCHARGE)/EXC.RATE_2,C70*(1-I70)*(1-ADD.DISCOUNT)*(1+MAT.SURCHARGE)*EXC.RATE_2),CURRENCY.FORMAT_2),CURRENCY.FORMAT_2,0)),'DICTIONARY-5'!$A$2))</f>
        <v/>
      </c>
      <c r="N70" s="496">
        <v>1</v>
      </c>
      <c r="O70" s="496"/>
      <c r="P70" s="731" t="str">
        <f>'DICTIONARY-3'!$A$2</f>
        <v>EKOplus</v>
      </c>
      <c r="Q70" s="732" t="str">
        <f>'DICTIONARY-3'!$A$187</f>
        <v>Zasuwa klinowa</v>
      </c>
      <c r="R70" s="732" t="str">
        <f>CONCATENATE('DICTIONARY-3'!$A$2," ",'DICTIONARY-6'!$A$3," ",'DICTIONARY-2'!$A$2,"80"," ",'DICTIONARY-2'!$A$3,"10/16"," ","R15",", ",'DICTIONARY-4'!$A$2)</f>
        <v>EKOplus Zasuwa DN80 PN10/16 R15, WW</v>
      </c>
      <c r="S70" s="733" t="str">
        <f>'DICTIONARY-4'!$A$2</f>
        <v>WW</v>
      </c>
      <c r="T70" s="732" t="str">
        <f>'DICTIONARY-4'!$A$18</f>
        <v>Wolny wałek</v>
      </c>
      <c r="U70" s="734" t="s">
        <v>5760</v>
      </c>
      <c r="V70" s="735">
        <v>16</v>
      </c>
      <c r="W70" s="736"/>
      <c r="X70" s="737"/>
      <c r="Y70" s="738"/>
      <c r="Z70" s="739"/>
      <c r="AA70" s="739"/>
      <c r="AB70" s="740">
        <v>16</v>
      </c>
      <c r="AC70" s="741" t="str">
        <f>'DICTIONARY-5'!$A$11&amp;" 15"</f>
        <v>EN 558 szereg 15</v>
      </c>
      <c r="AD70" s="741" t="str">
        <f>'DICTIONARY-5'!$A$13</f>
        <v>woda pitna</v>
      </c>
      <c r="AE70" s="742">
        <v>50</v>
      </c>
      <c r="AF70" s="743">
        <v>16.25</v>
      </c>
      <c r="AG70" s="741" t="str">
        <f>'DICTIONARY-5'!$A$23</f>
        <v>powłoka epoksydowa</v>
      </c>
    </row>
    <row r="71" spans="1:33" x14ac:dyDescent="0.25">
      <c r="A71" s="837" t="s">
        <v>119</v>
      </c>
      <c r="B71" s="837" t="s">
        <v>4968</v>
      </c>
      <c r="C71" s="836">
        <v>214</v>
      </c>
      <c r="D71" s="836"/>
      <c r="E71" s="836"/>
      <c r="F71" s="836"/>
      <c r="G71" s="496" t="s">
        <v>7789</v>
      </c>
      <c r="H71" s="797" t="str">
        <f>VLOOKUP(G71,SETTINGS!$B$7:$D$97,2,0)</f>
        <v>EKOplus</v>
      </c>
      <c r="I71" s="796">
        <f>VLOOKUP(G71,SETTINGS!$B$7:$D$97,3,0)</f>
        <v>0</v>
      </c>
      <c r="J71" s="670" t="str">
        <f>IFERROR(IF(CURRENCY.FORMAT_1=0,CONCATENATE(TEXT(FIXED(ROUND((C71/EXC.RATE_1),CURRENCY.FORMAT_1),CURRENCY.FORMAT_1,1),"# ##0;-# ##0"),",-"),FIXED(ROUND((C71/EXC.RATE_1),CURRENCY.FORMAT_1),CURRENCY.FORMAT_1,0)),'DICTIONARY-5'!$A$2)</f>
        <v>214,-</v>
      </c>
      <c r="K71" s="670" t="str">
        <f>IF(EXC.RATE_2=0,"",IFERROR(IF(CURRENCY.FORMAT_2=0,CONCATENATE(TEXT(FIXED(ROUND(IF(EXC.RATE.SWITCH=1,C71/EXC.RATE_2,C71*EXC.RATE_2),CURRENCY.FORMAT_2),CURRENCY.FORMAT_2,1),"# ##0;-# ##0"),",-"),FIXED(ROUND(IF(EXC.RATE.SWITCH=1,C71/EXC.RATE_2,C71*EXC.RATE_2),CURRENCY.FORMAT_2),CURRENCY.FORMAT_2,0)),'DICTIONARY-5'!$A$2))</f>
        <v/>
      </c>
      <c r="L71" s="670" t="str">
        <f>IFERROR(IF(CURRENCY.FORMAT_1=0,CONCATENATE(TEXT(FIXED(ROUND((C71*(1-I71)*(1-ADD.DISCOUNT)*(1+MAT.SURCHARGE)/EXC.RATE_1),CURRENCY.FORMAT_1),CURRENCY.FORMAT_1,1),"# ##0;-# ##0"),",-"),FIXED(ROUND((C71*(1-I71)*(1-ADD.DISCOUNT)*(1+MAT.SURCHARGE)/EXC.RATE_1),CURRENCY.FORMAT_1),CURRENCY.FORMAT_1,0)),'DICTIONARY-5'!$A$2)</f>
        <v>222,-</v>
      </c>
      <c r="M71" s="670" t="str">
        <f>IF(EXC.RATE_2=0,"",IFERROR(IF(CURRENCY.FORMAT_2=0,CONCATENATE(TEXT(FIXED(ROUND(IF(EXC.RATE.SWITCH=1,C71*(1-I71)*(1-ADD.DISCOUNT)*(1+MAT.SURCHARGE)/EXC.RATE_2,C71*(1-I71)*(1-ADD.DISCOUNT)*(1+MAT.SURCHARGE)*EXC.RATE_2),CURRENCY.FORMAT_2),CURRENCY.FORMAT_2,1),"# ##0;-# ##0"),",-"),FIXED(ROUND(IF(EXC.RATE.SWITCH=1,C71*(1-I71)*(1-ADD.DISCOUNT)*(1+MAT.SURCHARGE)/EXC.RATE_2,C71*(1-I71)*(1-ADD.DISCOUNT)*(1+MAT.SURCHARGE)*EXC.RATE_2),CURRENCY.FORMAT_2),CURRENCY.FORMAT_2,0)),'DICTIONARY-5'!$A$2))</f>
        <v/>
      </c>
      <c r="N71" s="496">
        <v>1</v>
      </c>
      <c r="O71" s="496"/>
      <c r="P71" s="731" t="str">
        <f>'DICTIONARY-3'!$A$2</f>
        <v>EKOplus</v>
      </c>
      <c r="Q71" s="732" t="str">
        <f>'DICTIONARY-3'!$A$187</f>
        <v>Zasuwa klinowa</v>
      </c>
      <c r="R71" s="732" t="str">
        <f>CONCATENATE('DICTIONARY-3'!$A$2," ",'DICTIONARY-6'!$A$3," ",'DICTIONARY-2'!$A$2,"100"," ",'DICTIONARY-2'!$A$3,"10/16"," ","R15",", ",'DICTIONARY-4'!$A$2)</f>
        <v>EKOplus Zasuwa DN100 PN10/16 R15, WW</v>
      </c>
      <c r="S71" s="733" t="str">
        <f>'DICTIONARY-4'!$A$2</f>
        <v>WW</v>
      </c>
      <c r="T71" s="732" t="str">
        <f>'DICTIONARY-4'!$A$18</f>
        <v>Wolny wałek</v>
      </c>
      <c r="U71" s="734" t="s">
        <v>5749</v>
      </c>
      <c r="V71" s="735">
        <v>16</v>
      </c>
      <c r="W71" s="736"/>
      <c r="X71" s="737"/>
      <c r="Y71" s="738"/>
      <c r="Z71" s="739"/>
      <c r="AA71" s="739"/>
      <c r="AB71" s="740">
        <v>16</v>
      </c>
      <c r="AC71" s="741" t="str">
        <f>'DICTIONARY-5'!$A$11&amp;" 15"</f>
        <v>EN 558 szereg 15</v>
      </c>
      <c r="AD71" s="741" t="str">
        <f>'DICTIONARY-5'!$A$13</f>
        <v>woda pitna</v>
      </c>
      <c r="AE71" s="742">
        <v>50</v>
      </c>
      <c r="AF71" s="743">
        <v>19.5</v>
      </c>
      <c r="AG71" s="741" t="str">
        <f>'DICTIONARY-5'!$A$23</f>
        <v>powłoka epoksydowa</v>
      </c>
    </row>
    <row r="72" spans="1:33" x14ac:dyDescent="0.25">
      <c r="A72" s="837" t="s">
        <v>121</v>
      </c>
      <c r="B72" s="837" t="s">
        <v>4969</v>
      </c>
      <c r="C72" s="836">
        <v>346</v>
      </c>
      <c r="D72" s="836"/>
      <c r="E72" s="836"/>
      <c r="F72" s="836"/>
      <c r="G72" s="496" t="s">
        <v>7789</v>
      </c>
      <c r="H72" s="797" t="str">
        <f>VLOOKUP(G72,SETTINGS!$B$7:$D$97,2,0)</f>
        <v>EKOplus</v>
      </c>
      <c r="I72" s="796">
        <f>VLOOKUP(G72,SETTINGS!$B$7:$D$97,3,0)</f>
        <v>0</v>
      </c>
      <c r="J72" s="670" t="str">
        <f>IFERROR(IF(CURRENCY.FORMAT_1=0,CONCATENATE(TEXT(FIXED(ROUND((C72/EXC.RATE_1),CURRENCY.FORMAT_1),CURRENCY.FORMAT_1,1),"# ##0;-# ##0"),",-"),FIXED(ROUND((C72/EXC.RATE_1),CURRENCY.FORMAT_1),CURRENCY.FORMAT_1,0)),'DICTIONARY-5'!$A$2)</f>
        <v>346,-</v>
      </c>
      <c r="K72" s="670" t="str">
        <f>IF(EXC.RATE_2=0,"",IFERROR(IF(CURRENCY.FORMAT_2=0,CONCATENATE(TEXT(FIXED(ROUND(IF(EXC.RATE.SWITCH=1,C72/EXC.RATE_2,C72*EXC.RATE_2),CURRENCY.FORMAT_2),CURRENCY.FORMAT_2,1),"# ##0;-# ##0"),",-"),FIXED(ROUND(IF(EXC.RATE.SWITCH=1,C72/EXC.RATE_2,C72*EXC.RATE_2),CURRENCY.FORMAT_2),CURRENCY.FORMAT_2,0)),'DICTIONARY-5'!$A$2))</f>
        <v/>
      </c>
      <c r="L72" s="670" t="str">
        <f>IFERROR(IF(CURRENCY.FORMAT_1=0,CONCATENATE(TEXT(FIXED(ROUND((C72*(1-I72)*(1-ADD.DISCOUNT)*(1+MAT.SURCHARGE)/EXC.RATE_1),CURRENCY.FORMAT_1),CURRENCY.FORMAT_1,1),"# ##0;-# ##0"),",-"),FIXED(ROUND((C72*(1-I72)*(1-ADD.DISCOUNT)*(1+MAT.SURCHARGE)/EXC.RATE_1),CURRENCY.FORMAT_1),CURRENCY.FORMAT_1,0)),'DICTIONARY-5'!$A$2)</f>
        <v>359,-</v>
      </c>
      <c r="M72" s="670" t="str">
        <f>IF(EXC.RATE_2=0,"",IFERROR(IF(CURRENCY.FORMAT_2=0,CONCATENATE(TEXT(FIXED(ROUND(IF(EXC.RATE.SWITCH=1,C72*(1-I72)*(1-ADD.DISCOUNT)*(1+MAT.SURCHARGE)/EXC.RATE_2,C72*(1-I72)*(1-ADD.DISCOUNT)*(1+MAT.SURCHARGE)*EXC.RATE_2),CURRENCY.FORMAT_2),CURRENCY.FORMAT_2,1),"# ##0;-# ##0"),",-"),FIXED(ROUND(IF(EXC.RATE.SWITCH=1,C72*(1-I72)*(1-ADD.DISCOUNT)*(1+MAT.SURCHARGE)/EXC.RATE_2,C72*(1-I72)*(1-ADD.DISCOUNT)*(1+MAT.SURCHARGE)*EXC.RATE_2),CURRENCY.FORMAT_2),CURRENCY.FORMAT_2,0)),'DICTIONARY-5'!$A$2))</f>
        <v/>
      </c>
      <c r="N72" s="496">
        <v>1</v>
      </c>
      <c r="O72" s="496"/>
      <c r="P72" s="731" t="str">
        <f>'DICTIONARY-3'!$A$2</f>
        <v>EKOplus</v>
      </c>
      <c r="Q72" s="732" t="str">
        <f>'DICTIONARY-3'!$A$187</f>
        <v>Zasuwa klinowa</v>
      </c>
      <c r="R72" s="732" t="str">
        <f>CONCATENATE('DICTIONARY-3'!$A$2," ",'DICTIONARY-6'!$A$3," ",'DICTIONARY-2'!$A$2,"125"," ",'DICTIONARY-2'!$A$3,"10/16"," ","R15",", ",'DICTIONARY-4'!$A$2)</f>
        <v>EKOplus Zasuwa DN125 PN10/16 R15, WW</v>
      </c>
      <c r="S72" s="733" t="str">
        <f>'DICTIONARY-4'!$A$2</f>
        <v>WW</v>
      </c>
      <c r="T72" s="732" t="str">
        <f>'DICTIONARY-4'!$A$18</f>
        <v>Wolny wałek</v>
      </c>
      <c r="U72" s="734" t="s">
        <v>5761</v>
      </c>
      <c r="V72" s="735">
        <v>16</v>
      </c>
      <c r="W72" s="736"/>
      <c r="X72" s="737"/>
      <c r="Y72" s="738"/>
      <c r="Z72" s="739"/>
      <c r="AA72" s="739"/>
      <c r="AB72" s="740">
        <v>16</v>
      </c>
      <c r="AC72" s="741" t="str">
        <f>'DICTIONARY-5'!$A$11&amp;" 15"</f>
        <v>EN 558 szereg 15</v>
      </c>
      <c r="AD72" s="741" t="str">
        <f>'DICTIONARY-5'!$A$13</f>
        <v>woda pitna</v>
      </c>
      <c r="AE72" s="742">
        <v>50</v>
      </c>
      <c r="AF72" s="743">
        <v>28</v>
      </c>
      <c r="AG72" s="741" t="str">
        <f>'DICTIONARY-5'!$A$23</f>
        <v>powłoka epoksydowa</v>
      </c>
    </row>
    <row r="73" spans="1:33" x14ac:dyDescent="0.25">
      <c r="A73" s="837" t="s">
        <v>123</v>
      </c>
      <c r="B73" s="837" t="s">
        <v>4970</v>
      </c>
      <c r="C73" s="836">
        <v>362</v>
      </c>
      <c r="D73" s="836"/>
      <c r="E73" s="836"/>
      <c r="F73" s="836"/>
      <c r="G73" s="496" t="s">
        <v>7789</v>
      </c>
      <c r="H73" s="797" t="str">
        <f>VLOOKUP(G73,SETTINGS!$B$7:$D$97,2,0)</f>
        <v>EKOplus</v>
      </c>
      <c r="I73" s="796">
        <f>VLOOKUP(G73,SETTINGS!$B$7:$D$97,3,0)</f>
        <v>0</v>
      </c>
      <c r="J73" s="670" t="str">
        <f>IFERROR(IF(CURRENCY.FORMAT_1=0,CONCATENATE(TEXT(FIXED(ROUND((C73/EXC.RATE_1),CURRENCY.FORMAT_1),CURRENCY.FORMAT_1,1),"# ##0;-# ##0"),",-"),FIXED(ROUND((C73/EXC.RATE_1),CURRENCY.FORMAT_1),CURRENCY.FORMAT_1,0)),'DICTIONARY-5'!$A$2)</f>
        <v>362,-</v>
      </c>
      <c r="K73" s="670" t="str">
        <f>IF(EXC.RATE_2=0,"",IFERROR(IF(CURRENCY.FORMAT_2=0,CONCATENATE(TEXT(FIXED(ROUND(IF(EXC.RATE.SWITCH=1,C73/EXC.RATE_2,C73*EXC.RATE_2),CURRENCY.FORMAT_2),CURRENCY.FORMAT_2,1),"# ##0;-# ##0"),",-"),FIXED(ROUND(IF(EXC.RATE.SWITCH=1,C73/EXC.RATE_2,C73*EXC.RATE_2),CURRENCY.FORMAT_2),CURRENCY.FORMAT_2,0)),'DICTIONARY-5'!$A$2))</f>
        <v/>
      </c>
      <c r="L73" s="670" t="str">
        <f>IFERROR(IF(CURRENCY.FORMAT_1=0,CONCATENATE(TEXT(FIXED(ROUND((C73*(1-I73)*(1-ADD.DISCOUNT)*(1+MAT.SURCHARGE)/EXC.RATE_1),CURRENCY.FORMAT_1),CURRENCY.FORMAT_1,1),"# ##0;-# ##0"),",-"),FIXED(ROUND((C73*(1-I73)*(1-ADD.DISCOUNT)*(1+MAT.SURCHARGE)/EXC.RATE_1),CURRENCY.FORMAT_1),CURRENCY.FORMAT_1,0)),'DICTIONARY-5'!$A$2)</f>
        <v>376,-</v>
      </c>
      <c r="M73" s="670" t="str">
        <f>IF(EXC.RATE_2=0,"",IFERROR(IF(CURRENCY.FORMAT_2=0,CONCATENATE(TEXT(FIXED(ROUND(IF(EXC.RATE.SWITCH=1,C73*(1-I73)*(1-ADD.DISCOUNT)*(1+MAT.SURCHARGE)/EXC.RATE_2,C73*(1-I73)*(1-ADD.DISCOUNT)*(1+MAT.SURCHARGE)*EXC.RATE_2),CURRENCY.FORMAT_2),CURRENCY.FORMAT_2,1),"# ##0;-# ##0"),",-"),FIXED(ROUND(IF(EXC.RATE.SWITCH=1,C73*(1-I73)*(1-ADD.DISCOUNT)*(1+MAT.SURCHARGE)/EXC.RATE_2,C73*(1-I73)*(1-ADD.DISCOUNT)*(1+MAT.SURCHARGE)*EXC.RATE_2),CURRENCY.FORMAT_2),CURRENCY.FORMAT_2,0)),'DICTIONARY-5'!$A$2))</f>
        <v/>
      </c>
      <c r="N73" s="496">
        <v>1</v>
      </c>
      <c r="O73" s="496"/>
      <c r="P73" s="731" t="str">
        <f>'DICTIONARY-3'!$A$2</f>
        <v>EKOplus</v>
      </c>
      <c r="Q73" s="732" t="str">
        <f>'DICTIONARY-3'!$A$187</f>
        <v>Zasuwa klinowa</v>
      </c>
      <c r="R73" s="732" t="str">
        <f>CONCATENATE('DICTIONARY-3'!$A$2," ",'DICTIONARY-6'!$A$3," ",'DICTIONARY-2'!$A$2,"150"," ",'DICTIONARY-2'!$A$3,"10/16"," ","R15",", ",'DICTIONARY-4'!$A$2)</f>
        <v>EKOplus Zasuwa DN150 PN10/16 R15, WW</v>
      </c>
      <c r="S73" s="733" t="str">
        <f>'DICTIONARY-4'!$A$2</f>
        <v>WW</v>
      </c>
      <c r="T73" s="732" t="str">
        <f>'DICTIONARY-4'!$A$18</f>
        <v>Wolny wałek</v>
      </c>
      <c r="U73" s="734" t="s">
        <v>5572</v>
      </c>
      <c r="V73" s="735">
        <v>16</v>
      </c>
      <c r="W73" s="736"/>
      <c r="X73" s="737"/>
      <c r="Y73" s="738"/>
      <c r="Z73" s="739"/>
      <c r="AA73" s="739"/>
      <c r="AB73" s="740">
        <v>16</v>
      </c>
      <c r="AC73" s="741" t="str">
        <f>'DICTIONARY-5'!$A$11&amp;" 15"</f>
        <v>EN 558 szereg 15</v>
      </c>
      <c r="AD73" s="741" t="str">
        <f>'DICTIONARY-5'!$A$13</f>
        <v>woda pitna</v>
      </c>
      <c r="AE73" s="742">
        <v>50</v>
      </c>
      <c r="AF73" s="743">
        <v>36</v>
      </c>
      <c r="AG73" s="741" t="str">
        <f>'DICTIONARY-5'!$A$23</f>
        <v>powłoka epoksydowa</v>
      </c>
    </row>
    <row r="74" spans="1:33" x14ac:dyDescent="0.25">
      <c r="A74" s="837" t="s">
        <v>125</v>
      </c>
      <c r="B74" s="837" t="s">
        <v>4960</v>
      </c>
      <c r="C74" s="836">
        <v>612</v>
      </c>
      <c r="D74" s="836"/>
      <c r="E74" s="836"/>
      <c r="F74" s="836"/>
      <c r="G74" s="496" t="s">
        <v>7789</v>
      </c>
      <c r="H74" s="797" t="str">
        <f>VLOOKUP(G74,SETTINGS!$B$7:$D$97,2,0)</f>
        <v>EKOplus</v>
      </c>
      <c r="I74" s="796">
        <f>VLOOKUP(G74,SETTINGS!$B$7:$D$97,3,0)</f>
        <v>0</v>
      </c>
      <c r="J74" s="670" t="str">
        <f>IFERROR(IF(CURRENCY.FORMAT_1=0,CONCATENATE(TEXT(FIXED(ROUND((C74/EXC.RATE_1),CURRENCY.FORMAT_1),CURRENCY.FORMAT_1,1),"# ##0;-# ##0"),",-"),FIXED(ROUND((C74/EXC.RATE_1),CURRENCY.FORMAT_1),CURRENCY.FORMAT_1,0)),'DICTIONARY-5'!$A$2)</f>
        <v>612,-</v>
      </c>
      <c r="K74" s="670" t="str">
        <f>IF(EXC.RATE_2=0,"",IFERROR(IF(CURRENCY.FORMAT_2=0,CONCATENATE(TEXT(FIXED(ROUND(IF(EXC.RATE.SWITCH=1,C74/EXC.RATE_2,C74*EXC.RATE_2),CURRENCY.FORMAT_2),CURRENCY.FORMAT_2,1),"# ##0;-# ##0"),",-"),FIXED(ROUND(IF(EXC.RATE.SWITCH=1,C74/EXC.RATE_2,C74*EXC.RATE_2),CURRENCY.FORMAT_2),CURRENCY.FORMAT_2,0)),'DICTIONARY-5'!$A$2))</f>
        <v/>
      </c>
      <c r="L74" s="670" t="str">
        <f>IFERROR(IF(CURRENCY.FORMAT_1=0,CONCATENATE(TEXT(FIXED(ROUND((C74*(1-I74)*(1-ADD.DISCOUNT)*(1+MAT.SURCHARGE)/EXC.RATE_1),CURRENCY.FORMAT_1),CURRENCY.FORMAT_1,1),"# ##0;-# ##0"),",-"),FIXED(ROUND((C74*(1-I74)*(1-ADD.DISCOUNT)*(1+MAT.SURCHARGE)/EXC.RATE_1),CURRENCY.FORMAT_1),CURRENCY.FORMAT_1,0)),'DICTIONARY-5'!$A$2)</f>
        <v>636,-</v>
      </c>
      <c r="M74" s="670" t="str">
        <f>IF(EXC.RATE_2=0,"",IFERROR(IF(CURRENCY.FORMAT_2=0,CONCATENATE(TEXT(FIXED(ROUND(IF(EXC.RATE.SWITCH=1,C74*(1-I74)*(1-ADD.DISCOUNT)*(1+MAT.SURCHARGE)/EXC.RATE_2,C74*(1-I74)*(1-ADD.DISCOUNT)*(1+MAT.SURCHARGE)*EXC.RATE_2),CURRENCY.FORMAT_2),CURRENCY.FORMAT_2,1),"# ##0;-# ##0"),",-"),FIXED(ROUND(IF(EXC.RATE.SWITCH=1,C74*(1-I74)*(1-ADD.DISCOUNT)*(1+MAT.SURCHARGE)/EXC.RATE_2,C74*(1-I74)*(1-ADD.DISCOUNT)*(1+MAT.SURCHARGE)*EXC.RATE_2),CURRENCY.FORMAT_2),CURRENCY.FORMAT_2,0)),'DICTIONARY-5'!$A$2))</f>
        <v/>
      </c>
      <c r="N74" s="496">
        <v>1</v>
      </c>
      <c r="O74" s="496"/>
      <c r="P74" s="731" t="str">
        <f>'DICTIONARY-3'!$A$2</f>
        <v>EKOplus</v>
      </c>
      <c r="Q74" s="732" t="str">
        <f>'DICTIONARY-3'!$A$187</f>
        <v>Zasuwa klinowa</v>
      </c>
      <c r="R74" s="732" t="str">
        <f>CONCATENATE('DICTIONARY-3'!$A$2," ",'DICTIONARY-6'!$A$3," ",'DICTIONARY-2'!$A$2,"200"," ",'DICTIONARY-2'!$A$3,"10"," ","R15",", ",'DICTIONARY-4'!$A$2)</f>
        <v>EKOplus Zasuwa DN200 PN10 R15, WW</v>
      </c>
      <c r="S74" s="733" t="str">
        <f>'DICTIONARY-4'!$A$2</f>
        <v>WW</v>
      </c>
      <c r="T74" s="732" t="str">
        <f>'DICTIONARY-4'!$A$18</f>
        <v>Wolny wałek</v>
      </c>
      <c r="U74" s="734" t="s">
        <v>5750</v>
      </c>
      <c r="V74" s="735">
        <v>10</v>
      </c>
      <c r="W74" s="736"/>
      <c r="X74" s="737"/>
      <c r="Y74" s="738"/>
      <c r="Z74" s="739"/>
      <c r="AA74" s="739"/>
      <c r="AB74" s="740">
        <v>10</v>
      </c>
      <c r="AC74" s="741" t="str">
        <f>'DICTIONARY-5'!$A$11&amp;" 15"</f>
        <v>EN 558 szereg 15</v>
      </c>
      <c r="AD74" s="741" t="str">
        <f>'DICTIONARY-5'!$A$13</f>
        <v>woda pitna</v>
      </c>
      <c r="AE74" s="742">
        <v>50</v>
      </c>
      <c r="AF74" s="743">
        <v>59.5</v>
      </c>
      <c r="AG74" s="741" t="str">
        <f>'DICTIONARY-5'!$A$23</f>
        <v>powłoka epoksydowa</v>
      </c>
    </row>
    <row r="75" spans="1:33" x14ac:dyDescent="0.25">
      <c r="A75" s="837" t="s">
        <v>127</v>
      </c>
      <c r="B75" s="837" t="s">
        <v>4971</v>
      </c>
      <c r="C75" s="836">
        <v>615</v>
      </c>
      <c r="D75" s="836"/>
      <c r="E75" s="836"/>
      <c r="F75" s="836"/>
      <c r="G75" s="496" t="s">
        <v>7789</v>
      </c>
      <c r="H75" s="797" t="str">
        <f>VLOOKUP(G75,SETTINGS!$B$7:$D$97,2,0)</f>
        <v>EKOplus</v>
      </c>
      <c r="I75" s="796">
        <f>VLOOKUP(G75,SETTINGS!$B$7:$D$97,3,0)</f>
        <v>0</v>
      </c>
      <c r="J75" s="670" t="str">
        <f>IFERROR(IF(CURRENCY.FORMAT_1=0,CONCATENATE(TEXT(FIXED(ROUND((C75/EXC.RATE_1),CURRENCY.FORMAT_1),CURRENCY.FORMAT_1,1),"# ##0;-# ##0"),",-"),FIXED(ROUND((C75/EXC.RATE_1),CURRENCY.FORMAT_1),CURRENCY.FORMAT_1,0)),'DICTIONARY-5'!$A$2)</f>
        <v>615,-</v>
      </c>
      <c r="K75" s="670" t="str">
        <f>IF(EXC.RATE_2=0,"",IFERROR(IF(CURRENCY.FORMAT_2=0,CONCATENATE(TEXT(FIXED(ROUND(IF(EXC.RATE.SWITCH=1,C75/EXC.RATE_2,C75*EXC.RATE_2),CURRENCY.FORMAT_2),CURRENCY.FORMAT_2,1),"# ##0;-# ##0"),",-"),FIXED(ROUND(IF(EXC.RATE.SWITCH=1,C75/EXC.RATE_2,C75*EXC.RATE_2),CURRENCY.FORMAT_2),CURRENCY.FORMAT_2,0)),'DICTIONARY-5'!$A$2))</f>
        <v/>
      </c>
      <c r="L75" s="670" t="str">
        <f>IFERROR(IF(CURRENCY.FORMAT_1=0,CONCATENATE(TEXT(FIXED(ROUND((C75*(1-I75)*(1-ADD.DISCOUNT)*(1+MAT.SURCHARGE)/EXC.RATE_1),CURRENCY.FORMAT_1),CURRENCY.FORMAT_1,1),"# ##0;-# ##0"),",-"),FIXED(ROUND((C75*(1-I75)*(1-ADD.DISCOUNT)*(1+MAT.SURCHARGE)/EXC.RATE_1),CURRENCY.FORMAT_1),CURRENCY.FORMAT_1,0)),'DICTIONARY-5'!$A$2)</f>
        <v>639,-</v>
      </c>
      <c r="M75" s="670" t="str">
        <f>IF(EXC.RATE_2=0,"",IFERROR(IF(CURRENCY.FORMAT_2=0,CONCATENATE(TEXT(FIXED(ROUND(IF(EXC.RATE.SWITCH=1,C75*(1-I75)*(1-ADD.DISCOUNT)*(1+MAT.SURCHARGE)/EXC.RATE_2,C75*(1-I75)*(1-ADD.DISCOUNT)*(1+MAT.SURCHARGE)*EXC.RATE_2),CURRENCY.FORMAT_2),CURRENCY.FORMAT_2,1),"# ##0;-# ##0"),",-"),FIXED(ROUND(IF(EXC.RATE.SWITCH=1,C75*(1-I75)*(1-ADD.DISCOUNT)*(1+MAT.SURCHARGE)/EXC.RATE_2,C75*(1-I75)*(1-ADD.DISCOUNT)*(1+MAT.SURCHARGE)*EXC.RATE_2),CURRENCY.FORMAT_2),CURRENCY.FORMAT_2,0)),'DICTIONARY-5'!$A$2))</f>
        <v/>
      </c>
      <c r="N75" s="496">
        <v>1</v>
      </c>
      <c r="O75" s="496"/>
      <c r="P75" s="731" t="str">
        <f>'DICTIONARY-3'!$A$2</f>
        <v>EKOplus</v>
      </c>
      <c r="Q75" s="732" t="str">
        <f>'DICTIONARY-3'!$A$187</f>
        <v>Zasuwa klinowa</v>
      </c>
      <c r="R75" s="732" t="str">
        <f>CONCATENATE('DICTIONARY-3'!$A$2," ",'DICTIONARY-6'!$A$3," ",'DICTIONARY-2'!$A$2,"200"," ",'DICTIONARY-2'!$A$3,"16"," ","R15",", ",'DICTIONARY-4'!$A$2)</f>
        <v>EKOplus Zasuwa DN200 PN16 R15, WW</v>
      </c>
      <c r="S75" s="733" t="str">
        <f>'DICTIONARY-4'!$A$2</f>
        <v>WW</v>
      </c>
      <c r="T75" s="732" t="str">
        <f>'DICTIONARY-4'!$A$18</f>
        <v>Wolny wałek</v>
      </c>
      <c r="U75" s="734" t="s">
        <v>5750</v>
      </c>
      <c r="V75" s="735">
        <v>16</v>
      </c>
      <c r="W75" s="736"/>
      <c r="X75" s="737"/>
      <c r="Y75" s="738"/>
      <c r="Z75" s="739"/>
      <c r="AA75" s="739"/>
      <c r="AB75" s="740">
        <v>16</v>
      </c>
      <c r="AC75" s="741" t="str">
        <f>'DICTIONARY-5'!$A$11&amp;" 15"</f>
        <v>EN 558 szereg 15</v>
      </c>
      <c r="AD75" s="741" t="str">
        <f>'DICTIONARY-5'!$A$13</f>
        <v>woda pitna</v>
      </c>
      <c r="AE75" s="742">
        <v>50</v>
      </c>
      <c r="AF75" s="743">
        <v>58.5</v>
      </c>
      <c r="AG75" s="741" t="str">
        <f>'DICTIONARY-5'!$A$23</f>
        <v>powłoka epoksydowa</v>
      </c>
    </row>
    <row r="76" spans="1:33" x14ac:dyDescent="0.25">
      <c r="A76" s="837" t="s">
        <v>129</v>
      </c>
      <c r="B76" s="837" t="s">
        <v>4961</v>
      </c>
      <c r="C76" s="836">
        <v>1140</v>
      </c>
      <c r="D76" s="836"/>
      <c r="E76" s="836"/>
      <c r="F76" s="836"/>
      <c r="G76" s="496" t="s">
        <v>7789</v>
      </c>
      <c r="H76" s="797" t="str">
        <f>VLOOKUP(G76,SETTINGS!$B$7:$D$97,2,0)</f>
        <v>EKOplus</v>
      </c>
      <c r="I76" s="796">
        <f>VLOOKUP(G76,SETTINGS!$B$7:$D$97,3,0)</f>
        <v>0</v>
      </c>
      <c r="J76" s="670" t="str">
        <f>IFERROR(IF(CURRENCY.FORMAT_1=0,CONCATENATE(TEXT(FIXED(ROUND((C76/EXC.RATE_1),CURRENCY.FORMAT_1),CURRENCY.FORMAT_1,1),"# ##0;-# ##0"),",-"),FIXED(ROUND((C76/EXC.RATE_1),CURRENCY.FORMAT_1),CURRENCY.FORMAT_1,0)),'DICTIONARY-5'!$A$2)</f>
        <v>1 140,-</v>
      </c>
      <c r="K76" s="670" t="str">
        <f>IF(EXC.RATE_2=0,"",IFERROR(IF(CURRENCY.FORMAT_2=0,CONCATENATE(TEXT(FIXED(ROUND(IF(EXC.RATE.SWITCH=1,C76/EXC.RATE_2,C76*EXC.RATE_2),CURRENCY.FORMAT_2),CURRENCY.FORMAT_2,1),"# ##0;-# ##0"),",-"),FIXED(ROUND(IF(EXC.RATE.SWITCH=1,C76/EXC.RATE_2,C76*EXC.RATE_2),CURRENCY.FORMAT_2),CURRENCY.FORMAT_2,0)),'DICTIONARY-5'!$A$2))</f>
        <v/>
      </c>
      <c r="L76" s="670" t="str">
        <f>IFERROR(IF(CURRENCY.FORMAT_1=0,CONCATENATE(TEXT(FIXED(ROUND((C76*(1-I76)*(1-ADD.DISCOUNT)*(1+MAT.SURCHARGE)/EXC.RATE_1),CURRENCY.FORMAT_1),CURRENCY.FORMAT_1,1),"# ##0;-# ##0"),",-"),FIXED(ROUND((C76*(1-I76)*(1-ADD.DISCOUNT)*(1+MAT.SURCHARGE)/EXC.RATE_1),CURRENCY.FORMAT_1),CURRENCY.FORMAT_1,0)),'DICTIONARY-5'!$A$2)</f>
        <v>1 184,-</v>
      </c>
      <c r="M76" s="670" t="str">
        <f>IF(EXC.RATE_2=0,"",IFERROR(IF(CURRENCY.FORMAT_2=0,CONCATENATE(TEXT(FIXED(ROUND(IF(EXC.RATE.SWITCH=1,C76*(1-I76)*(1-ADD.DISCOUNT)*(1+MAT.SURCHARGE)/EXC.RATE_2,C76*(1-I76)*(1-ADD.DISCOUNT)*(1+MAT.SURCHARGE)*EXC.RATE_2),CURRENCY.FORMAT_2),CURRENCY.FORMAT_2,1),"# ##0;-# ##0"),",-"),FIXED(ROUND(IF(EXC.RATE.SWITCH=1,C76*(1-I76)*(1-ADD.DISCOUNT)*(1+MAT.SURCHARGE)/EXC.RATE_2,C76*(1-I76)*(1-ADD.DISCOUNT)*(1+MAT.SURCHARGE)*EXC.RATE_2),CURRENCY.FORMAT_2),CURRENCY.FORMAT_2,0)),'DICTIONARY-5'!$A$2))</f>
        <v/>
      </c>
      <c r="N76" s="496">
        <v>1</v>
      </c>
      <c r="O76" s="496"/>
      <c r="P76" s="731" t="str">
        <f>'DICTIONARY-3'!$A$2</f>
        <v>EKOplus</v>
      </c>
      <c r="Q76" s="732" t="str">
        <f>'DICTIONARY-3'!$A$187</f>
        <v>Zasuwa klinowa</v>
      </c>
      <c r="R76" s="732" t="str">
        <f>CONCATENATE('DICTIONARY-3'!$A$2," ",'DICTIONARY-6'!$A$3," ",'DICTIONARY-2'!$A$2,"250"," ",'DICTIONARY-2'!$A$3,"10"," ","R15",", ",'DICTIONARY-4'!$A$2)</f>
        <v>EKOplus Zasuwa DN250 PN10 R15, WW</v>
      </c>
      <c r="S76" s="733" t="str">
        <f>'DICTIONARY-4'!$A$2</f>
        <v>WW</v>
      </c>
      <c r="T76" s="732" t="str">
        <f>'DICTIONARY-4'!$A$18</f>
        <v>Wolny wałek</v>
      </c>
      <c r="U76" s="734" t="s">
        <v>5751</v>
      </c>
      <c r="V76" s="735">
        <v>10</v>
      </c>
      <c r="W76" s="736"/>
      <c r="X76" s="737"/>
      <c r="Y76" s="738"/>
      <c r="Z76" s="739"/>
      <c r="AA76" s="739"/>
      <c r="AB76" s="740">
        <v>10</v>
      </c>
      <c r="AC76" s="741" t="str">
        <f>'DICTIONARY-5'!$A$11&amp;" 15"</f>
        <v>EN 558 szereg 15</v>
      </c>
      <c r="AD76" s="741" t="str">
        <f>'DICTIONARY-5'!$A$13</f>
        <v>woda pitna</v>
      </c>
      <c r="AE76" s="742">
        <v>50</v>
      </c>
      <c r="AF76" s="743">
        <v>101.5</v>
      </c>
      <c r="AG76" s="741" t="str">
        <f>'DICTIONARY-5'!$A$23</f>
        <v>powłoka epoksydowa</v>
      </c>
    </row>
    <row r="77" spans="1:33" x14ac:dyDescent="0.25">
      <c r="A77" s="837" t="s">
        <v>131</v>
      </c>
      <c r="B77" s="837" t="s">
        <v>4972</v>
      </c>
      <c r="C77" s="836">
        <v>1150</v>
      </c>
      <c r="D77" s="836"/>
      <c r="E77" s="836"/>
      <c r="F77" s="836"/>
      <c r="G77" s="496" t="s">
        <v>7789</v>
      </c>
      <c r="H77" s="797" t="str">
        <f>VLOOKUP(G77,SETTINGS!$B$7:$D$97,2,0)</f>
        <v>EKOplus</v>
      </c>
      <c r="I77" s="796">
        <f>VLOOKUP(G77,SETTINGS!$B$7:$D$97,3,0)</f>
        <v>0</v>
      </c>
      <c r="J77" s="670" t="str">
        <f>IFERROR(IF(CURRENCY.FORMAT_1=0,CONCATENATE(TEXT(FIXED(ROUND((C77/EXC.RATE_1),CURRENCY.FORMAT_1),CURRENCY.FORMAT_1,1),"# ##0;-# ##0"),",-"),FIXED(ROUND((C77/EXC.RATE_1),CURRENCY.FORMAT_1),CURRENCY.FORMAT_1,0)),'DICTIONARY-5'!$A$2)</f>
        <v>1 150,-</v>
      </c>
      <c r="K77" s="670" t="str">
        <f>IF(EXC.RATE_2=0,"",IFERROR(IF(CURRENCY.FORMAT_2=0,CONCATENATE(TEXT(FIXED(ROUND(IF(EXC.RATE.SWITCH=1,C77/EXC.RATE_2,C77*EXC.RATE_2),CURRENCY.FORMAT_2),CURRENCY.FORMAT_2,1),"# ##0;-# ##0"),",-"),FIXED(ROUND(IF(EXC.RATE.SWITCH=1,C77/EXC.RATE_2,C77*EXC.RATE_2),CURRENCY.FORMAT_2),CURRENCY.FORMAT_2,0)),'DICTIONARY-5'!$A$2))</f>
        <v/>
      </c>
      <c r="L77" s="670" t="str">
        <f>IFERROR(IF(CURRENCY.FORMAT_1=0,CONCATENATE(TEXT(FIXED(ROUND((C77*(1-I77)*(1-ADD.DISCOUNT)*(1+MAT.SURCHARGE)/EXC.RATE_1),CURRENCY.FORMAT_1),CURRENCY.FORMAT_1,1),"# ##0;-# ##0"),",-"),FIXED(ROUND((C77*(1-I77)*(1-ADD.DISCOUNT)*(1+MAT.SURCHARGE)/EXC.RATE_1),CURRENCY.FORMAT_1),CURRENCY.FORMAT_1,0)),'DICTIONARY-5'!$A$2)</f>
        <v>1 195,-</v>
      </c>
      <c r="M77" s="670" t="str">
        <f>IF(EXC.RATE_2=0,"",IFERROR(IF(CURRENCY.FORMAT_2=0,CONCATENATE(TEXT(FIXED(ROUND(IF(EXC.RATE.SWITCH=1,C77*(1-I77)*(1-ADD.DISCOUNT)*(1+MAT.SURCHARGE)/EXC.RATE_2,C77*(1-I77)*(1-ADD.DISCOUNT)*(1+MAT.SURCHARGE)*EXC.RATE_2),CURRENCY.FORMAT_2),CURRENCY.FORMAT_2,1),"# ##0;-# ##0"),",-"),FIXED(ROUND(IF(EXC.RATE.SWITCH=1,C77*(1-I77)*(1-ADD.DISCOUNT)*(1+MAT.SURCHARGE)/EXC.RATE_2,C77*(1-I77)*(1-ADD.DISCOUNT)*(1+MAT.SURCHARGE)*EXC.RATE_2),CURRENCY.FORMAT_2),CURRENCY.FORMAT_2,0)),'DICTIONARY-5'!$A$2))</f>
        <v/>
      </c>
      <c r="N77" s="496">
        <v>1</v>
      </c>
      <c r="O77" s="496"/>
      <c r="P77" s="731" t="str">
        <f>'DICTIONARY-3'!$A$2</f>
        <v>EKOplus</v>
      </c>
      <c r="Q77" s="732" t="str">
        <f>'DICTIONARY-3'!$A$187</f>
        <v>Zasuwa klinowa</v>
      </c>
      <c r="R77" s="732" t="str">
        <f>CONCATENATE('DICTIONARY-3'!$A$2," ",'DICTIONARY-6'!$A$3," ",'DICTIONARY-2'!$A$2,"250"," ",'DICTIONARY-2'!$A$3,"16"," ","R15",", ",'DICTIONARY-4'!$A$2)</f>
        <v>EKOplus Zasuwa DN250 PN16 R15, WW</v>
      </c>
      <c r="S77" s="733" t="str">
        <f>'DICTIONARY-4'!$A$2</f>
        <v>WW</v>
      </c>
      <c r="T77" s="732" t="str">
        <f>'DICTIONARY-4'!$A$18</f>
        <v>Wolny wałek</v>
      </c>
      <c r="U77" s="734" t="s">
        <v>5751</v>
      </c>
      <c r="V77" s="735">
        <v>16</v>
      </c>
      <c r="W77" s="736"/>
      <c r="X77" s="737"/>
      <c r="Y77" s="738"/>
      <c r="Z77" s="739"/>
      <c r="AA77" s="739"/>
      <c r="AB77" s="740">
        <v>16</v>
      </c>
      <c r="AC77" s="741" t="str">
        <f>'DICTIONARY-5'!$A$11&amp;" 15"</f>
        <v>EN 558 szereg 15</v>
      </c>
      <c r="AD77" s="741" t="str">
        <f>'DICTIONARY-5'!$A$13</f>
        <v>woda pitna</v>
      </c>
      <c r="AE77" s="742">
        <v>50</v>
      </c>
      <c r="AF77" s="743">
        <v>101.75</v>
      </c>
      <c r="AG77" s="741" t="str">
        <f>'DICTIONARY-5'!$A$23</f>
        <v>powłoka epoksydowa</v>
      </c>
    </row>
    <row r="78" spans="1:33" x14ac:dyDescent="0.25">
      <c r="A78" s="837" t="s">
        <v>133</v>
      </c>
      <c r="B78" s="837" t="s">
        <v>4962</v>
      </c>
      <c r="C78" s="836">
        <v>1400</v>
      </c>
      <c r="D78" s="836"/>
      <c r="E78" s="836"/>
      <c r="F78" s="836"/>
      <c r="G78" s="496" t="s">
        <v>7789</v>
      </c>
      <c r="H78" s="797" t="str">
        <f>VLOOKUP(G78,SETTINGS!$B$7:$D$97,2,0)</f>
        <v>EKOplus</v>
      </c>
      <c r="I78" s="796">
        <f>VLOOKUP(G78,SETTINGS!$B$7:$D$97,3,0)</f>
        <v>0</v>
      </c>
      <c r="J78" s="670" t="str">
        <f>IFERROR(IF(CURRENCY.FORMAT_1=0,CONCATENATE(TEXT(FIXED(ROUND((C78/EXC.RATE_1),CURRENCY.FORMAT_1),CURRENCY.FORMAT_1,1),"# ##0;-# ##0"),",-"),FIXED(ROUND((C78/EXC.RATE_1),CURRENCY.FORMAT_1),CURRENCY.FORMAT_1,0)),'DICTIONARY-5'!$A$2)</f>
        <v>1 400,-</v>
      </c>
      <c r="K78" s="670" t="str">
        <f>IF(EXC.RATE_2=0,"",IFERROR(IF(CURRENCY.FORMAT_2=0,CONCATENATE(TEXT(FIXED(ROUND(IF(EXC.RATE.SWITCH=1,C78/EXC.RATE_2,C78*EXC.RATE_2),CURRENCY.FORMAT_2),CURRENCY.FORMAT_2,1),"# ##0;-# ##0"),",-"),FIXED(ROUND(IF(EXC.RATE.SWITCH=1,C78/EXC.RATE_2,C78*EXC.RATE_2),CURRENCY.FORMAT_2),CURRENCY.FORMAT_2,0)),'DICTIONARY-5'!$A$2))</f>
        <v/>
      </c>
      <c r="L78" s="670" t="str">
        <f>IFERROR(IF(CURRENCY.FORMAT_1=0,CONCATENATE(TEXT(FIXED(ROUND((C78*(1-I78)*(1-ADD.DISCOUNT)*(1+MAT.SURCHARGE)/EXC.RATE_1),CURRENCY.FORMAT_1),CURRENCY.FORMAT_1,1),"# ##0;-# ##0"),",-"),FIXED(ROUND((C78*(1-I78)*(1-ADD.DISCOUNT)*(1+MAT.SURCHARGE)/EXC.RATE_1),CURRENCY.FORMAT_1),CURRENCY.FORMAT_1,0)),'DICTIONARY-5'!$A$2)</f>
        <v>1 455,-</v>
      </c>
      <c r="M78" s="670" t="str">
        <f>IF(EXC.RATE_2=0,"",IFERROR(IF(CURRENCY.FORMAT_2=0,CONCATENATE(TEXT(FIXED(ROUND(IF(EXC.RATE.SWITCH=1,C78*(1-I78)*(1-ADD.DISCOUNT)*(1+MAT.SURCHARGE)/EXC.RATE_2,C78*(1-I78)*(1-ADD.DISCOUNT)*(1+MAT.SURCHARGE)*EXC.RATE_2),CURRENCY.FORMAT_2),CURRENCY.FORMAT_2,1),"# ##0;-# ##0"),",-"),FIXED(ROUND(IF(EXC.RATE.SWITCH=1,C78*(1-I78)*(1-ADD.DISCOUNT)*(1+MAT.SURCHARGE)/EXC.RATE_2,C78*(1-I78)*(1-ADD.DISCOUNT)*(1+MAT.SURCHARGE)*EXC.RATE_2),CURRENCY.FORMAT_2),CURRENCY.FORMAT_2,0)),'DICTIONARY-5'!$A$2))</f>
        <v/>
      </c>
      <c r="N78" s="496">
        <v>1</v>
      </c>
      <c r="O78" s="496"/>
      <c r="P78" s="731" t="str">
        <f>'DICTIONARY-3'!$A$2</f>
        <v>EKOplus</v>
      </c>
      <c r="Q78" s="732" t="str">
        <f>'DICTIONARY-3'!$A$187</f>
        <v>Zasuwa klinowa</v>
      </c>
      <c r="R78" s="732" t="str">
        <f>CONCATENATE('DICTIONARY-3'!$A$2," ",'DICTIONARY-6'!$A$3," ",'DICTIONARY-2'!$A$2,"300"," ",'DICTIONARY-2'!$A$3,"10"," ","R15",", ",'DICTIONARY-4'!$A$2)</f>
        <v>EKOplus Zasuwa DN300 PN10 R15, WW</v>
      </c>
      <c r="S78" s="733" t="str">
        <f>'DICTIONARY-4'!$A$2</f>
        <v>WW</v>
      </c>
      <c r="T78" s="732" t="str">
        <f>'DICTIONARY-4'!$A$18</f>
        <v>Wolny wałek</v>
      </c>
      <c r="U78" s="734" t="s">
        <v>5752</v>
      </c>
      <c r="V78" s="735">
        <v>10</v>
      </c>
      <c r="W78" s="736"/>
      <c r="X78" s="737"/>
      <c r="Y78" s="738"/>
      <c r="Z78" s="739"/>
      <c r="AA78" s="739"/>
      <c r="AB78" s="740">
        <v>10</v>
      </c>
      <c r="AC78" s="741" t="str">
        <f>'DICTIONARY-5'!$A$11&amp;" 15"</f>
        <v>EN 558 szereg 15</v>
      </c>
      <c r="AD78" s="741" t="str">
        <f>'DICTIONARY-5'!$A$13</f>
        <v>woda pitna</v>
      </c>
      <c r="AE78" s="742">
        <v>50</v>
      </c>
      <c r="AF78" s="743">
        <v>142</v>
      </c>
      <c r="AG78" s="741" t="str">
        <f>'DICTIONARY-5'!$A$23</f>
        <v>powłoka epoksydowa</v>
      </c>
    </row>
    <row r="79" spans="1:33" x14ac:dyDescent="0.25">
      <c r="A79" s="837" t="s">
        <v>135</v>
      </c>
      <c r="B79" s="837" t="s">
        <v>4973</v>
      </c>
      <c r="C79" s="836">
        <v>1398</v>
      </c>
      <c r="D79" s="836"/>
      <c r="E79" s="836"/>
      <c r="F79" s="836"/>
      <c r="G79" s="496" t="s">
        <v>7789</v>
      </c>
      <c r="H79" s="797" t="str">
        <f>VLOOKUP(G79,SETTINGS!$B$7:$D$97,2,0)</f>
        <v>EKOplus</v>
      </c>
      <c r="I79" s="796">
        <f>VLOOKUP(G79,SETTINGS!$B$7:$D$97,3,0)</f>
        <v>0</v>
      </c>
      <c r="J79" s="670" t="str">
        <f>IFERROR(IF(CURRENCY.FORMAT_1=0,CONCATENATE(TEXT(FIXED(ROUND((C79/EXC.RATE_1),CURRENCY.FORMAT_1),CURRENCY.FORMAT_1,1),"# ##0;-# ##0"),",-"),FIXED(ROUND((C79/EXC.RATE_1),CURRENCY.FORMAT_1),CURRENCY.FORMAT_1,0)),'DICTIONARY-5'!$A$2)</f>
        <v>1 398,-</v>
      </c>
      <c r="K79" s="670" t="str">
        <f>IF(EXC.RATE_2=0,"",IFERROR(IF(CURRENCY.FORMAT_2=0,CONCATENATE(TEXT(FIXED(ROUND(IF(EXC.RATE.SWITCH=1,C79/EXC.RATE_2,C79*EXC.RATE_2),CURRENCY.FORMAT_2),CURRENCY.FORMAT_2,1),"# ##0;-# ##0"),",-"),FIXED(ROUND(IF(EXC.RATE.SWITCH=1,C79/EXC.RATE_2,C79*EXC.RATE_2),CURRENCY.FORMAT_2),CURRENCY.FORMAT_2,0)),'DICTIONARY-5'!$A$2))</f>
        <v/>
      </c>
      <c r="L79" s="670" t="str">
        <f>IFERROR(IF(CURRENCY.FORMAT_1=0,CONCATENATE(TEXT(FIXED(ROUND((C79*(1-I79)*(1-ADD.DISCOUNT)*(1+MAT.SURCHARGE)/EXC.RATE_1),CURRENCY.FORMAT_1),CURRENCY.FORMAT_1,1),"# ##0;-# ##0"),",-"),FIXED(ROUND((C79*(1-I79)*(1-ADD.DISCOUNT)*(1+MAT.SURCHARGE)/EXC.RATE_1),CURRENCY.FORMAT_1),CURRENCY.FORMAT_1,0)),'DICTIONARY-5'!$A$2)</f>
        <v>1 453,-</v>
      </c>
      <c r="M79" s="670" t="str">
        <f>IF(EXC.RATE_2=0,"",IFERROR(IF(CURRENCY.FORMAT_2=0,CONCATENATE(TEXT(FIXED(ROUND(IF(EXC.RATE.SWITCH=1,C79*(1-I79)*(1-ADD.DISCOUNT)*(1+MAT.SURCHARGE)/EXC.RATE_2,C79*(1-I79)*(1-ADD.DISCOUNT)*(1+MAT.SURCHARGE)*EXC.RATE_2),CURRENCY.FORMAT_2),CURRENCY.FORMAT_2,1),"# ##0;-# ##0"),",-"),FIXED(ROUND(IF(EXC.RATE.SWITCH=1,C79*(1-I79)*(1-ADD.DISCOUNT)*(1+MAT.SURCHARGE)/EXC.RATE_2,C79*(1-I79)*(1-ADD.DISCOUNT)*(1+MAT.SURCHARGE)*EXC.RATE_2),CURRENCY.FORMAT_2),CURRENCY.FORMAT_2,0)),'DICTIONARY-5'!$A$2))</f>
        <v/>
      </c>
      <c r="N79" s="496">
        <v>1</v>
      </c>
      <c r="O79" s="496"/>
      <c r="P79" s="731" t="str">
        <f>'DICTIONARY-3'!$A$2</f>
        <v>EKOplus</v>
      </c>
      <c r="Q79" s="732" t="str">
        <f>'DICTIONARY-3'!$A$187</f>
        <v>Zasuwa klinowa</v>
      </c>
      <c r="R79" s="732" t="str">
        <f>CONCATENATE('DICTIONARY-3'!$A$2," ",'DICTIONARY-6'!$A$3," ",'DICTIONARY-2'!$A$2,"300"," ",'DICTIONARY-2'!$A$3,"16"," ","R15",", ",'DICTIONARY-4'!$A$2)</f>
        <v>EKOplus Zasuwa DN300 PN16 R15, WW</v>
      </c>
      <c r="S79" s="733" t="str">
        <f>'DICTIONARY-4'!$A$2</f>
        <v>WW</v>
      </c>
      <c r="T79" s="732" t="str">
        <f>'DICTIONARY-4'!$A$18</f>
        <v>Wolny wałek</v>
      </c>
      <c r="U79" s="734" t="s">
        <v>5752</v>
      </c>
      <c r="V79" s="735">
        <v>16</v>
      </c>
      <c r="W79" s="736"/>
      <c r="X79" s="737"/>
      <c r="Y79" s="738"/>
      <c r="Z79" s="739"/>
      <c r="AA79" s="739"/>
      <c r="AB79" s="740">
        <v>16</v>
      </c>
      <c r="AC79" s="741" t="str">
        <f>'DICTIONARY-5'!$A$11&amp;" 15"</f>
        <v>EN 558 szereg 15</v>
      </c>
      <c r="AD79" s="741" t="str">
        <f>'DICTIONARY-5'!$A$13</f>
        <v>woda pitna</v>
      </c>
      <c r="AE79" s="742">
        <v>50</v>
      </c>
      <c r="AF79" s="743">
        <v>138</v>
      </c>
      <c r="AG79" s="741" t="str">
        <f>'DICTIONARY-5'!$A$23</f>
        <v>powłoka epoksydowa</v>
      </c>
    </row>
    <row r="80" spans="1:33" x14ac:dyDescent="0.25">
      <c r="A80" s="837" t="s">
        <v>137</v>
      </c>
      <c r="B80" s="837" t="s">
        <v>4945</v>
      </c>
      <c r="C80" s="836">
        <v>2414</v>
      </c>
      <c r="D80" s="836"/>
      <c r="E80" s="836"/>
      <c r="F80" s="836"/>
      <c r="G80" s="496" t="s">
        <v>7789</v>
      </c>
      <c r="H80" s="797" t="str">
        <f>VLOOKUP(G80,SETTINGS!$B$7:$D$97,2,0)</f>
        <v>EKOplus</v>
      </c>
      <c r="I80" s="796">
        <f>VLOOKUP(G80,SETTINGS!$B$7:$D$97,3,0)</f>
        <v>0</v>
      </c>
      <c r="J80" s="670" t="str">
        <f>IFERROR(IF(CURRENCY.FORMAT_1=0,CONCATENATE(TEXT(FIXED(ROUND((C80/EXC.RATE_1),CURRENCY.FORMAT_1),CURRENCY.FORMAT_1,1),"# ##0;-# ##0"),",-"),FIXED(ROUND((C80/EXC.RATE_1),CURRENCY.FORMAT_1),CURRENCY.FORMAT_1,0)),'DICTIONARY-5'!$A$2)</f>
        <v>2 414,-</v>
      </c>
      <c r="K80" s="670" t="str">
        <f>IF(EXC.RATE_2=0,"",IFERROR(IF(CURRENCY.FORMAT_2=0,CONCATENATE(TEXT(FIXED(ROUND(IF(EXC.RATE.SWITCH=1,C80/EXC.RATE_2,C80*EXC.RATE_2),CURRENCY.FORMAT_2),CURRENCY.FORMAT_2,1),"# ##0;-# ##0"),",-"),FIXED(ROUND(IF(EXC.RATE.SWITCH=1,C80/EXC.RATE_2,C80*EXC.RATE_2),CURRENCY.FORMAT_2),CURRENCY.FORMAT_2,0)),'DICTIONARY-5'!$A$2))</f>
        <v/>
      </c>
      <c r="L80" s="670" t="str">
        <f>IFERROR(IF(CURRENCY.FORMAT_1=0,CONCATENATE(TEXT(FIXED(ROUND((C80*(1-I80)*(1-ADD.DISCOUNT)*(1+MAT.SURCHARGE)/EXC.RATE_1),CURRENCY.FORMAT_1),CURRENCY.FORMAT_1,1),"# ##0;-# ##0"),",-"),FIXED(ROUND((C80*(1-I80)*(1-ADD.DISCOUNT)*(1+MAT.SURCHARGE)/EXC.RATE_1),CURRENCY.FORMAT_1),CURRENCY.FORMAT_1,0)),'DICTIONARY-5'!$A$2)</f>
        <v>2 508,-</v>
      </c>
      <c r="M80" s="670" t="str">
        <f>IF(EXC.RATE_2=0,"",IFERROR(IF(CURRENCY.FORMAT_2=0,CONCATENATE(TEXT(FIXED(ROUND(IF(EXC.RATE.SWITCH=1,C80*(1-I80)*(1-ADD.DISCOUNT)*(1+MAT.SURCHARGE)/EXC.RATE_2,C80*(1-I80)*(1-ADD.DISCOUNT)*(1+MAT.SURCHARGE)*EXC.RATE_2),CURRENCY.FORMAT_2),CURRENCY.FORMAT_2,1),"# ##0;-# ##0"),",-"),FIXED(ROUND(IF(EXC.RATE.SWITCH=1,C80*(1-I80)*(1-ADD.DISCOUNT)*(1+MAT.SURCHARGE)/EXC.RATE_2,C80*(1-I80)*(1-ADD.DISCOUNT)*(1+MAT.SURCHARGE)*EXC.RATE_2),CURRENCY.FORMAT_2),CURRENCY.FORMAT_2,0)),'DICTIONARY-5'!$A$2))</f>
        <v/>
      </c>
      <c r="N80" s="496">
        <v>1</v>
      </c>
      <c r="O80" s="496"/>
      <c r="P80" s="731" t="str">
        <f>'DICTIONARY-3'!$A$2</f>
        <v>EKOplus</v>
      </c>
      <c r="Q80" s="732" t="str">
        <f>'DICTIONARY-3'!$A$187</f>
        <v>Zasuwa klinowa</v>
      </c>
      <c r="R80" s="732" t="str">
        <f>CONCATENATE('DICTIONARY-3'!$A$2," ",'DICTIONARY-6'!$A$3," ",'DICTIONARY-2'!$A$2,"350"," ",'DICTIONARY-2'!$A$3,"10"," ","R15",", ",'DICTIONARY-4'!$A$2)</f>
        <v>EKOplus Zasuwa DN350 PN10 R15, WW</v>
      </c>
      <c r="S80" s="733" t="str">
        <f>'DICTIONARY-4'!$A$2</f>
        <v>WW</v>
      </c>
      <c r="T80" s="732" t="str">
        <f>'DICTIONARY-4'!$A$18</f>
        <v>Wolny wałek</v>
      </c>
      <c r="U80" s="734" t="s">
        <v>5753</v>
      </c>
      <c r="V80" s="735">
        <v>10</v>
      </c>
      <c r="W80" s="736"/>
      <c r="X80" s="737"/>
      <c r="Y80" s="738"/>
      <c r="Z80" s="739"/>
      <c r="AA80" s="739"/>
      <c r="AB80" s="740">
        <v>10</v>
      </c>
      <c r="AC80" s="741" t="str">
        <f>'DICTIONARY-5'!$A$11&amp;" 15"</f>
        <v>EN 558 szereg 15</v>
      </c>
      <c r="AD80" s="741" t="str">
        <f>'DICTIONARY-5'!$A$13</f>
        <v>woda pitna</v>
      </c>
      <c r="AE80" s="742">
        <v>50</v>
      </c>
      <c r="AF80" s="743">
        <v>288.25</v>
      </c>
      <c r="AG80" s="741" t="str">
        <f>'DICTIONARY-5'!$A$23</f>
        <v>powłoka epoksydowa</v>
      </c>
    </row>
    <row r="81" spans="1:33" x14ac:dyDescent="0.25">
      <c r="A81" s="837" t="s">
        <v>139</v>
      </c>
      <c r="B81" s="837" t="s">
        <v>4949</v>
      </c>
      <c r="C81" s="836">
        <v>2387</v>
      </c>
      <c r="D81" s="836"/>
      <c r="E81" s="836"/>
      <c r="F81" s="836"/>
      <c r="G81" s="496" t="s">
        <v>7789</v>
      </c>
      <c r="H81" s="797" t="str">
        <f>VLOOKUP(G81,SETTINGS!$B$7:$D$97,2,0)</f>
        <v>EKOplus</v>
      </c>
      <c r="I81" s="796">
        <f>VLOOKUP(G81,SETTINGS!$B$7:$D$97,3,0)</f>
        <v>0</v>
      </c>
      <c r="J81" s="670" t="str">
        <f>IFERROR(IF(CURRENCY.FORMAT_1=0,CONCATENATE(TEXT(FIXED(ROUND((C81/EXC.RATE_1),CURRENCY.FORMAT_1),CURRENCY.FORMAT_1,1),"# ##0;-# ##0"),",-"),FIXED(ROUND((C81/EXC.RATE_1),CURRENCY.FORMAT_1),CURRENCY.FORMAT_1,0)),'DICTIONARY-5'!$A$2)</f>
        <v>2 387,-</v>
      </c>
      <c r="K81" s="670" t="str">
        <f>IF(EXC.RATE_2=0,"",IFERROR(IF(CURRENCY.FORMAT_2=0,CONCATENATE(TEXT(FIXED(ROUND(IF(EXC.RATE.SWITCH=1,C81/EXC.RATE_2,C81*EXC.RATE_2),CURRENCY.FORMAT_2),CURRENCY.FORMAT_2,1),"# ##0;-# ##0"),",-"),FIXED(ROUND(IF(EXC.RATE.SWITCH=1,C81/EXC.RATE_2,C81*EXC.RATE_2),CURRENCY.FORMAT_2),CURRENCY.FORMAT_2,0)),'DICTIONARY-5'!$A$2))</f>
        <v/>
      </c>
      <c r="L81" s="670" t="str">
        <f>IFERROR(IF(CURRENCY.FORMAT_1=0,CONCATENATE(TEXT(FIXED(ROUND((C81*(1-I81)*(1-ADD.DISCOUNT)*(1+MAT.SURCHARGE)/EXC.RATE_1),CURRENCY.FORMAT_1),CURRENCY.FORMAT_1,1),"# ##0;-# ##0"),",-"),FIXED(ROUND((C81*(1-I81)*(1-ADD.DISCOUNT)*(1+MAT.SURCHARGE)/EXC.RATE_1),CURRENCY.FORMAT_1),CURRENCY.FORMAT_1,0)),'DICTIONARY-5'!$A$2)</f>
        <v>2 480,-</v>
      </c>
      <c r="M81" s="670" t="str">
        <f>IF(EXC.RATE_2=0,"",IFERROR(IF(CURRENCY.FORMAT_2=0,CONCATENATE(TEXT(FIXED(ROUND(IF(EXC.RATE.SWITCH=1,C81*(1-I81)*(1-ADD.DISCOUNT)*(1+MAT.SURCHARGE)/EXC.RATE_2,C81*(1-I81)*(1-ADD.DISCOUNT)*(1+MAT.SURCHARGE)*EXC.RATE_2),CURRENCY.FORMAT_2),CURRENCY.FORMAT_2,1),"# ##0;-# ##0"),",-"),FIXED(ROUND(IF(EXC.RATE.SWITCH=1,C81*(1-I81)*(1-ADD.DISCOUNT)*(1+MAT.SURCHARGE)/EXC.RATE_2,C81*(1-I81)*(1-ADD.DISCOUNT)*(1+MAT.SURCHARGE)*EXC.RATE_2),CURRENCY.FORMAT_2),CURRENCY.FORMAT_2,0)),'DICTIONARY-5'!$A$2))</f>
        <v/>
      </c>
      <c r="N81" s="496">
        <v>1</v>
      </c>
      <c r="O81" s="496"/>
      <c r="P81" s="731" t="str">
        <f>'DICTIONARY-3'!$A$2</f>
        <v>EKOplus</v>
      </c>
      <c r="Q81" s="732" t="str">
        <f>'DICTIONARY-3'!$A$187</f>
        <v>Zasuwa klinowa</v>
      </c>
      <c r="R81" s="732" t="str">
        <f>CONCATENATE('DICTIONARY-3'!$A$2," ",'DICTIONARY-6'!$A$3," ",'DICTIONARY-2'!$A$2,"350"," ",'DICTIONARY-2'!$A$3,"16"," ","R15",", ",'DICTIONARY-4'!$A$2)</f>
        <v>EKOplus Zasuwa DN350 PN16 R15, WW</v>
      </c>
      <c r="S81" s="733" t="str">
        <f>'DICTIONARY-4'!$A$2</f>
        <v>WW</v>
      </c>
      <c r="T81" s="732" t="str">
        <f>'DICTIONARY-4'!$A$18</f>
        <v>Wolny wałek</v>
      </c>
      <c r="U81" s="734" t="s">
        <v>5753</v>
      </c>
      <c r="V81" s="735">
        <v>16</v>
      </c>
      <c r="W81" s="736"/>
      <c r="X81" s="737"/>
      <c r="Y81" s="738"/>
      <c r="Z81" s="739"/>
      <c r="AA81" s="739"/>
      <c r="AB81" s="740">
        <v>16</v>
      </c>
      <c r="AC81" s="741" t="str">
        <f>'DICTIONARY-5'!$A$11&amp;" 15"</f>
        <v>EN 558 szereg 15</v>
      </c>
      <c r="AD81" s="741" t="str">
        <f>'DICTIONARY-5'!$A$13</f>
        <v>woda pitna</v>
      </c>
      <c r="AE81" s="742">
        <v>50</v>
      </c>
      <c r="AF81" s="743">
        <v>289</v>
      </c>
      <c r="AG81" s="741" t="str">
        <f>'DICTIONARY-5'!$A$23</f>
        <v>powłoka epoksydowa</v>
      </c>
    </row>
    <row r="82" spans="1:33" x14ac:dyDescent="0.25">
      <c r="A82" s="837" t="s">
        <v>141</v>
      </c>
      <c r="B82" s="837" t="s">
        <v>4946</v>
      </c>
      <c r="C82" s="836">
        <v>3060</v>
      </c>
      <c r="D82" s="836"/>
      <c r="E82" s="836"/>
      <c r="F82" s="836"/>
      <c r="G82" s="496" t="s">
        <v>7789</v>
      </c>
      <c r="H82" s="797" t="str">
        <f>VLOOKUP(G82,SETTINGS!$B$7:$D$97,2,0)</f>
        <v>EKOplus</v>
      </c>
      <c r="I82" s="796">
        <f>VLOOKUP(G82,SETTINGS!$B$7:$D$97,3,0)</f>
        <v>0</v>
      </c>
      <c r="J82" s="670" t="str">
        <f>IFERROR(IF(CURRENCY.FORMAT_1=0,CONCATENATE(TEXT(FIXED(ROUND((C82/EXC.RATE_1),CURRENCY.FORMAT_1),CURRENCY.FORMAT_1,1),"# ##0;-# ##0"),",-"),FIXED(ROUND((C82/EXC.RATE_1),CURRENCY.FORMAT_1),CURRENCY.FORMAT_1,0)),'DICTIONARY-5'!$A$2)</f>
        <v>3 060,-</v>
      </c>
      <c r="K82" s="670" t="str">
        <f>IF(EXC.RATE_2=0,"",IFERROR(IF(CURRENCY.FORMAT_2=0,CONCATENATE(TEXT(FIXED(ROUND(IF(EXC.RATE.SWITCH=1,C82/EXC.RATE_2,C82*EXC.RATE_2),CURRENCY.FORMAT_2),CURRENCY.FORMAT_2,1),"# ##0;-# ##0"),",-"),FIXED(ROUND(IF(EXC.RATE.SWITCH=1,C82/EXC.RATE_2,C82*EXC.RATE_2),CURRENCY.FORMAT_2),CURRENCY.FORMAT_2,0)),'DICTIONARY-5'!$A$2))</f>
        <v/>
      </c>
      <c r="L82" s="670" t="str">
        <f>IFERROR(IF(CURRENCY.FORMAT_1=0,CONCATENATE(TEXT(FIXED(ROUND((C82*(1-I82)*(1-ADD.DISCOUNT)*(1+MAT.SURCHARGE)/EXC.RATE_1),CURRENCY.FORMAT_1),CURRENCY.FORMAT_1,1),"# ##0;-# ##0"),",-"),FIXED(ROUND((C82*(1-I82)*(1-ADD.DISCOUNT)*(1+MAT.SURCHARGE)/EXC.RATE_1),CURRENCY.FORMAT_1),CURRENCY.FORMAT_1,0)),'DICTIONARY-5'!$A$2)</f>
        <v>3 179,-</v>
      </c>
      <c r="M82" s="670" t="str">
        <f>IF(EXC.RATE_2=0,"",IFERROR(IF(CURRENCY.FORMAT_2=0,CONCATENATE(TEXT(FIXED(ROUND(IF(EXC.RATE.SWITCH=1,C82*(1-I82)*(1-ADD.DISCOUNT)*(1+MAT.SURCHARGE)/EXC.RATE_2,C82*(1-I82)*(1-ADD.DISCOUNT)*(1+MAT.SURCHARGE)*EXC.RATE_2),CURRENCY.FORMAT_2),CURRENCY.FORMAT_2,1),"# ##0;-# ##0"),",-"),FIXED(ROUND(IF(EXC.RATE.SWITCH=1,C82*(1-I82)*(1-ADD.DISCOUNT)*(1+MAT.SURCHARGE)/EXC.RATE_2,C82*(1-I82)*(1-ADD.DISCOUNT)*(1+MAT.SURCHARGE)*EXC.RATE_2),CURRENCY.FORMAT_2),CURRENCY.FORMAT_2,0)),'DICTIONARY-5'!$A$2))</f>
        <v/>
      </c>
      <c r="N82" s="496">
        <v>1</v>
      </c>
      <c r="O82" s="496"/>
      <c r="P82" s="731" t="str">
        <f>'DICTIONARY-3'!$A$2</f>
        <v>EKOplus</v>
      </c>
      <c r="Q82" s="732" t="str">
        <f>'DICTIONARY-3'!$A$187</f>
        <v>Zasuwa klinowa</v>
      </c>
      <c r="R82" s="732" t="str">
        <f>CONCATENATE('DICTIONARY-3'!$A$2," ",'DICTIONARY-6'!$A$3," ",'DICTIONARY-2'!$A$2,"400"," ",'DICTIONARY-2'!$A$3,"10"," ","R15",", ",'DICTIONARY-4'!$A$2)</f>
        <v>EKOplus Zasuwa DN400 PN10 R15, WW</v>
      </c>
      <c r="S82" s="733" t="str">
        <f>'DICTIONARY-4'!$A$2</f>
        <v>WW</v>
      </c>
      <c r="T82" s="732" t="str">
        <f>'DICTIONARY-4'!$A$18</f>
        <v>Wolny wałek</v>
      </c>
      <c r="U82" s="734" t="s">
        <v>5754</v>
      </c>
      <c r="V82" s="735">
        <v>10</v>
      </c>
      <c r="W82" s="736"/>
      <c r="X82" s="737"/>
      <c r="Y82" s="738"/>
      <c r="Z82" s="739"/>
      <c r="AA82" s="739"/>
      <c r="AB82" s="740">
        <v>10</v>
      </c>
      <c r="AC82" s="741" t="str">
        <f>'DICTIONARY-5'!$A$11&amp;" 15"</f>
        <v>EN 558 szereg 15</v>
      </c>
      <c r="AD82" s="741" t="str">
        <f>'DICTIONARY-5'!$A$13</f>
        <v>woda pitna</v>
      </c>
      <c r="AE82" s="742">
        <v>50</v>
      </c>
      <c r="AF82" s="743">
        <v>346</v>
      </c>
      <c r="AG82" s="741" t="str">
        <f>'DICTIONARY-5'!$A$23</f>
        <v>powłoka epoksydowa</v>
      </c>
    </row>
    <row r="83" spans="1:33" x14ac:dyDescent="0.25">
      <c r="A83" s="837" t="s">
        <v>144</v>
      </c>
      <c r="B83" s="837" t="s">
        <v>4950</v>
      </c>
      <c r="C83" s="836">
        <v>3056</v>
      </c>
      <c r="D83" s="836"/>
      <c r="E83" s="836"/>
      <c r="F83" s="836"/>
      <c r="G83" s="496" t="s">
        <v>7789</v>
      </c>
      <c r="H83" s="797" t="str">
        <f>VLOOKUP(G83,SETTINGS!$B$7:$D$97,2,0)</f>
        <v>EKOplus</v>
      </c>
      <c r="I83" s="796">
        <f>VLOOKUP(G83,SETTINGS!$B$7:$D$97,3,0)</f>
        <v>0</v>
      </c>
      <c r="J83" s="670" t="str">
        <f>IFERROR(IF(CURRENCY.FORMAT_1=0,CONCATENATE(TEXT(FIXED(ROUND((C83/EXC.RATE_1),CURRENCY.FORMAT_1),CURRENCY.FORMAT_1,1),"# ##0;-# ##0"),",-"),FIXED(ROUND((C83/EXC.RATE_1),CURRENCY.FORMAT_1),CURRENCY.FORMAT_1,0)),'DICTIONARY-5'!$A$2)</f>
        <v>3 056,-</v>
      </c>
      <c r="K83" s="670" t="str">
        <f>IF(EXC.RATE_2=0,"",IFERROR(IF(CURRENCY.FORMAT_2=0,CONCATENATE(TEXT(FIXED(ROUND(IF(EXC.RATE.SWITCH=1,C83/EXC.RATE_2,C83*EXC.RATE_2),CURRENCY.FORMAT_2),CURRENCY.FORMAT_2,1),"# ##0;-# ##0"),",-"),FIXED(ROUND(IF(EXC.RATE.SWITCH=1,C83/EXC.RATE_2,C83*EXC.RATE_2),CURRENCY.FORMAT_2),CURRENCY.FORMAT_2,0)),'DICTIONARY-5'!$A$2))</f>
        <v/>
      </c>
      <c r="L83" s="670" t="str">
        <f>IFERROR(IF(CURRENCY.FORMAT_1=0,CONCATENATE(TEXT(FIXED(ROUND((C83*(1-I83)*(1-ADD.DISCOUNT)*(1+MAT.SURCHARGE)/EXC.RATE_1),CURRENCY.FORMAT_1),CURRENCY.FORMAT_1,1),"# ##0;-# ##0"),",-"),FIXED(ROUND((C83*(1-I83)*(1-ADD.DISCOUNT)*(1+MAT.SURCHARGE)/EXC.RATE_1),CURRENCY.FORMAT_1),CURRENCY.FORMAT_1,0)),'DICTIONARY-5'!$A$2)</f>
        <v>3 175,-</v>
      </c>
      <c r="M83" s="670" t="str">
        <f>IF(EXC.RATE_2=0,"",IFERROR(IF(CURRENCY.FORMAT_2=0,CONCATENATE(TEXT(FIXED(ROUND(IF(EXC.RATE.SWITCH=1,C83*(1-I83)*(1-ADD.DISCOUNT)*(1+MAT.SURCHARGE)/EXC.RATE_2,C83*(1-I83)*(1-ADD.DISCOUNT)*(1+MAT.SURCHARGE)*EXC.RATE_2),CURRENCY.FORMAT_2),CURRENCY.FORMAT_2,1),"# ##0;-# ##0"),",-"),FIXED(ROUND(IF(EXC.RATE.SWITCH=1,C83*(1-I83)*(1-ADD.DISCOUNT)*(1+MAT.SURCHARGE)/EXC.RATE_2,C83*(1-I83)*(1-ADD.DISCOUNT)*(1+MAT.SURCHARGE)*EXC.RATE_2),CURRENCY.FORMAT_2),CURRENCY.FORMAT_2,0)),'DICTIONARY-5'!$A$2))</f>
        <v/>
      </c>
      <c r="N83" s="496">
        <v>1</v>
      </c>
      <c r="O83" s="496"/>
      <c r="P83" s="731" t="str">
        <f>'DICTIONARY-3'!$A$2</f>
        <v>EKOplus</v>
      </c>
      <c r="Q83" s="732" t="str">
        <f>'DICTIONARY-3'!$A$187</f>
        <v>Zasuwa klinowa</v>
      </c>
      <c r="R83" s="732" t="str">
        <f>CONCATENATE('DICTIONARY-3'!$A$2," ",'DICTIONARY-6'!$A$3," ",'DICTIONARY-2'!$A$2,"400"," ",'DICTIONARY-2'!$A$3,"16"," ","R15",", ",'DICTIONARY-4'!$A$2)</f>
        <v>EKOplus Zasuwa DN400 PN16 R15, WW</v>
      </c>
      <c r="S83" s="733" t="str">
        <f>'DICTIONARY-4'!$A$2</f>
        <v>WW</v>
      </c>
      <c r="T83" s="732" t="str">
        <f>'DICTIONARY-4'!$A$18</f>
        <v>Wolny wałek</v>
      </c>
      <c r="U83" s="734" t="s">
        <v>5754</v>
      </c>
      <c r="V83" s="735">
        <v>16</v>
      </c>
      <c r="W83" s="736"/>
      <c r="X83" s="737"/>
      <c r="Y83" s="738"/>
      <c r="Z83" s="739"/>
      <c r="AA83" s="739"/>
      <c r="AB83" s="740">
        <v>16</v>
      </c>
      <c r="AC83" s="741" t="str">
        <f>'DICTIONARY-5'!$A$11&amp;" 15"</f>
        <v>EN 558 szereg 15</v>
      </c>
      <c r="AD83" s="741" t="str">
        <f>'DICTIONARY-5'!$A$13</f>
        <v>woda pitna</v>
      </c>
      <c r="AE83" s="742">
        <v>50</v>
      </c>
      <c r="AF83" s="743">
        <v>351.5</v>
      </c>
      <c r="AG83" s="741" t="str">
        <f>'DICTIONARY-5'!$A$23</f>
        <v>powłoka epoksydowa</v>
      </c>
    </row>
    <row r="84" spans="1:33" x14ac:dyDescent="0.25">
      <c r="A84" s="837" t="s">
        <v>146</v>
      </c>
      <c r="B84" s="837" t="s">
        <v>4947</v>
      </c>
      <c r="C84" s="836">
        <v>5087</v>
      </c>
      <c r="D84" s="836"/>
      <c r="E84" s="836"/>
      <c r="F84" s="836"/>
      <c r="G84" s="496" t="s">
        <v>7789</v>
      </c>
      <c r="H84" s="797" t="str">
        <f>VLOOKUP(G84,SETTINGS!$B$7:$D$97,2,0)</f>
        <v>EKOplus</v>
      </c>
      <c r="I84" s="796">
        <f>VLOOKUP(G84,SETTINGS!$B$7:$D$97,3,0)</f>
        <v>0</v>
      </c>
      <c r="J84" s="670" t="str">
        <f>IFERROR(IF(CURRENCY.FORMAT_1=0,CONCATENATE(TEXT(FIXED(ROUND((C84/EXC.RATE_1),CURRENCY.FORMAT_1),CURRENCY.FORMAT_1,1),"# ##0;-# ##0"),",-"),FIXED(ROUND((C84/EXC.RATE_1),CURRENCY.FORMAT_1),CURRENCY.FORMAT_1,0)),'DICTIONARY-5'!$A$2)</f>
        <v>5 087,-</v>
      </c>
      <c r="K84" s="670" t="str">
        <f>IF(EXC.RATE_2=0,"",IFERROR(IF(CURRENCY.FORMAT_2=0,CONCATENATE(TEXT(FIXED(ROUND(IF(EXC.RATE.SWITCH=1,C84/EXC.RATE_2,C84*EXC.RATE_2),CURRENCY.FORMAT_2),CURRENCY.FORMAT_2,1),"# ##0;-# ##0"),",-"),FIXED(ROUND(IF(EXC.RATE.SWITCH=1,C84/EXC.RATE_2,C84*EXC.RATE_2),CURRENCY.FORMAT_2),CURRENCY.FORMAT_2,0)),'DICTIONARY-5'!$A$2))</f>
        <v/>
      </c>
      <c r="L84" s="670" t="str">
        <f>IFERROR(IF(CURRENCY.FORMAT_1=0,CONCATENATE(TEXT(FIXED(ROUND((C84*(1-I84)*(1-ADD.DISCOUNT)*(1+MAT.SURCHARGE)/EXC.RATE_1),CURRENCY.FORMAT_1),CURRENCY.FORMAT_1,1),"# ##0;-# ##0"),",-"),FIXED(ROUND((C84*(1-I84)*(1-ADD.DISCOUNT)*(1+MAT.SURCHARGE)/EXC.RATE_1),CURRENCY.FORMAT_1),CURRENCY.FORMAT_1,0)),'DICTIONARY-5'!$A$2)</f>
        <v>5 285,-</v>
      </c>
      <c r="M84" s="670" t="str">
        <f>IF(EXC.RATE_2=0,"",IFERROR(IF(CURRENCY.FORMAT_2=0,CONCATENATE(TEXT(FIXED(ROUND(IF(EXC.RATE.SWITCH=1,C84*(1-I84)*(1-ADD.DISCOUNT)*(1+MAT.SURCHARGE)/EXC.RATE_2,C84*(1-I84)*(1-ADD.DISCOUNT)*(1+MAT.SURCHARGE)*EXC.RATE_2),CURRENCY.FORMAT_2),CURRENCY.FORMAT_2,1),"# ##0;-# ##0"),",-"),FIXED(ROUND(IF(EXC.RATE.SWITCH=1,C84*(1-I84)*(1-ADD.DISCOUNT)*(1+MAT.SURCHARGE)/EXC.RATE_2,C84*(1-I84)*(1-ADD.DISCOUNT)*(1+MAT.SURCHARGE)*EXC.RATE_2),CURRENCY.FORMAT_2),CURRENCY.FORMAT_2,0)),'DICTIONARY-5'!$A$2))</f>
        <v/>
      </c>
      <c r="N84" s="496">
        <v>1</v>
      </c>
      <c r="O84" s="496"/>
      <c r="P84" s="731" t="str">
        <f>'DICTIONARY-3'!$A$2</f>
        <v>EKOplus</v>
      </c>
      <c r="Q84" s="732" t="str">
        <f>'DICTIONARY-3'!$A$187</f>
        <v>Zasuwa klinowa</v>
      </c>
      <c r="R84" s="732" t="str">
        <f>CONCATENATE('DICTIONARY-3'!$A$2," ",'DICTIONARY-6'!$A$3," ",'DICTIONARY-2'!$A$2,"500"," ",'DICTIONARY-2'!$A$3,"10"," ","R15",", ",'DICTIONARY-4'!$A$2)</f>
        <v>EKOplus Zasuwa DN500 PN10 R15, WW</v>
      </c>
      <c r="S84" s="733" t="str">
        <f>'DICTIONARY-4'!$A$2</f>
        <v>WW</v>
      </c>
      <c r="T84" s="732" t="str">
        <f>'DICTIONARY-4'!$A$18</f>
        <v>Wolny wałek</v>
      </c>
      <c r="U84" s="734" t="s">
        <v>5756</v>
      </c>
      <c r="V84" s="735">
        <v>10</v>
      </c>
      <c r="W84" s="736"/>
      <c r="X84" s="737"/>
      <c r="Y84" s="738"/>
      <c r="Z84" s="739"/>
      <c r="AA84" s="739"/>
      <c r="AB84" s="740">
        <v>10</v>
      </c>
      <c r="AC84" s="741" t="str">
        <f>'DICTIONARY-5'!$A$11&amp;" 15"</f>
        <v>EN 558 szereg 15</v>
      </c>
      <c r="AD84" s="741" t="str">
        <f>'DICTIONARY-5'!$A$13</f>
        <v>woda pitna</v>
      </c>
      <c r="AE84" s="742">
        <v>50</v>
      </c>
      <c r="AF84" s="743">
        <v>512.5</v>
      </c>
      <c r="AG84" s="741" t="str">
        <f>'DICTIONARY-5'!$A$23</f>
        <v>powłoka epoksydowa</v>
      </c>
    </row>
    <row r="85" spans="1:33" x14ac:dyDescent="0.25">
      <c r="A85" s="837" t="s">
        <v>148</v>
      </c>
      <c r="B85" s="837" t="s">
        <v>4951</v>
      </c>
      <c r="C85" s="836">
        <v>5263</v>
      </c>
      <c r="D85" s="836"/>
      <c r="E85" s="836"/>
      <c r="F85" s="836"/>
      <c r="G85" s="496" t="s">
        <v>7789</v>
      </c>
      <c r="H85" s="797" t="str">
        <f>VLOOKUP(G85,SETTINGS!$B$7:$D$97,2,0)</f>
        <v>EKOplus</v>
      </c>
      <c r="I85" s="796">
        <f>VLOOKUP(G85,SETTINGS!$B$7:$D$97,3,0)</f>
        <v>0</v>
      </c>
      <c r="J85" s="670" t="str">
        <f>IFERROR(IF(CURRENCY.FORMAT_1=0,CONCATENATE(TEXT(FIXED(ROUND((C85/EXC.RATE_1),CURRENCY.FORMAT_1),CURRENCY.FORMAT_1,1),"# ##0;-# ##0"),",-"),FIXED(ROUND((C85/EXC.RATE_1),CURRENCY.FORMAT_1),CURRENCY.FORMAT_1,0)),'DICTIONARY-5'!$A$2)</f>
        <v>5 263,-</v>
      </c>
      <c r="K85" s="670" t="str">
        <f>IF(EXC.RATE_2=0,"",IFERROR(IF(CURRENCY.FORMAT_2=0,CONCATENATE(TEXT(FIXED(ROUND(IF(EXC.RATE.SWITCH=1,C85/EXC.RATE_2,C85*EXC.RATE_2),CURRENCY.FORMAT_2),CURRENCY.FORMAT_2,1),"# ##0;-# ##0"),",-"),FIXED(ROUND(IF(EXC.RATE.SWITCH=1,C85/EXC.RATE_2,C85*EXC.RATE_2),CURRENCY.FORMAT_2),CURRENCY.FORMAT_2,0)),'DICTIONARY-5'!$A$2))</f>
        <v/>
      </c>
      <c r="L85" s="670" t="str">
        <f>IFERROR(IF(CURRENCY.FORMAT_1=0,CONCATENATE(TEXT(FIXED(ROUND((C85*(1-I85)*(1-ADD.DISCOUNT)*(1+MAT.SURCHARGE)/EXC.RATE_1),CURRENCY.FORMAT_1),CURRENCY.FORMAT_1,1),"# ##0;-# ##0"),",-"),FIXED(ROUND((C85*(1-I85)*(1-ADD.DISCOUNT)*(1+MAT.SURCHARGE)/EXC.RATE_1),CURRENCY.FORMAT_1),CURRENCY.FORMAT_1,0)),'DICTIONARY-5'!$A$2)</f>
        <v>5 468,-</v>
      </c>
      <c r="M85" s="670" t="str">
        <f>IF(EXC.RATE_2=0,"",IFERROR(IF(CURRENCY.FORMAT_2=0,CONCATENATE(TEXT(FIXED(ROUND(IF(EXC.RATE.SWITCH=1,C85*(1-I85)*(1-ADD.DISCOUNT)*(1+MAT.SURCHARGE)/EXC.RATE_2,C85*(1-I85)*(1-ADD.DISCOUNT)*(1+MAT.SURCHARGE)*EXC.RATE_2),CURRENCY.FORMAT_2),CURRENCY.FORMAT_2,1),"# ##0;-# ##0"),",-"),FIXED(ROUND(IF(EXC.RATE.SWITCH=1,C85*(1-I85)*(1-ADD.DISCOUNT)*(1+MAT.SURCHARGE)/EXC.RATE_2,C85*(1-I85)*(1-ADD.DISCOUNT)*(1+MAT.SURCHARGE)*EXC.RATE_2),CURRENCY.FORMAT_2),CURRENCY.FORMAT_2,0)),'DICTIONARY-5'!$A$2))</f>
        <v/>
      </c>
      <c r="N85" s="496">
        <v>1</v>
      </c>
      <c r="O85" s="496"/>
      <c r="P85" s="731" t="str">
        <f>'DICTIONARY-3'!$A$2</f>
        <v>EKOplus</v>
      </c>
      <c r="Q85" s="732" t="str">
        <f>'DICTIONARY-3'!$A$187</f>
        <v>Zasuwa klinowa</v>
      </c>
      <c r="R85" s="732" t="str">
        <f>CONCATENATE('DICTIONARY-3'!$A$2," ",'DICTIONARY-6'!$A$3," ",'DICTIONARY-2'!$A$2,"500"," ",'DICTIONARY-2'!$A$3,"16"," ","R15",", ",'DICTIONARY-4'!$A$2)</f>
        <v>EKOplus Zasuwa DN500 PN16 R15, WW</v>
      </c>
      <c r="S85" s="733" t="str">
        <f>'DICTIONARY-4'!$A$2</f>
        <v>WW</v>
      </c>
      <c r="T85" s="732" t="str">
        <f>'DICTIONARY-4'!$A$18</f>
        <v>Wolny wałek</v>
      </c>
      <c r="U85" s="734" t="s">
        <v>5756</v>
      </c>
      <c r="V85" s="735">
        <v>16</v>
      </c>
      <c r="W85" s="736"/>
      <c r="X85" s="737"/>
      <c r="Y85" s="738"/>
      <c r="Z85" s="739"/>
      <c r="AA85" s="739"/>
      <c r="AB85" s="740">
        <v>16</v>
      </c>
      <c r="AC85" s="741" t="str">
        <f>'DICTIONARY-5'!$A$11&amp;" 15"</f>
        <v>EN 558 szereg 15</v>
      </c>
      <c r="AD85" s="741" t="str">
        <f>'DICTIONARY-5'!$A$13</f>
        <v>woda pitna</v>
      </c>
      <c r="AE85" s="742">
        <v>50</v>
      </c>
      <c r="AF85" s="743">
        <v>535</v>
      </c>
      <c r="AG85" s="741" t="str">
        <f>'DICTIONARY-5'!$A$23</f>
        <v>powłoka epoksydowa</v>
      </c>
    </row>
    <row r="86" spans="1:33" x14ac:dyDescent="0.25">
      <c r="A86" s="837" t="s">
        <v>150</v>
      </c>
      <c r="B86" s="837" t="s">
        <v>4948</v>
      </c>
      <c r="C86" s="836">
        <v>5394</v>
      </c>
      <c r="D86" s="836"/>
      <c r="E86" s="836"/>
      <c r="F86" s="836"/>
      <c r="G86" s="496" t="s">
        <v>7789</v>
      </c>
      <c r="H86" s="797" t="str">
        <f>VLOOKUP(G86,SETTINGS!$B$7:$D$97,2,0)</f>
        <v>EKOplus</v>
      </c>
      <c r="I86" s="796">
        <f>VLOOKUP(G86,SETTINGS!$B$7:$D$97,3,0)</f>
        <v>0</v>
      </c>
      <c r="J86" s="670" t="str">
        <f>IFERROR(IF(CURRENCY.FORMAT_1=0,CONCATENATE(TEXT(FIXED(ROUND((C86/EXC.RATE_1),CURRENCY.FORMAT_1),CURRENCY.FORMAT_1,1),"# ##0;-# ##0"),",-"),FIXED(ROUND((C86/EXC.RATE_1),CURRENCY.FORMAT_1),CURRENCY.FORMAT_1,0)),'DICTIONARY-5'!$A$2)</f>
        <v>5 394,-</v>
      </c>
      <c r="K86" s="670" t="str">
        <f>IF(EXC.RATE_2=0,"",IFERROR(IF(CURRENCY.FORMAT_2=0,CONCATENATE(TEXT(FIXED(ROUND(IF(EXC.RATE.SWITCH=1,C86/EXC.RATE_2,C86*EXC.RATE_2),CURRENCY.FORMAT_2),CURRENCY.FORMAT_2,1),"# ##0;-# ##0"),",-"),FIXED(ROUND(IF(EXC.RATE.SWITCH=1,C86/EXC.RATE_2,C86*EXC.RATE_2),CURRENCY.FORMAT_2),CURRENCY.FORMAT_2,0)),'DICTIONARY-5'!$A$2))</f>
        <v/>
      </c>
      <c r="L86" s="670" t="str">
        <f>IFERROR(IF(CURRENCY.FORMAT_1=0,CONCATENATE(TEXT(FIXED(ROUND((C86*(1-I86)*(1-ADD.DISCOUNT)*(1+MAT.SURCHARGE)/EXC.RATE_1),CURRENCY.FORMAT_1),CURRENCY.FORMAT_1,1),"# ##0;-# ##0"),",-"),FIXED(ROUND((C86*(1-I86)*(1-ADD.DISCOUNT)*(1+MAT.SURCHARGE)/EXC.RATE_1),CURRENCY.FORMAT_1),CURRENCY.FORMAT_1,0)),'DICTIONARY-5'!$A$2)</f>
        <v>5 604,-</v>
      </c>
      <c r="M86" s="670" t="str">
        <f>IF(EXC.RATE_2=0,"",IFERROR(IF(CURRENCY.FORMAT_2=0,CONCATENATE(TEXT(FIXED(ROUND(IF(EXC.RATE.SWITCH=1,C86*(1-I86)*(1-ADD.DISCOUNT)*(1+MAT.SURCHARGE)/EXC.RATE_2,C86*(1-I86)*(1-ADD.DISCOUNT)*(1+MAT.SURCHARGE)*EXC.RATE_2),CURRENCY.FORMAT_2),CURRENCY.FORMAT_2,1),"# ##0;-# ##0"),",-"),FIXED(ROUND(IF(EXC.RATE.SWITCH=1,C86*(1-I86)*(1-ADD.DISCOUNT)*(1+MAT.SURCHARGE)/EXC.RATE_2,C86*(1-I86)*(1-ADD.DISCOUNT)*(1+MAT.SURCHARGE)*EXC.RATE_2),CURRENCY.FORMAT_2),CURRENCY.FORMAT_2,0)),'DICTIONARY-5'!$A$2))</f>
        <v/>
      </c>
      <c r="N86" s="496">
        <v>1</v>
      </c>
      <c r="O86" s="496"/>
      <c r="P86" s="731" t="str">
        <f>'DICTIONARY-3'!$A$2</f>
        <v>EKOplus</v>
      </c>
      <c r="Q86" s="732" t="str">
        <f>'DICTIONARY-3'!$A$187</f>
        <v>Zasuwa klinowa</v>
      </c>
      <c r="R86" s="732" t="str">
        <f>CONCATENATE('DICTIONARY-3'!$A$2," ",'DICTIONARY-6'!$A$3," ",'DICTIONARY-2'!$A$2,"600/",'DICTIONARY-6'!$A$46,'DICTIONARY-2'!$A$2,"500"," ",'DICTIONARY-2'!$A$3,"10"," ","R15",", ",'DICTIONARY-4'!$A$2)</f>
        <v>EKOplus Zasuwa DN600/reduk.DN500 PN10 R15, WW</v>
      </c>
      <c r="S86" s="733" t="str">
        <f>'DICTIONARY-4'!$A$2</f>
        <v>WW</v>
      </c>
      <c r="T86" s="732" t="str">
        <f>'DICTIONARY-4'!$A$18</f>
        <v>Wolny wałek</v>
      </c>
      <c r="U86" s="734" t="s">
        <v>5757</v>
      </c>
      <c r="V86" s="735">
        <v>10</v>
      </c>
      <c r="W86" s="736"/>
      <c r="X86" s="737"/>
      <c r="Y86" s="738"/>
      <c r="Z86" s="739"/>
      <c r="AA86" s="739"/>
      <c r="AB86" s="740">
        <v>10</v>
      </c>
      <c r="AC86" s="741" t="str">
        <f>'DICTIONARY-5'!$A$11&amp;" 15"</f>
        <v>EN 558 szereg 15</v>
      </c>
      <c r="AD86" s="741" t="str">
        <f>'DICTIONARY-5'!$A$13</f>
        <v>woda pitna</v>
      </c>
      <c r="AE86" s="742">
        <v>50</v>
      </c>
      <c r="AF86" s="743">
        <v>596</v>
      </c>
      <c r="AG86" s="741" t="str">
        <f>'DICTIONARY-5'!$A$23</f>
        <v>powłoka epoksydowa</v>
      </c>
    </row>
    <row r="87" spans="1:33" x14ac:dyDescent="0.25">
      <c r="A87" s="837" t="s">
        <v>151</v>
      </c>
      <c r="B87" s="837" t="s">
        <v>4952</v>
      </c>
      <c r="C87" s="836">
        <v>6062</v>
      </c>
      <c r="D87" s="836"/>
      <c r="E87" s="836"/>
      <c r="F87" s="836"/>
      <c r="G87" s="496" t="s">
        <v>7789</v>
      </c>
      <c r="H87" s="797" t="str">
        <f>VLOOKUP(G87,SETTINGS!$B$7:$D$97,2,0)</f>
        <v>EKOplus</v>
      </c>
      <c r="I87" s="796">
        <f>VLOOKUP(G87,SETTINGS!$B$7:$D$97,3,0)</f>
        <v>0</v>
      </c>
      <c r="J87" s="670" t="str">
        <f>IFERROR(IF(CURRENCY.FORMAT_1=0,CONCATENATE(TEXT(FIXED(ROUND((C87/EXC.RATE_1),CURRENCY.FORMAT_1),CURRENCY.FORMAT_1,1),"# ##0;-# ##0"),",-"),FIXED(ROUND((C87/EXC.RATE_1),CURRENCY.FORMAT_1),CURRENCY.FORMAT_1,0)),'DICTIONARY-5'!$A$2)</f>
        <v>6 062,-</v>
      </c>
      <c r="K87" s="670" t="str">
        <f>IF(EXC.RATE_2=0,"",IFERROR(IF(CURRENCY.FORMAT_2=0,CONCATENATE(TEXT(FIXED(ROUND(IF(EXC.RATE.SWITCH=1,C87/EXC.RATE_2,C87*EXC.RATE_2),CURRENCY.FORMAT_2),CURRENCY.FORMAT_2,1),"# ##0;-# ##0"),",-"),FIXED(ROUND(IF(EXC.RATE.SWITCH=1,C87/EXC.RATE_2,C87*EXC.RATE_2),CURRENCY.FORMAT_2),CURRENCY.FORMAT_2,0)),'DICTIONARY-5'!$A$2))</f>
        <v/>
      </c>
      <c r="L87" s="670" t="str">
        <f>IFERROR(IF(CURRENCY.FORMAT_1=0,CONCATENATE(TEXT(FIXED(ROUND((C87*(1-I87)*(1-ADD.DISCOUNT)*(1+MAT.SURCHARGE)/EXC.RATE_1),CURRENCY.FORMAT_1),CURRENCY.FORMAT_1,1),"# ##0;-# ##0"),",-"),FIXED(ROUND((C87*(1-I87)*(1-ADD.DISCOUNT)*(1+MAT.SURCHARGE)/EXC.RATE_1),CURRENCY.FORMAT_1),CURRENCY.FORMAT_1,0)),'DICTIONARY-5'!$A$2)</f>
        <v>6 298,-</v>
      </c>
      <c r="M87" s="670" t="str">
        <f>IF(EXC.RATE_2=0,"",IFERROR(IF(CURRENCY.FORMAT_2=0,CONCATENATE(TEXT(FIXED(ROUND(IF(EXC.RATE.SWITCH=1,C87*(1-I87)*(1-ADD.DISCOUNT)*(1+MAT.SURCHARGE)/EXC.RATE_2,C87*(1-I87)*(1-ADD.DISCOUNT)*(1+MAT.SURCHARGE)*EXC.RATE_2),CURRENCY.FORMAT_2),CURRENCY.FORMAT_2,1),"# ##0;-# ##0"),",-"),FIXED(ROUND(IF(EXC.RATE.SWITCH=1,C87*(1-I87)*(1-ADD.DISCOUNT)*(1+MAT.SURCHARGE)/EXC.RATE_2,C87*(1-I87)*(1-ADD.DISCOUNT)*(1+MAT.SURCHARGE)*EXC.RATE_2),CURRENCY.FORMAT_2),CURRENCY.FORMAT_2,0)),'DICTIONARY-5'!$A$2))</f>
        <v/>
      </c>
      <c r="N87" s="496">
        <v>1</v>
      </c>
      <c r="O87" s="496"/>
      <c r="P87" s="731" t="str">
        <f>'DICTIONARY-3'!$A$2</f>
        <v>EKOplus</v>
      </c>
      <c r="Q87" s="732" t="str">
        <f>'DICTIONARY-3'!$A$187</f>
        <v>Zasuwa klinowa</v>
      </c>
      <c r="R87" s="732" t="str">
        <f>CONCATENATE('DICTIONARY-3'!$A$2," ",'DICTIONARY-6'!$A$3," ",'DICTIONARY-2'!$A$2,"600/",'DICTIONARY-6'!$A$46,'DICTIONARY-2'!$A$2,"500"," ",'DICTIONARY-2'!$A$3,"16"," ","R15",", ",'DICTIONARY-4'!$A$2)</f>
        <v>EKOplus Zasuwa DN600/reduk.DN500 PN16 R15, WW</v>
      </c>
      <c r="S87" s="733" t="str">
        <f>'DICTIONARY-4'!$A$2</f>
        <v>WW</v>
      </c>
      <c r="T87" s="732" t="str">
        <f>'DICTIONARY-4'!$A$18</f>
        <v>Wolny wałek</v>
      </c>
      <c r="U87" s="734" t="s">
        <v>5757</v>
      </c>
      <c r="V87" s="735">
        <v>16</v>
      </c>
      <c r="W87" s="736"/>
      <c r="X87" s="737"/>
      <c r="Y87" s="738"/>
      <c r="Z87" s="739"/>
      <c r="AA87" s="739"/>
      <c r="AB87" s="740">
        <v>16</v>
      </c>
      <c r="AC87" s="741" t="str">
        <f>'DICTIONARY-5'!$A$11&amp;" 15"</f>
        <v>EN 558 szereg 15</v>
      </c>
      <c r="AD87" s="741" t="str">
        <f>'DICTIONARY-5'!$A$13</f>
        <v>woda pitna</v>
      </c>
      <c r="AE87" s="742">
        <v>50</v>
      </c>
      <c r="AF87" s="743">
        <v>669</v>
      </c>
      <c r="AG87" s="741" t="str">
        <f>'DICTIONARY-5'!$A$23</f>
        <v>powłoka epoksydowa</v>
      </c>
    </row>
    <row r="88" spans="1:33" x14ac:dyDescent="0.25">
      <c r="A88" s="837" t="s">
        <v>164</v>
      </c>
      <c r="B88" s="837" t="s">
        <v>4974</v>
      </c>
      <c r="C88" s="836">
        <v>151</v>
      </c>
      <c r="D88" s="836"/>
      <c r="E88" s="836"/>
      <c r="F88" s="836"/>
      <c r="G88" s="496" t="s">
        <v>7789</v>
      </c>
      <c r="H88" s="797" t="str">
        <f>VLOOKUP(G88,SETTINGS!$B$7:$D$97,2,0)</f>
        <v>EKOplus</v>
      </c>
      <c r="I88" s="796">
        <f>VLOOKUP(G88,SETTINGS!$B$7:$D$97,3,0)</f>
        <v>0</v>
      </c>
      <c r="J88" s="670" t="str">
        <f>IFERROR(IF(CURRENCY.FORMAT_1=0,CONCATENATE(TEXT(FIXED(ROUND((C88/EXC.RATE_1),CURRENCY.FORMAT_1),CURRENCY.FORMAT_1,1),"# ##0;-# ##0"),",-"),FIXED(ROUND((C88/EXC.RATE_1),CURRENCY.FORMAT_1),CURRENCY.FORMAT_1,0)),'DICTIONARY-5'!$A$2)</f>
        <v>151,-</v>
      </c>
      <c r="K88" s="670" t="str">
        <f>IF(EXC.RATE_2=0,"",IFERROR(IF(CURRENCY.FORMAT_2=0,CONCATENATE(TEXT(FIXED(ROUND(IF(EXC.RATE.SWITCH=1,C88/EXC.RATE_2,C88*EXC.RATE_2),CURRENCY.FORMAT_2),CURRENCY.FORMAT_2,1),"# ##0;-# ##0"),",-"),FIXED(ROUND(IF(EXC.RATE.SWITCH=1,C88/EXC.RATE_2,C88*EXC.RATE_2),CURRENCY.FORMAT_2),CURRENCY.FORMAT_2,0)),'DICTIONARY-5'!$A$2))</f>
        <v/>
      </c>
      <c r="L88" s="670" t="str">
        <f>IFERROR(IF(CURRENCY.FORMAT_1=0,CONCATENATE(TEXT(FIXED(ROUND((C88*(1-I88)*(1-ADD.DISCOUNT)*(1+MAT.SURCHARGE)/EXC.RATE_1),CURRENCY.FORMAT_1),CURRENCY.FORMAT_1,1),"# ##0;-# ##0"),",-"),FIXED(ROUND((C88*(1-I88)*(1-ADD.DISCOUNT)*(1+MAT.SURCHARGE)/EXC.RATE_1),CURRENCY.FORMAT_1),CURRENCY.FORMAT_1,0)),'DICTIONARY-5'!$A$2)</f>
        <v>157,-</v>
      </c>
      <c r="M88" s="670" t="str">
        <f>IF(EXC.RATE_2=0,"",IFERROR(IF(CURRENCY.FORMAT_2=0,CONCATENATE(TEXT(FIXED(ROUND(IF(EXC.RATE.SWITCH=1,C88*(1-I88)*(1-ADD.DISCOUNT)*(1+MAT.SURCHARGE)/EXC.RATE_2,C88*(1-I88)*(1-ADD.DISCOUNT)*(1+MAT.SURCHARGE)*EXC.RATE_2),CURRENCY.FORMAT_2),CURRENCY.FORMAT_2,1),"# ##0;-# ##0"),",-"),FIXED(ROUND(IF(EXC.RATE.SWITCH=1,C88*(1-I88)*(1-ADD.DISCOUNT)*(1+MAT.SURCHARGE)/EXC.RATE_2,C88*(1-I88)*(1-ADD.DISCOUNT)*(1+MAT.SURCHARGE)*EXC.RATE_2),CURRENCY.FORMAT_2),CURRENCY.FORMAT_2,0)),'DICTIONARY-5'!$A$2))</f>
        <v/>
      </c>
      <c r="N88" s="496">
        <v>1</v>
      </c>
      <c r="O88" s="496"/>
      <c r="P88" s="731" t="str">
        <f>'DICTIONARY-3'!$A$2</f>
        <v>EKOplus</v>
      </c>
      <c r="Q88" s="732" t="str">
        <f>'DICTIONARY-3'!$A$187</f>
        <v>Zasuwa klinowa</v>
      </c>
      <c r="R88" s="732" t="str">
        <f>CONCATENATE('DICTIONARY-3'!$A$2," ",'DICTIONARY-6'!$A$3," ",'DICTIONARY-2'!$A$2,"40"," ",'DICTIONARY-2'!$A$3,"25"," ","R15,",'DICTIONARY-4'!$A$2)</f>
        <v>EKOplus Zasuwa DN40 PN25 R15,WW</v>
      </c>
      <c r="S88" s="733" t="str">
        <f>'DICTIONARY-4'!$A$2</f>
        <v>WW</v>
      </c>
      <c r="T88" s="732" t="str">
        <f>'DICTIONARY-4'!$A$18</f>
        <v>Wolny wałek</v>
      </c>
      <c r="U88" s="734" t="s">
        <v>5758</v>
      </c>
      <c r="V88" s="735">
        <v>25</v>
      </c>
      <c r="W88" s="736"/>
      <c r="X88" s="737"/>
      <c r="Y88" s="738"/>
      <c r="Z88" s="739"/>
      <c r="AA88" s="739"/>
      <c r="AB88" s="740">
        <v>25</v>
      </c>
      <c r="AC88" s="741" t="str">
        <f>'DICTIONARY-5'!$A$11&amp;" 15"</f>
        <v>EN 558 szereg 15</v>
      </c>
      <c r="AD88" s="741" t="str">
        <f>'DICTIONARY-5'!$A$13</f>
        <v>woda pitna</v>
      </c>
      <c r="AE88" s="742">
        <v>50</v>
      </c>
      <c r="AF88" s="743">
        <v>9</v>
      </c>
      <c r="AG88" s="741" t="str">
        <f>'DICTIONARY-5'!$A$23</f>
        <v>powłoka epoksydowa</v>
      </c>
    </row>
    <row r="89" spans="1:33" x14ac:dyDescent="0.25">
      <c r="A89" s="837" t="s">
        <v>165</v>
      </c>
      <c r="B89" s="837" t="s">
        <v>4975</v>
      </c>
      <c r="C89" s="836">
        <v>178</v>
      </c>
      <c r="D89" s="836"/>
      <c r="E89" s="836"/>
      <c r="F89" s="836"/>
      <c r="G89" s="496" t="s">
        <v>7789</v>
      </c>
      <c r="H89" s="797" t="str">
        <f>VLOOKUP(G89,SETTINGS!$B$7:$D$97,2,0)</f>
        <v>EKOplus</v>
      </c>
      <c r="I89" s="796">
        <f>VLOOKUP(G89,SETTINGS!$B$7:$D$97,3,0)</f>
        <v>0</v>
      </c>
      <c r="J89" s="670" t="str">
        <f>IFERROR(IF(CURRENCY.FORMAT_1=0,CONCATENATE(TEXT(FIXED(ROUND((C89/EXC.RATE_1),CURRENCY.FORMAT_1),CURRENCY.FORMAT_1,1),"# ##0;-# ##0"),",-"),FIXED(ROUND((C89/EXC.RATE_1),CURRENCY.FORMAT_1),CURRENCY.FORMAT_1,0)),'DICTIONARY-5'!$A$2)</f>
        <v>178,-</v>
      </c>
      <c r="K89" s="670" t="str">
        <f>IF(EXC.RATE_2=0,"",IFERROR(IF(CURRENCY.FORMAT_2=0,CONCATENATE(TEXT(FIXED(ROUND(IF(EXC.RATE.SWITCH=1,C89/EXC.RATE_2,C89*EXC.RATE_2),CURRENCY.FORMAT_2),CURRENCY.FORMAT_2,1),"# ##0;-# ##0"),",-"),FIXED(ROUND(IF(EXC.RATE.SWITCH=1,C89/EXC.RATE_2,C89*EXC.RATE_2),CURRENCY.FORMAT_2),CURRENCY.FORMAT_2,0)),'DICTIONARY-5'!$A$2))</f>
        <v/>
      </c>
      <c r="L89" s="670" t="str">
        <f>IFERROR(IF(CURRENCY.FORMAT_1=0,CONCATENATE(TEXT(FIXED(ROUND((C89*(1-I89)*(1-ADD.DISCOUNT)*(1+MAT.SURCHARGE)/EXC.RATE_1),CURRENCY.FORMAT_1),CURRENCY.FORMAT_1,1),"# ##0;-# ##0"),",-"),FIXED(ROUND((C89*(1-I89)*(1-ADD.DISCOUNT)*(1+MAT.SURCHARGE)/EXC.RATE_1),CURRENCY.FORMAT_1),CURRENCY.FORMAT_1,0)),'DICTIONARY-5'!$A$2)</f>
        <v>185,-</v>
      </c>
      <c r="M89" s="670" t="str">
        <f>IF(EXC.RATE_2=0,"",IFERROR(IF(CURRENCY.FORMAT_2=0,CONCATENATE(TEXT(FIXED(ROUND(IF(EXC.RATE.SWITCH=1,C89*(1-I89)*(1-ADD.DISCOUNT)*(1+MAT.SURCHARGE)/EXC.RATE_2,C89*(1-I89)*(1-ADD.DISCOUNT)*(1+MAT.SURCHARGE)*EXC.RATE_2),CURRENCY.FORMAT_2),CURRENCY.FORMAT_2,1),"# ##0;-# ##0"),",-"),FIXED(ROUND(IF(EXC.RATE.SWITCH=1,C89*(1-I89)*(1-ADD.DISCOUNT)*(1+MAT.SURCHARGE)/EXC.RATE_2,C89*(1-I89)*(1-ADD.DISCOUNT)*(1+MAT.SURCHARGE)*EXC.RATE_2),CURRENCY.FORMAT_2),CURRENCY.FORMAT_2,0)),'DICTIONARY-5'!$A$2))</f>
        <v/>
      </c>
      <c r="N89" s="496">
        <v>1</v>
      </c>
      <c r="O89" s="496"/>
      <c r="P89" s="731" t="str">
        <f>'DICTIONARY-3'!$A$2</f>
        <v>EKOplus</v>
      </c>
      <c r="Q89" s="732" t="str">
        <f>'DICTIONARY-3'!$A$187</f>
        <v>Zasuwa klinowa</v>
      </c>
      <c r="R89" s="732" t="str">
        <f>CONCATENATE('DICTIONARY-3'!$A$2," ",'DICTIONARY-6'!$A$3," ",'DICTIONARY-2'!$A$2,"50"," ",'DICTIONARY-2'!$A$3,"25"," ","R15,",'DICTIONARY-4'!$A$2)</f>
        <v>EKOplus Zasuwa DN50 PN25 R15,WW</v>
      </c>
      <c r="S89" s="733" t="str">
        <f>'DICTIONARY-4'!$A$2</f>
        <v>WW</v>
      </c>
      <c r="T89" s="732" t="str">
        <f>'DICTIONARY-4'!$A$18</f>
        <v>Wolny wałek</v>
      </c>
      <c r="U89" s="734" t="s">
        <v>5748</v>
      </c>
      <c r="V89" s="735">
        <v>25</v>
      </c>
      <c r="W89" s="736"/>
      <c r="X89" s="737"/>
      <c r="Y89" s="738"/>
      <c r="Z89" s="739"/>
      <c r="AA89" s="739"/>
      <c r="AB89" s="740">
        <v>25</v>
      </c>
      <c r="AC89" s="741" t="str">
        <f>'DICTIONARY-5'!$A$11&amp;" 15"</f>
        <v>EN 558 szereg 15</v>
      </c>
      <c r="AD89" s="741" t="str">
        <f>'DICTIONARY-5'!$A$13</f>
        <v>woda pitna</v>
      </c>
      <c r="AE89" s="742">
        <v>50</v>
      </c>
      <c r="AF89" s="743">
        <v>10.5</v>
      </c>
      <c r="AG89" s="741" t="str">
        <f>'DICTIONARY-5'!$A$23</f>
        <v>powłoka epoksydowa</v>
      </c>
    </row>
    <row r="90" spans="1:33" x14ac:dyDescent="0.25">
      <c r="A90" s="837" t="s">
        <v>166</v>
      </c>
      <c r="B90" s="837" t="s">
        <v>4976</v>
      </c>
      <c r="C90" s="836">
        <v>201</v>
      </c>
      <c r="D90" s="836"/>
      <c r="E90" s="836"/>
      <c r="F90" s="836"/>
      <c r="G90" s="496" t="s">
        <v>7789</v>
      </c>
      <c r="H90" s="797" t="str">
        <f>VLOOKUP(G90,SETTINGS!$B$7:$D$97,2,0)</f>
        <v>EKOplus</v>
      </c>
      <c r="I90" s="796">
        <f>VLOOKUP(G90,SETTINGS!$B$7:$D$97,3,0)</f>
        <v>0</v>
      </c>
      <c r="J90" s="670" t="str">
        <f>IFERROR(IF(CURRENCY.FORMAT_1=0,CONCATENATE(TEXT(FIXED(ROUND((C90/EXC.RATE_1),CURRENCY.FORMAT_1),CURRENCY.FORMAT_1,1),"# ##0;-# ##0"),",-"),FIXED(ROUND((C90/EXC.RATE_1),CURRENCY.FORMAT_1),CURRENCY.FORMAT_1,0)),'DICTIONARY-5'!$A$2)</f>
        <v>201,-</v>
      </c>
      <c r="K90" s="670" t="str">
        <f>IF(EXC.RATE_2=0,"",IFERROR(IF(CURRENCY.FORMAT_2=0,CONCATENATE(TEXT(FIXED(ROUND(IF(EXC.RATE.SWITCH=1,C90/EXC.RATE_2,C90*EXC.RATE_2),CURRENCY.FORMAT_2),CURRENCY.FORMAT_2,1),"# ##0;-# ##0"),",-"),FIXED(ROUND(IF(EXC.RATE.SWITCH=1,C90/EXC.RATE_2,C90*EXC.RATE_2),CURRENCY.FORMAT_2),CURRENCY.FORMAT_2,0)),'DICTIONARY-5'!$A$2))</f>
        <v/>
      </c>
      <c r="L90" s="670" t="str">
        <f>IFERROR(IF(CURRENCY.FORMAT_1=0,CONCATENATE(TEXT(FIXED(ROUND((C90*(1-I90)*(1-ADD.DISCOUNT)*(1+MAT.SURCHARGE)/EXC.RATE_1),CURRENCY.FORMAT_1),CURRENCY.FORMAT_1,1),"# ##0;-# ##0"),",-"),FIXED(ROUND((C90*(1-I90)*(1-ADD.DISCOUNT)*(1+MAT.SURCHARGE)/EXC.RATE_1),CURRENCY.FORMAT_1),CURRENCY.FORMAT_1,0)),'DICTIONARY-5'!$A$2)</f>
        <v>209,-</v>
      </c>
      <c r="M90" s="670" t="str">
        <f>IF(EXC.RATE_2=0,"",IFERROR(IF(CURRENCY.FORMAT_2=0,CONCATENATE(TEXT(FIXED(ROUND(IF(EXC.RATE.SWITCH=1,C90*(1-I90)*(1-ADD.DISCOUNT)*(1+MAT.SURCHARGE)/EXC.RATE_2,C90*(1-I90)*(1-ADD.DISCOUNT)*(1+MAT.SURCHARGE)*EXC.RATE_2),CURRENCY.FORMAT_2),CURRENCY.FORMAT_2,1),"# ##0;-# ##0"),",-"),FIXED(ROUND(IF(EXC.RATE.SWITCH=1,C90*(1-I90)*(1-ADD.DISCOUNT)*(1+MAT.SURCHARGE)/EXC.RATE_2,C90*(1-I90)*(1-ADD.DISCOUNT)*(1+MAT.SURCHARGE)*EXC.RATE_2),CURRENCY.FORMAT_2),CURRENCY.FORMAT_2,0)),'DICTIONARY-5'!$A$2))</f>
        <v/>
      </c>
      <c r="N90" s="496">
        <v>1</v>
      </c>
      <c r="O90" s="496"/>
      <c r="P90" s="731" t="str">
        <f>'DICTIONARY-3'!$A$2</f>
        <v>EKOplus</v>
      </c>
      <c r="Q90" s="732" t="str">
        <f>'DICTIONARY-3'!$A$187</f>
        <v>Zasuwa klinowa</v>
      </c>
      <c r="R90" s="732" t="str">
        <f>CONCATENATE('DICTIONARY-3'!$A$2," ",'DICTIONARY-6'!$A$3," ",'DICTIONARY-2'!$A$2,"65"," ",'DICTIONARY-2'!$A$3,"25"," ","R15,",'DICTIONARY-4'!$A$2)</f>
        <v>EKOplus Zasuwa DN65 PN25 R15,WW</v>
      </c>
      <c r="S90" s="733" t="str">
        <f>'DICTIONARY-4'!$A$2</f>
        <v>WW</v>
      </c>
      <c r="T90" s="732" t="str">
        <f>'DICTIONARY-4'!$A$18</f>
        <v>Wolny wałek</v>
      </c>
      <c r="U90" s="734" t="s">
        <v>5759</v>
      </c>
      <c r="V90" s="735">
        <v>25</v>
      </c>
      <c r="W90" s="736"/>
      <c r="X90" s="737"/>
      <c r="Y90" s="738"/>
      <c r="Z90" s="739"/>
      <c r="AA90" s="739"/>
      <c r="AB90" s="740">
        <v>25</v>
      </c>
      <c r="AC90" s="741" t="str">
        <f>'DICTIONARY-5'!$A$11&amp;" 15"</f>
        <v>EN 558 szereg 15</v>
      </c>
      <c r="AD90" s="741" t="str">
        <f>'DICTIONARY-5'!$A$13</f>
        <v>woda pitna</v>
      </c>
      <c r="AE90" s="742">
        <v>50</v>
      </c>
      <c r="AF90" s="743">
        <v>14.5</v>
      </c>
      <c r="AG90" s="741" t="str">
        <f>'DICTIONARY-5'!$A$23</f>
        <v>powłoka epoksydowa</v>
      </c>
    </row>
    <row r="91" spans="1:33" x14ac:dyDescent="0.25">
      <c r="A91" s="837" t="s">
        <v>167</v>
      </c>
      <c r="B91" s="837" t="s">
        <v>4977</v>
      </c>
      <c r="C91" s="836">
        <v>195</v>
      </c>
      <c r="D91" s="836"/>
      <c r="E91" s="836"/>
      <c r="F91" s="836"/>
      <c r="G91" s="496" t="s">
        <v>7789</v>
      </c>
      <c r="H91" s="797" t="str">
        <f>VLOOKUP(G91,SETTINGS!$B$7:$D$97,2,0)</f>
        <v>EKOplus</v>
      </c>
      <c r="I91" s="796">
        <f>VLOOKUP(G91,SETTINGS!$B$7:$D$97,3,0)</f>
        <v>0</v>
      </c>
      <c r="J91" s="670" t="str">
        <f>IFERROR(IF(CURRENCY.FORMAT_1=0,CONCATENATE(TEXT(FIXED(ROUND((C91/EXC.RATE_1),CURRENCY.FORMAT_1),CURRENCY.FORMAT_1,1),"# ##0;-# ##0"),",-"),FIXED(ROUND((C91/EXC.RATE_1),CURRENCY.FORMAT_1),CURRENCY.FORMAT_1,0)),'DICTIONARY-5'!$A$2)</f>
        <v>195,-</v>
      </c>
      <c r="K91" s="670" t="str">
        <f>IF(EXC.RATE_2=0,"",IFERROR(IF(CURRENCY.FORMAT_2=0,CONCATENATE(TEXT(FIXED(ROUND(IF(EXC.RATE.SWITCH=1,C91/EXC.RATE_2,C91*EXC.RATE_2),CURRENCY.FORMAT_2),CURRENCY.FORMAT_2,1),"# ##0;-# ##0"),",-"),FIXED(ROUND(IF(EXC.RATE.SWITCH=1,C91/EXC.RATE_2,C91*EXC.RATE_2),CURRENCY.FORMAT_2),CURRENCY.FORMAT_2,0)),'DICTIONARY-5'!$A$2))</f>
        <v/>
      </c>
      <c r="L91" s="670" t="str">
        <f>IFERROR(IF(CURRENCY.FORMAT_1=0,CONCATENATE(TEXT(FIXED(ROUND((C91*(1-I91)*(1-ADD.DISCOUNT)*(1+MAT.SURCHARGE)/EXC.RATE_1),CURRENCY.FORMAT_1),CURRENCY.FORMAT_1,1),"# ##0;-# ##0"),",-"),FIXED(ROUND((C91*(1-I91)*(1-ADD.DISCOUNT)*(1+MAT.SURCHARGE)/EXC.RATE_1),CURRENCY.FORMAT_1),CURRENCY.FORMAT_1,0)),'DICTIONARY-5'!$A$2)</f>
        <v>203,-</v>
      </c>
      <c r="M91" s="670" t="str">
        <f>IF(EXC.RATE_2=0,"",IFERROR(IF(CURRENCY.FORMAT_2=0,CONCATENATE(TEXT(FIXED(ROUND(IF(EXC.RATE.SWITCH=1,C91*(1-I91)*(1-ADD.DISCOUNT)*(1+MAT.SURCHARGE)/EXC.RATE_2,C91*(1-I91)*(1-ADD.DISCOUNT)*(1+MAT.SURCHARGE)*EXC.RATE_2),CURRENCY.FORMAT_2),CURRENCY.FORMAT_2,1),"# ##0;-# ##0"),",-"),FIXED(ROUND(IF(EXC.RATE.SWITCH=1,C91*(1-I91)*(1-ADD.DISCOUNT)*(1+MAT.SURCHARGE)/EXC.RATE_2,C91*(1-I91)*(1-ADD.DISCOUNT)*(1+MAT.SURCHARGE)*EXC.RATE_2),CURRENCY.FORMAT_2),CURRENCY.FORMAT_2,0)),'DICTIONARY-5'!$A$2))</f>
        <v/>
      </c>
      <c r="N91" s="496">
        <v>1</v>
      </c>
      <c r="O91" s="496"/>
      <c r="P91" s="731" t="str">
        <f>'DICTIONARY-3'!$A$2</f>
        <v>EKOplus</v>
      </c>
      <c r="Q91" s="732" t="str">
        <f>'DICTIONARY-3'!$A$187</f>
        <v>Zasuwa klinowa</v>
      </c>
      <c r="R91" s="732" t="str">
        <f>CONCATENATE('DICTIONARY-3'!$A$2," ",'DICTIONARY-6'!$A$3," ",'DICTIONARY-2'!$A$2,"80"," ",'DICTIONARY-2'!$A$3,"25"," ","R15,",'DICTIONARY-4'!$A$2)</f>
        <v>EKOplus Zasuwa DN80 PN25 R15,WW</v>
      </c>
      <c r="S91" s="733" t="str">
        <f>'DICTIONARY-4'!$A$2</f>
        <v>WW</v>
      </c>
      <c r="T91" s="732" t="str">
        <f>'DICTIONARY-4'!$A$18</f>
        <v>Wolny wałek</v>
      </c>
      <c r="U91" s="734" t="s">
        <v>5760</v>
      </c>
      <c r="V91" s="735">
        <v>25</v>
      </c>
      <c r="W91" s="736"/>
      <c r="X91" s="737"/>
      <c r="Y91" s="738"/>
      <c r="Z91" s="739"/>
      <c r="AA91" s="739"/>
      <c r="AB91" s="740">
        <v>25</v>
      </c>
      <c r="AC91" s="741" t="str">
        <f>'DICTIONARY-5'!$A$11&amp;" 15"</f>
        <v>EN 558 szereg 15</v>
      </c>
      <c r="AD91" s="741" t="str">
        <f>'DICTIONARY-5'!$A$13</f>
        <v>woda pitna</v>
      </c>
      <c r="AE91" s="742">
        <v>50</v>
      </c>
      <c r="AF91" s="743">
        <v>17</v>
      </c>
      <c r="AG91" s="741" t="str">
        <f>'DICTIONARY-5'!$A$23</f>
        <v>powłoka epoksydowa</v>
      </c>
    </row>
    <row r="92" spans="1:33" x14ac:dyDescent="0.25">
      <c r="A92" s="837" t="s">
        <v>168</v>
      </c>
      <c r="B92" s="837" t="s">
        <v>4978</v>
      </c>
      <c r="C92" s="836">
        <v>236</v>
      </c>
      <c r="D92" s="836"/>
      <c r="E92" s="836"/>
      <c r="F92" s="836"/>
      <c r="G92" s="496" t="s">
        <v>7789</v>
      </c>
      <c r="H92" s="797" t="str">
        <f>VLOOKUP(G92,SETTINGS!$B$7:$D$97,2,0)</f>
        <v>EKOplus</v>
      </c>
      <c r="I92" s="796">
        <f>VLOOKUP(G92,SETTINGS!$B$7:$D$97,3,0)</f>
        <v>0</v>
      </c>
      <c r="J92" s="670" t="str">
        <f>IFERROR(IF(CURRENCY.FORMAT_1=0,CONCATENATE(TEXT(FIXED(ROUND((C92/EXC.RATE_1),CURRENCY.FORMAT_1),CURRENCY.FORMAT_1,1),"# ##0;-# ##0"),",-"),FIXED(ROUND((C92/EXC.RATE_1),CURRENCY.FORMAT_1),CURRENCY.FORMAT_1,0)),'DICTIONARY-5'!$A$2)</f>
        <v>236,-</v>
      </c>
      <c r="K92" s="670" t="str">
        <f>IF(EXC.RATE_2=0,"",IFERROR(IF(CURRENCY.FORMAT_2=0,CONCATENATE(TEXT(FIXED(ROUND(IF(EXC.RATE.SWITCH=1,C92/EXC.RATE_2,C92*EXC.RATE_2),CURRENCY.FORMAT_2),CURRENCY.FORMAT_2,1),"# ##0;-# ##0"),",-"),FIXED(ROUND(IF(EXC.RATE.SWITCH=1,C92/EXC.RATE_2,C92*EXC.RATE_2),CURRENCY.FORMAT_2),CURRENCY.FORMAT_2,0)),'DICTIONARY-5'!$A$2))</f>
        <v/>
      </c>
      <c r="L92" s="670" t="str">
        <f>IFERROR(IF(CURRENCY.FORMAT_1=0,CONCATENATE(TEXT(FIXED(ROUND((C92*(1-I92)*(1-ADD.DISCOUNT)*(1+MAT.SURCHARGE)/EXC.RATE_1),CURRENCY.FORMAT_1),CURRENCY.FORMAT_1,1),"# ##0;-# ##0"),",-"),FIXED(ROUND((C92*(1-I92)*(1-ADD.DISCOUNT)*(1+MAT.SURCHARGE)/EXC.RATE_1),CURRENCY.FORMAT_1),CURRENCY.FORMAT_1,0)),'DICTIONARY-5'!$A$2)</f>
        <v>245,-</v>
      </c>
      <c r="M92" s="670" t="str">
        <f>IF(EXC.RATE_2=0,"",IFERROR(IF(CURRENCY.FORMAT_2=0,CONCATENATE(TEXT(FIXED(ROUND(IF(EXC.RATE.SWITCH=1,C92*(1-I92)*(1-ADD.DISCOUNT)*(1+MAT.SURCHARGE)/EXC.RATE_2,C92*(1-I92)*(1-ADD.DISCOUNT)*(1+MAT.SURCHARGE)*EXC.RATE_2),CURRENCY.FORMAT_2),CURRENCY.FORMAT_2,1),"# ##0;-# ##0"),",-"),FIXED(ROUND(IF(EXC.RATE.SWITCH=1,C92*(1-I92)*(1-ADD.DISCOUNT)*(1+MAT.SURCHARGE)/EXC.RATE_2,C92*(1-I92)*(1-ADD.DISCOUNT)*(1+MAT.SURCHARGE)*EXC.RATE_2),CURRENCY.FORMAT_2),CURRENCY.FORMAT_2,0)),'DICTIONARY-5'!$A$2))</f>
        <v/>
      </c>
      <c r="N92" s="496">
        <v>1</v>
      </c>
      <c r="O92" s="496"/>
      <c r="P92" s="731" t="str">
        <f>'DICTIONARY-3'!$A$2</f>
        <v>EKOplus</v>
      </c>
      <c r="Q92" s="732" t="str">
        <f>'DICTIONARY-3'!$A$187</f>
        <v>Zasuwa klinowa</v>
      </c>
      <c r="R92" s="732" t="str">
        <f>CONCATENATE('DICTIONARY-3'!$A$2," ",'DICTIONARY-6'!$A$3," ",'DICTIONARY-2'!$A$2,"100"," ",'DICTIONARY-2'!$A$3,"25"," ","R15,",'DICTIONARY-4'!$A$2)</f>
        <v>EKOplus Zasuwa DN100 PN25 R15,WW</v>
      </c>
      <c r="S92" s="733" t="str">
        <f>'DICTIONARY-4'!$A$2</f>
        <v>WW</v>
      </c>
      <c r="T92" s="732" t="str">
        <f>'DICTIONARY-4'!$A$18</f>
        <v>Wolny wałek</v>
      </c>
      <c r="U92" s="734" t="s">
        <v>5749</v>
      </c>
      <c r="V92" s="735">
        <v>25</v>
      </c>
      <c r="W92" s="736"/>
      <c r="X92" s="737"/>
      <c r="Y92" s="738"/>
      <c r="Z92" s="739"/>
      <c r="AA92" s="739"/>
      <c r="AB92" s="740">
        <v>25</v>
      </c>
      <c r="AC92" s="741" t="str">
        <f>'DICTIONARY-5'!$A$11&amp;" 15"</f>
        <v>EN 558 szereg 15</v>
      </c>
      <c r="AD92" s="741" t="str">
        <f>'DICTIONARY-5'!$A$13</f>
        <v>woda pitna</v>
      </c>
      <c r="AE92" s="742">
        <v>50</v>
      </c>
      <c r="AF92" s="743">
        <v>21.5</v>
      </c>
      <c r="AG92" s="741" t="str">
        <f>'DICTIONARY-5'!$A$23</f>
        <v>powłoka epoksydowa</v>
      </c>
    </row>
    <row r="93" spans="1:33" x14ac:dyDescent="0.25">
      <c r="A93" s="837" t="s">
        <v>169</v>
      </c>
      <c r="B93" s="837" t="s">
        <v>4979</v>
      </c>
      <c r="C93" s="836">
        <v>376</v>
      </c>
      <c r="D93" s="836"/>
      <c r="E93" s="836"/>
      <c r="F93" s="836"/>
      <c r="G93" s="496" t="s">
        <v>7789</v>
      </c>
      <c r="H93" s="797" t="str">
        <f>VLOOKUP(G93,SETTINGS!$B$7:$D$97,2,0)</f>
        <v>EKOplus</v>
      </c>
      <c r="I93" s="796">
        <f>VLOOKUP(G93,SETTINGS!$B$7:$D$97,3,0)</f>
        <v>0</v>
      </c>
      <c r="J93" s="670" t="str">
        <f>IFERROR(IF(CURRENCY.FORMAT_1=0,CONCATENATE(TEXT(FIXED(ROUND((C93/EXC.RATE_1),CURRENCY.FORMAT_1),CURRENCY.FORMAT_1,1),"# ##0;-# ##0"),",-"),FIXED(ROUND((C93/EXC.RATE_1),CURRENCY.FORMAT_1),CURRENCY.FORMAT_1,0)),'DICTIONARY-5'!$A$2)</f>
        <v>376,-</v>
      </c>
      <c r="K93" s="670" t="str">
        <f>IF(EXC.RATE_2=0,"",IFERROR(IF(CURRENCY.FORMAT_2=0,CONCATENATE(TEXT(FIXED(ROUND(IF(EXC.RATE.SWITCH=1,C93/EXC.RATE_2,C93*EXC.RATE_2),CURRENCY.FORMAT_2),CURRENCY.FORMAT_2,1),"# ##0;-# ##0"),",-"),FIXED(ROUND(IF(EXC.RATE.SWITCH=1,C93/EXC.RATE_2,C93*EXC.RATE_2),CURRENCY.FORMAT_2),CURRENCY.FORMAT_2,0)),'DICTIONARY-5'!$A$2))</f>
        <v/>
      </c>
      <c r="L93" s="670" t="str">
        <f>IFERROR(IF(CURRENCY.FORMAT_1=0,CONCATENATE(TEXT(FIXED(ROUND((C93*(1-I93)*(1-ADD.DISCOUNT)*(1+MAT.SURCHARGE)/EXC.RATE_1),CURRENCY.FORMAT_1),CURRENCY.FORMAT_1,1),"# ##0;-# ##0"),",-"),FIXED(ROUND((C93*(1-I93)*(1-ADD.DISCOUNT)*(1+MAT.SURCHARGE)/EXC.RATE_1),CURRENCY.FORMAT_1),CURRENCY.FORMAT_1,0)),'DICTIONARY-5'!$A$2)</f>
        <v>391,-</v>
      </c>
      <c r="M93" s="670" t="str">
        <f>IF(EXC.RATE_2=0,"",IFERROR(IF(CURRENCY.FORMAT_2=0,CONCATENATE(TEXT(FIXED(ROUND(IF(EXC.RATE.SWITCH=1,C93*(1-I93)*(1-ADD.DISCOUNT)*(1+MAT.SURCHARGE)/EXC.RATE_2,C93*(1-I93)*(1-ADD.DISCOUNT)*(1+MAT.SURCHARGE)*EXC.RATE_2),CURRENCY.FORMAT_2),CURRENCY.FORMAT_2,1),"# ##0;-# ##0"),",-"),FIXED(ROUND(IF(EXC.RATE.SWITCH=1,C93*(1-I93)*(1-ADD.DISCOUNT)*(1+MAT.SURCHARGE)/EXC.RATE_2,C93*(1-I93)*(1-ADD.DISCOUNT)*(1+MAT.SURCHARGE)*EXC.RATE_2),CURRENCY.FORMAT_2),CURRENCY.FORMAT_2,0)),'DICTIONARY-5'!$A$2))</f>
        <v/>
      </c>
      <c r="N93" s="496">
        <v>1</v>
      </c>
      <c r="O93" s="496"/>
      <c r="P93" s="731" t="str">
        <f>'DICTIONARY-3'!$A$2</f>
        <v>EKOplus</v>
      </c>
      <c r="Q93" s="732" t="str">
        <f>'DICTIONARY-3'!$A$187</f>
        <v>Zasuwa klinowa</v>
      </c>
      <c r="R93" s="732" t="str">
        <f>CONCATENATE('DICTIONARY-3'!$A$2," ",'DICTIONARY-6'!$A$3," ",'DICTIONARY-2'!$A$2,"125"," ",'DICTIONARY-2'!$A$3,"25"," ","R15,",'DICTIONARY-4'!$A$2)</f>
        <v>EKOplus Zasuwa DN125 PN25 R15,WW</v>
      </c>
      <c r="S93" s="733" t="str">
        <f>'DICTIONARY-4'!$A$2</f>
        <v>WW</v>
      </c>
      <c r="T93" s="732" t="str">
        <f>'DICTIONARY-4'!$A$18</f>
        <v>Wolny wałek</v>
      </c>
      <c r="U93" s="734" t="s">
        <v>5761</v>
      </c>
      <c r="V93" s="735">
        <v>25</v>
      </c>
      <c r="W93" s="736"/>
      <c r="X93" s="737"/>
      <c r="Y93" s="738"/>
      <c r="Z93" s="739"/>
      <c r="AA93" s="739"/>
      <c r="AB93" s="740">
        <v>25</v>
      </c>
      <c r="AC93" s="741" t="str">
        <f>'DICTIONARY-5'!$A$11&amp;" 15"</f>
        <v>EN 558 szereg 15</v>
      </c>
      <c r="AD93" s="741" t="str">
        <f>'DICTIONARY-5'!$A$13</f>
        <v>woda pitna</v>
      </c>
      <c r="AE93" s="742">
        <v>50</v>
      </c>
      <c r="AF93" s="743">
        <v>30</v>
      </c>
      <c r="AG93" s="741" t="str">
        <f>'DICTIONARY-5'!$A$23</f>
        <v>powłoka epoksydowa</v>
      </c>
    </row>
    <row r="94" spans="1:33" x14ac:dyDescent="0.25">
      <c r="A94" s="837" t="s">
        <v>170</v>
      </c>
      <c r="B94" s="837" t="s">
        <v>4980</v>
      </c>
      <c r="C94" s="836">
        <v>414</v>
      </c>
      <c r="D94" s="836"/>
      <c r="E94" s="836"/>
      <c r="F94" s="836"/>
      <c r="G94" s="496" t="s">
        <v>7789</v>
      </c>
      <c r="H94" s="797" t="str">
        <f>VLOOKUP(G94,SETTINGS!$B$7:$D$97,2,0)</f>
        <v>EKOplus</v>
      </c>
      <c r="I94" s="796">
        <f>VLOOKUP(G94,SETTINGS!$B$7:$D$97,3,0)</f>
        <v>0</v>
      </c>
      <c r="J94" s="670" t="str">
        <f>IFERROR(IF(CURRENCY.FORMAT_1=0,CONCATENATE(TEXT(FIXED(ROUND((C94/EXC.RATE_1),CURRENCY.FORMAT_1),CURRENCY.FORMAT_1,1),"# ##0;-# ##0"),",-"),FIXED(ROUND((C94/EXC.RATE_1),CURRENCY.FORMAT_1),CURRENCY.FORMAT_1,0)),'DICTIONARY-5'!$A$2)</f>
        <v>414,-</v>
      </c>
      <c r="K94" s="670" t="str">
        <f>IF(EXC.RATE_2=0,"",IFERROR(IF(CURRENCY.FORMAT_2=0,CONCATENATE(TEXT(FIXED(ROUND(IF(EXC.RATE.SWITCH=1,C94/EXC.RATE_2,C94*EXC.RATE_2),CURRENCY.FORMAT_2),CURRENCY.FORMAT_2,1),"# ##0;-# ##0"),",-"),FIXED(ROUND(IF(EXC.RATE.SWITCH=1,C94/EXC.RATE_2,C94*EXC.RATE_2),CURRENCY.FORMAT_2),CURRENCY.FORMAT_2,0)),'DICTIONARY-5'!$A$2))</f>
        <v/>
      </c>
      <c r="L94" s="670" t="str">
        <f>IFERROR(IF(CURRENCY.FORMAT_1=0,CONCATENATE(TEXT(FIXED(ROUND((C94*(1-I94)*(1-ADD.DISCOUNT)*(1+MAT.SURCHARGE)/EXC.RATE_1),CURRENCY.FORMAT_1),CURRENCY.FORMAT_1,1),"# ##0;-# ##0"),",-"),FIXED(ROUND((C94*(1-I94)*(1-ADD.DISCOUNT)*(1+MAT.SURCHARGE)/EXC.RATE_1),CURRENCY.FORMAT_1),CURRENCY.FORMAT_1,0)),'DICTIONARY-5'!$A$2)</f>
        <v>430,-</v>
      </c>
      <c r="M94" s="670" t="str">
        <f>IF(EXC.RATE_2=0,"",IFERROR(IF(CURRENCY.FORMAT_2=0,CONCATENATE(TEXT(FIXED(ROUND(IF(EXC.RATE.SWITCH=1,C94*(1-I94)*(1-ADD.DISCOUNT)*(1+MAT.SURCHARGE)/EXC.RATE_2,C94*(1-I94)*(1-ADD.DISCOUNT)*(1+MAT.SURCHARGE)*EXC.RATE_2),CURRENCY.FORMAT_2),CURRENCY.FORMAT_2,1),"# ##0;-# ##0"),",-"),FIXED(ROUND(IF(EXC.RATE.SWITCH=1,C94*(1-I94)*(1-ADD.DISCOUNT)*(1+MAT.SURCHARGE)/EXC.RATE_2,C94*(1-I94)*(1-ADD.DISCOUNT)*(1+MAT.SURCHARGE)*EXC.RATE_2),CURRENCY.FORMAT_2),CURRENCY.FORMAT_2,0)),'DICTIONARY-5'!$A$2))</f>
        <v/>
      </c>
      <c r="N94" s="496">
        <v>1</v>
      </c>
      <c r="O94" s="496"/>
      <c r="P94" s="731" t="str">
        <f>'DICTIONARY-3'!$A$2</f>
        <v>EKOplus</v>
      </c>
      <c r="Q94" s="732" t="str">
        <f>'DICTIONARY-3'!$A$187</f>
        <v>Zasuwa klinowa</v>
      </c>
      <c r="R94" s="732" t="str">
        <f>CONCATENATE('DICTIONARY-3'!$A$2," ",'DICTIONARY-6'!$A$3," ",'DICTIONARY-2'!$A$2,"150"," ",'DICTIONARY-2'!$A$3,"25"," ","R15,",'DICTIONARY-4'!$A$2)</f>
        <v>EKOplus Zasuwa DN150 PN25 R15,WW</v>
      </c>
      <c r="S94" s="733" t="str">
        <f>'DICTIONARY-4'!$A$2</f>
        <v>WW</v>
      </c>
      <c r="T94" s="732" t="str">
        <f>'DICTIONARY-4'!$A$18</f>
        <v>Wolny wałek</v>
      </c>
      <c r="U94" s="734" t="s">
        <v>5572</v>
      </c>
      <c r="V94" s="735">
        <v>25</v>
      </c>
      <c r="W94" s="736"/>
      <c r="X94" s="737"/>
      <c r="Y94" s="738"/>
      <c r="Z94" s="739"/>
      <c r="AA94" s="739"/>
      <c r="AB94" s="740">
        <v>25</v>
      </c>
      <c r="AC94" s="741" t="str">
        <f>'DICTIONARY-5'!$A$11&amp;" 15"</f>
        <v>EN 558 szereg 15</v>
      </c>
      <c r="AD94" s="741" t="str">
        <f>'DICTIONARY-5'!$A$13</f>
        <v>woda pitna</v>
      </c>
      <c r="AE94" s="742">
        <v>50</v>
      </c>
      <c r="AF94" s="743">
        <v>37.5</v>
      </c>
      <c r="AG94" s="741" t="str">
        <f>'DICTIONARY-5'!$A$23</f>
        <v>powłoka epoksydowa</v>
      </c>
    </row>
    <row r="95" spans="1:33" x14ac:dyDescent="0.25">
      <c r="A95" s="837" t="s">
        <v>171</v>
      </c>
      <c r="B95" s="837" t="s">
        <v>4981</v>
      </c>
      <c r="C95" s="836">
        <v>636</v>
      </c>
      <c r="D95" s="836"/>
      <c r="E95" s="836"/>
      <c r="F95" s="836"/>
      <c r="G95" s="496" t="s">
        <v>7789</v>
      </c>
      <c r="H95" s="797" t="str">
        <f>VLOOKUP(G95,SETTINGS!$B$7:$D$97,2,0)</f>
        <v>EKOplus</v>
      </c>
      <c r="I95" s="796">
        <f>VLOOKUP(G95,SETTINGS!$B$7:$D$97,3,0)</f>
        <v>0</v>
      </c>
      <c r="J95" s="670" t="str">
        <f>IFERROR(IF(CURRENCY.FORMAT_1=0,CONCATENATE(TEXT(FIXED(ROUND((C95/EXC.RATE_1),CURRENCY.FORMAT_1),CURRENCY.FORMAT_1,1),"# ##0;-# ##0"),",-"),FIXED(ROUND((C95/EXC.RATE_1),CURRENCY.FORMAT_1),CURRENCY.FORMAT_1,0)),'DICTIONARY-5'!$A$2)</f>
        <v>636,-</v>
      </c>
      <c r="K95" s="670" t="str">
        <f>IF(EXC.RATE_2=0,"",IFERROR(IF(CURRENCY.FORMAT_2=0,CONCATENATE(TEXT(FIXED(ROUND(IF(EXC.RATE.SWITCH=1,C95/EXC.RATE_2,C95*EXC.RATE_2),CURRENCY.FORMAT_2),CURRENCY.FORMAT_2,1),"# ##0;-# ##0"),",-"),FIXED(ROUND(IF(EXC.RATE.SWITCH=1,C95/EXC.RATE_2,C95*EXC.RATE_2),CURRENCY.FORMAT_2),CURRENCY.FORMAT_2,0)),'DICTIONARY-5'!$A$2))</f>
        <v/>
      </c>
      <c r="L95" s="670" t="str">
        <f>IFERROR(IF(CURRENCY.FORMAT_1=0,CONCATENATE(TEXT(FIXED(ROUND((C95*(1-I95)*(1-ADD.DISCOUNT)*(1+MAT.SURCHARGE)/EXC.RATE_1),CURRENCY.FORMAT_1),CURRENCY.FORMAT_1,1),"# ##0;-# ##0"),",-"),FIXED(ROUND((C95*(1-I95)*(1-ADD.DISCOUNT)*(1+MAT.SURCHARGE)/EXC.RATE_1),CURRENCY.FORMAT_1),CURRENCY.FORMAT_1,0)),'DICTIONARY-5'!$A$2)</f>
        <v>661,-</v>
      </c>
      <c r="M95" s="670" t="str">
        <f>IF(EXC.RATE_2=0,"",IFERROR(IF(CURRENCY.FORMAT_2=0,CONCATENATE(TEXT(FIXED(ROUND(IF(EXC.RATE.SWITCH=1,C95*(1-I95)*(1-ADD.DISCOUNT)*(1+MAT.SURCHARGE)/EXC.RATE_2,C95*(1-I95)*(1-ADD.DISCOUNT)*(1+MAT.SURCHARGE)*EXC.RATE_2),CURRENCY.FORMAT_2),CURRENCY.FORMAT_2,1),"# ##0;-# ##0"),",-"),FIXED(ROUND(IF(EXC.RATE.SWITCH=1,C95*(1-I95)*(1-ADD.DISCOUNT)*(1+MAT.SURCHARGE)/EXC.RATE_2,C95*(1-I95)*(1-ADD.DISCOUNT)*(1+MAT.SURCHARGE)*EXC.RATE_2),CURRENCY.FORMAT_2),CURRENCY.FORMAT_2,0)),'DICTIONARY-5'!$A$2))</f>
        <v/>
      </c>
      <c r="N95" s="496">
        <v>1</v>
      </c>
      <c r="O95" s="496"/>
      <c r="P95" s="731" t="str">
        <f>'DICTIONARY-3'!$A$2</f>
        <v>EKOplus</v>
      </c>
      <c r="Q95" s="732" t="str">
        <f>'DICTIONARY-3'!$A$187</f>
        <v>Zasuwa klinowa</v>
      </c>
      <c r="R95" s="732" t="str">
        <f>CONCATENATE('DICTIONARY-3'!$A$2," ",'DICTIONARY-6'!$A$3," ",'DICTIONARY-2'!$A$2,"200"," ",'DICTIONARY-2'!$A$3,"25"," ","R15,",'DICTIONARY-4'!$A$2)</f>
        <v>EKOplus Zasuwa DN200 PN25 R15,WW</v>
      </c>
      <c r="S95" s="733" t="str">
        <f>'DICTIONARY-4'!$A$2</f>
        <v>WW</v>
      </c>
      <c r="T95" s="732" t="str">
        <f>'DICTIONARY-4'!$A$18</f>
        <v>Wolny wałek</v>
      </c>
      <c r="U95" s="734" t="s">
        <v>5750</v>
      </c>
      <c r="V95" s="735">
        <v>25</v>
      </c>
      <c r="W95" s="736"/>
      <c r="X95" s="737"/>
      <c r="Y95" s="738"/>
      <c r="Z95" s="739"/>
      <c r="AA95" s="739"/>
      <c r="AB95" s="740">
        <v>25</v>
      </c>
      <c r="AC95" s="741" t="str">
        <f>'DICTIONARY-5'!$A$11&amp;" 15"</f>
        <v>EN 558 szereg 15</v>
      </c>
      <c r="AD95" s="741" t="str">
        <f>'DICTIONARY-5'!$A$13</f>
        <v>woda pitna</v>
      </c>
      <c r="AE95" s="742">
        <v>50</v>
      </c>
      <c r="AF95" s="743">
        <v>64</v>
      </c>
      <c r="AG95" s="741" t="str">
        <f>'DICTIONARY-5'!$A$23</f>
        <v>powłoka epoksydowa</v>
      </c>
    </row>
    <row r="96" spans="1:33" x14ac:dyDescent="0.25">
      <c r="A96" s="837" t="s">
        <v>172</v>
      </c>
      <c r="B96" s="837" t="s">
        <v>4982</v>
      </c>
      <c r="C96" s="836">
        <v>1177</v>
      </c>
      <c r="D96" s="836"/>
      <c r="E96" s="836"/>
      <c r="F96" s="836"/>
      <c r="G96" s="496" t="s">
        <v>7789</v>
      </c>
      <c r="H96" s="797" t="str">
        <f>VLOOKUP(G96,SETTINGS!$B$7:$D$97,2,0)</f>
        <v>EKOplus</v>
      </c>
      <c r="I96" s="796">
        <f>VLOOKUP(G96,SETTINGS!$B$7:$D$97,3,0)</f>
        <v>0</v>
      </c>
      <c r="J96" s="670" t="str">
        <f>IFERROR(IF(CURRENCY.FORMAT_1=0,CONCATENATE(TEXT(FIXED(ROUND((C96/EXC.RATE_1),CURRENCY.FORMAT_1),CURRENCY.FORMAT_1,1),"# ##0;-# ##0"),",-"),FIXED(ROUND((C96/EXC.RATE_1),CURRENCY.FORMAT_1),CURRENCY.FORMAT_1,0)),'DICTIONARY-5'!$A$2)</f>
        <v>1 177,-</v>
      </c>
      <c r="K96" s="670" t="str">
        <f>IF(EXC.RATE_2=0,"",IFERROR(IF(CURRENCY.FORMAT_2=0,CONCATENATE(TEXT(FIXED(ROUND(IF(EXC.RATE.SWITCH=1,C96/EXC.RATE_2,C96*EXC.RATE_2),CURRENCY.FORMAT_2),CURRENCY.FORMAT_2,1),"# ##0;-# ##0"),",-"),FIXED(ROUND(IF(EXC.RATE.SWITCH=1,C96/EXC.RATE_2,C96*EXC.RATE_2),CURRENCY.FORMAT_2),CURRENCY.FORMAT_2,0)),'DICTIONARY-5'!$A$2))</f>
        <v/>
      </c>
      <c r="L96" s="670" t="str">
        <f>IFERROR(IF(CURRENCY.FORMAT_1=0,CONCATENATE(TEXT(FIXED(ROUND((C96*(1-I96)*(1-ADD.DISCOUNT)*(1+MAT.SURCHARGE)/EXC.RATE_1),CURRENCY.FORMAT_1),CURRENCY.FORMAT_1,1),"# ##0;-# ##0"),",-"),FIXED(ROUND((C96*(1-I96)*(1-ADD.DISCOUNT)*(1+MAT.SURCHARGE)/EXC.RATE_1),CURRENCY.FORMAT_1),CURRENCY.FORMAT_1,0)),'DICTIONARY-5'!$A$2)</f>
        <v>1 223,-</v>
      </c>
      <c r="M96" s="670" t="str">
        <f>IF(EXC.RATE_2=0,"",IFERROR(IF(CURRENCY.FORMAT_2=0,CONCATENATE(TEXT(FIXED(ROUND(IF(EXC.RATE.SWITCH=1,C96*(1-I96)*(1-ADD.DISCOUNT)*(1+MAT.SURCHARGE)/EXC.RATE_2,C96*(1-I96)*(1-ADD.DISCOUNT)*(1+MAT.SURCHARGE)*EXC.RATE_2),CURRENCY.FORMAT_2),CURRENCY.FORMAT_2,1),"# ##0;-# ##0"),",-"),FIXED(ROUND(IF(EXC.RATE.SWITCH=1,C96*(1-I96)*(1-ADD.DISCOUNT)*(1+MAT.SURCHARGE)/EXC.RATE_2,C96*(1-I96)*(1-ADD.DISCOUNT)*(1+MAT.SURCHARGE)*EXC.RATE_2),CURRENCY.FORMAT_2),CURRENCY.FORMAT_2,0)),'DICTIONARY-5'!$A$2))</f>
        <v/>
      </c>
      <c r="N96" s="496">
        <v>1</v>
      </c>
      <c r="O96" s="496"/>
      <c r="P96" s="731" t="str">
        <f>'DICTIONARY-3'!$A$2</f>
        <v>EKOplus</v>
      </c>
      <c r="Q96" s="732" t="str">
        <f>'DICTIONARY-3'!$A$187</f>
        <v>Zasuwa klinowa</v>
      </c>
      <c r="R96" s="732" t="str">
        <f>CONCATENATE('DICTIONARY-3'!$A$2," ",'DICTIONARY-6'!$A$3," ",'DICTIONARY-2'!$A$2,"250"," ",'DICTIONARY-2'!$A$3,"25"," ","R15,",'DICTIONARY-4'!$A$2)</f>
        <v>EKOplus Zasuwa DN250 PN25 R15,WW</v>
      </c>
      <c r="S96" s="733" t="str">
        <f>'DICTIONARY-4'!$A$2</f>
        <v>WW</v>
      </c>
      <c r="T96" s="732" t="str">
        <f>'DICTIONARY-4'!$A$18</f>
        <v>Wolny wałek</v>
      </c>
      <c r="U96" s="734" t="s">
        <v>5751</v>
      </c>
      <c r="V96" s="735">
        <v>25</v>
      </c>
      <c r="W96" s="736"/>
      <c r="X96" s="737"/>
      <c r="Y96" s="738"/>
      <c r="Z96" s="739"/>
      <c r="AA96" s="739"/>
      <c r="AB96" s="740">
        <v>25</v>
      </c>
      <c r="AC96" s="741" t="str">
        <f>'DICTIONARY-5'!$A$11&amp;" 15"</f>
        <v>EN 558 szereg 15</v>
      </c>
      <c r="AD96" s="741" t="str">
        <f>'DICTIONARY-5'!$A$13</f>
        <v>woda pitna</v>
      </c>
      <c r="AE96" s="742">
        <v>50</v>
      </c>
      <c r="AF96" s="743">
        <v>110</v>
      </c>
      <c r="AG96" s="741" t="str">
        <f>'DICTIONARY-5'!$A$23</f>
        <v>powłoka epoksydowa</v>
      </c>
    </row>
    <row r="97" spans="1:33" x14ac:dyDescent="0.25">
      <c r="A97" s="837" t="s">
        <v>173</v>
      </c>
      <c r="B97" s="837" t="s">
        <v>4983</v>
      </c>
      <c r="C97" s="836">
        <v>1478</v>
      </c>
      <c r="D97" s="836"/>
      <c r="E97" s="836"/>
      <c r="F97" s="836"/>
      <c r="G97" s="496" t="s">
        <v>7789</v>
      </c>
      <c r="H97" s="797" t="str">
        <f>VLOOKUP(G97,SETTINGS!$B$7:$D$97,2,0)</f>
        <v>EKOplus</v>
      </c>
      <c r="I97" s="796">
        <f>VLOOKUP(G97,SETTINGS!$B$7:$D$97,3,0)</f>
        <v>0</v>
      </c>
      <c r="J97" s="670" t="str">
        <f>IFERROR(IF(CURRENCY.FORMAT_1=0,CONCATENATE(TEXT(FIXED(ROUND((C97/EXC.RATE_1),CURRENCY.FORMAT_1),CURRENCY.FORMAT_1,1),"# ##0;-# ##0"),",-"),FIXED(ROUND((C97/EXC.RATE_1),CURRENCY.FORMAT_1),CURRENCY.FORMAT_1,0)),'DICTIONARY-5'!$A$2)</f>
        <v>1 478,-</v>
      </c>
      <c r="K97" s="670" t="str">
        <f>IF(EXC.RATE_2=0,"",IFERROR(IF(CURRENCY.FORMAT_2=0,CONCATENATE(TEXT(FIXED(ROUND(IF(EXC.RATE.SWITCH=1,C97/EXC.RATE_2,C97*EXC.RATE_2),CURRENCY.FORMAT_2),CURRENCY.FORMAT_2,1),"# ##0;-# ##0"),",-"),FIXED(ROUND(IF(EXC.RATE.SWITCH=1,C97/EXC.RATE_2,C97*EXC.RATE_2),CURRENCY.FORMAT_2),CURRENCY.FORMAT_2,0)),'DICTIONARY-5'!$A$2))</f>
        <v/>
      </c>
      <c r="L97" s="670" t="str">
        <f>IFERROR(IF(CURRENCY.FORMAT_1=0,CONCATENATE(TEXT(FIXED(ROUND((C97*(1-I97)*(1-ADD.DISCOUNT)*(1+MAT.SURCHARGE)/EXC.RATE_1),CURRENCY.FORMAT_1),CURRENCY.FORMAT_1,1),"# ##0;-# ##0"),",-"),FIXED(ROUND((C97*(1-I97)*(1-ADD.DISCOUNT)*(1+MAT.SURCHARGE)/EXC.RATE_1),CURRENCY.FORMAT_1),CURRENCY.FORMAT_1,0)),'DICTIONARY-5'!$A$2)</f>
        <v>1 536,-</v>
      </c>
      <c r="M97" s="670" t="str">
        <f>IF(EXC.RATE_2=0,"",IFERROR(IF(CURRENCY.FORMAT_2=0,CONCATENATE(TEXT(FIXED(ROUND(IF(EXC.RATE.SWITCH=1,C97*(1-I97)*(1-ADD.DISCOUNT)*(1+MAT.SURCHARGE)/EXC.RATE_2,C97*(1-I97)*(1-ADD.DISCOUNT)*(1+MAT.SURCHARGE)*EXC.RATE_2),CURRENCY.FORMAT_2),CURRENCY.FORMAT_2,1),"# ##0;-# ##0"),",-"),FIXED(ROUND(IF(EXC.RATE.SWITCH=1,C97*(1-I97)*(1-ADD.DISCOUNT)*(1+MAT.SURCHARGE)/EXC.RATE_2,C97*(1-I97)*(1-ADD.DISCOUNT)*(1+MAT.SURCHARGE)*EXC.RATE_2),CURRENCY.FORMAT_2),CURRENCY.FORMAT_2,0)),'DICTIONARY-5'!$A$2))</f>
        <v/>
      </c>
      <c r="N97" s="496">
        <v>1</v>
      </c>
      <c r="O97" s="496"/>
      <c r="P97" s="731" t="str">
        <f>'DICTIONARY-3'!$A$2</f>
        <v>EKOplus</v>
      </c>
      <c r="Q97" s="732" t="str">
        <f>'DICTIONARY-3'!$A$187</f>
        <v>Zasuwa klinowa</v>
      </c>
      <c r="R97" s="732" t="str">
        <f>CONCATENATE('DICTIONARY-3'!$A$2," ",'DICTIONARY-6'!$A$3," ",'DICTIONARY-2'!$A$2,"300"," ",'DICTIONARY-2'!$A$3,"25"," ","R15,",'DICTIONARY-4'!$A$2)</f>
        <v>EKOplus Zasuwa DN300 PN25 R15,WW</v>
      </c>
      <c r="S97" s="733" t="str">
        <f>'DICTIONARY-4'!$A$2</f>
        <v>WW</v>
      </c>
      <c r="T97" s="732" t="str">
        <f>'DICTIONARY-4'!$A$18</f>
        <v>Wolny wałek</v>
      </c>
      <c r="U97" s="734" t="s">
        <v>5752</v>
      </c>
      <c r="V97" s="735">
        <v>25</v>
      </c>
      <c r="W97" s="736"/>
      <c r="X97" s="737"/>
      <c r="Y97" s="738"/>
      <c r="Z97" s="739"/>
      <c r="AA97" s="739"/>
      <c r="AB97" s="740">
        <v>25</v>
      </c>
      <c r="AC97" s="741" t="str">
        <f>'DICTIONARY-5'!$A$11&amp;" 15"</f>
        <v>EN 558 szereg 15</v>
      </c>
      <c r="AD97" s="741" t="str">
        <f>'DICTIONARY-5'!$A$13</f>
        <v>woda pitna</v>
      </c>
      <c r="AE97" s="742">
        <v>50</v>
      </c>
      <c r="AF97" s="743">
        <v>152</v>
      </c>
      <c r="AG97" s="741" t="str">
        <f>'DICTIONARY-5'!$A$23</f>
        <v>powłoka epoksydowa</v>
      </c>
    </row>
    <row r="98" spans="1:33" x14ac:dyDescent="0.25">
      <c r="A98" s="837" t="s">
        <v>174</v>
      </c>
      <c r="B98" s="837" t="s">
        <v>4984</v>
      </c>
      <c r="C98" s="836">
        <v>3354</v>
      </c>
      <c r="D98" s="836"/>
      <c r="E98" s="836"/>
      <c r="F98" s="836"/>
      <c r="G98" s="496" t="s">
        <v>7789</v>
      </c>
      <c r="H98" s="797" t="str">
        <f>VLOOKUP(G98,SETTINGS!$B$7:$D$97,2,0)</f>
        <v>EKOplus</v>
      </c>
      <c r="I98" s="796">
        <f>VLOOKUP(G98,SETTINGS!$B$7:$D$97,3,0)</f>
        <v>0</v>
      </c>
      <c r="J98" s="670" t="str">
        <f>IFERROR(IF(CURRENCY.FORMAT_1=0,CONCATENATE(TEXT(FIXED(ROUND((C98/EXC.RATE_1),CURRENCY.FORMAT_1),CURRENCY.FORMAT_1,1),"# ##0;-# ##0"),",-"),FIXED(ROUND((C98/EXC.RATE_1),CURRENCY.FORMAT_1),CURRENCY.FORMAT_1,0)),'DICTIONARY-5'!$A$2)</f>
        <v>3 354,-</v>
      </c>
      <c r="K98" s="670" t="str">
        <f>IF(EXC.RATE_2=0,"",IFERROR(IF(CURRENCY.FORMAT_2=0,CONCATENATE(TEXT(FIXED(ROUND(IF(EXC.RATE.SWITCH=1,C98/EXC.RATE_2,C98*EXC.RATE_2),CURRENCY.FORMAT_2),CURRENCY.FORMAT_2,1),"# ##0;-# ##0"),",-"),FIXED(ROUND(IF(EXC.RATE.SWITCH=1,C98/EXC.RATE_2,C98*EXC.RATE_2),CURRENCY.FORMAT_2),CURRENCY.FORMAT_2,0)),'DICTIONARY-5'!$A$2))</f>
        <v/>
      </c>
      <c r="L98" s="670" t="str">
        <f>IFERROR(IF(CURRENCY.FORMAT_1=0,CONCATENATE(TEXT(FIXED(ROUND((C98*(1-I98)*(1-ADD.DISCOUNT)*(1+MAT.SURCHARGE)/EXC.RATE_1),CURRENCY.FORMAT_1),CURRENCY.FORMAT_1,1),"# ##0;-# ##0"),",-"),FIXED(ROUND((C98*(1-I98)*(1-ADD.DISCOUNT)*(1+MAT.SURCHARGE)/EXC.RATE_1),CURRENCY.FORMAT_1),CURRENCY.FORMAT_1,0)),'DICTIONARY-5'!$A$2)</f>
        <v>3 485,-</v>
      </c>
      <c r="M98" s="670" t="str">
        <f>IF(EXC.RATE_2=0,"",IFERROR(IF(CURRENCY.FORMAT_2=0,CONCATENATE(TEXT(FIXED(ROUND(IF(EXC.RATE.SWITCH=1,C98*(1-I98)*(1-ADD.DISCOUNT)*(1+MAT.SURCHARGE)/EXC.RATE_2,C98*(1-I98)*(1-ADD.DISCOUNT)*(1+MAT.SURCHARGE)*EXC.RATE_2),CURRENCY.FORMAT_2),CURRENCY.FORMAT_2,1),"# ##0;-# ##0"),",-"),FIXED(ROUND(IF(EXC.RATE.SWITCH=1,C98*(1-I98)*(1-ADD.DISCOUNT)*(1+MAT.SURCHARGE)/EXC.RATE_2,C98*(1-I98)*(1-ADD.DISCOUNT)*(1+MAT.SURCHARGE)*EXC.RATE_2),CURRENCY.FORMAT_2),CURRENCY.FORMAT_2,0)),'DICTIONARY-5'!$A$2))</f>
        <v/>
      </c>
      <c r="N98" s="496">
        <v>1</v>
      </c>
      <c r="O98" s="496"/>
      <c r="P98" s="731" t="str">
        <f>'DICTIONARY-3'!$A$2</f>
        <v>EKOplus</v>
      </c>
      <c r="Q98" s="732" t="str">
        <f>'DICTIONARY-3'!$A$187</f>
        <v>Zasuwa klinowa</v>
      </c>
      <c r="R98" s="732" t="str">
        <f>CONCATENATE('DICTIONARY-3'!$A$2," ",'DICTIONARY-6'!$A$3," ",'DICTIONARY-2'!$A$2,"400"," ",'DICTIONARY-2'!$A$3,"25"," ","R15,",'DICTIONARY-4'!$A$2)</f>
        <v>EKOplus Zasuwa DN400 PN25 R15,WW</v>
      </c>
      <c r="S98" s="733" t="str">
        <f>'DICTIONARY-4'!$A$2</f>
        <v>WW</v>
      </c>
      <c r="T98" s="732" t="str">
        <f>'DICTIONARY-4'!$A$18</f>
        <v>Wolny wałek</v>
      </c>
      <c r="U98" s="734" t="s">
        <v>5754</v>
      </c>
      <c r="V98" s="735">
        <v>25</v>
      </c>
      <c r="W98" s="736"/>
      <c r="X98" s="737"/>
      <c r="Y98" s="738"/>
      <c r="Z98" s="739"/>
      <c r="AA98" s="739"/>
      <c r="AB98" s="740">
        <v>25</v>
      </c>
      <c r="AC98" s="741" t="str">
        <f>'DICTIONARY-5'!$A$11&amp;" 15"</f>
        <v>EN 558 szereg 15</v>
      </c>
      <c r="AD98" s="741" t="str">
        <f>'DICTIONARY-5'!$A$13</f>
        <v>woda pitna</v>
      </c>
      <c r="AE98" s="742">
        <v>50</v>
      </c>
      <c r="AF98" s="743">
        <v>395.5</v>
      </c>
      <c r="AG98" s="741" t="str">
        <f>'DICTIONARY-5'!$A$23</f>
        <v>powłoka epoksydowa</v>
      </c>
    </row>
    <row r="99" spans="1:33" x14ac:dyDescent="0.25">
      <c r="A99" s="837" t="s">
        <v>175</v>
      </c>
      <c r="B99" s="837" t="s">
        <v>4985</v>
      </c>
      <c r="C99" s="836">
        <v>5868</v>
      </c>
      <c r="D99" s="836"/>
      <c r="E99" s="836"/>
      <c r="F99" s="836"/>
      <c r="G99" s="496" t="s">
        <v>7789</v>
      </c>
      <c r="H99" s="797" t="str">
        <f>VLOOKUP(G99,SETTINGS!$B$7:$D$97,2,0)</f>
        <v>EKOplus</v>
      </c>
      <c r="I99" s="796">
        <f>VLOOKUP(G99,SETTINGS!$B$7:$D$97,3,0)</f>
        <v>0</v>
      </c>
      <c r="J99" s="670" t="str">
        <f>IFERROR(IF(CURRENCY.FORMAT_1=0,CONCATENATE(TEXT(FIXED(ROUND((C99/EXC.RATE_1),CURRENCY.FORMAT_1),CURRENCY.FORMAT_1,1),"# ##0;-# ##0"),",-"),FIXED(ROUND((C99/EXC.RATE_1),CURRENCY.FORMAT_1),CURRENCY.FORMAT_1,0)),'DICTIONARY-5'!$A$2)</f>
        <v>5 868,-</v>
      </c>
      <c r="K99" s="670" t="str">
        <f>IF(EXC.RATE_2=0,"",IFERROR(IF(CURRENCY.FORMAT_2=0,CONCATENATE(TEXT(FIXED(ROUND(IF(EXC.RATE.SWITCH=1,C99/EXC.RATE_2,C99*EXC.RATE_2),CURRENCY.FORMAT_2),CURRENCY.FORMAT_2,1),"# ##0;-# ##0"),",-"),FIXED(ROUND(IF(EXC.RATE.SWITCH=1,C99/EXC.RATE_2,C99*EXC.RATE_2),CURRENCY.FORMAT_2),CURRENCY.FORMAT_2,0)),'DICTIONARY-5'!$A$2))</f>
        <v/>
      </c>
      <c r="L99" s="670" t="str">
        <f>IFERROR(IF(CURRENCY.FORMAT_1=0,CONCATENATE(TEXT(FIXED(ROUND((C99*(1-I99)*(1-ADD.DISCOUNT)*(1+MAT.SURCHARGE)/EXC.RATE_1),CURRENCY.FORMAT_1),CURRENCY.FORMAT_1,1),"# ##0;-# ##0"),",-"),FIXED(ROUND((C99*(1-I99)*(1-ADD.DISCOUNT)*(1+MAT.SURCHARGE)/EXC.RATE_1),CURRENCY.FORMAT_1),CURRENCY.FORMAT_1,0)),'DICTIONARY-5'!$A$2)</f>
        <v>6 097,-</v>
      </c>
      <c r="M99" s="670" t="str">
        <f>IF(EXC.RATE_2=0,"",IFERROR(IF(CURRENCY.FORMAT_2=0,CONCATENATE(TEXT(FIXED(ROUND(IF(EXC.RATE.SWITCH=1,C99*(1-I99)*(1-ADD.DISCOUNT)*(1+MAT.SURCHARGE)/EXC.RATE_2,C99*(1-I99)*(1-ADD.DISCOUNT)*(1+MAT.SURCHARGE)*EXC.RATE_2),CURRENCY.FORMAT_2),CURRENCY.FORMAT_2,1),"# ##0;-# ##0"),",-"),FIXED(ROUND(IF(EXC.RATE.SWITCH=1,C99*(1-I99)*(1-ADD.DISCOUNT)*(1+MAT.SURCHARGE)/EXC.RATE_2,C99*(1-I99)*(1-ADD.DISCOUNT)*(1+MAT.SURCHARGE)*EXC.RATE_2),CURRENCY.FORMAT_2),CURRENCY.FORMAT_2,0)),'DICTIONARY-5'!$A$2))</f>
        <v/>
      </c>
      <c r="N99" s="496">
        <v>1</v>
      </c>
      <c r="O99" s="496"/>
      <c r="P99" s="731" t="str">
        <f>'DICTIONARY-3'!$A$2</f>
        <v>EKOplus</v>
      </c>
      <c r="Q99" s="732" t="str">
        <f>'DICTIONARY-3'!$A$187</f>
        <v>Zasuwa klinowa</v>
      </c>
      <c r="R99" s="732" t="str">
        <f>CONCATENATE('DICTIONARY-3'!$A$2," ",'DICTIONARY-6'!$A$3," ",'DICTIONARY-2'!$A$2,"500"," ",'DICTIONARY-2'!$A$3,"25"," ","R15,",'DICTIONARY-4'!$A$2)</f>
        <v>EKOplus Zasuwa DN500 PN25 R15,WW</v>
      </c>
      <c r="S99" s="733" t="str">
        <f>'DICTIONARY-4'!$A$2</f>
        <v>WW</v>
      </c>
      <c r="T99" s="732" t="str">
        <f>'DICTIONARY-4'!$A$18</f>
        <v>Wolny wałek</v>
      </c>
      <c r="U99" s="734" t="s">
        <v>5756</v>
      </c>
      <c r="V99" s="735">
        <v>25</v>
      </c>
      <c r="W99" s="736"/>
      <c r="X99" s="737"/>
      <c r="Y99" s="738"/>
      <c r="Z99" s="739"/>
      <c r="AA99" s="739"/>
      <c r="AB99" s="740">
        <v>25</v>
      </c>
      <c r="AC99" s="741" t="str">
        <f>'DICTIONARY-5'!$A$11&amp;" 15"</f>
        <v>EN 558 szereg 15</v>
      </c>
      <c r="AD99" s="741" t="str">
        <f>'DICTIONARY-5'!$A$13</f>
        <v>woda pitna</v>
      </c>
      <c r="AE99" s="742">
        <v>50</v>
      </c>
      <c r="AF99" s="743">
        <v>614.5</v>
      </c>
      <c r="AG99" s="741" t="str">
        <f>'DICTIONARY-5'!$A$23</f>
        <v>powłoka epoksydowa</v>
      </c>
    </row>
    <row r="100" spans="1:33" x14ac:dyDescent="0.25">
      <c r="A100" s="837" t="s">
        <v>155</v>
      </c>
      <c r="B100" s="837" t="s">
        <v>3326</v>
      </c>
      <c r="C100" s="836">
        <v>146</v>
      </c>
      <c r="D100" s="836"/>
      <c r="E100" s="836"/>
      <c r="F100" s="836"/>
      <c r="G100" s="496" t="s">
        <v>7789</v>
      </c>
      <c r="H100" s="797" t="str">
        <f>VLOOKUP(G100,SETTINGS!$B$7:$D$97,2,0)</f>
        <v>EKOplus</v>
      </c>
      <c r="I100" s="796">
        <f>VLOOKUP(G100,SETTINGS!$B$7:$D$97,3,0)</f>
        <v>0</v>
      </c>
      <c r="J100" s="670" t="str">
        <f>IFERROR(IF(CURRENCY.FORMAT_1=0,CONCATENATE(TEXT(FIXED(ROUND((C100/EXC.RATE_1),CURRENCY.FORMAT_1),CURRENCY.FORMAT_1,1),"# ##0;-# ##0"),",-"),FIXED(ROUND((C100/EXC.RATE_1),CURRENCY.FORMAT_1),CURRENCY.FORMAT_1,0)),'DICTIONARY-5'!$A$2)</f>
        <v>146,-</v>
      </c>
      <c r="K100" s="670" t="str">
        <f>IF(EXC.RATE_2=0,"",IFERROR(IF(CURRENCY.FORMAT_2=0,CONCATENATE(TEXT(FIXED(ROUND(IF(EXC.RATE.SWITCH=1,C100/EXC.RATE_2,C100*EXC.RATE_2),CURRENCY.FORMAT_2),CURRENCY.FORMAT_2,1),"# ##0;-# ##0"),",-"),FIXED(ROUND(IF(EXC.RATE.SWITCH=1,C100/EXC.RATE_2,C100*EXC.RATE_2),CURRENCY.FORMAT_2),CURRENCY.FORMAT_2,0)),'DICTIONARY-5'!$A$2))</f>
        <v/>
      </c>
      <c r="L100" s="670" t="str">
        <f>IFERROR(IF(CURRENCY.FORMAT_1=0,CONCATENATE(TEXT(FIXED(ROUND((C100*(1-I100)*(1-ADD.DISCOUNT)*(1+MAT.SURCHARGE)/EXC.RATE_1),CURRENCY.FORMAT_1),CURRENCY.FORMAT_1,1),"# ##0;-# ##0"),",-"),FIXED(ROUND((C100*(1-I100)*(1-ADD.DISCOUNT)*(1+MAT.SURCHARGE)/EXC.RATE_1),CURRENCY.FORMAT_1),CURRENCY.FORMAT_1,0)),'DICTIONARY-5'!$A$2)</f>
        <v>152,-</v>
      </c>
      <c r="M100" s="670" t="str">
        <f>IF(EXC.RATE_2=0,"",IFERROR(IF(CURRENCY.FORMAT_2=0,CONCATENATE(TEXT(FIXED(ROUND(IF(EXC.RATE.SWITCH=1,C100*(1-I100)*(1-ADD.DISCOUNT)*(1+MAT.SURCHARGE)/EXC.RATE_2,C100*(1-I100)*(1-ADD.DISCOUNT)*(1+MAT.SURCHARGE)*EXC.RATE_2),CURRENCY.FORMAT_2),CURRENCY.FORMAT_2,1),"# ##0;-# ##0"),",-"),FIXED(ROUND(IF(EXC.RATE.SWITCH=1,C100*(1-I100)*(1-ADD.DISCOUNT)*(1+MAT.SURCHARGE)/EXC.RATE_2,C100*(1-I100)*(1-ADD.DISCOUNT)*(1+MAT.SURCHARGE)*EXC.RATE_2),CURRENCY.FORMAT_2),CURRENCY.FORMAT_2,0)),'DICTIONARY-5'!$A$2))</f>
        <v/>
      </c>
      <c r="N100" s="496">
        <v>1</v>
      </c>
      <c r="O100" s="496"/>
      <c r="P100" s="731" t="str">
        <f>'DICTIONARY-3'!$A$2</f>
        <v>EKOplus</v>
      </c>
      <c r="Q100" s="732" t="str">
        <f>'DICTIONARY-3'!$A$187</f>
        <v>Zasuwa klinowa</v>
      </c>
      <c r="R100" s="732" t="str">
        <f>CONCATENATE('DICTIONARY-3'!$A$2," ",'DICTIONARY-6'!$A$3," ",'DICTIONARY-2'!$A$2,"40"," ",'DICTIONARY-2'!$A$3,"10"," ",'DICTIONARY-5'!$A$8,", ",'DICTIONARY-4'!$A$2)</f>
        <v>EKOplus Zasuwa DN40 PN10 ČSN, WW</v>
      </c>
      <c r="S100" s="733" t="str">
        <f>'DICTIONARY-4'!$A$2</f>
        <v>WW</v>
      </c>
      <c r="T100" s="732" t="str">
        <f>'DICTIONARY-4'!$A$18</f>
        <v>Wolny wałek</v>
      </c>
      <c r="U100" s="734" t="s">
        <v>5758</v>
      </c>
      <c r="V100" s="735">
        <v>10</v>
      </c>
      <c r="W100" s="736"/>
      <c r="X100" s="737"/>
      <c r="Y100" s="738"/>
      <c r="Z100" s="739"/>
      <c r="AA100" s="739"/>
      <c r="AB100" s="740">
        <v>10</v>
      </c>
      <c r="AC100" s="741" t="str">
        <f>'DICTIONARY-5'!$A$8&amp;" 13 3045"</f>
        <v>ČSN 13 3045</v>
      </c>
      <c r="AD100" s="741" t="str">
        <f>'DICTIONARY-5'!$A$13</f>
        <v>woda pitna</v>
      </c>
      <c r="AE100" s="742">
        <v>50</v>
      </c>
      <c r="AF100" s="743">
        <v>8.5</v>
      </c>
      <c r="AG100" s="741" t="str">
        <f>'DICTIONARY-5'!$A$23</f>
        <v>powłoka epoksydowa</v>
      </c>
    </row>
    <row r="101" spans="1:33" x14ac:dyDescent="0.25">
      <c r="A101" s="837" t="s">
        <v>156</v>
      </c>
      <c r="B101" s="837" t="s">
        <v>3327</v>
      </c>
      <c r="C101" s="836">
        <v>167</v>
      </c>
      <c r="D101" s="836"/>
      <c r="E101" s="836"/>
      <c r="F101" s="836"/>
      <c r="G101" s="496" t="s">
        <v>7789</v>
      </c>
      <c r="H101" s="797" t="str">
        <f>VLOOKUP(G101,SETTINGS!$B$7:$D$97,2,0)</f>
        <v>EKOplus</v>
      </c>
      <c r="I101" s="796">
        <f>VLOOKUP(G101,SETTINGS!$B$7:$D$97,3,0)</f>
        <v>0</v>
      </c>
      <c r="J101" s="670" t="str">
        <f>IFERROR(IF(CURRENCY.FORMAT_1=0,CONCATENATE(TEXT(FIXED(ROUND((C101/EXC.RATE_1),CURRENCY.FORMAT_1),CURRENCY.FORMAT_1,1),"# ##0;-# ##0"),",-"),FIXED(ROUND((C101/EXC.RATE_1),CURRENCY.FORMAT_1),CURRENCY.FORMAT_1,0)),'DICTIONARY-5'!$A$2)</f>
        <v>167,-</v>
      </c>
      <c r="K101" s="670" t="str">
        <f>IF(EXC.RATE_2=0,"",IFERROR(IF(CURRENCY.FORMAT_2=0,CONCATENATE(TEXT(FIXED(ROUND(IF(EXC.RATE.SWITCH=1,C101/EXC.RATE_2,C101*EXC.RATE_2),CURRENCY.FORMAT_2),CURRENCY.FORMAT_2,1),"# ##0;-# ##0"),",-"),FIXED(ROUND(IF(EXC.RATE.SWITCH=1,C101/EXC.RATE_2,C101*EXC.RATE_2),CURRENCY.FORMAT_2),CURRENCY.FORMAT_2,0)),'DICTIONARY-5'!$A$2))</f>
        <v/>
      </c>
      <c r="L101" s="670" t="str">
        <f>IFERROR(IF(CURRENCY.FORMAT_1=0,CONCATENATE(TEXT(FIXED(ROUND((C101*(1-I101)*(1-ADD.DISCOUNT)*(1+MAT.SURCHARGE)/EXC.RATE_1),CURRENCY.FORMAT_1),CURRENCY.FORMAT_1,1),"# ##0;-# ##0"),",-"),FIXED(ROUND((C101*(1-I101)*(1-ADD.DISCOUNT)*(1+MAT.SURCHARGE)/EXC.RATE_1),CURRENCY.FORMAT_1),CURRENCY.FORMAT_1,0)),'DICTIONARY-5'!$A$2)</f>
        <v>174,-</v>
      </c>
      <c r="M101" s="670" t="str">
        <f>IF(EXC.RATE_2=0,"",IFERROR(IF(CURRENCY.FORMAT_2=0,CONCATENATE(TEXT(FIXED(ROUND(IF(EXC.RATE.SWITCH=1,C101*(1-I101)*(1-ADD.DISCOUNT)*(1+MAT.SURCHARGE)/EXC.RATE_2,C101*(1-I101)*(1-ADD.DISCOUNT)*(1+MAT.SURCHARGE)*EXC.RATE_2),CURRENCY.FORMAT_2),CURRENCY.FORMAT_2,1),"# ##0;-# ##0"),",-"),FIXED(ROUND(IF(EXC.RATE.SWITCH=1,C101*(1-I101)*(1-ADD.DISCOUNT)*(1+MAT.SURCHARGE)/EXC.RATE_2,C101*(1-I101)*(1-ADD.DISCOUNT)*(1+MAT.SURCHARGE)*EXC.RATE_2),CURRENCY.FORMAT_2),CURRENCY.FORMAT_2,0)),'DICTIONARY-5'!$A$2))</f>
        <v/>
      </c>
      <c r="N101" s="496">
        <v>1</v>
      </c>
      <c r="O101" s="496"/>
      <c r="P101" s="731" t="str">
        <f>'DICTIONARY-3'!$A$2</f>
        <v>EKOplus</v>
      </c>
      <c r="Q101" s="732" t="str">
        <f>'DICTIONARY-3'!$A$187</f>
        <v>Zasuwa klinowa</v>
      </c>
      <c r="R101" s="732" t="str">
        <f>CONCATENATE('DICTIONARY-3'!$A$2," ",'DICTIONARY-6'!$A$3," ",'DICTIONARY-2'!$A$2,"50"," ",'DICTIONARY-2'!$A$3,"10"," ",'DICTIONARY-5'!$A$8,", ",'DICTIONARY-4'!$A$2)</f>
        <v>EKOplus Zasuwa DN50 PN10 ČSN, WW</v>
      </c>
      <c r="S101" s="733" t="str">
        <f>'DICTIONARY-4'!$A$2</f>
        <v>WW</v>
      </c>
      <c r="T101" s="732" t="str">
        <f>'DICTIONARY-4'!$A$18</f>
        <v>Wolny wałek</v>
      </c>
      <c r="U101" s="734" t="s">
        <v>5748</v>
      </c>
      <c r="V101" s="735">
        <v>10</v>
      </c>
      <c r="W101" s="736"/>
      <c r="X101" s="737"/>
      <c r="Y101" s="738"/>
      <c r="Z101" s="739"/>
      <c r="AA101" s="739"/>
      <c r="AB101" s="740">
        <v>10</v>
      </c>
      <c r="AC101" s="741" t="str">
        <f>'DICTIONARY-5'!$A$8&amp;" 13 3045"</f>
        <v>ČSN 13 3045</v>
      </c>
      <c r="AD101" s="741" t="str">
        <f>'DICTIONARY-5'!$A$13</f>
        <v>woda pitna</v>
      </c>
      <c r="AE101" s="742">
        <v>50</v>
      </c>
      <c r="AF101" s="743">
        <v>10</v>
      </c>
      <c r="AG101" s="741" t="str">
        <f>'DICTIONARY-5'!$A$23</f>
        <v>powłoka epoksydowa</v>
      </c>
    </row>
    <row r="102" spans="1:33" x14ac:dyDescent="0.25">
      <c r="A102" s="837" t="s">
        <v>157</v>
      </c>
      <c r="B102" s="837" t="s">
        <v>3328</v>
      </c>
      <c r="C102" s="836">
        <v>184</v>
      </c>
      <c r="D102" s="836"/>
      <c r="E102" s="836"/>
      <c r="F102" s="836"/>
      <c r="G102" s="496" t="s">
        <v>7789</v>
      </c>
      <c r="H102" s="797" t="str">
        <f>VLOOKUP(G102,SETTINGS!$B$7:$D$97,2,0)</f>
        <v>EKOplus</v>
      </c>
      <c r="I102" s="796">
        <f>VLOOKUP(G102,SETTINGS!$B$7:$D$97,3,0)</f>
        <v>0</v>
      </c>
      <c r="J102" s="670" t="str">
        <f>IFERROR(IF(CURRENCY.FORMAT_1=0,CONCATENATE(TEXT(FIXED(ROUND((C102/EXC.RATE_1),CURRENCY.FORMAT_1),CURRENCY.FORMAT_1,1),"# ##0;-# ##0"),",-"),FIXED(ROUND((C102/EXC.RATE_1),CURRENCY.FORMAT_1),CURRENCY.FORMAT_1,0)),'DICTIONARY-5'!$A$2)</f>
        <v>184,-</v>
      </c>
      <c r="K102" s="670" t="str">
        <f>IF(EXC.RATE_2=0,"",IFERROR(IF(CURRENCY.FORMAT_2=0,CONCATENATE(TEXT(FIXED(ROUND(IF(EXC.RATE.SWITCH=1,C102/EXC.RATE_2,C102*EXC.RATE_2),CURRENCY.FORMAT_2),CURRENCY.FORMAT_2,1),"# ##0;-# ##0"),",-"),FIXED(ROUND(IF(EXC.RATE.SWITCH=1,C102/EXC.RATE_2,C102*EXC.RATE_2),CURRENCY.FORMAT_2),CURRENCY.FORMAT_2,0)),'DICTIONARY-5'!$A$2))</f>
        <v/>
      </c>
      <c r="L102" s="670" t="str">
        <f>IFERROR(IF(CURRENCY.FORMAT_1=0,CONCATENATE(TEXT(FIXED(ROUND((C102*(1-I102)*(1-ADD.DISCOUNT)*(1+MAT.SURCHARGE)/EXC.RATE_1),CURRENCY.FORMAT_1),CURRENCY.FORMAT_1,1),"# ##0;-# ##0"),",-"),FIXED(ROUND((C102*(1-I102)*(1-ADD.DISCOUNT)*(1+MAT.SURCHARGE)/EXC.RATE_1),CURRENCY.FORMAT_1),CURRENCY.FORMAT_1,0)),'DICTIONARY-5'!$A$2)</f>
        <v>191,-</v>
      </c>
      <c r="M102" s="670" t="str">
        <f>IF(EXC.RATE_2=0,"",IFERROR(IF(CURRENCY.FORMAT_2=0,CONCATENATE(TEXT(FIXED(ROUND(IF(EXC.RATE.SWITCH=1,C102*(1-I102)*(1-ADD.DISCOUNT)*(1+MAT.SURCHARGE)/EXC.RATE_2,C102*(1-I102)*(1-ADD.DISCOUNT)*(1+MAT.SURCHARGE)*EXC.RATE_2),CURRENCY.FORMAT_2),CURRENCY.FORMAT_2,1),"# ##0;-# ##0"),",-"),FIXED(ROUND(IF(EXC.RATE.SWITCH=1,C102*(1-I102)*(1-ADD.DISCOUNT)*(1+MAT.SURCHARGE)/EXC.RATE_2,C102*(1-I102)*(1-ADD.DISCOUNT)*(1+MAT.SURCHARGE)*EXC.RATE_2),CURRENCY.FORMAT_2),CURRENCY.FORMAT_2,0)),'DICTIONARY-5'!$A$2))</f>
        <v/>
      </c>
      <c r="N102" s="496">
        <v>1</v>
      </c>
      <c r="O102" s="496"/>
      <c r="P102" s="731" t="str">
        <f>'DICTIONARY-3'!$A$2</f>
        <v>EKOplus</v>
      </c>
      <c r="Q102" s="732" t="str">
        <f>'DICTIONARY-3'!$A$187</f>
        <v>Zasuwa klinowa</v>
      </c>
      <c r="R102" s="732" t="str">
        <f>CONCATENATE('DICTIONARY-3'!$A$2," ",'DICTIONARY-6'!$A$3," ",'DICTIONARY-2'!$A$2,"65"," ",'DICTIONARY-2'!$A$3,"10"," ",'DICTIONARY-5'!$A$8,", ",'DICTIONARY-4'!$A$2)</f>
        <v>EKOplus Zasuwa DN65 PN10 ČSN, WW</v>
      </c>
      <c r="S102" s="733" t="str">
        <f>'DICTIONARY-4'!$A$2</f>
        <v>WW</v>
      </c>
      <c r="T102" s="732" t="str">
        <f>'DICTIONARY-4'!$A$18</f>
        <v>Wolny wałek</v>
      </c>
      <c r="U102" s="734" t="s">
        <v>5759</v>
      </c>
      <c r="V102" s="735">
        <v>10</v>
      </c>
      <c r="W102" s="736"/>
      <c r="X102" s="737"/>
      <c r="Y102" s="738"/>
      <c r="Z102" s="739"/>
      <c r="AA102" s="739"/>
      <c r="AB102" s="740">
        <v>10</v>
      </c>
      <c r="AC102" s="741" t="str">
        <f>'DICTIONARY-5'!$A$8&amp;" 13 3045"</f>
        <v>ČSN 13 3045</v>
      </c>
      <c r="AD102" s="741" t="str">
        <f>'DICTIONARY-5'!$A$13</f>
        <v>woda pitna</v>
      </c>
      <c r="AE102" s="742">
        <v>50</v>
      </c>
      <c r="AF102" s="743">
        <v>14.5</v>
      </c>
      <c r="AG102" s="741" t="str">
        <f>'DICTIONARY-5'!$A$23</f>
        <v>powłoka epoksydowa</v>
      </c>
    </row>
    <row r="103" spans="1:33" x14ac:dyDescent="0.25">
      <c r="A103" s="837" t="s">
        <v>158</v>
      </c>
      <c r="B103" s="837" t="s">
        <v>3329</v>
      </c>
      <c r="C103" s="836">
        <v>210</v>
      </c>
      <c r="D103" s="836"/>
      <c r="E103" s="836"/>
      <c r="F103" s="836"/>
      <c r="G103" s="496" t="s">
        <v>7789</v>
      </c>
      <c r="H103" s="797" t="str">
        <f>VLOOKUP(G103,SETTINGS!$B$7:$D$97,2,0)</f>
        <v>EKOplus</v>
      </c>
      <c r="I103" s="796">
        <f>VLOOKUP(G103,SETTINGS!$B$7:$D$97,3,0)</f>
        <v>0</v>
      </c>
      <c r="J103" s="670" t="str">
        <f>IFERROR(IF(CURRENCY.FORMAT_1=0,CONCATENATE(TEXT(FIXED(ROUND((C103/EXC.RATE_1),CURRENCY.FORMAT_1),CURRENCY.FORMAT_1,1),"# ##0;-# ##0"),",-"),FIXED(ROUND((C103/EXC.RATE_1),CURRENCY.FORMAT_1),CURRENCY.FORMAT_1,0)),'DICTIONARY-5'!$A$2)</f>
        <v>210,-</v>
      </c>
      <c r="K103" s="670" t="str">
        <f>IF(EXC.RATE_2=0,"",IFERROR(IF(CURRENCY.FORMAT_2=0,CONCATENATE(TEXT(FIXED(ROUND(IF(EXC.RATE.SWITCH=1,C103/EXC.RATE_2,C103*EXC.RATE_2),CURRENCY.FORMAT_2),CURRENCY.FORMAT_2,1),"# ##0;-# ##0"),",-"),FIXED(ROUND(IF(EXC.RATE.SWITCH=1,C103/EXC.RATE_2,C103*EXC.RATE_2),CURRENCY.FORMAT_2),CURRENCY.FORMAT_2,0)),'DICTIONARY-5'!$A$2))</f>
        <v/>
      </c>
      <c r="L103" s="670" t="str">
        <f>IFERROR(IF(CURRENCY.FORMAT_1=0,CONCATENATE(TEXT(FIXED(ROUND((C103*(1-I103)*(1-ADD.DISCOUNT)*(1+MAT.SURCHARGE)/EXC.RATE_1),CURRENCY.FORMAT_1),CURRENCY.FORMAT_1,1),"# ##0;-# ##0"),",-"),FIXED(ROUND((C103*(1-I103)*(1-ADD.DISCOUNT)*(1+MAT.SURCHARGE)/EXC.RATE_1),CURRENCY.FORMAT_1),CURRENCY.FORMAT_1,0)),'DICTIONARY-5'!$A$2)</f>
        <v>218,-</v>
      </c>
      <c r="M103" s="670" t="str">
        <f>IF(EXC.RATE_2=0,"",IFERROR(IF(CURRENCY.FORMAT_2=0,CONCATENATE(TEXT(FIXED(ROUND(IF(EXC.RATE.SWITCH=1,C103*(1-I103)*(1-ADD.DISCOUNT)*(1+MAT.SURCHARGE)/EXC.RATE_2,C103*(1-I103)*(1-ADD.DISCOUNT)*(1+MAT.SURCHARGE)*EXC.RATE_2),CURRENCY.FORMAT_2),CURRENCY.FORMAT_2,1),"# ##0;-# ##0"),",-"),FIXED(ROUND(IF(EXC.RATE.SWITCH=1,C103*(1-I103)*(1-ADD.DISCOUNT)*(1+MAT.SURCHARGE)/EXC.RATE_2,C103*(1-I103)*(1-ADD.DISCOUNT)*(1+MAT.SURCHARGE)*EXC.RATE_2),CURRENCY.FORMAT_2),CURRENCY.FORMAT_2,0)),'DICTIONARY-5'!$A$2))</f>
        <v/>
      </c>
      <c r="N103" s="496">
        <v>1</v>
      </c>
      <c r="O103" s="496"/>
      <c r="P103" s="731" t="str">
        <f>'DICTIONARY-3'!$A$2</f>
        <v>EKOplus</v>
      </c>
      <c r="Q103" s="732" t="str">
        <f>'DICTIONARY-3'!$A$187</f>
        <v>Zasuwa klinowa</v>
      </c>
      <c r="R103" s="732" t="str">
        <f>CONCATENATE('DICTIONARY-3'!$A$2," ",'DICTIONARY-6'!$A$3," ",'DICTIONARY-2'!$A$2,"80"," ",'DICTIONARY-2'!$A$3,"10"," ",'DICTIONARY-5'!$A$8,", ",'DICTIONARY-4'!$A$2)</f>
        <v>EKOplus Zasuwa DN80 PN10 ČSN, WW</v>
      </c>
      <c r="S103" s="733" t="str">
        <f>'DICTIONARY-4'!$A$2</f>
        <v>WW</v>
      </c>
      <c r="T103" s="732" t="str">
        <f>'DICTIONARY-4'!$A$18</f>
        <v>Wolny wałek</v>
      </c>
      <c r="U103" s="734" t="s">
        <v>5760</v>
      </c>
      <c r="V103" s="735">
        <v>10</v>
      </c>
      <c r="W103" s="736"/>
      <c r="X103" s="737"/>
      <c r="Y103" s="738"/>
      <c r="Z103" s="739"/>
      <c r="AA103" s="739"/>
      <c r="AB103" s="740">
        <v>10</v>
      </c>
      <c r="AC103" s="741" t="str">
        <f>'DICTIONARY-5'!$A$8&amp;" 13 3045"</f>
        <v>ČSN 13 3045</v>
      </c>
      <c r="AD103" s="741" t="str">
        <f>'DICTIONARY-5'!$A$13</f>
        <v>woda pitna</v>
      </c>
      <c r="AE103" s="742">
        <v>50</v>
      </c>
      <c r="AF103" s="743">
        <v>15.5</v>
      </c>
      <c r="AG103" s="741" t="str">
        <f>'DICTIONARY-5'!$A$23</f>
        <v>powłoka epoksydowa</v>
      </c>
    </row>
    <row r="104" spans="1:33" x14ac:dyDescent="0.25">
      <c r="A104" s="837" t="s">
        <v>159</v>
      </c>
      <c r="B104" s="837" t="s">
        <v>3330</v>
      </c>
      <c r="C104" s="836">
        <v>207</v>
      </c>
      <c r="D104" s="836"/>
      <c r="E104" s="836"/>
      <c r="F104" s="836"/>
      <c r="G104" s="496" t="s">
        <v>7789</v>
      </c>
      <c r="H104" s="797" t="str">
        <f>VLOOKUP(G104,SETTINGS!$B$7:$D$97,2,0)</f>
        <v>EKOplus</v>
      </c>
      <c r="I104" s="796">
        <f>VLOOKUP(G104,SETTINGS!$B$7:$D$97,3,0)</f>
        <v>0</v>
      </c>
      <c r="J104" s="670" t="str">
        <f>IFERROR(IF(CURRENCY.FORMAT_1=0,CONCATENATE(TEXT(FIXED(ROUND((C104/EXC.RATE_1),CURRENCY.FORMAT_1),CURRENCY.FORMAT_1,1),"# ##0;-# ##0"),",-"),FIXED(ROUND((C104/EXC.RATE_1),CURRENCY.FORMAT_1),CURRENCY.FORMAT_1,0)),'DICTIONARY-5'!$A$2)</f>
        <v>207,-</v>
      </c>
      <c r="K104" s="670" t="str">
        <f>IF(EXC.RATE_2=0,"",IFERROR(IF(CURRENCY.FORMAT_2=0,CONCATENATE(TEXT(FIXED(ROUND(IF(EXC.RATE.SWITCH=1,C104/EXC.RATE_2,C104*EXC.RATE_2),CURRENCY.FORMAT_2),CURRENCY.FORMAT_2,1),"# ##0;-# ##0"),",-"),FIXED(ROUND(IF(EXC.RATE.SWITCH=1,C104/EXC.RATE_2,C104*EXC.RATE_2),CURRENCY.FORMAT_2),CURRENCY.FORMAT_2,0)),'DICTIONARY-5'!$A$2))</f>
        <v/>
      </c>
      <c r="L104" s="670" t="str">
        <f>IFERROR(IF(CURRENCY.FORMAT_1=0,CONCATENATE(TEXT(FIXED(ROUND((C104*(1-I104)*(1-ADD.DISCOUNT)*(1+MAT.SURCHARGE)/EXC.RATE_1),CURRENCY.FORMAT_1),CURRENCY.FORMAT_1,1),"# ##0;-# ##0"),",-"),FIXED(ROUND((C104*(1-I104)*(1-ADD.DISCOUNT)*(1+MAT.SURCHARGE)/EXC.RATE_1),CURRENCY.FORMAT_1),CURRENCY.FORMAT_1,0)),'DICTIONARY-5'!$A$2)</f>
        <v>215,-</v>
      </c>
      <c r="M104" s="670" t="str">
        <f>IF(EXC.RATE_2=0,"",IFERROR(IF(CURRENCY.FORMAT_2=0,CONCATENATE(TEXT(FIXED(ROUND(IF(EXC.RATE.SWITCH=1,C104*(1-I104)*(1-ADD.DISCOUNT)*(1+MAT.SURCHARGE)/EXC.RATE_2,C104*(1-I104)*(1-ADD.DISCOUNT)*(1+MAT.SURCHARGE)*EXC.RATE_2),CURRENCY.FORMAT_2),CURRENCY.FORMAT_2,1),"# ##0;-# ##0"),",-"),FIXED(ROUND(IF(EXC.RATE.SWITCH=1,C104*(1-I104)*(1-ADD.DISCOUNT)*(1+MAT.SURCHARGE)/EXC.RATE_2,C104*(1-I104)*(1-ADD.DISCOUNT)*(1+MAT.SURCHARGE)*EXC.RATE_2),CURRENCY.FORMAT_2),CURRENCY.FORMAT_2,0)),'DICTIONARY-5'!$A$2))</f>
        <v/>
      </c>
      <c r="N104" s="496">
        <v>1</v>
      </c>
      <c r="O104" s="496"/>
      <c r="P104" s="731" t="str">
        <f>'DICTIONARY-3'!$A$2</f>
        <v>EKOplus</v>
      </c>
      <c r="Q104" s="732" t="str">
        <f>'DICTIONARY-3'!$A$187</f>
        <v>Zasuwa klinowa</v>
      </c>
      <c r="R104" s="732" t="str">
        <f>CONCATENATE('DICTIONARY-3'!$A$2," ",'DICTIONARY-6'!$A$3," ",'DICTIONARY-2'!$A$2,"100"," ",'DICTIONARY-2'!$A$3,"10"," ",'DICTIONARY-5'!$A$8,", ",'DICTIONARY-4'!$A$2)</f>
        <v>EKOplus Zasuwa DN100 PN10 ČSN, WW</v>
      </c>
      <c r="S104" s="733" t="str">
        <f>'DICTIONARY-4'!$A$2</f>
        <v>WW</v>
      </c>
      <c r="T104" s="732" t="str">
        <f>'DICTIONARY-4'!$A$18</f>
        <v>Wolny wałek</v>
      </c>
      <c r="U104" s="734" t="s">
        <v>5749</v>
      </c>
      <c r="V104" s="735">
        <v>10</v>
      </c>
      <c r="W104" s="736"/>
      <c r="X104" s="737"/>
      <c r="Y104" s="738"/>
      <c r="Z104" s="739"/>
      <c r="AA104" s="739"/>
      <c r="AB104" s="740">
        <v>10</v>
      </c>
      <c r="AC104" s="741" t="str">
        <f>'DICTIONARY-5'!$A$8&amp;" 13 3045"</f>
        <v>ČSN 13 3045</v>
      </c>
      <c r="AD104" s="741" t="str">
        <f>'DICTIONARY-5'!$A$13</f>
        <v>woda pitna</v>
      </c>
      <c r="AE104" s="742">
        <v>50</v>
      </c>
      <c r="AF104" s="743">
        <v>19</v>
      </c>
      <c r="AG104" s="741" t="str">
        <f>'DICTIONARY-5'!$A$23</f>
        <v>powłoka epoksydowa</v>
      </c>
    </row>
    <row r="105" spans="1:33" x14ac:dyDescent="0.25">
      <c r="A105" s="837" t="s">
        <v>160</v>
      </c>
      <c r="B105" s="837" t="s">
        <v>3331</v>
      </c>
      <c r="C105" s="836">
        <v>349</v>
      </c>
      <c r="D105" s="836"/>
      <c r="E105" s="836"/>
      <c r="F105" s="836"/>
      <c r="G105" s="496" t="s">
        <v>7789</v>
      </c>
      <c r="H105" s="797" t="str">
        <f>VLOOKUP(G105,SETTINGS!$B$7:$D$97,2,0)</f>
        <v>EKOplus</v>
      </c>
      <c r="I105" s="796">
        <f>VLOOKUP(G105,SETTINGS!$B$7:$D$97,3,0)</f>
        <v>0</v>
      </c>
      <c r="J105" s="670" t="str">
        <f>IFERROR(IF(CURRENCY.FORMAT_1=0,CONCATENATE(TEXT(FIXED(ROUND((C105/EXC.RATE_1),CURRENCY.FORMAT_1),CURRENCY.FORMAT_1,1),"# ##0;-# ##0"),",-"),FIXED(ROUND((C105/EXC.RATE_1),CURRENCY.FORMAT_1),CURRENCY.FORMAT_1,0)),'DICTIONARY-5'!$A$2)</f>
        <v>349,-</v>
      </c>
      <c r="K105" s="670" t="str">
        <f>IF(EXC.RATE_2=0,"",IFERROR(IF(CURRENCY.FORMAT_2=0,CONCATENATE(TEXT(FIXED(ROUND(IF(EXC.RATE.SWITCH=1,C105/EXC.RATE_2,C105*EXC.RATE_2),CURRENCY.FORMAT_2),CURRENCY.FORMAT_2,1),"# ##0;-# ##0"),",-"),FIXED(ROUND(IF(EXC.RATE.SWITCH=1,C105/EXC.RATE_2,C105*EXC.RATE_2),CURRENCY.FORMAT_2),CURRENCY.FORMAT_2,0)),'DICTIONARY-5'!$A$2))</f>
        <v/>
      </c>
      <c r="L105" s="670" t="str">
        <f>IFERROR(IF(CURRENCY.FORMAT_1=0,CONCATENATE(TEXT(FIXED(ROUND((C105*(1-I105)*(1-ADD.DISCOUNT)*(1+MAT.SURCHARGE)/EXC.RATE_1),CURRENCY.FORMAT_1),CURRENCY.FORMAT_1,1),"# ##0;-# ##0"),",-"),FIXED(ROUND((C105*(1-I105)*(1-ADD.DISCOUNT)*(1+MAT.SURCHARGE)/EXC.RATE_1),CURRENCY.FORMAT_1),CURRENCY.FORMAT_1,0)),'DICTIONARY-5'!$A$2)</f>
        <v>363,-</v>
      </c>
      <c r="M105" s="670" t="str">
        <f>IF(EXC.RATE_2=0,"",IFERROR(IF(CURRENCY.FORMAT_2=0,CONCATENATE(TEXT(FIXED(ROUND(IF(EXC.RATE.SWITCH=1,C105*(1-I105)*(1-ADD.DISCOUNT)*(1+MAT.SURCHARGE)/EXC.RATE_2,C105*(1-I105)*(1-ADD.DISCOUNT)*(1+MAT.SURCHARGE)*EXC.RATE_2),CURRENCY.FORMAT_2),CURRENCY.FORMAT_2,1),"# ##0;-# ##0"),",-"),FIXED(ROUND(IF(EXC.RATE.SWITCH=1,C105*(1-I105)*(1-ADD.DISCOUNT)*(1+MAT.SURCHARGE)/EXC.RATE_2,C105*(1-I105)*(1-ADD.DISCOUNT)*(1+MAT.SURCHARGE)*EXC.RATE_2),CURRENCY.FORMAT_2),CURRENCY.FORMAT_2,0)),'DICTIONARY-5'!$A$2))</f>
        <v/>
      </c>
      <c r="N105" s="496">
        <v>1</v>
      </c>
      <c r="O105" s="496"/>
      <c r="P105" s="731" t="str">
        <f>'DICTIONARY-3'!$A$2</f>
        <v>EKOplus</v>
      </c>
      <c r="Q105" s="732" t="str">
        <f>'DICTIONARY-3'!$A$187</f>
        <v>Zasuwa klinowa</v>
      </c>
      <c r="R105" s="732" t="str">
        <f>CONCATENATE('DICTIONARY-3'!$A$2," ",'DICTIONARY-6'!$A$3," ",'DICTIONARY-2'!$A$2,"125"," ",'DICTIONARY-2'!$A$3,"10"," ",'DICTIONARY-5'!$A$8,", ",'DICTIONARY-4'!$A$2)</f>
        <v>EKOplus Zasuwa DN125 PN10 ČSN, WW</v>
      </c>
      <c r="S105" s="733" t="str">
        <f>'DICTIONARY-4'!$A$2</f>
        <v>WW</v>
      </c>
      <c r="T105" s="732" t="str">
        <f>'DICTIONARY-4'!$A$18</f>
        <v>Wolny wałek</v>
      </c>
      <c r="U105" s="734" t="s">
        <v>5761</v>
      </c>
      <c r="V105" s="735">
        <v>10</v>
      </c>
      <c r="W105" s="736"/>
      <c r="X105" s="737"/>
      <c r="Y105" s="738"/>
      <c r="Z105" s="739"/>
      <c r="AA105" s="739"/>
      <c r="AB105" s="740">
        <v>10</v>
      </c>
      <c r="AC105" s="741" t="str">
        <f>'DICTIONARY-5'!$A$8&amp;" 13 3045"</f>
        <v>ČSN 13 3045</v>
      </c>
      <c r="AD105" s="741" t="str">
        <f>'DICTIONARY-5'!$A$13</f>
        <v>woda pitna</v>
      </c>
      <c r="AE105" s="742">
        <v>50</v>
      </c>
      <c r="AF105" s="743">
        <v>27.5</v>
      </c>
      <c r="AG105" s="741" t="str">
        <f>'DICTIONARY-5'!$A$23</f>
        <v>powłoka epoksydowa</v>
      </c>
    </row>
    <row r="106" spans="1:33" x14ac:dyDescent="0.25">
      <c r="A106" s="837" t="s">
        <v>161</v>
      </c>
      <c r="B106" s="837" t="s">
        <v>3332</v>
      </c>
      <c r="C106" s="836">
        <v>357</v>
      </c>
      <c r="D106" s="836"/>
      <c r="E106" s="836"/>
      <c r="F106" s="836"/>
      <c r="G106" s="496" t="s">
        <v>7789</v>
      </c>
      <c r="H106" s="797" t="str">
        <f>VLOOKUP(G106,SETTINGS!$B$7:$D$97,2,0)</f>
        <v>EKOplus</v>
      </c>
      <c r="I106" s="796">
        <f>VLOOKUP(G106,SETTINGS!$B$7:$D$97,3,0)</f>
        <v>0</v>
      </c>
      <c r="J106" s="670" t="str">
        <f>IFERROR(IF(CURRENCY.FORMAT_1=0,CONCATENATE(TEXT(FIXED(ROUND((C106/EXC.RATE_1),CURRENCY.FORMAT_1),CURRENCY.FORMAT_1,1),"# ##0;-# ##0"),",-"),FIXED(ROUND((C106/EXC.RATE_1),CURRENCY.FORMAT_1),CURRENCY.FORMAT_1,0)),'DICTIONARY-5'!$A$2)</f>
        <v>357,-</v>
      </c>
      <c r="K106" s="670" t="str">
        <f>IF(EXC.RATE_2=0,"",IFERROR(IF(CURRENCY.FORMAT_2=0,CONCATENATE(TEXT(FIXED(ROUND(IF(EXC.RATE.SWITCH=1,C106/EXC.RATE_2,C106*EXC.RATE_2),CURRENCY.FORMAT_2),CURRENCY.FORMAT_2,1),"# ##0;-# ##0"),",-"),FIXED(ROUND(IF(EXC.RATE.SWITCH=1,C106/EXC.RATE_2,C106*EXC.RATE_2),CURRENCY.FORMAT_2),CURRENCY.FORMAT_2,0)),'DICTIONARY-5'!$A$2))</f>
        <v/>
      </c>
      <c r="L106" s="670" t="str">
        <f>IFERROR(IF(CURRENCY.FORMAT_1=0,CONCATENATE(TEXT(FIXED(ROUND((C106*(1-I106)*(1-ADD.DISCOUNT)*(1+MAT.SURCHARGE)/EXC.RATE_1),CURRENCY.FORMAT_1),CURRENCY.FORMAT_1,1),"# ##0;-# ##0"),",-"),FIXED(ROUND((C106*(1-I106)*(1-ADD.DISCOUNT)*(1+MAT.SURCHARGE)/EXC.RATE_1),CURRENCY.FORMAT_1),CURRENCY.FORMAT_1,0)),'DICTIONARY-5'!$A$2)</f>
        <v>371,-</v>
      </c>
      <c r="M106" s="670" t="str">
        <f>IF(EXC.RATE_2=0,"",IFERROR(IF(CURRENCY.FORMAT_2=0,CONCATENATE(TEXT(FIXED(ROUND(IF(EXC.RATE.SWITCH=1,C106*(1-I106)*(1-ADD.DISCOUNT)*(1+MAT.SURCHARGE)/EXC.RATE_2,C106*(1-I106)*(1-ADD.DISCOUNT)*(1+MAT.SURCHARGE)*EXC.RATE_2),CURRENCY.FORMAT_2),CURRENCY.FORMAT_2,1),"# ##0;-# ##0"),",-"),FIXED(ROUND(IF(EXC.RATE.SWITCH=1,C106*(1-I106)*(1-ADD.DISCOUNT)*(1+MAT.SURCHARGE)/EXC.RATE_2,C106*(1-I106)*(1-ADD.DISCOUNT)*(1+MAT.SURCHARGE)*EXC.RATE_2),CURRENCY.FORMAT_2),CURRENCY.FORMAT_2,0)),'DICTIONARY-5'!$A$2))</f>
        <v/>
      </c>
      <c r="N106" s="496">
        <v>1</v>
      </c>
      <c r="O106" s="496"/>
      <c r="P106" s="731" t="str">
        <f>'DICTIONARY-3'!$A$2</f>
        <v>EKOplus</v>
      </c>
      <c r="Q106" s="732" t="str">
        <f>'DICTIONARY-3'!$A$187</f>
        <v>Zasuwa klinowa</v>
      </c>
      <c r="R106" s="732" t="str">
        <f>CONCATENATE('DICTIONARY-3'!$A$2," ",'DICTIONARY-6'!$A$3," ",'DICTIONARY-2'!$A$2,"150"," ",'DICTIONARY-2'!$A$3,"10"," ",'DICTIONARY-5'!$A$8,", ",'DICTIONARY-4'!$A$2)</f>
        <v>EKOplus Zasuwa DN150 PN10 ČSN, WW</v>
      </c>
      <c r="S106" s="733" t="str">
        <f>'DICTIONARY-4'!$A$2</f>
        <v>WW</v>
      </c>
      <c r="T106" s="732" t="str">
        <f>'DICTIONARY-4'!$A$18</f>
        <v>Wolny wałek</v>
      </c>
      <c r="U106" s="734" t="s">
        <v>5572</v>
      </c>
      <c r="V106" s="735">
        <v>10</v>
      </c>
      <c r="W106" s="736"/>
      <c r="X106" s="737"/>
      <c r="Y106" s="738"/>
      <c r="Z106" s="739"/>
      <c r="AA106" s="739"/>
      <c r="AB106" s="740">
        <v>10</v>
      </c>
      <c r="AC106" s="741" t="str">
        <f>'DICTIONARY-5'!$A$8&amp;" 13 3045"</f>
        <v>ČSN 13 3045</v>
      </c>
      <c r="AD106" s="741" t="str">
        <f>'DICTIONARY-5'!$A$13</f>
        <v>woda pitna</v>
      </c>
      <c r="AE106" s="742">
        <v>50</v>
      </c>
      <c r="AF106" s="743">
        <v>34</v>
      </c>
      <c r="AG106" s="741" t="str">
        <f>'DICTIONARY-5'!$A$23</f>
        <v>powłoka epoksydowa</v>
      </c>
    </row>
    <row r="107" spans="1:33" x14ac:dyDescent="0.25">
      <c r="A107" s="837" t="s">
        <v>163</v>
      </c>
      <c r="B107" s="837" t="s">
        <v>3333</v>
      </c>
      <c r="C107" s="836">
        <v>639</v>
      </c>
      <c r="D107" s="836"/>
      <c r="E107" s="836"/>
      <c r="F107" s="836"/>
      <c r="G107" s="496" t="s">
        <v>7789</v>
      </c>
      <c r="H107" s="797" t="str">
        <f>VLOOKUP(G107,SETTINGS!$B$7:$D$97,2,0)</f>
        <v>EKOplus</v>
      </c>
      <c r="I107" s="796">
        <f>VLOOKUP(G107,SETTINGS!$B$7:$D$97,3,0)</f>
        <v>0</v>
      </c>
      <c r="J107" s="670" t="str">
        <f>IFERROR(IF(CURRENCY.FORMAT_1=0,CONCATENATE(TEXT(FIXED(ROUND((C107/EXC.RATE_1),CURRENCY.FORMAT_1),CURRENCY.FORMAT_1,1),"# ##0;-# ##0"),",-"),FIXED(ROUND((C107/EXC.RATE_1),CURRENCY.FORMAT_1),CURRENCY.FORMAT_1,0)),'DICTIONARY-5'!$A$2)</f>
        <v>639,-</v>
      </c>
      <c r="K107" s="670" t="str">
        <f>IF(EXC.RATE_2=0,"",IFERROR(IF(CURRENCY.FORMAT_2=0,CONCATENATE(TEXT(FIXED(ROUND(IF(EXC.RATE.SWITCH=1,C107/EXC.RATE_2,C107*EXC.RATE_2),CURRENCY.FORMAT_2),CURRENCY.FORMAT_2,1),"# ##0;-# ##0"),",-"),FIXED(ROUND(IF(EXC.RATE.SWITCH=1,C107/EXC.RATE_2,C107*EXC.RATE_2),CURRENCY.FORMAT_2),CURRENCY.FORMAT_2,0)),'DICTIONARY-5'!$A$2))</f>
        <v/>
      </c>
      <c r="L107" s="670" t="str">
        <f>IFERROR(IF(CURRENCY.FORMAT_1=0,CONCATENATE(TEXT(FIXED(ROUND((C107*(1-I107)*(1-ADD.DISCOUNT)*(1+MAT.SURCHARGE)/EXC.RATE_1),CURRENCY.FORMAT_1),CURRENCY.FORMAT_1,1),"# ##0;-# ##0"),",-"),FIXED(ROUND((C107*(1-I107)*(1-ADD.DISCOUNT)*(1+MAT.SURCHARGE)/EXC.RATE_1),CURRENCY.FORMAT_1),CURRENCY.FORMAT_1,0)),'DICTIONARY-5'!$A$2)</f>
        <v>664,-</v>
      </c>
      <c r="M107" s="670" t="str">
        <f>IF(EXC.RATE_2=0,"",IFERROR(IF(CURRENCY.FORMAT_2=0,CONCATENATE(TEXT(FIXED(ROUND(IF(EXC.RATE.SWITCH=1,C107*(1-I107)*(1-ADD.DISCOUNT)*(1+MAT.SURCHARGE)/EXC.RATE_2,C107*(1-I107)*(1-ADD.DISCOUNT)*(1+MAT.SURCHARGE)*EXC.RATE_2),CURRENCY.FORMAT_2),CURRENCY.FORMAT_2,1),"# ##0;-# ##0"),",-"),FIXED(ROUND(IF(EXC.RATE.SWITCH=1,C107*(1-I107)*(1-ADD.DISCOUNT)*(1+MAT.SURCHARGE)/EXC.RATE_2,C107*(1-I107)*(1-ADD.DISCOUNT)*(1+MAT.SURCHARGE)*EXC.RATE_2),CURRENCY.FORMAT_2),CURRENCY.FORMAT_2,0)),'DICTIONARY-5'!$A$2))</f>
        <v/>
      </c>
      <c r="N107" s="496">
        <v>1</v>
      </c>
      <c r="O107" s="496"/>
      <c r="P107" s="731" t="str">
        <f>'DICTIONARY-3'!$A$2</f>
        <v>EKOplus</v>
      </c>
      <c r="Q107" s="732" t="str">
        <f>'DICTIONARY-3'!$A$187</f>
        <v>Zasuwa klinowa</v>
      </c>
      <c r="R107" s="732" t="str">
        <f>CONCATENATE('DICTIONARY-3'!$A$2," ",'DICTIONARY-6'!$A$3," ",'DICTIONARY-2'!$A$2,"200"," ",'DICTIONARY-2'!$A$3,"10"," ",'DICTIONARY-5'!$A$8,", ",'DICTIONARY-4'!$A$2)</f>
        <v>EKOplus Zasuwa DN200 PN10 ČSN, WW</v>
      </c>
      <c r="S107" s="733" t="str">
        <f>'DICTIONARY-4'!$A$2</f>
        <v>WW</v>
      </c>
      <c r="T107" s="732" t="str">
        <f>'DICTIONARY-4'!$A$18</f>
        <v>Wolny wałek</v>
      </c>
      <c r="U107" s="734" t="s">
        <v>5750</v>
      </c>
      <c r="V107" s="735">
        <v>10</v>
      </c>
      <c r="W107" s="736"/>
      <c r="X107" s="737"/>
      <c r="Y107" s="738"/>
      <c r="Z107" s="739"/>
      <c r="AA107" s="739"/>
      <c r="AB107" s="740">
        <v>10</v>
      </c>
      <c r="AC107" s="741" t="str">
        <f>'DICTIONARY-5'!$A$8&amp;" 13 3045"</f>
        <v>ČSN 13 3045</v>
      </c>
      <c r="AD107" s="741" t="str">
        <f>'DICTIONARY-5'!$A$13</f>
        <v>woda pitna</v>
      </c>
      <c r="AE107" s="742">
        <v>50</v>
      </c>
      <c r="AF107" s="743">
        <v>57</v>
      </c>
      <c r="AG107" s="741" t="str">
        <f>'DICTIONARY-5'!$A$23</f>
        <v>powłoka epoksydowa</v>
      </c>
    </row>
    <row r="108" spans="1:33" x14ac:dyDescent="0.25">
      <c r="A108" s="837" t="s">
        <v>291</v>
      </c>
      <c r="B108" s="837" t="s">
        <v>3416</v>
      </c>
      <c r="C108" s="836">
        <v>427</v>
      </c>
      <c r="D108" s="836"/>
      <c r="E108" s="836"/>
      <c r="F108" s="836"/>
      <c r="G108" s="496" t="s">
        <v>7789</v>
      </c>
      <c r="H108" s="797" t="str">
        <f>VLOOKUP(G108,SETTINGS!$B$7:$D$97,2,0)</f>
        <v>EKOplus</v>
      </c>
      <c r="I108" s="796">
        <f>VLOOKUP(G108,SETTINGS!$B$7:$D$97,3,0)</f>
        <v>0</v>
      </c>
      <c r="J108" s="670" t="str">
        <f>IFERROR(IF(CURRENCY.FORMAT_1=0,CONCATENATE(TEXT(FIXED(ROUND((C108/EXC.RATE_1),CURRENCY.FORMAT_1),CURRENCY.FORMAT_1,1),"# ##0;-# ##0"),",-"),FIXED(ROUND((C108/EXC.RATE_1),CURRENCY.FORMAT_1),CURRENCY.FORMAT_1,0)),'DICTIONARY-5'!$A$2)</f>
        <v>427,-</v>
      </c>
      <c r="K108" s="670" t="str">
        <f>IF(EXC.RATE_2=0,"",IFERROR(IF(CURRENCY.FORMAT_2=0,CONCATENATE(TEXT(FIXED(ROUND(IF(EXC.RATE.SWITCH=1,C108/EXC.RATE_2,C108*EXC.RATE_2),CURRENCY.FORMAT_2),CURRENCY.FORMAT_2,1),"# ##0;-# ##0"),",-"),FIXED(ROUND(IF(EXC.RATE.SWITCH=1,C108/EXC.RATE_2,C108*EXC.RATE_2),CURRENCY.FORMAT_2),CURRENCY.FORMAT_2,0)),'DICTIONARY-5'!$A$2))</f>
        <v/>
      </c>
      <c r="L108" s="670" t="str">
        <f>IFERROR(IF(CURRENCY.FORMAT_1=0,CONCATENATE(TEXT(FIXED(ROUND((C108*(1-I108)*(1-ADD.DISCOUNT)*(1+MAT.SURCHARGE)/EXC.RATE_1),CURRENCY.FORMAT_1),CURRENCY.FORMAT_1,1),"# ##0;-# ##0"),",-"),FIXED(ROUND((C108*(1-I108)*(1-ADD.DISCOUNT)*(1+MAT.SURCHARGE)/EXC.RATE_1),CURRENCY.FORMAT_1),CURRENCY.FORMAT_1,0)),'DICTIONARY-5'!$A$2)</f>
        <v>444,-</v>
      </c>
      <c r="M108" s="670" t="str">
        <f>IF(EXC.RATE_2=0,"",IFERROR(IF(CURRENCY.FORMAT_2=0,CONCATENATE(TEXT(FIXED(ROUND(IF(EXC.RATE.SWITCH=1,C108*(1-I108)*(1-ADD.DISCOUNT)*(1+MAT.SURCHARGE)/EXC.RATE_2,C108*(1-I108)*(1-ADD.DISCOUNT)*(1+MAT.SURCHARGE)*EXC.RATE_2),CURRENCY.FORMAT_2),CURRENCY.FORMAT_2,1),"# ##0;-# ##0"),",-"),FIXED(ROUND(IF(EXC.RATE.SWITCH=1,C108*(1-I108)*(1-ADD.DISCOUNT)*(1+MAT.SURCHARGE)/EXC.RATE_2,C108*(1-I108)*(1-ADD.DISCOUNT)*(1+MAT.SURCHARGE)*EXC.RATE_2),CURRENCY.FORMAT_2),CURRENCY.FORMAT_2,0)),'DICTIONARY-5'!$A$2))</f>
        <v/>
      </c>
      <c r="N108" s="496">
        <v>1</v>
      </c>
      <c r="O108" s="496"/>
      <c r="P108" s="731" t="str">
        <f>'DICTIONARY-3'!$A$2</f>
        <v>EKOplus</v>
      </c>
      <c r="Q108" s="732" t="str">
        <f>'DICTIONARY-3'!$A$187</f>
        <v>Zasuwa klinowa</v>
      </c>
      <c r="R108" s="732" t="str">
        <f>CONCATENATE('DICTIONARY-3'!$A$2," ",'DICTIONARY-6'!$A$3," ",'DICTIONARY-6'!$A$52," ",'DICTIONARY-2'!$A$2,"80"," ",'DICTIONARY-2'!$A$3,"10/16"," ",'DICTIONARY-2'!$A$24,"=","234-350",'DICTIONARY-2'!$A$17,,", ",'DICTIONARY-4'!$A$2)</f>
        <v>EKOplus Zasuwa z kołnierz. przesuw. DN80 PN10/16 L=234-350mm, WW</v>
      </c>
      <c r="S108" s="733" t="str">
        <f>'DICTIONARY-4'!$A$2</f>
        <v>WW</v>
      </c>
      <c r="T108" s="732" t="str">
        <f>'DICTIONARY-4'!$A$18</f>
        <v>Wolny wałek</v>
      </c>
      <c r="U108" s="734" t="s">
        <v>5760</v>
      </c>
      <c r="V108" s="735">
        <v>16</v>
      </c>
      <c r="W108" s="736"/>
      <c r="X108" s="737"/>
      <c r="Y108" s="738"/>
      <c r="Z108" s="739"/>
      <c r="AA108" s="739"/>
      <c r="AB108" s="740">
        <v>16</v>
      </c>
      <c r="AC108" s="741" t="s">
        <v>5826</v>
      </c>
      <c r="AD108" s="741" t="str">
        <f>'DICTIONARY-5'!$A$13</f>
        <v>woda pitna</v>
      </c>
      <c r="AE108" s="742">
        <v>50</v>
      </c>
      <c r="AF108" s="743">
        <v>21.5</v>
      </c>
      <c r="AG108" s="741" t="str">
        <f>'DICTIONARY-5'!$A$23</f>
        <v>powłoka epoksydowa</v>
      </c>
    </row>
    <row r="109" spans="1:33" x14ac:dyDescent="0.25">
      <c r="A109" s="837" t="s">
        <v>293</v>
      </c>
      <c r="B109" s="837" t="s">
        <v>3418</v>
      </c>
      <c r="C109" s="836">
        <v>485</v>
      </c>
      <c r="D109" s="836"/>
      <c r="E109" s="836"/>
      <c r="F109" s="836"/>
      <c r="G109" s="496" t="s">
        <v>7789</v>
      </c>
      <c r="H109" s="797" t="str">
        <f>VLOOKUP(G109,SETTINGS!$B$7:$D$97,2,0)</f>
        <v>EKOplus</v>
      </c>
      <c r="I109" s="796">
        <f>VLOOKUP(G109,SETTINGS!$B$7:$D$97,3,0)</f>
        <v>0</v>
      </c>
      <c r="J109" s="670" t="str">
        <f>IFERROR(IF(CURRENCY.FORMAT_1=0,CONCATENATE(TEXT(FIXED(ROUND((C109/EXC.RATE_1),CURRENCY.FORMAT_1),CURRENCY.FORMAT_1,1),"# ##0;-# ##0"),",-"),FIXED(ROUND((C109/EXC.RATE_1),CURRENCY.FORMAT_1),CURRENCY.FORMAT_1,0)),'DICTIONARY-5'!$A$2)</f>
        <v>485,-</v>
      </c>
      <c r="K109" s="670" t="str">
        <f>IF(EXC.RATE_2=0,"",IFERROR(IF(CURRENCY.FORMAT_2=0,CONCATENATE(TEXT(FIXED(ROUND(IF(EXC.RATE.SWITCH=1,C109/EXC.RATE_2,C109*EXC.RATE_2),CURRENCY.FORMAT_2),CURRENCY.FORMAT_2,1),"# ##0;-# ##0"),",-"),FIXED(ROUND(IF(EXC.RATE.SWITCH=1,C109/EXC.RATE_2,C109*EXC.RATE_2),CURRENCY.FORMAT_2),CURRENCY.FORMAT_2,0)),'DICTIONARY-5'!$A$2))</f>
        <v/>
      </c>
      <c r="L109" s="670" t="str">
        <f>IFERROR(IF(CURRENCY.FORMAT_1=0,CONCATENATE(TEXT(FIXED(ROUND((C109*(1-I109)*(1-ADD.DISCOUNT)*(1+MAT.SURCHARGE)/EXC.RATE_1),CURRENCY.FORMAT_1),CURRENCY.FORMAT_1,1),"# ##0;-# ##0"),",-"),FIXED(ROUND((C109*(1-I109)*(1-ADD.DISCOUNT)*(1+MAT.SURCHARGE)/EXC.RATE_1),CURRENCY.FORMAT_1),CURRENCY.FORMAT_1,0)),'DICTIONARY-5'!$A$2)</f>
        <v>504,-</v>
      </c>
      <c r="M109" s="670" t="str">
        <f>IF(EXC.RATE_2=0,"",IFERROR(IF(CURRENCY.FORMAT_2=0,CONCATENATE(TEXT(FIXED(ROUND(IF(EXC.RATE.SWITCH=1,C109*(1-I109)*(1-ADD.DISCOUNT)*(1+MAT.SURCHARGE)/EXC.RATE_2,C109*(1-I109)*(1-ADD.DISCOUNT)*(1+MAT.SURCHARGE)*EXC.RATE_2),CURRENCY.FORMAT_2),CURRENCY.FORMAT_2,1),"# ##0;-# ##0"),",-"),FIXED(ROUND(IF(EXC.RATE.SWITCH=1,C109*(1-I109)*(1-ADD.DISCOUNT)*(1+MAT.SURCHARGE)/EXC.RATE_2,C109*(1-I109)*(1-ADD.DISCOUNT)*(1+MAT.SURCHARGE)*EXC.RATE_2),CURRENCY.FORMAT_2),CURRENCY.FORMAT_2,0)),'DICTIONARY-5'!$A$2))</f>
        <v/>
      </c>
      <c r="N109" s="496">
        <v>1</v>
      </c>
      <c r="O109" s="496"/>
      <c r="P109" s="731" t="str">
        <f>'DICTIONARY-3'!$A$2</f>
        <v>EKOplus</v>
      </c>
      <c r="Q109" s="732" t="str">
        <f>'DICTIONARY-3'!$A$187</f>
        <v>Zasuwa klinowa</v>
      </c>
      <c r="R109" s="732" t="str">
        <f>CONCATENATE('DICTIONARY-3'!$A$2," ",'DICTIONARY-6'!$A$3," ",'DICTIONARY-6'!$A$52," ",'DICTIONARY-2'!$A$2,"100"," ",'DICTIONARY-2'!$A$3,"10/16"," ",'DICTIONARY-2'!$A$24,"=","221-375",'DICTIONARY-2'!$A$17,,", ",'DICTIONARY-4'!$A$2)</f>
        <v>EKOplus Zasuwa z kołnierz. przesuw. DN100 PN10/16 L=221-375mm, WW</v>
      </c>
      <c r="S109" s="733" t="str">
        <f>'DICTIONARY-4'!$A$2</f>
        <v>WW</v>
      </c>
      <c r="T109" s="732" t="str">
        <f>'DICTIONARY-4'!$A$18</f>
        <v>Wolny wałek</v>
      </c>
      <c r="U109" s="734" t="s">
        <v>5749</v>
      </c>
      <c r="V109" s="735">
        <v>16</v>
      </c>
      <c r="W109" s="736"/>
      <c r="X109" s="737"/>
      <c r="Y109" s="738"/>
      <c r="Z109" s="739"/>
      <c r="AA109" s="739"/>
      <c r="AB109" s="740">
        <v>16</v>
      </c>
      <c r="AC109" s="741" t="s">
        <v>5827</v>
      </c>
      <c r="AD109" s="741" t="str">
        <f>'DICTIONARY-5'!$A$13</f>
        <v>woda pitna</v>
      </c>
      <c r="AE109" s="742">
        <v>50</v>
      </c>
      <c r="AF109" s="743">
        <v>24.5</v>
      </c>
      <c r="AG109" s="741" t="str">
        <f>'DICTIONARY-5'!$A$23</f>
        <v>powłoka epoksydowa</v>
      </c>
    </row>
    <row r="110" spans="1:33" x14ac:dyDescent="0.25">
      <c r="A110" s="837" t="s">
        <v>295</v>
      </c>
      <c r="B110" s="837" t="s">
        <v>3420</v>
      </c>
      <c r="C110" s="836">
        <v>678</v>
      </c>
      <c r="D110" s="836"/>
      <c r="E110" s="836"/>
      <c r="F110" s="836"/>
      <c r="G110" s="496" t="s">
        <v>7789</v>
      </c>
      <c r="H110" s="797" t="str">
        <f>VLOOKUP(G110,SETTINGS!$B$7:$D$97,2,0)</f>
        <v>EKOplus</v>
      </c>
      <c r="I110" s="796">
        <f>VLOOKUP(G110,SETTINGS!$B$7:$D$97,3,0)</f>
        <v>0</v>
      </c>
      <c r="J110" s="670" t="str">
        <f>IFERROR(IF(CURRENCY.FORMAT_1=0,CONCATENATE(TEXT(FIXED(ROUND((C110/EXC.RATE_1),CURRENCY.FORMAT_1),CURRENCY.FORMAT_1,1),"# ##0;-# ##0"),",-"),FIXED(ROUND((C110/EXC.RATE_1),CURRENCY.FORMAT_1),CURRENCY.FORMAT_1,0)),'DICTIONARY-5'!$A$2)</f>
        <v>678,-</v>
      </c>
      <c r="K110" s="670" t="str">
        <f>IF(EXC.RATE_2=0,"",IFERROR(IF(CURRENCY.FORMAT_2=0,CONCATENATE(TEXT(FIXED(ROUND(IF(EXC.RATE.SWITCH=1,C110/EXC.RATE_2,C110*EXC.RATE_2),CURRENCY.FORMAT_2),CURRENCY.FORMAT_2,1),"# ##0;-# ##0"),",-"),FIXED(ROUND(IF(EXC.RATE.SWITCH=1,C110/EXC.RATE_2,C110*EXC.RATE_2),CURRENCY.FORMAT_2),CURRENCY.FORMAT_2,0)),'DICTIONARY-5'!$A$2))</f>
        <v/>
      </c>
      <c r="L110" s="670" t="str">
        <f>IFERROR(IF(CURRENCY.FORMAT_1=0,CONCATENATE(TEXT(FIXED(ROUND((C110*(1-I110)*(1-ADD.DISCOUNT)*(1+MAT.SURCHARGE)/EXC.RATE_1),CURRENCY.FORMAT_1),CURRENCY.FORMAT_1,1),"# ##0;-# ##0"),",-"),FIXED(ROUND((C110*(1-I110)*(1-ADD.DISCOUNT)*(1+MAT.SURCHARGE)/EXC.RATE_1),CURRENCY.FORMAT_1),CURRENCY.FORMAT_1,0)),'DICTIONARY-5'!$A$2)</f>
        <v>704,-</v>
      </c>
      <c r="M110" s="670" t="str">
        <f>IF(EXC.RATE_2=0,"",IFERROR(IF(CURRENCY.FORMAT_2=0,CONCATENATE(TEXT(FIXED(ROUND(IF(EXC.RATE.SWITCH=1,C110*(1-I110)*(1-ADD.DISCOUNT)*(1+MAT.SURCHARGE)/EXC.RATE_2,C110*(1-I110)*(1-ADD.DISCOUNT)*(1+MAT.SURCHARGE)*EXC.RATE_2),CURRENCY.FORMAT_2),CURRENCY.FORMAT_2,1),"# ##0;-# ##0"),",-"),FIXED(ROUND(IF(EXC.RATE.SWITCH=1,C110*(1-I110)*(1-ADD.DISCOUNT)*(1+MAT.SURCHARGE)/EXC.RATE_2,C110*(1-I110)*(1-ADD.DISCOUNT)*(1+MAT.SURCHARGE)*EXC.RATE_2),CURRENCY.FORMAT_2),CURRENCY.FORMAT_2,0)),'DICTIONARY-5'!$A$2))</f>
        <v/>
      </c>
      <c r="N110" s="496">
        <v>1</v>
      </c>
      <c r="O110" s="496"/>
      <c r="P110" s="731" t="str">
        <f>'DICTIONARY-3'!$A$2</f>
        <v>EKOplus</v>
      </c>
      <c r="Q110" s="732" t="str">
        <f>'DICTIONARY-3'!$A$187</f>
        <v>Zasuwa klinowa</v>
      </c>
      <c r="R110" s="732" t="str">
        <f>CONCATENATE('DICTIONARY-3'!$A$2," ",'DICTIONARY-6'!$A$3," ",'DICTIONARY-6'!$A$52," ",'DICTIONARY-2'!$A$2,"150"," ",'DICTIONARY-2'!$A$3,"10/16"," ",'DICTIONARY-2'!$A$24,"=","278-422",'DICTIONARY-2'!$A$17,,", ",'DICTIONARY-4'!$A$2)</f>
        <v>EKOplus Zasuwa z kołnierz. przesuw. DN150 PN10/16 L=278-422mm, WW</v>
      </c>
      <c r="S110" s="733" t="str">
        <f>'DICTIONARY-4'!$A$2</f>
        <v>WW</v>
      </c>
      <c r="T110" s="732" t="str">
        <f>'DICTIONARY-4'!$A$18</f>
        <v>Wolny wałek</v>
      </c>
      <c r="U110" s="734" t="s">
        <v>5572</v>
      </c>
      <c r="V110" s="735">
        <v>16</v>
      </c>
      <c r="W110" s="736"/>
      <c r="X110" s="737"/>
      <c r="Y110" s="738"/>
      <c r="Z110" s="739"/>
      <c r="AA110" s="739"/>
      <c r="AB110" s="740">
        <v>16</v>
      </c>
      <c r="AC110" s="741" t="s">
        <v>5828</v>
      </c>
      <c r="AD110" s="741" t="str">
        <f>'DICTIONARY-5'!$A$13</f>
        <v>woda pitna</v>
      </c>
      <c r="AE110" s="742">
        <v>50</v>
      </c>
      <c r="AF110" s="743">
        <v>46</v>
      </c>
      <c r="AG110" s="741" t="str">
        <f>'DICTIONARY-5'!$A$23</f>
        <v>powłoka epoksydowa</v>
      </c>
    </row>
    <row r="111" spans="1:33" x14ac:dyDescent="0.25">
      <c r="A111" s="837" t="s">
        <v>297</v>
      </c>
      <c r="B111" s="837" t="s">
        <v>3422</v>
      </c>
      <c r="C111" s="836">
        <v>1032</v>
      </c>
      <c r="D111" s="836"/>
      <c r="E111" s="836"/>
      <c r="F111" s="836"/>
      <c r="G111" s="496" t="s">
        <v>7789</v>
      </c>
      <c r="H111" s="797" t="str">
        <f>VLOOKUP(G111,SETTINGS!$B$7:$D$97,2,0)</f>
        <v>EKOplus</v>
      </c>
      <c r="I111" s="796">
        <f>VLOOKUP(G111,SETTINGS!$B$7:$D$97,3,0)</f>
        <v>0</v>
      </c>
      <c r="J111" s="670" t="str">
        <f>IFERROR(IF(CURRENCY.FORMAT_1=0,CONCATENATE(TEXT(FIXED(ROUND((C111/EXC.RATE_1),CURRENCY.FORMAT_1),CURRENCY.FORMAT_1,1),"# ##0;-# ##0"),",-"),FIXED(ROUND((C111/EXC.RATE_1),CURRENCY.FORMAT_1),CURRENCY.FORMAT_1,0)),'DICTIONARY-5'!$A$2)</f>
        <v>1 032,-</v>
      </c>
      <c r="K111" s="670" t="str">
        <f>IF(EXC.RATE_2=0,"",IFERROR(IF(CURRENCY.FORMAT_2=0,CONCATENATE(TEXT(FIXED(ROUND(IF(EXC.RATE.SWITCH=1,C111/EXC.RATE_2,C111*EXC.RATE_2),CURRENCY.FORMAT_2),CURRENCY.FORMAT_2,1),"# ##0;-# ##0"),",-"),FIXED(ROUND(IF(EXC.RATE.SWITCH=1,C111/EXC.RATE_2,C111*EXC.RATE_2),CURRENCY.FORMAT_2),CURRENCY.FORMAT_2,0)),'DICTIONARY-5'!$A$2))</f>
        <v/>
      </c>
      <c r="L111" s="670" t="str">
        <f>IFERROR(IF(CURRENCY.FORMAT_1=0,CONCATENATE(TEXT(FIXED(ROUND((C111*(1-I111)*(1-ADD.DISCOUNT)*(1+MAT.SURCHARGE)/EXC.RATE_1),CURRENCY.FORMAT_1),CURRENCY.FORMAT_1,1),"# ##0;-# ##0"),",-"),FIXED(ROUND((C111*(1-I111)*(1-ADD.DISCOUNT)*(1+MAT.SURCHARGE)/EXC.RATE_1),CURRENCY.FORMAT_1),CURRENCY.FORMAT_1,0)),'DICTIONARY-5'!$A$2)</f>
        <v>1 072,-</v>
      </c>
      <c r="M111" s="670" t="str">
        <f>IF(EXC.RATE_2=0,"",IFERROR(IF(CURRENCY.FORMAT_2=0,CONCATENATE(TEXT(FIXED(ROUND(IF(EXC.RATE.SWITCH=1,C111*(1-I111)*(1-ADD.DISCOUNT)*(1+MAT.SURCHARGE)/EXC.RATE_2,C111*(1-I111)*(1-ADD.DISCOUNT)*(1+MAT.SURCHARGE)*EXC.RATE_2),CURRENCY.FORMAT_2),CURRENCY.FORMAT_2,1),"# ##0;-# ##0"),",-"),FIXED(ROUND(IF(EXC.RATE.SWITCH=1,C111*(1-I111)*(1-ADD.DISCOUNT)*(1+MAT.SURCHARGE)/EXC.RATE_2,C111*(1-I111)*(1-ADD.DISCOUNT)*(1+MAT.SURCHARGE)*EXC.RATE_2),CURRENCY.FORMAT_2),CURRENCY.FORMAT_2,0)),'DICTIONARY-5'!$A$2))</f>
        <v/>
      </c>
      <c r="N111" s="496">
        <v>1</v>
      </c>
      <c r="O111" s="496"/>
      <c r="P111" s="731" t="str">
        <f>'DICTIONARY-3'!$A$2</f>
        <v>EKOplus</v>
      </c>
      <c r="Q111" s="732" t="str">
        <f>'DICTIONARY-3'!$A$187</f>
        <v>Zasuwa klinowa</v>
      </c>
      <c r="R111" s="732" t="str">
        <f>CONCATENATE('DICTIONARY-3'!$A$2," ",'DICTIONARY-6'!$A$3," ",'DICTIONARY-6'!$A$52," ",'DICTIONARY-2'!$A$2,"200"," ",'DICTIONARY-2'!$A$3,"10/16"," ",'DICTIONARY-2'!$A$24,"=","312-499",'DICTIONARY-2'!$A$17,,", ",'DICTIONARY-4'!$A$2)</f>
        <v>EKOplus Zasuwa z kołnierz. przesuw. DN200 PN10/16 L=312-499mm, WW</v>
      </c>
      <c r="S111" s="733" t="str">
        <f>'DICTIONARY-4'!$A$2</f>
        <v>WW</v>
      </c>
      <c r="T111" s="732" t="str">
        <f>'DICTIONARY-4'!$A$18</f>
        <v>Wolny wałek</v>
      </c>
      <c r="U111" s="734" t="s">
        <v>5750</v>
      </c>
      <c r="V111" s="735">
        <v>16</v>
      </c>
      <c r="W111" s="736"/>
      <c r="X111" s="737"/>
      <c r="Y111" s="738"/>
      <c r="Z111" s="739"/>
      <c r="AA111" s="739"/>
      <c r="AB111" s="740">
        <v>16</v>
      </c>
      <c r="AC111" s="741" t="s">
        <v>5829</v>
      </c>
      <c r="AD111" s="741" t="str">
        <f>'DICTIONARY-5'!$A$13</f>
        <v>woda pitna</v>
      </c>
      <c r="AE111" s="742">
        <v>50</v>
      </c>
      <c r="AF111" s="743">
        <v>72.5</v>
      </c>
      <c r="AG111" s="741" t="str">
        <f>'DICTIONARY-5'!$A$23</f>
        <v>powłoka epoksydowa</v>
      </c>
    </row>
    <row r="112" spans="1:33" x14ac:dyDescent="0.25">
      <c r="A112" s="837" t="s">
        <v>176</v>
      </c>
      <c r="B112" s="837" t="s">
        <v>3081</v>
      </c>
      <c r="C112" s="836">
        <v>230</v>
      </c>
      <c r="D112" s="836"/>
      <c r="E112" s="836"/>
      <c r="F112" s="836"/>
      <c r="G112" s="496" t="s">
        <v>7789</v>
      </c>
      <c r="H112" s="797" t="str">
        <f>VLOOKUP(G112,SETTINGS!$B$7:$D$97,2,0)</f>
        <v>EKOplus</v>
      </c>
      <c r="I112" s="796">
        <f>VLOOKUP(G112,SETTINGS!$B$7:$D$97,3,0)</f>
        <v>0</v>
      </c>
      <c r="J112" s="670" t="str">
        <f>IFERROR(IF(CURRENCY.FORMAT_1=0,CONCATENATE(TEXT(FIXED(ROUND((C112/EXC.RATE_1),CURRENCY.FORMAT_1),CURRENCY.FORMAT_1,1),"# ##0;-# ##0"),",-"),FIXED(ROUND((C112/EXC.RATE_1),CURRENCY.FORMAT_1),CURRENCY.FORMAT_1,0)),'DICTIONARY-5'!$A$2)</f>
        <v>230,-</v>
      </c>
      <c r="K112" s="670" t="str">
        <f>IF(EXC.RATE_2=0,"",IFERROR(IF(CURRENCY.FORMAT_2=0,CONCATENATE(TEXT(FIXED(ROUND(IF(EXC.RATE.SWITCH=1,C112/EXC.RATE_2,C112*EXC.RATE_2),CURRENCY.FORMAT_2),CURRENCY.FORMAT_2,1),"# ##0;-# ##0"),",-"),FIXED(ROUND(IF(EXC.RATE.SWITCH=1,C112/EXC.RATE_2,C112*EXC.RATE_2),CURRENCY.FORMAT_2),CURRENCY.FORMAT_2,0)),'DICTIONARY-5'!$A$2))</f>
        <v/>
      </c>
      <c r="L112" s="670" t="str">
        <f>IFERROR(IF(CURRENCY.FORMAT_1=0,CONCATENATE(TEXT(FIXED(ROUND((C112*(1-I112)*(1-ADD.DISCOUNT)*(1+MAT.SURCHARGE)/EXC.RATE_1),CURRENCY.FORMAT_1),CURRENCY.FORMAT_1,1),"# ##0;-# ##0"),",-"),FIXED(ROUND((C112*(1-I112)*(1-ADD.DISCOUNT)*(1+MAT.SURCHARGE)/EXC.RATE_1),CURRENCY.FORMAT_1),CURRENCY.FORMAT_1,0)),'DICTIONARY-5'!$A$2)</f>
        <v>239,-</v>
      </c>
      <c r="M112" s="670" t="str">
        <f>IF(EXC.RATE_2=0,"",IFERROR(IF(CURRENCY.FORMAT_2=0,CONCATENATE(TEXT(FIXED(ROUND(IF(EXC.RATE.SWITCH=1,C112*(1-I112)*(1-ADD.DISCOUNT)*(1+MAT.SURCHARGE)/EXC.RATE_2,C112*(1-I112)*(1-ADD.DISCOUNT)*(1+MAT.SURCHARGE)*EXC.RATE_2),CURRENCY.FORMAT_2),CURRENCY.FORMAT_2,1),"# ##0;-# ##0"),",-"),FIXED(ROUND(IF(EXC.RATE.SWITCH=1,C112*(1-I112)*(1-ADD.DISCOUNT)*(1+MAT.SURCHARGE)/EXC.RATE_2,C112*(1-I112)*(1-ADD.DISCOUNT)*(1+MAT.SURCHARGE)*EXC.RATE_2),CURRENCY.FORMAT_2),CURRENCY.FORMAT_2,0)),'DICTIONARY-5'!$A$2))</f>
        <v/>
      </c>
      <c r="N112" s="496">
        <v>1</v>
      </c>
      <c r="O112" s="496"/>
      <c r="P112" s="731" t="str">
        <f>'DICTIONARY-3'!$A$2</f>
        <v>EKOplus</v>
      </c>
      <c r="Q112" s="732" t="str">
        <f>'DICTIONARY-3'!$A$187</f>
        <v>Zasuwa klinowa</v>
      </c>
      <c r="R112" s="732" t="str">
        <f>CONCATENATE('DICTIONARY-3'!$A$2," ",'DICTIONARY-6'!$A$3," ",'DICTIONARY-2'!$A$2,"40"," ",'DICTIONARY-2'!$A$3,"10/16"," ","R14",", ",'DICTIONARY-4'!$A$11)</f>
        <v>EKOplus Zasuwa DN40 PN10/16 R14, PNE</v>
      </c>
      <c r="S112" s="733" t="str">
        <f>'DICTIONARY-4'!$A$11</f>
        <v>PNE</v>
      </c>
      <c r="T112" s="732" t="str">
        <f>'DICTIONARY-4'!$A$27</f>
        <v>Przygotowane pod napęd elektryczny</v>
      </c>
      <c r="U112" s="734" t="s">
        <v>5758</v>
      </c>
      <c r="V112" s="735">
        <v>16</v>
      </c>
      <c r="W112" s="736"/>
      <c r="X112" s="737"/>
      <c r="Y112" s="738"/>
      <c r="Z112" s="739"/>
      <c r="AA112" s="739"/>
      <c r="AB112" s="740">
        <v>16</v>
      </c>
      <c r="AC112" s="741" t="str">
        <f>'DICTIONARY-5'!$A$11&amp;" 14"</f>
        <v>EN 558 szereg 14</v>
      </c>
      <c r="AD112" s="741" t="str">
        <f>'DICTIONARY-5'!$A$13</f>
        <v>woda pitna</v>
      </c>
      <c r="AE112" s="742">
        <v>50</v>
      </c>
      <c r="AF112" s="743">
        <v>10</v>
      </c>
      <c r="AG112" s="741" t="str">
        <f>'DICTIONARY-5'!$A$23</f>
        <v>powłoka epoksydowa</v>
      </c>
    </row>
    <row r="113" spans="1:33" x14ac:dyDescent="0.25">
      <c r="A113" s="837" t="s">
        <v>178</v>
      </c>
      <c r="B113" s="837" t="s">
        <v>3082</v>
      </c>
      <c r="C113" s="836">
        <v>235</v>
      </c>
      <c r="D113" s="836"/>
      <c r="E113" s="836"/>
      <c r="F113" s="836"/>
      <c r="G113" s="496" t="s">
        <v>7789</v>
      </c>
      <c r="H113" s="797" t="str">
        <f>VLOOKUP(G113,SETTINGS!$B$7:$D$97,2,0)</f>
        <v>EKOplus</v>
      </c>
      <c r="I113" s="796">
        <f>VLOOKUP(G113,SETTINGS!$B$7:$D$97,3,0)</f>
        <v>0</v>
      </c>
      <c r="J113" s="670" t="str">
        <f>IFERROR(IF(CURRENCY.FORMAT_1=0,CONCATENATE(TEXT(FIXED(ROUND((C113/EXC.RATE_1),CURRENCY.FORMAT_1),CURRENCY.FORMAT_1,1),"# ##0;-# ##0"),",-"),FIXED(ROUND((C113/EXC.RATE_1),CURRENCY.FORMAT_1),CURRENCY.FORMAT_1,0)),'DICTIONARY-5'!$A$2)</f>
        <v>235,-</v>
      </c>
      <c r="K113" s="670" t="str">
        <f>IF(EXC.RATE_2=0,"",IFERROR(IF(CURRENCY.FORMAT_2=0,CONCATENATE(TEXT(FIXED(ROUND(IF(EXC.RATE.SWITCH=1,C113/EXC.RATE_2,C113*EXC.RATE_2),CURRENCY.FORMAT_2),CURRENCY.FORMAT_2,1),"# ##0;-# ##0"),",-"),FIXED(ROUND(IF(EXC.RATE.SWITCH=1,C113/EXC.RATE_2,C113*EXC.RATE_2),CURRENCY.FORMAT_2),CURRENCY.FORMAT_2,0)),'DICTIONARY-5'!$A$2))</f>
        <v/>
      </c>
      <c r="L113" s="670" t="str">
        <f>IFERROR(IF(CURRENCY.FORMAT_1=0,CONCATENATE(TEXT(FIXED(ROUND((C113*(1-I113)*(1-ADD.DISCOUNT)*(1+MAT.SURCHARGE)/EXC.RATE_1),CURRENCY.FORMAT_1),CURRENCY.FORMAT_1,1),"# ##0;-# ##0"),",-"),FIXED(ROUND((C113*(1-I113)*(1-ADD.DISCOUNT)*(1+MAT.SURCHARGE)/EXC.RATE_1),CURRENCY.FORMAT_1),CURRENCY.FORMAT_1,0)),'DICTIONARY-5'!$A$2)</f>
        <v>244,-</v>
      </c>
      <c r="M113" s="670" t="str">
        <f>IF(EXC.RATE_2=0,"",IFERROR(IF(CURRENCY.FORMAT_2=0,CONCATENATE(TEXT(FIXED(ROUND(IF(EXC.RATE.SWITCH=1,C113*(1-I113)*(1-ADD.DISCOUNT)*(1+MAT.SURCHARGE)/EXC.RATE_2,C113*(1-I113)*(1-ADD.DISCOUNT)*(1+MAT.SURCHARGE)*EXC.RATE_2),CURRENCY.FORMAT_2),CURRENCY.FORMAT_2,1),"# ##0;-# ##0"),",-"),FIXED(ROUND(IF(EXC.RATE.SWITCH=1,C113*(1-I113)*(1-ADD.DISCOUNT)*(1+MAT.SURCHARGE)/EXC.RATE_2,C113*(1-I113)*(1-ADD.DISCOUNT)*(1+MAT.SURCHARGE)*EXC.RATE_2),CURRENCY.FORMAT_2),CURRENCY.FORMAT_2,0)),'DICTIONARY-5'!$A$2))</f>
        <v/>
      </c>
      <c r="N113" s="496">
        <v>1</v>
      </c>
      <c r="O113" s="496"/>
      <c r="P113" s="731" t="str">
        <f>'DICTIONARY-3'!$A$2</f>
        <v>EKOplus</v>
      </c>
      <c r="Q113" s="732" t="str">
        <f>'DICTIONARY-3'!$A$187</f>
        <v>Zasuwa klinowa</v>
      </c>
      <c r="R113" s="732" t="str">
        <f>CONCATENATE('DICTIONARY-3'!$A$2," ",'DICTIONARY-6'!$A$3," ",'DICTIONARY-2'!$A$2,"50"," ",'DICTIONARY-2'!$A$3,"10/16"," ","R14",", ",'DICTIONARY-4'!$A$11)</f>
        <v>EKOplus Zasuwa DN50 PN10/16 R14, PNE</v>
      </c>
      <c r="S113" s="733" t="str">
        <f>'DICTIONARY-4'!$A$11</f>
        <v>PNE</v>
      </c>
      <c r="T113" s="732" t="str">
        <f>'DICTIONARY-4'!$A$27</f>
        <v>Przygotowane pod napęd elektryczny</v>
      </c>
      <c r="U113" s="734" t="s">
        <v>5748</v>
      </c>
      <c r="V113" s="735">
        <v>16</v>
      </c>
      <c r="W113" s="736"/>
      <c r="X113" s="737"/>
      <c r="Y113" s="738"/>
      <c r="Z113" s="739"/>
      <c r="AA113" s="739"/>
      <c r="AB113" s="740">
        <v>16</v>
      </c>
      <c r="AC113" s="741" t="str">
        <f>'DICTIONARY-5'!$A$11&amp;" 14"</f>
        <v>EN 558 szereg 14</v>
      </c>
      <c r="AD113" s="741" t="str">
        <f>'DICTIONARY-5'!$A$13</f>
        <v>woda pitna</v>
      </c>
      <c r="AE113" s="742">
        <v>50</v>
      </c>
      <c r="AF113" s="743">
        <v>11.5</v>
      </c>
      <c r="AG113" s="741" t="str">
        <f>'DICTIONARY-5'!$A$23</f>
        <v>powłoka epoksydowa</v>
      </c>
    </row>
    <row r="114" spans="1:33" x14ac:dyDescent="0.25">
      <c r="A114" s="837" t="s">
        <v>180</v>
      </c>
      <c r="B114" s="837" t="s">
        <v>3083</v>
      </c>
      <c r="C114" s="836">
        <v>288</v>
      </c>
      <c r="D114" s="836"/>
      <c r="E114" s="836"/>
      <c r="F114" s="836"/>
      <c r="G114" s="496" t="s">
        <v>7789</v>
      </c>
      <c r="H114" s="797" t="str">
        <f>VLOOKUP(G114,SETTINGS!$B$7:$D$97,2,0)</f>
        <v>EKOplus</v>
      </c>
      <c r="I114" s="796">
        <f>VLOOKUP(G114,SETTINGS!$B$7:$D$97,3,0)</f>
        <v>0</v>
      </c>
      <c r="J114" s="670" t="str">
        <f>IFERROR(IF(CURRENCY.FORMAT_1=0,CONCATENATE(TEXT(FIXED(ROUND((C114/EXC.RATE_1),CURRENCY.FORMAT_1),CURRENCY.FORMAT_1,1),"# ##0;-# ##0"),",-"),FIXED(ROUND((C114/EXC.RATE_1),CURRENCY.FORMAT_1),CURRENCY.FORMAT_1,0)),'DICTIONARY-5'!$A$2)</f>
        <v>288,-</v>
      </c>
      <c r="K114" s="670" t="str">
        <f>IF(EXC.RATE_2=0,"",IFERROR(IF(CURRENCY.FORMAT_2=0,CONCATENATE(TEXT(FIXED(ROUND(IF(EXC.RATE.SWITCH=1,C114/EXC.RATE_2,C114*EXC.RATE_2),CURRENCY.FORMAT_2),CURRENCY.FORMAT_2,1),"# ##0;-# ##0"),",-"),FIXED(ROUND(IF(EXC.RATE.SWITCH=1,C114/EXC.RATE_2,C114*EXC.RATE_2),CURRENCY.FORMAT_2),CURRENCY.FORMAT_2,0)),'DICTIONARY-5'!$A$2))</f>
        <v/>
      </c>
      <c r="L114" s="670" t="str">
        <f>IFERROR(IF(CURRENCY.FORMAT_1=0,CONCATENATE(TEXT(FIXED(ROUND((C114*(1-I114)*(1-ADD.DISCOUNT)*(1+MAT.SURCHARGE)/EXC.RATE_1),CURRENCY.FORMAT_1),CURRENCY.FORMAT_1,1),"# ##0;-# ##0"),",-"),FIXED(ROUND((C114*(1-I114)*(1-ADD.DISCOUNT)*(1+MAT.SURCHARGE)/EXC.RATE_1),CURRENCY.FORMAT_1),CURRENCY.FORMAT_1,0)),'DICTIONARY-5'!$A$2)</f>
        <v>299,-</v>
      </c>
      <c r="M114" s="670" t="str">
        <f>IF(EXC.RATE_2=0,"",IFERROR(IF(CURRENCY.FORMAT_2=0,CONCATENATE(TEXT(FIXED(ROUND(IF(EXC.RATE.SWITCH=1,C114*(1-I114)*(1-ADD.DISCOUNT)*(1+MAT.SURCHARGE)/EXC.RATE_2,C114*(1-I114)*(1-ADD.DISCOUNT)*(1+MAT.SURCHARGE)*EXC.RATE_2),CURRENCY.FORMAT_2),CURRENCY.FORMAT_2,1),"# ##0;-# ##0"),",-"),FIXED(ROUND(IF(EXC.RATE.SWITCH=1,C114*(1-I114)*(1-ADD.DISCOUNT)*(1+MAT.SURCHARGE)/EXC.RATE_2,C114*(1-I114)*(1-ADD.DISCOUNT)*(1+MAT.SURCHARGE)*EXC.RATE_2),CURRENCY.FORMAT_2),CURRENCY.FORMAT_2,0)),'DICTIONARY-5'!$A$2))</f>
        <v/>
      </c>
      <c r="N114" s="496">
        <v>1</v>
      </c>
      <c r="O114" s="496"/>
      <c r="P114" s="731" t="str">
        <f>'DICTIONARY-3'!$A$2</f>
        <v>EKOplus</v>
      </c>
      <c r="Q114" s="732" t="str">
        <f>'DICTIONARY-3'!$A$187</f>
        <v>Zasuwa klinowa</v>
      </c>
      <c r="R114" s="732" t="str">
        <f>CONCATENATE('DICTIONARY-3'!$A$2," ",'DICTIONARY-6'!$A$3," ",'DICTIONARY-2'!$A$2,"65"," ",'DICTIONARY-2'!$A$3,"10/16"," ","R14",", ",'DICTIONARY-4'!$A$11)</f>
        <v>EKOplus Zasuwa DN65 PN10/16 R14, PNE</v>
      </c>
      <c r="S114" s="733" t="str">
        <f>'DICTIONARY-4'!$A$11</f>
        <v>PNE</v>
      </c>
      <c r="T114" s="732" t="str">
        <f>'DICTIONARY-4'!$A$27</f>
        <v>Przygotowane pod napęd elektryczny</v>
      </c>
      <c r="U114" s="734" t="s">
        <v>5759</v>
      </c>
      <c r="V114" s="735">
        <v>16</v>
      </c>
      <c r="W114" s="736"/>
      <c r="X114" s="737"/>
      <c r="Y114" s="738"/>
      <c r="Z114" s="739"/>
      <c r="AA114" s="739"/>
      <c r="AB114" s="740">
        <v>16</v>
      </c>
      <c r="AC114" s="741" t="str">
        <f>'DICTIONARY-5'!$A$11&amp;" 14"</f>
        <v>EN 558 szereg 14</v>
      </c>
      <c r="AD114" s="741" t="str">
        <f>'DICTIONARY-5'!$A$13</f>
        <v>woda pitna</v>
      </c>
      <c r="AE114" s="742">
        <v>50</v>
      </c>
      <c r="AF114" s="743">
        <v>15</v>
      </c>
      <c r="AG114" s="741" t="str">
        <f>'DICTIONARY-5'!$A$23</f>
        <v>powłoka epoksydowa</v>
      </c>
    </row>
    <row r="115" spans="1:33" x14ac:dyDescent="0.25">
      <c r="A115" s="837" t="s">
        <v>182</v>
      </c>
      <c r="B115" s="837" t="s">
        <v>3084</v>
      </c>
      <c r="C115" s="836">
        <v>289</v>
      </c>
      <c r="D115" s="836"/>
      <c r="E115" s="836"/>
      <c r="F115" s="836"/>
      <c r="G115" s="496" t="s">
        <v>7789</v>
      </c>
      <c r="H115" s="797" t="str">
        <f>VLOOKUP(G115,SETTINGS!$B$7:$D$97,2,0)</f>
        <v>EKOplus</v>
      </c>
      <c r="I115" s="796">
        <f>VLOOKUP(G115,SETTINGS!$B$7:$D$97,3,0)</f>
        <v>0</v>
      </c>
      <c r="J115" s="670" t="str">
        <f>IFERROR(IF(CURRENCY.FORMAT_1=0,CONCATENATE(TEXT(FIXED(ROUND((C115/EXC.RATE_1),CURRENCY.FORMAT_1),CURRENCY.FORMAT_1,1),"# ##0;-# ##0"),",-"),FIXED(ROUND((C115/EXC.RATE_1),CURRENCY.FORMAT_1),CURRENCY.FORMAT_1,0)),'DICTIONARY-5'!$A$2)</f>
        <v>289,-</v>
      </c>
      <c r="K115" s="670" t="str">
        <f>IF(EXC.RATE_2=0,"",IFERROR(IF(CURRENCY.FORMAT_2=0,CONCATENATE(TEXT(FIXED(ROUND(IF(EXC.RATE.SWITCH=1,C115/EXC.RATE_2,C115*EXC.RATE_2),CURRENCY.FORMAT_2),CURRENCY.FORMAT_2,1),"# ##0;-# ##0"),",-"),FIXED(ROUND(IF(EXC.RATE.SWITCH=1,C115/EXC.RATE_2,C115*EXC.RATE_2),CURRENCY.FORMAT_2),CURRENCY.FORMAT_2,0)),'DICTIONARY-5'!$A$2))</f>
        <v/>
      </c>
      <c r="L115" s="670" t="str">
        <f>IFERROR(IF(CURRENCY.FORMAT_1=0,CONCATENATE(TEXT(FIXED(ROUND((C115*(1-I115)*(1-ADD.DISCOUNT)*(1+MAT.SURCHARGE)/EXC.RATE_1),CURRENCY.FORMAT_1),CURRENCY.FORMAT_1,1),"# ##0;-# ##0"),",-"),FIXED(ROUND((C115*(1-I115)*(1-ADD.DISCOUNT)*(1+MAT.SURCHARGE)/EXC.RATE_1),CURRENCY.FORMAT_1),CURRENCY.FORMAT_1,0)),'DICTIONARY-5'!$A$2)</f>
        <v>300,-</v>
      </c>
      <c r="M115" s="670" t="str">
        <f>IF(EXC.RATE_2=0,"",IFERROR(IF(CURRENCY.FORMAT_2=0,CONCATENATE(TEXT(FIXED(ROUND(IF(EXC.RATE.SWITCH=1,C115*(1-I115)*(1-ADD.DISCOUNT)*(1+MAT.SURCHARGE)/EXC.RATE_2,C115*(1-I115)*(1-ADD.DISCOUNT)*(1+MAT.SURCHARGE)*EXC.RATE_2),CURRENCY.FORMAT_2),CURRENCY.FORMAT_2,1),"# ##0;-# ##0"),",-"),FIXED(ROUND(IF(EXC.RATE.SWITCH=1,C115*(1-I115)*(1-ADD.DISCOUNT)*(1+MAT.SURCHARGE)/EXC.RATE_2,C115*(1-I115)*(1-ADD.DISCOUNT)*(1+MAT.SURCHARGE)*EXC.RATE_2),CURRENCY.FORMAT_2),CURRENCY.FORMAT_2,0)),'DICTIONARY-5'!$A$2))</f>
        <v/>
      </c>
      <c r="N115" s="496">
        <v>1</v>
      </c>
      <c r="O115" s="496"/>
      <c r="P115" s="731" t="str">
        <f>'DICTIONARY-3'!$A$2</f>
        <v>EKOplus</v>
      </c>
      <c r="Q115" s="732" t="str">
        <f>'DICTIONARY-3'!$A$187</f>
        <v>Zasuwa klinowa</v>
      </c>
      <c r="R115" s="732" t="str">
        <f>CONCATENATE('DICTIONARY-3'!$A$2," ",'DICTIONARY-6'!$A$3," ",'DICTIONARY-2'!$A$2,"80"," ",'DICTIONARY-2'!$A$3,"10/16"," ","R14",", ",'DICTIONARY-4'!$A$11)</f>
        <v>EKOplus Zasuwa DN80 PN10/16 R14, PNE</v>
      </c>
      <c r="S115" s="733" t="str">
        <f>'DICTIONARY-4'!$A$11</f>
        <v>PNE</v>
      </c>
      <c r="T115" s="732" t="str">
        <f>'DICTIONARY-4'!$A$27</f>
        <v>Przygotowane pod napęd elektryczny</v>
      </c>
      <c r="U115" s="734" t="s">
        <v>5760</v>
      </c>
      <c r="V115" s="735">
        <v>16</v>
      </c>
      <c r="W115" s="736"/>
      <c r="X115" s="737"/>
      <c r="Y115" s="738"/>
      <c r="Z115" s="739"/>
      <c r="AA115" s="739"/>
      <c r="AB115" s="740">
        <v>16</v>
      </c>
      <c r="AC115" s="741" t="str">
        <f>'DICTIONARY-5'!$A$11&amp;" 14"</f>
        <v>EN 558 szereg 14</v>
      </c>
      <c r="AD115" s="741" t="str">
        <f>'DICTIONARY-5'!$A$13</f>
        <v>woda pitna</v>
      </c>
      <c r="AE115" s="742">
        <v>50</v>
      </c>
      <c r="AF115" s="743">
        <v>17</v>
      </c>
      <c r="AG115" s="741" t="str">
        <f>'DICTIONARY-5'!$A$23</f>
        <v>powłoka epoksydowa</v>
      </c>
    </row>
    <row r="116" spans="1:33" x14ac:dyDescent="0.25">
      <c r="A116" s="837" t="s">
        <v>184</v>
      </c>
      <c r="B116" s="837" t="s">
        <v>3085</v>
      </c>
      <c r="C116" s="836">
        <v>310</v>
      </c>
      <c r="D116" s="836"/>
      <c r="E116" s="836"/>
      <c r="F116" s="836"/>
      <c r="G116" s="496" t="s">
        <v>7789</v>
      </c>
      <c r="H116" s="797" t="str">
        <f>VLOOKUP(G116,SETTINGS!$B$7:$D$97,2,0)</f>
        <v>EKOplus</v>
      </c>
      <c r="I116" s="796">
        <f>VLOOKUP(G116,SETTINGS!$B$7:$D$97,3,0)</f>
        <v>0</v>
      </c>
      <c r="J116" s="670" t="str">
        <f>IFERROR(IF(CURRENCY.FORMAT_1=0,CONCATENATE(TEXT(FIXED(ROUND((C116/EXC.RATE_1),CURRENCY.FORMAT_1),CURRENCY.FORMAT_1,1),"# ##0;-# ##0"),",-"),FIXED(ROUND((C116/EXC.RATE_1),CURRENCY.FORMAT_1),CURRENCY.FORMAT_1,0)),'DICTIONARY-5'!$A$2)</f>
        <v>310,-</v>
      </c>
      <c r="K116" s="670" t="str">
        <f>IF(EXC.RATE_2=0,"",IFERROR(IF(CURRENCY.FORMAT_2=0,CONCATENATE(TEXT(FIXED(ROUND(IF(EXC.RATE.SWITCH=1,C116/EXC.RATE_2,C116*EXC.RATE_2),CURRENCY.FORMAT_2),CURRENCY.FORMAT_2,1),"# ##0;-# ##0"),",-"),FIXED(ROUND(IF(EXC.RATE.SWITCH=1,C116/EXC.RATE_2,C116*EXC.RATE_2),CURRENCY.FORMAT_2),CURRENCY.FORMAT_2,0)),'DICTIONARY-5'!$A$2))</f>
        <v/>
      </c>
      <c r="L116" s="670" t="str">
        <f>IFERROR(IF(CURRENCY.FORMAT_1=0,CONCATENATE(TEXT(FIXED(ROUND((C116*(1-I116)*(1-ADD.DISCOUNT)*(1+MAT.SURCHARGE)/EXC.RATE_1),CURRENCY.FORMAT_1),CURRENCY.FORMAT_1,1),"# ##0;-# ##0"),",-"),FIXED(ROUND((C116*(1-I116)*(1-ADD.DISCOUNT)*(1+MAT.SURCHARGE)/EXC.RATE_1),CURRENCY.FORMAT_1),CURRENCY.FORMAT_1,0)),'DICTIONARY-5'!$A$2)</f>
        <v>322,-</v>
      </c>
      <c r="M116" s="670" t="str">
        <f>IF(EXC.RATE_2=0,"",IFERROR(IF(CURRENCY.FORMAT_2=0,CONCATENATE(TEXT(FIXED(ROUND(IF(EXC.RATE.SWITCH=1,C116*(1-I116)*(1-ADD.DISCOUNT)*(1+MAT.SURCHARGE)/EXC.RATE_2,C116*(1-I116)*(1-ADD.DISCOUNT)*(1+MAT.SURCHARGE)*EXC.RATE_2),CURRENCY.FORMAT_2),CURRENCY.FORMAT_2,1),"# ##0;-# ##0"),",-"),FIXED(ROUND(IF(EXC.RATE.SWITCH=1,C116*(1-I116)*(1-ADD.DISCOUNT)*(1+MAT.SURCHARGE)/EXC.RATE_2,C116*(1-I116)*(1-ADD.DISCOUNT)*(1+MAT.SURCHARGE)*EXC.RATE_2),CURRENCY.FORMAT_2),CURRENCY.FORMAT_2,0)),'DICTIONARY-5'!$A$2))</f>
        <v/>
      </c>
      <c r="N116" s="496">
        <v>1</v>
      </c>
      <c r="O116" s="496"/>
      <c r="P116" s="731" t="str">
        <f>'DICTIONARY-3'!$A$2</f>
        <v>EKOplus</v>
      </c>
      <c r="Q116" s="732" t="str">
        <f>'DICTIONARY-3'!$A$187</f>
        <v>Zasuwa klinowa</v>
      </c>
      <c r="R116" s="732" t="str">
        <f>CONCATENATE('DICTIONARY-3'!$A$2," ",'DICTIONARY-6'!$A$3," ",'DICTIONARY-2'!$A$2,"100"," ",'DICTIONARY-2'!$A$3,"10/16"," ","R14",", ",'DICTIONARY-4'!$A$11)</f>
        <v>EKOplus Zasuwa DN100 PN10/16 R14, PNE</v>
      </c>
      <c r="S116" s="733" t="str">
        <f>'DICTIONARY-4'!$A$11</f>
        <v>PNE</v>
      </c>
      <c r="T116" s="732" t="str">
        <f>'DICTIONARY-4'!$A$27</f>
        <v>Przygotowane pod napęd elektryczny</v>
      </c>
      <c r="U116" s="734" t="s">
        <v>5749</v>
      </c>
      <c r="V116" s="735">
        <v>16</v>
      </c>
      <c r="W116" s="736"/>
      <c r="X116" s="737"/>
      <c r="Y116" s="738"/>
      <c r="Z116" s="739"/>
      <c r="AA116" s="739"/>
      <c r="AB116" s="740">
        <v>16</v>
      </c>
      <c r="AC116" s="741" t="str">
        <f>'DICTIONARY-5'!$A$11&amp;" 14"</f>
        <v>EN 558 szereg 14</v>
      </c>
      <c r="AD116" s="741" t="str">
        <f>'DICTIONARY-5'!$A$13</f>
        <v>woda pitna</v>
      </c>
      <c r="AE116" s="742">
        <v>50</v>
      </c>
      <c r="AF116" s="743">
        <v>21</v>
      </c>
      <c r="AG116" s="741" t="str">
        <f>'DICTIONARY-5'!$A$23</f>
        <v>powłoka epoksydowa</v>
      </c>
    </row>
    <row r="117" spans="1:33" x14ac:dyDescent="0.25">
      <c r="A117" s="837" t="s">
        <v>186</v>
      </c>
      <c r="B117" s="837" t="s">
        <v>3086</v>
      </c>
      <c r="C117" s="836">
        <v>373</v>
      </c>
      <c r="D117" s="836"/>
      <c r="E117" s="836"/>
      <c r="F117" s="836"/>
      <c r="G117" s="496" t="s">
        <v>7789</v>
      </c>
      <c r="H117" s="797" t="str">
        <f>VLOOKUP(G117,SETTINGS!$B$7:$D$97,2,0)</f>
        <v>EKOplus</v>
      </c>
      <c r="I117" s="796">
        <f>VLOOKUP(G117,SETTINGS!$B$7:$D$97,3,0)</f>
        <v>0</v>
      </c>
      <c r="J117" s="670" t="str">
        <f>IFERROR(IF(CURRENCY.FORMAT_1=0,CONCATENATE(TEXT(FIXED(ROUND((C117/EXC.RATE_1),CURRENCY.FORMAT_1),CURRENCY.FORMAT_1,1),"# ##0;-# ##0"),",-"),FIXED(ROUND((C117/EXC.RATE_1),CURRENCY.FORMAT_1),CURRENCY.FORMAT_1,0)),'DICTIONARY-5'!$A$2)</f>
        <v>373,-</v>
      </c>
      <c r="K117" s="670" t="str">
        <f>IF(EXC.RATE_2=0,"",IFERROR(IF(CURRENCY.FORMAT_2=0,CONCATENATE(TEXT(FIXED(ROUND(IF(EXC.RATE.SWITCH=1,C117/EXC.RATE_2,C117*EXC.RATE_2),CURRENCY.FORMAT_2),CURRENCY.FORMAT_2,1),"# ##0;-# ##0"),",-"),FIXED(ROUND(IF(EXC.RATE.SWITCH=1,C117/EXC.RATE_2,C117*EXC.RATE_2),CURRENCY.FORMAT_2),CURRENCY.FORMAT_2,0)),'DICTIONARY-5'!$A$2))</f>
        <v/>
      </c>
      <c r="L117" s="670" t="str">
        <f>IFERROR(IF(CURRENCY.FORMAT_1=0,CONCATENATE(TEXT(FIXED(ROUND((C117*(1-I117)*(1-ADD.DISCOUNT)*(1+MAT.SURCHARGE)/EXC.RATE_1),CURRENCY.FORMAT_1),CURRENCY.FORMAT_1,1),"# ##0;-# ##0"),",-"),FIXED(ROUND((C117*(1-I117)*(1-ADD.DISCOUNT)*(1+MAT.SURCHARGE)/EXC.RATE_1),CURRENCY.FORMAT_1),CURRENCY.FORMAT_1,0)),'DICTIONARY-5'!$A$2)</f>
        <v>388,-</v>
      </c>
      <c r="M117" s="670" t="str">
        <f>IF(EXC.RATE_2=0,"",IFERROR(IF(CURRENCY.FORMAT_2=0,CONCATENATE(TEXT(FIXED(ROUND(IF(EXC.RATE.SWITCH=1,C117*(1-I117)*(1-ADD.DISCOUNT)*(1+MAT.SURCHARGE)/EXC.RATE_2,C117*(1-I117)*(1-ADD.DISCOUNT)*(1+MAT.SURCHARGE)*EXC.RATE_2),CURRENCY.FORMAT_2),CURRENCY.FORMAT_2,1),"# ##0;-# ##0"),",-"),FIXED(ROUND(IF(EXC.RATE.SWITCH=1,C117*(1-I117)*(1-ADD.DISCOUNT)*(1+MAT.SURCHARGE)/EXC.RATE_2,C117*(1-I117)*(1-ADD.DISCOUNT)*(1+MAT.SURCHARGE)*EXC.RATE_2),CURRENCY.FORMAT_2),CURRENCY.FORMAT_2,0)),'DICTIONARY-5'!$A$2))</f>
        <v/>
      </c>
      <c r="N117" s="496">
        <v>1</v>
      </c>
      <c r="O117" s="496"/>
      <c r="P117" s="731" t="str">
        <f>'DICTIONARY-3'!$A$2</f>
        <v>EKOplus</v>
      </c>
      <c r="Q117" s="732" t="str">
        <f>'DICTIONARY-3'!$A$187</f>
        <v>Zasuwa klinowa</v>
      </c>
      <c r="R117" s="732" t="str">
        <f>CONCATENATE('DICTIONARY-3'!$A$2," ",'DICTIONARY-6'!$A$3," ",'DICTIONARY-2'!$A$2,"125"," ",'DICTIONARY-2'!$A$3,"10/16"," ","R14",", ",'DICTIONARY-4'!$A$11)</f>
        <v>EKOplus Zasuwa DN125 PN10/16 R14, PNE</v>
      </c>
      <c r="S117" s="733" t="str">
        <f>'DICTIONARY-4'!$A$11</f>
        <v>PNE</v>
      </c>
      <c r="T117" s="732" t="str">
        <f>'DICTIONARY-4'!$A$27</f>
        <v>Przygotowane pod napęd elektryczny</v>
      </c>
      <c r="U117" s="734" t="s">
        <v>5761</v>
      </c>
      <c r="V117" s="735">
        <v>16</v>
      </c>
      <c r="W117" s="736"/>
      <c r="X117" s="737"/>
      <c r="Y117" s="738"/>
      <c r="Z117" s="739"/>
      <c r="AA117" s="739"/>
      <c r="AB117" s="740">
        <v>16</v>
      </c>
      <c r="AC117" s="741" t="str">
        <f>'DICTIONARY-5'!$A$11&amp;" 14"</f>
        <v>EN 558 szereg 14</v>
      </c>
      <c r="AD117" s="741" t="str">
        <f>'DICTIONARY-5'!$A$13</f>
        <v>woda pitna</v>
      </c>
      <c r="AE117" s="742">
        <v>50</v>
      </c>
      <c r="AF117" s="743">
        <v>28.3</v>
      </c>
      <c r="AG117" s="741" t="str">
        <f>'DICTIONARY-5'!$A$23</f>
        <v>powłoka epoksydowa</v>
      </c>
    </row>
    <row r="118" spans="1:33" x14ac:dyDescent="0.25">
      <c r="A118" s="837" t="s">
        <v>188</v>
      </c>
      <c r="B118" s="837" t="s">
        <v>3087</v>
      </c>
      <c r="C118" s="836">
        <v>397</v>
      </c>
      <c r="D118" s="836"/>
      <c r="E118" s="836"/>
      <c r="F118" s="836"/>
      <c r="G118" s="496" t="s">
        <v>7789</v>
      </c>
      <c r="H118" s="797" t="str">
        <f>VLOOKUP(G118,SETTINGS!$B$7:$D$97,2,0)</f>
        <v>EKOplus</v>
      </c>
      <c r="I118" s="796">
        <f>VLOOKUP(G118,SETTINGS!$B$7:$D$97,3,0)</f>
        <v>0</v>
      </c>
      <c r="J118" s="670" t="str">
        <f>IFERROR(IF(CURRENCY.FORMAT_1=0,CONCATENATE(TEXT(FIXED(ROUND((C118/EXC.RATE_1),CURRENCY.FORMAT_1),CURRENCY.FORMAT_1,1),"# ##0;-# ##0"),",-"),FIXED(ROUND((C118/EXC.RATE_1),CURRENCY.FORMAT_1),CURRENCY.FORMAT_1,0)),'DICTIONARY-5'!$A$2)</f>
        <v>397,-</v>
      </c>
      <c r="K118" s="670" t="str">
        <f>IF(EXC.RATE_2=0,"",IFERROR(IF(CURRENCY.FORMAT_2=0,CONCATENATE(TEXT(FIXED(ROUND(IF(EXC.RATE.SWITCH=1,C118/EXC.RATE_2,C118*EXC.RATE_2),CURRENCY.FORMAT_2),CURRENCY.FORMAT_2,1),"# ##0;-# ##0"),",-"),FIXED(ROUND(IF(EXC.RATE.SWITCH=1,C118/EXC.RATE_2,C118*EXC.RATE_2),CURRENCY.FORMAT_2),CURRENCY.FORMAT_2,0)),'DICTIONARY-5'!$A$2))</f>
        <v/>
      </c>
      <c r="L118" s="670" t="str">
        <f>IFERROR(IF(CURRENCY.FORMAT_1=0,CONCATENATE(TEXT(FIXED(ROUND((C118*(1-I118)*(1-ADD.DISCOUNT)*(1+MAT.SURCHARGE)/EXC.RATE_1),CURRENCY.FORMAT_1),CURRENCY.FORMAT_1,1),"# ##0;-# ##0"),",-"),FIXED(ROUND((C118*(1-I118)*(1-ADD.DISCOUNT)*(1+MAT.SURCHARGE)/EXC.RATE_1),CURRENCY.FORMAT_1),CURRENCY.FORMAT_1,0)),'DICTIONARY-5'!$A$2)</f>
        <v>412,-</v>
      </c>
      <c r="M118" s="670" t="str">
        <f>IF(EXC.RATE_2=0,"",IFERROR(IF(CURRENCY.FORMAT_2=0,CONCATENATE(TEXT(FIXED(ROUND(IF(EXC.RATE.SWITCH=1,C118*(1-I118)*(1-ADD.DISCOUNT)*(1+MAT.SURCHARGE)/EXC.RATE_2,C118*(1-I118)*(1-ADD.DISCOUNT)*(1+MAT.SURCHARGE)*EXC.RATE_2),CURRENCY.FORMAT_2),CURRENCY.FORMAT_2,1),"# ##0;-# ##0"),",-"),FIXED(ROUND(IF(EXC.RATE.SWITCH=1,C118*(1-I118)*(1-ADD.DISCOUNT)*(1+MAT.SURCHARGE)/EXC.RATE_2,C118*(1-I118)*(1-ADD.DISCOUNT)*(1+MAT.SURCHARGE)*EXC.RATE_2),CURRENCY.FORMAT_2),CURRENCY.FORMAT_2,0)),'DICTIONARY-5'!$A$2))</f>
        <v/>
      </c>
      <c r="N118" s="496">
        <v>1</v>
      </c>
      <c r="O118" s="496"/>
      <c r="P118" s="731" t="str">
        <f>'DICTIONARY-3'!$A$2</f>
        <v>EKOplus</v>
      </c>
      <c r="Q118" s="732" t="str">
        <f>'DICTIONARY-3'!$A$187</f>
        <v>Zasuwa klinowa</v>
      </c>
      <c r="R118" s="732" t="str">
        <f>CONCATENATE('DICTIONARY-3'!$A$2," ",'DICTIONARY-6'!$A$3," ",'DICTIONARY-2'!$A$2,"150"," ",'DICTIONARY-2'!$A$3,"10/16"," ","R14",", ",'DICTIONARY-4'!$A$11)</f>
        <v>EKOplus Zasuwa DN150 PN10/16 R14, PNE</v>
      </c>
      <c r="S118" s="733" t="str">
        <f>'DICTIONARY-4'!$A$11</f>
        <v>PNE</v>
      </c>
      <c r="T118" s="732" t="str">
        <f>'DICTIONARY-4'!$A$27</f>
        <v>Przygotowane pod napęd elektryczny</v>
      </c>
      <c r="U118" s="734" t="s">
        <v>5572</v>
      </c>
      <c r="V118" s="735">
        <v>16</v>
      </c>
      <c r="W118" s="736"/>
      <c r="X118" s="737"/>
      <c r="Y118" s="738"/>
      <c r="Z118" s="739"/>
      <c r="AA118" s="739"/>
      <c r="AB118" s="740">
        <v>16</v>
      </c>
      <c r="AC118" s="741" t="str">
        <f>'DICTIONARY-5'!$A$11&amp;" 14"</f>
        <v>EN 558 szereg 14</v>
      </c>
      <c r="AD118" s="741" t="str">
        <f>'DICTIONARY-5'!$A$13</f>
        <v>woda pitna</v>
      </c>
      <c r="AE118" s="742">
        <v>50</v>
      </c>
      <c r="AF118" s="743">
        <v>35.5</v>
      </c>
      <c r="AG118" s="741" t="str">
        <f>'DICTIONARY-5'!$A$23</f>
        <v>powłoka epoksydowa</v>
      </c>
    </row>
    <row r="119" spans="1:33" x14ac:dyDescent="0.25">
      <c r="A119" s="837" t="s">
        <v>190</v>
      </c>
      <c r="B119" s="837" t="s">
        <v>3065</v>
      </c>
      <c r="C119" s="836">
        <v>796</v>
      </c>
      <c r="D119" s="836"/>
      <c r="E119" s="836"/>
      <c r="F119" s="836"/>
      <c r="G119" s="496" t="s">
        <v>7789</v>
      </c>
      <c r="H119" s="797" t="str">
        <f>VLOOKUP(G119,SETTINGS!$B$7:$D$97,2,0)</f>
        <v>EKOplus</v>
      </c>
      <c r="I119" s="796">
        <f>VLOOKUP(G119,SETTINGS!$B$7:$D$97,3,0)</f>
        <v>0</v>
      </c>
      <c r="J119" s="670" t="str">
        <f>IFERROR(IF(CURRENCY.FORMAT_1=0,CONCATENATE(TEXT(FIXED(ROUND((C119/EXC.RATE_1),CURRENCY.FORMAT_1),CURRENCY.FORMAT_1,1),"# ##0;-# ##0"),",-"),FIXED(ROUND((C119/EXC.RATE_1),CURRENCY.FORMAT_1),CURRENCY.FORMAT_1,0)),'DICTIONARY-5'!$A$2)</f>
        <v>796,-</v>
      </c>
      <c r="K119" s="670" t="str">
        <f>IF(EXC.RATE_2=0,"",IFERROR(IF(CURRENCY.FORMAT_2=0,CONCATENATE(TEXT(FIXED(ROUND(IF(EXC.RATE.SWITCH=1,C119/EXC.RATE_2,C119*EXC.RATE_2),CURRENCY.FORMAT_2),CURRENCY.FORMAT_2,1),"# ##0;-# ##0"),",-"),FIXED(ROUND(IF(EXC.RATE.SWITCH=1,C119/EXC.RATE_2,C119*EXC.RATE_2),CURRENCY.FORMAT_2),CURRENCY.FORMAT_2,0)),'DICTIONARY-5'!$A$2))</f>
        <v/>
      </c>
      <c r="L119" s="670" t="str">
        <f>IFERROR(IF(CURRENCY.FORMAT_1=0,CONCATENATE(TEXT(FIXED(ROUND((C119*(1-I119)*(1-ADD.DISCOUNT)*(1+MAT.SURCHARGE)/EXC.RATE_1),CURRENCY.FORMAT_1),CURRENCY.FORMAT_1,1),"# ##0;-# ##0"),",-"),FIXED(ROUND((C119*(1-I119)*(1-ADD.DISCOUNT)*(1+MAT.SURCHARGE)/EXC.RATE_1),CURRENCY.FORMAT_1),CURRENCY.FORMAT_1,0)),'DICTIONARY-5'!$A$2)</f>
        <v>827,-</v>
      </c>
      <c r="M119" s="670" t="str">
        <f>IF(EXC.RATE_2=0,"",IFERROR(IF(CURRENCY.FORMAT_2=0,CONCATENATE(TEXT(FIXED(ROUND(IF(EXC.RATE.SWITCH=1,C119*(1-I119)*(1-ADD.DISCOUNT)*(1+MAT.SURCHARGE)/EXC.RATE_2,C119*(1-I119)*(1-ADD.DISCOUNT)*(1+MAT.SURCHARGE)*EXC.RATE_2),CURRENCY.FORMAT_2),CURRENCY.FORMAT_2,1),"# ##0;-# ##0"),",-"),FIXED(ROUND(IF(EXC.RATE.SWITCH=1,C119*(1-I119)*(1-ADD.DISCOUNT)*(1+MAT.SURCHARGE)/EXC.RATE_2,C119*(1-I119)*(1-ADD.DISCOUNT)*(1+MAT.SURCHARGE)*EXC.RATE_2),CURRENCY.FORMAT_2),CURRENCY.FORMAT_2,0)),'DICTIONARY-5'!$A$2))</f>
        <v/>
      </c>
      <c r="N119" s="496">
        <v>1</v>
      </c>
      <c r="O119" s="496"/>
      <c r="P119" s="731" t="str">
        <f>'DICTIONARY-3'!$A$2</f>
        <v>EKOplus</v>
      </c>
      <c r="Q119" s="732" t="str">
        <f>'DICTIONARY-3'!$A$187</f>
        <v>Zasuwa klinowa</v>
      </c>
      <c r="R119" s="732" t="str">
        <f>CONCATENATE('DICTIONARY-3'!$A$2," ",'DICTIONARY-6'!$A$3," ",'DICTIONARY-2'!$A$2,"200"," ",'DICTIONARY-2'!$A$3,"10"," ","R14",", ",'DICTIONARY-4'!$A$11)</f>
        <v>EKOplus Zasuwa DN200 PN10 R14, PNE</v>
      </c>
      <c r="S119" s="733" t="str">
        <f>'DICTIONARY-4'!$A$11</f>
        <v>PNE</v>
      </c>
      <c r="T119" s="732" t="str">
        <f>'DICTIONARY-4'!$A$27</f>
        <v>Przygotowane pod napęd elektryczny</v>
      </c>
      <c r="U119" s="734" t="s">
        <v>5750</v>
      </c>
      <c r="V119" s="735">
        <v>10</v>
      </c>
      <c r="W119" s="736"/>
      <c r="X119" s="737"/>
      <c r="Y119" s="738"/>
      <c r="Z119" s="739"/>
      <c r="AA119" s="739"/>
      <c r="AB119" s="740">
        <v>10</v>
      </c>
      <c r="AC119" s="741" t="str">
        <f>'DICTIONARY-5'!$A$11&amp;" 14"</f>
        <v>EN 558 szereg 14</v>
      </c>
      <c r="AD119" s="741" t="str">
        <f>'DICTIONARY-5'!$A$13</f>
        <v>woda pitna</v>
      </c>
      <c r="AE119" s="742">
        <v>50</v>
      </c>
      <c r="AF119" s="743">
        <v>58</v>
      </c>
      <c r="AG119" s="741" t="str">
        <f>'DICTIONARY-5'!$A$23</f>
        <v>powłoka epoksydowa</v>
      </c>
    </row>
    <row r="120" spans="1:33" x14ac:dyDescent="0.25">
      <c r="A120" s="837" t="s">
        <v>192</v>
      </c>
      <c r="B120" s="837" t="s">
        <v>3088</v>
      </c>
      <c r="C120" s="836">
        <v>800</v>
      </c>
      <c r="D120" s="836"/>
      <c r="E120" s="836"/>
      <c r="F120" s="836"/>
      <c r="G120" s="496" t="s">
        <v>7789</v>
      </c>
      <c r="H120" s="797" t="str">
        <f>VLOOKUP(G120,SETTINGS!$B$7:$D$97,2,0)</f>
        <v>EKOplus</v>
      </c>
      <c r="I120" s="796">
        <f>VLOOKUP(G120,SETTINGS!$B$7:$D$97,3,0)</f>
        <v>0</v>
      </c>
      <c r="J120" s="670" t="str">
        <f>IFERROR(IF(CURRENCY.FORMAT_1=0,CONCATENATE(TEXT(FIXED(ROUND((C120/EXC.RATE_1),CURRENCY.FORMAT_1),CURRENCY.FORMAT_1,1),"# ##0;-# ##0"),",-"),FIXED(ROUND((C120/EXC.RATE_1),CURRENCY.FORMAT_1),CURRENCY.FORMAT_1,0)),'DICTIONARY-5'!$A$2)</f>
        <v>800,-</v>
      </c>
      <c r="K120" s="670" t="str">
        <f>IF(EXC.RATE_2=0,"",IFERROR(IF(CURRENCY.FORMAT_2=0,CONCATENATE(TEXT(FIXED(ROUND(IF(EXC.RATE.SWITCH=1,C120/EXC.RATE_2,C120*EXC.RATE_2),CURRENCY.FORMAT_2),CURRENCY.FORMAT_2,1),"# ##0;-# ##0"),",-"),FIXED(ROUND(IF(EXC.RATE.SWITCH=1,C120/EXC.RATE_2,C120*EXC.RATE_2),CURRENCY.FORMAT_2),CURRENCY.FORMAT_2,0)),'DICTIONARY-5'!$A$2))</f>
        <v/>
      </c>
      <c r="L120" s="670" t="str">
        <f>IFERROR(IF(CURRENCY.FORMAT_1=0,CONCATENATE(TEXT(FIXED(ROUND((C120*(1-I120)*(1-ADD.DISCOUNT)*(1+MAT.SURCHARGE)/EXC.RATE_1),CURRENCY.FORMAT_1),CURRENCY.FORMAT_1,1),"# ##0;-# ##0"),",-"),FIXED(ROUND((C120*(1-I120)*(1-ADD.DISCOUNT)*(1+MAT.SURCHARGE)/EXC.RATE_1),CURRENCY.FORMAT_1),CURRENCY.FORMAT_1,0)),'DICTIONARY-5'!$A$2)</f>
        <v>831,-</v>
      </c>
      <c r="M120" s="670" t="str">
        <f>IF(EXC.RATE_2=0,"",IFERROR(IF(CURRENCY.FORMAT_2=0,CONCATENATE(TEXT(FIXED(ROUND(IF(EXC.RATE.SWITCH=1,C120*(1-I120)*(1-ADD.DISCOUNT)*(1+MAT.SURCHARGE)/EXC.RATE_2,C120*(1-I120)*(1-ADD.DISCOUNT)*(1+MAT.SURCHARGE)*EXC.RATE_2),CURRENCY.FORMAT_2),CURRENCY.FORMAT_2,1),"# ##0;-# ##0"),",-"),FIXED(ROUND(IF(EXC.RATE.SWITCH=1,C120*(1-I120)*(1-ADD.DISCOUNT)*(1+MAT.SURCHARGE)/EXC.RATE_2,C120*(1-I120)*(1-ADD.DISCOUNT)*(1+MAT.SURCHARGE)*EXC.RATE_2),CURRENCY.FORMAT_2),CURRENCY.FORMAT_2,0)),'DICTIONARY-5'!$A$2))</f>
        <v/>
      </c>
      <c r="N120" s="496">
        <v>1</v>
      </c>
      <c r="O120" s="496"/>
      <c r="P120" s="731" t="str">
        <f>'DICTIONARY-3'!$A$2</f>
        <v>EKOplus</v>
      </c>
      <c r="Q120" s="732" t="str">
        <f>'DICTIONARY-3'!$A$187</f>
        <v>Zasuwa klinowa</v>
      </c>
      <c r="R120" s="732" t="str">
        <f>CONCATENATE('DICTIONARY-3'!$A$2," ",'DICTIONARY-6'!$A$3," ",'DICTIONARY-2'!$A$2,"200"," ",'DICTIONARY-2'!$A$3,"16"," ","R14",", ",'DICTIONARY-4'!$A$11)</f>
        <v>EKOplus Zasuwa DN200 PN16 R14, PNE</v>
      </c>
      <c r="S120" s="733" t="str">
        <f>'DICTIONARY-4'!$A$11</f>
        <v>PNE</v>
      </c>
      <c r="T120" s="732" t="str">
        <f>'DICTIONARY-4'!$A$27</f>
        <v>Przygotowane pod napęd elektryczny</v>
      </c>
      <c r="U120" s="734" t="s">
        <v>5750</v>
      </c>
      <c r="V120" s="735">
        <v>16</v>
      </c>
      <c r="W120" s="736"/>
      <c r="X120" s="737"/>
      <c r="Y120" s="738"/>
      <c r="Z120" s="739"/>
      <c r="AA120" s="739"/>
      <c r="AB120" s="740">
        <v>16</v>
      </c>
      <c r="AC120" s="741" t="str">
        <f>'DICTIONARY-5'!$A$11&amp;" 14"</f>
        <v>EN 558 szereg 14</v>
      </c>
      <c r="AD120" s="741" t="str">
        <f>'DICTIONARY-5'!$A$13</f>
        <v>woda pitna</v>
      </c>
      <c r="AE120" s="742">
        <v>50</v>
      </c>
      <c r="AF120" s="743">
        <v>60.5</v>
      </c>
      <c r="AG120" s="741" t="str">
        <f>'DICTIONARY-5'!$A$23</f>
        <v>powłoka epoksydowa</v>
      </c>
    </row>
    <row r="121" spans="1:33" x14ac:dyDescent="0.25">
      <c r="A121" s="837" t="s">
        <v>194</v>
      </c>
      <c r="B121" s="837" t="s">
        <v>3066</v>
      </c>
      <c r="C121" s="836">
        <v>1012</v>
      </c>
      <c r="D121" s="836"/>
      <c r="E121" s="836"/>
      <c r="F121" s="836"/>
      <c r="G121" s="496" t="s">
        <v>7789</v>
      </c>
      <c r="H121" s="797" t="str">
        <f>VLOOKUP(G121,SETTINGS!$B$7:$D$97,2,0)</f>
        <v>EKOplus</v>
      </c>
      <c r="I121" s="796">
        <f>VLOOKUP(G121,SETTINGS!$B$7:$D$97,3,0)</f>
        <v>0</v>
      </c>
      <c r="J121" s="670" t="str">
        <f>IFERROR(IF(CURRENCY.FORMAT_1=0,CONCATENATE(TEXT(FIXED(ROUND((C121/EXC.RATE_1),CURRENCY.FORMAT_1),CURRENCY.FORMAT_1,1),"# ##0;-# ##0"),",-"),FIXED(ROUND((C121/EXC.RATE_1),CURRENCY.FORMAT_1),CURRENCY.FORMAT_1,0)),'DICTIONARY-5'!$A$2)</f>
        <v>1 012,-</v>
      </c>
      <c r="K121" s="670" t="str">
        <f>IF(EXC.RATE_2=0,"",IFERROR(IF(CURRENCY.FORMAT_2=0,CONCATENATE(TEXT(FIXED(ROUND(IF(EXC.RATE.SWITCH=1,C121/EXC.RATE_2,C121*EXC.RATE_2),CURRENCY.FORMAT_2),CURRENCY.FORMAT_2,1),"# ##0;-# ##0"),",-"),FIXED(ROUND(IF(EXC.RATE.SWITCH=1,C121/EXC.RATE_2,C121*EXC.RATE_2),CURRENCY.FORMAT_2),CURRENCY.FORMAT_2,0)),'DICTIONARY-5'!$A$2))</f>
        <v/>
      </c>
      <c r="L121" s="670" t="str">
        <f>IFERROR(IF(CURRENCY.FORMAT_1=0,CONCATENATE(TEXT(FIXED(ROUND((C121*(1-I121)*(1-ADD.DISCOUNT)*(1+MAT.SURCHARGE)/EXC.RATE_1),CURRENCY.FORMAT_1),CURRENCY.FORMAT_1,1),"# ##0;-# ##0"),",-"),FIXED(ROUND((C121*(1-I121)*(1-ADD.DISCOUNT)*(1+MAT.SURCHARGE)/EXC.RATE_1),CURRENCY.FORMAT_1),CURRENCY.FORMAT_1,0)),'DICTIONARY-5'!$A$2)</f>
        <v>1 051,-</v>
      </c>
      <c r="M121" s="670" t="str">
        <f>IF(EXC.RATE_2=0,"",IFERROR(IF(CURRENCY.FORMAT_2=0,CONCATENATE(TEXT(FIXED(ROUND(IF(EXC.RATE.SWITCH=1,C121*(1-I121)*(1-ADD.DISCOUNT)*(1+MAT.SURCHARGE)/EXC.RATE_2,C121*(1-I121)*(1-ADD.DISCOUNT)*(1+MAT.SURCHARGE)*EXC.RATE_2),CURRENCY.FORMAT_2),CURRENCY.FORMAT_2,1),"# ##0;-# ##0"),",-"),FIXED(ROUND(IF(EXC.RATE.SWITCH=1,C121*(1-I121)*(1-ADD.DISCOUNT)*(1+MAT.SURCHARGE)/EXC.RATE_2,C121*(1-I121)*(1-ADD.DISCOUNT)*(1+MAT.SURCHARGE)*EXC.RATE_2),CURRENCY.FORMAT_2),CURRENCY.FORMAT_2,0)),'DICTIONARY-5'!$A$2))</f>
        <v/>
      </c>
      <c r="N121" s="496">
        <v>1</v>
      </c>
      <c r="O121" s="496"/>
      <c r="P121" s="731" t="str">
        <f>'DICTIONARY-3'!$A$2</f>
        <v>EKOplus</v>
      </c>
      <c r="Q121" s="732" t="str">
        <f>'DICTIONARY-3'!$A$187</f>
        <v>Zasuwa klinowa</v>
      </c>
      <c r="R121" s="732" t="str">
        <f>CONCATENATE('DICTIONARY-3'!$A$2," ",'DICTIONARY-6'!$A$3," ",'DICTIONARY-2'!$A$2,"250"," ",'DICTIONARY-2'!$A$3,"10"," ","R14",", ",'DICTIONARY-4'!$A$11)</f>
        <v>EKOplus Zasuwa DN250 PN10 R14, PNE</v>
      </c>
      <c r="S121" s="733" t="str">
        <f>'DICTIONARY-4'!$A$11</f>
        <v>PNE</v>
      </c>
      <c r="T121" s="732" t="str">
        <f>'DICTIONARY-4'!$A$27</f>
        <v>Przygotowane pod napęd elektryczny</v>
      </c>
      <c r="U121" s="734" t="s">
        <v>5751</v>
      </c>
      <c r="V121" s="735">
        <v>10</v>
      </c>
      <c r="W121" s="736"/>
      <c r="X121" s="737"/>
      <c r="Y121" s="738"/>
      <c r="Z121" s="739"/>
      <c r="AA121" s="739"/>
      <c r="AB121" s="740">
        <v>10</v>
      </c>
      <c r="AC121" s="741" t="str">
        <f>'DICTIONARY-5'!$A$11&amp;" 14"</f>
        <v>EN 558 szereg 14</v>
      </c>
      <c r="AD121" s="741" t="str">
        <f>'DICTIONARY-5'!$A$13</f>
        <v>woda pitna</v>
      </c>
      <c r="AE121" s="742">
        <v>50</v>
      </c>
      <c r="AF121" s="743">
        <v>91</v>
      </c>
      <c r="AG121" s="741" t="str">
        <f>'DICTIONARY-5'!$A$23</f>
        <v>powłoka epoksydowa</v>
      </c>
    </row>
    <row r="122" spans="1:33" x14ac:dyDescent="0.25">
      <c r="A122" s="837" t="s">
        <v>196</v>
      </c>
      <c r="B122" s="837" t="s">
        <v>3089</v>
      </c>
      <c r="C122" s="836">
        <v>930</v>
      </c>
      <c r="D122" s="836"/>
      <c r="E122" s="836"/>
      <c r="F122" s="836"/>
      <c r="G122" s="496" t="s">
        <v>7789</v>
      </c>
      <c r="H122" s="797" t="str">
        <f>VLOOKUP(G122,SETTINGS!$B$7:$D$97,2,0)</f>
        <v>EKOplus</v>
      </c>
      <c r="I122" s="796">
        <f>VLOOKUP(G122,SETTINGS!$B$7:$D$97,3,0)</f>
        <v>0</v>
      </c>
      <c r="J122" s="670" t="str">
        <f>IFERROR(IF(CURRENCY.FORMAT_1=0,CONCATENATE(TEXT(FIXED(ROUND((C122/EXC.RATE_1),CURRENCY.FORMAT_1),CURRENCY.FORMAT_1,1),"# ##0;-# ##0"),",-"),FIXED(ROUND((C122/EXC.RATE_1),CURRENCY.FORMAT_1),CURRENCY.FORMAT_1,0)),'DICTIONARY-5'!$A$2)</f>
        <v>930,-</v>
      </c>
      <c r="K122" s="670" t="str">
        <f>IF(EXC.RATE_2=0,"",IFERROR(IF(CURRENCY.FORMAT_2=0,CONCATENATE(TEXT(FIXED(ROUND(IF(EXC.RATE.SWITCH=1,C122/EXC.RATE_2,C122*EXC.RATE_2),CURRENCY.FORMAT_2),CURRENCY.FORMAT_2,1),"# ##0;-# ##0"),",-"),FIXED(ROUND(IF(EXC.RATE.SWITCH=1,C122/EXC.RATE_2,C122*EXC.RATE_2),CURRENCY.FORMAT_2),CURRENCY.FORMAT_2,0)),'DICTIONARY-5'!$A$2))</f>
        <v/>
      </c>
      <c r="L122" s="670" t="str">
        <f>IFERROR(IF(CURRENCY.FORMAT_1=0,CONCATENATE(TEXT(FIXED(ROUND((C122*(1-I122)*(1-ADD.DISCOUNT)*(1+MAT.SURCHARGE)/EXC.RATE_1),CURRENCY.FORMAT_1),CURRENCY.FORMAT_1,1),"# ##0;-# ##0"),",-"),FIXED(ROUND((C122*(1-I122)*(1-ADD.DISCOUNT)*(1+MAT.SURCHARGE)/EXC.RATE_1),CURRENCY.FORMAT_1),CURRENCY.FORMAT_1,0)),'DICTIONARY-5'!$A$2)</f>
        <v>966,-</v>
      </c>
      <c r="M122" s="670" t="str">
        <f>IF(EXC.RATE_2=0,"",IFERROR(IF(CURRENCY.FORMAT_2=0,CONCATENATE(TEXT(FIXED(ROUND(IF(EXC.RATE.SWITCH=1,C122*(1-I122)*(1-ADD.DISCOUNT)*(1+MAT.SURCHARGE)/EXC.RATE_2,C122*(1-I122)*(1-ADD.DISCOUNT)*(1+MAT.SURCHARGE)*EXC.RATE_2),CURRENCY.FORMAT_2),CURRENCY.FORMAT_2,1),"# ##0;-# ##0"),",-"),FIXED(ROUND(IF(EXC.RATE.SWITCH=1,C122*(1-I122)*(1-ADD.DISCOUNT)*(1+MAT.SURCHARGE)/EXC.RATE_2,C122*(1-I122)*(1-ADD.DISCOUNT)*(1+MAT.SURCHARGE)*EXC.RATE_2),CURRENCY.FORMAT_2),CURRENCY.FORMAT_2,0)),'DICTIONARY-5'!$A$2))</f>
        <v/>
      </c>
      <c r="N122" s="496">
        <v>1</v>
      </c>
      <c r="O122" s="496"/>
      <c r="P122" s="731" t="str">
        <f>'DICTIONARY-3'!$A$2</f>
        <v>EKOplus</v>
      </c>
      <c r="Q122" s="732" t="str">
        <f>'DICTIONARY-3'!$A$187</f>
        <v>Zasuwa klinowa</v>
      </c>
      <c r="R122" s="732" t="str">
        <f>CONCATENATE('DICTIONARY-3'!$A$2," ",'DICTIONARY-6'!$A$3," ",'DICTIONARY-2'!$A$2,"250"," ",'DICTIONARY-2'!$A$3,"16"," ","R14",", ",'DICTIONARY-4'!$A$11)</f>
        <v>EKOplus Zasuwa DN250 PN16 R14, PNE</v>
      </c>
      <c r="S122" s="733" t="str">
        <f>'DICTIONARY-4'!$A$11</f>
        <v>PNE</v>
      </c>
      <c r="T122" s="732" t="str">
        <f>'DICTIONARY-4'!$A$27</f>
        <v>Przygotowane pod napęd elektryczny</v>
      </c>
      <c r="U122" s="734" t="s">
        <v>5751</v>
      </c>
      <c r="V122" s="735">
        <v>16</v>
      </c>
      <c r="W122" s="736"/>
      <c r="X122" s="737"/>
      <c r="Y122" s="738"/>
      <c r="Z122" s="739"/>
      <c r="AA122" s="739"/>
      <c r="AB122" s="740">
        <v>16</v>
      </c>
      <c r="AC122" s="741" t="str">
        <f>'DICTIONARY-5'!$A$11&amp;" 14"</f>
        <v>EN 558 szereg 14</v>
      </c>
      <c r="AD122" s="741" t="str">
        <f>'DICTIONARY-5'!$A$13</f>
        <v>woda pitna</v>
      </c>
      <c r="AE122" s="742">
        <v>50</v>
      </c>
      <c r="AF122" s="743">
        <v>89</v>
      </c>
      <c r="AG122" s="741" t="str">
        <f>'DICTIONARY-5'!$A$23</f>
        <v>powłoka epoksydowa</v>
      </c>
    </row>
    <row r="123" spans="1:33" x14ac:dyDescent="0.25">
      <c r="A123" s="837" t="s">
        <v>198</v>
      </c>
      <c r="B123" s="837" t="s">
        <v>3067</v>
      </c>
      <c r="C123" s="836">
        <v>1208</v>
      </c>
      <c r="D123" s="836"/>
      <c r="E123" s="836"/>
      <c r="F123" s="836"/>
      <c r="G123" s="496" t="s">
        <v>7789</v>
      </c>
      <c r="H123" s="797" t="str">
        <f>VLOOKUP(G123,SETTINGS!$B$7:$D$97,2,0)</f>
        <v>EKOplus</v>
      </c>
      <c r="I123" s="796">
        <f>VLOOKUP(G123,SETTINGS!$B$7:$D$97,3,0)</f>
        <v>0</v>
      </c>
      <c r="J123" s="670" t="str">
        <f>IFERROR(IF(CURRENCY.FORMAT_1=0,CONCATENATE(TEXT(FIXED(ROUND((C123/EXC.RATE_1),CURRENCY.FORMAT_1),CURRENCY.FORMAT_1,1),"# ##0;-# ##0"),",-"),FIXED(ROUND((C123/EXC.RATE_1),CURRENCY.FORMAT_1),CURRENCY.FORMAT_1,0)),'DICTIONARY-5'!$A$2)</f>
        <v>1 208,-</v>
      </c>
      <c r="K123" s="670" t="str">
        <f>IF(EXC.RATE_2=0,"",IFERROR(IF(CURRENCY.FORMAT_2=0,CONCATENATE(TEXT(FIXED(ROUND(IF(EXC.RATE.SWITCH=1,C123/EXC.RATE_2,C123*EXC.RATE_2),CURRENCY.FORMAT_2),CURRENCY.FORMAT_2,1),"# ##0;-# ##0"),",-"),FIXED(ROUND(IF(EXC.RATE.SWITCH=1,C123/EXC.RATE_2,C123*EXC.RATE_2),CURRENCY.FORMAT_2),CURRENCY.FORMAT_2,0)),'DICTIONARY-5'!$A$2))</f>
        <v/>
      </c>
      <c r="L123" s="670" t="str">
        <f>IFERROR(IF(CURRENCY.FORMAT_1=0,CONCATENATE(TEXT(FIXED(ROUND((C123*(1-I123)*(1-ADD.DISCOUNT)*(1+MAT.SURCHARGE)/EXC.RATE_1),CURRENCY.FORMAT_1),CURRENCY.FORMAT_1,1),"# ##0;-# ##0"),",-"),FIXED(ROUND((C123*(1-I123)*(1-ADD.DISCOUNT)*(1+MAT.SURCHARGE)/EXC.RATE_1),CURRENCY.FORMAT_1),CURRENCY.FORMAT_1,0)),'DICTIONARY-5'!$A$2)</f>
        <v>1 255,-</v>
      </c>
      <c r="M123" s="670" t="str">
        <f>IF(EXC.RATE_2=0,"",IFERROR(IF(CURRENCY.FORMAT_2=0,CONCATENATE(TEXT(FIXED(ROUND(IF(EXC.RATE.SWITCH=1,C123*(1-I123)*(1-ADD.DISCOUNT)*(1+MAT.SURCHARGE)/EXC.RATE_2,C123*(1-I123)*(1-ADD.DISCOUNT)*(1+MAT.SURCHARGE)*EXC.RATE_2),CURRENCY.FORMAT_2),CURRENCY.FORMAT_2,1),"# ##0;-# ##0"),",-"),FIXED(ROUND(IF(EXC.RATE.SWITCH=1,C123*(1-I123)*(1-ADD.DISCOUNT)*(1+MAT.SURCHARGE)/EXC.RATE_2,C123*(1-I123)*(1-ADD.DISCOUNT)*(1+MAT.SURCHARGE)*EXC.RATE_2),CURRENCY.FORMAT_2),CURRENCY.FORMAT_2,0)),'DICTIONARY-5'!$A$2))</f>
        <v/>
      </c>
      <c r="N123" s="496">
        <v>1</v>
      </c>
      <c r="O123" s="496"/>
      <c r="P123" s="731" t="str">
        <f>'DICTIONARY-3'!$A$2</f>
        <v>EKOplus</v>
      </c>
      <c r="Q123" s="732" t="str">
        <f>'DICTIONARY-3'!$A$187</f>
        <v>Zasuwa klinowa</v>
      </c>
      <c r="R123" s="732" t="str">
        <f>CONCATENATE('DICTIONARY-3'!$A$2," ",'DICTIONARY-6'!$A$3," ",'DICTIONARY-2'!$A$2,"300"," ",'DICTIONARY-2'!$A$3,"10"," ","R14",", ",'DICTIONARY-4'!$A$11)</f>
        <v>EKOplus Zasuwa DN300 PN10 R14, PNE</v>
      </c>
      <c r="S123" s="733" t="str">
        <f>'DICTIONARY-4'!$A$11</f>
        <v>PNE</v>
      </c>
      <c r="T123" s="732" t="str">
        <f>'DICTIONARY-4'!$A$27</f>
        <v>Przygotowane pod napęd elektryczny</v>
      </c>
      <c r="U123" s="734" t="s">
        <v>5752</v>
      </c>
      <c r="V123" s="735">
        <v>10</v>
      </c>
      <c r="W123" s="736"/>
      <c r="X123" s="737"/>
      <c r="Y123" s="738"/>
      <c r="Z123" s="739"/>
      <c r="AA123" s="739"/>
      <c r="AB123" s="740">
        <v>10</v>
      </c>
      <c r="AC123" s="741" t="str">
        <f>'DICTIONARY-5'!$A$11&amp;" 14"</f>
        <v>EN 558 szereg 14</v>
      </c>
      <c r="AD123" s="741" t="str">
        <f>'DICTIONARY-5'!$A$13</f>
        <v>woda pitna</v>
      </c>
      <c r="AE123" s="742">
        <v>50</v>
      </c>
      <c r="AF123" s="743">
        <v>121.5</v>
      </c>
      <c r="AG123" s="741" t="str">
        <f>'DICTIONARY-5'!$A$23</f>
        <v>powłoka epoksydowa</v>
      </c>
    </row>
    <row r="124" spans="1:33" x14ac:dyDescent="0.25">
      <c r="A124" s="837" t="s">
        <v>200</v>
      </c>
      <c r="B124" s="837" t="s">
        <v>3090</v>
      </c>
      <c r="C124" s="836">
        <v>1088</v>
      </c>
      <c r="D124" s="836"/>
      <c r="E124" s="836"/>
      <c r="F124" s="836"/>
      <c r="G124" s="496" t="s">
        <v>7789</v>
      </c>
      <c r="H124" s="797" t="str">
        <f>VLOOKUP(G124,SETTINGS!$B$7:$D$97,2,0)</f>
        <v>EKOplus</v>
      </c>
      <c r="I124" s="796">
        <f>VLOOKUP(G124,SETTINGS!$B$7:$D$97,3,0)</f>
        <v>0</v>
      </c>
      <c r="J124" s="670" t="str">
        <f>IFERROR(IF(CURRENCY.FORMAT_1=0,CONCATENATE(TEXT(FIXED(ROUND((C124/EXC.RATE_1),CURRENCY.FORMAT_1),CURRENCY.FORMAT_1,1),"# ##0;-# ##0"),",-"),FIXED(ROUND((C124/EXC.RATE_1),CURRENCY.FORMAT_1),CURRENCY.FORMAT_1,0)),'DICTIONARY-5'!$A$2)</f>
        <v>1 088,-</v>
      </c>
      <c r="K124" s="670" t="str">
        <f>IF(EXC.RATE_2=0,"",IFERROR(IF(CURRENCY.FORMAT_2=0,CONCATENATE(TEXT(FIXED(ROUND(IF(EXC.RATE.SWITCH=1,C124/EXC.RATE_2,C124*EXC.RATE_2),CURRENCY.FORMAT_2),CURRENCY.FORMAT_2,1),"# ##0;-# ##0"),",-"),FIXED(ROUND(IF(EXC.RATE.SWITCH=1,C124/EXC.RATE_2,C124*EXC.RATE_2),CURRENCY.FORMAT_2),CURRENCY.FORMAT_2,0)),'DICTIONARY-5'!$A$2))</f>
        <v/>
      </c>
      <c r="L124" s="670" t="str">
        <f>IFERROR(IF(CURRENCY.FORMAT_1=0,CONCATENATE(TEXT(FIXED(ROUND((C124*(1-I124)*(1-ADD.DISCOUNT)*(1+MAT.SURCHARGE)/EXC.RATE_1),CURRENCY.FORMAT_1),CURRENCY.FORMAT_1,1),"# ##0;-# ##0"),",-"),FIXED(ROUND((C124*(1-I124)*(1-ADD.DISCOUNT)*(1+MAT.SURCHARGE)/EXC.RATE_1),CURRENCY.FORMAT_1),CURRENCY.FORMAT_1,0)),'DICTIONARY-5'!$A$2)</f>
        <v>1 130,-</v>
      </c>
      <c r="M124" s="670" t="str">
        <f>IF(EXC.RATE_2=0,"",IFERROR(IF(CURRENCY.FORMAT_2=0,CONCATENATE(TEXT(FIXED(ROUND(IF(EXC.RATE.SWITCH=1,C124*(1-I124)*(1-ADD.DISCOUNT)*(1+MAT.SURCHARGE)/EXC.RATE_2,C124*(1-I124)*(1-ADD.DISCOUNT)*(1+MAT.SURCHARGE)*EXC.RATE_2),CURRENCY.FORMAT_2),CURRENCY.FORMAT_2,1),"# ##0;-# ##0"),",-"),FIXED(ROUND(IF(EXC.RATE.SWITCH=1,C124*(1-I124)*(1-ADD.DISCOUNT)*(1+MAT.SURCHARGE)/EXC.RATE_2,C124*(1-I124)*(1-ADD.DISCOUNT)*(1+MAT.SURCHARGE)*EXC.RATE_2),CURRENCY.FORMAT_2),CURRENCY.FORMAT_2,0)),'DICTIONARY-5'!$A$2))</f>
        <v/>
      </c>
      <c r="N124" s="496">
        <v>1</v>
      </c>
      <c r="O124" s="496"/>
      <c r="P124" s="731" t="str">
        <f>'DICTIONARY-3'!$A$2</f>
        <v>EKOplus</v>
      </c>
      <c r="Q124" s="732" t="str">
        <f>'DICTIONARY-3'!$A$187</f>
        <v>Zasuwa klinowa</v>
      </c>
      <c r="R124" s="732" t="str">
        <f>CONCATENATE('DICTIONARY-3'!$A$2," ",'DICTIONARY-6'!$A$3," ",'DICTIONARY-2'!$A$2,"300"," ",'DICTIONARY-2'!$A$3,"16"," ","R14",", ",'DICTIONARY-4'!$A$11)</f>
        <v>EKOplus Zasuwa DN300 PN16 R14, PNE</v>
      </c>
      <c r="S124" s="733" t="str">
        <f>'DICTIONARY-4'!$A$11</f>
        <v>PNE</v>
      </c>
      <c r="T124" s="732" t="str">
        <f>'DICTIONARY-4'!$A$27</f>
        <v>Przygotowane pod napęd elektryczny</v>
      </c>
      <c r="U124" s="734" t="s">
        <v>5752</v>
      </c>
      <c r="V124" s="735">
        <v>16</v>
      </c>
      <c r="W124" s="736"/>
      <c r="X124" s="737"/>
      <c r="Y124" s="738"/>
      <c r="Z124" s="739"/>
      <c r="AA124" s="739"/>
      <c r="AB124" s="740">
        <v>16</v>
      </c>
      <c r="AC124" s="741" t="str">
        <f>'DICTIONARY-5'!$A$11&amp;" 14"</f>
        <v>EN 558 szereg 14</v>
      </c>
      <c r="AD124" s="741" t="str">
        <f>'DICTIONARY-5'!$A$13</f>
        <v>woda pitna</v>
      </c>
      <c r="AE124" s="742">
        <v>50</v>
      </c>
      <c r="AF124" s="743">
        <v>117</v>
      </c>
      <c r="AG124" s="741" t="str">
        <f>'DICTIONARY-5'!$A$23</f>
        <v>powłoka epoksydowa</v>
      </c>
    </row>
    <row r="125" spans="1:33" x14ac:dyDescent="0.25">
      <c r="A125" s="840" t="s">
        <v>202</v>
      </c>
      <c r="B125" s="840" t="s">
        <v>3052</v>
      </c>
      <c r="C125" s="836">
        <v>2283</v>
      </c>
      <c r="D125" s="836"/>
      <c r="E125" s="836"/>
      <c r="F125" s="836"/>
      <c r="G125" s="496" t="s">
        <v>7789</v>
      </c>
      <c r="H125" s="797" t="str">
        <f>VLOOKUP(G125,SETTINGS!$B$7:$D$97,2,0)</f>
        <v>EKOplus</v>
      </c>
      <c r="I125" s="796">
        <f>VLOOKUP(G125,SETTINGS!$B$7:$D$97,3,0)</f>
        <v>0</v>
      </c>
      <c r="J125" s="670" t="str">
        <f>IFERROR(IF(CURRENCY.FORMAT_1=0,CONCATENATE(TEXT(FIXED(ROUND((C125/EXC.RATE_1),CURRENCY.FORMAT_1),CURRENCY.FORMAT_1,1),"# ##0;-# ##0"),",-"),FIXED(ROUND((C125/EXC.RATE_1),CURRENCY.FORMAT_1),CURRENCY.FORMAT_1,0)),'DICTIONARY-5'!$A$2)</f>
        <v>2 283,-</v>
      </c>
      <c r="K125" s="670" t="str">
        <f>IF(EXC.RATE_2=0,"",IFERROR(IF(CURRENCY.FORMAT_2=0,CONCATENATE(TEXT(FIXED(ROUND(IF(EXC.RATE.SWITCH=1,C125/EXC.RATE_2,C125*EXC.RATE_2),CURRENCY.FORMAT_2),CURRENCY.FORMAT_2,1),"# ##0;-# ##0"),",-"),FIXED(ROUND(IF(EXC.RATE.SWITCH=1,C125/EXC.RATE_2,C125*EXC.RATE_2),CURRENCY.FORMAT_2),CURRENCY.FORMAT_2,0)),'DICTIONARY-5'!$A$2))</f>
        <v/>
      </c>
      <c r="L125" s="670" t="str">
        <f>IFERROR(IF(CURRENCY.FORMAT_1=0,CONCATENATE(TEXT(FIXED(ROUND((C125*(1-I125)*(1-ADD.DISCOUNT)*(1+MAT.SURCHARGE)/EXC.RATE_1),CURRENCY.FORMAT_1),CURRENCY.FORMAT_1,1),"# ##0;-# ##0"),",-"),FIXED(ROUND((C125*(1-I125)*(1-ADD.DISCOUNT)*(1+MAT.SURCHARGE)/EXC.RATE_1),CURRENCY.FORMAT_1),CURRENCY.FORMAT_1,0)),'DICTIONARY-5'!$A$2)</f>
        <v>2 372,-</v>
      </c>
      <c r="M125" s="670" t="str">
        <f>IF(EXC.RATE_2=0,"",IFERROR(IF(CURRENCY.FORMAT_2=0,CONCATENATE(TEXT(FIXED(ROUND(IF(EXC.RATE.SWITCH=1,C125*(1-I125)*(1-ADD.DISCOUNT)*(1+MAT.SURCHARGE)/EXC.RATE_2,C125*(1-I125)*(1-ADD.DISCOUNT)*(1+MAT.SURCHARGE)*EXC.RATE_2),CURRENCY.FORMAT_2),CURRENCY.FORMAT_2,1),"# ##0;-# ##0"),",-"),FIXED(ROUND(IF(EXC.RATE.SWITCH=1,C125*(1-I125)*(1-ADD.DISCOUNT)*(1+MAT.SURCHARGE)/EXC.RATE_2,C125*(1-I125)*(1-ADD.DISCOUNT)*(1+MAT.SURCHARGE)*EXC.RATE_2),CURRENCY.FORMAT_2),CURRENCY.FORMAT_2,0)),'DICTIONARY-5'!$A$2))</f>
        <v/>
      </c>
      <c r="N125" s="496">
        <v>1</v>
      </c>
      <c r="O125" s="496"/>
      <c r="P125" s="731" t="str">
        <f>'DICTIONARY-3'!$A$2</f>
        <v>EKOplus</v>
      </c>
      <c r="Q125" s="732" t="str">
        <f>'DICTIONARY-3'!$A$187</f>
        <v>Zasuwa klinowa</v>
      </c>
      <c r="R125" s="732" t="str">
        <f>CONCATENATE('DICTIONARY-3'!$A$2," ",'DICTIONARY-6'!$A$3," ",'DICTIONARY-2'!$A$2,"350"," ",'DICTIONARY-2'!$A$3,"10"," ","R14",", ",'DICTIONARY-4'!$A$11)</f>
        <v>EKOplus Zasuwa DN350 PN10 R14, PNE</v>
      </c>
      <c r="S125" s="733" t="str">
        <f>'DICTIONARY-4'!$A$11</f>
        <v>PNE</v>
      </c>
      <c r="T125" s="732" t="str">
        <f>'DICTIONARY-4'!$A$27</f>
        <v>Przygotowane pod napęd elektryczny</v>
      </c>
      <c r="U125" s="734" t="s">
        <v>5753</v>
      </c>
      <c r="V125" s="735">
        <v>10</v>
      </c>
      <c r="W125" s="736"/>
      <c r="X125" s="737"/>
      <c r="Y125" s="738"/>
      <c r="Z125" s="739"/>
      <c r="AA125" s="739"/>
      <c r="AB125" s="740">
        <v>10</v>
      </c>
      <c r="AC125" s="741" t="str">
        <f>'DICTIONARY-5'!$A$11&amp;" 14"</f>
        <v>EN 558 szereg 14</v>
      </c>
      <c r="AD125" s="741" t="str">
        <f>'DICTIONARY-5'!$A$13</f>
        <v>woda pitna</v>
      </c>
      <c r="AE125" s="742">
        <v>50</v>
      </c>
      <c r="AF125" s="743">
        <v>253</v>
      </c>
      <c r="AG125" s="741" t="str">
        <f>'DICTIONARY-5'!$A$23</f>
        <v>powłoka epoksydowa</v>
      </c>
    </row>
    <row r="126" spans="1:33" x14ac:dyDescent="0.25">
      <c r="A126" s="840" t="s">
        <v>204</v>
      </c>
      <c r="B126" s="840" t="s">
        <v>3055</v>
      </c>
      <c r="C126" s="836">
        <v>2206</v>
      </c>
      <c r="D126" s="836"/>
      <c r="E126" s="836"/>
      <c r="F126" s="836"/>
      <c r="G126" s="496" t="s">
        <v>7789</v>
      </c>
      <c r="H126" s="797" t="str">
        <f>VLOOKUP(G126,SETTINGS!$B$7:$D$97,2,0)</f>
        <v>EKOplus</v>
      </c>
      <c r="I126" s="796">
        <f>VLOOKUP(G126,SETTINGS!$B$7:$D$97,3,0)</f>
        <v>0</v>
      </c>
      <c r="J126" s="670" t="str">
        <f>IFERROR(IF(CURRENCY.FORMAT_1=0,CONCATENATE(TEXT(FIXED(ROUND((C126/EXC.RATE_1),CURRENCY.FORMAT_1),CURRENCY.FORMAT_1,1),"# ##0;-# ##0"),",-"),FIXED(ROUND((C126/EXC.RATE_1),CURRENCY.FORMAT_1),CURRENCY.FORMAT_1,0)),'DICTIONARY-5'!$A$2)</f>
        <v>2 206,-</v>
      </c>
      <c r="K126" s="670" t="str">
        <f>IF(EXC.RATE_2=0,"",IFERROR(IF(CURRENCY.FORMAT_2=0,CONCATENATE(TEXT(FIXED(ROUND(IF(EXC.RATE.SWITCH=1,C126/EXC.RATE_2,C126*EXC.RATE_2),CURRENCY.FORMAT_2),CURRENCY.FORMAT_2,1),"# ##0;-# ##0"),",-"),FIXED(ROUND(IF(EXC.RATE.SWITCH=1,C126/EXC.RATE_2,C126*EXC.RATE_2),CURRENCY.FORMAT_2),CURRENCY.FORMAT_2,0)),'DICTIONARY-5'!$A$2))</f>
        <v/>
      </c>
      <c r="L126" s="670" t="str">
        <f>IFERROR(IF(CURRENCY.FORMAT_1=0,CONCATENATE(TEXT(FIXED(ROUND((C126*(1-I126)*(1-ADD.DISCOUNT)*(1+MAT.SURCHARGE)/EXC.RATE_1),CURRENCY.FORMAT_1),CURRENCY.FORMAT_1,1),"# ##0;-# ##0"),",-"),FIXED(ROUND((C126*(1-I126)*(1-ADD.DISCOUNT)*(1+MAT.SURCHARGE)/EXC.RATE_1),CURRENCY.FORMAT_1),CURRENCY.FORMAT_1,0)),'DICTIONARY-5'!$A$2)</f>
        <v>2 292,-</v>
      </c>
      <c r="M126" s="670" t="str">
        <f>IF(EXC.RATE_2=0,"",IFERROR(IF(CURRENCY.FORMAT_2=0,CONCATENATE(TEXT(FIXED(ROUND(IF(EXC.RATE.SWITCH=1,C126*(1-I126)*(1-ADD.DISCOUNT)*(1+MAT.SURCHARGE)/EXC.RATE_2,C126*(1-I126)*(1-ADD.DISCOUNT)*(1+MAT.SURCHARGE)*EXC.RATE_2),CURRENCY.FORMAT_2),CURRENCY.FORMAT_2,1),"# ##0;-# ##0"),",-"),FIXED(ROUND(IF(EXC.RATE.SWITCH=1,C126*(1-I126)*(1-ADD.DISCOUNT)*(1+MAT.SURCHARGE)/EXC.RATE_2,C126*(1-I126)*(1-ADD.DISCOUNT)*(1+MAT.SURCHARGE)*EXC.RATE_2),CURRENCY.FORMAT_2),CURRENCY.FORMAT_2,0)),'DICTIONARY-5'!$A$2))</f>
        <v/>
      </c>
      <c r="N126" s="496">
        <v>1</v>
      </c>
      <c r="O126" s="496"/>
      <c r="P126" s="731" t="str">
        <f>'DICTIONARY-3'!$A$2</f>
        <v>EKOplus</v>
      </c>
      <c r="Q126" s="732" t="str">
        <f>'DICTIONARY-3'!$A$187</f>
        <v>Zasuwa klinowa</v>
      </c>
      <c r="R126" s="732" t="str">
        <f>CONCATENATE('DICTIONARY-3'!$A$2," ",'DICTIONARY-6'!$A$3," ",'DICTIONARY-2'!$A$2,"350"," ",'DICTIONARY-2'!$A$3,"16"," ","R14",", ",'DICTIONARY-4'!$A$11)</f>
        <v>EKOplus Zasuwa DN350 PN16 R14, PNE</v>
      </c>
      <c r="S126" s="733" t="str">
        <f>'DICTIONARY-4'!$A$11</f>
        <v>PNE</v>
      </c>
      <c r="T126" s="732" t="str">
        <f>'DICTIONARY-4'!$A$27</f>
        <v>Przygotowane pod napęd elektryczny</v>
      </c>
      <c r="U126" s="734" t="s">
        <v>5753</v>
      </c>
      <c r="V126" s="735">
        <v>16</v>
      </c>
      <c r="W126" s="736"/>
      <c r="X126" s="737"/>
      <c r="Y126" s="738"/>
      <c r="Z126" s="739"/>
      <c r="AA126" s="739"/>
      <c r="AB126" s="740">
        <v>16</v>
      </c>
      <c r="AC126" s="741" t="str">
        <f>'DICTIONARY-5'!$A$11&amp;" 14"</f>
        <v>EN 558 szereg 14</v>
      </c>
      <c r="AD126" s="741" t="str">
        <f>'DICTIONARY-5'!$A$13</f>
        <v>woda pitna</v>
      </c>
      <c r="AE126" s="742">
        <v>50</v>
      </c>
      <c r="AF126" s="743">
        <v>253</v>
      </c>
      <c r="AG126" s="741" t="str">
        <f>'DICTIONARY-5'!$A$23</f>
        <v>powłoka epoksydowa</v>
      </c>
    </row>
    <row r="127" spans="1:33" x14ac:dyDescent="0.25">
      <c r="A127" s="840" t="s">
        <v>206</v>
      </c>
      <c r="B127" s="840" t="s">
        <v>3053</v>
      </c>
      <c r="C127" s="836">
        <v>2906</v>
      </c>
      <c r="D127" s="836"/>
      <c r="E127" s="836"/>
      <c r="F127" s="836"/>
      <c r="G127" s="496" t="s">
        <v>7789</v>
      </c>
      <c r="H127" s="797" t="str">
        <f>VLOOKUP(G127,SETTINGS!$B$7:$D$97,2,0)</f>
        <v>EKOplus</v>
      </c>
      <c r="I127" s="796">
        <f>VLOOKUP(G127,SETTINGS!$B$7:$D$97,3,0)</f>
        <v>0</v>
      </c>
      <c r="J127" s="670" t="str">
        <f>IFERROR(IF(CURRENCY.FORMAT_1=0,CONCATENATE(TEXT(FIXED(ROUND((C127/EXC.RATE_1),CURRENCY.FORMAT_1),CURRENCY.FORMAT_1,1),"# ##0;-# ##0"),",-"),FIXED(ROUND((C127/EXC.RATE_1),CURRENCY.FORMAT_1),CURRENCY.FORMAT_1,0)),'DICTIONARY-5'!$A$2)</f>
        <v>2 906,-</v>
      </c>
      <c r="K127" s="670" t="str">
        <f>IF(EXC.RATE_2=0,"",IFERROR(IF(CURRENCY.FORMAT_2=0,CONCATENATE(TEXT(FIXED(ROUND(IF(EXC.RATE.SWITCH=1,C127/EXC.RATE_2,C127*EXC.RATE_2),CURRENCY.FORMAT_2),CURRENCY.FORMAT_2,1),"# ##0;-# ##0"),",-"),FIXED(ROUND(IF(EXC.RATE.SWITCH=1,C127/EXC.RATE_2,C127*EXC.RATE_2),CURRENCY.FORMAT_2),CURRENCY.FORMAT_2,0)),'DICTIONARY-5'!$A$2))</f>
        <v/>
      </c>
      <c r="L127" s="670" t="str">
        <f>IFERROR(IF(CURRENCY.FORMAT_1=0,CONCATENATE(TEXT(FIXED(ROUND((C127*(1-I127)*(1-ADD.DISCOUNT)*(1+MAT.SURCHARGE)/EXC.RATE_1),CURRENCY.FORMAT_1),CURRENCY.FORMAT_1,1),"# ##0;-# ##0"),",-"),FIXED(ROUND((C127*(1-I127)*(1-ADD.DISCOUNT)*(1+MAT.SURCHARGE)/EXC.RATE_1),CURRENCY.FORMAT_1),CURRENCY.FORMAT_1,0)),'DICTIONARY-5'!$A$2)</f>
        <v>3 019,-</v>
      </c>
      <c r="M127" s="670" t="str">
        <f>IF(EXC.RATE_2=0,"",IFERROR(IF(CURRENCY.FORMAT_2=0,CONCATENATE(TEXT(FIXED(ROUND(IF(EXC.RATE.SWITCH=1,C127*(1-I127)*(1-ADD.DISCOUNT)*(1+MAT.SURCHARGE)/EXC.RATE_2,C127*(1-I127)*(1-ADD.DISCOUNT)*(1+MAT.SURCHARGE)*EXC.RATE_2),CURRENCY.FORMAT_2),CURRENCY.FORMAT_2,1),"# ##0;-# ##0"),",-"),FIXED(ROUND(IF(EXC.RATE.SWITCH=1,C127*(1-I127)*(1-ADD.DISCOUNT)*(1+MAT.SURCHARGE)/EXC.RATE_2,C127*(1-I127)*(1-ADD.DISCOUNT)*(1+MAT.SURCHARGE)*EXC.RATE_2),CURRENCY.FORMAT_2),CURRENCY.FORMAT_2,0)),'DICTIONARY-5'!$A$2))</f>
        <v/>
      </c>
      <c r="N127" s="496">
        <v>1</v>
      </c>
      <c r="O127" s="496"/>
      <c r="P127" s="731" t="str">
        <f>'DICTIONARY-3'!$A$2</f>
        <v>EKOplus</v>
      </c>
      <c r="Q127" s="732" t="str">
        <f>'DICTIONARY-3'!$A$187</f>
        <v>Zasuwa klinowa</v>
      </c>
      <c r="R127" s="732" t="str">
        <f>CONCATENATE('DICTIONARY-3'!$A$2," ",'DICTIONARY-6'!$A$3," ",'DICTIONARY-2'!$A$2,"400"," ",'DICTIONARY-2'!$A$3,"10"," ","R14",", ",'DICTIONARY-4'!$A$11)</f>
        <v>EKOplus Zasuwa DN400 PN10 R14, PNE</v>
      </c>
      <c r="S127" s="733" t="str">
        <f>'DICTIONARY-4'!$A$11</f>
        <v>PNE</v>
      </c>
      <c r="T127" s="732" t="str">
        <f>'DICTIONARY-4'!$A$27</f>
        <v>Przygotowane pod napęd elektryczny</v>
      </c>
      <c r="U127" s="734" t="s">
        <v>5754</v>
      </c>
      <c r="V127" s="735">
        <v>10</v>
      </c>
      <c r="W127" s="736"/>
      <c r="X127" s="737"/>
      <c r="Y127" s="738"/>
      <c r="Z127" s="739"/>
      <c r="AA127" s="739"/>
      <c r="AB127" s="740">
        <v>10</v>
      </c>
      <c r="AC127" s="741" t="str">
        <f>'DICTIONARY-5'!$A$11&amp;" 14"</f>
        <v>EN 558 szereg 14</v>
      </c>
      <c r="AD127" s="741" t="str">
        <f>'DICTIONARY-5'!$A$13</f>
        <v>woda pitna</v>
      </c>
      <c r="AE127" s="742">
        <v>50</v>
      </c>
      <c r="AF127" s="743">
        <v>313</v>
      </c>
      <c r="AG127" s="741" t="str">
        <f>'DICTIONARY-5'!$A$23</f>
        <v>powłoka epoksydowa</v>
      </c>
    </row>
    <row r="128" spans="1:33" x14ac:dyDescent="0.25">
      <c r="A128" s="840" t="s">
        <v>208</v>
      </c>
      <c r="B128" s="840" t="s">
        <v>3056</v>
      </c>
      <c r="C128" s="836">
        <v>2910</v>
      </c>
      <c r="D128" s="836"/>
      <c r="E128" s="836"/>
      <c r="F128" s="836"/>
      <c r="G128" s="496" t="s">
        <v>7789</v>
      </c>
      <c r="H128" s="797" t="str">
        <f>VLOOKUP(G128,SETTINGS!$B$7:$D$97,2,0)</f>
        <v>EKOplus</v>
      </c>
      <c r="I128" s="796">
        <f>VLOOKUP(G128,SETTINGS!$B$7:$D$97,3,0)</f>
        <v>0</v>
      </c>
      <c r="J128" s="670" t="str">
        <f>IFERROR(IF(CURRENCY.FORMAT_1=0,CONCATENATE(TEXT(FIXED(ROUND((C128/EXC.RATE_1),CURRENCY.FORMAT_1),CURRENCY.FORMAT_1,1),"# ##0;-# ##0"),",-"),FIXED(ROUND((C128/EXC.RATE_1),CURRENCY.FORMAT_1),CURRENCY.FORMAT_1,0)),'DICTIONARY-5'!$A$2)</f>
        <v>2 910,-</v>
      </c>
      <c r="K128" s="670" t="str">
        <f>IF(EXC.RATE_2=0,"",IFERROR(IF(CURRENCY.FORMAT_2=0,CONCATENATE(TEXT(FIXED(ROUND(IF(EXC.RATE.SWITCH=1,C128/EXC.RATE_2,C128*EXC.RATE_2),CURRENCY.FORMAT_2),CURRENCY.FORMAT_2,1),"# ##0;-# ##0"),",-"),FIXED(ROUND(IF(EXC.RATE.SWITCH=1,C128/EXC.RATE_2,C128*EXC.RATE_2),CURRENCY.FORMAT_2),CURRENCY.FORMAT_2,0)),'DICTIONARY-5'!$A$2))</f>
        <v/>
      </c>
      <c r="L128" s="670" t="str">
        <f>IFERROR(IF(CURRENCY.FORMAT_1=0,CONCATENATE(TEXT(FIXED(ROUND((C128*(1-I128)*(1-ADD.DISCOUNT)*(1+MAT.SURCHARGE)/EXC.RATE_1),CURRENCY.FORMAT_1),CURRENCY.FORMAT_1,1),"# ##0;-# ##0"),",-"),FIXED(ROUND((C128*(1-I128)*(1-ADD.DISCOUNT)*(1+MAT.SURCHARGE)/EXC.RATE_1),CURRENCY.FORMAT_1),CURRENCY.FORMAT_1,0)),'DICTIONARY-5'!$A$2)</f>
        <v>3 023,-</v>
      </c>
      <c r="M128" s="670" t="str">
        <f>IF(EXC.RATE_2=0,"",IFERROR(IF(CURRENCY.FORMAT_2=0,CONCATENATE(TEXT(FIXED(ROUND(IF(EXC.RATE.SWITCH=1,C128*(1-I128)*(1-ADD.DISCOUNT)*(1+MAT.SURCHARGE)/EXC.RATE_2,C128*(1-I128)*(1-ADD.DISCOUNT)*(1+MAT.SURCHARGE)*EXC.RATE_2),CURRENCY.FORMAT_2),CURRENCY.FORMAT_2,1),"# ##0;-# ##0"),",-"),FIXED(ROUND(IF(EXC.RATE.SWITCH=1,C128*(1-I128)*(1-ADD.DISCOUNT)*(1+MAT.SURCHARGE)/EXC.RATE_2,C128*(1-I128)*(1-ADD.DISCOUNT)*(1+MAT.SURCHARGE)*EXC.RATE_2),CURRENCY.FORMAT_2),CURRENCY.FORMAT_2,0)),'DICTIONARY-5'!$A$2))</f>
        <v/>
      </c>
      <c r="N128" s="496">
        <v>1</v>
      </c>
      <c r="O128" s="496"/>
      <c r="P128" s="731" t="str">
        <f>'DICTIONARY-3'!$A$2</f>
        <v>EKOplus</v>
      </c>
      <c r="Q128" s="732" t="str">
        <f>'DICTIONARY-3'!$A$187</f>
        <v>Zasuwa klinowa</v>
      </c>
      <c r="R128" s="732" t="str">
        <f>CONCATENATE('DICTIONARY-3'!$A$2," ",'DICTIONARY-6'!$A$3," ",'DICTIONARY-2'!$A$2,"400"," ",'DICTIONARY-2'!$A$3,"16"," ","R14",", ",'DICTIONARY-4'!$A$11)</f>
        <v>EKOplus Zasuwa DN400 PN16 R14, PNE</v>
      </c>
      <c r="S128" s="733" t="str">
        <f>'DICTIONARY-4'!$A$11</f>
        <v>PNE</v>
      </c>
      <c r="T128" s="732" t="str">
        <f>'DICTIONARY-4'!$A$27</f>
        <v>Przygotowane pod napęd elektryczny</v>
      </c>
      <c r="U128" s="734" t="s">
        <v>5754</v>
      </c>
      <c r="V128" s="735">
        <v>16</v>
      </c>
      <c r="W128" s="736"/>
      <c r="X128" s="737"/>
      <c r="Y128" s="738"/>
      <c r="Z128" s="739"/>
      <c r="AA128" s="739"/>
      <c r="AB128" s="740">
        <v>16</v>
      </c>
      <c r="AC128" s="741" t="str">
        <f>'DICTIONARY-5'!$A$11&amp;" 14"</f>
        <v>EN 558 szereg 14</v>
      </c>
      <c r="AD128" s="741" t="str">
        <f>'DICTIONARY-5'!$A$13</f>
        <v>woda pitna</v>
      </c>
      <c r="AE128" s="742">
        <v>50</v>
      </c>
      <c r="AF128" s="743">
        <v>320</v>
      </c>
      <c r="AG128" s="741" t="str">
        <f>'DICTIONARY-5'!$A$23</f>
        <v>powłoka epoksydowa</v>
      </c>
    </row>
    <row r="129" spans="1:33" x14ac:dyDescent="0.25">
      <c r="A129" s="840" t="s">
        <v>210</v>
      </c>
      <c r="B129" s="840" t="s">
        <v>3054</v>
      </c>
      <c r="C129" s="836">
        <v>4643</v>
      </c>
      <c r="D129" s="836"/>
      <c r="E129" s="836"/>
      <c r="F129" s="836"/>
      <c r="G129" s="496" t="s">
        <v>7789</v>
      </c>
      <c r="H129" s="797" t="str">
        <f>VLOOKUP(G129,SETTINGS!$B$7:$D$97,2,0)</f>
        <v>EKOplus</v>
      </c>
      <c r="I129" s="796">
        <f>VLOOKUP(G129,SETTINGS!$B$7:$D$97,3,0)</f>
        <v>0</v>
      </c>
      <c r="J129" s="670" t="str">
        <f>IFERROR(IF(CURRENCY.FORMAT_1=0,CONCATENATE(TEXT(FIXED(ROUND((C129/EXC.RATE_1),CURRENCY.FORMAT_1),CURRENCY.FORMAT_1,1),"# ##0;-# ##0"),",-"),FIXED(ROUND((C129/EXC.RATE_1),CURRENCY.FORMAT_1),CURRENCY.FORMAT_1,0)),'DICTIONARY-5'!$A$2)</f>
        <v>4 643,-</v>
      </c>
      <c r="K129" s="670" t="str">
        <f>IF(EXC.RATE_2=0,"",IFERROR(IF(CURRENCY.FORMAT_2=0,CONCATENATE(TEXT(FIXED(ROUND(IF(EXC.RATE.SWITCH=1,C129/EXC.RATE_2,C129*EXC.RATE_2),CURRENCY.FORMAT_2),CURRENCY.FORMAT_2,1),"# ##0;-# ##0"),",-"),FIXED(ROUND(IF(EXC.RATE.SWITCH=1,C129/EXC.RATE_2,C129*EXC.RATE_2),CURRENCY.FORMAT_2),CURRENCY.FORMAT_2,0)),'DICTIONARY-5'!$A$2))</f>
        <v/>
      </c>
      <c r="L129" s="670" t="str">
        <f>IFERROR(IF(CURRENCY.FORMAT_1=0,CONCATENATE(TEXT(FIXED(ROUND((C129*(1-I129)*(1-ADD.DISCOUNT)*(1+MAT.SURCHARGE)/EXC.RATE_1),CURRENCY.FORMAT_1),CURRENCY.FORMAT_1,1),"# ##0;-# ##0"),",-"),FIXED(ROUND((C129*(1-I129)*(1-ADD.DISCOUNT)*(1+MAT.SURCHARGE)/EXC.RATE_1),CURRENCY.FORMAT_1),CURRENCY.FORMAT_1,0)),'DICTIONARY-5'!$A$2)</f>
        <v>4 824,-</v>
      </c>
      <c r="M129" s="670" t="str">
        <f>IF(EXC.RATE_2=0,"",IFERROR(IF(CURRENCY.FORMAT_2=0,CONCATENATE(TEXT(FIXED(ROUND(IF(EXC.RATE.SWITCH=1,C129*(1-I129)*(1-ADD.DISCOUNT)*(1+MAT.SURCHARGE)/EXC.RATE_2,C129*(1-I129)*(1-ADD.DISCOUNT)*(1+MAT.SURCHARGE)*EXC.RATE_2),CURRENCY.FORMAT_2),CURRENCY.FORMAT_2,1),"# ##0;-# ##0"),",-"),FIXED(ROUND(IF(EXC.RATE.SWITCH=1,C129*(1-I129)*(1-ADD.DISCOUNT)*(1+MAT.SURCHARGE)/EXC.RATE_2,C129*(1-I129)*(1-ADD.DISCOUNT)*(1+MAT.SURCHARGE)*EXC.RATE_2),CURRENCY.FORMAT_2),CURRENCY.FORMAT_2,0)),'DICTIONARY-5'!$A$2))</f>
        <v/>
      </c>
      <c r="N129" s="496">
        <v>1</v>
      </c>
      <c r="O129" s="496"/>
      <c r="P129" s="731" t="str">
        <f>'DICTIONARY-3'!$A$2</f>
        <v>EKOplus</v>
      </c>
      <c r="Q129" s="732" t="str">
        <f>'DICTIONARY-3'!$A$187</f>
        <v>Zasuwa klinowa</v>
      </c>
      <c r="R129" s="732" t="str">
        <f>CONCATENATE('DICTIONARY-3'!$A$2," ",'DICTIONARY-6'!$A$3," ",'DICTIONARY-2'!$A$2,"500"," ",'DICTIONARY-2'!$A$3,"10"," ","R14",", ",'DICTIONARY-4'!$A$11)</f>
        <v>EKOplus Zasuwa DN500 PN10 R14, PNE</v>
      </c>
      <c r="S129" s="733" t="str">
        <f>'DICTIONARY-4'!$A$11</f>
        <v>PNE</v>
      </c>
      <c r="T129" s="732" t="str">
        <f>'DICTIONARY-4'!$A$27</f>
        <v>Przygotowane pod napęd elektryczny</v>
      </c>
      <c r="U129" s="734" t="s">
        <v>5756</v>
      </c>
      <c r="V129" s="735">
        <v>10</v>
      </c>
      <c r="W129" s="736"/>
      <c r="X129" s="737"/>
      <c r="Y129" s="738"/>
      <c r="Z129" s="739"/>
      <c r="AA129" s="739"/>
      <c r="AB129" s="740">
        <v>10</v>
      </c>
      <c r="AC129" s="741" t="str">
        <f>'DICTIONARY-5'!$A$11&amp;" 14"</f>
        <v>EN 558 szereg 14</v>
      </c>
      <c r="AD129" s="741" t="str">
        <f>'DICTIONARY-5'!$A$13</f>
        <v>woda pitna</v>
      </c>
      <c r="AE129" s="742">
        <v>50</v>
      </c>
      <c r="AF129" s="743">
        <v>426.5</v>
      </c>
      <c r="AG129" s="741" t="str">
        <f>'DICTIONARY-5'!$A$23</f>
        <v>powłoka epoksydowa</v>
      </c>
    </row>
    <row r="130" spans="1:33" x14ac:dyDescent="0.25">
      <c r="A130" s="840" t="s">
        <v>212</v>
      </c>
      <c r="B130" s="840" t="s">
        <v>3057</v>
      </c>
      <c r="C130" s="836">
        <v>4867</v>
      </c>
      <c r="D130" s="836"/>
      <c r="E130" s="836"/>
      <c r="F130" s="836"/>
      <c r="G130" s="496" t="s">
        <v>7789</v>
      </c>
      <c r="H130" s="797" t="str">
        <f>VLOOKUP(G130,SETTINGS!$B$7:$D$97,2,0)</f>
        <v>EKOplus</v>
      </c>
      <c r="I130" s="796">
        <f>VLOOKUP(G130,SETTINGS!$B$7:$D$97,3,0)</f>
        <v>0</v>
      </c>
      <c r="J130" s="670" t="str">
        <f>IFERROR(IF(CURRENCY.FORMAT_1=0,CONCATENATE(TEXT(FIXED(ROUND((C130/EXC.RATE_1),CURRENCY.FORMAT_1),CURRENCY.FORMAT_1,1),"# ##0;-# ##0"),",-"),FIXED(ROUND((C130/EXC.RATE_1),CURRENCY.FORMAT_1),CURRENCY.FORMAT_1,0)),'DICTIONARY-5'!$A$2)</f>
        <v>4 867,-</v>
      </c>
      <c r="K130" s="670" t="str">
        <f>IF(EXC.RATE_2=0,"",IFERROR(IF(CURRENCY.FORMAT_2=0,CONCATENATE(TEXT(FIXED(ROUND(IF(EXC.RATE.SWITCH=1,C130/EXC.RATE_2,C130*EXC.RATE_2),CURRENCY.FORMAT_2),CURRENCY.FORMAT_2,1),"# ##0;-# ##0"),",-"),FIXED(ROUND(IF(EXC.RATE.SWITCH=1,C130/EXC.RATE_2,C130*EXC.RATE_2),CURRENCY.FORMAT_2),CURRENCY.FORMAT_2,0)),'DICTIONARY-5'!$A$2))</f>
        <v/>
      </c>
      <c r="L130" s="670" t="str">
        <f>IFERROR(IF(CURRENCY.FORMAT_1=0,CONCATENATE(TEXT(FIXED(ROUND((C130*(1-I130)*(1-ADD.DISCOUNT)*(1+MAT.SURCHARGE)/EXC.RATE_1),CURRENCY.FORMAT_1),CURRENCY.FORMAT_1,1),"# ##0;-# ##0"),",-"),FIXED(ROUND((C130*(1-I130)*(1-ADD.DISCOUNT)*(1+MAT.SURCHARGE)/EXC.RATE_1),CURRENCY.FORMAT_1),CURRENCY.FORMAT_1,0)),'DICTIONARY-5'!$A$2)</f>
        <v>5 057,-</v>
      </c>
      <c r="M130" s="670" t="str">
        <f>IF(EXC.RATE_2=0,"",IFERROR(IF(CURRENCY.FORMAT_2=0,CONCATENATE(TEXT(FIXED(ROUND(IF(EXC.RATE.SWITCH=1,C130*(1-I130)*(1-ADD.DISCOUNT)*(1+MAT.SURCHARGE)/EXC.RATE_2,C130*(1-I130)*(1-ADD.DISCOUNT)*(1+MAT.SURCHARGE)*EXC.RATE_2),CURRENCY.FORMAT_2),CURRENCY.FORMAT_2,1),"# ##0;-# ##0"),",-"),FIXED(ROUND(IF(EXC.RATE.SWITCH=1,C130*(1-I130)*(1-ADD.DISCOUNT)*(1+MAT.SURCHARGE)/EXC.RATE_2,C130*(1-I130)*(1-ADD.DISCOUNT)*(1+MAT.SURCHARGE)*EXC.RATE_2),CURRENCY.FORMAT_2),CURRENCY.FORMAT_2,0)),'DICTIONARY-5'!$A$2))</f>
        <v/>
      </c>
      <c r="N130" s="496">
        <v>1</v>
      </c>
      <c r="O130" s="496"/>
      <c r="P130" s="731" t="str">
        <f>'DICTIONARY-3'!$A$2</f>
        <v>EKOplus</v>
      </c>
      <c r="Q130" s="732" t="str">
        <f>'DICTIONARY-3'!$A$187</f>
        <v>Zasuwa klinowa</v>
      </c>
      <c r="R130" s="732" t="str">
        <f>CONCATENATE('DICTIONARY-3'!$A$2," ",'DICTIONARY-6'!$A$3," ",'DICTIONARY-2'!$A$2,"500"," ",'DICTIONARY-2'!$A$3,"16"," ","R14",", ",'DICTIONARY-4'!$A$11)</f>
        <v>EKOplus Zasuwa DN500 PN16 R14, PNE</v>
      </c>
      <c r="S130" s="733" t="str">
        <f>'DICTIONARY-4'!$A$11</f>
        <v>PNE</v>
      </c>
      <c r="T130" s="732" t="str">
        <f>'DICTIONARY-4'!$A$27</f>
        <v>Przygotowane pod napęd elektryczny</v>
      </c>
      <c r="U130" s="734" t="s">
        <v>5756</v>
      </c>
      <c r="V130" s="735">
        <v>16</v>
      </c>
      <c r="W130" s="736"/>
      <c r="X130" s="737"/>
      <c r="Y130" s="738"/>
      <c r="Z130" s="739"/>
      <c r="AA130" s="739"/>
      <c r="AB130" s="740">
        <v>16</v>
      </c>
      <c r="AC130" s="741" t="str">
        <f>'DICTIONARY-5'!$A$11&amp;" 14"</f>
        <v>EN 558 szereg 14</v>
      </c>
      <c r="AD130" s="741" t="str">
        <f>'DICTIONARY-5'!$A$13</f>
        <v>woda pitna</v>
      </c>
      <c r="AE130" s="742">
        <v>50</v>
      </c>
      <c r="AF130" s="743">
        <v>467</v>
      </c>
      <c r="AG130" s="741" t="str">
        <f>'DICTIONARY-5'!$A$23</f>
        <v>powłoka epoksydowa</v>
      </c>
    </row>
    <row r="131" spans="1:33" x14ac:dyDescent="0.25">
      <c r="A131" s="837" t="s">
        <v>216</v>
      </c>
      <c r="B131" s="837" t="str">
        <f>'DICTIONARY-5'!$A$2</f>
        <v>na zapytanie</v>
      </c>
      <c r="C131" s="836" t="s">
        <v>5967</v>
      </c>
      <c r="D131" s="836"/>
      <c r="E131" s="836"/>
      <c r="F131" s="836"/>
      <c r="G131" s="496" t="s">
        <v>7789</v>
      </c>
      <c r="H131" s="797" t="str">
        <f>VLOOKUP(G131,SETTINGS!$B$7:$D$97,2,0)</f>
        <v>EKOplus</v>
      </c>
      <c r="I131" s="796">
        <f>VLOOKUP(G131,SETTINGS!$B$7:$D$97,3,0)</f>
        <v>0</v>
      </c>
      <c r="J131" s="670" t="str">
        <f>IFERROR(IF(CURRENCY.FORMAT_1=0,CONCATENATE(TEXT(FIXED(ROUND((C131/EXC.RATE_1),CURRENCY.FORMAT_1),CURRENCY.FORMAT_1,1),"# ##0;-# ##0"),",-"),FIXED(ROUND((C131/EXC.RATE_1),CURRENCY.FORMAT_1),CURRENCY.FORMAT_1,0)),'DICTIONARY-5'!$A$2)</f>
        <v>na zapytanie</v>
      </c>
      <c r="K131" s="670" t="str">
        <f>IF(EXC.RATE_2=0,"",IFERROR(IF(CURRENCY.FORMAT_2=0,CONCATENATE(TEXT(FIXED(ROUND(IF(EXC.RATE.SWITCH=1,C131/EXC.RATE_2,C131*EXC.RATE_2),CURRENCY.FORMAT_2),CURRENCY.FORMAT_2,1),"# ##0;-# ##0"),",-"),FIXED(ROUND(IF(EXC.RATE.SWITCH=1,C131/EXC.RATE_2,C131*EXC.RATE_2),CURRENCY.FORMAT_2),CURRENCY.FORMAT_2,0)),'DICTIONARY-5'!$A$2))</f>
        <v/>
      </c>
      <c r="L131" s="670" t="str">
        <f>IFERROR(IF(CURRENCY.FORMAT_1=0,CONCATENATE(TEXT(FIXED(ROUND((C131*(1-I131)*(1-ADD.DISCOUNT)*(1+MAT.SURCHARGE)/EXC.RATE_1),CURRENCY.FORMAT_1),CURRENCY.FORMAT_1,1),"# ##0;-# ##0"),",-"),FIXED(ROUND((C131*(1-I131)*(1-ADD.DISCOUNT)*(1+MAT.SURCHARGE)/EXC.RATE_1),CURRENCY.FORMAT_1),CURRENCY.FORMAT_1,0)),'DICTIONARY-5'!$A$2)</f>
        <v>na zapytanie</v>
      </c>
      <c r="M131" s="670" t="str">
        <f>IF(EXC.RATE_2=0,"",IFERROR(IF(CURRENCY.FORMAT_2=0,CONCATENATE(TEXT(FIXED(ROUND(IF(EXC.RATE.SWITCH=1,C131*(1-I131)*(1-ADD.DISCOUNT)*(1+MAT.SURCHARGE)/EXC.RATE_2,C131*(1-I131)*(1-ADD.DISCOUNT)*(1+MAT.SURCHARGE)*EXC.RATE_2),CURRENCY.FORMAT_2),CURRENCY.FORMAT_2,1),"# ##0;-# ##0"),",-"),FIXED(ROUND(IF(EXC.RATE.SWITCH=1,C131*(1-I131)*(1-ADD.DISCOUNT)*(1+MAT.SURCHARGE)/EXC.RATE_2,C131*(1-I131)*(1-ADD.DISCOUNT)*(1+MAT.SURCHARGE)*EXC.RATE_2),CURRENCY.FORMAT_2),CURRENCY.FORMAT_2,0)),'DICTIONARY-5'!$A$2))</f>
        <v/>
      </c>
      <c r="N131" s="496">
        <v>1</v>
      </c>
      <c r="O131" s="496"/>
      <c r="P131" s="731" t="str">
        <f>'DICTIONARY-3'!$A$2</f>
        <v>EKOplus</v>
      </c>
      <c r="Q131" s="732" t="str">
        <f>'DICTIONARY-3'!$A$187</f>
        <v>Zasuwa klinowa</v>
      </c>
      <c r="R131" s="732" t="str">
        <f>CONCATENATE('DICTIONARY-3'!$A$2," ",'DICTIONARY-6'!$A$3," ",'DICTIONARY-2'!$A$2,"600"," ",'DICTIONARY-2'!$A$3,"10"," ","R14",", ",'DICTIONARY-4'!$A$11)</f>
        <v>EKOplus Zasuwa DN600 PN10 R14, PNE</v>
      </c>
      <c r="S131" s="733" t="str">
        <f>'DICTIONARY-4'!$A$11</f>
        <v>PNE</v>
      </c>
      <c r="T131" s="732" t="str">
        <f>'DICTIONARY-4'!$A$27</f>
        <v>Przygotowane pod napęd elektryczny</v>
      </c>
      <c r="U131" s="734" t="s">
        <v>5757</v>
      </c>
      <c r="V131" s="735">
        <v>10</v>
      </c>
      <c r="W131" s="736"/>
      <c r="X131" s="737"/>
      <c r="Y131" s="738"/>
      <c r="Z131" s="739"/>
      <c r="AA131" s="739"/>
      <c r="AB131" s="740">
        <v>10</v>
      </c>
      <c r="AC131" s="741" t="str">
        <f>'DICTIONARY-5'!$A$11&amp;" 14"</f>
        <v>EN 558 szereg 14</v>
      </c>
      <c r="AD131" s="741" t="str">
        <f>'DICTIONARY-5'!$A$13</f>
        <v>woda pitna</v>
      </c>
      <c r="AE131" s="742">
        <v>50</v>
      </c>
      <c r="AF131" s="743"/>
      <c r="AG131" s="741" t="str">
        <f>'DICTIONARY-5'!$A$23</f>
        <v>powłoka epoksydowa</v>
      </c>
    </row>
    <row r="132" spans="1:33" x14ac:dyDescent="0.25">
      <c r="A132" s="837" t="s">
        <v>218</v>
      </c>
      <c r="B132" s="837" t="str">
        <f>'DICTIONARY-5'!$A$2</f>
        <v>na zapytanie</v>
      </c>
      <c r="C132" s="836" t="s">
        <v>5967</v>
      </c>
      <c r="D132" s="836"/>
      <c r="E132" s="836"/>
      <c r="F132" s="836"/>
      <c r="G132" s="496" t="s">
        <v>7789</v>
      </c>
      <c r="H132" s="797" t="str">
        <f>VLOOKUP(G132,SETTINGS!$B$7:$D$97,2,0)</f>
        <v>EKOplus</v>
      </c>
      <c r="I132" s="796">
        <f>VLOOKUP(G132,SETTINGS!$B$7:$D$97,3,0)</f>
        <v>0</v>
      </c>
      <c r="J132" s="670" t="str">
        <f>IFERROR(IF(CURRENCY.FORMAT_1=0,CONCATENATE(TEXT(FIXED(ROUND((C132/EXC.RATE_1),CURRENCY.FORMAT_1),CURRENCY.FORMAT_1,1),"# ##0;-# ##0"),",-"),FIXED(ROUND((C132/EXC.RATE_1),CURRENCY.FORMAT_1),CURRENCY.FORMAT_1,0)),'DICTIONARY-5'!$A$2)</f>
        <v>na zapytanie</v>
      </c>
      <c r="K132" s="670" t="str">
        <f>IF(EXC.RATE_2=0,"",IFERROR(IF(CURRENCY.FORMAT_2=0,CONCATENATE(TEXT(FIXED(ROUND(IF(EXC.RATE.SWITCH=1,C132/EXC.RATE_2,C132*EXC.RATE_2),CURRENCY.FORMAT_2),CURRENCY.FORMAT_2,1),"# ##0;-# ##0"),",-"),FIXED(ROUND(IF(EXC.RATE.SWITCH=1,C132/EXC.RATE_2,C132*EXC.RATE_2),CURRENCY.FORMAT_2),CURRENCY.FORMAT_2,0)),'DICTIONARY-5'!$A$2))</f>
        <v/>
      </c>
      <c r="L132" s="670" t="str">
        <f>IFERROR(IF(CURRENCY.FORMAT_1=0,CONCATENATE(TEXT(FIXED(ROUND((C132*(1-I132)*(1-ADD.DISCOUNT)*(1+MAT.SURCHARGE)/EXC.RATE_1),CURRENCY.FORMAT_1),CURRENCY.FORMAT_1,1),"# ##0;-# ##0"),",-"),FIXED(ROUND((C132*(1-I132)*(1-ADD.DISCOUNT)*(1+MAT.SURCHARGE)/EXC.RATE_1),CURRENCY.FORMAT_1),CURRENCY.FORMAT_1,0)),'DICTIONARY-5'!$A$2)</f>
        <v>na zapytanie</v>
      </c>
      <c r="M132" s="670" t="str">
        <f>IF(EXC.RATE_2=0,"",IFERROR(IF(CURRENCY.FORMAT_2=0,CONCATENATE(TEXT(FIXED(ROUND(IF(EXC.RATE.SWITCH=1,C132*(1-I132)*(1-ADD.DISCOUNT)*(1+MAT.SURCHARGE)/EXC.RATE_2,C132*(1-I132)*(1-ADD.DISCOUNT)*(1+MAT.SURCHARGE)*EXC.RATE_2),CURRENCY.FORMAT_2),CURRENCY.FORMAT_2,1),"# ##0;-# ##0"),",-"),FIXED(ROUND(IF(EXC.RATE.SWITCH=1,C132*(1-I132)*(1-ADD.DISCOUNT)*(1+MAT.SURCHARGE)/EXC.RATE_2,C132*(1-I132)*(1-ADD.DISCOUNT)*(1+MAT.SURCHARGE)*EXC.RATE_2),CURRENCY.FORMAT_2),CURRENCY.FORMAT_2,0)),'DICTIONARY-5'!$A$2))</f>
        <v/>
      </c>
      <c r="N132" s="496">
        <v>1</v>
      </c>
      <c r="O132" s="496"/>
      <c r="P132" s="731" t="str">
        <f>'DICTIONARY-3'!$A$2</f>
        <v>EKOplus</v>
      </c>
      <c r="Q132" s="732" t="str">
        <f>'DICTIONARY-3'!$A$187</f>
        <v>Zasuwa klinowa</v>
      </c>
      <c r="R132" s="732" t="str">
        <f>CONCATENATE('DICTIONARY-3'!$A$2," ",'DICTIONARY-6'!$A$3," ",'DICTIONARY-2'!$A$2,"600"," ",'DICTIONARY-2'!$A$3,"16"," ","R14",", ",'DICTIONARY-4'!$A$11)</f>
        <v>EKOplus Zasuwa DN600 PN16 R14, PNE</v>
      </c>
      <c r="S132" s="733" t="str">
        <f>'DICTIONARY-4'!$A$11</f>
        <v>PNE</v>
      </c>
      <c r="T132" s="732" t="str">
        <f>'DICTIONARY-4'!$A$27</f>
        <v>Przygotowane pod napęd elektryczny</v>
      </c>
      <c r="U132" s="734" t="s">
        <v>5757</v>
      </c>
      <c r="V132" s="735">
        <v>16</v>
      </c>
      <c r="W132" s="736"/>
      <c r="X132" s="737"/>
      <c r="Y132" s="738"/>
      <c r="Z132" s="739"/>
      <c r="AA132" s="739"/>
      <c r="AB132" s="740">
        <v>16</v>
      </c>
      <c r="AC132" s="741" t="str">
        <f>'DICTIONARY-5'!$A$11&amp;" 14"</f>
        <v>EN 558 szereg 14</v>
      </c>
      <c r="AD132" s="741" t="str">
        <f>'DICTIONARY-5'!$A$13</f>
        <v>woda pitna</v>
      </c>
      <c r="AE132" s="742">
        <v>50</v>
      </c>
      <c r="AF132" s="743"/>
      <c r="AG132" s="741" t="str">
        <f>'DICTIONARY-5'!$A$23</f>
        <v>powłoka epoksydowa</v>
      </c>
    </row>
    <row r="133" spans="1:33" x14ac:dyDescent="0.25">
      <c r="A133" s="837" t="s">
        <v>177</v>
      </c>
      <c r="B133" s="837" t="s">
        <v>3071</v>
      </c>
      <c r="C133" s="836">
        <v>238</v>
      </c>
      <c r="D133" s="836"/>
      <c r="E133" s="836"/>
      <c r="F133" s="836"/>
      <c r="G133" s="496" t="s">
        <v>7789</v>
      </c>
      <c r="H133" s="797" t="str">
        <f>VLOOKUP(G133,SETTINGS!$B$7:$D$97,2,0)</f>
        <v>EKOplus</v>
      </c>
      <c r="I133" s="796">
        <f>VLOOKUP(G133,SETTINGS!$B$7:$D$97,3,0)</f>
        <v>0</v>
      </c>
      <c r="J133" s="670" t="str">
        <f>IFERROR(IF(CURRENCY.FORMAT_1=0,CONCATENATE(TEXT(FIXED(ROUND((C133/EXC.RATE_1),CURRENCY.FORMAT_1),CURRENCY.FORMAT_1,1),"# ##0;-# ##0"),",-"),FIXED(ROUND((C133/EXC.RATE_1),CURRENCY.FORMAT_1),CURRENCY.FORMAT_1,0)),'DICTIONARY-5'!$A$2)</f>
        <v>238,-</v>
      </c>
      <c r="K133" s="670" t="str">
        <f>IF(EXC.RATE_2=0,"",IFERROR(IF(CURRENCY.FORMAT_2=0,CONCATENATE(TEXT(FIXED(ROUND(IF(EXC.RATE.SWITCH=1,C133/EXC.RATE_2,C133*EXC.RATE_2),CURRENCY.FORMAT_2),CURRENCY.FORMAT_2,1),"# ##0;-# ##0"),",-"),FIXED(ROUND(IF(EXC.RATE.SWITCH=1,C133/EXC.RATE_2,C133*EXC.RATE_2),CURRENCY.FORMAT_2),CURRENCY.FORMAT_2,0)),'DICTIONARY-5'!$A$2))</f>
        <v/>
      </c>
      <c r="L133" s="670" t="str">
        <f>IFERROR(IF(CURRENCY.FORMAT_1=0,CONCATENATE(TEXT(FIXED(ROUND((C133*(1-I133)*(1-ADD.DISCOUNT)*(1+MAT.SURCHARGE)/EXC.RATE_1),CURRENCY.FORMAT_1),CURRENCY.FORMAT_1,1),"# ##0;-# ##0"),",-"),FIXED(ROUND((C133*(1-I133)*(1-ADD.DISCOUNT)*(1+MAT.SURCHARGE)/EXC.RATE_1),CURRENCY.FORMAT_1),CURRENCY.FORMAT_1,0)),'DICTIONARY-5'!$A$2)</f>
        <v>247,-</v>
      </c>
      <c r="M133" s="670" t="str">
        <f>IF(EXC.RATE_2=0,"",IFERROR(IF(CURRENCY.FORMAT_2=0,CONCATENATE(TEXT(FIXED(ROUND(IF(EXC.RATE.SWITCH=1,C133*(1-I133)*(1-ADD.DISCOUNT)*(1+MAT.SURCHARGE)/EXC.RATE_2,C133*(1-I133)*(1-ADD.DISCOUNT)*(1+MAT.SURCHARGE)*EXC.RATE_2),CURRENCY.FORMAT_2),CURRENCY.FORMAT_2,1),"# ##0;-# ##0"),",-"),FIXED(ROUND(IF(EXC.RATE.SWITCH=1,C133*(1-I133)*(1-ADD.DISCOUNT)*(1+MAT.SURCHARGE)/EXC.RATE_2,C133*(1-I133)*(1-ADD.DISCOUNT)*(1+MAT.SURCHARGE)*EXC.RATE_2),CURRENCY.FORMAT_2),CURRENCY.FORMAT_2,0)),'DICTIONARY-5'!$A$2))</f>
        <v/>
      </c>
      <c r="N133" s="496">
        <v>1</v>
      </c>
      <c r="O133" s="496"/>
      <c r="P133" s="731" t="str">
        <f>'DICTIONARY-3'!$A$2</f>
        <v>EKOplus</v>
      </c>
      <c r="Q133" s="732" t="str">
        <f>'DICTIONARY-3'!$A$187</f>
        <v>Zasuwa klinowa</v>
      </c>
      <c r="R133" s="732" t="str">
        <f>CONCATENATE('DICTIONARY-3'!$A$2," ",'DICTIONARY-6'!$A$3," ",'DICTIONARY-2'!$A$2,"40"," ",'DICTIONARY-2'!$A$3,"10/16"," ","R15",", ",'DICTIONARY-4'!$A$11)</f>
        <v>EKOplus Zasuwa DN40 PN10/16 R15, PNE</v>
      </c>
      <c r="S133" s="733" t="str">
        <f>'DICTIONARY-4'!$A$11</f>
        <v>PNE</v>
      </c>
      <c r="T133" s="732" t="str">
        <f>'DICTIONARY-4'!$A$27</f>
        <v>Przygotowane pod napęd elektryczny</v>
      </c>
      <c r="U133" s="734" t="s">
        <v>5758</v>
      </c>
      <c r="V133" s="735">
        <v>16</v>
      </c>
      <c r="W133" s="736"/>
      <c r="X133" s="737"/>
      <c r="Y133" s="738"/>
      <c r="Z133" s="739"/>
      <c r="AA133" s="739"/>
      <c r="AB133" s="740">
        <v>16</v>
      </c>
      <c r="AC133" s="741" t="str">
        <f>'DICTIONARY-5'!$A$11&amp;" 15"</f>
        <v>EN 558 szereg 15</v>
      </c>
      <c r="AD133" s="741" t="str">
        <f>'DICTIONARY-5'!$A$13</f>
        <v>woda pitna</v>
      </c>
      <c r="AE133" s="742">
        <v>50</v>
      </c>
      <c r="AF133" s="743">
        <v>11.3</v>
      </c>
      <c r="AG133" s="741" t="str">
        <f>'DICTIONARY-5'!$A$23</f>
        <v>powłoka epoksydowa</v>
      </c>
    </row>
    <row r="134" spans="1:33" x14ac:dyDescent="0.25">
      <c r="A134" s="837" t="s">
        <v>179</v>
      </c>
      <c r="B134" s="837" t="s">
        <v>3072</v>
      </c>
      <c r="C134" s="836">
        <v>251</v>
      </c>
      <c r="D134" s="836"/>
      <c r="E134" s="836"/>
      <c r="F134" s="836"/>
      <c r="G134" s="496" t="s">
        <v>7789</v>
      </c>
      <c r="H134" s="797" t="str">
        <f>VLOOKUP(G134,SETTINGS!$B$7:$D$97,2,0)</f>
        <v>EKOplus</v>
      </c>
      <c r="I134" s="796">
        <f>VLOOKUP(G134,SETTINGS!$B$7:$D$97,3,0)</f>
        <v>0</v>
      </c>
      <c r="J134" s="670" t="str">
        <f>IFERROR(IF(CURRENCY.FORMAT_1=0,CONCATENATE(TEXT(FIXED(ROUND((C134/EXC.RATE_1),CURRENCY.FORMAT_1),CURRENCY.FORMAT_1,1),"# ##0;-# ##0"),",-"),FIXED(ROUND((C134/EXC.RATE_1),CURRENCY.FORMAT_1),CURRENCY.FORMAT_1,0)),'DICTIONARY-5'!$A$2)</f>
        <v>251,-</v>
      </c>
      <c r="K134" s="670" t="str">
        <f>IF(EXC.RATE_2=0,"",IFERROR(IF(CURRENCY.FORMAT_2=0,CONCATENATE(TEXT(FIXED(ROUND(IF(EXC.RATE.SWITCH=1,C134/EXC.RATE_2,C134*EXC.RATE_2),CURRENCY.FORMAT_2),CURRENCY.FORMAT_2,1),"# ##0;-# ##0"),",-"),FIXED(ROUND(IF(EXC.RATE.SWITCH=1,C134/EXC.RATE_2,C134*EXC.RATE_2),CURRENCY.FORMAT_2),CURRENCY.FORMAT_2,0)),'DICTIONARY-5'!$A$2))</f>
        <v/>
      </c>
      <c r="L134" s="670" t="str">
        <f>IFERROR(IF(CURRENCY.FORMAT_1=0,CONCATENATE(TEXT(FIXED(ROUND((C134*(1-I134)*(1-ADD.DISCOUNT)*(1+MAT.SURCHARGE)/EXC.RATE_1),CURRENCY.FORMAT_1),CURRENCY.FORMAT_1,1),"# ##0;-# ##0"),",-"),FIXED(ROUND((C134*(1-I134)*(1-ADD.DISCOUNT)*(1+MAT.SURCHARGE)/EXC.RATE_1),CURRENCY.FORMAT_1),CURRENCY.FORMAT_1,0)),'DICTIONARY-5'!$A$2)</f>
        <v>261,-</v>
      </c>
      <c r="M134" s="670" t="str">
        <f>IF(EXC.RATE_2=0,"",IFERROR(IF(CURRENCY.FORMAT_2=0,CONCATENATE(TEXT(FIXED(ROUND(IF(EXC.RATE.SWITCH=1,C134*(1-I134)*(1-ADD.DISCOUNT)*(1+MAT.SURCHARGE)/EXC.RATE_2,C134*(1-I134)*(1-ADD.DISCOUNT)*(1+MAT.SURCHARGE)*EXC.RATE_2),CURRENCY.FORMAT_2),CURRENCY.FORMAT_2,1),"# ##0;-# ##0"),",-"),FIXED(ROUND(IF(EXC.RATE.SWITCH=1,C134*(1-I134)*(1-ADD.DISCOUNT)*(1+MAT.SURCHARGE)/EXC.RATE_2,C134*(1-I134)*(1-ADD.DISCOUNT)*(1+MAT.SURCHARGE)*EXC.RATE_2),CURRENCY.FORMAT_2),CURRENCY.FORMAT_2,0)),'DICTIONARY-5'!$A$2))</f>
        <v/>
      </c>
      <c r="N134" s="496">
        <v>1</v>
      </c>
      <c r="O134" s="496"/>
      <c r="P134" s="731" t="str">
        <f>'DICTIONARY-3'!$A$2</f>
        <v>EKOplus</v>
      </c>
      <c r="Q134" s="732" t="str">
        <f>'DICTIONARY-3'!$A$187</f>
        <v>Zasuwa klinowa</v>
      </c>
      <c r="R134" s="732" t="str">
        <f>CONCATENATE('DICTIONARY-3'!$A$2," ",'DICTIONARY-6'!$A$3," ",'DICTIONARY-2'!$A$2,"50"," ",'DICTIONARY-2'!$A$3,"10/16"," ","R15",", ",'DICTIONARY-4'!$A$11)</f>
        <v>EKOplus Zasuwa DN50 PN10/16 R15, PNE</v>
      </c>
      <c r="S134" s="733" t="str">
        <f>'DICTIONARY-4'!$A$11</f>
        <v>PNE</v>
      </c>
      <c r="T134" s="732" t="str">
        <f>'DICTIONARY-4'!$A$27</f>
        <v>Przygotowane pod napęd elektryczny</v>
      </c>
      <c r="U134" s="734" t="s">
        <v>5748</v>
      </c>
      <c r="V134" s="735">
        <v>16</v>
      </c>
      <c r="W134" s="736"/>
      <c r="X134" s="737"/>
      <c r="Y134" s="738"/>
      <c r="Z134" s="739"/>
      <c r="AA134" s="739"/>
      <c r="AB134" s="740">
        <v>16</v>
      </c>
      <c r="AC134" s="741" t="str">
        <f>'DICTIONARY-5'!$A$11&amp;" 15"</f>
        <v>EN 558 szereg 15</v>
      </c>
      <c r="AD134" s="741" t="str">
        <f>'DICTIONARY-5'!$A$13</f>
        <v>woda pitna</v>
      </c>
      <c r="AE134" s="742">
        <v>50</v>
      </c>
      <c r="AF134" s="743">
        <v>12</v>
      </c>
      <c r="AG134" s="741" t="str">
        <f>'DICTIONARY-5'!$A$23</f>
        <v>powłoka epoksydowa</v>
      </c>
    </row>
    <row r="135" spans="1:33" x14ac:dyDescent="0.25">
      <c r="A135" s="837" t="s">
        <v>181</v>
      </c>
      <c r="B135" s="837" t="s">
        <v>3073</v>
      </c>
      <c r="C135" s="836">
        <v>298</v>
      </c>
      <c r="D135" s="836"/>
      <c r="E135" s="836"/>
      <c r="F135" s="836"/>
      <c r="G135" s="496" t="s">
        <v>7789</v>
      </c>
      <c r="H135" s="797" t="str">
        <f>VLOOKUP(G135,SETTINGS!$B$7:$D$97,2,0)</f>
        <v>EKOplus</v>
      </c>
      <c r="I135" s="796">
        <f>VLOOKUP(G135,SETTINGS!$B$7:$D$97,3,0)</f>
        <v>0</v>
      </c>
      <c r="J135" s="670" t="str">
        <f>IFERROR(IF(CURRENCY.FORMAT_1=0,CONCATENATE(TEXT(FIXED(ROUND((C135/EXC.RATE_1),CURRENCY.FORMAT_1),CURRENCY.FORMAT_1,1),"# ##0;-# ##0"),",-"),FIXED(ROUND((C135/EXC.RATE_1),CURRENCY.FORMAT_1),CURRENCY.FORMAT_1,0)),'DICTIONARY-5'!$A$2)</f>
        <v>298,-</v>
      </c>
      <c r="K135" s="670" t="str">
        <f>IF(EXC.RATE_2=0,"",IFERROR(IF(CURRENCY.FORMAT_2=0,CONCATENATE(TEXT(FIXED(ROUND(IF(EXC.RATE.SWITCH=1,C135/EXC.RATE_2,C135*EXC.RATE_2),CURRENCY.FORMAT_2),CURRENCY.FORMAT_2,1),"# ##0;-# ##0"),",-"),FIXED(ROUND(IF(EXC.RATE.SWITCH=1,C135/EXC.RATE_2,C135*EXC.RATE_2),CURRENCY.FORMAT_2),CURRENCY.FORMAT_2,0)),'DICTIONARY-5'!$A$2))</f>
        <v/>
      </c>
      <c r="L135" s="670" t="str">
        <f>IFERROR(IF(CURRENCY.FORMAT_1=0,CONCATENATE(TEXT(FIXED(ROUND((C135*(1-I135)*(1-ADD.DISCOUNT)*(1+MAT.SURCHARGE)/EXC.RATE_1),CURRENCY.FORMAT_1),CURRENCY.FORMAT_1,1),"# ##0;-# ##0"),",-"),FIXED(ROUND((C135*(1-I135)*(1-ADD.DISCOUNT)*(1+MAT.SURCHARGE)/EXC.RATE_1),CURRENCY.FORMAT_1),CURRENCY.FORMAT_1,0)),'DICTIONARY-5'!$A$2)</f>
        <v>310,-</v>
      </c>
      <c r="M135" s="670" t="str">
        <f>IF(EXC.RATE_2=0,"",IFERROR(IF(CURRENCY.FORMAT_2=0,CONCATENATE(TEXT(FIXED(ROUND(IF(EXC.RATE.SWITCH=1,C135*(1-I135)*(1-ADD.DISCOUNT)*(1+MAT.SURCHARGE)/EXC.RATE_2,C135*(1-I135)*(1-ADD.DISCOUNT)*(1+MAT.SURCHARGE)*EXC.RATE_2),CURRENCY.FORMAT_2),CURRENCY.FORMAT_2,1),"# ##0;-# ##0"),",-"),FIXED(ROUND(IF(EXC.RATE.SWITCH=1,C135*(1-I135)*(1-ADD.DISCOUNT)*(1+MAT.SURCHARGE)/EXC.RATE_2,C135*(1-I135)*(1-ADD.DISCOUNT)*(1+MAT.SURCHARGE)*EXC.RATE_2),CURRENCY.FORMAT_2),CURRENCY.FORMAT_2,0)),'DICTIONARY-5'!$A$2))</f>
        <v/>
      </c>
      <c r="N135" s="496">
        <v>1</v>
      </c>
      <c r="O135" s="496"/>
      <c r="P135" s="731" t="str">
        <f>'DICTIONARY-3'!$A$2</f>
        <v>EKOplus</v>
      </c>
      <c r="Q135" s="732" t="str">
        <f>'DICTIONARY-3'!$A$187</f>
        <v>Zasuwa klinowa</v>
      </c>
      <c r="R135" s="732" t="str">
        <f>CONCATENATE('DICTIONARY-3'!$A$2," ",'DICTIONARY-6'!$A$3," ",'DICTIONARY-2'!$A$2,"65"," ",'DICTIONARY-2'!$A$3,"10/16"," ","R15",", ",'DICTIONARY-4'!$A$11)</f>
        <v>EKOplus Zasuwa DN65 PN10/16 R15, PNE</v>
      </c>
      <c r="S135" s="733" t="str">
        <f>'DICTIONARY-4'!$A$11</f>
        <v>PNE</v>
      </c>
      <c r="T135" s="732" t="str">
        <f>'DICTIONARY-4'!$A$27</f>
        <v>Przygotowane pod napęd elektryczny</v>
      </c>
      <c r="U135" s="734" t="s">
        <v>5759</v>
      </c>
      <c r="V135" s="735">
        <v>16</v>
      </c>
      <c r="W135" s="736"/>
      <c r="X135" s="737"/>
      <c r="Y135" s="738"/>
      <c r="Z135" s="739"/>
      <c r="AA135" s="739"/>
      <c r="AB135" s="740">
        <v>16</v>
      </c>
      <c r="AC135" s="741" t="str">
        <f>'DICTIONARY-5'!$A$11&amp;" 15"</f>
        <v>EN 558 szereg 15</v>
      </c>
      <c r="AD135" s="741" t="str">
        <f>'DICTIONARY-5'!$A$13</f>
        <v>woda pitna</v>
      </c>
      <c r="AE135" s="742">
        <v>50</v>
      </c>
      <c r="AF135" s="743">
        <v>17</v>
      </c>
      <c r="AG135" s="741" t="str">
        <f>'DICTIONARY-5'!$A$23</f>
        <v>powłoka epoksydowa</v>
      </c>
    </row>
    <row r="136" spans="1:33" x14ac:dyDescent="0.25">
      <c r="A136" s="837" t="s">
        <v>183</v>
      </c>
      <c r="B136" s="837" t="s">
        <v>3074</v>
      </c>
      <c r="C136" s="836">
        <v>299</v>
      </c>
      <c r="D136" s="836"/>
      <c r="E136" s="836"/>
      <c r="F136" s="836"/>
      <c r="G136" s="496" t="s">
        <v>7789</v>
      </c>
      <c r="H136" s="797" t="str">
        <f>VLOOKUP(G136,SETTINGS!$B$7:$D$97,2,0)</f>
        <v>EKOplus</v>
      </c>
      <c r="I136" s="796">
        <f>VLOOKUP(G136,SETTINGS!$B$7:$D$97,3,0)</f>
        <v>0</v>
      </c>
      <c r="J136" s="670" t="str">
        <f>IFERROR(IF(CURRENCY.FORMAT_1=0,CONCATENATE(TEXT(FIXED(ROUND((C136/EXC.RATE_1),CURRENCY.FORMAT_1),CURRENCY.FORMAT_1,1),"# ##0;-# ##0"),",-"),FIXED(ROUND((C136/EXC.RATE_1),CURRENCY.FORMAT_1),CURRENCY.FORMAT_1,0)),'DICTIONARY-5'!$A$2)</f>
        <v>299,-</v>
      </c>
      <c r="K136" s="670" t="str">
        <f>IF(EXC.RATE_2=0,"",IFERROR(IF(CURRENCY.FORMAT_2=0,CONCATENATE(TEXT(FIXED(ROUND(IF(EXC.RATE.SWITCH=1,C136/EXC.RATE_2,C136*EXC.RATE_2),CURRENCY.FORMAT_2),CURRENCY.FORMAT_2,1),"# ##0;-# ##0"),",-"),FIXED(ROUND(IF(EXC.RATE.SWITCH=1,C136/EXC.RATE_2,C136*EXC.RATE_2),CURRENCY.FORMAT_2),CURRENCY.FORMAT_2,0)),'DICTIONARY-5'!$A$2))</f>
        <v/>
      </c>
      <c r="L136" s="670" t="str">
        <f>IFERROR(IF(CURRENCY.FORMAT_1=0,CONCATENATE(TEXT(FIXED(ROUND((C136*(1-I136)*(1-ADD.DISCOUNT)*(1+MAT.SURCHARGE)/EXC.RATE_1),CURRENCY.FORMAT_1),CURRENCY.FORMAT_1,1),"# ##0;-# ##0"),",-"),FIXED(ROUND((C136*(1-I136)*(1-ADD.DISCOUNT)*(1+MAT.SURCHARGE)/EXC.RATE_1),CURRENCY.FORMAT_1),CURRENCY.FORMAT_1,0)),'DICTIONARY-5'!$A$2)</f>
        <v>311,-</v>
      </c>
      <c r="M136" s="670" t="str">
        <f>IF(EXC.RATE_2=0,"",IFERROR(IF(CURRENCY.FORMAT_2=0,CONCATENATE(TEXT(FIXED(ROUND(IF(EXC.RATE.SWITCH=1,C136*(1-I136)*(1-ADD.DISCOUNT)*(1+MAT.SURCHARGE)/EXC.RATE_2,C136*(1-I136)*(1-ADD.DISCOUNT)*(1+MAT.SURCHARGE)*EXC.RATE_2),CURRENCY.FORMAT_2),CURRENCY.FORMAT_2,1),"# ##0;-# ##0"),",-"),FIXED(ROUND(IF(EXC.RATE.SWITCH=1,C136*(1-I136)*(1-ADD.DISCOUNT)*(1+MAT.SURCHARGE)/EXC.RATE_2,C136*(1-I136)*(1-ADD.DISCOUNT)*(1+MAT.SURCHARGE)*EXC.RATE_2),CURRENCY.FORMAT_2),CURRENCY.FORMAT_2,0)),'DICTIONARY-5'!$A$2))</f>
        <v/>
      </c>
      <c r="N136" s="496">
        <v>1</v>
      </c>
      <c r="O136" s="496"/>
      <c r="P136" s="731" t="str">
        <f>'DICTIONARY-3'!$A$2</f>
        <v>EKOplus</v>
      </c>
      <c r="Q136" s="732" t="str">
        <f>'DICTIONARY-3'!$A$187</f>
        <v>Zasuwa klinowa</v>
      </c>
      <c r="R136" s="732" t="str">
        <f>CONCATENATE('DICTIONARY-3'!$A$2," ",'DICTIONARY-6'!$A$3," ",'DICTIONARY-2'!$A$2,"80"," ",'DICTIONARY-2'!$A$3,"10/16"," ","R15",", ",'DICTIONARY-4'!$A$11)</f>
        <v>EKOplus Zasuwa DN80 PN10/16 R15, PNE</v>
      </c>
      <c r="S136" s="733" t="str">
        <f>'DICTIONARY-4'!$A$11</f>
        <v>PNE</v>
      </c>
      <c r="T136" s="732" t="str">
        <f>'DICTIONARY-4'!$A$27</f>
        <v>Przygotowane pod napęd elektryczny</v>
      </c>
      <c r="U136" s="734" t="s">
        <v>5760</v>
      </c>
      <c r="V136" s="735">
        <v>16</v>
      </c>
      <c r="W136" s="736"/>
      <c r="X136" s="737"/>
      <c r="Y136" s="738"/>
      <c r="Z136" s="739"/>
      <c r="AA136" s="739"/>
      <c r="AB136" s="740">
        <v>16</v>
      </c>
      <c r="AC136" s="741" t="str">
        <f>'DICTIONARY-5'!$A$11&amp;" 15"</f>
        <v>EN 558 szereg 15</v>
      </c>
      <c r="AD136" s="741" t="str">
        <f>'DICTIONARY-5'!$A$13</f>
        <v>woda pitna</v>
      </c>
      <c r="AE136" s="742">
        <v>50</v>
      </c>
      <c r="AF136" s="743">
        <v>18.5</v>
      </c>
      <c r="AG136" s="741" t="str">
        <f>'DICTIONARY-5'!$A$23</f>
        <v>powłoka epoksydowa</v>
      </c>
    </row>
    <row r="137" spans="1:33" x14ac:dyDescent="0.25">
      <c r="A137" s="837" t="s">
        <v>185</v>
      </c>
      <c r="B137" s="837" t="s">
        <v>3075</v>
      </c>
      <c r="C137" s="836">
        <v>330</v>
      </c>
      <c r="D137" s="836"/>
      <c r="E137" s="836"/>
      <c r="F137" s="836"/>
      <c r="G137" s="496" t="s">
        <v>7789</v>
      </c>
      <c r="H137" s="797" t="str">
        <f>VLOOKUP(G137,SETTINGS!$B$7:$D$97,2,0)</f>
        <v>EKOplus</v>
      </c>
      <c r="I137" s="796">
        <f>VLOOKUP(G137,SETTINGS!$B$7:$D$97,3,0)</f>
        <v>0</v>
      </c>
      <c r="J137" s="670" t="str">
        <f>IFERROR(IF(CURRENCY.FORMAT_1=0,CONCATENATE(TEXT(FIXED(ROUND((C137/EXC.RATE_1),CURRENCY.FORMAT_1),CURRENCY.FORMAT_1,1),"# ##0;-# ##0"),",-"),FIXED(ROUND((C137/EXC.RATE_1),CURRENCY.FORMAT_1),CURRENCY.FORMAT_1,0)),'DICTIONARY-5'!$A$2)</f>
        <v>330,-</v>
      </c>
      <c r="K137" s="670" t="str">
        <f>IF(EXC.RATE_2=0,"",IFERROR(IF(CURRENCY.FORMAT_2=0,CONCATENATE(TEXT(FIXED(ROUND(IF(EXC.RATE.SWITCH=1,C137/EXC.RATE_2,C137*EXC.RATE_2),CURRENCY.FORMAT_2),CURRENCY.FORMAT_2,1),"# ##0;-# ##0"),",-"),FIXED(ROUND(IF(EXC.RATE.SWITCH=1,C137/EXC.RATE_2,C137*EXC.RATE_2),CURRENCY.FORMAT_2),CURRENCY.FORMAT_2,0)),'DICTIONARY-5'!$A$2))</f>
        <v/>
      </c>
      <c r="L137" s="670" t="str">
        <f>IFERROR(IF(CURRENCY.FORMAT_1=0,CONCATENATE(TEXT(FIXED(ROUND((C137*(1-I137)*(1-ADD.DISCOUNT)*(1+MAT.SURCHARGE)/EXC.RATE_1),CURRENCY.FORMAT_1),CURRENCY.FORMAT_1,1),"# ##0;-# ##0"),",-"),FIXED(ROUND((C137*(1-I137)*(1-ADD.DISCOUNT)*(1+MAT.SURCHARGE)/EXC.RATE_1),CURRENCY.FORMAT_1),CURRENCY.FORMAT_1,0)),'DICTIONARY-5'!$A$2)</f>
        <v>343,-</v>
      </c>
      <c r="M137" s="670" t="str">
        <f>IF(EXC.RATE_2=0,"",IFERROR(IF(CURRENCY.FORMAT_2=0,CONCATENATE(TEXT(FIXED(ROUND(IF(EXC.RATE.SWITCH=1,C137*(1-I137)*(1-ADD.DISCOUNT)*(1+MAT.SURCHARGE)/EXC.RATE_2,C137*(1-I137)*(1-ADD.DISCOUNT)*(1+MAT.SURCHARGE)*EXC.RATE_2),CURRENCY.FORMAT_2),CURRENCY.FORMAT_2,1),"# ##0;-# ##0"),",-"),FIXED(ROUND(IF(EXC.RATE.SWITCH=1,C137*(1-I137)*(1-ADD.DISCOUNT)*(1+MAT.SURCHARGE)/EXC.RATE_2,C137*(1-I137)*(1-ADD.DISCOUNT)*(1+MAT.SURCHARGE)*EXC.RATE_2),CURRENCY.FORMAT_2),CURRENCY.FORMAT_2,0)),'DICTIONARY-5'!$A$2))</f>
        <v/>
      </c>
      <c r="N137" s="496">
        <v>1</v>
      </c>
      <c r="O137" s="496"/>
      <c r="P137" s="731" t="str">
        <f>'DICTIONARY-3'!$A$2</f>
        <v>EKOplus</v>
      </c>
      <c r="Q137" s="732" t="str">
        <f>'DICTIONARY-3'!$A$187</f>
        <v>Zasuwa klinowa</v>
      </c>
      <c r="R137" s="732" t="str">
        <f>CONCATENATE('DICTIONARY-3'!$A$2," ",'DICTIONARY-6'!$A$3," ",'DICTIONARY-2'!$A$2,"100"," ",'DICTIONARY-2'!$A$3,"10/16"," ","R15",", ",'DICTIONARY-4'!$A$11)</f>
        <v>EKOplus Zasuwa DN100 PN10/16 R15, PNE</v>
      </c>
      <c r="S137" s="733" t="str">
        <f>'DICTIONARY-4'!$A$11</f>
        <v>PNE</v>
      </c>
      <c r="T137" s="732" t="str">
        <f>'DICTIONARY-4'!$A$27</f>
        <v>Przygotowane pod napęd elektryczny</v>
      </c>
      <c r="U137" s="734" t="s">
        <v>5749</v>
      </c>
      <c r="V137" s="735">
        <v>16</v>
      </c>
      <c r="W137" s="736"/>
      <c r="X137" s="737"/>
      <c r="Y137" s="738"/>
      <c r="Z137" s="739"/>
      <c r="AA137" s="739"/>
      <c r="AB137" s="740">
        <v>16</v>
      </c>
      <c r="AC137" s="741" t="str">
        <f>'DICTIONARY-5'!$A$11&amp;" 15"</f>
        <v>EN 558 szereg 15</v>
      </c>
      <c r="AD137" s="741" t="str">
        <f>'DICTIONARY-5'!$A$13</f>
        <v>woda pitna</v>
      </c>
      <c r="AE137" s="742">
        <v>50</v>
      </c>
      <c r="AF137" s="743">
        <v>22</v>
      </c>
      <c r="AG137" s="741" t="str">
        <f>'DICTIONARY-5'!$A$23</f>
        <v>powłoka epoksydowa</v>
      </c>
    </row>
    <row r="138" spans="1:33" x14ac:dyDescent="0.25">
      <c r="A138" s="837" t="s">
        <v>187</v>
      </c>
      <c r="B138" s="837" t="s">
        <v>3076</v>
      </c>
      <c r="C138" s="836">
        <v>433</v>
      </c>
      <c r="D138" s="836"/>
      <c r="E138" s="836"/>
      <c r="F138" s="836"/>
      <c r="G138" s="496" t="s">
        <v>7789</v>
      </c>
      <c r="H138" s="797" t="str">
        <f>VLOOKUP(G138,SETTINGS!$B$7:$D$97,2,0)</f>
        <v>EKOplus</v>
      </c>
      <c r="I138" s="796">
        <f>VLOOKUP(G138,SETTINGS!$B$7:$D$97,3,0)</f>
        <v>0</v>
      </c>
      <c r="J138" s="670" t="str">
        <f>IFERROR(IF(CURRENCY.FORMAT_1=0,CONCATENATE(TEXT(FIXED(ROUND((C138/EXC.RATE_1),CURRENCY.FORMAT_1),CURRENCY.FORMAT_1,1),"# ##0;-# ##0"),",-"),FIXED(ROUND((C138/EXC.RATE_1),CURRENCY.FORMAT_1),CURRENCY.FORMAT_1,0)),'DICTIONARY-5'!$A$2)</f>
        <v>433,-</v>
      </c>
      <c r="K138" s="670" t="str">
        <f>IF(EXC.RATE_2=0,"",IFERROR(IF(CURRENCY.FORMAT_2=0,CONCATENATE(TEXT(FIXED(ROUND(IF(EXC.RATE.SWITCH=1,C138/EXC.RATE_2,C138*EXC.RATE_2),CURRENCY.FORMAT_2),CURRENCY.FORMAT_2,1),"# ##0;-# ##0"),",-"),FIXED(ROUND(IF(EXC.RATE.SWITCH=1,C138/EXC.RATE_2,C138*EXC.RATE_2),CURRENCY.FORMAT_2),CURRENCY.FORMAT_2,0)),'DICTIONARY-5'!$A$2))</f>
        <v/>
      </c>
      <c r="L138" s="670" t="str">
        <f>IFERROR(IF(CURRENCY.FORMAT_1=0,CONCATENATE(TEXT(FIXED(ROUND((C138*(1-I138)*(1-ADD.DISCOUNT)*(1+MAT.SURCHARGE)/EXC.RATE_1),CURRENCY.FORMAT_1),CURRENCY.FORMAT_1,1),"# ##0;-# ##0"),",-"),FIXED(ROUND((C138*(1-I138)*(1-ADD.DISCOUNT)*(1+MAT.SURCHARGE)/EXC.RATE_1),CURRENCY.FORMAT_1),CURRENCY.FORMAT_1,0)),'DICTIONARY-5'!$A$2)</f>
        <v>450,-</v>
      </c>
      <c r="M138" s="670" t="str">
        <f>IF(EXC.RATE_2=0,"",IFERROR(IF(CURRENCY.FORMAT_2=0,CONCATENATE(TEXT(FIXED(ROUND(IF(EXC.RATE.SWITCH=1,C138*(1-I138)*(1-ADD.DISCOUNT)*(1+MAT.SURCHARGE)/EXC.RATE_2,C138*(1-I138)*(1-ADD.DISCOUNT)*(1+MAT.SURCHARGE)*EXC.RATE_2),CURRENCY.FORMAT_2),CURRENCY.FORMAT_2,1),"# ##0;-# ##0"),",-"),FIXED(ROUND(IF(EXC.RATE.SWITCH=1,C138*(1-I138)*(1-ADD.DISCOUNT)*(1+MAT.SURCHARGE)/EXC.RATE_2,C138*(1-I138)*(1-ADD.DISCOUNT)*(1+MAT.SURCHARGE)*EXC.RATE_2),CURRENCY.FORMAT_2),CURRENCY.FORMAT_2,0)),'DICTIONARY-5'!$A$2))</f>
        <v/>
      </c>
      <c r="N138" s="496">
        <v>1</v>
      </c>
      <c r="O138" s="496"/>
      <c r="P138" s="731" t="str">
        <f>'DICTIONARY-3'!$A$2</f>
        <v>EKOplus</v>
      </c>
      <c r="Q138" s="732" t="str">
        <f>'DICTIONARY-3'!$A$187</f>
        <v>Zasuwa klinowa</v>
      </c>
      <c r="R138" s="732" t="str">
        <f>CONCATENATE('DICTIONARY-3'!$A$2," ",'DICTIONARY-6'!$A$3," ",'DICTIONARY-2'!$A$2,"125"," ",'DICTIONARY-2'!$A$3,"10/16"," ","R15",", ",'DICTIONARY-4'!$A$11)</f>
        <v>EKOplus Zasuwa DN125 PN10/16 R15, PNE</v>
      </c>
      <c r="S138" s="733" t="str">
        <f>'DICTIONARY-4'!$A$11</f>
        <v>PNE</v>
      </c>
      <c r="T138" s="732" t="str">
        <f>'DICTIONARY-4'!$A$27</f>
        <v>Przygotowane pod napęd elektryczny</v>
      </c>
      <c r="U138" s="734" t="s">
        <v>5761</v>
      </c>
      <c r="V138" s="735">
        <v>16</v>
      </c>
      <c r="W138" s="736"/>
      <c r="X138" s="737"/>
      <c r="Y138" s="738"/>
      <c r="Z138" s="739"/>
      <c r="AA138" s="739"/>
      <c r="AB138" s="740">
        <v>16</v>
      </c>
      <c r="AC138" s="741" t="str">
        <f>'DICTIONARY-5'!$A$11&amp;" 15"</f>
        <v>EN 558 szereg 15</v>
      </c>
      <c r="AD138" s="741" t="str">
        <f>'DICTIONARY-5'!$A$13</f>
        <v>woda pitna</v>
      </c>
      <c r="AE138" s="742">
        <v>50</v>
      </c>
      <c r="AF138" s="743">
        <v>30.5</v>
      </c>
      <c r="AG138" s="741" t="str">
        <f>'DICTIONARY-5'!$A$23</f>
        <v>powłoka epoksydowa</v>
      </c>
    </row>
    <row r="139" spans="1:33" x14ac:dyDescent="0.25">
      <c r="A139" s="837" t="s">
        <v>189</v>
      </c>
      <c r="B139" s="837" t="s">
        <v>3077</v>
      </c>
      <c r="C139" s="836">
        <v>452</v>
      </c>
      <c r="D139" s="836"/>
      <c r="E139" s="836"/>
      <c r="F139" s="836"/>
      <c r="G139" s="496" t="s">
        <v>7789</v>
      </c>
      <c r="H139" s="797" t="str">
        <f>VLOOKUP(G139,SETTINGS!$B$7:$D$97,2,0)</f>
        <v>EKOplus</v>
      </c>
      <c r="I139" s="796">
        <f>VLOOKUP(G139,SETTINGS!$B$7:$D$97,3,0)</f>
        <v>0</v>
      </c>
      <c r="J139" s="670" t="str">
        <f>IFERROR(IF(CURRENCY.FORMAT_1=0,CONCATENATE(TEXT(FIXED(ROUND((C139/EXC.RATE_1),CURRENCY.FORMAT_1),CURRENCY.FORMAT_1,1),"# ##0;-# ##0"),",-"),FIXED(ROUND((C139/EXC.RATE_1),CURRENCY.FORMAT_1),CURRENCY.FORMAT_1,0)),'DICTIONARY-5'!$A$2)</f>
        <v>452,-</v>
      </c>
      <c r="K139" s="670" t="str">
        <f>IF(EXC.RATE_2=0,"",IFERROR(IF(CURRENCY.FORMAT_2=0,CONCATENATE(TEXT(FIXED(ROUND(IF(EXC.RATE.SWITCH=1,C139/EXC.RATE_2,C139*EXC.RATE_2),CURRENCY.FORMAT_2),CURRENCY.FORMAT_2,1),"# ##0;-# ##0"),",-"),FIXED(ROUND(IF(EXC.RATE.SWITCH=1,C139/EXC.RATE_2,C139*EXC.RATE_2),CURRENCY.FORMAT_2),CURRENCY.FORMAT_2,0)),'DICTIONARY-5'!$A$2))</f>
        <v/>
      </c>
      <c r="L139" s="670" t="str">
        <f>IFERROR(IF(CURRENCY.FORMAT_1=0,CONCATENATE(TEXT(FIXED(ROUND((C139*(1-I139)*(1-ADD.DISCOUNT)*(1+MAT.SURCHARGE)/EXC.RATE_1),CURRENCY.FORMAT_1),CURRENCY.FORMAT_1,1),"# ##0;-# ##0"),",-"),FIXED(ROUND((C139*(1-I139)*(1-ADD.DISCOUNT)*(1+MAT.SURCHARGE)/EXC.RATE_1),CURRENCY.FORMAT_1),CURRENCY.FORMAT_1,0)),'DICTIONARY-5'!$A$2)</f>
        <v>470,-</v>
      </c>
      <c r="M139" s="670" t="str">
        <f>IF(EXC.RATE_2=0,"",IFERROR(IF(CURRENCY.FORMAT_2=0,CONCATENATE(TEXT(FIXED(ROUND(IF(EXC.RATE.SWITCH=1,C139*(1-I139)*(1-ADD.DISCOUNT)*(1+MAT.SURCHARGE)/EXC.RATE_2,C139*(1-I139)*(1-ADD.DISCOUNT)*(1+MAT.SURCHARGE)*EXC.RATE_2),CURRENCY.FORMAT_2),CURRENCY.FORMAT_2,1),"# ##0;-# ##0"),",-"),FIXED(ROUND(IF(EXC.RATE.SWITCH=1,C139*(1-I139)*(1-ADD.DISCOUNT)*(1+MAT.SURCHARGE)/EXC.RATE_2,C139*(1-I139)*(1-ADD.DISCOUNT)*(1+MAT.SURCHARGE)*EXC.RATE_2),CURRENCY.FORMAT_2),CURRENCY.FORMAT_2,0)),'DICTIONARY-5'!$A$2))</f>
        <v/>
      </c>
      <c r="N139" s="496">
        <v>1</v>
      </c>
      <c r="O139" s="496"/>
      <c r="P139" s="731" t="str">
        <f>'DICTIONARY-3'!$A$2</f>
        <v>EKOplus</v>
      </c>
      <c r="Q139" s="732" t="str">
        <f>'DICTIONARY-3'!$A$187</f>
        <v>Zasuwa klinowa</v>
      </c>
      <c r="R139" s="732" t="str">
        <f>CONCATENATE('DICTIONARY-3'!$A$2," ",'DICTIONARY-6'!$A$3," ",'DICTIONARY-2'!$A$2,"150"," ",'DICTIONARY-2'!$A$3,"10/16"," ","R15",", ",'DICTIONARY-4'!$A$11)</f>
        <v>EKOplus Zasuwa DN150 PN10/16 R15, PNE</v>
      </c>
      <c r="S139" s="733" t="str">
        <f>'DICTIONARY-4'!$A$11</f>
        <v>PNE</v>
      </c>
      <c r="T139" s="732" t="str">
        <f>'DICTIONARY-4'!$A$27</f>
        <v>Przygotowane pod napęd elektryczny</v>
      </c>
      <c r="U139" s="734" t="s">
        <v>5572</v>
      </c>
      <c r="V139" s="735">
        <v>16</v>
      </c>
      <c r="W139" s="736"/>
      <c r="X139" s="737"/>
      <c r="Y139" s="738"/>
      <c r="Z139" s="739"/>
      <c r="AA139" s="739"/>
      <c r="AB139" s="740">
        <v>16</v>
      </c>
      <c r="AC139" s="741" t="str">
        <f>'DICTIONARY-5'!$A$11&amp;" 15"</f>
        <v>EN 558 szereg 15</v>
      </c>
      <c r="AD139" s="741" t="str">
        <f>'DICTIONARY-5'!$A$13</f>
        <v>woda pitna</v>
      </c>
      <c r="AE139" s="742">
        <v>50</v>
      </c>
      <c r="AF139" s="743">
        <v>36</v>
      </c>
      <c r="AG139" s="741" t="str">
        <f>'DICTIONARY-5'!$A$23</f>
        <v>powłoka epoksydowa</v>
      </c>
    </row>
    <row r="140" spans="1:33" x14ac:dyDescent="0.25">
      <c r="A140" s="837" t="s">
        <v>191</v>
      </c>
      <c r="B140" s="837" t="s">
        <v>3068</v>
      </c>
      <c r="C140" s="836">
        <v>890</v>
      </c>
      <c r="D140" s="836"/>
      <c r="E140" s="836"/>
      <c r="F140" s="836"/>
      <c r="G140" s="496" t="s">
        <v>7789</v>
      </c>
      <c r="H140" s="797" t="str">
        <f>VLOOKUP(G140,SETTINGS!$B$7:$D$97,2,0)</f>
        <v>EKOplus</v>
      </c>
      <c r="I140" s="796">
        <f>VLOOKUP(G140,SETTINGS!$B$7:$D$97,3,0)</f>
        <v>0</v>
      </c>
      <c r="J140" s="670" t="str">
        <f>IFERROR(IF(CURRENCY.FORMAT_1=0,CONCATENATE(TEXT(FIXED(ROUND((C140/EXC.RATE_1),CURRENCY.FORMAT_1),CURRENCY.FORMAT_1,1),"# ##0;-# ##0"),",-"),FIXED(ROUND((C140/EXC.RATE_1),CURRENCY.FORMAT_1),CURRENCY.FORMAT_1,0)),'DICTIONARY-5'!$A$2)</f>
        <v>890,-</v>
      </c>
      <c r="K140" s="670" t="str">
        <f>IF(EXC.RATE_2=0,"",IFERROR(IF(CURRENCY.FORMAT_2=0,CONCATENATE(TEXT(FIXED(ROUND(IF(EXC.RATE.SWITCH=1,C140/EXC.RATE_2,C140*EXC.RATE_2),CURRENCY.FORMAT_2),CURRENCY.FORMAT_2,1),"# ##0;-# ##0"),",-"),FIXED(ROUND(IF(EXC.RATE.SWITCH=1,C140/EXC.RATE_2,C140*EXC.RATE_2),CURRENCY.FORMAT_2),CURRENCY.FORMAT_2,0)),'DICTIONARY-5'!$A$2))</f>
        <v/>
      </c>
      <c r="L140" s="670" t="str">
        <f>IFERROR(IF(CURRENCY.FORMAT_1=0,CONCATENATE(TEXT(FIXED(ROUND((C140*(1-I140)*(1-ADD.DISCOUNT)*(1+MAT.SURCHARGE)/EXC.RATE_1),CURRENCY.FORMAT_1),CURRENCY.FORMAT_1,1),"# ##0;-# ##0"),",-"),FIXED(ROUND((C140*(1-I140)*(1-ADD.DISCOUNT)*(1+MAT.SURCHARGE)/EXC.RATE_1),CURRENCY.FORMAT_1),CURRENCY.FORMAT_1,0)),'DICTIONARY-5'!$A$2)</f>
        <v>925,-</v>
      </c>
      <c r="M140" s="670" t="str">
        <f>IF(EXC.RATE_2=0,"",IFERROR(IF(CURRENCY.FORMAT_2=0,CONCATENATE(TEXT(FIXED(ROUND(IF(EXC.RATE.SWITCH=1,C140*(1-I140)*(1-ADD.DISCOUNT)*(1+MAT.SURCHARGE)/EXC.RATE_2,C140*(1-I140)*(1-ADD.DISCOUNT)*(1+MAT.SURCHARGE)*EXC.RATE_2),CURRENCY.FORMAT_2),CURRENCY.FORMAT_2,1),"# ##0;-# ##0"),",-"),FIXED(ROUND(IF(EXC.RATE.SWITCH=1,C140*(1-I140)*(1-ADD.DISCOUNT)*(1+MAT.SURCHARGE)/EXC.RATE_2,C140*(1-I140)*(1-ADD.DISCOUNT)*(1+MAT.SURCHARGE)*EXC.RATE_2),CURRENCY.FORMAT_2),CURRENCY.FORMAT_2,0)),'DICTIONARY-5'!$A$2))</f>
        <v/>
      </c>
      <c r="N140" s="496">
        <v>1</v>
      </c>
      <c r="O140" s="496"/>
      <c r="P140" s="731" t="str">
        <f>'DICTIONARY-3'!$A$2</f>
        <v>EKOplus</v>
      </c>
      <c r="Q140" s="732" t="str">
        <f>'DICTIONARY-3'!$A$187</f>
        <v>Zasuwa klinowa</v>
      </c>
      <c r="R140" s="732" t="str">
        <f>CONCATENATE('DICTIONARY-3'!$A$2," ",'DICTIONARY-6'!$A$3," ",'DICTIONARY-2'!$A$2,"200"," ",'DICTIONARY-2'!$A$3,"10"," ","R15",", ",'DICTIONARY-4'!$A$11)</f>
        <v>EKOplus Zasuwa DN200 PN10 R15, PNE</v>
      </c>
      <c r="S140" s="733" t="str">
        <f>'DICTIONARY-4'!$A$11</f>
        <v>PNE</v>
      </c>
      <c r="T140" s="732" t="str">
        <f>'DICTIONARY-4'!$A$27</f>
        <v>Przygotowane pod napęd elektryczny</v>
      </c>
      <c r="U140" s="734" t="s">
        <v>5750</v>
      </c>
      <c r="V140" s="735">
        <v>10</v>
      </c>
      <c r="W140" s="736"/>
      <c r="X140" s="737"/>
      <c r="Y140" s="738"/>
      <c r="Z140" s="739"/>
      <c r="AA140" s="739"/>
      <c r="AB140" s="740">
        <v>10</v>
      </c>
      <c r="AC140" s="741" t="str">
        <f>'DICTIONARY-5'!$A$11&amp;" 15"</f>
        <v>EN 558 szereg 15</v>
      </c>
      <c r="AD140" s="741" t="str">
        <f>'DICTIONARY-5'!$A$13</f>
        <v>woda pitna</v>
      </c>
      <c r="AE140" s="742">
        <v>50</v>
      </c>
      <c r="AF140" s="743">
        <v>68.5</v>
      </c>
      <c r="AG140" s="741" t="str">
        <f>'DICTIONARY-5'!$A$23</f>
        <v>powłoka epoksydowa</v>
      </c>
    </row>
    <row r="141" spans="1:33" x14ac:dyDescent="0.25">
      <c r="A141" s="837" t="s">
        <v>193</v>
      </c>
      <c r="B141" s="837" t="s">
        <v>3078</v>
      </c>
      <c r="C141" s="836">
        <v>899</v>
      </c>
      <c r="D141" s="836"/>
      <c r="E141" s="836"/>
      <c r="F141" s="836"/>
      <c r="G141" s="496" t="s">
        <v>7789</v>
      </c>
      <c r="H141" s="797" t="str">
        <f>VLOOKUP(G141,SETTINGS!$B$7:$D$97,2,0)</f>
        <v>EKOplus</v>
      </c>
      <c r="I141" s="796">
        <f>VLOOKUP(G141,SETTINGS!$B$7:$D$97,3,0)</f>
        <v>0</v>
      </c>
      <c r="J141" s="670" t="str">
        <f>IFERROR(IF(CURRENCY.FORMAT_1=0,CONCATENATE(TEXT(FIXED(ROUND((C141/EXC.RATE_1),CURRENCY.FORMAT_1),CURRENCY.FORMAT_1,1),"# ##0;-# ##0"),",-"),FIXED(ROUND((C141/EXC.RATE_1),CURRENCY.FORMAT_1),CURRENCY.FORMAT_1,0)),'DICTIONARY-5'!$A$2)</f>
        <v>899,-</v>
      </c>
      <c r="K141" s="670" t="str">
        <f>IF(EXC.RATE_2=0,"",IFERROR(IF(CURRENCY.FORMAT_2=0,CONCATENATE(TEXT(FIXED(ROUND(IF(EXC.RATE.SWITCH=1,C141/EXC.RATE_2,C141*EXC.RATE_2),CURRENCY.FORMAT_2),CURRENCY.FORMAT_2,1),"# ##0;-# ##0"),",-"),FIXED(ROUND(IF(EXC.RATE.SWITCH=1,C141/EXC.RATE_2,C141*EXC.RATE_2),CURRENCY.FORMAT_2),CURRENCY.FORMAT_2,0)),'DICTIONARY-5'!$A$2))</f>
        <v/>
      </c>
      <c r="L141" s="670" t="str">
        <f>IFERROR(IF(CURRENCY.FORMAT_1=0,CONCATENATE(TEXT(FIXED(ROUND((C141*(1-I141)*(1-ADD.DISCOUNT)*(1+MAT.SURCHARGE)/EXC.RATE_1),CURRENCY.FORMAT_1),CURRENCY.FORMAT_1,1),"# ##0;-# ##0"),",-"),FIXED(ROUND((C141*(1-I141)*(1-ADD.DISCOUNT)*(1+MAT.SURCHARGE)/EXC.RATE_1),CURRENCY.FORMAT_1),CURRENCY.FORMAT_1,0)),'DICTIONARY-5'!$A$2)</f>
        <v>934,-</v>
      </c>
      <c r="M141" s="670" t="str">
        <f>IF(EXC.RATE_2=0,"",IFERROR(IF(CURRENCY.FORMAT_2=0,CONCATENATE(TEXT(FIXED(ROUND(IF(EXC.RATE.SWITCH=1,C141*(1-I141)*(1-ADD.DISCOUNT)*(1+MAT.SURCHARGE)/EXC.RATE_2,C141*(1-I141)*(1-ADD.DISCOUNT)*(1+MAT.SURCHARGE)*EXC.RATE_2),CURRENCY.FORMAT_2),CURRENCY.FORMAT_2,1),"# ##0;-# ##0"),",-"),FIXED(ROUND(IF(EXC.RATE.SWITCH=1,C141*(1-I141)*(1-ADD.DISCOUNT)*(1+MAT.SURCHARGE)/EXC.RATE_2,C141*(1-I141)*(1-ADD.DISCOUNT)*(1+MAT.SURCHARGE)*EXC.RATE_2),CURRENCY.FORMAT_2),CURRENCY.FORMAT_2,0)),'DICTIONARY-5'!$A$2))</f>
        <v/>
      </c>
      <c r="N141" s="496">
        <v>1</v>
      </c>
      <c r="O141" s="496"/>
      <c r="P141" s="731" t="str">
        <f>'DICTIONARY-3'!$A$2</f>
        <v>EKOplus</v>
      </c>
      <c r="Q141" s="732" t="str">
        <f>'DICTIONARY-3'!$A$187</f>
        <v>Zasuwa klinowa</v>
      </c>
      <c r="R141" s="732" t="str">
        <f>CONCATENATE('DICTIONARY-3'!$A$2," ",'DICTIONARY-6'!$A$3," ",'DICTIONARY-2'!$A$2,"200"," ",'DICTIONARY-2'!$A$3,"16"," ","R15",", ",'DICTIONARY-4'!$A$11)</f>
        <v>EKOplus Zasuwa DN200 PN16 R15, PNE</v>
      </c>
      <c r="S141" s="733" t="str">
        <f>'DICTIONARY-4'!$A$11</f>
        <v>PNE</v>
      </c>
      <c r="T141" s="732" t="str">
        <f>'DICTIONARY-4'!$A$27</f>
        <v>Przygotowane pod napęd elektryczny</v>
      </c>
      <c r="U141" s="734" t="s">
        <v>5750</v>
      </c>
      <c r="V141" s="735">
        <v>16</v>
      </c>
      <c r="W141" s="736"/>
      <c r="X141" s="737"/>
      <c r="Y141" s="738"/>
      <c r="Z141" s="739"/>
      <c r="AA141" s="739"/>
      <c r="AB141" s="740">
        <v>16</v>
      </c>
      <c r="AC141" s="741" t="str">
        <f>'DICTIONARY-5'!$A$11&amp;" 15"</f>
        <v>EN 558 szereg 15</v>
      </c>
      <c r="AD141" s="741" t="str">
        <f>'DICTIONARY-5'!$A$13</f>
        <v>woda pitna</v>
      </c>
      <c r="AE141" s="742">
        <v>50</v>
      </c>
      <c r="AF141" s="743">
        <v>69.5</v>
      </c>
      <c r="AG141" s="741" t="str">
        <f>'DICTIONARY-5'!$A$23</f>
        <v>powłoka epoksydowa</v>
      </c>
    </row>
    <row r="142" spans="1:33" x14ac:dyDescent="0.25">
      <c r="A142" s="837" t="s">
        <v>195</v>
      </c>
      <c r="B142" s="837" t="s">
        <v>3069</v>
      </c>
      <c r="C142" s="836">
        <v>1390</v>
      </c>
      <c r="D142" s="836"/>
      <c r="E142" s="836"/>
      <c r="F142" s="836"/>
      <c r="G142" s="496" t="s">
        <v>7789</v>
      </c>
      <c r="H142" s="797" t="str">
        <f>VLOOKUP(G142,SETTINGS!$B$7:$D$97,2,0)</f>
        <v>EKOplus</v>
      </c>
      <c r="I142" s="796">
        <f>VLOOKUP(G142,SETTINGS!$B$7:$D$97,3,0)</f>
        <v>0</v>
      </c>
      <c r="J142" s="670" t="str">
        <f>IFERROR(IF(CURRENCY.FORMAT_1=0,CONCATENATE(TEXT(FIXED(ROUND((C142/EXC.RATE_1),CURRENCY.FORMAT_1),CURRENCY.FORMAT_1,1),"# ##0;-# ##0"),",-"),FIXED(ROUND((C142/EXC.RATE_1),CURRENCY.FORMAT_1),CURRENCY.FORMAT_1,0)),'DICTIONARY-5'!$A$2)</f>
        <v>1 390,-</v>
      </c>
      <c r="K142" s="670" t="str">
        <f>IF(EXC.RATE_2=0,"",IFERROR(IF(CURRENCY.FORMAT_2=0,CONCATENATE(TEXT(FIXED(ROUND(IF(EXC.RATE.SWITCH=1,C142/EXC.RATE_2,C142*EXC.RATE_2),CURRENCY.FORMAT_2),CURRENCY.FORMAT_2,1),"# ##0;-# ##0"),",-"),FIXED(ROUND(IF(EXC.RATE.SWITCH=1,C142/EXC.RATE_2,C142*EXC.RATE_2),CURRENCY.FORMAT_2),CURRENCY.FORMAT_2,0)),'DICTIONARY-5'!$A$2))</f>
        <v/>
      </c>
      <c r="L142" s="670" t="str">
        <f>IFERROR(IF(CURRENCY.FORMAT_1=0,CONCATENATE(TEXT(FIXED(ROUND((C142*(1-I142)*(1-ADD.DISCOUNT)*(1+MAT.SURCHARGE)/EXC.RATE_1),CURRENCY.FORMAT_1),CURRENCY.FORMAT_1,1),"# ##0;-# ##0"),",-"),FIXED(ROUND((C142*(1-I142)*(1-ADD.DISCOUNT)*(1+MAT.SURCHARGE)/EXC.RATE_1),CURRENCY.FORMAT_1),CURRENCY.FORMAT_1,0)),'DICTIONARY-5'!$A$2)</f>
        <v>1 444,-</v>
      </c>
      <c r="M142" s="670" t="str">
        <f>IF(EXC.RATE_2=0,"",IFERROR(IF(CURRENCY.FORMAT_2=0,CONCATENATE(TEXT(FIXED(ROUND(IF(EXC.RATE.SWITCH=1,C142*(1-I142)*(1-ADD.DISCOUNT)*(1+MAT.SURCHARGE)/EXC.RATE_2,C142*(1-I142)*(1-ADD.DISCOUNT)*(1+MAT.SURCHARGE)*EXC.RATE_2),CURRENCY.FORMAT_2),CURRENCY.FORMAT_2,1),"# ##0;-# ##0"),",-"),FIXED(ROUND(IF(EXC.RATE.SWITCH=1,C142*(1-I142)*(1-ADD.DISCOUNT)*(1+MAT.SURCHARGE)/EXC.RATE_2,C142*(1-I142)*(1-ADD.DISCOUNT)*(1+MAT.SURCHARGE)*EXC.RATE_2),CURRENCY.FORMAT_2),CURRENCY.FORMAT_2,0)),'DICTIONARY-5'!$A$2))</f>
        <v/>
      </c>
      <c r="N142" s="496">
        <v>1</v>
      </c>
      <c r="O142" s="496"/>
      <c r="P142" s="731" t="str">
        <f>'DICTIONARY-3'!$A$2</f>
        <v>EKOplus</v>
      </c>
      <c r="Q142" s="732" t="str">
        <f>'DICTIONARY-3'!$A$187</f>
        <v>Zasuwa klinowa</v>
      </c>
      <c r="R142" s="732" t="str">
        <f>CONCATENATE('DICTIONARY-3'!$A$2," ",'DICTIONARY-6'!$A$3," ",'DICTIONARY-2'!$A$2,"250"," ",'DICTIONARY-2'!$A$3,"10"," ","R15",", ",'DICTIONARY-4'!$A$11)</f>
        <v>EKOplus Zasuwa DN250 PN10 R15, PNE</v>
      </c>
      <c r="S142" s="733" t="str">
        <f>'DICTIONARY-4'!$A$11</f>
        <v>PNE</v>
      </c>
      <c r="T142" s="732" t="str">
        <f>'DICTIONARY-4'!$A$27</f>
        <v>Przygotowane pod napęd elektryczny</v>
      </c>
      <c r="U142" s="734" t="s">
        <v>5751</v>
      </c>
      <c r="V142" s="735">
        <v>10</v>
      </c>
      <c r="W142" s="736"/>
      <c r="X142" s="737"/>
      <c r="Y142" s="738"/>
      <c r="Z142" s="739"/>
      <c r="AA142" s="739"/>
      <c r="AB142" s="740">
        <v>10</v>
      </c>
      <c r="AC142" s="741" t="str">
        <f>'DICTIONARY-5'!$A$11&amp;" 15"</f>
        <v>EN 558 szereg 15</v>
      </c>
      <c r="AD142" s="741" t="str">
        <f>'DICTIONARY-5'!$A$13</f>
        <v>woda pitna</v>
      </c>
      <c r="AE142" s="742">
        <v>50</v>
      </c>
      <c r="AF142" s="743">
        <v>105</v>
      </c>
      <c r="AG142" s="741" t="str">
        <f>'DICTIONARY-5'!$A$23</f>
        <v>powłoka epoksydowa</v>
      </c>
    </row>
    <row r="143" spans="1:33" x14ac:dyDescent="0.25">
      <c r="A143" s="837" t="s">
        <v>197</v>
      </c>
      <c r="B143" s="837" t="s">
        <v>3079</v>
      </c>
      <c r="C143" s="836">
        <v>1292</v>
      </c>
      <c r="D143" s="836"/>
      <c r="E143" s="836"/>
      <c r="F143" s="836"/>
      <c r="G143" s="496" t="s">
        <v>7789</v>
      </c>
      <c r="H143" s="797" t="str">
        <f>VLOOKUP(G143,SETTINGS!$B$7:$D$97,2,0)</f>
        <v>EKOplus</v>
      </c>
      <c r="I143" s="796">
        <f>VLOOKUP(G143,SETTINGS!$B$7:$D$97,3,0)</f>
        <v>0</v>
      </c>
      <c r="J143" s="670" t="str">
        <f>IFERROR(IF(CURRENCY.FORMAT_1=0,CONCATENATE(TEXT(FIXED(ROUND((C143/EXC.RATE_1),CURRENCY.FORMAT_1),CURRENCY.FORMAT_1,1),"# ##0;-# ##0"),",-"),FIXED(ROUND((C143/EXC.RATE_1),CURRENCY.FORMAT_1),CURRENCY.FORMAT_1,0)),'DICTIONARY-5'!$A$2)</f>
        <v>1 292,-</v>
      </c>
      <c r="K143" s="670" t="str">
        <f>IF(EXC.RATE_2=0,"",IFERROR(IF(CURRENCY.FORMAT_2=0,CONCATENATE(TEXT(FIXED(ROUND(IF(EXC.RATE.SWITCH=1,C143/EXC.RATE_2,C143*EXC.RATE_2),CURRENCY.FORMAT_2),CURRENCY.FORMAT_2,1),"# ##0;-# ##0"),",-"),FIXED(ROUND(IF(EXC.RATE.SWITCH=1,C143/EXC.RATE_2,C143*EXC.RATE_2),CURRENCY.FORMAT_2),CURRENCY.FORMAT_2,0)),'DICTIONARY-5'!$A$2))</f>
        <v/>
      </c>
      <c r="L143" s="670" t="str">
        <f>IFERROR(IF(CURRENCY.FORMAT_1=0,CONCATENATE(TEXT(FIXED(ROUND((C143*(1-I143)*(1-ADD.DISCOUNT)*(1+MAT.SURCHARGE)/EXC.RATE_1),CURRENCY.FORMAT_1),CURRENCY.FORMAT_1,1),"# ##0;-# ##0"),",-"),FIXED(ROUND((C143*(1-I143)*(1-ADD.DISCOUNT)*(1+MAT.SURCHARGE)/EXC.RATE_1),CURRENCY.FORMAT_1),CURRENCY.FORMAT_1,0)),'DICTIONARY-5'!$A$2)</f>
        <v>1 342,-</v>
      </c>
      <c r="M143" s="670" t="str">
        <f>IF(EXC.RATE_2=0,"",IFERROR(IF(CURRENCY.FORMAT_2=0,CONCATENATE(TEXT(FIXED(ROUND(IF(EXC.RATE.SWITCH=1,C143*(1-I143)*(1-ADD.DISCOUNT)*(1+MAT.SURCHARGE)/EXC.RATE_2,C143*(1-I143)*(1-ADD.DISCOUNT)*(1+MAT.SURCHARGE)*EXC.RATE_2),CURRENCY.FORMAT_2),CURRENCY.FORMAT_2,1),"# ##0;-# ##0"),",-"),FIXED(ROUND(IF(EXC.RATE.SWITCH=1,C143*(1-I143)*(1-ADD.DISCOUNT)*(1+MAT.SURCHARGE)/EXC.RATE_2,C143*(1-I143)*(1-ADD.DISCOUNT)*(1+MAT.SURCHARGE)*EXC.RATE_2),CURRENCY.FORMAT_2),CURRENCY.FORMAT_2,0)),'DICTIONARY-5'!$A$2))</f>
        <v/>
      </c>
      <c r="N143" s="496">
        <v>1</v>
      </c>
      <c r="O143" s="496"/>
      <c r="P143" s="731" t="str">
        <f>'DICTIONARY-3'!$A$2</f>
        <v>EKOplus</v>
      </c>
      <c r="Q143" s="732" t="str">
        <f>'DICTIONARY-3'!$A$187</f>
        <v>Zasuwa klinowa</v>
      </c>
      <c r="R143" s="732" t="str">
        <f>CONCATENATE('DICTIONARY-3'!$A$2," ",'DICTIONARY-6'!$A$3," ",'DICTIONARY-2'!$A$2,"250"," ",'DICTIONARY-2'!$A$3,"16"," ","R15",", ",'DICTIONARY-4'!$A$11)</f>
        <v>EKOplus Zasuwa DN250 PN16 R15, PNE</v>
      </c>
      <c r="S143" s="733" t="str">
        <f>'DICTIONARY-4'!$A$11</f>
        <v>PNE</v>
      </c>
      <c r="T143" s="732" t="str">
        <f>'DICTIONARY-4'!$A$27</f>
        <v>Przygotowane pod napęd elektryczny</v>
      </c>
      <c r="U143" s="734" t="s">
        <v>5751</v>
      </c>
      <c r="V143" s="735">
        <v>16</v>
      </c>
      <c r="W143" s="736"/>
      <c r="X143" s="737"/>
      <c r="Y143" s="738"/>
      <c r="Z143" s="739"/>
      <c r="AA143" s="739"/>
      <c r="AB143" s="740">
        <v>16</v>
      </c>
      <c r="AC143" s="741" t="str">
        <f>'DICTIONARY-5'!$A$11&amp;" 15"</f>
        <v>EN 558 szereg 15</v>
      </c>
      <c r="AD143" s="741" t="str">
        <f>'DICTIONARY-5'!$A$13</f>
        <v>woda pitna</v>
      </c>
      <c r="AE143" s="742">
        <v>50</v>
      </c>
      <c r="AF143" s="743">
        <v>104</v>
      </c>
      <c r="AG143" s="741" t="str">
        <f>'DICTIONARY-5'!$A$23</f>
        <v>powłoka epoksydowa</v>
      </c>
    </row>
    <row r="144" spans="1:33" x14ac:dyDescent="0.25">
      <c r="A144" s="837" t="s">
        <v>199</v>
      </c>
      <c r="B144" s="837" t="s">
        <v>3070</v>
      </c>
      <c r="C144" s="836">
        <v>1683</v>
      </c>
      <c r="D144" s="836"/>
      <c r="E144" s="836"/>
      <c r="F144" s="836"/>
      <c r="G144" s="496" t="s">
        <v>7789</v>
      </c>
      <c r="H144" s="797" t="str">
        <f>VLOOKUP(G144,SETTINGS!$B$7:$D$97,2,0)</f>
        <v>EKOplus</v>
      </c>
      <c r="I144" s="796">
        <f>VLOOKUP(G144,SETTINGS!$B$7:$D$97,3,0)</f>
        <v>0</v>
      </c>
      <c r="J144" s="670" t="str">
        <f>IFERROR(IF(CURRENCY.FORMAT_1=0,CONCATENATE(TEXT(FIXED(ROUND((C144/EXC.RATE_1),CURRENCY.FORMAT_1),CURRENCY.FORMAT_1,1),"# ##0;-# ##0"),",-"),FIXED(ROUND((C144/EXC.RATE_1),CURRENCY.FORMAT_1),CURRENCY.FORMAT_1,0)),'DICTIONARY-5'!$A$2)</f>
        <v>1 683,-</v>
      </c>
      <c r="K144" s="670" t="str">
        <f>IF(EXC.RATE_2=0,"",IFERROR(IF(CURRENCY.FORMAT_2=0,CONCATENATE(TEXT(FIXED(ROUND(IF(EXC.RATE.SWITCH=1,C144/EXC.RATE_2,C144*EXC.RATE_2),CURRENCY.FORMAT_2),CURRENCY.FORMAT_2,1),"# ##0;-# ##0"),",-"),FIXED(ROUND(IF(EXC.RATE.SWITCH=1,C144/EXC.RATE_2,C144*EXC.RATE_2),CURRENCY.FORMAT_2),CURRENCY.FORMAT_2,0)),'DICTIONARY-5'!$A$2))</f>
        <v/>
      </c>
      <c r="L144" s="670" t="str">
        <f>IFERROR(IF(CURRENCY.FORMAT_1=0,CONCATENATE(TEXT(FIXED(ROUND((C144*(1-I144)*(1-ADD.DISCOUNT)*(1+MAT.SURCHARGE)/EXC.RATE_1),CURRENCY.FORMAT_1),CURRENCY.FORMAT_1,1),"# ##0;-# ##0"),",-"),FIXED(ROUND((C144*(1-I144)*(1-ADD.DISCOUNT)*(1+MAT.SURCHARGE)/EXC.RATE_1),CURRENCY.FORMAT_1),CURRENCY.FORMAT_1,0)),'DICTIONARY-5'!$A$2)</f>
        <v>1 749,-</v>
      </c>
      <c r="M144" s="670" t="str">
        <f>IF(EXC.RATE_2=0,"",IFERROR(IF(CURRENCY.FORMAT_2=0,CONCATENATE(TEXT(FIXED(ROUND(IF(EXC.RATE.SWITCH=1,C144*(1-I144)*(1-ADD.DISCOUNT)*(1+MAT.SURCHARGE)/EXC.RATE_2,C144*(1-I144)*(1-ADD.DISCOUNT)*(1+MAT.SURCHARGE)*EXC.RATE_2),CURRENCY.FORMAT_2),CURRENCY.FORMAT_2,1),"# ##0;-# ##0"),",-"),FIXED(ROUND(IF(EXC.RATE.SWITCH=1,C144*(1-I144)*(1-ADD.DISCOUNT)*(1+MAT.SURCHARGE)/EXC.RATE_2,C144*(1-I144)*(1-ADD.DISCOUNT)*(1+MAT.SURCHARGE)*EXC.RATE_2),CURRENCY.FORMAT_2),CURRENCY.FORMAT_2,0)),'DICTIONARY-5'!$A$2))</f>
        <v/>
      </c>
      <c r="N144" s="496">
        <v>1</v>
      </c>
      <c r="O144" s="496"/>
      <c r="P144" s="731" t="str">
        <f>'DICTIONARY-3'!$A$2</f>
        <v>EKOplus</v>
      </c>
      <c r="Q144" s="732" t="str">
        <f>'DICTIONARY-3'!$A$187</f>
        <v>Zasuwa klinowa</v>
      </c>
      <c r="R144" s="732" t="str">
        <f>CONCATENATE('DICTIONARY-3'!$A$2," ",'DICTIONARY-6'!$A$3," ",'DICTIONARY-2'!$A$2,"300"," ",'DICTIONARY-2'!$A$3,"10"," ","R15",", ",'DICTIONARY-4'!$A$11)</f>
        <v>EKOplus Zasuwa DN300 PN10 R15, PNE</v>
      </c>
      <c r="S144" s="733" t="str">
        <f>'DICTIONARY-4'!$A$11</f>
        <v>PNE</v>
      </c>
      <c r="T144" s="732" t="str">
        <f>'DICTIONARY-4'!$A$27</f>
        <v>Przygotowane pod napęd elektryczny</v>
      </c>
      <c r="U144" s="734" t="s">
        <v>5752</v>
      </c>
      <c r="V144" s="735">
        <v>10</v>
      </c>
      <c r="W144" s="736"/>
      <c r="X144" s="737"/>
      <c r="Y144" s="738"/>
      <c r="Z144" s="739"/>
      <c r="AA144" s="739"/>
      <c r="AB144" s="740">
        <v>10</v>
      </c>
      <c r="AC144" s="741" t="str">
        <f>'DICTIONARY-5'!$A$11&amp;" 15"</f>
        <v>EN 558 szereg 15</v>
      </c>
      <c r="AD144" s="741" t="str">
        <f>'DICTIONARY-5'!$A$13</f>
        <v>woda pitna</v>
      </c>
      <c r="AE144" s="742">
        <v>50</v>
      </c>
      <c r="AF144" s="743">
        <v>147</v>
      </c>
      <c r="AG144" s="741" t="str">
        <f>'DICTIONARY-5'!$A$23</f>
        <v>powłoka epoksydowa</v>
      </c>
    </row>
    <row r="145" spans="1:33" x14ac:dyDescent="0.25">
      <c r="A145" s="837" t="s">
        <v>201</v>
      </c>
      <c r="B145" s="837" t="s">
        <v>3080</v>
      </c>
      <c r="C145" s="836">
        <v>1564</v>
      </c>
      <c r="D145" s="836"/>
      <c r="E145" s="836"/>
      <c r="F145" s="836"/>
      <c r="G145" s="496" t="s">
        <v>7789</v>
      </c>
      <c r="H145" s="797" t="str">
        <f>VLOOKUP(G145,SETTINGS!$B$7:$D$97,2,0)</f>
        <v>EKOplus</v>
      </c>
      <c r="I145" s="796">
        <f>VLOOKUP(G145,SETTINGS!$B$7:$D$97,3,0)</f>
        <v>0</v>
      </c>
      <c r="J145" s="670" t="str">
        <f>IFERROR(IF(CURRENCY.FORMAT_1=0,CONCATENATE(TEXT(FIXED(ROUND((C145/EXC.RATE_1),CURRENCY.FORMAT_1),CURRENCY.FORMAT_1,1),"# ##0;-# ##0"),",-"),FIXED(ROUND((C145/EXC.RATE_1),CURRENCY.FORMAT_1),CURRENCY.FORMAT_1,0)),'DICTIONARY-5'!$A$2)</f>
        <v>1 564,-</v>
      </c>
      <c r="K145" s="670" t="str">
        <f>IF(EXC.RATE_2=0,"",IFERROR(IF(CURRENCY.FORMAT_2=0,CONCATENATE(TEXT(FIXED(ROUND(IF(EXC.RATE.SWITCH=1,C145/EXC.RATE_2,C145*EXC.RATE_2),CURRENCY.FORMAT_2),CURRENCY.FORMAT_2,1),"# ##0;-# ##0"),",-"),FIXED(ROUND(IF(EXC.RATE.SWITCH=1,C145/EXC.RATE_2,C145*EXC.RATE_2),CURRENCY.FORMAT_2),CURRENCY.FORMAT_2,0)),'DICTIONARY-5'!$A$2))</f>
        <v/>
      </c>
      <c r="L145" s="670" t="str">
        <f>IFERROR(IF(CURRENCY.FORMAT_1=0,CONCATENATE(TEXT(FIXED(ROUND((C145*(1-I145)*(1-ADD.DISCOUNT)*(1+MAT.SURCHARGE)/EXC.RATE_1),CURRENCY.FORMAT_1),CURRENCY.FORMAT_1,1),"# ##0;-# ##0"),",-"),FIXED(ROUND((C145*(1-I145)*(1-ADD.DISCOUNT)*(1+MAT.SURCHARGE)/EXC.RATE_1),CURRENCY.FORMAT_1),CURRENCY.FORMAT_1,0)),'DICTIONARY-5'!$A$2)</f>
        <v>1 625,-</v>
      </c>
      <c r="M145" s="670" t="str">
        <f>IF(EXC.RATE_2=0,"",IFERROR(IF(CURRENCY.FORMAT_2=0,CONCATENATE(TEXT(FIXED(ROUND(IF(EXC.RATE.SWITCH=1,C145*(1-I145)*(1-ADD.DISCOUNT)*(1+MAT.SURCHARGE)/EXC.RATE_2,C145*(1-I145)*(1-ADD.DISCOUNT)*(1+MAT.SURCHARGE)*EXC.RATE_2),CURRENCY.FORMAT_2),CURRENCY.FORMAT_2,1),"# ##0;-# ##0"),",-"),FIXED(ROUND(IF(EXC.RATE.SWITCH=1,C145*(1-I145)*(1-ADD.DISCOUNT)*(1+MAT.SURCHARGE)/EXC.RATE_2,C145*(1-I145)*(1-ADD.DISCOUNT)*(1+MAT.SURCHARGE)*EXC.RATE_2),CURRENCY.FORMAT_2),CURRENCY.FORMAT_2,0)),'DICTIONARY-5'!$A$2))</f>
        <v/>
      </c>
      <c r="N145" s="496">
        <v>1</v>
      </c>
      <c r="O145" s="496"/>
      <c r="P145" s="731" t="str">
        <f>'DICTIONARY-3'!$A$2</f>
        <v>EKOplus</v>
      </c>
      <c r="Q145" s="732" t="str">
        <f>'DICTIONARY-3'!$A$187</f>
        <v>Zasuwa klinowa</v>
      </c>
      <c r="R145" s="732" t="str">
        <f>CONCATENATE('DICTIONARY-3'!$A$2," ",'DICTIONARY-6'!$A$3," ",'DICTIONARY-2'!$A$2,"300"," ",'DICTIONARY-2'!$A$3,"16"," ","R15",", ",'DICTIONARY-4'!$A$11)</f>
        <v>EKOplus Zasuwa DN300 PN16 R15, PNE</v>
      </c>
      <c r="S145" s="733" t="str">
        <f>'DICTIONARY-4'!$A$11</f>
        <v>PNE</v>
      </c>
      <c r="T145" s="732" t="str">
        <f>'DICTIONARY-4'!$A$27</f>
        <v>Przygotowane pod napęd elektryczny</v>
      </c>
      <c r="U145" s="734" t="s">
        <v>5752</v>
      </c>
      <c r="V145" s="735">
        <v>16</v>
      </c>
      <c r="W145" s="736"/>
      <c r="X145" s="737"/>
      <c r="Y145" s="738"/>
      <c r="Z145" s="739"/>
      <c r="AA145" s="739"/>
      <c r="AB145" s="740">
        <v>16</v>
      </c>
      <c r="AC145" s="741" t="str">
        <f>'DICTIONARY-5'!$A$11&amp;" 15"</f>
        <v>EN 558 szereg 15</v>
      </c>
      <c r="AD145" s="741" t="str">
        <f>'DICTIONARY-5'!$A$13</f>
        <v>woda pitna</v>
      </c>
      <c r="AE145" s="742">
        <v>50</v>
      </c>
      <c r="AF145" s="743">
        <v>138</v>
      </c>
      <c r="AG145" s="741" t="str">
        <f>'DICTIONARY-5'!$A$23</f>
        <v>powłoka epoksydowa</v>
      </c>
    </row>
    <row r="146" spans="1:33" x14ac:dyDescent="0.25">
      <c r="A146" s="840" t="s">
        <v>203</v>
      </c>
      <c r="B146" s="840" t="s">
        <v>3058</v>
      </c>
      <c r="C146" s="836">
        <v>2472</v>
      </c>
      <c r="D146" s="836"/>
      <c r="E146" s="836"/>
      <c r="F146" s="836"/>
      <c r="G146" s="496" t="s">
        <v>7789</v>
      </c>
      <c r="H146" s="797" t="str">
        <f>VLOOKUP(G146,SETTINGS!$B$7:$D$97,2,0)</f>
        <v>EKOplus</v>
      </c>
      <c r="I146" s="796">
        <f>VLOOKUP(G146,SETTINGS!$B$7:$D$97,3,0)</f>
        <v>0</v>
      </c>
      <c r="J146" s="670" t="str">
        <f>IFERROR(IF(CURRENCY.FORMAT_1=0,CONCATENATE(TEXT(FIXED(ROUND((C146/EXC.RATE_1),CURRENCY.FORMAT_1),CURRENCY.FORMAT_1,1),"# ##0;-# ##0"),",-"),FIXED(ROUND((C146/EXC.RATE_1),CURRENCY.FORMAT_1),CURRENCY.FORMAT_1,0)),'DICTIONARY-5'!$A$2)</f>
        <v>2 472,-</v>
      </c>
      <c r="K146" s="670" t="str">
        <f>IF(EXC.RATE_2=0,"",IFERROR(IF(CURRENCY.FORMAT_2=0,CONCATENATE(TEXT(FIXED(ROUND(IF(EXC.RATE.SWITCH=1,C146/EXC.RATE_2,C146*EXC.RATE_2),CURRENCY.FORMAT_2),CURRENCY.FORMAT_2,1),"# ##0;-# ##0"),",-"),FIXED(ROUND(IF(EXC.RATE.SWITCH=1,C146/EXC.RATE_2,C146*EXC.RATE_2),CURRENCY.FORMAT_2),CURRENCY.FORMAT_2,0)),'DICTIONARY-5'!$A$2))</f>
        <v/>
      </c>
      <c r="L146" s="670" t="str">
        <f>IFERROR(IF(CURRENCY.FORMAT_1=0,CONCATENATE(TEXT(FIXED(ROUND((C146*(1-I146)*(1-ADD.DISCOUNT)*(1+MAT.SURCHARGE)/EXC.RATE_1),CURRENCY.FORMAT_1),CURRENCY.FORMAT_1,1),"# ##0;-# ##0"),",-"),FIXED(ROUND((C146*(1-I146)*(1-ADD.DISCOUNT)*(1+MAT.SURCHARGE)/EXC.RATE_1),CURRENCY.FORMAT_1),CURRENCY.FORMAT_1,0)),'DICTIONARY-5'!$A$2)</f>
        <v>2 568,-</v>
      </c>
      <c r="M146" s="670" t="str">
        <f>IF(EXC.RATE_2=0,"",IFERROR(IF(CURRENCY.FORMAT_2=0,CONCATENATE(TEXT(FIXED(ROUND(IF(EXC.RATE.SWITCH=1,C146*(1-I146)*(1-ADD.DISCOUNT)*(1+MAT.SURCHARGE)/EXC.RATE_2,C146*(1-I146)*(1-ADD.DISCOUNT)*(1+MAT.SURCHARGE)*EXC.RATE_2),CURRENCY.FORMAT_2),CURRENCY.FORMAT_2,1),"# ##0;-# ##0"),",-"),FIXED(ROUND(IF(EXC.RATE.SWITCH=1,C146*(1-I146)*(1-ADD.DISCOUNT)*(1+MAT.SURCHARGE)/EXC.RATE_2,C146*(1-I146)*(1-ADD.DISCOUNT)*(1+MAT.SURCHARGE)*EXC.RATE_2),CURRENCY.FORMAT_2),CURRENCY.FORMAT_2,0)),'DICTIONARY-5'!$A$2))</f>
        <v/>
      </c>
      <c r="N146" s="496">
        <v>1</v>
      </c>
      <c r="O146" s="496"/>
      <c r="P146" s="731" t="str">
        <f>'DICTIONARY-3'!$A$2</f>
        <v>EKOplus</v>
      </c>
      <c r="Q146" s="732" t="str">
        <f>'DICTIONARY-3'!$A$187</f>
        <v>Zasuwa klinowa</v>
      </c>
      <c r="R146" s="732" t="str">
        <f>CONCATENATE('DICTIONARY-3'!$A$2," ",'DICTIONARY-6'!$A$3," ",'DICTIONARY-2'!$A$2,"350"," ",'DICTIONARY-2'!$A$3,"10"," ","R15",", ",'DICTIONARY-4'!$A$11)</f>
        <v>EKOplus Zasuwa DN350 PN10 R15, PNE</v>
      </c>
      <c r="S146" s="733" t="str">
        <f>'DICTIONARY-4'!$A$11</f>
        <v>PNE</v>
      </c>
      <c r="T146" s="732" t="str">
        <f>'DICTIONARY-4'!$A$27</f>
        <v>Przygotowane pod napęd elektryczny</v>
      </c>
      <c r="U146" s="734" t="s">
        <v>5753</v>
      </c>
      <c r="V146" s="735">
        <v>10</v>
      </c>
      <c r="W146" s="736"/>
      <c r="X146" s="737"/>
      <c r="Y146" s="738"/>
      <c r="Z146" s="739"/>
      <c r="AA146" s="739"/>
      <c r="AB146" s="740">
        <v>10</v>
      </c>
      <c r="AC146" s="741" t="str">
        <f>'DICTIONARY-5'!$A$11&amp;" 15"</f>
        <v>EN 558 szereg 15</v>
      </c>
      <c r="AD146" s="741" t="str">
        <f>'DICTIONARY-5'!$A$13</f>
        <v>woda pitna</v>
      </c>
      <c r="AE146" s="742">
        <v>50</v>
      </c>
      <c r="AF146" s="743">
        <v>282</v>
      </c>
      <c r="AG146" s="741" t="str">
        <f>'DICTIONARY-5'!$A$23</f>
        <v>powłoka epoksydowa</v>
      </c>
    </row>
    <row r="147" spans="1:33" x14ac:dyDescent="0.25">
      <c r="A147" s="840" t="s">
        <v>205</v>
      </c>
      <c r="B147" s="840" t="s">
        <v>3062</v>
      </c>
      <c r="C147" s="836">
        <v>2445</v>
      </c>
      <c r="D147" s="836"/>
      <c r="E147" s="836"/>
      <c r="F147" s="836"/>
      <c r="G147" s="496" t="s">
        <v>7789</v>
      </c>
      <c r="H147" s="797" t="str">
        <f>VLOOKUP(G147,SETTINGS!$B$7:$D$97,2,0)</f>
        <v>EKOplus</v>
      </c>
      <c r="I147" s="796">
        <f>VLOOKUP(G147,SETTINGS!$B$7:$D$97,3,0)</f>
        <v>0</v>
      </c>
      <c r="J147" s="670" t="str">
        <f>IFERROR(IF(CURRENCY.FORMAT_1=0,CONCATENATE(TEXT(FIXED(ROUND((C147/EXC.RATE_1),CURRENCY.FORMAT_1),CURRENCY.FORMAT_1,1),"# ##0;-# ##0"),",-"),FIXED(ROUND((C147/EXC.RATE_1),CURRENCY.FORMAT_1),CURRENCY.FORMAT_1,0)),'DICTIONARY-5'!$A$2)</f>
        <v>2 445,-</v>
      </c>
      <c r="K147" s="670" t="str">
        <f>IF(EXC.RATE_2=0,"",IFERROR(IF(CURRENCY.FORMAT_2=0,CONCATENATE(TEXT(FIXED(ROUND(IF(EXC.RATE.SWITCH=1,C147/EXC.RATE_2,C147*EXC.RATE_2),CURRENCY.FORMAT_2),CURRENCY.FORMAT_2,1),"# ##0;-# ##0"),",-"),FIXED(ROUND(IF(EXC.RATE.SWITCH=1,C147/EXC.RATE_2,C147*EXC.RATE_2),CURRENCY.FORMAT_2),CURRENCY.FORMAT_2,0)),'DICTIONARY-5'!$A$2))</f>
        <v/>
      </c>
      <c r="L147" s="670" t="str">
        <f>IFERROR(IF(CURRENCY.FORMAT_1=0,CONCATENATE(TEXT(FIXED(ROUND((C147*(1-I147)*(1-ADD.DISCOUNT)*(1+MAT.SURCHARGE)/EXC.RATE_1),CURRENCY.FORMAT_1),CURRENCY.FORMAT_1,1),"# ##0;-# ##0"),",-"),FIXED(ROUND((C147*(1-I147)*(1-ADD.DISCOUNT)*(1+MAT.SURCHARGE)/EXC.RATE_1),CURRENCY.FORMAT_1),CURRENCY.FORMAT_1,0)),'DICTIONARY-5'!$A$2)</f>
        <v>2 540,-</v>
      </c>
      <c r="M147" s="670" t="str">
        <f>IF(EXC.RATE_2=0,"",IFERROR(IF(CURRENCY.FORMAT_2=0,CONCATENATE(TEXT(FIXED(ROUND(IF(EXC.RATE.SWITCH=1,C147*(1-I147)*(1-ADD.DISCOUNT)*(1+MAT.SURCHARGE)/EXC.RATE_2,C147*(1-I147)*(1-ADD.DISCOUNT)*(1+MAT.SURCHARGE)*EXC.RATE_2),CURRENCY.FORMAT_2),CURRENCY.FORMAT_2,1),"# ##0;-# ##0"),",-"),FIXED(ROUND(IF(EXC.RATE.SWITCH=1,C147*(1-I147)*(1-ADD.DISCOUNT)*(1+MAT.SURCHARGE)/EXC.RATE_2,C147*(1-I147)*(1-ADD.DISCOUNT)*(1+MAT.SURCHARGE)*EXC.RATE_2),CURRENCY.FORMAT_2),CURRENCY.FORMAT_2,0)),'DICTIONARY-5'!$A$2))</f>
        <v/>
      </c>
      <c r="N147" s="496">
        <v>1</v>
      </c>
      <c r="O147" s="496"/>
      <c r="P147" s="731" t="str">
        <f>'DICTIONARY-3'!$A$2</f>
        <v>EKOplus</v>
      </c>
      <c r="Q147" s="732" t="str">
        <f>'DICTIONARY-3'!$A$187</f>
        <v>Zasuwa klinowa</v>
      </c>
      <c r="R147" s="732" t="str">
        <f>CONCATENATE('DICTIONARY-3'!$A$2," ",'DICTIONARY-6'!$A$3," ",'DICTIONARY-2'!$A$2,"350"," ",'DICTIONARY-2'!$A$3,"16"," ","R15",", ",'DICTIONARY-4'!$A$11)</f>
        <v>EKOplus Zasuwa DN350 PN16 R15, PNE</v>
      </c>
      <c r="S147" s="733" t="str">
        <f>'DICTIONARY-4'!$A$11</f>
        <v>PNE</v>
      </c>
      <c r="T147" s="732" t="str">
        <f>'DICTIONARY-4'!$A$27</f>
        <v>Przygotowane pod napęd elektryczny</v>
      </c>
      <c r="U147" s="734" t="s">
        <v>5753</v>
      </c>
      <c r="V147" s="735">
        <v>16</v>
      </c>
      <c r="W147" s="736"/>
      <c r="X147" s="737"/>
      <c r="Y147" s="738"/>
      <c r="Z147" s="739"/>
      <c r="AA147" s="739"/>
      <c r="AB147" s="740">
        <v>16</v>
      </c>
      <c r="AC147" s="741" t="str">
        <f>'DICTIONARY-5'!$A$11&amp;" 15"</f>
        <v>EN 558 szereg 15</v>
      </c>
      <c r="AD147" s="741" t="str">
        <f>'DICTIONARY-5'!$A$13</f>
        <v>woda pitna</v>
      </c>
      <c r="AE147" s="742">
        <v>50</v>
      </c>
      <c r="AF147" s="743">
        <v>282</v>
      </c>
      <c r="AG147" s="741" t="str">
        <f>'DICTIONARY-5'!$A$23</f>
        <v>powłoka epoksydowa</v>
      </c>
    </row>
    <row r="148" spans="1:33" x14ac:dyDescent="0.25">
      <c r="A148" s="840" t="s">
        <v>207</v>
      </c>
      <c r="B148" s="840" t="s">
        <v>3059</v>
      </c>
      <c r="C148" s="836">
        <v>3163</v>
      </c>
      <c r="D148" s="836"/>
      <c r="E148" s="836"/>
      <c r="F148" s="836"/>
      <c r="G148" s="496" t="s">
        <v>7789</v>
      </c>
      <c r="H148" s="797" t="str">
        <f>VLOOKUP(G148,SETTINGS!$B$7:$D$97,2,0)</f>
        <v>EKOplus</v>
      </c>
      <c r="I148" s="796">
        <f>VLOOKUP(G148,SETTINGS!$B$7:$D$97,3,0)</f>
        <v>0</v>
      </c>
      <c r="J148" s="670" t="str">
        <f>IFERROR(IF(CURRENCY.FORMAT_1=0,CONCATENATE(TEXT(FIXED(ROUND((C148/EXC.RATE_1),CURRENCY.FORMAT_1),CURRENCY.FORMAT_1,1),"# ##0;-# ##0"),",-"),FIXED(ROUND((C148/EXC.RATE_1),CURRENCY.FORMAT_1),CURRENCY.FORMAT_1,0)),'DICTIONARY-5'!$A$2)</f>
        <v>3 163,-</v>
      </c>
      <c r="K148" s="670" t="str">
        <f>IF(EXC.RATE_2=0,"",IFERROR(IF(CURRENCY.FORMAT_2=0,CONCATENATE(TEXT(FIXED(ROUND(IF(EXC.RATE.SWITCH=1,C148/EXC.RATE_2,C148*EXC.RATE_2),CURRENCY.FORMAT_2),CURRENCY.FORMAT_2,1),"# ##0;-# ##0"),",-"),FIXED(ROUND(IF(EXC.RATE.SWITCH=1,C148/EXC.RATE_2,C148*EXC.RATE_2),CURRENCY.FORMAT_2),CURRENCY.FORMAT_2,0)),'DICTIONARY-5'!$A$2))</f>
        <v/>
      </c>
      <c r="L148" s="670" t="str">
        <f>IFERROR(IF(CURRENCY.FORMAT_1=0,CONCATENATE(TEXT(FIXED(ROUND((C148*(1-I148)*(1-ADD.DISCOUNT)*(1+MAT.SURCHARGE)/EXC.RATE_1),CURRENCY.FORMAT_1),CURRENCY.FORMAT_1,1),"# ##0;-# ##0"),",-"),FIXED(ROUND((C148*(1-I148)*(1-ADD.DISCOUNT)*(1+MAT.SURCHARGE)/EXC.RATE_1),CURRENCY.FORMAT_1),CURRENCY.FORMAT_1,0)),'DICTIONARY-5'!$A$2)</f>
        <v>3 286,-</v>
      </c>
      <c r="M148" s="670" t="str">
        <f>IF(EXC.RATE_2=0,"",IFERROR(IF(CURRENCY.FORMAT_2=0,CONCATENATE(TEXT(FIXED(ROUND(IF(EXC.RATE.SWITCH=1,C148*(1-I148)*(1-ADD.DISCOUNT)*(1+MAT.SURCHARGE)/EXC.RATE_2,C148*(1-I148)*(1-ADD.DISCOUNT)*(1+MAT.SURCHARGE)*EXC.RATE_2),CURRENCY.FORMAT_2),CURRENCY.FORMAT_2,1),"# ##0;-# ##0"),",-"),FIXED(ROUND(IF(EXC.RATE.SWITCH=1,C148*(1-I148)*(1-ADD.DISCOUNT)*(1+MAT.SURCHARGE)/EXC.RATE_2,C148*(1-I148)*(1-ADD.DISCOUNT)*(1+MAT.SURCHARGE)*EXC.RATE_2),CURRENCY.FORMAT_2),CURRENCY.FORMAT_2,0)),'DICTIONARY-5'!$A$2))</f>
        <v/>
      </c>
      <c r="N148" s="496">
        <v>1</v>
      </c>
      <c r="O148" s="496"/>
      <c r="P148" s="731" t="str">
        <f>'DICTIONARY-3'!$A$2</f>
        <v>EKOplus</v>
      </c>
      <c r="Q148" s="732" t="str">
        <f>'DICTIONARY-3'!$A$187</f>
        <v>Zasuwa klinowa</v>
      </c>
      <c r="R148" s="732" t="str">
        <f>CONCATENATE('DICTIONARY-3'!$A$2," ",'DICTIONARY-6'!$A$3," ",'DICTIONARY-2'!$A$2,"400"," ",'DICTIONARY-2'!$A$3,"10"," ","R15",", ",'DICTIONARY-4'!$A$11)</f>
        <v>EKOplus Zasuwa DN400 PN10 R15, PNE</v>
      </c>
      <c r="S148" s="733" t="str">
        <f>'DICTIONARY-4'!$A$11</f>
        <v>PNE</v>
      </c>
      <c r="T148" s="732" t="str">
        <f>'DICTIONARY-4'!$A$27</f>
        <v>Przygotowane pod napęd elektryczny</v>
      </c>
      <c r="U148" s="734" t="s">
        <v>5754</v>
      </c>
      <c r="V148" s="735">
        <v>10</v>
      </c>
      <c r="W148" s="736"/>
      <c r="X148" s="737"/>
      <c r="Y148" s="738"/>
      <c r="Z148" s="739"/>
      <c r="AA148" s="739"/>
      <c r="AB148" s="740">
        <v>10</v>
      </c>
      <c r="AC148" s="741" t="str">
        <f>'DICTIONARY-5'!$A$11&amp;" 15"</f>
        <v>EN 558 szereg 15</v>
      </c>
      <c r="AD148" s="741" t="str">
        <f>'DICTIONARY-5'!$A$13</f>
        <v>woda pitna</v>
      </c>
      <c r="AE148" s="742">
        <v>50</v>
      </c>
      <c r="AF148" s="743">
        <v>357</v>
      </c>
      <c r="AG148" s="741" t="str">
        <f>'DICTIONARY-5'!$A$23</f>
        <v>powłoka epoksydowa</v>
      </c>
    </row>
    <row r="149" spans="1:33" x14ac:dyDescent="0.25">
      <c r="A149" s="840" t="s">
        <v>209</v>
      </c>
      <c r="B149" s="840" t="s">
        <v>3063</v>
      </c>
      <c r="C149" s="836">
        <v>3160</v>
      </c>
      <c r="D149" s="836"/>
      <c r="E149" s="836"/>
      <c r="F149" s="836"/>
      <c r="G149" s="496" t="s">
        <v>7789</v>
      </c>
      <c r="H149" s="797" t="str">
        <f>VLOOKUP(G149,SETTINGS!$B$7:$D$97,2,0)</f>
        <v>EKOplus</v>
      </c>
      <c r="I149" s="796">
        <f>VLOOKUP(G149,SETTINGS!$B$7:$D$97,3,0)</f>
        <v>0</v>
      </c>
      <c r="J149" s="670" t="str">
        <f>IFERROR(IF(CURRENCY.FORMAT_1=0,CONCATENATE(TEXT(FIXED(ROUND((C149/EXC.RATE_1),CURRENCY.FORMAT_1),CURRENCY.FORMAT_1,1),"# ##0;-# ##0"),",-"),FIXED(ROUND((C149/EXC.RATE_1),CURRENCY.FORMAT_1),CURRENCY.FORMAT_1,0)),'DICTIONARY-5'!$A$2)</f>
        <v>3 160,-</v>
      </c>
      <c r="K149" s="670" t="str">
        <f>IF(EXC.RATE_2=0,"",IFERROR(IF(CURRENCY.FORMAT_2=0,CONCATENATE(TEXT(FIXED(ROUND(IF(EXC.RATE.SWITCH=1,C149/EXC.RATE_2,C149*EXC.RATE_2),CURRENCY.FORMAT_2),CURRENCY.FORMAT_2,1),"# ##0;-# ##0"),",-"),FIXED(ROUND(IF(EXC.RATE.SWITCH=1,C149/EXC.RATE_2,C149*EXC.RATE_2),CURRENCY.FORMAT_2),CURRENCY.FORMAT_2,0)),'DICTIONARY-5'!$A$2))</f>
        <v/>
      </c>
      <c r="L149" s="670" t="str">
        <f>IFERROR(IF(CURRENCY.FORMAT_1=0,CONCATENATE(TEXT(FIXED(ROUND((C149*(1-I149)*(1-ADD.DISCOUNT)*(1+MAT.SURCHARGE)/EXC.RATE_1),CURRENCY.FORMAT_1),CURRENCY.FORMAT_1,1),"# ##0;-# ##0"),",-"),FIXED(ROUND((C149*(1-I149)*(1-ADD.DISCOUNT)*(1+MAT.SURCHARGE)/EXC.RATE_1),CURRENCY.FORMAT_1),CURRENCY.FORMAT_1,0)),'DICTIONARY-5'!$A$2)</f>
        <v>3 283,-</v>
      </c>
      <c r="M149" s="670" t="str">
        <f>IF(EXC.RATE_2=0,"",IFERROR(IF(CURRENCY.FORMAT_2=0,CONCATENATE(TEXT(FIXED(ROUND(IF(EXC.RATE.SWITCH=1,C149*(1-I149)*(1-ADD.DISCOUNT)*(1+MAT.SURCHARGE)/EXC.RATE_2,C149*(1-I149)*(1-ADD.DISCOUNT)*(1+MAT.SURCHARGE)*EXC.RATE_2),CURRENCY.FORMAT_2),CURRENCY.FORMAT_2,1),"# ##0;-# ##0"),",-"),FIXED(ROUND(IF(EXC.RATE.SWITCH=1,C149*(1-I149)*(1-ADD.DISCOUNT)*(1+MAT.SURCHARGE)/EXC.RATE_2,C149*(1-I149)*(1-ADD.DISCOUNT)*(1+MAT.SURCHARGE)*EXC.RATE_2),CURRENCY.FORMAT_2),CURRENCY.FORMAT_2,0)),'DICTIONARY-5'!$A$2))</f>
        <v/>
      </c>
      <c r="N149" s="496">
        <v>1</v>
      </c>
      <c r="O149" s="496"/>
      <c r="P149" s="731" t="str">
        <f>'DICTIONARY-3'!$A$2</f>
        <v>EKOplus</v>
      </c>
      <c r="Q149" s="732" t="str">
        <f>'DICTIONARY-3'!$A$187</f>
        <v>Zasuwa klinowa</v>
      </c>
      <c r="R149" s="732" t="str">
        <f>CONCATENATE('DICTIONARY-3'!$A$2," ",'DICTIONARY-6'!$A$3," ",'DICTIONARY-2'!$A$2,"400"," ",'DICTIONARY-2'!$A$3,"16"," ","R15",", ",'DICTIONARY-4'!$A$11)</f>
        <v>EKOplus Zasuwa DN400 PN16 R15, PNE</v>
      </c>
      <c r="S149" s="733" t="str">
        <f>'DICTIONARY-4'!$A$11</f>
        <v>PNE</v>
      </c>
      <c r="T149" s="732" t="str">
        <f>'DICTIONARY-4'!$A$27</f>
        <v>Przygotowane pod napęd elektryczny</v>
      </c>
      <c r="U149" s="734" t="s">
        <v>5754</v>
      </c>
      <c r="V149" s="735">
        <v>16</v>
      </c>
      <c r="W149" s="736"/>
      <c r="X149" s="737"/>
      <c r="Y149" s="738"/>
      <c r="Z149" s="739"/>
      <c r="AA149" s="739"/>
      <c r="AB149" s="740">
        <v>16</v>
      </c>
      <c r="AC149" s="741" t="str">
        <f>'DICTIONARY-5'!$A$11&amp;" 15"</f>
        <v>EN 558 szereg 15</v>
      </c>
      <c r="AD149" s="741" t="str">
        <f>'DICTIONARY-5'!$A$13</f>
        <v>woda pitna</v>
      </c>
      <c r="AE149" s="742">
        <v>50</v>
      </c>
      <c r="AF149" s="743">
        <v>353</v>
      </c>
      <c r="AG149" s="741" t="str">
        <f>'DICTIONARY-5'!$A$23</f>
        <v>powłoka epoksydowa</v>
      </c>
    </row>
    <row r="150" spans="1:33" x14ac:dyDescent="0.25">
      <c r="A150" s="835" t="s">
        <v>211</v>
      </c>
      <c r="B150" s="835" t="s">
        <v>3060</v>
      </c>
      <c r="C150" s="836">
        <v>5077</v>
      </c>
      <c r="D150" s="836"/>
      <c r="E150" s="836"/>
      <c r="F150" s="836"/>
      <c r="G150" s="496" t="s">
        <v>7789</v>
      </c>
      <c r="H150" s="797" t="str">
        <f>VLOOKUP(G150,SETTINGS!$B$7:$D$97,2,0)</f>
        <v>EKOplus</v>
      </c>
      <c r="I150" s="796">
        <f>VLOOKUP(G150,SETTINGS!$B$7:$D$97,3,0)</f>
        <v>0</v>
      </c>
      <c r="J150" s="670" t="str">
        <f>IFERROR(IF(CURRENCY.FORMAT_1=0,CONCATENATE(TEXT(FIXED(ROUND((C150/EXC.RATE_1),CURRENCY.FORMAT_1),CURRENCY.FORMAT_1,1),"# ##0;-# ##0"),",-"),FIXED(ROUND((C150/EXC.RATE_1),CURRENCY.FORMAT_1),CURRENCY.FORMAT_1,0)),'DICTIONARY-5'!$A$2)</f>
        <v>5 077,-</v>
      </c>
      <c r="K150" s="670" t="str">
        <f>IF(EXC.RATE_2=0,"",IFERROR(IF(CURRENCY.FORMAT_2=0,CONCATENATE(TEXT(FIXED(ROUND(IF(EXC.RATE.SWITCH=1,C150/EXC.RATE_2,C150*EXC.RATE_2),CURRENCY.FORMAT_2),CURRENCY.FORMAT_2,1),"# ##0;-# ##0"),",-"),FIXED(ROUND(IF(EXC.RATE.SWITCH=1,C150/EXC.RATE_2,C150*EXC.RATE_2),CURRENCY.FORMAT_2),CURRENCY.FORMAT_2,0)),'DICTIONARY-5'!$A$2))</f>
        <v/>
      </c>
      <c r="L150" s="670" t="str">
        <f>IFERROR(IF(CURRENCY.FORMAT_1=0,CONCATENATE(TEXT(FIXED(ROUND((C150*(1-I150)*(1-ADD.DISCOUNT)*(1+MAT.SURCHARGE)/EXC.RATE_1),CURRENCY.FORMAT_1),CURRENCY.FORMAT_1,1),"# ##0;-# ##0"),",-"),FIXED(ROUND((C150*(1-I150)*(1-ADD.DISCOUNT)*(1+MAT.SURCHARGE)/EXC.RATE_1),CURRENCY.FORMAT_1),CURRENCY.FORMAT_1,0)),'DICTIONARY-5'!$A$2)</f>
        <v>5 275,-</v>
      </c>
      <c r="M150" s="670" t="str">
        <f>IF(EXC.RATE_2=0,"",IFERROR(IF(CURRENCY.FORMAT_2=0,CONCATENATE(TEXT(FIXED(ROUND(IF(EXC.RATE.SWITCH=1,C150*(1-I150)*(1-ADD.DISCOUNT)*(1+MAT.SURCHARGE)/EXC.RATE_2,C150*(1-I150)*(1-ADD.DISCOUNT)*(1+MAT.SURCHARGE)*EXC.RATE_2),CURRENCY.FORMAT_2),CURRENCY.FORMAT_2,1),"# ##0;-# ##0"),",-"),FIXED(ROUND(IF(EXC.RATE.SWITCH=1,C150*(1-I150)*(1-ADD.DISCOUNT)*(1+MAT.SURCHARGE)/EXC.RATE_2,C150*(1-I150)*(1-ADD.DISCOUNT)*(1+MAT.SURCHARGE)*EXC.RATE_2),CURRENCY.FORMAT_2),CURRENCY.FORMAT_2,0)),'DICTIONARY-5'!$A$2))</f>
        <v/>
      </c>
      <c r="N150" s="496">
        <v>1</v>
      </c>
      <c r="O150" s="496"/>
      <c r="P150" s="731" t="str">
        <f>'DICTIONARY-3'!$A$2</f>
        <v>EKOplus</v>
      </c>
      <c r="Q150" s="732" t="str">
        <f>'DICTIONARY-3'!$A$187</f>
        <v>Zasuwa klinowa</v>
      </c>
      <c r="R150" s="732" t="str">
        <f>CONCATENATE('DICTIONARY-3'!$A$2," ",'DICTIONARY-6'!$A$3," ",'DICTIONARY-2'!$A$2,"500"," ",'DICTIONARY-2'!$A$3,"10"," ","R15",", ",'DICTIONARY-4'!$A$11)</f>
        <v>EKOplus Zasuwa DN500 PN10 R15, PNE</v>
      </c>
      <c r="S150" s="733" t="str">
        <f>'DICTIONARY-4'!$A$11</f>
        <v>PNE</v>
      </c>
      <c r="T150" s="732" t="str">
        <f>'DICTIONARY-4'!$A$27</f>
        <v>Przygotowane pod napęd elektryczny</v>
      </c>
      <c r="U150" s="734" t="s">
        <v>5756</v>
      </c>
      <c r="V150" s="735">
        <v>10</v>
      </c>
      <c r="W150" s="736"/>
      <c r="X150" s="737"/>
      <c r="Y150" s="738"/>
      <c r="Z150" s="739"/>
      <c r="AA150" s="739"/>
      <c r="AB150" s="740">
        <v>10</v>
      </c>
      <c r="AC150" s="741" t="str">
        <f>'DICTIONARY-5'!$A$11&amp;" 15"</f>
        <v>EN 558 szereg 15</v>
      </c>
      <c r="AD150" s="741" t="str">
        <f>'DICTIONARY-5'!$A$13</f>
        <v>woda pitna</v>
      </c>
      <c r="AE150" s="742">
        <v>50</v>
      </c>
      <c r="AF150" s="743">
        <v>500</v>
      </c>
      <c r="AG150" s="741" t="str">
        <f>'DICTIONARY-5'!$A$23</f>
        <v>powłoka epoksydowa</v>
      </c>
    </row>
    <row r="151" spans="1:33" x14ac:dyDescent="0.25">
      <c r="A151" s="835" t="s">
        <v>213</v>
      </c>
      <c r="B151" s="835" t="s">
        <v>3064</v>
      </c>
      <c r="C151" s="836">
        <v>5727</v>
      </c>
      <c r="D151" s="836"/>
      <c r="E151" s="836"/>
      <c r="F151" s="836"/>
      <c r="G151" s="496" t="s">
        <v>7790</v>
      </c>
      <c r="H151" s="797" t="str">
        <f>VLOOKUP(G151,SETTINGS!$B$7:$D$97,2,0)</f>
        <v>EKOplus (with Actuator)</v>
      </c>
      <c r="I151" s="796">
        <f>VLOOKUP(G151,SETTINGS!$B$7:$D$97,3,0)</f>
        <v>0</v>
      </c>
      <c r="J151" s="670" t="str">
        <f>IFERROR(IF(CURRENCY.FORMAT_1=0,CONCATENATE(TEXT(FIXED(ROUND((C151/EXC.RATE_1),CURRENCY.FORMAT_1),CURRENCY.FORMAT_1,1),"# ##0;-# ##0"),",-"),FIXED(ROUND((C151/EXC.RATE_1),CURRENCY.FORMAT_1),CURRENCY.FORMAT_1,0)),'DICTIONARY-5'!$A$2)</f>
        <v>5 727,-</v>
      </c>
      <c r="K151" s="670" t="str">
        <f>IF(EXC.RATE_2=0,"",IFERROR(IF(CURRENCY.FORMAT_2=0,CONCATENATE(TEXT(FIXED(ROUND(IF(EXC.RATE.SWITCH=1,C151/EXC.RATE_2,C151*EXC.RATE_2),CURRENCY.FORMAT_2),CURRENCY.FORMAT_2,1),"# ##0;-# ##0"),",-"),FIXED(ROUND(IF(EXC.RATE.SWITCH=1,C151/EXC.RATE_2,C151*EXC.RATE_2),CURRENCY.FORMAT_2),CURRENCY.FORMAT_2,0)),'DICTIONARY-5'!$A$2))</f>
        <v/>
      </c>
      <c r="L151" s="670" t="str">
        <f>IFERROR(IF(CURRENCY.FORMAT_1=0,CONCATENATE(TEXT(FIXED(ROUND((C151*(1-I151)*(1-ADD.DISCOUNT)*(1+MAT.SURCHARGE)/EXC.RATE_1),CURRENCY.FORMAT_1),CURRENCY.FORMAT_1,1),"# ##0;-# ##0"),",-"),FIXED(ROUND((C151*(1-I151)*(1-ADD.DISCOUNT)*(1+MAT.SURCHARGE)/EXC.RATE_1),CURRENCY.FORMAT_1),CURRENCY.FORMAT_1,0)),'DICTIONARY-5'!$A$2)</f>
        <v>5 950,-</v>
      </c>
      <c r="M151" s="670" t="str">
        <f>IF(EXC.RATE_2=0,"",IFERROR(IF(CURRENCY.FORMAT_2=0,CONCATENATE(TEXT(FIXED(ROUND(IF(EXC.RATE.SWITCH=1,C151*(1-I151)*(1-ADD.DISCOUNT)*(1+MAT.SURCHARGE)/EXC.RATE_2,C151*(1-I151)*(1-ADD.DISCOUNT)*(1+MAT.SURCHARGE)*EXC.RATE_2),CURRENCY.FORMAT_2),CURRENCY.FORMAT_2,1),"# ##0;-# ##0"),",-"),FIXED(ROUND(IF(EXC.RATE.SWITCH=1,C151*(1-I151)*(1-ADD.DISCOUNT)*(1+MAT.SURCHARGE)/EXC.RATE_2,C151*(1-I151)*(1-ADD.DISCOUNT)*(1+MAT.SURCHARGE)*EXC.RATE_2),CURRENCY.FORMAT_2),CURRENCY.FORMAT_2,0)),'DICTIONARY-5'!$A$2))</f>
        <v/>
      </c>
      <c r="N151" s="496">
        <v>1</v>
      </c>
      <c r="O151" s="496"/>
      <c r="P151" s="731" t="str">
        <f>'DICTIONARY-3'!$A$2</f>
        <v>EKOplus</v>
      </c>
      <c r="Q151" s="732" t="str">
        <f>'DICTIONARY-3'!$A$187</f>
        <v>Zasuwa klinowa</v>
      </c>
      <c r="R151" s="732" t="str">
        <f>CONCATENATE('DICTIONARY-3'!$A$2," ",'DICTIONARY-6'!$A$3," ",'DICTIONARY-2'!$A$2,"500"," ",'DICTIONARY-2'!$A$3,"16"," ","R15",", ",'DICTIONARY-4'!$A$11)</f>
        <v>EKOplus Zasuwa DN500 PN16 R15, PNE</v>
      </c>
      <c r="S151" s="733" t="str">
        <f>'DICTIONARY-4'!$A$11</f>
        <v>PNE</v>
      </c>
      <c r="T151" s="732" t="str">
        <f>'DICTIONARY-4'!$A$27</f>
        <v>Przygotowane pod napęd elektryczny</v>
      </c>
      <c r="U151" s="734" t="s">
        <v>5756</v>
      </c>
      <c r="V151" s="735">
        <v>16</v>
      </c>
      <c r="W151" s="736"/>
      <c r="X151" s="737"/>
      <c r="Y151" s="738"/>
      <c r="Z151" s="739"/>
      <c r="AA151" s="739"/>
      <c r="AB151" s="740">
        <v>16</v>
      </c>
      <c r="AC151" s="741" t="str">
        <f>'DICTIONARY-5'!$A$11&amp;" 15"</f>
        <v>EN 558 szereg 15</v>
      </c>
      <c r="AD151" s="741" t="str">
        <f>'DICTIONARY-5'!$A$13</f>
        <v>woda pitna</v>
      </c>
      <c r="AE151" s="742">
        <v>50</v>
      </c>
      <c r="AF151" s="743">
        <v>520</v>
      </c>
      <c r="AG151" s="741" t="str">
        <f>'DICTIONARY-5'!$A$23</f>
        <v>powłoka epoksydowa</v>
      </c>
    </row>
    <row r="152" spans="1:33" x14ac:dyDescent="0.25">
      <c r="A152" s="835" t="s">
        <v>215</v>
      </c>
      <c r="B152" s="835" t="s">
        <v>3061</v>
      </c>
      <c r="C152" s="836">
        <v>5192</v>
      </c>
      <c r="D152" s="836"/>
      <c r="E152" s="836"/>
      <c r="F152" s="836"/>
      <c r="G152" s="496" t="s">
        <v>7789</v>
      </c>
      <c r="H152" s="797" t="str">
        <f>VLOOKUP(G152,SETTINGS!$B$7:$D$97,2,0)</f>
        <v>EKOplus</v>
      </c>
      <c r="I152" s="796">
        <f>VLOOKUP(G152,SETTINGS!$B$7:$D$97,3,0)</f>
        <v>0</v>
      </c>
      <c r="J152" s="670" t="str">
        <f>IFERROR(IF(CURRENCY.FORMAT_1=0,CONCATENATE(TEXT(FIXED(ROUND((C152/EXC.RATE_1),CURRENCY.FORMAT_1),CURRENCY.FORMAT_1,1),"# ##0;-# ##0"),",-"),FIXED(ROUND((C152/EXC.RATE_1),CURRENCY.FORMAT_1),CURRENCY.FORMAT_1,0)),'DICTIONARY-5'!$A$2)</f>
        <v>5 192,-</v>
      </c>
      <c r="K152" s="670" t="str">
        <f>IF(EXC.RATE_2=0,"",IFERROR(IF(CURRENCY.FORMAT_2=0,CONCATENATE(TEXT(FIXED(ROUND(IF(EXC.RATE.SWITCH=1,C152/EXC.RATE_2,C152*EXC.RATE_2),CURRENCY.FORMAT_2),CURRENCY.FORMAT_2,1),"# ##0;-# ##0"),",-"),FIXED(ROUND(IF(EXC.RATE.SWITCH=1,C152/EXC.RATE_2,C152*EXC.RATE_2),CURRENCY.FORMAT_2),CURRENCY.FORMAT_2,0)),'DICTIONARY-5'!$A$2))</f>
        <v/>
      </c>
      <c r="L152" s="670" t="str">
        <f>IFERROR(IF(CURRENCY.FORMAT_1=0,CONCATENATE(TEXT(FIXED(ROUND((C152*(1-I152)*(1-ADD.DISCOUNT)*(1+MAT.SURCHARGE)/EXC.RATE_1),CURRENCY.FORMAT_1),CURRENCY.FORMAT_1,1),"# ##0;-# ##0"),",-"),FIXED(ROUND((C152*(1-I152)*(1-ADD.DISCOUNT)*(1+MAT.SURCHARGE)/EXC.RATE_1),CURRENCY.FORMAT_1),CURRENCY.FORMAT_1,0)),'DICTIONARY-5'!$A$2)</f>
        <v>5 394,-</v>
      </c>
      <c r="M152" s="670" t="str">
        <f>IF(EXC.RATE_2=0,"",IFERROR(IF(CURRENCY.FORMAT_2=0,CONCATENATE(TEXT(FIXED(ROUND(IF(EXC.RATE.SWITCH=1,C152*(1-I152)*(1-ADD.DISCOUNT)*(1+MAT.SURCHARGE)/EXC.RATE_2,C152*(1-I152)*(1-ADD.DISCOUNT)*(1+MAT.SURCHARGE)*EXC.RATE_2),CURRENCY.FORMAT_2),CURRENCY.FORMAT_2,1),"# ##0;-# ##0"),",-"),FIXED(ROUND(IF(EXC.RATE.SWITCH=1,C152*(1-I152)*(1-ADD.DISCOUNT)*(1+MAT.SURCHARGE)/EXC.RATE_2,C152*(1-I152)*(1-ADD.DISCOUNT)*(1+MAT.SURCHARGE)*EXC.RATE_2),CURRENCY.FORMAT_2),CURRENCY.FORMAT_2,0)),'DICTIONARY-5'!$A$2))</f>
        <v/>
      </c>
      <c r="N152" s="496">
        <v>1</v>
      </c>
      <c r="O152" s="496"/>
      <c r="P152" s="731" t="str">
        <f>'DICTIONARY-3'!$A$2</f>
        <v>EKOplus</v>
      </c>
      <c r="Q152" s="732" t="str">
        <f>'DICTIONARY-3'!$A$187</f>
        <v>Zasuwa klinowa</v>
      </c>
      <c r="R152" s="732" t="str">
        <f>CONCATENATE('DICTIONARY-3'!$A$2," ",'DICTIONARY-6'!$A$3," ",'DICTIONARY-2'!$A$2,"600/",'DICTIONARY-6'!$A$46,'DICTIONARY-2'!$A$2,"500"," ",'DICTIONARY-2'!$A$3,"10"," ","R15",", ",'DICTIONARY-4'!$A$11)</f>
        <v>EKOplus Zasuwa DN600/reduk.DN500 PN10 R15, PNE</v>
      </c>
      <c r="S152" s="733" t="str">
        <f>'DICTIONARY-4'!$A$11</f>
        <v>PNE</v>
      </c>
      <c r="T152" s="732" t="str">
        <f>'DICTIONARY-4'!$A$27</f>
        <v>Przygotowane pod napęd elektryczny</v>
      </c>
      <c r="U152" s="734" t="s">
        <v>5757</v>
      </c>
      <c r="V152" s="735">
        <v>10</v>
      </c>
      <c r="W152" s="736"/>
      <c r="X152" s="737"/>
      <c r="Y152" s="738"/>
      <c r="Z152" s="739"/>
      <c r="AA152" s="739"/>
      <c r="AB152" s="740">
        <v>10</v>
      </c>
      <c r="AC152" s="741" t="str">
        <f>'DICTIONARY-5'!$A$11&amp;" 15"</f>
        <v>EN 558 szereg 15</v>
      </c>
      <c r="AD152" s="741" t="str">
        <f>'DICTIONARY-5'!$A$13</f>
        <v>woda pitna</v>
      </c>
      <c r="AE152" s="742">
        <v>50</v>
      </c>
      <c r="AF152" s="743">
        <v>602</v>
      </c>
      <c r="AG152" s="741" t="str">
        <f>'DICTIONARY-5'!$A$23</f>
        <v>powłoka epoksydowa</v>
      </c>
    </row>
    <row r="153" spans="1:33" x14ac:dyDescent="0.25">
      <c r="A153" s="835" t="s">
        <v>8295</v>
      </c>
      <c r="B153" s="835" t="s">
        <v>8294</v>
      </c>
      <c r="C153" s="836">
        <v>5192</v>
      </c>
      <c r="D153" s="836"/>
      <c r="E153" s="836"/>
      <c r="F153" s="836"/>
      <c r="G153" s="496" t="s">
        <v>7789</v>
      </c>
      <c r="H153" s="797" t="str">
        <f>VLOOKUP(G153,SETTINGS!$B$7:$D$97,2,0)</f>
        <v>EKOplus</v>
      </c>
      <c r="I153" s="796">
        <f>VLOOKUP(G153,SETTINGS!$B$7:$D$97,3,0)</f>
        <v>0</v>
      </c>
      <c r="J153" s="670" t="str">
        <f>IFERROR(IF(CURRENCY.FORMAT_1=0,CONCATENATE(TEXT(FIXED(ROUND((C153/EXC.RATE_1),CURRENCY.FORMAT_1),CURRENCY.FORMAT_1,1),"# ##0;-# ##0"),",-"),FIXED(ROUND((C153/EXC.RATE_1),CURRENCY.FORMAT_1),CURRENCY.FORMAT_1,0)),'DICTIONARY-5'!$A$2)</f>
        <v>5 192,-</v>
      </c>
      <c r="K153" s="670" t="str">
        <f>IF(EXC.RATE_2=0,"",IFERROR(IF(CURRENCY.FORMAT_2=0,CONCATENATE(TEXT(FIXED(ROUND(IF(EXC.RATE.SWITCH=1,C153/EXC.RATE_2,C153*EXC.RATE_2),CURRENCY.FORMAT_2),CURRENCY.FORMAT_2,1),"# ##0;-# ##0"),",-"),FIXED(ROUND(IF(EXC.RATE.SWITCH=1,C153/EXC.RATE_2,C153*EXC.RATE_2),CURRENCY.FORMAT_2),CURRENCY.FORMAT_2,0)),'DICTIONARY-5'!$A$2))</f>
        <v/>
      </c>
      <c r="L153" s="670" t="str">
        <f>IFERROR(IF(CURRENCY.FORMAT_1=0,CONCATENATE(TEXT(FIXED(ROUND((C153*(1-I153)*(1-ADD.DISCOUNT)*(1+MAT.SURCHARGE)/EXC.RATE_1),CURRENCY.FORMAT_1),CURRENCY.FORMAT_1,1),"# ##0;-# ##0"),",-"),FIXED(ROUND((C153*(1-I153)*(1-ADD.DISCOUNT)*(1+MAT.SURCHARGE)/EXC.RATE_1),CURRENCY.FORMAT_1),CURRENCY.FORMAT_1,0)),'DICTIONARY-5'!$A$2)</f>
        <v>5 394,-</v>
      </c>
      <c r="M153" s="670" t="str">
        <f>IF(EXC.RATE_2=0,"",IFERROR(IF(CURRENCY.FORMAT_2=0,CONCATENATE(TEXT(FIXED(ROUND(IF(EXC.RATE.SWITCH=1,C153*(1-I153)*(1-ADD.DISCOUNT)*(1+MAT.SURCHARGE)/EXC.RATE_2,C153*(1-I153)*(1-ADD.DISCOUNT)*(1+MAT.SURCHARGE)*EXC.RATE_2),CURRENCY.FORMAT_2),CURRENCY.FORMAT_2,1),"# ##0;-# ##0"),",-"),FIXED(ROUND(IF(EXC.RATE.SWITCH=1,C153*(1-I153)*(1-ADD.DISCOUNT)*(1+MAT.SURCHARGE)/EXC.RATE_2,C153*(1-I153)*(1-ADD.DISCOUNT)*(1+MAT.SURCHARGE)*EXC.RATE_2),CURRENCY.FORMAT_2),CURRENCY.FORMAT_2,0)),'DICTIONARY-5'!$A$2))</f>
        <v/>
      </c>
      <c r="N153" s="496">
        <v>1</v>
      </c>
      <c r="O153" s="496"/>
      <c r="P153" s="731" t="str">
        <f>'DICTIONARY-3'!$A$2</f>
        <v>EKOplus</v>
      </c>
      <c r="Q153" s="732" t="str">
        <f>'DICTIONARY-3'!$A$187</f>
        <v>Zasuwa klinowa</v>
      </c>
      <c r="R153" s="732" t="str">
        <f>CONCATENATE('DICTIONARY-3'!$A$2," ",'DICTIONARY-6'!$A$3," ",'DICTIONARY-2'!$A$2,"600/",'DICTIONARY-6'!$A$46,'DICTIONARY-2'!$A$2,"500"," ",'DICTIONARY-2'!$A$3,"16"," ","R15",", ",'DICTIONARY-4'!$A$11)</f>
        <v>EKOplus Zasuwa DN600/reduk.DN500 PN16 R15, PNE</v>
      </c>
      <c r="S153" s="733" t="str">
        <f>'DICTIONARY-4'!$A$11</f>
        <v>PNE</v>
      </c>
      <c r="T153" s="732" t="str">
        <f>'DICTIONARY-4'!$A$27</f>
        <v>Przygotowane pod napęd elektryczny</v>
      </c>
      <c r="U153" s="734" t="s">
        <v>5757</v>
      </c>
      <c r="V153" s="735">
        <v>16</v>
      </c>
      <c r="W153" s="736"/>
      <c r="X153" s="737"/>
      <c r="Y153" s="738"/>
      <c r="Z153" s="739"/>
      <c r="AA153" s="739"/>
      <c r="AB153" s="740">
        <v>10</v>
      </c>
      <c r="AC153" s="741" t="str">
        <f>'DICTIONARY-5'!$A$11&amp;" 15"</f>
        <v>EN 558 szereg 15</v>
      </c>
      <c r="AD153" s="741" t="str">
        <f>'DICTIONARY-5'!$A$13</f>
        <v>woda pitna</v>
      </c>
      <c r="AE153" s="742">
        <v>50</v>
      </c>
      <c r="AF153" s="743">
        <v>602</v>
      </c>
      <c r="AG153" s="741" t="str">
        <f>'DICTIONARY-5'!$A$23</f>
        <v>powłoka epoksydowa</v>
      </c>
    </row>
    <row r="154" spans="1:33" x14ac:dyDescent="0.25">
      <c r="A154" s="837" t="s">
        <v>219</v>
      </c>
      <c r="B154" s="837" t="s">
        <v>3107</v>
      </c>
      <c r="C154" s="836">
        <v>2166</v>
      </c>
      <c r="D154" s="836"/>
      <c r="E154" s="836"/>
      <c r="F154" s="836"/>
      <c r="G154" s="496" t="s">
        <v>7790</v>
      </c>
      <c r="H154" s="797" t="str">
        <f>VLOOKUP(G154,SETTINGS!$B$7:$D$97,2,0)</f>
        <v>EKOplus (with Actuator)</v>
      </c>
      <c r="I154" s="796">
        <f>VLOOKUP(G154,SETTINGS!$B$7:$D$97,3,0)</f>
        <v>0</v>
      </c>
      <c r="J154" s="670" t="str">
        <f>IFERROR(IF(CURRENCY.FORMAT_1=0,CONCATENATE(TEXT(FIXED(ROUND((C154/EXC.RATE_1),CURRENCY.FORMAT_1),CURRENCY.FORMAT_1,1),"# ##0;-# ##0"),",-"),FIXED(ROUND((C154/EXC.RATE_1),CURRENCY.FORMAT_1),CURRENCY.FORMAT_1,0)),'DICTIONARY-5'!$A$2)</f>
        <v>2 166,-</v>
      </c>
      <c r="K154" s="670" t="str">
        <f>IF(EXC.RATE_2=0,"",IFERROR(IF(CURRENCY.FORMAT_2=0,CONCATENATE(TEXT(FIXED(ROUND(IF(EXC.RATE.SWITCH=1,C154/EXC.RATE_2,C154*EXC.RATE_2),CURRENCY.FORMAT_2),CURRENCY.FORMAT_2,1),"# ##0;-# ##0"),",-"),FIXED(ROUND(IF(EXC.RATE.SWITCH=1,C154/EXC.RATE_2,C154*EXC.RATE_2),CURRENCY.FORMAT_2),CURRENCY.FORMAT_2,0)),'DICTIONARY-5'!$A$2))</f>
        <v/>
      </c>
      <c r="L154" s="670" t="str">
        <f>IFERROR(IF(CURRENCY.FORMAT_1=0,CONCATENATE(TEXT(FIXED(ROUND((C154*(1-I154)*(1-ADD.DISCOUNT)*(1+MAT.SURCHARGE)/EXC.RATE_1),CURRENCY.FORMAT_1),CURRENCY.FORMAT_1,1),"# ##0;-# ##0"),",-"),FIXED(ROUND((C154*(1-I154)*(1-ADD.DISCOUNT)*(1+MAT.SURCHARGE)/EXC.RATE_1),CURRENCY.FORMAT_1),CURRENCY.FORMAT_1,0)),'DICTIONARY-5'!$A$2)</f>
        <v>2 250,-</v>
      </c>
      <c r="M154" s="670" t="str">
        <f>IF(EXC.RATE_2=0,"",IFERROR(IF(CURRENCY.FORMAT_2=0,CONCATENATE(TEXT(FIXED(ROUND(IF(EXC.RATE.SWITCH=1,C154*(1-I154)*(1-ADD.DISCOUNT)*(1+MAT.SURCHARGE)/EXC.RATE_2,C154*(1-I154)*(1-ADD.DISCOUNT)*(1+MAT.SURCHARGE)*EXC.RATE_2),CURRENCY.FORMAT_2),CURRENCY.FORMAT_2,1),"# ##0;-# ##0"),",-"),FIXED(ROUND(IF(EXC.RATE.SWITCH=1,C154*(1-I154)*(1-ADD.DISCOUNT)*(1+MAT.SURCHARGE)/EXC.RATE_2,C154*(1-I154)*(1-ADD.DISCOUNT)*(1+MAT.SURCHARGE)*EXC.RATE_2),CURRENCY.FORMAT_2),CURRENCY.FORMAT_2,0)),'DICTIONARY-5'!$A$2))</f>
        <v/>
      </c>
      <c r="N154" s="496">
        <v>1</v>
      </c>
      <c r="O154" s="496"/>
      <c r="P154" s="731" t="str">
        <f>'DICTIONARY-3'!$A$2</f>
        <v>EKOplus</v>
      </c>
      <c r="Q154" s="732" t="str">
        <f>'DICTIONARY-3'!$A$187</f>
        <v>Zasuwa klinowa</v>
      </c>
      <c r="R154" s="732" t="str">
        <f>CONCATENATE('DICTIONARY-3'!$A$2," ",'DICTIONARY-6'!$A$3," ",'DICTIONARY-2'!$A$2,"40"," ",'DICTIONARY-2'!$A$3,"10/16"," ","R14",", ","AUMA")</f>
        <v>EKOplus Zasuwa DN40 PN10/16 R14, AUMA</v>
      </c>
      <c r="S154" s="733" t="str">
        <f>'DICTIONARY-4'!$A$4</f>
        <v>NE</v>
      </c>
      <c r="T154" s="732" t="str">
        <f>'DICTIONARY-4'!$A$20</f>
        <v>Napęd elektryczny</v>
      </c>
      <c r="U154" s="734" t="s">
        <v>5758</v>
      </c>
      <c r="V154" s="735">
        <v>16</v>
      </c>
      <c r="W154" s="736"/>
      <c r="X154" s="737"/>
      <c r="Y154" s="738"/>
      <c r="Z154" s="739"/>
      <c r="AA154" s="739"/>
      <c r="AB154" s="740">
        <v>16</v>
      </c>
      <c r="AC154" s="741" t="str">
        <f>'DICTIONARY-5'!$A$11&amp;" 14"</f>
        <v>EN 558 szereg 14</v>
      </c>
      <c r="AD154" s="741" t="str">
        <f>'DICTIONARY-5'!$A$13</f>
        <v>woda pitna</v>
      </c>
      <c r="AE154" s="742">
        <v>50</v>
      </c>
      <c r="AF154" s="743">
        <v>27</v>
      </c>
      <c r="AG154" s="741" t="str">
        <f>'DICTIONARY-5'!$A$23</f>
        <v>powłoka epoksydowa</v>
      </c>
    </row>
    <row r="155" spans="1:33" x14ac:dyDescent="0.25">
      <c r="A155" s="837" t="s">
        <v>221</v>
      </c>
      <c r="B155" s="837" t="s">
        <v>3108</v>
      </c>
      <c r="C155" s="836">
        <v>2168</v>
      </c>
      <c r="D155" s="836"/>
      <c r="E155" s="836"/>
      <c r="F155" s="836"/>
      <c r="G155" s="496" t="s">
        <v>7790</v>
      </c>
      <c r="H155" s="797" t="str">
        <f>VLOOKUP(G155,SETTINGS!$B$7:$D$97,2,0)</f>
        <v>EKOplus (with Actuator)</v>
      </c>
      <c r="I155" s="796">
        <f>VLOOKUP(G155,SETTINGS!$B$7:$D$97,3,0)</f>
        <v>0</v>
      </c>
      <c r="J155" s="670" t="str">
        <f>IFERROR(IF(CURRENCY.FORMAT_1=0,CONCATENATE(TEXT(FIXED(ROUND((C155/EXC.RATE_1),CURRENCY.FORMAT_1),CURRENCY.FORMAT_1,1),"# ##0;-# ##0"),",-"),FIXED(ROUND((C155/EXC.RATE_1),CURRENCY.FORMAT_1),CURRENCY.FORMAT_1,0)),'DICTIONARY-5'!$A$2)</f>
        <v>2 168,-</v>
      </c>
      <c r="K155" s="670" t="str">
        <f>IF(EXC.RATE_2=0,"",IFERROR(IF(CURRENCY.FORMAT_2=0,CONCATENATE(TEXT(FIXED(ROUND(IF(EXC.RATE.SWITCH=1,C155/EXC.RATE_2,C155*EXC.RATE_2),CURRENCY.FORMAT_2),CURRENCY.FORMAT_2,1),"# ##0;-# ##0"),",-"),FIXED(ROUND(IF(EXC.RATE.SWITCH=1,C155/EXC.RATE_2,C155*EXC.RATE_2),CURRENCY.FORMAT_2),CURRENCY.FORMAT_2,0)),'DICTIONARY-5'!$A$2))</f>
        <v/>
      </c>
      <c r="L155" s="670" t="str">
        <f>IFERROR(IF(CURRENCY.FORMAT_1=0,CONCATENATE(TEXT(FIXED(ROUND((C155*(1-I155)*(1-ADD.DISCOUNT)*(1+MAT.SURCHARGE)/EXC.RATE_1),CURRENCY.FORMAT_1),CURRENCY.FORMAT_1,1),"# ##0;-# ##0"),",-"),FIXED(ROUND((C155*(1-I155)*(1-ADD.DISCOUNT)*(1+MAT.SURCHARGE)/EXC.RATE_1),CURRENCY.FORMAT_1),CURRENCY.FORMAT_1,0)),'DICTIONARY-5'!$A$2)</f>
        <v>2 253,-</v>
      </c>
      <c r="M155" s="670" t="str">
        <f>IF(EXC.RATE_2=0,"",IFERROR(IF(CURRENCY.FORMAT_2=0,CONCATENATE(TEXT(FIXED(ROUND(IF(EXC.RATE.SWITCH=1,C155*(1-I155)*(1-ADD.DISCOUNT)*(1+MAT.SURCHARGE)/EXC.RATE_2,C155*(1-I155)*(1-ADD.DISCOUNT)*(1+MAT.SURCHARGE)*EXC.RATE_2),CURRENCY.FORMAT_2),CURRENCY.FORMAT_2,1),"# ##0;-# ##0"),",-"),FIXED(ROUND(IF(EXC.RATE.SWITCH=1,C155*(1-I155)*(1-ADD.DISCOUNT)*(1+MAT.SURCHARGE)/EXC.RATE_2,C155*(1-I155)*(1-ADD.DISCOUNT)*(1+MAT.SURCHARGE)*EXC.RATE_2),CURRENCY.FORMAT_2),CURRENCY.FORMAT_2,0)),'DICTIONARY-5'!$A$2))</f>
        <v/>
      </c>
      <c r="N155" s="496">
        <v>1</v>
      </c>
      <c r="O155" s="496"/>
      <c r="P155" s="731" t="str">
        <f>'DICTIONARY-3'!$A$2</f>
        <v>EKOplus</v>
      </c>
      <c r="Q155" s="732" t="str">
        <f>'DICTIONARY-3'!$A$187</f>
        <v>Zasuwa klinowa</v>
      </c>
      <c r="R155" s="732" t="str">
        <f>CONCATENATE('DICTIONARY-3'!$A$2," ",'DICTIONARY-6'!$A$3," ",'DICTIONARY-2'!$A$2,"50"," ",'DICTIONARY-2'!$A$3,"10/16"," ","R14",", ","AUMA")</f>
        <v>EKOplus Zasuwa DN50 PN10/16 R14, AUMA</v>
      </c>
      <c r="S155" s="733" t="str">
        <f>'DICTIONARY-4'!$A$4</f>
        <v>NE</v>
      </c>
      <c r="T155" s="732" t="str">
        <f>'DICTIONARY-4'!$A$20</f>
        <v>Napęd elektryczny</v>
      </c>
      <c r="U155" s="734" t="s">
        <v>5748</v>
      </c>
      <c r="V155" s="735">
        <v>16</v>
      </c>
      <c r="W155" s="736"/>
      <c r="X155" s="737"/>
      <c r="Y155" s="738"/>
      <c r="Z155" s="739"/>
      <c r="AA155" s="739"/>
      <c r="AB155" s="740">
        <v>16</v>
      </c>
      <c r="AC155" s="741" t="str">
        <f>'DICTIONARY-5'!$A$11&amp;" 14"</f>
        <v>EN 558 szereg 14</v>
      </c>
      <c r="AD155" s="741" t="str">
        <f>'DICTIONARY-5'!$A$13</f>
        <v>woda pitna</v>
      </c>
      <c r="AE155" s="742">
        <v>50</v>
      </c>
      <c r="AF155" s="743">
        <v>38</v>
      </c>
      <c r="AG155" s="741" t="str">
        <f>'DICTIONARY-5'!$A$23</f>
        <v>powłoka epoksydowa</v>
      </c>
    </row>
    <row r="156" spans="1:33" x14ac:dyDescent="0.25">
      <c r="A156" s="837" t="s">
        <v>223</v>
      </c>
      <c r="B156" s="837" t="s">
        <v>3109</v>
      </c>
      <c r="C156" s="836">
        <v>2227</v>
      </c>
      <c r="D156" s="836"/>
      <c r="E156" s="836"/>
      <c r="F156" s="836"/>
      <c r="G156" s="496" t="s">
        <v>7790</v>
      </c>
      <c r="H156" s="797" t="str">
        <f>VLOOKUP(G156,SETTINGS!$B$7:$D$97,2,0)</f>
        <v>EKOplus (with Actuator)</v>
      </c>
      <c r="I156" s="796">
        <f>VLOOKUP(G156,SETTINGS!$B$7:$D$97,3,0)</f>
        <v>0</v>
      </c>
      <c r="J156" s="670" t="str">
        <f>IFERROR(IF(CURRENCY.FORMAT_1=0,CONCATENATE(TEXT(FIXED(ROUND((C156/EXC.RATE_1),CURRENCY.FORMAT_1),CURRENCY.FORMAT_1,1),"# ##0;-# ##0"),",-"),FIXED(ROUND((C156/EXC.RATE_1),CURRENCY.FORMAT_1),CURRENCY.FORMAT_1,0)),'DICTIONARY-5'!$A$2)</f>
        <v>2 227,-</v>
      </c>
      <c r="K156" s="670" t="str">
        <f>IF(EXC.RATE_2=0,"",IFERROR(IF(CURRENCY.FORMAT_2=0,CONCATENATE(TEXT(FIXED(ROUND(IF(EXC.RATE.SWITCH=1,C156/EXC.RATE_2,C156*EXC.RATE_2),CURRENCY.FORMAT_2),CURRENCY.FORMAT_2,1),"# ##0;-# ##0"),",-"),FIXED(ROUND(IF(EXC.RATE.SWITCH=1,C156/EXC.RATE_2,C156*EXC.RATE_2),CURRENCY.FORMAT_2),CURRENCY.FORMAT_2,0)),'DICTIONARY-5'!$A$2))</f>
        <v/>
      </c>
      <c r="L156" s="670" t="str">
        <f>IFERROR(IF(CURRENCY.FORMAT_1=0,CONCATENATE(TEXT(FIXED(ROUND((C156*(1-I156)*(1-ADD.DISCOUNT)*(1+MAT.SURCHARGE)/EXC.RATE_1),CURRENCY.FORMAT_1),CURRENCY.FORMAT_1,1),"# ##0;-# ##0"),",-"),FIXED(ROUND((C156*(1-I156)*(1-ADD.DISCOUNT)*(1+MAT.SURCHARGE)/EXC.RATE_1),CURRENCY.FORMAT_1),CURRENCY.FORMAT_1,0)),'DICTIONARY-5'!$A$2)</f>
        <v>2 314,-</v>
      </c>
      <c r="M156" s="670" t="str">
        <f>IF(EXC.RATE_2=0,"",IFERROR(IF(CURRENCY.FORMAT_2=0,CONCATENATE(TEXT(FIXED(ROUND(IF(EXC.RATE.SWITCH=1,C156*(1-I156)*(1-ADD.DISCOUNT)*(1+MAT.SURCHARGE)/EXC.RATE_2,C156*(1-I156)*(1-ADD.DISCOUNT)*(1+MAT.SURCHARGE)*EXC.RATE_2),CURRENCY.FORMAT_2),CURRENCY.FORMAT_2,1),"# ##0;-# ##0"),",-"),FIXED(ROUND(IF(EXC.RATE.SWITCH=1,C156*(1-I156)*(1-ADD.DISCOUNT)*(1+MAT.SURCHARGE)/EXC.RATE_2,C156*(1-I156)*(1-ADD.DISCOUNT)*(1+MAT.SURCHARGE)*EXC.RATE_2),CURRENCY.FORMAT_2),CURRENCY.FORMAT_2,0)),'DICTIONARY-5'!$A$2))</f>
        <v/>
      </c>
      <c r="N156" s="496">
        <v>1</v>
      </c>
      <c r="O156" s="496"/>
      <c r="P156" s="731" t="str">
        <f>'DICTIONARY-3'!$A$2</f>
        <v>EKOplus</v>
      </c>
      <c r="Q156" s="732" t="str">
        <f>'DICTIONARY-3'!$A$187</f>
        <v>Zasuwa klinowa</v>
      </c>
      <c r="R156" s="732" t="str">
        <f>CONCATENATE('DICTIONARY-3'!$A$2," ",'DICTIONARY-6'!$A$3," ",'DICTIONARY-2'!$A$2,"65"," ",'DICTIONARY-2'!$A$3,"10/16"," ","R14",", ","AUMA")</f>
        <v>EKOplus Zasuwa DN65 PN10/16 R14, AUMA</v>
      </c>
      <c r="S156" s="733" t="str">
        <f>'DICTIONARY-4'!$A$4</f>
        <v>NE</v>
      </c>
      <c r="T156" s="732" t="str">
        <f>'DICTIONARY-4'!$A$20</f>
        <v>Napęd elektryczny</v>
      </c>
      <c r="U156" s="734" t="s">
        <v>5759</v>
      </c>
      <c r="V156" s="735">
        <v>16</v>
      </c>
      <c r="W156" s="736"/>
      <c r="X156" s="737"/>
      <c r="Y156" s="738"/>
      <c r="Z156" s="739"/>
      <c r="AA156" s="739"/>
      <c r="AB156" s="740">
        <v>16</v>
      </c>
      <c r="AC156" s="741" t="str">
        <f>'DICTIONARY-5'!$A$11&amp;" 14"</f>
        <v>EN 558 szereg 14</v>
      </c>
      <c r="AD156" s="741" t="str">
        <f>'DICTIONARY-5'!$A$13</f>
        <v>woda pitna</v>
      </c>
      <c r="AE156" s="742">
        <v>50</v>
      </c>
      <c r="AF156" s="743">
        <v>35.5</v>
      </c>
      <c r="AG156" s="741" t="str">
        <f>'DICTIONARY-5'!$A$23</f>
        <v>powłoka epoksydowa</v>
      </c>
    </row>
    <row r="157" spans="1:33" x14ac:dyDescent="0.25">
      <c r="A157" s="837" t="s">
        <v>225</v>
      </c>
      <c r="B157" s="837" t="s">
        <v>3110</v>
      </c>
      <c r="C157" s="836">
        <v>2231</v>
      </c>
      <c r="D157" s="836"/>
      <c r="E157" s="836"/>
      <c r="F157" s="836"/>
      <c r="G157" s="496" t="s">
        <v>7790</v>
      </c>
      <c r="H157" s="797" t="str">
        <f>VLOOKUP(G157,SETTINGS!$B$7:$D$97,2,0)</f>
        <v>EKOplus (with Actuator)</v>
      </c>
      <c r="I157" s="796">
        <f>VLOOKUP(G157,SETTINGS!$B$7:$D$97,3,0)</f>
        <v>0</v>
      </c>
      <c r="J157" s="670" t="str">
        <f>IFERROR(IF(CURRENCY.FORMAT_1=0,CONCATENATE(TEXT(FIXED(ROUND((C157/EXC.RATE_1),CURRENCY.FORMAT_1),CURRENCY.FORMAT_1,1),"# ##0;-# ##0"),",-"),FIXED(ROUND((C157/EXC.RATE_1),CURRENCY.FORMAT_1),CURRENCY.FORMAT_1,0)),'DICTIONARY-5'!$A$2)</f>
        <v>2 231,-</v>
      </c>
      <c r="K157" s="670" t="str">
        <f>IF(EXC.RATE_2=0,"",IFERROR(IF(CURRENCY.FORMAT_2=0,CONCATENATE(TEXT(FIXED(ROUND(IF(EXC.RATE.SWITCH=1,C157/EXC.RATE_2,C157*EXC.RATE_2),CURRENCY.FORMAT_2),CURRENCY.FORMAT_2,1),"# ##0;-# ##0"),",-"),FIXED(ROUND(IF(EXC.RATE.SWITCH=1,C157/EXC.RATE_2,C157*EXC.RATE_2),CURRENCY.FORMAT_2),CURRENCY.FORMAT_2,0)),'DICTIONARY-5'!$A$2))</f>
        <v/>
      </c>
      <c r="L157" s="670" t="str">
        <f>IFERROR(IF(CURRENCY.FORMAT_1=0,CONCATENATE(TEXT(FIXED(ROUND((C157*(1-I157)*(1-ADD.DISCOUNT)*(1+MAT.SURCHARGE)/EXC.RATE_1),CURRENCY.FORMAT_1),CURRENCY.FORMAT_1,1),"# ##0;-# ##0"),",-"),FIXED(ROUND((C157*(1-I157)*(1-ADD.DISCOUNT)*(1+MAT.SURCHARGE)/EXC.RATE_1),CURRENCY.FORMAT_1),CURRENCY.FORMAT_1,0)),'DICTIONARY-5'!$A$2)</f>
        <v>2 318,-</v>
      </c>
      <c r="M157" s="670" t="str">
        <f>IF(EXC.RATE_2=0,"",IFERROR(IF(CURRENCY.FORMAT_2=0,CONCATENATE(TEXT(FIXED(ROUND(IF(EXC.RATE.SWITCH=1,C157*(1-I157)*(1-ADD.DISCOUNT)*(1+MAT.SURCHARGE)/EXC.RATE_2,C157*(1-I157)*(1-ADD.DISCOUNT)*(1+MAT.SURCHARGE)*EXC.RATE_2),CURRENCY.FORMAT_2),CURRENCY.FORMAT_2,1),"# ##0;-# ##0"),",-"),FIXED(ROUND(IF(EXC.RATE.SWITCH=1,C157*(1-I157)*(1-ADD.DISCOUNT)*(1+MAT.SURCHARGE)/EXC.RATE_2,C157*(1-I157)*(1-ADD.DISCOUNT)*(1+MAT.SURCHARGE)*EXC.RATE_2),CURRENCY.FORMAT_2),CURRENCY.FORMAT_2,0)),'DICTIONARY-5'!$A$2))</f>
        <v/>
      </c>
      <c r="N157" s="496">
        <v>1</v>
      </c>
      <c r="O157" s="496"/>
      <c r="P157" s="731" t="str">
        <f>'DICTIONARY-3'!$A$2</f>
        <v>EKOplus</v>
      </c>
      <c r="Q157" s="732" t="str">
        <f>'DICTIONARY-3'!$A$187</f>
        <v>Zasuwa klinowa</v>
      </c>
      <c r="R157" s="732" t="str">
        <f>CONCATENATE('DICTIONARY-3'!$A$2," ",'DICTIONARY-6'!$A$3," ",'DICTIONARY-2'!$A$2,"80"," ",'DICTIONARY-2'!$A$3,"10/16"," ","R14",", ","AUMA")</f>
        <v>EKOplus Zasuwa DN80 PN10/16 R14, AUMA</v>
      </c>
      <c r="S157" s="733" t="str">
        <f>'DICTIONARY-4'!$A$4</f>
        <v>NE</v>
      </c>
      <c r="T157" s="732" t="str">
        <f>'DICTIONARY-4'!$A$20</f>
        <v>Napęd elektryczny</v>
      </c>
      <c r="U157" s="734" t="s">
        <v>5760</v>
      </c>
      <c r="V157" s="735">
        <v>16</v>
      </c>
      <c r="W157" s="736"/>
      <c r="X157" s="737"/>
      <c r="Y157" s="738"/>
      <c r="Z157" s="739"/>
      <c r="AA157" s="739"/>
      <c r="AB157" s="740">
        <v>16</v>
      </c>
      <c r="AC157" s="741" t="str">
        <f>'DICTIONARY-5'!$A$11&amp;" 14"</f>
        <v>EN 558 szereg 14</v>
      </c>
      <c r="AD157" s="741" t="str">
        <f>'DICTIONARY-5'!$A$13</f>
        <v>woda pitna</v>
      </c>
      <c r="AE157" s="742">
        <v>50</v>
      </c>
      <c r="AF157" s="743">
        <v>38</v>
      </c>
      <c r="AG157" s="741" t="str">
        <f>'DICTIONARY-5'!$A$23</f>
        <v>powłoka epoksydowa</v>
      </c>
    </row>
    <row r="158" spans="1:33" x14ac:dyDescent="0.25">
      <c r="A158" s="837" t="s">
        <v>227</v>
      </c>
      <c r="B158" s="837" t="s">
        <v>3111</v>
      </c>
      <c r="C158" s="836">
        <v>2258</v>
      </c>
      <c r="D158" s="836"/>
      <c r="E158" s="836"/>
      <c r="F158" s="836"/>
      <c r="G158" s="496" t="s">
        <v>7790</v>
      </c>
      <c r="H158" s="797" t="str">
        <f>VLOOKUP(G158,SETTINGS!$B$7:$D$97,2,0)</f>
        <v>EKOplus (with Actuator)</v>
      </c>
      <c r="I158" s="796">
        <f>VLOOKUP(G158,SETTINGS!$B$7:$D$97,3,0)</f>
        <v>0</v>
      </c>
      <c r="J158" s="670" t="str">
        <f>IFERROR(IF(CURRENCY.FORMAT_1=0,CONCATENATE(TEXT(FIXED(ROUND((C158/EXC.RATE_1),CURRENCY.FORMAT_1),CURRENCY.FORMAT_1,1),"# ##0;-# ##0"),",-"),FIXED(ROUND((C158/EXC.RATE_1),CURRENCY.FORMAT_1),CURRENCY.FORMAT_1,0)),'DICTIONARY-5'!$A$2)</f>
        <v>2 258,-</v>
      </c>
      <c r="K158" s="670" t="str">
        <f>IF(EXC.RATE_2=0,"",IFERROR(IF(CURRENCY.FORMAT_2=0,CONCATENATE(TEXT(FIXED(ROUND(IF(EXC.RATE.SWITCH=1,C158/EXC.RATE_2,C158*EXC.RATE_2),CURRENCY.FORMAT_2),CURRENCY.FORMAT_2,1),"# ##0;-# ##0"),",-"),FIXED(ROUND(IF(EXC.RATE.SWITCH=1,C158/EXC.RATE_2,C158*EXC.RATE_2),CURRENCY.FORMAT_2),CURRENCY.FORMAT_2,0)),'DICTIONARY-5'!$A$2))</f>
        <v/>
      </c>
      <c r="L158" s="670" t="str">
        <f>IFERROR(IF(CURRENCY.FORMAT_1=0,CONCATENATE(TEXT(FIXED(ROUND((C158*(1-I158)*(1-ADD.DISCOUNT)*(1+MAT.SURCHARGE)/EXC.RATE_1),CURRENCY.FORMAT_1),CURRENCY.FORMAT_1,1),"# ##0;-# ##0"),",-"),FIXED(ROUND((C158*(1-I158)*(1-ADD.DISCOUNT)*(1+MAT.SURCHARGE)/EXC.RATE_1),CURRENCY.FORMAT_1),CURRENCY.FORMAT_1,0)),'DICTIONARY-5'!$A$2)</f>
        <v>2 346,-</v>
      </c>
      <c r="M158" s="670" t="str">
        <f>IF(EXC.RATE_2=0,"",IFERROR(IF(CURRENCY.FORMAT_2=0,CONCATENATE(TEXT(FIXED(ROUND(IF(EXC.RATE.SWITCH=1,C158*(1-I158)*(1-ADD.DISCOUNT)*(1+MAT.SURCHARGE)/EXC.RATE_2,C158*(1-I158)*(1-ADD.DISCOUNT)*(1+MAT.SURCHARGE)*EXC.RATE_2),CURRENCY.FORMAT_2),CURRENCY.FORMAT_2,1),"# ##0;-# ##0"),",-"),FIXED(ROUND(IF(EXC.RATE.SWITCH=1,C158*(1-I158)*(1-ADD.DISCOUNT)*(1+MAT.SURCHARGE)/EXC.RATE_2,C158*(1-I158)*(1-ADD.DISCOUNT)*(1+MAT.SURCHARGE)*EXC.RATE_2),CURRENCY.FORMAT_2),CURRENCY.FORMAT_2,0)),'DICTIONARY-5'!$A$2))</f>
        <v/>
      </c>
      <c r="N158" s="496">
        <v>1</v>
      </c>
      <c r="O158" s="496"/>
      <c r="P158" s="731" t="str">
        <f>'DICTIONARY-3'!$A$2</f>
        <v>EKOplus</v>
      </c>
      <c r="Q158" s="732" t="str">
        <f>'DICTIONARY-3'!$A$187</f>
        <v>Zasuwa klinowa</v>
      </c>
      <c r="R158" s="732" t="str">
        <f>CONCATENATE('DICTIONARY-3'!$A$2," ",'DICTIONARY-6'!$A$3," ",'DICTIONARY-2'!$A$2,"100"," ",'DICTIONARY-2'!$A$3,"10/16"," ","R14",", ","AUMA")</f>
        <v>EKOplus Zasuwa DN100 PN10/16 R14, AUMA</v>
      </c>
      <c r="S158" s="733" t="str">
        <f>'DICTIONARY-4'!$A$4</f>
        <v>NE</v>
      </c>
      <c r="T158" s="732" t="str">
        <f>'DICTIONARY-4'!$A$20</f>
        <v>Napęd elektryczny</v>
      </c>
      <c r="U158" s="734" t="s">
        <v>5749</v>
      </c>
      <c r="V158" s="735">
        <v>16</v>
      </c>
      <c r="W158" s="736"/>
      <c r="X158" s="737"/>
      <c r="Y158" s="738"/>
      <c r="Z158" s="739"/>
      <c r="AA158" s="739"/>
      <c r="AB158" s="740">
        <v>16</v>
      </c>
      <c r="AC158" s="741" t="str">
        <f>'DICTIONARY-5'!$A$11&amp;" 14"</f>
        <v>EN 558 szereg 14</v>
      </c>
      <c r="AD158" s="741" t="str">
        <f>'DICTIONARY-5'!$A$13</f>
        <v>woda pitna</v>
      </c>
      <c r="AE158" s="742">
        <v>50</v>
      </c>
      <c r="AF158" s="743">
        <v>42</v>
      </c>
      <c r="AG158" s="741" t="str">
        <f>'DICTIONARY-5'!$A$23</f>
        <v>powłoka epoksydowa</v>
      </c>
    </row>
    <row r="159" spans="1:33" x14ac:dyDescent="0.25">
      <c r="A159" s="837" t="s">
        <v>229</v>
      </c>
      <c r="B159" s="837" t="s">
        <v>3112</v>
      </c>
      <c r="C159" s="836">
        <v>2894</v>
      </c>
      <c r="D159" s="836"/>
      <c r="E159" s="836"/>
      <c r="F159" s="836"/>
      <c r="G159" s="496" t="s">
        <v>7790</v>
      </c>
      <c r="H159" s="797" t="str">
        <f>VLOOKUP(G159,SETTINGS!$B$7:$D$97,2,0)</f>
        <v>EKOplus (with Actuator)</v>
      </c>
      <c r="I159" s="796">
        <f>VLOOKUP(G159,SETTINGS!$B$7:$D$97,3,0)</f>
        <v>0</v>
      </c>
      <c r="J159" s="670" t="str">
        <f>IFERROR(IF(CURRENCY.FORMAT_1=0,CONCATENATE(TEXT(FIXED(ROUND((C159/EXC.RATE_1),CURRENCY.FORMAT_1),CURRENCY.FORMAT_1,1),"# ##0;-# ##0"),",-"),FIXED(ROUND((C159/EXC.RATE_1),CURRENCY.FORMAT_1),CURRENCY.FORMAT_1,0)),'DICTIONARY-5'!$A$2)</f>
        <v>2 894,-</v>
      </c>
      <c r="K159" s="670" t="str">
        <f>IF(EXC.RATE_2=0,"",IFERROR(IF(CURRENCY.FORMAT_2=0,CONCATENATE(TEXT(FIXED(ROUND(IF(EXC.RATE.SWITCH=1,C159/EXC.RATE_2,C159*EXC.RATE_2),CURRENCY.FORMAT_2),CURRENCY.FORMAT_2,1),"# ##0;-# ##0"),",-"),FIXED(ROUND(IF(EXC.RATE.SWITCH=1,C159/EXC.RATE_2,C159*EXC.RATE_2),CURRENCY.FORMAT_2),CURRENCY.FORMAT_2,0)),'DICTIONARY-5'!$A$2))</f>
        <v/>
      </c>
      <c r="L159" s="670" t="str">
        <f>IFERROR(IF(CURRENCY.FORMAT_1=0,CONCATENATE(TEXT(FIXED(ROUND((C159*(1-I159)*(1-ADD.DISCOUNT)*(1+MAT.SURCHARGE)/EXC.RATE_1),CURRENCY.FORMAT_1),CURRENCY.FORMAT_1,1),"# ##0;-# ##0"),",-"),FIXED(ROUND((C159*(1-I159)*(1-ADD.DISCOUNT)*(1+MAT.SURCHARGE)/EXC.RATE_1),CURRENCY.FORMAT_1),CURRENCY.FORMAT_1,0)),'DICTIONARY-5'!$A$2)</f>
        <v>3 007,-</v>
      </c>
      <c r="M159" s="670" t="str">
        <f>IF(EXC.RATE_2=0,"",IFERROR(IF(CURRENCY.FORMAT_2=0,CONCATENATE(TEXT(FIXED(ROUND(IF(EXC.RATE.SWITCH=1,C159*(1-I159)*(1-ADD.DISCOUNT)*(1+MAT.SURCHARGE)/EXC.RATE_2,C159*(1-I159)*(1-ADD.DISCOUNT)*(1+MAT.SURCHARGE)*EXC.RATE_2),CURRENCY.FORMAT_2),CURRENCY.FORMAT_2,1),"# ##0;-# ##0"),",-"),FIXED(ROUND(IF(EXC.RATE.SWITCH=1,C159*(1-I159)*(1-ADD.DISCOUNT)*(1+MAT.SURCHARGE)/EXC.RATE_2,C159*(1-I159)*(1-ADD.DISCOUNT)*(1+MAT.SURCHARGE)*EXC.RATE_2),CURRENCY.FORMAT_2),CURRENCY.FORMAT_2,0)),'DICTIONARY-5'!$A$2))</f>
        <v/>
      </c>
      <c r="N159" s="496">
        <v>1</v>
      </c>
      <c r="O159" s="496"/>
      <c r="P159" s="731" t="str">
        <f>'DICTIONARY-3'!$A$2</f>
        <v>EKOplus</v>
      </c>
      <c r="Q159" s="732" t="str">
        <f>'DICTIONARY-3'!$A$187</f>
        <v>Zasuwa klinowa</v>
      </c>
      <c r="R159" s="732" t="str">
        <f>CONCATENATE('DICTIONARY-3'!$A$2," ",'DICTIONARY-6'!$A$3," ",'DICTIONARY-2'!$A$2,"125"," ",'DICTIONARY-2'!$A$3,"10/16"," ","R14",", ","AUMA")</f>
        <v>EKOplus Zasuwa DN125 PN10/16 R14, AUMA</v>
      </c>
      <c r="S159" s="733" t="str">
        <f>'DICTIONARY-4'!$A$4</f>
        <v>NE</v>
      </c>
      <c r="T159" s="732" t="str">
        <f>'DICTIONARY-4'!$A$20</f>
        <v>Napęd elektryczny</v>
      </c>
      <c r="U159" s="734" t="s">
        <v>5761</v>
      </c>
      <c r="V159" s="735">
        <v>16</v>
      </c>
      <c r="W159" s="736"/>
      <c r="X159" s="737"/>
      <c r="Y159" s="738"/>
      <c r="Z159" s="739"/>
      <c r="AA159" s="739"/>
      <c r="AB159" s="740">
        <v>16</v>
      </c>
      <c r="AC159" s="741" t="str">
        <f>'DICTIONARY-5'!$A$11&amp;" 14"</f>
        <v>EN 558 szereg 14</v>
      </c>
      <c r="AD159" s="741" t="str">
        <f>'DICTIONARY-5'!$A$13</f>
        <v>woda pitna</v>
      </c>
      <c r="AE159" s="742">
        <v>50</v>
      </c>
      <c r="AF159" s="743">
        <v>52</v>
      </c>
      <c r="AG159" s="741" t="str">
        <f>'DICTIONARY-5'!$A$23</f>
        <v>powłoka epoksydowa</v>
      </c>
    </row>
    <row r="160" spans="1:33" x14ac:dyDescent="0.25">
      <c r="A160" s="837" t="s">
        <v>231</v>
      </c>
      <c r="B160" s="837" t="s">
        <v>3113</v>
      </c>
      <c r="C160" s="836">
        <v>2920</v>
      </c>
      <c r="D160" s="836"/>
      <c r="E160" s="836"/>
      <c r="F160" s="836"/>
      <c r="G160" s="496" t="s">
        <v>7790</v>
      </c>
      <c r="H160" s="797" t="str">
        <f>VLOOKUP(G160,SETTINGS!$B$7:$D$97,2,0)</f>
        <v>EKOplus (with Actuator)</v>
      </c>
      <c r="I160" s="796">
        <f>VLOOKUP(G160,SETTINGS!$B$7:$D$97,3,0)</f>
        <v>0</v>
      </c>
      <c r="J160" s="670" t="str">
        <f>IFERROR(IF(CURRENCY.FORMAT_1=0,CONCATENATE(TEXT(FIXED(ROUND((C160/EXC.RATE_1),CURRENCY.FORMAT_1),CURRENCY.FORMAT_1,1),"# ##0;-# ##0"),",-"),FIXED(ROUND((C160/EXC.RATE_1),CURRENCY.FORMAT_1),CURRENCY.FORMAT_1,0)),'DICTIONARY-5'!$A$2)</f>
        <v>2 920,-</v>
      </c>
      <c r="K160" s="670" t="str">
        <f>IF(EXC.RATE_2=0,"",IFERROR(IF(CURRENCY.FORMAT_2=0,CONCATENATE(TEXT(FIXED(ROUND(IF(EXC.RATE.SWITCH=1,C160/EXC.RATE_2,C160*EXC.RATE_2),CURRENCY.FORMAT_2),CURRENCY.FORMAT_2,1),"# ##0;-# ##0"),",-"),FIXED(ROUND(IF(EXC.RATE.SWITCH=1,C160/EXC.RATE_2,C160*EXC.RATE_2),CURRENCY.FORMAT_2),CURRENCY.FORMAT_2,0)),'DICTIONARY-5'!$A$2))</f>
        <v/>
      </c>
      <c r="L160" s="670" t="str">
        <f>IFERROR(IF(CURRENCY.FORMAT_1=0,CONCATENATE(TEXT(FIXED(ROUND((C160*(1-I160)*(1-ADD.DISCOUNT)*(1+MAT.SURCHARGE)/EXC.RATE_1),CURRENCY.FORMAT_1),CURRENCY.FORMAT_1,1),"# ##0;-# ##0"),",-"),FIXED(ROUND((C160*(1-I160)*(1-ADD.DISCOUNT)*(1+MAT.SURCHARGE)/EXC.RATE_1),CURRENCY.FORMAT_1),CURRENCY.FORMAT_1,0)),'DICTIONARY-5'!$A$2)</f>
        <v>3 034,-</v>
      </c>
      <c r="M160" s="670" t="str">
        <f>IF(EXC.RATE_2=0,"",IFERROR(IF(CURRENCY.FORMAT_2=0,CONCATENATE(TEXT(FIXED(ROUND(IF(EXC.RATE.SWITCH=1,C160*(1-I160)*(1-ADD.DISCOUNT)*(1+MAT.SURCHARGE)/EXC.RATE_2,C160*(1-I160)*(1-ADD.DISCOUNT)*(1+MAT.SURCHARGE)*EXC.RATE_2),CURRENCY.FORMAT_2),CURRENCY.FORMAT_2,1),"# ##0;-# ##0"),",-"),FIXED(ROUND(IF(EXC.RATE.SWITCH=1,C160*(1-I160)*(1-ADD.DISCOUNT)*(1+MAT.SURCHARGE)/EXC.RATE_2,C160*(1-I160)*(1-ADD.DISCOUNT)*(1+MAT.SURCHARGE)*EXC.RATE_2),CURRENCY.FORMAT_2),CURRENCY.FORMAT_2,0)),'DICTIONARY-5'!$A$2))</f>
        <v/>
      </c>
      <c r="N160" s="496">
        <v>1</v>
      </c>
      <c r="O160" s="496"/>
      <c r="P160" s="731" t="str">
        <f>'DICTIONARY-3'!$A$2</f>
        <v>EKOplus</v>
      </c>
      <c r="Q160" s="732" t="str">
        <f>'DICTIONARY-3'!$A$187</f>
        <v>Zasuwa klinowa</v>
      </c>
      <c r="R160" s="732" t="str">
        <f>CONCATENATE('DICTIONARY-3'!$A$2," ",'DICTIONARY-6'!$A$3," ",'DICTIONARY-2'!$A$2,"150"," ",'DICTIONARY-2'!$A$3,"10/16"," ","R14",", ","AUMA")</f>
        <v>EKOplus Zasuwa DN150 PN10/16 R14, AUMA</v>
      </c>
      <c r="S160" s="733" t="str">
        <f>'DICTIONARY-4'!$A$4</f>
        <v>NE</v>
      </c>
      <c r="T160" s="732" t="str">
        <f>'DICTIONARY-4'!$A$20</f>
        <v>Napęd elektryczny</v>
      </c>
      <c r="U160" s="734" t="s">
        <v>5572</v>
      </c>
      <c r="V160" s="735">
        <v>16</v>
      </c>
      <c r="W160" s="736"/>
      <c r="X160" s="737"/>
      <c r="Y160" s="738"/>
      <c r="Z160" s="739"/>
      <c r="AA160" s="739"/>
      <c r="AB160" s="740">
        <v>16</v>
      </c>
      <c r="AC160" s="741" t="str">
        <f>'DICTIONARY-5'!$A$11&amp;" 14"</f>
        <v>EN 558 szereg 14</v>
      </c>
      <c r="AD160" s="741" t="str">
        <f>'DICTIONARY-5'!$A$13</f>
        <v>woda pitna</v>
      </c>
      <c r="AE160" s="742">
        <v>50</v>
      </c>
      <c r="AF160" s="743">
        <v>58.5</v>
      </c>
      <c r="AG160" s="741" t="str">
        <f>'DICTIONARY-5'!$A$23</f>
        <v>powłoka epoksydowa</v>
      </c>
    </row>
    <row r="161" spans="1:33" x14ac:dyDescent="0.25">
      <c r="A161" s="837" t="s">
        <v>233</v>
      </c>
      <c r="B161" s="837" t="s">
        <v>3091</v>
      </c>
      <c r="C161" s="836">
        <v>3328</v>
      </c>
      <c r="D161" s="836"/>
      <c r="E161" s="836"/>
      <c r="F161" s="836"/>
      <c r="G161" s="496" t="s">
        <v>7790</v>
      </c>
      <c r="H161" s="797" t="str">
        <f>VLOOKUP(G161,SETTINGS!$B$7:$D$97,2,0)</f>
        <v>EKOplus (with Actuator)</v>
      </c>
      <c r="I161" s="796">
        <f>VLOOKUP(G161,SETTINGS!$B$7:$D$97,3,0)</f>
        <v>0</v>
      </c>
      <c r="J161" s="670" t="str">
        <f>IFERROR(IF(CURRENCY.FORMAT_1=0,CONCATENATE(TEXT(FIXED(ROUND((C161/EXC.RATE_1),CURRENCY.FORMAT_1),CURRENCY.FORMAT_1,1),"# ##0;-# ##0"),",-"),FIXED(ROUND((C161/EXC.RATE_1),CURRENCY.FORMAT_1),CURRENCY.FORMAT_1,0)),'DICTIONARY-5'!$A$2)</f>
        <v>3 328,-</v>
      </c>
      <c r="K161" s="670" t="str">
        <f>IF(EXC.RATE_2=0,"",IFERROR(IF(CURRENCY.FORMAT_2=0,CONCATENATE(TEXT(FIXED(ROUND(IF(EXC.RATE.SWITCH=1,C161/EXC.RATE_2,C161*EXC.RATE_2),CURRENCY.FORMAT_2),CURRENCY.FORMAT_2,1),"# ##0;-# ##0"),",-"),FIXED(ROUND(IF(EXC.RATE.SWITCH=1,C161/EXC.RATE_2,C161*EXC.RATE_2),CURRENCY.FORMAT_2),CURRENCY.FORMAT_2,0)),'DICTIONARY-5'!$A$2))</f>
        <v/>
      </c>
      <c r="L161" s="670" t="str">
        <f>IFERROR(IF(CURRENCY.FORMAT_1=0,CONCATENATE(TEXT(FIXED(ROUND((C161*(1-I161)*(1-ADD.DISCOUNT)*(1+MAT.SURCHARGE)/EXC.RATE_1),CURRENCY.FORMAT_1),CURRENCY.FORMAT_1,1),"# ##0;-# ##0"),",-"),FIXED(ROUND((C161*(1-I161)*(1-ADD.DISCOUNT)*(1+MAT.SURCHARGE)/EXC.RATE_1),CURRENCY.FORMAT_1),CURRENCY.FORMAT_1,0)),'DICTIONARY-5'!$A$2)</f>
        <v>3 458,-</v>
      </c>
      <c r="M161" s="670" t="str">
        <f>IF(EXC.RATE_2=0,"",IFERROR(IF(CURRENCY.FORMAT_2=0,CONCATENATE(TEXT(FIXED(ROUND(IF(EXC.RATE.SWITCH=1,C161*(1-I161)*(1-ADD.DISCOUNT)*(1+MAT.SURCHARGE)/EXC.RATE_2,C161*(1-I161)*(1-ADD.DISCOUNT)*(1+MAT.SURCHARGE)*EXC.RATE_2),CURRENCY.FORMAT_2),CURRENCY.FORMAT_2,1),"# ##0;-# ##0"),",-"),FIXED(ROUND(IF(EXC.RATE.SWITCH=1,C161*(1-I161)*(1-ADD.DISCOUNT)*(1+MAT.SURCHARGE)/EXC.RATE_2,C161*(1-I161)*(1-ADD.DISCOUNT)*(1+MAT.SURCHARGE)*EXC.RATE_2),CURRENCY.FORMAT_2),CURRENCY.FORMAT_2,0)),'DICTIONARY-5'!$A$2))</f>
        <v/>
      </c>
      <c r="N161" s="496">
        <v>1</v>
      </c>
      <c r="O161" s="496"/>
      <c r="P161" s="731" t="str">
        <f>'DICTIONARY-3'!$A$2</f>
        <v>EKOplus</v>
      </c>
      <c r="Q161" s="732" t="str">
        <f>'DICTIONARY-3'!$A$187</f>
        <v>Zasuwa klinowa</v>
      </c>
      <c r="R161" s="732" t="str">
        <f>CONCATENATE('DICTIONARY-3'!$A$2," ",'DICTIONARY-6'!$A$3," ",'DICTIONARY-2'!$A$2,"200"," ",'DICTIONARY-2'!$A$3,"10"," ","R14",", ","AUMA")</f>
        <v>EKOplus Zasuwa DN200 PN10 R14, AUMA</v>
      </c>
      <c r="S161" s="733" t="str">
        <f>'DICTIONARY-4'!$A$4</f>
        <v>NE</v>
      </c>
      <c r="T161" s="732" t="str">
        <f>'DICTIONARY-4'!$A$20</f>
        <v>Napęd elektryczny</v>
      </c>
      <c r="U161" s="734" t="s">
        <v>5750</v>
      </c>
      <c r="V161" s="735">
        <v>10</v>
      </c>
      <c r="W161" s="736"/>
      <c r="X161" s="737"/>
      <c r="Y161" s="738"/>
      <c r="Z161" s="739"/>
      <c r="AA161" s="739"/>
      <c r="AB161" s="740">
        <v>10</v>
      </c>
      <c r="AC161" s="741" t="str">
        <f>'DICTIONARY-5'!$A$11&amp;" 14"</f>
        <v>EN 558 szereg 14</v>
      </c>
      <c r="AD161" s="741" t="str">
        <f>'DICTIONARY-5'!$A$13</f>
        <v>woda pitna</v>
      </c>
      <c r="AE161" s="742">
        <v>50</v>
      </c>
      <c r="AF161" s="743">
        <v>88</v>
      </c>
      <c r="AG161" s="741" t="str">
        <f>'DICTIONARY-5'!$A$23</f>
        <v>powłoka epoksydowa</v>
      </c>
    </row>
    <row r="162" spans="1:33" x14ac:dyDescent="0.25">
      <c r="A162" s="837" t="s">
        <v>235</v>
      </c>
      <c r="B162" s="837" t="s">
        <v>3114</v>
      </c>
      <c r="C162" s="836">
        <v>3328</v>
      </c>
      <c r="D162" s="836"/>
      <c r="E162" s="836"/>
      <c r="F162" s="836"/>
      <c r="G162" s="496" t="s">
        <v>7790</v>
      </c>
      <c r="H162" s="797" t="str">
        <f>VLOOKUP(G162,SETTINGS!$B$7:$D$97,2,0)</f>
        <v>EKOplus (with Actuator)</v>
      </c>
      <c r="I162" s="796">
        <f>VLOOKUP(G162,SETTINGS!$B$7:$D$97,3,0)</f>
        <v>0</v>
      </c>
      <c r="J162" s="670" t="str">
        <f>IFERROR(IF(CURRENCY.FORMAT_1=0,CONCATENATE(TEXT(FIXED(ROUND((C162/EXC.RATE_1),CURRENCY.FORMAT_1),CURRENCY.FORMAT_1,1),"# ##0;-# ##0"),",-"),FIXED(ROUND((C162/EXC.RATE_1),CURRENCY.FORMAT_1),CURRENCY.FORMAT_1,0)),'DICTIONARY-5'!$A$2)</f>
        <v>3 328,-</v>
      </c>
      <c r="K162" s="670" t="str">
        <f>IF(EXC.RATE_2=0,"",IFERROR(IF(CURRENCY.FORMAT_2=0,CONCATENATE(TEXT(FIXED(ROUND(IF(EXC.RATE.SWITCH=1,C162/EXC.RATE_2,C162*EXC.RATE_2),CURRENCY.FORMAT_2),CURRENCY.FORMAT_2,1),"# ##0;-# ##0"),",-"),FIXED(ROUND(IF(EXC.RATE.SWITCH=1,C162/EXC.RATE_2,C162*EXC.RATE_2),CURRENCY.FORMAT_2),CURRENCY.FORMAT_2,0)),'DICTIONARY-5'!$A$2))</f>
        <v/>
      </c>
      <c r="L162" s="670" t="str">
        <f>IFERROR(IF(CURRENCY.FORMAT_1=0,CONCATENATE(TEXT(FIXED(ROUND((C162*(1-I162)*(1-ADD.DISCOUNT)*(1+MAT.SURCHARGE)/EXC.RATE_1),CURRENCY.FORMAT_1),CURRENCY.FORMAT_1,1),"# ##0;-# ##0"),",-"),FIXED(ROUND((C162*(1-I162)*(1-ADD.DISCOUNT)*(1+MAT.SURCHARGE)/EXC.RATE_1),CURRENCY.FORMAT_1),CURRENCY.FORMAT_1,0)),'DICTIONARY-5'!$A$2)</f>
        <v>3 458,-</v>
      </c>
      <c r="M162" s="670" t="str">
        <f>IF(EXC.RATE_2=0,"",IFERROR(IF(CURRENCY.FORMAT_2=0,CONCATENATE(TEXT(FIXED(ROUND(IF(EXC.RATE.SWITCH=1,C162*(1-I162)*(1-ADD.DISCOUNT)*(1+MAT.SURCHARGE)/EXC.RATE_2,C162*(1-I162)*(1-ADD.DISCOUNT)*(1+MAT.SURCHARGE)*EXC.RATE_2),CURRENCY.FORMAT_2),CURRENCY.FORMAT_2,1),"# ##0;-# ##0"),",-"),FIXED(ROUND(IF(EXC.RATE.SWITCH=1,C162*(1-I162)*(1-ADD.DISCOUNT)*(1+MAT.SURCHARGE)/EXC.RATE_2,C162*(1-I162)*(1-ADD.DISCOUNT)*(1+MAT.SURCHARGE)*EXC.RATE_2),CURRENCY.FORMAT_2),CURRENCY.FORMAT_2,0)),'DICTIONARY-5'!$A$2))</f>
        <v/>
      </c>
      <c r="N162" s="496">
        <v>1</v>
      </c>
      <c r="O162" s="496"/>
      <c r="P162" s="731" t="str">
        <f>'DICTIONARY-3'!$A$2</f>
        <v>EKOplus</v>
      </c>
      <c r="Q162" s="732" t="str">
        <f>'DICTIONARY-3'!$A$187</f>
        <v>Zasuwa klinowa</v>
      </c>
      <c r="R162" s="732" t="str">
        <f>CONCATENATE('DICTIONARY-3'!$A$2," ",'DICTIONARY-6'!$A$3," ",'DICTIONARY-2'!$A$2,"200"," ",'DICTIONARY-2'!$A$3,"16"," ","R14",", ","AUMA")</f>
        <v>EKOplus Zasuwa DN200 PN16 R14, AUMA</v>
      </c>
      <c r="S162" s="733" t="str">
        <f>'DICTIONARY-4'!$A$4</f>
        <v>NE</v>
      </c>
      <c r="T162" s="732" t="str">
        <f>'DICTIONARY-4'!$A$20</f>
        <v>Napęd elektryczny</v>
      </c>
      <c r="U162" s="734" t="s">
        <v>5750</v>
      </c>
      <c r="V162" s="735">
        <v>16</v>
      </c>
      <c r="W162" s="736"/>
      <c r="X162" s="737"/>
      <c r="Y162" s="738"/>
      <c r="Z162" s="739"/>
      <c r="AA162" s="739"/>
      <c r="AB162" s="740">
        <v>16</v>
      </c>
      <c r="AC162" s="741" t="str">
        <f>'DICTIONARY-5'!$A$11&amp;" 14"</f>
        <v>EN 558 szereg 14</v>
      </c>
      <c r="AD162" s="741" t="str">
        <f>'DICTIONARY-5'!$A$13</f>
        <v>woda pitna</v>
      </c>
      <c r="AE162" s="742">
        <v>50</v>
      </c>
      <c r="AF162" s="743">
        <v>65</v>
      </c>
      <c r="AG162" s="741" t="str">
        <f>'DICTIONARY-5'!$A$23</f>
        <v>powłoka epoksydowa</v>
      </c>
    </row>
    <row r="163" spans="1:33" x14ac:dyDescent="0.25">
      <c r="A163" s="837" t="s">
        <v>237</v>
      </c>
      <c r="B163" s="837" t="s">
        <v>3092</v>
      </c>
      <c r="C163" s="836">
        <v>3572</v>
      </c>
      <c r="D163" s="836"/>
      <c r="E163" s="836"/>
      <c r="F163" s="836"/>
      <c r="G163" s="496" t="s">
        <v>7790</v>
      </c>
      <c r="H163" s="797" t="str">
        <f>VLOOKUP(G163,SETTINGS!$B$7:$D$97,2,0)</f>
        <v>EKOplus (with Actuator)</v>
      </c>
      <c r="I163" s="796">
        <f>VLOOKUP(G163,SETTINGS!$B$7:$D$97,3,0)</f>
        <v>0</v>
      </c>
      <c r="J163" s="670" t="str">
        <f>IFERROR(IF(CURRENCY.FORMAT_1=0,CONCATENATE(TEXT(FIXED(ROUND((C163/EXC.RATE_1),CURRENCY.FORMAT_1),CURRENCY.FORMAT_1,1),"# ##0;-# ##0"),",-"),FIXED(ROUND((C163/EXC.RATE_1),CURRENCY.FORMAT_1),CURRENCY.FORMAT_1,0)),'DICTIONARY-5'!$A$2)</f>
        <v>3 572,-</v>
      </c>
      <c r="K163" s="670" t="str">
        <f>IF(EXC.RATE_2=0,"",IFERROR(IF(CURRENCY.FORMAT_2=0,CONCATENATE(TEXT(FIXED(ROUND(IF(EXC.RATE.SWITCH=1,C163/EXC.RATE_2,C163*EXC.RATE_2),CURRENCY.FORMAT_2),CURRENCY.FORMAT_2,1),"# ##0;-# ##0"),",-"),FIXED(ROUND(IF(EXC.RATE.SWITCH=1,C163/EXC.RATE_2,C163*EXC.RATE_2),CURRENCY.FORMAT_2),CURRENCY.FORMAT_2,0)),'DICTIONARY-5'!$A$2))</f>
        <v/>
      </c>
      <c r="L163" s="670" t="str">
        <f>IFERROR(IF(CURRENCY.FORMAT_1=0,CONCATENATE(TEXT(FIXED(ROUND((C163*(1-I163)*(1-ADD.DISCOUNT)*(1+MAT.SURCHARGE)/EXC.RATE_1),CURRENCY.FORMAT_1),CURRENCY.FORMAT_1,1),"# ##0;-# ##0"),",-"),FIXED(ROUND((C163*(1-I163)*(1-ADD.DISCOUNT)*(1+MAT.SURCHARGE)/EXC.RATE_1),CURRENCY.FORMAT_1),CURRENCY.FORMAT_1,0)),'DICTIONARY-5'!$A$2)</f>
        <v>3 711,-</v>
      </c>
      <c r="M163" s="670" t="str">
        <f>IF(EXC.RATE_2=0,"",IFERROR(IF(CURRENCY.FORMAT_2=0,CONCATENATE(TEXT(FIXED(ROUND(IF(EXC.RATE.SWITCH=1,C163*(1-I163)*(1-ADD.DISCOUNT)*(1+MAT.SURCHARGE)/EXC.RATE_2,C163*(1-I163)*(1-ADD.DISCOUNT)*(1+MAT.SURCHARGE)*EXC.RATE_2),CURRENCY.FORMAT_2),CURRENCY.FORMAT_2,1),"# ##0;-# ##0"),",-"),FIXED(ROUND(IF(EXC.RATE.SWITCH=1,C163*(1-I163)*(1-ADD.DISCOUNT)*(1+MAT.SURCHARGE)/EXC.RATE_2,C163*(1-I163)*(1-ADD.DISCOUNT)*(1+MAT.SURCHARGE)*EXC.RATE_2),CURRENCY.FORMAT_2),CURRENCY.FORMAT_2,0)),'DICTIONARY-5'!$A$2))</f>
        <v/>
      </c>
      <c r="N163" s="496">
        <v>1</v>
      </c>
      <c r="O163" s="496"/>
      <c r="P163" s="731" t="str">
        <f>'DICTIONARY-3'!$A$2</f>
        <v>EKOplus</v>
      </c>
      <c r="Q163" s="732" t="str">
        <f>'DICTIONARY-3'!$A$187</f>
        <v>Zasuwa klinowa</v>
      </c>
      <c r="R163" s="732" t="str">
        <f>CONCATENATE('DICTIONARY-3'!$A$2," ",'DICTIONARY-6'!$A$3," ",'DICTIONARY-2'!$A$2,"250"," ",'DICTIONARY-2'!$A$3,"10"," ","R14",", ","AUMA")</f>
        <v>EKOplus Zasuwa DN250 PN10 R14, AUMA</v>
      </c>
      <c r="S163" s="733" t="str">
        <f>'DICTIONARY-4'!$A$4</f>
        <v>NE</v>
      </c>
      <c r="T163" s="732" t="str">
        <f>'DICTIONARY-4'!$A$20</f>
        <v>Napęd elektryczny</v>
      </c>
      <c r="U163" s="734" t="s">
        <v>5751</v>
      </c>
      <c r="V163" s="735">
        <v>10</v>
      </c>
      <c r="W163" s="736"/>
      <c r="X163" s="737"/>
      <c r="Y163" s="738"/>
      <c r="Z163" s="739"/>
      <c r="AA163" s="739"/>
      <c r="AB163" s="740">
        <v>10</v>
      </c>
      <c r="AC163" s="741" t="str">
        <f>'DICTIONARY-5'!$A$11&amp;" 14"</f>
        <v>EN 558 szereg 14</v>
      </c>
      <c r="AD163" s="741" t="str">
        <f>'DICTIONARY-5'!$A$13</f>
        <v>woda pitna</v>
      </c>
      <c r="AE163" s="742">
        <v>50</v>
      </c>
      <c r="AF163" s="743">
        <v>118</v>
      </c>
      <c r="AG163" s="741" t="str">
        <f>'DICTIONARY-5'!$A$23</f>
        <v>powłoka epoksydowa</v>
      </c>
    </row>
    <row r="164" spans="1:33" x14ac:dyDescent="0.25">
      <c r="A164" s="837" t="s">
        <v>239</v>
      </c>
      <c r="B164" s="837" t="s">
        <v>3115</v>
      </c>
      <c r="C164" s="836">
        <v>4586</v>
      </c>
      <c r="D164" s="836"/>
      <c r="E164" s="836"/>
      <c r="F164" s="836"/>
      <c r="G164" s="496" t="s">
        <v>7790</v>
      </c>
      <c r="H164" s="797" t="str">
        <f>VLOOKUP(G164,SETTINGS!$B$7:$D$97,2,0)</f>
        <v>EKOplus (with Actuator)</v>
      </c>
      <c r="I164" s="796">
        <f>VLOOKUP(G164,SETTINGS!$B$7:$D$97,3,0)</f>
        <v>0</v>
      </c>
      <c r="J164" s="670" t="str">
        <f>IFERROR(IF(CURRENCY.FORMAT_1=0,CONCATENATE(TEXT(FIXED(ROUND((C164/EXC.RATE_1),CURRENCY.FORMAT_1),CURRENCY.FORMAT_1,1),"# ##0;-# ##0"),",-"),FIXED(ROUND((C164/EXC.RATE_1),CURRENCY.FORMAT_1),CURRENCY.FORMAT_1,0)),'DICTIONARY-5'!$A$2)</f>
        <v>4 586,-</v>
      </c>
      <c r="K164" s="670" t="str">
        <f>IF(EXC.RATE_2=0,"",IFERROR(IF(CURRENCY.FORMAT_2=0,CONCATENATE(TEXT(FIXED(ROUND(IF(EXC.RATE.SWITCH=1,C164/EXC.RATE_2,C164*EXC.RATE_2),CURRENCY.FORMAT_2),CURRENCY.FORMAT_2,1),"# ##0;-# ##0"),",-"),FIXED(ROUND(IF(EXC.RATE.SWITCH=1,C164/EXC.RATE_2,C164*EXC.RATE_2),CURRENCY.FORMAT_2),CURRENCY.FORMAT_2,0)),'DICTIONARY-5'!$A$2))</f>
        <v/>
      </c>
      <c r="L164" s="670" t="str">
        <f>IFERROR(IF(CURRENCY.FORMAT_1=0,CONCATENATE(TEXT(FIXED(ROUND((C164*(1-I164)*(1-ADD.DISCOUNT)*(1+MAT.SURCHARGE)/EXC.RATE_1),CURRENCY.FORMAT_1),CURRENCY.FORMAT_1,1),"# ##0;-# ##0"),",-"),FIXED(ROUND((C164*(1-I164)*(1-ADD.DISCOUNT)*(1+MAT.SURCHARGE)/EXC.RATE_1),CURRENCY.FORMAT_1),CURRENCY.FORMAT_1,0)),'DICTIONARY-5'!$A$2)</f>
        <v>4 765,-</v>
      </c>
      <c r="M164" s="670" t="str">
        <f>IF(EXC.RATE_2=0,"",IFERROR(IF(CURRENCY.FORMAT_2=0,CONCATENATE(TEXT(FIXED(ROUND(IF(EXC.RATE.SWITCH=1,C164*(1-I164)*(1-ADD.DISCOUNT)*(1+MAT.SURCHARGE)/EXC.RATE_2,C164*(1-I164)*(1-ADD.DISCOUNT)*(1+MAT.SURCHARGE)*EXC.RATE_2),CURRENCY.FORMAT_2),CURRENCY.FORMAT_2,1),"# ##0;-# ##0"),",-"),FIXED(ROUND(IF(EXC.RATE.SWITCH=1,C164*(1-I164)*(1-ADD.DISCOUNT)*(1+MAT.SURCHARGE)/EXC.RATE_2,C164*(1-I164)*(1-ADD.DISCOUNT)*(1+MAT.SURCHARGE)*EXC.RATE_2),CURRENCY.FORMAT_2),CURRENCY.FORMAT_2,0)),'DICTIONARY-5'!$A$2))</f>
        <v/>
      </c>
      <c r="N164" s="496">
        <v>1</v>
      </c>
      <c r="O164" s="496"/>
      <c r="P164" s="731" t="str">
        <f>'DICTIONARY-3'!$A$2</f>
        <v>EKOplus</v>
      </c>
      <c r="Q164" s="732" t="str">
        <f>'DICTIONARY-3'!$A$187</f>
        <v>Zasuwa klinowa</v>
      </c>
      <c r="R164" s="732" t="str">
        <f>CONCATENATE('DICTIONARY-3'!$A$2," ",'DICTIONARY-6'!$A$3," ",'DICTIONARY-2'!$A$2,"250"," ",'DICTIONARY-2'!$A$3,"16"," ","R14",", ","AUMA")</f>
        <v>EKOplus Zasuwa DN250 PN16 R14, AUMA</v>
      </c>
      <c r="S164" s="733" t="str">
        <f>'DICTIONARY-4'!$A$4</f>
        <v>NE</v>
      </c>
      <c r="T164" s="732" t="str">
        <f>'DICTIONARY-4'!$A$20</f>
        <v>Napęd elektryczny</v>
      </c>
      <c r="U164" s="734" t="s">
        <v>5751</v>
      </c>
      <c r="V164" s="735">
        <v>16</v>
      </c>
      <c r="W164" s="736"/>
      <c r="X164" s="737"/>
      <c r="Y164" s="738"/>
      <c r="Z164" s="739"/>
      <c r="AA164" s="739"/>
      <c r="AB164" s="740">
        <v>16</v>
      </c>
      <c r="AC164" s="741" t="str">
        <f>'DICTIONARY-5'!$A$11&amp;" 14"</f>
        <v>EN 558 szereg 14</v>
      </c>
      <c r="AD164" s="741" t="str">
        <f>'DICTIONARY-5'!$A$13</f>
        <v>woda pitna</v>
      </c>
      <c r="AE164" s="742">
        <v>50</v>
      </c>
      <c r="AF164" s="743">
        <v>156</v>
      </c>
      <c r="AG164" s="741" t="str">
        <f>'DICTIONARY-5'!$A$23</f>
        <v>powłoka epoksydowa</v>
      </c>
    </row>
    <row r="165" spans="1:33" x14ac:dyDescent="0.25">
      <c r="A165" s="837" t="s">
        <v>241</v>
      </c>
      <c r="B165" s="837" t="s">
        <v>3093</v>
      </c>
      <c r="C165" s="836">
        <v>3780</v>
      </c>
      <c r="D165" s="836"/>
      <c r="E165" s="836"/>
      <c r="F165" s="836"/>
      <c r="G165" s="496" t="s">
        <v>7790</v>
      </c>
      <c r="H165" s="797" t="str">
        <f>VLOOKUP(G165,SETTINGS!$B$7:$D$97,2,0)</f>
        <v>EKOplus (with Actuator)</v>
      </c>
      <c r="I165" s="796">
        <f>VLOOKUP(G165,SETTINGS!$B$7:$D$97,3,0)</f>
        <v>0</v>
      </c>
      <c r="J165" s="670" t="str">
        <f>IFERROR(IF(CURRENCY.FORMAT_1=0,CONCATENATE(TEXT(FIXED(ROUND((C165/EXC.RATE_1),CURRENCY.FORMAT_1),CURRENCY.FORMAT_1,1),"# ##0;-# ##0"),",-"),FIXED(ROUND((C165/EXC.RATE_1),CURRENCY.FORMAT_1),CURRENCY.FORMAT_1,0)),'DICTIONARY-5'!$A$2)</f>
        <v>3 780,-</v>
      </c>
      <c r="K165" s="670" t="str">
        <f>IF(EXC.RATE_2=0,"",IFERROR(IF(CURRENCY.FORMAT_2=0,CONCATENATE(TEXT(FIXED(ROUND(IF(EXC.RATE.SWITCH=1,C165/EXC.RATE_2,C165*EXC.RATE_2),CURRENCY.FORMAT_2),CURRENCY.FORMAT_2,1),"# ##0;-# ##0"),",-"),FIXED(ROUND(IF(EXC.RATE.SWITCH=1,C165/EXC.RATE_2,C165*EXC.RATE_2),CURRENCY.FORMAT_2),CURRENCY.FORMAT_2,0)),'DICTIONARY-5'!$A$2))</f>
        <v/>
      </c>
      <c r="L165" s="670" t="str">
        <f>IFERROR(IF(CURRENCY.FORMAT_1=0,CONCATENATE(TEXT(FIXED(ROUND((C165*(1-I165)*(1-ADD.DISCOUNT)*(1+MAT.SURCHARGE)/EXC.RATE_1),CURRENCY.FORMAT_1),CURRENCY.FORMAT_1,1),"# ##0;-# ##0"),",-"),FIXED(ROUND((C165*(1-I165)*(1-ADD.DISCOUNT)*(1+MAT.SURCHARGE)/EXC.RATE_1),CURRENCY.FORMAT_1),CURRENCY.FORMAT_1,0)),'DICTIONARY-5'!$A$2)</f>
        <v>3 927,-</v>
      </c>
      <c r="M165" s="670" t="str">
        <f>IF(EXC.RATE_2=0,"",IFERROR(IF(CURRENCY.FORMAT_2=0,CONCATENATE(TEXT(FIXED(ROUND(IF(EXC.RATE.SWITCH=1,C165*(1-I165)*(1-ADD.DISCOUNT)*(1+MAT.SURCHARGE)/EXC.RATE_2,C165*(1-I165)*(1-ADD.DISCOUNT)*(1+MAT.SURCHARGE)*EXC.RATE_2),CURRENCY.FORMAT_2),CURRENCY.FORMAT_2,1),"# ##0;-# ##0"),",-"),FIXED(ROUND(IF(EXC.RATE.SWITCH=1,C165*(1-I165)*(1-ADD.DISCOUNT)*(1+MAT.SURCHARGE)/EXC.RATE_2,C165*(1-I165)*(1-ADD.DISCOUNT)*(1+MAT.SURCHARGE)*EXC.RATE_2),CURRENCY.FORMAT_2),CURRENCY.FORMAT_2,0)),'DICTIONARY-5'!$A$2))</f>
        <v/>
      </c>
      <c r="N165" s="496">
        <v>1</v>
      </c>
      <c r="O165" s="496"/>
      <c r="P165" s="731" t="str">
        <f>'DICTIONARY-3'!$A$2</f>
        <v>EKOplus</v>
      </c>
      <c r="Q165" s="732" t="str">
        <f>'DICTIONARY-3'!$A$187</f>
        <v>Zasuwa klinowa</v>
      </c>
      <c r="R165" s="732" t="str">
        <f>CONCATENATE('DICTIONARY-3'!$A$2," ",'DICTIONARY-6'!$A$3," ",'DICTIONARY-2'!$A$2,"300"," ",'DICTIONARY-2'!$A$3,"10"," ","R14",", ","AUMA")</f>
        <v>EKOplus Zasuwa DN300 PN10 R14, AUMA</v>
      </c>
      <c r="S165" s="733" t="str">
        <f>'DICTIONARY-4'!$A$4</f>
        <v>NE</v>
      </c>
      <c r="T165" s="732" t="str">
        <f>'DICTIONARY-4'!$A$20</f>
        <v>Napęd elektryczny</v>
      </c>
      <c r="U165" s="734" t="s">
        <v>5752</v>
      </c>
      <c r="V165" s="735">
        <v>10</v>
      </c>
      <c r="W165" s="736"/>
      <c r="X165" s="737"/>
      <c r="Y165" s="738"/>
      <c r="Z165" s="739"/>
      <c r="AA165" s="739"/>
      <c r="AB165" s="740">
        <v>10</v>
      </c>
      <c r="AC165" s="741" t="str">
        <f>'DICTIONARY-5'!$A$11&amp;" 14"</f>
        <v>EN 558 szereg 14</v>
      </c>
      <c r="AD165" s="741" t="str">
        <f>'DICTIONARY-5'!$A$13</f>
        <v>woda pitna</v>
      </c>
      <c r="AE165" s="742">
        <v>50</v>
      </c>
      <c r="AF165" s="743">
        <v>144</v>
      </c>
      <c r="AG165" s="741" t="str">
        <f>'DICTIONARY-5'!$A$23</f>
        <v>powłoka epoksydowa</v>
      </c>
    </row>
    <row r="166" spans="1:33" x14ac:dyDescent="0.25">
      <c r="A166" s="837" t="s">
        <v>243</v>
      </c>
      <c r="B166" s="837" t="s">
        <v>3116</v>
      </c>
      <c r="C166" s="836">
        <v>4784</v>
      </c>
      <c r="D166" s="836"/>
      <c r="E166" s="836"/>
      <c r="F166" s="836"/>
      <c r="G166" s="496" t="s">
        <v>7790</v>
      </c>
      <c r="H166" s="797" t="str">
        <f>VLOOKUP(G166,SETTINGS!$B$7:$D$97,2,0)</f>
        <v>EKOplus (with Actuator)</v>
      </c>
      <c r="I166" s="796">
        <f>VLOOKUP(G166,SETTINGS!$B$7:$D$97,3,0)</f>
        <v>0</v>
      </c>
      <c r="J166" s="670" t="str">
        <f>IFERROR(IF(CURRENCY.FORMAT_1=0,CONCATENATE(TEXT(FIXED(ROUND((C166/EXC.RATE_1),CURRENCY.FORMAT_1),CURRENCY.FORMAT_1,1),"# ##0;-# ##0"),",-"),FIXED(ROUND((C166/EXC.RATE_1),CURRENCY.FORMAT_1),CURRENCY.FORMAT_1,0)),'DICTIONARY-5'!$A$2)</f>
        <v>4 784,-</v>
      </c>
      <c r="K166" s="670" t="str">
        <f>IF(EXC.RATE_2=0,"",IFERROR(IF(CURRENCY.FORMAT_2=0,CONCATENATE(TEXT(FIXED(ROUND(IF(EXC.RATE.SWITCH=1,C166/EXC.RATE_2,C166*EXC.RATE_2),CURRENCY.FORMAT_2),CURRENCY.FORMAT_2,1),"# ##0;-# ##0"),",-"),FIXED(ROUND(IF(EXC.RATE.SWITCH=1,C166/EXC.RATE_2,C166*EXC.RATE_2),CURRENCY.FORMAT_2),CURRENCY.FORMAT_2,0)),'DICTIONARY-5'!$A$2))</f>
        <v/>
      </c>
      <c r="L166" s="670" t="str">
        <f>IFERROR(IF(CURRENCY.FORMAT_1=0,CONCATENATE(TEXT(FIXED(ROUND((C166*(1-I166)*(1-ADD.DISCOUNT)*(1+MAT.SURCHARGE)/EXC.RATE_1),CURRENCY.FORMAT_1),CURRENCY.FORMAT_1,1),"# ##0;-# ##0"),",-"),FIXED(ROUND((C166*(1-I166)*(1-ADD.DISCOUNT)*(1+MAT.SURCHARGE)/EXC.RATE_1),CURRENCY.FORMAT_1),CURRENCY.FORMAT_1,0)),'DICTIONARY-5'!$A$2)</f>
        <v>4 971,-</v>
      </c>
      <c r="M166" s="670" t="str">
        <f>IF(EXC.RATE_2=0,"",IFERROR(IF(CURRENCY.FORMAT_2=0,CONCATENATE(TEXT(FIXED(ROUND(IF(EXC.RATE.SWITCH=1,C166*(1-I166)*(1-ADD.DISCOUNT)*(1+MAT.SURCHARGE)/EXC.RATE_2,C166*(1-I166)*(1-ADD.DISCOUNT)*(1+MAT.SURCHARGE)*EXC.RATE_2),CURRENCY.FORMAT_2),CURRENCY.FORMAT_2,1),"# ##0;-# ##0"),",-"),FIXED(ROUND(IF(EXC.RATE.SWITCH=1,C166*(1-I166)*(1-ADD.DISCOUNT)*(1+MAT.SURCHARGE)/EXC.RATE_2,C166*(1-I166)*(1-ADD.DISCOUNT)*(1+MAT.SURCHARGE)*EXC.RATE_2),CURRENCY.FORMAT_2),CURRENCY.FORMAT_2,0)),'DICTIONARY-5'!$A$2))</f>
        <v/>
      </c>
      <c r="N166" s="496">
        <v>1</v>
      </c>
      <c r="O166" s="496"/>
      <c r="P166" s="731" t="str">
        <f>'DICTIONARY-3'!$A$2</f>
        <v>EKOplus</v>
      </c>
      <c r="Q166" s="732" t="str">
        <f>'DICTIONARY-3'!$A$187</f>
        <v>Zasuwa klinowa</v>
      </c>
      <c r="R166" s="732" t="str">
        <f>CONCATENATE('DICTIONARY-3'!$A$2," ",'DICTIONARY-6'!$A$3," ",'DICTIONARY-2'!$A$2,"300"," ",'DICTIONARY-2'!$A$3,"16"," ","R14",", ","AUMA")</f>
        <v>EKOplus Zasuwa DN300 PN16 R14, AUMA</v>
      </c>
      <c r="S166" s="733" t="str">
        <f>'DICTIONARY-4'!$A$4</f>
        <v>NE</v>
      </c>
      <c r="T166" s="732" t="str">
        <f>'DICTIONARY-4'!$A$20</f>
        <v>Napęd elektryczny</v>
      </c>
      <c r="U166" s="734" t="s">
        <v>5752</v>
      </c>
      <c r="V166" s="735">
        <v>16</v>
      </c>
      <c r="W166" s="736"/>
      <c r="X166" s="737"/>
      <c r="Y166" s="738"/>
      <c r="Z166" s="739"/>
      <c r="AA166" s="739"/>
      <c r="AB166" s="740">
        <v>16</v>
      </c>
      <c r="AC166" s="741" t="str">
        <f>'DICTIONARY-5'!$A$11&amp;" 14"</f>
        <v>EN 558 szereg 14</v>
      </c>
      <c r="AD166" s="741" t="str">
        <f>'DICTIONARY-5'!$A$13</f>
        <v>woda pitna</v>
      </c>
      <c r="AE166" s="742">
        <v>50</v>
      </c>
      <c r="AF166" s="743">
        <v>166</v>
      </c>
      <c r="AG166" s="741" t="str">
        <f>'DICTIONARY-5'!$A$23</f>
        <v>powłoka epoksydowa</v>
      </c>
    </row>
    <row r="167" spans="1:33" x14ac:dyDescent="0.25">
      <c r="A167" s="837" t="s">
        <v>8270</v>
      </c>
      <c r="B167" s="837" t="s">
        <v>8262</v>
      </c>
      <c r="C167" s="836">
        <v>3703</v>
      </c>
      <c r="D167" s="836"/>
      <c r="E167" s="836"/>
      <c r="F167" s="836"/>
      <c r="G167" s="496" t="s">
        <v>7790</v>
      </c>
      <c r="H167" s="797" t="str">
        <f>VLOOKUP(G167,SETTINGS!$B$7:$D$97,2,0)</f>
        <v>EKOplus (with Actuator)</v>
      </c>
      <c r="I167" s="796">
        <f>VLOOKUP(G167,SETTINGS!$B$7:$D$97,3,0)</f>
        <v>0</v>
      </c>
      <c r="J167" s="670" t="str">
        <f>IFERROR(IF(CURRENCY.FORMAT_1=0,CONCATENATE(TEXT(FIXED(ROUND((C167/EXC.RATE_1),CURRENCY.FORMAT_1),CURRENCY.FORMAT_1,1),"# ##0;-# ##0"),",-"),FIXED(ROUND((C167/EXC.RATE_1),CURRENCY.FORMAT_1),CURRENCY.FORMAT_1,0)),'DICTIONARY-5'!$A$2)</f>
        <v>3 703,-</v>
      </c>
      <c r="K167" s="670" t="str">
        <f>IF(EXC.RATE_2=0,"",IFERROR(IF(CURRENCY.FORMAT_2=0,CONCATENATE(TEXT(FIXED(ROUND(IF(EXC.RATE.SWITCH=1,C167/EXC.RATE_2,C167*EXC.RATE_2),CURRENCY.FORMAT_2),CURRENCY.FORMAT_2,1),"# ##0;-# ##0"),",-"),FIXED(ROUND(IF(EXC.RATE.SWITCH=1,C167/EXC.RATE_2,C167*EXC.RATE_2),CURRENCY.FORMAT_2),CURRENCY.FORMAT_2,0)),'DICTIONARY-5'!$A$2))</f>
        <v/>
      </c>
      <c r="L167" s="670" t="str">
        <f>IFERROR(IF(CURRENCY.FORMAT_1=0,CONCATENATE(TEXT(FIXED(ROUND((C167*(1-I167)*(1-ADD.DISCOUNT)*(1+MAT.SURCHARGE)/EXC.RATE_1),CURRENCY.FORMAT_1),CURRENCY.FORMAT_1,1),"# ##0;-# ##0"),",-"),FIXED(ROUND((C167*(1-I167)*(1-ADD.DISCOUNT)*(1+MAT.SURCHARGE)/EXC.RATE_1),CURRENCY.FORMAT_1),CURRENCY.FORMAT_1,0)),'DICTIONARY-5'!$A$2)</f>
        <v>3 847,-</v>
      </c>
      <c r="M167" s="670" t="str">
        <f>IF(EXC.RATE_2=0,"",IFERROR(IF(CURRENCY.FORMAT_2=0,CONCATENATE(TEXT(FIXED(ROUND(IF(EXC.RATE.SWITCH=1,C167*(1-I167)*(1-ADD.DISCOUNT)*(1+MAT.SURCHARGE)/EXC.RATE_2,C167*(1-I167)*(1-ADD.DISCOUNT)*(1+MAT.SURCHARGE)*EXC.RATE_2),CURRENCY.FORMAT_2),CURRENCY.FORMAT_2,1),"# ##0;-# ##0"),",-"),FIXED(ROUND(IF(EXC.RATE.SWITCH=1,C167*(1-I167)*(1-ADD.DISCOUNT)*(1+MAT.SURCHARGE)/EXC.RATE_2,C167*(1-I167)*(1-ADD.DISCOUNT)*(1+MAT.SURCHARGE)*EXC.RATE_2),CURRENCY.FORMAT_2),CURRENCY.FORMAT_2,0)),'DICTIONARY-5'!$A$2))</f>
        <v/>
      </c>
      <c r="N167" s="496">
        <v>1</v>
      </c>
      <c r="O167" s="496"/>
      <c r="P167" s="731" t="str">
        <f>'DICTIONARY-3'!$A$2</f>
        <v>EKOplus</v>
      </c>
      <c r="Q167" s="732" t="str">
        <f>'DICTIONARY-3'!$A$187</f>
        <v>Zasuwa klinowa</v>
      </c>
      <c r="R167" s="732" t="str">
        <f>CONCATENATE('DICTIONARY-3'!$A$2," ",'DICTIONARY-6'!$A$3," ",'DICTIONARY-2'!$A$2,"350"," ",'DICTIONARY-2'!$A$3,"10"," ","R14",", ","AUMA")</f>
        <v>EKOplus Zasuwa DN350 PN10 R14, AUMA</v>
      </c>
      <c r="S167" s="733" t="str">
        <f>'DICTIONARY-4'!$A$4</f>
        <v>NE</v>
      </c>
      <c r="T167" s="732" t="str">
        <f>'DICTIONARY-4'!$A$20</f>
        <v>Napęd elektryczny</v>
      </c>
      <c r="U167" s="734" t="s">
        <v>5753</v>
      </c>
      <c r="V167" s="735">
        <v>10</v>
      </c>
      <c r="W167" s="736"/>
      <c r="X167" s="737"/>
      <c r="Y167" s="738"/>
      <c r="Z167" s="739"/>
      <c r="AA167" s="739"/>
      <c r="AB167" s="740">
        <v>10</v>
      </c>
      <c r="AC167" s="741" t="str">
        <f>'DICTIONARY-5'!$A$11&amp;" 14"</f>
        <v>EN 558 szereg 14</v>
      </c>
      <c r="AD167" s="741" t="str">
        <f>'DICTIONARY-5'!$A$13</f>
        <v>woda pitna</v>
      </c>
      <c r="AE167" s="742">
        <v>50</v>
      </c>
      <c r="AF167" s="743"/>
      <c r="AG167" s="741" t="str">
        <f>'DICTIONARY-5'!$A$23</f>
        <v>powłoka epoksydowa</v>
      </c>
    </row>
    <row r="168" spans="1:33" x14ac:dyDescent="0.25">
      <c r="A168" s="837" t="s">
        <v>8271</v>
      </c>
      <c r="B168" s="837" t="s">
        <v>8263</v>
      </c>
      <c r="C168" s="836">
        <v>3794</v>
      </c>
      <c r="D168" s="836"/>
      <c r="E168" s="836"/>
      <c r="F168" s="836"/>
      <c r="G168" s="496" t="s">
        <v>7790</v>
      </c>
      <c r="H168" s="797" t="str">
        <f>VLOOKUP(G168,SETTINGS!$B$7:$D$97,2,0)</f>
        <v>EKOplus (with Actuator)</v>
      </c>
      <c r="I168" s="796">
        <f>VLOOKUP(G168,SETTINGS!$B$7:$D$97,3,0)</f>
        <v>0</v>
      </c>
      <c r="J168" s="670" t="str">
        <f>IFERROR(IF(CURRENCY.FORMAT_1=0,CONCATENATE(TEXT(FIXED(ROUND((C168/EXC.RATE_1),CURRENCY.FORMAT_1),CURRENCY.FORMAT_1,1),"# ##0;-# ##0"),",-"),FIXED(ROUND((C168/EXC.RATE_1),CURRENCY.FORMAT_1),CURRENCY.FORMAT_1,0)),'DICTIONARY-5'!$A$2)</f>
        <v>3 794,-</v>
      </c>
      <c r="K168" s="670" t="str">
        <f>IF(EXC.RATE_2=0,"",IFERROR(IF(CURRENCY.FORMAT_2=0,CONCATENATE(TEXT(FIXED(ROUND(IF(EXC.RATE.SWITCH=1,C168/EXC.RATE_2,C168*EXC.RATE_2),CURRENCY.FORMAT_2),CURRENCY.FORMAT_2,1),"# ##0;-# ##0"),",-"),FIXED(ROUND(IF(EXC.RATE.SWITCH=1,C168/EXC.RATE_2,C168*EXC.RATE_2),CURRENCY.FORMAT_2),CURRENCY.FORMAT_2,0)),'DICTIONARY-5'!$A$2))</f>
        <v/>
      </c>
      <c r="L168" s="670" t="str">
        <f>IFERROR(IF(CURRENCY.FORMAT_1=0,CONCATENATE(TEXT(FIXED(ROUND((C168*(1-I168)*(1-ADD.DISCOUNT)*(1+MAT.SURCHARGE)/EXC.RATE_1),CURRENCY.FORMAT_1),CURRENCY.FORMAT_1,1),"# ##0;-# ##0"),",-"),FIXED(ROUND((C168*(1-I168)*(1-ADD.DISCOUNT)*(1+MAT.SURCHARGE)/EXC.RATE_1),CURRENCY.FORMAT_1),CURRENCY.FORMAT_1,0)),'DICTIONARY-5'!$A$2)</f>
        <v>3 942,-</v>
      </c>
      <c r="M168" s="670" t="str">
        <f>IF(EXC.RATE_2=0,"",IFERROR(IF(CURRENCY.FORMAT_2=0,CONCATENATE(TEXT(FIXED(ROUND(IF(EXC.RATE.SWITCH=1,C168*(1-I168)*(1-ADD.DISCOUNT)*(1+MAT.SURCHARGE)/EXC.RATE_2,C168*(1-I168)*(1-ADD.DISCOUNT)*(1+MAT.SURCHARGE)*EXC.RATE_2),CURRENCY.FORMAT_2),CURRENCY.FORMAT_2,1),"# ##0;-# ##0"),",-"),FIXED(ROUND(IF(EXC.RATE.SWITCH=1,C168*(1-I168)*(1-ADD.DISCOUNT)*(1+MAT.SURCHARGE)/EXC.RATE_2,C168*(1-I168)*(1-ADD.DISCOUNT)*(1+MAT.SURCHARGE)*EXC.RATE_2),CURRENCY.FORMAT_2),CURRENCY.FORMAT_2,0)),'DICTIONARY-5'!$A$2))</f>
        <v/>
      </c>
      <c r="N168" s="496">
        <v>1</v>
      </c>
      <c r="O168" s="496"/>
      <c r="P168" s="731" t="str">
        <f>'DICTIONARY-3'!$A$2</f>
        <v>EKOplus</v>
      </c>
      <c r="Q168" s="732" t="str">
        <f>'DICTIONARY-3'!$A$187</f>
        <v>Zasuwa klinowa</v>
      </c>
      <c r="R168" s="732" t="str">
        <f>CONCATENATE('DICTIONARY-3'!$A$2," ",'DICTIONARY-6'!$A$3," ",'DICTIONARY-2'!$A$2,"350"," ",'DICTIONARY-2'!$A$3,"16"," ","R14",", ","AUMA")</f>
        <v>EKOplus Zasuwa DN350 PN16 R14, AUMA</v>
      </c>
      <c r="S168" s="733" t="str">
        <f>'DICTIONARY-4'!$A$4</f>
        <v>NE</v>
      </c>
      <c r="T168" s="732" t="str">
        <f>'DICTIONARY-4'!$A$20</f>
        <v>Napęd elektryczny</v>
      </c>
      <c r="U168" s="734" t="s">
        <v>5753</v>
      </c>
      <c r="V168" s="735">
        <v>16</v>
      </c>
      <c r="W168" s="736"/>
      <c r="X168" s="737"/>
      <c r="Y168" s="738"/>
      <c r="Z168" s="739"/>
      <c r="AA168" s="739"/>
      <c r="AB168" s="740">
        <v>16</v>
      </c>
      <c r="AC168" s="741" t="str">
        <f>'DICTIONARY-5'!$A$11&amp;" 14"</f>
        <v>EN 558 szereg 14</v>
      </c>
      <c r="AD168" s="741" t="str">
        <f>'DICTIONARY-5'!$A$13</f>
        <v>woda pitna</v>
      </c>
      <c r="AE168" s="742">
        <v>50</v>
      </c>
      <c r="AF168" s="743"/>
      <c r="AG168" s="741" t="str">
        <f>'DICTIONARY-5'!$A$23</f>
        <v>powłoka epoksydowa</v>
      </c>
    </row>
    <row r="169" spans="1:33" x14ac:dyDescent="0.25">
      <c r="A169" s="837" t="s">
        <v>8272</v>
      </c>
      <c r="B169" s="837" t="s">
        <v>8264</v>
      </c>
      <c r="C169" s="836">
        <v>4360</v>
      </c>
      <c r="D169" s="836"/>
      <c r="E169" s="836"/>
      <c r="F169" s="836"/>
      <c r="G169" s="496" t="s">
        <v>7790</v>
      </c>
      <c r="H169" s="797" t="str">
        <f>VLOOKUP(G169,SETTINGS!$B$7:$D$97,2,0)</f>
        <v>EKOplus (with Actuator)</v>
      </c>
      <c r="I169" s="796">
        <f>VLOOKUP(G169,SETTINGS!$B$7:$D$97,3,0)</f>
        <v>0</v>
      </c>
      <c r="J169" s="670" t="str">
        <f>IFERROR(IF(CURRENCY.FORMAT_1=0,CONCATENATE(TEXT(FIXED(ROUND((C169/EXC.RATE_1),CURRENCY.FORMAT_1),CURRENCY.FORMAT_1,1),"# ##0;-# ##0"),",-"),FIXED(ROUND((C169/EXC.RATE_1),CURRENCY.FORMAT_1),CURRENCY.FORMAT_1,0)),'DICTIONARY-5'!$A$2)</f>
        <v>4 360,-</v>
      </c>
      <c r="K169" s="670" t="str">
        <f>IF(EXC.RATE_2=0,"",IFERROR(IF(CURRENCY.FORMAT_2=0,CONCATENATE(TEXT(FIXED(ROUND(IF(EXC.RATE.SWITCH=1,C169/EXC.RATE_2,C169*EXC.RATE_2),CURRENCY.FORMAT_2),CURRENCY.FORMAT_2,1),"# ##0;-# ##0"),",-"),FIXED(ROUND(IF(EXC.RATE.SWITCH=1,C169/EXC.RATE_2,C169*EXC.RATE_2),CURRENCY.FORMAT_2),CURRENCY.FORMAT_2,0)),'DICTIONARY-5'!$A$2))</f>
        <v/>
      </c>
      <c r="L169" s="670" t="str">
        <f>IFERROR(IF(CURRENCY.FORMAT_1=0,CONCATENATE(TEXT(FIXED(ROUND((C169*(1-I169)*(1-ADD.DISCOUNT)*(1+MAT.SURCHARGE)/EXC.RATE_1),CURRENCY.FORMAT_1),CURRENCY.FORMAT_1,1),"# ##0;-# ##0"),",-"),FIXED(ROUND((C169*(1-I169)*(1-ADD.DISCOUNT)*(1+MAT.SURCHARGE)/EXC.RATE_1),CURRENCY.FORMAT_1),CURRENCY.FORMAT_1,0)),'DICTIONARY-5'!$A$2)</f>
        <v>4 530,-</v>
      </c>
      <c r="M169" s="670" t="str">
        <f>IF(EXC.RATE_2=0,"",IFERROR(IF(CURRENCY.FORMAT_2=0,CONCATENATE(TEXT(FIXED(ROUND(IF(EXC.RATE.SWITCH=1,C169*(1-I169)*(1-ADD.DISCOUNT)*(1+MAT.SURCHARGE)/EXC.RATE_2,C169*(1-I169)*(1-ADD.DISCOUNT)*(1+MAT.SURCHARGE)*EXC.RATE_2),CURRENCY.FORMAT_2),CURRENCY.FORMAT_2,1),"# ##0;-# ##0"),",-"),FIXED(ROUND(IF(EXC.RATE.SWITCH=1,C169*(1-I169)*(1-ADD.DISCOUNT)*(1+MAT.SURCHARGE)/EXC.RATE_2,C169*(1-I169)*(1-ADD.DISCOUNT)*(1+MAT.SURCHARGE)*EXC.RATE_2),CURRENCY.FORMAT_2),CURRENCY.FORMAT_2,0)),'DICTIONARY-5'!$A$2))</f>
        <v/>
      </c>
      <c r="N169" s="496">
        <v>1</v>
      </c>
      <c r="O169" s="496"/>
      <c r="P169" s="731" t="str">
        <f>'DICTIONARY-3'!$A$2</f>
        <v>EKOplus</v>
      </c>
      <c r="Q169" s="732" t="str">
        <f>'DICTIONARY-3'!$A$187</f>
        <v>Zasuwa klinowa</v>
      </c>
      <c r="R169" s="732" t="str">
        <f>CONCATENATE('DICTIONARY-3'!$A$2," ",'DICTIONARY-6'!$A$3," ",'DICTIONARY-2'!$A$2,"400"," ",'DICTIONARY-2'!$A$3,"10"," ","R14",", ","AUMA")</f>
        <v>EKOplus Zasuwa DN400 PN10 R14, AUMA</v>
      </c>
      <c r="S169" s="733" t="str">
        <f>'DICTIONARY-4'!$A$4</f>
        <v>NE</v>
      </c>
      <c r="T169" s="732" t="str">
        <f>'DICTIONARY-4'!$A$20</f>
        <v>Napęd elektryczny</v>
      </c>
      <c r="U169" s="734" t="s">
        <v>5754</v>
      </c>
      <c r="V169" s="735">
        <v>10</v>
      </c>
      <c r="W169" s="736"/>
      <c r="X169" s="737"/>
      <c r="Y169" s="738"/>
      <c r="Z169" s="739"/>
      <c r="AA169" s="739"/>
      <c r="AB169" s="740">
        <v>10</v>
      </c>
      <c r="AC169" s="741" t="str">
        <f>'DICTIONARY-5'!$A$11&amp;" 14"</f>
        <v>EN 558 szereg 14</v>
      </c>
      <c r="AD169" s="741" t="str">
        <f>'DICTIONARY-5'!$A$13</f>
        <v>woda pitna</v>
      </c>
      <c r="AE169" s="742">
        <v>50</v>
      </c>
      <c r="AF169" s="743">
        <v>374</v>
      </c>
      <c r="AG169" s="741" t="str">
        <f>'DICTIONARY-5'!$A$23</f>
        <v>powłoka epoksydowa</v>
      </c>
    </row>
    <row r="170" spans="1:33" x14ac:dyDescent="0.25">
      <c r="A170" s="837" t="s">
        <v>8273</v>
      </c>
      <c r="B170" s="837" t="s">
        <v>8265</v>
      </c>
      <c r="C170" s="836">
        <v>4422</v>
      </c>
      <c r="D170" s="836"/>
      <c r="E170" s="836"/>
      <c r="F170" s="836"/>
      <c r="G170" s="496" t="s">
        <v>7790</v>
      </c>
      <c r="H170" s="797" t="str">
        <f>VLOOKUP(G170,SETTINGS!$B$7:$D$97,2,0)</f>
        <v>EKOplus (with Actuator)</v>
      </c>
      <c r="I170" s="796">
        <f>VLOOKUP(G170,SETTINGS!$B$7:$D$97,3,0)</f>
        <v>0</v>
      </c>
      <c r="J170" s="670" t="str">
        <f>IFERROR(IF(CURRENCY.FORMAT_1=0,CONCATENATE(TEXT(FIXED(ROUND((C170/EXC.RATE_1),CURRENCY.FORMAT_1),CURRENCY.FORMAT_1,1),"# ##0;-# ##0"),",-"),FIXED(ROUND((C170/EXC.RATE_1),CURRENCY.FORMAT_1),CURRENCY.FORMAT_1,0)),'DICTIONARY-5'!$A$2)</f>
        <v>4 422,-</v>
      </c>
      <c r="K170" s="670" t="str">
        <f>IF(EXC.RATE_2=0,"",IFERROR(IF(CURRENCY.FORMAT_2=0,CONCATENATE(TEXT(FIXED(ROUND(IF(EXC.RATE.SWITCH=1,C170/EXC.RATE_2,C170*EXC.RATE_2),CURRENCY.FORMAT_2),CURRENCY.FORMAT_2,1),"# ##0;-# ##0"),",-"),FIXED(ROUND(IF(EXC.RATE.SWITCH=1,C170/EXC.RATE_2,C170*EXC.RATE_2),CURRENCY.FORMAT_2),CURRENCY.FORMAT_2,0)),'DICTIONARY-5'!$A$2))</f>
        <v/>
      </c>
      <c r="L170" s="670" t="str">
        <f>IFERROR(IF(CURRENCY.FORMAT_1=0,CONCATENATE(TEXT(FIXED(ROUND((C170*(1-I170)*(1-ADD.DISCOUNT)*(1+MAT.SURCHARGE)/EXC.RATE_1),CURRENCY.FORMAT_1),CURRENCY.FORMAT_1,1),"# ##0;-# ##0"),",-"),FIXED(ROUND((C170*(1-I170)*(1-ADD.DISCOUNT)*(1+MAT.SURCHARGE)/EXC.RATE_1),CURRENCY.FORMAT_1),CURRENCY.FORMAT_1,0)),'DICTIONARY-5'!$A$2)</f>
        <v>4 594,-</v>
      </c>
      <c r="M170" s="670" t="str">
        <f>IF(EXC.RATE_2=0,"",IFERROR(IF(CURRENCY.FORMAT_2=0,CONCATENATE(TEXT(FIXED(ROUND(IF(EXC.RATE.SWITCH=1,C170*(1-I170)*(1-ADD.DISCOUNT)*(1+MAT.SURCHARGE)/EXC.RATE_2,C170*(1-I170)*(1-ADD.DISCOUNT)*(1+MAT.SURCHARGE)*EXC.RATE_2),CURRENCY.FORMAT_2),CURRENCY.FORMAT_2,1),"# ##0;-# ##0"),",-"),FIXED(ROUND(IF(EXC.RATE.SWITCH=1,C170*(1-I170)*(1-ADD.DISCOUNT)*(1+MAT.SURCHARGE)/EXC.RATE_2,C170*(1-I170)*(1-ADD.DISCOUNT)*(1+MAT.SURCHARGE)*EXC.RATE_2),CURRENCY.FORMAT_2),CURRENCY.FORMAT_2,0)),'DICTIONARY-5'!$A$2))</f>
        <v/>
      </c>
      <c r="N170" s="496">
        <v>1</v>
      </c>
      <c r="O170" s="496"/>
      <c r="P170" s="731" t="str">
        <f>'DICTIONARY-3'!$A$2</f>
        <v>EKOplus</v>
      </c>
      <c r="Q170" s="732" t="str">
        <f>'DICTIONARY-3'!$A$187</f>
        <v>Zasuwa klinowa</v>
      </c>
      <c r="R170" s="732" t="str">
        <f>CONCATENATE('DICTIONARY-3'!$A$2," ",'DICTIONARY-6'!$A$3," ",'DICTIONARY-2'!$A$2,"400"," ",'DICTIONARY-2'!$A$3,"16"," ","R14",", ","AUMA")</f>
        <v>EKOplus Zasuwa DN400 PN16 R14, AUMA</v>
      </c>
      <c r="S170" s="733" t="str">
        <f>'DICTIONARY-4'!$A$4</f>
        <v>NE</v>
      </c>
      <c r="T170" s="732" t="str">
        <f>'DICTIONARY-4'!$A$20</f>
        <v>Napęd elektryczny</v>
      </c>
      <c r="U170" s="734" t="s">
        <v>5754</v>
      </c>
      <c r="V170" s="735">
        <v>16</v>
      </c>
      <c r="W170" s="736"/>
      <c r="X170" s="737"/>
      <c r="Y170" s="738"/>
      <c r="Z170" s="739"/>
      <c r="AA170" s="739"/>
      <c r="AB170" s="740">
        <v>16</v>
      </c>
      <c r="AC170" s="741" t="str">
        <f>'DICTIONARY-5'!$A$11&amp;" 14"</f>
        <v>EN 558 szereg 14</v>
      </c>
      <c r="AD170" s="741" t="str">
        <f>'DICTIONARY-5'!$A$13</f>
        <v>woda pitna</v>
      </c>
      <c r="AE170" s="742">
        <v>50</v>
      </c>
      <c r="AF170" s="743">
        <v>371</v>
      </c>
      <c r="AG170" s="741" t="str">
        <f>'DICTIONARY-5'!$A$23</f>
        <v>powłoka epoksydowa</v>
      </c>
    </row>
    <row r="171" spans="1:33" x14ac:dyDescent="0.25">
      <c r="A171" s="837" t="s">
        <v>8274</v>
      </c>
      <c r="B171" s="837" t="s">
        <v>8266</v>
      </c>
      <c r="C171" s="836">
        <v>5882</v>
      </c>
      <c r="D171" s="836"/>
      <c r="E171" s="836"/>
      <c r="F171" s="836"/>
      <c r="G171" s="496" t="s">
        <v>7790</v>
      </c>
      <c r="H171" s="797" t="str">
        <f>VLOOKUP(G171,SETTINGS!$B$7:$D$97,2,0)</f>
        <v>EKOplus (with Actuator)</v>
      </c>
      <c r="I171" s="796">
        <f>VLOOKUP(G171,SETTINGS!$B$7:$D$97,3,0)</f>
        <v>0</v>
      </c>
      <c r="J171" s="670" t="str">
        <f>IFERROR(IF(CURRENCY.FORMAT_1=0,CONCATENATE(TEXT(FIXED(ROUND((C171/EXC.RATE_1),CURRENCY.FORMAT_1),CURRENCY.FORMAT_1,1),"# ##0;-# ##0"),",-"),FIXED(ROUND((C171/EXC.RATE_1),CURRENCY.FORMAT_1),CURRENCY.FORMAT_1,0)),'DICTIONARY-5'!$A$2)</f>
        <v>5 882,-</v>
      </c>
      <c r="K171" s="670" t="str">
        <f>IF(EXC.RATE_2=0,"",IFERROR(IF(CURRENCY.FORMAT_2=0,CONCATENATE(TEXT(FIXED(ROUND(IF(EXC.RATE.SWITCH=1,C171/EXC.RATE_2,C171*EXC.RATE_2),CURRENCY.FORMAT_2),CURRENCY.FORMAT_2,1),"# ##0;-# ##0"),",-"),FIXED(ROUND(IF(EXC.RATE.SWITCH=1,C171/EXC.RATE_2,C171*EXC.RATE_2),CURRENCY.FORMAT_2),CURRENCY.FORMAT_2,0)),'DICTIONARY-5'!$A$2))</f>
        <v/>
      </c>
      <c r="L171" s="670" t="str">
        <f>IFERROR(IF(CURRENCY.FORMAT_1=0,CONCATENATE(TEXT(FIXED(ROUND((C171*(1-I171)*(1-ADD.DISCOUNT)*(1+MAT.SURCHARGE)/EXC.RATE_1),CURRENCY.FORMAT_1),CURRENCY.FORMAT_1,1),"# ##0;-# ##0"),",-"),FIXED(ROUND((C171*(1-I171)*(1-ADD.DISCOUNT)*(1+MAT.SURCHARGE)/EXC.RATE_1),CURRENCY.FORMAT_1),CURRENCY.FORMAT_1,0)),'DICTIONARY-5'!$A$2)</f>
        <v>6 111,-</v>
      </c>
      <c r="M171" s="670" t="str">
        <f>IF(EXC.RATE_2=0,"",IFERROR(IF(CURRENCY.FORMAT_2=0,CONCATENATE(TEXT(FIXED(ROUND(IF(EXC.RATE.SWITCH=1,C171*(1-I171)*(1-ADD.DISCOUNT)*(1+MAT.SURCHARGE)/EXC.RATE_2,C171*(1-I171)*(1-ADD.DISCOUNT)*(1+MAT.SURCHARGE)*EXC.RATE_2),CURRENCY.FORMAT_2),CURRENCY.FORMAT_2,1),"# ##0;-# ##0"),",-"),FIXED(ROUND(IF(EXC.RATE.SWITCH=1,C171*(1-I171)*(1-ADD.DISCOUNT)*(1+MAT.SURCHARGE)/EXC.RATE_2,C171*(1-I171)*(1-ADD.DISCOUNT)*(1+MAT.SURCHARGE)*EXC.RATE_2),CURRENCY.FORMAT_2),CURRENCY.FORMAT_2,0)),'DICTIONARY-5'!$A$2))</f>
        <v/>
      </c>
      <c r="N171" s="496">
        <v>1</v>
      </c>
      <c r="O171" s="496"/>
      <c r="P171" s="731" t="str">
        <f>'DICTIONARY-3'!$A$2</f>
        <v>EKOplus</v>
      </c>
      <c r="Q171" s="732" t="str">
        <f>'DICTIONARY-3'!$A$187</f>
        <v>Zasuwa klinowa</v>
      </c>
      <c r="R171" s="732" t="str">
        <f>CONCATENATE('DICTIONARY-3'!$A$2," ",'DICTIONARY-6'!$A$3," ",'DICTIONARY-2'!$A$2,"500"," ",'DICTIONARY-2'!$A$3,"10"," ","R14",", ","AUMA")</f>
        <v>EKOplus Zasuwa DN500 PN10 R14, AUMA</v>
      </c>
      <c r="S171" s="733" t="str">
        <f>'DICTIONARY-4'!$A$4</f>
        <v>NE</v>
      </c>
      <c r="T171" s="732" t="str">
        <f>'DICTIONARY-4'!$A$20</f>
        <v>Napęd elektryczny</v>
      </c>
      <c r="U171" s="734" t="s">
        <v>5756</v>
      </c>
      <c r="V171" s="735">
        <v>10</v>
      </c>
      <c r="W171" s="736"/>
      <c r="X171" s="737"/>
      <c r="Y171" s="738"/>
      <c r="Z171" s="739"/>
      <c r="AA171" s="739"/>
      <c r="AB171" s="740">
        <v>10</v>
      </c>
      <c r="AC171" s="741" t="str">
        <f>'DICTIONARY-5'!$A$11&amp;" 14"</f>
        <v>EN 558 szereg 14</v>
      </c>
      <c r="AD171" s="741" t="str">
        <f>'DICTIONARY-5'!$A$13</f>
        <v>woda pitna</v>
      </c>
      <c r="AE171" s="742">
        <v>50</v>
      </c>
      <c r="AF171" s="743"/>
      <c r="AG171" s="741" t="str">
        <f>'DICTIONARY-5'!$A$23</f>
        <v>powłoka epoksydowa</v>
      </c>
    </row>
    <row r="172" spans="1:33" x14ac:dyDescent="0.25">
      <c r="A172" s="837" t="s">
        <v>8275</v>
      </c>
      <c r="B172" s="837" t="s">
        <v>8267</v>
      </c>
      <c r="C172" s="836">
        <v>6020</v>
      </c>
      <c r="D172" s="836"/>
      <c r="E172" s="836"/>
      <c r="F172" s="836"/>
      <c r="G172" s="496" t="s">
        <v>7790</v>
      </c>
      <c r="H172" s="797" t="str">
        <f>VLOOKUP(G172,SETTINGS!$B$7:$D$97,2,0)</f>
        <v>EKOplus (with Actuator)</v>
      </c>
      <c r="I172" s="796">
        <f>VLOOKUP(G172,SETTINGS!$B$7:$D$97,3,0)</f>
        <v>0</v>
      </c>
      <c r="J172" s="670" t="str">
        <f>IFERROR(IF(CURRENCY.FORMAT_1=0,CONCATENATE(TEXT(FIXED(ROUND((C172/EXC.RATE_1),CURRENCY.FORMAT_1),CURRENCY.FORMAT_1,1),"# ##0;-# ##0"),",-"),FIXED(ROUND((C172/EXC.RATE_1),CURRENCY.FORMAT_1),CURRENCY.FORMAT_1,0)),'DICTIONARY-5'!$A$2)</f>
        <v>6 020,-</v>
      </c>
      <c r="K172" s="670" t="str">
        <f>IF(EXC.RATE_2=0,"",IFERROR(IF(CURRENCY.FORMAT_2=0,CONCATENATE(TEXT(FIXED(ROUND(IF(EXC.RATE.SWITCH=1,C172/EXC.RATE_2,C172*EXC.RATE_2),CURRENCY.FORMAT_2),CURRENCY.FORMAT_2,1),"# ##0;-# ##0"),",-"),FIXED(ROUND(IF(EXC.RATE.SWITCH=1,C172/EXC.RATE_2,C172*EXC.RATE_2),CURRENCY.FORMAT_2),CURRENCY.FORMAT_2,0)),'DICTIONARY-5'!$A$2))</f>
        <v/>
      </c>
      <c r="L172" s="670" t="str">
        <f>IFERROR(IF(CURRENCY.FORMAT_1=0,CONCATENATE(TEXT(FIXED(ROUND((C172*(1-I172)*(1-ADD.DISCOUNT)*(1+MAT.SURCHARGE)/EXC.RATE_1),CURRENCY.FORMAT_1),CURRENCY.FORMAT_1,1),"# ##0;-# ##0"),",-"),FIXED(ROUND((C172*(1-I172)*(1-ADD.DISCOUNT)*(1+MAT.SURCHARGE)/EXC.RATE_1),CURRENCY.FORMAT_1),CURRENCY.FORMAT_1,0)),'DICTIONARY-5'!$A$2)</f>
        <v>6 255,-</v>
      </c>
      <c r="M172" s="670" t="str">
        <f>IF(EXC.RATE_2=0,"",IFERROR(IF(CURRENCY.FORMAT_2=0,CONCATENATE(TEXT(FIXED(ROUND(IF(EXC.RATE.SWITCH=1,C172*(1-I172)*(1-ADD.DISCOUNT)*(1+MAT.SURCHARGE)/EXC.RATE_2,C172*(1-I172)*(1-ADD.DISCOUNT)*(1+MAT.SURCHARGE)*EXC.RATE_2),CURRENCY.FORMAT_2),CURRENCY.FORMAT_2,1),"# ##0;-# ##0"),",-"),FIXED(ROUND(IF(EXC.RATE.SWITCH=1,C172*(1-I172)*(1-ADD.DISCOUNT)*(1+MAT.SURCHARGE)/EXC.RATE_2,C172*(1-I172)*(1-ADD.DISCOUNT)*(1+MAT.SURCHARGE)*EXC.RATE_2),CURRENCY.FORMAT_2),CURRENCY.FORMAT_2,0)),'DICTIONARY-5'!$A$2))</f>
        <v/>
      </c>
      <c r="N172" s="496">
        <v>1</v>
      </c>
      <c r="O172" s="496"/>
      <c r="P172" s="731" t="str">
        <f>'DICTIONARY-3'!$A$2</f>
        <v>EKOplus</v>
      </c>
      <c r="Q172" s="732" t="str">
        <f>'DICTIONARY-3'!$A$187</f>
        <v>Zasuwa klinowa</v>
      </c>
      <c r="R172" s="732" t="str">
        <f>CONCATENATE('DICTIONARY-3'!$A$2," ",'DICTIONARY-6'!$A$3," ",'DICTIONARY-2'!$A$2,"500"," ",'DICTIONARY-2'!$A$3,"16"," ","R14",", ","AUMA")</f>
        <v>EKOplus Zasuwa DN500 PN16 R14, AUMA</v>
      </c>
      <c r="S172" s="733" t="str">
        <f>'DICTIONARY-4'!$A$4</f>
        <v>NE</v>
      </c>
      <c r="T172" s="732" t="str">
        <f>'DICTIONARY-4'!$A$20</f>
        <v>Napęd elektryczny</v>
      </c>
      <c r="U172" s="734" t="s">
        <v>5756</v>
      </c>
      <c r="V172" s="735">
        <v>16</v>
      </c>
      <c r="W172" s="736"/>
      <c r="X172" s="737"/>
      <c r="Y172" s="738"/>
      <c r="Z172" s="739"/>
      <c r="AA172" s="739"/>
      <c r="AB172" s="740">
        <v>16</v>
      </c>
      <c r="AC172" s="741" t="str">
        <f>'DICTIONARY-5'!$A$11&amp;" 14"</f>
        <v>EN 558 szereg 14</v>
      </c>
      <c r="AD172" s="741" t="str">
        <f>'DICTIONARY-5'!$A$13</f>
        <v>woda pitna</v>
      </c>
      <c r="AE172" s="742">
        <v>50</v>
      </c>
      <c r="AF172" s="743"/>
      <c r="AG172" s="741" t="str">
        <f>'DICTIONARY-5'!$A$23</f>
        <v>powłoka epoksydowa</v>
      </c>
    </row>
    <row r="173" spans="1:33" x14ac:dyDescent="0.25">
      <c r="A173" s="837" t="s">
        <v>8276</v>
      </c>
      <c r="B173" s="837" t="s">
        <v>8268</v>
      </c>
      <c r="C173" s="836">
        <v>8003</v>
      </c>
      <c r="D173" s="836"/>
      <c r="E173" s="836"/>
      <c r="F173" s="836"/>
      <c r="G173" s="496" t="s">
        <v>7790</v>
      </c>
      <c r="H173" s="797" t="str">
        <f>VLOOKUP(G173,SETTINGS!$B$7:$D$97,2,0)</f>
        <v>EKOplus (with Actuator)</v>
      </c>
      <c r="I173" s="796">
        <f>VLOOKUP(G173,SETTINGS!$B$7:$D$97,3,0)</f>
        <v>0</v>
      </c>
      <c r="J173" s="670" t="str">
        <f>IFERROR(IF(CURRENCY.FORMAT_1=0,CONCATENATE(TEXT(FIXED(ROUND((C173/EXC.RATE_1),CURRENCY.FORMAT_1),CURRENCY.FORMAT_1,1),"# ##0;-# ##0"),",-"),FIXED(ROUND((C173/EXC.RATE_1),CURRENCY.FORMAT_1),CURRENCY.FORMAT_1,0)),'DICTIONARY-5'!$A$2)</f>
        <v>8 003,-</v>
      </c>
      <c r="K173" s="670" t="str">
        <f>IF(EXC.RATE_2=0,"",IFERROR(IF(CURRENCY.FORMAT_2=0,CONCATENATE(TEXT(FIXED(ROUND(IF(EXC.RATE.SWITCH=1,C173/EXC.RATE_2,C173*EXC.RATE_2),CURRENCY.FORMAT_2),CURRENCY.FORMAT_2,1),"# ##0;-# ##0"),",-"),FIXED(ROUND(IF(EXC.RATE.SWITCH=1,C173/EXC.RATE_2,C173*EXC.RATE_2),CURRENCY.FORMAT_2),CURRENCY.FORMAT_2,0)),'DICTIONARY-5'!$A$2))</f>
        <v/>
      </c>
      <c r="L173" s="670" t="str">
        <f>IFERROR(IF(CURRENCY.FORMAT_1=0,CONCATENATE(TEXT(FIXED(ROUND((C173*(1-I173)*(1-ADD.DISCOUNT)*(1+MAT.SURCHARGE)/EXC.RATE_1),CURRENCY.FORMAT_1),CURRENCY.FORMAT_1,1),"# ##0;-# ##0"),",-"),FIXED(ROUND((C173*(1-I173)*(1-ADD.DISCOUNT)*(1+MAT.SURCHARGE)/EXC.RATE_1),CURRENCY.FORMAT_1),CURRENCY.FORMAT_1,0)),'DICTIONARY-5'!$A$2)</f>
        <v>8 315,-</v>
      </c>
      <c r="M173" s="670" t="str">
        <f>IF(EXC.RATE_2=0,"",IFERROR(IF(CURRENCY.FORMAT_2=0,CONCATENATE(TEXT(FIXED(ROUND(IF(EXC.RATE.SWITCH=1,C173*(1-I173)*(1-ADD.DISCOUNT)*(1+MAT.SURCHARGE)/EXC.RATE_2,C173*(1-I173)*(1-ADD.DISCOUNT)*(1+MAT.SURCHARGE)*EXC.RATE_2),CURRENCY.FORMAT_2),CURRENCY.FORMAT_2,1),"# ##0;-# ##0"),",-"),FIXED(ROUND(IF(EXC.RATE.SWITCH=1,C173*(1-I173)*(1-ADD.DISCOUNT)*(1+MAT.SURCHARGE)/EXC.RATE_2,C173*(1-I173)*(1-ADD.DISCOUNT)*(1+MAT.SURCHARGE)*EXC.RATE_2),CURRENCY.FORMAT_2),CURRENCY.FORMAT_2,0)),'DICTIONARY-5'!$A$2))</f>
        <v/>
      </c>
      <c r="N173" s="496">
        <v>1</v>
      </c>
      <c r="O173" s="496"/>
      <c r="P173" s="731" t="str">
        <f>'DICTIONARY-3'!$A$2</f>
        <v>EKOplus</v>
      </c>
      <c r="Q173" s="732" t="str">
        <f>'DICTIONARY-3'!$A$187</f>
        <v>Zasuwa klinowa</v>
      </c>
      <c r="R173" s="732" t="str">
        <f>CONCATENATE('DICTIONARY-3'!$A$2," ",'DICTIONARY-6'!$A$3," ",'DICTIONARY-2'!$A$2,"600"," ",'DICTIONARY-2'!$A$3,"10"," ","R14",", ","AUMA")</f>
        <v>EKOplus Zasuwa DN600 PN10 R14, AUMA</v>
      </c>
      <c r="S173" s="733" t="str">
        <f>'DICTIONARY-4'!$A$4</f>
        <v>NE</v>
      </c>
      <c r="T173" s="732" t="str">
        <f>'DICTIONARY-4'!$A$20</f>
        <v>Napęd elektryczny</v>
      </c>
      <c r="U173" s="734" t="s">
        <v>5757</v>
      </c>
      <c r="V173" s="735">
        <v>10</v>
      </c>
      <c r="W173" s="736"/>
      <c r="X173" s="737"/>
      <c r="Y173" s="738"/>
      <c r="Z173" s="739"/>
      <c r="AA173" s="739"/>
      <c r="AB173" s="740">
        <v>10</v>
      </c>
      <c r="AC173" s="741" t="str">
        <f>'DICTIONARY-5'!$A$11&amp;" 14"</f>
        <v>EN 558 szereg 14</v>
      </c>
      <c r="AD173" s="741" t="str">
        <f>'DICTIONARY-5'!$A$13</f>
        <v>woda pitna</v>
      </c>
      <c r="AE173" s="742">
        <v>50</v>
      </c>
      <c r="AF173" s="743">
        <v>794</v>
      </c>
      <c r="AG173" s="741" t="str">
        <f>'DICTIONARY-5'!$A$23</f>
        <v>powłoka epoksydowa</v>
      </c>
    </row>
    <row r="174" spans="1:33" x14ac:dyDescent="0.25">
      <c r="A174" s="837" t="s">
        <v>8277</v>
      </c>
      <c r="B174" s="837" t="s">
        <v>8269</v>
      </c>
      <c r="C174" s="836">
        <v>8463</v>
      </c>
      <c r="D174" s="836"/>
      <c r="E174" s="836"/>
      <c r="F174" s="836"/>
      <c r="G174" s="496" t="s">
        <v>7790</v>
      </c>
      <c r="H174" s="797" t="str">
        <f>VLOOKUP(G174,SETTINGS!$B$7:$D$97,2,0)</f>
        <v>EKOplus (with Actuator)</v>
      </c>
      <c r="I174" s="796">
        <f>VLOOKUP(G174,SETTINGS!$B$7:$D$97,3,0)</f>
        <v>0</v>
      </c>
      <c r="J174" s="670" t="str">
        <f>IFERROR(IF(CURRENCY.FORMAT_1=0,CONCATENATE(TEXT(FIXED(ROUND((C174/EXC.RATE_1),CURRENCY.FORMAT_1),CURRENCY.FORMAT_1,1),"# ##0;-# ##0"),",-"),FIXED(ROUND((C174/EXC.RATE_1),CURRENCY.FORMAT_1),CURRENCY.FORMAT_1,0)),'DICTIONARY-5'!$A$2)</f>
        <v>8 463,-</v>
      </c>
      <c r="K174" s="670" t="str">
        <f>IF(EXC.RATE_2=0,"",IFERROR(IF(CURRENCY.FORMAT_2=0,CONCATENATE(TEXT(FIXED(ROUND(IF(EXC.RATE.SWITCH=1,C174/EXC.RATE_2,C174*EXC.RATE_2),CURRENCY.FORMAT_2),CURRENCY.FORMAT_2,1),"# ##0;-# ##0"),",-"),FIXED(ROUND(IF(EXC.RATE.SWITCH=1,C174/EXC.RATE_2,C174*EXC.RATE_2),CURRENCY.FORMAT_2),CURRENCY.FORMAT_2,0)),'DICTIONARY-5'!$A$2))</f>
        <v/>
      </c>
      <c r="L174" s="670" t="str">
        <f>IFERROR(IF(CURRENCY.FORMAT_1=0,CONCATENATE(TEXT(FIXED(ROUND((C174*(1-I174)*(1-ADD.DISCOUNT)*(1+MAT.SURCHARGE)/EXC.RATE_1),CURRENCY.FORMAT_1),CURRENCY.FORMAT_1,1),"# ##0;-# ##0"),",-"),FIXED(ROUND((C174*(1-I174)*(1-ADD.DISCOUNT)*(1+MAT.SURCHARGE)/EXC.RATE_1),CURRENCY.FORMAT_1),CURRENCY.FORMAT_1,0)),'DICTIONARY-5'!$A$2)</f>
        <v>8 793,-</v>
      </c>
      <c r="M174" s="670" t="str">
        <f>IF(EXC.RATE_2=0,"",IFERROR(IF(CURRENCY.FORMAT_2=0,CONCATENATE(TEXT(FIXED(ROUND(IF(EXC.RATE.SWITCH=1,C174*(1-I174)*(1-ADD.DISCOUNT)*(1+MAT.SURCHARGE)/EXC.RATE_2,C174*(1-I174)*(1-ADD.DISCOUNT)*(1+MAT.SURCHARGE)*EXC.RATE_2),CURRENCY.FORMAT_2),CURRENCY.FORMAT_2,1),"# ##0;-# ##0"),",-"),FIXED(ROUND(IF(EXC.RATE.SWITCH=1,C174*(1-I174)*(1-ADD.DISCOUNT)*(1+MAT.SURCHARGE)/EXC.RATE_2,C174*(1-I174)*(1-ADD.DISCOUNT)*(1+MAT.SURCHARGE)*EXC.RATE_2),CURRENCY.FORMAT_2),CURRENCY.FORMAT_2,0)),'DICTIONARY-5'!$A$2))</f>
        <v/>
      </c>
      <c r="N174" s="496">
        <v>1</v>
      </c>
      <c r="O174" s="496"/>
      <c r="P174" s="731" t="str">
        <f>'DICTIONARY-3'!$A$2</f>
        <v>EKOplus</v>
      </c>
      <c r="Q174" s="732" t="str">
        <f>'DICTIONARY-3'!$A$187</f>
        <v>Zasuwa klinowa</v>
      </c>
      <c r="R174" s="732" t="str">
        <f>CONCATENATE('DICTIONARY-3'!$A$2," ",'DICTIONARY-6'!$A$3," ",'DICTIONARY-2'!$A$2,"600"," ",'DICTIONARY-2'!$A$3,"16"," ","R14",", ","AUMA")</f>
        <v>EKOplus Zasuwa DN600 PN16 R14, AUMA</v>
      </c>
      <c r="S174" s="733" t="str">
        <f>'DICTIONARY-4'!$A$4</f>
        <v>NE</v>
      </c>
      <c r="T174" s="732" t="str">
        <f>'DICTIONARY-4'!$A$20</f>
        <v>Napęd elektryczny</v>
      </c>
      <c r="U174" s="734" t="s">
        <v>5757</v>
      </c>
      <c r="V174" s="735">
        <v>16</v>
      </c>
      <c r="W174" s="736"/>
      <c r="X174" s="737"/>
      <c r="Y174" s="738"/>
      <c r="Z174" s="739"/>
      <c r="AA174" s="739"/>
      <c r="AB174" s="740">
        <v>16</v>
      </c>
      <c r="AC174" s="741" t="str">
        <f>'DICTIONARY-5'!$A$11&amp;" 14"</f>
        <v>EN 558 szereg 14</v>
      </c>
      <c r="AD174" s="741" t="str">
        <f>'DICTIONARY-5'!$A$13</f>
        <v>woda pitna</v>
      </c>
      <c r="AE174" s="742">
        <v>50</v>
      </c>
      <c r="AF174" s="743"/>
      <c r="AG174" s="741" t="str">
        <f>'DICTIONARY-5'!$A$23</f>
        <v>powłoka epoksydowa</v>
      </c>
    </row>
    <row r="175" spans="1:33" x14ac:dyDescent="0.25">
      <c r="A175" s="837" t="s">
        <v>220</v>
      </c>
      <c r="B175" s="837" t="s">
        <v>3097</v>
      </c>
      <c r="C175" s="836">
        <v>2173</v>
      </c>
      <c r="D175" s="836"/>
      <c r="E175" s="836"/>
      <c r="F175" s="836"/>
      <c r="G175" s="496" t="s">
        <v>7790</v>
      </c>
      <c r="H175" s="797" t="str">
        <f>VLOOKUP(G175,SETTINGS!$B$7:$D$97,2,0)</f>
        <v>EKOplus (with Actuator)</v>
      </c>
      <c r="I175" s="796">
        <f>VLOOKUP(G175,SETTINGS!$B$7:$D$97,3,0)</f>
        <v>0</v>
      </c>
      <c r="J175" s="670" t="str">
        <f>IFERROR(IF(CURRENCY.FORMAT_1=0,CONCATENATE(TEXT(FIXED(ROUND((C175/EXC.RATE_1),CURRENCY.FORMAT_1),CURRENCY.FORMAT_1,1),"# ##0;-# ##0"),",-"),FIXED(ROUND((C175/EXC.RATE_1),CURRENCY.FORMAT_1),CURRENCY.FORMAT_1,0)),'DICTIONARY-5'!$A$2)</f>
        <v>2 173,-</v>
      </c>
      <c r="K175" s="670" t="str">
        <f>IF(EXC.RATE_2=0,"",IFERROR(IF(CURRENCY.FORMAT_2=0,CONCATENATE(TEXT(FIXED(ROUND(IF(EXC.RATE.SWITCH=1,C175/EXC.RATE_2,C175*EXC.RATE_2),CURRENCY.FORMAT_2),CURRENCY.FORMAT_2,1),"# ##0;-# ##0"),",-"),FIXED(ROUND(IF(EXC.RATE.SWITCH=1,C175/EXC.RATE_2,C175*EXC.RATE_2),CURRENCY.FORMAT_2),CURRENCY.FORMAT_2,0)),'DICTIONARY-5'!$A$2))</f>
        <v/>
      </c>
      <c r="L175" s="670" t="str">
        <f>IFERROR(IF(CURRENCY.FORMAT_1=0,CONCATENATE(TEXT(FIXED(ROUND((C175*(1-I175)*(1-ADD.DISCOUNT)*(1+MAT.SURCHARGE)/EXC.RATE_1),CURRENCY.FORMAT_1),CURRENCY.FORMAT_1,1),"# ##0;-# ##0"),",-"),FIXED(ROUND((C175*(1-I175)*(1-ADD.DISCOUNT)*(1+MAT.SURCHARGE)/EXC.RATE_1),CURRENCY.FORMAT_1),CURRENCY.FORMAT_1,0)),'DICTIONARY-5'!$A$2)</f>
        <v>2 258,-</v>
      </c>
      <c r="M175" s="670" t="str">
        <f>IF(EXC.RATE_2=0,"",IFERROR(IF(CURRENCY.FORMAT_2=0,CONCATENATE(TEXT(FIXED(ROUND(IF(EXC.RATE.SWITCH=1,C175*(1-I175)*(1-ADD.DISCOUNT)*(1+MAT.SURCHARGE)/EXC.RATE_2,C175*(1-I175)*(1-ADD.DISCOUNT)*(1+MAT.SURCHARGE)*EXC.RATE_2),CURRENCY.FORMAT_2),CURRENCY.FORMAT_2,1),"# ##0;-# ##0"),",-"),FIXED(ROUND(IF(EXC.RATE.SWITCH=1,C175*(1-I175)*(1-ADD.DISCOUNT)*(1+MAT.SURCHARGE)/EXC.RATE_2,C175*(1-I175)*(1-ADD.DISCOUNT)*(1+MAT.SURCHARGE)*EXC.RATE_2),CURRENCY.FORMAT_2),CURRENCY.FORMAT_2,0)),'DICTIONARY-5'!$A$2))</f>
        <v/>
      </c>
      <c r="N175" s="496">
        <v>1</v>
      </c>
      <c r="O175" s="496"/>
      <c r="P175" s="731" t="str">
        <f>'DICTIONARY-3'!$A$2</f>
        <v>EKOplus</v>
      </c>
      <c r="Q175" s="732" t="str">
        <f>'DICTIONARY-3'!$A$187</f>
        <v>Zasuwa klinowa</v>
      </c>
      <c r="R175" s="732" t="str">
        <f>CONCATENATE('DICTIONARY-3'!$A$2," ",'DICTIONARY-6'!$A$3," ",'DICTIONARY-2'!$A$2,"40"," ",'DICTIONARY-2'!$A$3,"10/16"," ","R15",", ","AUMA")</f>
        <v>EKOplus Zasuwa DN40 PN10/16 R15, AUMA</v>
      </c>
      <c r="S175" s="733" t="str">
        <f>'DICTIONARY-4'!$A$4</f>
        <v>NE</v>
      </c>
      <c r="T175" s="732" t="str">
        <f>'DICTIONARY-4'!$A$20</f>
        <v>Napęd elektryczny</v>
      </c>
      <c r="U175" s="734" t="s">
        <v>5758</v>
      </c>
      <c r="V175" s="735">
        <v>16</v>
      </c>
      <c r="W175" s="736"/>
      <c r="X175" s="737"/>
      <c r="Y175" s="738"/>
      <c r="Z175" s="739"/>
      <c r="AA175" s="739"/>
      <c r="AB175" s="740">
        <v>16</v>
      </c>
      <c r="AC175" s="741" t="str">
        <f>'DICTIONARY-5'!$A$11&amp;" 15"</f>
        <v>EN 558 szereg 15</v>
      </c>
      <c r="AD175" s="741" t="str">
        <f>'DICTIONARY-5'!$A$13</f>
        <v>woda pitna</v>
      </c>
      <c r="AE175" s="742">
        <v>50</v>
      </c>
      <c r="AF175" s="743">
        <v>32.700000000000003</v>
      </c>
      <c r="AG175" s="741" t="str">
        <f>'DICTIONARY-5'!$A$23</f>
        <v>powłoka epoksydowa</v>
      </c>
    </row>
    <row r="176" spans="1:33" x14ac:dyDescent="0.25">
      <c r="A176" s="837" t="s">
        <v>222</v>
      </c>
      <c r="B176" s="837" t="s">
        <v>3098</v>
      </c>
      <c r="C176" s="836">
        <v>2190</v>
      </c>
      <c r="D176" s="836"/>
      <c r="E176" s="836"/>
      <c r="F176" s="836"/>
      <c r="G176" s="496" t="s">
        <v>7790</v>
      </c>
      <c r="H176" s="797" t="str">
        <f>VLOOKUP(G176,SETTINGS!$B$7:$D$97,2,0)</f>
        <v>EKOplus (with Actuator)</v>
      </c>
      <c r="I176" s="796">
        <f>VLOOKUP(G176,SETTINGS!$B$7:$D$97,3,0)</f>
        <v>0</v>
      </c>
      <c r="J176" s="670" t="str">
        <f>IFERROR(IF(CURRENCY.FORMAT_1=0,CONCATENATE(TEXT(FIXED(ROUND((C176/EXC.RATE_1),CURRENCY.FORMAT_1),CURRENCY.FORMAT_1,1),"# ##0;-# ##0"),",-"),FIXED(ROUND((C176/EXC.RATE_1),CURRENCY.FORMAT_1),CURRENCY.FORMAT_1,0)),'DICTIONARY-5'!$A$2)</f>
        <v>2 190,-</v>
      </c>
      <c r="K176" s="670" t="str">
        <f>IF(EXC.RATE_2=0,"",IFERROR(IF(CURRENCY.FORMAT_2=0,CONCATENATE(TEXT(FIXED(ROUND(IF(EXC.RATE.SWITCH=1,C176/EXC.RATE_2,C176*EXC.RATE_2),CURRENCY.FORMAT_2),CURRENCY.FORMAT_2,1),"# ##0;-# ##0"),",-"),FIXED(ROUND(IF(EXC.RATE.SWITCH=1,C176/EXC.RATE_2,C176*EXC.RATE_2),CURRENCY.FORMAT_2),CURRENCY.FORMAT_2,0)),'DICTIONARY-5'!$A$2))</f>
        <v/>
      </c>
      <c r="L176" s="670" t="str">
        <f>IFERROR(IF(CURRENCY.FORMAT_1=0,CONCATENATE(TEXT(FIXED(ROUND((C176*(1-I176)*(1-ADD.DISCOUNT)*(1+MAT.SURCHARGE)/EXC.RATE_1),CURRENCY.FORMAT_1),CURRENCY.FORMAT_1,1),"# ##0;-# ##0"),",-"),FIXED(ROUND((C176*(1-I176)*(1-ADD.DISCOUNT)*(1+MAT.SURCHARGE)/EXC.RATE_1),CURRENCY.FORMAT_1),CURRENCY.FORMAT_1,0)),'DICTIONARY-5'!$A$2)</f>
        <v>2 275,-</v>
      </c>
      <c r="M176" s="670" t="str">
        <f>IF(EXC.RATE_2=0,"",IFERROR(IF(CURRENCY.FORMAT_2=0,CONCATENATE(TEXT(FIXED(ROUND(IF(EXC.RATE.SWITCH=1,C176*(1-I176)*(1-ADD.DISCOUNT)*(1+MAT.SURCHARGE)/EXC.RATE_2,C176*(1-I176)*(1-ADD.DISCOUNT)*(1+MAT.SURCHARGE)*EXC.RATE_2),CURRENCY.FORMAT_2),CURRENCY.FORMAT_2,1),"# ##0;-# ##0"),",-"),FIXED(ROUND(IF(EXC.RATE.SWITCH=1,C176*(1-I176)*(1-ADD.DISCOUNT)*(1+MAT.SURCHARGE)/EXC.RATE_2,C176*(1-I176)*(1-ADD.DISCOUNT)*(1+MAT.SURCHARGE)*EXC.RATE_2),CURRENCY.FORMAT_2),CURRENCY.FORMAT_2,0)),'DICTIONARY-5'!$A$2))</f>
        <v/>
      </c>
      <c r="N176" s="496">
        <v>1</v>
      </c>
      <c r="O176" s="496"/>
      <c r="P176" s="731" t="str">
        <f>'DICTIONARY-3'!$A$2</f>
        <v>EKOplus</v>
      </c>
      <c r="Q176" s="732" t="str">
        <f>'DICTIONARY-3'!$A$187</f>
        <v>Zasuwa klinowa</v>
      </c>
      <c r="R176" s="732" t="str">
        <f>CONCATENATE('DICTIONARY-3'!$A$2," ",'DICTIONARY-6'!$A$3," ",'DICTIONARY-2'!$A$2,"50"," ",'DICTIONARY-2'!$A$3,"10/16"," ","R15",", ","AUMA")</f>
        <v>EKOplus Zasuwa DN50 PN10/16 R15, AUMA</v>
      </c>
      <c r="S176" s="733" t="str">
        <f>'DICTIONARY-4'!$A$4</f>
        <v>NE</v>
      </c>
      <c r="T176" s="732" t="str">
        <f>'DICTIONARY-4'!$A$20</f>
        <v>Napęd elektryczny</v>
      </c>
      <c r="U176" s="734" t="s">
        <v>5748</v>
      </c>
      <c r="V176" s="735">
        <v>16</v>
      </c>
      <c r="W176" s="736"/>
      <c r="X176" s="737"/>
      <c r="Y176" s="738"/>
      <c r="Z176" s="739"/>
      <c r="AA176" s="739"/>
      <c r="AB176" s="740">
        <v>16</v>
      </c>
      <c r="AC176" s="741" t="str">
        <f>'DICTIONARY-5'!$A$11&amp;" 15"</f>
        <v>EN 558 szereg 15</v>
      </c>
      <c r="AD176" s="741" t="str">
        <f>'DICTIONARY-5'!$A$13</f>
        <v>woda pitna</v>
      </c>
      <c r="AE176" s="742">
        <v>50</v>
      </c>
      <c r="AF176" s="743">
        <v>34.65</v>
      </c>
      <c r="AG176" s="741" t="str">
        <f>'DICTIONARY-5'!$A$23</f>
        <v>powłoka epoksydowa</v>
      </c>
    </row>
    <row r="177" spans="1:33" x14ac:dyDescent="0.25">
      <c r="A177" s="837" t="s">
        <v>224</v>
      </c>
      <c r="B177" s="837" t="s">
        <v>3099</v>
      </c>
      <c r="C177" s="836">
        <v>2238</v>
      </c>
      <c r="D177" s="836"/>
      <c r="E177" s="836"/>
      <c r="F177" s="836"/>
      <c r="G177" s="496" t="s">
        <v>7790</v>
      </c>
      <c r="H177" s="797" t="str">
        <f>VLOOKUP(G177,SETTINGS!$B$7:$D$97,2,0)</f>
        <v>EKOplus (with Actuator)</v>
      </c>
      <c r="I177" s="796">
        <f>VLOOKUP(G177,SETTINGS!$B$7:$D$97,3,0)</f>
        <v>0</v>
      </c>
      <c r="J177" s="670" t="str">
        <f>IFERROR(IF(CURRENCY.FORMAT_1=0,CONCATENATE(TEXT(FIXED(ROUND((C177/EXC.RATE_1),CURRENCY.FORMAT_1),CURRENCY.FORMAT_1,1),"# ##0;-# ##0"),",-"),FIXED(ROUND((C177/EXC.RATE_1),CURRENCY.FORMAT_1),CURRENCY.FORMAT_1,0)),'DICTIONARY-5'!$A$2)</f>
        <v>2 238,-</v>
      </c>
      <c r="K177" s="670" t="str">
        <f>IF(EXC.RATE_2=0,"",IFERROR(IF(CURRENCY.FORMAT_2=0,CONCATENATE(TEXT(FIXED(ROUND(IF(EXC.RATE.SWITCH=1,C177/EXC.RATE_2,C177*EXC.RATE_2),CURRENCY.FORMAT_2),CURRENCY.FORMAT_2,1),"# ##0;-# ##0"),",-"),FIXED(ROUND(IF(EXC.RATE.SWITCH=1,C177/EXC.RATE_2,C177*EXC.RATE_2),CURRENCY.FORMAT_2),CURRENCY.FORMAT_2,0)),'DICTIONARY-5'!$A$2))</f>
        <v/>
      </c>
      <c r="L177" s="670" t="str">
        <f>IFERROR(IF(CURRENCY.FORMAT_1=0,CONCATENATE(TEXT(FIXED(ROUND((C177*(1-I177)*(1-ADD.DISCOUNT)*(1+MAT.SURCHARGE)/EXC.RATE_1),CURRENCY.FORMAT_1),CURRENCY.FORMAT_1,1),"# ##0;-# ##0"),",-"),FIXED(ROUND((C177*(1-I177)*(1-ADD.DISCOUNT)*(1+MAT.SURCHARGE)/EXC.RATE_1),CURRENCY.FORMAT_1),CURRENCY.FORMAT_1,0)),'DICTIONARY-5'!$A$2)</f>
        <v>2 325,-</v>
      </c>
      <c r="M177" s="670" t="str">
        <f>IF(EXC.RATE_2=0,"",IFERROR(IF(CURRENCY.FORMAT_2=0,CONCATENATE(TEXT(FIXED(ROUND(IF(EXC.RATE.SWITCH=1,C177*(1-I177)*(1-ADD.DISCOUNT)*(1+MAT.SURCHARGE)/EXC.RATE_2,C177*(1-I177)*(1-ADD.DISCOUNT)*(1+MAT.SURCHARGE)*EXC.RATE_2),CURRENCY.FORMAT_2),CURRENCY.FORMAT_2,1),"# ##0;-# ##0"),",-"),FIXED(ROUND(IF(EXC.RATE.SWITCH=1,C177*(1-I177)*(1-ADD.DISCOUNT)*(1+MAT.SURCHARGE)/EXC.RATE_2,C177*(1-I177)*(1-ADD.DISCOUNT)*(1+MAT.SURCHARGE)*EXC.RATE_2),CURRENCY.FORMAT_2),CURRENCY.FORMAT_2,0)),'DICTIONARY-5'!$A$2))</f>
        <v/>
      </c>
      <c r="N177" s="496">
        <v>1</v>
      </c>
      <c r="O177" s="496"/>
      <c r="P177" s="731" t="str">
        <f>'DICTIONARY-3'!$A$2</f>
        <v>EKOplus</v>
      </c>
      <c r="Q177" s="732" t="str">
        <f>'DICTIONARY-3'!$A$187</f>
        <v>Zasuwa klinowa</v>
      </c>
      <c r="R177" s="732" t="str">
        <f>CONCATENATE('DICTIONARY-3'!$A$2," ",'DICTIONARY-6'!$A$3," ",'DICTIONARY-2'!$A$2,"65"," ",'DICTIONARY-2'!$A$3,"10/16"," ","R15",", ","AUMA")</f>
        <v>EKOplus Zasuwa DN65 PN10/16 R15, AUMA</v>
      </c>
      <c r="S177" s="733" t="str">
        <f>'DICTIONARY-4'!$A$4</f>
        <v>NE</v>
      </c>
      <c r="T177" s="732" t="str">
        <f>'DICTIONARY-4'!$A$20</f>
        <v>Napęd elektryczny</v>
      </c>
      <c r="U177" s="734" t="s">
        <v>5759</v>
      </c>
      <c r="V177" s="735">
        <v>16</v>
      </c>
      <c r="W177" s="736"/>
      <c r="X177" s="737"/>
      <c r="Y177" s="738"/>
      <c r="Z177" s="739"/>
      <c r="AA177" s="739"/>
      <c r="AB177" s="740">
        <v>16</v>
      </c>
      <c r="AC177" s="741" t="str">
        <f>'DICTIONARY-5'!$A$11&amp;" 15"</f>
        <v>EN 558 szereg 15</v>
      </c>
      <c r="AD177" s="741" t="str">
        <f>'DICTIONARY-5'!$A$13</f>
        <v>woda pitna</v>
      </c>
      <c r="AE177" s="742">
        <v>50</v>
      </c>
      <c r="AF177" s="743">
        <v>39</v>
      </c>
      <c r="AG177" s="741" t="str">
        <f>'DICTIONARY-5'!$A$23</f>
        <v>powłoka epoksydowa</v>
      </c>
    </row>
    <row r="178" spans="1:33" x14ac:dyDescent="0.25">
      <c r="A178" s="837" t="s">
        <v>226</v>
      </c>
      <c r="B178" s="837" t="s">
        <v>3100</v>
      </c>
      <c r="C178" s="836">
        <v>2242</v>
      </c>
      <c r="D178" s="836"/>
      <c r="E178" s="836"/>
      <c r="F178" s="836"/>
      <c r="G178" s="496" t="s">
        <v>7790</v>
      </c>
      <c r="H178" s="797" t="str">
        <f>VLOOKUP(G178,SETTINGS!$B$7:$D$97,2,0)</f>
        <v>EKOplus (with Actuator)</v>
      </c>
      <c r="I178" s="796">
        <f>VLOOKUP(G178,SETTINGS!$B$7:$D$97,3,0)</f>
        <v>0</v>
      </c>
      <c r="J178" s="670" t="str">
        <f>IFERROR(IF(CURRENCY.FORMAT_1=0,CONCATENATE(TEXT(FIXED(ROUND((C178/EXC.RATE_1),CURRENCY.FORMAT_1),CURRENCY.FORMAT_1,1),"# ##0;-# ##0"),",-"),FIXED(ROUND((C178/EXC.RATE_1),CURRENCY.FORMAT_1),CURRENCY.FORMAT_1,0)),'DICTIONARY-5'!$A$2)</f>
        <v>2 242,-</v>
      </c>
      <c r="K178" s="670" t="str">
        <f>IF(EXC.RATE_2=0,"",IFERROR(IF(CURRENCY.FORMAT_2=0,CONCATENATE(TEXT(FIXED(ROUND(IF(EXC.RATE.SWITCH=1,C178/EXC.RATE_2,C178*EXC.RATE_2),CURRENCY.FORMAT_2),CURRENCY.FORMAT_2,1),"# ##0;-# ##0"),",-"),FIXED(ROUND(IF(EXC.RATE.SWITCH=1,C178/EXC.RATE_2,C178*EXC.RATE_2),CURRENCY.FORMAT_2),CURRENCY.FORMAT_2,0)),'DICTIONARY-5'!$A$2))</f>
        <v/>
      </c>
      <c r="L178" s="670" t="str">
        <f>IFERROR(IF(CURRENCY.FORMAT_1=0,CONCATENATE(TEXT(FIXED(ROUND((C178*(1-I178)*(1-ADD.DISCOUNT)*(1+MAT.SURCHARGE)/EXC.RATE_1),CURRENCY.FORMAT_1),CURRENCY.FORMAT_1,1),"# ##0;-# ##0"),",-"),FIXED(ROUND((C178*(1-I178)*(1-ADD.DISCOUNT)*(1+MAT.SURCHARGE)/EXC.RATE_1),CURRENCY.FORMAT_1),CURRENCY.FORMAT_1,0)),'DICTIONARY-5'!$A$2)</f>
        <v>2 329,-</v>
      </c>
      <c r="M178" s="670" t="str">
        <f>IF(EXC.RATE_2=0,"",IFERROR(IF(CURRENCY.FORMAT_2=0,CONCATENATE(TEXT(FIXED(ROUND(IF(EXC.RATE.SWITCH=1,C178*(1-I178)*(1-ADD.DISCOUNT)*(1+MAT.SURCHARGE)/EXC.RATE_2,C178*(1-I178)*(1-ADD.DISCOUNT)*(1+MAT.SURCHARGE)*EXC.RATE_2),CURRENCY.FORMAT_2),CURRENCY.FORMAT_2,1),"# ##0;-# ##0"),",-"),FIXED(ROUND(IF(EXC.RATE.SWITCH=1,C178*(1-I178)*(1-ADD.DISCOUNT)*(1+MAT.SURCHARGE)/EXC.RATE_2,C178*(1-I178)*(1-ADD.DISCOUNT)*(1+MAT.SURCHARGE)*EXC.RATE_2),CURRENCY.FORMAT_2),CURRENCY.FORMAT_2,0)),'DICTIONARY-5'!$A$2))</f>
        <v/>
      </c>
      <c r="N178" s="496">
        <v>1</v>
      </c>
      <c r="O178" s="496"/>
      <c r="P178" s="731" t="str">
        <f>'DICTIONARY-3'!$A$2</f>
        <v>EKOplus</v>
      </c>
      <c r="Q178" s="732" t="str">
        <f>'DICTIONARY-3'!$A$187</f>
        <v>Zasuwa klinowa</v>
      </c>
      <c r="R178" s="732" t="str">
        <f>CONCATENATE('DICTIONARY-3'!$A$2," ",'DICTIONARY-6'!$A$3," ",'DICTIONARY-2'!$A$2,"80"," ",'DICTIONARY-2'!$A$3,"10/16"," ","R15",", ","AUMA")</f>
        <v>EKOplus Zasuwa DN80 PN10/16 R15, AUMA</v>
      </c>
      <c r="S178" s="733" t="str">
        <f>'DICTIONARY-4'!$A$4</f>
        <v>NE</v>
      </c>
      <c r="T178" s="732" t="str">
        <f>'DICTIONARY-4'!$A$20</f>
        <v>Napęd elektryczny</v>
      </c>
      <c r="U178" s="734" t="s">
        <v>5760</v>
      </c>
      <c r="V178" s="735">
        <v>16</v>
      </c>
      <c r="W178" s="736"/>
      <c r="X178" s="737"/>
      <c r="Y178" s="738"/>
      <c r="Z178" s="739"/>
      <c r="AA178" s="739"/>
      <c r="AB178" s="740">
        <v>16</v>
      </c>
      <c r="AC178" s="741" t="str">
        <f>'DICTIONARY-5'!$A$11&amp;" 15"</f>
        <v>EN 558 szereg 15</v>
      </c>
      <c r="AD178" s="741" t="str">
        <f>'DICTIONARY-5'!$A$13</f>
        <v>woda pitna</v>
      </c>
      <c r="AE178" s="742">
        <v>50</v>
      </c>
      <c r="AF178" s="743">
        <v>40</v>
      </c>
      <c r="AG178" s="741" t="str">
        <f>'DICTIONARY-5'!$A$23</f>
        <v>powłoka epoksydowa</v>
      </c>
    </row>
    <row r="179" spans="1:33" x14ac:dyDescent="0.25">
      <c r="A179" s="837" t="s">
        <v>228</v>
      </c>
      <c r="B179" s="837" t="s">
        <v>3101</v>
      </c>
      <c r="C179" s="836">
        <v>2277</v>
      </c>
      <c r="D179" s="836"/>
      <c r="E179" s="836"/>
      <c r="F179" s="836"/>
      <c r="G179" s="496" t="s">
        <v>7790</v>
      </c>
      <c r="H179" s="797" t="str">
        <f>VLOOKUP(G179,SETTINGS!$B$7:$D$97,2,0)</f>
        <v>EKOplus (with Actuator)</v>
      </c>
      <c r="I179" s="796">
        <f>VLOOKUP(G179,SETTINGS!$B$7:$D$97,3,0)</f>
        <v>0</v>
      </c>
      <c r="J179" s="670" t="str">
        <f>IFERROR(IF(CURRENCY.FORMAT_1=0,CONCATENATE(TEXT(FIXED(ROUND((C179/EXC.RATE_1),CURRENCY.FORMAT_1),CURRENCY.FORMAT_1,1),"# ##0;-# ##0"),",-"),FIXED(ROUND((C179/EXC.RATE_1),CURRENCY.FORMAT_1),CURRENCY.FORMAT_1,0)),'DICTIONARY-5'!$A$2)</f>
        <v>2 277,-</v>
      </c>
      <c r="K179" s="670" t="str">
        <f>IF(EXC.RATE_2=0,"",IFERROR(IF(CURRENCY.FORMAT_2=0,CONCATENATE(TEXT(FIXED(ROUND(IF(EXC.RATE.SWITCH=1,C179/EXC.RATE_2,C179*EXC.RATE_2),CURRENCY.FORMAT_2),CURRENCY.FORMAT_2,1),"# ##0;-# ##0"),",-"),FIXED(ROUND(IF(EXC.RATE.SWITCH=1,C179/EXC.RATE_2,C179*EXC.RATE_2),CURRENCY.FORMAT_2),CURRENCY.FORMAT_2,0)),'DICTIONARY-5'!$A$2))</f>
        <v/>
      </c>
      <c r="L179" s="670" t="str">
        <f>IFERROR(IF(CURRENCY.FORMAT_1=0,CONCATENATE(TEXT(FIXED(ROUND((C179*(1-I179)*(1-ADD.DISCOUNT)*(1+MAT.SURCHARGE)/EXC.RATE_1),CURRENCY.FORMAT_1),CURRENCY.FORMAT_1,1),"# ##0;-# ##0"),",-"),FIXED(ROUND((C179*(1-I179)*(1-ADD.DISCOUNT)*(1+MAT.SURCHARGE)/EXC.RATE_1),CURRENCY.FORMAT_1),CURRENCY.FORMAT_1,0)),'DICTIONARY-5'!$A$2)</f>
        <v>2 366,-</v>
      </c>
      <c r="M179" s="670" t="str">
        <f>IF(EXC.RATE_2=0,"",IFERROR(IF(CURRENCY.FORMAT_2=0,CONCATENATE(TEXT(FIXED(ROUND(IF(EXC.RATE.SWITCH=1,C179*(1-I179)*(1-ADD.DISCOUNT)*(1+MAT.SURCHARGE)/EXC.RATE_2,C179*(1-I179)*(1-ADD.DISCOUNT)*(1+MAT.SURCHARGE)*EXC.RATE_2),CURRENCY.FORMAT_2),CURRENCY.FORMAT_2,1),"# ##0;-# ##0"),",-"),FIXED(ROUND(IF(EXC.RATE.SWITCH=1,C179*(1-I179)*(1-ADD.DISCOUNT)*(1+MAT.SURCHARGE)/EXC.RATE_2,C179*(1-I179)*(1-ADD.DISCOUNT)*(1+MAT.SURCHARGE)*EXC.RATE_2),CURRENCY.FORMAT_2),CURRENCY.FORMAT_2,0)),'DICTIONARY-5'!$A$2))</f>
        <v/>
      </c>
      <c r="N179" s="496">
        <v>1</v>
      </c>
      <c r="O179" s="496"/>
      <c r="P179" s="731" t="str">
        <f>'DICTIONARY-3'!$A$2</f>
        <v>EKOplus</v>
      </c>
      <c r="Q179" s="732" t="str">
        <f>'DICTIONARY-3'!$A$187</f>
        <v>Zasuwa klinowa</v>
      </c>
      <c r="R179" s="732" t="str">
        <f>CONCATENATE('DICTIONARY-3'!$A$2," ",'DICTIONARY-6'!$A$3," ",'DICTIONARY-2'!$A$2,"100"," ",'DICTIONARY-2'!$A$3,"10/16"," ","R15",", ","AUMA")</f>
        <v>EKOplus Zasuwa DN100 PN10/16 R15, AUMA</v>
      </c>
      <c r="S179" s="733" t="str">
        <f>'DICTIONARY-4'!$A$4</f>
        <v>NE</v>
      </c>
      <c r="T179" s="732" t="str">
        <f>'DICTIONARY-4'!$A$20</f>
        <v>Napęd elektryczny</v>
      </c>
      <c r="U179" s="734" t="s">
        <v>5749</v>
      </c>
      <c r="V179" s="735">
        <v>16</v>
      </c>
      <c r="W179" s="736"/>
      <c r="X179" s="737"/>
      <c r="Y179" s="738"/>
      <c r="Z179" s="739"/>
      <c r="AA179" s="739"/>
      <c r="AB179" s="740">
        <v>16</v>
      </c>
      <c r="AC179" s="741" t="str">
        <f>'DICTIONARY-5'!$A$11&amp;" 15"</f>
        <v>EN 558 szereg 15</v>
      </c>
      <c r="AD179" s="741" t="str">
        <f>'DICTIONARY-5'!$A$13</f>
        <v>woda pitna</v>
      </c>
      <c r="AE179" s="742">
        <v>50</v>
      </c>
      <c r="AF179" s="743">
        <v>45</v>
      </c>
      <c r="AG179" s="741" t="str">
        <f>'DICTIONARY-5'!$A$23</f>
        <v>powłoka epoksydowa</v>
      </c>
    </row>
    <row r="180" spans="1:33" x14ac:dyDescent="0.25">
      <c r="A180" s="837" t="s">
        <v>230</v>
      </c>
      <c r="B180" s="837" t="s">
        <v>3102</v>
      </c>
      <c r="C180" s="836">
        <v>2954</v>
      </c>
      <c r="D180" s="836"/>
      <c r="E180" s="836"/>
      <c r="F180" s="836"/>
      <c r="G180" s="496" t="s">
        <v>7790</v>
      </c>
      <c r="H180" s="797" t="str">
        <f>VLOOKUP(G180,SETTINGS!$B$7:$D$97,2,0)</f>
        <v>EKOplus (with Actuator)</v>
      </c>
      <c r="I180" s="796">
        <f>VLOOKUP(G180,SETTINGS!$B$7:$D$97,3,0)</f>
        <v>0</v>
      </c>
      <c r="J180" s="670" t="str">
        <f>IFERROR(IF(CURRENCY.FORMAT_1=0,CONCATENATE(TEXT(FIXED(ROUND((C180/EXC.RATE_1),CURRENCY.FORMAT_1),CURRENCY.FORMAT_1,1),"# ##0;-# ##0"),",-"),FIXED(ROUND((C180/EXC.RATE_1),CURRENCY.FORMAT_1),CURRENCY.FORMAT_1,0)),'DICTIONARY-5'!$A$2)</f>
        <v>2 954,-</v>
      </c>
      <c r="K180" s="670" t="str">
        <f>IF(EXC.RATE_2=0,"",IFERROR(IF(CURRENCY.FORMAT_2=0,CONCATENATE(TEXT(FIXED(ROUND(IF(EXC.RATE.SWITCH=1,C180/EXC.RATE_2,C180*EXC.RATE_2),CURRENCY.FORMAT_2),CURRENCY.FORMAT_2,1),"# ##0;-# ##0"),",-"),FIXED(ROUND(IF(EXC.RATE.SWITCH=1,C180/EXC.RATE_2,C180*EXC.RATE_2),CURRENCY.FORMAT_2),CURRENCY.FORMAT_2,0)),'DICTIONARY-5'!$A$2))</f>
        <v/>
      </c>
      <c r="L180" s="670" t="str">
        <f>IFERROR(IF(CURRENCY.FORMAT_1=0,CONCATENATE(TEXT(FIXED(ROUND((C180*(1-I180)*(1-ADD.DISCOUNT)*(1+MAT.SURCHARGE)/EXC.RATE_1),CURRENCY.FORMAT_1),CURRENCY.FORMAT_1,1),"# ##0;-# ##0"),",-"),FIXED(ROUND((C180*(1-I180)*(1-ADD.DISCOUNT)*(1+MAT.SURCHARGE)/EXC.RATE_1),CURRENCY.FORMAT_1),CURRENCY.FORMAT_1,0)),'DICTIONARY-5'!$A$2)</f>
        <v>3 069,-</v>
      </c>
      <c r="M180" s="670" t="str">
        <f>IF(EXC.RATE_2=0,"",IFERROR(IF(CURRENCY.FORMAT_2=0,CONCATENATE(TEXT(FIXED(ROUND(IF(EXC.RATE.SWITCH=1,C180*(1-I180)*(1-ADD.DISCOUNT)*(1+MAT.SURCHARGE)/EXC.RATE_2,C180*(1-I180)*(1-ADD.DISCOUNT)*(1+MAT.SURCHARGE)*EXC.RATE_2),CURRENCY.FORMAT_2),CURRENCY.FORMAT_2,1),"# ##0;-# ##0"),",-"),FIXED(ROUND(IF(EXC.RATE.SWITCH=1,C180*(1-I180)*(1-ADD.DISCOUNT)*(1+MAT.SURCHARGE)/EXC.RATE_2,C180*(1-I180)*(1-ADD.DISCOUNT)*(1+MAT.SURCHARGE)*EXC.RATE_2),CURRENCY.FORMAT_2),CURRENCY.FORMAT_2,0)),'DICTIONARY-5'!$A$2))</f>
        <v/>
      </c>
      <c r="N180" s="496">
        <v>1</v>
      </c>
      <c r="O180" s="496"/>
      <c r="P180" s="731" t="str">
        <f>'DICTIONARY-3'!$A$2</f>
        <v>EKOplus</v>
      </c>
      <c r="Q180" s="732" t="str">
        <f>'DICTIONARY-3'!$A$187</f>
        <v>Zasuwa klinowa</v>
      </c>
      <c r="R180" s="732" t="str">
        <f>CONCATENATE('DICTIONARY-3'!$A$2," ",'DICTIONARY-6'!$A$3," ",'DICTIONARY-2'!$A$2,"125"," ",'DICTIONARY-2'!$A$3,"10/16"," ","R15",", ","AUMA")</f>
        <v>EKOplus Zasuwa DN125 PN10/16 R15, AUMA</v>
      </c>
      <c r="S180" s="733" t="str">
        <f>'DICTIONARY-4'!$A$4</f>
        <v>NE</v>
      </c>
      <c r="T180" s="732" t="str">
        <f>'DICTIONARY-4'!$A$20</f>
        <v>Napęd elektryczny</v>
      </c>
      <c r="U180" s="734" t="s">
        <v>5761</v>
      </c>
      <c r="V180" s="735">
        <v>16</v>
      </c>
      <c r="W180" s="736"/>
      <c r="X180" s="737"/>
      <c r="Y180" s="738"/>
      <c r="Z180" s="739"/>
      <c r="AA180" s="739"/>
      <c r="AB180" s="740">
        <v>16</v>
      </c>
      <c r="AC180" s="741" t="str">
        <f>'DICTIONARY-5'!$A$11&amp;" 15"</f>
        <v>EN 558 szereg 15</v>
      </c>
      <c r="AD180" s="741" t="str">
        <f>'DICTIONARY-5'!$A$13</f>
        <v>woda pitna</v>
      </c>
      <c r="AE180" s="742">
        <v>50</v>
      </c>
      <c r="AF180" s="743">
        <v>54</v>
      </c>
      <c r="AG180" s="741" t="str">
        <f>'DICTIONARY-5'!$A$23</f>
        <v>powłoka epoksydowa</v>
      </c>
    </row>
    <row r="181" spans="1:33" x14ac:dyDescent="0.25">
      <c r="A181" s="837" t="s">
        <v>232</v>
      </c>
      <c r="B181" s="837" t="s">
        <v>3103</v>
      </c>
      <c r="C181" s="836">
        <v>2979</v>
      </c>
      <c r="D181" s="836"/>
      <c r="E181" s="836"/>
      <c r="F181" s="836"/>
      <c r="G181" s="496" t="s">
        <v>7790</v>
      </c>
      <c r="H181" s="797" t="str">
        <f>VLOOKUP(G181,SETTINGS!$B$7:$D$97,2,0)</f>
        <v>EKOplus (with Actuator)</v>
      </c>
      <c r="I181" s="796">
        <f>VLOOKUP(G181,SETTINGS!$B$7:$D$97,3,0)</f>
        <v>0</v>
      </c>
      <c r="J181" s="670" t="str">
        <f>IFERROR(IF(CURRENCY.FORMAT_1=0,CONCATENATE(TEXT(FIXED(ROUND((C181/EXC.RATE_1),CURRENCY.FORMAT_1),CURRENCY.FORMAT_1,1),"# ##0;-# ##0"),",-"),FIXED(ROUND((C181/EXC.RATE_1),CURRENCY.FORMAT_1),CURRENCY.FORMAT_1,0)),'DICTIONARY-5'!$A$2)</f>
        <v>2 979,-</v>
      </c>
      <c r="K181" s="670" t="str">
        <f>IF(EXC.RATE_2=0,"",IFERROR(IF(CURRENCY.FORMAT_2=0,CONCATENATE(TEXT(FIXED(ROUND(IF(EXC.RATE.SWITCH=1,C181/EXC.RATE_2,C181*EXC.RATE_2),CURRENCY.FORMAT_2),CURRENCY.FORMAT_2,1),"# ##0;-# ##0"),",-"),FIXED(ROUND(IF(EXC.RATE.SWITCH=1,C181/EXC.RATE_2,C181*EXC.RATE_2),CURRENCY.FORMAT_2),CURRENCY.FORMAT_2,0)),'DICTIONARY-5'!$A$2))</f>
        <v/>
      </c>
      <c r="L181" s="670" t="str">
        <f>IFERROR(IF(CURRENCY.FORMAT_1=0,CONCATENATE(TEXT(FIXED(ROUND((C181*(1-I181)*(1-ADD.DISCOUNT)*(1+MAT.SURCHARGE)/EXC.RATE_1),CURRENCY.FORMAT_1),CURRENCY.FORMAT_1,1),"# ##0;-# ##0"),",-"),FIXED(ROUND((C181*(1-I181)*(1-ADD.DISCOUNT)*(1+MAT.SURCHARGE)/EXC.RATE_1),CURRENCY.FORMAT_1),CURRENCY.FORMAT_1,0)),'DICTIONARY-5'!$A$2)</f>
        <v>3 095,-</v>
      </c>
      <c r="M181" s="670" t="str">
        <f>IF(EXC.RATE_2=0,"",IFERROR(IF(CURRENCY.FORMAT_2=0,CONCATENATE(TEXT(FIXED(ROUND(IF(EXC.RATE.SWITCH=1,C181*(1-I181)*(1-ADD.DISCOUNT)*(1+MAT.SURCHARGE)/EXC.RATE_2,C181*(1-I181)*(1-ADD.DISCOUNT)*(1+MAT.SURCHARGE)*EXC.RATE_2),CURRENCY.FORMAT_2),CURRENCY.FORMAT_2,1),"# ##0;-# ##0"),",-"),FIXED(ROUND(IF(EXC.RATE.SWITCH=1,C181*(1-I181)*(1-ADD.DISCOUNT)*(1+MAT.SURCHARGE)/EXC.RATE_2,C181*(1-I181)*(1-ADD.DISCOUNT)*(1+MAT.SURCHARGE)*EXC.RATE_2),CURRENCY.FORMAT_2),CURRENCY.FORMAT_2,0)),'DICTIONARY-5'!$A$2))</f>
        <v/>
      </c>
      <c r="N181" s="496">
        <v>1</v>
      </c>
      <c r="O181" s="496"/>
      <c r="P181" s="731" t="str">
        <f>'DICTIONARY-3'!$A$2</f>
        <v>EKOplus</v>
      </c>
      <c r="Q181" s="732" t="str">
        <f>'DICTIONARY-3'!$A$187</f>
        <v>Zasuwa klinowa</v>
      </c>
      <c r="R181" s="732" t="str">
        <f>CONCATENATE('DICTIONARY-3'!$A$2," ",'DICTIONARY-6'!$A$3," ",'DICTIONARY-2'!$A$2,"150"," ",'DICTIONARY-2'!$A$3,"10/16"," ","R15",", ","AUMA")</f>
        <v>EKOplus Zasuwa DN150 PN10/16 R15, AUMA</v>
      </c>
      <c r="S181" s="733" t="str">
        <f>'DICTIONARY-4'!$A$4</f>
        <v>NE</v>
      </c>
      <c r="T181" s="732" t="str">
        <f>'DICTIONARY-4'!$A$20</f>
        <v>Napęd elektryczny</v>
      </c>
      <c r="U181" s="734" t="s">
        <v>5572</v>
      </c>
      <c r="V181" s="735">
        <v>16</v>
      </c>
      <c r="W181" s="736"/>
      <c r="X181" s="737"/>
      <c r="Y181" s="738"/>
      <c r="Z181" s="739"/>
      <c r="AA181" s="739"/>
      <c r="AB181" s="740">
        <v>16</v>
      </c>
      <c r="AC181" s="741" t="str">
        <f>'DICTIONARY-5'!$A$11&amp;" 15"</f>
        <v>EN 558 szereg 15</v>
      </c>
      <c r="AD181" s="741" t="str">
        <f>'DICTIONARY-5'!$A$13</f>
        <v>woda pitna</v>
      </c>
      <c r="AE181" s="742">
        <v>50</v>
      </c>
      <c r="AF181" s="743">
        <v>59.75</v>
      </c>
      <c r="AG181" s="741" t="str">
        <f>'DICTIONARY-5'!$A$23</f>
        <v>powłoka epoksydowa</v>
      </c>
    </row>
    <row r="182" spans="1:33" x14ac:dyDescent="0.25">
      <c r="A182" s="837" t="s">
        <v>234</v>
      </c>
      <c r="B182" s="837" t="s">
        <v>3094</v>
      </c>
      <c r="C182" s="836">
        <v>3423</v>
      </c>
      <c r="D182" s="836"/>
      <c r="E182" s="836"/>
      <c r="F182" s="836"/>
      <c r="G182" s="496" t="s">
        <v>7790</v>
      </c>
      <c r="H182" s="797" t="str">
        <f>VLOOKUP(G182,SETTINGS!$B$7:$D$97,2,0)</f>
        <v>EKOplus (with Actuator)</v>
      </c>
      <c r="I182" s="796">
        <f>VLOOKUP(G182,SETTINGS!$B$7:$D$97,3,0)</f>
        <v>0</v>
      </c>
      <c r="J182" s="670" t="str">
        <f>IFERROR(IF(CURRENCY.FORMAT_1=0,CONCATENATE(TEXT(FIXED(ROUND((C182/EXC.RATE_1),CURRENCY.FORMAT_1),CURRENCY.FORMAT_1,1),"# ##0;-# ##0"),",-"),FIXED(ROUND((C182/EXC.RATE_1),CURRENCY.FORMAT_1),CURRENCY.FORMAT_1,0)),'DICTIONARY-5'!$A$2)</f>
        <v>3 423,-</v>
      </c>
      <c r="K182" s="670" t="str">
        <f>IF(EXC.RATE_2=0,"",IFERROR(IF(CURRENCY.FORMAT_2=0,CONCATENATE(TEXT(FIXED(ROUND(IF(EXC.RATE.SWITCH=1,C182/EXC.RATE_2,C182*EXC.RATE_2),CURRENCY.FORMAT_2),CURRENCY.FORMAT_2,1),"# ##0;-# ##0"),",-"),FIXED(ROUND(IF(EXC.RATE.SWITCH=1,C182/EXC.RATE_2,C182*EXC.RATE_2),CURRENCY.FORMAT_2),CURRENCY.FORMAT_2,0)),'DICTIONARY-5'!$A$2))</f>
        <v/>
      </c>
      <c r="L182" s="670" t="str">
        <f>IFERROR(IF(CURRENCY.FORMAT_1=0,CONCATENATE(TEXT(FIXED(ROUND((C182*(1-I182)*(1-ADD.DISCOUNT)*(1+MAT.SURCHARGE)/EXC.RATE_1),CURRENCY.FORMAT_1),CURRENCY.FORMAT_1,1),"# ##0;-# ##0"),",-"),FIXED(ROUND((C182*(1-I182)*(1-ADD.DISCOUNT)*(1+MAT.SURCHARGE)/EXC.RATE_1),CURRENCY.FORMAT_1),CURRENCY.FORMAT_1,0)),'DICTIONARY-5'!$A$2)</f>
        <v>3 556,-</v>
      </c>
      <c r="M182" s="670" t="str">
        <f>IF(EXC.RATE_2=0,"",IFERROR(IF(CURRENCY.FORMAT_2=0,CONCATENATE(TEXT(FIXED(ROUND(IF(EXC.RATE.SWITCH=1,C182*(1-I182)*(1-ADD.DISCOUNT)*(1+MAT.SURCHARGE)/EXC.RATE_2,C182*(1-I182)*(1-ADD.DISCOUNT)*(1+MAT.SURCHARGE)*EXC.RATE_2),CURRENCY.FORMAT_2),CURRENCY.FORMAT_2,1),"# ##0;-# ##0"),",-"),FIXED(ROUND(IF(EXC.RATE.SWITCH=1,C182*(1-I182)*(1-ADD.DISCOUNT)*(1+MAT.SURCHARGE)/EXC.RATE_2,C182*(1-I182)*(1-ADD.DISCOUNT)*(1+MAT.SURCHARGE)*EXC.RATE_2),CURRENCY.FORMAT_2),CURRENCY.FORMAT_2,0)),'DICTIONARY-5'!$A$2))</f>
        <v/>
      </c>
      <c r="N182" s="496">
        <v>1</v>
      </c>
      <c r="O182" s="496"/>
      <c r="P182" s="731" t="str">
        <f>'DICTIONARY-3'!$A$2</f>
        <v>EKOplus</v>
      </c>
      <c r="Q182" s="732" t="str">
        <f>'DICTIONARY-3'!$A$187</f>
        <v>Zasuwa klinowa</v>
      </c>
      <c r="R182" s="732" t="str">
        <f>CONCATENATE('DICTIONARY-3'!$A$2," ",'DICTIONARY-6'!$A$3," ",'DICTIONARY-2'!$A$2,"200"," ",'DICTIONARY-2'!$A$3,"10"," ","R15",", ","AUMA")</f>
        <v>EKOplus Zasuwa DN200 PN10 R15, AUMA</v>
      </c>
      <c r="S182" s="733" t="str">
        <f>'DICTIONARY-4'!$A$4</f>
        <v>NE</v>
      </c>
      <c r="T182" s="732" t="str">
        <f>'DICTIONARY-4'!$A$20</f>
        <v>Napęd elektryczny</v>
      </c>
      <c r="U182" s="734" t="s">
        <v>5750</v>
      </c>
      <c r="V182" s="735">
        <v>10</v>
      </c>
      <c r="W182" s="736"/>
      <c r="X182" s="737"/>
      <c r="Y182" s="738"/>
      <c r="Z182" s="739"/>
      <c r="AA182" s="739"/>
      <c r="AB182" s="740">
        <v>10</v>
      </c>
      <c r="AC182" s="741" t="str">
        <f>'DICTIONARY-5'!$A$11&amp;" 15"</f>
        <v>EN 558 szereg 15</v>
      </c>
      <c r="AD182" s="741" t="str">
        <f>'DICTIONARY-5'!$A$13</f>
        <v>woda pitna</v>
      </c>
      <c r="AE182" s="742">
        <v>50</v>
      </c>
      <c r="AF182" s="743">
        <v>80</v>
      </c>
      <c r="AG182" s="741" t="str">
        <f>'DICTIONARY-5'!$A$23</f>
        <v>powłoka epoksydowa</v>
      </c>
    </row>
    <row r="183" spans="1:33" x14ac:dyDescent="0.25">
      <c r="A183" s="837" t="s">
        <v>236</v>
      </c>
      <c r="B183" s="837" t="s">
        <v>3104</v>
      </c>
      <c r="C183" s="836">
        <v>3430</v>
      </c>
      <c r="D183" s="836"/>
      <c r="E183" s="836"/>
      <c r="F183" s="836"/>
      <c r="G183" s="496" t="s">
        <v>7790</v>
      </c>
      <c r="H183" s="797" t="str">
        <f>VLOOKUP(G183,SETTINGS!$B$7:$D$97,2,0)</f>
        <v>EKOplus (with Actuator)</v>
      </c>
      <c r="I183" s="796">
        <f>VLOOKUP(G183,SETTINGS!$B$7:$D$97,3,0)</f>
        <v>0</v>
      </c>
      <c r="J183" s="670" t="str">
        <f>IFERROR(IF(CURRENCY.FORMAT_1=0,CONCATENATE(TEXT(FIXED(ROUND((C183/EXC.RATE_1),CURRENCY.FORMAT_1),CURRENCY.FORMAT_1,1),"# ##0;-# ##0"),",-"),FIXED(ROUND((C183/EXC.RATE_1),CURRENCY.FORMAT_1),CURRENCY.FORMAT_1,0)),'DICTIONARY-5'!$A$2)</f>
        <v>3 430,-</v>
      </c>
      <c r="K183" s="670" t="str">
        <f>IF(EXC.RATE_2=0,"",IFERROR(IF(CURRENCY.FORMAT_2=0,CONCATENATE(TEXT(FIXED(ROUND(IF(EXC.RATE.SWITCH=1,C183/EXC.RATE_2,C183*EXC.RATE_2),CURRENCY.FORMAT_2),CURRENCY.FORMAT_2,1),"# ##0;-# ##0"),",-"),FIXED(ROUND(IF(EXC.RATE.SWITCH=1,C183/EXC.RATE_2,C183*EXC.RATE_2),CURRENCY.FORMAT_2),CURRENCY.FORMAT_2,0)),'DICTIONARY-5'!$A$2))</f>
        <v/>
      </c>
      <c r="L183" s="670" t="str">
        <f>IFERROR(IF(CURRENCY.FORMAT_1=0,CONCATENATE(TEXT(FIXED(ROUND((C183*(1-I183)*(1-ADD.DISCOUNT)*(1+MAT.SURCHARGE)/EXC.RATE_1),CURRENCY.FORMAT_1),CURRENCY.FORMAT_1,1),"# ##0;-# ##0"),",-"),FIXED(ROUND((C183*(1-I183)*(1-ADD.DISCOUNT)*(1+MAT.SURCHARGE)/EXC.RATE_1),CURRENCY.FORMAT_1),CURRENCY.FORMAT_1,0)),'DICTIONARY-5'!$A$2)</f>
        <v>3 564,-</v>
      </c>
      <c r="M183" s="670" t="str">
        <f>IF(EXC.RATE_2=0,"",IFERROR(IF(CURRENCY.FORMAT_2=0,CONCATENATE(TEXT(FIXED(ROUND(IF(EXC.RATE.SWITCH=1,C183*(1-I183)*(1-ADD.DISCOUNT)*(1+MAT.SURCHARGE)/EXC.RATE_2,C183*(1-I183)*(1-ADD.DISCOUNT)*(1+MAT.SURCHARGE)*EXC.RATE_2),CURRENCY.FORMAT_2),CURRENCY.FORMAT_2,1),"# ##0;-# ##0"),",-"),FIXED(ROUND(IF(EXC.RATE.SWITCH=1,C183*(1-I183)*(1-ADD.DISCOUNT)*(1+MAT.SURCHARGE)/EXC.RATE_2,C183*(1-I183)*(1-ADD.DISCOUNT)*(1+MAT.SURCHARGE)*EXC.RATE_2),CURRENCY.FORMAT_2),CURRENCY.FORMAT_2,0)),'DICTIONARY-5'!$A$2))</f>
        <v/>
      </c>
      <c r="N183" s="496">
        <v>1</v>
      </c>
      <c r="O183" s="496"/>
      <c r="P183" s="731" t="str">
        <f>'DICTIONARY-3'!$A$2</f>
        <v>EKOplus</v>
      </c>
      <c r="Q183" s="732" t="str">
        <f>'DICTIONARY-3'!$A$187</f>
        <v>Zasuwa klinowa</v>
      </c>
      <c r="R183" s="732" t="str">
        <f>CONCATENATE('DICTIONARY-3'!$A$2," ",'DICTIONARY-6'!$A$3," ",'DICTIONARY-2'!$A$2,"200"," ",'DICTIONARY-2'!$A$3,"16"," ","R15",", ","AUMA")</f>
        <v>EKOplus Zasuwa DN200 PN16 R15, AUMA</v>
      </c>
      <c r="S183" s="733" t="str">
        <f>'DICTIONARY-4'!$A$4</f>
        <v>NE</v>
      </c>
      <c r="T183" s="732" t="str">
        <f>'DICTIONARY-4'!$A$20</f>
        <v>Napęd elektryczny</v>
      </c>
      <c r="U183" s="734" t="s">
        <v>5750</v>
      </c>
      <c r="V183" s="735">
        <v>16</v>
      </c>
      <c r="W183" s="736"/>
      <c r="X183" s="737"/>
      <c r="Y183" s="738"/>
      <c r="Z183" s="739"/>
      <c r="AA183" s="739"/>
      <c r="AB183" s="740">
        <v>16</v>
      </c>
      <c r="AC183" s="741" t="str">
        <f>'DICTIONARY-5'!$A$11&amp;" 15"</f>
        <v>EN 558 szereg 15</v>
      </c>
      <c r="AD183" s="741" t="str">
        <f>'DICTIONARY-5'!$A$13</f>
        <v>woda pitna</v>
      </c>
      <c r="AE183" s="742">
        <v>50</v>
      </c>
      <c r="AF183" s="743">
        <v>93</v>
      </c>
      <c r="AG183" s="741" t="str">
        <f>'DICTIONARY-5'!$A$23</f>
        <v>powłoka epoksydowa</v>
      </c>
    </row>
    <row r="184" spans="1:33" x14ac:dyDescent="0.25">
      <c r="A184" s="837" t="s">
        <v>238</v>
      </c>
      <c r="B184" s="837" t="s">
        <v>3095</v>
      </c>
      <c r="C184" s="836">
        <v>3923</v>
      </c>
      <c r="D184" s="836"/>
      <c r="E184" s="836"/>
      <c r="F184" s="836"/>
      <c r="G184" s="496" t="s">
        <v>7790</v>
      </c>
      <c r="H184" s="797" t="str">
        <f>VLOOKUP(G184,SETTINGS!$B$7:$D$97,2,0)</f>
        <v>EKOplus (with Actuator)</v>
      </c>
      <c r="I184" s="796">
        <f>VLOOKUP(G184,SETTINGS!$B$7:$D$97,3,0)</f>
        <v>0</v>
      </c>
      <c r="J184" s="670" t="str">
        <f>IFERROR(IF(CURRENCY.FORMAT_1=0,CONCATENATE(TEXT(FIXED(ROUND((C184/EXC.RATE_1),CURRENCY.FORMAT_1),CURRENCY.FORMAT_1,1),"# ##0;-# ##0"),",-"),FIXED(ROUND((C184/EXC.RATE_1),CURRENCY.FORMAT_1),CURRENCY.FORMAT_1,0)),'DICTIONARY-5'!$A$2)</f>
        <v>3 923,-</v>
      </c>
      <c r="K184" s="670" t="str">
        <f>IF(EXC.RATE_2=0,"",IFERROR(IF(CURRENCY.FORMAT_2=0,CONCATENATE(TEXT(FIXED(ROUND(IF(EXC.RATE.SWITCH=1,C184/EXC.RATE_2,C184*EXC.RATE_2),CURRENCY.FORMAT_2),CURRENCY.FORMAT_2,1),"# ##0;-# ##0"),",-"),FIXED(ROUND(IF(EXC.RATE.SWITCH=1,C184/EXC.RATE_2,C184*EXC.RATE_2),CURRENCY.FORMAT_2),CURRENCY.FORMAT_2,0)),'DICTIONARY-5'!$A$2))</f>
        <v/>
      </c>
      <c r="L184" s="670" t="str">
        <f>IFERROR(IF(CURRENCY.FORMAT_1=0,CONCATENATE(TEXT(FIXED(ROUND((C184*(1-I184)*(1-ADD.DISCOUNT)*(1+MAT.SURCHARGE)/EXC.RATE_1),CURRENCY.FORMAT_1),CURRENCY.FORMAT_1,1),"# ##0;-# ##0"),",-"),FIXED(ROUND((C184*(1-I184)*(1-ADD.DISCOUNT)*(1+MAT.SURCHARGE)/EXC.RATE_1),CURRENCY.FORMAT_1),CURRENCY.FORMAT_1,0)),'DICTIONARY-5'!$A$2)</f>
        <v>4 076,-</v>
      </c>
      <c r="M184" s="670" t="str">
        <f>IF(EXC.RATE_2=0,"",IFERROR(IF(CURRENCY.FORMAT_2=0,CONCATENATE(TEXT(FIXED(ROUND(IF(EXC.RATE.SWITCH=1,C184*(1-I184)*(1-ADD.DISCOUNT)*(1+MAT.SURCHARGE)/EXC.RATE_2,C184*(1-I184)*(1-ADD.DISCOUNT)*(1+MAT.SURCHARGE)*EXC.RATE_2),CURRENCY.FORMAT_2),CURRENCY.FORMAT_2,1),"# ##0;-# ##0"),",-"),FIXED(ROUND(IF(EXC.RATE.SWITCH=1,C184*(1-I184)*(1-ADD.DISCOUNT)*(1+MAT.SURCHARGE)/EXC.RATE_2,C184*(1-I184)*(1-ADD.DISCOUNT)*(1+MAT.SURCHARGE)*EXC.RATE_2),CURRENCY.FORMAT_2),CURRENCY.FORMAT_2,0)),'DICTIONARY-5'!$A$2))</f>
        <v/>
      </c>
      <c r="N184" s="496">
        <v>1</v>
      </c>
      <c r="O184" s="496"/>
      <c r="P184" s="731" t="str">
        <f>'DICTIONARY-3'!$A$2</f>
        <v>EKOplus</v>
      </c>
      <c r="Q184" s="732" t="str">
        <f>'DICTIONARY-3'!$A$187</f>
        <v>Zasuwa klinowa</v>
      </c>
      <c r="R184" s="732" t="str">
        <f>CONCATENATE('DICTIONARY-3'!$A$2," ",'DICTIONARY-6'!$A$3," ",'DICTIONARY-2'!$A$2,"250"," ",'DICTIONARY-2'!$A$3,"10"," ","R15",", ","AUMA")</f>
        <v>EKOplus Zasuwa DN250 PN10 R15, AUMA</v>
      </c>
      <c r="S184" s="733" t="str">
        <f>'DICTIONARY-4'!$A$4</f>
        <v>NE</v>
      </c>
      <c r="T184" s="732" t="str">
        <f>'DICTIONARY-4'!$A$20</f>
        <v>Napęd elektryczny</v>
      </c>
      <c r="U184" s="734" t="s">
        <v>5751</v>
      </c>
      <c r="V184" s="735">
        <v>10</v>
      </c>
      <c r="W184" s="736"/>
      <c r="X184" s="737"/>
      <c r="Y184" s="738"/>
      <c r="Z184" s="739"/>
      <c r="AA184" s="739"/>
      <c r="AB184" s="740">
        <v>10</v>
      </c>
      <c r="AC184" s="741" t="str">
        <f>'DICTIONARY-5'!$A$11&amp;" 15"</f>
        <v>EN 558 szereg 15</v>
      </c>
      <c r="AD184" s="741" t="str">
        <f>'DICTIONARY-5'!$A$13</f>
        <v>woda pitna</v>
      </c>
      <c r="AE184" s="742">
        <v>50</v>
      </c>
      <c r="AF184" s="743">
        <v>148.6</v>
      </c>
      <c r="AG184" s="741" t="str">
        <f>'DICTIONARY-5'!$A$23</f>
        <v>powłoka epoksydowa</v>
      </c>
    </row>
    <row r="185" spans="1:33" x14ac:dyDescent="0.25">
      <c r="A185" s="837" t="s">
        <v>240</v>
      </c>
      <c r="B185" s="837" t="s">
        <v>3105</v>
      </c>
      <c r="C185" s="836">
        <v>4949</v>
      </c>
      <c r="D185" s="836"/>
      <c r="E185" s="836"/>
      <c r="F185" s="836"/>
      <c r="G185" s="496" t="s">
        <v>7790</v>
      </c>
      <c r="H185" s="797" t="str">
        <f>VLOOKUP(G185,SETTINGS!$B$7:$D$97,2,0)</f>
        <v>EKOplus (with Actuator)</v>
      </c>
      <c r="I185" s="796">
        <f>VLOOKUP(G185,SETTINGS!$B$7:$D$97,3,0)</f>
        <v>0</v>
      </c>
      <c r="J185" s="670" t="str">
        <f>IFERROR(IF(CURRENCY.FORMAT_1=0,CONCATENATE(TEXT(FIXED(ROUND((C185/EXC.RATE_1),CURRENCY.FORMAT_1),CURRENCY.FORMAT_1,1),"# ##0;-# ##0"),",-"),FIXED(ROUND((C185/EXC.RATE_1),CURRENCY.FORMAT_1),CURRENCY.FORMAT_1,0)),'DICTIONARY-5'!$A$2)</f>
        <v>4 949,-</v>
      </c>
      <c r="K185" s="670" t="str">
        <f>IF(EXC.RATE_2=0,"",IFERROR(IF(CURRENCY.FORMAT_2=0,CONCATENATE(TEXT(FIXED(ROUND(IF(EXC.RATE.SWITCH=1,C185/EXC.RATE_2,C185*EXC.RATE_2),CURRENCY.FORMAT_2),CURRENCY.FORMAT_2,1),"# ##0;-# ##0"),",-"),FIXED(ROUND(IF(EXC.RATE.SWITCH=1,C185/EXC.RATE_2,C185*EXC.RATE_2),CURRENCY.FORMAT_2),CURRENCY.FORMAT_2,0)),'DICTIONARY-5'!$A$2))</f>
        <v/>
      </c>
      <c r="L185" s="670" t="str">
        <f>IFERROR(IF(CURRENCY.FORMAT_1=0,CONCATENATE(TEXT(FIXED(ROUND((C185*(1-I185)*(1-ADD.DISCOUNT)*(1+MAT.SURCHARGE)/EXC.RATE_1),CURRENCY.FORMAT_1),CURRENCY.FORMAT_1,1),"# ##0;-# ##0"),",-"),FIXED(ROUND((C185*(1-I185)*(1-ADD.DISCOUNT)*(1+MAT.SURCHARGE)/EXC.RATE_1),CURRENCY.FORMAT_1),CURRENCY.FORMAT_1,0)),'DICTIONARY-5'!$A$2)</f>
        <v>5 142,-</v>
      </c>
      <c r="M185" s="670" t="str">
        <f>IF(EXC.RATE_2=0,"",IFERROR(IF(CURRENCY.FORMAT_2=0,CONCATENATE(TEXT(FIXED(ROUND(IF(EXC.RATE.SWITCH=1,C185*(1-I185)*(1-ADD.DISCOUNT)*(1+MAT.SURCHARGE)/EXC.RATE_2,C185*(1-I185)*(1-ADD.DISCOUNT)*(1+MAT.SURCHARGE)*EXC.RATE_2),CURRENCY.FORMAT_2),CURRENCY.FORMAT_2,1),"# ##0;-# ##0"),",-"),FIXED(ROUND(IF(EXC.RATE.SWITCH=1,C185*(1-I185)*(1-ADD.DISCOUNT)*(1+MAT.SURCHARGE)/EXC.RATE_2,C185*(1-I185)*(1-ADD.DISCOUNT)*(1+MAT.SURCHARGE)*EXC.RATE_2),CURRENCY.FORMAT_2),CURRENCY.FORMAT_2,0)),'DICTIONARY-5'!$A$2))</f>
        <v/>
      </c>
      <c r="N185" s="496">
        <v>1</v>
      </c>
      <c r="O185" s="496"/>
      <c r="P185" s="731" t="str">
        <f>'DICTIONARY-3'!$A$2</f>
        <v>EKOplus</v>
      </c>
      <c r="Q185" s="732" t="str">
        <f>'DICTIONARY-3'!$A$187</f>
        <v>Zasuwa klinowa</v>
      </c>
      <c r="R185" s="732" t="str">
        <f>CONCATENATE('DICTIONARY-3'!$A$2," ",'DICTIONARY-6'!$A$3," ",'DICTIONARY-2'!$A$2,"250"," ",'DICTIONARY-2'!$A$3,"16"," ","R15",", ","AUMA")</f>
        <v>EKOplus Zasuwa DN250 PN16 R15, AUMA</v>
      </c>
      <c r="S185" s="733" t="str">
        <f>'DICTIONARY-4'!$A$4</f>
        <v>NE</v>
      </c>
      <c r="T185" s="732" t="str">
        <f>'DICTIONARY-4'!$A$20</f>
        <v>Napęd elektryczny</v>
      </c>
      <c r="U185" s="734" t="s">
        <v>5751</v>
      </c>
      <c r="V185" s="735">
        <v>16</v>
      </c>
      <c r="W185" s="736"/>
      <c r="X185" s="737"/>
      <c r="Y185" s="738"/>
      <c r="Z185" s="739"/>
      <c r="AA185" s="739"/>
      <c r="AB185" s="740">
        <v>16</v>
      </c>
      <c r="AC185" s="741" t="str">
        <f>'DICTIONARY-5'!$A$11&amp;" 15"</f>
        <v>EN 558 szereg 15</v>
      </c>
      <c r="AD185" s="741" t="str">
        <f>'DICTIONARY-5'!$A$13</f>
        <v>woda pitna</v>
      </c>
      <c r="AE185" s="742">
        <v>50</v>
      </c>
      <c r="AF185" s="743">
        <v>145.69999999999999</v>
      </c>
      <c r="AG185" s="741" t="str">
        <f>'DICTIONARY-5'!$A$23</f>
        <v>powłoka epoksydowa</v>
      </c>
    </row>
    <row r="186" spans="1:33" x14ac:dyDescent="0.25">
      <c r="A186" s="837" t="s">
        <v>242</v>
      </c>
      <c r="B186" s="837" t="s">
        <v>3096</v>
      </c>
      <c r="C186" s="836">
        <v>4210</v>
      </c>
      <c r="D186" s="836"/>
      <c r="E186" s="836"/>
      <c r="F186" s="836"/>
      <c r="G186" s="496" t="s">
        <v>7790</v>
      </c>
      <c r="H186" s="797" t="str">
        <f>VLOOKUP(G186,SETTINGS!$B$7:$D$97,2,0)</f>
        <v>EKOplus (with Actuator)</v>
      </c>
      <c r="I186" s="796">
        <f>VLOOKUP(G186,SETTINGS!$B$7:$D$97,3,0)</f>
        <v>0</v>
      </c>
      <c r="J186" s="670" t="str">
        <f>IFERROR(IF(CURRENCY.FORMAT_1=0,CONCATENATE(TEXT(FIXED(ROUND((C186/EXC.RATE_1),CURRENCY.FORMAT_1),CURRENCY.FORMAT_1,1),"# ##0;-# ##0"),",-"),FIXED(ROUND((C186/EXC.RATE_1),CURRENCY.FORMAT_1),CURRENCY.FORMAT_1,0)),'DICTIONARY-5'!$A$2)</f>
        <v>4 210,-</v>
      </c>
      <c r="K186" s="670" t="str">
        <f>IF(EXC.RATE_2=0,"",IFERROR(IF(CURRENCY.FORMAT_2=0,CONCATENATE(TEXT(FIXED(ROUND(IF(EXC.RATE.SWITCH=1,C186/EXC.RATE_2,C186*EXC.RATE_2),CURRENCY.FORMAT_2),CURRENCY.FORMAT_2,1),"# ##0;-# ##0"),",-"),FIXED(ROUND(IF(EXC.RATE.SWITCH=1,C186/EXC.RATE_2,C186*EXC.RATE_2),CURRENCY.FORMAT_2),CURRENCY.FORMAT_2,0)),'DICTIONARY-5'!$A$2))</f>
        <v/>
      </c>
      <c r="L186" s="670" t="str">
        <f>IFERROR(IF(CURRENCY.FORMAT_1=0,CONCATENATE(TEXT(FIXED(ROUND((C186*(1-I186)*(1-ADD.DISCOUNT)*(1+MAT.SURCHARGE)/EXC.RATE_1),CURRENCY.FORMAT_1),CURRENCY.FORMAT_1,1),"# ##0;-# ##0"),",-"),FIXED(ROUND((C186*(1-I186)*(1-ADD.DISCOUNT)*(1+MAT.SURCHARGE)/EXC.RATE_1),CURRENCY.FORMAT_1),CURRENCY.FORMAT_1,0)),'DICTIONARY-5'!$A$2)</f>
        <v>4 374,-</v>
      </c>
      <c r="M186" s="670" t="str">
        <f>IF(EXC.RATE_2=0,"",IFERROR(IF(CURRENCY.FORMAT_2=0,CONCATENATE(TEXT(FIXED(ROUND(IF(EXC.RATE.SWITCH=1,C186*(1-I186)*(1-ADD.DISCOUNT)*(1+MAT.SURCHARGE)/EXC.RATE_2,C186*(1-I186)*(1-ADD.DISCOUNT)*(1+MAT.SURCHARGE)*EXC.RATE_2),CURRENCY.FORMAT_2),CURRENCY.FORMAT_2,1),"# ##0;-# ##0"),",-"),FIXED(ROUND(IF(EXC.RATE.SWITCH=1,C186*(1-I186)*(1-ADD.DISCOUNT)*(1+MAT.SURCHARGE)/EXC.RATE_2,C186*(1-I186)*(1-ADD.DISCOUNT)*(1+MAT.SURCHARGE)*EXC.RATE_2),CURRENCY.FORMAT_2),CURRENCY.FORMAT_2,0)),'DICTIONARY-5'!$A$2))</f>
        <v/>
      </c>
      <c r="N186" s="496">
        <v>1</v>
      </c>
      <c r="O186" s="496"/>
      <c r="P186" s="731" t="str">
        <f>'DICTIONARY-3'!$A$2</f>
        <v>EKOplus</v>
      </c>
      <c r="Q186" s="732" t="str">
        <f>'DICTIONARY-3'!$A$187</f>
        <v>Zasuwa klinowa</v>
      </c>
      <c r="R186" s="732" t="str">
        <f>CONCATENATE('DICTIONARY-3'!$A$2," ",'DICTIONARY-6'!$A$3," ",'DICTIONARY-2'!$A$2,"300"," ",'DICTIONARY-2'!$A$3,"10"," ","R15",", ","AUMA")</f>
        <v>EKOplus Zasuwa DN300 PN10 R15, AUMA</v>
      </c>
      <c r="S186" s="733" t="str">
        <f>'DICTIONARY-4'!$A$4</f>
        <v>NE</v>
      </c>
      <c r="T186" s="732" t="str">
        <f>'DICTIONARY-4'!$A$20</f>
        <v>Napęd elektryczny</v>
      </c>
      <c r="U186" s="734" t="s">
        <v>5752</v>
      </c>
      <c r="V186" s="735">
        <v>10</v>
      </c>
      <c r="W186" s="736"/>
      <c r="X186" s="737"/>
      <c r="Y186" s="738"/>
      <c r="Z186" s="739"/>
      <c r="AA186" s="739"/>
      <c r="AB186" s="740">
        <v>10</v>
      </c>
      <c r="AC186" s="741" t="str">
        <f>'DICTIONARY-5'!$A$11&amp;" 15"</f>
        <v>EN 558 szereg 15</v>
      </c>
      <c r="AD186" s="741" t="str">
        <f>'DICTIONARY-5'!$A$13</f>
        <v>woda pitna</v>
      </c>
      <c r="AE186" s="742">
        <v>50</v>
      </c>
      <c r="AF186" s="743">
        <v>177</v>
      </c>
      <c r="AG186" s="741" t="str">
        <f>'DICTIONARY-5'!$A$23</f>
        <v>powłoka epoksydowa</v>
      </c>
    </row>
    <row r="187" spans="1:33" x14ac:dyDescent="0.25">
      <c r="A187" s="837" t="s">
        <v>244</v>
      </c>
      <c r="B187" s="837" t="s">
        <v>3106</v>
      </c>
      <c r="C187" s="836">
        <v>5260</v>
      </c>
      <c r="D187" s="836"/>
      <c r="E187" s="836"/>
      <c r="F187" s="836"/>
      <c r="G187" s="496" t="s">
        <v>7790</v>
      </c>
      <c r="H187" s="797" t="str">
        <f>VLOOKUP(G187,SETTINGS!$B$7:$D$97,2,0)</f>
        <v>EKOplus (with Actuator)</v>
      </c>
      <c r="I187" s="796">
        <f>VLOOKUP(G187,SETTINGS!$B$7:$D$97,3,0)</f>
        <v>0</v>
      </c>
      <c r="J187" s="670" t="str">
        <f>IFERROR(IF(CURRENCY.FORMAT_1=0,CONCATENATE(TEXT(FIXED(ROUND((C187/EXC.RATE_1),CURRENCY.FORMAT_1),CURRENCY.FORMAT_1,1),"# ##0;-# ##0"),",-"),FIXED(ROUND((C187/EXC.RATE_1),CURRENCY.FORMAT_1),CURRENCY.FORMAT_1,0)),'DICTIONARY-5'!$A$2)</f>
        <v>5 260,-</v>
      </c>
      <c r="K187" s="670" t="str">
        <f>IF(EXC.RATE_2=0,"",IFERROR(IF(CURRENCY.FORMAT_2=0,CONCATENATE(TEXT(FIXED(ROUND(IF(EXC.RATE.SWITCH=1,C187/EXC.RATE_2,C187*EXC.RATE_2),CURRENCY.FORMAT_2),CURRENCY.FORMAT_2,1),"# ##0;-# ##0"),",-"),FIXED(ROUND(IF(EXC.RATE.SWITCH=1,C187/EXC.RATE_2,C187*EXC.RATE_2),CURRENCY.FORMAT_2),CURRENCY.FORMAT_2,0)),'DICTIONARY-5'!$A$2))</f>
        <v/>
      </c>
      <c r="L187" s="670" t="str">
        <f>IFERROR(IF(CURRENCY.FORMAT_1=0,CONCATENATE(TEXT(FIXED(ROUND((C187*(1-I187)*(1-ADD.DISCOUNT)*(1+MAT.SURCHARGE)/EXC.RATE_1),CURRENCY.FORMAT_1),CURRENCY.FORMAT_1,1),"# ##0;-# ##0"),",-"),FIXED(ROUND((C187*(1-I187)*(1-ADD.DISCOUNT)*(1+MAT.SURCHARGE)/EXC.RATE_1),CURRENCY.FORMAT_1),CURRENCY.FORMAT_1,0)),'DICTIONARY-5'!$A$2)</f>
        <v>5 465,-</v>
      </c>
      <c r="M187" s="670" t="str">
        <f>IF(EXC.RATE_2=0,"",IFERROR(IF(CURRENCY.FORMAT_2=0,CONCATENATE(TEXT(FIXED(ROUND(IF(EXC.RATE.SWITCH=1,C187*(1-I187)*(1-ADD.DISCOUNT)*(1+MAT.SURCHARGE)/EXC.RATE_2,C187*(1-I187)*(1-ADD.DISCOUNT)*(1+MAT.SURCHARGE)*EXC.RATE_2),CURRENCY.FORMAT_2),CURRENCY.FORMAT_2,1),"# ##0;-# ##0"),",-"),FIXED(ROUND(IF(EXC.RATE.SWITCH=1,C187*(1-I187)*(1-ADD.DISCOUNT)*(1+MAT.SURCHARGE)/EXC.RATE_2,C187*(1-I187)*(1-ADD.DISCOUNT)*(1+MAT.SURCHARGE)*EXC.RATE_2),CURRENCY.FORMAT_2),CURRENCY.FORMAT_2,0)),'DICTIONARY-5'!$A$2))</f>
        <v/>
      </c>
      <c r="N187" s="496">
        <v>1</v>
      </c>
      <c r="O187" s="496"/>
      <c r="P187" s="731" t="str">
        <f>'DICTIONARY-3'!$A$2</f>
        <v>EKOplus</v>
      </c>
      <c r="Q187" s="732" t="str">
        <f>'DICTIONARY-3'!$A$187</f>
        <v>Zasuwa klinowa</v>
      </c>
      <c r="R187" s="732" t="str">
        <f>CONCATENATE('DICTIONARY-3'!$A$2," ",'DICTIONARY-6'!$A$3," ",'DICTIONARY-2'!$A$2,"300"," ",'DICTIONARY-2'!$A$3,"16"," ","R15",", ","AUMA")</f>
        <v>EKOplus Zasuwa DN300 PN16 R15, AUMA</v>
      </c>
      <c r="S187" s="733" t="str">
        <f>'DICTIONARY-4'!$A$4</f>
        <v>NE</v>
      </c>
      <c r="T187" s="732" t="str">
        <f>'DICTIONARY-4'!$A$20</f>
        <v>Napęd elektryczny</v>
      </c>
      <c r="U187" s="734" t="s">
        <v>5752</v>
      </c>
      <c r="V187" s="735">
        <v>16</v>
      </c>
      <c r="W187" s="736"/>
      <c r="X187" s="737"/>
      <c r="Y187" s="738"/>
      <c r="Z187" s="739"/>
      <c r="AA187" s="739"/>
      <c r="AB187" s="740">
        <v>16</v>
      </c>
      <c r="AC187" s="741" t="str">
        <f>'DICTIONARY-5'!$A$11&amp;" 15"</f>
        <v>EN 558 szereg 15</v>
      </c>
      <c r="AD187" s="741" t="str">
        <f>'DICTIONARY-5'!$A$13</f>
        <v>woda pitna</v>
      </c>
      <c r="AE187" s="742">
        <v>50</v>
      </c>
      <c r="AF187" s="743">
        <v>198.3</v>
      </c>
      <c r="AG187" s="741" t="str">
        <f>'DICTIONARY-5'!$A$23</f>
        <v>powłoka epoksydowa</v>
      </c>
    </row>
    <row r="188" spans="1:33" x14ac:dyDescent="0.25">
      <c r="A188" s="837" t="s">
        <v>8286</v>
      </c>
      <c r="B188" s="837" t="s">
        <v>8278</v>
      </c>
      <c r="C188" s="836">
        <v>3768</v>
      </c>
      <c r="D188" s="836"/>
      <c r="E188" s="836"/>
      <c r="F188" s="836"/>
      <c r="G188" s="496" t="s">
        <v>7790</v>
      </c>
      <c r="H188" s="797" t="str">
        <f>VLOOKUP(G188,SETTINGS!$B$7:$D$97,2,0)</f>
        <v>EKOplus (with Actuator)</v>
      </c>
      <c r="I188" s="796">
        <f>VLOOKUP(G188,SETTINGS!$B$7:$D$97,3,0)</f>
        <v>0</v>
      </c>
      <c r="J188" s="670" t="str">
        <f>IFERROR(IF(CURRENCY.FORMAT_1=0,CONCATENATE(TEXT(FIXED(ROUND((C188/EXC.RATE_1),CURRENCY.FORMAT_1),CURRENCY.FORMAT_1,1),"# ##0;-# ##0"),",-"),FIXED(ROUND((C188/EXC.RATE_1),CURRENCY.FORMAT_1),CURRENCY.FORMAT_1,0)),'DICTIONARY-5'!$A$2)</f>
        <v>3 768,-</v>
      </c>
      <c r="K188" s="670" t="str">
        <f>IF(EXC.RATE_2=0,"",IFERROR(IF(CURRENCY.FORMAT_2=0,CONCATENATE(TEXT(FIXED(ROUND(IF(EXC.RATE.SWITCH=1,C188/EXC.RATE_2,C188*EXC.RATE_2),CURRENCY.FORMAT_2),CURRENCY.FORMAT_2,1),"# ##0;-# ##0"),",-"),FIXED(ROUND(IF(EXC.RATE.SWITCH=1,C188/EXC.RATE_2,C188*EXC.RATE_2),CURRENCY.FORMAT_2),CURRENCY.FORMAT_2,0)),'DICTIONARY-5'!$A$2))</f>
        <v/>
      </c>
      <c r="L188" s="670" t="str">
        <f>IFERROR(IF(CURRENCY.FORMAT_1=0,CONCATENATE(TEXT(FIXED(ROUND((C188*(1-I188)*(1-ADD.DISCOUNT)*(1+MAT.SURCHARGE)/EXC.RATE_1),CURRENCY.FORMAT_1),CURRENCY.FORMAT_1,1),"# ##0;-# ##0"),",-"),FIXED(ROUND((C188*(1-I188)*(1-ADD.DISCOUNT)*(1+MAT.SURCHARGE)/EXC.RATE_1),CURRENCY.FORMAT_1),CURRENCY.FORMAT_1,0)),'DICTIONARY-5'!$A$2)</f>
        <v>3 915,-</v>
      </c>
      <c r="M188" s="670" t="str">
        <f>IF(EXC.RATE_2=0,"",IFERROR(IF(CURRENCY.FORMAT_2=0,CONCATENATE(TEXT(FIXED(ROUND(IF(EXC.RATE.SWITCH=1,C188*(1-I188)*(1-ADD.DISCOUNT)*(1+MAT.SURCHARGE)/EXC.RATE_2,C188*(1-I188)*(1-ADD.DISCOUNT)*(1+MAT.SURCHARGE)*EXC.RATE_2),CURRENCY.FORMAT_2),CURRENCY.FORMAT_2,1),"# ##0;-# ##0"),",-"),FIXED(ROUND(IF(EXC.RATE.SWITCH=1,C188*(1-I188)*(1-ADD.DISCOUNT)*(1+MAT.SURCHARGE)/EXC.RATE_2,C188*(1-I188)*(1-ADD.DISCOUNT)*(1+MAT.SURCHARGE)*EXC.RATE_2),CURRENCY.FORMAT_2),CURRENCY.FORMAT_2,0)),'DICTIONARY-5'!$A$2))</f>
        <v/>
      </c>
      <c r="N188" s="496">
        <v>1</v>
      </c>
      <c r="O188" s="496"/>
      <c r="P188" s="731" t="str">
        <f>'DICTIONARY-3'!$A$2</f>
        <v>EKOplus</v>
      </c>
      <c r="Q188" s="732" t="str">
        <f>'DICTIONARY-3'!$A$187</f>
        <v>Zasuwa klinowa</v>
      </c>
      <c r="R188" s="732" t="str">
        <f>CONCATENATE('DICTIONARY-3'!$A$2," ",'DICTIONARY-6'!$A$3," ",'DICTIONARY-2'!$A$2,"350"," ",'DICTIONARY-2'!$A$3,"10"," ","R15",", ","AUMA")</f>
        <v>EKOplus Zasuwa DN350 PN10 R15, AUMA</v>
      </c>
      <c r="S188" s="733" t="str">
        <f>'DICTIONARY-4'!$A$4</f>
        <v>NE</v>
      </c>
      <c r="T188" s="732" t="str">
        <f>'DICTIONARY-4'!$A$20</f>
        <v>Napęd elektryczny</v>
      </c>
      <c r="U188" s="734" t="s">
        <v>5753</v>
      </c>
      <c r="V188" s="735">
        <v>10</v>
      </c>
      <c r="W188" s="736"/>
      <c r="X188" s="737"/>
      <c r="Y188" s="738"/>
      <c r="Z188" s="739"/>
      <c r="AA188" s="739"/>
      <c r="AB188" s="740">
        <v>10</v>
      </c>
      <c r="AC188" s="741" t="str">
        <f>'DICTIONARY-5'!$A$11&amp;" 15"</f>
        <v>EN 558 szereg 15</v>
      </c>
      <c r="AD188" s="741" t="str">
        <f>'DICTIONARY-5'!$A$13</f>
        <v>woda pitna</v>
      </c>
      <c r="AE188" s="742">
        <v>50</v>
      </c>
      <c r="AF188" s="743"/>
      <c r="AG188" s="741" t="str">
        <f>'DICTIONARY-5'!$A$23</f>
        <v>powłoka epoksydowa</v>
      </c>
    </row>
    <row r="189" spans="1:33" x14ac:dyDescent="0.25">
      <c r="A189" s="837" t="s">
        <v>8287</v>
      </c>
      <c r="B189" s="837" t="s">
        <v>8279</v>
      </c>
      <c r="C189" s="836">
        <v>3876</v>
      </c>
      <c r="D189" s="836"/>
      <c r="E189" s="836"/>
      <c r="F189" s="836"/>
      <c r="G189" s="496" t="s">
        <v>7790</v>
      </c>
      <c r="H189" s="797" t="str">
        <f>VLOOKUP(G189,SETTINGS!$B$7:$D$97,2,0)</f>
        <v>EKOplus (with Actuator)</v>
      </c>
      <c r="I189" s="796">
        <f>VLOOKUP(G189,SETTINGS!$B$7:$D$97,3,0)</f>
        <v>0</v>
      </c>
      <c r="J189" s="670" t="str">
        <f>IFERROR(IF(CURRENCY.FORMAT_1=0,CONCATENATE(TEXT(FIXED(ROUND((C189/EXC.RATE_1),CURRENCY.FORMAT_1),CURRENCY.FORMAT_1,1),"# ##0;-# ##0"),",-"),FIXED(ROUND((C189/EXC.RATE_1),CURRENCY.FORMAT_1),CURRENCY.FORMAT_1,0)),'DICTIONARY-5'!$A$2)</f>
        <v>3 876,-</v>
      </c>
      <c r="K189" s="670" t="str">
        <f>IF(EXC.RATE_2=0,"",IFERROR(IF(CURRENCY.FORMAT_2=0,CONCATENATE(TEXT(FIXED(ROUND(IF(EXC.RATE.SWITCH=1,C189/EXC.RATE_2,C189*EXC.RATE_2),CURRENCY.FORMAT_2),CURRENCY.FORMAT_2,1),"# ##0;-# ##0"),",-"),FIXED(ROUND(IF(EXC.RATE.SWITCH=1,C189/EXC.RATE_2,C189*EXC.RATE_2),CURRENCY.FORMAT_2),CURRENCY.FORMAT_2,0)),'DICTIONARY-5'!$A$2))</f>
        <v/>
      </c>
      <c r="L189" s="670" t="str">
        <f>IFERROR(IF(CURRENCY.FORMAT_1=0,CONCATENATE(TEXT(FIXED(ROUND((C189*(1-I189)*(1-ADD.DISCOUNT)*(1+MAT.SURCHARGE)/EXC.RATE_1),CURRENCY.FORMAT_1),CURRENCY.FORMAT_1,1),"# ##0;-# ##0"),",-"),FIXED(ROUND((C189*(1-I189)*(1-ADD.DISCOUNT)*(1+MAT.SURCHARGE)/EXC.RATE_1),CURRENCY.FORMAT_1),CURRENCY.FORMAT_1,0)),'DICTIONARY-5'!$A$2)</f>
        <v>4 027,-</v>
      </c>
      <c r="M189" s="670" t="str">
        <f>IF(EXC.RATE_2=0,"",IFERROR(IF(CURRENCY.FORMAT_2=0,CONCATENATE(TEXT(FIXED(ROUND(IF(EXC.RATE.SWITCH=1,C189*(1-I189)*(1-ADD.DISCOUNT)*(1+MAT.SURCHARGE)/EXC.RATE_2,C189*(1-I189)*(1-ADD.DISCOUNT)*(1+MAT.SURCHARGE)*EXC.RATE_2),CURRENCY.FORMAT_2),CURRENCY.FORMAT_2,1),"# ##0;-# ##0"),",-"),FIXED(ROUND(IF(EXC.RATE.SWITCH=1,C189*(1-I189)*(1-ADD.DISCOUNT)*(1+MAT.SURCHARGE)/EXC.RATE_2,C189*(1-I189)*(1-ADD.DISCOUNT)*(1+MAT.SURCHARGE)*EXC.RATE_2),CURRENCY.FORMAT_2),CURRENCY.FORMAT_2,0)),'DICTIONARY-5'!$A$2))</f>
        <v/>
      </c>
      <c r="N189" s="496">
        <v>1</v>
      </c>
      <c r="O189" s="496"/>
      <c r="P189" s="731" t="str">
        <f>'DICTIONARY-3'!$A$2</f>
        <v>EKOplus</v>
      </c>
      <c r="Q189" s="732" t="str">
        <f>'DICTIONARY-3'!$A$187</f>
        <v>Zasuwa klinowa</v>
      </c>
      <c r="R189" s="732" t="str">
        <f>CONCATENATE('DICTIONARY-3'!$A$2," ",'DICTIONARY-6'!$A$3," ",'DICTIONARY-2'!$A$2,"350"," ",'DICTIONARY-2'!$A$3,"16"," ","R15",", ","AUMA")</f>
        <v>EKOplus Zasuwa DN350 PN16 R15, AUMA</v>
      </c>
      <c r="S189" s="733" t="str">
        <f>'DICTIONARY-4'!$A$4</f>
        <v>NE</v>
      </c>
      <c r="T189" s="732" t="str">
        <f>'DICTIONARY-4'!$A$20</f>
        <v>Napęd elektryczny</v>
      </c>
      <c r="U189" s="734" t="s">
        <v>5753</v>
      </c>
      <c r="V189" s="735">
        <v>16</v>
      </c>
      <c r="W189" s="736"/>
      <c r="X189" s="737"/>
      <c r="Y189" s="738"/>
      <c r="Z189" s="739"/>
      <c r="AA189" s="739"/>
      <c r="AB189" s="740">
        <v>16</v>
      </c>
      <c r="AC189" s="741" t="str">
        <f>'DICTIONARY-5'!$A$11&amp;" 15"</f>
        <v>EN 558 szereg 15</v>
      </c>
      <c r="AD189" s="741" t="str">
        <f>'DICTIONARY-5'!$A$13</f>
        <v>woda pitna</v>
      </c>
      <c r="AE189" s="742">
        <v>50</v>
      </c>
      <c r="AF189" s="743"/>
      <c r="AG189" s="741" t="str">
        <f>'DICTIONARY-5'!$A$23</f>
        <v>powłoka epoksydowa</v>
      </c>
    </row>
    <row r="190" spans="1:33" x14ac:dyDescent="0.25">
      <c r="A190" s="837" t="s">
        <v>8288</v>
      </c>
      <c r="B190" s="837" t="s">
        <v>8280</v>
      </c>
      <c r="C190" s="836">
        <v>4490</v>
      </c>
      <c r="D190" s="836"/>
      <c r="E190" s="836"/>
      <c r="F190" s="836"/>
      <c r="G190" s="496" t="s">
        <v>7790</v>
      </c>
      <c r="H190" s="797" t="str">
        <f>VLOOKUP(G190,SETTINGS!$B$7:$D$97,2,0)</f>
        <v>EKOplus (with Actuator)</v>
      </c>
      <c r="I190" s="796">
        <f>VLOOKUP(G190,SETTINGS!$B$7:$D$97,3,0)</f>
        <v>0</v>
      </c>
      <c r="J190" s="670" t="str">
        <f>IFERROR(IF(CURRENCY.FORMAT_1=0,CONCATENATE(TEXT(FIXED(ROUND((C190/EXC.RATE_1),CURRENCY.FORMAT_1),CURRENCY.FORMAT_1,1),"# ##0;-# ##0"),",-"),FIXED(ROUND((C190/EXC.RATE_1),CURRENCY.FORMAT_1),CURRENCY.FORMAT_1,0)),'DICTIONARY-5'!$A$2)</f>
        <v>4 490,-</v>
      </c>
      <c r="K190" s="670" t="str">
        <f>IF(EXC.RATE_2=0,"",IFERROR(IF(CURRENCY.FORMAT_2=0,CONCATENATE(TEXT(FIXED(ROUND(IF(EXC.RATE.SWITCH=1,C190/EXC.RATE_2,C190*EXC.RATE_2),CURRENCY.FORMAT_2),CURRENCY.FORMAT_2,1),"# ##0;-# ##0"),",-"),FIXED(ROUND(IF(EXC.RATE.SWITCH=1,C190/EXC.RATE_2,C190*EXC.RATE_2),CURRENCY.FORMAT_2),CURRENCY.FORMAT_2,0)),'DICTIONARY-5'!$A$2))</f>
        <v/>
      </c>
      <c r="L190" s="670" t="str">
        <f>IFERROR(IF(CURRENCY.FORMAT_1=0,CONCATENATE(TEXT(FIXED(ROUND((C190*(1-I190)*(1-ADD.DISCOUNT)*(1+MAT.SURCHARGE)/EXC.RATE_1),CURRENCY.FORMAT_1),CURRENCY.FORMAT_1,1),"# ##0;-# ##0"),",-"),FIXED(ROUND((C190*(1-I190)*(1-ADD.DISCOUNT)*(1+MAT.SURCHARGE)/EXC.RATE_1),CURRENCY.FORMAT_1),CURRENCY.FORMAT_1,0)),'DICTIONARY-5'!$A$2)</f>
        <v>4 665,-</v>
      </c>
      <c r="M190" s="670" t="str">
        <f>IF(EXC.RATE_2=0,"",IFERROR(IF(CURRENCY.FORMAT_2=0,CONCATENATE(TEXT(FIXED(ROUND(IF(EXC.RATE.SWITCH=1,C190*(1-I190)*(1-ADD.DISCOUNT)*(1+MAT.SURCHARGE)/EXC.RATE_2,C190*(1-I190)*(1-ADD.DISCOUNT)*(1+MAT.SURCHARGE)*EXC.RATE_2),CURRENCY.FORMAT_2),CURRENCY.FORMAT_2,1),"# ##0;-# ##0"),",-"),FIXED(ROUND(IF(EXC.RATE.SWITCH=1,C190*(1-I190)*(1-ADD.DISCOUNT)*(1+MAT.SURCHARGE)/EXC.RATE_2,C190*(1-I190)*(1-ADD.DISCOUNT)*(1+MAT.SURCHARGE)*EXC.RATE_2),CURRENCY.FORMAT_2),CURRENCY.FORMAT_2,0)),'DICTIONARY-5'!$A$2))</f>
        <v/>
      </c>
      <c r="N190" s="496">
        <v>1</v>
      </c>
      <c r="O190" s="496"/>
      <c r="P190" s="731" t="str">
        <f>'DICTIONARY-3'!$A$2</f>
        <v>EKOplus</v>
      </c>
      <c r="Q190" s="732" t="str">
        <f>'DICTIONARY-3'!$A$187</f>
        <v>Zasuwa klinowa</v>
      </c>
      <c r="R190" s="732" t="str">
        <f>CONCATENATE('DICTIONARY-3'!$A$2," ",'DICTIONARY-6'!$A$3," ",'DICTIONARY-2'!$A$2,"400"," ",'DICTIONARY-2'!$A$3,"10"," ","R15",", ","AUMA")</f>
        <v>EKOplus Zasuwa DN400 PN10 R15, AUMA</v>
      </c>
      <c r="S190" s="733" t="str">
        <f>'DICTIONARY-4'!$A$4</f>
        <v>NE</v>
      </c>
      <c r="T190" s="732" t="str">
        <f>'DICTIONARY-4'!$A$20</f>
        <v>Napęd elektryczny</v>
      </c>
      <c r="U190" s="734" t="s">
        <v>5754</v>
      </c>
      <c r="V190" s="735">
        <v>10</v>
      </c>
      <c r="W190" s="736"/>
      <c r="X190" s="737"/>
      <c r="Y190" s="738"/>
      <c r="Z190" s="739"/>
      <c r="AA190" s="739"/>
      <c r="AB190" s="740">
        <v>10</v>
      </c>
      <c r="AC190" s="741" t="str">
        <f>'DICTIONARY-5'!$A$11&amp;" 15"</f>
        <v>EN 558 szereg 15</v>
      </c>
      <c r="AD190" s="741" t="str">
        <f>'DICTIONARY-5'!$A$13</f>
        <v>woda pitna</v>
      </c>
      <c r="AE190" s="742">
        <v>50</v>
      </c>
      <c r="AF190" s="743">
        <v>410</v>
      </c>
      <c r="AG190" s="741" t="str">
        <f>'DICTIONARY-5'!$A$23</f>
        <v>powłoka epoksydowa</v>
      </c>
    </row>
    <row r="191" spans="1:33" x14ac:dyDescent="0.25">
      <c r="A191" s="837" t="s">
        <v>8289</v>
      </c>
      <c r="B191" s="837" t="s">
        <v>8281</v>
      </c>
      <c r="C191" s="836">
        <v>4584</v>
      </c>
      <c r="D191" s="836"/>
      <c r="E191" s="836"/>
      <c r="F191" s="836"/>
      <c r="G191" s="496" t="s">
        <v>7790</v>
      </c>
      <c r="H191" s="797" t="str">
        <f>VLOOKUP(G191,SETTINGS!$B$7:$D$97,2,0)</f>
        <v>EKOplus (with Actuator)</v>
      </c>
      <c r="I191" s="796">
        <f>VLOOKUP(G191,SETTINGS!$B$7:$D$97,3,0)</f>
        <v>0</v>
      </c>
      <c r="J191" s="670" t="str">
        <f>IFERROR(IF(CURRENCY.FORMAT_1=0,CONCATENATE(TEXT(FIXED(ROUND((C191/EXC.RATE_1),CURRENCY.FORMAT_1),CURRENCY.FORMAT_1,1),"# ##0;-# ##0"),",-"),FIXED(ROUND((C191/EXC.RATE_1),CURRENCY.FORMAT_1),CURRENCY.FORMAT_1,0)),'DICTIONARY-5'!$A$2)</f>
        <v>4 584,-</v>
      </c>
      <c r="K191" s="670" t="str">
        <f>IF(EXC.RATE_2=0,"",IFERROR(IF(CURRENCY.FORMAT_2=0,CONCATENATE(TEXT(FIXED(ROUND(IF(EXC.RATE.SWITCH=1,C191/EXC.RATE_2,C191*EXC.RATE_2),CURRENCY.FORMAT_2),CURRENCY.FORMAT_2,1),"# ##0;-# ##0"),",-"),FIXED(ROUND(IF(EXC.RATE.SWITCH=1,C191/EXC.RATE_2,C191*EXC.RATE_2),CURRENCY.FORMAT_2),CURRENCY.FORMAT_2,0)),'DICTIONARY-5'!$A$2))</f>
        <v/>
      </c>
      <c r="L191" s="670" t="str">
        <f>IFERROR(IF(CURRENCY.FORMAT_1=0,CONCATENATE(TEXT(FIXED(ROUND((C191*(1-I191)*(1-ADD.DISCOUNT)*(1+MAT.SURCHARGE)/EXC.RATE_1),CURRENCY.FORMAT_1),CURRENCY.FORMAT_1,1),"# ##0;-# ##0"),",-"),FIXED(ROUND((C191*(1-I191)*(1-ADD.DISCOUNT)*(1+MAT.SURCHARGE)/EXC.RATE_1),CURRENCY.FORMAT_1),CURRENCY.FORMAT_1,0)),'DICTIONARY-5'!$A$2)</f>
        <v>4 763,-</v>
      </c>
      <c r="M191" s="670" t="str">
        <f>IF(EXC.RATE_2=0,"",IFERROR(IF(CURRENCY.FORMAT_2=0,CONCATENATE(TEXT(FIXED(ROUND(IF(EXC.RATE.SWITCH=1,C191*(1-I191)*(1-ADD.DISCOUNT)*(1+MAT.SURCHARGE)/EXC.RATE_2,C191*(1-I191)*(1-ADD.DISCOUNT)*(1+MAT.SURCHARGE)*EXC.RATE_2),CURRENCY.FORMAT_2),CURRENCY.FORMAT_2,1),"# ##0;-# ##0"),",-"),FIXED(ROUND(IF(EXC.RATE.SWITCH=1,C191*(1-I191)*(1-ADD.DISCOUNT)*(1+MAT.SURCHARGE)/EXC.RATE_2,C191*(1-I191)*(1-ADD.DISCOUNT)*(1+MAT.SURCHARGE)*EXC.RATE_2),CURRENCY.FORMAT_2),CURRENCY.FORMAT_2,0)),'DICTIONARY-5'!$A$2))</f>
        <v/>
      </c>
      <c r="N191" s="496">
        <v>1</v>
      </c>
      <c r="O191" s="496"/>
      <c r="P191" s="731" t="str">
        <f>'DICTIONARY-3'!$A$2</f>
        <v>EKOplus</v>
      </c>
      <c r="Q191" s="732" t="str">
        <f>'DICTIONARY-3'!$A$187</f>
        <v>Zasuwa klinowa</v>
      </c>
      <c r="R191" s="732" t="str">
        <f>CONCATENATE('DICTIONARY-3'!$A$2," ",'DICTIONARY-6'!$A$3," ",'DICTIONARY-2'!$A$2,"400"," ",'DICTIONARY-2'!$A$3,"16"," ","R15",", ","AUMA")</f>
        <v>EKOplus Zasuwa DN400 PN16 R15, AUMA</v>
      </c>
      <c r="S191" s="733" t="str">
        <f>'DICTIONARY-4'!$A$4</f>
        <v>NE</v>
      </c>
      <c r="T191" s="732" t="str">
        <f>'DICTIONARY-4'!$A$20</f>
        <v>Napęd elektryczny</v>
      </c>
      <c r="U191" s="734" t="s">
        <v>5754</v>
      </c>
      <c r="V191" s="735">
        <v>16</v>
      </c>
      <c r="W191" s="736"/>
      <c r="X191" s="737"/>
      <c r="Y191" s="738"/>
      <c r="Z191" s="739"/>
      <c r="AA191" s="739"/>
      <c r="AB191" s="740">
        <v>16</v>
      </c>
      <c r="AC191" s="741" t="str">
        <f>'DICTIONARY-5'!$A$11&amp;" 15"</f>
        <v>EN 558 szereg 15</v>
      </c>
      <c r="AD191" s="741" t="str">
        <f>'DICTIONARY-5'!$A$13</f>
        <v>woda pitna</v>
      </c>
      <c r="AE191" s="742">
        <v>50</v>
      </c>
      <c r="AF191" s="743"/>
      <c r="AG191" s="741" t="str">
        <f>'DICTIONARY-5'!$A$23</f>
        <v>powłoka epoksydowa</v>
      </c>
    </row>
    <row r="192" spans="1:33" x14ac:dyDescent="0.25">
      <c r="A192" s="837" t="s">
        <v>8290</v>
      </c>
      <c r="B192" s="837" t="s">
        <v>8282</v>
      </c>
      <c r="C192" s="836">
        <v>6040</v>
      </c>
      <c r="D192" s="836"/>
      <c r="E192" s="836"/>
      <c r="F192" s="836"/>
      <c r="G192" s="496" t="s">
        <v>7790</v>
      </c>
      <c r="H192" s="797" t="str">
        <f>VLOOKUP(G192,SETTINGS!$B$7:$D$97,2,0)</f>
        <v>EKOplus (with Actuator)</v>
      </c>
      <c r="I192" s="796">
        <f>VLOOKUP(G192,SETTINGS!$B$7:$D$97,3,0)</f>
        <v>0</v>
      </c>
      <c r="J192" s="670" t="str">
        <f>IFERROR(IF(CURRENCY.FORMAT_1=0,CONCATENATE(TEXT(FIXED(ROUND((C192/EXC.RATE_1),CURRENCY.FORMAT_1),CURRENCY.FORMAT_1,1),"# ##0;-# ##0"),",-"),FIXED(ROUND((C192/EXC.RATE_1),CURRENCY.FORMAT_1),CURRENCY.FORMAT_1,0)),'DICTIONARY-5'!$A$2)</f>
        <v>6 040,-</v>
      </c>
      <c r="K192" s="670" t="str">
        <f>IF(EXC.RATE_2=0,"",IFERROR(IF(CURRENCY.FORMAT_2=0,CONCATENATE(TEXT(FIXED(ROUND(IF(EXC.RATE.SWITCH=1,C192/EXC.RATE_2,C192*EXC.RATE_2),CURRENCY.FORMAT_2),CURRENCY.FORMAT_2,1),"# ##0;-# ##0"),",-"),FIXED(ROUND(IF(EXC.RATE.SWITCH=1,C192/EXC.RATE_2,C192*EXC.RATE_2),CURRENCY.FORMAT_2),CURRENCY.FORMAT_2,0)),'DICTIONARY-5'!$A$2))</f>
        <v/>
      </c>
      <c r="L192" s="670" t="str">
        <f>IFERROR(IF(CURRENCY.FORMAT_1=0,CONCATENATE(TEXT(FIXED(ROUND((C192*(1-I192)*(1-ADD.DISCOUNT)*(1+MAT.SURCHARGE)/EXC.RATE_1),CURRENCY.FORMAT_1),CURRENCY.FORMAT_1,1),"# ##0;-# ##0"),",-"),FIXED(ROUND((C192*(1-I192)*(1-ADD.DISCOUNT)*(1+MAT.SURCHARGE)/EXC.RATE_1),CURRENCY.FORMAT_1),CURRENCY.FORMAT_1,0)),'DICTIONARY-5'!$A$2)</f>
        <v>6 276,-</v>
      </c>
      <c r="M192" s="670" t="str">
        <f>IF(EXC.RATE_2=0,"",IFERROR(IF(CURRENCY.FORMAT_2=0,CONCATENATE(TEXT(FIXED(ROUND(IF(EXC.RATE.SWITCH=1,C192*(1-I192)*(1-ADD.DISCOUNT)*(1+MAT.SURCHARGE)/EXC.RATE_2,C192*(1-I192)*(1-ADD.DISCOUNT)*(1+MAT.SURCHARGE)*EXC.RATE_2),CURRENCY.FORMAT_2),CURRENCY.FORMAT_2,1),"# ##0;-# ##0"),",-"),FIXED(ROUND(IF(EXC.RATE.SWITCH=1,C192*(1-I192)*(1-ADD.DISCOUNT)*(1+MAT.SURCHARGE)/EXC.RATE_2,C192*(1-I192)*(1-ADD.DISCOUNT)*(1+MAT.SURCHARGE)*EXC.RATE_2),CURRENCY.FORMAT_2),CURRENCY.FORMAT_2,0)),'DICTIONARY-5'!$A$2))</f>
        <v/>
      </c>
      <c r="N192" s="496">
        <v>1</v>
      </c>
      <c r="O192" s="496"/>
      <c r="P192" s="731" t="str">
        <f>'DICTIONARY-3'!$A$2</f>
        <v>EKOplus</v>
      </c>
      <c r="Q192" s="732" t="str">
        <f>'DICTIONARY-3'!$A$187</f>
        <v>Zasuwa klinowa</v>
      </c>
      <c r="R192" s="732" t="str">
        <f>CONCATENATE('DICTIONARY-3'!$A$2," ",'DICTIONARY-6'!$A$3," ",'DICTIONARY-2'!$A$2,"500"," ",'DICTIONARY-2'!$A$3,"10"," ","R15",", ","AUMA")</f>
        <v>EKOplus Zasuwa DN500 PN10 R15, AUMA</v>
      </c>
      <c r="S192" s="733" t="str">
        <f>'DICTIONARY-4'!$A$4</f>
        <v>NE</v>
      </c>
      <c r="T192" s="732" t="str">
        <f>'DICTIONARY-4'!$A$20</f>
        <v>Napęd elektryczny</v>
      </c>
      <c r="U192" s="734" t="s">
        <v>5756</v>
      </c>
      <c r="V192" s="735">
        <v>10</v>
      </c>
      <c r="W192" s="736"/>
      <c r="X192" s="737"/>
      <c r="Y192" s="738"/>
      <c r="Z192" s="739"/>
      <c r="AA192" s="739"/>
      <c r="AB192" s="740">
        <v>10</v>
      </c>
      <c r="AC192" s="741" t="str">
        <f>'DICTIONARY-5'!$A$11&amp;" 15"</f>
        <v>EN 558 szereg 15</v>
      </c>
      <c r="AD192" s="741" t="str">
        <f>'DICTIONARY-5'!$A$13</f>
        <v>woda pitna</v>
      </c>
      <c r="AE192" s="742">
        <v>50</v>
      </c>
      <c r="AF192" s="743"/>
      <c r="AG192" s="741" t="str">
        <f>'DICTIONARY-5'!$A$23</f>
        <v>powłoka epoksydowa</v>
      </c>
    </row>
    <row r="193" spans="1:33" x14ac:dyDescent="0.25">
      <c r="A193" s="837" t="s">
        <v>8291</v>
      </c>
      <c r="B193" s="837" t="s">
        <v>8283</v>
      </c>
      <c r="C193" s="836">
        <v>6188</v>
      </c>
      <c r="D193" s="836"/>
      <c r="E193" s="836"/>
      <c r="F193" s="836"/>
      <c r="G193" s="496" t="s">
        <v>7790</v>
      </c>
      <c r="H193" s="797" t="str">
        <f>VLOOKUP(G193,SETTINGS!$B$7:$D$97,2,0)</f>
        <v>EKOplus (with Actuator)</v>
      </c>
      <c r="I193" s="796">
        <f>VLOOKUP(G193,SETTINGS!$B$7:$D$97,3,0)</f>
        <v>0</v>
      </c>
      <c r="J193" s="670" t="str">
        <f>IFERROR(IF(CURRENCY.FORMAT_1=0,CONCATENATE(TEXT(FIXED(ROUND((C193/EXC.RATE_1),CURRENCY.FORMAT_1),CURRENCY.FORMAT_1,1),"# ##0;-# ##0"),",-"),FIXED(ROUND((C193/EXC.RATE_1),CURRENCY.FORMAT_1),CURRENCY.FORMAT_1,0)),'DICTIONARY-5'!$A$2)</f>
        <v>6 188,-</v>
      </c>
      <c r="K193" s="670" t="str">
        <f>IF(EXC.RATE_2=0,"",IFERROR(IF(CURRENCY.FORMAT_2=0,CONCATENATE(TEXT(FIXED(ROUND(IF(EXC.RATE.SWITCH=1,C193/EXC.RATE_2,C193*EXC.RATE_2),CURRENCY.FORMAT_2),CURRENCY.FORMAT_2,1),"# ##0;-# ##0"),",-"),FIXED(ROUND(IF(EXC.RATE.SWITCH=1,C193/EXC.RATE_2,C193*EXC.RATE_2),CURRENCY.FORMAT_2),CURRENCY.FORMAT_2,0)),'DICTIONARY-5'!$A$2))</f>
        <v/>
      </c>
      <c r="L193" s="670" t="str">
        <f>IFERROR(IF(CURRENCY.FORMAT_1=0,CONCATENATE(TEXT(FIXED(ROUND((C193*(1-I193)*(1-ADD.DISCOUNT)*(1+MAT.SURCHARGE)/EXC.RATE_1),CURRENCY.FORMAT_1),CURRENCY.FORMAT_1,1),"# ##0;-# ##0"),",-"),FIXED(ROUND((C193*(1-I193)*(1-ADD.DISCOUNT)*(1+MAT.SURCHARGE)/EXC.RATE_1),CURRENCY.FORMAT_1),CURRENCY.FORMAT_1,0)),'DICTIONARY-5'!$A$2)</f>
        <v>6 429,-</v>
      </c>
      <c r="M193" s="670" t="str">
        <f>IF(EXC.RATE_2=0,"",IFERROR(IF(CURRENCY.FORMAT_2=0,CONCATENATE(TEXT(FIXED(ROUND(IF(EXC.RATE.SWITCH=1,C193*(1-I193)*(1-ADD.DISCOUNT)*(1+MAT.SURCHARGE)/EXC.RATE_2,C193*(1-I193)*(1-ADD.DISCOUNT)*(1+MAT.SURCHARGE)*EXC.RATE_2),CURRENCY.FORMAT_2),CURRENCY.FORMAT_2,1),"# ##0;-# ##0"),",-"),FIXED(ROUND(IF(EXC.RATE.SWITCH=1,C193*(1-I193)*(1-ADD.DISCOUNT)*(1+MAT.SURCHARGE)/EXC.RATE_2,C193*(1-I193)*(1-ADD.DISCOUNT)*(1+MAT.SURCHARGE)*EXC.RATE_2),CURRENCY.FORMAT_2),CURRENCY.FORMAT_2,0)),'DICTIONARY-5'!$A$2))</f>
        <v/>
      </c>
      <c r="N193" s="496">
        <v>1</v>
      </c>
      <c r="O193" s="496"/>
      <c r="P193" s="731" t="str">
        <f>'DICTIONARY-3'!$A$2</f>
        <v>EKOplus</v>
      </c>
      <c r="Q193" s="732" t="str">
        <f>'DICTIONARY-3'!$A$187</f>
        <v>Zasuwa klinowa</v>
      </c>
      <c r="R193" s="732" t="str">
        <f>CONCATENATE('DICTIONARY-3'!$A$2," ",'DICTIONARY-6'!$A$3," ",'DICTIONARY-2'!$A$2,"500"," ",'DICTIONARY-2'!$A$3,"16"," ","R15",", ","AUMA")</f>
        <v>EKOplus Zasuwa DN500 PN16 R15, AUMA</v>
      </c>
      <c r="S193" s="733" t="str">
        <f>'DICTIONARY-4'!$A$4</f>
        <v>NE</v>
      </c>
      <c r="T193" s="732" t="str">
        <f>'DICTIONARY-4'!$A$20</f>
        <v>Napęd elektryczny</v>
      </c>
      <c r="U193" s="734" t="s">
        <v>5756</v>
      </c>
      <c r="V193" s="735">
        <v>16</v>
      </c>
      <c r="W193" s="736"/>
      <c r="X193" s="737"/>
      <c r="Y193" s="738"/>
      <c r="Z193" s="739"/>
      <c r="AA193" s="739"/>
      <c r="AB193" s="740">
        <v>16</v>
      </c>
      <c r="AC193" s="741" t="str">
        <f>'DICTIONARY-5'!$A$11&amp;" 15"</f>
        <v>EN 558 szereg 15</v>
      </c>
      <c r="AD193" s="741" t="str">
        <f>'DICTIONARY-5'!$A$13</f>
        <v>woda pitna</v>
      </c>
      <c r="AE193" s="742">
        <v>50</v>
      </c>
      <c r="AF193" s="743"/>
      <c r="AG193" s="741" t="str">
        <f>'DICTIONARY-5'!$A$23</f>
        <v>powłoka epoksydowa</v>
      </c>
    </row>
    <row r="194" spans="1:33" x14ac:dyDescent="0.25">
      <c r="A194" s="837" t="s">
        <v>8292</v>
      </c>
      <c r="B194" s="837" t="s">
        <v>8284</v>
      </c>
      <c r="C194" s="836">
        <v>7653</v>
      </c>
      <c r="D194" s="836"/>
      <c r="E194" s="836"/>
      <c r="F194" s="836"/>
      <c r="G194" s="496" t="s">
        <v>7790</v>
      </c>
      <c r="H194" s="797" t="str">
        <f>VLOOKUP(G194,SETTINGS!$B$7:$D$97,2,0)</f>
        <v>EKOplus (with Actuator)</v>
      </c>
      <c r="I194" s="796">
        <f>VLOOKUP(G194,SETTINGS!$B$7:$D$97,3,0)</f>
        <v>0</v>
      </c>
      <c r="J194" s="670" t="str">
        <f>IFERROR(IF(CURRENCY.FORMAT_1=0,CONCATENATE(TEXT(FIXED(ROUND((C194/EXC.RATE_1),CURRENCY.FORMAT_1),CURRENCY.FORMAT_1,1),"# ##0;-# ##0"),",-"),FIXED(ROUND((C194/EXC.RATE_1),CURRENCY.FORMAT_1),CURRENCY.FORMAT_1,0)),'DICTIONARY-5'!$A$2)</f>
        <v>7 653,-</v>
      </c>
      <c r="K194" s="670" t="str">
        <f>IF(EXC.RATE_2=0,"",IFERROR(IF(CURRENCY.FORMAT_2=0,CONCATENATE(TEXT(FIXED(ROUND(IF(EXC.RATE.SWITCH=1,C194/EXC.RATE_2,C194*EXC.RATE_2),CURRENCY.FORMAT_2),CURRENCY.FORMAT_2,1),"# ##0;-# ##0"),",-"),FIXED(ROUND(IF(EXC.RATE.SWITCH=1,C194/EXC.RATE_2,C194*EXC.RATE_2),CURRENCY.FORMAT_2),CURRENCY.FORMAT_2,0)),'DICTIONARY-5'!$A$2))</f>
        <v/>
      </c>
      <c r="L194" s="670" t="str">
        <f>IFERROR(IF(CURRENCY.FORMAT_1=0,CONCATENATE(TEXT(FIXED(ROUND((C194*(1-I194)*(1-ADD.DISCOUNT)*(1+MAT.SURCHARGE)/EXC.RATE_1),CURRENCY.FORMAT_1),CURRENCY.FORMAT_1,1),"# ##0;-# ##0"),",-"),FIXED(ROUND((C194*(1-I194)*(1-ADD.DISCOUNT)*(1+MAT.SURCHARGE)/EXC.RATE_1),CURRENCY.FORMAT_1),CURRENCY.FORMAT_1,0)),'DICTIONARY-5'!$A$2)</f>
        <v>7 951,-</v>
      </c>
      <c r="M194" s="670" t="str">
        <f>IF(EXC.RATE_2=0,"",IFERROR(IF(CURRENCY.FORMAT_2=0,CONCATENATE(TEXT(FIXED(ROUND(IF(EXC.RATE.SWITCH=1,C194*(1-I194)*(1-ADD.DISCOUNT)*(1+MAT.SURCHARGE)/EXC.RATE_2,C194*(1-I194)*(1-ADD.DISCOUNT)*(1+MAT.SURCHARGE)*EXC.RATE_2),CURRENCY.FORMAT_2),CURRENCY.FORMAT_2,1),"# ##0;-# ##0"),",-"),FIXED(ROUND(IF(EXC.RATE.SWITCH=1,C194*(1-I194)*(1-ADD.DISCOUNT)*(1+MAT.SURCHARGE)/EXC.RATE_2,C194*(1-I194)*(1-ADD.DISCOUNT)*(1+MAT.SURCHARGE)*EXC.RATE_2),CURRENCY.FORMAT_2),CURRENCY.FORMAT_2,0)),'DICTIONARY-5'!$A$2))</f>
        <v/>
      </c>
      <c r="N194" s="496">
        <v>1</v>
      </c>
      <c r="O194" s="496"/>
      <c r="P194" s="731" t="str">
        <f>'DICTIONARY-3'!$A$2</f>
        <v>EKOplus</v>
      </c>
      <c r="Q194" s="732" t="str">
        <f>'DICTIONARY-3'!$A$187</f>
        <v>Zasuwa klinowa</v>
      </c>
      <c r="R194" s="732" t="str">
        <f>CONCATENATE('DICTIONARY-3'!$A$2," ",'DICTIONARY-6'!$A$3," ",'DICTIONARY-2'!$A$2,"600/",'DICTIONARY-6'!$A$46,'DICTIONARY-2'!$A$2,"500"," ",'DICTIONARY-2'!$A$3,"10"," ","R15",", ","AUMA")</f>
        <v>EKOplus Zasuwa DN600/reduk.DN500 PN10 R15, AUMA</v>
      </c>
      <c r="S194" s="733" t="str">
        <f>'DICTIONARY-4'!$A$4</f>
        <v>NE</v>
      </c>
      <c r="T194" s="732" t="str">
        <f>'DICTIONARY-4'!$A$20</f>
        <v>Napęd elektryczny</v>
      </c>
      <c r="U194" s="734" t="s">
        <v>5757</v>
      </c>
      <c r="V194" s="735">
        <v>10</v>
      </c>
      <c r="W194" s="736"/>
      <c r="X194" s="737"/>
      <c r="Y194" s="738"/>
      <c r="Z194" s="739"/>
      <c r="AA194" s="739"/>
      <c r="AB194" s="740">
        <v>10</v>
      </c>
      <c r="AC194" s="741" t="str">
        <f>'DICTIONARY-5'!$A$11&amp;" 15"</f>
        <v>EN 558 szereg 15</v>
      </c>
      <c r="AD194" s="741" t="str">
        <f>'DICTIONARY-5'!$A$13</f>
        <v>woda pitna</v>
      </c>
      <c r="AE194" s="742">
        <v>50</v>
      </c>
      <c r="AF194" s="743"/>
      <c r="AG194" s="741" t="str">
        <f>'DICTIONARY-5'!$A$23</f>
        <v>powłoka epoksydowa</v>
      </c>
    </row>
    <row r="195" spans="1:33" x14ac:dyDescent="0.25">
      <c r="A195" s="837" t="s">
        <v>8293</v>
      </c>
      <c r="B195" s="837" t="s">
        <v>8285</v>
      </c>
      <c r="C195" s="836" t="s">
        <v>5967</v>
      </c>
      <c r="D195" s="836"/>
      <c r="E195" s="836"/>
      <c r="F195" s="836"/>
      <c r="G195" s="496" t="s">
        <v>7790</v>
      </c>
      <c r="H195" s="797" t="str">
        <f>VLOOKUP(G195,SETTINGS!$B$7:$D$97,2,0)</f>
        <v>EKOplus (with Actuator)</v>
      </c>
      <c r="I195" s="796">
        <f>VLOOKUP(G195,SETTINGS!$B$7:$D$97,3,0)</f>
        <v>0</v>
      </c>
      <c r="J195" s="670" t="str">
        <f>IFERROR(IF(CURRENCY.FORMAT_1=0,CONCATENATE(TEXT(FIXED(ROUND((C195/EXC.RATE_1),CURRENCY.FORMAT_1),CURRENCY.FORMAT_1,1),"# ##0;-# ##0"),",-"),FIXED(ROUND((C195/EXC.RATE_1),CURRENCY.FORMAT_1),CURRENCY.FORMAT_1,0)),'DICTIONARY-5'!$A$2)</f>
        <v>na zapytanie</v>
      </c>
      <c r="K195" s="670" t="str">
        <f>IF(EXC.RATE_2=0,"",IFERROR(IF(CURRENCY.FORMAT_2=0,CONCATENATE(TEXT(FIXED(ROUND(IF(EXC.RATE.SWITCH=1,C195/EXC.RATE_2,C195*EXC.RATE_2),CURRENCY.FORMAT_2),CURRENCY.FORMAT_2,1),"# ##0;-# ##0"),",-"),FIXED(ROUND(IF(EXC.RATE.SWITCH=1,C195/EXC.RATE_2,C195*EXC.RATE_2),CURRENCY.FORMAT_2),CURRENCY.FORMAT_2,0)),'DICTIONARY-5'!$A$2))</f>
        <v/>
      </c>
      <c r="L195" s="670" t="str">
        <f>IFERROR(IF(CURRENCY.FORMAT_1=0,CONCATENATE(TEXT(FIXED(ROUND((C195*(1-I195)*(1-ADD.DISCOUNT)*(1+MAT.SURCHARGE)/EXC.RATE_1),CURRENCY.FORMAT_1),CURRENCY.FORMAT_1,1),"# ##0;-# ##0"),",-"),FIXED(ROUND((C195*(1-I195)*(1-ADD.DISCOUNT)*(1+MAT.SURCHARGE)/EXC.RATE_1),CURRENCY.FORMAT_1),CURRENCY.FORMAT_1,0)),'DICTIONARY-5'!$A$2)</f>
        <v>na zapytanie</v>
      </c>
      <c r="M195" s="670" t="str">
        <f>IF(EXC.RATE_2=0,"",IFERROR(IF(CURRENCY.FORMAT_2=0,CONCATENATE(TEXT(FIXED(ROUND(IF(EXC.RATE.SWITCH=1,C195*(1-I195)*(1-ADD.DISCOUNT)*(1+MAT.SURCHARGE)/EXC.RATE_2,C195*(1-I195)*(1-ADD.DISCOUNT)*(1+MAT.SURCHARGE)*EXC.RATE_2),CURRENCY.FORMAT_2),CURRENCY.FORMAT_2,1),"# ##0;-# ##0"),",-"),FIXED(ROUND(IF(EXC.RATE.SWITCH=1,C195*(1-I195)*(1-ADD.DISCOUNT)*(1+MAT.SURCHARGE)/EXC.RATE_2,C195*(1-I195)*(1-ADD.DISCOUNT)*(1+MAT.SURCHARGE)*EXC.RATE_2),CURRENCY.FORMAT_2),CURRENCY.FORMAT_2,0)),'DICTIONARY-5'!$A$2))</f>
        <v/>
      </c>
      <c r="N195" s="496">
        <v>1</v>
      </c>
      <c r="O195" s="496"/>
      <c r="P195" s="731" t="str">
        <f>'DICTIONARY-3'!$A$2</f>
        <v>EKOplus</v>
      </c>
      <c r="Q195" s="732" t="str">
        <f>'DICTIONARY-3'!$A$187</f>
        <v>Zasuwa klinowa</v>
      </c>
      <c r="R195" s="732" t="str">
        <f>CONCATENATE('DICTIONARY-3'!$A$2," ",'DICTIONARY-6'!$A$3," ",'DICTIONARY-2'!$A$2,"600/",'DICTIONARY-6'!$A$46,'DICTIONARY-2'!$A$2,"500"," ",'DICTIONARY-2'!$A$3,"16"," ","R15",", ","AUMA")</f>
        <v>EKOplus Zasuwa DN600/reduk.DN500 PN16 R15, AUMA</v>
      </c>
      <c r="S195" s="733" t="str">
        <f>'DICTIONARY-4'!$A$4</f>
        <v>NE</v>
      </c>
      <c r="T195" s="732" t="str">
        <f>'DICTIONARY-4'!$A$20</f>
        <v>Napęd elektryczny</v>
      </c>
      <c r="U195" s="734" t="s">
        <v>5757</v>
      </c>
      <c r="V195" s="735">
        <v>16</v>
      </c>
      <c r="W195" s="736"/>
      <c r="X195" s="737"/>
      <c r="Y195" s="738"/>
      <c r="Z195" s="739"/>
      <c r="AA195" s="739"/>
      <c r="AB195" s="740">
        <v>10</v>
      </c>
      <c r="AC195" s="741" t="str">
        <f>'DICTIONARY-5'!$A$11&amp;" 15"</f>
        <v>EN 558 szereg 15</v>
      </c>
      <c r="AD195" s="741" t="str">
        <f>'DICTIONARY-5'!$A$13</f>
        <v>woda pitna</v>
      </c>
      <c r="AE195" s="742">
        <v>50</v>
      </c>
      <c r="AF195" s="743"/>
      <c r="AG195" s="741" t="str">
        <f>'DICTIONARY-5'!$A$23</f>
        <v>powłoka epoksydowa</v>
      </c>
    </row>
    <row r="196" spans="1:33" x14ac:dyDescent="0.25">
      <c r="A196" s="841" t="s">
        <v>4997</v>
      </c>
      <c r="B196" s="837" t="s">
        <v>5017</v>
      </c>
      <c r="C196" s="836">
        <v>750</v>
      </c>
      <c r="D196" s="836"/>
      <c r="E196" s="836"/>
      <c r="F196" s="836"/>
      <c r="G196" s="496" t="s">
        <v>7790</v>
      </c>
      <c r="H196" s="797" t="str">
        <f>VLOOKUP(G196,SETTINGS!$B$7:$D$97,2,0)</f>
        <v>EKOplus (with Actuator)</v>
      </c>
      <c r="I196" s="796">
        <f>VLOOKUP(G196,SETTINGS!$B$7:$D$97,3,0)</f>
        <v>0</v>
      </c>
      <c r="J196" s="670" t="str">
        <f>IFERROR(IF(CURRENCY.FORMAT_1=0,CONCATENATE(TEXT(FIXED(ROUND((C196/EXC.RATE_1),CURRENCY.FORMAT_1),CURRENCY.FORMAT_1,1),"# ##0;-# ##0"),",-"),FIXED(ROUND((C196/EXC.RATE_1),CURRENCY.FORMAT_1),CURRENCY.FORMAT_1,0)),'DICTIONARY-5'!$A$2)</f>
        <v>750,-</v>
      </c>
      <c r="K196" s="670" t="str">
        <f>IF(EXC.RATE_2=0,"",IFERROR(IF(CURRENCY.FORMAT_2=0,CONCATENATE(TEXT(FIXED(ROUND(IF(EXC.RATE.SWITCH=1,C196/EXC.RATE_2,C196*EXC.RATE_2),CURRENCY.FORMAT_2),CURRENCY.FORMAT_2,1),"# ##0;-# ##0"),",-"),FIXED(ROUND(IF(EXC.RATE.SWITCH=1,C196/EXC.RATE_2,C196*EXC.RATE_2),CURRENCY.FORMAT_2),CURRENCY.FORMAT_2,0)),'DICTIONARY-5'!$A$2))</f>
        <v/>
      </c>
      <c r="L196" s="670" t="str">
        <f>IFERROR(IF(CURRENCY.FORMAT_1=0,CONCATENATE(TEXT(FIXED(ROUND((C196*(1-I196)*(1-ADD.DISCOUNT)*(1+MAT.SURCHARGE)/EXC.RATE_1),CURRENCY.FORMAT_1),CURRENCY.FORMAT_1,1),"# ##0;-# ##0"),",-"),FIXED(ROUND((C196*(1-I196)*(1-ADD.DISCOUNT)*(1+MAT.SURCHARGE)/EXC.RATE_1),CURRENCY.FORMAT_1),CURRENCY.FORMAT_1,0)),'DICTIONARY-5'!$A$2)</f>
        <v>779,-</v>
      </c>
      <c r="M196" s="670" t="str">
        <f>IF(EXC.RATE_2=0,"",IFERROR(IF(CURRENCY.FORMAT_2=0,CONCATENATE(TEXT(FIXED(ROUND(IF(EXC.RATE.SWITCH=1,C196*(1-I196)*(1-ADD.DISCOUNT)*(1+MAT.SURCHARGE)/EXC.RATE_2,C196*(1-I196)*(1-ADD.DISCOUNT)*(1+MAT.SURCHARGE)*EXC.RATE_2),CURRENCY.FORMAT_2),CURRENCY.FORMAT_2,1),"# ##0;-# ##0"),",-"),FIXED(ROUND(IF(EXC.RATE.SWITCH=1,C196*(1-I196)*(1-ADD.DISCOUNT)*(1+MAT.SURCHARGE)/EXC.RATE_2,C196*(1-I196)*(1-ADD.DISCOUNT)*(1+MAT.SURCHARGE)*EXC.RATE_2),CURRENCY.FORMAT_2),CURRENCY.FORMAT_2,0)),'DICTIONARY-5'!$A$2))</f>
        <v/>
      </c>
      <c r="N196" s="496">
        <v>1</v>
      </c>
      <c r="O196" s="496"/>
      <c r="P196" s="731" t="str">
        <f>'DICTIONARY-3'!$A$2</f>
        <v>EKOplus</v>
      </c>
      <c r="Q196" s="732" t="str">
        <f>'DICTIONARY-3'!$A$187</f>
        <v>Zasuwa klinowa</v>
      </c>
      <c r="R196" s="732" t="str">
        <f>CONCATENATE('DICTIONARY-3'!$A$2," ",'DICTIONARY-6'!$A$3," ",'DICTIONARY-2'!$A$2,"40"," ",'DICTIONARY-2'!$A$3,"10/16"," ","R14",", ","FESTO")</f>
        <v>EKOplus Zasuwa DN40 PN10/16 R14, FESTO</v>
      </c>
      <c r="S196" s="733" t="str">
        <f>'DICTIONARY-4'!$A$5</f>
        <v>NP</v>
      </c>
      <c r="T196" s="732" t="str">
        <f>'DICTIONARY-4'!$A$21</f>
        <v>Napęd pneumatyczny</v>
      </c>
      <c r="U196" s="734" t="s">
        <v>5758</v>
      </c>
      <c r="V196" s="735">
        <v>16</v>
      </c>
      <c r="W196" s="736"/>
      <c r="X196" s="737"/>
      <c r="Y196" s="738"/>
      <c r="Z196" s="739"/>
      <c r="AA196" s="739"/>
      <c r="AB196" s="740">
        <v>10</v>
      </c>
      <c r="AC196" s="741" t="str">
        <f>'DICTIONARY-5'!$A$11&amp;" 14"</f>
        <v>EN 558 szereg 14</v>
      </c>
      <c r="AD196" s="741" t="str">
        <f>'DICTIONARY-5'!$A$13</f>
        <v>woda pitna</v>
      </c>
      <c r="AE196" s="742">
        <v>50</v>
      </c>
      <c r="AF196" s="743">
        <v>15</v>
      </c>
      <c r="AG196" s="741" t="str">
        <f>'DICTIONARY-5'!$A$23</f>
        <v>powłoka epoksydowa</v>
      </c>
    </row>
    <row r="197" spans="1:33" x14ac:dyDescent="0.25">
      <c r="A197" s="837" t="s">
        <v>4998</v>
      </c>
      <c r="B197" s="837" t="s">
        <v>5018</v>
      </c>
      <c r="C197" s="836">
        <v>756</v>
      </c>
      <c r="D197" s="836"/>
      <c r="E197" s="836"/>
      <c r="F197" s="836"/>
      <c r="G197" s="496" t="s">
        <v>7790</v>
      </c>
      <c r="H197" s="797" t="str">
        <f>VLOOKUP(G197,SETTINGS!$B$7:$D$97,2,0)</f>
        <v>EKOplus (with Actuator)</v>
      </c>
      <c r="I197" s="796">
        <f>VLOOKUP(G197,SETTINGS!$B$7:$D$97,3,0)</f>
        <v>0</v>
      </c>
      <c r="J197" s="670" t="str">
        <f>IFERROR(IF(CURRENCY.FORMAT_1=0,CONCATENATE(TEXT(FIXED(ROUND((C197/EXC.RATE_1),CURRENCY.FORMAT_1),CURRENCY.FORMAT_1,1),"# ##0;-# ##0"),",-"),FIXED(ROUND((C197/EXC.RATE_1),CURRENCY.FORMAT_1),CURRENCY.FORMAT_1,0)),'DICTIONARY-5'!$A$2)</f>
        <v>756,-</v>
      </c>
      <c r="K197" s="670" t="str">
        <f>IF(EXC.RATE_2=0,"",IFERROR(IF(CURRENCY.FORMAT_2=0,CONCATENATE(TEXT(FIXED(ROUND(IF(EXC.RATE.SWITCH=1,C197/EXC.RATE_2,C197*EXC.RATE_2),CURRENCY.FORMAT_2),CURRENCY.FORMAT_2,1),"# ##0;-# ##0"),",-"),FIXED(ROUND(IF(EXC.RATE.SWITCH=1,C197/EXC.RATE_2,C197*EXC.RATE_2),CURRENCY.FORMAT_2),CURRENCY.FORMAT_2,0)),'DICTIONARY-5'!$A$2))</f>
        <v/>
      </c>
      <c r="L197" s="670" t="str">
        <f>IFERROR(IF(CURRENCY.FORMAT_1=0,CONCATENATE(TEXT(FIXED(ROUND((C197*(1-I197)*(1-ADD.DISCOUNT)*(1+MAT.SURCHARGE)/EXC.RATE_1),CURRENCY.FORMAT_1),CURRENCY.FORMAT_1,1),"# ##0;-# ##0"),",-"),FIXED(ROUND((C197*(1-I197)*(1-ADD.DISCOUNT)*(1+MAT.SURCHARGE)/EXC.RATE_1),CURRENCY.FORMAT_1),CURRENCY.FORMAT_1,0)),'DICTIONARY-5'!$A$2)</f>
        <v>785,-</v>
      </c>
      <c r="M197" s="670" t="str">
        <f>IF(EXC.RATE_2=0,"",IFERROR(IF(CURRENCY.FORMAT_2=0,CONCATENATE(TEXT(FIXED(ROUND(IF(EXC.RATE.SWITCH=1,C197*(1-I197)*(1-ADD.DISCOUNT)*(1+MAT.SURCHARGE)/EXC.RATE_2,C197*(1-I197)*(1-ADD.DISCOUNT)*(1+MAT.SURCHARGE)*EXC.RATE_2),CURRENCY.FORMAT_2),CURRENCY.FORMAT_2,1),"# ##0;-# ##0"),",-"),FIXED(ROUND(IF(EXC.RATE.SWITCH=1,C197*(1-I197)*(1-ADD.DISCOUNT)*(1+MAT.SURCHARGE)/EXC.RATE_2,C197*(1-I197)*(1-ADD.DISCOUNT)*(1+MAT.SURCHARGE)*EXC.RATE_2),CURRENCY.FORMAT_2),CURRENCY.FORMAT_2,0)),'DICTIONARY-5'!$A$2))</f>
        <v/>
      </c>
      <c r="N197" s="496">
        <v>1</v>
      </c>
      <c r="O197" s="496"/>
      <c r="P197" s="731" t="str">
        <f>'DICTIONARY-3'!$A$2</f>
        <v>EKOplus</v>
      </c>
      <c r="Q197" s="732" t="str">
        <f>'DICTIONARY-3'!$A$187</f>
        <v>Zasuwa klinowa</v>
      </c>
      <c r="R197" s="732" t="str">
        <f>CONCATENATE('DICTIONARY-3'!$A$2," ",'DICTIONARY-6'!$A$3," ",'DICTIONARY-2'!$A$2,"50"," ",'DICTIONARY-2'!$A$3,"10/16"," ","R14",", ","FESTO")</f>
        <v>EKOplus Zasuwa DN50 PN10/16 R14, FESTO</v>
      </c>
      <c r="S197" s="733" t="str">
        <f>'DICTIONARY-4'!$A$5</f>
        <v>NP</v>
      </c>
      <c r="T197" s="732" t="str">
        <f>'DICTIONARY-4'!$A$21</f>
        <v>Napęd pneumatyczny</v>
      </c>
      <c r="U197" s="734" t="s">
        <v>5748</v>
      </c>
      <c r="V197" s="735">
        <v>16</v>
      </c>
      <c r="W197" s="736"/>
      <c r="X197" s="737"/>
      <c r="Y197" s="738"/>
      <c r="Z197" s="739"/>
      <c r="AA197" s="739"/>
      <c r="AB197" s="740">
        <v>10</v>
      </c>
      <c r="AC197" s="741" t="str">
        <f>'DICTIONARY-5'!$A$11&amp;" 14"</f>
        <v>EN 558 szereg 14</v>
      </c>
      <c r="AD197" s="741" t="str">
        <f>'DICTIONARY-5'!$A$13</f>
        <v>woda pitna</v>
      </c>
      <c r="AE197" s="742">
        <v>50</v>
      </c>
      <c r="AF197" s="743">
        <v>15</v>
      </c>
      <c r="AG197" s="741" t="str">
        <f>'DICTIONARY-5'!$A$23</f>
        <v>powłoka epoksydowa</v>
      </c>
    </row>
    <row r="198" spans="1:33" x14ac:dyDescent="0.25">
      <c r="A198" s="837" t="s">
        <v>4999</v>
      </c>
      <c r="B198" s="837" t="s">
        <v>5019</v>
      </c>
      <c r="C198" s="836">
        <v>1079</v>
      </c>
      <c r="D198" s="836"/>
      <c r="E198" s="836"/>
      <c r="F198" s="836"/>
      <c r="G198" s="496" t="s">
        <v>7790</v>
      </c>
      <c r="H198" s="797" t="str">
        <f>VLOOKUP(G198,SETTINGS!$B$7:$D$97,2,0)</f>
        <v>EKOplus (with Actuator)</v>
      </c>
      <c r="I198" s="796">
        <f>VLOOKUP(G198,SETTINGS!$B$7:$D$97,3,0)</f>
        <v>0</v>
      </c>
      <c r="J198" s="670" t="str">
        <f>IFERROR(IF(CURRENCY.FORMAT_1=0,CONCATENATE(TEXT(FIXED(ROUND((C198/EXC.RATE_1),CURRENCY.FORMAT_1),CURRENCY.FORMAT_1,1),"# ##0;-# ##0"),",-"),FIXED(ROUND((C198/EXC.RATE_1),CURRENCY.FORMAT_1),CURRENCY.FORMAT_1,0)),'DICTIONARY-5'!$A$2)</f>
        <v>1 079,-</v>
      </c>
      <c r="K198" s="670" t="str">
        <f>IF(EXC.RATE_2=0,"",IFERROR(IF(CURRENCY.FORMAT_2=0,CONCATENATE(TEXT(FIXED(ROUND(IF(EXC.RATE.SWITCH=1,C198/EXC.RATE_2,C198*EXC.RATE_2),CURRENCY.FORMAT_2),CURRENCY.FORMAT_2,1),"# ##0;-# ##0"),",-"),FIXED(ROUND(IF(EXC.RATE.SWITCH=1,C198/EXC.RATE_2,C198*EXC.RATE_2),CURRENCY.FORMAT_2),CURRENCY.FORMAT_2,0)),'DICTIONARY-5'!$A$2))</f>
        <v/>
      </c>
      <c r="L198" s="670" t="str">
        <f>IFERROR(IF(CURRENCY.FORMAT_1=0,CONCATENATE(TEXT(FIXED(ROUND((C198*(1-I198)*(1-ADD.DISCOUNT)*(1+MAT.SURCHARGE)/EXC.RATE_1),CURRENCY.FORMAT_1),CURRENCY.FORMAT_1,1),"# ##0;-# ##0"),",-"),FIXED(ROUND((C198*(1-I198)*(1-ADD.DISCOUNT)*(1+MAT.SURCHARGE)/EXC.RATE_1),CURRENCY.FORMAT_1),CURRENCY.FORMAT_1,0)),'DICTIONARY-5'!$A$2)</f>
        <v>1 121,-</v>
      </c>
      <c r="M198" s="670" t="str">
        <f>IF(EXC.RATE_2=0,"",IFERROR(IF(CURRENCY.FORMAT_2=0,CONCATENATE(TEXT(FIXED(ROUND(IF(EXC.RATE.SWITCH=1,C198*(1-I198)*(1-ADD.DISCOUNT)*(1+MAT.SURCHARGE)/EXC.RATE_2,C198*(1-I198)*(1-ADD.DISCOUNT)*(1+MAT.SURCHARGE)*EXC.RATE_2),CURRENCY.FORMAT_2),CURRENCY.FORMAT_2,1),"# ##0;-# ##0"),",-"),FIXED(ROUND(IF(EXC.RATE.SWITCH=1,C198*(1-I198)*(1-ADD.DISCOUNT)*(1+MAT.SURCHARGE)/EXC.RATE_2,C198*(1-I198)*(1-ADD.DISCOUNT)*(1+MAT.SURCHARGE)*EXC.RATE_2),CURRENCY.FORMAT_2),CURRENCY.FORMAT_2,0)),'DICTIONARY-5'!$A$2))</f>
        <v/>
      </c>
      <c r="N198" s="496">
        <v>1</v>
      </c>
      <c r="O198" s="496"/>
      <c r="P198" s="731" t="str">
        <f>'DICTIONARY-3'!$A$2</f>
        <v>EKOplus</v>
      </c>
      <c r="Q198" s="732" t="str">
        <f>'DICTIONARY-3'!$A$187</f>
        <v>Zasuwa klinowa</v>
      </c>
      <c r="R198" s="732" t="str">
        <f>CONCATENATE('DICTIONARY-3'!$A$2," ",'DICTIONARY-6'!$A$3," ",'DICTIONARY-2'!$A$2,"65"," ",'DICTIONARY-2'!$A$3,"10/16"," ","R14",", ","FESTO")</f>
        <v>EKOplus Zasuwa DN65 PN10/16 R14, FESTO</v>
      </c>
      <c r="S198" s="733" t="str">
        <f>'DICTIONARY-4'!$A$5</f>
        <v>NP</v>
      </c>
      <c r="T198" s="732" t="str">
        <f>'DICTIONARY-4'!$A$21</f>
        <v>Napęd pneumatyczny</v>
      </c>
      <c r="U198" s="734" t="s">
        <v>5759</v>
      </c>
      <c r="V198" s="735">
        <v>16</v>
      </c>
      <c r="W198" s="736"/>
      <c r="X198" s="737"/>
      <c r="Y198" s="738"/>
      <c r="Z198" s="739"/>
      <c r="AA198" s="739"/>
      <c r="AB198" s="740">
        <v>10</v>
      </c>
      <c r="AC198" s="741" t="str">
        <f>'DICTIONARY-5'!$A$11&amp;" 14"</f>
        <v>EN 558 szereg 14</v>
      </c>
      <c r="AD198" s="741" t="str">
        <f>'DICTIONARY-5'!$A$13</f>
        <v>woda pitna</v>
      </c>
      <c r="AE198" s="742">
        <v>50</v>
      </c>
      <c r="AF198" s="743">
        <v>24.3</v>
      </c>
      <c r="AG198" s="741" t="str">
        <f>'DICTIONARY-5'!$A$23</f>
        <v>powłoka epoksydowa</v>
      </c>
    </row>
    <row r="199" spans="1:33" x14ac:dyDescent="0.25">
      <c r="A199" s="837" t="s">
        <v>5000</v>
      </c>
      <c r="B199" s="837" t="s">
        <v>5020</v>
      </c>
      <c r="C199" s="836">
        <v>1079</v>
      </c>
      <c r="D199" s="836"/>
      <c r="E199" s="836"/>
      <c r="F199" s="836"/>
      <c r="G199" s="496" t="s">
        <v>7790</v>
      </c>
      <c r="H199" s="797" t="str">
        <f>VLOOKUP(G199,SETTINGS!$B$7:$D$97,2,0)</f>
        <v>EKOplus (with Actuator)</v>
      </c>
      <c r="I199" s="796">
        <f>VLOOKUP(G199,SETTINGS!$B$7:$D$97,3,0)</f>
        <v>0</v>
      </c>
      <c r="J199" s="670" t="str">
        <f>IFERROR(IF(CURRENCY.FORMAT_1=0,CONCATENATE(TEXT(FIXED(ROUND((C199/EXC.RATE_1),CURRENCY.FORMAT_1),CURRENCY.FORMAT_1,1),"# ##0;-# ##0"),",-"),FIXED(ROUND((C199/EXC.RATE_1),CURRENCY.FORMAT_1),CURRENCY.FORMAT_1,0)),'DICTIONARY-5'!$A$2)</f>
        <v>1 079,-</v>
      </c>
      <c r="K199" s="670" t="str">
        <f>IF(EXC.RATE_2=0,"",IFERROR(IF(CURRENCY.FORMAT_2=0,CONCATENATE(TEXT(FIXED(ROUND(IF(EXC.RATE.SWITCH=1,C199/EXC.RATE_2,C199*EXC.RATE_2),CURRENCY.FORMAT_2),CURRENCY.FORMAT_2,1),"# ##0;-# ##0"),",-"),FIXED(ROUND(IF(EXC.RATE.SWITCH=1,C199/EXC.RATE_2,C199*EXC.RATE_2),CURRENCY.FORMAT_2),CURRENCY.FORMAT_2,0)),'DICTIONARY-5'!$A$2))</f>
        <v/>
      </c>
      <c r="L199" s="670" t="str">
        <f>IFERROR(IF(CURRENCY.FORMAT_1=0,CONCATENATE(TEXT(FIXED(ROUND((C199*(1-I199)*(1-ADD.DISCOUNT)*(1+MAT.SURCHARGE)/EXC.RATE_1),CURRENCY.FORMAT_1),CURRENCY.FORMAT_1,1),"# ##0;-# ##0"),",-"),FIXED(ROUND((C199*(1-I199)*(1-ADD.DISCOUNT)*(1+MAT.SURCHARGE)/EXC.RATE_1),CURRENCY.FORMAT_1),CURRENCY.FORMAT_1,0)),'DICTIONARY-5'!$A$2)</f>
        <v>1 121,-</v>
      </c>
      <c r="M199" s="670" t="str">
        <f>IF(EXC.RATE_2=0,"",IFERROR(IF(CURRENCY.FORMAT_2=0,CONCATENATE(TEXT(FIXED(ROUND(IF(EXC.RATE.SWITCH=1,C199*(1-I199)*(1-ADD.DISCOUNT)*(1+MAT.SURCHARGE)/EXC.RATE_2,C199*(1-I199)*(1-ADD.DISCOUNT)*(1+MAT.SURCHARGE)*EXC.RATE_2),CURRENCY.FORMAT_2),CURRENCY.FORMAT_2,1),"# ##0;-# ##0"),",-"),FIXED(ROUND(IF(EXC.RATE.SWITCH=1,C199*(1-I199)*(1-ADD.DISCOUNT)*(1+MAT.SURCHARGE)/EXC.RATE_2,C199*(1-I199)*(1-ADD.DISCOUNT)*(1+MAT.SURCHARGE)*EXC.RATE_2),CURRENCY.FORMAT_2),CURRENCY.FORMAT_2,0)),'DICTIONARY-5'!$A$2))</f>
        <v/>
      </c>
      <c r="N199" s="496">
        <v>1</v>
      </c>
      <c r="O199" s="496"/>
      <c r="P199" s="731" t="str">
        <f>'DICTIONARY-3'!$A$2</f>
        <v>EKOplus</v>
      </c>
      <c r="Q199" s="732" t="str">
        <f>'DICTIONARY-3'!$A$187</f>
        <v>Zasuwa klinowa</v>
      </c>
      <c r="R199" s="732" t="str">
        <f>CONCATENATE('DICTIONARY-3'!$A$2," ",'DICTIONARY-6'!$A$3," ",'DICTIONARY-2'!$A$2,"80"," ",'DICTIONARY-2'!$A$3,"10/16"," ","R14",", ","FESTO")</f>
        <v>EKOplus Zasuwa DN80 PN10/16 R14, FESTO</v>
      </c>
      <c r="S199" s="733" t="str">
        <f>'DICTIONARY-4'!$A$5</f>
        <v>NP</v>
      </c>
      <c r="T199" s="732" t="str">
        <f>'DICTIONARY-4'!$A$21</f>
        <v>Napęd pneumatyczny</v>
      </c>
      <c r="U199" s="734" t="s">
        <v>5760</v>
      </c>
      <c r="V199" s="735">
        <v>16</v>
      </c>
      <c r="W199" s="736"/>
      <c r="X199" s="737"/>
      <c r="Y199" s="738"/>
      <c r="Z199" s="739"/>
      <c r="AA199" s="739"/>
      <c r="AB199" s="740">
        <v>10</v>
      </c>
      <c r="AC199" s="741" t="str">
        <f>'DICTIONARY-5'!$A$11&amp;" 14"</f>
        <v>EN 558 szereg 14</v>
      </c>
      <c r="AD199" s="741" t="str">
        <f>'DICTIONARY-5'!$A$13</f>
        <v>woda pitna</v>
      </c>
      <c r="AE199" s="742">
        <v>50</v>
      </c>
      <c r="AF199" s="743">
        <v>25</v>
      </c>
      <c r="AG199" s="741" t="str">
        <f>'DICTIONARY-5'!$A$23</f>
        <v>powłoka epoksydowa</v>
      </c>
    </row>
    <row r="200" spans="1:33" x14ac:dyDescent="0.25">
      <c r="A200" s="837" t="s">
        <v>5001</v>
      </c>
      <c r="B200" s="837" t="s">
        <v>5021</v>
      </c>
      <c r="C200" s="836">
        <v>1092</v>
      </c>
      <c r="D200" s="836"/>
      <c r="E200" s="836"/>
      <c r="F200" s="836"/>
      <c r="G200" s="496" t="s">
        <v>7790</v>
      </c>
      <c r="H200" s="797" t="str">
        <f>VLOOKUP(G200,SETTINGS!$B$7:$D$97,2,0)</f>
        <v>EKOplus (with Actuator)</v>
      </c>
      <c r="I200" s="796">
        <f>VLOOKUP(G200,SETTINGS!$B$7:$D$97,3,0)</f>
        <v>0</v>
      </c>
      <c r="J200" s="670" t="str">
        <f>IFERROR(IF(CURRENCY.FORMAT_1=0,CONCATENATE(TEXT(FIXED(ROUND((C200/EXC.RATE_1),CURRENCY.FORMAT_1),CURRENCY.FORMAT_1,1),"# ##0;-# ##0"),",-"),FIXED(ROUND((C200/EXC.RATE_1),CURRENCY.FORMAT_1),CURRENCY.FORMAT_1,0)),'DICTIONARY-5'!$A$2)</f>
        <v>1 092,-</v>
      </c>
      <c r="K200" s="670" t="str">
        <f>IF(EXC.RATE_2=0,"",IFERROR(IF(CURRENCY.FORMAT_2=0,CONCATENATE(TEXT(FIXED(ROUND(IF(EXC.RATE.SWITCH=1,C200/EXC.RATE_2,C200*EXC.RATE_2),CURRENCY.FORMAT_2),CURRENCY.FORMAT_2,1),"# ##0;-# ##0"),",-"),FIXED(ROUND(IF(EXC.RATE.SWITCH=1,C200/EXC.RATE_2,C200*EXC.RATE_2),CURRENCY.FORMAT_2),CURRENCY.FORMAT_2,0)),'DICTIONARY-5'!$A$2))</f>
        <v/>
      </c>
      <c r="L200" s="670" t="str">
        <f>IFERROR(IF(CURRENCY.FORMAT_1=0,CONCATENATE(TEXT(FIXED(ROUND((C200*(1-I200)*(1-ADD.DISCOUNT)*(1+MAT.SURCHARGE)/EXC.RATE_1),CURRENCY.FORMAT_1),CURRENCY.FORMAT_1,1),"# ##0;-# ##0"),",-"),FIXED(ROUND((C200*(1-I200)*(1-ADD.DISCOUNT)*(1+MAT.SURCHARGE)/EXC.RATE_1),CURRENCY.FORMAT_1),CURRENCY.FORMAT_1,0)),'DICTIONARY-5'!$A$2)</f>
        <v>1 135,-</v>
      </c>
      <c r="M200" s="670" t="str">
        <f>IF(EXC.RATE_2=0,"",IFERROR(IF(CURRENCY.FORMAT_2=0,CONCATENATE(TEXT(FIXED(ROUND(IF(EXC.RATE.SWITCH=1,C200*(1-I200)*(1-ADD.DISCOUNT)*(1+MAT.SURCHARGE)/EXC.RATE_2,C200*(1-I200)*(1-ADD.DISCOUNT)*(1+MAT.SURCHARGE)*EXC.RATE_2),CURRENCY.FORMAT_2),CURRENCY.FORMAT_2,1),"# ##0;-# ##0"),",-"),FIXED(ROUND(IF(EXC.RATE.SWITCH=1,C200*(1-I200)*(1-ADD.DISCOUNT)*(1+MAT.SURCHARGE)/EXC.RATE_2,C200*(1-I200)*(1-ADD.DISCOUNT)*(1+MAT.SURCHARGE)*EXC.RATE_2),CURRENCY.FORMAT_2),CURRENCY.FORMAT_2,0)),'DICTIONARY-5'!$A$2))</f>
        <v/>
      </c>
      <c r="N200" s="496">
        <v>1</v>
      </c>
      <c r="O200" s="496"/>
      <c r="P200" s="731" t="str">
        <f>'DICTIONARY-3'!$A$2</f>
        <v>EKOplus</v>
      </c>
      <c r="Q200" s="732" t="str">
        <f>'DICTIONARY-3'!$A$187</f>
        <v>Zasuwa klinowa</v>
      </c>
      <c r="R200" s="732" t="str">
        <f>CONCATENATE('DICTIONARY-3'!$A$2," ",'DICTIONARY-6'!$A$3," ",'DICTIONARY-2'!$A$2,"100"," ",'DICTIONARY-2'!$A$3,"10/16"," ","R14",", ","FESTO")</f>
        <v>EKOplus Zasuwa DN100 PN10/16 R14, FESTO</v>
      </c>
      <c r="S200" s="733" t="str">
        <f>'DICTIONARY-4'!$A$5</f>
        <v>NP</v>
      </c>
      <c r="T200" s="732" t="str">
        <f>'DICTIONARY-4'!$A$21</f>
        <v>Napęd pneumatyczny</v>
      </c>
      <c r="U200" s="734" t="s">
        <v>5749</v>
      </c>
      <c r="V200" s="735">
        <v>16</v>
      </c>
      <c r="W200" s="736"/>
      <c r="X200" s="737"/>
      <c r="Y200" s="738"/>
      <c r="Z200" s="739"/>
      <c r="AA200" s="739"/>
      <c r="AB200" s="740">
        <v>10</v>
      </c>
      <c r="AC200" s="741" t="str">
        <f>'DICTIONARY-5'!$A$11&amp;" 14"</f>
        <v>EN 558 szereg 14</v>
      </c>
      <c r="AD200" s="741" t="str">
        <f>'DICTIONARY-5'!$A$13</f>
        <v>woda pitna</v>
      </c>
      <c r="AE200" s="742">
        <v>50</v>
      </c>
      <c r="AF200" s="743">
        <v>29</v>
      </c>
      <c r="AG200" s="741" t="str">
        <f>'DICTIONARY-5'!$A$23</f>
        <v>powłoka epoksydowa</v>
      </c>
    </row>
    <row r="201" spans="1:33" x14ac:dyDescent="0.25">
      <c r="A201" s="837" t="s">
        <v>5002</v>
      </c>
      <c r="B201" s="837" t="s">
        <v>5022</v>
      </c>
      <c r="C201" s="836">
        <v>1272</v>
      </c>
      <c r="D201" s="836"/>
      <c r="E201" s="836"/>
      <c r="F201" s="836"/>
      <c r="G201" s="496" t="s">
        <v>7790</v>
      </c>
      <c r="H201" s="797" t="str">
        <f>VLOOKUP(G201,SETTINGS!$B$7:$D$97,2,0)</f>
        <v>EKOplus (with Actuator)</v>
      </c>
      <c r="I201" s="796">
        <f>VLOOKUP(G201,SETTINGS!$B$7:$D$97,3,0)</f>
        <v>0</v>
      </c>
      <c r="J201" s="670" t="str">
        <f>IFERROR(IF(CURRENCY.FORMAT_1=0,CONCATENATE(TEXT(FIXED(ROUND((C201/EXC.RATE_1),CURRENCY.FORMAT_1),CURRENCY.FORMAT_1,1),"# ##0;-# ##0"),",-"),FIXED(ROUND((C201/EXC.RATE_1),CURRENCY.FORMAT_1),CURRENCY.FORMAT_1,0)),'DICTIONARY-5'!$A$2)</f>
        <v>1 272,-</v>
      </c>
      <c r="K201" s="670" t="str">
        <f>IF(EXC.RATE_2=0,"",IFERROR(IF(CURRENCY.FORMAT_2=0,CONCATENATE(TEXT(FIXED(ROUND(IF(EXC.RATE.SWITCH=1,C201/EXC.RATE_2,C201*EXC.RATE_2),CURRENCY.FORMAT_2),CURRENCY.FORMAT_2,1),"# ##0;-# ##0"),",-"),FIXED(ROUND(IF(EXC.RATE.SWITCH=1,C201/EXC.RATE_2,C201*EXC.RATE_2),CURRENCY.FORMAT_2),CURRENCY.FORMAT_2,0)),'DICTIONARY-5'!$A$2))</f>
        <v/>
      </c>
      <c r="L201" s="670" t="str">
        <f>IFERROR(IF(CURRENCY.FORMAT_1=0,CONCATENATE(TEXT(FIXED(ROUND((C201*(1-I201)*(1-ADD.DISCOUNT)*(1+MAT.SURCHARGE)/EXC.RATE_1),CURRENCY.FORMAT_1),CURRENCY.FORMAT_1,1),"# ##0;-# ##0"),",-"),FIXED(ROUND((C201*(1-I201)*(1-ADD.DISCOUNT)*(1+MAT.SURCHARGE)/EXC.RATE_1),CURRENCY.FORMAT_1),CURRENCY.FORMAT_1,0)),'DICTIONARY-5'!$A$2)</f>
        <v>1 322,-</v>
      </c>
      <c r="M201" s="670" t="str">
        <f>IF(EXC.RATE_2=0,"",IFERROR(IF(CURRENCY.FORMAT_2=0,CONCATENATE(TEXT(FIXED(ROUND(IF(EXC.RATE.SWITCH=1,C201*(1-I201)*(1-ADD.DISCOUNT)*(1+MAT.SURCHARGE)/EXC.RATE_2,C201*(1-I201)*(1-ADD.DISCOUNT)*(1+MAT.SURCHARGE)*EXC.RATE_2),CURRENCY.FORMAT_2),CURRENCY.FORMAT_2,1),"# ##0;-# ##0"),",-"),FIXED(ROUND(IF(EXC.RATE.SWITCH=1,C201*(1-I201)*(1-ADD.DISCOUNT)*(1+MAT.SURCHARGE)/EXC.RATE_2,C201*(1-I201)*(1-ADD.DISCOUNT)*(1+MAT.SURCHARGE)*EXC.RATE_2),CURRENCY.FORMAT_2),CURRENCY.FORMAT_2,0)),'DICTIONARY-5'!$A$2))</f>
        <v/>
      </c>
      <c r="N201" s="496">
        <v>1</v>
      </c>
      <c r="O201" s="496"/>
      <c r="P201" s="731" t="str">
        <f>'DICTIONARY-3'!$A$2</f>
        <v>EKOplus</v>
      </c>
      <c r="Q201" s="732" t="str">
        <f>'DICTIONARY-3'!$A$187</f>
        <v>Zasuwa klinowa</v>
      </c>
      <c r="R201" s="732" t="str">
        <f>CONCATENATE('DICTIONARY-3'!$A$2," ",'DICTIONARY-6'!$A$3," ",'DICTIONARY-2'!$A$2,"125"," ",'DICTIONARY-2'!$A$3,"10/16"," ","R14",", ","FESTO")</f>
        <v>EKOplus Zasuwa DN125 PN10/16 R14, FESTO</v>
      </c>
      <c r="S201" s="733" t="str">
        <f>'DICTIONARY-4'!$A$5</f>
        <v>NP</v>
      </c>
      <c r="T201" s="732" t="str">
        <f>'DICTIONARY-4'!$A$21</f>
        <v>Napęd pneumatyczny</v>
      </c>
      <c r="U201" s="734" t="s">
        <v>5761</v>
      </c>
      <c r="V201" s="735">
        <v>16</v>
      </c>
      <c r="W201" s="736"/>
      <c r="X201" s="737"/>
      <c r="Y201" s="738"/>
      <c r="Z201" s="739"/>
      <c r="AA201" s="739"/>
      <c r="AB201" s="740">
        <v>10</v>
      </c>
      <c r="AC201" s="741" t="str">
        <f>'DICTIONARY-5'!$A$11&amp;" 14"</f>
        <v>EN 558 szereg 14</v>
      </c>
      <c r="AD201" s="741" t="str">
        <f>'DICTIONARY-5'!$A$13</f>
        <v>woda pitna</v>
      </c>
      <c r="AE201" s="742">
        <v>50</v>
      </c>
      <c r="AF201" s="743">
        <v>38.6</v>
      </c>
      <c r="AG201" s="741" t="str">
        <f>'DICTIONARY-5'!$A$23</f>
        <v>powłoka epoksydowa</v>
      </c>
    </row>
    <row r="202" spans="1:33" x14ac:dyDescent="0.25">
      <c r="A202" s="837" t="s">
        <v>5003</v>
      </c>
      <c r="B202" s="837" t="s">
        <v>5023</v>
      </c>
      <c r="C202" s="836">
        <v>1377</v>
      </c>
      <c r="D202" s="836"/>
      <c r="E202" s="836"/>
      <c r="F202" s="836"/>
      <c r="G202" s="496" t="s">
        <v>7790</v>
      </c>
      <c r="H202" s="797" t="str">
        <f>VLOOKUP(G202,SETTINGS!$B$7:$D$97,2,0)</f>
        <v>EKOplus (with Actuator)</v>
      </c>
      <c r="I202" s="796">
        <f>VLOOKUP(G202,SETTINGS!$B$7:$D$97,3,0)</f>
        <v>0</v>
      </c>
      <c r="J202" s="670" t="str">
        <f>IFERROR(IF(CURRENCY.FORMAT_1=0,CONCATENATE(TEXT(FIXED(ROUND((C202/EXC.RATE_1),CURRENCY.FORMAT_1),CURRENCY.FORMAT_1,1),"# ##0;-# ##0"),",-"),FIXED(ROUND((C202/EXC.RATE_1),CURRENCY.FORMAT_1),CURRENCY.FORMAT_1,0)),'DICTIONARY-5'!$A$2)</f>
        <v>1 377,-</v>
      </c>
      <c r="K202" s="670" t="str">
        <f>IF(EXC.RATE_2=0,"",IFERROR(IF(CURRENCY.FORMAT_2=0,CONCATENATE(TEXT(FIXED(ROUND(IF(EXC.RATE.SWITCH=1,C202/EXC.RATE_2,C202*EXC.RATE_2),CURRENCY.FORMAT_2),CURRENCY.FORMAT_2,1),"# ##0;-# ##0"),",-"),FIXED(ROUND(IF(EXC.RATE.SWITCH=1,C202/EXC.RATE_2,C202*EXC.RATE_2),CURRENCY.FORMAT_2),CURRENCY.FORMAT_2,0)),'DICTIONARY-5'!$A$2))</f>
        <v/>
      </c>
      <c r="L202" s="670" t="str">
        <f>IFERROR(IF(CURRENCY.FORMAT_1=0,CONCATENATE(TEXT(FIXED(ROUND((C202*(1-I202)*(1-ADD.DISCOUNT)*(1+MAT.SURCHARGE)/EXC.RATE_1),CURRENCY.FORMAT_1),CURRENCY.FORMAT_1,1),"# ##0;-# ##0"),",-"),FIXED(ROUND((C202*(1-I202)*(1-ADD.DISCOUNT)*(1+MAT.SURCHARGE)/EXC.RATE_1),CURRENCY.FORMAT_1),CURRENCY.FORMAT_1,0)),'DICTIONARY-5'!$A$2)</f>
        <v>1 431,-</v>
      </c>
      <c r="M202" s="670" t="str">
        <f>IF(EXC.RATE_2=0,"",IFERROR(IF(CURRENCY.FORMAT_2=0,CONCATENATE(TEXT(FIXED(ROUND(IF(EXC.RATE.SWITCH=1,C202*(1-I202)*(1-ADD.DISCOUNT)*(1+MAT.SURCHARGE)/EXC.RATE_2,C202*(1-I202)*(1-ADD.DISCOUNT)*(1+MAT.SURCHARGE)*EXC.RATE_2),CURRENCY.FORMAT_2),CURRENCY.FORMAT_2,1),"# ##0;-# ##0"),",-"),FIXED(ROUND(IF(EXC.RATE.SWITCH=1,C202*(1-I202)*(1-ADD.DISCOUNT)*(1+MAT.SURCHARGE)/EXC.RATE_2,C202*(1-I202)*(1-ADD.DISCOUNT)*(1+MAT.SURCHARGE)*EXC.RATE_2),CURRENCY.FORMAT_2),CURRENCY.FORMAT_2,0)),'DICTIONARY-5'!$A$2))</f>
        <v/>
      </c>
      <c r="N202" s="496">
        <v>1</v>
      </c>
      <c r="O202" s="496"/>
      <c r="P202" s="731" t="str">
        <f>'DICTIONARY-3'!$A$2</f>
        <v>EKOplus</v>
      </c>
      <c r="Q202" s="732" t="str">
        <f>'DICTIONARY-3'!$A$187</f>
        <v>Zasuwa klinowa</v>
      </c>
      <c r="R202" s="732" t="str">
        <f>CONCATENATE('DICTIONARY-3'!$A$2," ",'DICTIONARY-6'!$A$3," ",'DICTIONARY-2'!$A$2,"150"," ",'DICTIONARY-2'!$A$3,"10/16"," ","R14",", ","FESTO")</f>
        <v>EKOplus Zasuwa DN150 PN10/16 R14, FESTO</v>
      </c>
      <c r="S202" s="733" t="str">
        <f>'DICTIONARY-4'!$A$5</f>
        <v>NP</v>
      </c>
      <c r="T202" s="732" t="str">
        <f>'DICTIONARY-4'!$A$21</f>
        <v>Napęd pneumatyczny</v>
      </c>
      <c r="U202" s="734" t="s">
        <v>5572</v>
      </c>
      <c r="V202" s="735">
        <v>16</v>
      </c>
      <c r="W202" s="736"/>
      <c r="X202" s="737"/>
      <c r="Y202" s="738"/>
      <c r="Z202" s="739"/>
      <c r="AA202" s="739"/>
      <c r="AB202" s="740">
        <v>10</v>
      </c>
      <c r="AC202" s="741" t="str">
        <f>'DICTIONARY-5'!$A$11&amp;" 14"</f>
        <v>EN 558 szereg 14</v>
      </c>
      <c r="AD202" s="741" t="str">
        <f>'DICTIONARY-5'!$A$13</f>
        <v>woda pitna</v>
      </c>
      <c r="AE202" s="742">
        <v>50</v>
      </c>
      <c r="AF202" s="743">
        <v>43</v>
      </c>
      <c r="AG202" s="741" t="str">
        <f>'DICTIONARY-5'!$A$23</f>
        <v>powłoka epoksydowa</v>
      </c>
    </row>
    <row r="203" spans="1:33" x14ac:dyDescent="0.25">
      <c r="A203" s="837" t="s">
        <v>5004</v>
      </c>
      <c r="B203" s="837" t="s">
        <v>5024</v>
      </c>
      <c r="C203" s="836">
        <v>2388</v>
      </c>
      <c r="D203" s="836"/>
      <c r="E203" s="836"/>
      <c r="F203" s="836"/>
      <c r="G203" s="496" t="s">
        <v>7790</v>
      </c>
      <c r="H203" s="797" t="str">
        <f>VLOOKUP(G203,SETTINGS!$B$7:$D$97,2,0)</f>
        <v>EKOplus (with Actuator)</v>
      </c>
      <c r="I203" s="796">
        <f>VLOOKUP(G203,SETTINGS!$B$7:$D$97,3,0)</f>
        <v>0</v>
      </c>
      <c r="J203" s="670" t="str">
        <f>IFERROR(IF(CURRENCY.FORMAT_1=0,CONCATENATE(TEXT(FIXED(ROUND((C203/EXC.RATE_1),CURRENCY.FORMAT_1),CURRENCY.FORMAT_1,1),"# ##0;-# ##0"),",-"),FIXED(ROUND((C203/EXC.RATE_1),CURRENCY.FORMAT_1),CURRENCY.FORMAT_1,0)),'DICTIONARY-5'!$A$2)</f>
        <v>2 388,-</v>
      </c>
      <c r="K203" s="670" t="str">
        <f>IF(EXC.RATE_2=0,"",IFERROR(IF(CURRENCY.FORMAT_2=0,CONCATENATE(TEXT(FIXED(ROUND(IF(EXC.RATE.SWITCH=1,C203/EXC.RATE_2,C203*EXC.RATE_2),CURRENCY.FORMAT_2),CURRENCY.FORMAT_2,1),"# ##0;-# ##0"),",-"),FIXED(ROUND(IF(EXC.RATE.SWITCH=1,C203/EXC.RATE_2,C203*EXC.RATE_2),CURRENCY.FORMAT_2),CURRENCY.FORMAT_2,0)),'DICTIONARY-5'!$A$2))</f>
        <v/>
      </c>
      <c r="L203" s="670" t="str">
        <f>IFERROR(IF(CURRENCY.FORMAT_1=0,CONCATENATE(TEXT(FIXED(ROUND((C203*(1-I203)*(1-ADD.DISCOUNT)*(1+MAT.SURCHARGE)/EXC.RATE_1),CURRENCY.FORMAT_1),CURRENCY.FORMAT_1,1),"# ##0;-# ##0"),",-"),FIXED(ROUND((C203*(1-I203)*(1-ADD.DISCOUNT)*(1+MAT.SURCHARGE)/EXC.RATE_1),CURRENCY.FORMAT_1),CURRENCY.FORMAT_1,0)),'DICTIONARY-5'!$A$2)</f>
        <v>2 481,-</v>
      </c>
      <c r="M203" s="670" t="str">
        <f>IF(EXC.RATE_2=0,"",IFERROR(IF(CURRENCY.FORMAT_2=0,CONCATENATE(TEXT(FIXED(ROUND(IF(EXC.RATE.SWITCH=1,C203*(1-I203)*(1-ADD.DISCOUNT)*(1+MAT.SURCHARGE)/EXC.RATE_2,C203*(1-I203)*(1-ADD.DISCOUNT)*(1+MAT.SURCHARGE)*EXC.RATE_2),CURRENCY.FORMAT_2),CURRENCY.FORMAT_2,1),"# ##0;-# ##0"),",-"),FIXED(ROUND(IF(EXC.RATE.SWITCH=1,C203*(1-I203)*(1-ADD.DISCOUNT)*(1+MAT.SURCHARGE)/EXC.RATE_2,C203*(1-I203)*(1-ADD.DISCOUNT)*(1+MAT.SURCHARGE)*EXC.RATE_2),CURRENCY.FORMAT_2),CURRENCY.FORMAT_2,0)),'DICTIONARY-5'!$A$2))</f>
        <v/>
      </c>
      <c r="N203" s="496">
        <v>1</v>
      </c>
      <c r="O203" s="496"/>
      <c r="P203" s="731" t="str">
        <f>'DICTIONARY-3'!$A$2</f>
        <v>EKOplus</v>
      </c>
      <c r="Q203" s="732" t="str">
        <f>'DICTIONARY-3'!$A$187</f>
        <v>Zasuwa klinowa</v>
      </c>
      <c r="R203" s="732" t="str">
        <f>CONCATENATE('DICTIONARY-3'!$A$2," ",'DICTIONARY-6'!$A$3," ",'DICTIONARY-2'!$A$2,"200"," ",'DICTIONARY-2'!$A$3,"10"," ","R14",", ","FESTO")</f>
        <v>EKOplus Zasuwa DN200 PN10 R14, FESTO</v>
      </c>
      <c r="S203" s="733" t="str">
        <f>'DICTIONARY-4'!$A$5</f>
        <v>NP</v>
      </c>
      <c r="T203" s="732" t="str">
        <f>'DICTIONARY-4'!$A$21</f>
        <v>Napęd pneumatyczny</v>
      </c>
      <c r="U203" s="734" t="s">
        <v>5750</v>
      </c>
      <c r="V203" s="735">
        <v>10</v>
      </c>
      <c r="W203" s="736"/>
      <c r="X203" s="737"/>
      <c r="Y203" s="738"/>
      <c r="Z203" s="739"/>
      <c r="AA203" s="739"/>
      <c r="AB203" s="740">
        <v>10</v>
      </c>
      <c r="AC203" s="741" t="str">
        <f>'DICTIONARY-5'!$A$11&amp;" 14"</f>
        <v>EN 558 szereg 14</v>
      </c>
      <c r="AD203" s="741" t="str">
        <f>'DICTIONARY-5'!$A$13</f>
        <v>woda pitna</v>
      </c>
      <c r="AE203" s="742">
        <v>50</v>
      </c>
      <c r="AF203" s="743">
        <v>78.2</v>
      </c>
      <c r="AG203" s="741" t="str">
        <f>'DICTIONARY-5'!$A$23</f>
        <v>powłoka epoksydowa</v>
      </c>
    </row>
    <row r="204" spans="1:33" x14ac:dyDescent="0.25">
      <c r="A204" s="837" t="s">
        <v>5005</v>
      </c>
      <c r="B204" s="837" t="s">
        <v>5025</v>
      </c>
      <c r="C204" s="836">
        <v>2687</v>
      </c>
      <c r="D204" s="836"/>
      <c r="E204" s="836"/>
      <c r="F204" s="836"/>
      <c r="G204" s="496" t="s">
        <v>7790</v>
      </c>
      <c r="H204" s="797" t="str">
        <f>VLOOKUP(G204,SETTINGS!$B$7:$D$97,2,0)</f>
        <v>EKOplus (with Actuator)</v>
      </c>
      <c r="I204" s="796">
        <f>VLOOKUP(G204,SETTINGS!$B$7:$D$97,3,0)</f>
        <v>0</v>
      </c>
      <c r="J204" s="670" t="str">
        <f>IFERROR(IF(CURRENCY.FORMAT_1=0,CONCATENATE(TEXT(FIXED(ROUND((C204/EXC.RATE_1),CURRENCY.FORMAT_1),CURRENCY.FORMAT_1,1),"# ##0;-# ##0"),",-"),FIXED(ROUND((C204/EXC.RATE_1),CURRENCY.FORMAT_1),CURRENCY.FORMAT_1,0)),'DICTIONARY-5'!$A$2)</f>
        <v>2 687,-</v>
      </c>
      <c r="K204" s="670" t="str">
        <f>IF(EXC.RATE_2=0,"",IFERROR(IF(CURRENCY.FORMAT_2=0,CONCATENATE(TEXT(FIXED(ROUND(IF(EXC.RATE.SWITCH=1,C204/EXC.RATE_2,C204*EXC.RATE_2),CURRENCY.FORMAT_2),CURRENCY.FORMAT_2,1),"# ##0;-# ##0"),",-"),FIXED(ROUND(IF(EXC.RATE.SWITCH=1,C204/EXC.RATE_2,C204*EXC.RATE_2),CURRENCY.FORMAT_2),CURRENCY.FORMAT_2,0)),'DICTIONARY-5'!$A$2))</f>
        <v/>
      </c>
      <c r="L204" s="670" t="str">
        <f>IFERROR(IF(CURRENCY.FORMAT_1=0,CONCATENATE(TEXT(FIXED(ROUND((C204*(1-I204)*(1-ADD.DISCOUNT)*(1+MAT.SURCHARGE)/EXC.RATE_1),CURRENCY.FORMAT_1),CURRENCY.FORMAT_1,1),"# ##0;-# ##0"),",-"),FIXED(ROUND((C204*(1-I204)*(1-ADD.DISCOUNT)*(1+MAT.SURCHARGE)/EXC.RATE_1),CURRENCY.FORMAT_1),CURRENCY.FORMAT_1,0)),'DICTIONARY-5'!$A$2)</f>
        <v>2 792,-</v>
      </c>
      <c r="M204" s="670" t="str">
        <f>IF(EXC.RATE_2=0,"",IFERROR(IF(CURRENCY.FORMAT_2=0,CONCATENATE(TEXT(FIXED(ROUND(IF(EXC.RATE.SWITCH=1,C204*(1-I204)*(1-ADD.DISCOUNT)*(1+MAT.SURCHARGE)/EXC.RATE_2,C204*(1-I204)*(1-ADD.DISCOUNT)*(1+MAT.SURCHARGE)*EXC.RATE_2),CURRENCY.FORMAT_2),CURRENCY.FORMAT_2,1),"# ##0;-# ##0"),",-"),FIXED(ROUND(IF(EXC.RATE.SWITCH=1,C204*(1-I204)*(1-ADD.DISCOUNT)*(1+MAT.SURCHARGE)/EXC.RATE_2,C204*(1-I204)*(1-ADD.DISCOUNT)*(1+MAT.SURCHARGE)*EXC.RATE_2),CURRENCY.FORMAT_2),CURRENCY.FORMAT_2,0)),'DICTIONARY-5'!$A$2))</f>
        <v/>
      </c>
      <c r="N204" s="496">
        <v>1</v>
      </c>
      <c r="O204" s="496"/>
      <c r="P204" s="731" t="str">
        <f>'DICTIONARY-3'!$A$2</f>
        <v>EKOplus</v>
      </c>
      <c r="Q204" s="732" t="str">
        <f>'DICTIONARY-3'!$A$187</f>
        <v>Zasuwa klinowa</v>
      </c>
      <c r="R204" s="732" t="str">
        <f>CONCATENATE('DICTIONARY-3'!$A$2," ",'DICTIONARY-6'!$A$3," ",'DICTIONARY-2'!$A$2,"250"," ",'DICTIONARY-2'!$A$3,"10"," ","R14",", ","FESTO")</f>
        <v>EKOplus Zasuwa DN250 PN10 R14, FESTO</v>
      </c>
      <c r="S204" s="733" t="str">
        <f>'DICTIONARY-4'!$A$5</f>
        <v>NP</v>
      </c>
      <c r="T204" s="732" t="str">
        <f>'DICTIONARY-4'!$A$21</f>
        <v>Napęd pneumatyczny</v>
      </c>
      <c r="U204" s="734" t="s">
        <v>5751</v>
      </c>
      <c r="V204" s="735">
        <v>10</v>
      </c>
      <c r="W204" s="736"/>
      <c r="X204" s="737"/>
      <c r="Y204" s="738"/>
      <c r="Z204" s="739"/>
      <c r="AA204" s="739"/>
      <c r="AB204" s="740">
        <v>10</v>
      </c>
      <c r="AC204" s="741" t="str">
        <f>'DICTIONARY-5'!$A$11&amp;" 14"</f>
        <v>EN 558 szereg 14</v>
      </c>
      <c r="AD204" s="741" t="str">
        <f>'DICTIONARY-5'!$A$13</f>
        <v>woda pitna</v>
      </c>
      <c r="AE204" s="742">
        <v>50</v>
      </c>
      <c r="AF204" s="743">
        <v>80</v>
      </c>
      <c r="AG204" s="741" t="str">
        <f>'DICTIONARY-5'!$A$23</f>
        <v>powłoka epoksydowa</v>
      </c>
    </row>
    <row r="205" spans="1:33" x14ac:dyDescent="0.25">
      <c r="A205" s="837" t="s">
        <v>5006</v>
      </c>
      <c r="B205" s="837" t="s">
        <v>5026</v>
      </c>
      <c r="C205" s="836">
        <v>3996</v>
      </c>
      <c r="D205" s="836"/>
      <c r="E205" s="836"/>
      <c r="F205" s="836"/>
      <c r="G205" s="496" t="s">
        <v>7790</v>
      </c>
      <c r="H205" s="797" t="str">
        <f>VLOOKUP(G205,SETTINGS!$B$7:$D$97,2,0)</f>
        <v>EKOplus (with Actuator)</v>
      </c>
      <c r="I205" s="796">
        <f>VLOOKUP(G205,SETTINGS!$B$7:$D$97,3,0)</f>
        <v>0</v>
      </c>
      <c r="J205" s="670" t="str">
        <f>IFERROR(IF(CURRENCY.FORMAT_1=0,CONCATENATE(TEXT(FIXED(ROUND((C205/EXC.RATE_1),CURRENCY.FORMAT_1),CURRENCY.FORMAT_1,1),"# ##0;-# ##0"),",-"),FIXED(ROUND((C205/EXC.RATE_1),CURRENCY.FORMAT_1),CURRENCY.FORMAT_1,0)),'DICTIONARY-5'!$A$2)</f>
        <v>3 996,-</v>
      </c>
      <c r="K205" s="670" t="str">
        <f>IF(EXC.RATE_2=0,"",IFERROR(IF(CURRENCY.FORMAT_2=0,CONCATENATE(TEXT(FIXED(ROUND(IF(EXC.RATE.SWITCH=1,C205/EXC.RATE_2,C205*EXC.RATE_2),CURRENCY.FORMAT_2),CURRENCY.FORMAT_2,1),"# ##0;-# ##0"),",-"),FIXED(ROUND(IF(EXC.RATE.SWITCH=1,C205/EXC.RATE_2,C205*EXC.RATE_2),CURRENCY.FORMAT_2),CURRENCY.FORMAT_2,0)),'DICTIONARY-5'!$A$2))</f>
        <v/>
      </c>
      <c r="L205" s="670" t="str">
        <f>IFERROR(IF(CURRENCY.FORMAT_1=0,CONCATENATE(TEXT(FIXED(ROUND((C205*(1-I205)*(1-ADD.DISCOUNT)*(1+MAT.SURCHARGE)/EXC.RATE_1),CURRENCY.FORMAT_1),CURRENCY.FORMAT_1,1),"# ##0;-# ##0"),",-"),FIXED(ROUND((C205*(1-I205)*(1-ADD.DISCOUNT)*(1+MAT.SURCHARGE)/EXC.RATE_1),CURRENCY.FORMAT_1),CURRENCY.FORMAT_1,0)),'DICTIONARY-5'!$A$2)</f>
        <v>4 152,-</v>
      </c>
      <c r="M205" s="670" t="str">
        <f>IF(EXC.RATE_2=0,"",IFERROR(IF(CURRENCY.FORMAT_2=0,CONCATENATE(TEXT(FIXED(ROUND(IF(EXC.RATE.SWITCH=1,C205*(1-I205)*(1-ADD.DISCOUNT)*(1+MAT.SURCHARGE)/EXC.RATE_2,C205*(1-I205)*(1-ADD.DISCOUNT)*(1+MAT.SURCHARGE)*EXC.RATE_2),CURRENCY.FORMAT_2),CURRENCY.FORMAT_2,1),"# ##0;-# ##0"),",-"),FIXED(ROUND(IF(EXC.RATE.SWITCH=1,C205*(1-I205)*(1-ADD.DISCOUNT)*(1+MAT.SURCHARGE)/EXC.RATE_2,C205*(1-I205)*(1-ADD.DISCOUNT)*(1+MAT.SURCHARGE)*EXC.RATE_2),CURRENCY.FORMAT_2),CURRENCY.FORMAT_2,0)),'DICTIONARY-5'!$A$2))</f>
        <v/>
      </c>
      <c r="N205" s="496">
        <v>1</v>
      </c>
      <c r="O205" s="496"/>
      <c r="P205" s="731" t="str">
        <f>'DICTIONARY-3'!$A$2</f>
        <v>EKOplus</v>
      </c>
      <c r="Q205" s="732" t="str">
        <f>'DICTIONARY-3'!$A$187</f>
        <v>Zasuwa klinowa</v>
      </c>
      <c r="R205" s="732" t="str">
        <f>CONCATENATE('DICTIONARY-3'!$A$2," ",'DICTIONARY-6'!$A$3," ",'DICTIONARY-2'!$A$2,"300"," ",'DICTIONARY-2'!$A$3,"10"," ","R14",", ","FESTO")</f>
        <v>EKOplus Zasuwa DN300 PN10 R14, FESTO</v>
      </c>
      <c r="S205" s="733" t="str">
        <f>'DICTIONARY-4'!$A$5</f>
        <v>NP</v>
      </c>
      <c r="T205" s="732" t="str">
        <f>'DICTIONARY-4'!$A$21</f>
        <v>Napęd pneumatyczny</v>
      </c>
      <c r="U205" s="734" t="s">
        <v>5752</v>
      </c>
      <c r="V205" s="735">
        <v>10</v>
      </c>
      <c r="W205" s="736"/>
      <c r="X205" s="737"/>
      <c r="Y205" s="738"/>
      <c r="Z205" s="739"/>
      <c r="AA205" s="739"/>
      <c r="AB205" s="740">
        <v>10</v>
      </c>
      <c r="AC205" s="741" t="str">
        <f>'DICTIONARY-5'!$A$11&amp;" 14"</f>
        <v>EN 558 szereg 14</v>
      </c>
      <c r="AD205" s="741" t="str">
        <f>'DICTIONARY-5'!$A$13</f>
        <v>woda pitna</v>
      </c>
      <c r="AE205" s="742">
        <v>50</v>
      </c>
      <c r="AF205" s="743">
        <v>155.5</v>
      </c>
      <c r="AG205" s="741" t="str">
        <f>'DICTIONARY-5'!$A$23</f>
        <v>powłoka epoksydowa</v>
      </c>
    </row>
    <row r="206" spans="1:33" x14ac:dyDescent="0.25">
      <c r="A206" s="837" t="s">
        <v>5007</v>
      </c>
      <c r="B206" s="837" t="s">
        <v>5027</v>
      </c>
      <c r="C206" s="836">
        <v>757</v>
      </c>
      <c r="D206" s="836"/>
      <c r="E206" s="836"/>
      <c r="F206" s="836"/>
      <c r="G206" s="496" t="s">
        <v>7790</v>
      </c>
      <c r="H206" s="797" t="str">
        <f>VLOOKUP(G206,SETTINGS!$B$7:$D$97,2,0)</f>
        <v>EKOplus (with Actuator)</v>
      </c>
      <c r="I206" s="796">
        <f>VLOOKUP(G206,SETTINGS!$B$7:$D$97,3,0)</f>
        <v>0</v>
      </c>
      <c r="J206" s="670" t="str">
        <f>IFERROR(IF(CURRENCY.FORMAT_1=0,CONCATENATE(TEXT(FIXED(ROUND((C206/EXC.RATE_1),CURRENCY.FORMAT_1),CURRENCY.FORMAT_1,1),"# ##0;-# ##0"),",-"),FIXED(ROUND((C206/EXC.RATE_1),CURRENCY.FORMAT_1),CURRENCY.FORMAT_1,0)),'DICTIONARY-5'!$A$2)</f>
        <v>757,-</v>
      </c>
      <c r="K206" s="670" t="str">
        <f>IF(EXC.RATE_2=0,"",IFERROR(IF(CURRENCY.FORMAT_2=0,CONCATENATE(TEXT(FIXED(ROUND(IF(EXC.RATE.SWITCH=1,C206/EXC.RATE_2,C206*EXC.RATE_2),CURRENCY.FORMAT_2),CURRENCY.FORMAT_2,1),"# ##0;-# ##0"),",-"),FIXED(ROUND(IF(EXC.RATE.SWITCH=1,C206/EXC.RATE_2,C206*EXC.RATE_2),CURRENCY.FORMAT_2),CURRENCY.FORMAT_2,0)),'DICTIONARY-5'!$A$2))</f>
        <v/>
      </c>
      <c r="L206" s="670" t="str">
        <f>IFERROR(IF(CURRENCY.FORMAT_1=0,CONCATENATE(TEXT(FIXED(ROUND((C206*(1-I206)*(1-ADD.DISCOUNT)*(1+MAT.SURCHARGE)/EXC.RATE_1),CURRENCY.FORMAT_1),CURRENCY.FORMAT_1,1),"# ##0;-# ##0"),",-"),FIXED(ROUND((C206*(1-I206)*(1-ADD.DISCOUNT)*(1+MAT.SURCHARGE)/EXC.RATE_1),CURRENCY.FORMAT_1),CURRENCY.FORMAT_1,0)),'DICTIONARY-5'!$A$2)</f>
        <v>787,-</v>
      </c>
      <c r="M206" s="670" t="str">
        <f>IF(EXC.RATE_2=0,"",IFERROR(IF(CURRENCY.FORMAT_2=0,CONCATENATE(TEXT(FIXED(ROUND(IF(EXC.RATE.SWITCH=1,C206*(1-I206)*(1-ADD.DISCOUNT)*(1+MAT.SURCHARGE)/EXC.RATE_2,C206*(1-I206)*(1-ADD.DISCOUNT)*(1+MAT.SURCHARGE)*EXC.RATE_2),CURRENCY.FORMAT_2),CURRENCY.FORMAT_2,1),"# ##0;-# ##0"),",-"),FIXED(ROUND(IF(EXC.RATE.SWITCH=1,C206*(1-I206)*(1-ADD.DISCOUNT)*(1+MAT.SURCHARGE)/EXC.RATE_2,C206*(1-I206)*(1-ADD.DISCOUNT)*(1+MAT.SURCHARGE)*EXC.RATE_2),CURRENCY.FORMAT_2),CURRENCY.FORMAT_2,0)),'DICTIONARY-5'!$A$2))</f>
        <v/>
      </c>
      <c r="N206" s="496">
        <v>1</v>
      </c>
      <c r="O206" s="496"/>
      <c r="P206" s="731" t="str">
        <f>'DICTIONARY-3'!$A$2</f>
        <v>EKOplus</v>
      </c>
      <c r="Q206" s="732" t="str">
        <f>'DICTIONARY-3'!$A$187</f>
        <v>Zasuwa klinowa</v>
      </c>
      <c r="R206" s="732" t="str">
        <f>CONCATENATE('DICTIONARY-3'!$A$2," ",'DICTIONARY-6'!$A$3," ",'DICTIONARY-2'!$A$2,"40"," ",'DICTIONARY-2'!$A$3,"10/16"," ","R15",", ","FESTO")</f>
        <v>EKOplus Zasuwa DN40 PN10/16 R15, FESTO</v>
      </c>
      <c r="S206" s="733" t="str">
        <f>'DICTIONARY-4'!$A$5</f>
        <v>NP</v>
      </c>
      <c r="T206" s="732" t="str">
        <f>'DICTIONARY-4'!$A$21</f>
        <v>Napęd pneumatyczny</v>
      </c>
      <c r="U206" s="734" t="s">
        <v>5758</v>
      </c>
      <c r="V206" s="735">
        <v>16</v>
      </c>
      <c r="W206" s="736"/>
      <c r="X206" s="737"/>
      <c r="Y206" s="738"/>
      <c r="Z206" s="739"/>
      <c r="AA206" s="739"/>
      <c r="AB206" s="740">
        <v>10</v>
      </c>
      <c r="AC206" s="741" t="str">
        <f>'DICTIONARY-5'!$A$11&amp;" 15"</f>
        <v>EN 558 szereg 15</v>
      </c>
      <c r="AD206" s="741" t="str">
        <f>'DICTIONARY-5'!$A$13</f>
        <v>woda pitna</v>
      </c>
      <c r="AE206" s="742">
        <v>50</v>
      </c>
      <c r="AF206" s="743">
        <v>15.6</v>
      </c>
      <c r="AG206" s="741" t="str">
        <f>'DICTIONARY-5'!$A$23</f>
        <v>powłoka epoksydowa</v>
      </c>
    </row>
    <row r="207" spans="1:33" x14ac:dyDescent="0.25">
      <c r="A207" s="837" t="s">
        <v>5008</v>
      </c>
      <c r="B207" s="837" t="s">
        <v>5028</v>
      </c>
      <c r="C207" s="836">
        <v>777</v>
      </c>
      <c r="D207" s="836"/>
      <c r="E207" s="836"/>
      <c r="F207" s="836"/>
      <c r="G207" s="496" t="s">
        <v>7790</v>
      </c>
      <c r="H207" s="797" t="str">
        <f>VLOOKUP(G207,SETTINGS!$B$7:$D$97,2,0)</f>
        <v>EKOplus (with Actuator)</v>
      </c>
      <c r="I207" s="796">
        <f>VLOOKUP(G207,SETTINGS!$B$7:$D$97,3,0)</f>
        <v>0</v>
      </c>
      <c r="J207" s="670" t="str">
        <f>IFERROR(IF(CURRENCY.FORMAT_1=0,CONCATENATE(TEXT(FIXED(ROUND((C207/EXC.RATE_1),CURRENCY.FORMAT_1),CURRENCY.FORMAT_1,1),"# ##0;-# ##0"),",-"),FIXED(ROUND((C207/EXC.RATE_1),CURRENCY.FORMAT_1),CURRENCY.FORMAT_1,0)),'DICTIONARY-5'!$A$2)</f>
        <v>777,-</v>
      </c>
      <c r="K207" s="670" t="str">
        <f>IF(EXC.RATE_2=0,"",IFERROR(IF(CURRENCY.FORMAT_2=0,CONCATENATE(TEXT(FIXED(ROUND(IF(EXC.RATE.SWITCH=1,C207/EXC.RATE_2,C207*EXC.RATE_2),CURRENCY.FORMAT_2),CURRENCY.FORMAT_2,1),"# ##0;-# ##0"),",-"),FIXED(ROUND(IF(EXC.RATE.SWITCH=1,C207/EXC.RATE_2,C207*EXC.RATE_2),CURRENCY.FORMAT_2),CURRENCY.FORMAT_2,0)),'DICTIONARY-5'!$A$2))</f>
        <v/>
      </c>
      <c r="L207" s="670" t="str">
        <f>IFERROR(IF(CURRENCY.FORMAT_1=0,CONCATENATE(TEXT(FIXED(ROUND((C207*(1-I207)*(1-ADD.DISCOUNT)*(1+MAT.SURCHARGE)/EXC.RATE_1),CURRENCY.FORMAT_1),CURRENCY.FORMAT_1,1),"# ##0;-# ##0"),",-"),FIXED(ROUND((C207*(1-I207)*(1-ADD.DISCOUNT)*(1+MAT.SURCHARGE)/EXC.RATE_1),CURRENCY.FORMAT_1),CURRENCY.FORMAT_1,0)),'DICTIONARY-5'!$A$2)</f>
        <v>807,-</v>
      </c>
      <c r="M207" s="670" t="str">
        <f>IF(EXC.RATE_2=0,"",IFERROR(IF(CURRENCY.FORMAT_2=0,CONCATENATE(TEXT(FIXED(ROUND(IF(EXC.RATE.SWITCH=1,C207*(1-I207)*(1-ADD.DISCOUNT)*(1+MAT.SURCHARGE)/EXC.RATE_2,C207*(1-I207)*(1-ADD.DISCOUNT)*(1+MAT.SURCHARGE)*EXC.RATE_2),CURRENCY.FORMAT_2),CURRENCY.FORMAT_2,1),"# ##0;-# ##0"),",-"),FIXED(ROUND(IF(EXC.RATE.SWITCH=1,C207*(1-I207)*(1-ADD.DISCOUNT)*(1+MAT.SURCHARGE)/EXC.RATE_2,C207*(1-I207)*(1-ADD.DISCOUNT)*(1+MAT.SURCHARGE)*EXC.RATE_2),CURRENCY.FORMAT_2),CURRENCY.FORMAT_2,0)),'DICTIONARY-5'!$A$2))</f>
        <v/>
      </c>
      <c r="N207" s="496">
        <v>1</v>
      </c>
      <c r="O207" s="496"/>
      <c r="P207" s="731" t="str">
        <f>'DICTIONARY-3'!$A$2</f>
        <v>EKOplus</v>
      </c>
      <c r="Q207" s="732" t="str">
        <f>'DICTIONARY-3'!$A$187</f>
        <v>Zasuwa klinowa</v>
      </c>
      <c r="R207" s="732" t="str">
        <f>CONCATENATE('DICTIONARY-3'!$A$2," ",'DICTIONARY-6'!$A$3," ",'DICTIONARY-2'!$A$2,"50"," ",'DICTIONARY-2'!$A$3,"10/16"," ","R15",", ","FESTO")</f>
        <v>EKOplus Zasuwa DN50 PN10/16 R15, FESTO</v>
      </c>
      <c r="S207" s="733" t="str">
        <f>'DICTIONARY-4'!$A$5</f>
        <v>NP</v>
      </c>
      <c r="T207" s="732" t="str">
        <f>'DICTIONARY-4'!$A$21</f>
        <v>Napęd pneumatyczny</v>
      </c>
      <c r="U207" s="734" t="s">
        <v>5748</v>
      </c>
      <c r="V207" s="735">
        <v>16</v>
      </c>
      <c r="W207" s="736"/>
      <c r="X207" s="737"/>
      <c r="Y207" s="738"/>
      <c r="Z207" s="739"/>
      <c r="AA207" s="739"/>
      <c r="AB207" s="740">
        <v>10</v>
      </c>
      <c r="AC207" s="741" t="str">
        <f>'DICTIONARY-5'!$A$11&amp;" 15"</f>
        <v>EN 558 szereg 15</v>
      </c>
      <c r="AD207" s="741" t="str">
        <f>'DICTIONARY-5'!$A$13</f>
        <v>woda pitna</v>
      </c>
      <c r="AE207" s="742">
        <v>50</v>
      </c>
      <c r="AF207" s="743">
        <v>16.36</v>
      </c>
      <c r="AG207" s="741" t="str">
        <f>'DICTIONARY-5'!$A$23</f>
        <v>powłoka epoksydowa</v>
      </c>
    </row>
    <row r="208" spans="1:33" x14ac:dyDescent="0.25">
      <c r="A208" s="837" t="s">
        <v>5009</v>
      </c>
      <c r="B208" s="837" t="s">
        <v>5029</v>
      </c>
      <c r="C208" s="836">
        <v>1088</v>
      </c>
      <c r="D208" s="836"/>
      <c r="E208" s="836"/>
      <c r="F208" s="836"/>
      <c r="G208" s="496" t="s">
        <v>7790</v>
      </c>
      <c r="H208" s="797" t="str">
        <f>VLOOKUP(G208,SETTINGS!$B$7:$D$97,2,0)</f>
        <v>EKOplus (with Actuator)</v>
      </c>
      <c r="I208" s="796">
        <f>VLOOKUP(G208,SETTINGS!$B$7:$D$97,3,0)</f>
        <v>0</v>
      </c>
      <c r="J208" s="670" t="str">
        <f>IFERROR(IF(CURRENCY.FORMAT_1=0,CONCATENATE(TEXT(FIXED(ROUND((C208/EXC.RATE_1),CURRENCY.FORMAT_1),CURRENCY.FORMAT_1,1),"# ##0;-# ##0"),",-"),FIXED(ROUND((C208/EXC.RATE_1),CURRENCY.FORMAT_1),CURRENCY.FORMAT_1,0)),'DICTIONARY-5'!$A$2)</f>
        <v>1 088,-</v>
      </c>
      <c r="K208" s="670" t="str">
        <f>IF(EXC.RATE_2=0,"",IFERROR(IF(CURRENCY.FORMAT_2=0,CONCATENATE(TEXT(FIXED(ROUND(IF(EXC.RATE.SWITCH=1,C208/EXC.RATE_2,C208*EXC.RATE_2),CURRENCY.FORMAT_2),CURRENCY.FORMAT_2,1),"# ##0;-# ##0"),",-"),FIXED(ROUND(IF(EXC.RATE.SWITCH=1,C208/EXC.RATE_2,C208*EXC.RATE_2),CURRENCY.FORMAT_2),CURRENCY.FORMAT_2,0)),'DICTIONARY-5'!$A$2))</f>
        <v/>
      </c>
      <c r="L208" s="670" t="str">
        <f>IFERROR(IF(CURRENCY.FORMAT_1=0,CONCATENATE(TEXT(FIXED(ROUND((C208*(1-I208)*(1-ADD.DISCOUNT)*(1+MAT.SURCHARGE)/EXC.RATE_1),CURRENCY.FORMAT_1),CURRENCY.FORMAT_1,1),"# ##0;-# ##0"),",-"),FIXED(ROUND((C208*(1-I208)*(1-ADD.DISCOUNT)*(1+MAT.SURCHARGE)/EXC.RATE_1),CURRENCY.FORMAT_1),CURRENCY.FORMAT_1,0)),'DICTIONARY-5'!$A$2)</f>
        <v>1 130,-</v>
      </c>
      <c r="M208" s="670" t="str">
        <f>IF(EXC.RATE_2=0,"",IFERROR(IF(CURRENCY.FORMAT_2=0,CONCATENATE(TEXT(FIXED(ROUND(IF(EXC.RATE.SWITCH=1,C208*(1-I208)*(1-ADD.DISCOUNT)*(1+MAT.SURCHARGE)/EXC.RATE_2,C208*(1-I208)*(1-ADD.DISCOUNT)*(1+MAT.SURCHARGE)*EXC.RATE_2),CURRENCY.FORMAT_2),CURRENCY.FORMAT_2,1),"# ##0;-# ##0"),",-"),FIXED(ROUND(IF(EXC.RATE.SWITCH=1,C208*(1-I208)*(1-ADD.DISCOUNT)*(1+MAT.SURCHARGE)/EXC.RATE_2,C208*(1-I208)*(1-ADD.DISCOUNT)*(1+MAT.SURCHARGE)*EXC.RATE_2),CURRENCY.FORMAT_2),CURRENCY.FORMAT_2,0)),'DICTIONARY-5'!$A$2))</f>
        <v/>
      </c>
      <c r="N208" s="496">
        <v>1</v>
      </c>
      <c r="O208" s="496"/>
      <c r="P208" s="731" t="str">
        <f>'DICTIONARY-3'!$A$2</f>
        <v>EKOplus</v>
      </c>
      <c r="Q208" s="732" t="str">
        <f>'DICTIONARY-3'!$A$187</f>
        <v>Zasuwa klinowa</v>
      </c>
      <c r="R208" s="732" t="str">
        <f>CONCATENATE('DICTIONARY-3'!$A$2," ",'DICTIONARY-6'!$A$3," ",'DICTIONARY-2'!$A$2,"65"," ",'DICTIONARY-2'!$A$3,"10/16"," ","R15",", ","FESTO")</f>
        <v>EKOplus Zasuwa DN65 PN10/16 R15, FESTO</v>
      </c>
      <c r="S208" s="733" t="str">
        <f>'DICTIONARY-4'!$A$5</f>
        <v>NP</v>
      </c>
      <c r="T208" s="732" t="str">
        <f>'DICTIONARY-4'!$A$21</f>
        <v>Napęd pneumatyczny</v>
      </c>
      <c r="U208" s="734" t="s">
        <v>5759</v>
      </c>
      <c r="V208" s="735">
        <v>16</v>
      </c>
      <c r="W208" s="736"/>
      <c r="X208" s="737"/>
      <c r="Y208" s="738"/>
      <c r="Z208" s="739"/>
      <c r="AA208" s="739"/>
      <c r="AB208" s="740">
        <v>10</v>
      </c>
      <c r="AC208" s="741" t="str">
        <f>'DICTIONARY-5'!$A$11&amp;" 15"</f>
        <v>EN 558 szereg 15</v>
      </c>
      <c r="AD208" s="741" t="str">
        <f>'DICTIONARY-5'!$A$13</f>
        <v>woda pitna</v>
      </c>
      <c r="AE208" s="742">
        <v>50</v>
      </c>
      <c r="AF208" s="743">
        <v>25.3</v>
      </c>
      <c r="AG208" s="741" t="str">
        <f>'DICTIONARY-5'!$A$23</f>
        <v>powłoka epoksydowa</v>
      </c>
    </row>
    <row r="209" spans="1:33" x14ac:dyDescent="0.25">
      <c r="A209" s="837" t="s">
        <v>5010</v>
      </c>
      <c r="B209" s="837" t="s">
        <v>5030</v>
      </c>
      <c r="C209" s="836">
        <v>1088</v>
      </c>
      <c r="D209" s="836"/>
      <c r="E209" s="836"/>
      <c r="F209" s="836"/>
      <c r="G209" s="496" t="s">
        <v>7790</v>
      </c>
      <c r="H209" s="797" t="str">
        <f>VLOOKUP(G209,SETTINGS!$B$7:$D$97,2,0)</f>
        <v>EKOplus (with Actuator)</v>
      </c>
      <c r="I209" s="796">
        <f>VLOOKUP(G209,SETTINGS!$B$7:$D$97,3,0)</f>
        <v>0</v>
      </c>
      <c r="J209" s="670" t="str">
        <f>IFERROR(IF(CURRENCY.FORMAT_1=0,CONCATENATE(TEXT(FIXED(ROUND((C209/EXC.RATE_1),CURRENCY.FORMAT_1),CURRENCY.FORMAT_1,1),"# ##0;-# ##0"),",-"),FIXED(ROUND((C209/EXC.RATE_1),CURRENCY.FORMAT_1),CURRENCY.FORMAT_1,0)),'DICTIONARY-5'!$A$2)</f>
        <v>1 088,-</v>
      </c>
      <c r="K209" s="670" t="str">
        <f>IF(EXC.RATE_2=0,"",IFERROR(IF(CURRENCY.FORMAT_2=0,CONCATENATE(TEXT(FIXED(ROUND(IF(EXC.RATE.SWITCH=1,C209/EXC.RATE_2,C209*EXC.RATE_2),CURRENCY.FORMAT_2),CURRENCY.FORMAT_2,1),"# ##0;-# ##0"),",-"),FIXED(ROUND(IF(EXC.RATE.SWITCH=1,C209/EXC.RATE_2,C209*EXC.RATE_2),CURRENCY.FORMAT_2),CURRENCY.FORMAT_2,0)),'DICTIONARY-5'!$A$2))</f>
        <v/>
      </c>
      <c r="L209" s="670" t="str">
        <f>IFERROR(IF(CURRENCY.FORMAT_1=0,CONCATENATE(TEXT(FIXED(ROUND((C209*(1-I209)*(1-ADD.DISCOUNT)*(1+MAT.SURCHARGE)/EXC.RATE_1),CURRENCY.FORMAT_1),CURRENCY.FORMAT_1,1),"# ##0;-# ##0"),",-"),FIXED(ROUND((C209*(1-I209)*(1-ADD.DISCOUNT)*(1+MAT.SURCHARGE)/EXC.RATE_1),CURRENCY.FORMAT_1),CURRENCY.FORMAT_1,0)),'DICTIONARY-5'!$A$2)</f>
        <v>1 130,-</v>
      </c>
      <c r="M209" s="670" t="str">
        <f>IF(EXC.RATE_2=0,"",IFERROR(IF(CURRENCY.FORMAT_2=0,CONCATENATE(TEXT(FIXED(ROUND(IF(EXC.RATE.SWITCH=1,C209*(1-I209)*(1-ADD.DISCOUNT)*(1+MAT.SURCHARGE)/EXC.RATE_2,C209*(1-I209)*(1-ADD.DISCOUNT)*(1+MAT.SURCHARGE)*EXC.RATE_2),CURRENCY.FORMAT_2),CURRENCY.FORMAT_2,1),"# ##0;-# ##0"),",-"),FIXED(ROUND(IF(EXC.RATE.SWITCH=1,C209*(1-I209)*(1-ADD.DISCOUNT)*(1+MAT.SURCHARGE)/EXC.RATE_2,C209*(1-I209)*(1-ADD.DISCOUNT)*(1+MAT.SURCHARGE)*EXC.RATE_2),CURRENCY.FORMAT_2),CURRENCY.FORMAT_2,0)),'DICTIONARY-5'!$A$2))</f>
        <v/>
      </c>
      <c r="N209" s="496">
        <v>1</v>
      </c>
      <c r="O209" s="496"/>
      <c r="P209" s="731" t="str">
        <f>'DICTIONARY-3'!$A$2</f>
        <v>EKOplus</v>
      </c>
      <c r="Q209" s="732" t="str">
        <f>'DICTIONARY-3'!$A$187</f>
        <v>Zasuwa klinowa</v>
      </c>
      <c r="R209" s="732" t="str">
        <f>CONCATENATE('DICTIONARY-3'!$A$2," ",'DICTIONARY-6'!$A$3," ",'DICTIONARY-2'!$A$2,"80"," ",'DICTIONARY-2'!$A$3,"10/16"," ","R15",", ","FESTO")</f>
        <v>EKOplus Zasuwa DN80 PN10/16 R15, FESTO</v>
      </c>
      <c r="S209" s="733" t="str">
        <f>'DICTIONARY-4'!$A$5</f>
        <v>NP</v>
      </c>
      <c r="T209" s="732" t="str">
        <f>'DICTIONARY-4'!$A$21</f>
        <v>Napęd pneumatyczny</v>
      </c>
      <c r="U209" s="734" t="s">
        <v>5760</v>
      </c>
      <c r="V209" s="735">
        <v>16</v>
      </c>
      <c r="W209" s="736"/>
      <c r="X209" s="737"/>
      <c r="Y209" s="738"/>
      <c r="Z209" s="739"/>
      <c r="AA209" s="739"/>
      <c r="AB209" s="740">
        <v>10</v>
      </c>
      <c r="AC209" s="741" t="str">
        <f>'DICTIONARY-5'!$A$11&amp;" 15"</f>
        <v>EN 558 szereg 15</v>
      </c>
      <c r="AD209" s="741" t="str">
        <f>'DICTIONARY-5'!$A$13</f>
        <v>woda pitna</v>
      </c>
      <c r="AE209" s="742">
        <v>50</v>
      </c>
      <c r="AF209" s="743">
        <v>26</v>
      </c>
      <c r="AG209" s="741" t="str">
        <f>'DICTIONARY-5'!$A$23</f>
        <v>powłoka epoksydowa</v>
      </c>
    </row>
    <row r="210" spans="1:33" x14ac:dyDescent="0.25">
      <c r="A210" s="837" t="s">
        <v>5011</v>
      </c>
      <c r="B210" s="837" t="s">
        <v>5031</v>
      </c>
      <c r="C210" s="836">
        <v>1108</v>
      </c>
      <c r="D210" s="836"/>
      <c r="E210" s="836"/>
      <c r="F210" s="836"/>
      <c r="G210" s="496" t="s">
        <v>7790</v>
      </c>
      <c r="H210" s="797" t="str">
        <f>VLOOKUP(G210,SETTINGS!$B$7:$D$97,2,0)</f>
        <v>EKOplus (with Actuator)</v>
      </c>
      <c r="I210" s="796">
        <f>VLOOKUP(G210,SETTINGS!$B$7:$D$97,3,0)</f>
        <v>0</v>
      </c>
      <c r="J210" s="670" t="str">
        <f>IFERROR(IF(CURRENCY.FORMAT_1=0,CONCATENATE(TEXT(FIXED(ROUND((C210/EXC.RATE_1),CURRENCY.FORMAT_1),CURRENCY.FORMAT_1,1),"# ##0;-# ##0"),",-"),FIXED(ROUND((C210/EXC.RATE_1),CURRENCY.FORMAT_1),CURRENCY.FORMAT_1,0)),'DICTIONARY-5'!$A$2)</f>
        <v>1 108,-</v>
      </c>
      <c r="K210" s="670" t="str">
        <f>IF(EXC.RATE_2=0,"",IFERROR(IF(CURRENCY.FORMAT_2=0,CONCATENATE(TEXT(FIXED(ROUND(IF(EXC.RATE.SWITCH=1,C210/EXC.RATE_2,C210*EXC.RATE_2),CURRENCY.FORMAT_2),CURRENCY.FORMAT_2,1),"# ##0;-# ##0"),",-"),FIXED(ROUND(IF(EXC.RATE.SWITCH=1,C210/EXC.RATE_2,C210*EXC.RATE_2),CURRENCY.FORMAT_2),CURRENCY.FORMAT_2,0)),'DICTIONARY-5'!$A$2))</f>
        <v/>
      </c>
      <c r="L210" s="670" t="str">
        <f>IFERROR(IF(CURRENCY.FORMAT_1=0,CONCATENATE(TEXT(FIXED(ROUND((C210*(1-I210)*(1-ADD.DISCOUNT)*(1+MAT.SURCHARGE)/EXC.RATE_1),CURRENCY.FORMAT_1),CURRENCY.FORMAT_1,1),"# ##0;-# ##0"),",-"),FIXED(ROUND((C210*(1-I210)*(1-ADD.DISCOUNT)*(1+MAT.SURCHARGE)/EXC.RATE_1),CURRENCY.FORMAT_1),CURRENCY.FORMAT_1,0)),'DICTIONARY-5'!$A$2)</f>
        <v>1 151,-</v>
      </c>
      <c r="M210" s="670" t="str">
        <f>IF(EXC.RATE_2=0,"",IFERROR(IF(CURRENCY.FORMAT_2=0,CONCATENATE(TEXT(FIXED(ROUND(IF(EXC.RATE.SWITCH=1,C210*(1-I210)*(1-ADD.DISCOUNT)*(1+MAT.SURCHARGE)/EXC.RATE_2,C210*(1-I210)*(1-ADD.DISCOUNT)*(1+MAT.SURCHARGE)*EXC.RATE_2),CURRENCY.FORMAT_2),CURRENCY.FORMAT_2,1),"# ##0;-# ##0"),",-"),FIXED(ROUND(IF(EXC.RATE.SWITCH=1,C210*(1-I210)*(1-ADD.DISCOUNT)*(1+MAT.SURCHARGE)/EXC.RATE_2,C210*(1-I210)*(1-ADD.DISCOUNT)*(1+MAT.SURCHARGE)*EXC.RATE_2),CURRENCY.FORMAT_2),CURRENCY.FORMAT_2,0)),'DICTIONARY-5'!$A$2))</f>
        <v/>
      </c>
      <c r="N210" s="496">
        <v>1</v>
      </c>
      <c r="O210" s="496"/>
      <c r="P210" s="731" t="str">
        <f>'DICTIONARY-3'!$A$2</f>
        <v>EKOplus</v>
      </c>
      <c r="Q210" s="732" t="str">
        <f>'DICTIONARY-3'!$A$187</f>
        <v>Zasuwa klinowa</v>
      </c>
      <c r="R210" s="732" t="str">
        <f>CONCATENATE('DICTIONARY-3'!$A$2," ",'DICTIONARY-6'!$A$3," ",'DICTIONARY-2'!$A$2,"100"," ",'DICTIONARY-2'!$A$3,"10/16"," ","R15",", ","FESTO")</f>
        <v>EKOplus Zasuwa DN100 PN10/16 R15, FESTO</v>
      </c>
      <c r="S210" s="733" t="str">
        <f>'DICTIONARY-4'!$A$5</f>
        <v>NP</v>
      </c>
      <c r="T210" s="732" t="str">
        <f>'DICTIONARY-4'!$A$21</f>
        <v>Napęd pneumatyczny</v>
      </c>
      <c r="U210" s="734" t="s">
        <v>5749</v>
      </c>
      <c r="V210" s="735">
        <v>16</v>
      </c>
      <c r="W210" s="736"/>
      <c r="X210" s="737"/>
      <c r="Y210" s="738"/>
      <c r="Z210" s="739"/>
      <c r="AA210" s="739"/>
      <c r="AB210" s="740">
        <v>10</v>
      </c>
      <c r="AC210" s="741" t="str">
        <f>'DICTIONARY-5'!$A$11&amp;" 15"</f>
        <v>EN 558 szereg 15</v>
      </c>
      <c r="AD210" s="741" t="str">
        <f>'DICTIONARY-5'!$A$13</f>
        <v>woda pitna</v>
      </c>
      <c r="AE210" s="742">
        <v>50</v>
      </c>
      <c r="AF210" s="743">
        <v>29</v>
      </c>
      <c r="AG210" s="741" t="str">
        <f>'DICTIONARY-5'!$A$23</f>
        <v>powłoka epoksydowa</v>
      </c>
    </row>
    <row r="211" spans="1:33" x14ac:dyDescent="0.25">
      <c r="A211" s="837" t="s">
        <v>5012</v>
      </c>
      <c r="B211" s="837" t="s">
        <v>5032</v>
      </c>
      <c r="C211" s="836">
        <v>1327</v>
      </c>
      <c r="D211" s="836"/>
      <c r="E211" s="836"/>
      <c r="F211" s="836"/>
      <c r="G211" s="496" t="s">
        <v>7790</v>
      </c>
      <c r="H211" s="797" t="str">
        <f>VLOOKUP(G211,SETTINGS!$B$7:$D$97,2,0)</f>
        <v>EKOplus (with Actuator)</v>
      </c>
      <c r="I211" s="796">
        <f>VLOOKUP(G211,SETTINGS!$B$7:$D$97,3,0)</f>
        <v>0</v>
      </c>
      <c r="J211" s="670" t="str">
        <f>IFERROR(IF(CURRENCY.FORMAT_1=0,CONCATENATE(TEXT(FIXED(ROUND((C211/EXC.RATE_1),CURRENCY.FORMAT_1),CURRENCY.FORMAT_1,1),"# ##0;-# ##0"),",-"),FIXED(ROUND((C211/EXC.RATE_1),CURRENCY.FORMAT_1),CURRENCY.FORMAT_1,0)),'DICTIONARY-5'!$A$2)</f>
        <v>1 327,-</v>
      </c>
      <c r="K211" s="670" t="str">
        <f>IF(EXC.RATE_2=0,"",IFERROR(IF(CURRENCY.FORMAT_2=0,CONCATENATE(TEXT(FIXED(ROUND(IF(EXC.RATE.SWITCH=1,C211/EXC.RATE_2,C211*EXC.RATE_2),CURRENCY.FORMAT_2),CURRENCY.FORMAT_2,1),"# ##0;-# ##0"),",-"),FIXED(ROUND(IF(EXC.RATE.SWITCH=1,C211/EXC.RATE_2,C211*EXC.RATE_2),CURRENCY.FORMAT_2),CURRENCY.FORMAT_2,0)),'DICTIONARY-5'!$A$2))</f>
        <v/>
      </c>
      <c r="L211" s="670" t="str">
        <f>IFERROR(IF(CURRENCY.FORMAT_1=0,CONCATENATE(TEXT(FIXED(ROUND((C211*(1-I211)*(1-ADD.DISCOUNT)*(1+MAT.SURCHARGE)/EXC.RATE_1),CURRENCY.FORMAT_1),CURRENCY.FORMAT_1,1),"# ##0;-# ##0"),",-"),FIXED(ROUND((C211*(1-I211)*(1-ADD.DISCOUNT)*(1+MAT.SURCHARGE)/EXC.RATE_1),CURRENCY.FORMAT_1),CURRENCY.FORMAT_1,0)),'DICTIONARY-5'!$A$2)</f>
        <v>1 379,-</v>
      </c>
      <c r="M211" s="670" t="str">
        <f>IF(EXC.RATE_2=0,"",IFERROR(IF(CURRENCY.FORMAT_2=0,CONCATENATE(TEXT(FIXED(ROUND(IF(EXC.RATE.SWITCH=1,C211*(1-I211)*(1-ADD.DISCOUNT)*(1+MAT.SURCHARGE)/EXC.RATE_2,C211*(1-I211)*(1-ADD.DISCOUNT)*(1+MAT.SURCHARGE)*EXC.RATE_2),CURRENCY.FORMAT_2),CURRENCY.FORMAT_2,1),"# ##0;-# ##0"),",-"),FIXED(ROUND(IF(EXC.RATE.SWITCH=1,C211*(1-I211)*(1-ADD.DISCOUNT)*(1+MAT.SURCHARGE)/EXC.RATE_2,C211*(1-I211)*(1-ADD.DISCOUNT)*(1+MAT.SURCHARGE)*EXC.RATE_2),CURRENCY.FORMAT_2),CURRENCY.FORMAT_2,0)),'DICTIONARY-5'!$A$2))</f>
        <v/>
      </c>
      <c r="N211" s="496">
        <v>1</v>
      </c>
      <c r="O211" s="496"/>
      <c r="P211" s="731" t="str">
        <f>'DICTIONARY-3'!$A$2</f>
        <v>EKOplus</v>
      </c>
      <c r="Q211" s="732" t="str">
        <f>'DICTIONARY-3'!$A$187</f>
        <v>Zasuwa klinowa</v>
      </c>
      <c r="R211" s="732" t="str">
        <f>CONCATENATE('DICTIONARY-3'!$A$2," ",'DICTIONARY-6'!$A$3," ",'DICTIONARY-2'!$A$2,"125"," ",'DICTIONARY-2'!$A$3,"10/16"," ","R15",", ","FESTO")</f>
        <v>EKOplus Zasuwa DN125 PN10/16 R15, FESTO</v>
      </c>
      <c r="S211" s="733" t="str">
        <f>'DICTIONARY-4'!$A$5</f>
        <v>NP</v>
      </c>
      <c r="T211" s="732" t="str">
        <f>'DICTIONARY-4'!$A$21</f>
        <v>Napęd pneumatyczny</v>
      </c>
      <c r="U211" s="734" t="s">
        <v>5761</v>
      </c>
      <c r="V211" s="735">
        <v>16</v>
      </c>
      <c r="W211" s="736"/>
      <c r="X211" s="737"/>
      <c r="Y211" s="738"/>
      <c r="Z211" s="739"/>
      <c r="AA211" s="739"/>
      <c r="AB211" s="740">
        <v>10</v>
      </c>
      <c r="AC211" s="741" t="str">
        <f>'DICTIONARY-5'!$A$11&amp;" 15"</f>
        <v>EN 558 szereg 15</v>
      </c>
      <c r="AD211" s="741" t="str">
        <f>'DICTIONARY-5'!$A$13</f>
        <v>woda pitna</v>
      </c>
      <c r="AE211" s="742">
        <v>50</v>
      </c>
      <c r="AF211" s="743">
        <v>40.6</v>
      </c>
      <c r="AG211" s="741" t="str">
        <f>'DICTIONARY-5'!$A$23</f>
        <v>powłoka epoksydowa</v>
      </c>
    </row>
    <row r="212" spans="1:33" x14ac:dyDescent="0.25">
      <c r="A212" s="837" t="s">
        <v>5013</v>
      </c>
      <c r="B212" s="837" t="s">
        <v>5033</v>
      </c>
      <c r="C212" s="836">
        <v>1433</v>
      </c>
      <c r="D212" s="836"/>
      <c r="E212" s="836"/>
      <c r="F212" s="836"/>
      <c r="G212" s="496" t="s">
        <v>7790</v>
      </c>
      <c r="H212" s="797" t="str">
        <f>VLOOKUP(G212,SETTINGS!$B$7:$D$97,2,0)</f>
        <v>EKOplus (with Actuator)</v>
      </c>
      <c r="I212" s="796">
        <f>VLOOKUP(G212,SETTINGS!$B$7:$D$97,3,0)</f>
        <v>0</v>
      </c>
      <c r="J212" s="670" t="str">
        <f>IFERROR(IF(CURRENCY.FORMAT_1=0,CONCATENATE(TEXT(FIXED(ROUND((C212/EXC.RATE_1),CURRENCY.FORMAT_1),CURRENCY.FORMAT_1,1),"# ##0;-# ##0"),",-"),FIXED(ROUND((C212/EXC.RATE_1),CURRENCY.FORMAT_1),CURRENCY.FORMAT_1,0)),'DICTIONARY-5'!$A$2)</f>
        <v>1 433,-</v>
      </c>
      <c r="K212" s="670" t="str">
        <f>IF(EXC.RATE_2=0,"",IFERROR(IF(CURRENCY.FORMAT_2=0,CONCATENATE(TEXT(FIXED(ROUND(IF(EXC.RATE.SWITCH=1,C212/EXC.RATE_2,C212*EXC.RATE_2),CURRENCY.FORMAT_2),CURRENCY.FORMAT_2,1),"# ##0;-# ##0"),",-"),FIXED(ROUND(IF(EXC.RATE.SWITCH=1,C212/EXC.RATE_2,C212*EXC.RATE_2),CURRENCY.FORMAT_2),CURRENCY.FORMAT_2,0)),'DICTIONARY-5'!$A$2))</f>
        <v/>
      </c>
      <c r="L212" s="670" t="str">
        <f>IFERROR(IF(CURRENCY.FORMAT_1=0,CONCATENATE(TEXT(FIXED(ROUND((C212*(1-I212)*(1-ADD.DISCOUNT)*(1+MAT.SURCHARGE)/EXC.RATE_1),CURRENCY.FORMAT_1),CURRENCY.FORMAT_1,1),"# ##0;-# ##0"),",-"),FIXED(ROUND((C212*(1-I212)*(1-ADD.DISCOUNT)*(1+MAT.SURCHARGE)/EXC.RATE_1),CURRENCY.FORMAT_1),CURRENCY.FORMAT_1,0)),'DICTIONARY-5'!$A$2)</f>
        <v>1 489,-</v>
      </c>
      <c r="M212" s="670" t="str">
        <f>IF(EXC.RATE_2=0,"",IFERROR(IF(CURRENCY.FORMAT_2=0,CONCATENATE(TEXT(FIXED(ROUND(IF(EXC.RATE.SWITCH=1,C212*(1-I212)*(1-ADD.DISCOUNT)*(1+MAT.SURCHARGE)/EXC.RATE_2,C212*(1-I212)*(1-ADD.DISCOUNT)*(1+MAT.SURCHARGE)*EXC.RATE_2),CURRENCY.FORMAT_2),CURRENCY.FORMAT_2,1),"# ##0;-# ##0"),",-"),FIXED(ROUND(IF(EXC.RATE.SWITCH=1,C212*(1-I212)*(1-ADD.DISCOUNT)*(1+MAT.SURCHARGE)/EXC.RATE_2,C212*(1-I212)*(1-ADD.DISCOUNT)*(1+MAT.SURCHARGE)*EXC.RATE_2),CURRENCY.FORMAT_2),CURRENCY.FORMAT_2,0)),'DICTIONARY-5'!$A$2))</f>
        <v/>
      </c>
      <c r="N212" s="496">
        <v>1</v>
      </c>
      <c r="O212" s="496"/>
      <c r="P212" s="731" t="str">
        <f>'DICTIONARY-3'!$A$2</f>
        <v>EKOplus</v>
      </c>
      <c r="Q212" s="732" t="str">
        <f>'DICTIONARY-3'!$A$187</f>
        <v>Zasuwa klinowa</v>
      </c>
      <c r="R212" s="732" t="str">
        <f>CONCATENATE('DICTIONARY-3'!$A$2," ",'DICTIONARY-6'!$A$3," ",'DICTIONARY-2'!$A$2,"150"," ",'DICTIONARY-2'!$A$3,"10/16"," ","R15",", ","FESTO")</f>
        <v>EKOplus Zasuwa DN150 PN10/16 R15, FESTO</v>
      </c>
      <c r="S212" s="733" t="str">
        <f>'DICTIONARY-4'!$A$5</f>
        <v>NP</v>
      </c>
      <c r="T212" s="732" t="str">
        <f>'DICTIONARY-4'!$A$21</f>
        <v>Napęd pneumatyczny</v>
      </c>
      <c r="U212" s="734" t="s">
        <v>5572</v>
      </c>
      <c r="V212" s="735">
        <v>16</v>
      </c>
      <c r="W212" s="736"/>
      <c r="X212" s="737"/>
      <c r="Y212" s="738"/>
      <c r="Z212" s="739"/>
      <c r="AA212" s="739"/>
      <c r="AB212" s="740">
        <v>10</v>
      </c>
      <c r="AC212" s="741" t="str">
        <f>'DICTIONARY-5'!$A$11&amp;" 15"</f>
        <v>EN 558 szereg 15</v>
      </c>
      <c r="AD212" s="741" t="str">
        <f>'DICTIONARY-5'!$A$13</f>
        <v>woda pitna</v>
      </c>
      <c r="AE212" s="742">
        <v>50</v>
      </c>
      <c r="AF212" s="743">
        <v>47</v>
      </c>
      <c r="AG212" s="741" t="str">
        <f>'DICTIONARY-5'!$A$23</f>
        <v>powłoka epoksydowa</v>
      </c>
    </row>
    <row r="213" spans="1:33" x14ac:dyDescent="0.25">
      <c r="A213" s="837" t="s">
        <v>5014</v>
      </c>
      <c r="B213" s="837" t="s">
        <v>5034</v>
      </c>
      <c r="C213" s="836">
        <v>2485</v>
      </c>
      <c r="D213" s="836"/>
      <c r="E213" s="836"/>
      <c r="F213" s="836"/>
      <c r="G213" s="496" t="s">
        <v>7790</v>
      </c>
      <c r="H213" s="797" t="str">
        <f>VLOOKUP(G213,SETTINGS!$B$7:$D$97,2,0)</f>
        <v>EKOplus (with Actuator)</v>
      </c>
      <c r="I213" s="796">
        <f>VLOOKUP(G213,SETTINGS!$B$7:$D$97,3,0)</f>
        <v>0</v>
      </c>
      <c r="J213" s="670" t="str">
        <f>IFERROR(IF(CURRENCY.FORMAT_1=0,CONCATENATE(TEXT(FIXED(ROUND((C213/EXC.RATE_1),CURRENCY.FORMAT_1),CURRENCY.FORMAT_1,1),"# ##0;-# ##0"),",-"),FIXED(ROUND((C213/EXC.RATE_1),CURRENCY.FORMAT_1),CURRENCY.FORMAT_1,0)),'DICTIONARY-5'!$A$2)</f>
        <v>2 485,-</v>
      </c>
      <c r="K213" s="670" t="str">
        <f>IF(EXC.RATE_2=0,"",IFERROR(IF(CURRENCY.FORMAT_2=0,CONCATENATE(TEXT(FIXED(ROUND(IF(EXC.RATE.SWITCH=1,C213/EXC.RATE_2,C213*EXC.RATE_2),CURRENCY.FORMAT_2),CURRENCY.FORMAT_2,1),"# ##0;-# ##0"),",-"),FIXED(ROUND(IF(EXC.RATE.SWITCH=1,C213/EXC.RATE_2,C213*EXC.RATE_2),CURRENCY.FORMAT_2),CURRENCY.FORMAT_2,0)),'DICTIONARY-5'!$A$2))</f>
        <v/>
      </c>
      <c r="L213" s="670" t="str">
        <f>IFERROR(IF(CURRENCY.FORMAT_1=0,CONCATENATE(TEXT(FIXED(ROUND((C213*(1-I213)*(1-ADD.DISCOUNT)*(1+MAT.SURCHARGE)/EXC.RATE_1),CURRENCY.FORMAT_1),CURRENCY.FORMAT_1,1),"# ##0;-# ##0"),",-"),FIXED(ROUND((C213*(1-I213)*(1-ADD.DISCOUNT)*(1+MAT.SURCHARGE)/EXC.RATE_1),CURRENCY.FORMAT_1),CURRENCY.FORMAT_1,0)),'DICTIONARY-5'!$A$2)</f>
        <v>2 582,-</v>
      </c>
      <c r="M213" s="670" t="str">
        <f>IF(EXC.RATE_2=0,"",IFERROR(IF(CURRENCY.FORMAT_2=0,CONCATENATE(TEXT(FIXED(ROUND(IF(EXC.RATE.SWITCH=1,C213*(1-I213)*(1-ADD.DISCOUNT)*(1+MAT.SURCHARGE)/EXC.RATE_2,C213*(1-I213)*(1-ADD.DISCOUNT)*(1+MAT.SURCHARGE)*EXC.RATE_2),CURRENCY.FORMAT_2),CURRENCY.FORMAT_2,1),"# ##0;-# ##0"),",-"),FIXED(ROUND(IF(EXC.RATE.SWITCH=1,C213*(1-I213)*(1-ADD.DISCOUNT)*(1+MAT.SURCHARGE)/EXC.RATE_2,C213*(1-I213)*(1-ADD.DISCOUNT)*(1+MAT.SURCHARGE)*EXC.RATE_2),CURRENCY.FORMAT_2),CURRENCY.FORMAT_2,0)),'DICTIONARY-5'!$A$2))</f>
        <v/>
      </c>
      <c r="N213" s="496">
        <v>1</v>
      </c>
      <c r="O213" s="496"/>
      <c r="P213" s="731" t="str">
        <f>'DICTIONARY-3'!$A$2</f>
        <v>EKOplus</v>
      </c>
      <c r="Q213" s="732" t="str">
        <f>'DICTIONARY-3'!$A$187</f>
        <v>Zasuwa klinowa</v>
      </c>
      <c r="R213" s="732" t="str">
        <f>CONCATENATE('DICTIONARY-3'!$A$2," ",'DICTIONARY-6'!$A$3," ",'DICTIONARY-2'!$A$2,"200"," ",'DICTIONARY-2'!$A$3,"10"," ","R15",", ","FESTO")</f>
        <v>EKOplus Zasuwa DN200 PN10 R15, FESTO</v>
      </c>
      <c r="S213" s="733" t="str">
        <f>'DICTIONARY-4'!$A$5</f>
        <v>NP</v>
      </c>
      <c r="T213" s="732" t="str">
        <f>'DICTIONARY-4'!$A$21</f>
        <v>Napęd pneumatyczny</v>
      </c>
      <c r="U213" s="734" t="s">
        <v>5750</v>
      </c>
      <c r="V213" s="735">
        <v>10</v>
      </c>
      <c r="W213" s="736"/>
      <c r="X213" s="737"/>
      <c r="Y213" s="738"/>
      <c r="Z213" s="739"/>
      <c r="AA213" s="739"/>
      <c r="AB213" s="740">
        <v>10</v>
      </c>
      <c r="AC213" s="741" t="str">
        <f>'DICTIONARY-5'!$A$11&amp;" 15"</f>
        <v>EN 558 szereg 15</v>
      </c>
      <c r="AD213" s="741" t="str">
        <f>'DICTIONARY-5'!$A$13</f>
        <v>woda pitna</v>
      </c>
      <c r="AE213" s="742">
        <v>50</v>
      </c>
      <c r="AF213" s="743">
        <v>85</v>
      </c>
      <c r="AG213" s="741" t="str">
        <f>'DICTIONARY-5'!$A$23</f>
        <v>powłoka epoksydowa</v>
      </c>
    </row>
    <row r="214" spans="1:33" x14ac:dyDescent="0.25">
      <c r="A214" s="837" t="s">
        <v>5015</v>
      </c>
      <c r="B214" s="837" t="s">
        <v>5035</v>
      </c>
      <c r="C214" s="836">
        <v>3038</v>
      </c>
      <c r="D214" s="836"/>
      <c r="E214" s="836"/>
      <c r="F214" s="836"/>
      <c r="G214" s="496" t="s">
        <v>7790</v>
      </c>
      <c r="H214" s="797" t="str">
        <f>VLOOKUP(G214,SETTINGS!$B$7:$D$97,2,0)</f>
        <v>EKOplus (with Actuator)</v>
      </c>
      <c r="I214" s="796">
        <f>VLOOKUP(G214,SETTINGS!$B$7:$D$97,3,0)</f>
        <v>0</v>
      </c>
      <c r="J214" s="670" t="str">
        <f>IFERROR(IF(CURRENCY.FORMAT_1=0,CONCATENATE(TEXT(FIXED(ROUND((C214/EXC.RATE_1),CURRENCY.FORMAT_1),CURRENCY.FORMAT_1,1),"# ##0;-# ##0"),",-"),FIXED(ROUND((C214/EXC.RATE_1),CURRENCY.FORMAT_1),CURRENCY.FORMAT_1,0)),'DICTIONARY-5'!$A$2)</f>
        <v>3 038,-</v>
      </c>
      <c r="K214" s="670" t="str">
        <f>IF(EXC.RATE_2=0,"",IFERROR(IF(CURRENCY.FORMAT_2=0,CONCATENATE(TEXT(FIXED(ROUND(IF(EXC.RATE.SWITCH=1,C214/EXC.RATE_2,C214*EXC.RATE_2),CURRENCY.FORMAT_2),CURRENCY.FORMAT_2,1),"# ##0;-# ##0"),",-"),FIXED(ROUND(IF(EXC.RATE.SWITCH=1,C214/EXC.RATE_2,C214*EXC.RATE_2),CURRENCY.FORMAT_2),CURRENCY.FORMAT_2,0)),'DICTIONARY-5'!$A$2))</f>
        <v/>
      </c>
      <c r="L214" s="670" t="str">
        <f>IFERROR(IF(CURRENCY.FORMAT_1=0,CONCATENATE(TEXT(FIXED(ROUND((C214*(1-I214)*(1-ADD.DISCOUNT)*(1+MAT.SURCHARGE)/EXC.RATE_1),CURRENCY.FORMAT_1),CURRENCY.FORMAT_1,1),"# ##0;-# ##0"),",-"),FIXED(ROUND((C214*(1-I214)*(1-ADD.DISCOUNT)*(1+MAT.SURCHARGE)/EXC.RATE_1),CURRENCY.FORMAT_1),CURRENCY.FORMAT_1,0)),'DICTIONARY-5'!$A$2)</f>
        <v>3 156,-</v>
      </c>
      <c r="M214" s="670" t="str">
        <f>IF(EXC.RATE_2=0,"",IFERROR(IF(CURRENCY.FORMAT_2=0,CONCATENATE(TEXT(FIXED(ROUND(IF(EXC.RATE.SWITCH=1,C214*(1-I214)*(1-ADD.DISCOUNT)*(1+MAT.SURCHARGE)/EXC.RATE_2,C214*(1-I214)*(1-ADD.DISCOUNT)*(1+MAT.SURCHARGE)*EXC.RATE_2),CURRENCY.FORMAT_2),CURRENCY.FORMAT_2,1),"# ##0;-# ##0"),",-"),FIXED(ROUND(IF(EXC.RATE.SWITCH=1,C214*(1-I214)*(1-ADD.DISCOUNT)*(1+MAT.SURCHARGE)/EXC.RATE_2,C214*(1-I214)*(1-ADD.DISCOUNT)*(1+MAT.SURCHARGE)*EXC.RATE_2),CURRENCY.FORMAT_2),CURRENCY.FORMAT_2,0)),'DICTIONARY-5'!$A$2))</f>
        <v/>
      </c>
      <c r="N214" s="496">
        <v>1</v>
      </c>
      <c r="O214" s="496"/>
      <c r="P214" s="731" t="str">
        <f>'DICTIONARY-3'!$A$2</f>
        <v>EKOplus</v>
      </c>
      <c r="Q214" s="732" t="str">
        <f>'DICTIONARY-3'!$A$187</f>
        <v>Zasuwa klinowa</v>
      </c>
      <c r="R214" s="732" t="str">
        <f>CONCATENATE('DICTIONARY-3'!$A$2," ",'DICTIONARY-6'!$A$3," ",'DICTIONARY-2'!$A$2,"250"," ",'DICTIONARY-2'!$A$3,"10"," ","R15",", ","FESTO")</f>
        <v>EKOplus Zasuwa DN250 PN10 R15, FESTO</v>
      </c>
      <c r="S214" s="733" t="str">
        <f>'DICTIONARY-4'!$A$5</f>
        <v>NP</v>
      </c>
      <c r="T214" s="732" t="str">
        <f>'DICTIONARY-4'!$A$21</f>
        <v>Napęd pneumatyczny</v>
      </c>
      <c r="U214" s="734" t="s">
        <v>5751</v>
      </c>
      <c r="V214" s="735">
        <v>10</v>
      </c>
      <c r="W214" s="736"/>
      <c r="X214" s="737"/>
      <c r="Y214" s="738"/>
      <c r="Z214" s="739"/>
      <c r="AA214" s="739"/>
      <c r="AB214" s="740">
        <v>10</v>
      </c>
      <c r="AC214" s="741" t="str">
        <f>'DICTIONARY-5'!$A$11&amp;" 15"</f>
        <v>EN 558 szereg 15</v>
      </c>
      <c r="AD214" s="741" t="str">
        <f>'DICTIONARY-5'!$A$13</f>
        <v>woda pitna</v>
      </c>
      <c r="AE214" s="742">
        <v>50</v>
      </c>
      <c r="AF214" s="743">
        <v>91</v>
      </c>
      <c r="AG214" s="741" t="str">
        <f>'DICTIONARY-5'!$A$23</f>
        <v>powłoka epoksydowa</v>
      </c>
    </row>
    <row r="215" spans="1:33" x14ac:dyDescent="0.25">
      <c r="A215" s="837" t="s">
        <v>5016</v>
      </c>
      <c r="B215" s="837" t="s">
        <v>5036</v>
      </c>
      <c r="C215" s="836">
        <v>4461</v>
      </c>
      <c r="D215" s="836"/>
      <c r="E215" s="836"/>
      <c r="F215" s="836"/>
      <c r="G215" s="496" t="s">
        <v>7790</v>
      </c>
      <c r="H215" s="797" t="str">
        <f>VLOOKUP(G215,SETTINGS!$B$7:$D$97,2,0)</f>
        <v>EKOplus (with Actuator)</v>
      </c>
      <c r="I215" s="796">
        <f>VLOOKUP(G215,SETTINGS!$B$7:$D$97,3,0)</f>
        <v>0</v>
      </c>
      <c r="J215" s="670" t="str">
        <f>IFERROR(IF(CURRENCY.FORMAT_1=0,CONCATENATE(TEXT(FIXED(ROUND((C215/EXC.RATE_1),CURRENCY.FORMAT_1),CURRENCY.FORMAT_1,1),"# ##0;-# ##0"),",-"),FIXED(ROUND((C215/EXC.RATE_1),CURRENCY.FORMAT_1),CURRENCY.FORMAT_1,0)),'DICTIONARY-5'!$A$2)</f>
        <v>4 461,-</v>
      </c>
      <c r="K215" s="670" t="str">
        <f>IF(EXC.RATE_2=0,"",IFERROR(IF(CURRENCY.FORMAT_2=0,CONCATENATE(TEXT(FIXED(ROUND(IF(EXC.RATE.SWITCH=1,C215/EXC.RATE_2,C215*EXC.RATE_2),CURRENCY.FORMAT_2),CURRENCY.FORMAT_2,1),"# ##0;-# ##0"),",-"),FIXED(ROUND(IF(EXC.RATE.SWITCH=1,C215/EXC.RATE_2,C215*EXC.RATE_2),CURRENCY.FORMAT_2),CURRENCY.FORMAT_2,0)),'DICTIONARY-5'!$A$2))</f>
        <v/>
      </c>
      <c r="L215" s="670" t="str">
        <f>IFERROR(IF(CURRENCY.FORMAT_1=0,CONCATENATE(TEXT(FIXED(ROUND((C215*(1-I215)*(1-ADD.DISCOUNT)*(1+MAT.SURCHARGE)/EXC.RATE_1),CURRENCY.FORMAT_1),CURRENCY.FORMAT_1,1),"# ##0;-# ##0"),",-"),FIXED(ROUND((C215*(1-I215)*(1-ADD.DISCOUNT)*(1+MAT.SURCHARGE)/EXC.RATE_1),CURRENCY.FORMAT_1),CURRENCY.FORMAT_1,0)),'DICTIONARY-5'!$A$2)</f>
        <v>4 635,-</v>
      </c>
      <c r="M215" s="670" t="str">
        <f>IF(EXC.RATE_2=0,"",IFERROR(IF(CURRENCY.FORMAT_2=0,CONCATENATE(TEXT(FIXED(ROUND(IF(EXC.RATE.SWITCH=1,C215*(1-I215)*(1-ADD.DISCOUNT)*(1+MAT.SURCHARGE)/EXC.RATE_2,C215*(1-I215)*(1-ADD.DISCOUNT)*(1+MAT.SURCHARGE)*EXC.RATE_2),CURRENCY.FORMAT_2),CURRENCY.FORMAT_2,1),"# ##0;-# ##0"),",-"),FIXED(ROUND(IF(EXC.RATE.SWITCH=1,C215*(1-I215)*(1-ADD.DISCOUNT)*(1+MAT.SURCHARGE)/EXC.RATE_2,C215*(1-I215)*(1-ADD.DISCOUNT)*(1+MAT.SURCHARGE)*EXC.RATE_2),CURRENCY.FORMAT_2),CURRENCY.FORMAT_2,0)),'DICTIONARY-5'!$A$2))</f>
        <v/>
      </c>
      <c r="N215" s="496">
        <v>1</v>
      </c>
      <c r="O215" s="496"/>
      <c r="P215" s="731" t="str">
        <f>'DICTIONARY-3'!$A$2</f>
        <v>EKOplus</v>
      </c>
      <c r="Q215" s="732" t="str">
        <f>'DICTIONARY-3'!$A$187</f>
        <v>Zasuwa klinowa</v>
      </c>
      <c r="R215" s="732" t="str">
        <f>CONCATENATE('DICTIONARY-3'!$A$2," ",'DICTIONARY-6'!$A$3," ",'DICTIONARY-2'!$A$2,"300"," ",'DICTIONARY-2'!$A$3,"10"," ","R15",", ","FESTO")</f>
        <v>EKOplus Zasuwa DN300 PN10 R15, FESTO</v>
      </c>
      <c r="S215" s="733" t="str">
        <f>'DICTIONARY-4'!$A$5</f>
        <v>NP</v>
      </c>
      <c r="T215" s="732" t="str">
        <f>'DICTIONARY-4'!$A$21</f>
        <v>Napęd pneumatyczny</v>
      </c>
      <c r="U215" s="734" t="s">
        <v>5752</v>
      </c>
      <c r="V215" s="735">
        <v>10</v>
      </c>
      <c r="W215" s="736"/>
      <c r="X215" s="737"/>
      <c r="Y215" s="738"/>
      <c r="Z215" s="739"/>
      <c r="AA215" s="739"/>
      <c r="AB215" s="740">
        <v>10</v>
      </c>
      <c r="AC215" s="741" t="str">
        <f>'DICTIONARY-5'!$A$11&amp;" 15"</f>
        <v>EN 558 szereg 15</v>
      </c>
      <c r="AD215" s="741" t="str">
        <f>'DICTIONARY-5'!$A$13</f>
        <v>woda pitna</v>
      </c>
      <c r="AE215" s="742">
        <v>50</v>
      </c>
      <c r="AF215" s="743">
        <v>170</v>
      </c>
      <c r="AG215" s="741" t="str">
        <f>'DICTIONARY-5'!$A$23</f>
        <v>powłoka epoksydowa</v>
      </c>
    </row>
    <row r="216" spans="1:33" x14ac:dyDescent="0.25">
      <c r="A216" s="837" t="s">
        <v>268</v>
      </c>
      <c r="B216" s="837" t="s">
        <v>3424</v>
      </c>
      <c r="C216" s="836">
        <v>346</v>
      </c>
      <c r="D216" s="836"/>
      <c r="E216" s="836"/>
      <c r="F216" s="836"/>
      <c r="G216" s="496" t="s">
        <v>7791</v>
      </c>
      <c r="H216" s="797" t="str">
        <f>VLOOKUP(G216,SETTINGS!$B$7:$D$97,2,0)</f>
        <v>EKOplus PE Water</v>
      </c>
      <c r="I216" s="796">
        <f>VLOOKUP(G216,SETTINGS!$B$7:$D$97,3,0)</f>
        <v>0</v>
      </c>
      <c r="J216" s="670" t="str">
        <f>IFERROR(IF(CURRENCY.FORMAT_1=0,CONCATENATE(TEXT(FIXED(ROUND((C216/EXC.RATE_1),CURRENCY.FORMAT_1),CURRENCY.FORMAT_1,1),"# ##0;-# ##0"),",-"),FIXED(ROUND((C216/EXC.RATE_1),CURRENCY.FORMAT_1),CURRENCY.FORMAT_1,0)),'DICTIONARY-5'!$A$2)</f>
        <v>346,-</v>
      </c>
      <c r="K216" s="670" t="str">
        <f>IF(EXC.RATE_2=0,"",IFERROR(IF(CURRENCY.FORMAT_2=0,CONCATENATE(TEXT(FIXED(ROUND(IF(EXC.RATE.SWITCH=1,C216/EXC.RATE_2,C216*EXC.RATE_2),CURRENCY.FORMAT_2),CURRENCY.FORMAT_2,1),"# ##0;-# ##0"),",-"),FIXED(ROUND(IF(EXC.RATE.SWITCH=1,C216/EXC.RATE_2,C216*EXC.RATE_2),CURRENCY.FORMAT_2),CURRENCY.FORMAT_2,0)),'DICTIONARY-5'!$A$2))</f>
        <v/>
      </c>
      <c r="L216" s="670" t="str">
        <f>IFERROR(IF(CURRENCY.FORMAT_1=0,CONCATENATE(TEXT(FIXED(ROUND((C216*(1-I216)*(1-ADD.DISCOUNT)*(1+MAT.SURCHARGE)/EXC.RATE_1),CURRENCY.FORMAT_1),CURRENCY.FORMAT_1,1),"# ##0;-# ##0"),",-"),FIXED(ROUND((C216*(1-I216)*(1-ADD.DISCOUNT)*(1+MAT.SURCHARGE)/EXC.RATE_1),CURRENCY.FORMAT_1),CURRENCY.FORMAT_1,0)),'DICTIONARY-5'!$A$2)</f>
        <v>359,-</v>
      </c>
      <c r="M216" s="670" t="str">
        <f>IF(EXC.RATE_2=0,"",IFERROR(IF(CURRENCY.FORMAT_2=0,CONCATENATE(TEXT(FIXED(ROUND(IF(EXC.RATE.SWITCH=1,C216*(1-I216)*(1-ADD.DISCOUNT)*(1+MAT.SURCHARGE)/EXC.RATE_2,C216*(1-I216)*(1-ADD.DISCOUNT)*(1+MAT.SURCHARGE)*EXC.RATE_2),CURRENCY.FORMAT_2),CURRENCY.FORMAT_2,1),"# ##0;-# ##0"),",-"),FIXED(ROUND(IF(EXC.RATE.SWITCH=1,C216*(1-I216)*(1-ADD.DISCOUNT)*(1+MAT.SURCHARGE)/EXC.RATE_2,C216*(1-I216)*(1-ADD.DISCOUNT)*(1+MAT.SURCHARGE)*EXC.RATE_2),CURRENCY.FORMAT_2),CURRENCY.FORMAT_2,0)),'DICTIONARY-5'!$A$2))</f>
        <v/>
      </c>
      <c r="N216" s="496">
        <v>1</v>
      </c>
      <c r="O216" s="496"/>
      <c r="P216" s="731" t="str">
        <f>'DICTIONARY-3'!$A$4</f>
        <v>EKOplus PE</v>
      </c>
      <c r="Q216" s="732" t="str">
        <f>'DICTIONARY-3'!$A$187</f>
        <v>Zasuwa klinowa</v>
      </c>
      <c r="R216" s="732" t="str">
        <f>CONCATENATE('DICTIONARY-3'!$A$4," ",'DICTIONARY-6'!$A$3," ",'DICTIONARY-2'!$A$2,"50"," ",'DICTIONARY-2'!$A$5,"63"," ",'DICTIONARY-5'!$A$59," ",'DICTIONARY-2'!$A$10,"16",'DICTIONARY-2'!$A$20,", ",'DICTIONARY-4'!$A$2)</f>
        <v>EKOplus PE Zasuwa DN50 Da63 SDR 11 PS16bar, WW</v>
      </c>
      <c r="S216" s="733" t="str">
        <f>'DICTIONARY-4'!$A$2</f>
        <v>WW</v>
      </c>
      <c r="T216" s="732" t="str">
        <f>'DICTIONARY-4'!$A$18</f>
        <v>Wolny wałek</v>
      </c>
      <c r="U216" s="734" t="s">
        <v>5748</v>
      </c>
      <c r="V216" s="735"/>
      <c r="W216" s="744" t="s">
        <v>7338</v>
      </c>
      <c r="X216" s="737"/>
      <c r="Y216" s="738"/>
      <c r="Z216" s="739"/>
      <c r="AA216" s="739"/>
      <c r="AB216" s="740">
        <v>16</v>
      </c>
      <c r="AC216" s="733">
        <v>566</v>
      </c>
      <c r="AD216" s="741" t="str">
        <f>'DICTIONARY-5'!$A$13</f>
        <v>woda pitna</v>
      </c>
      <c r="AE216" s="742">
        <v>50</v>
      </c>
      <c r="AF216" s="743">
        <v>8.5</v>
      </c>
      <c r="AG216" s="741" t="str">
        <f>'DICTIONARY-5'!$A$23</f>
        <v>powłoka epoksydowa</v>
      </c>
    </row>
    <row r="217" spans="1:33" x14ac:dyDescent="0.25">
      <c r="A217" s="837" t="s">
        <v>269</v>
      </c>
      <c r="B217" s="837" t="s">
        <v>3426</v>
      </c>
      <c r="C217" s="836">
        <v>422</v>
      </c>
      <c r="D217" s="836"/>
      <c r="E217" s="836"/>
      <c r="F217" s="836"/>
      <c r="G217" s="496" t="s">
        <v>7791</v>
      </c>
      <c r="H217" s="797" t="str">
        <f>VLOOKUP(G217,SETTINGS!$B$7:$D$97,2,0)</f>
        <v>EKOplus PE Water</v>
      </c>
      <c r="I217" s="796">
        <f>VLOOKUP(G217,SETTINGS!$B$7:$D$97,3,0)</f>
        <v>0</v>
      </c>
      <c r="J217" s="670" t="str">
        <f>IFERROR(IF(CURRENCY.FORMAT_1=0,CONCATENATE(TEXT(FIXED(ROUND((C217/EXC.RATE_1),CURRENCY.FORMAT_1),CURRENCY.FORMAT_1,1),"# ##0;-# ##0"),",-"),FIXED(ROUND((C217/EXC.RATE_1),CURRENCY.FORMAT_1),CURRENCY.FORMAT_1,0)),'DICTIONARY-5'!$A$2)</f>
        <v>422,-</v>
      </c>
      <c r="K217" s="670" t="str">
        <f>IF(EXC.RATE_2=0,"",IFERROR(IF(CURRENCY.FORMAT_2=0,CONCATENATE(TEXT(FIXED(ROUND(IF(EXC.RATE.SWITCH=1,C217/EXC.RATE_2,C217*EXC.RATE_2),CURRENCY.FORMAT_2),CURRENCY.FORMAT_2,1),"# ##0;-# ##0"),",-"),FIXED(ROUND(IF(EXC.RATE.SWITCH=1,C217/EXC.RATE_2,C217*EXC.RATE_2),CURRENCY.FORMAT_2),CURRENCY.FORMAT_2,0)),'DICTIONARY-5'!$A$2))</f>
        <v/>
      </c>
      <c r="L217" s="670" t="str">
        <f>IFERROR(IF(CURRENCY.FORMAT_1=0,CONCATENATE(TEXT(FIXED(ROUND((C217*(1-I217)*(1-ADD.DISCOUNT)*(1+MAT.SURCHARGE)/EXC.RATE_1),CURRENCY.FORMAT_1),CURRENCY.FORMAT_1,1),"# ##0;-# ##0"),",-"),FIXED(ROUND((C217*(1-I217)*(1-ADD.DISCOUNT)*(1+MAT.SURCHARGE)/EXC.RATE_1),CURRENCY.FORMAT_1),CURRENCY.FORMAT_1,0)),'DICTIONARY-5'!$A$2)</f>
        <v>438,-</v>
      </c>
      <c r="M217" s="670" t="str">
        <f>IF(EXC.RATE_2=0,"",IFERROR(IF(CURRENCY.FORMAT_2=0,CONCATENATE(TEXT(FIXED(ROUND(IF(EXC.RATE.SWITCH=1,C217*(1-I217)*(1-ADD.DISCOUNT)*(1+MAT.SURCHARGE)/EXC.RATE_2,C217*(1-I217)*(1-ADD.DISCOUNT)*(1+MAT.SURCHARGE)*EXC.RATE_2),CURRENCY.FORMAT_2),CURRENCY.FORMAT_2,1),"# ##0;-# ##0"),",-"),FIXED(ROUND(IF(EXC.RATE.SWITCH=1,C217*(1-I217)*(1-ADD.DISCOUNT)*(1+MAT.SURCHARGE)/EXC.RATE_2,C217*(1-I217)*(1-ADD.DISCOUNT)*(1+MAT.SURCHARGE)*EXC.RATE_2),CURRENCY.FORMAT_2),CURRENCY.FORMAT_2,0)),'DICTIONARY-5'!$A$2))</f>
        <v/>
      </c>
      <c r="N217" s="496">
        <v>1</v>
      </c>
      <c r="O217" s="496"/>
      <c r="P217" s="731" t="str">
        <f>'DICTIONARY-3'!$A$4</f>
        <v>EKOplus PE</v>
      </c>
      <c r="Q217" s="732" t="str">
        <f>'DICTIONARY-3'!$A$187</f>
        <v>Zasuwa klinowa</v>
      </c>
      <c r="R217" s="732" t="str">
        <f>CONCATENATE('DICTIONARY-3'!$A$4," ",'DICTIONARY-6'!$A$3," ",'DICTIONARY-2'!$A$2,"80"," ",'DICTIONARY-2'!$A$5,"90"," ",'DICTIONARY-5'!$A$59," ",'DICTIONARY-2'!$A$10,"16",'DICTIONARY-2'!$A$20,", ",'DICTIONARY-4'!$A$2)</f>
        <v>EKOplus PE Zasuwa DN80 Da90 SDR 11 PS16bar, WW</v>
      </c>
      <c r="S217" s="733" t="str">
        <f>'DICTIONARY-4'!$A$2</f>
        <v>WW</v>
      </c>
      <c r="T217" s="732" t="str">
        <f>'DICTIONARY-4'!$A$18</f>
        <v>Wolny wałek</v>
      </c>
      <c r="U217" s="734" t="s">
        <v>5760</v>
      </c>
      <c r="V217" s="735"/>
      <c r="W217" s="744" t="s">
        <v>7339</v>
      </c>
      <c r="X217" s="737"/>
      <c r="Y217" s="738"/>
      <c r="Z217" s="739"/>
      <c r="AA217" s="739"/>
      <c r="AB217" s="740">
        <v>16</v>
      </c>
      <c r="AC217" s="733">
        <v>740</v>
      </c>
      <c r="AD217" s="741" t="str">
        <f>'DICTIONARY-5'!$A$13</f>
        <v>woda pitna</v>
      </c>
      <c r="AE217" s="742">
        <v>50</v>
      </c>
      <c r="AF217" s="743">
        <v>16</v>
      </c>
      <c r="AG217" s="741" t="str">
        <f>'DICTIONARY-5'!$A$23</f>
        <v>powłoka epoksydowa</v>
      </c>
    </row>
    <row r="218" spans="1:33" x14ac:dyDescent="0.25">
      <c r="A218" s="837" t="s">
        <v>270</v>
      </c>
      <c r="B218" s="837" t="s">
        <v>3428</v>
      </c>
      <c r="C218" s="836">
        <v>463</v>
      </c>
      <c r="D218" s="836"/>
      <c r="E218" s="836"/>
      <c r="F218" s="836"/>
      <c r="G218" s="496" t="s">
        <v>7791</v>
      </c>
      <c r="H218" s="797" t="str">
        <f>VLOOKUP(G218,SETTINGS!$B$7:$D$97,2,0)</f>
        <v>EKOplus PE Water</v>
      </c>
      <c r="I218" s="796">
        <f>VLOOKUP(G218,SETTINGS!$B$7:$D$97,3,0)</f>
        <v>0</v>
      </c>
      <c r="J218" s="670" t="str">
        <f>IFERROR(IF(CURRENCY.FORMAT_1=0,CONCATENATE(TEXT(FIXED(ROUND((C218/EXC.RATE_1),CURRENCY.FORMAT_1),CURRENCY.FORMAT_1,1),"# ##0;-# ##0"),",-"),FIXED(ROUND((C218/EXC.RATE_1),CURRENCY.FORMAT_1),CURRENCY.FORMAT_1,0)),'DICTIONARY-5'!$A$2)</f>
        <v>463,-</v>
      </c>
      <c r="K218" s="670" t="str">
        <f>IF(EXC.RATE_2=0,"",IFERROR(IF(CURRENCY.FORMAT_2=0,CONCATENATE(TEXT(FIXED(ROUND(IF(EXC.RATE.SWITCH=1,C218/EXC.RATE_2,C218*EXC.RATE_2),CURRENCY.FORMAT_2),CURRENCY.FORMAT_2,1),"# ##0;-# ##0"),",-"),FIXED(ROUND(IF(EXC.RATE.SWITCH=1,C218/EXC.RATE_2,C218*EXC.RATE_2),CURRENCY.FORMAT_2),CURRENCY.FORMAT_2,0)),'DICTIONARY-5'!$A$2))</f>
        <v/>
      </c>
      <c r="L218" s="670" t="str">
        <f>IFERROR(IF(CURRENCY.FORMAT_1=0,CONCATENATE(TEXT(FIXED(ROUND((C218*(1-I218)*(1-ADD.DISCOUNT)*(1+MAT.SURCHARGE)/EXC.RATE_1),CURRENCY.FORMAT_1),CURRENCY.FORMAT_1,1),"# ##0;-# ##0"),",-"),FIXED(ROUND((C218*(1-I218)*(1-ADD.DISCOUNT)*(1+MAT.SURCHARGE)/EXC.RATE_1),CURRENCY.FORMAT_1),CURRENCY.FORMAT_1,0)),'DICTIONARY-5'!$A$2)</f>
        <v>481,-</v>
      </c>
      <c r="M218" s="670" t="str">
        <f>IF(EXC.RATE_2=0,"",IFERROR(IF(CURRENCY.FORMAT_2=0,CONCATENATE(TEXT(FIXED(ROUND(IF(EXC.RATE.SWITCH=1,C218*(1-I218)*(1-ADD.DISCOUNT)*(1+MAT.SURCHARGE)/EXC.RATE_2,C218*(1-I218)*(1-ADD.DISCOUNT)*(1+MAT.SURCHARGE)*EXC.RATE_2),CURRENCY.FORMAT_2),CURRENCY.FORMAT_2,1),"# ##0;-# ##0"),",-"),FIXED(ROUND(IF(EXC.RATE.SWITCH=1,C218*(1-I218)*(1-ADD.DISCOUNT)*(1+MAT.SURCHARGE)/EXC.RATE_2,C218*(1-I218)*(1-ADD.DISCOUNT)*(1+MAT.SURCHARGE)*EXC.RATE_2),CURRENCY.FORMAT_2),CURRENCY.FORMAT_2,0)),'DICTIONARY-5'!$A$2))</f>
        <v/>
      </c>
      <c r="N218" s="496">
        <v>1</v>
      </c>
      <c r="O218" s="496"/>
      <c r="P218" s="731" t="str">
        <f>'DICTIONARY-3'!$A$4</f>
        <v>EKOplus PE</v>
      </c>
      <c r="Q218" s="732" t="str">
        <f>'DICTIONARY-3'!$A$187</f>
        <v>Zasuwa klinowa</v>
      </c>
      <c r="R218" s="732" t="str">
        <f>CONCATENATE('DICTIONARY-3'!$A$4," ",'DICTIONARY-6'!$A$3," ",'DICTIONARY-2'!$A$2,"100"," ",'DICTIONARY-2'!$A$5,"110"," ",'DICTIONARY-5'!$A$59," ",'DICTIONARY-2'!$A$10,"16",'DICTIONARY-2'!$A$20,", ",'DICTIONARY-4'!$A$2)</f>
        <v>EKOplus PE Zasuwa DN100 Da110 SDR 11 PS16bar, WW</v>
      </c>
      <c r="S218" s="733" t="str">
        <f>'DICTIONARY-4'!$A$2</f>
        <v>WW</v>
      </c>
      <c r="T218" s="732" t="str">
        <f>'DICTIONARY-4'!$A$18</f>
        <v>Wolny wałek</v>
      </c>
      <c r="U218" s="734" t="s">
        <v>5749</v>
      </c>
      <c r="V218" s="735"/>
      <c r="W218" s="744" t="s">
        <v>7340</v>
      </c>
      <c r="X218" s="737"/>
      <c r="Y218" s="738"/>
      <c r="Z218" s="739"/>
      <c r="AA218" s="739"/>
      <c r="AB218" s="740">
        <v>16</v>
      </c>
      <c r="AC218" s="733">
        <v>775</v>
      </c>
      <c r="AD218" s="741" t="str">
        <f>'DICTIONARY-5'!$A$13</f>
        <v>woda pitna</v>
      </c>
      <c r="AE218" s="742">
        <v>50</v>
      </c>
      <c r="AF218" s="743">
        <v>20.5</v>
      </c>
      <c r="AG218" s="741" t="str">
        <f>'DICTIONARY-5'!$A$23</f>
        <v>powłoka epoksydowa</v>
      </c>
    </row>
    <row r="219" spans="1:33" x14ac:dyDescent="0.25">
      <c r="A219" s="837" t="s">
        <v>271</v>
      </c>
      <c r="B219" s="837" t="s">
        <v>3439</v>
      </c>
      <c r="C219" s="836">
        <v>497</v>
      </c>
      <c r="D219" s="836"/>
      <c r="E219" s="836"/>
      <c r="F219" s="836"/>
      <c r="G219" s="496" t="s">
        <v>7791</v>
      </c>
      <c r="H219" s="797" t="str">
        <f>VLOOKUP(G219,SETTINGS!$B$7:$D$97,2,0)</f>
        <v>EKOplus PE Water</v>
      </c>
      <c r="I219" s="796">
        <f>VLOOKUP(G219,SETTINGS!$B$7:$D$97,3,0)</f>
        <v>0</v>
      </c>
      <c r="J219" s="670" t="str">
        <f>IFERROR(IF(CURRENCY.FORMAT_1=0,CONCATENATE(TEXT(FIXED(ROUND((C219/EXC.RATE_1),CURRENCY.FORMAT_1),CURRENCY.FORMAT_1,1),"# ##0;-# ##0"),",-"),FIXED(ROUND((C219/EXC.RATE_1),CURRENCY.FORMAT_1),CURRENCY.FORMAT_1,0)),'DICTIONARY-5'!$A$2)</f>
        <v>497,-</v>
      </c>
      <c r="K219" s="670" t="str">
        <f>IF(EXC.RATE_2=0,"",IFERROR(IF(CURRENCY.FORMAT_2=0,CONCATENATE(TEXT(FIXED(ROUND(IF(EXC.RATE.SWITCH=1,C219/EXC.RATE_2,C219*EXC.RATE_2),CURRENCY.FORMAT_2),CURRENCY.FORMAT_2,1),"# ##0;-# ##0"),",-"),FIXED(ROUND(IF(EXC.RATE.SWITCH=1,C219/EXC.RATE_2,C219*EXC.RATE_2),CURRENCY.FORMAT_2),CURRENCY.FORMAT_2,0)),'DICTIONARY-5'!$A$2))</f>
        <v/>
      </c>
      <c r="L219" s="670" t="str">
        <f>IFERROR(IF(CURRENCY.FORMAT_1=0,CONCATENATE(TEXT(FIXED(ROUND((C219*(1-I219)*(1-ADD.DISCOUNT)*(1+MAT.SURCHARGE)/EXC.RATE_1),CURRENCY.FORMAT_1),CURRENCY.FORMAT_1,1),"# ##0;-# ##0"),",-"),FIXED(ROUND((C219*(1-I219)*(1-ADD.DISCOUNT)*(1+MAT.SURCHARGE)/EXC.RATE_1),CURRENCY.FORMAT_1),CURRENCY.FORMAT_1,0)),'DICTIONARY-5'!$A$2)</f>
        <v>516,-</v>
      </c>
      <c r="M219" s="670" t="str">
        <f>IF(EXC.RATE_2=0,"",IFERROR(IF(CURRENCY.FORMAT_2=0,CONCATENATE(TEXT(FIXED(ROUND(IF(EXC.RATE.SWITCH=1,C219*(1-I219)*(1-ADD.DISCOUNT)*(1+MAT.SURCHARGE)/EXC.RATE_2,C219*(1-I219)*(1-ADD.DISCOUNT)*(1+MAT.SURCHARGE)*EXC.RATE_2),CURRENCY.FORMAT_2),CURRENCY.FORMAT_2,1),"# ##0;-# ##0"),",-"),FIXED(ROUND(IF(EXC.RATE.SWITCH=1,C219*(1-I219)*(1-ADD.DISCOUNT)*(1+MAT.SURCHARGE)/EXC.RATE_2,C219*(1-I219)*(1-ADD.DISCOUNT)*(1+MAT.SURCHARGE)*EXC.RATE_2),CURRENCY.FORMAT_2),CURRENCY.FORMAT_2,0)),'DICTIONARY-5'!$A$2))</f>
        <v/>
      </c>
      <c r="N219" s="496">
        <v>1</v>
      </c>
      <c r="O219" s="496"/>
      <c r="P219" s="731" t="str">
        <f>'DICTIONARY-3'!$A$4</f>
        <v>EKOplus PE</v>
      </c>
      <c r="Q219" s="732" t="str">
        <f>'DICTIONARY-3'!$A$187</f>
        <v>Zasuwa klinowa</v>
      </c>
      <c r="R219" s="732" t="str">
        <f>CONCATENATE('DICTIONARY-3'!$A$4," ",'DICTIONARY-6'!$A$3," ",'DICTIONARY-2'!$A$2,"100"," ",'DICTIONARY-2'!$A$5,"125"," ",'DICTIONARY-5'!$A$59," ",'DICTIONARY-2'!$A$10,"16",'DICTIONARY-2'!$A$20,", ",'DICTIONARY-4'!$A$2)</f>
        <v>EKOplus PE Zasuwa DN100 Da125 SDR 11 PS16bar, WW</v>
      </c>
      <c r="S219" s="733" t="str">
        <f>'DICTIONARY-4'!$A$2</f>
        <v>WW</v>
      </c>
      <c r="T219" s="732" t="str">
        <f>'DICTIONARY-4'!$A$18</f>
        <v>Wolny wałek</v>
      </c>
      <c r="U219" s="734" t="s">
        <v>5749</v>
      </c>
      <c r="V219" s="735"/>
      <c r="W219" s="744" t="s">
        <v>5761</v>
      </c>
      <c r="X219" s="737"/>
      <c r="Y219" s="738"/>
      <c r="Z219" s="739"/>
      <c r="AA219" s="739"/>
      <c r="AB219" s="740">
        <v>16</v>
      </c>
      <c r="AC219" s="733">
        <v>775</v>
      </c>
      <c r="AD219" s="741" t="str">
        <f>'DICTIONARY-5'!$A$13</f>
        <v>woda pitna</v>
      </c>
      <c r="AE219" s="742">
        <v>50</v>
      </c>
      <c r="AF219" s="743">
        <v>23.5</v>
      </c>
      <c r="AG219" s="741" t="str">
        <f>'DICTIONARY-5'!$A$23</f>
        <v>powłoka epoksydowa</v>
      </c>
    </row>
    <row r="220" spans="1:33" x14ac:dyDescent="0.25">
      <c r="A220" s="837" t="s">
        <v>272</v>
      </c>
      <c r="B220" s="837" t="s">
        <v>3430</v>
      </c>
      <c r="C220" s="836">
        <v>665</v>
      </c>
      <c r="D220" s="836"/>
      <c r="E220" s="836"/>
      <c r="F220" s="836"/>
      <c r="G220" s="496" t="s">
        <v>7791</v>
      </c>
      <c r="H220" s="797" t="str">
        <f>VLOOKUP(G220,SETTINGS!$B$7:$D$97,2,0)</f>
        <v>EKOplus PE Water</v>
      </c>
      <c r="I220" s="796">
        <f>VLOOKUP(G220,SETTINGS!$B$7:$D$97,3,0)</f>
        <v>0</v>
      </c>
      <c r="J220" s="670" t="str">
        <f>IFERROR(IF(CURRENCY.FORMAT_1=0,CONCATENATE(TEXT(FIXED(ROUND((C220/EXC.RATE_1),CURRENCY.FORMAT_1),CURRENCY.FORMAT_1,1),"# ##0;-# ##0"),",-"),FIXED(ROUND((C220/EXC.RATE_1),CURRENCY.FORMAT_1),CURRENCY.FORMAT_1,0)),'DICTIONARY-5'!$A$2)</f>
        <v>665,-</v>
      </c>
      <c r="K220" s="670" t="str">
        <f>IF(EXC.RATE_2=0,"",IFERROR(IF(CURRENCY.FORMAT_2=0,CONCATENATE(TEXT(FIXED(ROUND(IF(EXC.RATE.SWITCH=1,C220/EXC.RATE_2,C220*EXC.RATE_2),CURRENCY.FORMAT_2),CURRENCY.FORMAT_2,1),"# ##0;-# ##0"),",-"),FIXED(ROUND(IF(EXC.RATE.SWITCH=1,C220/EXC.RATE_2,C220*EXC.RATE_2),CURRENCY.FORMAT_2),CURRENCY.FORMAT_2,0)),'DICTIONARY-5'!$A$2))</f>
        <v/>
      </c>
      <c r="L220" s="670" t="str">
        <f>IFERROR(IF(CURRENCY.FORMAT_1=0,CONCATENATE(TEXT(FIXED(ROUND((C220*(1-I220)*(1-ADD.DISCOUNT)*(1+MAT.SURCHARGE)/EXC.RATE_1),CURRENCY.FORMAT_1),CURRENCY.FORMAT_1,1),"# ##0;-# ##0"),",-"),FIXED(ROUND((C220*(1-I220)*(1-ADD.DISCOUNT)*(1+MAT.SURCHARGE)/EXC.RATE_1),CURRENCY.FORMAT_1),CURRENCY.FORMAT_1,0)),'DICTIONARY-5'!$A$2)</f>
        <v>691,-</v>
      </c>
      <c r="M220" s="670" t="str">
        <f>IF(EXC.RATE_2=0,"",IFERROR(IF(CURRENCY.FORMAT_2=0,CONCATENATE(TEXT(FIXED(ROUND(IF(EXC.RATE.SWITCH=1,C220*(1-I220)*(1-ADD.DISCOUNT)*(1+MAT.SURCHARGE)/EXC.RATE_2,C220*(1-I220)*(1-ADD.DISCOUNT)*(1+MAT.SURCHARGE)*EXC.RATE_2),CURRENCY.FORMAT_2),CURRENCY.FORMAT_2,1),"# ##0;-# ##0"),",-"),FIXED(ROUND(IF(EXC.RATE.SWITCH=1,C220*(1-I220)*(1-ADD.DISCOUNT)*(1+MAT.SURCHARGE)/EXC.RATE_2,C220*(1-I220)*(1-ADD.DISCOUNT)*(1+MAT.SURCHARGE)*EXC.RATE_2),CURRENCY.FORMAT_2),CURRENCY.FORMAT_2,0)),'DICTIONARY-5'!$A$2))</f>
        <v/>
      </c>
      <c r="N220" s="496">
        <v>1</v>
      </c>
      <c r="O220" s="496"/>
      <c r="P220" s="731" t="str">
        <f>'DICTIONARY-3'!$A$4</f>
        <v>EKOplus PE</v>
      </c>
      <c r="Q220" s="732" t="str">
        <f>'DICTIONARY-3'!$A$187</f>
        <v>Zasuwa klinowa</v>
      </c>
      <c r="R220" s="732" t="str">
        <f>CONCATENATE('DICTIONARY-3'!$A$4," ",'DICTIONARY-6'!$A$3," ",'DICTIONARY-2'!$A$2,"125"," ",'DICTIONARY-2'!$A$5,"140"," ",'DICTIONARY-5'!$A$59," ",'DICTIONARY-2'!$A$10,"16",'DICTIONARY-2'!$A$20,", ",'DICTIONARY-4'!$A$2)</f>
        <v>EKOplus PE Zasuwa DN125 Da140 SDR 11 PS16bar, WW</v>
      </c>
      <c r="S220" s="733" t="str">
        <f>'DICTIONARY-4'!$A$2</f>
        <v>WW</v>
      </c>
      <c r="T220" s="732" t="str">
        <f>'DICTIONARY-4'!$A$18</f>
        <v>Wolny wałek</v>
      </c>
      <c r="U220" s="734" t="s">
        <v>5761</v>
      </c>
      <c r="V220" s="735"/>
      <c r="W220" s="744" t="s">
        <v>7341</v>
      </c>
      <c r="X220" s="737"/>
      <c r="Y220" s="738"/>
      <c r="Z220" s="739"/>
      <c r="AA220" s="739"/>
      <c r="AB220" s="740">
        <v>16</v>
      </c>
      <c r="AC220" s="733">
        <v>862</v>
      </c>
      <c r="AD220" s="741" t="str">
        <f>'DICTIONARY-5'!$A$13</f>
        <v>woda pitna</v>
      </c>
      <c r="AE220" s="742">
        <v>50</v>
      </c>
      <c r="AF220" s="743">
        <v>32</v>
      </c>
      <c r="AG220" s="741" t="str">
        <f>'DICTIONARY-5'!$A$23</f>
        <v>powłoka epoksydowa</v>
      </c>
    </row>
    <row r="221" spans="1:33" x14ac:dyDescent="0.25">
      <c r="A221" s="837" t="s">
        <v>273</v>
      </c>
      <c r="B221" s="837" t="s">
        <v>3431</v>
      </c>
      <c r="C221" s="836">
        <v>803</v>
      </c>
      <c r="D221" s="836"/>
      <c r="E221" s="836"/>
      <c r="F221" s="836"/>
      <c r="G221" s="496" t="s">
        <v>7791</v>
      </c>
      <c r="H221" s="797" t="str">
        <f>VLOOKUP(G221,SETTINGS!$B$7:$D$97,2,0)</f>
        <v>EKOplus PE Water</v>
      </c>
      <c r="I221" s="796">
        <f>VLOOKUP(G221,SETTINGS!$B$7:$D$97,3,0)</f>
        <v>0</v>
      </c>
      <c r="J221" s="670" t="str">
        <f>IFERROR(IF(CURRENCY.FORMAT_1=0,CONCATENATE(TEXT(FIXED(ROUND((C221/EXC.RATE_1),CURRENCY.FORMAT_1),CURRENCY.FORMAT_1,1),"# ##0;-# ##0"),",-"),FIXED(ROUND((C221/EXC.RATE_1),CURRENCY.FORMAT_1),CURRENCY.FORMAT_1,0)),'DICTIONARY-5'!$A$2)</f>
        <v>803,-</v>
      </c>
      <c r="K221" s="670" t="str">
        <f>IF(EXC.RATE_2=0,"",IFERROR(IF(CURRENCY.FORMAT_2=0,CONCATENATE(TEXT(FIXED(ROUND(IF(EXC.RATE.SWITCH=1,C221/EXC.RATE_2,C221*EXC.RATE_2),CURRENCY.FORMAT_2),CURRENCY.FORMAT_2,1),"# ##0;-# ##0"),",-"),FIXED(ROUND(IF(EXC.RATE.SWITCH=1,C221/EXC.RATE_2,C221*EXC.RATE_2),CURRENCY.FORMAT_2),CURRENCY.FORMAT_2,0)),'DICTIONARY-5'!$A$2))</f>
        <v/>
      </c>
      <c r="L221" s="670" t="str">
        <f>IFERROR(IF(CURRENCY.FORMAT_1=0,CONCATENATE(TEXT(FIXED(ROUND((C221*(1-I221)*(1-ADD.DISCOUNT)*(1+MAT.SURCHARGE)/EXC.RATE_1),CURRENCY.FORMAT_1),CURRENCY.FORMAT_1,1),"# ##0;-# ##0"),",-"),FIXED(ROUND((C221*(1-I221)*(1-ADD.DISCOUNT)*(1+MAT.SURCHARGE)/EXC.RATE_1),CURRENCY.FORMAT_1),CURRENCY.FORMAT_1,0)),'DICTIONARY-5'!$A$2)</f>
        <v>834,-</v>
      </c>
      <c r="M221" s="670" t="str">
        <f>IF(EXC.RATE_2=0,"",IFERROR(IF(CURRENCY.FORMAT_2=0,CONCATENATE(TEXT(FIXED(ROUND(IF(EXC.RATE.SWITCH=1,C221*(1-I221)*(1-ADD.DISCOUNT)*(1+MAT.SURCHARGE)/EXC.RATE_2,C221*(1-I221)*(1-ADD.DISCOUNT)*(1+MAT.SURCHARGE)*EXC.RATE_2),CURRENCY.FORMAT_2),CURRENCY.FORMAT_2,1),"# ##0;-# ##0"),",-"),FIXED(ROUND(IF(EXC.RATE.SWITCH=1,C221*(1-I221)*(1-ADD.DISCOUNT)*(1+MAT.SURCHARGE)/EXC.RATE_2,C221*(1-I221)*(1-ADD.DISCOUNT)*(1+MAT.SURCHARGE)*EXC.RATE_2),CURRENCY.FORMAT_2),CURRENCY.FORMAT_2,0)),'DICTIONARY-5'!$A$2))</f>
        <v/>
      </c>
      <c r="N221" s="496">
        <v>1</v>
      </c>
      <c r="O221" s="496"/>
      <c r="P221" s="731" t="str">
        <f>'DICTIONARY-3'!$A$4</f>
        <v>EKOplus PE</v>
      </c>
      <c r="Q221" s="732" t="str">
        <f>'DICTIONARY-3'!$A$187</f>
        <v>Zasuwa klinowa</v>
      </c>
      <c r="R221" s="732" t="str">
        <f>CONCATENATE('DICTIONARY-3'!$A$4," ",'DICTIONARY-6'!$A$3," ",'DICTIONARY-2'!$A$2,"150"," ",'DICTIONARY-2'!$A$5,"160"," ",'DICTIONARY-5'!$A$59," ",'DICTIONARY-2'!$A$10,"16",'DICTIONARY-2'!$A$20,", ",'DICTIONARY-4'!$A$2)</f>
        <v>EKOplus PE Zasuwa DN150 Da160 SDR 11 PS16bar, WW</v>
      </c>
      <c r="S221" s="733" t="str">
        <f>'DICTIONARY-4'!$A$2</f>
        <v>WW</v>
      </c>
      <c r="T221" s="732" t="str">
        <f>'DICTIONARY-4'!$A$18</f>
        <v>Wolny wałek</v>
      </c>
      <c r="U221" s="734" t="s">
        <v>5572</v>
      </c>
      <c r="V221" s="735"/>
      <c r="W221" s="744" t="s">
        <v>7342</v>
      </c>
      <c r="X221" s="737"/>
      <c r="Y221" s="738"/>
      <c r="Z221" s="739"/>
      <c r="AA221" s="739"/>
      <c r="AB221" s="740">
        <v>16</v>
      </c>
      <c r="AC221" s="733">
        <v>902</v>
      </c>
      <c r="AD221" s="741" t="str">
        <f>'DICTIONARY-5'!$A$13</f>
        <v>woda pitna</v>
      </c>
      <c r="AE221" s="742">
        <v>50</v>
      </c>
      <c r="AF221" s="743">
        <v>44</v>
      </c>
      <c r="AG221" s="741" t="str">
        <f>'DICTIONARY-5'!$A$23</f>
        <v>powłoka epoksydowa</v>
      </c>
    </row>
    <row r="222" spans="1:33" x14ac:dyDescent="0.25">
      <c r="A222" s="837" t="s">
        <v>274</v>
      </c>
      <c r="B222" s="837" t="s">
        <v>3441</v>
      </c>
      <c r="C222" s="836">
        <v>892</v>
      </c>
      <c r="D222" s="836"/>
      <c r="E222" s="836"/>
      <c r="F222" s="836"/>
      <c r="G222" s="496" t="s">
        <v>7791</v>
      </c>
      <c r="H222" s="797" t="str">
        <f>VLOOKUP(G222,SETTINGS!$B$7:$D$97,2,0)</f>
        <v>EKOplus PE Water</v>
      </c>
      <c r="I222" s="796">
        <f>VLOOKUP(G222,SETTINGS!$B$7:$D$97,3,0)</f>
        <v>0</v>
      </c>
      <c r="J222" s="670" t="str">
        <f>IFERROR(IF(CURRENCY.FORMAT_1=0,CONCATENATE(TEXT(FIXED(ROUND((C222/EXC.RATE_1),CURRENCY.FORMAT_1),CURRENCY.FORMAT_1,1),"# ##0;-# ##0"),",-"),FIXED(ROUND((C222/EXC.RATE_1),CURRENCY.FORMAT_1),CURRENCY.FORMAT_1,0)),'DICTIONARY-5'!$A$2)</f>
        <v>892,-</v>
      </c>
      <c r="K222" s="670" t="str">
        <f>IF(EXC.RATE_2=0,"",IFERROR(IF(CURRENCY.FORMAT_2=0,CONCATENATE(TEXT(FIXED(ROUND(IF(EXC.RATE.SWITCH=1,C222/EXC.RATE_2,C222*EXC.RATE_2),CURRENCY.FORMAT_2),CURRENCY.FORMAT_2,1),"# ##0;-# ##0"),",-"),FIXED(ROUND(IF(EXC.RATE.SWITCH=1,C222/EXC.RATE_2,C222*EXC.RATE_2),CURRENCY.FORMAT_2),CURRENCY.FORMAT_2,0)),'DICTIONARY-5'!$A$2))</f>
        <v/>
      </c>
      <c r="L222" s="670" t="str">
        <f>IFERROR(IF(CURRENCY.FORMAT_1=0,CONCATENATE(TEXT(FIXED(ROUND((C222*(1-I222)*(1-ADD.DISCOUNT)*(1+MAT.SURCHARGE)/EXC.RATE_1),CURRENCY.FORMAT_1),CURRENCY.FORMAT_1,1),"# ##0;-# ##0"),",-"),FIXED(ROUND((C222*(1-I222)*(1-ADD.DISCOUNT)*(1+MAT.SURCHARGE)/EXC.RATE_1),CURRENCY.FORMAT_1),CURRENCY.FORMAT_1,0)),'DICTIONARY-5'!$A$2)</f>
        <v>927,-</v>
      </c>
      <c r="M222" s="670" t="str">
        <f>IF(EXC.RATE_2=0,"",IFERROR(IF(CURRENCY.FORMAT_2=0,CONCATENATE(TEXT(FIXED(ROUND(IF(EXC.RATE.SWITCH=1,C222*(1-I222)*(1-ADD.DISCOUNT)*(1+MAT.SURCHARGE)/EXC.RATE_2,C222*(1-I222)*(1-ADD.DISCOUNT)*(1+MAT.SURCHARGE)*EXC.RATE_2),CURRENCY.FORMAT_2),CURRENCY.FORMAT_2,1),"# ##0;-# ##0"),",-"),FIXED(ROUND(IF(EXC.RATE.SWITCH=1,C222*(1-I222)*(1-ADD.DISCOUNT)*(1+MAT.SURCHARGE)/EXC.RATE_2,C222*(1-I222)*(1-ADD.DISCOUNT)*(1+MAT.SURCHARGE)*EXC.RATE_2),CURRENCY.FORMAT_2),CURRENCY.FORMAT_2,0)),'DICTIONARY-5'!$A$2))</f>
        <v/>
      </c>
      <c r="N222" s="496">
        <v>1</v>
      </c>
      <c r="O222" s="496"/>
      <c r="P222" s="731" t="str">
        <f>'DICTIONARY-3'!$A$4</f>
        <v>EKOplus PE</v>
      </c>
      <c r="Q222" s="732" t="str">
        <f>'DICTIONARY-3'!$A$187</f>
        <v>Zasuwa klinowa</v>
      </c>
      <c r="R222" s="732" t="str">
        <f>CONCATENATE('DICTIONARY-3'!$A$4," ",'DICTIONARY-6'!$A$3," ",'DICTIONARY-2'!$A$2,"150"," ",'DICTIONARY-2'!$A$5,"180"," ",'DICTIONARY-5'!$A$59," ",'DICTIONARY-2'!$A$10,"16",'DICTIONARY-2'!$A$20,", ",'DICTIONARY-4'!$A$2)</f>
        <v>EKOplus PE Zasuwa DN150 Da180 SDR 11 PS16bar, WW</v>
      </c>
      <c r="S222" s="733" t="str">
        <f>'DICTIONARY-4'!$A$2</f>
        <v>WW</v>
      </c>
      <c r="T222" s="732" t="str">
        <f>'DICTIONARY-4'!$A$18</f>
        <v>Wolny wałek</v>
      </c>
      <c r="U222" s="734" t="s">
        <v>5572</v>
      </c>
      <c r="V222" s="735"/>
      <c r="W222" s="744" t="s">
        <v>7343</v>
      </c>
      <c r="X222" s="737"/>
      <c r="Y222" s="738"/>
      <c r="Z222" s="739"/>
      <c r="AA222" s="739"/>
      <c r="AB222" s="740">
        <v>16</v>
      </c>
      <c r="AC222" s="733">
        <v>982</v>
      </c>
      <c r="AD222" s="741" t="str">
        <f>'DICTIONARY-5'!$A$13</f>
        <v>woda pitna</v>
      </c>
      <c r="AE222" s="742">
        <v>50</v>
      </c>
      <c r="AF222" s="743">
        <v>47.5</v>
      </c>
      <c r="AG222" s="741" t="str">
        <f>'DICTIONARY-5'!$A$23</f>
        <v>powłoka epoksydowa</v>
      </c>
    </row>
    <row r="223" spans="1:33" x14ac:dyDescent="0.25">
      <c r="A223" s="837" t="s">
        <v>275</v>
      </c>
      <c r="B223" s="837" t="s">
        <v>3443</v>
      </c>
      <c r="C223" s="836">
        <v>1272</v>
      </c>
      <c r="D223" s="836"/>
      <c r="E223" s="836"/>
      <c r="F223" s="836"/>
      <c r="G223" s="496" t="s">
        <v>7791</v>
      </c>
      <c r="H223" s="797" t="str">
        <f>VLOOKUP(G223,SETTINGS!$B$7:$D$97,2,0)</f>
        <v>EKOplus PE Water</v>
      </c>
      <c r="I223" s="796">
        <f>VLOOKUP(G223,SETTINGS!$B$7:$D$97,3,0)</f>
        <v>0</v>
      </c>
      <c r="J223" s="670" t="str">
        <f>IFERROR(IF(CURRENCY.FORMAT_1=0,CONCATENATE(TEXT(FIXED(ROUND((C223/EXC.RATE_1),CURRENCY.FORMAT_1),CURRENCY.FORMAT_1,1),"# ##0;-# ##0"),",-"),FIXED(ROUND((C223/EXC.RATE_1),CURRENCY.FORMAT_1),CURRENCY.FORMAT_1,0)),'DICTIONARY-5'!$A$2)</f>
        <v>1 272,-</v>
      </c>
      <c r="K223" s="670" t="str">
        <f>IF(EXC.RATE_2=0,"",IFERROR(IF(CURRENCY.FORMAT_2=0,CONCATENATE(TEXT(FIXED(ROUND(IF(EXC.RATE.SWITCH=1,C223/EXC.RATE_2,C223*EXC.RATE_2),CURRENCY.FORMAT_2),CURRENCY.FORMAT_2,1),"# ##0;-# ##0"),",-"),FIXED(ROUND(IF(EXC.RATE.SWITCH=1,C223/EXC.RATE_2,C223*EXC.RATE_2),CURRENCY.FORMAT_2),CURRENCY.FORMAT_2,0)),'DICTIONARY-5'!$A$2))</f>
        <v/>
      </c>
      <c r="L223" s="670" t="str">
        <f>IFERROR(IF(CURRENCY.FORMAT_1=0,CONCATENATE(TEXT(FIXED(ROUND((C223*(1-I223)*(1-ADD.DISCOUNT)*(1+MAT.SURCHARGE)/EXC.RATE_1),CURRENCY.FORMAT_1),CURRENCY.FORMAT_1,1),"# ##0;-# ##0"),",-"),FIXED(ROUND((C223*(1-I223)*(1-ADD.DISCOUNT)*(1+MAT.SURCHARGE)/EXC.RATE_1),CURRENCY.FORMAT_1),CURRENCY.FORMAT_1,0)),'DICTIONARY-5'!$A$2)</f>
        <v>1 322,-</v>
      </c>
      <c r="M223" s="670" t="str">
        <f>IF(EXC.RATE_2=0,"",IFERROR(IF(CURRENCY.FORMAT_2=0,CONCATENATE(TEXT(FIXED(ROUND(IF(EXC.RATE.SWITCH=1,C223*(1-I223)*(1-ADD.DISCOUNT)*(1+MAT.SURCHARGE)/EXC.RATE_2,C223*(1-I223)*(1-ADD.DISCOUNT)*(1+MAT.SURCHARGE)*EXC.RATE_2),CURRENCY.FORMAT_2),CURRENCY.FORMAT_2,1),"# ##0;-# ##0"),",-"),FIXED(ROUND(IF(EXC.RATE.SWITCH=1,C223*(1-I223)*(1-ADD.DISCOUNT)*(1+MAT.SURCHARGE)/EXC.RATE_2,C223*(1-I223)*(1-ADD.DISCOUNT)*(1+MAT.SURCHARGE)*EXC.RATE_2),CURRENCY.FORMAT_2),CURRENCY.FORMAT_2,0)),'DICTIONARY-5'!$A$2))</f>
        <v/>
      </c>
      <c r="N223" s="496">
        <v>1</v>
      </c>
      <c r="O223" s="496"/>
      <c r="P223" s="731" t="str">
        <f>'DICTIONARY-3'!$A$4</f>
        <v>EKOplus PE</v>
      </c>
      <c r="Q223" s="732" t="str">
        <f>'DICTIONARY-3'!$A$187</f>
        <v>Zasuwa klinowa</v>
      </c>
      <c r="R223" s="732" t="str">
        <f>CONCATENATE('DICTIONARY-3'!$A$4," ",'DICTIONARY-6'!$A$3," ",'DICTIONARY-2'!$A$2,"200"," ",'DICTIONARY-2'!$A$5,"200"," ",'DICTIONARY-5'!$A$59," ",'DICTIONARY-2'!$A$10,"16",'DICTIONARY-2'!$A$20,", ",'DICTIONARY-4'!$A$2)</f>
        <v>EKOplus PE Zasuwa DN200 Da200 SDR 11 PS16bar, WW</v>
      </c>
      <c r="S223" s="733" t="str">
        <f>'DICTIONARY-4'!$A$2</f>
        <v>WW</v>
      </c>
      <c r="T223" s="732" t="str">
        <f>'DICTIONARY-4'!$A$18</f>
        <v>Wolny wałek</v>
      </c>
      <c r="U223" s="734" t="s">
        <v>5750</v>
      </c>
      <c r="V223" s="735"/>
      <c r="W223" s="744" t="s">
        <v>5750</v>
      </c>
      <c r="X223" s="737"/>
      <c r="Y223" s="738"/>
      <c r="Z223" s="739"/>
      <c r="AA223" s="739"/>
      <c r="AB223" s="740">
        <v>16</v>
      </c>
      <c r="AC223" s="733">
        <v>1099</v>
      </c>
      <c r="AD223" s="741" t="str">
        <f>'DICTIONARY-5'!$A$13</f>
        <v>woda pitna</v>
      </c>
      <c r="AE223" s="742">
        <v>50</v>
      </c>
      <c r="AF223" s="743">
        <v>80</v>
      </c>
      <c r="AG223" s="741" t="str">
        <f>'DICTIONARY-5'!$A$23</f>
        <v>powłoka epoksydowa</v>
      </c>
    </row>
    <row r="224" spans="1:33" x14ac:dyDescent="0.25">
      <c r="A224" s="837" t="s">
        <v>276</v>
      </c>
      <c r="B224" s="837" t="s">
        <v>3433</v>
      </c>
      <c r="C224" s="836">
        <v>1490</v>
      </c>
      <c r="D224" s="836"/>
      <c r="E224" s="836"/>
      <c r="F224" s="836"/>
      <c r="G224" s="496" t="s">
        <v>7791</v>
      </c>
      <c r="H224" s="797" t="str">
        <f>VLOOKUP(G224,SETTINGS!$B$7:$D$97,2,0)</f>
        <v>EKOplus PE Water</v>
      </c>
      <c r="I224" s="796">
        <f>VLOOKUP(G224,SETTINGS!$B$7:$D$97,3,0)</f>
        <v>0</v>
      </c>
      <c r="J224" s="670" t="str">
        <f>IFERROR(IF(CURRENCY.FORMAT_1=0,CONCATENATE(TEXT(FIXED(ROUND((C224/EXC.RATE_1),CURRENCY.FORMAT_1),CURRENCY.FORMAT_1,1),"# ##0;-# ##0"),",-"),FIXED(ROUND((C224/EXC.RATE_1),CURRENCY.FORMAT_1),CURRENCY.FORMAT_1,0)),'DICTIONARY-5'!$A$2)</f>
        <v>1 490,-</v>
      </c>
      <c r="K224" s="670" t="str">
        <f>IF(EXC.RATE_2=0,"",IFERROR(IF(CURRENCY.FORMAT_2=0,CONCATENATE(TEXT(FIXED(ROUND(IF(EXC.RATE.SWITCH=1,C224/EXC.RATE_2,C224*EXC.RATE_2),CURRENCY.FORMAT_2),CURRENCY.FORMAT_2,1),"# ##0;-# ##0"),",-"),FIXED(ROUND(IF(EXC.RATE.SWITCH=1,C224/EXC.RATE_2,C224*EXC.RATE_2),CURRENCY.FORMAT_2),CURRENCY.FORMAT_2,0)),'DICTIONARY-5'!$A$2))</f>
        <v/>
      </c>
      <c r="L224" s="670" t="str">
        <f>IFERROR(IF(CURRENCY.FORMAT_1=0,CONCATENATE(TEXT(FIXED(ROUND((C224*(1-I224)*(1-ADD.DISCOUNT)*(1+MAT.SURCHARGE)/EXC.RATE_1),CURRENCY.FORMAT_1),CURRENCY.FORMAT_1,1),"# ##0;-# ##0"),",-"),FIXED(ROUND((C224*(1-I224)*(1-ADD.DISCOUNT)*(1+MAT.SURCHARGE)/EXC.RATE_1),CURRENCY.FORMAT_1),CURRENCY.FORMAT_1,0)),'DICTIONARY-5'!$A$2)</f>
        <v>1 548,-</v>
      </c>
      <c r="M224" s="670" t="str">
        <f>IF(EXC.RATE_2=0,"",IFERROR(IF(CURRENCY.FORMAT_2=0,CONCATENATE(TEXT(FIXED(ROUND(IF(EXC.RATE.SWITCH=1,C224*(1-I224)*(1-ADD.DISCOUNT)*(1+MAT.SURCHARGE)/EXC.RATE_2,C224*(1-I224)*(1-ADD.DISCOUNT)*(1+MAT.SURCHARGE)*EXC.RATE_2),CURRENCY.FORMAT_2),CURRENCY.FORMAT_2,1),"# ##0;-# ##0"),",-"),FIXED(ROUND(IF(EXC.RATE.SWITCH=1,C224*(1-I224)*(1-ADD.DISCOUNT)*(1+MAT.SURCHARGE)/EXC.RATE_2,C224*(1-I224)*(1-ADD.DISCOUNT)*(1+MAT.SURCHARGE)*EXC.RATE_2),CURRENCY.FORMAT_2),CURRENCY.FORMAT_2,0)),'DICTIONARY-5'!$A$2))</f>
        <v/>
      </c>
      <c r="N224" s="496">
        <v>1</v>
      </c>
      <c r="O224" s="496"/>
      <c r="P224" s="731" t="str">
        <f>'DICTIONARY-3'!$A$4</f>
        <v>EKOplus PE</v>
      </c>
      <c r="Q224" s="732" t="str">
        <f>'DICTIONARY-3'!$A$187</f>
        <v>Zasuwa klinowa</v>
      </c>
      <c r="R224" s="732" t="str">
        <f>CONCATENATE('DICTIONARY-3'!$A$4," ",'DICTIONARY-6'!$A$3," ",'DICTIONARY-2'!$A$2,"200"," ",'DICTIONARY-2'!$A$5,"225"," ",'DICTIONARY-5'!$A$59," ",'DICTIONARY-2'!$A$10,"16",'DICTIONARY-2'!$A$20,", ",'DICTIONARY-4'!$A$2)</f>
        <v>EKOplus PE Zasuwa DN200 Da225 SDR 11 PS16bar, WW</v>
      </c>
      <c r="S224" s="733" t="str">
        <f>'DICTIONARY-4'!$A$2</f>
        <v>WW</v>
      </c>
      <c r="T224" s="732" t="str">
        <f>'DICTIONARY-4'!$A$18</f>
        <v>Wolny wałek</v>
      </c>
      <c r="U224" s="734" t="s">
        <v>5750</v>
      </c>
      <c r="V224" s="735"/>
      <c r="W224" s="744" t="s">
        <v>5833</v>
      </c>
      <c r="X224" s="737"/>
      <c r="Y224" s="738"/>
      <c r="Z224" s="739"/>
      <c r="AA224" s="739"/>
      <c r="AB224" s="740">
        <v>16</v>
      </c>
      <c r="AC224" s="733">
        <v>1129</v>
      </c>
      <c r="AD224" s="741" t="str">
        <f>'DICTIONARY-5'!$A$13</f>
        <v>woda pitna</v>
      </c>
      <c r="AE224" s="742">
        <v>50</v>
      </c>
      <c r="AF224" s="743">
        <v>87.5</v>
      </c>
      <c r="AG224" s="741" t="str">
        <f>'DICTIONARY-5'!$A$23</f>
        <v>powłoka epoksydowa</v>
      </c>
    </row>
    <row r="225" spans="1:33" x14ac:dyDescent="0.25">
      <c r="A225" s="837" t="s">
        <v>277</v>
      </c>
      <c r="B225" s="837" t="s">
        <v>3445</v>
      </c>
      <c r="C225" s="836">
        <v>3604</v>
      </c>
      <c r="D225" s="836"/>
      <c r="E225" s="836"/>
      <c r="F225" s="836"/>
      <c r="G225" s="496" t="s">
        <v>7791</v>
      </c>
      <c r="H225" s="797" t="str">
        <f>VLOOKUP(G225,SETTINGS!$B$7:$D$97,2,0)</f>
        <v>EKOplus PE Water</v>
      </c>
      <c r="I225" s="796">
        <f>VLOOKUP(G225,SETTINGS!$B$7:$D$97,3,0)</f>
        <v>0</v>
      </c>
      <c r="J225" s="670" t="str">
        <f>IFERROR(IF(CURRENCY.FORMAT_1=0,CONCATENATE(TEXT(FIXED(ROUND((C225/EXC.RATE_1),CURRENCY.FORMAT_1),CURRENCY.FORMAT_1,1),"# ##0;-# ##0"),",-"),FIXED(ROUND((C225/EXC.RATE_1),CURRENCY.FORMAT_1),CURRENCY.FORMAT_1,0)),'DICTIONARY-5'!$A$2)</f>
        <v>3 604,-</v>
      </c>
      <c r="K225" s="670" t="str">
        <f>IF(EXC.RATE_2=0,"",IFERROR(IF(CURRENCY.FORMAT_2=0,CONCATENATE(TEXT(FIXED(ROUND(IF(EXC.RATE.SWITCH=1,C225/EXC.RATE_2,C225*EXC.RATE_2),CURRENCY.FORMAT_2),CURRENCY.FORMAT_2,1),"# ##0;-# ##0"),",-"),FIXED(ROUND(IF(EXC.RATE.SWITCH=1,C225/EXC.RATE_2,C225*EXC.RATE_2),CURRENCY.FORMAT_2),CURRENCY.FORMAT_2,0)),'DICTIONARY-5'!$A$2))</f>
        <v/>
      </c>
      <c r="L225" s="670" t="str">
        <f>IFERROR(IF(CURRENCY.FORMAT_1=0,CONCATENATE(TEXT(FIXED(ROUND((C225*(1-I225)*(1-ADD.DISCOUNT)*(1+MAT.SURCHARGE)/EXC.RATE_1),CURRENCY.FORMAT_1),CURRENCY.FORMAT_1,1),"# ##0;-# ##0"),",-"),FIXED(ROUND((C225*(1-I225)*(1-ADD.DISCOUNT)*(1+MAT.SURCHARGE)/EXC.RATE_1),CURRENCY.FORMAT_1),CURRENCY.FORMAT_1,0)),'DICTIONARY-5'!$A$2)</f>
        <v>3 745,-</v>
      </c>
      <c r="M225" s="670" t="str">
        <f>IF(EXC.RATE_2=0,"",IFERROR(IF(CURRENCY.FORMAT_2=0,CONCATENATE(TEXT(FIXED(ROUND(IF(EXC.RATE.SWITCH=1,C225*(1-I225)*(1-ADD.DISCOUNT)*(1+MAT.SURCHARGE)/EXC.RATE_2,C225*(1-I225)*(1-ADD.DISCOUNT)*(1+MAT.SURCHARGE)*EXC.RATE_2),CURRENCY.FORMAT_2),CURRENCY.FORMAT_2,1),"# ##0;-# ##0"),",-"),FIXED(ROUND(IF(EXC.RATE.SWITCH=1,C225*(1-I225)*(1-ADD.DISCOUNT)*(1+MAT.SURCHARGE)/EXC.RATE_2,C225*(1-I225)*(1-ADD.DISCOUNT)*(1+MAT.SURCHARGE)*EXC.RATE_2),CURRENCY.FORMAT_2),CURRENCY.FORMAT_2,0)),'DICTIONARY-5'!$A$2))</f>
        <v/>
      </c>
      <c r="N225" s="496">
        <v>1</v>
      </c>
      <c r="O225" s="496"/>
      <c r="P225" s="731" t="str">
        <f>'DICTIONARY-3'!$A$4</f>
        <v>EKOplus PE</v>
      </c>
      <c r="Q225" s="732" t="str">
        <f>'DICTIONARY-3'!$A$187</f>
        <v>Zasuwa klinowa</v>
      </c>
      <c r="R225" s="732" t="str">
        <f>CONCATENATE('DICTIONARY-3'!$A$4," ",'DICTIONARY-6'!$A$3," ",'DICTIONARY-2'!$A$2,"250"," ",'DICTIONARY-2'!$A$5,"250"," ",'DICTIONARY-5'!$A$59," ",'DICTIONARY-2'!$A$10,"16",'DICTIONARY-2'!$A$20,", ",'DICTIONARY-4'!$A$2)</f>
        <v>EKOplus PE Zasuwa DN250 Da250 SDR 11 PS16bar, WW</v>
      </c>
      <c r="S225" s="733" t="str">
        <f>'DICTIONARY-4'!$A$2</f>
        <v>WW</v>
      </c>
      <c r="T225" s="732" t="str">
        <f>'DICTIONARY-4'!$A$18</f>
        <v>Wolny wałek</v>
      </c>
      <c r="U225" s="734" t="s">
        <v>5751</v>
      </c>
      <c r="V225" s="735"/>
      <c r="W225" s="744" t="s">
        <v>5751</v>
      </c>
      <c r="X225" s="737"/>
      <c r="Y225" s="738"/>
      <c r="Z225" s="739"/>
      <c r="AA225" s="739"/>
      <c r="AB225" s="740">
        <v>16</v>
      </c>
      <c r="AC225" s="733">
        <v>1388</v>
      </c>
      <c r="AD225" s="741" t="str">
        <f>'DICTIONARY-5'!$A$13</f>
        <v>woda pitna</v>
      </c>
      <c r="AE225" s="742">
        <v>50</v>
      </c>
      <c r="AF225" s="743">
        <v>166</v>
      </c>
      <c r="AG225" s="741" t="str">
        <f>'DICTIONARY-5'!$A$23</f>
        <v>powłoka epoksydowa</v>
      </c>
    </row>
    <row r="226" spans="1:33" x14ac:dyDescent="0.25">
      <c r="A226" s="837" t="s">
        <v>278</v>
      </c>
      <c r="B226" s="837" t="s">
        <v>3435</v>
      </c>
      <c r="C226" s="836">
        <v>3334</v>
      </c>
      <c r="D226" s="836"/>
      <c r="E226" s="836"/>
      <c r="F226" s="836"/>
      <c r="G226" s="496" t="s">
        <v>7791</v>
      </c>
      <c r="H226" s="797" t="str">
        <f>VLOOKUP(G226,SETTINGS!$B$7:$D$97,2,0)</f>
        <v>EKOplus PE Water</v>
      </c>
      <c r="I226" s="796">
        <f>VLOOKUP(G226,SETTINGS!$B$7:$D$97,3,0)</f>
        <v>0</v>
      </c>
      <c r="J226" s="670" t="str">
        <f>IFERROR(IF(CURRENCY.FORMAT_1=0,CONCATENATE(TEXT(FIXED(ROUND((C226/EXC.RATE_1),CURRENCY.FORMAT_1),CURRENCY.FORMAT_1,1),"# ##0;-# ##0"),",-"),FIXED(ROUND((C226/EXC.RATE_1),CURRENCY.FORMAT_1),CURRENCY.FORMAT_1,0)),'DICTIONARY-5'!$A$2)</f>
        <v>3 334,-</v>
      </c>
      <c r="K226" s="670" t="str">
        <f>IF(EXC.RATE_2=0,"",IFERROR(IF(CURRENCY.FORMAT_2=0,CONCATENATE(TEXT(FIXED(ROUND(IF(EXC.RATE.SWITCH=1,C226/EXC.RATE_2,C226*EXC.RATE_2),CURRENCY.FORMAT_2),CURRENCY.FORMAT_2,1),"# ##0;-# ##0"),",-"),FIXED(ROUND(IF(EXC.RATE.SWITCH=1,C226/EXC.RATE_2,C226*EXC.RATE_2),CURRENCY.FORMAT_2),CURRENCY.FORMAT_2,0)),'DICTIONARY-5'!$A$2))</f>
        <v/>
      </c>
      <c r="L226" s="670" t="str">
        <f>IFERROR(IF(CURRENCY.FORMAT_1=0,CONCATENATE(TEXT(FIXED(ROUND((C226*(1-I226)*(1-ADD.DISCOUNT)*(1+MAT.SURCHARGE)/EXC.RATE_1),CURRENCY.FORMAT_1),CURRENCY.FORMAT_1,1),"# ##0;-# ##0"),",-"),FIXED(ROUND((C226*(1-I226)*(1-ADD.DISCOUNT)*(1+MAT.SURCHARGE)/EXC.RATE_1),CURRENCY.FORMAT_1),CURRENCY.FORMAT_1,0)),'DICTIONARY-5'!$A$2)</f>
        <v>3 464,-</v>
      </c>
      <c r="M226" s="670" t="str">
        <f>IF(EXC.RATE_2=0,"",IFERROR(IF(CURRENCY.FORMAT_2=0,CONCATENATE(TEXT(FIXED(ROUND(IF(EXC.RATE.SWITCH=1,C226*(1-I226)*(1-ADD.DISCOUNT)*(1+MAT.SURCHARGE)/EXC.RATE_2,C226*(1-I226)*(1-ADD.DISCOUNT)*(1+MAT.SURCHARGE)*EXC.RATE_2),CURRENCY.FORMAT_2),CURRENCY.FORMAT_2,1),"# ##0;-# ##0"),",-"),FIXED(ROUND(IF(EXC.RATE.SWITCH=1,C226*(1-I226)*(1-ADD.DISCOUNT)*(1+MAT.SURCHARGE)/EXC.RATE_2,C226*(1-I226)*(1-ADD.DISCOUNT)*(1+MAT.SURCHARGE)*EXC.RATE_2),CURRENCY.FORMAT_2),CURRENCY.FORMAT_2,0)),'DICTIONARY-5'!$A$2))</f>
        <v/>
      </c>
      <c r="N226" s="496">
        <v>1</v>
      </c>
      <c r="O226" s="496"/>
      <c r="P226" s="731" t="str">
        <f>'DICTIONARY-3'!$A$4</f>
        <v>EKOplus PE</v>
      </c>
      <c r="Q226" s="732" t="str">
        <f>'DICTIONARY-3'!$A$187</f>
        <v>Zasuwa klinowa</v>
      </c>
      <c r="R226" s="732" t="str">
        <f>CONCATENATE('DICTIONARY-3'!$A$4," ",'DICTIONARY-6'!$A$3," ",'DICTIONARY-2'!$A$2,"250"," ",'DICTIONARY-2'!$A$5,"280"," ",'DICTIONARY-5'!$A$59," ",'DICTIONARY-2'!$A$10,"16",'DICTIONARY-2'!$A$20,", ",'DICTIONARY-4'!$A$2)</f>
        <v>EKOplus PE Zasuwa DN250 Da280 SDR 11 PS16bar, WW</v>
      </c>
      <c r="S226" s="733" t="str">
        <f>'DICTIONARY-4'!$A$2</f>
        <v>WW</v>
      </c>
      <c r="T226" s="732" t="str">
        <f>'DICTIONARY-4'!$A$18</f>
        <v>Wolny wałek</v>
      </c>
      <c r="U226" s="734" t="s">
        <v>5751</v>
      </c>
      <c r="V226" s="735"/>
      <c r="W226" s="744" t="s">
        <v>7344</v>
      </c>
      <c r="X226" s="737"/>
      <c r="Y226" s="738"/>
      <c r="Z226" s="739"/>
      <c r="AA226" s="739"/>
      <c r="AB226" s="740">
        <v>16</v>
      </c>
      <c r="AC226" s="733">
        <v>1428</v>
      </c>
      <c r="AD226" s="741" t="str">
        <f>'DICTIONARY-5'!$A$13</f>
        <v>woda pitna</v>
      </c>
      <c r="AE226" s="742">
        <v>50</v>
      </c>
      <c r="AF226" s="743">
        <v>168</v>
      </c>
      <c r="AG226" s="741" t="str">
        <f>'DICTIONARY-5'!$A$23</f>
        <v>powłoka epoksydowa</v>
      </c>
    </row>
    <row r="227" spans="1:33" x14ac:dyDescent="0.25">
      <c r="A227" s="837" t="s">
        <v>279</v>
      </c>
      <c r="B227" s="837" t="s">
        <v>3437</v>
      </c>
      <c r="C227" s="836">
        <v>3924</v>
      </c>
      <c r="D227" s="836"/>
      <c r="E227" s="836"/>
      <c r="F227" s="836"/>
      <c r="G227" s="496" t="s">
        <v>7791</v>
      </c>
      <c r="H227" s="797" t="str">
        <f>VLOOKUP(G227,SETTINGS!$B$7:$D$97,2,0)</f>
        <v>EKOplus PE Water</v>
      </c>
      <c r="I227" s="796">
        <f>VLOOKUP(G227,SETTINGS!$B$7:$D$97,3,0)</f>
        <v>0</v>
      </c>
      <c r="J227" s="670" t="str">
        <f>IFERROR(IF(CURRENCY.FORMAT_1=0,CONCATENATE(TEXT(FIXED(ROUND((C227/EXC.RATE_1),CURRENCY.FORMAT_1),CURRENCY.FORMAT_1,1),"# ##0;-# ##0"),",-"),FIXED(ROUND((C227/EXC.RATE_1),CURRENCY.FORMAT_1),CURRENCY.FORMAT_1,0)),'DICTIONARY-5'!$A$2)</f>
        <v>3 924,-</v>
      </c>
      <c r="K227" s="670" t="str">
        <f>IF(EXC.RATE_2=0,"",IFERROR(IF(CURRENCY.FORMAT_2=0,CONCATENATE(TEXT(FIXED(ROUND(IF(EXC.RATE.SWITCH=1,C227/EXC.RATE_2,C227*EXC.RATE_2),CURRENCY.FORMAT_2),CURRENCY.FORMAT_2,1),"# ##0;-# ##0"),",-"),FIXED(ROUND(IF(EXC.RATE.SWITCH=1,C227/EXC.RATE_2,C227*EXC.RATE_2),CURRENCY.FORMAT_2),CURRENCY.FORMAT_2,0)),'DICTIONARY-5'!$A$2))</f>
        <v/>
      </c>
      <c r="L227" s="670" t="str">
        <f>IFERROR(IF(CURRENCY.FORMAT_1=0,CONCATENATE(TEXT(FIXED(ROUND((C227*(1-I227)*(1-ADD.DISCOUNT)*(1+MAT.SURCHARGE)/EXC.RATE_1),CURRENCY.FORMAT_1),CURRENCY.FORMAT_1,1),"# ##0;-# ##0"),",-"),FIXED(ROUND((C227*(1-I227)*(1-ADD.DISCOUNT)*(1+MAT.SURCHARGE)/EXC.RATE_1),CURRENCY.FORMAT_1),CURRENCY.FORMAT_1,0)),'DICTIONARY-5'!$A$2)</f>
        <v>4 077,-</v>
      </c>
      <c r="M227" s="670" t="str">
        <f>IF(EXC.RATE_2=0,"",IFERROR(IF(CURRENCY.FORMAT_2=0,CONCATENATE(TEXT(FIXED(ROUND(IF(EXC.RATE.SWITCH=1,C227*(1-I227)*(1-ADD.DISCOUNT)*(1+MAT.SURCHARGE)/EXC.RATE_2,C227*(1-I227)*(1-ADD.DISCOUNT)*(1+MAT.SURCHARGE)*EXC.RATE_2),CURRENCY.FORMAT_2),CURRENCY.FORMAT_2,1),"# ##0;-# ##0"),",-"),FIXED(ROUND(IF(EXC.RATE.SWITCH=1,C227*(1-I227)*(1-ADD.DISCOUNT)*(1+MAT.SURCHARGE)/EXC.RATE_2,C227*(1-I227)*(1-ADD.DISCOUNT)*(1+MAT.SURCHARGE)*EXC.RATE_2),CURRENCY.FORMAT_2),CURRENCY.FORMAT_2,0)),'DICTIONARY-5'!$A$2))</f>
        <v/>
      </c>
      <c r="N227" s="496">
        <v>1</v>
      </c>
      <c r="O227" s="496"/>
      <c r="P227" s="731" t="str">
        <f>'DICTIONARY-3'!$A$4</f>
        <v>EKOplus PE</v>
      </c>
      <c r="Q227" s="732" t="str">
        <f>'DICTIONARY-3'!$A$187</f>
        <v>Zasuwa klinowa</v>
      </c>
      <c r="R227" s="732" t="str">
        <f>CONCATENATE('DICTIONARY-3'!$A$4," ",'DICTIONARY-6'!$A$3," ",'DICTIONARY-2'!$A$2,"300"," ",'DICTIONARY-2'!$A$5,"315"," ",'DICTIONARY-5'!$A$59," ",'DICTIONARY-2'!$A$10,"16",'DICTIONARY-2'!$A$20,", ",'DICTIONARY-4'!$A$2)</f>
        <v>EKOplus PE Zasuwa DN300 Da315 SDR 11 PS16bar, WW</v>
      </c>
      <c r="S227" s="733" t="str">
        <f>'DICTIONARY-4'!$A$2</f>
        <v>WW</v>
      </c>
      <c r="T227" s="732" t="str">
        <f>'DICTIONARY-4'!$A$18</f>
        <v>Wolny wałek</v>
      </c>
      <c r="U227" s="734" t="s">
        <v>5752</v>
      </c>
      <c r="V227" s="735"/>
      <c r="W227" s="744" t="s">
        <v>7345</v>
      </c>
      <c r="X227" s="737"/>
      <c r="Y227" s="738"/>
      <c r="Z227" s="739"/>
      <c r="AA227" s="739"/>
      <c r="AB227" s="740">
        <v>16</v>
      </c>
      <c r="AC227" s="733">
        <v>1520</v>
      </c>
      <c r="AD227" s="741" t="str">
        <f>'DICTIONARY-5'!$A$13</f>
        <v>woda pitna</v>
      </c>
      <c r="AE227" s="742">
        <v>50</v>
      </c>
      <c r="AF227" s="743">
        <v>217</v>
      </c>
      <c r="AG227" s="741" t="str">
        <f>'DICTIONARY-5'!$A$23</f>
        <v>powłoka epoksydowa</v>
      </c>
    </row>
    <row r="228" spans="1:33" x14ac:dyDescent="0.25">
      <c r="A228" s="837" t="s">
        <v>280</v>
      </c>
      <c r="B228" s="837" t="s">
        <v>3410</v>
      </c>
      <c r="C228" s="836">
        <v>221</v>
      </c>
      <c r="D228" s="836"/>
      <c r="E228" s="836"/>
      <c r="F228" s="836"/>
      <c r="G228" s="496" t="s">
        <v>7789</v>
      </c>
      <c r="H228" s="797" t="str">
        <f>VLOOKUP(G228,SETTINGS!$B$7:$D$97,2,0)</f>
        <v>EKOplus</v>
      </c>
      <c r="I228" s="796">
        <f>VLOOKUP(G228,SETTINGS!$B$7:$D$97,3,0)</f>
        <v>0</v>
      </c>
      <c r="J228" s="670" t="str">
        <f>IFERROR(IF(CURRENCY.FORMAT_1=0,CONCATENATE(TEXT(FIXED(ROUND((C228/EXC.RATE_1),CURRENCY.FORMAT_1),CURRENCY.FORMAT_1,1),"# ##0;-# ##0"),",-"),FIXED(ROUND((C228/EXC.RATE_1),CURRENCY.FORMAT_1),CURRENCY.FORMAT_1,0)),'DICTIONARY-5'!$A$2)</f>
        <v>221,-</v>
      </c>
      <c r="K228" s="670" t="str">
        <f>IF(EXC.RATE_2=0,"",IFERROR(IF(CURRENCY.FORMAT_2=0,CONCATENATE(TEXT(FIXED(ROUND(IF(EXC.RATE.SWITCH=1,C228/EXC.RATE_2,C228*EXC.RATE_2),CURRENCY.FORMAT_2),CURRENCY.FORMAT_2,1),"# ##0;-# ##0"),",-"),FIXED(ROUND(IF(EXC.RATE.SWITCH=1,C228/EXC.RATE_2,C228*EXC.RATE_2),CURRENCY.FORMAT_2),CURRENCY.FORMAT_2,0)),'DICTIONARY-5'!$A$2))</f>
        <v/>
      </c>
      <c r="L228" s="670" t="str">
        <f>IFERROR(IF(CURRENCY.FORMAT_1=0,CONCATENATE(TEXT(FIXED(ROUND((C228*(1-I228)*(1-ADD.DISCOUNT)*(1+MAT.SURCHARGE)/EXC.RATE_1),CURRENCY.FORMAT_1),CURRENCY.FORMAT_1,1),"# ##0;-# ##0"),",-"),FIXED(ROUND((C228*(1-I228)*(1-ADD.DISCOUNT)*(1+MAT.SURCHARGE)/EXC.RATE_1),CURRENCY.FORMAT_1),CURRENCY.FORMAT_1,0)),'DICTIONARY-5'!$A$2)</f>
        <v>230,-</v>
      </c>
      <c r="M228" s="670" t="str">
        <f>IF(EXC.RATE_2=0,"",IFERROR(IF(CURRENCY.FORMAT_2=0,CONCATENATE(TEXT(FIXED(ROUND(IF(EXC.RATE.SWITCH=1,C228*(1-I228)*(1-ADD.DISCOUNT)*(1+MAT.SURCHARGE)/EXC.RATE_2,C228*(1-I228)*(1-ADD.DISCOUNT)*(1+MAT.SURCHARGE)*EXC.RATE_2),CURRENCY.FORMAT_2),CURRENCY.FORMAT_2,1),"# ##0;-# ##0"),",-"),FIXED(ROUND(IF(EXC.RATE.SWITCH=1,C228*(1-I228)*(1-ADD.DISCOUNT)*(1+MAT.SURCHARGE)/EXC.RATE_2,C228*(1-I228)*(1-ADD.DISCOUNT)*(1+MAT.SURCHARGE)*EXC.RATE_2),CURRENCY.FORMAT_2),CURRENCY.FORMAT_2,0)),'DICTIONARY-5'!$A$2))</f>
        <v/>
      </c>
      <c r="N228" s="496">
        <v>1</v>
      </c>
      <c r="O228" s="496"/>
      <c r="P228" s="731" t="str">
        <f>'DICTIONARY-3'!$A$3</f>
        <v>BAIO EKOplus</v>
      </c>
      <c r="Q228" s="732" t="str">
        <f>'DICTIONARY-3'!$A$187</f>
        <v>Zasuwa klinowa</v>
      </c>
      <c r="R228" s="732" t="str">
        <f>CONCATENATE('DICTIONARY-3'!$A$3," ",'DICTIONARY-6'!$A$3," ",'DICTIONARY-5'!$A$78," ",'DICTIONARY-2'!$A$2,"80"," ",'DICTIONARY-2'!$A$10,"16",'DICTIONARY-2'!$A$20,", ",'DICTIONARY-4'!$A$2)</f>
        <v>BAIO EKOplus Zasuwa z końc. mufowymi DN80 PS16bar, WW</v>
      </c>
      <c r="S228" s="733" t="str">
        <f>'DICTIONARY-4'!$A$2</f>
        <v>WW</v>
      </c>
      <c r="T228" s="732" t="str">
        <f>'DICTIONARY-4'!$A$18</f>
        <v>Wolny wałek</v>
      </c>
      <c r="U228" s="734" t="s">
        <v>5760</v>
      </c>
      <c r="V228" s="735">
        <v>16</v>
      </c>
      <c r="W228" s="736"/>
      <c r="X228" s="737"/>
      <c r="Y228" s="738"/>
      <c r="Z228" s="739"/>
      <c r="AA228" s="739"/>
      <c r="AB228" s="740">
        <v>16</v>
      </c>
      <c r="AC228" s="741">
        <v>333</v>
      </c>
      <c r="AD228" s="741" t="str">
        <f>'DICTIONARY-5'!$A$13</f>
        <v>woda pitna</v>
      </c>
      <c r="AE228" s="742">
        <v>50</v>
      </c>
      <c r="AF228" s="743">
        <v>15.5</v>
      </c>
      <c r="AG228" s="741" t="str">
        <f>'DICTIONARY-5'!$A$23</f>
        <v>powłoka epoksydowa</v>
      </c>
    </row>
    <row r="229" spans="1:33" x14ac:dyDescent="0.25">
      <c r="A229" s="837" t="s">
        <v>281</v>
      </c>
      <c r="B229" s="837" t="s">
        <v>3411</v>
      </c>
      <c r="C229" s="836">
        <v>243</v>
      </c>
      <c r="D229" s="836"/>
      <c r="E229" s="836"/>
      <c r="F229" s="836"/>
      <c r="G229" s="496" t="s">
        <v>7789</v>
      </c>
      <c r="H229" s="797" t="str">
        <f>VLOOKUP(G229,SETTINGS!$B$7:$D$97,2,0)</f>
        <v>EKOplus</v>
      </c>
      <c r="I229" s="796">
        <f>VLOOKUP(G229,SETTINGS!$B$7:$D$97,3,0)</f>
        <v>0</v>
      </c>
      <c r="J229" s="670" t="str">
        <f>IFERROR(IF(CURRENCY.FORMAT_1=0,CONCATENATE(TEXT(FIXED(ROUND((C229/EXC.RATE_1),CURRENCY.FORMAT_1),CURRENCY.FORMAT_1,1),"# ##0;-# ##0"),",-"),FIXED(ROUND((C229/EXC.RATE_1),CURRENCY.FORMAT_1),CURRENCY.FORMAT_1,0)),'DICTIONARY-5'!$A$2)</f>
        <v>243,-</v>
      </c>
      <c r="K229" s="670" t="str">
        <f>IF(EXC.RATE_2=0,"",IFERROR(IF(CURRENCY.FORMAT_2=0,CONCATENATE(TEXT(FIXED(ROUND(IF(EXC.RATE.SWITCH=1,C229/EXC.RATE_2,C229*EXC.RATE_2),CURRENCY.FORMAT_2),CURRENCY.FORMAT_2,1),"# ##0;-# ##0"),",-"),FIXED(ROUND(IF(EXC.RATE.SWITCH=1,C229/EXC.RATE_2,C229*EXC.RATE_2),CURRENCY.FORMAT_2),CURRENCY.FORMAT_2,0)),'DICTIONARY-5'!$A$2))</f>
        <v/>
      </c>
      <c r="L229" s="670" t="str">
        <f>IFERROR(IF(CURRENCY.FORMAT_1=0,CONCATENATE(TEXT(FIXED(ROUND((C229*(1-I229)*(1-ADD.DISCOUNT)*(1+MAT.SURCHARGE)/EXC.RATE_1),CURRENCY.FORMAT_1),CURRENCY.FORMAT_1,1),"# ##0;-# ##0"),",-"),FIXED(ROUND((C229*(1-I229)*(1-ADD.DISCOUNT)*(1+MAT.SURCHARGE)/EXC.RATE_1),CURRENCY.FORMAT_1),CURRENCY.FORMAT_1,0)),'DICTIONARY-5'!$A$2)</f>
        <v>252,-</v>
      </c>
      <c r="M229" s="670" t="str">
        <f>IF(EXC.RATE_2=0,"",IFERROR(IF(CURRENCY.FORMAT_2=0,CONCATENATE(TEXT(FIXED(ROUND(IF(EXC.RATE.SWITCH=1,C229*(1-I229)*(1-ADD.DISCOUNT)*(1+MAT.SURCHARGE)/EXC.RATE_2,C229*(1-I229)*(1-ADD.DISCOUNT)*(1+MAT.SURCHARGE)*EXC.RATE_2),CURRENCY.FORMAT_2),CURRENCY.FORMAT_2,1),"# ##0;-# ##0"),",-"),FIXED(ROUND(IF(EXC.RATE.SWITCH=1,C229*(1-I229)*(1-ADD.DISCOUNT)*(1+MAT.SURCHARGE)/EXC.RATE_2,C229*(1-I229)*(1-ADD.DISCOUNT)*(1+MAT.SURCHARGE)*EXC.RATE_2),CURRENCY.FORMAT_2),CURRENCY.FORMAT_2,0)),'DICTIONARY-5'!$A$2))</f>
        <v/>
      </c>
      <c r="N229" s="496">
        <v>1</v>
      </c>
      <c r="O229" s="496"/>
      <c r="P229" s="731" t="str">
        <f>'DICTIONARY-3'!$A$3</f>
        <v>BAIO EKOplus</v>
      </c>
      <c r="Q229" s="732" t="str">
        <f>'DICTIONARY-3'!$A$187</f>
        <v>Zasuwa klinowa</v>
      </c>
      <c r="R229" s="732" t="str">
        <f>CONCATENATE('DICTIONARY-3'!$A$3," ",'DICTIONARY-6'!$A$3," ",'DICTIONARY-5'!$A$78," ",'DICTIONARY-2'!$A$2,"100"," ",'DICTIONARY-2'!$A$10,"16",'DICTIONARY-2'!$A$20,", ",'DICTIONARY-4'!$A$2)</f>
        <v>BAIO EKOplus Zasuwa z końc. mufowymi DN100 PS16bar, WW</v>
      </c>
      <c r="S229" s="733" t="str">
        <f>'DICTIONARY-4'!$A$2</f>
        <v>WW</v>
      </c>
      <c r="T229" s="732" t="str">
        <f>'DICTIONARY-4'!$A$18</f>
        <v>Wolny wałek</v>
      </c>
      <c r="U229" s="734" t="s">
        <v>5749</v>
      </c>
      <c r="V229" s="735">
        <v>16</v>
      </c>
      <c r="W229" s="736"/>
      <c r="X229" s="737"/>
      <c r="Y229" s="738"/>
      <c r="Z229" s="739"/>
      <c r="AA229" s="739"/>
      <c r="AB229" s="740">
        <v>16</v>
      </c>
      <c r="AC229" s="741">
        <v>355</v>
      </c>
      <c r="AD229" s="741" t="str">
        <f>'DICTIONARY-5'!$A$13</f>
        <v>woda pitna</v>
      </c>
      <c r="AE229" s="742">
        <v>50</v>
      </c>
      <c r="AF229" s="743">
        <v>18.5</v>
      </c>
      <c r="AG229" s="741" t="str">
        <f>'DICTIONARY-5'!$A$23</f>
        <v>powłoka epoksydowa</v>
      </c>
    </row>
    <row r="230" spans="1:33" x14ac:dyDescent="0.25">
      <c r="A230" s="837" t="s">
        <v>282</v>
      </c>
      <c r="B230" s="837" t="s">
        <v>3412</v>
      </c>
      <c r="C230" s="836">
        <v>487</v>
      </c>
      <c r="D230" s="836"/>
      <c r="E230" s="836"/>
      <c r="F230" s="836"/>
      <c r="G230" s="496" t="s">
        <v>7789</v>
      </c>
      <c r="H230" s="797" t="str">
        <f>VLOOKUP(G230,SETTINGS!$B$7:$D$97,2,0)</f>
        <v>EKOplus</v>
      </c>
      <c r="I230" s="796">
        <f>VLOOKUP(G230,SETTINGS!$B$7:$D$97,3,0)</f>
        <v>0</v>
      </c>
      <c r="J230" s="670" t="str">
        <f>IFERROR(IF(CURRENCY.FORMAT_1=0,CONCATENATE(TEXT(FIXED(ROUND((C230/EXC.RATE_1),CURRENCY.FORMAT_1),CURRENCY.FORMAT_1,1),"# ##0;-# ##0"),",-"),FIXED(ROUND((C230/EXC.RATE_1),CURRENCY.FORMAT_1),CURRENCY.FORMAT_1,0)),'DICTIONARY-5'!$A$2)</f>
        <v>487,-</v>
      </c>
      <c r="K230" s="670" t="str">
        <f>IF(EXC.RATE_2=0,"",IFERROR(IF(CURRENCY.FORMAT_2=0,CONCATENATE(TEXT(FIXED(ROUND(IF(EXC.RATE.SWITCH=1,C230/EXC.RATE_2,C230*EXC.RATE_2),CURRENCY.FORMAT_2),CURRENCY.FORMAT_2,1),"# ##0;-# ##0"),",-"),FIXED(ROUND(IF(EXC.RATE.SWITCH=1,C230/EXC.RATE_2,C230*EXC.RATE_2),CURRENCY.FORMAT_2),CURRENCY.FORMAT_2,0)),'DICTIONARY-5'!$A$2))</f>
        <v/>
      </c>
      <c r="L230" s="670" t="str">
        <f>IFERROR(IF(CURRENCY.FORMAT_1=0,CONCATENATE(TEXT(FIXED(ROUND((C230*(1-I230)*(1-ADD.DISCOUNT)*(1+MAT.SURCHARGE)/EXC.RATE_1),CURRENCY.FORMAT_1),CURRENCY.FORMAT_1,1),"# ##0;-# ##0"),",-"),FIXED(ROUND((C230*(1-I230)*(1-ADD.DISCOUNT)*(1+MAT.SURCHARGE)/EXC.RATE_1),CURRENCY.FORMAT_1),CURRENCY.FORMAT_1,0)),'DICTIONARY-5'!$A$2)</f>
        <v>506,-</v>
      </c>
      <c r="M230" s="670" t="str">
        <f>IF(EXC.RATE_2=0,"",IFERROR(IF(CURRENCY.FORMAT_2=0,CONCATENATE(TEXT(FIXED(ROUND(IF(EXC.RATE.SWITCH=1,C230*(1-I230)*(1-ADD.DISCOUNT)*(1+MAT.SURCHARGE)/EXC.RATE_2,C230*(1-I230)*(1-ADD.DISCOUNT)*(1+MAT.SURCHARGE)*EXC.RATE_2),CURRENCY.FORMAT_2),CURRENCY.FORMAT_2,1),"# ##0;-# ##0"),",-"),FIXED(ROUND(IF(EXC.RATE.SWITCH=1,C230*(1-I230)*(1-ADD.DISCOUNT)*(1+MAT.SURCHARGE)/EXC.RATE_2,C230*(1-I230)*(1-ADD.DISCOUNT)*(1+MAT.SURCHARGE)*EXC.RATE_2),CURRENCY.FORMAT_2),CURRENCY.FORMAT_2,0)),'DICTIONARY-5'!$A$2))</f>
        <v/>
      </c>
      <c r="N230" s="496">
        <v>1</v>
      </c>
      <c r="O230" s="496"/>
      <c r="P230" s="731" t="str">
        <f>'DICTIONARY-3'!$A$3</f>
        <v>BAIO EKOplus</v>
      </c>
      <c r="Q230" s="732" t="str">
        <f>'DICTIONARY-3'!$A$187</f>
        <v>Zasuwa klinowa</v>
      </c>
      <c r="R230" s="732" t="str">
        <f>CONCATENATE('DICTIONARY-3'!$A$3," ",'DICTIONARY-6'!$A$3," ",'DICTIONARY-5'!$A$78," ",'DICTIONARY-2'!$A$2,"125"," ",'DICTIONARY-2'!$A$10,"16",'DICTIONARY-2'!$A$20,", ",'DICTIONARY-4'!$A$2)</f>
        <v>BAIO EKOplus Zasuwa z końc. mufowymi DN125 PS16bar, WW</v>
      </c>
      <c r="S230" s="733" t="str">
        <f>'DICTIONARY-4'!$A$2</f>
        <v>WW</v>
      </c>
      <c r="T230" s="732" t="str">
        <f>'DICTIONARY-4'!$A$18</f>
        <v>Wolny wałek</v>
      </c>
      <c r="U230" s="734" t="s">
        <v>5761</v>
      </c>
      <c r="V230" s="735">
        <v>16</v>
      </c>
      <c r="W230" s="736"/>
      <c r="X230" s="737"/>
      <c r="Y230" s="738"/>
      <c r="Z230" s="739"/>
      <c r="AA230" s="739"/>
      <c r="AB230" s="740">
        <v>16</v>
      </c>
      <c r="AC230" s="741">
        <v>374</v>
      </c>
      <c r="AD230" s="741" t="str">
        <f>'DICTIONARY-5'!$A$13</f>
        <v>woda pitna</v>
      </c>
      <c r="AE230" s="742">
        <v>50</v>
      </c>
      <c r="AF230" s="743">
        <v>26.8</v>
      </c>
      <c r="AG230" s="741" t="str">
        <f>'DICTIONARY-5'!$A$23</f>
        <v>powłoka epoksydowa</v>
      </c>
    </row>
    <row r="231" spans="1:33" x14ac:dyDescent="0.25">
      <c r="A231" s="837" t="s">
        <v>283</v>
      </c>
      <c r="B231" s="837" t="s">
        <v>3413</v>
      </c>
      <c r="C231" s="836">
        <v>464</v>
      </c>
      <c r="D231" s="836"/>
      <c r="E231" s="836"/>
      <c r="F231" s="836"/>
      <c r="G231" s="496" t="s">
        <v>7789</v>
      </c>
      <c r="H231" s="797" t="str">
        <f>VLOOKUP(G231,SETTINGS!$B$7:$D$97,2,0)</f>
        <v>EKOplus</v>
      </c>
      <c r="I231" s="796">
        <f>VLOOKUP(G231,SETTINGS!$B$7:$D$97,3,0)</f>
        <v>0</v>
      </c>
      <c r="J231" s="670" t="str">
        <f>IFERROR(IF(CURRENCY.FORMAT_1=0,CONCATENATE(TEXT(FIXED(ROUND((C231/EXC.RATE_1),CURRENCY.FORMAT_1),CURRENCY.FORMAT_1,1),"# ##0;-# ##0"),",-"),FIXED(ROUND((C231/EXC.RATE_1),CURRENCY.FORMAT_1),CURRENCY.FORMAT_1,0)),'DICTIONARY-5'!$A$2)</f>
        <v>464,-</v>
      </c>
      <c r="K231" s="670" t="str">
        <f>IF(EXC.RATE_2=0,"",IFERROR(IF(CURRENCY.FORMAT_2=0,CONCATENATE(TEXT(FIXED(ROUND(IF(EXC.RATE.SWITCH=1,C231/EXC.RATE_2,C231*EXC.RATE_2),CURRENCY.FORMAT_2),CURRENCY.FORMAT_2,1),"# ##0;-# ##0"),",-"),FIXED(ROUND(IF(EXC.RATE.SWITCH=1,C231/EXC.RATE_2,C231*EXC.RATE_2),CURRENCY.FORMAT_2),CURRENCY.FORMAT_2,0)),'DICTIONARY-5'!$A$2))</f>
        <v/>
      </c>
      <c r="L231" s="670" t="str">
        <f>IFERROR(IF(CURRENCY.FORMAT_1=0,CONCATENATE(TEXT(FIXED(ROUND((C231*(1-I231)*(1-ADD.DISCOUNT)*(1+MAT.SURCHARGE)/EXC.RATE_1),CURRENCY.FORMAT_1),CURRENCY.FORMAT_1,1),"# ##0;-# ##0"),",-"),FIXED(ROUND((C231*(1-I231)*(1-ADD.DISCOUNT)*(1+MAT.SURCHARGE)/EXC.RATE_1),CURRENCY.FORMAT_1),CURRENCY.FORMAT_1,0)),'DICTIONARY-5'!$A$2)</f>
        <v>482,-</v>
      </c>
      <c r="M231" s="670" t="str">
        <f>IF(EXC.RATE_2=0,"",IFERROR(IF(CURRENCY.FORMAT_2=0,CONCATENATE(TEXT(FIXED(ROUND(IF(EXC.RATE.SWITCH=1,C231*(1-I231)*(1-ADD.DISCOUNT)*(1+MAT.SURCHARGE)/EXC.RATE_2,C231*(1-I231)*(1-ADD.DISCOUNT)*(1+MAT.SURCHARGE)*EXC.RATE_2),CURRENCY.FORMAT_2),CURRENCY.FORMAT_2,1),"# ##0;-# ##0"),",-"),FIXED(ROUND(IF(EXC.RATE.SWITCH=1,C231*(1-I231)*(1-ADD.DISCOUNT)*(1+MAT.SURCHARGE)/EXC.RATE_2,C231*(1-I231)*(1-ADD.DISCOUNT)*(1+MAT.SURCHARGE)*EXC.RATE_2),CURRENCY.FORMAT_2),CURRENCY.FORMAT_2,0)),'DICTIONARY-5'!$A$2))</f>
        <v/>
      </c>
      <c r="N231" s="496">
        <v>1</v>
      </c>
      <c r="O231" s="496"/>
      <c r="P231" s="731" t="str">
        <f>'DICTIONARY-3'!$A$3</f>
        <v>BAIO EKOplus</v>
      </c>
      <c r="Q231" s="732" t="str">
        <f>'DICTIONARY-3'!$A$187</f>
        <v>Zasuwa klinowa</v>
      </c>
      <c r="R231" s="732" t="str">
        <f>CONCATENATE('DICTIONARY-3'!$A$3," ",'DICTIONARY-6'!$A$3," ",'DICTIONARY-5'!$A$78," ",'DICTIONARY-2'!$A$2,"150"," ",'DICTIONARY-2'!$A$10,"16",'DICTIONARY-2'!$A$20,", ",'DICTIONARY-4'!$A$2)</f>
        <v>BAIO EKOplus Zasuwa z końc. mufowymi DN150 PS16bar, WW</v>
      </c>
      <c r="S231" s="733" t="str">
        <f>'DICTIONARY-4'!$A$2</f>
        <v>WW</v>
      </c>
      <c r="T231" s="732" t="str">
        <f>'DICTIONARY-4'!$A$18</f>
        <v>Wolny wałek</v>
      </c>
      <c r="U231" s="734" t="s">
        <v>5572</v>
      </c>
      <c r="V231" s="735">
        <v>16</v>
      </c>
      <c r="W231" s="736"/>
      <c r="X231" s="737"/>
      <c r="Y231" s="738"/>
      <c r="Z231" s="739"/>
      <c r="AA231" s="739"/>
      <c r="AB231" s="740">
        <v>16</v>
      </c>
      <c r="AC231" s="741">
        <v>387</v>
      </c>
      <c r="AD231" s="741" t="str">
        <f>'DICTIONARY-5'!$A$13</f>
        <v>woda pitna</v>
      </c>
      <c r="AE231" s="742">
        <v>50</v>
      </c>
      <c r="AF231" s="743">
        <v>33.5</v>
      </c>
      <c r="AG231" s="741" t="str">
        <f>'DICTIONARY-5'!$A$23</f>
        <v>powłoka epoksydowa</v>
      </c>
    </row>
    <row r="232" spans="1:33" x14ac:dyDescent="0.25">
      <c r="A232" s="837" t="s">
        <v>284</v>
      </c>
      <c r="B232" s="837" t="s">
        <v>3414</v>
      </c>
      <c r="C232" s="836">
        <v>629</v>
      </c>
      <c r="D232" s="836"/>
      <c r="E232" s="836"/>
      <c r="F232" s="836"/>
      <c r="G232" s="496" t="s">
        <v>7789</v>
      </c>
      <c r="H232" s="797" t="str">
        <f>VLOOKUP(G232,SETTINGS!$B$7:$D$97,2,0)</f>
        <v>EKOplus</v>
      </c>
      <c r="I232" s="796">
        <f>VLOOKUP(G232,SETTINGS!$B$7:$D$97,3,0)</f>
        <v>0</v>
      </c>
      <c r="J232" s="670" t="str">
        <f>IFERROR(IF(CURRENCY.FORMAT_1=0,CONCATENATE(TEXT(FIXED(ROUND((C232/EXC.RATE_1),CURRENCY.FORMAT_1),CURRENCY.FORMAT_1,1),"# ##0;-# ##0"),",-"),FIXED(ROUND((C232/EXC.RATE_1),CURRENCY.FORMAT_1),CURRENCY.FORMAT_1,0)),'DICTIONARY-5'!$A$2)</f>
        <v>629,-</v>
      </c>
      <c r="K232" s="670" t="str">
        <f>IF(EXC.RATE_2=0,"",IFERROR(IF(CURRENCY.FORMAT_2=0,CONCATENATE(TEXT(FIXED(ROUND(IF(EXC.RATE.SWITCH=1,C232/EXC.RATE_2,C232*EXC.RATE_2),CURRENCY.FORMAT_2),CURRENCY.FORMAT_2,1),"# ##0;-# ##0"),",-"),FIXED(ROUND(IF(EXC.RATE.SWITCH=1,C232/EXC.RATE_2,C232*EXC.RATE_2),CURRENCY.FORMAT_2),CURRENCY.FORMAT_2,0)),'DICTIONARY-5'!$A$2))</f>
        <v/>
      </c>
      <c r="L232" s="670" t="str">
        <f>IFERROR(IF(CURRENCY.FORMAT_1=0,CONCATENATE(TEXT(FIXED(ROUND((C232*(1-I232)*(1-ADD.DISCOUNT)*(1+MAT.SURCHARGE)/EXC.RATE_1),CURRENCY.FORMAT_1),CURRENCY.FORMAT_1,1),"# ##0;-# ##0"),",-"),FIXED(ROUND((C232*(1-I232)*(1-ADD.DISCOUNT)*(1+MAT.SURCHARGE)/EXC.RATE_1),CURRENCY.FORMAT_1),CURRENCY.FORMAT_1,0)),'DICTIONARY-5'!$A$2)</f>
        <v>654,-</v>
      </c>
      <c r="M232" s="670" t="str">
        <f>IF(EXC.RATE_2=0,"",IFERROR(IF(CURRENCY.FORMAT_2=0,CONCATENATE(TEXT(FIXED(ROUND(IF(EXC.RATE.SWITCH=1,C232*(1-I232)*(1-ADD.DISCOUNT)*(1+MAT.SURCHARGE)/EXC.RATE_2,C232*(1-I232)*(1-ADD.DISCOUNT)*(1+MAT.SURCHARGE)*EXC.RATE_2),CURRENCY.FORMAT_2),CURRENCY.FORMAT_2,1),"# ##0;-# ##0"),",-"),FIXED(ROUND(IF(EXC.RATE.SWITCH=1,C232*(1-I232)*(1-ADD.DISCOUNT)*(1+MAT.SURCHARGE)/EXC.RATE_2,C232*(1-I232)*(1-ADD.DISCOUNT)*(1+MAT.SURCHARGE)*EXC.RATE_2),CURRENCY.FORMAT_2),CURRENCY.FORMAT_2,0)),'DICTIONARY-5'!$A$2))</f>
        <v/>
      </c>
      <c r="N232" s="496">
        <v>1</v>
      </c>
      <c r="O232" s="496"/>
      <c r="P232" s="731" t="str">
        <f>'DICTIONARY-3'!$A$3</f>
        <v>BAIO EKOplus</v>
      </c>
      <c r="Q232" s="732" t="str">
        <f>'DICTIONARY-3'!$A$187</f>
        <v>Zasuwa klinowa</v>
      </c>
      <c r="R232" s="732" t="str">
        <f>CONCATENATE('DICTIONARY-3'!$A$3," ",'DICTIONARY-6'!$A$3," ",'DICTIONARY-5'!$A$78," ",'DICTIONARY-2'!$A$2,"200"," ",'DICTIONARY-2'!$A$10,"16",'DICTIONARY-2'!$A$20,", ",'DICTIONARY-4'!$A$2)</f>
        <v>BAIO EKOplus Zasuwa z końc. mufowymi DN200 PS16bar, WW</v>
      </c>
      <c r="S232" s="733" t="str">
        <f>'DICTIONARY-4'!$A$2</f>
        <v>WW</v>
      </c>
      <c r="T232" s="732" t="str">
        <f>'DICTIONARY-4'!$A$18</f>
        <v>Wolny wałek</v>
      </c>
      <c r="U232" s="734" t="s">
        <v>5750</v>
      </c>
      <c r="V232" s="735">
        <v>16</v>
      </c>
      <c r="W232" s="736"/>
      <c r="X232" s="737"/>
      <c r="Y232" s="738"/>
      <c r="Z232" s="739"/>
      <c r="AA232" s="739"/>
      <c r="AB232" s="740">
        <v>16</v>
      </c>
      <c r="AC232" s="741">
        <v>420</v>
      </c>
      <c r="AD232" s="741" t="str">
        <f>'DICTIONARY-5'!$A$13</f>
        <v>woda pitna</v>
      </c>
      <c r="AE232" s="742">
        <v>50</v>
      </c>
      <c r="AF232" s="743">
        <v>55.5</v>
      </c>
      <c r="AG232" s="741" t="str">
        <f>'DICTIONARY-5'!$A$23</f>
        <v>powłoka epoksydowa</v>
      </c>
    </row>
    <row r="233" spans="1:33" x14ac:dyDescent="0.25">
      <c r="A233" s="837" t="s">
        <v>285</v>
      </c>
      <c r="B233" s="837" t="s">
        <v>3415</v>
      </c>
      <c r="C233" s="836">
        <v>303</v>
      </c>
      <c r="D233" s="836"/>
      <c r="E233" s="836"/>
      <c r="F233" s="836"/>
      <c r="G233" s="496" t="s">
        <v>7789</v>
      </c>
      <c r="H233" s="797" t="str">
        <f>VLOOKUP(G233,SETTINGS!$B$7:$D$97,2,0)</f>
        <v>EKOplus</v>
      </c>
      <c r="I233" s="796">
        <f>VLOOKUP(G233,SETTINGS!$B$7:$D$97,3,0)</f>
        <v>0</v>
      </c>
      <c r="J233" s="670" t="str">
        <f>IFERROR(IF(CURRENCY.FORMAT_1=0,CONCATENATE(TEXT(FIXED(ROUND((C233/EXC.RATE_1),CURRENCY.FORMAT_1),CURRENCY.FORMAT_1,1),"# ##0;-# ##0"),",-"),FIXED(ROUND((C233/EXC.RATE_1),CURRENCY.FORMAT_1),CURRENCY.FORMAT_1,0)),'DICTIONARY-5'!$A$2)</f>
        <v>303,-</v>
      </c>
      <c r="K233" s="670" t="str">
        <f>IF(EXC.RATE_2=0,"",IFERROR(IF(CURRENCY.FORMAT_2=0,CONCATENATE(TEXT(FIXED(ROUND(IF(EXC.RATE.SWITCH=1,C233/EXC.RATE_2,C233*EXC.RATE_2),CURRENCY.FORMAT_2),CURRENCY.FORMAT_2,1),"# ##0;-# ##0"),",-"),FIXED(ROUND(IF(EXC.RATE.SWITCH=1,C233/EXC.RATE_2,C233*EXC.RATE_2),CURRENCY.FORMAT_2),CURRENCY.FORMAT_2,0)),'DICTIONARY-5'!$A$2))</f>
        <v/>
      </c>
      <c r="L233" s="670" t="str">
        <f>IFERROR(IF(CURRENCY.FORMAT_1=0,CONCATENATE(TEXT(FIXED(ROUND((C233*(1-I233)*(1-ADD.DISCOUNT)*(1+MAT.SURCHARGE)/EXC.RATE_1),CURRENCY.FORMAT_1),CURRENCY.FORMAT_1,1),"# ##0;-# ##0"),",-"),FIXED(ROUND((C233*(1-I233)*(1-ADD.DISCOUNT)*(1+MAT.SURCHARGE)/EXC.RATE_1),CURRENCY.FORMAT_1),CURRENCY.FORMAT_1,0)),'DICTIONARY-5'!$A$2)</f>
        <v>315,-</v>
      </c>
      <c r="M233" s="670" t="str">
        <f>IF(EXC.RATE_2=0,"",IFERROR(IF(CURRENCY.FORMAT_2=0,CONCATENATE(TEXT(FIXED(ROUND(IF(EXC.RATE.SWITCH=1,C233*(1-I233)*(1-ADD.DISCOUNT)*(1+MAT.SURCHARGE)/EXC.RATE_2,C233*(1-I233)*(1-ADD.DISCOUNT)*(1+MAT.SURCHARGE)*EXC.RATE_2),CURRENCY.FORMAT_2),CURRENCY.FORMAT_2,1),"# ##0;-# ##0"),",-"),FIXED(ROUND(IF(EXC.RATE.SWITCH=1,C233*(1-I233)*(1-ADD.DISCOUNT)*(1+MAT.SURCHARGE)/EXC.RATE_2,C233*(1-I233)*(1-ADD.DISCOUNT)*(1+MAT.SURCHARGE)*EXC.RATE_2),CURRENCY.FORMAT_2),CURRENCY.FORMAT_2,0)),'DICTIONARY-5'!$A$2))</f>
        <v/>
      </c>
      <c r="N233" s="496">
        <v>1</v>
      </c>
      <c r="O233" s="496"/>
      <c r="P233" s="731" t="str">
        <f>'DICTIONARY-3'!$A$2</f>
        <v>EKOplus</v>
      </c>
      <c r="Q233" s="732" t="str">
        <f>'DICTIONARY-3'!$A$187</f>
        <v>Zasuwa klinowa</v>
      </c>
      <c r="R233" s="732" t="str">
        <f>CONCATENATE('DICTIONARY-3'!$A$2," ",'DICTIONARY-6'!$A$3," ",'DICTIONARY-5'!$A$79," ",'DICTIONARY-2'!$A$2,"80"," ",'DICTIONARY-2'!$A$10,"16",'DICTIONARY-2'!$A$20,", ",'DICTIONARY-4'!$A$2)</f>
        <v>EKOplus Zasuwa z końc. bosymi DN80 PS16bar, WW</v>
      </c>
      <c r="S233" s="733" t="str">
        <f>'DICTIONARY-4'!$A$2</f>
        <v>WW</v>
      </c>
      <c r="T233" s="732" t="str">
        <f>'DICTIONARY-4'!$A$18</f>
        <v>Wolny wałek</v>
      </c>
      <c r="U233" s="734" t="s">
        <v>5760</v>
      </c>
      <c r="V233" s="735">
        <v>16</v>
      </c>
      <c r="W233" s="736"/>
      <c r="X233" s="737"/>
      <c r="Y233" s="738"/>
      <c r="Z233" s="739"/>
      <c r="AA233" s="739"/>
      <c r="AB233" s="740">
        <v>16</v>
      </c>
      <c r="AC233" s="733">
        <v>350</v>
      </c>
      <c r="AD233" s="741" t="str">
        <f>'DICTIONARY-5'!$A$13</f>
        <v>woda pitna</v>
      </c>
      <c r="AE233" s="742">
        <v>50</v>
      </c>
      <c r="AF233" s="743">
        <v>14</v>
      </c>
      <c r="AG233" s="741" t="str">
        <f>'DICTIONARY-5'!$A$23</f>
        <v>powłoka epoksydowa</v>
      </c>
    </row>
    <row r="234" spans="1:33" x14ac:dyDescent="0.25">
      <c r="A234" s="837" t="s">
        <v>286</v>
      </c>
      <c r="B234" s="837" t="s">
        <v>3417</v>
      </c>
      <c r="C234" s="836">
        <v>364</v>
      </c>
      <c r="D234" s="836"/>
      <c r="E234" s="836"/>
      <c r="F234" s="836"/>
      <c r="G234" s="496" t="s">
        <v>7789</v>
      </c>
      <c r="H234" s="797" t="str">
        <f>VLOOKUP(G234,SETTINGS!$B$7:$D$97,2,0)</f>
        <v>EKOplus</v>
      </c>
      <c r="I234" s="796">
        <f>VLOOKUP(G234,SETTINGS!$B$7:$D$97,3,0)</f>
        <v>0</v>
      </c>
      <c r="J234" s="670" t="str">
        <f>IFERROR(IF(CURRENCY.FORMAT_1=0,CONCATENATE(TEXT(FIXED(ROUND((C234/EXC.RATE_1),CURRENCY.FORMAT_1),CURRENCY.FORMAT_1,1),"# ##0;-# ##0"),",-"),FIXED(ROUND((C234/EXC.RATE_1),CURRENCY.FORMAT_1),CURRENCY.FORMAT_1,0)),'DICTIONARY-5'!$A$2)</f>
        <v>364,-</v>
      </c>
      <c r="K234" s="670" t="str">
        <f>IF(EXC.RATE_2=0,"",IFERROR(IF(CURRENCY.FORMAT_2=0,CONCATENATE(TEXT(FIXED(ROUND(IF(EXC.RATE.SWITCH=1,C234/EXC.RATE_2,C234*EXC.RATE_2),CURRENCY.FORMAT_2),CURRENCY.FORMAT_2,1),"# ##0;-# ##0"),",-"),FIXED(ROUND(IF(EXC.RATE.SWITCH=1,C234/EXC.RATE_2,C234*EXC.RATE_2),CURRENCY.FORMAT_2),CURRENCY.FORMAT_2,0)),'DICTIONARY-5'!$A$2))</f>
        <v/>
      </c>
      <c r="L234" s="670" t="str">
        <f>IFERROR(IF(CURRENCY.FORMAT_1=0,CONCATENATE(TEXT(FIXED(ROUND((C234*(1-I234)*(1-ADD.DISCOUNT)*(1+MAT.SURCHARGE)/EXC.RATE_1),CURRENCY.FORMAT_1),CURRENCY.FORMAT_1,1),"# ##0;-# ##0"),",-"),FIXED(ROUND((C234*(1-I234)*(1-ADD.DISCOUNT)*(1+MAT.SURCHARGE)/EXC.RATE_1),CURRENCY.FORMAT_1),CURRENCY.FORMAT_1,0)),'DICTIONARY-5'!$A$2)</f>
        <v>378,-</v>
      </c>
      <c r="M234" s="670" t="str">
        <f>IF(EXC.RATE_2=0,"",IFERROR(IF(CURRENCY.FORMAT_2=0,CONCATENATE(TEXT(FIXED(ROUND(IF(EXC.RATE.SWITCH=1,C234*(1-I234)*(1-ADD.DISCOUNT)*(1+MAT.SURCHARGE)/EXC.RATE_2,C234*(1-I234)*(1-ADD.DISCOUNT)*(1+MAT.SURCHARGE)*EXC.RATE_2),CURRENCY.FORMAT_2),CURRENCY.FORMAT_2,1),"# ##0;-# ##0"),",-"),FIXED(ROUND(IF(EXC.RATE.SWITCH=1,C234*(1-I234)*(1-ADD.DISCOUNT)*(1+MAT.SURCHARGE)/EXC.RATE_2,C234*(1-I234)*(1-ADD.DISCOUNT)*(1+MAT.SURCHARGE)*EXC.RATE_2),CURRENCY.FORMAT_2),CURRENCY.FORMAT_2,0)),'DICTIONARY-5'!$A$2))</f>
        <v/>
      </c>
      <c r="N234" s="496">
        <v>1</v>
      </c>
      <c r="O234" s="496"/>
      <c r="P234" s="731" t="str">
        <f>'DICTIONARY-3'!$A$2</f>
        <v>EKOplus</v>
      </c>
      <c r="Q234" s="732" t="str">
        <f>'DICTIONARY-3'!$A$187</f>
        <v>Zasuwa klinowa</v>
      </c>
      <c r="R234" s="732" t="str">
        <f>CONCATENATE('DICTIONARY-3'!$A$2," ",'DICTIONARY-6'!$A$3," ",'DICTIONARY-5'!$A$79," ",'DICTIONARY-2'!$A$2,"100"," ",'DICTIONARY-2'!$A$10,"16",'DICTIONARY-2'!$A$20,", ",'DICTIONARY-4'!$A$2)</f>
        <v>EKOplus Zasuwa z końc. bosymi DN100 PS16bar, WW</v>
      </c>
      <c r="S234" s="733" t="str">
        <f>'DICTIONARY-4'!$A$2</f>
        <v>WW</v>
      </c>
      <c r="T234" s="732" t="str">
        <f>'DICTIONARY-4'!$A$18</f>
        <v>Wolny wałek</v>
      </c>
      <c r="U234" s="734" t="s">
        <v>5749</v>
      </c>
      <c r="V234" s="735">
        <v>16</v>
      </c>
      <c r="W234" s="736"/>
      <c r="X234" s="737"/>
      <c r="Y234" s="738"/>
      <c r="Z234" s="739"/>
      <c r="AA234" s="739"/>
      <c r="AB234" s="740">
        <v>16</v>
      </c>
      <c r="AC234" s="733">
        <v>375</v>
      </c>
      <c r="AD234" s="741" t="str">
        <f>'DICTIONARY-5'!$A$13</f>
        <v>woda pitna</v>
      </c>
      <c r="AE234" s="742">
        <v>50</v>
      </c>
      <c r="AF234" s="743">
        <v>16.5</v>
      </c>
      <c r="AG234" s="741" t="str">
        <f>'DICTIONARY-5'!$A$23</f>
        <v>powłoka epoksydowa</v>
      </c>
    </row>
    <row r="235" spans="1:33" x14ac:dyDescent="0.25">
      <c r="A235" s="837" t="s">
        <v>287</v>
      </c>
      <c r="B235" s="837" t="s">
        <v>3419</v>
      </c>
      <c r="C235" s="836">
        <v>535</v>
      </c>
      <c r="D235" s="836"/>
      <c r="E235" s="836"/>
      <c r="F235" s="836"/>
      <c r="G235" s="496" t="s">
        <v>7789</v>
      </c>
      <c r="H235" s="797" t="str">
        <f>VLOOKUP(G235,SETTINGS!$B$7:$D$97,2,0)</f>
        <v>EKOplus</v>
      </c>
      <c r="I235" s="796">
        <f>VLOOKUP(G235,SETTINGS!$B$7:$D$97,3,0)</f>
        <v>0</v>
      </c>
      <c r="J235" s="670" t="str">
        <f>IFERROR(IF(CURRENCY.FORMAT_1=0,CONCATENATE(TEXT(FIXED(ROUND((C235/EXC.RATE_1),CURRENCY.FORMAT_1),CURRENCY.FORMAT_1,1),"# ##0;-# ##0"),",-"),FIXED(ROUND((C235/EXC.RATE_1),CURRENCY.FORMAT_1),CURRENCY.FORMAT_1,0)),'DICTIONARY-5'!$A$2)</f>
        <v>535,-</v>
      </c>
      <c r="K235" s="670" t="str">
        <f>IF(EXC.RATE_2=0,"",IFERROR(IF(CURRENCY.FORMAT_2=0,CONCATENATE(TEXT(FIXED(ROUND(IF(EXC.RATE.SWITCH=1,C235/EXC.RATE_2,C235*EXC.RATE_2),CURRENCY.FORMAT_2),CURRENCY.FORMAT_2,1),"# ##0;-# ##0"),",-"),FIXED(ROUND(IF(EXC.RATE.SWITCH=1,C235/EXC.RATE_2,C235*EXC.RATE_2),CURRENCY.FORMAT_2),CURRENCY.FORMAT_2,0)),'DICTIONARY-5'!$A$2))</f>
        <v/>
      </c>
      <c r="L235" s="670" t="str">
        <f>IFERROR(IF(CURRENCY.FORMAT_1=0,CONCATENATE(TEXT(FIXED(ROUND((C235*(1-I235)*(1-ADD.DISCOUNT)*(1+MAT.SURCHARGE)/EXC.RATE_1),CURRENCY.FORMAT_1),CURRENCY.FORMAT_1,1),"# ##0;-# ##0"),",-"),FIXED(ROUND((C235*(1-I235)*(1-ADD.DISCOUNT)*(1+MAT.SURCHARGE)/EXC.RATE_1),CURRENCY.FORMAT_1),CURRENCY.FORMAT_1,0)),'DICTIONARY-5'!$A$2)</f>
        <v>556,-</v>
      </c>
      <c r="M235" s="670" t="str">
        <f>IF(EXC.RATE_2=0,"",IFERROR(IF(CURRENCY.FORMAT_2=0,CONCATENATE(TEXT(FIXED(ROUND(IF(EXC.RATE.SWITCH=1,C235*(1-I235)*(1-ADD.DISCOUNT)*(1+MAT.SURCHARGE)/EXC.RATE_2,C235*(1-I235)*(1-ADD.DISCOUNT)*(1+MAT.SURCHARGE)*EXC.RATE_2),CURRENCY.FORMAT_2),CURRENCY.FORMAT_2,1),"# ##0;-# ##0"),",-"),FIXED(ROUND(IF(EXC.RATE.SWITCH=1,C235*(1-I235)*(1-ADD.DISCOUNT)*(1+MAT.SURCHARGE)/EXC.RATE_2,C235*(1-I235)*(1-ADD.DISCOUNT)*(1+MAT.SURCHARGE)*EXC.RATE_2),CURRENCY.FORMAT_2),CURRENCY.FORMAT_2,0)),'DICTIONARY-5'!$A$2))</f>
        <v/>
      </c>
      <c r="N235" s="496">
        <v>1</v>
      </c>
      <c r="O235" s="496"/>
      <c r="P235" s="731" t="str">
        <f>'DICTIONARY-3'!$A$2</f>
        <v>EKOplus</v>
      </c>
      <c r="Q235" s="732" t="str">
        <f>'DICTIONARY-3'!$A$187</f>
        <v>Zasuwa klinowa</v>
      </c>
      <c r="R235" s="732" t="str">
        <f>CONCATENATE('DICTIONARY-3'!$A$2," ",'DICTIONARY-6'!$A$3," ",'DICTIONARY-5'!$A$79," ",'DICTIONARY-2'!$A$2,"150"," ",'DICTIONARY-2'!$A$10,"16",'DICTIONARY-2'!$A$20,", ",'DICTIONARY-4'!$A$2)</f>
        <v>EKOplus Zasuwa z końc. bosymi DN150 PS16bar, WW</v>
      </c>
      <c r="S235" s="733" t="str">
        <f>'DICTIONARY-4'!$A$2</f>
        <v>WW</v>
      </c>
      <c r="T235" s="732" t="str">
        <f>'DICTIONARY-4'!$A$18</f>
        <v>Wolny wałek</v>
      </c>
      <c r="U235" s="734" t="s">
        <v>5572</v>
      </c>
      <c r="V235" s="735">
        <v>16</v>
      </c>
      <c r="W235" s="736"/>
      <c r="X235" s="737"/>
      <c r="Y235" s="738"/>
      <c r="Z235" s="739"/>
      <c r="AA235" s="739"/>
      <c r="AB235" s="740">
        <v>16</v>
      </c>
      <c r="AC235" s="733">
        <v>422</v>
      </c>
      <c r="AD235" s="741" t="str">
        <f>'DICTIONARY-5'!$A$13</f>
        <v>woda pitna</v>
      </c>
      <c r="AE235" s="742">
        <v>50</v>
      </c>
      <c r="AF235" s="743">
        <v>31</v>
      </c>
      <c r="AG235" s="741" t="str">
        <f>'DICTIONARY-5'!$A$23</f>
        <v>powłoka epoksydowa</v>
      </c>
    </row>
    <row r="236" spans="1:33" x14ac:dyDescent="0.25">
      <c r="A236" s="837" t="s">
        <v>288</v>
      </c>
      <c r="B236" s="837" t="s">
        <v>3421</v>
      </c>
      <c r="C236" s="836">
        <v>845</v>
      </c>
      <c r="D236" s="836"/>
      <c r="E236" s="836"/>
      <c r="F236" s="836"/>
      <c r="G236" s="496" t="s">
        <v>7789</v>
      </c>
      <c r="H236" s="797" t="str">
        <f>VLOOKUP(G236,SETTINGS!$B$7:$D$97,2,0)</f>
        <v>EKOplus</v>
      </c>
      <c r="I236" s="796">
        <f>VLOOKUP(G236,SETTINGS!$B$7:$D$97,3,0)</f>
        <v>0</v>
      </c>
      <c r="J236" s="670" t="str">
        <f>IFERROR(IF(CURRENCY.FORMAT_1=0,CONCATENATE(TEXT(FIXED(ROUND((C236/EXC.RATE_1),CURRENCY.FORMAT_1),CURRENCY.FORMAT_1,1),"# ##0;-# ##0"),",-"),FIXED(ROUND((C236/EXC.RATE_1),CURRENCY.FORMAT_1),CURRENCY.FORMAT_1,0)),'DICTIONARY-5'!$A$2)</f>
        <v>845,-</v>
      </c>
      <c r="K236" s="670" t="str">
        <f>IF(EXC.RATE_2=0,"",IFERROR(IF(CURRENCY.FORMAT_2=0,CONCATENATE(TEXT(FIXED(ROUND(IF(EXC.RATE.SWITCH=1,C236/EXC.RATE_2,C236*EXC.RATE_2),CURRENCY.FORMAT_2),CURRENCY.FORMAT_2,1),"# ##0;-# ##0"),",-"),FIXED(ROUND(IF(EXC.RATE.SWITCH=1,C236/EXC.RATE_2,C236*EXC.RATE_2),CURRENCY.FORMAT_2),CURRENCY.FORMAT_2,0)),'DICTIONARY-5'!$A$2))</f>
        <v/>
      </c>
      <c r="L236" s="670" t="str">
        <f>IFERROR(IF(CURRENCY.FORMAT_1=0,CONCATENATE(TEXT(FIXED(ROUND((C236*(1-I236)*(1-ADD.DISCOUNT)*(1+MAT.SURCHARGE)/EXC.RATE_1),CURRENCY.FORMAT_1),CURRENCY.FORMAT_1,1),"# ##0;-# ##0"),",-"),FIXED(ROUND((C236*(1-I236)*(1-ADD.DISCOUNT)*(1+MAT.SURCHARGE)/EXC.RATE_1),CURRENCY.FORMAT_1),CURRENCY.FORMAT_1,0)),'DICTIONARY-5'!$A$2)</f>
        <v>878,-</v>
      </c>
      <c r="M236" s="670" t="str">
        <f>IF(EXC.RATE_2=0,"",IFERROR(IF(CURRENCY.FORMAT_2=0,CONCATENATE(TEXT(FIXED(ROUND(IF(EXC.RATE.SWITCH=1,C236*(1-I236)*(1-ADD.DISCOUNT)*(1+MAT.SURCHARGE)/EXC.RATE_2,C236*(1-I236)*(1-ADD.DISCOUNT)*(1+MAT.SURCHARGE)*EXC.RATE_2),CURRENCY.FORMAT_2),CURRENCY.FORMAT_2,1),"# ##0;-# ##0"),",-"),FIXED(ROUND(IF(EXC.RATE.SWITCH=1,C236*(1-I236)*(1-ADD.DISCOUNT)*(1+MAT.SURCHARGE)/EXC.RATE_2,C236*(1-I236)*(1-ADD.DISCOUNT)*(1+MAT.SURCHARGE)*EXC.RATE_2),CURRENCY.FORMAT_2),CURRENCY.FORMAT_2,0)),'DICTIONARY-5'!$A$2))</f>
        <v/>
      </c>
      <c r="N236" s="496">
        <v>1</v>
      </c>
      <c r="O236" s="496"/>
      <c r="P236" s="731" t="str">
        <f>'DICTIONARY-3'!$A$2</f>
        <v>EKOplus</v>
      </c>
      <c r="Q236" s="732" t="str">
        <f>'DICTIONARY-3'!$A$187</f>
        <v>Zasuwa klinowa</v>
      </c>
      <c r="R236" s="732" t="str">
        <f>CONCATENATE('DICTIONARY-3'!$A$2," ",'DICTIONARY-6'!$A$3," ",'DICTIONARY-5'!$A$79," ",'DICTIONARY-2'!$A$2,"200"," ",'DICTIONARY-2'!$A$10,"16",'DICTIONARY-2'!$A$20,", ",'DICTIONARY-4'!$A$2)</f>
        <v>EKOplus Zasuwa z końc. bosymi DN200 PS16bar, WW</v>
      </c>
      <c r="S236" s="733" t="str">
        <f>'DICTIONARY-4'!$A$2</f>
        <v>WW</v>
      </c>
      <c r="T236" s="732" t="str">
        <f>'DICTIONARY-4'!$A$18</f>
        <v>Wolny wałek</v>
      </c>
      <c r="U236" s="734" t="s">
        <v>5750</v>
      </c>
      <c r="V236" s="735">
        <v>16</v>
      </c>
      <c r="W236" s="736"/>
      <c r="X236" s="737"/>
      <c r="Y236" s="738"/>
      <c r="Z236" s="739"/>
      <c r="AA236" s="739"/>
      <c r="AB236" s="740">
        <v>16</v>
      </c>
      <c r="AC236" s="733">
        <v>499</v>
      </c>
      <c r="AD236" s="741" t="str">
        <f>'DICTIONARY-5'!$A$13</f>
        <v>woda pitna</v>
      </c>
      <c r="AE236" s="742">
        <v>50</v>
      </c>
      <c r="AF236" s="743">
        <v>51</v>
      </c>
      <c r="AG236" s="741" t="str">
        <f>'DICTIONARY-5'!$A$23</f>
        <v>powłoka epoksydowa</v>
      </c>
    </row>
    <row r="237" spans="1:33" x14ac:dyDescent="0.25">
      <c r="A237" s="842" t="s">
        <v>298</v>
      </c>
      <c r="B237" s="842" t="s">
        <v>3471</v>
      </c>
      <c r="C237" s="836">
        <v>429</v>
      </c>
      <c r="D237" s="836"/>
      <c r="E237" s="836"/>
      <c r="F237" s="836"/>
      <c r="G237" s="496" t="s">
        <v>7789</v>
      </c>
      <c r="H237" s="797" t="str">
        <f>VLOOKUP(G237,SETTINGS!$B$7:$D$97,2,0)</f>
        <v>EKOplus</v>
      </c>
      <c r="I237" s="796">
        <f>VLOOKUP(G237,SETTINGS!$B$7:$D$97,3,0)</f>
        <v>0</v>
      </c>
      <c r="J237" s="670" t="str">
        <f>IFERROR(IF(CURRENCY.FORMAT_1=0,CONCATENATE(TEXT(FIXED(ROUND((C237/EXC.RATE_1),CURRENCY.FORMAT_1),CURRENCY.FORMAT_1,1),"# ##0;-# ##0"),",-"),FIXED(ROUND((C237/EXC.RATE_1),CURRENCY.FORMAT_1),CURRENCY.FORMAT_1,0)),'DICTIONARY-5'!$A$2)</f>
        <v>429,-</v>
      </c>
      <c r="K237" s="670" t="str">
        <f>IF(EXC.RATE_2=0,"",IFERROR(IF(CURRENCY.FORMAT_2=0,CONCATENATE(TEXT(FIXED(ROUND(IF(EXC.RATE.SWITCH=1,C237/EXC.RATE_2,C237*EXC.RATE_2),CURRENCY.FORMAT_2),CURRENCY.FORMAT_2,1),"# ##0;-# ##0"),",-"),FIXED(ROUND(IF(EXC.RATE.SWITCH=1,C237/EXC.RATE_2,C237*EXC.RATE_2),CURRENCY.FORMAT_2),CURRENCY.FORMAT_2,0)),'DICTIONARY-5'!$A$2))</f>
        <v/>
      </c>
      <c r="L237" s="670" t="str">
        <f>IFERROR(IF(CURRENCY.FORMAT_1=0,CONCATENATE(TEXT(FIXED(ROUND((C237*(1-I237)*(1-ADD.DISCOUNT)*(1+MAT.SURCHARGE)/EXC.RATE_1),CURRENCY.FORMAT_1),CURRENCY.FORMAT_1,1),"# ##0;-# ##0"),",-"),FIXED(ROUND((C237*(1-I237)*(1-ADD.DISCOUNT)*(1+MAT.SURCHARGE)/EXC.RATE_1),CURRENCY.FORMAT_1),CURRENCY.FORMAT_1,0)),'DICTIONARY-5'!$A$2)</f>
        <v>446,-</v>
      </c>
      <c r="M237" s="670" t="str">
        <f>IF(EXC.RATE_2=0,"",IFERROR(IF(CURRENCY.FORMAT_2=0,CONCATENATE(TEXT(FIXED(ROUND(IF(EXC.RATE.SWITCH=1,C237*(1-I237)*(1-ADD.DISCOUNT)*(1+MAT.SURCHARGE)/EXC.RATE_2,C237*(1-I237)*(1-ADD.DISCOUNT)*(1+MAT.SURCHARGE)*EXC.RATE_2),CURRENCY.FORMAT_2),CURRENCY.FORMAT_2,1),"# ##0;-# ##0"),",-"),FIXED(ROUND(IF(EXC.RATE.SWITCH=1,C237*(1-I237)*(1-ADD.DISCOUNT)*(1+MAT.SURCHARGE)/EXC.RATE_2,C237*(1-I237)*(1-ADD.DISCOUNT)*(1+MAT.SURCHARGE)*EXC.RATE_2),CURRENCY.FORMAT_2),CURRENCY.FORMAT_2,0)),'DICTIONARY-5'!$A$2))</f>
        <v/>
      </c>
      <c r="N237" s="544">
        <v>1</v>
      </c>
      <c r="O237" s="544"/>
      <c r="P237" s="731" t="str">
        <f>'DICTIONARY-3'!$A$2</f>
        <v>EKOplus</v>
      </c>
      <c r="Q237" s="732" t="str">
        <f>'DICTIONARY-3'!$A$187</f>
        <v>Zasuwa klinowa</v>
      </c>
      <c r="R237" s="732" t="str">
        <f>CONCATENATE('DICTIONARY-3'!$A$2," ",'DICTIONARY-6'!$A$4," ",'DICTIONARY-2'!$A$2,"40"," ",'DICTIONARY-2'!$A$3,"10/16"," ","R14",", ",'DICTIONARY-4'!$A$2)</f>
        <v>EKOplus Zasuwa z wrzec. wznosz. się DN40 PN10/16 R14, WW</v>
      </c>
      <c r="S237" s="733" t="str">
        <f>'DICTIONARY-4'!$A$2</f>
        <v>WW</v>
      </c>
      <c r="T237" s="732" t="str">
        <f>'DICTIONARY-4'!$A$18</f>
        <v>Wolny wałek</v>
      </c>
      <c r="U237" s="734" t="s">
        <v>5758</v>
      </c>
      <c r="V237" s="735">
        <v>16</v>
      </c>
      <c r="W237" s="736"/>
      <c r="X237" s="737"/>
      <c r="Y237" s="738"/>
      <c r="Z237" s="739"/>
      <c r="AA237" s="739"/>
      <c r="AB237" s="740">
        <v>16</v>
      </c>
      <c r="AC237" s="741" t="str">
        <f>'DICTIONARY-5'!$A$11&amp;" 14"</f>
        <v>EN 558 szereg 14</v>
      </c>
      <c r="AD237" s="741" t="str">
        <f>'DICTIONARY-5'!$A$13</f>
        <v>woda pitna</v>
      </c>
      <c r="AE237" s="742">
        <v>50</v>
      </c>
      <c r="AF237" s="743">
        <v>15.7</v>
      </c>
      <c r="AG237" s="741" t="str">
        <f>'DICTIONARY-5'!$A$23</f>
        <v>powłoka epoksydowa</v>
      </c>
    </row>
    <row r="238" spans="1:33" x14ac:dyDescent="0.25">
      <c r="A238" s="842" t="s">
        <v>300</v>
      </c>
      <c r="B238" s="842" t="s">
        <v>3473</v>
      </c>
      <c r="C238" s="836">
        <v>429</v>
      </c>
      <c r="D238" s="836"/>
      <c r="E238" s="836"/>
      <c r="F238" s="836"/>
      <c r="G238" s="496" t="s">
        <v>7789</v>
      </c>
      <c r="H238" s="797" t="str">
        <f>VLOOKUP(G238,SETTINGS!$B$7:$D$97,2,0)</f>
        <v>EKOplus</v>
      </c>
      <c r="I238" s="796">
        <f>VLOOKUP(G238,SETTINGS!$B$7:$D$97,3,0)</f>
        <v>0</v>
      </c>
      <c r="J238" s="670" t="str">
        <f>IFERROR(IF(CURRENCY.FORMAT_1=0,CONCATENATE(TEXT(FIXED(ROUND((C238/EXC.RATE_1),CURRENCY.FORMAT_1),CURRENCY.FORMAT_1,1),"# ##0;-# ##0"),",-"),FIXED(ROUND((C238/EXC.RATE_1),CURRENCY.FORMAT_1),CURRENCY.FORMAT_1,0)),'DICTIONARY-5'!$A$2)</f>
        <v>429,-</v>
      </c>
      <c r="K238" s="670" t="str">
        <f>IF(EXC.RATE_2=0,"",IFERROR(IF(CURRENCY.FORMAT_2=0,CONCATENATE(TEXT(FIXED(ROUND(IF(EXC.RATE.SWITCH=1,C238/EXC.RATE_2,C238*EXC.RATE_2),CURRENCY.FORMAT_2),CURRENCY.FORMAT_2,1),"# ##0;-# ##0"),",-"),FIXED(ROUND(IF(EXC.RATE.SWITCH=1,C238/EXC.RATE_2,C238*EXC.RATE_2),CURRENCY.FORMAT_2),CURRENCY.FORMAT_2,0)),'DICTIONARY-5'!$A$2))</f>
        <v/>
      </c>
      <c r="L238" s="670" t="str">
        <f>IFERROR(IF(CURRENCY.FORMAT_1=0,CONCATENATE(TEXT(FIXED(ROUND((C238*(1-I238)*(1-ADD.DISCOUNT)*(1+MAT.SURCHARGE)/EXC.RATE_1),CURRENCY.FORMAT_1),CURRENCY.FORMAT_1,1),"# ##0;-# ##0"),",-"),FIXED(ROUND((C238*(1-I238)*(1-ADD.DISCOUNT)*(1+MAT.SURCHARGE)/EXC.RATE_1),CURRENCY.FORMAT_1),CURRENCY.FORMAT_1,0)),'DICTIONARY-5'!$A$2)</f>
        <v>446,-</v>
      </c>
      <c r="M238" s="670" t="str">
        <f>IF(EXC.RATE_2=0,"",IFERROR(IF(CURRENCY.FORMAT_2=0,CONCATENATE(TEXT(FIXED(ROUND(IF(EXC.RATE.SWITCH=1,C238*(1-I238)*(1-ADD.DISCOUNT)*(1+MAT.SURCHARGE)/EXC.RATE_2,C238*(1-I238)*(1-ADD.DISCOUNT)*(1+MAT.SURCHARGE)*EXC.RATE_2),CURRENCY.FORMAT_2),CURRENCY.FORMAT_2,1),"# ##0;-# ##0"),",-"),FIXED(ROUND(IF(EXC.RATE.SWITCH=1,C238*(1-I238)*(1-ADD.DISCOUNT)*(1+MAT.SURCHARGE)/EXC.RATE_2,C238*(1-I238)*(1-ADD.DISCOUNT)*(1+MAT.SURCHARGE)*EXC.RATE_2),CURRENCY.FORMAT_2),CURRENCY.FORMAT_2,0)),'DICTIONARY-5'!$A$2))</f>
        <v/>
      </c>
      <c r="N238" s="544">
        <v>1</v>
      </c>
      <c r="O238" s="544"/>
      <c r="P238" s="731" t="str">
        <f>'DICTIONARY-3'!$A$2</f>
        <v>EKOplus</v>
      </c>
      <c r="Q238" s="732" t="str">
        <f>'DICTIONARY-3'!$A$187</f>
        <v>Zasuwa klinowa</v>
      </c>
      <c r="R238" s="732" t="str">
        <f>CONCATENATE('DICTIONARY-3'!$A$2," ",'DICTIONARY-6'!$A$4," ",'DICTIONARY-2'!$A$2,"50"," ",'DICTIONARY-2'!$A$3,"10/16"," ","R14",", ",'DICTIONARY-4'!$A$2)</f>
        <v>EKOplus Zasuwa z wrzec. wznosz. się DN50 PN10/16 R14, WW</v>
      </c>
      <c r="S238" s="733" t="str">
        <f>'DICTIONARY-4'!$A$2</f>
        <v>WW</v>
      </c>
      <c r="T238" s="732" t="str">
        <f>'DICTIONARY-4'!$A$18</f>
        <v>Wolny wałek</v>
      </c>
      <c r="U238" s="734" t="s">
        <v>5748</v>
      </c>
      <c r="V238" s="735">
        <v>16</v>
      </c>
      <c r="W238" s="736"/>
      <c r="X238" s="737"/>
      <c r="Y238" s="738"/>
      <c r="Z238" s="739"/>
      <c r="AA238" s="739"/>
      <c r="AB238" s="740">
        <v>16</v>
      </c>
      <c r="AC238" s="741" t="str">
        <f>'DICTIONARY-5'!$A$11&amp;" 14"</f>
        <v>EN 558 szereg 14</v>
      </c>
      <c r="AD238" s="741" t="str">
        <f>'DICTIONARY-5'!$A$13</f>
        <v>woda pitna</v>
      </c>
      <c r="AE238" s="742">
        <v>50</v>
      </c>
      <c r="AF238" s="743">
        <v>17</v>
      </c>
      <c r="AG238" s="741" t="str">
        <f>'DICTIONARY-5'!$A$23</f>
        <v>powłoka epoksydowa</v>
      </c>
    </row>
    <row r="239" spans="1:33" x14ac:dyDescent="0.25">
      <c r="A239" s="842" t="s">
        <v>302</v>
      </c>
      <c r="B239" s="842" t="s">
        <v>3475</v>
      </c>
      <c r="C239" s="836">
        <v>499</v>
      </c>
      <c r="D239" s="836"/>
      <c r="E239" s="836"/>
      <c r="F239" s="836"/>
      <c r="G239" s="496" t="s">
        <v>7789</v>
      </c>
      <c r="H239" s="797" t="str">
        <f>VLOOKUP(G239,SETTINGS!$B$7:$D$97,2,0)</f>
        <v>EKOplus</v>
      </c>
      <c r="I239" s="796">
        <f>VLOOKUP(G239,SETTINGS!$B$7:$D$97,3,0)</f>
        <v>0</v>
      </c>
      <c r="J239" s="670" t="str">
        <f>IFERROR(IF(CURRENCY.FORMAT_1=0,CONCATENATE(TEXT(FIXED(ROUND((C239/EXC.RATE_1),CURRENCY.FORMAT_1),CURRENCY.FORMAT_1,1),"# ##0;-# ##0"),",-"),FIXED(ROUND((C239/EXC.RATE_1),CURRENCY.FORMAT_1),CURRENCY.FORMAT_1,0)),'DICTIONARY-5'!$A$2)</f>
        <v>499,-</v>
      </c>
      <c r="K239" s="670" t="str">
        <f>IF(EXC.RATE_2=0,"",IFERROR(IF(CURRENCY.FORMAT_2=0,CONCATENATE(TEXT(FIXED(ROUND(IF(EXC.RATE.SWITCH=1,C239/EXC.RATE_2,C239*EXC.RATE_2),CURRENCY.FORMAT_2),CURRENCY.FORMAT_2,1),"# ##0;-# ##0"),",-"),FIXED(ROUND(IF(EXC.RATE.SWITCH=1,C239/EXC.RATE_2,C239*EXC.RATE_2),CURRENCY.FORMAT_2),CURRENCY.FORMAT_2,0)),'DICTIONARY-5'!$A$2))</f>
        <v/>
      </c>
      <c r="L239" s="670" t="str">
        <f>IFERROR(IF(CURRENCY.FORMAT_1=0,CONCATENATE(TEXT(FIXED(ROUND((C239*(1-I239)*(1-ADD.DISCOUNT)*(1+MAT.SURCHARGE)/EXC.RATE_1),CURRENCY.FORMAT_1),CURRENCY.FORMAT_1,1),"# ##0;-# ##0"),",-"),FIXED(ROUND((C239*(1-I239)*(1-ADD.DISCOUNT)*(1+MAT.SURCHARGE)/EXC.RATE_1),CURRENCY.FORMAT_1),CURRENCY.FORMAT_1,0)),'DICTIONARY-5'!$A$2)</f>
        <v>518,-</v>
      </c>
      <c r="M239" s="670" t="str">
        <f>IF(EXC.RATE_2=0,"",IFERROR(IF(CURRENCY.FORMAT_2=0,CONCATENATE(TEXT(FIXED(ROUND(IF(EXC.RATE.SWITCH=1,C239*(1-I239)*(1-ADD.DISCOUNT)*(1+MAT.SURCHARGE)/EXC.RATE_2,C239*(1-I239)*(1-ADD.DISCOUNT)*(1+MAT.SURCHARGE)*EXC.RATE_2),CURRENCY.FORMAT_2),CURRENCY.FORMAT_2,1),"# ##0;-# ##0"),",-"),FIXED(ROUND(IF(EXC.RATE.SWITCH=1,C239*(1-I239)*(1-ADD.DISCOUNT)*(1+MAT.SURCHARGE)/EXC.RATE_2,C239*(1-I239)*(1-ADD.DISCOUNT)*(1+MAT.SURCHARGE)*EXC.RATE_2),CURRENCY.FORMAT_2),CURRENCY.FORMAT_2,0)),'DICTIONARY-5'!$A$2))</f>
        <v/>
      </c>
      <c r="N239" s="544">
        <v>1</v>
      </c>
      <c r="O239" s="544"/>
      <c r="P239" s="731" t="str">
        <f>'DICTIONARY-3'!$A$2</f>
        <v>EKOplus</v>
      </c>
      <c r="Q239" s="732" t="str">
        <f>'DICTIONARY-3'!$A$187</f>
        <v>Zasuwa klinowa</v>
      </c>
      <c r="R239" s="732" t="str">
        <f>CONCATENATE('DICTIONARY-3'!$A$2," ",'DICTIONARY-6'!$A$4," ",'DICTIONARY-2'!$A$2,"65"," ",'DICTIONARY-2'!$A$3,"10/16"," ","R14",", ",'DICTIONARY-4'!$A$2)</f>
        <v>EKOplus Zasuwa z wrzec. wznosz. się DN65 PN10/16 R14, WW</v>
      </c>
      <c r="S239" s="733" t="str">
        <f>'DICTIONARY-4'!$A$2</f>
        <v>WW</v>
      </c>
      <c r="T239" s="732" t="str">
        <f>'DICTIONARY-4'!$A$18</f>
        <v>Wolny wałek</v>
      </c>
      <c r="U239" s="734" t="s">
        <v>5759</v>
      </c>
      <c r="V239" s="735">
        <v>16</v>
      </c>
      <c r="W239" s="736"/>
      <c r="X239" s="737"/>
      <c r="Y239" s="738"/>
      <c r="Z239" s="739"/>
      <c r="AA239" s="739"/>
      <c r="AB239" s="740">
        <v>16</v>
      </c>
      <c r="AC239" s="741" t="str">
        <f>'DICTIONARY-5'!$A$11&amp;" 14"</f>
        <v>EN 558 szereg 14</v>
      </c>
      <c r="AD239" s="741" t="str">
        <f>'DICTIONARY-5'!$A$13</f>
        <v>woda pitna</v>
      </c>
      <c r="AE239" s="742">
        <v>50</v>
      </c>
      <c r="AF239" s="743">
        <v>22</v>
      </c>
      <c r="AG239" s="741" t="str">
        <f>'DICTIONARY-5'!$A$23</f>
        <v>powłoka epoksydowa</v>
      </c>
    </row>
    <row r="240" spans="1:33" x14ac:dyDescent="0.25">
      <c r="A240" s="842" t="s">
        <v>304</v>
      </c>
      <c r="B240" s="842" t="str">
        <f>'DICTIONARY-5'!$A$2</f>
        <v>na zapytanie</v>
      </c>
      <c r="C240" s="836" t="s">
        <v>5967</v>
      </c>
      <c r="D240" s="836"/>
      <c r="E240" s="836"/>
      <c r="F240" s="836"/>
      <c r="G240" s="496" t="s">
        <v>7789</v>
      </c>
      <c r="H240" s="797" t="str">
        <f>VLOOKUP(G240,SETTINGS!$B$7:$D$97,2,0)</f>
        <v>EKOplus</v>
      </c>
      <c r="I240" s="796">
        <f>VLOOKUP(G240,SETTINGS!$B$7:$D$97,3,0)</f>
        <v>0</v>
      </c>
      <c r="J240" s="670" t="str">
        <f>IFERROR(IF(CURRENCY.FORMAT_1=0,CONCATENATE(TEXT(FIXED(ROUND((C240/EXC.RATE_1),CURRENCY.FORMAT_1),CURRENCY.FORMAT_1,1),"# ##0;-# ##0"),",-"),FIXED(ROUND((C240/EXC.RATE_1),CURRENCY.FORMAT_1),CURRENCY.FORMAT_1,0)),'DICTIONARY-5'!$A$2)</f>
        <v>na zapytanie</v>
      </c>
      <c r="K240" s="670" t="str">
        <f>IF(EXC.RATE_2=0,"",IFERROR(IF(CURRENCY.FORMAT_2=0,CONCATENATE(TEXT(FIXED(ROUND(IF(EXC.RATE.SWITCH=1,C240/EXC.RATE_2,C240*EXC.RATE_2),CURRENCY.FORMAT_2),CURRENCY.FORMAT_2,1),"# ##0;-# ##0"),",-"),FIXED(ROUND(IF(EXC.RATE.SWITCH=1,C240/EXC.RATE_2,C240*EXC.RATE_2),CURRENCY.FORMAT_2),CURRENCY.FORMAT_2,0)),'DICTIONARY-5'!$A$2))</f>
        <v/>
      </c>
      <c r="L240" s="670" t="str">
        <f>IFERROR(IF(CURRENCY.FORMAT_1=0,CONCATENATE(TEXT(FIXED(ROUND((C240*(1-I240)*(1-ADD.DISCOUNT)*(1+MAT.SURCHARGE)/EXC.RATE_1),CURRENCY.FORMAT_1),CURRENCY.FORMAT_1,1),"# ##0;-# ##0"),",-"),FIXED(ROUND((C240*(1-I240)*(1-ADD.DISCOUNT)*(1+MAT.SURCHARGE)/EXC.RATE_1),CURRENCY.FORMAT_1),CURRENCY.FORMAT_1,0)),'DICTIONARY-5'!$A$2)</f>
        <v>na zapytanie</v>
      </c>
      <c r="M240" s="670" t="str">
        <f>IF(EXC.RATE_2=0,"",IFERROR(IF(CURRENCY.FORMAT_2=0,CONCATENATE(TEXT(FIXED(ROUND(IF(EXC.RATE.SWITCH=1,C240*(1-I240)*(1-ADD.DISCOUNT)*(1+MAT.SURCHARGE)/EXC.RATE_2,C240*(1-I240)*(1-ADD.DISCOUNT)*(1+MAT.SURCHARGE)*EXC.RATE_2),CURRENCY.FORMAT_2),CURRENCY.FORMAT_2,1),"# ##0;-# ##0"),",-"),FIXED(ROUND(IF(EXC.RATE.SWITCH=1,C240*(1-I240)*(1-ADD.DISCOUNT)*(1+MAT.SURCHARGE)/EXC.RATE_2,C240*(1-I240)*(1-ADD.DISCOUNT)*(1+MAT.SURCHARGE)*EXC.RATE_2),CURRENCY.FORMAT_2),CURRENCY.FORMAT_2,0)),'DICTIONARY-5'!$A$2))</f>
        <v/>
      </c>
      <c r="N240" s="544">
        <v>1</v>
      </c>
      <c r="O240" s="544"/>
      <c r="P240" s="731" t="str">
        <f>'DICTIONARY-3'!$A$2</f>
        <v>EKOplus</v>
      </c>
      <c r="Q240" s="732" t="str">
        <f>'DICTIONARY-3'!$A$187</f>
        <v>Zasuwa klinowa</v>
      </c>
      <c r="R240" s="732" t="str">
        <f>CONCATENATE('DICTIONARY-3'!$A$2," ",'DICTIONARY-6'!$A$4," ",'DICTIONARY-2'!$A$2,"80"," ",'DICTIONARY-2'!$A$3,"10"," ","R14"," ",'DICTIONARY-5'!$A$64,", ",'DICTIONARY-4'!$A$2)</f>
        <v>EKOplus Zasuwa z wrzec. wznosz. się DN80 PN10 R14 owiert 4 otw., WW</v>
      </c>
      <c r="S240" s="733" t="str">
        <f>'DICTIONARY-4'!$A$2</f>
        <v>WW</v>
      </c>
      <c r="T240" s="732" t="str">
        <f>'DICTIONARY-4'!$A$18</f>
        <v>Wolny wałek</v>
      </c>
      <c r="U240" s="734" t="s">
        <v>5760</v>
      </c>
      <c r="V240" s="735">
        <v>10</v>
      </c>
      <c r="W240" s="736"/>
      <c r="X240" s="737"/>
      <c r="Y240" s="738"/>
      <c r="Z240" s="739"/>
      <c r="AA240" s="739"/>
      <c r="AB240" s="740">
        <v>10</v>
      </c>
      <c r="AC240" s="741" t="str">
        <f>'DICTIONARY-5'!$A$11&amp;" 14"</f>
        <v>EN 558 szereg 14</v>
      </c>
      <c r="AD240" s="741" t="str">
        <f>'DICTIONARY-5'!$A$13</f>
        <v>woda pitna</v>
      </c>
      <c r="AE240" s="742">
        <v>50</v>
      </c>
      <c r="AF240" s="743"/>
      <c r="AG240" s="741" t="str">
        <f>'DICTIONARY-5'!$A$23</f>
        <v>powłoka epoksydowa</v>
      </c>
    </row>
    <row r="241" spans="1:33" x14ac:dyDescent="0.25">
      <c r="A241" s="842" t="s">
        <v>306</v>
      </c>
      <c r="B241" s="842" t="s">
        <v>3477</v>
      </c>
      <c r="C241" s="836">
        <v>505</v>
      </c>
      <c r="D241" s="836"/>
      <c r="E241" s="836"/>
      <c r="F241" s="836"/>
      <c r="G241" s="496" t="s">
        <v>7789</v>
      </c>
      <c r="H241" s="797" t="str">
        <f>VLOOKUP(G241,SETTINGS!$B$7:$D$97,2,0)</f>
        <v>EKOplus</v>
      </c>
      <c r="I241" s="796">
        <f>VLOOKUP(G241,SETTINGS!$B$7:$D$97,3,0)</f>
        <v>0</v>
      </c>
      <c r="J241" s="670" t="str">
        <f>IFERROR(IF(CURRENCY.FORMAT_1=0,CONCATENATE(TEXT(FIXED(ROUND((C241/EXC.RATE_1),CURRENCY.FORMAT_1),CURRENCY.FORMAT_1,1),"# ##0;-# ##0"),",-"),FIXED(ROUND((C241/EXC.RATE_1),CURRENCY.FORMAT_1),CURRENCY.FORMAT_1,0)),'DICTIONARY-5'!$A$2)</f>
        <v>505,-</v>
      </c>
      <c r="K241" s="670" t="str">
        <f>IF(EXC.RATE_2=0,"",IFERROR(IF(CURRENCY.FORMAT_2=0,CONCATENATE(TEXT(FIXED(ROUND(IF(EXC.RATE.SWITCH=1,C241/EXC.RATE_2,C241*EXC.RATE_2),CURRENCY.FORMAT_2),CURRENCY.FORMAT_2,1),"# ##0;-# ##0"),",-"),FIXED(ROUND(IF(EXC.RATE.SWITCH=1,C241/EXC.RATE_2,C241*EXC.RATE_2),CURRENCY.FORMAT_2),CURRENCY.FORMAT_2,0)),'DICTIONARY-5'!$A$2))</f>
        <v/>
      </c>
      <c r="L241" s="670" t="str">
        <f>IFERROR(IF(CURRENCY.FORMAT_1=0,CONCATENATE(TEXT(FIXED(ROUND((C241*(1-I241)*(1-ADD.DISCOUNT)*(1+MAT.SURCHARGE)/EXC.RATE_1),CURRENCY.FORMAT_1),CURRENCY.FORMAT_1,1),"# ##0;-# ##0"),",-"),FIXED(ROUND((C241*(1-I241)*(1-ADD.DISCOUNT)*(1+MAT.SURCHARGE)/EXC.RATE_1),CURRENCY.FORMAT_1),CURRENCY.FORMAT_1,0)),'DICTIONARY-5'!$A$2)</f>
        <v>525,-</v>
      </c>
      <c r="M241" s="670" t="str">
        <f>IF(EXC.RATE_2=0,"",IFERROR(IF(CURRENCY.FORMAT_2=0,CONCATENATE(TEXT(FIXED(ROUND(IF(EXC.RATE.SWITCH=1,C241*(1-I241)*(1-ADD.DISCOUNT)*(1+MAT.SURCHARGE)/EXC.RATE_2,C241*(1-I241)*(1-ADD.DISCOUNT)*(1+MAT.SURCHARGE)*EXC.RATE_2),CURRENCY.FORMAT_2),CURRENCY.FORMAT_2,1),"# ##0;-# ##0"),",-"),FIXED(ROUND(IF(EXC.RATE.SWITCH=1,C241*(1-I241)*(1-ADD.DISCOUNT)*(1+MAT.SURCHARGE)/EXC.RATE_2,C241*(1-I241)*(1-ADD.DISCOUNT)*(1+MAT.SURCHARGE)*EXC.RATE_2),CURRENCY.FORMAT_2),CURRENCY.FORMAT_2,0)),'DICTIONARY-5'!$A$2))</f>
        <v/>
      </c>
      <c r="N241" s="544">
        <v>1</v>
      </c>
      <c r="O241" s="544"/>
      <c r="P241" s="731" t="str">
        <f>'DICTIONARY-3'!$A$2</f>
        <v>EKOplus</v>
      </c>
      <c r="Q241" s="732" t="str">
        <f>'DICTIONARY-3'!$A$187</f>
        <v>Zasuwa klinowa</v>
      </c>
      <c r="R241" s="732" t="str">
        <f>CONCATENATE('DICTIONARY-3'!$A$2," ",'DICTIONARY-6'!$A$4," ",'DICTIONARY-2'!$A$2,"80"," ",'DICTIONARY-2'!$A$3,"10/16"," ","R14",", ",'DICTIONARY-4'!$A$2)</f>
        <v>EKOplus Zasuwa z wrzec. wznosz. się DN80 PN10/16 R14, WW</v>
      </c>
      <c r="S241" s="733" t="str">
        <f>'DICTIONARY-4'!$A$2</f>
        <v>WW</v>
      </c>
      <c r="T241" s="732" t="str">
        <f>'DICTIONARY-4'!$A$18</f>
        <v>Wolny wałek</v>
      </c>
      <c r="U241" s="734" t="s">
        <v>5760</v>
      </c>
      <c r="V241" s="735">
        <v>16</v>
      </c>
      <c r="W241" s="736"/>
      <c r="X241" s="737"/>
      <c r="Y241" s="738"/>
      <c r="Z241" s="739"/>
      <c r="AA241" s="739"/>
      <c r="AB241" s="740">
        <v>16</v>
      </c>
      <c r="AC241" s="741" t="str">
        <f>'DICTIONARY-5'!$A$11&amp;" 14"</f>
        <v>EN 558 szereg 14</v>
      </c>
      <c r="AD241" s="741" t="str">
        <f>'DICTIONARY-5'!$A$13</f>
        <v>woda pitna</v>
      </c>
      <c r="AE241" s="742">
        <v>50</v>
      </c>
      <c r="AF241" s="743">
        <v>23.5</v>
      </c>
      <c r="AG241" s="741" t="str">
        <f>'DICTIONARY-5'!$A$23</f>
        <v>powłoka epoksydowa</v>
      </c>
    </row>
    <row r="242" spans="1:33" x14ac:dyDescent="0.25">
      <c r="A242" s="842" t="s">
        <v>308</v>
      </c>
      <c r="B242" s="842" t="s">
        <v>3479</v>
      </c>
      <c r="C242" s="836">
        <v>580</v>
      </c>
      <c r="D242" s="836"/>
      <c r="E242" s="836"/>
      <c r="F242" s="836"/>
      <c r="G242" s="496" t="s">
        <v>7789</v>
      </c>
      <c r="H242" s="797" t="str">
        <f>VLOOKUP(G242,SETTINGS!$B$7:$D$97,2,0)</f>
        <v>EKOplus</v>
      </c>
      <c r="I242" s="796">
        <f>VLOOKUP(G242,SETTINGS!$B$7:$D$97,3,0)</f>
        <v>0</v>
      </c>
      <c r="J242" s="670" t="str">
        <f>IFERROR(IF(CURRENCY.FORMAT_1=0,CONCATENATE(TEXT(FIXED(ROUND((C242/EXC.RATE_1),CURRENCY.FORMAT_1),CURRENCY.FORMAT_1,1),"# ##0;-# ##0"),",-"),FIXED(ROUND((C242/EXC.RATE_1),CURRENCY.FORMAT_1),CURRENCY.FORMAT_1,0)),'DICTIONARY-5'!$A$2)</f>
        <v>580,-</v>
      </c>
      <c r="K242" s="670" t="str">
        <f>IF(EXC.RATE_2=0,"",IFERROR(IF(CURRENCY.FORMAT_2=0,CONCATENATE(TEXT(FIXED(ROUND(IF(EXC.RATE.SWITCH=1,C242/EXC.RATE_2,C242*EXC.RATE_2),CURRENCY.FORMAT_2),CURRENCY.FORMAT_2,1),"# ##0;-# ##0"),",-"),FIXED(ROUND(IF(EXC.RATE.SWITCH=1,C242/EXC.RATE_2,C242*EXC.RATE_2),CURRENCY.FORMAT_2),CURRENCY.FORMAT_2,0)),'DICTIONARY-5'!$A$2))</f>
        <v/>
      </c>
      <c r="L242" s="670" t="str">
        <f>IFERROR(IF(CURRENCY.FORMAT_1=0,CONCATENATE(TEXT(FIXED(ROUND((C242*(1-I242)*(1-ADD.DISCOUNT)*(1+MAT.SURCHARGE)/EXC.RATE_1),CURRENCY.FORMAT_1),CURRENCY.FORMAT_1,1),"# ##0;-# ##0"),",-"),FIXED(ROUND((C242*(1-I242)*(1-ADD.DISCOUNT)*(1+MAT.SURCHARGE)/EXC.RATE_1),CURRENCY.FORMAT_1),CURRENCY.FORMAT_1,0)),'DICTIONARY-5'!$A$2)</f>
        <v>603,-</v>
      </c>
      <c r="M242" s="670" t="str">
        <f>IF(EXC.RATE_2=0,"",IFERROR(IF(CURRENCY.FORMAT_2=0,CONCATENATE(TEXT(FIXED(ROUND(IF(EXC.RATE.SWITCH=1,C242*(1-I242)*(1-ADD.DISCOUNT)*(1+MAT.SURCHARGE)/EXC.RATE_2,C242*(1-I242)*(1-ADD.DISCOUNT)*(1+MAT.SURCHARGE)*EXC.RATE_2),CURRENCY.FORMAT_2),CURRENCY.FORMAT_2,1),"# ##0;-# ##0"),",-"),FIXED(ROUND(IF(EXC.RATE.SWITCH=1,C242*(1-I242)*(1-ADD.DISCOUNT)*(1+MAT.SURCHARGE)/EXC.RATE_2,C242*(1-I242)*(1-ADD.DISCOUNT)*(1+MAT.SURCHARGE)*EXC.RATE_2),CURRENCY.FORMAT_2),CURRENCY.FORMAT_2,0)),'DICTIONARY-5'!$A$2))</f>
        <v/>
      </c>
      <c r="N242" s="544">
        <v>1</v>
      </c>
      <c r="O242" s="544"/>
      <c r="P242" s="731" t="str">
        <f>'DICTIONARY-3'!$A$2</f>
        <v>EKOplus</v>
      </c>
      <c r="Q242" s="732" t="str">
        <f>'DICTIONARY-3'!$A$187</f>
        <v>Zasuwa klinowa</v>
      </c>
      <c r="R242" s="732" t="str">
        <f>CONCATENATE('DICTIONARY-3'!$A$2," ",'DICTIONARY-6'!$A$4," ",'DICTIONARY-2'!$A$2,"100"," ",'DICTIONARY-2'!$A$3,"10/16"," ","R14",", ",'DICTIONARY-4'!$A$2)</f>
        <v>EKOplus Zasuwa z wrzec. wznosz. się DN100 PN10/16 R14, WW</v>
      </c>
      <c r="S242" s="733" t="str">
        <f>'DICTIONARY-4'!$A$2</f>
        <v>WW</v>
      </c>
      <c r="T242" s="732" t="str">
        <f>'DICTIONARY-4'!$A$18</f>
        <v>Wolny wałek</v>
      </c>
      <c r="U242" s="734" t="s">
        <v>5749</v>
      </c>
      <c r="V242" s="735">
        <v>16</v>
      </c>
      <c r="W242" s="736"/>
      <c r="X242" s="737"/>
      <c r="Y242" s="738"/>
      <c r="Z242" s="739"/>
      <c r="AA242" s="739"/>
      <c r="AB242" s="740">
        <v>16</v>
      </c>
      <c r="AC242" s="741" t="str">
        <f>'DICTIONARY-5'!$A$11&amp;" 14"</f>
        <v>EN 558 szereg 14</v>
      </c>
      <c r="AD242" s="741" t="str">
        <f>'DICTIONARY-5'!$A$13</f>
        <v>woda pitna</v>
      </c>
      <c r="AE242" s="742">
        <v>50</v>
      </c>
      <c r="AF242" s="743">
        <v>31</v>
      </c>
      <c r="AG242" s="741" t="str">
        <f>'DICTIONARY-5'!$A$23</f>
        <v>powłoka epoksydowa</v>
      </c>
    </row>
    <row r="243" spans="1:33" x14ac:dyDescent="0.25">
      <c r="A243" s="842" t="s">
        <v>310</v>
      </c>
      <c r="B243" s="842" t="s">
        <v>3481</v>
      </c>
      <c r="C243" s="836">
        <v>642</v>
      </c>
      <c r="D243" s="836"/>
      <c r="E243" s="836"/>
      <c r="F243" s="836"/>
      <c r="G243" s="496" t="s">
        <v>7789</v>
      </c>
      <c r="H243" s="797" t="str">
        <f>VLOOKUP(G243,SETTINGS!$B$7:$D$97,2,0)</f>
        <v>EKOplus</v>
      </c>
      <c r="I243" s="796">
        <f>VLOOKUP(G243,SETTINGS!$B$7:$D$97,3,0)</f>
        <v>0</v>
      </c>
      <c r="J243" s="670" t="str">
        <f>IFERROR(IF(CURRENCY.FORMAT_1=0,CONCATENATE(TEXT(FIXED(ROUND((C243/EXC.RATE_1),CURRENCY.FORMAT_1),CURRENCY.FORMAT_1,1),"# ##0;-# ##0"),",-"),FIXED(ROUND((C243/EXC.RATE_1),CURRENCY.FORMAT_1),CURRENCY.FORMAT_1,0)),'DICTIONARY-5'!$A$2)</f>
        <v>642,-</v>
      </c>
      <c r="K243" s="670" t="str">
        <f>IF(EXC.RATE_2=0,"",IFERROR(IF(CURRENCY.FORMAT_2=0,CONCATENATE(TEXT(FIXED(ROUND(IF(EXC.RATE.SWITCH=1,C243/EXC.RATE_2,C243*EXC.RATE_2),CURRENCY.FORMAT_2),CURRENCY.FORMAT_2,1),"# ##0;-# ##0"),",-"),FIXED(ROUND(IF(EXC.RATE.SWITCH=1,C243/EXC.RATE_2,C243*EXC.RATE_2),CURRENCY.FORMAT_2),CURRENCY.FORMAT_2,0)),'DICTIONARY-5'!$A$2))</f>
        <v/>
      </c>
      <c r="L243" s="670" t="str">
        <f>IFERROR(IF(CURRENCY.FORMAT_1=0,CONCATENATE(TEXT(FIXED(ROUND((C243*(1-I243)*(1-ADD.DISCOUNT)*(1+MAT.SURCHARGE)/EXC.RATE_1),CURRENCY.FORMAT_1),CURRENCY.FORMAT_1,1),"# ##0;-# ##0"),",-"),FIXED(ROUND((C243*(1-I243)*(1-ADD.DISCOUNT)*(1+MAT.SURCHARGE)/EXC.RATE_1),CURRENCY.FORMAT_1),CURRENCY.FORMAT_1,0)),'DICTIONARY-5'!$A$2)</f>
        <v>667,-</v>
      </c>
      <c r="M243" s="670" t="str">
        <f>IF(EXC.RATE_2=0,"",IFERROR(IF(CURRENCY.FORMAT_2=0,CONCATENATE(TEXT(FIXED(ROUND(IF(EXC.RATE.SWITCH=1,C243*(1-I243)*(1-ADD.DISCOUNT)*(1+MAT.SURCHARGE)/EXC.RATE_2,C243*(1-I243)*(1-ADD.DISCOUNT)*(1+MAT.SURCHARGE)*EXC.RATE_2),CURRENCY.FORMAT_2),CURRENCY.FORMAT_2,1),"# ##0;-# ##0"),",-"),FIXED(ROUND(IF(EXC.RATE.SWITCH=1,C243*(1-I243)*(1-ADD.DISCOUNT)*(1+MAT.SURCHARGE)/EXC.RATE_2,C243*(1-I243)*(1-ADD.DISCOUNT)*(1+MAT.SURCHARGE)*EXC.RATE_2),CURRENCY.FORMAT_2),CURRENCY.FORMAT_2,0)),'DICTIONARY-5'!$A$2))</f>
        <v/>
      </c>
      <c r="N243" s="544">
        <v>1</v>
      </c>
      <c r="O243" s="544"/>
      <c r="P243" s="731" t="str">
        <f>'DICTIONARY-3'!$A$2</f>
        <v>EKOplus</v>
      </c>
      <c r="Q243" s="732" t="str">
        <f>'DICTIONARY-3'!$A$187</f>
        <v>Zasuwa klinowa</v>
      </c>
      <c r="R243" s="732" t="str">
        <f>CONCATENATE('DICTIONARY-3'!$A$2," ",'DICTIONARY-6'!$A$4," ",'DICTIONARY-2'!$A$2,"125"," ",'DICTIONARY-2'!$A$3,"10/16"," ","R14",", ",'DICTIONARY-4'!$A$2)</f>
        <v>EKOplus Zasuwa z wrzec. wznosz. się DN125 PN10/16 R14, WW</v>
      </c>
      <c r="S243" s="733" t="str">
        <f>'DICTIONARY-4'!$A$2</f>
        <v>WW</v>
      </c>
      <c r="T243" s="732" t="str">
        <f>'DICTIONARY-4'!$A$18</f>
        <v>Wolny wałek</v>
      </c>
      <c r="U243" s="734" t="s">
        <v>5761</v>
      </c>
      <c r="V243" s="735">
        <v>16</v>
      </c>
      <c r="W243" s="736"/>
      <c r="X243" s="737"/>
      <c r="Y243" s="738"/>
      <c r="Z243" s="739"/>
      <c r="AA243" s="739"/>
      <c r="AB243" s="740">
        <v>16</v>
      </c>
      <c r="AC243" s="741" t="str">
        <f>'DICTIONARY-5'!$A$11&amp;" 14"</f>
        <v>EN 558 szereg 14</v>
      </c>
      <c r="AD243" s="741" t="str">
        <f>'DICTIONARY-5'!$A$13</f>
        <v>woda pitna</v>
      </c>
      <c r="AE243" s="742">
        <v>50</v>
      </c>
      <c r="AF243" s="743">
        <v>35.5</v>
      </c>
      <c r="AG243" s="741" t="str">
        <f>'DICTIONARY-5'!$A$23</f>
        <v>powłoka epoksydowa</v>
      </c>
    </row>
    <row r="244" spans="1:33" x14ac:dyDescent="0.25">
      <c r="A244" s="842" t="s">
        <v>312</v>
      </c>
      <c r="B244" s="842" t="s">
        <v>3483</v>
      </c>
      <c r="C244" s="836">
        <v>661</v>
      </c>
      <c r="D244" s="836"/>
      <c r="E244" s="836"/>
      <c r="F244" s="836"/>
      <c r="G244" s="496" t="s">
        <v>7789</v>
      </c>
      <c r="H244" s="797" t="str">
        <f>VLOOKUP(G244,SETTINGS!$B$7:$D$97,2,0)</f>
        <v>EKOplus</v>
      </c>
      <c r="I244" s="796">
        <f>VLOOKUP(G244,SETTINGS!$B$7:$D$97,3,0)</f>
        <v>0</v>
      </c>
      <c r="J244" s="670" t="str">
        <f>IFERROR(IF(CURRENCY.FORMAT_1=0,CONCATENATE(TEXT(FIXED(ROUND((C244/EXC.RATE_1),CURRENCY.FORMAT_1),CURRENCY.FORMAT_1,1),"# ##0;-# ##0"),",-"),FIXED(ROUND((C244/EXC.RATE_1),CURRENCY.FORMAT_1),CURRENCY.FORMAT_1,0)),'DICTIONARY-5'!$A$2)</f>
        <v>661,-</v>
      </c>
      <c r="K244" s="670" t="str">
        <f>IF(EXC.RATE_2=0,"",IFERROR(IF(CURRENCY.FORMAT_2=0,CONCATENATE(TEXT(FIXED(ROUND(IF(EXC.RATE.SWITCH=1,C244/EXC.RATE_2,C244*EXC.RATE_2),CURRENCY.FORMAT_2),CURRENCY.FORMAT_2,1),"# ##0;-# ##0"),",-"),FIXED(ROUND(IF(EXC.RATE.SWITCH=1,C244/EXC.RATE_2,C244*EXC.RATE_2),CURRENCY.FORMAT_2),CURRENCY.FORMAT_2,0)),'DICTIONARY-5'!$A$2))</f>
        <v/>
      </c>
      <c r="L244" s="670" t="str">
        <f>IFERROR(IF(CURRENCY.FORMAT_1=0,CONCATENATE(TEXT(FIXED(ROUND((C244*(1-I244)*(1-ADD.DISCOUNT)*(1+MAT.SURCHARGE)/EXC.RATE_1),CURRENCY.FORMAT_1),CURRENCY.FORMAT_1,1),"# ##0;-# ##0"),",-"),FIXED(ROUND((C244*(1-I244)*(1-ADD.DISCOUNT)*(1+MAT.SURCHARGE)/EXC.RATE_1),CURRENCY.FORMAT_1),CURRENCY.FORMAT_1,0)),'DICTIONARY-5'!$A$2)</f>
        <v>687,-</v>
      </c>
      <c r="M244" s="670" t="str">
        <f>IF(EXC.RATE_2=0,"",IFERROR(IF(CURRENCY.FORMAT_2=0,CONCATENATE(TEXT(FIXED(ROUND(IF(EXC.RATE.SWITCH=1,C244*(1-I244)*(1-ADD.DISCOUNT)*(1+MAT.SURCHARGE)/EXC.RATE_2,C244*(1-I244)*(1-ADD.DISCOUNT)*(1+MAT.SURCHARGE)*EXC.RATE_2),CURRENCY.FORMAT_2),CURRENCY.FORMAT_2,1),"# ##0;-# ##0"),",-"),FIXED(ROUND(IF(EXC.RATE.SWITCH=1,C244*(1-I244)*(1-ADD.DISCOUNT)*(1+MAT.SURCHARGE)/EXC.RATE_2,C244*(1-I244)*(1-ADD.DISCOUNT)*(1+MAT.SURCHARGE)*EXC.RATE_2),CURRENCY.FORMAT_2),CURRENCY.FORMAT_2,0)),'DICTIONARY-5'!$A$2))</f>
        <v/>
      </c>
      <c r="N244" s="544">
        <v>1</v>
      </c>
      <c r="O244" s="544"/>
      <c r="P244" s="731" t="str">
        <f>'DICTIONARY-3'!$A$2</f>
        <v>EKOplus</v>
      </c>
      <c r="Q244" s="732" t="str">
        <f>'DICTIONARY-3'!$A$187</f>
        <v>Zasuwa klinowa</v>
      </c>
      <c r="R244" s="732" t="str">
        <f>CONCATENATE('DICTIONARY-3'!$A$2," ",'DICTIONARY-6'!$A$4," ",'DICTIONARY-2'!$A$2,"150"," ",'DICTIONARY-2'!$A$3,"10/16"," ","R14",", ",'DICTIONARY-4'!$A$2)</f>
        <v>EKOplus Zasuwa z wrzec. wznosz. się DN150 PN10/16 R14, WW</v>
      </c>
      <c r="S244" s="733" t="str">
        <f>'DICTIONARY-4'!$A$2</f>
        <v>WW</v>
      </c>
      <c r="T244" s="732" t="str">
        <f>'DICTIONARY-4'!$A$18</f>
        <v>Wolny wałek</v>
      </c>
      <c r="U244" s="734" t="s">
        <v>5572</v>
      </c>
      <c r="V244" s="735">
        <v>16</v>
      </c>
      <c r="W244" s="736"/>
      <c r="X244" s="737"/>
      <c r="Y244" s="738"/>
      <c r="Z244" s="739"/>
      <c r="AA244" s="739"/>
      <c r="AB244" s="740">
        <v>16</v>
      </c>
      <c r="AC244" s="741" t="str">
        <f>'DICTIONARY-5'!$A$11&amp;" 14"</f>
        <v>EN 558 szereg 14</v>
      </c>
      <c r="AD244" s="741" t="str">
        <f>'DICTIONARY-5'!$A$13</f>
        <v>woda pitna</v>
      </c>
      <c r="AE244" s="742">
        <v>50</v>
      </c>
      <c r="AF244" s="743">
        <v>43.5</v>
      </c>
      <c r="AG244" s="741" t="str">
        <f>'DICTIONARY-5'!$A$23</f>
        <v>powłoka epoksydowa</v>
      </c>
    </row>
    <row r="245" spans="1:33" x14ac:dyDescent="0.25">
      <c r="A245" s="842" t="s">
        <v>314</v>
      </c>
      <c r="B245" s="842" t="s">
        <v>3459</v>
      </c>
      <c r="C245" s="836">
        <v>1065</v>
      </c>
      <c r="D245" s="836"/>
      <c r="E245" s="836"/>
      <c r="F245" s="836"/>
      <c r="G245" s="496" t="s">
        <v>7789</v>
      </c>
      <c r="H245" s="797" t="str">
        <f>VLOOKUP(G245,SETTINGS!$B$7:$D$97,2,0)</f>
        <v>EKOplus</v>
      </c>
      <c r="I245" s="796">
        <f>VLOOKUP(G245,SETTINGS!$B$7:$D$97,3,0)</f>
        <v>0</v>
      </c>
      <c r="J245" s="670" t="str">
        <f>IFERROR(IF(CURRENCY.FORMAT_1=0,CONCATENATE(TEXT(FIXED(ROUND((C245/EXC.RATE_1),CURRENCY.FORMAT_1),CURRENCY.FORMAT_1,1),"# ##0;-# ##0"),",-"),FIXED(ROUND((C245/EXC.RATE_1),CURRENCY.FORMAT_1),CURRENCY.FORMAT_1,0)),'DICTIONARY-5'!$A$2)</f>
        <v>1 065,-</v>
      </c>
      <c r="K245" s="670" t="str">
        <f>IF(EXC.RATE_2=0,"",IFERROR(IF(CURRENCY.FORMAT_2=0,CONCATENATE(TEXT(FIXED(ROUND(IF(EXC.RATE.SWITCH=1,C245/EXC.RATE_2,C245*EXC.RATE_2),CURRENCY.FORMAT_2),CURRENCY.FORMAT_2,1),"# ##0;-# ##0"),",-"),FIXED(ROUND(IF(EXC.RATE.SWITCH=1,C245/EXC.RATE_2,C245*EXC.RATE_2),CURRENCY.FORMAT_2),CURRENCY.FORMAT_2,0)),'DICTIONARY-5'!$A$2))</f>
        <v/>
      </c>
      <c r="L245" s="670" t="str">
        <f>IFERROR(IF(CURRENCY.FORMAT_1=0,CONCATENATE(TEXT(FIXED(ROUND((C245*(1-I245)*(1-ADD.DISCOUNT)*(1+MAT.SURCHARGE)/EXC.RATE_1),CURRENCY.FORMAT_1),CURRENCY.FORMAT_1,1),"# ##0;-# ##0"),",-"),FIXED(ROUND((C245*(1-I245)*(1-ADD.DISCOUNT)*(1+MAT.SURCHARGE)/EXC.RATE_1),CURRENCY.FORMAT_1),CURRENCY.FORMAT_1,0)),'DICTIONARY-5'!$A$2)</f>
        <v>1 107,-</v>
      </c>
      <c r="M245" s="670" t="str">
        <f>IF(EXC.RATE_2=0,"",IFERROR(IF(CURRENCY.FORMAT_2=0,CONCATENATE(TEXT(FIXED(ROUND(IF(EXC.RATE.SWITCH=1,C245*(1-I245)*(1-ADD.DISCOUNT)*(1+MAT.SURCHARGE)/EXC.RATE_2,C245*(1-I245)*(1-ADD.DISCOUNT)*(1+MAT.SURCHARGE)*EXC.RATE_2),CURRENCY.FORMAT_2),CURRENCY.FORMAT_2,1),"# ##0;-# ##0"),",-"),FIXED(ROUND(IF(EXC.RATE.SWITCH=1,C245*(1-I245)*(1-ADD.DISCOUNT)*(1+MAT.SURCHARGE)/EXC.RATE_2,C245*(1-I245)*(1-ADD.DISCOUNT)*(1+MAT.SURCHARGE)*EXC.RATE_2),CURRENCY.FORMAT_2),CURRENCY.FORMAT_2,0)),'DICTIONARY-5'!$A$2))</f>
        <v/>
      </c>
      <c r="N245" s="544">
        <v>1</v>
      </c>
      <c r="O245" s="544"/>
      <c r="P245" s="731" t="str">
        <f>'DICTIONARY-3'!$A$2</f>
        <v>EKOplus</v>
      </c>
      <c r="Q245" s="732" t="str">
        <f>'DICTIONARY-3'!$A$187</f>
        <v>Zasuwa klinowa</v>
      </c>
      <c r="R245" s="732" t="str">
        <f>CONCATENATE('DICTIONARY-3'!$A$2," ",'DICTIONARY-6'!$A$4," ",'DICTIONARY-2'!$A$2,"200"," ",'DICTIONARY-2'!$A$3,"10"," ","R14",", ",'DICTIONARY-4'!$A$2)</f>
        <v>EKOplus Zasuwa z wrzec. wznosz. się DN200 PN10 R14, WW</v>
      </c>
      <c r="S245" s="733" t="str">
        <f>'DICTIONARY-4'!$A$2</f>
        <v>WW</v>
      </c>
      <c r="T245" s="732" t="str">
        <f>'DICTIONARY-4'!$A$18</f>
        <v>Wolny wałek</v>
      </c>
      <c r="U245" s="734" t="s">
        <v>5750</v>
      </c>
      <c r="V245" s="735">
        <v>10</v>
      </c>
      <c r="W245" s="736"/>
      <c r="X245" s="737"/>
      <c r="Y245" s="738"/>
      <c r="Z245" s="739"/>
      <c r="AA245" s="739"/>
      <c r="AB245" s="740">
        <v>10</v>
      </c>
      <c r="AC245" s="741" t="str">
        <f>'DICTIONARY-5'!$A$11&amp;" 14"</f>
        <v>EN 558 szereg 14</v>
      </c>
      <c r="AD245" s="741" t="str">
        <f>'DICTIONARY-5'!$A$13</f>
        <v>woda pitna</v>
      </c>
      <c r="AE245" s="742">
        <v>50</v>
      </c>
      <c r="AF245" s="743">
        <v>72.5</v>
      </c>
      <c r="AG245" s="741" t="str">
        <f>'DICTIONARY-5'!$A$23</f>
        <v>powłoka epoksydowa</v>
      </c>
    </row>
    <row r="246" spans="1:33" x14ac:dyDescent="0.25">
      <c r="A246" s="842" t="s">
        <v>316</v>
      </c>
      <c r="B246" s="842" t="s">
        <v>3485</v>
      </c>
      <c r="C246" s="836">
        <v>1060</v>
      </c>
      <c r="D246" s="836"/>
      <c r="E246" s="836"/>
      <c r="F246" s="836"/>
      <c r="G246" s="496" t="s">
        <v>7789</v>
      </c>
      <c r="H246" s="797" t="str">
        <f>VLOOKUP(G246,SETTINGS!$B$7:$D$97,2,0)</f>
        <v>EKOplus</v>
      </c>
      <c r="I246" s="796">
        <f>VLOOKUP(G246,SETTINGS!$B$7:$D$97,3,0)</f>
        <v>0</v>
      </c>
      <c r="J246" s="670" t="str">
        <f>IFERROR(IF(CURRENCY.FORMAT_1=0,CONCATENATE(TEXT(FIXED(ROUND((C246/EXC.RATE_1),CURRENCY.FORMAT_1),CURRENCY.FORMAT_1,1),"# ##0;-# ##0"),",-"),FIXED(ROUND((C246/EXC.RATE_1),CURRENCY.FORMAT_1),CURRENCY.FORMAT_1,0)),'DICTIONARY-5'!$A$2)</f>
        <v>1 060,-</v>
      </c>
      <c r="K246" s="670" t="str">
        <f>IF(EXC.RATE_2=0,"",IFERROR(IF(CURRENCY.FORMAT_2=0,CONCATENATE(TEXT(FIXED(ROUND(IF(EXC.RATE.SWITCH=1,C246/EXC.RATE_2,C246*EXC.RATE_2),CURRENCY.FORMAT_2),CURRENCY.FORMAT_2,1),"# ##0;-# ##0"),",-"),FIXED(ROUND(IF(EXC.RATE.SWITCH=1,C246/EXC.RATE_2,C246*EXC.RATE_2),CURRENCY.FORMAT_2),CURRENCY.FORMAT_2,0)),'DICTIONARY-5'!$A$2))</f>
        <v/>
      </c>
      <c r="L246" s="670" t="str">
        <f>IFERROR(IF(CURRENCY.FORMAT_1=0,CONCATENATE(TEXT(FIXED(ROUND((C246*(1-I246)*(1-ADD.DISCOUNT)*(1+MAT.SURCHARGE)/EXC.RATE_1),CURRENCY.FORMAT_1),CURRENCY.FORMAT_1,1),"# ##0;-# ##0"),",-"),FIXED(ROUND((C246*(1-I246)*(1-ADD.DISCOUNT)*(1+MAT.SURCHARGE)/EXC.RATE_1),CURRENCY.FORMAT_1),CURRENCY.FORMAT_1,0)),'DICTIONARY-5'!$A$2)</f>
        <v>1 101,-</v>
      </c>
      <c r="M246" s="670" t="str">
        <f>IF(EXC.RATE_2=0,"",IFERROR(IF(CURRENCY.FORMAT_2=0,CONCATENATE(TEXT(FIXED(ROUND(IF(EXC.RATE.SWITCH=1,C246*(1-I246)*(1-ADD.DISCOUNT)*(1+MAT.SURCHARGE)/EXC.RATE_2,C246*(1-I246)*(1-ADD.DISCOUNT)*(1+MAT.SURCHARGE)*EXC.RATE_2),CURRENCY.FORMAT_2),CURRENCY.FORMAT_2,1),"# ##0;-# ##0"),",-"),FIXED(ROUND(IF(EXC.RATE.SWITCH=1,C246*(1-I246)*(1-ADD.DISCOUNT)*(1+MAT.SURCHARGE)/EXC.RATE_2,C246*(1-I246)*(1-ADD.DISCOUNT)*(1+MAT.SURCHARGE)*EXC.RATE_2),CURRENCY.FORMAT_2),CURRENCY.FORMAT_2,0)),'DICTIONARY-5'!$A$2))</f>
        <v/>
      </c>
      <c r="N246" s="544">
        <v>1</v>
      </c>
      <c r="O246" s="544"/>
      <c r="P246" s="731" t="str">
        <f>'DICTIONARY-3'!$A$2</f>
        <v>EKOplus</v>
      </c>
      <c r="Q246" s="732" t="str">
        <f>'DICTIONARY-3'!$A$187</f>
        <v>Zasuwa klinowa</v>
      </c>
      <c r="R246" s="732" t="str">
        <f>CONCATENATE('DICTIONARY-3'!$A$2," ",'DICTIONARY-6'!$A$4," ",'DICTIONARY-2'!$A$2,"200"," ",'DICTIONARY-2'!$A$3,"16"," ","R14",", ",'DICTIONARY-4'!$A$2)</f>
        <v>EKOplus Zasuwa z wrzec. wznosz. się DN200 PN16 R14, WW</v>
      </c>
      <c r="S246" s="733" t="str">
        <f>'DICTIONARY-4'!$A$2</f>
        <v>WW</v>
      </c>
      <c r="T246" s="732" t="str">
        <f>'DICTIONARY-4'!$A$18</f>
        <v>Wolny wałek</v>
      </c>
      <c r="U246" s="734" t="s">
        <v>5750</v>
      </c>
      <c r="V246" s="735">
        <v>16</v>
      </c>
      <c r="W246" s="736"/>
      <c r="X246" s="737"/>
      <c r="Y246" s="738"/>
      <c r="Z246" s="739"/>
      <c r="AA246" s="739"/>
      <c r="AB246" s="740">
        <v>16</v>
      </c>
      <c r="AC246" s="741" t="str">
        <f>'DICTIONARY-5'!$A$11&amp;" 14"</f>
        <v>EN 558 szereg 14</v>
      </c>
      <c r="AD246" s="741" t="str">
        <f>'DICTIONARY-5'!$A$13</f>
        <v>woda pitna</v>
      </c>
      <c r="AE246" s="742">
        <v>50</v>
      </c>
      <c r="AF246" s="743">
        <v>72</v>
      </c>
      <c r="AG246" s="741" t="str">
        <f>'DICTIONARY-5'!$A$23</f>
        <v>powłoka epoksydowa</v>
      </c>
    </row>
    <row r="247" spans="1:33" x14ac:dyDescent="0.25">
      <c r="A247" s="842" t="s">
        <v>318</v>
      </c>
      <c r="B247" s="842" t="s">
        <v>3460</v>
      </c>
      <c r="C247" s="836">
        <v>1827</v>
      </c>
      <c r="D247" s="836"/>
      <c r="E247" s="836"/>
      <c r="F247" s="836"/>
      <c r="G247" s="496" t="s">
        <v>7789</v>
      </c>
      <c r="H247" s="797" t="str">
        <f>VLOOKUP(G247,SETTINGS!$B$7:$D$97,2,0)</f>
        <v>EKOplus</v>
      </c>
      <c r="I247" s="796">
        <f>VLOOKUP(G247,SETTINGS!$B$7:$D$97,3,0)</f>
        <v>0</v>
      </c>
      <c r="J247" s="670" t="str">
        <f>IFERROR(IF(CURRENCY.FORMAT_1=0,CONCATENATE(TEXT(FIXED(ROUND((C247/EXC.RATE_1),CURRENCY.FORMAT_1),CURRENCY.FORMAT_1,1),"# ##0;-# ##0"),",-"),FIXED(ROUND((C247/EXC.RATE_1),CURRENCY.FORMAT_1),CURRENCY.FORMAT_1,0)),'DICTIONARY-5'!$A$2)</f>
        <v>1 827,-</v>
      </c>
      <c r="K247" s="670" t="str">
        <f>IF(EXC.RATE_2=0,"",IFERROR(IF(CURRENCY.FORMAT_2=0,CONCATENATE(TEXT(FIXED(ROUND(IF(EXC.RATE.SWITCH=1,C247/EXC.RATE_2,C247*EXC.RATE_2),CURRENCY.FORMAT_2),CURRENCY.FORMAT_2,1),"# ##0;-# ##0"),",-"),FIXED(ROUND(IF(EXC.RATE.SWITCH=1,C247/EXC.RATE_2,C247*EXC.RATE_2),CURRENCY.FORMAT_2),CURRENCY.FORMAT_2,0)),'DICTIONARY-5'!$A$2))</f>
        <v/>
      </c>
      <c r="L247" s="670" t="str">
        <f>IFERROR(IF(CURRENCY.FORMAT_1=0,CONCATENATE(TEXT(FIXED(ROUND((C247*(1-I247)*(1-ADD.DISCOUNT)*(1+MAT.SURCHARGE)/EXC.RATE_1),CURRENCY.FORMAT_1),CURRENCY.FORMAT_1,1),"# ##0;-# ##0"),",-"),FIXED(ROUND((C247*(1-I247)*(1-ADD.DISCOUNT)*(1+MAT.SURCHARGE)/EXC.RATE_1),CURRENCY.FORMAT_1),CURRENCY.FORMAT_1,0)),'DICTIONARY-5'!$A$2)</f>
        <v>1 898,-</v>
      </c>
      <c r="M247" s="670" t="str">
        <f>IF(EXC.RATE_2=0,"",IFERROR(IF(CURRENCY.FORMAT_2=0,CONCATENATE(TEXT(FIXED(ROUND(IF(EXC.RATE.SWITCH=1,C247*(1-I247)*(1-ADD.DISCOUNT)*(1+MAT.SURCHARGE)/EXC.RATE_2,C247*(1-I247)*(1-ADD.DISCOUNT)*(1+MAT.SURCHARGE)*EXC.RATE_2),CURRENCY.FORMAT_2),CURRENCY.FORMAT_2,1),"# ##0;-# ##0"),",-"),FIXED(ROUND(IF(EXC.RATE.SWITCH=1,C247*(1-I247)*(1-ADD.DISCOUNT)*(1+MAT.SURCHARGE)/EXC.RATE_2,C247*(1-I247)*(1-ADD.DISCOUNT)*(1+MAT.SURCHARGE)*EXC.RATE_2),CURRENCY.FORMAT_2),CURRENCY.FORMAT_2,0)),'DICTIONARY-5'!$A$2))</f>
        <v/>
      </c>
      <c r="N247" s="544">
        <v>1</v>
      </c>
      <c r="O247" s="544"/>
      <c r="P247" s="731" t="str">
        <f>'DICTIONARY-3'!$A$2</f>
        <v>EKOplus</v>
      </c>
      <c r="Q247" s="732" t="str">
        <f>'DICTIONARY-3'!$A$187</f>
        <v>Zasuwa klinowa</v>
      </c>
      <c r="R247" s="732" t="str">
        <f>CONCATENATE('DICTIONARY-3'!$A$2," ",'DICTIONARY-6'!$A$4," ",'DICTIONARY-2'!$A$2,"250"," ",'DICTIONARY-2'!$A$3,"10"," ","R14",", ",'DICTIONARY-4'!$A$2)</f>
        <v>EKOplus Zasuwa z wrzec. wznosz. się DN250 PN10 R14, WW</v>
      </c>
      <c r="S247" s="733" t="str">
        <f>'DICTIONARY-4'!$A$2</f>
        <v>WW</v>
      </c>
      <c r="T247" s="732" t="str">
        <f>'DICTIONARY-4'!$A$18</f>
        <v>Wolny wałek</v>
      </c>
      <c r="U247" s="734" t="s">
        <v>5751</v>
      </c>
      <c r="V247" s="735">
        <v>10</v>
      </c>
      <c r="W247" s="736"/>
      <c r="X247" s="737"/>
      <c r="Y247" s="738"/>
      <c r="Z247" s="739"/>
      <c r="AA247" s="739"/>
      <c r="AB247" s="740">
        <v>10</v>
      </c>
      <c r="AC247" s="741" t="str">
        <f>'DICTIONARY-5'!$A$11&amp;" 14"</f>
        <v>EN 558 szereg 14</v>
      </c>
      <c r="AD247" s="741" t="str">
        <f>'DICTIONARY-5'!$A$13</f>
        <v>woda pitna</v>
      </c>
      <c r="AE247" s="742">
        <v>50</v>
      </c>
      <c r="AF247" s="743">
        <v>111</v>
      </c>
      <c r="AG247" s="741" t="str">
        <f>'DICTIONARY-5'!$A$23</f>
        <v>powłoka epoksydowa</v>
      </c>
    </row>
    <row r="248" spans="1:33" x14ac:dyDescent="0.25">
      <c r="A248" s="842" t="s">
        <v>320</v>
      </c>
      <c r="B248" s="842" t="s">
        <v>3487</v>
      </c>
      <c r="C248" s="836">
        <v>1828</v>
      </c>
      <c r="D248" s="836"/>
      <c r="E248" s="836"/>
      <c r="F248" s="836"/>
      <c r="G248" s="496" t="s">
        <v>7789</v>
      </c>
      <c r="H248" s="797" t="str">
        <f>VLOOKUP(G248,SETTINGS!$B$7:$D$97,2,0)</f>
        <v>EKOplus</v>
      </c>
      <c r="I248" s="796">
        <f>VLOOKUP(G248,SETTINGS!$B$7:$D$97,3,0)</f>
        <v>0</v>
      </c>
      <c r="J248" s="670" t="str">
        <f>IFERROR(IF(CURRENCY.FORMAT_1=0,CONCATENATE(TEXT(FIXED(ROUND((C248/EXC.RATE_1),CURRENCY.FORMAT_1),CURRENCY.FORMAT_1,1),"# ##0;-# ##0"),",-"),FIXED(ROUND((C248/EXC.RATE_1),CURRENCY.FORMAT_1),CURRENCY.FORMAT_1,0)),'DICTIONARY-5'!$A$2)</f>
        <v>1 828,-</v>
      </c>
      <c r="K248" s="670" t="str">
        <f>IF(EXC.RATE_2=0,"",IFERROR(IF(CURRENCY.FORMAT_2=0,CONCATENATE(TEXT(FIXED(ROUND(IF(EXC.RATE.SWITCH=1,C248/EXC.RATE_2,C248*EXC.RATE_2),CURRENCY.FORMAT_2),CURRENCY.FORMAT_2,1),"# ##0;-# ##0"),",-"),FIXED(ROUND(IF(EXC.RATE.SWITCH=1,C248/EXC.RATE_2,C248*EXC.RATE_2),CURRENCY.FORMAT_2),CURRENCY.FORMAT_2,0)),'DICTIONARY-5'!$A$2))</f>
        <v/>
      </c>
      <c r="L248" s="670" t="str">
        <f>IFERROR(IF(CURRENCY.FORMAT_1=0,CONCATENATE(TEXT(FIXED(ROUND((C248*(1-I248)*(1-ADD.DISCOUNT)*(1+MAT.SURCHARGE)/EXC.RATE_1),CURRENCY.FORMAT_1),CURRENCY.FORMAT_1,1),"# ##0;-# ##0"),",-"),FIXED(ROUND((C248*(1-I248)*(1-ADD.DISCOUNT)*(1+MAT.SURCHARGE)/EXC.RATE_1),CURRENCY.FORMAT_1),CURRENCY.FORMAT_1,0)),'DICTIONARY-5'!$A$2)</f>
        <v>1 899,-</v>
      </c>
      <c r="M248" s="670" t="str">
        <f>IF(EXC.RATE_2=0,"",IFERROR(IF(CURRENCY.FORMAT_2=0,CONCATENATE(TEXT(FIXED(ROUND(IF(EXC.RATE.SWITCH=1,C248*(1-I248)*(1-ADD.DISCOUNT)*(1+MAT.SURCHARGE)/EXC.RATE_2,C248*(1-I248)*(1-ADD.DISCOUNT)*(1+MAT.SURCHARGE)*EXC.RATE_2),CURRENCY.FORMAT_2),CURRENCY.FORMAT_2,1),"# ##0;-# ##0"),",-"),FIXED(ROUND(IF(EXC.RATE.SWITCH=1,C248*(1-I248)*(1-ADD.DISCOUNT)*(1+MAT.SURCHARGE)/EXC.RATE_2,C248*(1-I248)*(1-ADD.DISCOUNT)*(1+MAT.SURCHARGE)*EXC.RATE_2),CURRENCY.FORMAT_2),CURRENCY.FORMAT_2,0)),'DICTIONARY-5'!$A$2))</f>
        <v/>
      </c>
      <c r="N248" s="544">
        <v>1</v>
      </c>
      <c r="O248" s="544"/>
      <c r="P248" s="731" t="str">
        <f>'DICTIONARY-3'!$A$2</f>
        <v>EKOplus</v>
      </c>
      <c r="Q248" s="732" t="str">
        <f>'DICTIONARY-3'!$A$187</f>
        <v>Zasuwa klinowa</v>
      </c>
      <c r="R248" s="732" t="str">
        <f>CONCATENATE('DICTIONARY-3'!$A$2," ",'DICTIONARY-6'!$A$4," ",'DICTIONARY-2'!$A$2,"250"," ",'DICTIONARY-2'!$A$3,"16"," ","R14",", ",'DICTIONARY-4'!$A$2)</f>
        <v>EKOplus Zasuwa z wrzec. wznosz. się DN250 PN16 R14, WW</v>
      </c>
      <c r="S248" s="733" t="str">
        <f>'DICTIONARY-4'!$A$2</f>
        <v>WW</v>
      </c>
      <c r="T248" s="732" t="str">
        <f>'DICTIONARY-4'!$A$18</f>
        <v>Wolny wałek</v>
      </c>
      <c r="U248" s="734" t="s">
        <v>5751</v>
      </c>
      <c r="V248" s="735">
        <v>16</v>
      </c>
      <c r="W248" s="736"/>
      <c r="X248" s="737"/>
      <c r="Y248" s="738"/>
      <c r="Z248" s="739"/>
      <c r="AA248" s="739"/>
      <c r="AB248" s="740">
        <v>16</v>
      </c>
      <c r="AC248" s="741" t="str">
        <f>'DICTIONARY-5'!$A$11&amp;" 14"</f>
        <v>EN 558 szereg 14</v>
      </c>
      <c r="AD248" s="741" t="str">
        <f>'DICTIONARY-5'!$A$13</f>
        <v>woda pitna</v>
      </c>
      <c r="AE248" s="742">
        <v>50</v>
      </c>
      <c r="AF248" s="743">
        <v>110.5</v>
      </c>
      <c r="AG248" s="741" t="str">
        <f>'DICTIONARY-5'!$A$23</f>
        <v>powłoka epoksydowa</v>
      </c>
    </row>
    <row r="249" spans="1:33" x14ac:dyDescent="0.25">
      <c r="A249" s="842" t="s">
        <v>322</v>
      </c>
      <c r="B249" s="842" t="s">
        <v>3461</v>
      </c>
      <c r="C249" s="836">
        <v>2003</v>
      </c>
      <c r="D249" s="836"/>
      <c r="E249" s="836"/>
      <c r="F249" s="836"/>
      <c r="G249" s="496" t="s">
        <v>7789</v>
      </c>
      <c r="H249" s="797" t="str">
        <f>VLOOKUP(G249,SETTINGS!$B$7:$D$97,2,0)</f>
        <v>EKOplus</v>
      </c>
      <c r="I249" s="796">
        <f>VLOOKUP(G249,SETTINGS!$B$7:$D$97,3,0)</f>
        <v>0</v>
      </c>
      <c r="J249" s="670" t="str">
        <f>IFERROR(IF(CURRENCY.FORMAT_1=0,CONCATENATE(TEXT(FIXED(ROUND((C249/EXC.RATE_1),CURRENCY.FORMAT_1),CURRENCY.FORMAT_1,1),"# ##0;-# ##0"),",-"),FIXED(ROUND((C249/EXC.RATE_1),CURRENCY.FORMAT_1),CURRENCY.FORMAT_1,0)),'DICTIONARY-5'!$A$2)</f>
        <v>2 003,-</v>
      </c>
      <c r="K249" s="670" t="str">
        <f>IF(EXC.RATE_2=0,"",IFERROR(IF(CURRENCY.FORMAT_2=0,CONCATENATE(TEXT(FIXED(ROUND(IF(EXC.RATE.SWITCH=1,C249/EXC.RATE_2,C249*EXC.RATE_2),CURRENCY.FORMAT_2),CURRENCY.FORMAT_2,1),"# ##0;-# ##0"),",-"),FIXED(ROUND(IF(EXC.RATE.SWITCH=1,C249/EXC.RATE_2,C249*EXC.RATE_2),CURRENCY.FORMAT_2),CURRENCY.FORMAT_2,0)),'DICTIONARY-5'!$A$2))</f>
        <v/>
      </c>
      <c r="L249" s="670" t="str">
        <f>IFERROR(IF(CURRENCY.FORMAT_1=0,CONCATENATE(TEXT(FIXED(ROUND((C249*(1-I249)*(1-ADD.DISCOUNT)*(1+MAT.SURCHARGE)/EXC.RATE_1),CURRENCY.FORMAT_1),CURRENCY.FORMAT_1,1),"# ##0;-# ##0"),",-"),FIXED(ROUND((C249*(1-I249)*(1-ADD.DISCOUNT)*(1+MAT.SURCHARGE)/EXC.RATE_1),CURRENCY.FORMAT_1),CURRENCY.FORMAT_1,0)),'DICTIONARY-5'!$A$2)</f>
        <v>2 081,-</v>
      </c>
      <c r="M249" s="670" t="str">
        <f>IF(EXC.RATE_2=0,"",IFERROR(IF(CURRENCY.FORMAT_2=0,CONCATENATE(TEXT(FIXED(ROUND(IF(EXC.RATE.SWITCH=1,C249*(1-I249)*(1-ADD.DISCOUNT)*(1+MAT.SURCHARGE)/EXC.RATE_2,C249*(1-I249)*(1-ADD.DISCOUNT)*(1+MAT.SURCHARGE)*EXC.RATE_2),CURRENCY.FORMAT_2),CURRENCY.FORMAT_2,1),"# ##0;-# ##0"),",-"),FIXED(ROUND(IF(EXC.RATE.SWITCH=1,C249*(1-I249)*(1-ADD.DISCOUNT)*(1+MAT.SURCHARGE)/EXC.RATE_2,C249*(1-I249)*(1-ADD.DISCOUNT)*(1+MAT.SURCHARGE)*EXC.RATE_2),CURRENCY.FORMAT_2),CURRENCY.FORMAT_2,0)),'DICTIONARY-5'!$A$2))</f>
        <v/>
      </c>
      <c r="N249" s="544">
        <v>1</v>
      </c>
      <c r="O249" s="544"/>
      <c r="P249" s="731" t="str">
        <f>'DICTIONARY-3'!$A$2</f>
        <v>EKOplus</v>
      </c>
      <c r="Q249" s="732" t="str">
        <f>'DICTIONARY-3'!$A$187</f>
        <v>Zasuwa klinowa</v>
      </c>
      <c r="R249" s="732" t="str">
        <f>CONCATENATE('DICTIONARY-3'!$A$2," ",'DICTIONARY-6'!$A$4," ",'DICTIONARY-2'!$A$2,"300"," ",'DICTIONARY-2'!$A$3,"10"," ","R14",", ",'DICTIONARY-4'!$A$2)</f>
        <v>EKOplus Zasuwa z wrzec. wznosz. się DN300 PN10 R14, WW</v>
      </c>
      <c r="S249" s="733" t="str">
        <f>'DICTIONARY-4'!$A$2</f>
        <v>WW</v>
      </c>
      <c r="T249" s="732" t="str">
        <f>'DICTIONARY-4'!$A$18</f>
        <v>Wolny wałek</v>
      </c>
      <c r="U249" s="734" t="s">
        <v>5752</v>
      </c>
      <c r="V249" s="735">
        <v>10</v>
      </c>
      <c r="W249" s="736"/>
      <c r="X249" s="737"/>
      <c r="Y249" s="738"/>
      <c r="Z249" s="739"/>
      <c r="AA249" s="739"/>
      <c r="AB249" s="740">
        <v>10</v>
      </c>
      <c r="AC249" s="741" t="str">
        <f>'DICTIONARY-5'!$A$11&amp;" 14"</f>
        <v>EN 558 szereg 14</v>
      </c>
      <c r="AD249" s="741" t="str">
        <f>'DICTIONARY-5'!$A$13</f>
        <v>woda pitna</v>
      </c>
      <c r="AE249" s="742">
        <v>50</v>
      </c>
      <c r="AF249" s="743">
        <v>142</v>
      </c>
      <c r="AG249" s="741" t="str">
        <f>'DICTIONARY-5'!$A$23</f>
        <v>powłoka epoksydowa</v>
      </c>
    </row>
    <row r="250" spans="1:33" x14ac:dyDescent="0.25">
      <c r="A250" s="842" t="s">
        <v>324</v>
      </c>
      <c r="B250" s="842" t="s">
        <v>3489</v>
      </c>
      <c r="C250" s="836">
        <v>1991</v>
      </c>
      <c r="D250" s="836"/>
      <c r="E250" s="836"/>
      <c r="F250" s="836"/>
      <c r="G250" s="496" t="s">
        <v>7789</v>
      </c>
      <c r="H250" s="797" t="str">
        <f>VLOOKUP(G250,SETTINGS!$B$7:$D$97,2,0)</f>
        <v>EKOplus</v>
      </c>
      <c r="I250" s="796">
        <f>VLOOKUP(G250,SETTINGS!$B$7:$D$97,3,0)</f>
        <v>0</v>
      </c>
      <c r="J250" s="670" t="str">
        <f>IFERROR(IF(CURRENCY.FORMAT_1=0,CONCATENATE(TEXT(FIXED(ROUND((C250/EXC.RATE_1),CURRENCY.FORMAT_1),CURRENCY.FORMAT_1,1),"# ##0;-# ##0"),",-"),FIXED(ROUND((C250/EXC.RATE_1),CURRENCY.FORMAT_1),CURRENCY.FORMAT_1,0)),'DICTIONARY-5'!$A$2)</f>
        <v>1 991,-</v>
      </c>
      <c r="K250" s="670" t="str">
        <f>IF(EXC.RATE_2=0,"",IFERROR(IF(CURRENCY.FORMAT_2=0,CONCATENATE(TEXT(FIXED(ROUND(IF(EXC.RATE.SWITCH=1,C250/EXC.RATE_2,C250*EXC.RATE_2),CURRENCY.FORMAT_2),CURRENCY.FORMAT_2,1),"# ##0;-# ##0"),",-"),FIXED(ROUND(IF(EXC.RATE.SWITCH=1,C250/EXC.RATE_2,C250*EXC.RATE_2),CURRENCY.FORMAT_2),CURRENCY.FORMAT_2,0)),'DICTIONARY-5'!$A$2))</f>
        <v/>
      </c>
      <c r="L250" s="670" t="str">
        <f>IFERROR(IF(CURRENCY.FORMAT_1=0,CONCATENATE(TEXT(FIXED(ROUND((C250*(1-I250)*(1-ADD.DISCOUNT)*(1+MAT.SURCHARGE)/EXC.RATE_1),CURRENCY.FORMAT_1),CURRENCY.FORMAT_1,1),"# ##0;-# ##0"),",-"),FIXED(ROUND((C250*(1-I250)*(1-ADD.DISCOUNT)*(1+MAT.SURCHARGE)/EXC.RATE_1),CURRENCY.FORMAT_1),CURRENCY.FORMAT_1,0)),'DICTIONARY-5'!$A$2)</f>
        <v>2 069,-</v>
      </c>
      <c r="M250" s="670" t="str">
        <f>IF(EXC.RATE_2=0,"",IFERROR(IF(CURRENCY.FORMAT_2=0,CONCATENATE(TEXT(FIXED(ROUND(IF(EXC.RATE.SWITCH=1,C250*(1-I250)*(1-ADD.DISCOUNT)*(1+MAT.SURCHARGE)/EXC.RATE_2,C250*(1-I250)*(1-ADD.DISCOUNT)*(1+MAT.SURCHARGE)*EXC.RATE_2),CURRENCY.FORMAT_2),CURRENCY.FORMAT_2,1),"# ##0;-# ##0"),",-"),FIXED(ROUND(IF(EXC.RATE.SWITCH=1,C250*(1-I250)*(1-ADD.DISCOUNT)*(1+MAT.SURCHARGE)/EXC.RATE_2,C250*(1-I250)*(1-ADD.DISCOUNT)*(1+MAT.SURCHARGE)*EXC.RATE_2),CURRENCY.FORMAT_2),CURRENCY.FORMAT_2,0)),'DICTIONARY-5'!$A$2))</f>
        <v/>
      </c>
      <c r="N250" s="544">
        <v>1</v>
      </c>
      <c r="O250" s="544"/>
      <c r="P250" s="731" t="str">
        <f>'DICTIONARY-3'!$A$2</f>
        <v>EKOplus</v>
      </c>
      <c r="Q250" s="732" t="str">
        <f>'DICTIONARY-3'!$A$187</f>
        <v>Zasuwa klinowa</v>
      </c>
      <c r="R250" s="732" t="str">
        <f>CONCATENATE('DICTIONARY-3'!$A$2," ",'DICTIONARY-6'!$A$4," ",'DICTIONARY-2'!$A$2,"300"," ",'DICTIONARY-2'!$A$3,"16"," ","R14",", ",'DICTIONARY-4'!$A$2)</f>
        <v>EKOplus Zasuwa z wrzec. wznosz. się DN300 PN16 R14, WW</v>
      </c>
      <c r="S250" s="733" t="str">
        <f>'DICTIONARY-4'!$A$2</f>
        <v>WW</v>
      </c>
      <c r="T250" s="732" t="str">
        <f>'DICTIONARY-4'!$A$18</f>
        <v>Wolny wałek</v>
      </c>
      <c r="U250" s="734" t="s">
        <v>5752</v>
      </c>
      <c r="V250" s="735">
        <v>16</v>
      </c>
      <c r="W250" s="736"/>
      <c r="X250" s="737"/>
      <c r="Y250" s="738"/>
      <c r="Z250" s="739"/>
      <c r="AA250" s="739"/>
      <c r="AB250" s="740">
        <v>16</v>
      </c>
      <c r="AC250" s="741" t="str">
        <f>'DICTIONARY-5'!$A$11&amp;" 14"</f>
        <v>EN 558 szereg 14</v>
      </c>
      <c r="AD250" s="741" t="str">
        <f>'DICTIONARY-5'!$A$13</f>
        <v>woda pitna</v>
      </c>
      <c r="AE250" s="742">
        <v>50</v>
      </c>
      <c r="AF250" s="743">
        <v>141</v>
      </c>
      <c r="AG250" s="741" t="str">
        <f>'DICTIONARY-5'!$A$23</f>
        <v>powłoka epoksydowa</v>
      </c>
    </row>
    <row r="251" spans="1:33" x14ac:dyDescent="0.25">
      <c r="A251" s="842" t="s">
        <v>326</v>
      </c>
      <c r="B251" s="842" t="s">
        <v>3462</v>
      </c>
      <c r="C251" s="836">
        <v>3251</v>
      </c>
      <c r="D251" s="836"/>
      <c r="E251" s="836"/>
      <c r="F251" s="836"/>
      <c r="G251" s="496" t="s">
        <v>7789</v>
      </c>
      <c r="H251" s="797" t="str">
        <f>VLOOKUP(G251,SETTINGS!$B$7:$D$97,2,0)</f>
        <v>EKOplus</v>
      </c>
      <c r="I251" s="796">
        <f>VLOOKUP(G251,SETTINGS!$B$7:$D$97,3,0)</f>
        <v>0</v>
      </c>
      <c r="J251" s="670" t="str">
        <f>IFERROR(IF(CURRENCY.FORMAT_1=0,CONCATENATE(TEXT(FIXED(ROUND((C251/EXC.RATE_1),CURRENCY.FORMAT_1),CURRENCY.FORMAT_1,1),"# ##0;-# ##0"),",-"),FIXED(ROUND((C251/EXC.RATE_1),CURRENCY.FORMAT_1),CURRENCY.FORMAT_1,0)),'DICTIONARY-5'!$A$2)</f>
        <v>3 251,-</v>
      </c>
      <c r="K251" s="670" t="str">
        <f>IF(EXC.RATE_2=0,"",IFERROR(IF(CURRENCY.FORMAT_2=0,CONCATENATE(TEXT(FIXED(ROUND(IF(EXC.RATE.SWITCH=1,C251/EXC.RATE_2,C251*EXC.RATE_2),CURRENCY.FORMAT_2),CURRENCY.FORMAT_2,1),"# ##0;-# ##0"),",-"),FIXED(ROUND(IF(EXC.RATE.SWITCH=1,C251/EXC.RATE_2,C251*EXC.RATE_2),CURRENCY.FORMAT_2),CURRENCY.FORMAT_2,0)),'DICTIONARY-5'!$A$2))</f>
        <v/>
      </c>
      <c r="L251" s="670" t="str">
        <f>IFERROR(IF(CURRENCY.FORMAT_1=0,CONCATENATE(TEXT(FIXED(ROUND((C251*(1-I251)*(1-ADD.DISCOUNT)*(1+MAT.SURCHARGE)/EXC.RATE_1),CURRENCY.FORMAT_1),CURRENCY.FORMAT_1,1),"# ##0;-# ##0"),",-"),FIXED(ROUND((C251*(1-I251)*(1-ADD.DISCOUNT)*(1+MAT.SURCHARGE)/EXC.RATE_1),CURRENCY.FORMAT_1),CURRENCY.FORMAT_1,0)),'DICTIONARY-5'!$A$2)</f>
        <v>3 378,-</v>
      </c>
      <c r="M251" s="670" t="str">
        <f>IF(EXC.RATE_2=0,"",IFERROR(IF(CURRENCY.FORMAT_2=0,CONCATENATE(TEXT(FIXED(ROUND(IF(EXC.RATE.SWITCH=1,C251*(1-I251)*(1-ADD.DISCOUNT)*(1+MAT.SURCHARGE)/EXC.RATE_2,C251*(1-I251)*(1-ADD.DISCOUNT)*(1+MAT.SURCHARGE)*EXC.RATE_2),CURRENCY.FORMAT_2),CURRENCY.FORMAT_2,1),"# ##0;-# ##0"),",-"),FIXED(ROUND(IF(EXC.RATE.SWITCH=1,C251*(1-I251)*(1-ADD.DISCOUNT)*(1+MAT.SURCHARGE)/EXC.RATE_2,C251*(1-I251)*(1-ADD.DISCOUNT)*(1+MAT.SURCHARGE)*EXC.RATE_2),CURRENCY.FORMAT_2),CURRENCY.FORMAT_2,0)),'DICTIONARY-5'!$A$2))</f>
        <v/>
      </c>
      <c r="N251" s="544">
        <v>1</v>
      </c>
      <c r="O251" s="544"/>
      <c r="P251" s="731" t="str">
        <f>'DICTIONARY-3'!$A$2</f>
        <v>EKOplus</v>
      </c>
      <c r="Q251" s="732" t="str">
        <f>'DICTIONARY-3'!$A$187</f>
        <v>Zasuwa klinowa</v>
      </c>
      <c r="R251" s="732" t="str">
        <f>CONCATENATE('DICTIONARY-3'!$A$2," ",'DICTIONARY-6'!$A$4," ",'DICTIONARY-2'!$A$2,"350"," ",'DICTIONARY-2'!$A$3,"10"," ","R14",", ",'DICTIONARY-4'!$A$2)</f>
        <v>EKOplus Zasuwa z wrzec. wznosz. się DN350 PN10 R14, WW</v>
      </c>
      <c r="S251" s="733" t="str">
        <f>'DICTIONARY-4'!$A$2</f>
        <v>WW</v>
      </c>
      <c r="T251" s="732" t="str">
        <f>'DICTIONARY-4'!$A$18</f>
        <v>Wolny wałek</v>
      </c>
      <c r="U251" s="734" t="s">
        <v>5753</v>
      </c>
      <c r="V251" s="735">
        <v>10</v>
      </c>
      <c r="W251" s="736"/>
      <c r="X251" s="737"/>
      <c r="Y251" s="738"/>
      <c r="Z251" s="739"/>
      <c r="AA251" s="739"/>
      <c r="AB251" s="740">
        <v>10</v>
      </c>
      <c r="AC251" s="741" t="str">
        <f>'DICTIONARY-5'!$A$11&amp;" 14"</f>
        <v>EN 558 szereg 14</v>
      </c>
      <c r="AD251" s="741" t="str">
        <f>'DICTIONARY-5'!$A$13</f>
        <v>woda pitna</v>
      </c>
      <c r="AE251" s="742">
        <v>50</v>
      </c>
      <c r="AF251" s="743">
        <v>265</v>
      </c>
      <c r="AG251" s="741" t="str">
        <f>'DICTIONARY-5'!$A$23</f>
        <v>powłoka epoksydowa</v>
      </c>
    </row>
    <row r="252" spans="1:33" x14ac:dyDescent="0.25">
      <c r="A252" s="842" t="s">
        <v>328</v>
      </c>
      <c r="B252" s="842" t="s">
        <v>3491</v>
      </c>
      <c r="C252" s="836">
        <v>3175</v>
      </c>
      <c r="D252" s="836"/>
      <c r="E252" s="836"/>
      <c r="F252" s="836"/>
      <c r="G252" s="496" t="s">
        <v>7789</v>
      </c>
      <c r="H252" s="797" t="str">
        <f>VLOOKUP(G252,SETTINGS!$B$7:$D$97,2,0)</f>
        <v>EKOplus</v>
      </c>
      <c r="I252" s="796">
        <f>VLOOKUP(G252,SETTINGS!$B$7:$D$97,3,0)</f>
        <v>0</v>
      </c>
      <c r="J252" s="670" t="str">
        <f>IFERROR(IF(CURRENCY.FORMAT_1=0,CONCATENATE(TEXT(FIXED(ROUND((C252/EXC.RATE_1),CURRENCY.FORMAT_1),CURRENCY.FORMAT_1,1),"# ##0;-# ##0"),",-"),FIXED(ROUND((C252/EXC.RATE_1),CURRENCY.FORMAT_1),CURRENCY.FORMAT_1,0)),'DICTIONARY-5'!$A$2)</f>
        <v>3 175,-</v>
      </c>
      <c r="K252" s="670" t="str">
        <f>IF(EXC.RATE_2=0,"",IFERROR(IF(CURRENCY.FORMAT_2=0,CONCATENATE(TEXT(FIXED(ROUND(IF(EXC.RATE.SWITCH=1,C252/EXC.RATE_2,C252*EXC.RATE_2),CURRENCY.FORMAT_2),CURRENCY.FORMAT_2,1),"# ##0;-# ##0"),",-"),FIXED(ROUND(IF(EXC.RATE.SWITCH=1,C252/EXC.RATE_2,C252*EXC.RATE_2),CURRENCY.FORMAT_2),CURRENCY.FORMAT_2,0)),'DICTIONARY-5'!$A$2))</f>
        <v/>
      </c>
      <c r="L252" s="670" t="str">
        <f>IFERROR(IF(CURRENCY.FORMAT_1=0,CONCATENATE(TEXT(FIXED(ROUND((C252*(1-I252)*(1-ADD.DISCOUNT)*(1+MAT.SURCHARGE)/EXC.RATE_1),CURRENCY.FORMAT_1),CURRENCY.FORMAT_1,1),"# ##0;-# ##0"),",-"),FIXED(ROUND((C252*(1-I252)*(1-ADD.DISCOUNT)*(1+MAT.SURCHARGE)/EXC.RATE_1),CURRENCY.FORMAT_1),CURRENCY.FORMAT_1,0)),'DICTIONARY-5'!$A$2)</f>
        <v>3 299,-</v>
      </c>
      <c r="M252" s="670" t="str">
        <f>IF(EXC.RATE_2=0,"",IFERROR(IF(CURRENCY.FORMAT_2=0,CONCATENATE(TEXT(FIXED(ROUND(IF(EXC.RATE.SWITCH=1,C252*(1-I252)*(1-ADD.DISCOUNT)*(1+MAT.SURCHARGE)/EXC.RATE_2,C252*(1-I252)*(1-ADD.DISCOUNT)*(1+MAT.SURCHARGE)*EXC.RATE_2),CURRENCY.FORMAT_2),CURRENCY.FORMAT_2,1),"# ##0;-# ##0"),",-"),FIXED(ROUND(IF(EXC.RATE.SWITCH=1,C252*(1-I252)*(1-ADD.DISCOUNT)*(1+MAT.SURCHARGE)/EXC.RATE_2,C252*(1-I252)*(1-ADD.DISCOUNT)*(1+MAT.SURCHARGE)*EXC.RATE_2),CURRENCY.FORMAT_2),CURRENCY.FORMAT_2,0)),'DICTIONARY-5'!$A$2))</f>
        <v/>
      </c>
      <c r="N252" s="544">
        <v>1</v>
      </c>
      <c r="O252" s="544"/>
      <c r="P252" s="731" t="str">
        <f>'DICTIONARY-3'!$A$2</f>
        <v>EKOplus</v>
      </c>
      <c r="Q252" s="732" t="str">
        <f>'DICTIONARY-3'!$A$187</f>
        <v>Zasuwa klinowa</v>
      </c>
      <c r="R252" s="732" t="str">
        <f>CONCATENATE('DICTIONARY-3'!$A$2," ",'DICTIONARY-6'!$A$4," ",'DICTIONARY-2'!$A$2,"350"," ",'DICTIONARY-2'!$A$3,"16"," ","R14",", ",'DICTIONARY-4'!$A$2)</f>
        <v>EKOplus Zasuwa z wrzec. wznosz. się DN350 PN16 R14, WW</v>
      </c>
      <c r="S252" s="733" t="str">
        <f>'DICTIONARY-4'!$A$2</f>
        <v>WW</v>
      </c>
      <c r="T252" s="732" t="str">
        <f>'DICTIONARY-4'!$A$18</f>
        <v>Wolny wałek</v>
      </c>
      <c r="U252" s="734" t="s">
        <v>5753</v>
      </c>
      <c r="V252" s="735">
        <v>16</v>
      </c>
      <c r="W252" s="736"/>
      <c r="X252" s="737"/>
      <c r="Y252" s="738"/>
      <c r="Z252" s="739"/>
      <c r="AA252" s="739"/>
      <c r="AB252" s="740">
        <v>16</v>
      </c>
      <c r="AC252" s="741" t="str">
        <f>'DICTIONARY-5'!$A$11&amp;" 14"</f>
        <v>EN 558 szereg 14</v>
      </c>
      <c r="AD252" s="741" t="str">
        <f>'DICTIONARY-5'!$A$13</f>
        <v>woda pitna</v>
      </c>
      <c r="AE252" s="742">
        <v>50</v>
      </c>
      <c r="AF252" s="743">
        <v>281</v>
      </c>
      <c r="AG252" s="741" t="str">
        <f>'DICTIONARY-5'!$A$23</f>
        <v>powłoka epoksydowa</v>
      </c>
    </row>
    <row r="253" spans="1:33" x14ac:dyDescent="0.25">
      <c r="A253" s="842" t="s">
        <v>330</v>
      </c>
      <c r="B253" s="842" t="str">
        <f>'DICTIONARY-5'!$A$2</f>
        <v>na zapytanie</v>
      </c>
      <c r="C253" s="836" t="s">
        <v>5967</v>
      </c>
      <c r="D253" s="836"/>
      <c r="E253" s="836"/>
      <c r="F253" s="836"/>
      <c r="G253" s="496" t="s">
        <v>7789</v>
      </c>
      <c r="H253" s="797" t="str">
        <f>VLOOKUP(G253,SETTINGS!$B$7:$D$97,2,0)</f>
        <v>EKOplus</v>
      </c>
      <c r="I253" s="796">
        <f>VLOOKUP(G253,SETTINGS!$B$7:$D$97,3,0)</f>
        <v>0</v>
      </c>
      <c r="J253" s="670" t="str">
        <f>IFERROR(IF(CURRENCY.FORMAT_1=0,CONCATENATE(TEXT(FIXED(ROUND((C253/EXC.RATE_1),CURRENCY.FORMAT_1),CURRENCY.FORMAT_1,1),"# ##0;-# ##0"),",-"),FIXED(ROUND((C253/EXC.RATE_1),CURRENCY.FORMAT_1),CURRENCY.FORMAT_1,0)),'DICTIONARY-5'!$A$2)</f>
        <v>na zapytanie</v>
      </c>
      <c r="K253" s="670" t="str">
        <f>IF(EXC.RATE_2=0,"",IFERROR(IF(CURRENCY.FORMAT_2=0,CONCATENATE(TEXT(FIXED(ROUND(IF(EXC.RATE.SWITCH=1,C253/EXC.RATE_2,C253*EXC.RATE_2),CURRENCY.FORMAT_2),CURRENCY.FORMAT_2,1),"# ##0;-# ##0"),",-"),FIXED(ROUND(IF(EXC.RATE.SWITCH=1,C253/EXC.RATE_2,C253*EXC.RATE_2),CURRENCY.FORMAT_2),CURRENCY.FORMAT_2,0)),'DICTIONARY-5'!$A$2))</f>
        <v/>
      </c>
      <c r="L253" s="670" t="str">
        <f>IFERROR(IF(CURRENCY.FORMAT_1=0,CONCATENATE(TEXT(FIXED(ROUND((C253*(1-I253)*(1-ADD.DISCOUNT)*(1+MAT.SURCHARGE)/EXC.RATE_1),CURRENCY.FORMAT_1),CURRENCY.FORMAT_1,1),"# ##0;-# ##0"),",-"),FIXED(ROUND((C253*(1-I253)*(1-ADD.DISCOUNT)*(1+MAT.SURCHARGE)/EXC.RATE_1),CURRENCY.FORMAT_1),CURRENCY.FORMAT_1,0)),'DICTIONARY-5'!$A$2)</f>
        <v>na zapytanie</v>
      </c>
      <c r="M253" s="670" t="str">
        <f>IF(EXC.RATE_2=0,"",IFERROR(IF(CURRENCY.FORMAT_2=0,CONCATENATE(TEXT(FIXED(ROUND(IF(EXC.RATE.SWITCH=1,C253*(1-I253)*(1-ADD.DISCOUNT)*(1+MAT.SURCHARGE)/EXC.RATE_2,C253*(1-I253)*(1-ADD.DISCOUNT)*(1+MAT.SURCHARGE)*EXC.RATE_2),CURRENCY.FORMAT_2),CURRENCY.FORMAT_2,1),"# ##0;-# ##0"),",-"),FIXED(ROUND(IF(EXC.RATE.SWITCH=1,C253*(1-I253)*(1-ADD.DISCOUNT)*(1+MAT.SURCHARGE)/EXC.RATE_2,C253*(1-I253)*(1-ADD.DISCOUNT)*(1+MAT.SURCHARGE)*EXC.RATE_2),CURRENCY.FORMAT_2),CURRENCY.FORMAT_2,0)),'DICTIONARY-5'!$A$2))</f>
        <v/>
      </c>
      <c r="N253" s="544">
        <v>1</v>
      </c>
      <c r="O253" s="544"/>
      <c r="P253" s="731" t="str">
        <f>'DICTIONARY-3'!$A$2</f>
        <v>EKOplus</v>
      </c>
      <c r="Q253" s="732" t="str">
        <f>'DICTIONARY-3'!$A$187</f>
        <v>Zasuwa klinowa</v>
      </c>
      <c r="R253" s="732" t="str">
        <f>CONCATENATE('DICTIONARY-3'!$A$2," ",'DICTIONARY-6'!$A$4," ",'DICTIONARY-2'!$A$2,"400"," ",'DICTIONARY-2'!$A$3,"10"," ","R14",", ",'DICTIONARY-4'!$A$2)</f>
        <v>EKOplus Zasuwa z wrzec. wznosz. się DN400 PN10 R14, WW</v>
      </c>
      <c r="S253" s="733" t="str">
        <f>'DICTIONARY-4'!$A$2</f>
        <v>WW</v>
      </c>
      <c r="T253" s="732" t="str">
        <f>'DICTIONARY-4'!$A$18</f>
        <v>Wolny wałek</v>
      </c>
      <c r="U253" s="734" t="s">
        <v>5754</v>
      </c>
      <c r="V253" s="735">
        <v>10</v>
      </c>
      <c r="W253" s="736"/>
      <c r="X253" s="737"/>
      <c r="Y253" s="738"/>
      <c r="Z253" s="739"/>
      <c r="AA253" s="739"/>
      <c r="AB253" s="740">
        <v>10</v>
      </c>
      <c r="AC253" s="741" t="str">
        <f>'DICTIONARY-5'!$A$11&amp;" 14"</f>
        <v>EN 558 szereg 14</v>
      </c>
      <c r="AD253" s="741" t="str">
        <f>'DICTIONARY-5'!$A$13</f>
        <v>woda pitna</v>
      </c>
      <c r="AE253" s="742">
        <v>50</v>
      </c>
      <c r="AF253" s="743"/>
      <c r="AG253" s="741" t="str">
        <f>'DICTIONARY-5'!$A$23</f>
        <v>powłoka epoksydowa</v>
      </c>
    </row>
    <row r="254" spans="1:33" x14ac:dyDescent="0.25">
      <c r="A254" s="842" t="s">
        <v>332</v>
      </c>
      <c r="B254" s="842" t="s">
        <v>3492</v>
      </c>
      <c r="C254" s="836">
        <v>3669</v>
      </c>
      <c r="D254" s="836"/>
      <c r="E254" s="836"/>
      <c r="F254" s="836"/>
      <c r="G254" s="496" t="s">
        <v>7789</v>
      </c>
      <c r="H254" s="797" t="str">
        <f>VLOOKUP(G254,SETTINGS!$B$7:$D$97,2,0)</f>
        <v>EKOplus</v>
      </c>
      <c r="I254" s="796">
        <f>VLOOKUP(G254,SETTINGS!$B$7:$D$97,3,0)</f>
        <v>0</v>
      </c>
      <c r="J254" s="670" t="str">
        <f>IFERROR(IF(CURRENCY.FORMAT_1=0,CONCATENATE(TEXT(FIXED(ROUND((C254/EXC.RATE_1),CURRENCY.FORMAT_1),CURRENCY.FORMAT_1,1),"# ##0;-# ##0"),",-"),FIXED(ROUND((C254/EXC.RATE_1),CURRENCY.FORMAT_1),CURRENCY.FORMAT_1,0)),'DICTIONARY-5'!$A$2)</f>
        <v>3 669,-</v>
      </c>
      <c r="K254" s="670" t="str">
        <f>IF(EXC.RATE_2=0,"",IFERROR(IF(CURRENCY.FORMAT_2=0,CONCATENATE(TEXT(FIXED(ROUND(IF(EXC.RATE.SWITCH=1,C254/EXC.RATE_2,C254*EXC.RATE_2),CURRENCY.FORMAT_2),CURRENCY.FORMAT_2,1),"# ##0;-# ##0"),",-"),FIXED(ROUND(IF(EXC.RATE.SWITCH=1,C254/EXC.RATE_2,C254*EXC.RATE_2),CURRENCY.FORMAT_2),CURRENCY.FORMAT_2,0)),'DICTIONARY-5'!$A$2))</f>
        <v/>
      </c>
      <c r="L254" s="670" t="str">
        <f>IFERROR(IF(CURRENCY.FORMAT_1=0,CONCATENATE(TEXT(FIXED(ROUND((C254*(1-I254)*(1-ADD.DISCOUNT)*(1+MAT.SURCHARGE)/EXC.RATE_1),CURRENCY.FORMAT_1),CURRENCY.FORMAT_1,1),"# ##0;-# ##0"),",-"),FIXED(ROUND((C254*(1-I254)*(1-ADD.DISCOUNT)*(1+MAT.SURCHARGE)/EXC.RATE_1),CURRENCY.FORMAT_1),CURRENCY.FORMAT_1,0)),'DICTIONARY-5'!$A$2)</f>
        <v>3 812,-</v>
      </c>
      <c r="M254" s="670" t="str">
        <f>IF(EXC.RATE_2=0,"",IFERROR(IF(CURRENCY.FORMAT_2=0,CONCATENATE(TEXT(FIXED(ROUND(IF(EXC.RATE.SWITCH=1,C254*(1-I254)*(1-ADD.DISCOUNT)*(1+MAT.SURCHARGE)/EXC.RATE_2,C254*(1-I254)*(1-ADD.DISCOUNT)*(1+MAT.SURCHARGE)*EXC.RATE_2),CURRENCY.FORMAT_2),CURRENCY.FORMAT_2,1),"# ##0;-# ##0"),",-"),FIXED(ROUND(IF(EXC.RATE.SWITCH=1,C254*(1-I254)*(1-ADD.DISCOUNT)*(1+MAT.SURCHARGE)/EXC.RATE_2,C254*(1-I254)*(1-ADD.DISCOUNT)*(1+MAT.SURCHARGE)*EXC.RATE_2),CURRENCY.FORMAT_2),CURRENCY.FORMAT_2,0)),'DICTIONARY-5'!$A$2))</f>
        <v/>
      </c>
      <c r="N254" s="544">
        <v>1</v>
      </c>
      <c r="O254" s="544"/>
      <c r="P254" s="731" t="str">
        <f>'DICTIONARY-3'!$A$2</f>
        <v>EKOplus</v>
      </c>
      <c r="Q254" s="732" t="str">
        <f>'DICTIONARY-3'!$A$187</f>
        <v>Zasuwa klinowa</v>
      </c>
      <c r="R254" s="732" t="str">
        <f>CONCATENATE('DICTIONARY-3'!$A$2," ",'DICTIONARY-6'!$A$4," ",'DICTIONARY-2'!$A$2,"400"," ",'DICTIONARY-2'!$A$3,"16"," ","R14",", ",'DICTIONARY-4'!$A$2)</f>
        <v>EKOplus Zasuwa z wrzec. wznosz. się DN400 PN16 R14, WW</v>
      </c>
      <c r="S254" s="733" t="str">
        <f>'DICTIONARY-4'!$A$2</f>
        <v>WW</v>
      </c>
      <c r="T254" s="732" t="str">
        <f>'DICTIONARY-4'!$A$18</f>
        <v>Wolny wałek</v>
      </c>
      <c r="U254" s="734" t="s">
        <v>5754</v>
      </c>
      <c r="V254" s="735">
        <v>16</v>
      </c>
      <c r="W254" s="736"/>
      <c r="X254" s="737"/>
      <c r="Y254" s="738"/>
      <c r="Z254" s="739"/>
      <c r="AA254" s="739"/>
      <c r="AB254" s="740">
        <v>16</v>
      </c>
      <c r="AC254" s="741" t="str">
        <f>'DICTIONARY-5'!$A$11&amp;" 14"</f>
        <v>EN 558 szereg 14</v>
      </c>
      <c r="AD254" s="741" t="str">
        <f>'DICTIONARY-5'!$A$13</f>
        <v>woda pitna</v>
      </c>
      <c r="AE254" s="742">
        <v>50</v>
      </c>
      <c r="AF254" s="743">
        <v>326</v>
      </c>
      <c r="AG254" s="741" t="str">
        <f>'DICTIONARY-5'!$A$23</f>
        <v>powłoka epoksydowa</v>
      </c>
    </row>
    <row r="255" spans="1:33" x14ac:dyDescent="0.25">
      <c r="A255" s="842" t="s">
        <v>334</v>
      </c>
      <c r="B255" s="842" t="str">
        <f>'DICTIONARY-5'!$A$2</f>
        <v>na zapytanie</v>
      </c>
      <c r="C255" s="836" t="s">
        <v>5967</v>
      </c>
      <c r="D255" s="836"/>
      <c r="E255" s="836"/>
      <c r="F255" s="836"/>
      <c r="G255" s="496" t="s">
        <v>7789</v>
      </c>
      <c r="H255" s="797" t="str">
        <f>VLOOKUP(G255,SETTINGS!$B$7:$D$97,2,0)</f>
        <v>EKOplus</v>
      </c>
      <c r="I255" s="796">
        <f>VLOOKUP(G255,SETTINGS!$B$7:$D$97,3,0)</f>
        <v>0</v>
      </c>
      <c r="J255" s="670" t="str">
        <f>IFERROR(IF(CURRENCY.FORMAT_1=0,CONCATENATE(TEXT(FIXED(ROUND((C255/EXC.RATE_1),CURRENCY.FORMAT_1),CURRENCY.FORMAT_1,1),"# ##0;-# ##0"),",-"),FIXED(ROUND((C255/EXC.RATE_1),CURRENCY.FORMAT_1),CURRENCY.FORMAT_1,0)),'DICTIONARY-5'!$A$2)</f>
        <v>na zapytanie</v>
      </c>
      <c r="K255" s="670" t="str">
        <f>IF(EXC.RATE_2=0,"",IFERROR(IF(CURRENCY.FORMAT_2=0,CONCATENATE(TEXT(FIXED(ROUND(IF(EXC.RATE.SWITCH=1,C255/EXC.RATE_2,C255*EXC.RATE_2),CURRENCY.FORMAT_2),CURRENCY.FORMAT_2,1),"# ##0;-# ##0"),",-"),FIXED(ROUND(IF(EXC.RATE.SWITCH=1,C255/EXC.RATE_2,C255*EXC.RATE_2),CURRENCY.FORMAT_2),CURRENCY.FORMAT_2,0)),'DICTIONARY-5'!$A$2))</f>
        <v/>
      </c>
      <c r="L255" s="670" t="str">
        <f>IFERROR(IF(CURRENCY.FORMAT_1=0,CONCATENATE(TEXT(FIXED(ROUND((C255*(1-I255)*(1-ADD.DISCOUNT)*(1+MAT.SURCHARGE)/EXC.RATE_1),CURRENCY.FORMAT_1),CURRENCY.FORMAT_1,1),"# ##0;-# ##0"),",-"),FIXED(ROUND((C255*(1-I255)*(1-ADD.DISCOUNT)*(1+MAT.SURCHARGE)/EXC.RATE_1),CURRENCY.FORMAT_1),CURRENCY.FORMAT_1,0)),'DICTIONARY-5'!$A$2)</f>
        <v>na zapytanie</v>
      </c>
      <c r="M255" s="670" t="str">
        <f>IF(EXC.RATE_2=0,"",IFERROR(IF(CURRENCY.FORMAT_2=0,CONCATENATE(TEXT(FIXED(ROUND(IF(EXC.RATE.SWITCH=1,C255*(1-I255)*(1-ADD.DISCOUNT)*(1+MAT.SURCHARGE)/EXC.RATE_2,C255*(1-I255)*(1-ADD.DISCOUNT)*(1+MAT.SURCHARGE)*EXC.RATE_2),CURRENCY.FORMAT_2),CURRENCY.FORMAT_2,1),"# ##0;-# ##0"),",-"),FIXED(ROUND(IF(EXC.RATE.SWITCH=1,C255*(1-I255)*(1-ADD.DISCOUNT)*(1+MAT.SURCHARGE)/EXC.RATE_2,C255*(1-I255)*(1-ADD.DISCOUNT)*(1+MAT.SURCHARGE)*EXC.RATE_2),CURRENCY.FORMAT_2),CURRENCY.FORMAT_2,0)),'DICTIONARY-5'!$A$2))</f>
        <v/>
      </c>
      <c r="N255" s="544">
        <v>1</v>
      </c>
      <c r="O255" s="544"/>
      <c r="P255" s="731" t="str">
        <f>'DICTIONARY-3'!$A$2</f>
        <v>EKOplus</v>
      </c>
      <c r="Q255" s="732" t="str">
        <f>'DICTIONARY-3'!$A$187</f>
        <v>Zasuwa klinowa</v>
      </c>
      <c r="R255" s="732" t="str">
        <f>CONCATENATE('DICTIONARY-3'!$A$2," ",'DICTIONARY-6'!$A$4," ",'DICTIONARY-2'!$A$2,"500"," ",'DICTIONARY-2'!$A$3,"10"," ","R14",", ",'DICTIONARY-4'!$A$2)</f>
        <v>EKOplus Zasuwa z wrzec. wznosz. się DN500 PN10 R14, WW</v>
      </c>
      <c r="S255" s="733" t="str">
        <f>'DICTIONARY-4'!$A$2</f>
        <v>WW</v>
      </c>
      <c r="T255" s="732" t="str">
        <f>'DICTIONARY-4'!$A$18</f>
        <v>Wolny wałek</v>
      </c>
      <c r="U255" s="734" t="s">
        <v>5756</v>
      </c>
      <c r="V255" s="735">
        <v>10</v>
      </c>
      <c r="W255" s="736"/>
      <c r="X255" s="737"/>
      <c r="Y255" s="738"/>
      <c r="Z255" s="739"/>
      <c r="AA255" s="739"/>
      <c r="AB255" s="740">
        <v>10</v>
      </c>
      <c r="AC255" s="741" t="str">
        <f>'DICTIONARY-5'!$A$11&amp;" 14"</f>
        <v>EN 558 szereg 14</v>
      </c>
      <c r="AD255" s="741" t="str">
        <f>'DICTIONARY-5'!$A$13</f>
        <v>woda pitna</v>
      </c>
      <c r="AE255" s="742">
        <v>50</v>
      </c>
      <c r="AF255" s="743"/>
      <c r="AG255" s="741" t="str">
        <f>'DICTIONARY-5'!$A$23</f>
        <v>powłoka epoksydowa</v>
      </c>
    </row>
    <row r="256" spans="1:33" x14ac:dyDescent="0.25">
      <c r="A256" s="842" t="s">
        <v>336</v>
      </c>
      <c r="B256" s="842" t="str">
        <f>'DICTIONARY-5'!$A$2</f>
        <v>na zapytanie</v>
      </c>
      <c r="C256" s="836" t="s">
        <v>5967</v>
      </c>
      <c r="D256" s="836"/>
      <c r="E256" s="836"/>
      <c r="F256" s="836"/>
      <c r="G256" s="496" t="s">
        <v>7789</v>
      </c>
      <c r="H256" s="797" t="str">
        <f>VLOOKUP(G256,SETTINGS!$B$7:$D$97,2,0)</f>
        <v>EKOplus</v>
      </c>
      <c r="I256" s="796">
        <f>VLOOKUP(G256,SETTINGS!$B$7:$D$97,3,0)</f>
        <v>0</v>
      </c>
      <c r="J256" s="670" t="str">
        <f>IFERROR(IF(CURRENCY.FORMAT_1=0,CONCATENATE(TEXT(FIXED(ROUND((C256/EXC.RATE_1),CURRENCY.FORMAT_1),CURRENCY.FORMAT_1,1),"# ##0;-# ##0"),",-"),FIXED(ROUND((C256/EXC.RATE_1),CURRENCY.FORMAT_1),CURRENCY.FORMAT_1,0)),'DICTIONARY-5'!$A$2)</f>
        <v>na zapytanie</v>
      </c>
      <c r="K256" s="670" t="str">
        <f>IF(EXC.RATE_2=0,"",IFERROR(IF(CURRENCY.FORMAT_2=0,CONCATENATE(TEXT(FIXED(ROUND(IF(EXC.RATE.SWITCH=1,C256/EXC.RATE_2,C256*EXC.RATE_2),CURRENCY.FORMAT_2),CURRENCY.FORMAT_2,1),"# ##0;-# ##0"),",-"),FIXED(ROUND(IF(EXC.RATE.SWITCH=1,C256/EXC.RATE_2,C256*EXC.RATE_2),CURRENCY.FORMAT_2),CURRENCY.FORMAT_2,0)),'DICTIONARY-5'!$A$2))</f>
        <v/>
      </c>
      <c r="L256" s="670" t="str">
        <f>IFERROR(IF(CURRENCY.FORMAT_1=0,CONCATENATE(TEXT(FIXED(ROUND((C256*(1-I256)*(1-ADD.DISCOUNT)*(1+MAT.SURCHARGE)/EXC.RATE_1),CURRENCY.FORMAT_1),CURRENCY.FORMAT_1,1),"# ##0;-# ##0"),",-"),FIXED(ROUND((C256*(1-I256)*(1-ADD.DISCOUNT)*(1+MAT.SURCHARGE)/EXC.RATE_1),CURRENCY.FORMAT_1),CURRENCY.FORMAT_1,0)),'DICTIONARY-5'!$A$2)</f>
        <v>na zapytanie</v>
      </c>
      <c r="M256" s="670" t="str">
        <f>IF(EXC.RATE_2=0,"",IFERROR(IF(CURRENCY.FORMAT_2=0,CONCATENATE(TEXT(FIXED(ROUND(IF(EXC.RATE.SWITCH=1,C256*(1-I256)*(1-ADD.DISCOUNT)*(1+MAT.SURCHARGE)/EXC.RATE_2,C256*(1-I256)*(1-ADD.DISCOUNT)*(1+MAT.SURCHARGE)*EXC.RATE_2),CURRENCY.FORMAT_2),CURRENCY.FORMAT_2,1),"# ##0;-# ##0"),",-"),FIXED(ROUND(IF(EXC.RATE.SWITCH=1,C256*(1-I256)*(1-ADD.DISCOUNT)*(1+MAT.SURCHARGE)/EXC.RATE_2,C256*(1-I256)*(1-ADD.DISCOUNT)*(1+MAT.SURCHARGE)*EXC.RATE_2),CURRENCY.FORMAT_2),CURRENCY.FORMAT_2,0)),'DICTIONARY-5'!$A$2))</f>
        <v/>
      </c>
      <c r="N256" s="544">
        <v>1</v>
      </c>
      <c r="O256" s="544"/>
      <c r="P256" s="731" t="str">
        <f>'DICTIONARY-3'!$A$2</f>
        <v>EKOplus</v>
      </c>
      <c r="Q256" s="732" t="str">
        <f>'DICTIONARY-3'!$A$187</f>
        <v>Zasuwa klinowa</v>
      </c>
      <c r="R256" s="732" t="str">
        <f>CONCATENATE('DICTIONARY-3'!$A$2," ",'DICTIONARY-6'!$A$4," ",'DICTIONARY-2'!$A$2,"500"," ",'DICTIONARY-2'!$A$3,"16"," ","R14",", ",'DICTIONARY-4'!$A$2)</f>
        <v>EKOplus Zasuwa z wrzec. wznosz. się DN500 PN16 R14, WW</v>
      </c>
      <c r="S256" s="733" t="str">
        <f>'DICTIONARY-4'!$A$2</f>
        <v>WW</v>
      </c>
      <c r="T256" s="732" t="str">
        <f>'DICTIONARY-4'!$A$18</f>
        <v>Wolny wałek</v>
      </c>
      <c r="U256" s="734" t="s">
        <v>5756</v>
      </c>
      <c r="V256" s="735">
        <v>16</v>
      </c>
      <c r="W256" s="736"/>
      <c r="X256" s="737"/>
      <c r="Y256" s="738"/>
      <c r="Z256" s="739"/>
      <c r="AA256" s="739"/>
      <c r="AB256" s="740">
        <v>16</v>
      </c>
      <c r="AC256" s="741" t="str">
        <f>'DICTIONARY-5'!$A$11&amp;" 14"</f>
        <v>EN 558 szereg 14</v>
      </c>
      <c r="AD256" s="741" t="str">
        <f>'DICTIONARY-5'!$A$13</f>
        <v>woda pitna</v>
      </c>
      <c r="AE256" s="742">
        <v>50</v>
      </c>
      <c r="AF256" s="743"/>
      <c r="AG256" s="741" t="str">
        <f>'DICTIONARY-5'!$A$23</f>
        <v>powłoka epoksydowa</v>
      </c>
    </row>
    <row r="257" spans="1:33" x14ac:dyDescent="0.25">
      <c r="A257" s="842" t="s">
        <v>339</v>
      </c>
      <c r="B257" s="842" t="str">
        <f>'DICTIONARY-5'!$A$2</f>
        <v>na zapytanie</v>
      </c>
      <c r="C257" s="836" t="s">
        <v>5967</v>
      </c>
      <c r="D257" s="836"/>
      <c r="E257" s="836"/>
      <c r="F257" s="836"/>
      <c r="G257" s="496" t="s">
        <v>7789</v>
      </c>
      <c r="H257" s="797" t="str">
        <f>VLOOKUP(G257,SETTINGS!$B$7:$D$97,2,0)</f>
        <v>EKOplus</v>
      </c>
      <c r="I257" s="796">
        <f>VLOOKUP(G257,SETTINGS!$B$7:$D$97,3,0)</f>
        <v>0</v>
      </c>
      <c r="J257" s="670" t="str">
        <f>IFERROR(IF(CURRENCY.FORMAT_1=0,CONCATENATE(TEXT(FIXED(ROUND((C257/EXC.RATE_1),CURRENCY.FORMAT_1),CURRENCY.FORMAT_1,1),"# ##0;-# ##0"),",-"),FIXED(ROUND((C257/EXC.RATE_1),CURRENCY.FORMAT_1),CURRENCY.FORMAT_1,0)),'DICTIONARY-5'!$A$2)</f>
        <v>na zapytanie</v>
      </c>
      <c r="K257" s="670" t="str">
        <f>IF(EXC.RATE_2=0,"",IFERROR(IF(CURRENCY.FORMAT_2=0,CONCATENATE(TEXT(FIXED(ROUND(IF(EXC.RATE.SWITCH=1,C257/EXC.RATE_2,C257*EXC.RATE_2),CURRENCY.FORMAT_2),CURRENCY.FORMAT_2,1),"# ##0;-# ##0"),",-"),FIXED(ROUND(IF(EXC.RATE.SWITCH=1,C257/EXC.RATE_2,C257*EXC.RATE_2),CURRENCY.FORMAT_2),CURRENCY.FORMAT_2,0)),'DICTIONARY-5'!$A$2))</f>
        <v/>
      </c>
      <c r="L257" s="670" t="str">
        <f>IFERROR(IF(CURRENCY.FORMAT_1=0,CONCATENATE(TEXT(FIXED(ROUND((C257*(1-I257)*(1-ADD.DISCOUNT)*(1+MAT.SURCHARGE)/EXC.RATE_1),CURRENCY.FORMAT_1),CURRENCY.FORMAT_1,1),"# ##0;-# ##0"),",-"),FIXED(ROUND((C257*(1-I257)*(1-ADD.DISCOUNT)*(1+MAT.SURCHARGE)/EXC.RATE_1),CURRENCY.FORMAT_1),CURRENCY.FORMAT_1,0)),'DICTIONARY-5'!$A$2)</f>
        <v>na zapytanie</v>
      </c>
      <c r="M257" s="670" t="str">
        <f>IF(EXC.RATE_2=0,"",IFERROR(IF(CURRENCY.FORMAT_2=0,CONCATENATE(TEXT(FIXED(ROUND(IF(EXC.RATE.SWITCH=1,C257*(1-I257)*(1-ADD.DISCOUNT)*(1+MAT.SURCHARGE)/EXC.RATE_2,C257*(1-I257)*(1-ADD.DISCOUNT)*(1+MAT.SURCHARGE)*EXC.RATE_2),CURRENCY.FORMAT_2),CURRENCY.FORMAT_2,1),"# ##0;-# ##0"),",-"),FIXED(ROUND(IF(EXC.RATE.SWITCH=1,C257*(1-I257)*(1-ADD.DISCOUNT)*(1+MAT.SURCHARGE)/EXC.RATE_2,C257*(1-I257)*(1-ADD.DISCOUNT)*(1+MAT.SURCHARGE)*EXC.RATE_2),CURRENCY.FORMAT_2),CURRENCY.FORMAT_2,0)),'DICTIONARY-5'!$A$2))</f>
        <v/>
      </c>
      <c r="N257" s="544">
        <v>1</v>
      </c>
      <c r="O257" s="544"/>
      <c r="P257" s="731" t="str">
        <f>'DICTIONARY-3'!$A$2</f>
        <v>EKOplus</v>
      </c>
      <c r="Q257" s="732" t="str">
        <f>'DICTIONARY-3'!$A$187</f>
        <v>Zasuwa klinowa</v>
      </c>
      <c r="R257" s="732" t="str">
        <f>CONCATENATE('DICTIONARY-3'!$A$2," ",'DICTIONARY-6'!$A$4," ",'DICTIONARY-2'!$A$2,"600"," ",'DICTIONARY-2'!$A$3,"10"," ","R14",", ",'DICTIONARY-4'!$A$2)</f>
        <v>EKOplus Zasuwa z wrzec. wznosz. się DN600 PN10 R14, WW</v>
      </c>
      <c r="S257" s="733" t="str">
        <f>'DICTIONARY-4'!$A$2</f>
        <v>WW</v>
      </c>
      <c r="T257" s="732" t="str">
        <f>'DICTIONARY-4'!$A$18</f>
        <v>Wolny wałek</v>
      </c>
      <c r="U257" s="734" t="s">
        <v>5757</v>
      </c>
      <c r="V257" s="735">
        <v>10</v>
      </c>
      <c r="W257" s="736"/>
      <c r="X257" s="737"/>
      <c r="Y257" s="738"/>
      <c r="Z257" s="739"/>
      <c r="AA257" s="739"/>
      <c r="AB257" s="740">
        <v>10</v>
      </c>
      <c r="AC257" s="741" t="str">
        <f>'DICTIONARY-5'!$A$11&amp;" 14"</f>
        <v>EN 558 szereg 14</v>
      </c>
      <c r="AD257" s="741" t="str">
        <f>'DICTIONARY-5'!$A$13</f>
        <v>woda pitna</v>
      </c>
      <c r="AE257" s="742">
        <v>50</v>
      </c>
      <c r="AF257" s="743"/>
      <c r="AG257" s="741" t="str">
        <f>'DICTIONARY-5'!$A$23</f>
        <v>powłoka epoksydowa</v>
      </c>
    </row>
    <row r="258" spans="1:33" x14ac:dyDescent="0.25">
      <c r="A258" s="842" t="s">
        <v>340</v>
      </c>
      <c r="B258" s="842" t="str">
        <f>'DICTIONARY-5'!$A$2</f>
        <v>na zapytanie</v>
      </c>
      <c r="C258" s="836" t="s">
        <v>5967</v>
      </c>
      <c r="D258" s="836"/>
      <c r="E258" s="836"/>
      <c r="F258" s="836"/>
      <c r="G258" s="496" t="s">
        <v>7789</v>
      </c>
      <c r="H258" s="797" t="str">
        <f>VLOOKUP(G258,SETTINGS!$B$7:$D$97,2,0)</f>
        <v>EKOplus</v>
      </c>
      <c r="I258" s="796">
        <f>VLOOKUP(G258,SETTINGS!$B$7:$D$97,3,0)</f>
        <v>0</v>
      </c>
      <c r="J258" s="670" t="str">
        <f>IFERROR(IF(CURRENCY.FORMAT_1=0,CONCATENATE(TEXT(FIXED(ROUND((C258/EXC.RATE_1),CURRENCY.FORMAT_1),CURRENCY.FORMAT_1,1),"# ##0;-# ##0"),",-"),FIXED(ROUND((C258/EXC.RATE_1),CURRENCY.FORMAT_1),CURRENCY.FORMAT_1,0)),'DICTIONARY-5'!$A$2)</f>
        <v>na zapytanie</v>
      </c>
      <c r="K258" s="670" t="str">
        <f>IF(EXC.RATE_2=0,"",IFERROR(IF(CURRENCY.FORMAT_2=0,CONCATENATE(TEXT(FIXED(ROUND(IF(EXC.RATE.SWITCH=1,C258/EXC.RATE_2,C258*EXC.RATE_2),CURRENCY.FORMAT_2),CURRENCY.FORMAT_2,1),"# ##0;-# ##0"),",-"),FIXED(ROUND(IF(EXC.RATE.SWITCH=1,C258/EXC.RATE_2,C258*EXC.RATE_2),CURRENCY.FORMAT_2),CURRENCY.FORMAT_2,0)),'DICTIONARY-5'!$A$2))</f>
        <v/>
      </c>
      <c r="L258" s="670" t="str">
        <f>IFERROR(IF(CURRENCY.FORMAT_1=0,CONCATENATE(TEXT(FIXED(ROUND((C258*(1-I258)*(1-ADD.DISCOUNT)*(1+MAT.SURCHARGE)/EXC.RATE_1),CURRENCY.FORMAT_1),CURRENCY.FORMAT_1,1),"# ##0;-# ##0"),",-"),FIXED(ROUND((C258*(1-I258)*(1-ADD.DISCOUNT)*(1+MAT.SURCHARGE)/EXC.RATE_1),CURRENCY.FORMAT_1),CURRENCY.FORMAT_1,0)),'DICTIONARY-5'!$A$2)</f>
        <v>na zapytanie</v>
      </c>
      <c r="M258" s="670" t="str">
        <f>IF(EXC.RATE_2=0,"",IFERROR(IF(CURRENCY.FORMAT_2=0,CONCATENATE(TEXT(FIXED(ROUND(IF(EXC.RATE.SWITCH=1,C258*(1-I258)*(1-ADD.DISCOUNT)*(1+MAT.SURCHARGE)/EXC.RATE_2,C258*(1-I258)*(1-ADD.DISCOUNT)*(1+MAT.SURCHARGE)*EXC.RATE_2),CURRENCY.FORMAT_2),CURRENCY.FORMAT_2,1),"# ##0;-# ##0"),",-"),FIXED(ROUND(IF(EXC.RATE.SWITCH=1,C258*(1-I258)*(1-ADD.DISCOUNT)*(1+MAT.SURCHARGE)/EXC.RATE_2,C258*(1-I258)*(1-ADD.DISCOUNT)*(1+MAT.SURCHARGE)*EXC.RATE_2),CURRENCY.FORMAT_2),CURRENCY.FORMAT_2,0)),'DICTIONARY-5'!$A$2))</f>
        <v/>
      </c>
      <c r="N258" s="544">
        <v>1</v>
      </c>
      <c r="O258" s="544"/>
      <c r="P258" s="731" t="str">
        <f>'DICTIONARY-3'!$A$2</f>
        <v>EKOplus</v>
      </c>
      <c r="Q258" s="732" t="str">
        <f>'DICTIONARY-3'!$A$187</f>
        <v>Zasuwa klinowa</v>
      </c>
      <c r="R258" s="732" t="str">
        <f>CONCATENATE('DICTIONARY-3'!$A$2," ",'DICTIONARY-6'!$A$4," ",'DICTIONARY-2'!$A$2,"600"," ",'DICTIONARY-2'!$A$3,"16"," ","R14",", ",'DICTIONARY-4'!$A$2)</f>
        <v>EKOplus Zasuwa z wrzec. wznosz. się DN600 PN16 R14, WW</v>
      </c>
      <c r="S258" s="733" t="str">
        <f>'DICTIONARY-4'!$A$2</f>
        <v>WW</v>
      </c>
      <c r="T258" s="732" t="str">
        <f>'DICTIONARY-4'!$A$18</f>
        <v>Wolny wałek</v>
      </c>
      <c r="U258" s="734" t="s">
        <v>5757</v>
      </c>
      <c r="V258" s="735">
        <v>16</v>
      </c>
      <c r="W258" s="736"/>
      <c r="X258" s="737"/>
      <c r="Y258" s="738"/>
      <c r="Z258" s="739"/>
      <c r="AA258" s="739"/>
      <c r="AB258" s="740">
        <v>16</v>
      </c>
      <c r="AC258" s="741" t="str">
        <f>'DICTIONARY-5'!$A$11&amp;" 14"</f>
        <v>EN 558 szereg 14</v>
      </c>
      <c r="AD258" s="741" t="str">
        <f>'DICTIONARY-5'!$A$13</f>
        <v>woda pitna</v>
      </c>
      <c r="AE258" s="742">
        <v>50</v>
      </c>
      <c r="AF258" s="743"/>
      <c r="AG258" s="741" t="str">
        <f>'DICTIONARY-5'!$A$23</f>
        <v>powłoka epoksydowa</v>
      </c>
    </row>
    <row r="259" spans="1:33" x14ac:dyDescent="0.25">
      <c r="A259" s="842" t="s">
        <v>299</v>
      </c>
      <c r="B259" s="842" t="str">
        <f>'DICTIONARY-5'!$A$2</f>
        <v>na zapytanie</v>
      </c>
      <c r="C259" s="836" t="s">
        <v>5967</v>
      </c>
      <c r="D259" s="836"/>
      <c r="E259" s="836"/>
      <c r="F259" s="836"/>
      <c r="G259" s="496" t="s">
        <v>7789</v>
      </c>
      <c r="H259" s="797" t="str">
        <f>VLOOKUP(G259,SETTINGS!$B$7:$D$97,2,0)</f>
        <v>EKOplus</v>
      </c>
      <c r="I259" s="796">
        <f>VLOOKUP(G259,SETTINGS!$B$7:$D$97,3,0)</f>
        <v>0</v>
      </c>
      <c r="J259" s="670" t="str">
        <f>IFERROR(IF(CURRENCY.FORMAT_1=0,CONCATENATE(TEXT(FIXED(ROUND((C259/EXC.RATE_1),CURRENCY.FORMAT_1),CURRENCY.FORMAT_1,1),"# ##0;-# ##0"),",-"),FIXED(ROUND((C259/EXC.RATE_1),CURRENCY.FORMAT_1),CURRENCY.FORMAT_1,0)),'DICTIONARY-5'!$A$2)</f>
        <v>na zapytanie</v>
      </c>
      <c r="K259" s="670" t="str">
        <f>IF(EXC.RATE_2=0,"",IFERROR(IF(CURRENCY.FORMAT_2=0,CONCATENATE(TEXT(FIXED(ROUND(IF(EXC.RATE.SWITCH=1,C259/EXC.RATE_2,C259*EXC.RATE_2),CURRENCY.FORMAT_2),CURRENCY.FORMAT_2,1),"# ##0;-# ##0"),",-"),FIXED(ROUND(IF(EXC.RATE.SWITCH=1,C259/EXC.RATE_2,C259*EXC.RATE_2),CURRENCY.FORMAT_2),CURRENCY.FORMAT_2,0)),'DICTIONARY-5'!$A$2))</f>
        <v/>
      </c>
      <c r="L259" s="670" t="str">
        <f>IFERROR(IF(CURRENCY.FORMAT_1=0,CONCATENATE(TEXT(FIXED(ROUND((C259*(1-I259)*(1-ADD.DISCOUNT)*(1+MAT.SURCHARGE)/EXC.RATE_1),CURRENCY.FORMAT_1),CURRENCY.FORMAT_1,1),"# ##0;-# ##0"),",-"),FIXED(ROUND((C259*(1-I259)*(1-ADD.DISCOUNT)*(1+MAT.SURCHARGE)/EXC.RATE_1),CURRENCY.FORMAT_1),CURRENCY.FORMAT_1,0)),'DICTIONARY-5'!$A$2)</f>
        <v>na zapytanie</v>
      </c>
      <c r="M259" s="670" t="str">
        <f>IF(EXC.RATE_2=0,"",IFERROR(IF(CURRENCY.FORMAT_2=0,CONCATENATE(TEXT(FIXED(ROUND(IF(EXC.RATE.SWITCH=1,C259*(1-I259)*(1-ADD.DISCOUNT)*(1+MAT.SURCHARGE)/EXC.RATE_2,C259*(1-I259)*(1-ADD.DISCOUNT)*(1+MAT.SURCHARGE)*EXC.RATE_2),CURRENCY.FORMAT_2),CURRENCY.FORMAT_2,1),"# ##0;-# ##0"),",-"),FIXED(ROUND(IF(EXC.RATE.SWITCH=1,C259*(1-I259)*(1-ADD.DISCOUNT)*(1+MAT.SURCHARGE)/EXC.RATE_2,C259*(1-I259)*(1-ADD.DISCOUNT)*(1+MAT.SURCHARGE)*EXC.RATE_2),CURRENCY.FORMAT_2),CURRENCY.FORMAT_2,0)),'DICTIONARY-5'!$A$2))</f>
        <v/>
      </c>
      <c r="N259" s="544">
        <v>1</v>
      </c>
      <c r="O259" s="544"/>
      <c r="P259" s="731" t="str">
        <f>'DICTIONARY-3'!$A$2</f>
        <v>EKOplus</v>
      </c>
      <c r="Q259" s="732" t="str">
        <f>'DICTIONARY-3'!$A$187</f>
        <v>Zasuwa klinowa</v>
      </c>
      <c r="R259" s="732" t="str">
        <f>CONCATENATE('DICTIONARY-3'!$A$2," ",'DICTIONARY-6'!$A$4," ",'DICTIONARY-2'!$A$2,"40"," ",'DICTIONARY-2'!$A$3,"10/16"," ","R15",", ",'DICTIONARY-4'!$A$2)</f>
        <v>EKOplus Zasuwa z wrzec. wznosz. się DN40 PN10/16 R15, WW</v>
      </c>
      <c r="S259" s="733" t="str">
        <f>'DICTIONARY-4'!$A$2</f>
        <v>WW</v>
      </c>
      <c r="T259" s="732" t="str">
        <f>'DICTIONARY-4'!$A$18</f>
        <v>Wolny wałek</v>
      </c>
      <c r="U259" s="734" t="s">
        <v>5758</v>
      </c>
      <c r="V259" s="735">
        <v>16</v>
      </c>
      <c r="W259" s="736"/>
      <c r="X259" s="737"/>
      <c r="Y259" s="738"/>
      <c r="Z259" s="739"/>
      <c r="AA259" s="739"/>
      <c r="AB259" s="740">
        <v>16</v>
      </c>
      <c r="AC259" s="741" t="str">
        <f>'DICTIONARY-5'!$A$11&amp;" 14"</f>
        <v>EN 558 szereg 14</v>
      </c>
      <c r="AD259" s="741" t="str">
        <f>'DICTIONARY-5'!$A$13</f>
        <v>woda pitna</v>
      </c>
      <c r="AE259" s="742">
        <v>50</v>
      </c>
      <c r="AF259" s="743"/>
      <c r="AG259" s="741" t="str">
        <f>'DICTIONARY-5'!$A$23</f>
        <v>powłoka epoksydowa</v>
      </c>
    </row>
    <row r="260" spans="1:33" x14ac:dyDescent="0.25">
      <c r="A260" s="842" t="s">
        <v>301</v>
      </c>
      <c r="B260" s="842" t="s">
        <v>3463</v>
      </c>
      <c r="C260" s="836">
        <v>457</v>
      </c>
      <c r="D260" s="836"/>
      <c r="E260" s="836"/>
      <c r="F260" s="836"/>
      <c r="G260" s="496" t="s">
        <v>7789</v>
      </c>
      <c r="H260" s="797" t="str">
        <f>VLOOKUP(G260,SETTINGS!$B$7:$D$97,2,0)</f>
        <v>EKOplus</v>
      </c>
      <c r="I260" s="796">
        <f>VLOOKUP(G260,SETTINGS!$B$7:$D$97,3,0)</f>
        <v>0</v>
      </c>
      <c r="J260" s="670" t="str">
        <f>IFERROR(IF(CURRENCY.FORMAT_1=0,CONCATENATE(TEXT(FIXED(ROUND((C260/EXC.RATE_1),CURRENCY.FORMAT_1),CURRENCY.FORMAT_1,1),"# ##0;-# ##0"),",-"),FIXED(ROUND((C260/EXC.RATE_1),CURRENCY.FORMAT_1),CURRENCY.FORMAT_1,0)),'DICTIONARY-5'!$A$2)</f>
        <v>457,-</v>
      </c>
      <c r="K260" s="670" t="str">
        <f>IF(EXC.RATE_2=0,"",IFERROR(IF(CURRENCY.FORMAT_2=0,CONCATENATE(TEXT(FIXED(ROUND(IF(EXC.RATE.SWITCH=1,C260/EXC.RATE_2,C260*EXC.RATE_2),CURRENCY.FORMAT_2),CURRENCY.FORMAT_2,1),"# ##0;-# ##0"),",-"),FIXED(ROUND(IF(EXC.RATE.SWITCH=1,C260/EXC.RATE_2,C260*EXC.RATE_2),CURRENCY.FORMAT_2),CURRENCY.FORMAT_2,0)),'DICTIONARY-5'!$A$2))</f>
        <v/>
      </c>
      <c r="L260" s="670" t="str">
        <f>IFERROR(IF(CURRENCY.FORMAT_1=0,CONCATENATE(TEXT(FIXED(ROUND((C260*(1-I260)*(1-ADD.DISCOUNT)*(1+MAT.SURCHARGE)/EXC.RATE_1),CURRENCY.FORMAT_1),CURRENCY.FORMAT_1,1),"# ##0;-# ##0"),",-"),FIXED(ROUND((C260*(1-I260)*(1-ADD.DISCOUNT)*(1+MAT.SURCHARGE)/EXC.RATE_1),CURRENCY.FORMAT_1),CURRENCY.FORMAT_1,0)),'DICTIONARY-5'!$A$2)</f>
        <v>475,-</v>
      </c>
      <c r="M260" s="670" t="str">
        <f>IF(EXC.RATE_2=0,"",IFERROR(IF(CURRENCY.FORMAT_2=0,CONCATENATE(TEXT(FIXED(ROUND(IF(EXC.RATE.SWITCH=1,C260*(1-I260)*(1-ADD.DISCOUNT)*(1+MAT.SURCHARGE)/EXC.RATE_2,C260*(1-I260)*(1-ADD.DISCOUNT)*(1+MAT.SURCHARGE)*EXC.RATE_2),CURRENCY.FORMAT_2),CURRENCY.FORMAT_2,1),"# ##0;-# ##0"),",-"),FIXED(ROUND(IF(EXC.RATE.SWITCH=1,C260*(1-I260)*(1-ADD.DISCOUNT)*(1+MAT.SURCHARGE)/EXC.RATE_2,C260*(1-I260)*(1-ADD.DISCOUNT)*(1+MAT.SURCHARGE)*EXC.RATE_2),CURRENCY.FORMAT_2),CURRENCY.FORMAT_2,0)),'DICTIONARY-5'!$A$2))</f>
        <v/>
      </c>
      <c r="N260" s="544">
        <v>1</v>
      </c>
      <c r="O260" s="544"/>
      <c r="P260" s="731" t="str">
        <f>'DICTIONARY-3'!$A$2</f>
        <v>EKOplus</v>
      </c>
      <c r="Q260" s="732" t="str">
        <f>'DICTIONARY-3'!$A$187</f>
        <v>Zasuwa klinowa</v>
      </c>
      <c r="R260" s="732" t="str">
        <f>CONCATENATE('DICTIONARY-3'!$A$2," ",'DICTIONARY-6'!$A$4," ",'DICTIONARY-2'!$A$2,"50"," ",'DICTIONARY-2'!$A$3,"10/16"," ","R15",", ",'DICTIONARY-4'!$A$2)</f>
        <v>EKOplus Zasuwa z wrzec. wznosz. się DN50 PN10/16 R15, WW</v>
      </c>
      <c r="S260" s="733" t="str">
        <f>'DICTIONARY-4'!$A$2</f>
        <v>WW</v>
      </c>
      <c r="T260" s="732" t="str">
        <f>'DICTIONARY-4'!$A$18</f>
        <v>Wolny wałek</v>
      </c>
      <c r="U260" s="734" t="s">
        <v>5748</v>
      </c>
      <c r="V260" s="735">
        <v>16</v>
      </c>
      <c r="W260" s="736"/>
      <c r="X260" s="737"/>
      <c r="Y260" s="738"/>
      <c r="Z260" s="739"/>
      <c r="AA260" s="739"/>
      <c r="AB260" s="740">
        <v>16</v>
      </c>
      <c r="AC260" s="741" t="str">
        <f>'DICTIONARY-5'!$A$11&amp;" 14"</f>
        <v>EN 558 szereg 14</v>
      </c>
      <c r="AD260" s="741" t="str">
        <f>'DICTIONARY-5'!$A$13</f>
        <v>woda pitna</v>
      </c>
      <c r="AE260" s="742">
        <v>50</v>
      </c>
      <c r="AF260" s="743">
        <v>18</v>
      </c>
      <c r="AG260" s="741" t="str">
        <f>'DICTIONARY-5'!$A$23</f>
        <v>powłoka epoksydowa</v>
      </c>
    </row>
    <row r="261" spans="1:33" x14ac:dyDescent="0.25">
      <c r="A261" s="842" t="s">
        <v>303</v>
      </c>
      <c r="B261" s="842" t="s">
        <v>3464</v>
      </c>
      <c r="C261" s="836">
        <v>513</v>
      </c>
      <c r="D261" s="836"/>
      <c r="E261" s="836"/>
      <c r="F261" s="836"/>
      <c r="G261" s="496" t="s">
        <v>7789</v>
      </c>
      <c r="H261" s="797" t="str">
        <f>VLOOKUP(G261,SETTINGS!$B$7:$D$97,2,0)</f>
        <v>EKOplus</v>
      </c>
      <c r="I261" s="796">
        <f>VLOOKUP(G261,SETTINGS!$B$7:$D$97,3,0)</f>
        <v>0</v>
      </c>
      <c r="J261" s="670" t="str">
        <f>IFERROR(IF(CURRENCY.FORMAT_1=0,CONCATENATE(TEXT(FIXED(ROUND((C261/EXC.RATE_1),CURRENCY.FORMAT_1),CURRENCY.FORMAT_1,1),"# ##0;-# ##0"),",-"),FIXED(ROUND((C261/EXC.RATE_1),CURRENCY.FORMAT_1),CURRENCY.FORMAT_1,0)),'DICTIONARY-5'!$A$2)</f>
        <v>513,-</v>
      </c>
      <c r="K261" s="670" t="str">
        <f>IF(EXC.RATE_2=0,"",IFERROR(IF(CURRENCY.FORMAT_2=0,CONCATENATE(TEXT(FIXED(ROUND(IF(EXC.RATE.SWITCH=1,C261/EXC.RATE_2,C261*EXC.RATE_2),CURRENCY.FORMAT_2),CURRENCY.FORMAT_2,1),"# ##0;-# ##0"),",-"),FIXED(ROUND(IF(EXC.RATE.SWITCH=1,C261/EXC.RATE_2,C261*EXC.RATE_2),CURRENCY.FORMAT_2),CURRENCY.FORMAT_2,0)),'DICTIONARY-5'!$A$2))</f>
        <v/>
      </c>
      <c r="L261" s="670" t="str">
        <f>IFERROR(IF(CURRENCY.FORMAT_1=0,CONCATENATE(TEXT(FIXED(ROUND((C261*(1-I261)*(1-ADD.DISCOUNT)*(1+MAT.SURCHARGE)/EXC.RATE_1),CURRENCY.FORMAT_1),CURRENCY.FORMAT_1,1),"# ##0;-# ##0"),",-"),FIXED(ROUND((C261*(1-I261)*(1-ADD.DISCOUNT)*(1+MAT.SURCHARGE)/EXC.RATE_1),CURRENCY.FORMAT_1),CURRENCY.FORMAT_1,0)),'DICTIONARY-5'!$A$2)</f>
        <v>533,-</v>
      </c>
      <c r="M261" s="670" t="str">
        <f>IF(EXC.RATE_2=0,"",IFERROR(IF(CURRENCY.FORMAT_2=0,CONCATENATE(TEXT(FIXED(ROUND(IF(EXC.RATE.SWITCH=1,C261*(1-I261)*(1-ADD.DISCOUNT)*(1+MAT.SURCHARGE)/EXC.RATE_2,C261*(1-I261)*(1-ADD.DISCOUNT)*(1+MAT.SURCHARGE)*EXC.RATE_2),CURRENCY.FORMAT_2),CURRENCY.FORMAT_2,1),"# ##0;-# ##0"),",-"),FIXED(ROUND(IF(EXC.RATE.SWITCH=1,C261*(1-I261)*(1-ADD.DISCOUNT)*(1+MAT.SURCHARGE)/EXC.RATE_2,C261*(1-I261)*(1-ADD.DISCOUNT)*(1+MAT.SURCHARGE)*EXC.RATE_2),CURRENCY.FORMAT_2),CURRENCY.FORMAT_2,0)),'DICTIONARY-5'!$A$2))</f>
        <v/>
      </c>
      <c r="N261" s="544">
        <v>1</v>
      </c>
      <c r="O261" s="544"/>
      <c r="P261" s="731" t="str">
        <f>'DICTIONARY-3'!$A$2</f>
        <v>EKOplus</v>
      </c>
      <c r="Q261" s="732" t="str">
        <f>'DICTIONARY-3'!$A$187</f>
        <v>Zasuwa klinowa</v>
      </c>
      <c r="R261" s="732" t="str">
        <f>CONCATENATE('DICTIONARY-3'!$A$2," ",'DICTIONARY-6'!$A$4," ",'DICTIONARY-2'!$A$2,"65"," ",'DICTIONARY-2'!$A$3,"10/16"," ","R15",", ",'DICTIONARY-4'!$A$2)</f>
        <v>EKOplus Zasuwa z wrzec. wznosz. się DN65 PN10/16 R15, WW</v>
      </c>
      <c r="S261" s="733" t="str">
        <f>'DICTIONARY-4'!$A$2</f>
        <v>WW</v>
      </c>
      <c r="T261" s="732" t="str">
        <f>'DICTIONARY-4'!$A$18</f>
        <v>Wolny wałek</v>
      </c>
      <c r="U261" s="734" t="s">
        <v>5759</v>
      </c>
      <c r="V261" s="735">
        <v>16</v>
      </c>
      <c r="W261" s="736"/>
      <c r="X261" s="737"/>
      <c r="Y261" s="738"/>
      <c r="Z261" s="739"/>
      <c r="AA261" s="739"/>
      <c r="AB261" s="740">
        <v>16</v>
      </c>
      <c r="AC261" s="741" t="str">
        <f>'DICTIONARY-5'!$A$11&amp;" 14"</f>
        <v>EN 558 szereg 14</v>
      </c>
      <c r="AD261" s="741" t="str">
        <f>'DICTIONARY-5'!$A$13</f>
        <v>woda pitna</v>
      </c>
      <c r="AE261" s="742">
        <v>50</v>
      </c>
      <c r="AF261" s="743">
        <v>23.3</v>
      </c>
      <c r="AG261" s="741" t="str">
        <f>'DICTIONARY-5'!$A$23</f>
        <v>powłoka epoksydowa</v>
      </c>
    </row>
    <row r="262" spans="1:33" x14ac:dyDescent="0.25">
      <c r="A262" s="842" t="s">
        <v>305</v>
      </c>
      <c r="B262" s="842" t="str">
        <f>'DICTIONARY-5'!$A$2</f>
        <v>na zapytanie</v>
      </c>
      <c r="C262" s="836" t="s">
        <v>5967</v>
      </c>
      <c r="D262" s="836"/>
      <c r="E262" s="836"/>
      <c r="F262" s="836"/>
      <c r="G262" s="496" t="s">
        <v>7789</v>
      </c>
      <c r="H262" s="797" t="str">
        <f>VLOOKUP(G262,SETTINGS!$B$7:$D$97,2,0)</f>
        <v>EKOplus</v>
      </c>
      <c r="I262" s="796">
        <f>VLOOKUP(G262,SETTINGS!$B$7:$D$97,3,0)</f>
        <v>0</v>
      </c>
      <c r="J262" s="670" t="str">
        <f>IFERROR(IF(CURRENCY.FORMAT_1=0,CONCATENATE(TEXT(FIXED(ROUND((C262/EXC.RATE_1),CURRENCY.FORMAT_1),CURRENCY.FORMAT_1,1),"# ##0;-# ##0"),",-"),FIXED(ROUND((C262/EXC.RATE_1),CURRENCY.FORMAT_1),CURRENCY.FORMAT_1,0)),'DICTIONARY-5'!$A$2)</f>
        <v>na zapytanie</v>
      </c>
      <c r="K262" s="670" t="str">
        <f>IF(EXC.RATE_2=0,"",IFERROR(IF(CURRENCY.FORMAT_2=0,CONCATENATE(TEXT(FIXED(ROUND(IF(EXC.RATE.SWITCH=1,C262/EXC.RATE_2,C262*EXC.RATE_2),CURRENCY.FORMAT_2),CURRENCY.FORMAT_2,1),"# ##0;-# ##0"),",-"),FIXED(ROUND(IF(EXC.RATE.SWITCH=1,C262/EXC.RATE_2,C262*EXC.RATE_2),CURRENCY.FORMAT_2),CURRENCY.FORMAT_2,0)),'DICTIONARY-5'!$A$2))</f>
        <v/>
      </c>
      <c r="L262" s="670" t="str">
        <f>IFERROR(IF(CURRENCY.FORMAT_1=0,CONCATENATE(TEXT(FIXED(ROUND((C262*(1-I262)*(1-ADD.DISCOUNT)*(1+MAT.SURCHARGE)/EXC.RATE_1),CURRENCY.FORMAT_1),CURRENCY.FORMAT_1,1),"# ##0;-# ##0"),",-"),FIXED(ROUND((C262*(1-I262)*(1-ADD.DISCOUNT)*(1+MAT.SURCHARGE)/EXC.RATE_1),CURRENCY.FORMAT_1),CURRENCY.FORMAT_1,0)),'DICTIONARY-5'!$A$2)</f>
        <v>na zapytanie</v>
      </c>
      <c r="M262" s="670" t="str">
        <f>IF(EXC.RATE_2=0,"",IFERROR(IF(CURRENCY.FORMAT_2=0,CONCATENATE(TEXT(FIXED(ROUND(IF(EXC.RATE.SWITCH=1,C262*(1-I262)*(1-ADD.DISCOUNT)*(1+MAT.SURCHARGE)/EXC.RATE_2,C262*(1-I262)*(1-ADD.DISCOUNT)*(1+MAT.SURCHARGE)*EXC.RATE_2),CURRENCY.FORMAT_2),CURRENCY.FORMAT_2,1),"# ##0;-# ##0"),",-"),FIXED(ROUND(IF(EXC.RATE.SWITCH=1,C262*(1-I262)*(1-ADD.DISCOUNT)*(1+MAT.SURCHARGE)/EXC.RATE_2,C262*(1-I262)*(1-ADD.DISCOUNT)*(1+MAT.SURCHARGE)*EXC.RATE_2),CURRENCY.FORMAT_2),CURRENCY.FORMAT_2,0)),'DICTIONARY-5'!$A$2))</f>
        <v/>
      </c>
      <c r="N262" s="544">
        <v>1</v>
      </c>
      <c r="O262" s="544"/>
      <c r="P262" s="731" t="str">
        <f>'DICTIONARY-3'!$A$2</f>
        <v>EKOplus</v>
      </c>
      <c r="Q262" s="732" t="str">
        <f>'DICTIONARY-3'!$A$187</f>
        <v>Zasuwa klinowa</v>
      </c>
      <c r="R262" s="732" t="str">
        <f>CONCATENATE('DICTIONARY-3'!$A$2," ",'DICTIONARY-6'!$A$4," ",'DICTIONARY-2'!$A$2,"80"," ",'DICTIONARY-2'!$A$3,"10"," ","R15"," ",'DICTIONARY-5'!$A$64,", ",'DICTIONARY-4'!$A$2)</f>
        <v>EKOplus Zasuwa z wrzec. wznosz. się DN80 PN10 R15 owiert 4 otw., WW</v>
      </c>
      <c r="S262" s="733" t="str">
        <f>'DICTIONARY-4'!$A$2</f>
        <v>WW</v>
      </c>
      <c r="T262" s="732" t="str">
        <f>'DICTIONARY-4'!$A$18</f>
        <v>Wolny wałek</v>
      </c>
      <c r="U262" s="734" t="s">
        <v>5760</v>
      </c>
      <c r="V262" s="735">
        <v>10</v>
      </c>
      <c r="W262" s="736"/>
      <c r="X262" s="737"/>
      <c r="Y262" s="738"/>
      <c r="Z262" s="739"/>
      <c r="AA262" s="739"/>
      <c r="AB262" s="740">
        <v>10</v>
      </c>
      <c r="AC262" s="741" t="str">
        <f>'DICTIONARY-5'!$A$11&amp;" 14"</f>
        <v>EN 558 szereg 14</v>
      </c>
      <c r="AD262" s="741" t="str">
        <f>'DICTIONARY-5'!$A$13</f>
        <v>woda pitna</v>
      </c>
      <c r="AE262" s="742">
        <v>50</v>
      </c>
      <c r="AF262" s="743"/>
      <c r="AG262" s="741" t="str">
        <f>'DICTIONARY-5'!$A$23</f>
        <v>powłoka epoksydowa</v>
      </c>
    </row>
    <row r="263" spans="1:33" x14ac:dyDescent="0.25">
      <c r="A263" s="842" t="s">
        <v>307</v>
      </c>
      <c r="B263" s="842" t="s">
        <v>3465</v>
      </c>
      <c r="C263" s="836">
        <v>513</v>
      </c>
      <c r="D263" s="836"/>
      <c r="E263" s="836"/>
      <c r="F263" s="836"/>
      <c r="G263" s="496" t="s">
        <v>7789</v>
      </c>
      <c r="H263" s="797" t="str">
        <f>VLOOKUP(G263,SETTINGS!$B$7:$D$97,2,0)</f>
        <v>EKOplus</v>
      </c>
      <c r="I263" s="796">
        <f>VLOOKUP(G263,SETTINGS!$B$7:$D$97,3,0)</f>
        <v>0</v>
      </c>
      <c r="J263" s="670" t="str">
        <f>IFERROR(IF(CURRENCY.FORMAT_1=0,CONCATENATE(TEXT(FIXED(ROUND((C263/EXC.RATE_1),CURRENCY.FORMAT_1),CURRENCY.FORMAT_1,1),"# ##0;-# ##0"),",-"),FIXED(ROUND((C263/EXC.RATE_1),CURRENCY.FORMAT_1),CURRENCY.FORMAT_1,0)),'DICTIONARY-5'!$A$2)</f>
        <v>513,-</v>
      </c>
      <c r="K263" s="670" t="str">
        <f>IF(EXC.RATE_2=0,"",IFERROR(IF(CURRENCY.FORMAT_2=0,CONCATENATE(TEXT(FIXED(ROUND(IF(EXC.RATE.SWITCH=1,C263/EXC.RATE_2,C263*EXC.RATE_2),CURRENCY.FORMAT_2),CURRENCY.FORMAT_2,1),"# ##0;-# ##0"),",-"),FIXED(ROUND(IF(EXC.RATE.SWITCH=1,C263/EXC.RATE_2,C263*EXC.RATE_2),CURRENCY.FORMAT_2),CURRENCY.FORMAT_2,0)),'DICTIONARY-5'!$A$2))</f>
        <v/>
      </c>
      <c r="L263" s="670" t="str">
        <f>IFERROR(IF(CURRENCY.FORMAT_1=0,CONCATENATE(TEXT(FIXED(ROUND((C263*(1-I263)*(1-ADD.DISCOUNT)*(1+MAT.SURCHARGE)/EXC.RATE_1),CURRENCY.FORMAT_1),CURRENCY.FORMAT_1,1),"# ##0;-# ##0"),",-"),FIXED(ROUND((C263*(1-I263)*(1-ADD.DISCOUNT)*(1+MAT.SURCHARGE)/EXC.RATE_1),CURRENCY.FORMAT_1),CURRENCY.FORMAT_1,0)),'DICTIONARY-5'!$A$2)</f>
        <v>533,-</v>
      </c>
      <c r="M263" s="670" t="str">
        <f>IF(EXC.RATE_2=0,"",IFERROR(IF(CURRENCY.FORMAT_2=0,CONCATENATE(TEXT(FIXED(ROUND(IF(EXC.RATE.SWITCH=1,C263*(1-I263)*(1-ADD.DISCOUNT)*(1+MAT.SURCHARGE)/EXC.RATE_2,C263*(1-I263)*(1-ADD.DISCOUNT)*(1+MAT.SURCHARGE)*EXC.RATE_2),CURRENCY.FORMAT_2),CURRENCY.FORMAT_2,1),"# ##0;-# ##0"),",-"),FIXED(ROUND(IF(EXC.RATE.SWITCH=1,C263*(1-I263)*(1-ADD.DISCOUNT)*(1+MAT.SURCHARGE)/EXC.RATE_2,C263*(1-I263)*(1-ADD.DISCOUNT)*(1+MAT.SURCHARGE)*EXC.RATE_2),CURRENCY.FORMAT_2),CURRENCY.FORMAT_2,0)),'DICTIONARY-5'!$A$2))</f>
        <v/>
      </c>
      <c r="N263" s="544">
        <v>1</v>
      </c>
      <c r="O263" s="544"/>
      <c r="P263" s="731" t="str">
        <f>'DICTIONARY-3'!$A$2</f>
        <v>EKOplus</v>
      </c>
      <c r="Q263" s="732" t="str">
        <f>'DICTIONARY-3'!$A$187</f>
        <v>Zasuwa klinowa</v>
      </c>
      <c r="R263" s="732" t="str">
        <f>CONCATENATE('DICTIONARY-3'!$A$2," ",'DICTIONARY-6'!$A$4," ",'DICTIONARY-2'!$A$2,"80"," ",'DICTIONARY-2'!$A$3,"10/16"," ","R15",", ",'DICTIONARY-4'!$A$2)</f>
        <v>EKOplus Zasuwa z wrzec. wznosz. się DN80 PN10/16 R15, WW</v>
      </c>
      <c r="S263" s="733" t="str">
        <f>'DICTIONARY-4'!$A$2</f>
        <v>WW</v>
      </c>
      <c r="T263" s="732" t="str">
        <f>'DICTIONARY-4'!$A$18</f>
        <v>Wolny wałek</v>
      </c>
      <c r="U263" s="734" t="s">
        <v>5760</v>
      </c>
      <c r="V263" s="735">
        <v>16</v>
      </c>
      <c r="W263" s="736"/>
      <c r="X263" s="737"/>
      <c r="Y263" s="738"/>
      <c r="Z263" s="739"/>
      <c r="AA263" s="739"/>
      <c r="AB263" s="740">
        <v>16</v>
      </c>
      <c r="AC263" s="741" t="str">
        <f>'DICTIONARY-5'!$A$11&amp;" 14"</f>
        <v>EN 558 szereg 14</v>
      </c>
      <c r="AD263" s="741" t="str">
        <f>'DICTIONARY-5'!$A$13</f>
        <v>woda pitna</v>
      </c>
      <c r="AE263" s="742">
        <v>50</v>
      </c>
      <c r="AF263" s="743">
        <v>25.5</v>
      </c>
      <c r="AG263" s="741" t="str">
        <f>'DICTIONARY-5'!$A$23</f>
        <v>powłoka epoksydowa</v>
      </c>
    </row>
    <row r="264" spans="1:33" x14ac:dyDescent="0.25">
      <c r="A264" s="842" t="s">
        <v>309</v>
      </c>
      <c r="B264" s="842" t="s">
        <v>3466</v>
      </c>
      <c r="C264" s="836">
        <v>595</v>
      </c>
      <c r="D264" s="836"/>
      <c r="E264" s="836"/>
      <c r="F264" s="836"/>
      <c r="G264" s="496" t="s">
        <v>7789</v>
      </c>
      <c r="H264" s="797" t="str">
        <f>VLOOKUP(G264,SETTINGS!$B$7:$D$97,2,0)</f>
        <v>EKOplus</v>
      </c>
      <c r="I264" s="796">
        <f>VLOOKUP(G264,SETTINGS!$B$7:$D$97,3,0)</f>
        <v>0</v>
      </c>
      <c r="J264" s="670" t="str">
        <f>IFERROR(IF(CURRENCY.FORMAT_1=0,CONCATENATE(TEXT(FIXED(ROUND((C264/EXC.RATE_1),CURRENCY.FORMAT_1),CURRENCY.FORMAT_1,1),"# ##0;-# ##0"),",-"),FIXED(ROUND((C264/EXC.RATE_1),CURRENCY.FORMAT_1),CURRENCY.FORMAT_1,0)),'DICTIONARY-5'!$A$2)</f>
        <v>595,-</v>
      </c>
      <c r="K264" s="670" t="str">
        <f>IF(EXC.RATE_2=0,"",IFERROR(IF(CURRENCY.FORMAT_2=0,CONCATENATE(TEXT(FIXED(ROUND(IF(EXC.RATE.SWITCH=1,C264/EXC.RATE_2,C264*EXC.RATE_2),CURRENCY.FORMAT_2),CURRENCY.FORMAT_2,1),"# ##0;-# ##0"),",-"),FIXED(ROUND(IF(EXC.RATE.SWITCH=1,C264/EXC.RATE_2,C264*EXC.RATE_2),CURRENCY.FORMAT_2),CURRENCY.FORMAT_2,0)),'DICTIONARY-5'!$A$2))</f>
        <v/>
      </c>
      <c r="L264" s="670" t="str">
        <f>IFERROR(IF(CURRENCY.FORMAT_1=0,CONCATENATE(TEXT(FIXED(ROUND((C264*(1-I264)*(1-ADD.DISCOUNT)*(1+MAT.SURCHARGE)/EXC.RATE_1),CURRENCY.FORMAT_1),CURRENCY.FORMAT_1,1),"# ##0;-# ##0"),",-"),FIXED(ROUND((C264*(1-I264)*(1-ADD.DISCOUNT)*(1+MAT.SURCHARGE)/EXC.RATE_1),CURRENCY.FORMAT_1),CURRENCY.FORMAT_1,0)),'DICTIONARY-5'!$A$2)</f>
        <v>618,-</v>
      </c>
      <c r="M264" s="670" t="str">
        <f>IF(EXC.RATE_2=0,"",IFERROR(IF(CURRENCY.FORMAT_2=0,CONCATENATE(TEXT(FIXED(ROUND(IF(EXC.RATE.SWITCH=1,C264*(1-I264)*(1-ADD.DISCOUNT)*(1+MAT.SURCHARGE)/EXC.RATE_2,C264*(1-I264)*(1-ADD.DISCOUNT)*(1+MAT.SURCHARGE)*EXC.RATE_2),CURRENCY.FORMAT_2),CURRENCY.FORMAT_2,1),"# ##0;-# ##0"),",-"),FIXED(ROUND(IF(EXC.RATE.SWITCH=1,C264*(1-I264)*(1-ADD.DISCOUNT)*(1+MAT.SURCHARGE)/EXC.RATE_2,C264*(1-I264)*(1-ADD.DISCOUNT)*(1+MAT.SURCHARGE)*EXC.RATE_2),CURRENCY.FORMAT_2),CURRENCY.FORMAT_2,0)),'DICTIONARY-5'!$A$2))</f>
        <v/>
      </c>
      <c r="N264" s="544">
        <v>1</v>
      </c>
      <c r="O264" s="544"/>
      <c r="P264" s="731" t="str">
        <f>'DICTIONARY-3'!$A$2</f>
        <v>EKOplus</v>
      </c>
      <c r="Q264" s="732" t="str">
        <f>'DICTIONARY-3'!$A$187</f>
        <v>Zasuwa klinowa</v>
      </c>
      <c r="R264" s="732" t="str">
        <f>CONCATENATE('DICTIONARY-3'!$A$2," ",'DICTIONARY-6'!$A$4," ",'DICTIONARY-2'!$A$2,"100"," ",'DICTIONARY-2'!$A$3,"10/16"," ","R15",", ",'DICTIONARY-4'!$A$2)</f>
        <v>EKOplus Zasuwa z wrzec. wznosz. się DN100 PN10/16 R15, WW</v>
      </c>
      <c r="S264" s="733" t="str">
        <f>'DICTIONARY-4'!$A$2</f>
        <v>WW</v>
      </c>
      <c r="T264" s="732" t="str">
        <f>'DICTIONARY-4'!$A$18</f>
        <v>Wolny wałek</v>
      </c>
      <c r="U264" s="734" t="s">
        <v>5749</v>
      </c>
      <c r="V264" s="735">
        <v>16</v>
      </c>
      <c r="W264" s="736"/>
      <c r="X264" s="737"/>
      <c r="Y264" s="738"/>
      <c r="Z264" s="739"/>
      <c r="AA264" s="739"/>
      <c r="AB264" s="740">
        <v>16</v>
      </c>
      <c r="AC264" s="741" t="str">
        <f>'DICTIONARY-5'!$A$11&amp;" 14"</f>
        <v>EN 558 szereg 14</v>
      </c>
      <c r="AD264" s="741" t="str">
        <f>'DICTIONARY-5'!$A$13</f>
        <v>woda pitna</v>
      </c>
      <c r="AE264" s="742">
        <v>50</v>
      </c>
      <c r="AF264" s="743">
        <v>33</v>
      </c>
      <c r="AG264" s="741" t="str">
        <f>'DICTIONARY-5'!$A$23</f>
        <v>powłoka epoksydowa</v>
      </c>
    </row>
    <row r="265" spans="1:33" x14ac:dyDescent="0.25">
      <c r="A265" s="842" t="s">
        <v>311</v>
      </c>
      <c r="B265" s="842" t="str">
        <f>'DICTIONARY-5'!$A$2</f>
        <v>na zapytanie</v>
      </c>
      <c r="C265" s="836" t="s">
        <v>5967</v>
      </c>
      <c r="D265" s="836"/>
      <c r="E265" s="836"/>
      <c r="F265" s="836"/>
      <c r="G265" s="496" t="s">
        <v>7789</v>
      </c>
      <c r="H265" s="797" t="str">
        <f>VLOOKUP(G265,SETTINGS!$B$7:$D$97,2,0)</f>
        <v>EKOplus</v>
      </c>
      <c r="I265" s="796">
        <f>VLOOKUP(G265,SETTINGS!$B$7:$D$97,3,0)</f>
        <v>0</v>
      </c>
      <c r="J265" s="670" t="str">
        <f>IFERROR(IF(CURRENCY.FORMAT_1=0,CONCATENATE(TEXT(FIXED(ROUND((C265/EXC.RATE_1),CURRENCY.FORMAT_1),CURRENCY.FORMAT_1,1),"# ##0;-# ##0"),",-"),FIXED(ROUND((C265/EXC.RATE_1),CURRENCY.FORMAT_1),CURRENCY.FORMAT_1,0)),'DICTIONARY-5'!$A$2)</f>
        <v>na zapytanie</v>
      </c>
      <c r="K265" s="670" t="str">
        <f>IF(EXC.RATE_2=0,"",IFERROR(IF(CURRENCY.FORMAT_2=0,CONCATENATE(TEXT(FIXED(ROUND(IF(EXC.RATE.SWITCH=1,C265/EXC.RATE_2,C265*EXC.RATE_2),CURRENCY.FORMAT_2),CURRENCY.FORMAT_2,1),"# ##0;-# ##0"),",-"),FIXED(ROUND(IF(EXC.RATE.SWITCH=1,C265/EXC.RATE_2,C265*EXC.RATE_2),CURRENCY.FORMAT_2),CURRENCY.FORMAT_2,0)),'DICTIONARY-5'!$A$2))</f>
        <v/>
      </c>
      <c r="L265" s="670" t="str">
        <f>IFERROR(IF(CURRENCY.FORMAT_1=0,CONCATENATE(TEXT(FIXED(ROUND((C265*(1-I265)*(1-ADD.DISCOUNT)*(1+MAT.SURCHARGE)/EXC.RATE_1),CURRENCY.FORMAT_1),CURRENCY.FORMAT_1,1),"# ##0;-# ##0"),",-"),FIXED(ROUND((C265*(1-I265)*(1-ADD.DISCOUNT)*(1+MAT.SURCHARGE)/EXC.RATE_1),CURRENCY.FORMAT_1),CURRENCY.FORMAT_1,0)),'DICTIONARY-5'!$A$2)</f>
        <v>na zapytanie</v>
      </c>
      <c r="M265" s="670" t="str">
        <f>IF(EXC.RATE_2=0,"",IFERROR(IF(CURRENCY.FORMAT_2=0,CONCATENATE(TEXT(FIXED(ROUND(IF(EXC.RATE.SWITCH=1,C265*(1-I265)*(1-ADD.DISCOUNT)*(1+MAT.SURCHARGE)/EXC.RATE_2,C265*(1-I265)*(1-ADD.DISCOUNT)*(1+MAT.SURCHARGE)*EXC.RATE_2),CURRENCY.FORMAT_2),CURRENCY.FORMAT_2,1),"# ##0;-# ##0"),",-"),FIXED(ROUND(IF(EXC.RATE.SWITCH=1,C265*(1-I265)*(1-ADD.DISCOUNT)*(1+MAT.SURCHARGE)/EXC.RATE_2,C265*(1-I265)*(1-ADD.DISCOUNT)*(1+MAT.SURCHARGE)*EXC.RATE_2),CURRENCY.FORMAT_2),CURRENCY.FORMAT_2,0)),'DICTIONARY-5'!$A$2))</f>
        <v/>
      </c>
      <c r="N265" s="544">
        <v>1</v>
      </c>
      <c r="O265" s="544"/>
      <c r="P265" s="731" t="str">
        <f>'DICTIONARY-3'!$A$2</f>
        <v>EKOplus</v>
      </c>
      <c r="Q265" s="732" t="str">
        <f>'DICTIONARY-3'!$A$187</f>
        <v>Zasuwa klinowa</v>
      </c>
      <c r="R265" s="732" t="str">
        <f>CONCATENATE('DICTIONARY-3'!$A$2," ",'DICTIONARY-6'!$A$4," ",'DICTIONARY-2'!$A$2,"125"," ",'DICTIONARY-2'!$A$3,"10/16"," ","R15",", ",'DICTIONARY-4'!$A$2)</f>
        <v>EKOplus Zasuwa z wrzec. wznosz. się DN125 PN10/16 R15, WW</v>
      </c>
      <c r="S265" s="733" t="str">
        <f>'DICTIONARY-4'!$A$2</f>
        <v>WW</v>
      </c>
      <c r="T265" s="732" t="str">
        <f>'DICTIONARY-4'!$A$18</f>
        <v>Wolny wałek</v>
      </c>
      <c r="U265" s="734" t="s">
        <v>5761</v>
      </c>
      <c r="V265" s="735">
        <v>16</v>
      </c>
      <c r="W265" s="736"/>
      <c r="X265" s="737"/>
      <c r="Y265" s="738"/>
      <c r="Z265" s="739"/>
      <c r="AA265" s="739"/>
      <c r="AB265" s="740">
        <v>16</v>
      </c>
      <c r="AC265" s="741" t="str">
        <f>'DICTIONARY-5'!$A$11&amp;" 14"</f>
        <v>EN 558 szereg 14</v>
      </c>
      <c r="AD265" s="741" t="str">
        <f>'DICTIONARY-5'!$A$13</f>
        <v>woda pitna</v>
      </c>
      <c r="AE265" s="742">
        <v>50</v>
      </c>
      <c r="AF265" s="743"/>
      <c r="AG265" s="741" t="str">
        <f>'DICTIONARY-5'!$A$23</f>
        <v>powłoka epoksydowa</v>
      </c>
    </row>
    <row r="266" spans="1:33" x14ac:dyDescent="0.25">
      <c r="A266" s="842" t="s">
        <v>313</v>
      </c>
      <c r="B266" s="842" t="s">
        <v>3467</v>
      </c>
      <c r="C266" s="836">
        <v>715</v>
      </c>
      <c r="D266" s="836"/>
      <c r="E266" s="836"/>
      <c r="F266" s="836"/>
      <c r="G266" s="496" t="s">
        <v>7789</v>
      </c>
      <c r="H266" s="797" t="str">
        <f>VLOOKUP(G266,SETTINGS!$B$7:$D$97,2,0)</f>
        <v>EKOplus</v>
      </c>
      <c r="I266" s="796">
        <f>VLOOKUP(G266,SETTINGS!$B$7:$D$97,3,0)</f>
        <v>0</v>
      </c>
      <c r="J266" s="670" t="str">
        <f>IFERROR(IF(CURRENCY.FORMAT_1=0,CONCATENATE(TEXT(FIXED(ROUND((C266/EXC.RATE_1),CURRENCY.FORMAT_1),CURRENCY.FORMAT_1,1),"# ##0;-# ##0"),",-"),FIXED(ROUND((C266/EXC.RATE_1),CURRENCY.FORMAT_1),CURRENCY.FORMAT_1,0)),'DICTIONARY-5'!$A$2)</f>
        <v>715,-</v>
      </c>
      <c r="K266" s="670" t="str">
        <f>IF(EXC.RATE_2=0,"",IFERROR(IF(CURRENCY.FORMAT_2=0,CONCATENATE(TEXT(FIXED(ROUND(IF(EXC.RATE.SWITCH=1,C266/EXC.RATE_2,C266*EXC.RATE_2),CURRENCY.FORMAT_2),CURRENCY.FORMAT_2,1),"# ##0;-# ##0"),",-"),FIXED(ROUND(IF(EXC.RATE.SWITCH=1,C266/EXC.RATE_2,C266*EXC.RATE_2),CURRENCY.FORMAT_2),CURRENCY.FORMAT_2,0)),'DICTIONARY-5'!$A$2))</f>
        <v/>
      </c>
      <c r="L266" s="670" t="str">
        <f>IFERROR(IF(CURRENCY.FORMAT_1=0,CONCATENATE(TEXT(FIXED(ROUND((C266*(1-I266)*(1-ADD.DISCOUNT)*(1+MAT.SURCHARGE)/EXC.RATE_1),CURRENCY.FORMAT_1),CURRENCY.FORMAT_1,1),"# ##0;-# ##0"),",-"),FIXED(ROUND((C266*(1-I266)*(1-ADD.DISCOUNT)*(1+MAT.SURCHARGE)/EXC.RATE_1),CURRENCY.FORMAT_1),CURRENCY.FORMAT_1,0)),'DICTIONARY-5'!$A$2)</f>
        <v>743,-</v>
      </c>
      <c r="M266" s="670" t="str">
        <f>IF(EXC.RATE_2=0,"",IFERROR(IF(CURRENCY.FORMAT_2=0,CONCATENATE(TEXT(FIXED(ROUND(IF(EXC.RATE.SWITCH=1,C266*(1-I266)*(1-ADD.DISCOUNT)*(1+MAT.SURCHARGE)/EXC.RATE_2,C266*(1-I266)*(1-ADD.DISCOUNT)*(1+MAT.SURCHARGE)*EXC.RATE_2),CURRENCY.FORMAT_2),CURRENCY.FORMAT_2,1),"# ##0;-# ##0"),",-"),FIXED(ROUND(IF(EXC.RATE.SWITCH=1,C266*(1-I266)*(1-ADD.DISCOUNT)*(1+MAT.SURCHARGE)/EXC.RATE_2,C266*(1-I266)*(1-ADD.DISCOUNT)*(1+MAT.SURCHARGE)*EXC.RATE_2),CURRENCY.FORMAT_2),CURRENCY.FORMAT_2,0)),'DICTIONARY-5'!$A$2))</f>
        <v/>
      </c>
      <c r="N266" s="544">
        <v>1</v>
      </c>
      <c r="O266" s="544"/>
      <c r="P266" s="731" t="str">
        <f>'DICTIONARY-3'!$A$2</f>
        <v>EKOplus</v>
      </c>
      <c r="Q266" s="732" t="str">
        <f>'DICTIONARY-3'!$A$187</f>
        <v>Zasuwa klinowa</v>
      </c>
      <c r="R266" s="732" t="str">
        <f>CONCATENATE('DICTIONARY-3'!$A$2," ",'DICTIONARY-6'!$A$4," ",'DICTIONARY-2'!$A$2,"150"," ",'DICTIONARY-2'!$A$3,"10/16"," ","R15",", ",'DICTIONARY-4'!$A$2)</f>
        <v>EKOplus Zasuwa z wrzec. wznosz. się DN150 PN10/16 R15, WW</v>
      </c>
      <c r="S266" s="733" t="str">
        <f>'DICTIONARY-4'!$A$2</f>
        <v>WW</v>
      </c>
      <c r="T266" s="732" t="str">
        <f>'DICTIONARY-4'!$A$18</f>
        <v>Wolny wałek</v>
      </c>
      <c r="U266" s="734" t="s">
        <v>5572</v>
      </c>
      <c r="V266" s="735">
        <v>16</v>
      </c>
      <c r="W266" s="736"/>
      <c r="X266" s="737"/>
      <c r="Y266" s="738"/>
      <c r="Z266" s="739"/>
      <c r="AA266" s="739"/>
      <c r="AB266" s="740">
        <v>16</v>
      </c>
      <c r="AC266" s="741" t="str">
        <f>'DICTIONARY-5'!$A$11&amp;" 14"</f>
        <v>EN 558 szereg 14</v>
      </c>
      <c r="AD266" s="741" t="str">
        <f>'DICTIONARY-5'!$A$13</f>
        <v>woda pitna</v>
      </c>
      <c r="AE266" s="742">
        <v>50</v>
      </c>
      <c r="AF266" s="743">
        <v>47.5</v>
      </c>
      <c r="AG266" s="741" t="str">
        <f>'DICTIONARY-5'!$A$23</f>
        <v>powłoka epoksydowa</v>
      </c>
    </row>
    <row r="267" spans="1:33" x14ac:dyDescent="0.25">
      <c r="A267" s="842" t="s">
        <v>315</v>
      </c>
      <c r="B267" s="842" t="str">
        <f>'DICTIONARY-5'!$A$2</f>
        <v>na zapytanie</v>
      </c>
      <c r="C267" s="836" t="s">
        <v>5967</v>
      </c>
      <c r="D267" s="836"/>
      <c r="E267" s="836"/>
      <c r="F267" s="836"/>
      <c r="G267" s="496" t="s">
        <v>7789</v>
      </c>
      <c r="H267" s="797" t="str">
        <f>VLOOKUP(G267,SETTINGS!$B$7:$D$97,2,0)</f>
        <v>EKOplus</v>
      </c>
      <c r="I267" s="796">
        <f>VLOOKUP(G267,SETTINGS!$B$7:$D$97,3,0)</f>
        <v>0</v>
      </c>
      <c r="J267" s="670" t="str">
        <f>IFERROR(IF(CURRENCY.FORMAT_1=0,CONCATENATE(TEXT(FIXED(ROUND((C267/EXC.RATE_1),CURRENCY.FORMAT_1),CURRENCY.FORMAT_1,1),"# ##0;-# ##0"),",-"),FIXED(ROUND((C267/EXC.RATE_1),CURRENCY.FORMAT_1),CURRENCY.FORMAT_1,0)),'DICTIONARY-5'!$A$2)</f>
        <v>na zapytanie</v>
      </c>
      <c r="K267" s="670" t="str">
        <f>IF(EXC.RATE_2=0,"",IFERROR(IF(CURRENCY.FORMAT_2=0,CONCATENATE(TEXT(FIXED(ROUND(IF(EXC.RATE.SWITCH=1,C267/EXC.RATE_2,C267*EXC.RATE_2),CURRENCY.FORMAT_2),CURRENCY.FORMAT_2,1),"# ##0;-# ##0"),",-"),FIXED(ROUND(IF(EXC.RATE.SWITCH=1,C267/EXC.RATE_2,C267*EXC.RATE_2),CURRENCY.FORMAT_2),CURRENCY.FORMAT_2,0)),'DICTIONARY-5'!$A$2))</f>
        <v/>
      </c>
      <c r="L267" s="670" t="str">
        <f>IFERROR(IF(CURRENCY.FORMAT_1=0,CONCATENATE(TEXT(FIXED(ROUND((C267*(1-I267)*(1-ADD.DISCOUNT)*(1+MAT.SURCHARGE)/EXC.RATE_1),CURRENCY.FORMAT_1),CURRENCY.FORMAT_1,1),"# ##0;-# ##0"),",-"),FIXED(ROUND((C267*(1-I267)*(1-ADD.DISCOUNT)*(1+MAT.SURCHARGE)/EXC.RATE_1),CURRENCY.FORMAT_1),CURRENCY.FORMAT_1,0)),'DICTIONARY-5'!$A$2)</f>
        <v>na zapytanie</v>
      </c>
      <c r="M267" s="670" t="str">
        <f>IF(EXC.RATE_2=0,"",IFERROR(IF(CURRENCY.FORMAT_2=0,CONCATENATE(TEXT(FIXED(ROUND(IF(EXC.RATE.SWITCH=1,C267*(1-I267)*(1-ADD.DISCOUNT)*(1+MAT.SURCHARGE)/EXC.RATE_2,C267*(1-I267)*(1-ADD.DISCOUNT)*(1+MAT.SURCHARGE)*EXC.RATE_2),CURRENCY.FORMAT_2),CURRENCY.FORMAT_2,1),"# ##0;-# ##0"),",-"),FIXED(ROUND(IF(EXC.RATE.SWITCH=1,C267*(1-I267)*(1-ADD.DISCOUNT)*(1+MAT.SURCHARGE)/EXC.RATE_2,C267*(1-I267)*(1-ADD.DISCOUNT)*(1+MAT.SURCHARGE)*EXC.RATE_2),CURRENCY.FORMAT_2),CURRENCY.FORMAT_2,0)),'DICTIONARY-5'!$A$2))</f>
        <v/>
      </c>
      <c r="N267" s="544">
        <v>1</v>
      </c>
      <c r="O267" s="544"/>
      <c r="P267" s="731" t="str">
        <f>'DICTIONARY-3'!$A$2</f>
        <v>EKOplus</v>
      </c>
      <c r="Q267" s="732" t="str">
        <f>'DICTIONARY-3'!$A$187</f>
        <v>Zasuwa klinowa</v>
      </c>
      <c r="R267" s="732" t="str">
        <f>CONCATENATE('DICTIONARY-3'!$A$2," ",'DICTIONARY-6'!$A$4," ",'DICTIONARY-2'!$A$2,"200"," ",'DICTIONARY-2'!$A$3,"10"," ","R15",", ",'DICTIONARY-4'!$A$2)</f>
        <v>EKOplus Zasuwa z wrzec. wznosz. się DN200 PN10 R15, WW</v>
      </c>
      <c r="S267" s="733" t="str">
        <f>'DICTIONARY-4'!$A$2</f>
        <v>WW</v>
      </c>
      <c r="T267" s="732" t="str">
        <f>'DICTIONARY-4'!$A$18</f>
        <v>Wolny wałek</v>
      </c>
      <c r="U267" s="734" t="s">
        <v>5750</v>
      </c>
      <c r="V267" s="735">
        <v>10</v>
      </c>
      <c r="W267" s="736"/>
      <c r="X267" s="737"/>
      <c r="Y267" s="738"/>
      <c r="Z267" s="739"/>
      <c r="AA267" s="739"/>
      <c r="AB267" s="740">
        <v>10</v>
      </c>
      <c r="AC267" s="741" t="str">
        <f>'DICTIONARY-5'!$A$11&amp;" 14"</f>
        <v>EN 558 szereg 14</v>
      </c>
      <c r="AD267" s="741" t="str">
        <f>'DICTIONARY-5'!$A$13</f>
        <v>woda pitna</v>
      </c>
      <c r="AE267" s="742">
        <v>50</v>
      </c>
      <c r="AF267" s="743"/>
      <c r="AG267" s="741" t="str">
        <f>'DICTIONARY-5'!$A$23</f>
        <v>powłoka epoksydowa</v>
      </c>
    </row>
    <row r="268" spans="1:33" x14ac:dyDescent="0.25">
      <c r="A268" s="842" t="s">
        <v>317</v>
      </c>
      <c r="B268" s="842" t="s">
        <v>3468</v>
      </c>
      <c r="C268" s="836">
        <v>1162</v>
      </c>
      <c r="D268" s="836"/>
      <c r="E268" s="836"/>
      <c r="F268" s="836"/>
      <c r="G268" s="496" t="s">
        <v>7789</v>
      </c>
      <c r="H268" s="797" t="str">
        <f>VLOOKUP(G268,SETTINGS!$B$7:$D$97,2,0)</f>
        <v>EKOplus</v>
      </c>
      <c r="I268" s="796">
        <f>VLOOKUP(G268,SETTINGS!$B$7:$D$97,3,0)</f>
        <v>0</v>
      </c>
      <c r="J268" s="670" t="str">
        <f>IFERROR(IF(CURRENCY.FORMAT_1=0,CONCATENATE(TEXT(FIXED(ROUND((C268/EXC.RATE_1),CURRENCY.FORMAT_1),CURRENCY.FORMAT_1,1),"# ##0;-# ##0"),",-"),FIXED(ROUND((C268/EXC.RATE_1),CURRENCY.FORMAT_1),CURRENCY.FORMAT_1,0)),'DICTIONARY-5'!$A$2)</f>
        <v>1 162,-</v>
      </c>
      <c r="K268" s="670" t="str">
        <f>IF(EXC.RATE_2=0,"",IFERROR(IF(CURRENCY.FORMAT_2=0,CONCATENATE(TEXT(FIXED(ROUND(IF(EXC.RATE.SWITCH=1,C268/EXC.RATE_2,C268*EXC.RATE_2),CURRENCY.FORMAT_2),CURRENCY.FORMAT_2,1),"# ##0;-# ##0"),",-"),FIXED(ROUND(IF(EXC.RATE.SWITCH=1,C268/EXC.RATE_2,C268*EXC.RATE_2),CURRENCY.FORMAT_2),CURRENCY.FORMAT_2,0)),'DICTIONARY-5'!$A$2))</f>
        <v/>
      </c>
      <c r="L268" s="670" t="str">
        <f>IFERROR(IF(CURRENCY.FORMAT_1=0,CONCATENATE(TEXT(FIXED(ROUND((C268*(1-I268)*(1-ADD.DISCOUNT)*(1+MAT.SURCHARGE)/EXC.RATE_1),CURRENCY.FORMAT_1),CURRENCY.FORMAT_1,1),"# ##0;-# ##0"),",-"),FIXED(ROUND((C268*(1-I268)*(1-ADD.DISCOUNT)*(1+MAT.SURCHARGE)/EXC.RATE_1),CURRENCY.FORMAT_1),CURRENCY.FORMAT_1,0)),'DICTIONARY-5'!$A$2)</f>
        <v>1 207,-</v>
      </c>
      <c r="M268" s="670" t="str">
        <f>IF(EXC.RATE_2=0,"",IFERROR(IF(CURRENCY.FORMAT_2=0,CONCATENATE(TEXT(FIXED(ROUND(IF(EXC.RATE.SWITCH=1,C268*(1-I268)*(1-ADD.DISCOUNT)*(1+MAT.SURCHARGE)/EXC.RATE_2,C268*(1-I268)*(1-ADD.DISCOUNT)*(1+MAT.SURCHARGE)*EXC.RATE_2),CURRENCY.FORMAT_2),CURRENCY.FORMAT_2,1),"# ##0;-# ##0"),",-"),FIXED(ROUND(IF(EXC.RATE.SWITCH=1,C268*(1-I268)*(1-ADD.DISCOUNT)*(1+MAT.SURCHARGE)/EXC.RATE_2,C268*(1-I268)*(1-ADD.DISCOUNT)*(1+MAT.SURCHARGE)*EXC.RATE_2),CURRENCY.FORMAT_2),CURRENCY.FORMAT_2,0)),'DICTIONARY-5'!$A$2))</f>
        <v/>
      </c>
      <c r="N268" s="544">
        <v>1</v>
      </c>
      <c r="O268" s="544"/>
      <c r="P268" s="731" t="str">
        <f>'DICTIONARY-3'!$A$2</f>
        <v>EKOplus</v>
      </c>
      <c r="Q268" s="732" t="str">
        <f>'DICTIONARY-3'!$A$187</f>
        <v>Zasuwa klinowa</v>
      </c>
      <c r="R268" s="732" t="str">
        <f>CONCATENATE('DICTIONARY-3'!$A$2," ",'DICTIONARY-6'!$A$4," ",'DICTIONARY-2'!$A$2,"200"," ",'DICTIONARY-2'!$A$3,"16"," ","R15",", ",'DICTIONARY-4'!$A$2)</f>
        <v>EKOplus Zasuwa z wrzec. wznosz. się DN200 PN16 R15, WW</v>
      </c>
      <c r="S268" s="733" t="str">
        <f>'DICTIONARY-4'!$A$2</f>
        <v>WW</v>
      </c>
      <c r="T268" s="732" t="str">
        <f>'DICTIONARY-4'!$A$18</f>
        <v>Wolny wałek</v>
      </c>
      <c r="U268" s="734" t="s">
        <v>5750</v>
      </c>
      <c r="V268" s="735">
        <v>16</v>
      </c>
      <c r="W268" s="736"/>
      <c r="X268" s="737"/>
      <c r="Y268" s="738"/>
      <c r="Z268" s="739"/>
      <c r="AA268" s="739"/>
      <c r="AB268" s="740">
        <v>16</v>
      </c>
      <c r="AC268" s="741" t="str">
        <f>'DICTIONARY-5'!$A$11&amp;" 14"</f>
        <v>EN 558 szereg 14</v>
      </c>
      <c r="AD268" s="741" t="str">
        <f>'DICTIONARY-5'!$A$13</f>
        <v>woda pitna</v>
      </c>
      <c r="AE268" s="742">
        <v>50</v>
      </c>
      <c r="AF268" s="743">
        <v>79</v>
      </c>
      <c r="AG268" s="741" t="str">
        <f>'DICTIONARY-5'!$A$23</f>
        <v>powłoka epoksydowa</v>
      </c>
    </row>
    <row r="269" spans="1:33" x14ac:dyDescent="0.25">
      <c r="A269" s="842" t="s">
        <v>319</v>
      </c>
      <c r="B269" s="842" t="str">
        <f>'DICTIONARY-5'!$A$2</f>
        <v>na zapytanie</v>
      </c>
      <c r="C269" s="836" t="s">
        <v>5967</v>
      </c>
      <c r="D269" s="836"/>
      <c r="E269" s="836"/>
      <c r="F269" s="836"/>
      <c r="G269" s="496" t="s">
        <v>7789</v>
      </c>
      <c r="H269" s="797" t="str">
        <f>VLOOKUP(G269,SETTINGS!$B$7:$D$97,2,0)</f>
        <v>EKOplus</v>
      </c>
      <c r="I269" s="796">
        <f>VLOOKUP(G269,SETTINGS!$B$7:$D$97,3,0)</f>
        <v>0</v>
      </c>
      <c r="J269" s="670" t="str">
        <f>IFERROR(IF(CURRENCY.FORMAT_1=0,CONCATENATE(TEXT(FIXED(ROUND((C269/EXC.RATE_1),CURRENCY.FORMAT_1),CURRENCY.FORMAT_1,1),"# ##0;-# ##0"),",-"),FIXED(ROUND((C269/EXC.RATE_1),CURRENCY.FORMAT_1),CURRENCY.FORMAT_1,0)),'DICTIONARY-5'!$A$2)</f>
        <v>na zapytanie</v>
      </c>
      <c r="K269" s="670" t="str">
        <f>IF(EXC.RATE_2=0,"",IFERROR(IF(CURRENCY.FORMAT_2=0,CONCATENATE(TEXT(FIXED(ROUND(IF(EXC.RATE.SWITCH=1,C269/EXC.RATE_2,C269*EXC.RATE_2),CURRENCY.FORMAT_2),CURRENCY.FORMAT_2,1),"# ##0;-# ##0"),",-"),FIXED(ROUND(IF(EXC.RATE.SWITCH=1,C269/EXC.RATE_2,C269*EXC.RATE_2),CURRENCY.FORMAT_2),CURRENCY.FORMAT_2,0)),'DICTIONARY-5'!$A$2))</f>
        <v/>
      </c>
      <c r="L269" s="670" t="str">
        <f>IFERROR(IF(CURRENCY.FORMAT_1=0,CONCATENATE(TEXT(FIXED(ROUND((C269*(1-I269)*(1-ADD.DISCOUNT)*(1+MAT.SURCHARGE)/EXC.RATE_1),CURRENCY.FORMAT_1),CURRENCY.FORMAT_1,1),"# ##0;-# ##0"),",-"),FIXED(ROUND((C269*(1-I269)*(1-ADD.DISCOUNT)*(1+MAT.SURCHARGE)/EXC.RATE_1),CURRENCY.FORMAT_1),CURRENCY.FORMAT_1,0)),'DICTIONARY-5'!$A$2)</f>
        <v>na zapytanie</v>
      </c>
      <c r="M269" s="670" t="str">
        <f>IF(EXC.RATE_2=0,"",IFERROR(IF(CURRENCY.FORMAT_2=0,CONCATENATE(TEXT(FIXED(ROUND(IF(EXC.RATE.SWITCH=1,C269*(1-I269)*(1-ADD.DISCOUNT)*(1+MAT.SURCHARGE)/EXC.RATE_2,C269*(1-I269)*(1-ADD.DISCOUNT)*(1+MAT.SURCHARGE)*EXC.RATE_2),CURRENCY.FORMAT_2),CURRENCY.FORMAT_2,1),"# ##0;-# ##0"),",-"),FIXED(ROUND(IF(EXC.RATE.SWITCH=1,C269*(1-I269)*(1-ADD.DISCOUNT)*(1+MAT.SURCHARGE)/EXC.RATE_2,C269*(1-I269)*(1-ADD.DISCOUNT)*(1+MAT.SURCHARGE)*EXC.RATE_2),CURRENCY.FORMAT_2),CURRENCY.FORMAT_2,0)),'DICTIONARY-5'!$A$2))</f>
        <v/>
      </c>
      <c r="N269" s="544">
        <v>1</v>
      </c>
      <c r="O269" s="544"/>
      <c r="P269" s="731" t="str">
        <f>'DICTIONARY-3'!$A$2</f>
        <v>EKOplus</v>
      </c>
      <c r="Q269" s="732" t="str">
        <f>'DICTIONARY-3'!$A$187</f>
        <v>Zasuwa klinowa</v>
      </c>
      <c r="R269" s="732" t="str">
        <f>CONCATENATE('DICTIONARY-3'!$A$2," ",'DICTIONARY-6'!$A$4," ",'DICTIONARY-2'!$A$2,"250"," ",'DICTIONARY-2'!$A$3,"10"," ","R15",", ",'DICTIONARY-4'!$A$2)</f>
        <v>EKOplus Zasuwa z wrzec. wznosz. się DN250 PN10 R15, WW</v>
      </c>
      <c r="S269" s="733" t="str">
        <f>'DICTIONARY-4'!$A$2</f>
        <v>WW</v>
      </c>
      <c r="T269" s="732" t="str">
        <f>'DICTIONARY-4'!$A$18</f>
        <v>Wolny wałek</v>
      </c>
      <c r="U269" s="734" t="s">
        <v>5751</v>
      </c>
      <c r="V269" s="735">
        <v>10</v>
      </c>
      <c r="W269" s="736"/>
      <c r="X269" s="737"/>
      <c r="Y269" s="738"/>
      <c r="Z269" s="739"/>
      <c r="AA269" s="739"/>
      <c r="AB269" s="740">
        <v>10</v>
      </c>
      <c r="AC269" s="741" t="str">
        <f>'DICTIONARY-5'!$A$11&amp;" 14"</f>
        <v>EN 558 szereg 14</v>
      </c>
      <c r="AD269" s="741" t="str">
        <f>'DICTIONARY-5'!$A$13</f>
        <v>woda pitna</v>
      </c>
      <c r="AE269" s="742">
        <v>50</v>
      </c>
      <c r="AF269" s="743"/>
      <c r="AG269" s="741" t="str">
        <f>'DICTIONARY-5'!$A$23</f>
        <v>powłoka epoksydowa</v>
      </c>
    </row>
    <row r="270" spans="1:33" x14ac:dyDescent="0.25">
      <c r="A270" s="842" t="s">
        <v>321</v>
      </c>
      <c r="B270" s="842" t="s">
        <v>3469</v>
      </c>
      <c r="C270" s="836">
        <v>2184</v>
      </c>
      <c r="D270" s="836"/>
      <c r="E270" s="836"/>
      <c r="F270" s="836"/>
      <c r="G270" s="496" t="s">
        <v>7789</v>
      </c>
      <c r="H270" s="797" t="str">
        <f>VLOOKUP(G270,SETTINGS!$B$7:$D$97,2,0)</f>
        <v>EKOplus</v>
      </c>
      <c r="I270" s="796">
        <f>VLOOKUP(G270,SETTINGS!$B$7:$D$97,3,0)</f>
        <v>0</v>
      </c>
      <c r="J270" s="670" t="str">
        <f>IFERROR(IF(CURRENCY.FORMAT_1=0,CONCATENATE(TEXT(FIXED(ROUND((C270/EXC.RATE_1),CURRENCY.FORMAT_1),CURRENCY.FORMAT_1,1),"# ##0;-# ##0"),",-"),FIXED(ROUND((C270/EXC.RATE_1),CURRENCY.FORMAT_1),CURRENCY.FORMAT_1,0)),'DICTIONARY-5'!$A$2)</f>
        <v>2 184,-</v>
      </c>
      <c r="K270" s="670" t="str">
        <f>IF(EXC.RATE_2=0,"",IFERROR(IF(CURRENCY.FORMAT_2=0,CONCATENATE(TEXT(FIXED(ROUND(IF(EXC.RATE.SWITCH=1,C270/EXC.RATE_2,C270*EXC.RATE_2),CURRENCY.FORMAT_2),CURRENCY.FORMAT_2,1),"# ##0;-# ##0"),",-"),FIXED(ROUND(IF(EXC.RATE.SWITCH=1,C270/EXC.RATE_2,C270*EXC.RATE_2),CURRENCY.FORMAT_2),CURRENCY.FORMAT_2,0)),'DICTIONARY-5'!$A$2))</f>
        <v/>
      </c>
      <c r="L270" s="670" t="str">
        <f>IFERROR(IF(CURRENCY.FORMAT_1=0,CONCATENATE(TEXT(FIXED(ROUND((C270*(1-I270)*(1-ADD.DISCOUNT)*(1+MAT.SURCHARGE)/EXC.RATE_1),CURRENCY.FORMAT_1),CURRENCY.FORMAT_1,1),"# ##0;-# ##0"),",-"),FIXED(ROUND((C270*(1-I270)*(1-ADD.DISCOUNT)*(1+MAT.SURCHARGE)/EXC.RATE_1),CURRENCY.FORMAT_1),CURRENCY.FORMAT_1,0)),'DICTIONARY-5'!$A$2)</f>
        <v>2 269,-</v>
      </c>
      <c r="M270" s="670" t="str">
        <f>IF(EXC.RATE_2=0,"",IFERROR(IF(CURRENCY.FORMAT_2=0,CONCATENATE(TEXT(FIXED(ROUND(IF(EXC.RATE.SWITCH=1,C270*(1-I270)*(1-ADD.DISCOUNT)*(1+MAT.SURCHARGE)/EXC.RATE_2,C270*(1-I270)*(1-ADD.DISCOUNT)*(1+MAT.SURCHARGE)*EXC.RATE_2),CURRENCY.FORMAT_2),CURRENCY.FORMAT_2,1),"# ##0;-# ##0"),",-"),FIXED(ROUND(IF(EXC.RATE.SWITCH=1,C270*(1-I270)*(1-ADD.DISCOUNT)*(1+MAT.SURCHARGE)/EXC.RATE_2,C270*(1-I270)*(1-ADD.DISCOUNT)*(1+MAT.SURCHARGE)*EXC.RATE_2),CURRENCY.FORMAT_2),CURRENCY.FORMAT_2,0)),'DICTIONARY-5'!$A$2))</f>
        <v/>
      </c>
      <c r="N270" s="544">
        <v>1</v>
      </c>
      <c r="O270" s="544"/>
      <c r="P270" s="731" t="str">
        <f>'DICTIONARY-3'!$A$2</f>
        <v>EKOplus</v>
      </c>
      <c r="Q270" s="732" t="str">
        <f>'DICTIONARY-3'!$A$187</f>
        <v>Zasuwa klinowa</v>
      </c>
      <c r="R270" s="732" t="str">
        <f>CONCATENATE('DICTIONARY-3'!$A$2," ",'DICTIONARY-6'!$A$4," ",'DICTIONARY-2'!$A$2,"250"," ",'DICTIONARY-2'!$A$3,"16"," ","R15",", ",'DICTIONARY-4'!$A$2)</f>
        <v>EKOplus Zasuwa z wrzec. wznosz. się DN250 PN16 R15, WW</v>
      </c>
      <c r="S270" s="733" t="str">
        <f>'DICTIONARY-4'!$A$2</f>
        <v>WW</v>
      </c>
      <c r="T270" s="732" t="str">
        <f>'DICTIONARY-4'!$A$18</f>
        <v>Wolny wałek</v>
      </c>
      <c r="U270" s="734" t="s">
        <v>5751</v>
      </c>
      <c r="V270" s="735">
        <v>16</v>
      </c>
      <c r="W270" s="736"/>
      <c r="X270" s="737"/>
      <c r="Y270" s="738"/>
      <c r="Z270" s="739"/>
      <c r="AA270" s="739"/>
      <c r="AB270" s="740">
        <v>16</v>
      </c>
      <c r="AC270" s="741" t="str">
        <f>'DICTIONARY-5'!$A$11&amp;" 14"</f>
        <v>EN 558 szereg 14</v>
      </c>
      <c r="AD270" s="741" t="str">
        <f>'DICTIONARY-5'!$A$13</f>
        <v>woda pitna</v>
      </c>
      <c r="AE270" s="742">
        <v>50</v>
      </c>
      <c r="AF270" s="743">
        <v>118</v>
      </c>
      <c r="AG270" s="741" t="str">
        <f>'DICTIONARY-5'!$A$23</f>
        <v>powłoka epoksydowa</v>
      </c>
    </row>
    <row r="271" spans="1:33" x14ac:dyDescent="0.25">
      <c r="A271" s="842" t="s">
        <v>323</v>
      </c>
      <c r="B271" s="842" t="str">
        <f>'DICTIONARY-5'!$A$2</f>
        <v>na zapytanie</v>
      </c>
      <c r="C271" s="836" t="s">
        <v>5967</v>
      </c>
      <c r="D271" s="836"/>
      <c r="E271" s="836"/>
      <c r="F271" s="836"/>
      <c r="G271" s="496" t="s">
        <v>7789</v>
      </c>
      <c r="H271" s="797" t="str">
        <f>VLOOKUP(G271,SETTINGS!$B$7:$D$97,2,0)</f>
        <v>EKOplus</v>
      </c>
      <c r="I271" s="796">
        <f>VLOOKUP(G271,SETTINGS!$B$7:$D$97,3,0)</f>
        <v>0</v>
      </c>
      <c r="J271" s="670" t="str">
        <f>IFERROR(IF(CURRENCY.FORMAT_1=0,CONCATENATE(TEXT(FIXED(ROUND((C271/EXC.RATE_1),CURRENCY.FORMAT_1),CURRENCY.FORMAT_1,1),"# ##0;-# ##0"),",-"),FIXED(ROUND((C271/EXC.RATE_1),CURRENCY.FORMAT_1),CURRENCY.FORMAT_1,0)),'DICTIONARY-5'!$A$2)</f>
        <v>na zapytanie</v>
      </c>
      <c r="K271" s="670" t="str">
        <f>IF(EXC.RATE_2=0,"",IFERROR(IF(CURRENCY.FORMAT_2=0,CONCATENATE(TEXT(FIXED(ROUND(IF(EXC.RATE.SWITCH=1,C271/EXC.RATE_2,C271*EXC.RATE_2),CURRENCY.FORMAT_2),CURRENCY.FORMAT_2,1),"# ##0;-# ##0"),",-"),FIXED(ROUND(IF(EXC.RATE.SWITCH=1,C271/EXC.RATE_2,C271*EXC.RATE_2),CURRENCY.FORMAT_2),CURRENCY.FORMAT_2,0)),'DICTIONARY-5'!$A$2))</f>
        <v/>
      </c>
      <c r="L271" s="670" t="str">
        <f>IFERROR(IF(CURRENCY.FORMAT_1=0,CONCATENATE(TEXT(FIXED(ROUND((C271*(1-I271)*(1-ADD.DISCOUNT)*(1+MAT.SURCHARGE)/EXC.RATE_1),CURRENCY.FORMAT_1),CURRENCY.FORMAT_1,1),"# ##0;-# ##0"),",-"),FIXED(ROUND((C271*(1-I271)*(1-ADD.DISCOUNT)*(1+MAT.SURCHARGE)/EXC.RATE_1),CURRENCY.FORMAT_1),CURRENCY.FORMAT_1,0)),'DICTIONARY-5'!$A$2)</f>
        <v>na zapytanie</v>
      </c>
      <c r="M271" s="670" t="str">
        <f>IF(EXC.RATE_2=0,"",IFERROR(IF(CURRENCY.FORMAT_2=0,CONCATENATE(TEXT(FIXED(ROUND(IF(EXC.RATE.SWITCH=1,C271*(1-I271)*(1-ADD.DISCOUNT)*(1+MAT.SURCHARGE)/EXC.RATE_2,C271*(1-I271)*(1-ADD.DISCOUNT)*(1+MAT.SURCHARGE)*EXC.RATE_2),CURRENCY.FORMAT_2),CURRENCY.FORMAT_2,1),"# ##0;-# ##0"),",-"),FIXED(ROUND(IF(EXC.RATE.SWITCH=1,C271*(1-I271)*(1-ADD.DISCOUNT)*(1+MAT.SURCHARGE)/EXC.RATE_2,C271*(1-I271)*(1-ADD.DISCOUNT)*(1+MAT.SURCHARGE)*EXC.RATE_2),CURRENCY.FORMAT_2),CURRENCY.FORMAT_2,0)),'DICTIONARY-5'!$A$2))</f>
        <v/>
      </c>
      <c r="N271" s="544">
        <v>1</v>
      </c>
      <c r="O271" s="544"/>
      <c r="P271" s="731" t="str">
        <f>'DICTIONARY-3'!$A$2</f>
        <v>EKOplus</v>
      </c>
      <c r="Q271" s="732" t="str">
        <f>'DICTIONARY-3'!$A$187</f>
        <v>Zasuwa klinowa</v>
      </c>
      <c r="R271" s="732" t="str">
        <f>CONCATENATE('DICTIONARY-3'!$A$2," ",'DICTIONARY-6'!$A$4," ",'DICTIONARY-2'!$A$2,"300"," ",'DICTIONARY-2'!$A$3,"10"," ","R15",", ",'DICTIONARY-4'!$A$2)</f>
        <v>EKOplus Zasuwa z wrzec. wznosz. się DN300 PN10 R15, WW</v>
      </c>
      <c r="S271" s="733" t="str">
        <f>'DICTIONARY-4'!$A$2</f>
        <v>WW</v>
      </c>
      <c r="T271" s="732" t="str">
        <f>'DICTIONARY-4'!$A$18</f>
        <v>Wolny wałek</v>
      </c>
      <c r="U271" s="734" t="s">
        <v>5752</v>
      </c>
      <c r="V271" s="735">
        <v>10</v>
      </c>
      <c r="W271" s="736"/>
      <c r="X271" s="737"/>
      <c r="Y271" s="738"/>
      <c r="Z271" s="739"/>
      <c r="AA271" s="739"/>
      <c r="AB271" s="740">
        <v>10</v>
      </c>
      <c r="AC271" s="741" t="str">
        <f>'DICTIONARY-5'!$A$11&amp;" 14"</f>
        <v>EN 558 szereg 14</v>
      </c>
      <c r="AD271" s="741" t="str">
        <f>'DICTIONARY-5'!$A$13</f>
        <v>woda pitna</v>
      </c>
      <c r="AE271" s="742">
        <v>50</v>
      </c>
      <c r="AF271" s="743"/>
      <c r="AG271" s="741" t="str">
        <f>'DICTIONARY-5'!$A$23</f>
        <v>powłoka epoksydowa</v>
      </c>
    </row>
    <row r="272" spans="1:33" x14ac:dyDescent="0.25">
      <c r="A272" s="842" t="s">
        <v>325</v>
      </c>
      <c r="B272" s="842" t="s">
        <v>3470</v>
      </c>
      <c r="C272" s="836">
        <v>2463</v>
      </c>
      <c r="D272" s="836"/>
      <c r="E272" s="836"/>
      <c r="F272" s="836"/>
      <c r="G272" s="496" t="s">
        <v>7789</v>
      </c>
      <c r="H272" s="797" t="str">
        <f>VLOOKUP(G272,SETTINGS!$B$7:$D$97,2,0)</f>
        <v>EKOplus</v>
      </c>
      <c r="I272" s="796">
        <f>VLOOKUP(G272,SETTINGS!$B$7:$D$97,3,0)</f>
        <v>0</v>
      </c>
      <c r="J272" s="670" t="str">
        <f>IFERROR(IF(CURRENCY.FORMAT_1=0,CONCATENATE(TEXT(FIXED(ROUND((C272/EXC.RATE_1),CURRENCY.FORMAT_1),CURRENCY.FORMAT_1,1),"# ##0;-# ##0"),",-"),FIXED(ROUND((C272/EXC.RATE_1),CURRENCY.FORMAT_1),CURRENCY.FORMAT_1,0)),'DICTIONARY-5'!$A$2)</f>
        <v>2 463,-</v>
      </c>
      <c r="K272" s="670" t="str">
        <f>IF(EXC.RATE_2=0,"",IFERROR(IF(CURRENCY.FORMAT_2=0,CONCATENATE(TEXT(FIXED(ROUND(IF(EXC.RATE.SWITCH=1,C272/EXC.RATE_2,C272*EXC.RATE_2),CURRENCY.FORMAT_2),CURRENCY.FORMAT_2,1),"# ##0;-# ##0"),",-"),FIXED(ROUND(IF(EXC.RATE.SWITCH=1,C272/EXC.RATE_2,C272*EXC.RATE_2),CURRENCY.FORMAT_2),CURRENCY.FORMAT_2,0)),'DICTIONARY-5'!$A$2))</f>
        <v/>
      </c>
      <c r="L272" s="670" t="str">
        <f>IFERROR(IF(CURRENCY.FORMAT_1=0,CONCATENATE(TEXT(FIXED(ROUND((C272*(1-I272)*(1-ADD.DISCOUNT)*(1+MAT.SURCHARGE)/EXC.RATE_1),CURRENCY.FORMAT_1),CURRENCY.FORMAT_1,1),"# ##0;-# ##0"),",-"),FIXED(ROUND((C272*(1-I272)*(1-ADD.DISCOUNT)*(1+MAT.SURCHARGE)/EXC.RATE_1),CURRENCY.FORMAT_1),CURRENCY.FORMAT_1,0)),'DICTIONARY-5'!$A$2)</f>
        <v>2 559,-</v>
      </c>
      <c r="M272" s="670" t="str">
        <f>IF(EXC.RATE_2=0,"",IFERROR(IF(CURRENCY.FORMAT_2=0,CONCATENATE(TEXT(FIXED(ROUND(IF(EXC.RATE.SWITCH=1,C272*(1-I272)*(1-ADD.DISCOUNT)*(1+MAT.SURCHARGE)/EXC.RATE_2,C272*(1-I272)*(1-ADD.DISCOUNT)*(1+MAT.SURCHARGE)*EXC.RATE_2),CURRENCY.FORMAT_2),CURRENCY.FORMAT_2,1),"# ##0;-# ##0"),",-"),FIXED(ROUND(IF(EXC.RATE.SWITCH=1,C272*(1-I272)*(1-ADD.DISCOUNT)*(1+MAT.SURCHARGE)/EXC.RATE_2,C272*(1-I272)*(1-ADD.DISCOUNT)*(1+MAT.SURCHARGE)*EXC.RATE_2),CURRENCY.FORMAT_2),CURRENCY.FORMAT_2,0)),'DICTIONARY-5'!$A$2))</f>
        <v/>
      </c>
      <c r="N272" s="544">
        <v>1</v>
      </c>
      <c r="O272" s="544"/>
      <c r="P272" s="731" t="str">
        <f>'DICTIONARY-3'!$A$2</f>
        <v>EKOplus</v>
      </c>
      <c r="Q272" s="732" t="str">
        <f>'DICTIONARY-3'!$A$187</f>
        <v>Zasuwa klinowa</v>
      </c>
      <c r="R272" s="732" t="str">
        <f>CONCATENATE('DICTIONARY-3'!$A$2," ",'DICTIONARY-6'!$A$4," ",'DICTIONARY-2'!$A$2,"300"," ",'DICTIONARY-2'!$A$3,"16"," ","R15",", ",'DICTIONARY-4'!$A$2)</f>
        <v>EKOplus Zasuwa z wrzec. wznosz. się DN300 PN16 R15, WW</v>
      </c>
      <c r="S272" s="733" t="str">
        <f>'DICTIONARY-4'!$A$2</f>
        <v>WW</v>
      </c>
      <c r="T272" s="732" t="str">
        <f>'DICTIONARY-4'!$A$18</f>
        <v>Wolny wałek</v>
      </c>
      <c r="U272" s="734" t="s">
        <v>5752</v>
      </c>
      <c r="V272" s="735">
        <v>16</v>
      </c>
      <c r="W272" s="736"/>
      <c r="X272" s="737"/>
      <c r="Y272" s="738"/>
      <c r="Z272" s="739"/>
      <c r="AA272" s="739"/>
      <c r="AB272" s="740">
        <v>16</v>
      </c>
      <c r="AC272" s="741" t="str">
        <f>'DICTIONARY-5'!$A$11&amp;" 14"</f>
        <v>EN 558 szereg 14</v>
      </c>
      <c r="AD272" s="741" t="str">
        <f>'DICTIONARY-5'!$A$13</f>
        <v>woda pitna</v>
      </c>
      <c r="AE272" s="742">
        <v>50</v>
      </c>
      <c r="AF272" s="743">
        <v>158.30000000000001</v>
      </c>
      <c r="AG272" s="741" t="str">
        <f>'DICTIONARY-5'!$A$23</f>
        <v>powłoka epoksydowa</v>
      </c>
    </row>
    <row r="273" spans="1:33" x14ac:dyDescent="0.25">
      <c r="A273" s="842" t="s">
        <v>327</v>
      </c>
      <c r="B273" s="842" t="str">
        <f>'DICTIONARY-5'!$A$2</f>
        <v>na zapytanie</v>
      </c>
      <c r="C273" s="836" t="s">
        <v>5967</v>
      </c>
      <c r="D273" s="836"/>
      <c r="E273" s="836"/>
      <c r="F273" s="836"/>
      <c r="G273" s="496" t="s">
        <v>7789</v>
      </c>
      <c r="H273" s="797" t="str">
        <f>VLOOKUP(G273,SETTINGS!$B$7:$D$97,2,0)</f>
        <v>EKOplus</v>
      </c>
      <c r="I273" s="796">
        <f>VLOOKUP(G273,SETTINGS!$B$7:$D$97,3,0)</f>
        <v>0</v>
      </c>
      <c r="J273" s="670" t="str">
        <f>IFERROR(IF(CURRENCY.FORMAT_1=0,CONCATENATE(TEXT(FIXED(ROUND((C273/EXC.RATE_1),CURRENCY.FORMAT_1),CURRENCY.FORMAT_1,1),"# ##0;-# ##0"),",-"),FIXED(ROUND((C273/EXC.RATE_1),CURRENCY.FORMAT_1),CURRENCY.FORMAT_1,0)),'DICTIONARY-5'!$A$2)</f>
        <v>na zapytanie</v>
      </c>
      <c r="K273" s="670" t="str">
        <f>IF(EXC.RATE_2=0,"",IFERROR(IF(CURRENCY.FORMAT_2=0,CONCATENATE(TEXT(FIXED(ROUND(IF(EXC.RATE.SWITCH=1,C273/EXC.RATE_2,C273*EXC.RATE_2),CURRENCY.FORMAT_2),CURRENCY.FORMAT_2,1),"# ##0;-# ##0"),",-"),FIXED(ROUND(IF(EXC.RATE.SWITCH=1,C273/EXC.RATE_2,C273*EXC.RATE_2),CURRENCY.FORMAT_2),CURRENCY.FORMAT_2,0)),'DICTIONARY-5'!$A$2))</f>
        <v/>
      </c>
      <c r="L273" s="670" t="str">
        <f>IFERROR(IF(CURRENCY.FORMAT_1=0,CONCATENATE(TEXT(FIXED(ROUND((C273*(1-I273)*(1-ADD.DISCOUNT)*(1+MAT.SURCHARGE)/EXC.RATE_1),CURRENCY.FORMAT_1),CURRENCY.FORMAT_1,1),"# ##0;-# ##0"),",-"),FIXED(ROUND((C273*(1-I273)*(1-ADD.DISCOUNT)*(1+MAT.SURCHARGE)/EXC.RATE_1),CURRENCY.FORMAT_1),CURRENCY.FORMAT_1,0)),'DICTIONARY-5'!$A$2)</f>
        <v>na zapytanie</v>
      </c>
      <c r="M273" s="670" t="str">
        <f>IF(EXC.RATE_2=0,"",IFERROR(IF(CURRENCY.FORMAT_2=0,CONCATENATE(TEXT(FIXED(ROUND(IF(EXC.RATE.SWITCH=1,C273*(1-I273)*(1-ADD.DISCOUNT)*(1+MAT.SURCHARGE)/EXC.RATE_2,C273*(1-I273)*(1-ADD.DISCOUNT)*(1+MAT.SURCHARGE)*EXC.RATE_2),CURRENCY.FORMAT_2),CURRENCY.FORMAT_2,1),"# ##0;-# ##0"),",-"),FIXED(ROUND(IF(EXC.RATE.SWITCH=1,C273*(1-I273)*(1-ADD.DISCOUNT)*(1+MAT.SURCHARGE)/EXC.RATE_2,C273*(1-I273)*(1-ADD.DISCOUNT)*(1+MAT.SURCHARGE)*EXC.RATE_2),CURRENCY.FORMAT_2),CURRENCY.FORMAT_2,0)),'DICTIONARY-5'!$A$2))</f>
        <v/>
      </c>
      <c r="N273" s="544">
        <v>1</v>
      </c>
      <c r="O273" s="544"/>
      <c r="P273" s="731" t="str">
        <f>'DICTIONARY-3'!$A$2</f>
        <v>EKOplus</v>
      </c>
      <c r="Q273" s="732" t="str">
        <f>'DICTIONARY-3'!$A$187</f>
        <v>Zasuwa klinowa</v>
      </c>
      <c r="R273" s="732" t="str">
        <f>CONCATENATE('DICTIONARY-3'!$A$2," ",'DICTIONARY-6'!$A$4," ",'DICTIONARY-2'!$A$2,"350"," ",'DICTIONARY-2'!$A$3,"10"," ","R15",", ",'DICTIONARY-4'!$A$2)</f>
        <v>EKOplus Zasuwa z wrzec. wznosz. się DN350 PN10 R15, WW</v>
      </c>
      <c r="S273" s="733" t="str">
        <f>'DICTIONARY-4'!$A$2</f>
        <v>WW</v>
      </c>
      <c r="T273" s="732" t="str">
        <f>'DICTIONARY-4'!$A$18</f>
        <v>Wolny wałek</v>
      </c>
      <c r="U273" s="734" t="s">
        <v>5753</v>
      </c>
      <c r="V273" s="735">
        <v>10</v>
      </c>
      <c r="W273" s="736"/>
      <c r="X273" s="737"/>
      <c r="Y273" s="738"/>
      <c r="Z273" s="739"/>
      <c r="AA273" s="739"/>
      <c r="AB273" s="740">
        <v>10</v>
      </c>
      <c r="AC273" s="741" t="str">
        <f>'DICTIONARY-5'!$A$11&amp;" 14"</f>
        <v>EN 558 szereg 14</v>
      </c>
      <c r="AD273" s="741" t="str">
        <f>'DICTIONARY-5'!$A$13</f>
        <v>woda pitna</v>
      </c>
      <c r="AE273" s="742">
        <v>50</v>
      </c>
      <c r="AF273" s="743"/>
      <c r="AG273" s="741" t="str">
        <f>'DICTIONARY-5'!$A$23</f>
        <v>powłoka epoksydowa</v>
      </c>
    </row>
    <row r="274" spans="1:33" x14ac:dyDescent="0.25">
      <c r="A274" s="842" t="s">
        <v>329</v>
      </c>
      <c r="B274" s="842" t="str">
        <f>'DICTIONARY-5'!$A$2</f>
        <v>na zapytanie</v>
      </c>
      <c r="C274" s="836" t="s">
        <v>5967</v>
      </c>
      <c r="D274" s="836"/>
      <c r="E274" s="836"/>
      <c r="F274" s="836"/>
      <c r="G274" s="496" t="s">
        <v>7789</v>
      </c>
      <c r="H274" s="797" t="str">
        <f>VLOOKUP(G274,SETTINGS!$B$7:$D$97,2,0)</f>
        <v>EKOplus</v>
      </c>
      <c r="I274" s="796">
        <f>VLOOKUP(G274,SETTINGS!$B$7:$D$97,3,0)</f>
        <v>0</v>
      </c>
      <c r="J274" s="670" t="str">
        <f>IFERROR(IF(CURRENCY.FORMAT_1=0,CONCATENATE(TEXT(FIXED(ROUND((C274/EXC.RATE_1),CURRENCY.FORMAT_1),CURRENCY.FORMAT_1,1),"# ##0;-# ##0"),",-"),FIXED(ROUND((C274/EXC.RATE_1),CURRENCY.FORMAT_1),CURRENCY.FORMAT_1,0)),'DICTIONARY-5'!$A$2)</f>
        <v>na zapytanie</v>
      </c>
      <c r="K274" s="670" t="str">
        <f>IF(EXC.RATE_2=0,"",IFERROR(IF(CURRENCY.FORMAT_2=0,CONCATENATE(TEXT(FIXED(ROUND(IF(EXC.RATE.SWITCH=1,C274/EXC.RATE_2,C274*EXC.RATE_2),CURRENCY.FORMAT_2),CURRENCY.FORMAT_2,1),"# ##0;-# ##0"),",-"),FIXED(ROUND(IF(EXC.RATE.SWITCH=1,C274/EXC.RATE_2,C274*EXC.RATE_2),CURRENCY.FORMAT_2),CURRENCY.FORMAT_2,0)),'DICTIONARY-5'!$A$2))</f>
        <v/>
      </c>
      <c r="L274" s="670" t="str">
        <f>IFERROR(IF(CURRENCY.FORMAT_1=0,CONCATENATE(TEXT(FIXED(ROUND((C274*(1-I274)*(1-ADD.DISCOUNT)*(1+MAT.SURCHARGE)/EXC.RATE_1),CURRENCY.FORMAT_1),CURRENCY.FORMAT_1,1),"# ##0;-# ##0"),",-"),FIXED(ROUND((C274*(1-I274)*(1-ADD.DISCOUNT)*(1+MAT.SURCHARGE)/EXC.RATE_1),CURRENCY.FORMAT_1),CURRENCY.FORMAT_1,0)),'DICTIONARY-5'!$A$2)</f>
        <v>na zapytanie</v>
      </c>
      <c r="M274" s="670" t="str">
        <f>IF(EXC.RATE_2=0,"",IFERROR(IF(CURRENCY.FORMAT_2=0,CONCATENATE(TEXT(FIXED(ROUND(IF(EXC.RATE.SWITCH=1,C274*(1-I274)*(1-ADD.DISCOUNT)*(1+MAT.SURCHARGE)/EXC.RATE_2,C274*(1-I274)*(1-ADD.DISCOUNT)*(1+MAT.SURCHARGE)*EXC.RATE_2),CURRENCY.FORMAT_2),CURRENCY.FORMAT_2,1),"# ##0;-# ##0"),",-"),FIXED(ROUND(IF(EXC.RATE.SWITCH=1,C274*(1-I274)*(1-ADD.DISCOUNT)*(1+MAT.SURCHARGE)/EXC.RATE_2,C274*(1-I274)*(1-ADD.DISCOUNT)*(1+MAT.SURCHARGE)*EXC.RATE_2),CURRENCY.FORMAT_2),CURRENCY.FORMAT_2,0)),'DICTIONARY-5'!$A$2))</f>
        <v/>
      </c>
      <c r="N274" s="544">
        <v>1</v>
      </c>
      <c r="O274" s="544"/>
      <c r="P274" s="731" t="str">
        <f>'DICTIONARY-3'!$A$2</f>
        <v>EKOplus</v>
      </c>
      <c r="Q274" s="732" t="str">
        <f>'DICTIONARY-3'!$A$187</f>
        <v>Zasuwa klinowa</v>
      </c>
      <c r="R274" s="732" t="str">
        <f>CONCATENATE('DICTIONARY-3'!$A$2," ",'DICTIONARY-6'!$A$4," ",'DICTIONARY-2'!$A$2,"350"," ",'DICTIONARY-2'!$A$3,"16"," ","R15",", ",'DICTIONARY-4'!$A$2)</f>
        <v>EKOplus Zasuwa z wrzec. wznosz. się DN350 PN16 R15, WW</v>
      </c>
      <c r="S274" s="733" t="str">
        <f>'DICTIONARY-4'!$A$2</f>
        <v>WW</v>
      </c>
      <c r="T274" s="732" t="str">
        <f>'DICTIONARY-4'!$A$18</f>
        <v>Wolny wałek</v>
      </c>
      <c r="U274" s="734" t="s">
        <v>5753</v>
      </c>
      <c r="V274" s="735">
        <v>16</v>
      </c>
      <c r="W274" s="736"/>
      <c r="X274" s="737"/>
      <c r="Y274" s="738"/>
      <c r="Z274" s="739"/>
      <c r="AA274" s="739"/>
      <c r="AB274" s="740">
        <v>16</v>
      </c>
      <c r="AC274" s="741" t="str">
        <f>'DICTIONARY-5'!$A$11&amp;" 14"</f>
        <v>EN 558 szereg 14</v>
      </c>
      <c r="AD274" s="741" t="str">
        <f>'DICTIONARY-5'!$A$13</f>
        <v>woda pitna</v>
      </c>
      <c r="AE274" s="742">
        <v>50</v>
      </c>
      <c r="AF274" s="743"/>
      <c r="AG274" s="741" t="str">
        <f>'DICTIONARY-5'!$A$23</f>
        <v>powłoka epoksydowa</v>
      </c>
    </row>
    <row r="275" spans="1:33" x14ac:dyDescent="0.25">
      <c r="A275" s="842" t="s">
        <v>331</v>
      </c>
      <c r="B275" s="842" t="str">
        <f>'DICTIONARY-5'!$A$2</f>
        <v>na zapytanie</v>
      </c>
      <c r="C275" s="836" t="s">
        <v>5967</v>
      </c>
      <c r="D275" s="836"/>
      <c r="E275" s="836"/>
      <c r="F275" s="836"/>
      <c r="G275" s="496" t="s">
        <v>7789</v>
      </c>
      <c r="H275" s="797" t="str">
        <f>VLOOKUP(G275,SETTINGS!$B$7:$D$97,2,0)</f>
        <v>EKOplus</v>
      </c>
      <c r="I275" s="796">
        <f>VLOOKUP(G275,SETTINGS!$B$7:$D$97,3,0)</f>
        <v>0</v>
      </c>
      <c r="J275" s="670" t="str">
        <f>IFERROR(IF(CURRENCY.FORMAT_1=0,CONCATENATE(TEXT(FIXED(ROUND((C275/EXC.RATE_1),CURRENCY.FORMAT_1),CURRENCY.FORMAT_1,1),"# ##0;-# ##0"),",-"),FIXED(ROUND((C275/EXC.RATE_1),CURRENCY.FORMAT_1),CURRENCY.FORMAT_1,0)),'DICTIONARY-5'!$A$2)</f>
        <v>na zapytanie</v>
      </c>
      <c r="K275" s="670" t="str">
        <f>IF(EXC.RATE_2=0,"",IFERROR(IF(CURRENCY.FORMAT_2=0,CONCATENATE(TEXT(FIXED(ROUND(IF(EXC.RATE.SWITCH=1,C275/EXC.RATE_2,C275*EXC.RATE_2),CURRENCY.FORMAT_2),CURRENCY.FORMAT_2,1),"# ##0;-# ##0"),",-"),FIXED(ROUND(IF(EXC.RATE.SWITCH=1,C275/EXC.RATE_2,C275*EXC.RATE_2),CURRENCY.FORMAT_2),CURRENCY.FORMAT_2,0)),'DICTIONARY-5'!$A$2))</f>
        <v/>
      </c>
      <c r="L275" s="670" t="str">
        <f>IFERROR(IF(CURRENCY.FORMAT_1=0,CONCATENATE(TEXT(FIXED(ROUND((C275*(1-I275)*(1-ADD.DISCOUNT)*(1+MAT.SURCHARGE)/EXC.RATE_1),CURRENCY.FORMAT_1),CURRENCY.FORMAT_1,1),"# ##0;-# ##0"),",-"),FIXED(ROUND((C275*(1-I275)*(1-ADD.DISCOUNT)*(1+MAT.SURCHARGE)/EXC.RATE_1),CURRENCY.FORMAT_1),CURRENCY.FORMAT_1,0)),'DICTIONARY-5'!$A$2)</f>
        <v>na zapytanie</v>
      </c>
      <c r="M275" s="670" t="str">
        <f>IF(EXC.RATE_2=0,"",IFERROR(IF(CURRENCY.FORMAT_2=0,CONCATENATE(TEXT(FIXED(ROUND(IF(EXC.RATE.SWITCH=1,C275*(1-I275)*(1-ADD.DISCOUNT)*(1+MAT.SURCHARGE)/EXC.RATE_2,C275*(1-I275)*(1-ADD.DISCOUNT)*(1+MAT.SURCHARGE)*EXC.RATE_2),CURRENCY.FORMAT_2),CURRENCY.FORMAT_2,1),"# ##0;-# ##0"),",-"),FIXED(ROUND(IF(EXC.RATE.SWITCH=1,C275*(1-I275)*(1-ADD.DISCOUNT)*(1+MAT.SURCHARGE)/EXC.RATE_2,C275*(1-I275)*(1-ADD.DISCOUNT)*(1+MAT.SURCHARGE)*EXC.RATE_2),CURRENCY.FORMAT_2),CURRENCY.FORMAT_2,0)),'DICTIONARY-5'!$A$2))</f>
        <v/>
      </c>
      <c r="N275" s="544">
        <v>1</v>
      </c>
      <c r="O275" s="544"/>
      <c r="P275" s="731" t="str">
        <f>'DICTIONARY-3'!$A$2</f>
        <v>EKOplus</v>
      </c>
      <c r="Q275" s="732" t="str">
        <f>'DICTIONARY-3'!$A$187</f>
        <v>Zasuwa klinowa</v>
      </c>
      <c r="R275" s="732" t="str">
        <f>CONCATENATE('DICTIONARY-3'!$A$2," ",'DICTIONARY-6'!$A$4," ",'DICTIONARY-2'!$A$2,"400"," ",'DICTIONARY-2'!$A$3,"10"," ","R15",", ",'DICTIONARY-4'!$A$2)</f>
        <v>EKOplus Zasuwa z wrzec. wznosz. się DN400 PN10 R15, WW</v>
      </c>
      <c r="S275" s="733" t="str">
        <f>'DICTIONARY-4'!$A$2</f>
        <v>WW</v>
      </c>
      <c r="T275" s="732" t="str">
        <f>'DICTIONARY-4'!$A$18</f>
        <v>Wolny wałek</v>
      </c>
      <c r="U275" s="734" t="s">
        <v>5754</v>
      </c>
      <c r="V275" s="735">
        <v>10</v>
      </c>
      <c r="W275" s="736"/>
      <c r="X275" s="737"/>
      <c r="Y275" s="738"/>
      <c r="Z275" s="739"/>
      <c r="AA275" s="739"/>
      <c r="AB275" s="740">
        <v>10</v>
      </c>
      <c r="AC275" s="741" t="str">
        <f>'DICTIONARY-5'!$A$11&amp;" 14"</f>
        <v>EN 558 szereg 14</v>
      </c>
      <c r="AD275" s="741" t="str">
        <f>'DICTIONARY-5'!$A$13</f>
        <v>woda pitna</v>
      </c>
      <c r="AE275" s="742">
        <v>50</v>
      </c>
      <c r="AF275" s="743"/>
      <c r="AG275" s="741" t="str">
        <f>'DICTIONARY-5'!$A$23</f>
        <v>powłoka epoksydowa</v>
      </c>
    </row>
    <row r="276" spans="1:33" x14ac:dyDescent="0.25">
      <c r="A276" s="842" t="s">
        <v>333</v>
      </c>
      <c r="B276" s="842" t="str">
        <f>'DICTIONARY-5'!$A$2</f>
        <v>na zapytanie</v>
      </c>
      <c r="C276" s="836" t="s">
        <v>5967</v>
      </c>
      <c r="D276" s="836"/>
      <c r="E276" s="836"/>
      <c r="F276" s="836"/>
      <c r="G276" s="496" t="s">
        <v>7789</v>
      </c>
      <c r="H276" s="797" t="str">
        <f>VLOOKUP(G276,SETTINGS!$B$7:$D$97,2,0)</f>
        <v>EKOplus</v>
      </c>
      <c r="I276" s="796">
        <f>VLOOKUP(G276,SETTINGS!$B$7:$D$97,3,0)</f>
        <v>0</v>
      </c>
      <c r="J276" s="670" t="str">
        <f>IFERROR(IF(CURRENCY.FORMAT_1=0,CONCATENATE(TEXT(FIXED(ROUND((C276/EXC.RATE_1),CURRENCY.FORMAT_1),CURRENCY.FORMAT_1,1),"# ##0;-# ##0"),",-"),FIXED(ROUND((C276/EXC.RATE_1),CURRENCY.FORMAT_1),CURRENCY.FORMAT_1,0)),'DICTIONARY-5'!$A$2)</f>
        <v>na zapytanie</v>
      </c>
      <c r="K276" s="670" t="str">
        <f>IF(EXC.RATE_2=0,"",IFERROR(IF(CURRENCY.FORMAT_2=0,CONCATENATE(TEXT(FIXED(ROUND(IF(EXC.RATE.SWITCH=1,C276/EXC.RATE_2,C276*EXC.RATE_2),CURRENCY.FORMAT_2),CURRENCY.FORMAT_2,1),"# ##0;-# ##0"),",-"),FIXED(ROUND(IF(EXC.RATE.SWITCH=1,C276/EXC.RATE_2,C276*EXC.RATE_2),CURRENCY.FORMAT_2),CURRENCY.FORMAT_2,0)),'DICTIONARY-5'!$A$2))</f>
        <v/>
      </c>
      <c r="L276" s="670" t="str">
        <f>IFERROR(IF(CURRENCY.FORMAT_1=0,CONCATENATE(TEXT(FIXED(ROUND((C276*(1-I276)*(1-ADD.DISCOUNT)*(1+MAT.SURCHARGE)/EXC.RATE_1),CURRENCY.FORMAT_1),CURRENCY.FORMAT_1,1),"# ##0;-# ##0"),",-"),FIXED(ROUND((C276*(1-I276)*(1-ADD.DISCOUNT)*(1+MAT.SURCHARGE)/EXC.RATE_1),CURRENCY.FORMAT_1),CURRENCY.FORMAT_1,0)),'DICTIONARY-5'!$A$2)</f>
        <v>na zapytanie</v>
      </c>
      <c r="M276" s="670" t="str">
        <f>IF(EXC.RATE_2=0,"",IFERROR(IF(CURRENCY.FORMAT_2=0,CONCATENATE(TEXT(FIXED(ROUND(IF(EXC.RATE.SWITCH=1,C276*(1-I276)*(1-ADD.DISCOUNT)*(1+MAT.SURCHARGE)/EXC.RATE_2,C276*(1-I276)*(1-ADD.DISCOUNT)*(1+MAT.SURCHARGE)*EXC.RATE_2),CURRENCY.FORMAT_2),CURRENCY.FORMAT_2,1),"# ##0;-# ##0"),",-"),FIXED(ROUND(IF(EXC.RATE.SWITCH=1,C276*(1-I276)*(1-ADD.DISCOUNT)*(1+MAT.SURCHARGE)/EXC.RATE_2,C276*(1-I276)*(1-ADD.DISCOUNT)*(1+MAT.SURCHARGE)*EXC.RATE_2),CURRENCY.FORMAT_2),CURRENCY.FORMAT_2,0)),'DICTIONARY-5'!$A$2))</f>
        <v/>
      </c>
      <c r="N276" s="544">
        <v>1</v>
      </c>
      <c r="O276" s="544"/>
      <c r="P276" s="731" t="str">
        <f>'DICTIONARY-3'!$A$2</f>
        <v>EKOplus</v>
      </c>
      <c r="Q276" s="732" t="str">
        <f>'DICTIONARY-3'!$A$187</f>
        <v>Zasuwa klinowa</v>
      </c>
      <c r="R276" s="732" t="str">
        <f>CONCATENATE('DICTIONARY-3'!$A$2," ",'DICTIONARY-6'!$A$4," ",'DICTIONARY-2'!$A$2,"400"," ",'DICTIONARY-2'!$A$3,"16"," ","R15",", ",'DICTIONARY-4'!$A$2)</f>
        <v>EKOplus Zasuwa z wrzec. wznosz. się DN400 PN16 R15, WW</v>
      </c>
      <c r="S276" s="733" t="str">
        <f>'DICTIONARY-4'!$A$2</f>
        <v>WW</v>
      </c>
      <c r="T276" s="732" t="str">
        <f>'DICTIONARY-4'!$A$18</f>
        <v>Wolny wałek</v>
      </c>
      <c r="U276" s="734" t="s">
        <v>5754</v>
      </c>
      <c r="V276" s="735">
        <v>16</v>
      </c>
      <c r="W276" s="736"/>
      <c r="X276" s="737"/>
      <c r="Y276" s="738"/>
      <c r="Z276" s="739"/>
      <c r="AA276" s="739"/>
      <c r="AB276" s="740">
        <v>16</v>
      </c>
      <c r="AC276" s="741" t="str">
        <f>'DICTIONARY-5'!$A$11&amp;" 14"</f>
        <v>EN 558 szereg 14</v>
      </c>
      <c r="AD276" s="741" t="str">
        <f>'DICTIONARY-5'!$A$13</f>
        <v>woda pitna</v>
      </c>
      <c r="AE276" s="742">
        <v>50</v>
      </c>
      <c r="AF276" s="743"/>
      <c r="AG276" s="741" t="str">
        <f>'DICTIONARY-5'!$A$23</f>
        <v>powłoka epoksydowa</v>
      </c>
    </row>
    <row r="277" spans="1:33" x14ac:dyDescent="0.25">
      <c r="A277" s="842" t="s">
        <v>335</v>
      </c>
      <c r="B277" s="842" t="str">
        <f>'DICTIONARY-5'!$A$2</f>
        <v>na zapytanie</v>
      </c>
      <c r="C277" s="836" t="s">
        <v>5967</v>
      </c>
      <c r="D277" s="836"/>
      <c r="E277" s="836"/>
      <c r="F277" s="836"/>
      <c r="G277" s="496" t="s">
        <v>7789</v>
      </c>
      <c r="H277" s="797" t="str">
        <f>VLOOKUP(G277,SETTINGS!$B$7:$D$97,2,0)</f>
        <v>EKOplus</v>
      </c>
      <c r="I277" s="796">
        <f>VLOOKUP(G277,SETTINGS!$B$7:$D$97,3,0)</f>
        <v>0</v>
      </c>
      <c r="J277" s="670" t="str">
        <f>IFERROR(IF(CURRENCY.FORMAT_1=0,CONCATENATE(TEXT(FIXED(ROUND((C277/EXC.RATE_1),CURRENCY.FORMAT_1),CURRENCY.FORMAT_1,1),"# ##0;-# ##0"),",-"),FIXED(ROUND((C277/EXC.RATE_1),CURRENCY.FORMAT_1),CURRENCY.FORMAT_1,0)),'DICTIONARY-5'!$A$2)</f>
        <v>na zapytanie</v>
      </c>
      <c r="K277" s="670" t="str">
        <f>IF(EXC.RATE_2=0,"",IFERROR(IF(CURRENCY.FORMAT_2=0,CONCATENATE(TEXT(FIXED(ROUND(IF(EXC.RATE.SWITCH=1,C277/EXC.RATE_2,C277*EXC.RATE_2),CURRENCY.FORMAT_2),CURRENCY.FORMAT_2,1),"# ##0;-# ##0"),",-"),FIXED(ROUND(IF(EXC.RATE.SWITCH=1,C277/EXC.RATE_2,C277*EXC.RATE_2),CURRENCY.FORMAT_2),CURRENCY.FORMAT_2,0)),'DICTIONARY-5'!$A$2))</f>
        <v/>
      </c>
      <c r="L277" s="670" t="str">
        <f>IFERROR(IF(CURRENCY.FORMAT_1=0,CONCATENATE(TEXT(FIXED(ROUND((C277*(1-I277)*(1-ADD.DISCOUNT)*(1+MAT.SURCHARGE)/EXC.RATE_1),CURRENCY.FORMAT_1),CURRENCY.FORMAT_1,1),"# ##0;-# ##0"),",-"),FIXED(ROUND((C277*(1-I277)*(1-ADD.DISCOUNT)*(1+MAT.SURCHARGE)/EXC.RATE_1),CURRENCY.FORMAT_1),CURRENCY.FORMAT_1,0)),'DICTIONARY-5'!$A$2)</f>
        <v>na zapytanie</v>
      </c>
      <c r="M277" s="670" t="str">
        <f>IF(EXC.RATE_2=0,"",IFERROR(IF(CURRENCY.FORMAT_2=0,CONCATENATE(TEXT(FIXED(ROUND(IF(EXC.RATE.SWITCH=1,C277*(1-I277)*(1-ADD.DISCOUNT)*(1+MAT.SURCHARGE)/EXC.RATE_2,C277*(1-I277)*(1-ADD.DISCOUNT)*(1+MAT.SURCHARGE)*EXC.RATE_2),CURRENCY.FORMAT_2),CURRENCY.FORMAT_2,1),"# ##0;-# ##0"),",-"),FIXED(ROUND(IF(EXC.RATE.SWITCH=1,C277*(1-I277)*(1-ADD.DISCOUNT)*(1+MAT.SURCHARGE)/EXC.RATE_2,C277*(1-I277)*(1-ADD.DISCOUNT)*(1+MAT.SURCHARGE)*EXC.RATE_2),CURRENCY.FORMAT_2),CURRENCY.FORMAT_2,0)),'DICTIONARY-5'!$A$2))</f>
        <v/>
      </c>
      <c r="N277" s="544">
        <v>1</v>
      </c>
      <c r="O277" s="544"/>
      <c r="P277" s="731" t="str">
        <f>'DICTIONARY-3'!$A$2</f>
        <v>EKOplus</v>
      </c>
      <c r="Q277" s="732" t="str">
        <f>'DICTIONARY-3'!$A$187</f>
        <v>Zasuwa klinowa</v>
      </c>
      <c r="R277" s="732" t="str">
        <f>CONCATENATE('DICTIONARY-3'!$A$2," ",'DICTIONARY-6'!$A$4," ",'DICTIONARY-2'!$A$2,"500"," ",'DICTIONARY-2'!$A$3,"10"," ","R15",", ",'DICTIONARY-4'!$A$2)</f>
        <v>EKOplus Zasuwa z wrzec. wznosz. się DN500 PN10 R15, WW</v>
      </c>
      <c r="S277" s="733" t="str">
        <f>'DICTIONARY-4'!$A$2</f>
        <v>WW</v>
      </c>
      <c r="T277" s="732" t="str">
        <f>'DICTIONARY-4'!$A$18</f>
        <v>Wolny wałek</v>
      </c>
      <c r="U277" s="734" t="s">
        <v>5756</v>
      </c>
      <c r="V277" s="735">
        <v>10</v>
      </c>
      <c r="W277" s="736"/>
      <c r="X277" s="737"/>
      <c r="Y277" s="738"/>
      <c r="Z277" s="739"/>
      <c r="AA277" s="739"/>
      <c r="AB277" s="740">
        <v>10</v>
      </c>
      <c r="AC277" s="741" t="str">
        <f>'DICTIONARY-5'!$A$11&amp;" 14"</f>
        <v>EN 558 szereg 14</v>
      </c>
      <c r="AD277" s="741" t="str">
        <f>'DICTIONARY-5'!$A$13</f>
        <v>woda pitna</v>
      </c>
      <c r="AE277" s="742">
        <v>50</v>
      </c>
      <c r="AF277" s="743"/>
      <c r="AG277" s="741" t="str">
        <f>'DICTIONARY-5'!$A$23</f>
        <v>powłoka epoksydowa</v>
      </c>
    </row>
    <row r="278" spans="1:33" x14ac:dyDescent="0.25">
      <c r="A278" s="842" t="s">
        <v>337</v>
      </c>
      <c r="B278" s="842" t="str">
        <f>'DICTIONARY-5'!$A$2</f>
        <v>na zapytanie</v>
      </c>
      <c r="C278" s="836" t="s">
        <v>5967</v>
      </c>
      <c r="D278" s="836"/>
      <c r="E278" s="836"/>
      <c r="F278" s="836"/>
      <c r="G278" s="496" t="s">
        <v>7789</v>
      </c>
      <c r="H278" s="797" t="str">
        <f>VLOOKUP(G278,SETTINGS!$B$7:$D$97,2,0)</f>
        <v>EKOplus</v>
      </c>
      <c r="I278" s="796">
        <f>VLOOKUP(G278,SETTINGS!$B$7:$D$97,3,0)</f>
        <v>0</v>
      </c>
      <c r="J278" s="670" t="str">
        <f>IFERROR(IF(CURRENCY.FORMAT_1=0,CONCATENATE(TEXT(FIXED(ROUND((C278/EXC.RATE_1),CURRENCY.FORMAT_1),CURRENCY.FORMAT_1,1),"# ##0;-# ##0"),",-"),FIXED(ROUND((C278/EXC.RATE_1),CURRENCY.FORMAT_1),CURRENCY.FORMAT_1,0)),'DICTIONARY-5'!$A$2)</f>
        <v>na zapytanie</v>
      </c>
      <c r="K278" s="670" t="str">
        <f>IF(EXC.RATE_2=0,"",IFERROR(IF(CURRENCY.FORMAT_2=0,CONCATENATE(TEXT(FIXED(ROUND(IF(EXC.RATE.SWITCH=1,C278/EXC.RATE_2,C278*EXC.RATE_2),CURRENCY.FORMAT_2),CURRENCY.FORMAT_2,1),"# ##0;-# ##0"),",-"),FIXED(ROUND(IF(EXC.RATE.SWITCH=1,C278/EXC.RATE_2,C278*EXC.RATE_2),CURRENCY.FORMAT_2),CURRENCY.FORMAT_2,0)),'DICTIONARY-5'!$A$2))</f>
        <v/>
      </c>
      <c r="L278" s="670" t="str">
        <f>IFERROR(IF(CURRENCY.FORMAT_1=0,CONCATENATE(TEXT(FIXED(ROUND((C278*(1-I278)*(1-ADD.DISCOUNT)*(1+MAT.SURCHARGE)/EXC.RATE_1),CURRENCY.FORMAT_1),CURRENCY.FORMAT_1,1),"# ##0;-# ##0"),",-"),FIXED(ROUND((C278*(1-I278)*(1-ADD.DISCOUNT)*(1+MAT.SURCHARGE)/EXC.RATE_1),CURRENCY.FORMAT_1),CURRENCY.FORMAT_1,0)),'DICTIONARY-5'!$A$2)</f>
        <v>na zapytanie</v>
      </c>
      <c r="M278" s="670" t="str">
        <f>IF(EXC.RATE_2=0,"",IFERROR(IF(CURRENCY.FORMAT_2=0,CONCATENATE(TEXT(FIXED(ROUND(IF(EXC.RATE.SWITCH=1,C278*(1-I278)*(1-ADD.DISCOUNT)*(1+MAT.SURCHARGE)/EXC.RATE_2,C278*(1-I278)*(1-ADD.DISCOUNT)*(1+MAT.SURCHARGE)*EXC.RATE_2),CURRENCY.FORMAT_2),CURRENCY.FORMAT_2,1),"# ##0;-# ##0"),",-"),FIXED(ROUND(IF(EXC.RATE.SWITCH=1,C278*(1-I278)*(1-ADD.DISCOUNT)*(1+MAT.SURCHARGE)/EXC.RATE_2,C278*(1-I278)*(1-ADD.DISCOUNT)*(1+MAT.SURCHARGE)*EXC.RATE_2),CURRENCY.FORMAT_2),CURRENCY.FORMAT_2,0)),'DICTIONARY-5'!$A$2))</f>
        <v/>
      </c>
      <c r="N278" s="544">
        <v>1</v>
      </c>
      <c r="O278" s="544"/>
      <c r="P278" s="731" t="str">
        <f>'DICTIONARY-3'!$A$2</f>
        <v>EKOplus</v>
      </c>
      <c r="Q278" s="732" t="str">
        <f>'DICTIONARY-3'!$A$187</f>
        <v>Zasuwa klinowa</v>
      </c>
      <c r="R278" s="732" t="str">
        <f>CONCATENATE('DICTIONARY-3'!$A$2," ",'DICTIONARY-6'!$A$4," ",'DICTIONARY-2'!$A$2,"500"," ",'DICTIONARY-2'!$A$3,"16"," ","R15",", ",'DICTIONARY-4'!$A$2)</f>
        <v>EKOplus Zasuwa z wrzec. wznosz. się DN500 PN16 R15, WW</v>
      </c>
      <c r="S278" s="733" t="str">
        <f>'DICTIONARY-4'!$A$2</f>
        <v>WW</v>
      </c>
      <c r="T278" s="732" t="str">
        <f>'DICTIONARY-4'!$A$18</f>
        <v>Wolny wałek</v>
      </c>
      <c r="U278" s="734" t="s">
        <v>5756</v>
      </c>
      <c r="V278" s="735">
        <v>16</v>
      </c>
      <c r="W278" s="736"/>
      <c r="X278" s="737"/>
      <c r="Y278" s="738"/>
      <c r="Z278" s="739"/>
      <c r="AA278" s="739"/>
      <c r="AB278" s="740">
        <v>16</v>
      </c>
      <c r="AC278" s="741" t="str">
        <f>'DICTIONARY-5'!$A$11&amp;" 14"</f>
        <v>EN 558 szereg 14</v>
      </c>
      <c r="AD278" s="741" t="str">
        <f>'DICTIONARY-5'!$A$13</f>
        <v>woda pitna</v>
      </c>
      <c r="AE278" s="742">
        <v>50</v>
      </c>
      <c r="AF278" s="743"/>
      <c r="AG278" s="741" t="str">
        <f>'DICTIONARY-5'!$A$23</f>
        <v>powłoka epoksydowa</v>
      </c>
    </row>
    <row r="279" spans="1:33" x14ac:dyDescent="0.25">
      <c r="A279" s="842" t="s">
        <v>338</v>
      </c>
      <c r="B279" s="842" t="str">
        <f>'DICTIONARY-5'!$A$2</f>
        <v>na zapytanie</v>
      </c>
      <c r="C279" s="836" t="s">
        <v>5967</v>
      </c>
      <c r="D279" s="836"/>
      <c r="E279" s="836"/>
      <c r="F279" s="836"/>
      <c r="G279" s="496" t="s">
        <v>7789</v>
      </c>
      <c r="H279" s="797" t="str">
        <f>VLOOKUP(G279,SETTINGS!$B$7:$D$97,2,0)</f>
        <v>EKOplus</v>
      </c>
      <c r="I279" s="796">
        <f>VLOOKUP(G279,SETTINGS!$B$7:$D$97,3,0)</f>
        <v>0</v>
      </c>
      <c r="J279" s="670" t="str">
        <f>IFERROR(IF(CURRENCY.FORMAT_1=0,CONCATENATE(TEXT(FIXED(ROUND((C279/EXC.RATE_1),CURRENCY.FORMAT_1),CURRENCY.FORMAT_1,1),"# ##0;-# ##0"),",-"),FIXED(ROUND((C279/EXC.RATE_1),CURRENCY.FORMAT_1),CURRENCY.FORMAT_1,0)),'DICTIONARY-5'!$A$2)</f>
        <v>na zapytanie</v>
      </c>
      <c r="K279" s="670" t="str">
        <f>IF(EXC.RATE_2=0,"",IFERROR(IF(CURRENCY.FORMAT_2=0,CONCATENATE(TEXT(FIXED(ROUND(IF(EXC.RATE.SWITCH=1,C279/EXC.RATE_2,C279*EXC.RATE_2),CURRENCY.FORMAT_2),CURRENCY.FORMAT_2,1),"# ##0;-# ##0"),",-"),FIXED(ROUND(IF(EXC.RATE.SWITCH=1,C279/EXC.RATE_2,C279*EXC.RATE_2),CURRENCY.FORMAT_2),CURRENCY.FORMAT_2,0)),'DICTIONARY-5'!$A$2))</f>
        <v/>
      </c>
      <c r="L279" s="670" t="str">
        <f>IFERROR(IF(CURRENCY.FORMAT_1=0,CONCATENATE(TEXT(FIXED(ROUND((C279*(1-I279)*(1-ADD.DISCOUNT)*(1+MAT.SURCHARGE)/EXC.RATE_1),CURRENCY.FORMAT_1),CURRENCY.FORMAT_1,1),"# ##0;-# ##0"),",-"),FIXED(ROUND((C279*(1-I279)*(1-ADD.DISCOUNT)*(1+MAT.SURCHARGE)/EXC.RATE_1),CURRENCY.FORMAT_1),CURRENCY.FORMAT_1,0)),'DICTIONARY-5'!$A$2)</f>
        <v>na zapytanie</v>
      </c>
      <c r="M279" s="670" t="str">
        <f>IF(EXC.RATE_2=0,"",IFERROR(IF(CURRENCY.FORMAT_2=0,CONCATENATE(TEXT(FIXED(ROUND(IF(EXC.RATE.SWITCH=1,C279*(1-I279)*(1-ADD.DISCOUNT)*(1+MAT.SURCHARGE)/EXC.RATE_2,C279*(1-I279)*(1-ADD.DISCOUNT)*(1+MAT.SURCHARGE)*EXC.RATE_2),CURRENCY.FORMAT_2),CURRENCY.FORMAT_2,1),"# ##0;-# ##0"),",-"),FIXED(ROUND(IF(EXC.RATE.SWITCH=1,C279*(1-I279)*(1-ADD.DISCOUNT)*(1+MAT.SURCHARGE)/EXC.RATE_2,C279*(1-I279)*(1-ADD.DISCOUNT)*(1+MAT.SURCHARGE)*EXC.RATE_2),CURRENCY.FORMAT_2),CURRENCY.FORMAT_2,0)),'DICTIONARY-5'!$A$2))</f>
        <v/>
      </c>
      <c r="N279" s="544">
        <v>1</v>
      </c>
      <c r="O279" s="544"/>
      <c r="P279" s="731" t="str">
        <f>'DICTIONARY-3'!$A$2</f>
        <v>EKOplus</v>
      </c>
      <c r="Q279" s="732" t="str">
        <f>'DICTIONARY-3'!$A$187</f>
        <v>Zasuwa klinowa</v>
      </c>
      <c r="R279" s="732" t="str">
        <f>CONCATENATE('DICTIONARY-3'!$A$2," ",'DICTIONARY-6'!$A$4," ",'DICTIONARY-2'!$A$2,"600/",'DICTIONARY-6'!$A$46,'DICTIONARY-2'!$A$2,"500"," ",'DICTIONARY-2'!$A$3,"10"," ","R15",", ",'DICTIONARY-4'!$A$2)</f>
        <v>EKOplus Zasuwa z wrzec. wznosz. się DN600/reduk.DN500 PN10 R15, WW</v>
      </c>
      <c r="S279" s="733" t="str">
        <f>'DICTIONARY-4'!$A$2</f>
        <v>WW</v>
      </c>
      <c r="T279" s="732" t="str">
        <f>'DICTIONARY-4'!$A$18</f>
        <v>Wolny wałek</v>
      </c>
      <c r="U279" s="734" t="s">
        <v>5757</v>
      </c>
      <c r="V279" s="735">
        <v>10</v>
      </c>
      <c r="W279" s="736"/>
      <c r="X279" s="737"/>
      <c r="Y279" s="738"/>
      <c r="Z279" s="739"/>
      <c r="AA279" s="739"/>
      <c r="AB279" s="740">
        <v>10</v>
      </c>
      <c r="AC279" s="741" t="str">
        <f>'DICTIONARY-5'!$A$11&amp;" 14"</f>
        <v>EN 558 szereg 14</v>
      </c>
      <c r="AD279" s="741" t="str">
        <f>'DICTIONARY-5'!$A$13</f>
        <v>woda pitna</v>
      </c>
      <c r="AE279" s="742">
        <v>50</v>
      </c>
      <c r="AF279" s="743"/>
      <c r="AG279" s="741" t="str">
        <f>'DICTIONARY-5'!$A$23</f>
        <v>powłoka epoksydowa</v>
      </c>
    </row>
    <row r="280" spans="1:33" x14ac:dyDescent="0.25">
      <c r="A280" s="842" t="s">
        <v>380</v>
      </c>
      <c r="B280" s="842" t="s">
        <v>3373</v>
      </c>
      <c r="C280" s="836">
        <v>159</v>
      </c>
      <c r="D280" s="836"/>
      <c r="E280" s="836"/>
      <c r="F280" s="836"/>
      <c r="G280" s="496" t="s">
        <v>7792</v>
      </c>
      <c r="H280" s="797" t="str">
        <f>VLOOKUP(G280,SETTINGS!$B$7:$D$97,2,0)</f>
        <v>EKOplus Waste Water</v>
      </c>
      <c r="I280" s="796">
        <f>VLOOKUP(G280,SETTINGS!$B$7:$D$97,3,0)</f>
        <v>0</v>
      </c>
      <c r="J280" s="670" t="str">
        <f>IFERROR(IF(CURRENCY.FORMAT_1=0,CONCATENATE(TEXT(FIXED(ROUND((C280/EXC.RATE_1),CURRENCY.FORMAT_1),CURRENCY.FORMAT_1,1),"# ##0;-# ##0"),",-"),FIXED(ROUND((C280/EXC.RATE_1),CURRENCY.FORMAT_1),CURRENCY.FORMAT_1,0)),'DICTIONARY-5'!$A$2)</f>
        <v>159,-</v>
      </c>
      <c r="K280" s="670" t="str">
        <f>IF(EXC.RATE_2=0,"",IFERROR(IF(CURRENCY.FORMAT_2=0,CONCATENATE(TEXT(FIXED(ROUND(IF(EXC.RATE.SWITCH=1,C280/EXC.RATE_2,C280*EXC.RATE_2),CURRENCY.FORMAT_2),CURRENCY.FORMAT_2,1),"# ##0;-# ##0"),",-"),FIXED(ROUND(IF(EXC.RATE.SWITCH=1,C280/EXC.RATE_2,C280*EXC.RATE_2),CURRENCY.FORMAT_2),CURRENCY.FORMAT_2,0)),'DICTIONARY-5'!$A$2))</f>
        <v/>
      </c>
      <c r="L280" s="670" t="str">
        <f>IFERROR(IF(CURRENCY.FORMAT_1=0,CONCATENATE(TEXT(FIXED(ROUND((C280*(1-I280)*(1-ADD.DISCOUNT)*(1+MAT.SURCHARGE)/EXC.RATE_1),CURRENCY.FORMAT_1),CURRENCY.FORMAT_1,1),"# ##0;-# ##0"),",-"),FIXED(ROUND((C280*(1-I280)*(1-ADD.DISCOUNT)*(1+MAT.SURCHARGE)/EXC.RATE_1),CURRENCY.FORMAT_1),CURRENCY.FORMAT_1,0)),'DICTIONARY-5'!$A$2)</f>
        <v>165,-</v>
      </c>
      <c r="M280" s="670" t="str">
        <f>IF(EXC.RATE_2=0,"",IFERROR(IF(CURRENCY.FORMAT_2=0,CONCATENATE(TEXT(FIXED(ROUND(IF(EXC.RATE.SWITCH=1,C280*(1-I280)*(1-ADD.DISCOUNT)*(1+MAT.SURCHARGE)/EXC.RATE_2,C280*(1-I280)*(1-ADD.DISCOUNT)*(1+MAT.SURCHARGE)*EXC.RATE_2),CURRENCY.FORMAT_2),CURRENCY.FORMAT_2,1),"# ##0;-# ##0"),",-"),FIXED(ROUND(IF(EXC.RATE.SWITCH=1,C280*(1-I280)*(1-ADD.DISCOUNT)*(1+MAT.SURCHARGE)/EXC.RATE_2,C280*(1-I280)*(1-ADD.DISCOUNT)*(1+MAT.SURCHARGE)*EXC.RATE_2),CURRENCY.FORMAT_2),CURRENCY.FORMAT_2,0)),'DICTIONARY-5'!$A$2))</f>
        <v/>
      </c>
      <c r="N280" s="544">
        <v>1</v>
      </c>
      <c r="O280" s="544"/>
      <c r="P280" s="731" t="str">
        <f>'DICTIONARY-3'!$A$2</f>
        <v>EKOplus</v>
      </c>
      <c r="Q280" s="732" t="str">
        <f>'DICTIONARY-3'!$A$187</f>
        <v>Zasuwa klinowa</v>
      </c>
      <c r="R280" s="732" t="str">
        <f>CONCATENATE('DICTIONARY-3'!$A$2," ",'DICTIONARY-6'!$A$3," ",'DICTIONARY-2'!$A$2,"40"," ",'DICTIONARY-2'!$A$3,"10/16"," ","R14",", ",'DICTIONARY-5'!$A$45,", ",'DICTIONARY-4'!$A$2)</f>
        <v>EKOplus Zasuwa DN40 PN10/16 R14, NBR, WW</v>
      </c>
      <c r="S280" s="733" t="str">
        <f>'DICTIONARY-4'!$A$2</f>
        <v>WW</v>
      </c>
      <c r="T280" s="732" t="str">
        <f>'DICTIONARY-4'!$A$18</f>
        <v>Wolny wałek</v>
      </c>
      <c r="U280" s="734" t="s">
        <v>5758</v>
      </c>
      <c r="V280" s="735">
        <v>16</v>
      </c>
      <c r="W280" s="736"/>
      <c r="X280" s="737"/>
      <c r="Y280" s="738"/>
      <c r="Z280" s="739"/>
      <c r="AA280" s="739"/>
      <c r="AB280" s="740">
        <v>16</v>
      </c>
      <c r="AC280" s="741" t="str">
        <f>'DICTIONARY-5'!$A$11&amp;" 14"</f>
        <v>EN 558 szereg 14</v>
      </c>
      <c r="AD280" s="741" t="str">
        <f>'DICTIONARY-5'!$A$14</f>
        <v>ścieki</v>
      </c>
      <c r="AE280" s="742">
        <v>50</v>
      </c>
      <c r="AF280" s="743">
        <v>8.5</v>
      </c>
      <c r="AG280" s="741" t="str">
        <f>'DICTIONARY-5'!$A$23</f>
        <v>powłoka epoksydowa</v>
      </c>
    </row>
    <row r="281" spans="1:33" x14ac:dyDescent="0.25">
      <c r="A281" s="842" t="s">
        <v>382</v>
      </c>
      <c r="B281" s="842" t="s">
        <v>3377</v>
      </c>
      <c r="C281" s="836">
        <v>159</v>
      </c>
      <c r="D281" s="836"/>
      <c r="E281" s="836"/>
      <c r="F281" s="836"/>
      <c r="G281" s="496" t="s">
        <v>7792</v>
      </c>
      <c r="H281" s="797" t="str">
        <f>VLOOKUP(G281,SETTINGS!$B$7:$D$97,2,0)</f>
        <v>EKOplus Waste Water</v>
      </c>
      <c r="I281" s="796">
        <f>VLOOKUP(G281,SETTINGS!$B$7:$D$97,3,0)</f>
        <v>0</v>
      </c>
      <c r="J281" s="670" t="str">
        <f>IFERROR(IF(CURRENCY.FORMAT_1=0,CONCATENATE(TEXT(FIXED(ROUND((C281/EXC.RATE_1),CURRENCY.FORMAT_1),CURRENCY.FORMAT_1,1),"# ##0;-# ##0"),",-"),FIXED(ROUND((C281/EXC.RATE_1),CURRENCY.FORMAT_1),CURRENCY.FORMAT_1,0)),'DICTIONARY-5'!$A$2)</f>
        <v>159,-</v>
      </c>
      <c r="K281" s="670" t="str">
        <f>IF(EXC.RATE_2=0,"",IFERROR(IF(CURRENCY.FORMAT_2=0,CONCATENATE(TEXT(FIXED(ROUND(IF(EXC.RATE.SWITCH=1,C281/EXC.RATE_2,C281*EXC.RATE_2),CURRENCY.FORMAT_2),CURRENCY.FORMAT_2,1),"# ##0;-# ##0"),",-"),FIXED(ROUND(IF(EXC.RATE.SWITCH=1,C281/EXC.RATE_2,C281*EXC.RATE_2),CURRENCY.FORMAT_2),CURRENCY.FORMAT_2,0)),'DICTIONARY-5'!$A$2))</f>
        <v/>
      </c>
      <c r="L281" s="670" t="str">
        <f>IFERROR(IF(CURRENCY.FORMAT_1=0,CONCATENATE(TEXT(FIXED(ROUND((C281*(1-I281)*(1-ADD.DISCOUNT)*(1+MAT.SURCHARGE)/EXC.RATE_1),CURRENCY.FORMAT_1),CURRENCY.FORMAT_1,1),"# ##0;-# ##0"),",-"),FIXED(ROUND((C281*(1-I281)*(1-ADD.DISCOUNT)*(1+MAT.SURCHARGE)/EXC.RATE_1),CURRENCY.FORMAT_1),CURRENCY.FORMAT_1,0)),'DICTIONARY-5'!$A$2)</f>
        <v>165,-</v>
      </c>
      <c r="M281" s="670" t="str">
        <f>IF(EXC.RATE_2=0,"",IFERROR(IF(CURRENCY.FORMAT_2=0,CONCATENATE(TEXT(FIXED(ROUND(IF(EXC.RATE.SWITCH=1,C281*(1-I281)*(1-ADD.DISCOUNT)*(1+MAT.SURCHARGE)/EXC.RATE_2,C281*(1-I281)*(1-ADD.DISCOUNT)*(1+MAT.SURCHARGE)*EXC.RATE_2),CURRENCY.FORMAT_2),CURRENCY.FORMAT_2,1),"# ##0;-# ##0"),",-"),FIXED(ROUND(IF(EXC.RATE.SWITCH=1,C281*(1-I281)*(1-ADD.DISCOUNT)*(1+MAT.SURCHARGE)/EXC.RATE_2,C281*(1-I281)*(1-ADD.DISCOUNT)*(1+MAT.SURCHARGE)*EXC.RATE_2),CURRENCY.FORMAT_2),CURRENCY.FORMAT_2,0)),'DICTIONARY-5'!$A$2))</f>
        <v/>
      </c>
      <c r="N281" s="544">
        <v>1</v>
      </c>
      <c r="O281" s="544"/>
      <c r="P281" s="731" t="str">
        <f>'DICTIONARY-3'!$A$2</f>
        <v>EKOplus</v>
      </c>
      <c r="Q281" s="732" t="str">
        <f>'DICTIONARY-3'!$A$187</f>
        <v>Zasuwa klinowa</v>
      </c>
      <c r="R281" s="732" t="str">
        <f>CONCATENATE('DICTIONARY-3'!$A$2," ",'DICTIONARY-6'!$A$3," ",'DICTIONARY-2'!$A$2,"50"," ",'DICTIONARY-2'!$A$3,"10/16"," ","R14",", ",'DICTIONARY-5'!$A$45,", ",'DICTIONARY-4'!$A$2)</f>
        <v>EKOplus Zasuwa DN50 PN10/16 R14, NBR, WW</v>
      </c>
      <c r="S281" s="733" t="str">
        <f>'DICTIONARY-4'!$A$2</f>
        <v>WW</v>
      </c>
      <c r="T281" s="732" t="str">
        <f>'DICTIONARY-4'!$A$18</f>
        <v>Wolny wałek</v>
      </c>
      <c r="U281" s="734" t="s">
        <v>5748</v>
      </c>
      <c r="V281" s="735">
        <v>16</v>
      </c>
      <c r="W281" s="736"/>
      <c r="X281" s="737"/>
      <c r="Y281" s="738"/>
      <c r="Z281" s="739"/>
      <c r="AA281" s="739"/>
      <c r="AB281" s="740">
        <v>16</v>
      </c>
      <c r="AC281" s="741" t="str">
        <f>'DICTIONARY-5'!$A$11&amp;" 14"</f>
        <v>EN 558 szereg 14</v>
      </c>
      <c r="AD281" s="741" t="str">
        <f>'DICTIONARY-5'!$A$14</f>
        <v>ścieki</v>
      </c>
      <c r="AE281" s="742">
        <v>50</v>
      </c>
      <c r="AF281" s="743">
        <v>9.5</v>
      </c>
      <c r="AG281" s="741" t="str">
        <f>'DICTIONARY-5'!$A$23</f>
        <v>powłoka epoksydowa</v>
      </c>
    </row>
    <row r="282" spans="1:33" x14ac:dyDescent="0.25">
      <c r="A282" s="842" t="s">
        <v>384</v>
      </c>
      <c r="B282" s="842" t="s">
        <v>3382</v>
      </c>
      <c r="C282" s="836">
        <v>186</v>
      </c>
      <c r="D282" s="836"/>
      <c r="E282" s="836"/>
      <c r="F282" s="836"/>
      <c r="G282" s="496" t="s">
        <v>7792</v>
      </c>
      <c r="H282" s="797" t="str">
        <f>VLOOKUP(G282,SETTINGS!$B$7:$D$97,2,0)</f>
        <v>EKOplus Waste Water</v>
      </c>
      <c r="I282" s="796">
        <f>VLOOKUP(G282,SETTINGS!$B$7:$D$97,3,0)</f>
        <v>0</v>
      </c>
      <c r="J282" s="670" t="str">
        <f>IFERROR(IF(CURRENCY.FORMAT_1=0,CONCATENATE(TEXT(FIXED(ROUND((C282/EXC.RATE_1),CURRENCY.FORMAT_1),CURRENCY.FORMAT_1,1),"# ##0;-# ##0"),",-"),FIXED(ROUND((C282/EXC.RATE_1),CURRENCY.FORMAT_1),CURRENCY.FORMAT_1,0)),'DICTIONARY-5'!$A$2)</f>
        <v>186,-</v>
      </c>
      <c r="K282" s="670" t="str">
        <f>IF(EXC.RATE_2=0,"",IFERROR(IF(CURRENCY.FORMAT_2=0,CONCATENATE(TEXT(FIXED(ROUND(IF(EXC.RATE.SWITCH=1,C282/EXC.RATE_2,C282*EXC.RATE_2),CURRENCY.FORMAT_2),CURRENCY.FORMAT_2,1),"# ##0;-# ##0"),",-"),FIXED(ROUND(IF(EXC.RATE.SWITCH=1,C282/EXC.RATE_2,C282*EXC.RATE_2),CURRENCY.FORMAT_2),CURRENCY.FORMAT_2,0)),'DICTIONARY-5'!$A$2))</f>
        <v/>
      </c>
      <c r="L282" s="670" t="str">
        <f>IFERROR(IF(CURRENCY.FORMAT_1=0,CONCATENATE(TEXT(FIXED(ROUND((C282*(1-I282)*(1-ADD.DISCOUNT)*(1+MAT.SURCHARGE)/EXC.RATE_1),CURRENCY.FORMAT_1),CURRENCY.FORMAT_1,1),"# ##0;-# ##0"),",-"),FIXED(ROUND((C282*(1-I282)*(1-ADD.DISCOUNT)*(1+MAT.SURCHARGE)/EXC.RATE_1),CURRENCY.FORMAT_1),CURRENCY.FORMAT_1,0)),'DICTIONARY-5'!$A$2)</f>
        <v>193,-</v>
      </c>
      <c r="M282" s="670" t="str">
        <f>IF(EXC.RATE_2=0,"",IFERROR(IF(CURRENCY.FORMAT_2=0,CONCATENATE(TEXT(FIXED(ROUND(IF(EXC.RATE.SWITCH=1,C282*(1-I282)*(1-ADD.DISCOUNT)*(1+MAT.SURCHARGE)/EXC.RATE_2,C282*(1-I282)*(1-ADD.DISCOUNT)*(1+MAT.SURCHARGE)*EXC.RATE_2),CURRENCY.FORMAT_2),CURRENCY.FORMAT_2,1),"# ##0;-# ##0"),",-"),FIXED(ROUND(IF(EXC.RATE.SWITCH=1,C282*(1-I282)*(1-ADD.DISCOUNT)*(1+MAT.SURCHARGE)/EXC.RATE_2,C282*(1-I282)*(1-ADD.DISCOUNT)*(1+MAT.SURCHARGE)*EXC.RATE_2),CURRENCY.FORMAT_2),CURRENCY.FORMAT_2,0)),'DICTIONARY-5'!$A$2))</f>
        <v/>
      </c>
      <c r="N282" s="544">
        <v>1</v>
      </c>
      <c r="O282" s="544"/>
      <c r="P282" s="731" t="str">
        <f>'DICTIONARY-3'!$A$2</f>
        <v>EKOplus</v>
      </c>
      <c r="Q282" s="732" t="str">
        <f>'DICTIONARY-3'!$A$187</f>
        <v>Zasuwa klinowa</v>
      </c>
      <c r="R282" s="732" t="str">
        <f>CONCATENATE('DICTIONARY-3'!$A$2," ",'DICTIONARY-6'!$A$3," ",'DICTIONARY-2'!$A$2,"65"," ",'DICTIONARY-2'!$A$3,"10/16"," ","R14",", ",'DICTIONARY-5'!$A$45,", ",'DICTIONARY-4'!$A$2)</f>
        <v>EKOplus Zasuwa DN65 PN10/16 R14, NBR, WW</v>
      </c>
      <c r="S282" s="733" t="str">
        <f>'DICTIONARY-4'!$A$2</f>
        <v>WW</v>
      </c>
      <c r="T282" s="732" t="str">
        <f>'DICTIONARY-4'!$A$18</f>
        <v>Wolny wałek</v>
      </c>
      <c r="U282" s="734" t="s">
        <v>5759</v>
      </c>
      <c r="V282" s="735">
        <v>16</v>
      </c>
      <c r="W282" s="736"/>
      <c r="X282" s="737"/>
      <c r="Y282" s="738"/>
      <c r="Z282" s="739"/>
      <c r="AA282" s="739"/>
      <c r="AB282" s="740">
        <v>16</v>
      </c>
      <c r="AC282" s="741" t="str">
        <f>'DICTIONARY-5'!$A$11&amp;" 14"</f>
        <v>EN 558 szereg 14</v>
      </c>
      <c r="AD282" s="741" t="str">
        <f>'DICTIONARY-5'!$A$14</f>
        <v>ścieki</v>
      </c>
      <c r="AE282" s="742">
        <v>50</v>
      </c>
      <c r="AF282" s="743">
        <v>13.5</v>
      </c>
      <c r="AG282" s="741" t="str">
        <f>'DICTIONARY-5'!$A$23</f>
        <v>powłoka epoksydowa</v>
      </c>
    </row>
    <row r="283" spans="1:33" x14ac:dyDescent="0.25">
      <c r="A283" s="842" t="s">
        <v>386</v>
      </c>
      <c r="B283" s="842" t="s">
        <v>3387</v>
      </c>
      <c r="C283" s="836">
        <v>186</v>
      </c>
      <c r="D283" s="836"/>
      <c r="E283" s="836"/>
      <c r="F283" s="836"/>
      <c r="G283" s="496" t="s">
        <v>7792</v>
      </c>
      <c r="H283" s="797" t="str">
        <f>VLOOKUP(G283,SETTINGS!$B$7:$D$97,2,0)</f>
        <v>EKOplus Waste Water</v>
      </c>
      <c r="I283" s="796">
        <f>VLOOKUP(G283,SETTINGS!$B$7:$D$97,3,0)</f>
        <v>0</v>
      </c>
      <c r="J283" s="670" t="str">
        <f>IFERROR(IF(CURRENCY.FORMAT_1=0,CONCATENATE(TEXT(FIXED(ROUND((C283/EXC.RATE_1),CURRENCY.FORMAT_1),CURRENCY.FORMAT_1,1),"# ##0;-# ##0"),",-"),FIXED(ROUND((C283/EXC.RATE_1),CURRENCY.FORMAT_1),CURRENCY.FORMAT_1,0)),'DICTIONARY-5'!$A$2)</f>
        <v>186,-</v>
      </c>
      <c r="K283" s="670" t="str">
        <f>IF(EXC.RATE_2=0,"",IFERROR(IF(CURRENCY.FORMAT_2=0,CONCATENATE(TEXT(FIXED(ROUND(IF(EXC.RATE.SWITCH=1,C283/EXC.RATE_2,C283*EXC.RATE_2),CURRENCY.FORMAT_2),CURRENCY.FORMAT_2,1),"# ##0;-# ##0"),",-"),FIXED(ROUND(IF(EXC.RATE.SWITCH=1,C283/EXC.RATE_2,C283*EXC.RATE_2),CURRENCY.FORMAT_2),CURRENCY.FORMAT_2,0)),'DICTIONARY-5'!$A$2))</f>
        <v/>
      </c>
      <c r="L283" s="670" t="str">
        <f>IFERROR(IF(CURRENCY.FORMAT_1=0,CONCATENATE(TEXT(FIXED(ROUND((C283*(1-I283)*(1-ADD.DISCOUNT)*(1+MAT.SURCHARGE)/EXC.RATE_1),CURRENCY.FORMAT_1),CURRENCY.FORMAT_1,1),"# ##0;-# ##0"),",-"),FIXED(ROUND((C283*(1-I283)*(1-ADD.DISCOUNT)*(1+MAT.SURCHARGE)/EXC.RATE_1),CURRENCY.FORMAT_1),CURRENCY.FORMAT_1,0)),'DICTIONARY-5'!$A$2)</f>
        <v>193,-</v>
      </c>
      <c r="M283" s="670" t="str">
        <f>IF(EXC.RATE_2=0,"",IFERROR(IF(CURRENCY.FORMAT_2=0,CONCATENATE(TEXT(FIXED(ROUND(IF(EXC.RATE.SWITCH=1,C283*(1-I283)*(1-ADD.DISCOUNT)*(1+MAT.SURCHARGE)/EXC.RATE_2,C283*(1-I283)*(1-ADD.DISCOUNT)*(1+MAT.SURCHARGE)*EXC.RATE_2),CURRENCY.FORMAT_2),CURRENCY.FORMAT_2,1),"# ##0;-# ##0"),",-"),FIXED(ROUND(IF(EXC.RATE.SWITCH=1,C283*(1-I283)*(1-ADD.DISCOUNT)*(1+MAT.SURCHARGE)/EXC.RATE_2,C283*(1-I283)*(1-ADD.DISCOUNT)*(1+MAT.SURCHARGE)*EXC.RATE_2),CURRENCY.FORMAT_2),CURRENCY.FORMAT_2,0)),'DICTIONARY-5'!$A$2))</f>
        <v/>
      </c>
      <c r="N283" s="544">
        <v>1</v>
      </c>
      <c r="O283" s="544"/>
      <c r="P283" s="731" t="str">
        <f>'DICTIONARY-3'!$A$2</f>
        <v>EKOplus</v>
      </c>
      <c r="Q283" s="732" t="str">
        <f>'DICTIONARY-3'!$A$187</f>
        <v>Zasuwa klinowa</v>
      </c>
      <c r="R283" s="732" t="str">
        <f>CONCATENATE('DICTIONARY-3'!$A$2," ",'DICTIONARY-6'!$A$3," ",'DICTIONARY-2'!$A$2,"80"," ",'DICTIONARY-2'!$A$3,"10/16"," ","R14",", ",'DICTIONARY-5'!$A$45,", ",'DICTIONARY-4'!$A$2)</f>
        <v>EKOplus Zasuwa DN80 PN10/16 R14, NBR, WW</v>
      </c>
      <c r="S283" s="733" t="str">
        <f>'DICTIONARY-4'!$A$2</f>
        <v>WW</v>
      </c>
      <c r="T283" s="732" t="str">
        <f>'DICTIONARY-4'!$A$18</f>
        <v>Wolny wałek</v>
      </c>
      <c r="U283" s="734" t="s">
        <v>5760</v>
      </c>
      <c r="V283" s="735">
        <v>16</v>
      </c>
      <c r="W283" s="736"/>
      <c r="X283" s="737"/>
      <c r="Y283" s="738"/>
      <c r="Z283" s="739"/>
      <c r="AA283" s="739"/>
      <c r="AB283" s="740">
        <v>16</v>
      </c>
      <c r="AC283" s="741" t="str">
        <f>'DICTIONARY-5'!$A$11&amp;" 14"</f>
        <v>EN 558 szereg 14</v>
      </c>
      <c r="AD283" s="741" t="str">
        <f>'DICTIONARY-5'!$A$14</f>
        <v>ścieki</v>
      </c>
      <c r="AE283" s="742">
        <v>50</v>
      </c>
      <c r="AF283" s="743">
        <v>15.5</v>
      </c>
      <c r="AG283" s="741" t="str">
        <f>'DICTIONARY-5'!$A$23</f>
        <v>powłoka epoksydowa</v>
      </c>
    </row>
    <row r="284" spans="1:33" x14ac:dyDescent="0.25">
      <c r="A284" s="842" t="s">
        <v>388</v>
      </c>
      <c r="B284" s="842" t="s">
        <v>3390</v>
      </c>
      <c r="C284" s="836">
        <v>210</v>
      </c>
      <c r="D284" s="836"/>
      <c r="E284" s="836"/>
      <c r="F284" s="836"/>
      <c r="G284" s="496" t="s">
        <v>7792</v>
      </c>
      <c r="H284" s="797" t="str">
        <f>VLOOKUP(G284,SETTINGS!$B$7:$D$97,2,0)</f>
        <v>EKOplus Waste Water</v>
      </c>
      <c r="I284" s="796">
        <f>VLOOKUP(G284,SETTINGS!$B$7:$D$97,3,0)</f>
        <v>0</v>
      </c>
      <c r="J284" s="670" t="str">
        <f>IFERROR(IF(CURRENCY.FORMAT_1=0,CONCATENATE(TEXT(FIXED(ROUND((C284/EXC.RATE_1),CURRENCY.FORMAT_1),CURRENCY.FORMAT_1,1),"# ##0;-# ##0"),",-"),FIXED(ROUND((C284/EXC.RATE_1),CURRENCY.FORMAT_1),CURRENCY.FORMAT_1,0)),'DICTIONARY-5'!$A$2)</f>
        <v>210,-</v>
      </c>
      <c r="K284" s="670" t="str">
        <f>IF(EXC.RATE_2=0,"",IFERROR(IF(CURRENCY.FORMAT_2=0,CONCATENATE(TEXT(FIXED(ROUND(IF(EXC.RATE.SWITCH=1,C284/EXC.RATE_2,C284*EXC.RATE_2),CURRENCY.FORMAT_2),CURRENCY.FORMAT_2,1),"# ##0;-# ##0"),",-"),FIXED(ROUND(IF(EXC.RATE.SWITCH=1,C284/EXC.RATE_2,C284*EXC.RATE_2),CURRENCY.FORMAT_2),CURRENCY.FORMAT_2,0)),'DICTIONARY-5'!$A$2))</f>
        <v/>
      </c>
      <c r="L284" s="670" t="str">
        <f>IFERROR(IF(CURRENCY.FORMAT_1=0,CONCATENATE(TEXT(FIXED(ROUND((C284*(1-I284)*(1-ADD.DISCOUNT)*(1+MAT.SURCHARGE)/EXC.RATE_1),CURRENCY.FORMAT_1),CURRENCY.FORMAT_1,1),"# ##0;-# ##0"),",-"),FIXED(ROUND((C284*(1-I284)*(1-ADD.DISCOUNT)*(1+MAT.SURCHARGE)/EXC.RATE_1),CURRENCY.FORMAT_1),CURRENCY.FORMAT_1,0)),'DICTIONARY-5'!$A$2)</f>
        <v>218,-</v>
      </c>
      <c r="M284" s="670" t="str">
        <f>IF(EXC.RATE_2=0,"",IFERROR(IF(CURRENCY.FORMAT_2=0,CONCATENATE(TEXT(FIXED(ROUND(IF(EXC.RATE.SWITCH=1,C284*(1-I284)*(1-ADD.DISCOUNT)*(1+MAT.SURCHARGE)/EXC.RATE_2,C284*(1-I284)*(1-ADD.DISCOUNT)*(1+MAT.SURCHARGE)*EXC.RATE_2),CURRENCY.FORMAT_2),CURRENCY.FORMAT_2,1),"# ##0;-# ##0"),",-"),FIXED(ROUND(IF(EXC.RATE.SWITCH=1,C284*(1-I284)*(1-ADD.DISCOUNT)*(1+MAT.SURCHARGE)/EXC.RATE_2,C284*(1-I284)*(1-ADD.DISCOUNT)*(1+MAT.SURCHARGE)*EXC.RATE_2),CURRENCY.FORMAT_2),CURRENCY.FORMAT_2,0)),'DICTIONARY-5'!$A$2))</f>
        <v/>
      </c>
      <c r="N284" s="544">
        <v>1</v>
      </c>
      <c r="O284" s="544"/>
      <c r="P284" s="731" t="str">
        <f>'DICTIONARY-3'!$A$2</f>
        <v>EKOplus</v>
      </c>
      <c r="Q284" s="732" t="str">
        <f>'DICTIONARY-3'!$A$187</f>
        <v>Zasuwa klinowa</v>
      </c>
      <c r="R284" s="732" t="str">
        <f>CONCATENATE('DICTIONARY-3'!$A$2," ",'DICTIONARY-6'!$A$3," ",'DICTIONARY-2'!$A$2,"100"," ",'DICTIONARY-2'!$A$3,"10/16"," ","R14",", ",'DICTIONARY-5'!$A$45,", ",'DICTIONARY-4'!$A$2)</f>
        <v>EKOplus Zasuwa DN100 PN10/16 R14, NBR, WW</v>
      </c>
      <c r="S284" s="733" t="str">
        <f>'DICTIONARY-4'!$A$2</f>
        <v>WW</v>
      </c>
      <c r="T284" s="732" t="str">
        <f>'DICTIONARY-4'!$A$18</f>
        <v>Wolny wałek</v>
      </c>
      <c r="U284" s="734" t="s">
        <v>5749</v>
      </c>
      <c r="V284" s="735">
        <v>16</v>
      </c>
      <c r="W284" s="736"/>
      <c r="X284" s="737"/>
      <c r="Y284" s="738"/>
      <c r="Z284" s="739"/>
      <c r="AA284" s="739"/>
      <c r="AB284" s="740">
        <v>16</v>
      </c>
      <c r="AC284" s="741" t="str">
        <f>'DICTIONARY-5'!$A$11&amp;" 14"</f>
        <v>EN 558 szereg 14</v>
      </c>
      <c r="AD284" s="741" t="str">
        <f>'DICTIONARY-5'!$A$14</f>
        <v>ścieki</v>
      </c>
      <c r="AE284" s="742">
        <v>50</v>
      </c>
      <c r="AF284" s="743">
        <v>19.3</v>
      </c>
      <c r="AG284" s="741" t="str">
        <f>'DICTIONARY-5'!$A$23</f>
        <v>powłoka epoksydowa</v>
      </c>
    </row>
    <row r="285" spans="1:33" x14ac:dyDescent="0.25">
      <c r="A285" s="842" t="s">
        <v>390</v>
      </c>
      <c r="B285" s="842" t="s">
        <v>3393</v>
      </c>
      <c r="C285" s="836">
        <v>303</v>
      </c>
      <c r="D285" s="836"/>
      <c r="E285" s="836"/>
      <c r="F285" s="836"/>
      <c r="G285" s="496" t="s">
        <v>7792</v>
      </c>
      <c r="H285" s="797" t="str">
        <f>VLOOKUP(G285,SETTINGS!$B$7:$D$97,2,0)</f>
        <v>EKOplus Waste Water</v>
      </c>
      <c r="I285" s="796">
        <f>VLOOKUP(G285,SETTINGS!$B$7:$D$97,3,0)</f>
        <v>0</v>
      </c>
      <c r="J285" s="670" t="str">
        <f>IFERROR(IF(CURRENCY.FORMAT_1=0,CONCATENATE(TEXT(FIXED(ROUND((C285/EXC.RATE_1),CURRENCY.FORMAT_1),CURRENCY.FORMAT_1,1),"# ##0;-# ##0"),",-"),FIXED(ROUND((C285/EXC.RATE_1),CURRENCY.FORMAT_1),CURRENCY.FORMAT_1,0)),'DICTIONARY-5'!$A$2)</f>
        <v>303,-</v>
      </c>
      <c r="K285" s="670" t="str">
        <f>IF(EXC.RATE_2=0,"",IFERROR(IF(CURRENCY.FORMAT_2=0,CONCATENATE(TEXT(FIXED(ROUND(IF(EXC.RATE.SWITCH=1,C285/EXC.RATE_2,C285*EXC.RATE_2),CURRENCY.FORMAT_2),CURRENCY.FORMAT_2,1),"# ##0;-# ##0"),",-"),FIXED(ROUND(IF(EXC.RATE.SWITCH=1,C285/EXC.RATE_2,C285*EXC.RATE_2),CURRENCY.FORMAT_2),CURRENCY.FORMAT_2,0)),'DICTIONARY-5'!$A$2))</f>
        <v/>
      </c>
      <c r="L285" s="670" t="str">
        <f>IFERROR(IF(CURRENCY.FORMAT_1=0,CONCATENATE(TEXT(FIXED(ROUND((C285*(1-I285)*(1-ADD.DISCOUNT)*(1+MAT.SURCHARGE)/EXC.RATE_1),CURRENCY.FORMAT_1),CURRENCY.FORMAT_1,1),"# ##0;-# ##0"),",-"),FIXED(ROUND((C285*(1-I285)*(1-ADD.DISCOUNT)*(1+MAT.SURCHARGE)/EXC.RATE_1),CURRENCY.FORMAT_1),CURRENCY.FORMAT_1,0)),'DICTIONARY-5'!$A$2)</f>
        <v>315,-</v>
      </c>
      <c r="M285" s="670" t="str">
        <f>IF(EXC.RATE_2=0,"",IFERROR(IF(CURRENCY.FORMAT_2=0,CONCATENATE(TEXT(FIXED(ROUND(IF(EXC.RATE.SWITCH=1,C285*(1-I285)*(1-ADD.DISCOUNT)*(1+MAT.SURCHARGE)/EXC.RATE_2,C285*(1-I285)*(1-ADD.DISCOUNT)*(1+MAT.SURCHARGE)*EXC.RATE_2),CURRENCY.FORMAT_2),CURRENCY.FORMAT_2,1),"# ##0;-# ##0"),",-"),FIXED(ROUND(IF(EXC.RATE.SWITCH=1,C285*(1-I285)*(1-ADD.DISCOUNT)*(1+MAT.SURCHARGE)/EXC.RATE_2,C285*(1-I285)*(1-ADD.DISCOUNT)*(1+MAT.SURCHARGE)*EXC.RATE_2),CURRENCY.FORMAT_2),CURRENCY.FORMAT_2,0)),'DICTIONARY-5'!$A$2))</f>
        <v/>
      </c>
      <c r="N285" s="544">
        <v>1</v>
      </c>
      <c r="O285" s="544"/>
      <c r="P285" s="731" t="str">
        <f>'DICTIONARY-3'!$A$2</f>
        <v>EKOplus</v>
      </c>
      <c r="Q285" s="732" t="str">
        <f>'DICTIONARY-3'!$A$187</f>
        <v>Zasuwa klinowa</v>
      </c>
      <c r="R285" s="732" t="str">
        <f>CONCATENATE('DICTIONARY-3'!$A$2," ",'DICTIONARY-6'!$A$3," ",'DICTIONARY-2'!$A$2,"125"," ",'DICTIONARY-2'!$A$3,"10/16"," ","R14",", ",'DICTIONARY-5'!$A$45,", ",'DICTIONARY-4'!$A$2)</f>
        <v>EKOplus Zasuwa DN125 PN10/16 R14, NBR, WW</v>
      </c>
      <c r="S285" s="733" t="str">
        <f>'DICTIONARY-4'!$A$2</f>
        <v>WW</v>
      </c>
      <c r="T285" s="732" t="str">
        <f>'DICTIONARY-4'!$A$18</f>
        <v>Wolny wałek</v>
      </c>
      <c r="U285" s="734" t="s">
        <v>5761</v>
      </c>
      <c r="V285" s="735">
        <v>16</v>
      </c>
      <c r="W285" s="736"/>
      <c r="X285" s="737"/>
      <c r="Y285" s="738"/>
      <c r="Z285" s="739"/>
      <c r="AA285" s="739"/>
      <c r="AB285" s="740">
        <v>16</v>
      </c>
      <c r="AC285" s="741" t="str">
        <f>'DICTIONARY-5'!$A$11&amp;" 14"</f>
        <v>EN 558 szereg 14</v>
      </c>
      <c r="AD285" s="741" t="str">
        <f>'DICTIONARY-5'!$A$14</f>
        <v>ścieki</v>
      </c>
      <c r="AE285" s="742">
        <v>50</v>
      </c>
      <c r="AF285" s="743">
        <v>26.5</v>
      </c>
      <c r="AG285" s="741" t="str">
        <f>'DICTIONARY-5'!$A$23</f>
        <v>powłoka epoksydowa</v>
      </c>
    </row>
    <row r="286" spans="1:33" x14ac:dyDescent="0.25">
      <c r="A286" s="842" t="s">
        <v>392</v>
      </c>
      <c r="B286" s="842" t="s">
        <v>3396</v>
      </c>
      <c r="C286" s="836">
        <v>319</v>
      </c>
      <c r="D286" s="836"/>
      <c r="E286" s="836"/>
      <c r="F286" s="836"/>
      <c r="G286" s="496" t="s">
        <v>7792</v>
      </c>
      <c r="H286" s="797" t="str">
        <f>VLOOKUP(G286,SETTINGS!$B$7:$D$97,2,0)</f>
        <v>EKOplus Waste Water</v>
      </c>
      <c r="I286" s="796">
        <f>VLOOKUP(G286,SETTINGS!$B$7:$D$97,3,0)</f>
        <v>0</v>
      </c>
      <c r="J286" s="670" t="str">
        <f>IFERROR(IF(CURRENCY.FORMAT_1=0,CONCATENATE(TEXT(FIXED(ROUND((C286/EXC.RATE_1),CURRENCY.FORMAT_1),CURRENCY.FORMAT_1,1),"# ##0;-# ##0"),",-"),FIXED(ROUND((C286/EXC.RATE_1),CURRENCY.FORMAT_1),CURRENCY.FORMAT_1,0)),'DICTIONARY-5'!$A$2)</f>
        <v>319,-</v>
      </c>
      <c r="K286" s="670" t="str">
        <f>IF(EXC.RATE_2=0,"",IFERROR(IF(CURRENCY.FORMAT_2=0,CONCATENATE(TEXT(FIXED(ROUND(IF(EXC.RATE.SWITCH=1,C286/EXC.RATE_2,C286*EXC.RATE_2),CURRENCY.FORMAT_2),CURRENCY.FORMAT_2,1),"# ##0;-# ##0"),",-"),FIXED(ROUND(IF(EXC.RATE.SWITCH=1,C286/EXC.RATE_2,C286*EXC.RATE_2),CURRENCY.FORMAT_2),CURRENCY.FORMAT_2,0)),'DICTIONARY-5'!$A$2))</f>
        <v/>
      </c>
      <c r="L286" s="670" t="str">
        <f>IFERROR(IF(CURRENCY.FORMAT_1=0,CONCATENATE(TEXT(FIXED(ROUND((C286*(1-I286)*(1-ADD.DISCOUNT)*(1+MAT.SURCHARGE)/EXC.RATE_1),CURRENCY.FORMAT_1),CURRENCY.FORMAT_1,1),"# ##0;-# ##0"),",-"),FIXED(ROUND((C286*(1-I286)*(1-ADD.DISCOUNT)*(1+MAT.SURCHARGE)/EXC.RATE_1),CURRENCY.FORMAT_1),CURRENCY.FORMAT_1,0)),'DICTIONARY-5'!$A$2)</f>
        <v>331,-</v>
      </c>
      <c r="M286" s="670" t="str">
        <f>IF(EXC.RATE_2=0,"",IFERROR(IF(CURRENCY.FORMAT_2=0,CONCATENATE(TEXT(FIXED(ROUND(IF(EXC.RATE.SWITCH=1,C286*(1-I286)*(1-ADD.DISCOUNT)*(1+MAT.SURCHARGE)/EXC.RATE_2,C286*(1-I286)*(1-ADD.DISCOUNT)*(1+MAT.SURCHARGE)*EXC.RATE_2),CURRENCY.FORMAT_2),CURRENCY.FORMAT_2,1),"# ##0;-# ##0"),",-"),FIXED(ROUND(IF(EXC.RATE.SWITCH=1,C286*(1-I286)*(1-ADD.DISCOUNT)*(1+MAT.SURCHARGE)/EXC.RATE_2,C286*(1-I286)*(1-ADD.DISCOUNT)*(1+MAT.SURCHARGE)*EXC.RATE_2),CURRENCY.FORMAT_2),CURRENCY.FORMAT_2,0)),'DICTIONARY-5'!$A$2))</f>
        <v/>
      </c>
      <c r="N286" s="544">
        <v>1</v>
      </c>
      <c r="O286" s="544"/>
      <c r="P286" s="731" t="str">
        <f>'DICTIONARY-3'!$A$2</f>
        <v>EKOplus</v>
      </c>
      <c r="Q286" s="732" t="str">
        <f>'DICTIONARY-3'!$A$187</f>
        <v>Zasuwa klinowa</v>
      </c>
      <c r="R286" s="732" t="str">
        <f>CONCATENATE('DICTIONARY-3'!$A$2," ",'DICTIONARY-6'!$A$3," ",'DICTIONARY-2'!$A$2,"150"," ",'DICTIONARY-2'!$A$3,"10/16"," ","R14",", ",'DICTIONARY-5'!$A$45,", ",'DICTIONARY-4'!$A$2)</f>
        <v>EKOplus Zasuwa DN150 PN10/16 R14, NBR, WW</v>
      </c>
      <c r="S286" s="733" t="str">
        <f>'DICTIONARY-4'!$A$2</f>
        <v>WW</v>
      </c>
      <c r="T286" s="732" t="str">
        <f>'DICTIONARY-4'!$A$18</f>
        <v>Wolny wałek</v>
      </c>
      <c r="U286" s="734" t="s">
        <v>5572</v>
      </c>
      <c r="V286" s="735">
        <v>16</v>
      </c>
      <c r="W286" s="736"/>
      <c r="X286" s="737"/>
      <c r="Y286" s="738"/>
      <c r="Z286" s="739"/>
      <c r="AA286" s="739"/>
      <c r="AB286" s="740">
        <v>16</v>
      </c>
      <c r="AC286" s="741" t="str">
        <f>'DICTIONARY-5'!$A$11&amp;" 14"</f>
        <v>EN 558 szereg 14</v>
      </c>
      <c r="AD286" s="741" t="str">
        <f>'DICTIONARY-5'!$A$14</f>
        <v>ścieki</v>
      </c>
      <c r="AE286" s="742">
        <v>50</v>
      </c>
      <c r="AF286" s="743">
        <v>32.5</v>
      </c>
      <c r="AG286" s="741" t="str">
        <f>'DICTIONARY-5'!$A$23</f>
        <v>powłoka epoksydowa</v>
      </c>
    </row>
    <row r="287" spans="1:33" x14ac:dyDescent="0.25">
      <c r="A287" s="842" t="s">
        <v>394</v>
      </c>
      <c r="B287" s="842" t="s">
        <v>3334</v>
      </c>
      <c r="C287" s="836">
        <v>523</v>
      </c>
      <c r="D287" s="836"/>
      <c r="E287" s="836"/>
      <c r="F287" s="836"/>
      <c r="G287" s="496" t="s">
        <v>7792</v>
      </c>
      <c r="H287" s="797" t="str">
        <f>VLOOKUP(G287,SETTINGS!$B$7:$D$97,2,0)</f>
        <v>EKOplus Waste Water</v>
      </c>
      <c r="I287" s="796">
        <f>VLOOKUP(G287,SETTINGS!$B$7:$D$97,3,0)</f>
        <v>0</v>
      </c>
      <c r="J287" s="670" t="str">
        <f>IFERROR(IF(CURRENCY.FORMAT_1=0,CONCATENATE(TEXT(FIXED(ROUND((C287/EXC.RATE_1),CURRENCY.FORMAT_1),CURRENCY.FORMAT_1,1),"# ##0;-# ##0"),",-"),FIXED(ROUND((C287/EXC.RATE_1),CURRENCY.FORMAT_1),CURRENCY.FORMAT_1,0)),'DICTIONARY-5'!$A$2)</f>
        <v>523,-</v>
      </c>
      <c r="K287" s="670" t="str">
        <f>IF(EXC.RATE_2=0,"",IFERROR(IF(CURRENCY.FORMAT_2=0,CONCATENATE(TEXT(FIXED(ROUND(IF(EXC.RATE.SWITCH=1,C287/EXC.RATE_2,C287*EXC.RATE_2),CURRENCY.FORMAT_2),CURRENCY.FORMAT_2,1),"# ##0;-# ##0"),",-"),FIXED(ROUND(IF(EXC.RATE.SWITCH=1,C287/EXC.RATE_2,C287*EXC.RATE_2),CURRENCY.FORMAT_2),CURRENCY.FORMAT_2,0)),'DICTIONARY-5'!$A$2))</f>
        <v/>
      </c>
      <c r="L287" s="670" t="str">
        <f>IFERROR(IF(CURRENCY.FORMAT_1=0,CONCATENATE(TEXT(FIXED(ROUND((C287*(1-I287)*(1-ADD.DISCOUNT)*(1+MAT.SURCHARGE)/EXC.RATE_1),CURRENCY.FORMAT_1),CURRENCY.FORMAT_1,1),"# ##0;-# ##0"),",-"),FIXED(ROUND((C287*(1-I287)*(1-ADD.DISCOUNT)*(1+MAT.SURCHARGE)/EXC.RATE_1),CURRENCY.FORMAT_1),CURRENCY.FORMAT_1,0)),'DICTIONARY-5'!$A$2)</f>
        <v>543,-</v>
      </c>
      <c r="M287" s="670" t="str">
        <f>IF(EXC.RATE_2=0,"",IFERROR(IF(CURRENCY.FORMAT_2=0,CONCATENATE(TEXT(FIXED(ROUND(IF(EXC.RATE.SWITCH=1,C287*(1-I287)*(1-ADD.DISCOUNT)*(1+MAT.SURCHARGE)/EXC.RATE_2,C287*(1-I287)*(1-ADD.DISCOUNT)*(1+MAT.SURCHARGE)*EXC.RATE_2),CURRENCY.FORMAT_2),CURRENCY.FORMAT_2,1),"# ##0;-# ##0"),",-"),FIXED(ROUND(IF(EXC.RATE.SWITCH=1,C287*(1-I287)*(1-ADD.DISCOUNT)*(1+MAT.SURCHARGE)/EXC.RATE_2,C287*(1-I287)*(1-ADD.DISCOUNT)*(1+MAT.SURCHARGE)*EXC.RATE_2),CURRENCY.FORMAT_2),CURRENCY.FORMAT_2,0)),'DICTIONARY-5'!$A$2))</f>
        <v/>
      </c>
      <c r="N287" s="544">
        <v>1</v>
      </c>
      <c r="O287" s="544"/>
      <c r="P287" s="731" t="str">
        <f>'DICTIONARY-3'!$A$2</f>
        <v>EKOplus</v>
      </c>
      <c r="Q287" s="732" t="str">
        <f>'DICTIONARY-3'!$A$187</f>
        <v>Zasuwa klinowa</v>
      </c>
      <c r="R287" s="732" t="str">
        <f>CONCATENATE('DICTIONARY-3'!$A$2," ",'DICTIONARY-6'!$A$3," ",'DICTIONARY-2'!$A$2,"200"," ",'DICTIONARY-2'!$A$3,"10"," ","R14",", ",'DICTIONARY-5'!$A$45,", ",'DICTIONARY-4'!$A$2)</f>
        <v>EKOplus Zasuwa DN200 PN10 R14, NBR, WW</v>
      </c>
      <c r="S287" s="733" t="str">
        <f>'DICTIONARY-4'!$A$2</f>
        <v>WW</v>
      </c>
      <c r="T287" s="732" t="str">
        <f>'DICTIONARY-4'!$A$18</f>
        <v>Wolny wałek</v>
      </c>
      <c r="U287" s="734" t="s">
        <v>5750</v>
      </c>
      <c r="V287" s="735">
        <v>10</v>
      </c>
      <c r="W287" s="736"/>
      <c r="X287" s="737"/>
      <c r="Y287" s="738"/>
      <c r="Z287" s="739"/>
      <c r="AA287" s="739"/>
      <c r="AB287" s="740">
        <v>10</v>
      </c>
      <c r="AC287" s="741" t="str">
        <f>'DICTIONARY-5'!$A$11&amp;" 14"</f>
        <v>EN 558 szereg 14</v>
      </c>
      <c r="AD287" s="741" t="str">
        <f>'DICTIONARY-5'!$A$14</f>
        <v>ścieki</v>
      </c>
      <c r="AE287" s="742">
        <v>50</v>
      </c>
      <c r="AF287" s="743">
        <v>53.5</v>
      </c>
      <c r="AG287" s="741" t="str">
        <f>'DICTIONARY-5'!$A$23</f>
        <v>powłoka epoksydowa</v>
      </c>
    </row>
    <row r="288" spans="1:33" x14ac:dyDescent="0.25">
      <c r="A288" s="842" t="s">
        <v>396</v>
      </c>
      <c r="B288" s="842" t="s">
        <v>3399</v>
      </c>
      <c r="C288" s="836">
        <v>525</v>
      </c>
      <c r="D288" s="836"/>
      <c r="E288" s="836"/>
      <c r="F288" s="836"/>
      <c r="G288" s="496" t="s">
        <v>7792</v>
      </c>
      <c r="H288" s="797" t="str">
        <f>VLOOKUP(G288,SETTINGS!$B$7:$D$97,2,0)</f>
        <v>EKOplus Waste Water</v>
      </c>
      <c r="I288" s="796">
        <f>VLOOKUP(G288,SETTINGS!$B$7:$D$97,3,0)</f>
        <v>0</v>
      </c>
      <c r="J288" s="670" t="str">
        <f>IFERROR(IF(CURRENCY.FORMAT_1=0,CONCATENATE(TEXT(FIXED(ROUND((C288/EXC.RATE_1),CURRENCY.FORMAT_1),CURRENCY.FORMAT_1,1),"# ##0;-# ##0"),",-"),FIXED(ROUND((C288/EXC.RATE_1),CURRENCY.FORMAT_1),CURRENCY.FORMAT_1,0)),'DICTIONARY-5'!$A$2)</f>
        <v>525,-</v>
      </c>
      <c r="K288" s="670" t="str">
        <f>IF(EXC.RATE_2=0,"",IFERROR(IF(CURRENCY.FORMAT_2=0,CONCATENATE(TEXT(FIXED(ROUND(IF(EXC.RATE.SWITCH=1,C288/EXC.RATE_2,C288*EXC.RATE_2),CURRENCY.FORMAT_2),CURRENCY.FORMAT_2,1),"# ##0;-# ##0"),",-"),FIXED(ROUND(IF(EXC.RATE.SWITCH=1,C288/EXC.RATE_2,C288*EXC.RATE_2),CURRENCY.FORMAT_2),CURRENCY.FORMAT_2,0)),'DICTIONARY-5'!$A$2))</f>
        <v/>
      </c>
      <c r="L288" s="670" t="str">
        <f>IFERROR(IF(CURRENCY.FORMAT_1=0,CONCATENATE(TEXT(FIXED(ROUND((C288*(1-I288)*(1-ADD.DISCOUNT)*(1+MAT.SURCHARGE)/EXC.RATE_1),CURRENCY.FORMAT_1),CURRENCY.FORMAT_1,1),"# ##0;-# ##0"),",-"),FIXED(ROUND((C288*(1-I288)*(1-ADD.DISCOUNT)*(1+MAT.SURCHARGE)/EXC.RATE_1),CURRENCY.FORMAT_1),CURRENCY.FORMAT_1,0)),'DICTIONARY-5'!$A$2)</f>
        <v>545,-</v>
      </c>
      <c r="M288" s="670" t="str">
        <f>IF(EXC.RATE_2=0,"",IFERROR(IF(CURRENCY.FORMAT_2=0,CONCATENATE(TEXT(FIXED(ROUND(IF(EXC.RATE.SWITCH=1,C288*(1-I288)*(1-ADD.DISCOUNT)*(1+MAT.SURCHARGE)/EXC.RATE_2,C288*(1-I288)*(1-ADD.DISCOUNT)*(1+MAT.SURCHARGE)*EXC.RATE_2),CURRENCY.FORMAT_2),CURRENCY.FORMAT_2,1),"# ##0;-# ##0"),",-"),FIXED(ROUND(IF(EXC.RATE.SWITCH=1,C288*(1-I288)*(1-ADD.DISCOUNT)*(1+MAT.SURCHARGE)/EXC.RATE_2,C288*(1-I288)*(1-ADD.DISCOUNT)*(1+MAT.SURCHARGE)*EXC.RATE_2),CURRENCY.FORMAT_2),CURRENCY.FORMAT_2,0)),'DICTIONARY-5'!$A$2))</f>
        <v/>
      </c>
      <c r="N288" s="544">
        <v>1</v>
      </c>
      <c r="O288" s="544"/>
      <c r="P288" s="731" t="str">
        <f>'DICTIONARY-3'!$A$2</f>
        <v>EKOplus</v>
      </c>
      <c r="Q288" s="732" t="str">
        <f>'DICTIONARY-3'!$A$187</f>
        <v>Zasuwa klinowa</v>
      </c>
      <c r="R288" s="732" t="str">
        <f>CONCATENATE('DICTIONARY-3'!$A$2," ",'DICTIONARY-6'!$A$3," ",'DICTIONARY-2'!$A$2,"200"," ",'DICTIONARY-2'!$A$3,"16"," ","R14",", ",'DICTIONARY-5'!$A$45,", ",'DICTIONARY-4'!$A$2)</f>
        <v>EKOplus Zasuwa DN200 PN16 R14, NBR, WW</v>
      </c>
      <c r="S288" s="733" t="str">
        <f>'DICTIONARY-4'!$A$2</f>
        <v>WW</v>
      </c>
      <c r="T288" s="732" t="str">
        <f>'DICTIONARY-4'!$A$18</f>
        <v>Wolny wałek</v>
      </c>
      <c r="U288" s="734" t="s">
        <v>5750</v>
      </c>
      <c r="V288" s="735">
        <v>16</v>
      </c>
      <c r="W288" s="736"/>
      <c r="X288" s="737"/>
      <c r="Y288" s="738"/>
      <c r="Z288" s="739"/>
      <c r="AA288" s="739"/>
      <c r="AB288" s="740">
        <v>16</v>
      </c>
      <c r="AC288" s="741" t="str">
        <f>'DICTIONARY-5'!$A$11&amp;" 14"</f>
        <v>EN 558 szereg 14</v>
      </c>
      <c r="AD288" s="741" t="str">
        <f>'DICTIONARY-5'!$A$14</f>
        <v>ścieki</v>
      </c>
      <c r="AE288" s="742">
        <v>50</v>
      </c>
      <c r="AF288" s="743">
        <v>54</v>
      </c>
      <c r="AG288" s="741" t="str">
        <f>'DICTIONARY-5'!$A$23</f>
        <v>powłoka epoksydowa</v>
      </c>
    </row>
    <row r="289" spans="1:33" x14ac:dyDescent="0.25">
      <c r="A289" s="842" t="s">
        <v>398</v>
      </c>
      <c r="B289" s="842" t="s">
        <v>3336</v>
      </c>
      <c r="C289" s="836">
        <v>814</v>
      </c>
      <c r="D289" s="836"/>
      <c r="E289" s="836"/>
      <c r="F289" s="836"/>
      <c r="G289" s="496" t="s">
        <v>7792</v>
      </c>
      <c r="H289" s="797" t="str">
        <f>VLOOKUP(G289,SETTINGS!$B$7:$D$97,2,0)</f>
        <v>EKOplus Waste Water</v>
      </c>
      <c r="I289" s="796">
        <f>VLOOKUP(G289,SETTINGS!$B$7:$D$97,3,0)</f>
        <v>0</v>
      </c>
      <c r="J289" s="670" t="str">
        <f>IFERROR(IF(CURRENCY.FORMAT_1=0,CONCATENATE(TEXT(FIXED(ROUND((C289/EXC.RATE_1),CURRENCY.FORMAT_1),CURRENCY.FORMAT_1,1),"# ##0;-# ##0"),",-"),FIXED(ROUND((C289/EXC.RATE_1),CURRENCY.FORMAT_1),CURRENCY.FORMAT_1,0)),'DICTIONARY-5'!$A$2)</f>
        <v>814,-</v>
      </c>
      <c r="K289" s="670" t="str">
        <f>IF(EXC.RATE_2=0,"",IFERROR(IF(CURRENCY.FORMAT_2=0,CONCATENATE(TEXT(FIXED(ROUND(IF(EXC.RATE.SWITCH=1,C289/EXC.RATE_2,C289*EXC.RATE_2),CURRENCY.FORMAT_2),CURRENCY.FORMAT_2,1),"# ##0;-# ##0"),",-"),FIXED(ROUND(IF(EXC.RATE.SWITCH=1,C289/EXC.RATE_2,C289*EXC.RATE_2),CURRENCY.FORMAT_2),CURRENCY.FORMAT_2,0)),'DICTIONARY-5'!$A$2))</f>
        <v/>
      </c>
      <c r="L289" s="670" t="str">
        <f>IFERROR(IF(CURRENCY.FORMAT_1=0,CONCATENATE(TEXT(FIXED(ROUND((C289*(1-I289)*(1-ADD.DISCOUNT)*(1+MAT.SURCHARGE)/EXC.RATE_1),CURRENCY.FORMAT_1),CURRENCY.FORMAT_1,1),"# ##0;-# ##0"),",-"),FIXED(ROUND((C289*(1-I289)*(1-ADD.DISCOUNT)*(1+MAT.SURCHARGE)/EXC.RATE_1),CURRENCY.FORMAT_1),CURRENCY.FORMAT_1,0)),'DICTIONARY-5'!$A$2)</f>
        <v>846,-</v>
      </c>
      <c r="M289" s="670" t="str">
        <f>IF(EXC.RATE_2=0,"",IFERROR(IF(CURRENCY.FORMAT_2=0,CONCATENATE(TEXT(FIXED(ROUND(IF(EXC.RATE.SWITCH=1,C289*(1-I289)*(1-ADD.DISCOUNT)*(1+MAT.SURCHARGE)/EXC.RATE_2,C289*(1-I289)*(1-ADD.DISCOUNT)*(1+MAT.SURCHARGE)*EXC.RATE_2),CURRENCY.FORMAT_2),CURRENCY.FORMAT_2,1),"# ##0;-# ##0"),",-"),FIXED(ROUND(IF(EXC.RATE.SWITCH=1,C289*(1-I289)*(1-ADD.DISCOUNT)*(1+MAT.SURCHARGE)/EXC.RATE_2,C289*(1-I289)*(1-ADD.DISCOUNT)*(1+MAT.SURCHARGE)*EXC.RATE_2),CURRENCY.FORMAT_2),CURRENCY.FORMAT_2,0)),'DICTIONARY-5'!$A$2))</f>
        <v/>
      </c>
      <c r="N289" s="544">
        <v>1</v>
      </c>
      <c r="O289" s="544"/>
      <c r="P289" s="731" t="str">
        <f>'DICTIONARY-3'!$A$2</f>
        <v>EKOplus</v>
      </c>
      <c r="Q289" s="732" t="str">
        <f>'DICTIONARY-3'!$A$187</f>
        <v>Zasuwa klinowa</v>
      </c>
      <c r="R289" s="732" t="str">
        <f>CONCATENATE('DICTIONARY-3'!$A$2," ",'DICTIONARY-6'!$A$3," ",'DICTIONARY-2'!$A$2,"250"," ",'DICTIONARY-2'!$A$3,"10"," ","R14",", ",'DICTIONARY-5'!$A$45,", ",'DICTIONARY-4'!$A$2)</f>
        <v>EKOplus Zasuwa DN250 PN10 R14, NBR, WW</v>
      </c>
      <c r="S289" s="733" t="str">
        <f>'DICTIONARY-4'!$A$2</f>
        <v>WW</v>
      </c>
      <c r="T289" s="732" t="str">
        <f>'DICTIONARY-4'!$A$18</f>
        <v>Wolny wałek</v>
      </c>
      <c r="U289" s="734" t="s">
        <v>5751</v>
      </c>
      <c r="V289" s="735">
        <v>10</v>
      </c>
      <c r="W289" s="736"/>
      <c r="X289" s="737"/>
      <c r="Y289" s="738"/>
      <c r="Z289" s="739"/>
      <c r="AA289" s="739"/>
      <c r="AB289" s="740">
        <v>10</v>
      </c>
      <c r="AC289" s="741" t="str">
        <f>'DICTIONARY-5'!$A$11&amp;" 14"</f>
        <v>EN 558 szereg 14</v>
      </c>
      <c r="AD289" s="741" t="str">
        <f>'DICTIONARY-5'!$A$14</f>
        <v>ścieki</v>
      </c>
      <c r="AE289" s="742">
        <v>50</v>
      </c>
      <c r="AF289" s="743">
        <v>86</v>
      </c>
      <c r="AG289" s="741" t="str">
        <f>'DICTIONARY-5'!$A$23</f>
        <v>powłoka epoksydowa</v>
      </c>
    </row>
    <row r="290" spans="1:33" x14ac:dyDescent="0.25">
      <c r="A290" s="842" t="s">
        <v>400</v>
      </c>
      <c r="B290" s="842" t="s">
        <v>3402</v>
      </c>
      <c r="C290" s="836">
        <v>815</v>
      </c>
      <c r="D290" s="836"/>
      <c r="E290" s="836"/>
      <c r="F290" s="836"/>
      <c r="G290" s="496" t="s">
        <v>7792</v>
      </c>
      <c r="H290" s="797" t="str">
        <f>VLOOKUP(G290,SETTINGS!$B$7:$D$97,2,0)</f>
        <v>EKOplus Waste Water</v>
      </c>
      <c r="I290" s="796">
        <f>VLOOKUP(G290,SETTINGS!$B$7:$D$97,3,0)</f>
        <v>0</v>
      </c>
      <c r="J290" s="670" t="str">
        <f>IFERROR(IF(CURRENCY.FORMAT_1=0,CONCATENATE(TEXT(FIXED(ROUND((C290/EXC.RATE_1),CURRENCY.FORMAT_1),CURRENCY.FORMAT_1,1),"# ##0;-# ##0"),",-"),FIXED(ROUND((C290/EXC.RATE_1),CURRENCY.FORMAT_1),CURRENCY.FORMAT_1,0)),'DICTIONARY-5'!$A$2)</f>
        <v>815,-</v>
      </c>
      <c r="K290" s="670" t="str">
        <f>IF(EXC.RATE_2=0,"",IFERROR(IF(CURRENCY.FORMAT_2=0,CONCATENATE(TEXT(FIXED(ROUND(IF(EXC.RATE.SWITCH=1,C290/EXC.RATE_2,C290*EXC.RATE_2),CURRENCY.FORMAT_2),CURRENCY.FORMAT_2,1),"# ##0;-# ##0"),",-"),FIXED(ROUND(IF(EXC.RATE.SWITCH=1,C290/EXC.RATE_2,C290*EXC.RATE_2),CURRENCY.FORMAT_2),CURRENCY.FORMAT_2,0)),'DICTIONARY-5'!$A$2))</f>
        <v/>
      </c>
      <c r="L290" s="670" t="str">
        <f>IFERROR(IF(CURRENCY.FORMAT_1=0,CONCATENATE(TEXT(FIXED(ROUND((C290*(1-I290)*(1-ADD.DISCOUNT)*(1+MAT.SURCHARGE)/EXC.RATE_1),CURRENCY.FORMAT_1),CURRENCY.FORMAT_1,1),"# ##0;-# ##0"),",-"),FIXED(ROUND((C290*(1-I290)*(1-ADD.DISCOUNT)*(1+MAT.SURCHARGE)/EXC.RATE_1),CURRENCY.FORMAT_1),CURRENCY.FORMAT_1,0)),'DICTIONARY-5'!$A$2)</f>
        <v>847,-</v>
      </c>
      <c r="M290" s="670" t="str">
        <f>IF(EXC.RATE_2=0,"",IFERROR(IF(CURRENCY.FORMAT_2=0,CONCATENATE(TEXT(FIXED(ROUND(IF(EXC.RATE.SWITCH=1,C290*(1-I290)*(1-ADD.DISCOUNT)*(1+MAT.SURCHARGE)/EXC.RATE_2,C290*(1-I290)*(1-ADD.DISCOUNT)*(1+MAT.SURCHARGE)*EXC.RATE_2),CURRENCY.FORMAT_2),CURRENCY.FORMAT_2,1),"# ##0;-# ##0"),",-"),FIXED(ROUND(IF(EXC.RATE.SWITCH=1,C290*(1-I290)*(1-ADD.DISCOUNT)*(1+MAT.SURCHARGE)/EXC.RATE_2,C290*(1-I290)*(1-ADD.DISCOUNT)*(1+MAT.SURCHARGE)*EXC.RATE_2),CURRENCY.FORMAT_2),CURRENCY.FORMAT_2,0)),'DICTIONARY-5'!$A$2))</f>
        <v/>
      </c>
      <c r="N290" s="544">
        <v>1</v>
      </c>
      <c r="O290" s="544"/>
      <c r="P290" s="731" t="str">
        <f>'DICTIONARY-3'!$A$2</f>
        <v>EKOplus</v>
      </c>
      <c r="Q290" s="732" t="str">
        <f>'DICTIONARY-3'!$A$187</f>
        <v>Zasuwa klinowa</v>
      </c>
      <c r="R290" s="732" t="str">
        <f>CONCATENATE('DICTIONARY-3'!$A$2," ",'DICTIONARY-6'!$A$3," ",'DICTIONARY-2'!$A$2,"250"," ",'DICTIONARY-2'!$A$3,"16"," ","R14",", ",'DICTIONARY-5'!$A$45,", ",'DICTIONARY-4'!$A$2)</f>
        <v>EKOplus Zasuwa DN250 PN16 R14, NBR, WW</v>
      </c>
      <c r="S290" s="733" t="str">
        <f>'DICTIONARY-4'!$A$2</f>
        <v>WW</v>
      </c>
      <c r="T290" s="732" t="str">
        <f>'DICTIONARY-4'!$A$18</f>
        <v>Wolny wałek</v>
      </c>
      <c r="U290" s="734" t="s">
        <v>5751</v>
      </c>
      <c r="V290" s="735">
        <v>16</v>
      </c>
      <c r="W290" s="736"/>
      <c r="X290" s="737"/>
      <c r="Y290" s="738"/>
      <c r="Z290" s="739"/>
      <c r="AA290" s="739"/>
      <c r="AB290" s="740">
        <v>16</v>
      </c>
      <c r="AC290" s="741" t="str">
        <f>'DICTIONARY-5'!$A$11&amp;" 14"</f>
        <v>EN 558 szereg 14</v>
      </c>
      <c r="AD290" s="741" t="str">
        <f>'DICTIONARY-5'!$A$14</f>
        <v>ścieki</v>
      </c>
      <c r="AE290" s="742">
        <v>50</v>
      </c>
      <c r="AF290" s="743">
        <v>86</v>
      </c>
      <c r="AG290" s="741" t="str">
        <f>'DICTIONARY-5'!$A$23</f>
        <v>powłoka epoksydowa</v>
      </c>
    </row>
    <row r="291" spans="1:33" x14ac:dyDescent="0.25">
      <c r="A291" s="842" t="s">
        <v>402</v>
      </c>
      <c r="B291" s="842" t="s">
        <v>3339</v>
      </c>
      <c r="C291" s="836">
        <v>963</v>
      </c>
      <c r="D291" s="836"/>
      <c r="E291" s="836"/>
      <c r="F291" s="836"/>
      <c r="G291" s="496" t="s">
        <v>7792</v>
      </c>
      <c r="H291" s="797" t="str">
        <f>VLOOKUP(G291,SETTINGS!$B$7:$D$97,2,0)</f>
        <v>EKOplus Waste Water</v>
      </c>
      <c r="I291" s="796">
        <f>VLOOKUP(G291,SETTINGS!$B$7:$D$97,3,0)</f>
        <v>0</v>
      </c>
      <c r="J291" s="670" t="str">
        <f>IFERROR(IF(CURRENCY.FORMAT_1=0,CONCATENATE(TEXT(FIXED(ROUND((C291/EXC.RATE_1),CURRENCY.FORMAT_1),CURRENCY.FORMAT_1,1),"# ##0;-# ##0"),",-"),FIXED(ROUND((C291/EXC.RATE_1),CURRENCY.FORMAT_1),CURRENCY.FORMAT_1,0)),'DICTIONARY-5'!$A$2)</f>
        <v>963,-</v>
      </c>
      <c r="K291" s="670" t="str">
        <f>IF(EXC.RATE_2=0,"",IFERROR(IF(CURRENCY.FORMAT_2=0,CONCATENATE(TEXT(FIXED(ROUND(IF(EXC.RATE.SWITCH=1,C291/EXC.RATE_2,C291*EXC.RATE_2),CURRENCY.FORMAT_2),CURRENCY.FORMAT_2,1),"# ##0;-# ##0"),",-"),FIXED(ROUND(IF(EXC.RATE.SWITCH=1,C291/EXC.RATE_2,C291*EXC.RATE_2),CURRENCY.FORMAT_2),CURRENCY.FORMAT_2,0)),'DICTIONARY-5'!$A$2))</f>
        <v/>
      </c>
      <c r="L291" s="670" t="str">
        <f>IFERROR(IF(CURRENCY.FORMAT_1=0,CONCATENATE(TEXT(FIXED(ROUND((C291*(1-I291)*(1-ADD.DISCOUNT)*(1+MAT.SURCHARGE)/EXC.RATE_1),CURRENCY.FORMAT_1),CURRENCY.FORMAT_1,1),"# ##0;-# ##0"),",-"),FIXED(ROUND((C291*(1-I291)*(1-ADD.DISCOUNT)*(1+MAT.SURCHARGE)/EXC.RATE_1),CURRENCY.FORMAT_1),CURRENCY.FORMAT_1,0)),'DICTIONARY-5'!$A$2)</f>
        <v>1 001,-</v>
      </c>
      <c r="M291" s="670" t="str">
        <f>IF(EXC.RATE_2=0,"",IFERROR(IF(CURRENCY.FORMAT_2=0,CONCATENATE(TEXT(FIXED(ROUND(IF(EXC.RATE.SWITCH=1,C291*(1-I291)*(1-ADD.DISCOUNT)*(1+MAT.SURCHARGE)/EXC.RATE_2,C291*(1-I291)*(1-ADD.DISCOUNT)*(1+MAT.SURCHARGE)*EXC.RATE_2),CURRENCY.FORMAT_2),CURRENCY.FORMAT_2,1),"# ##0;-# ##0"),",-"),FIXED(ROUND(IF(EXC.RATE.SWITCH=1,C291*(1-I291)*(1-ADD.DISCOUNT)*(1+MAT.SURCHARGE)/EXC.RATE_2,C291*(1-I291)*(1-ADD.DISCOUNT)*(1+MAT.SURCHARGE)*EXC.RATE_2),CURRENCY.FORMAT_2),CURRENCY.FORMAT_2,0)),'DICTIONARY-5'!$A$2))</f>
        <v/>
      </c>
      <c r="N291" s="544">
        <v>1</v>
      </c>
      <c r="O291" s="544"/>
      <c r="P291" s="731" t="str">
        <f>'DICTIONARY-3'!$A$2</f>
        <v>EKOplus</v>
      </c>
      <c r="Q291" s="732" t="str">
        <f>'DICTIONARY-3'!$A$187</f>
        <v>Zasuwa klinowa</v>
      </c>
      <c r="R291" s="732" t="str">
        <f>CONCATENATE('DICTIONARY-3'!$A$2," ",'DICTIONARY-6'!$A$3," ",'DICTIONARY-2'!$A$2,"300"," ",'DICTIONARY-2'!$A$3,"10"," ","R14",", ",'DICTIONARY-5'!$A$45,", ",'DICTIONARY-4'!$A$2)</f>
        <v>EKOplus Zasuwa DN300 PN10 R14, NBR, WW</v>
      </c>
      <c r="S291" s="733" t="str">
        <f>'DICTIONARY-4'!$A$2</f>
        <v>WW</v>
      </c>
      <c r="T291" s="732" t="str">
        <f>'DICTIONARY-4'!$A$18</f>
        <v>Wolny wałek</v>
      </c>
      <c r="U291" s="734" t="s">
        <v>5752</v>
      </c>
      <c r="V291" s="735">
        <v>10</v>
      </c>
      <c r="W291" s="736"/>
      <c r="X291" s="737"/>
      <c r="Y291" s="738"/>
      <c r="Z291" s="739"/>
      <c r="AA291" s="739"/>
      <c r="AB291" s="740">
        <v>10</v>
      </c>
      <c r="AC291" s="741" t="str">
        <f>'DICTIONARY-5'!$A$11&amp;" 14"</f>
        <v>EN 558 szereg 14</v>
      </c>
      <c r="AD291" s="741" t="str">
        <f>'DICTIONARY-5'!$A$14</f>
        <v>ścieki</v>
      </c>
      <c r="AE291" s="742">
        <v>50</v>
      </c>
      <c r="AF291" s="743">
        <v>116</v>
      </c>
      <c r="AG291" s="741" t="str">
        <f>'DICTIONARY-5'!$A$23</f>
        <v>powłoka epoksydowa</v>
      </c>
    </row>
    <row r="292" spans="1:33" x14ac:dyDescent="0.25">
      <c r="A292" s="842" t="s">
        <v>404</v>
      </c>
      <c r="B292" s="842" t="s">
        <v>3406</v>
      </c>
      <c r="C292" s="836">
        <v>952</v>
      </c>
      <c r="D292" s="836"/>
      <c r="E292" s="836"/>
      <c r="F292" s="836"/>
      <c r="G292" s="496" t="s">
        <v>7792</v>
      </c>
      <c r="H292" s="797" t="str">
        <f>VLOOKUP(G292,SETTINGS!$B$7:$D$97,2,0)</f>
        <v>EKOplus Waste Water</v>
      </c>
      <c r="I292" s="796">
        <f>VLOOKUP(G292,SETTINGS!$B$7:$D$97,3,0)</f>
        <v>0</v>
      </c>
      <c r="J292" s="670" t="str">
        <f>IFERROR(IF(CURRENCY.FORMAT_1=0,CONCATENATE(TEXT(FIXED(ROUND((C292/EXC.RATE_1),CURRENCY.FORMAT_1),CURRENCY.FORMAT_1,1),"# ##0;-# ##0"),",-"),FIXED(ROUND((C292/EXC.RATE_1),CURRENCY.FORMAT_1),CURRENCY.FORMAT_1,0)),'DICTIONARY-5'!$A$2)</f>
        <v>952,-</v>
      </c>
      <c r="K292" s="670" t="str">
        <f>IF(EXC.RATE_2=0,"",IFERROR(IF(CURRENCY.FORMAT_2=0,CONCATENATE(TEXT(FIXED(ROUND(IF(EXC.RATE.SWITCH=1,C292/EXC.RATE_2,C292*EXC.RATE_2),CURRENCY.FORMAT_2),CURRENCY.FORMAT_2,1),"# ##0;-# ##0"),",-"),FIXED(ROUND(IF(EXC.RATE.SWITCH=1,C292/EXC.RATE_2,C292*EXC.RATE_2),CURRENCY.FORMAT_2),CURRENCY.FORMAT_2,0)),'DICTIONARY-5'!$A$2))</f>
        <v/>
      </c>
      <c r="L292" s="670" t="str">
        <f>IFERROR(IF(CURRENCY.FORMAT_1=0,CONCATENATE(TEXT(FIXED(ROUND((C292*(1-I292)*(1-ADD.DISCOUNT)*(1+MAT.SURCHARGE)/EXC.RATE_1),CURRENCY.FORMAT_1),CURRENCY.FORMAT_1,1),"# ##0;-# ##0"),",-"),FIXED(ROUND((C292*(1-I292)*(1-ADD.DISCOUNT)*(1+MAT.SURCHARGE)/EXC.RATE_1),CURRENCY.FORMAT_1),CURRENCY.FORMAT_1,0)),'DICTIONARY-5'!$A$2)</f>
        <v>989,-</v>
      </c>
      <c r="M292" s="670" t="str">
        <f>IF(EXC.RATE_2=0,"",IFERROR(IF(CURRENCY.FORMAT_2=0,CONCATENATE(TEXT(FIXED(ROUND(IF(EXC.RATE.SWITCH=1,C292*(1-I292)*(1-ADD.DISCOUNT)*(1+MAT.SURCHARGE)/EXC.RATE_2,C292*(1-I292)*(1-ADD.DISCOUNT)*(1+MAT.SURCHARGE)*EXC.RATE_2),CURRENCY.FORMAT_2),CURRENCY.FORMAT_2,1),"# ##0;-# ##0"),",-"),FIXED(ROUND(IF(EXC.RATE.SWITCH=1,C292*(1-I292)*(1-ADD.DISCOUNT)*(1+MAT.SURCHARGE)/EXC.RATE_2,C292*(1-I292)*(1-ADD.DISCOUNT)*(1+MAT.SURCHARGE)*EXC.RATE_2),CURRENCY.FORMAT_2),CURRENCY.FORMAT_2,0)),'DICTIONARY-5'!$A$2))</f>
        <v/>
      </c>
      <c r="N292" s="544">
        <v>1</v>
      </c>
      <c r="O292" s="544"/>
      <c r="P292" s="731" t="str">
        <f>'DICTIONARY-3'!$A$2</f>
        <v>EKOplus</v>
      </c>
      <c r="Q292" s="732" t="str">
        <f>'DICTIONARY-3'!$A$187</f>
        <v>Zasuwa klinowa</v>
      </c>
      <c r="R292" s="732" t="str">
        <f>CONCATENATE('DICTIONARY-3'!$A$2," ",'DICTIONARY-6'!$A$3," ",'DICTIONARY-2'!$A$2,"300"," ",'DICTIONARY-2'!$A$3,"16"," ","R14",", ",'DICTIONARY-5'!$A$45,", ",'DICTIONARY-4'!$A$2)</f>
        <v>EKOplus Zasuwa DN300 PN16 R14, NBR, WW</v>
      </c>
      <c r="S292" s="733" t="str">
        <f>'DICTIONARY-4'!$A$2</f>
        <v>WW</v>
      </c>
      <c r="T292" s="732" t="str">
        <f>'DICTIONARY-4'!$A$18</f>
        <v>Wolny wałek</v>
      </c>
      <c r="U292" s="734" t="s">
        <v>5752</v>
      </c>
      <c r="V292" s="735">
        <v>16</v>
      </c>
      <c r="W292" s="736"/>
      <c r="X292" s="737"/>
      <c r="Y292" s="738"/>
      <c r="Z292" s="739"/>
      <c r="AA292" s="739"/>
      <c r="AB292" s="740">
        <v>16</v>
      </c>
      <c r="AC292" s="741" t="str">
        <f>'DICTIONARY-5'!$A$11&amp;" 14"</f>
        <v>EN 558 szereg 14</v>
      </c>
      <c r="AD292" s="741" t="str">
        <f>'DICTIONARY-5'!$A$14</f>
        <v>ścieki</v>
      </c>
      <c r="AE292" s="742">
        <v>50</v>
      </c>
      <c r="AF292" s="743">
        <v>114.5</v>
      </c>
      <c r="AG292" s="741" t="str">
        <f>'DICTIONARY-5'!$A$23</f>
        <v>powłoka epoksydowa</v>
      </c>
    </row>
    <row r="293" spans="1:33" x14ac:dyDescent="0.25">
      <c r="A293" s="843" t="s">
        <v>7864</v>
      </c>
      <c r="B293" s="843" t="s">
        <v>7865</v>
      </c>
      <c r="C293" s="836">
        <v>2259</v>
      </c>
      <c r="D293" s="836"/>
      <c r="E293" s="836"/>
      <c r="F293" s="836"/>
      <c r="G293" s="496" t="s">
        <v>7792</v>
      </c>
      <c r="H293" s="797" t="str">
        <f>VLOOKUP(G293,SETTINGS!$B$7:$D$97,2,0)</f>
        <v>EKOplus Waste Water</v>
      </c>
      <c r="I293" s="796">
        <f>VLOOKUP(G293,SETTINGS!$B$7:$D$97,3,0)</f>
        <v>0</v>
      </c>
      <c r="J293" s="670" t="str">
        <f>IFERROR(IF(CURRENCY.FORMAT_1=0,CONCATENATE(TEXT(FIXED(ROUND((C293/EXC.RATE_1),CURRENCY.FORMAT_1),CURRENCY.FORMAT_1,1),"# ##0;-# ##0"),",-"),FIXED(ROUND((C293/EXC.RATE_1),CURRENCY.FORMAT_1),CURRENCY.FORMAT_1,0)),'DICTIONARY-5'!$A$2)</f>
        <v>2 259,-</v>
      </c>
      <c r="K293" s="670" t="str">
        <f>IF(EXC.RATE_2=0,"",IFERROR(IF(CURRENCY.FORMAT_2=0,CONCATENATE(TEXT(FIXED(ROUND(IF(EXC.RATE.SWITCH=1,C293/EXC.RATE_2,C293*EXC.RATE_2),CURRENCY.FORMAT_2),CURRENCY.FORMAT_2,1),"# ##0;-# ##0"),",-"),FIXED(ROUND(IF(EXC.RATE.SWITCH=1,C293/EXC.RATE_2,C293*EXC.RATE_2),CURRENCY.FORMAT_2),CURRENCY.FORMAT_2,0)),'DICTIONARY-5'!$A$2))</f>
        <v/>
      </c>
      <c r="L293" s="670" t="str">
        <f>IFERROR(IF(CURRENCY.FORMAT_1=0,CONCATENATE(TEXT(FIXED(ROUND((C293*(1-I293)*(1-ADD.DISCOUNT)*(1+MAT.SURCHARGE)/EXC.RATE_1),CURRENCY.FORMAT_1),CURRENCY.FORMAT_1,1),"# ##0;-# ##0"),",-"),FIXED(ROUND((C293*(1-I293)*(1-ADD.DISCOUNT)*(1+MAT.SURCHARGE)/EXC.RATE_1),CURRENCY.FORMAT_1),CURRENCY.FORMAT_1,0)),'DICTIONARY-5'!$A$2)</f>
        <v>2 347,-</v>
      </c>
      <c r="M293" s="670" t="str">
        <f>IF(EXC.RATE_2=0,"",IFERROR(IF(CURRENCY.FORMAT_2=0,CONCATENATE(TEXT(FIXED(ROUND(IF(EXC.RATE.SWITCH=1,C293*(1-I293)*(1-ADD.DISCOUNT)*(1+MAT.SURCHARGE)/EXC.RATE_2,C293*(1-I293)*(1-ADD.DISCOUNT)*(1+MAT.SURCHARGE)*EXC.RATE_2),CURRENCY.FORMAT_2),CURRENCY.FORMAT_2,1),"# ##0;-# ##0"),",-"),FIXED(ROUND(IF(EXC.RATE.SWITCH=1,C293*(1-I293)*(1-ADD.DISCOUNT)*(1+MAT.SURCHARGE)/EXC.RATE_2,C293*(1-I293)*(1-ADD.DISCOUNT)*(1+MAT.SURCHARGE)*EXC.RATE_2),CURRENCY.FORMAT_2),CURRENCY.FORMAT_2,0)),'DICTIONARY-5'!$A$2))</f>
        <v/>
      </c>
      <c r="N293" s="544">
        <v>1</v>
      </c>
      <c r="O293" s="544"/>
      <c r="P293" s="731" t="str">
        <f>'DICTIONARY-3'!$A$2</f>
        <v>EKOplus</v>
      </c>
      <c r="Q293" s="732" t="str">
        <f>'DICTIONARY-3'!$A$187</f>
        <v>Zasuwa klinowa</v>
      </c>
      <c r="R293" s="732" t="str">
        <f>CONCATENATE('DICTIONARY-3'!$A$2," ",'DICTIONARY-6'!$A$3," ",'DICTIONARY-2'!$A$2,"350"," ",'DICTIONARY-2'!$A$3,"10"," ","R14",", ",'DICTIONARY-5'!$A$45,", ",'DICTIONARY-4'!$A$2)</f>
        <v>EKOplus Zasuwa DN350 PN10 R14, NBR, WW</v>
      </c>
      <c r="S293" s="733" t="str">
        <f>'DICTIONARY-4'!$A$2</f>
        <v>WW</v>
      </c>
      <c r="T293" s="732" t="str">
        <f>'DICTIONARY-4'!$A$18</f>
        <v>Wolny wałek</v>
      </c>
      <c r="U293" s="734" t="s">
        <v>5753</v>
      </c>
      <c r="V293" s="735">
        <v>10</v>
      </c>
      <c r="W293" s="736"/>
      <c r="X293" s="737"/>
      <c r="Y293" s="738"/>
      <c r="Z293" s="739"/>
      <c r="AA293" s="739"/>
      <c r="AB293" s="740">
        <v>10</v>
      </c>
      <c r="AC293" s="741" t="str">
        <f>'DICTIONARY-5'!$A$11&amp;" 14"</f>
        <v>EN 558 szereg 14</v>
      </c>
      <c r="AD293" s="741" t="str">
        <f>'DICTIONARY-5'!$A$14</f>
        <v>ścieki</v>
      </c>
      <c r="AE293" s="742">
        <v>50</v>
      </c>
      <c r="AF293" s="743">
        <v>257</v>
      </c>
      <c r="AG293" s="741" t="str">
        <f>'DICTIONARY-5'!$A$23</f>
        <v>powłoka epoksydowa</v>
      </c>
    </row>
    <row r="294" spans="1:33" x14ac:dyDescent="0.25">
      <c r="A294" s="843" t="s">
        <v>7866</v>
      </c>
      <c r="B294" s="843" t="s">
        <v>7867</v>
      </c>
      <c r="C294" s="836">
        <v>2188</v>
      </c>
      <c r="D294" s="836"/>
      <c r="E294" s="836"/>
      <c r="F294" s="836"/>
      <c r="G294" s="496" t="s">
        <v>7792</v>
      </c>
      <c r="H294" s="797" t="str">
        <f>VLOOKUP(G294,SETTINGS!$B$7:$D$97,2,0)</f>
        <v>EKOplus Waste Water</v>
      </c>
      <c r="I294" s="796">
        <f>VLOOKUP(G294,SETTINGS!$B$7:$D$97,3,0)</f>
        <v>0</v>
      </c>
      <c r="J294" s="670" t="str">
        <f>IFERROR(IF(CURRENCY.FORMAT_1=0,CONCATENATE(TEXT(FIXED(ROUND((C294/EXC.RATE_1),CURRENCY.FORMAT_1),CURRENCY.FORMAT_1,1),"# ##0;-# ##0"),",-"),FIXED(ROUND((C294/EXC.RATE_1),CURRENCY.FORMAT_1),CURRENCY.FORMAT_1,0)),'DICTIONARY-5'!$A$2)</f>
        <v>2 188,-</v>
      </c>
      <c r="K294" s="670" t="str">
        <f>IF(EXC.RATE_2=0,"",IFERROR(IF(CURRENCY.FORMAT_2=0,CONCATENATE(TEXT(FIXED(ROUND(IF(EXC.RATE.SWITCH=1,C294/EXC.RATE_2,C294*EXC.RATE_2),CURRENCY.FORMAT_2),CURRENCY.FORMAT_2,1),"# ##0;-# ##0"),",-"),FIXED(ROUND(IF(EXC.RATE.SWITCH=1,C294/EXC.RATE_2,C294*EXC.RATE_2),CURRENCY.FORMAT_2),CURRENCY.FORMAT_2,0)),'DICTIONARY-5'!$A$2))</f>
        <v/>
      </c>
      <c r="L294" s="670" t="str">
        <f>IFERROR(IF(CURRENCY.FORMAT_1=0,CONCATENATE(TEXT(FIXED(ROUND((C294*(1-I294)*(1-ADD.DISCOUNT)*(1+MAT.SURCHARGE)/EXC.RATE_1),CURRENCY.FORMAT_1),CURRENCY.FORMAT_1,1),"# ##0;-# ##0"),",-"),FIXED(ROUND((C294*(1-I294)*(1-ADD.DISCOUNT)*(1+MAT.SURCHARGE)/EXC.RATE_1),CURRENCY.FORMAT_1),CURRENCY.FORMAT_1,0)),'DICTIONARY-5'!$A$2)</f>
        <v>2 273,-</v>
      </c>
      <c r="M294" s="670" t="str">
        <f>IF(EXC.RATE_2=0,"",IFERROR(IF(CURRENCY.FORMAT_2=0,CONCATENATE(TEXT(FIXED(ROUND(IF(EXC.RATE.SWITCH=1,C294*(1-I294)*(1-ADD.DISCOUNT)*(1+MAT.SURCHARGE)/EXC.RATE_2,C294*(1-I294)*(1-ADD.DISCOUNT)*(1+MAT.SURCHARGE)*EXC.RATE_2),CURRENCY.FORMAT_2),CURRENCY.FORMAT_2,1),"# ##0;-# ##0"),",-"),FIXED(ROUND(IF(EXC.RATE.SWITCH=1,C294*(1-I294)*(1-ADD.DISCOUNT)*(1+MAT.SURCHARGE)/EXC.RATE_2,C294*(1-I294)*(1-ADD.DISCOUNT)*(1+MAT.SURCHARGE)*EXC.RATE_2),CURRENCY.FORMAT_2),CURRENCY.FORMAT_2,0)),'DICTIONARY-5'!$A$2))</f>
        <v/>
      </c>
      <c r="N294" s="544">
        <v>1</v>
      </c>
      <c r="O294" s="544"/>
      <c r="P294" s="731" t="str">
        <f>'DICTIONARY-3'!$A$2</f>
        <v>EKOplus</v>
      </c>
      <c r="Q294" s="732" t="str">
        <f>'DICTIONARY-3'!$A$187</f>
        <v>Zasuwa klinowa</v>
      </c>
      <c r="R294" s="732" t="str">
        <f>CONCATENATE('DICTIONARY-3'!$A$2," ",'DICTIONARY-6'!$A$3," ",'DICTIONARY-2'!$A$2,"350"," ",'DICTIONARY-2'!$A$3,"16"," ","R14",", ",'DICTIONARY-5'!$A$45,", ",'DICTIONARY-4'!$A$2)</f>
        <v>EKOplus Zasuwa DN350 PN16 R14, NBR, WW</v>
      </c>
      <c r="S294" s="733" t="str">
        <f>'DICTIONARY-4'!$A$2</f>
        <v>WW</v>
      </c>
      <c r="T294" s="732" t="str">
        <f>'DICTIONARY-4'!$A$18</f>
        <v>Wolny wałek</v>
      </c>
      <c r="U294" s="734" t="s">
        <v>5753</v>
      </c>
      <c r="V294" s="735">
        <v>16</v>
      </c>
      <c r="W294" s="736"/>
      <c r="X294" s="737"/>
      <c r="Y294" s="738"/>
      <c r="Z294" s="739"/>
      <c r="AA294" s="739"/>
      <c r="AB294" s="740">
        <v>16</v>
      </c>
      <c r="AC294" s="741" t="str">
        <f>'DICTIONARY-5'!$A$11&amp;" 14"</f>
        <v>EN 558 szereg 14</v>
      </c>
      <c r="AD294" s="741" t="str">
        <f>'DICTIONARY-5'!$A$14</f>
        <v>ścieki</v>
      </c>
      <c r="AE294" s="742">
        <v>50</v>
      </c>
      <c r="AF294" s="743">
        <v>247</v>
      </c>
      <c r="AG294" s="741" t="str">
        <f>'DICTIONARY-5'!$A$23</f>
        <v>powłoka epoksydowa</v>
      </c>
    </row>
    <row r="295" spans="1:33" x14ac:dyDescent="0.25">
      <c r="A295" s="843" t="s">
        <v>406</v>
      </c>
      <c r="B295" s="843" t="s">
        <v>3011</v>
      </c>
      <c r="C295" s="836">
        <v>2957</v>
      </c>
      <c r="D295" s="836"/>
      <c r="E295" s="836"/>
      <c r="F295" s="836"/>
      <c r="G295" s="496" t="s">
        <v>7792</v>
      </c>
      <c r="H295" s="797" t="str">
        <f>VLOOKUP(G295,SETTINGS!$B$7:$D$97,2,0)</f>
        <v>EKOplus Waste Water</v>
      </c>
      <c r="I295" s="796">
        <f>VLOOKUP(G295,SETTINGS!$B$7:$D$97,3,0)</f>
        <v>0</v>
      </c>
      <c r="J295" s="670" t="str">
        <f>IFERROR(IF(CURRENCY.FORMAT_1=0,CONCATENATE(TEXT(FIXED(ROUND((C295/EXC.RATE_1),CURRENCY.FORMAT_1),CURRENCY.FORMAT_1,1),"# ##0;-# ##0"),",-"),FIXED(ROUND((C295/EXC.RATE_1),CURRENCY.FORMAT_1),CURRENCY.FORMAT_1,0)),'DICTIONARY-5'!$A$2)</f>
        <v>2 957,-</v>
      </c>
      <c r="K295" s="670" t="str">
        <f>IF(EXC.RATE_2=0,"",IFERROR(IF(CURRENCY.FORMAT_2=0,CONCATENATE(TEXT(FIXED(ROUND(IF(EXC.RATE.SWITCH=1,C295/EXC.RATE_2,C295*EXC.RATE_2),CURRENCY.FORMAT_2),CURRENCY.FORMAT_2,1),"# ##0;-# ##0"),",-"),FIXED(ROUND(IF(EXC.RATE.SWITCH=1,C295/EXC.RATE_2,C295*EXC.RATE_2),CURRENCY.FORMAT_2),CURRENCY.FORMAT_2,0)),'DICTIONARY-5'!$A$2))</f>
        <v/>
      </c>
      <c r="L295" s="670" t="str">
        <f>IFERROR(IF(CURRENCY.FORMAT_1=0,CONCATENATE(TEXT(FIXED(ROUND((C295*(1-I295)*(1-ADD.DISCOUNT)*(1+MAT.SURCHARGE)/EXC.RATE_1),CURRENCY.FORMAT_1),CURRENCY.FORMAT_1,1),"# ##0;-# ##0"),",-"),FIXED(ROUND((C295*(1-I295)*(1-ADD.DISCOUNT)*(1+MAT.SURCHARGE)/EXC.RATE_1),CURRENCY.FORMAT_1),CURRENCY.FORMAT_1,0)),'DICTIONARY-5'!$A$2)</f>
        <v>3 072,-</v>
      </c>
      <c r="M295" s="670" t="str">
        <f>IF(EXC.RATE_2=0,"",IFERROR(IF(CURRENCY.FORMAT_2=0,CONCATENATE(TEXT(FIXED(ROUND(IF(EXC.RATE.SWITCH=1,C295*(1-I295)*(1-ADD.DISCOUNT)*(1+MAT.SURCHARGE)/EXC.RATE_2,C295*(1-I295)*(1-ADD.DISCOUNT)*(1+MAT.SURCHARGE)*EXC.RATE_2),CURRENCY.FORMAT_2),CURRENCY.FORMAT_2,1),"# ##0;-# ##0"),",-"),FIXED(ROUND(IF(EXC.RATE.SWITCH=1,C295*(1-I295)*(1-ADD.DISCOUNT)*(1+MAT.SURCHARGE)/EXC.RATE_2,C295*(1-I295)*(1-ADD.DISCOUNT)*(1+MAT.SURCHARGE)*EXC.RATE_2),CURRENCY.FORMAT_2),CURRENCY.FORMAT_2,0)),'DICTIONARY-5'!$A$2))</f>
        <v/>
      </c>
      <c r="N295" s="544">
        <v>1</v>
      </c>
      <c r="O295" s="544"/>
      <c r="P295" s="731" t="str">
        <f>'DICTIONARY-3'!$A$2</f>
        <v>EKOplus</v>
      </c>
      <c r="Q295" s="732" t="str">
        <f>'DICTIONARY-3'!$A$187</f>
        <v>Zasuwa klinowa</v>
      </c>
      <c r="R295" s="732" t="str">
        <f>CONCATENATE('DICTIONARY-3'!$A$2," ",'DICTIONARY-6'!$A$3," ",'DICTIONARY-2'!$A$2,"400"," ",'DICTIONARY-2'!$A$3,"10"," ","R14",", ",'DICTIONARY-5'!$A$45,", ",'DICTIONARY-4'!$A$2)</f>
        <v>EKOplus Zasuwa DN400 PN10 R14, NBR, WW</v>
      </c>
      <c r="S295" s="733" t="str">
        <f>'DICTIONARY-4'!$A$2</f>
        <v>WW</v>
      </c>
      <c r="T295" s="732" t="str">
        <f>'DICTIONARY-4'!$A$18</f>
        <v>Wolny wałek</v>
      </c>
      <c r="U295" s="734" t="s">
        <v>5754</v>
      </c>
      <c r="V295" s="735">
        <v>10</v>
      </c>
      <c r="W295" s="736"/>
      <c r="X295" s="737"/>
      <c r="Y295" s="738"/>
      <c r="Z295" s="739"/>
      <c r="AA295" s="739"/>
      <c r="AB295" s="740">
        <v>10</v>
      </c>
      <c r="AC295" s="741" t="str">
        <f>'DICTIONARY-5'!$A$11&amp;" 14"</f>
        <v>EN 558 szereg 14</v>
      </c>
      <c r="AD295" s="741" t="str">
        <f>'DICTIONARY-5'!$A$14</f>
        <v>ścieki</v>
      </c>
      <c r="AE295" s="742">
        <v>50</v>
      </c>
      <c r="AF295" s="743">
        <v>305</v>
      </c>
      <c r="AG295" s="741" t="str">
        <f>'DICTIONARY-5'!$A$23</f>
        <v>powłoka epoksydowa</v>
      </c>
    </row>
    <row r="296" spans="1:33" x14ac:dyDescent="0.25">
      <c r="A296" s="843" t="s">
        <v>7868</v>
      </c>
      <c r="B296" s="843" t="s">
        <v>7869</v>
      </c>
      <c r="C296" s="836">
        <v>2964</v>
      </c>
      <c r="D296" s="836"/>
      <c r="E296" s="836"/>
      <c r="F296" s="836"/>
      <c r="G296" s="496" t="s">
        <v>7792</v>
      </c>
      <c r="H296" s="797" t="str">
        <f>VLOOKUP(G296,SETTINGS!$B$7:$D$97,2,0)</f>
        <v>EKOplus Waste Water</v>
      </c>
      <c r="I296" s="796">
        <f>VLOOKUP(G296,SETTINGS!$B$7:$D$97,3,0)</f>
        <v>0</v>
      </c>
      <c r="J296" s="670" t="str">
        <f>IFERROR(IF(CURRENCY.FORMAT_1=0,CONCATENATE(TEXT(FIXED(ROUND((C296/EXC.RATE_1),CURRENCY.FORMAT_1),CURRENCY.FORMAT_1,1),"# ##0;-# ##0"),",-"),FIXED(ROUND((C296/EXC.RATE_1),CURRENCY.FORMAT_1),CURRENCY.FORMAT_1,0)),'DICTIONARY-5'!$A$2)</f>
        <v>2 964,-</v>
      </c>
      <c r="K296" s="670" t="str">
        <f>IF(EXC.RATE_2=0,"",IFERROR(IF(CURRENCY.FORMAT_2=0,CONCATENATE(TEXT(FIXED(ROUND(IF(EXC.RATE.SWITCH=1,C296/EXC.RATE_2,C296*EXC.RATE_2),CURRENCY.FORMAT_2),CURRENCY.FORMAT_2,1),"# ##0;-# ##0"),",-"),FIXED(ROUND(IF(EXC.RATE.SWITCH=1,C296/EXC.RATE_2,C296*EXC.RATE_2),CURRENCY.FORMAT_2),CURRENCY.FORMAT_2,0)),'DICTIONARY-5'!$A$2))</f>
        <v/>
      </c>
      <c r="L296" s="670" t="str">
        <f>IFERROR(IF(CURRENCY.FORMAT_1=0,CONCATENATE(TEXT(FIXED(ROUND((C296*(1-I296)*(1-ADD.DISCOUNT)*(1+MAT.SURCHARGE)/EXC.RATE_1),CURRENCY.FORMAT_1),CURRENCY.FORMAT_1,1),"# ##0;-# ##0"),",-"),FIXED(ROUND((C296*(1-I296)*(1-ADD.DISCOUNT)*(1+MAT.SURCHARGE)/EXC.RATE_1),CURRENCY.FORMAT_1),CURRENCY.FORMAT_1,0)),'DICTIONARY-5'!$A$2)</f>
        <v>3 080,-</v>
      </c>
      <c r="M296" s="670" t="str">
        <f>IF(EXC.RATE_2=0,"",IFERROR(IF(CURRENCY.FORMAT_2=0,CONCATENATE(TEXT(FIXED(ROUND(IF(EXC.RATE.SWITCH=1,C296*(1-I296)*(1-ADD.DISCOUNT)*(1+MAT.SURCHARGE)/EXC.RATE_2,C296*(1-I296)*(1-ADD.DISCOUNT)*(1+MAT.SURCHARGE)*EXC.RATE_2),CURRENCY.FORMAT_2),CURRENCY.FORMAT_2,1),"# ##0;-# ##0"),",-"),FIXED(ROUND(IF(EXC.RATE.SWITCH=1,C296*(1-I296)*(1-ADD.DISCOUNT)*(1+MAT.SURCHARGE)/EXC.RATE_2,C296*(1-I296)*(1-ADD.DISCOUNT)*(1+MAT.SURCHARGE)*EXC.RATE_2),CURRENCY.FORMAT_2),CURRENCY.FORMAT_2,0)),'DICTIONARY-5'!$A$2))</f>
        <v/>
      </c>
      <c r="N296" s="544">
        <v>1</v>
      </c>
      <c r="O296" s="544"/>
      <c r="P296" s="731" t="str">
        <f>'DICTIONARY-3'!$A$2</f>
        <v>EKOplus</v>
      </c>
      <c r="Q296" s="732" t="str">
        <f>'DICTIONARY-3'!$A$187</f>
        <v>Zasuwa klinowa</v>
      </c>
      <c r="R296" s="732" t="str">
        <f>CONCATENATE('DICTIONARY-3'!$A$2," ",'DICTIONARY-6'!$A$3," ",'DICTIONARY-2'!$A$2,"400"," ",'DICTIONARY-2'!$A$3,"16"," ","R14",", ",'DICTIONARY-5'!$A$45,", ",'DICTIONARY-4'!$A$2)</f>
        <v>EKOplus Zasuwa DN400 PN16 R14, NBR, WW</v>
      </c>
      <c r="S296" s="733" t="str">
        <f>'DICTIONARY-4'!$A$2</f>
        <v>WW</v>
      </c>
      <c r="T296" s="732" t="str">
        <f>'DICTIONARY-4'!$A$18</f>
        <v>Wolny wałek</v>
      </c>
      <c r="U296" s="734" t="s">
        <v>5754</v>
      </c>
      <c r="V296" s="735">
        <v>16</v>
      </c>
      <c r="W296" s="736"/>
      <c r="X296" s="737"/>
      <c r="Y296" s="738"/>
      <c r="Z296" s="739"/>
      <c r="AA296" s="739"/>
      <c r="AB296" s="740">
        <v>16</v>
      </c>
      <c r="AC296" s="741" t="str">
        <f>'DICTIONARY-5'!$A$11&amp;" 14"</f>
        <v>EN 558 szereg 14</v>
      </c>
      <c r="AD296" s="741" t="str">
        <f>'DICTIONARY-5'!$A$14</f>
        <v>ścieki</v>
      </c>
      <c r="AE296" s="742">
        <v>50</v>
      </c>
      <c r="AF296" s="743">
        <v>313.5</v>
      </c>
      <c r="AG296" s="741" t="str">
        <f>'DICTIONARY-5'!$A$23</f>
        <v>powłoka epoksydowa</v>
      </c>
    </row>
    <row r="297" spans="1:33" x14ac:dyDescent="0.25">
      <c r="A297" s="843" t="s">
        <v>7870</v>
      </c>
      <c r="B297" s="843" t="s">
        <v>7871</v>
      </c>
      <c r="C297" s="836">
        <v>5041</v>
      </c>
      <c r="D297" s="836"/>
      <c r="E297" s="836"/>
      <c r="F297" s="836"/>
      <c r="G297" s="496" t="s">
        <v>7792</v>
      </c>
      <c r="H297" s="797" t="str">
        <f>VLOOKUP(G297,SETTINGS!$B$7:$D$97,2,0)</f>
        <v>EKOplus Waste Water</v>
      </c>
      <c r="I297" s="796">
        <f>VLOOKUP(G297,SETTINGS!$B$7:$D$97,3,0)</f>
        <v>0</v>
      </c>
      <c r="J297" s="670" t="str">
        <f>IFERROR(IF(CURRENCY.FORMAT_1=0,CONCATENATE(TEXT(FIXED(ROUND((C297/EXC.RATE_1),CURRENCY.FORMAT_1),CURRENCY.FORMAT_1,1),"# ##0;-# ##0"),",-"),FIXED(ROUND((C297/EXC.RATE_1),CURRENCY.FORMAT_1),CURRENCY.FORMAT_1,0)),'DICTIONARY-5'!$A$2)</f>
        <v>5 041,-</v>
      </c>
      <c r="K297" s="670" t="str">
        <f>IF(EXC.RATE_2=0,"",IFERROR(IF(CURRENCY.FORMAT_2=0,CONCATENATE(TEXT(FIXED(ROUND(IF(EXC.RATE.SWITCH=1,C297/EXC.RATE_2,C297*EXC.RATE_2),CURRENCY.FORMAT_2),CURRENCY.FORMAT_2,1),"# ##0;-# ##0"),",-"),FIXED(ROUND(IF(EXC.RATE.SWITCH=1,C297/EXC.RATE_2,C297*EXC.RATE_2),CURRENCY.FORMAT_2),CURRENCY.FORMAT_2,0)),'DICTIONARY-5'!$A$2))</f>
        <v/>
      </c>
      <c r="L297" s="670" t="str">
        <f>IFERROR(IF(CURRENCY.FORMAT_1=0,CONCATENATE(TEXT(FIXED(ROUND((C297*(1-I297)*(1-ADD.DISCOUNT)*(1+MAT.SURCHARGE)/EXC.RATE_1),CURRENCY.FORMAT_1),CURRENCY.FORMAT_1,1),"# ##0;-# ##0"),",-"),FIXED(ROUND((C297*(1-I297)*(1-ADD.DISCOUNT)*(1+MAT.SURCHARGE)/EXC.RATE_1),CURRENCY.FORMAT_1),CURRENCY.FORMAT_1,0)),'DICTIONARY-5'!$A$2)</f>
        <v>5 238,-</v>
      </c>
      <c r="M297" s="670" t="str">
        <f>IF(EXC.RATE_2=0,"",IFERROR(IF(CURRENCY.FORMAT_2=0,CONCATENATE(TEXT(FIXED(ROUND(IF(EXC.RATE.SWITCH=1,C297*(1-I297)*(1-ADD.DISCOUNT)*(1+MAT.SURCHARGE)/EXC.RATE_2,C297*(1-I297)*(1-ADD.DISCOUNT)*(1+MAT.SURCHARGE)*EXC.RATE_2),CURRENCY.FORMAT_2),CURRENCY.FORMAT_2,1),"# ##0;-# ##0"),",-"),FIXED(ROUND(IF(EXC.RATE.SWITCH=1,C297*(1-I297)*(1-ADD.DISCOUNT)*(1+MAT.SURCHARGE)/EXC.RATE_2,C297*(1-I297)*(1-ADD.DISCOUNT)*(1+MAT.SURCHARGE)*EXC.RATE_2),CURRENCY.FORMAT_2),CURRENCY.FORMAT_2,0)),'DICTIONARY-5'!$A$2))</f>
        <v/>
      </c>
      <c r="N297" s="544">
        <v>1</v>
      </c>
      <c r="O297" s="544"/>
      <c r="P297" s="731" t="str">
        <f>'DICTIONARY-3'!$A$2</f>
        <v>EKOplus</v>
      </c>
      <c r="Q297" s="732" t="str">
        <f>'DICTIONARY-3'!$A$187</f>
        <v>Zasuwa klinowa</v>
      </c>
      <c r="R297" s="732" t="str">
        <f>CONCATENATE('DICTIONARY-3'!$A$2," ",'DICTIONARY-6'!$A$3," ",'DICTIONARY-2'!$A$2,"500"," ",'DICTIONARY-2'!$A$3,"10"," ","R14",", ",'DICTIONARY-5'!$A$45,", ",'DICTIONARY-4'!$A$2)</f>
        <v>EKOplus Zasuwa DN500 PN10 R14, NBR, WW</v>
      </c>
      <c r="S297" s="733" t="str">
        <f>'DICTIONARY-4'!$A$2</f>
        <v>WW</v>
      </c>
      <c r="T297" s="732" t="str">
        <f>'DICTIONARY-4'!$A$18</f>
        <v>Wolny wałek</v>
      </c>
      <c r="U297" s="734" t="s">
        <v>5756</v>
      </c>
      <c r="V297" s="735">
        <v>10</v>
      </c>
      <c r="W297" s="736"/>
      <c r="X297" s="737"/>
      <c r="Y297" s="738"/>
      <c r="Z297" s="739"/>
      <c r="AA297" s="739"/>
      <c r="AB297" s="740">
        <v>10</v>
      </c>
      <c r="AC297" s="741" t="str">
        <f>'DICTIONARY-5'!$A$11&amp;" 14"</f>
        <v>EN 558 szereg 14</v>
      </c>
      <c r="AD297" s="741" t="str">
        <f>'DICTIONARY-5'!$A$14</f>
        <v>ścieki</v>
      </c>
      <c r="AE297" s="742">
        <v>50</v>
      </c>
      <c r="AF297" s="743"/>
      <c r="AG297" s="741" t="str">
        <f>'DICTIONARY-5'!$A$23</f>
        <v>powłoka epoksydowa</v>
      </c>
    </row>
    <row r="298" spans="1:33" x14ac:dyDescent="0.25">
      <c r="A298" s="843" t="s">
        <v>7872</v>
      </c>
      <c r="B298" s="843" t="s">
        <v>7873</v>
      </c>
      <c r="C298" s="836">
        <v>4966</v>
      </c>
      <c r="D298" s="836"/>
      <c r="E298" s="836"/>
      <c r="F298" s="836"/>
      <c r="G298" s="496" t="s">
        <v>7792</v>
      </c>
      <c r="H298" s="797" t="str">
        <f>VLOOKUP(G298,SETTINGS!$B$7:$D$97,2,0)</f>
        <v>EKOplus Waste Water</v>
      </c>
      <c r="I298" s="796">
        <f>VLOOKUP(G298,SETTINGS!$B$7:$D$97,3,0)</f>
        <v>0</v>
      </c>
      <c r="J298" s="670" t="str">
        <f>IFERROR(IF(CURRENCY.FORMAT_1=0,CONCATENATE(TEXT(FIXED(ROUND((C298/EXC.RATE_1),CURRENCY.FORMAT_1),CURRENCY.FORMAT_1,1),"# ##0;-# ##0"),",-"),FIXED(ROUND((C298/EXC.RATE_1),CURRENCY.FORMAT_1),CURRENCY.FORMAT_1,0)),'DICTIONARY-5'!$A$2)</f>
        <v>4 966,-</v>
      </c>
      <c r="K298" s="670" t="str">
        <f>IF(EXC.RATE_2=0,"",IFERROR(IF(CURRENCY.FORMAT_2=0,CONCATENATE(TEXT(FIXED(ROUND(IF(EXC.RATE.SWITCH=1,C298/EXC.RATE_2,C298*EXC.RATE_2),CURRENCY.FORMAT_2),CURRENCY.FORMAT_2,1),"# ##0;-# ##0"),",-"),FIXED(ROUND(IF(EXC.RATE.SWITCH=1,C298/EXC.RATE_2,C298*EXC.RATE_2),CURRENCY.FORMAT_2),CURRENCY.FORMAT_2,0)),'DICTIONARY-5'!$A$2))</f>
        <v/>
      </c>
      <c r="L298" s="670" t="str">
        <f>IFERROR(IF(CURRENCY.FORMAT_1=0,CONCATENATE(TEXT(FIXED(ROUND((C298*(1-I298)*(1-ADD.DISCOUNT)*(1+MAT.SURCHARGE)/EXC.RATE_1),CURRENCY.FORMAT_1),CURRENCY.FORMAT_1,1),"# ##0;-# ##0"),",-"),FIXED(ROUND((C298*(1-I298)*(1-ADD.DISCOUNT)*(1+MAT.SURCHARGE)/EXC.RATE_1),CURRENCY.FORMAT_1),CURRENCY.FORMAT_1,0)),'DICTIONARY-5'!$A$2)</f>
        <v>5 160,-</v>
      </c>
      <c r="M298" s="670" t="str">
        <f>IF(EXC.RATE_2=0,"",IFERROR(IF(CURRENCY.FORMAT_2=0,CONCATENATE(TEXT(FIXED(ROUND(IF(EXC.RATE.SWITCH=1,C298*(1-I298)*(1-ADD.DISCOUNT)*(1+MAT.SURCHARGE)/EXC.RATE_2,C298*(1-I298)*(1-ADD.DISCOUNT)*(1+MAT.SURCHARGE)*EXC.RATE_2),CURRENCY.FORMAT_2),CURRENCY.FORMAT_2,1),"# ##0;-# ##0"),",-"),FIXED(ROUND(IF(EXC.RATE.SWITCH=1,C298*(1-I298)*(1-ADD.DISCOUNT)*(1+MAT.SURCHARGE)/EXC.RATE_2,C298*(1-I298)*(1-ADD.DISCOUNT)*(1+MAT.SURCHARGE)*EXC.RATE_2),CURRENCY.FORMAT_2),CURRENCY.FORMAT_2,0)),'DICTIONARY-5'!$A$2))</f>
        <v/>
      </c>
      <c r="N298" s="544">
        <v>1</v>
      </c>
      <c r="O298" s="544"/>
      <c r="P298" s="731" t="str">
        <f>'DICTIONARY-3'!$A$2</f>
        <v>EKOplus</v>
      </c>
      <c r="Q298" s="732" t="str">
        <f>'DICTIONARY-3'!$A$187</f>
        <v>Zasuwa klinowa</v>
      </c>
      <c r="R298" s="732" t="str">
        <f>CONCATENATE('DICTIONARY-3'!$A$2," ",'DICTIONARY-6'!$A$3," ",'DICTIONARY-2'!$A$2,"500"," ",'DICTIONARY-2'!$A$3,"16"," ","R14",", ",'DICTIONARY-5'!$A$45,", ",'DICTIONARY-4'!$A$2)</f>
        <v>EKOplus Zasuwa DN500 PN16 R14, NBR, WW</v>
      </c>
      <c r="S298" s="733" t="str">
        <f>'DICTIONARY-4'!$A$2</f>
        <v>WW</v>
      </c>
      <c r="T298" s="732" t="str">
        <f>'DICTIONARY-4'!$A$18</f>
        <v>Wolny wałek</v>
      </c>
      <c r="U298" s="734" t="s">
        <v>5756</v>
      </c>
      <c r="V298" s="735">
        <v>16</v>
      </c>
      <c r="W298" s="736"/>
      <c r="X298" s="737"/>
      <c r="Y298" s="738"/>
      <c r="Z298" s="739"/>
      <c r="AA298" s="739"/>
      <c r="AB298" s="740">
        <v>16</v>
      </c>
      <c r="AC298" s="741" t="str">
        <f>'DICTIONARY-5'!$A$11&amp;" 14"</f>
        <v>EN 558 szereg 14</v>
      </c>
      <c r="AD298" s="741" t="str">
        <f>'DICTIONARY-5'!$A$14</f>
        <v>ścieki</v>
      </c>
      <c r="AE298" s="742">
        <v>50</v>
      </c>
      <c r="AF298" s="743"/>
      <c r="AG298" s="741" t="str">
        <f>'DICTIONARY-5'!$A$23</f>
        <v>powłoka epoksydowa</v>
      </c>
    </row>
    <row r="299" spans="1:33" x14ac:dyDescent="0.25">
      <c r="A299" s="842" t="s">
        <v>407</v>
      </c>
      <c r="B299" s="842" t="s">
        <v>3344</v>
      </c>
      <c r="C299" s="836">
        <v>8113</v>
      </c>
      <c r="D299" s="836"/>
      <c r="E299" s="836"/>
      <c r="F299" s="836"/>
      <c r="G299" s="496" t="s">
        <v>7792</v>
      </c>
      <c r="H299" s="797" t="str">
        <f>VLOOKUP(G299,SETTINGS!$B$7:$D$97,2,0)</f>
        <v>EKOplus Waste Water</v>
      </c>
      <c r="I299" s="796">
        <f>VLOOKUP(G299,SETTINGS!$B$7:$D$97,3,0)</f>
        <v>0</v>
      </c>
      <c r="J299" s="670" t="str">
        <f>IFERROR(IF(CURRENCY.FORMAT_1=0,CONCATENATE(TEXT(FIXED(ROUND((C299/EXC.RATE_1),CURRENCY.FORMAT_1),CURRENCY.FORMAT_1,1),"# ##0;-# ##0"),",-"),FIXED(ROUND((C299/EXC.RATE_1),CURRENCY.FORMAT_1),CURRENCY.FORMAT_1,0)),'DICTIONARY-5'!$A$2)</f>
        <v>8 113,-</v>
      </c>
      <c r="K299" s="670" t="str">
        <f>IF(EXC.RATE_2=0,"",IFERROR(IF(CURRENCY.FORMAT_2=0,CONCATENATE(TEXT(FIXED(ROUND(IF(EXC.RATE.SWITCH=1,C299/EXC.RATE_2,C299*EXC.RATE_2),CURRENCY.FORMAT_2),CURRENCY.FORMAT_2,1),"# ##0;-# ##0"),",-"),FIXED(ROUND(IF(EXC.RATE.SWITCH=1,C299/EXC.RATE_2,C299*EXC.RATE_2),CURRENCY.FORMAT_2),CURRENCY.FORMAT_2,0)),'DICTIONARY-5'!$A$2))</f>
        <v/>
      </c>
      <c r="L299" s="670" t="str">
        <f>IFERROR(IF(CURRENCY.FORMAT_1=0,CONCATENATE(TEXT(FIXED(ROUND((C299*(1-I299)*(1-ADD.DISCOUNT)*(1+MAT.SURCHARGE)/EXC.RATE_1),CURRENCY.FORMAT_1),CURRENCY.FORMAT_1,1),"# ##0;-# ##0"),",-"),FIXED(ROUND((C299*(1-I299)*(1-ADD.DISCOUNT)*(1+MAT.SURCHARGE)/EXC.RATE_1),CURRENCY.FORMAT_1),CURRENCY.FORMAT_1,0)),'DICTIONARY-5'!$A$2)</f>
        <v>8 429,-</v>
      </c>
      <c r="M299" s="670" t="str">
        <f>IF(EXC.RATE_2=0,"",IFERROR(IF(CURRENCY.FORMAT_2=0,CONCATENATE(TEXT(FIXED(ROUND(IF(EXC.RATE.SWITCH=1,C299*(1-I299)*(1-ADD.DISCOUNT)*(1+MAT.SURCHARGE)/EXC.RATE_2,C299*(1-I299)*(1-ADD.DISCOUNT)*(1+MAT.SURCHARGE)*EXC.RATE_2),CURRENCY.FORMAT_2),CURRENCY.FORMAT_2,1),"# ##0;-# ##0"),",-"),FIXED(ROUND(IF(EXC.RATE.SWITCH=1,C299*(1-I299)*(1-ADD.DISCOUNT)*(1+MAT.SURCHARGE)/EXC.RATE_2,C299*(1-I299)*(1-ADD.DISCOUNT)*(1+MAT.SURCHARGE)*EXC.RATE_2),CURRENCY.FORMAT_2),CURRENCY.FORMAT_2,0)),'DICTIONARY-5'!$A$2))</f>
        <v/>
      </c>
      <c r="N299" s="544">
        <v>1</v>
      </c>
      <c r="O299" s="544"/>
      <c r="P299" s="731" t="str">
        <f>'DICTIONARY-3'!$A$2</f>
        <v>EKOplus</v>
      </c>
      <c r="Q299" s="732" t="str">
        <f>'DICTIONARY-3'!$A$187</f>
        <v>Zasuwa klinowa</v>
      </c>
      <c r="R299" s="732" t="str">
        <f>CONCATENATE('DICTIONARY-3'!$A$2," ",'DICTIONARY-6'!$A$3," ",'DICTIONARY-2'!$A$2,"600"," ",'DICTIONARY-2'!$A$3,"10"," ","R14",", ",'DICTIONARY-5'!$A$45,", ",'DICTIONARY-4'!$A$2)</f>
        <v>EKOplus Zasuwa DN600 PN10 R14, NBR, WW</v>
      </c>
      <c r="S299" s="733" t="str">
        <f>'DICTIONARY-4'!$A$2</f>
        <v>WW</v>
      </c>
      <c r="T299" s="732" t="str">
        <f>'DICTIONARY-4'!$A$18</f>
        <v>Wolny wałek</v>
      </c>
      <c r="U299" s="734" t="s">
        <v>5757</v>
      </c>
      <c r="V299" s="735">
        <v>10</v>
      </c>
      <c r="W299" s="736"/>
      <c r="X299" s="737"/>
      <c r="Y299" s="738"/>
      <c r="Z299" s="739"/>
      <c r="AA299" s="739"/>
      <c r="AB299" s="740">
        <v>10</v>
      </c>
      <c r="AC299" s="741" t="str">
        <f>'DICTIONARY-5'!$A$11&amp;" 14"</f>
        <v>EN 558 szereg 14</v>
      </c>
      <c r="AD299" s="741" t="str">
        <f>'DICTIONARY-5'!$A$14</f>
        <v>ścieki</v>
      </c>
      <c r="AE299" s="742">
        <v>50</v>
      </c>
      <c r="AF299" s="743">
        <v>762</v>
      </c>
      <c r="AG299" s="741" t="str">
        <f>'DICTIONARY-5'!$A$23</f>
        <v>powłoka epoksydowa</v>
      </c>
    </row>
    <row r="300" spans="1:33" x14ac:dyDescent="0.25">
      <c r="A300" s="842" t="s">
        <v>408</v>
      </c>
      <c r="B300" s="842" t="s">
        <v>3409</v>
      </c>
      <c r="C300" s="836">
        <v>8754</v>
      </c>
      <c r="D300" s="836"/>
      <c r="E300" s="836"/>
      <c r="F300" s="836"/>
      <c r="G300" s="496" t="s">
        <v>7789</v>
      </c>
      <c r="H300" s="797" t="str">
        <f>VLOOKUP(G300,SETTINGS!$B$7:$D$97,2,0)</f>
        <v>EKOplus</v>
      </c>
      <c r="I300" s="796">
        <f>VLOOKUP(G300,SETTINGS!$B$7:$D$97,3,0)</f>
        <v>0</v>
      </c>
      <c r="J300" s="670" t="str">
        <f>IFERROR(IF(CURRENCY.FORMAT_1=0,CONCATENATE(TEXT(FIXED(ROUND((C300/EXC.RATE_1),CURRENCY.FORMAT_1),CURRENCY.FORMAT_1,1),"# ##0;-# ##0"),",-"),FIXED(ROUND((C300/EXC.RATE_1),CURRENCY.FORMAT_1),CURRENCY.FORMAT_1,0)),'DICTIONARY-5'!$A$2)</f>
        <v>8 754,-</v>
      </c>
      <c r="K300" s="670" t="str">
        <f>IF(EXC.RATE_2=0,"",IFERROR(IF(CURRENCY.FORMAT_2=0,CONCATENATE(TEXT(FIXED(ROUND(IF(EXC.RATE.SWITCH=1,C300/EXC.RATE_2,C300*EXC.RATE_2),CURRENCY.FORMAT_2),CURRENCY.FORMAT_2,1),"# ##0;-# ##0"),",-"),FIXED(ROUND(IF(EXC.RATE.SWITCH=1,C300/EXC.RATE_2,C300*EXC.RATE_2),CURRENCY.FORMAT_2),CURRENCY.FORMAT_2,0)),'DICTIONARY-5'!$A$2))</f>
        <v/>
      </c>
      <c r="L300" s="670" t="str">
        <f>IFERROR(IF(CURRENCY.FORMAT_1=0,CONCATENATE(TEXT(FIXED(ROUND((C300*(1-I300)*(1-ADD.DISCOUNT)*(1+MAT.SURCHARGE)/EXC.RATE_1),CURRENCY.FORMAT_1),CURRENCY.FORMAT_1,1),"# ##0;-# ##0"),",-"),FIXED(ROUND((C300*(1-I300)*(1-ADD.DISCOUNT)*(1+MAT.SURCHARGE)/EXC.RATE_1),CURRENCY.FORMAT_1),CURRENCY.FORMAT_1,0)),'DICTIONARY-5'!$A$2)</f>
        <v>9 095,-</v>
      </c>
      <c r="M300" s="670" t="str">
        <f>IF(EXC.RATE_2=0,"",IFERROR(IF(CURRENCY.FORMAT_2=0,CONCATENATE(TEXT(FIXED(ROUND(IF(EXC.RATE.SWITCH=1,C300*(1-I300)*(1-ADD.DISCOUNT)*(1+MAT.SURCHARGE)/EXC.RATE_2,C300*(1-I300)*(1-ADD.DISCOUNT)*(1+MAT.SURCHARGE)*EXC.RATE_2),CURRENCY.FORMAT_2),CURRENCY.FORMAT_2,1),"# ##0;-# ##0"),",-"),FIXED(ROUND(IF(EXC.RATE.SWITCH=1,C300*(1-I300)*(1-ADD.DISCOUNT)*(1+MAT.SURCHARGE)/EXC.RATE_2,C300*(1-I300)*(1-ADD.DISCOUNT)*(1+MAT.SURCHARGE)*EXC.RATE_2),CURRENCY.FORMAT_2),CURRENCY.FORMAT_2,0)),'DICTIONARY-5'!$A$2))</f>
        <v/>
      </c>
      <c r="N300" s="544">
        <v>1</v>
      </c>
      <c r="O300" s="544"/>
      <c r="P300" s="731" t="str">
        <f>'DICTIONARY-3'!$A$2</f>
        <v>EKOplus</v>
      </c>
      <c r="Q300" s="732" t="str">
        <f>'DICTIONARY-3'!$A$187</f>
        <v>Zasuwa klinowa</v>
      </c>
      <c r="R300" s="732" t="str">
        <f>CONCATENATE('DICTIONARY-3'!$A$2," ",'DICTIONARY-6'!$A$3," ",'DICTIONARY-2'!$A$2,"600"," ",'DICTIONARY-2'!$A$3,"16"," ","R14",", ",'DICTIONARY-5'!$A$45,", ",'DICTIONARY-4'!$A$2)</f>
        <v>EKOplus Zasuwa DN600 PN16 R14, NBR, WW</v>
      </c>
      <c r="S300" s="733" t="str">
        <f>'DICTIONARY-4'!$A$2</f>
        <v>WW</v>
      </c>
      <c r="T300" s="732" t="str">
        <f>'DICTIONARY-4'!$A$18</f>
        <v>Wolny wałek</v>
      </c>
      <c r="U300" s="734" t="s">
        <v>5757</v>
      </c>
      <c r="V300" s="735">
        <v>16</v>
      </c>
      <c r="W300" s="736"/>
      <c r="X300" s="737"/>
      <c r="Y300" s="738"/>
      <c r="Z300" s="739"/>
      <c r="AA300" s="739"/>
      <c r="AB300" s="740">
        <v>16</v>
      </c>
      <c r="AC300" s="741" t="str">
        <f>'DICTIONARY-5'!$A$11&amp;" 14"</f>
        <v>EN 558 szereg 14</v>
      </c>
      <c r="AD300" s="741" t="str">
        <f>'DICTIONARY-5'!$A$14</f>
        <v>ścieki</v>
      </c>
      <c r="AE300" s="742">
        <v>50</v>
      </c>
      <c r="AF300" s="743">
        <v>843</v>
      </c>
      <c r="AG300" s="741" t="str">
        <f>'DICTIONARY-5'!$A$23</f>
        <v>powłoka epoksydowa</v>
      </c>
    </row>
    <row r="301" spans="1:33" x14ac:dyDescent="0.25">
      <c r="A301" s="842" t="s">
        <v>381</v>
      </c>
      <c r="B301" s="842" t="s">
        <v>3353</v>
      </c>
      <c r="C301" s="836">
        <v>167</v>
      </c>
      <c r="D301" s="836"/>
      <c r="E301" s="836"/>
      <c r="F301" s="836"/>
      <c r="G301" s="496" t="s">
        <v>7792</v>
      </c>
      <c r="H301" s="797" t="str">
        <f>VLOOKUP(G301,SETTINGS!$B$7:$D$97,2,0)</f>
        <v>EKOplus Waste Water</v>
      </c>
      <c r="I301" s="796">
        <f>VLOOKUP(G301,SETTINGS!$B$7:$D$97,3,0)</f>
        <v>0</v>
      </c>
      <c r="J301" s="670" t="str">
        <f>IFERROR(IF(CURRENCY.FORMAT_1=0,CONCATENATE(TEXT(FIXED(ROUND((C301/EXC.RATE_1),CURRENCY.FORMAT_1),CURRENCY.FORMAT_1,1),"# ##0;-# ##0"),",-"),FIXED(ROUND((C301/EXC.RATE_1),CURRENCY.FORMAT_1),CURRENCY.FORMAT_1,0)),'DICTIONARY-5'!$A$2)</f>
        <v>167,-</v>
      </c>
      <c r="K301" s="670" t="str">
        <f>IF(EXC.RATE_2=0,"",IFERROR(IF(CURRENCY.FORMAT_2=0,CONCATENATE(TEXT(FIXED(ROUND(IF(EXC.RATE.SWITCH=1,C301/EXC.RATE_2,C301*EXC.RATE_2),CURRENCY.FORMAT_2),CURRENCY.FORMAT_2,1),"# ##0;-# ##0"),",-"),FIXED(ROUND(IF(EXC.RATE.SWITCH=1,C301/EXC.RATE_2,C301*EXC.RATE_2),CURRENCY.FORMAT_2),CURRENCY.FORMAT_2,0)),'DICTIONARY-5'!$A$2))</f>
        <v/>
      </c>
      <c r="L301" s="670" t="str">
        <f>IFERROR(IF(CURRENCY.FORMAT_1=0,CONCATENATE(TEXT(FIXED(ROUND((C301*(1-I301)*(1-ADD.DISCOUNT)*(1+MAT.SURCHARGE)/EXC.RATE_1),CURRENCY.FORMAT_1),CURRENCY.FORMAT_1,1),"# ##0;-# ##0"),",-"),FIXED(ROUND((C301*(1-I301)*(1-ADD.DISCOUNT)*(1+MAT.SURCHARGE)/EXC.RATE_1),CURRENCY.FORMAT_1),CURRENCY.FORMAT_1,0)),'DICTIONARY-5'!$A$2)</f>
        <v>174,-</v>
      </c>
      <c r="M301" s="670" t="str">
        <f>IF(EXC.RATE_2=0,"",IFERROR(IF(CURRENCY.FORMAT_2=0,CONCATENATE(TEXT(FIXED(ROUND(IF(EXC.RATE.SWITCH=1,C301*(1-I301)*(1-ADD.DISCOUNT)*(1+MAT.SURCHARGE)/EXC.RATE_2,C301*(1-I301)*(1-ADD.DISCOUNT)*(1+MAT.SURCHARGE)*EXC.RATE_2),CURRENCY.FORMAT_2),CURRENCY.FORMAT_2,1),"# ##0;-# ##0"),",-"),FIXED(ROUND(IF(EXC.RATE.SWITCH=1,C301*(1-I301)*(1-ADD.DISCOUNT)*(1+MAT.SURCHARGE)/EXC.RATE_2,C301*(1-I301)*(1-ADD.DISCOUNT)*(1+MAT.SURCHARGE)*EXC.RATE_2),CURRENCY.FORMAT_2),CURRENCY.FORMAT_2,0)),'DICTIONARY-5'!$A$2))</f>
        <v/>
      </c>
      <c r="N301" s="544">
        <v>1</v>
      </c>
      <c r="O301" s="544"/>
      <c r="P301" s="731" t="str">
        <f>'DICTIONARY-3'!$A$2</f>
        <v>EKOplus</v>
      </c>
      <c r="Q301" s="732" t="str">
        <f>'DICTIONARY-3'!$A$187</f>
        <v>Zasuwa klinowa</v>
      </c>
      <c r="R301" s="732" t="str">
        <f>CONCATENATE('DICTIONARY-3'!$A$2," ",'DICTIONARY-6'!$A$3," ",'DICTIONARY-2'!$A$2,"40"," ",'DICTIONARY-2'!$A$3,"10/16"," ","R15",", ",'DICTIONARY-5'!$A$45,", ",'DICTIONARY-4'!$A$2)</f>
        <v>EKOplus Zasuwa DN40 PN10/16 R15, NBR, WW</v>
      </c>
      <c r="S301" s="733" t="str">
        <f>'DICTIONARY-4'!$A$2</f>
        <v>WW</v>
      </c>
      <c r="T301" s="732" t="str">
        <f>'DICTIONARY-4'!$A$18</f>
        <v>Wolny wałek</v>
      </c>
      <c r="U301" s="734" t="s">
        <v>5758</v>
      </c>
      <c r="V301" s="735">
        <v>16</v>
      </c>
      <c r="W301" s="736"/>
      <c r="X301" s="737"/>
      <c r="Y301" s="738"/>
      <c r="Z301" s="739"/>
      <c r="AA301" s="739"/>
      <c r="AB301" s="740">
        <v>16</v>
      </c>
      <c r="AC301" s="741" t="str">
        <f>'DICTIONARY-5'!$A$11&amp;" 15"</f>
        <v>EN 558 szereg 15</v>
      </c>
      <c r="AD301" s="741" t="str">
        <f>'DICTIONARY-5'!$A$14</f>
        <v>ścieki</v>
      </c>
      <c r="AE301" s="742">
        <v>50</v>
      </c>
      <c r="AF301" s="743">
        <v>8.6999999999999993</v>
      </c>
      <c r="AG301" s="741" t="str">
        <f>'DICTIONARY-5'!$A$23</f>
        <v>powłoka epoksydowa</v>
      </c>
    </row>
    <row r="302" spans="1:33" x14ac:dyDescent="0.25">
      <c r="A302" s="842" t="s">
        <v>383</v>
      </c>
      <c r="B302" s="842" t="s">
        <v>3355</v>
      </c>
      <c r="C302" s="836">
        <v>181</v>
      </c>
      <c r="D302" s="836"/>
      <c r="E302" s="836"/>
      <c r="F302" s="836"/>
      <c r="G302" s="496" t="s">
        <v>7792</v>
      </c>
      <c r="H302" s="797" t="str">
        <f>VLOOKUP(G302,SETTINGS!$B$7:$D$97,2,0)</f>
        <v>EKOplus Waste Water</v>
      </c>
      <c r="I302" s="796">
        <f>VLOOKUP(G302,SETTINGS!$B$7:$D$97,3,0)</f>
        <v>0</v>
      </c>
      <c r="J302" s="670" t="str">
        <f>IFERROR(IF(CURRENCY.FORMAT_1=0,CONCATENATE(TEXT(FIXED(ROUND((C302/EXC.RATE_1),CURRENCY.FORMAT_1),CURRENCY.FORMAT_1,1),"# ##0;-# ##0"),",-"),FIXED(ROUND((C302/EXC.RATE_1),CURRENCY.FORMAT_1),CURRENCY.FORMAT_1,0)),'DICTIONARY-5'!$A$2)</f>
        <v>181,-</v>
      </c>
      <c r="K302" s="670" t="str">
        <f>IF(EXC.RATE_2=0,"",IFERROR(IF(CURRENCY.FORMAT_2=0,CONCATENATE(TEXT(FIXED(ROUND(IF(EXC.RATE.SWITCH=1,C302/EXC.RATE_2,C302*EXC.RATE_2),CURRENCY.FORMAT_2),CURRENCY.FORMAT_2,1),"# ##0;-# ##0"),",-"),FIXED(ROUND(IF(EXC.RATE.SWITCH=1,C302/EXC.RATE_2,C302*EXC.RATE_2),CURRENCY.FORMAT_2),CURRENCY.FORMAT_2,0)),'DICTIONARY-5'!$A$2))</f>
        <v/>
      </c>
      <c r="L302" s="670" t="str">
        <f>IFERROR(IF(CURRENCY.FORMAT_1=0,CONCATENATE(TEXT(FIXED(ROUND((C302*(1-I302)*(1-ADD.DISCOUNT)*(1+MAT.SURCHARGE)/EXC.RATE_1),CURRENCY.FORMAT_1),CURRENCY.FORMAT_1,1),"# ##0;-# ##0"),",-"),FIXED(ROUND((C302*(1-I302)*(1-ADD.DISCOUNT)*(1+MAT.SURCHARGE)/EXC.RATE_1),CURRENCY.FORMAT_1),CURRENCY.FORMAT_1,0)),'DICTIONARY-5'!$A$2)</f>
        <v>188,-</v>
      </c>
      <c r="M302" s="670" t="str">
        <f>IF(EXC.RATE_2=0,"",IFERROR(IF(CURRENCY.FORMAT_2=0,CONCATENATE(TEXT(FIXED(ROUND(IF(EXC.RATE.SWITCH=1,C302*(1-I302)*(1-ADD.DISCOUNT)*(1+MAT.SURCHARGE)/EXC.RATE_2,C302*(1-I302)*(1-ADD.DISCOUNT)*(1+MAT.SURCHARGE)*EXC.RATE_2),CURRENCY.FORMAT_2),CURRENCY.FORMAT_2,1),"# ##0;-# ##0"),",-"),FIXED(ROUND(IF(EXC.RATE.SWITCH=1,C302*(1-I302)*(1-ADD.DISCOUNT)*(1+MAT.SURCHARGE)/EXC.RATE_2,C302*(1-I302)*(1-ADD.DISCOUNT)*(1+MAT.SURCHARGE)*EXC.RATE_2),CURRENCY.FORMAT_2),CURRENCY.FORMAT_2,0)),'DICTIONARY-5'!$A$2))</f>
        <v/>
      </c>
      <c r="N302" s="544">
        <v>1</v>
      </c>
      <c r="O302" s="544"/>
      <c r="P302" s="731" t="str">
        <f>'DICTIONARY-3'!$A$2</f>
        <v>EKOplus</v>
      </c>
      <c r="Q302" s="732" t="str">
        <f>'DICTIONARY-3'!$A$187</f>
        <v>Zasuwa klinowa</v>
      </c>
      <c r="R302" s="732" t="str">
        <f>CONCATENATE('DICTIONARY-3'!$A$2," ",'DICTIONARY-6'!$A$3," ",'DICTIONARY-2'!$A$2,"50"," ",'DICTIONARY-2'!$A$3,"10/16"," ","R15",", ",'DICTIONARY-5'!$A$45,", ",'DICTIONARY-4'!$A$2)</f>
        <v>EKOplus Zasuwa DN50 PN10/16 R15, NBR, WW</v>
      </c>
      <c r="S302" s="733" t="str">
        <f>'DICTIONARY-4'!$A$2</f>
        <v>WW</v>
      </c>
      <c r="T302" s="732" t="str">
        <f>'DICTIONARY-4'!$A$18</f>
        <v>Wolny wałek</v>
      </c>
      <c r="U302" s="734" t="s">
        <v>5748</v>
      </c>
      <c r="V302" s="735">
        <v>16</v>
      </c>
      <c r="W302" s="736"/>
      <c r="X302" s="737"/>
      <c r="Y302" s="738"/>
      <c r="Z302" s="739"/>
      <c r="AA302" s="739"/>
      <c r="AB302" s="740">
        <v>16</v>
      </c>
      <c r="AC302" s="741" t="str">
        <f>'DICTIONARY-5'!$A$11&amp;" 15"</f>
        <v>EN 558 szereg 15</v>
      </c>
      <c r="AD302" s="741" t="str">
        <f>'DICTIONARY-5'!$A$14</f>
        <v>ścieki</v>
      </c>
      <c r="AE302" s="742">
        <v>50</v>
      </c>
      <c r="AF302" s="743">
        <v>10.5</v>
      </c>
      <c r="AG302" s="741" t="str">
        <f>'DICTIONARY-5'!$A$23</f>
        <v>powłoka epoksydowa</v>
      </c>
    </row>
    <row r="303" spans="1:33" x14ac:dyDescent="0.25">
      <c r="A303" s="842" t="s">
        <v>385</v>
      </c>
      <c r="B303" s="842" t="s">
        <v>3357</v>
      </c>
      <c r="C303" s="836">
        <v>196</v>
      </c>
      <c r="D303" s="836"/>
      <c r="E303" s="836"/>
      <c r="F303" s="836"/>
      <c r="G303" s="496" t="s">
        <v>7792</v>
      </c>
      <c r="H303" s="797" t="str">
        <f>VLOOKUP(G303,SETTINGS!$B$7:$D$97,2,0)</f>
        <v>EKOplus Waste Water</v>
      </c>
      <c r="I303" s="796">
        <f>VLOOKUP(G303,SETTINGS!$B$7:$D$97,3,0)</f>
        <v>0</v>
      </c>
      <c r="J303" s="670" t="str">
        <f>IFERROR(IF(CURRENCY.FORMAT_1=0,CONCATENATE(TEXT(FIXED(ROUND((C303/EXC.RATE_1),CURRENCY.FORMAT_1),CURRENCY.FORMAT_1,1),"# ##0;-# ##0"),",-"),FIXED(ROUND((C303/EXC.RATE_1),CURRENCY.FORMAT_1),CURRENCY.FORMAT_1,0)),'DICTIONARY-5'!$A$2)</f>
        <v>196,-</v>
      </c>
      <c r="K303" s="670" t="str">
        <f>IF(EXC.RATE_2=0,"",IFERROR(IF(CURRENCY.FORMAT_2=0,CONCATENATE(TEXT(FIXED(ROUND(IF(EXC.RATE.SWITCH=1,C303/EXC.RATE_2,C303*EXC.RATE_2),CURRENCY.FORMAT_2),CURRENCY.FORMAT_2,1),"# ##0;-# ##0"),",-"),FIXED(ROUND(IF(EXC.RATE.SWITCH=1,C303/EXC.RATE_2,C303*EXC.RATE_2),CURRENCY.FORMAT_2),CURRENCY.FORMAT_2,0)),'DICTIONARY-5'!$A$2))</f>
        <v/>
      </c>
      <c r="L303" s="670" t="str">
        <f>IFERROR(IF(CURRENCY.FORMAT_1=0,CONCATENATE(TEXT(FIXED(ROUND((C303*(1-I303)*(1-ADD.DISCOUNT)*(1+MAT.SURCHARGE)/EXC.RATE_1),CURRENCY.FORMAT_1),CURRENCY.FORMAT_1,1),"# ##0;-# ##0"),",-"),FIXED(ROUND((C303*(1-I303)*(1-ADD.DISCOUNT)*(1+MAT.SURCHARGE)/EXC.RATE_1),CURRENCY.FORMAT_1),CURRENCY.FORMAT_1,0)),'DICTIONARY-5'!$A$2)</f>
        <v>204,-</v>
      </c>
      <c r="M303" s="670" t="str">
        <f>IF(EXC.RATE_2=0,"",IFERROR(IF(CURRENCY.FORMAT_2=0,CONCATENATE(TEXT(FIXED(ROUND(IF(EXC.RATE.SWITCH=1,C303*(1-I303)*(1-ADD.DISCOUNT)*(1+MAT.SURCHARGE)/EXC.RATE_2,C303*(1-I303)*(1-ADD.DISCOUNT)*(1+MAT.SURCHARGE)*EXC.RATE_2),CURRENCY.FORMAT_2),CURRENCY.FORMAT_2,1),"# ##0;-# ##0"),",-"),FIXED(ROUND(IF(EXC.RATE.SWITCH=1,C303*(1-I303)*(1-ADD.DISCOUNT)*(1+MAT.SURCHARGE)/EXC.RATE_2,C303*(1-I303)*(1-ADD.DISCOUNT)*(1+MAT.SURCHARGE)*EXC.RATE_2),CURRENCY.FORMAT_2),CURRENCY.FORMAT_2,0)),'DICTIONARY-5'!$A$2))</f>
        <v/>
      </c>
      <c r="N303" s="544">
        <v>1</v>
      </c>
      <c r="O303" s="544"/>
      <c r="P303" s="731" t="str">
        <f>'DICTIONARY-3'!$A$2</f>
        <v>EKOplus</v>
      </c>
      <c r="Q303" s="732" t="str">
        <f>'DICTIONARY-3'!$A$187</f>
        <v>Zasuwa klinowa</v>
      </c>
      <c r="R303" s="732" t="str">
        <f>CONCATENATE('DICTIONARY-3'!$A$2," ",'DICTIONARY-6'!$A$3," ",'DICTIONARY-2'!$A$2,"65"," ",'DICTIONARY-2'!$A$3,"10/16"," ","R15",", ",'DICTIONARY-5'!$A$45,", ",'DICTIONARY-4'!$A$2)</f>
        <v>EKOplus Zasuwa DN65 PN10/16 R15, NBR, WW</v>
      </c>
      <c r="S303" s="733" t="str">
        <f>'DICTIONARY-4'!$A$2</f>
        <v>WW</v>
      </c>
      <c r="T303" s="732" t="str">
        <f>'DICTIONARY-4'!$A$18</f>
        <v>Wolny wałek</v>
      </c>
      <c r="U303" s="734" t="s">
        <v>5759</v>
      </c>
      <c r="V303" s="735">
        <v>16</v>
      </c>
      <c r="W303" s="736"/>
      <c r="X303" s="737"/>
      <c r="Y303" s="738"/>
      <c r="Z303" s="739"/>
      <c r="AA303" s="739"/>
      <c r="AB303" s="740">
        <v>16</v>
      </c>
      <c r="AC303" s="741" t="str">
        <f>'DICTIONARY-5'!$A$11&amp;" 15"</f>
        <v>EN 558 szereg 15</v>
      </c>
      <c r="AD303" s="741" t="str">
        <f>'DICTIONARY-5'!$A$14</f>
        <v>ścieki</v>
      </c>
      <c r="AE303" s="742">
        <v>50</v>
      </c>
      <c r="AF303" s="743">
        <v>14.5</v>
      </c>
      <c r="AG303" s="741" t="str">
        <f>'DICTIONARY-5'!$A$23</f>
        <v>powłoka epoksydowa</v>
      </c>
    </row>
    <row r="304" spans="1:33" x14ac:dyDescent="0.25">
      <c r="A304" s="842" t="s">
        <v>387</v>
      </c>
      <c r="B304" s="842" t="s">
        <v>3359</v>
      </c>
      <c r="C304" s="836">
        <v>196</v>
      </c>
      <c r="D304" s="836"/>
      <c r="E304" s="836"/>
      <c r="F304" s="836"/>
      <c r="G304" s="496" t="s">
        <v>7792</v>
      </c>
      <c r="H304" s="797" t="str">
        <f>VLOOKUP(G304,SETTINGS!$B$7:$D$97,2,0)</f>
        <v>EKOplus Waste Water</v>
      </c>
      <c r="I304" s="796">
        <f>VLOOKUP(G304,SETTINGS!$B$7:$D$97,3,0)</f>
        <v>0</v>
      </c>
      <c r="J304" s="670" t="str">
        <f>IFERROR(IF(CURRENCY.FORMAT_1=0,CONCATENATE(TEXT(FIXED(ROUND((C304/EXC.RATE_1),CURRENCY.FORMAT_1),CURRENCY.FORMAT_1,1),"# ##0;-# ##0"),",-"),FIXED(ROUND((C304/EXC.RATE_1),CURRENCY.FORMAT_1),CURRENCY.FORMAT_1,0)),'DICTIONARY-5'!$A$2)</f>
        <v>196,-</v>
      </c>
      <c r="K304" s="670" t="str">
        <f>IF(EXC.RATE_2=0,"",IFERROR(IF(CURRENCY.FORMAT_2=0,CONCATENATE(TEXT(FIXED(ROUND(IF(EXC.RATE.SWITCH=1,C304/EXC.RATE_2,C304*EXC.RATE_2),CURRENCY.FORMAT_2),CURRENCY.FORMAT_2,1),"# ##0;-# ##0"),",-"),FIXED(ROUND(IF(EXC.RATE.SWITCH=1,C304/EXC.RATE_2,C304*EXC.RATE_2),CURRENCY.FORMAT_2),CURRENCY.FORMAT_2,0)),'DICTIONARY-5'!$A$2))</f>
        <v/>
      </c>
      <c r="L304" s="670" t="str">
        <f>IFERROR(IF(CURRENCY.FORMAT_1=0,CONCATENATE(TEXT(FIXED(ROUND((C304*(1-I304)*(1-ADD.DISCOUNT)*(1+MAT.SURCHARGE)/EXC.RATE_1),CURRENCY.FORMAT_1),CURRENCY.FORMAT_1,1),"# ##0;-# ##0"),",-"),FIXED(ROUND((C304*(1-I304)*(1-ADD.DISCOUNT)*(1+MAT.SURCHARGE)/EXC.RATE_1),CURRENCY.FORMAT_1),CURRENCY.FORMAT_1,0)),'DICTIONARY-5'!$A$2)</f>
        <v>204,-</v>
      </c>
      <c r="M304" s="670" t="str">
        <f>IF(EXC.RATE_2=0,"",IFERROR(IF(CURRENCY.FORMAT_2=0,CONCATENATE(TEXT(FIXED(ROUND(IF(EXC.RATE.SWITCH=1,C304*(1-I304)*(1-ADD.DISCOUNT)*(1+MAT.SURCHARGE)/EXC.RATE_2,C304*(1-I304)*(1-ADD.DISCOUNT)*(1+MAT.SURCHARGE)*EXC.RATE_2),CURRENCY.FORMAT_2),CURRENCY.FORMAT_2,1),"# ##0;-# ##0"),",-"),FIXED(ROUND(IF(EXC.RATE.SWITCH=1,C304*(1-I304)*(1-ADD.DISCOUNT)*(1+MAT.SURCHARGE)/EXC.RATE_2,C304*(1-I304)*(1-ADD.DISCOUNT)*(1+MAT.SURCHARGE)*EXC.RATE_2),CURRENCY.FORMAT_2),CURRENCY.FORMAT_2,0)),'DICTIONARY-5'!$A$2))</f>
        <v/>
      </c>
      <c r="N304" s="544">
        <v>1</v>
      </c>
      <c r="O304" s="544"/>
      <c r="P304" s="731" t="str">
        <f>'DICTIONARY-3'!$A$2</f>
        <v>EKOplus</v>
      </c>
      <c r="Q304" s="732" t="str">
        <f>'DICTIONARY-3'!$A$187</f>
        <v>Zasuwa klinowa</v>
      </c>
      <c r="R304" s="732" t="str">
        <f>CONCATENATE('DICTIONARY-3'!$A$2," ",'DICTIONARY-6'!$A$3," ",'DICTIONARY-2'!$A$2,"80"," ",'DICTIONARY-2'!$A$3,"10/16"," ","R15",", ",'DICTIONARY-5'!$A$45,", ",'DICTIONARY-4'!$A$2)</f>
        <v>EKOplus Zasuwa DN80 PN10/16 R15, NBR, WW</v>
      </c>
      <c r="S304" s="733" t="str">
        <f>'DICTIONARY-4'!$A$2</f>
        <v>WW</v>
      </c>
      <c r="T304" s="732" t="str">
        <f>'DICTIONARY-4'!$A$18</f>
        <v>Wolny wałek</v>
      </c>
      <c r="U304" s="734" t="s">
        <v>5760</v>
      </c>
      <c r="V304" s="735">
        <v>16</v>
      </c>
      <c r="W304" s="736"/>
      <c r="X304" s="737"/>
      <c r="Y304" s="738"/>
      <c r="Z304" s="739"/>
      <c r="AA304" s="739"/>
      <c r="AB304" s="740">
        <v>16</v>
      </c>
      <c r="AC304" s="741" t="str">
        <f>'DICTIONARY-5'!$A$11&amp;" 15"</f>
        <v>EN 558 szereg 15</v>
      </c>
      <c r="AD304" s="741" t="str">
        <f>'DICTIONARY-5'!$A$14</f>
        <v>ścieki</v>
      </c>
      <c r="AE304" s="742">
        <v>50</v>
      </c>
      <c r="AF304" s="743">
        <v>16.5</v>
      </c>
      <c r="AG304" s="741" t="str">
        <f>'DICTIONARY-5'!$A$23</f>
        <v>powłoka epoksydowa</v>
      </c>
    </row>
    <row r="305" spans="1:33" x14ac:dyDescent="0.25">
      <c r="A305" s="842" t="s">
        <v>389</v>
      </c>
      <c r="B305" s="842" t="s">
        <v>3361</v>
      </c>
      <c r="C305" s="836">
        <v>228</v>
      </c>
      <c r="D305" s="836"/>
      <c r="E305" s="836"/>
      <c r="F305" s="836"/>
      <c r="G305" s="496" t="s">
        <v>7792</v>
      </c>
      <c r="H305" s="797" t="str">
        <f>VLOOKUP(G305,SETTINGS!$B$7:$D$97,2,0)</f>
        <v>EKOplus Waste Water</v>
      </c>
      <c r="I305" s="796">
        <f>VLOOKUP(G305,SETTINGS!$B$7:$D$97,3,0)</f>
        <v>0</v>
      </c>
      <c r="J305" s="670" t="str">
        <f>IFERROR(IF(CURRENCY.FORMAT_1=0,CONCATENATE(TEXT(FIXED(ROUND((C305/EXC.RATE_1),CURRENCY.FORMAT_1),CURRENCY.FORMAT_1,1),"# ##0;-# ##0"),",-"),FIXED(ROUND((C305/EXC.RATE_1),CURRENCY.FORMAT_1),CURRENCY.FORMAT_1,0)),'DICTIONARY-5'!$A$2)</f>
        <v>228,-</v>
      </c>
      <c r="K305" s="670" t="str">
        <f>IF(EXC.RATE_2=0,"",IFERROR(IF(CURRENCY.FORMAT_2=0,CONCATENATE(TEXT(FIXED(ROUND(IF(EXC.RATE.SWITCH=1,C305/EXC.RATE_2,C305*EXC.RATE_2),CURRENCY.FORMAT_2),CURRENCY.FORMAT_2,1),"# ##0;-# ##0"),",-"),FIXED(ROUND(IF(EXC.RATE.SWITCH=1,C305/EXC.RATE_2,C305*EXC.RATE_2),CURRENCY.FORMAT_2),CURRENCY.FORMAT_2,0)),'DICTIONARY-5'!$A$2))</f>
        <v/>
      </c>
      <c r="L305" s="670" t="str">
        <f>IFERROR(IF(CURRENCY.FORMAT_1=0,CONCATENATE(TEXT(FIXED(ROUND((C305*(1-I305)*(1-ADD.DISCOUNT)*(1+MAT.SURCHARGE)/EXC.RATE_1),CURRENCY.FORMAT_1),CURRENCY.FORMAT_1,1),"# ##0;-# ##0"),",-"),FIXED(ROUND((C305*(1-I305)*(1-ADD.DISCOUNT)*(1+MAT.SURCHARGE)/EXC.RATE_1),CURRENCY.FORMAT_1),CURRENCY.FORMAT_1,0)),'DICTIONARY-5'!$A$2)</f>
        <v>237,-</v>
      </c>
      <c r="M305" s="670" t="str">
        <f>IF(EXC.RATE_2=0,"",IFERROR(IF(CURRENCY.FORMAT_2=0,CONCATENATE(TEXT(FIXED(ROUND(IF(EXC.RATE.SWITCH=1,C305*(1-I305)*(1-ADD.DISCOUNT)*(1+MAT.SURCHARGE)/EXC.RATE_2,C305*(1-I305)*(1-ADD.DISCOUNT)*(1+MAT.SURCHARGE)*EXC.RATE_2),CURRENCY.FORMAT_2),CURRENCY.FORMAT_2,1),"# ##0;-# ##0"),",-"),FIXED(ROUND(IF(EXC.RATE.SWITCH=1,C305*(1-I305)*(1-ADD.DISCOUNT)*(1+MAT.SURCHARGE)/EXC.RATE_2,C305*(1-I305)*(1-ADD.DISCOUNT)*(1+MAT.SURCHARGE)*EXC.RATE_2),CURRENCY.FORMAT_2),CURRENCY.FORMAT_2,0)),'DICTIONARY-5'!$A$2))</f>
        <v/>
      </c>
      <c r="N305" s="544">
        <v>1</v>
      </c>
      <c r="O305" s="544"/>
      <c r="P305" s="731" t="str">
        <f>'DICTIONARY-3'!$A$2</f>
        <v>EKOplus</v>
      </c>
      <c r="Q305" s="732" t="str">
        <f>'DICTIONARY-3'!$A$187</f>
        <v>Zasuwa klinowa</v>
      </c>
      <c r="R305" s="732" t="str">
        <f>CONCATENATE('DICTIONARY-3'!$A$2," ",'DICTIONARY-6'!$A$3," ",'DICTIONARY-2'!$A$2,"100"," ",'DICTIONARY-2'!$A$3,"10/16"," ","R15",", ",'DICTIONARY-5'!$A$45,", ",'DICTIONARY-4'!$A$2)</f>
        <v>EKOplus Zasuwa DN100 PN10/16 R15, NBR, WW</v>
      </c>
      <c r="S305" s="733" t="str">
        <f>'DICTIONARY-4'!$A$2</f>
        <v>WW</v>
      </c>
      <c r="T305" s="732" t="str">
        <f>'DICTIONARY-4'!$A$18</f>
        <v>Wolny wałek</v>
      </c>
      <c r="U305" s="734" t="s">
        <v>5749</v>
      </c>
      <c r="V305" s="735">
        <v>16</v>
      </c>
      <c r="W305" s="736"/>
      <c r="X305" s="737"/>
      <c r="Y305" s="738"/>
      <c r="Z305" s="739"/>
      <c r="AA305" s="739"/>
      <c r="AB305" s="740">
        <v>16</v>
      </c>
      <c r="AC305" s="741" t="str">
        <f>'DICTIONARY-5'!$A$11&amp;" 15"</f>
        <v>EN 558 szereg 15</v>
      </c>
      <c r="AD305" s="741" t="str">
        <f>'DICTIONARY-5'!$A$14</f>
        <v>ścieki</v>
      </c>
      <c r="AE305" s="742">
        <v>50</v>
      </c>
      <c r="AF305" s="743">
        <v>19.5</v>
      </c>
      <c r="AG305" s="741" t="str">
        <f>'DICTIONARY-5'!$A$23</f>
        <v>powłoka epoksydowa</v>
      </c>
    </row>
    <row r="306" spans="1:33" x14ac:dyDescent="0.25">
      <c r="A306" s="842" t="s">
        <v>391</v>
      </c>
      <c r="B306" s="842" t="s">
        <v>3363</v>
      </c>
      <c r="C306" s="836">
        <v>359</v>
      </c>
      <c r="D306" s="836"/>
      <c r="E306" s="836"/>
      <c r="F306" s="836"/>
      <c r="G306" s="496" t="s">
        <v>7792</v>
      </c>
      <c r="H306" s="797" t="str">
        <f>VLOOKUP(G306,SETTINGS!$B$7:$D$97,2,0)</f>
        <v>EKOplus Waste Water</v>
      </c>
      <c r="I306" s="796">
        <f>VLOOKUP(G306,SETTINGS!$B$7:$D$97,3,0)</f>
        <v>0</v>
      </c>
      <c r="J306" s="670" t="str">
        <f>IFERROR(IF(CURRENCY.FORMAT_1=0,CONCATENATE(TEXT(FIXED(ROUND((C306/EXC.RATE_1),CURRENCY.FORMAT_1),CURRENCY.FORMAT_1,1),"# ##0;-# ##0"),",-"),FIXED(ROUND((C306/EXC.RATE_1),CURRENCY.FORMAT_1),CURRENCY.FORMAT_1,0)),'DICTIONARY-5'!$A$2)</f>
        <v>359,-</v>
      </c>
      <c r="K306" s="670" t="str">
        <f>IF(EXC.RATE_2=0,"",IFERROR(IF(CURRENCY.FORMAT_2=0,CONCATENATE(TEXT(FIXED(ROUND(IF(EXC.RATE.SWITCH=1,C306/EXC.RATE_2,C306*EXC.RATE_2),CURRENCY.FORMAT_2),CURRENCY.FORMAT_2,1),"# ##0;-# ##0"),",-"),FIXED(ROUND(IF(EXC.RATE.SWITCH=1,C306/EXC.RATE_2,C306*EXC.RATE_2),CURRENCY.FORMAT_2),CURRENCY.FORMAT_2,0)),'DICTIONARY-5'!$A$2))</f>
        <v/>
      </c>
      <c r="L306" s="670" t="str">
        <f>IFERROR(IF(CURRENCY.FORMAT_1=0,CONCATENATE(TEXT(FIXED(ROUND((C306*(1-I306)*(1-ADD.DISCOUNT)*(1+MAT.SURCHARGE)/EXC.RATE_1),CURRENCY.FORMAT_1),CURRENCY.FORMAT_1,1),"# ##0;-# ##0"),",-"),FIXED(ROUND((C306*(1-I306)*(1-ADD.DISCOUNT)*(1+MAT.SURCHARGE)/EXC.RATE_1),CURRENCY.FORMAT_1),CURRENCY.FORMAT_1,0)),'DICTIONARY-5'!$A$2)</f>
        <v>373,-</v>
      </c>
      <c r="M306" s="670" t="str">
        <f>IF(EXC.RATE_2=0,"",IFERROR(IF(CURRENCY.FORMAT_2=0,CONCATENATE(TEXT(FIXED(ROUND(IF(EXC.RATE.SWITCH=1,C306*(1-I306)*(1-ADD.DISCOUNT)*(1+MAT.SURCHARGE)/EXC.RATE_2,C306*(1-I306)*(1-ADD.DISCOUNT)*(1+MAT.SURCHARGE)*EXC.RATE_2),CURRENCY.FORMAT_2),CURRENCY.FORMAT_2,1),"# ##0;-# ##0"),",-"),FIXED(ROUND(IF(EXC.RATE.SWITCH=1,C306*(1-I306)*(1-ADD.DISCOUNT)*(1+MAT.SURCHARGE)/EXC.RATE_2,C306*(1-I306)*(1-ADD.DISCOUNT)*(1+MAT.SURCHARGE)*EXC.RATE_2),CURRENCY.FORMAT_2),CURRENCY.FORMAT_2,0)),'DICTIONARY-5'!$A$2))</f>
        <v/>
      </c>
      <c r="N306" s="544">
        <v>1</v>
      </c>
      <c r="O306" s="544"/>
      <c r="P306" s="731" t="str">
        <f>'DICTIONARY-3'!$A$2</f>
        <v>EKOplus</v>
      </c>
      <c r="Q306" s="732" t="str">
        <f>'DICTIONARY-3'!$A$187</f>
        <v>Zasuwa klinowa</v>
      </c>
      <c r="R306" s="732" t="str">
        <f>CONCATENATE('DICTIONARY-3'!$A$2," ",'DICTIONARY-6'!$A$3," ",'DICTIONARY-2'!$A$2,"125"," ",'DICTIONARY-2'!$A$3,"10/16"," ","R15",", ",'DICTIONARY-5'!$A$45,", ",'DICTIONARY-4'!$A$2)</f>
        <v>EKOplus Zasuwa DN125 PN10/16 R15, NBR, WW</v>
      </c>
      <c r="S306" s="733" t="str">
        <f>'DICTIONARY-4'!$A$2</f>
        <v>WW</v>
      </c>
      <c r="T306" s="732" t="str">
        <f>'DICTIONARY-4'!$A$18</f>
        <v>Wolny wałek</v>
      </c>
      <c r="U306" s="734" t="s">
        <v>5761</v>
      </c>
      <c r="V306" s="735">
        <v>16</v>
      </c>
      <c r="W306" s="736"/>
      <c r="X306" s="737"/>
      <c r="Y306" s="738"/>
      <c r="Z306" s="739"/>
      <c r="AA306" s="739"/>
      <c r="AB306" s="740">
        <v>16</v>
      </c>
      <c r="AC306" s="741" t="str">
        <f>'DICTIONARY-5'!$A$11&amp;" 15"</f>
        <v>EN 558 szereg 15</v>
      </c>
      <c r="AD306" s="741" t="str">
        <f>'DICTIONARY-5'!$A$14</f>
        <v>ścieki</v>
      </c>
      <c r="AE306" s="742">
        <v>50</v>
      </c>
      <c r="AF306" s="743">
        <v>28</v>
      </c>
      <c r="AG306" s="741" t="str">
        <f>'DICTIONARY-5'!$A$23</f>
        <v>powłoka epoksydowa</v>
      </c>
    </row>
    <row r="307" spans="1:33" x14ac:dyDescent="0.25">
      <c r="A307" s="842" t="s">
        <v>393</v>
      </c>
      <c r="B307" s="842" t="s">
        <v>3365</v>
      </c>
      <c r="C307" s="836">
        <v>377</v>
      </c>
      <c r="D307" s="836"/>
      <c r="E307" s="836"/>
      <c r="F307" s="836"/>
      <c r="G307" s="496" t="s">
        <v>7792</v>
      </c>
      <c r="H307" s="797" t="str">
        <f>VLOOKUP(G307,SETTINGS!$B$7:$D$97,2,0)</f>
        <v>EKOplus Waste Water</v>
      </c>
      <c r="I307" s="796">
        <f>VLOOKUP(G307,SETTINGS!$B$7:$D$97,3,0)</f>
        <v>0</v>
      </c>
      <c r="J307" s="670" t="str">
        <f>IFERROR(IF(CURRENCY.FORMAT_1=0,CONCATENATE(TEXT(FIXED(ROUND((C307/EXC.RATE_1),CURRENCY.FORMAT_1),CURRENCY.FORMAT_1,1),"# ##0;-# ##0"),",-"),FIXED(ROUND((C307/EXC.RATE_1),CURRENCY.FORMAT_1),CURRENCY.FORMAT_1,0)),'DICTIONARY-5'!$A$2)</f>
        <v>377,-</v>
      </c>
      <c r="K307" s="670" t="str">
        <f>IF(EXC.RATE_2=0,"",IFERROR(IF(CURRENCY.FORMAT_2=0,CONCATENATE(TEXT(FIXED(ROUND(IF(EXC.RATE.SWITCH=1,C307/EXC.RATE_2,C307*EXC.RATE_2),CURRENCY.FORMAT_2),CURRENCY.FORMAT_2,1),"# ##0;-# ##0"),",-"),FIXED(ROUND(IF(EXC.RATE.SWITCH=1,C307/EXC.RATE_2,C307*EXC.RATE_2),CURRENCY.FORMAT_2),CURRENCY.FORMAT_2,0)),'DICTIONARY-5'!$A$2))</f>
        <v/>
      </c>
      <c r="L307" s="670" t="str">
        <f>IFERROR(IF(CURRENCY.FORMAT_1=0,CONCATENATE(TEXT(FIXED(ROUND((C307*(1-I307)*(1-ADD.DISCOUNT)*(1+MAT.SURCHARGE)/EXC.RATE_1),CURRENCY.FORMAT_1),CURRENCY.FORMAT_1,1),"# ##0;-# ##0"),",-"),FIXED(ROUND((C307*(1-I307)*(1-ADD.DISCOUNT)*(1+MAT.SURCHARGE)/EXC.RATE_1),CURRENCY.FORMAT_1),CURRENCY.FORMAT_1,0)),'DICTIONARY-5'!$A$2)</f>
        <v>392,-</v>
      </c>
      <c r="M307" s="670" t="str">
        <f>IF(EXC.RATE_2=0,"",IFERROR(IF(CURRENCY.FORMAT_2=0,CONCATENATE(TEXT(FIXED(ROUND(IF(EXC.RATE.SWITCH=1,C307*(1-I307)*(1-ADD.DISCOUNT)*(1+MAT.SURCHARGE)/EXC.RATE_2,C307*(1-I307)*(1-ADD.DISCOUNT)*(1+MAT.SURCHARGE)*EXC.RATE_2),CURRENCY.FORMAT_2),CURRENCY.FORMAT_2,1),"# ##0;-# ##0"),",-"),FIXED(ROUND(IF(EXC.RATE.SWITCH=1,C307*(1-I307)*(1-ADD.DISCOUNT)*(1+MAT.SURCHARGE)/EXC.RATE_2,C307*(1-I307)*(1-ADD.DISCOUNT)*(1+MAT.SURCHARGE)*EXC.RATE_2),CURRENCY.FORMAT_2),CURRENCY.FORMAT_2,0)),'DICTIONARY-5'!$A$2))</f>
        <v/>
      </c>
      <c r="N307" s="544">
        <v>1</v>
      </c>
      <c r="O307" s="544"/>
      <c r="P307" s="731" t="str">
        <f>'DICTIONARY-3'!$A$2</f>
        <v>EKOplus</v>
      </c>
      <c r="Q307" s="732" t="str">
        <f>'DICTIONARY-3'!$A$187</f>
        <v>Zasuwa klinowa</v>
      </c>
      <c r="R307" s="732" t="str">
        <f>CONCATENATE('DICTIONARY-3'!$A$2," ",'DICTIONARY-6'!$A$3," ",'DICTIONARY-2'!$A$2,"150"," ",'DICTIONARY-2'!$A$3,"10/16"," ","R15",", ",'DICTIONARY-5'!$A$45,", ",'DICTIONARY-4'!$A$2)</f>
        <v>EKOplus Zasuwa DN150 PN10/16 R15, NBR, WW</v>
      </c>
      <c r="S307" s="733" t="str">
        <f>'DICTIONARY-4'!$A$2</f>
        <v>WW</v>
      </c>
      <c r="T307" s="732" t="str">
        <f>'DICTIONARY-4'!$A$18</f>
        <v>Wolny wałek</v>
      </c>
      <c r="U307" s="734" t="s">
        <v>5572</v>
      </c>
      <c r="V307" s="735">
        <v>16</v>
      </c>
      <c r="W307" s="736"/>
      <c r="X307" s="737"/>
      <c r="Y307" s="738"/>
      <c r="Z307" s="739"/>
      <c r="AA307" s="739"/>
      <c r="AB307" s="740">
        <v>16</v>
      </c>
      <c r="AC307" s="741" t="str">
        <f>'DICTIONARY-5'!$A$11&amp;" 15"</f>
        <v>EN 558 szereg 15</v>
      </c>
      <c r="AD307" s="741" t="str">
        <f>'DICTIONARY-5'!$A$14</f>
        <v>ścieki</v>
      </c>
      <c r="AE307" s="742">
        <v>50</v>
      </c>
      <c r="AF307" s="743">
        <v>35</v>
      </c>
      <c r="AG307" s="741" t="str">
        <f>'DICTIONARY-5'!$A$23</f>
        <v>powłoka epoksydowa</v>
      </c>
    </row>
    <row r="308" spans="1:33" x14ac:dyDescent="0.25">
      <c r="A308" s="842" t="s">
        <v>395</v>
      </c>
      <c r="B308" s="842" t="s">
        <v>3345</v>
      </c>
      <c r="C308" s="836">
        <v>621</v>
      </c>
      <c r="D308" s="836"/>
      <c r="E308" s="836"/>
      <c r="F308" s="836"/>
      <c r="G308" s="496" t="s">
        <v>7792</v>
      </c>
      <c r="H308" s="797" t="str">
        <f>VLOOKUP(G308,SETTINGS!$B$7:$D$97,2,0)</f>
        <v>EKOplus Waste Water</v>
      </c>
      <c r="I308" s="796">
        <f>VLOOKUP(G308,SETTINGS!$B$7:$D$97,3,0)</f>
        <v>0</v>
      </c>
      <c r="J308" s="670" t="str">
        <f>IFERROR(IF(CURRENCY.FORMAT_1=0,CONCATENATE(TEXT(FIXED(ROUND((C308/EXC.RATE_1),CURRENCY.FORMAT_1),CURRENCY.FORMAT_1,1),"# ##0;-# ##0"),",-"),FIXED(ROUND((C308/EXC.RATE_1),CURRENCY.FORMAT_1),CURRENCY.FORMAT_1,0)),'DICTIONARY-5'!$A$2)</f>
        <v>621,-</v>
      </c>
      <c r="K308" s="670" t="str">
        <f>IF(EXC.RATE_2=0,"",IFERROR(IF(CURRENCY.FORMAT_2=0,CONCATENATE(TEXT(FIXED(ROUND(IF(EXC.RATE.SWITCH=1,C308/EXC.RATE_2,C308*EXC.RATE_2),CURRENCY.FORMAT_2),CURRENCY.FORMAT_2,1),"# ##0;-# ##0"),",-"),FIXED(ROUND(IF(EXC.RATE.SWITCH=1,C308/EXC.RATE_2,C308*EXC.RATE_2),CURRENCY.FORMAT_2),CURRENCY.FORMAT_2,0)),'DICTIONARY-5'!$A$2))</f>
        <v/>
      </c>
      <c r="L308" s="670" t="str">
        <f>IFERROR(IF(CURRENCY.FORMAT_1=0,CONCATENATE(TEXT(FIXED(ROUND((C308*(1-I308)*(1-ADD.DISCOUNT)*(1+MAT.SURCHARGE)/EXC.RATE_1),CURRENCY.FORMAT_1),CURRENCY.FORMAT_1,1),"# ##0;-# ##0"),",-"),FIXED(ROUND((C308*(1-I308)*(1-ADD.DISCOUNT)*(1+MAT.SURCHARGE)/EXC.RATE_1),CURRENCY.FORMAT_1),CURRENCY.FORMAT_1,0)),'DICTIONARY-5'!$A$2)</f>
        <v>645,-</v>
      </c>
      <c r="M308" s="670" t="str">
        <f>IF(EXC.RATE_2=0,"",IFERROR(IF(CURRENCY.FORMAT_2=0,CONCATENATE(TEXT(FIXED(ROUND(IF(EXC.RATE.SWITCH=1,C308*(1-I308)*(1-ADD.DISCOUNT)*(1+MAT.SURCHARGE)/EXC.RATE_2,C308*(1-I308)*(1-ADD.DISCOUNT)*(1+MAT.SURCHARGE)*EXC.RATE_2),CURRENCY.FORMAT_2),CURRENCY.FORMAT_2,1),"# ##0;-# ##0"),",-"),FIXED(ROUND(IF(EXC.RATE.SWITCH=1,C308*(1-I308)*(1-ADD.DISCOUNT)*(1+MAT.SURCHARGE)/EXC.RATE_2,C308*(1-I308)*(1-ADD.DISCOUNT)*(1+MAT.SURCHARGE)*EXC.RATE_2),CURRENCY.FORMAT_2),CURRENCY.FORMAT_2,0)),'DICTIONARY-5'!$A$2))</f>
        <v/>
      </c>
      <c r="N308" s="544">
        <v>1</v>
      </c>
      <c r="O308" s="544"/>
      <c r="P308" s="731" t="str">
        <f>'DICTIONARY-3'!$A$2</f>
        <v>EKOplus</v>
      </c>
      <c r="Q308" s="732" t="str">
        <f>'DICTIONARY-3'!$A$187</f>
        <v>Zasuwa klinowa</v>
      </c>
      <c r="R308" s="732" t="str">
        <f>CONCATENATE('DICTIONARY-3'!$A$2," ",'DICTIONARY-6'!$A$3," ",'DICTIONARY-2'!$A$2,"200"," ",'DICTIONARY-2'!$A$3,"10"," ","R15",", ",'DICTIONARY-5'!$A$45,", ",'DICTIONARY-4'!$A$2)</f>
        <v>EKOplus Zasuwa DN200 PN10 R15, NBR, WW</v>
      </c>
      <c r="S308" s="733" t="str">
        <f>'DICTIONARY-4'!$A$2</f>
        <v>WW</v>
      </c>
      <c r="T308" s="732" t="str">
        <f>'DICTIONARY-4'!$A$18</f>
        <v>Wolny wałek</v>
      </c>
      <c r="U308" s="734" t="s">
        <v>5750</v>
      </c>
      <c r="V308" s="735">
        <v>10</v>
      </c>
      <c r="W308" s="736"/>
      <c r="X308" s="737"/>
      <c r="Y308" s="738"/>
      <c r="Z308" s="739"/>
      <c r="AA308" s="739"/>
      <c r="AB308" s="740">
        <v>10</v>
      </c>
      <c r="AC308" s="741" t="str">
        <f>'DICTIONARY-5'!$A$11&amp;" 15"</f>
        <v>EN 558 szereg 15</v>
      </c>
      <c r="AD308" s="741" t="str">
        <f>'DICTIONARY-5'!$A$14</f>
        <v>ścieki</v>
      </c>
      <c r="AE308" s="742">
        <v>50</v>
      </c>
      <c r="AF308" s="743">
        <v>59.5</v>
      </c>
      <c r="AG308" s="741" t="str">
        <f>'DICTIONARY-5'!$A$23</f>
        <v>powłoka epoksydowa</v>
      </c>
    </row>
    <row r="309" spans="1:33" x14ac:dyDescent="0.25">
      <c r="A309" s="842" t="s">
        <v>397</v>
      </c>
      <c r="B309" s="842" t="s">
        <v>3367</v>
      </c>
      <c r="C309" s="836">
        <v>625</v>
      </c>
      <c r="D309" s="836"/>
      <c r="E309" s="836"/>
      <c r="F309" s="836"/>
      <c r="G309" s="496" t="s">
        <v>7792</v>
      </c>
      <c r="H309" s="797" t="str">
        <f>VLOOKUP(G309,SETTINGS!$B$7:$D$97,2,0)</f>
        <v>EKOplus Waste Water</v>
      </c>
      <c r="I309" s="796">
        <f>VLOOKUP(G309,SETTINGS!$B$7:$D$97,3,0)</f>
        <v>0</v>
      </c>
      <c r="J309" s="670" t="str">
        <f>IFERROR(IF(CURRENCY.FORMAT_1=0,CONCATENATE(TEXT(FIXED(ROUND((C309/EXC.RATE_1),CURRENCY.FORMAT_1),CURRENCY.FORMAT_1,1),"# ##0;-# ##0"),",-"),FIXED(ROUND((C309/EXC.RATE_1),CURRENCY.FORMAT_1),CURRENCY.FORMAT_1,0)),'DICTIONARY-5'!$A$2)</f>
        <v>625,-</v>
      </c>
      <c r="K309" s="670" t="str">
        <f>IF(EXC.RATE_2=0,"",IFERROR(IF(CURRENCY.FORMAT_2=0,CONCATENATE(TEXT(FIXED(ROUND(IF(EXC.RATE.SWITCH=1,C309/EXC.RATE_2,C309*EXC.RATE_2),CURRENCY.FORMAT_2),CURRENCY.FORMAT_2,1),"# ##0;-# ##0"),",-"),FIXED(ROUND(IF(EXC.RATE.SWITCH=1,C309/EXC.RATE_2,C309*EXC.RATE_2),CURRENCY.FORMAT_2),CURRENCY.FORMAT_2,0)),'DICTIONARY-5'!$A$2))</f>
        <v/>
      </c>
      <c r="L309" s="670" t="str">
        <f>IFERROR(IF(CURRENCY.FORMAT_1=0,CONCATENATE(TEXT(FIXED(ROUND((C309*(1-I309)*(1-ADD.DISCOUNT)*(1+MAT.SURCHARGE)/EXC.RATE_1),CURRENCY.FORMAT_1),CURRENCY.FORMAT_1,1),"# ##0;-# ##0"),",-"),FIXED(ROUND((C309*(1-I309)*(1-ADD.DISCOUNT)*(1+MAT.SURCHARGE)/EXC.RATE_1),CURRENCY.FORMAT_1),CURRENCY.FORMAT_1,0)),'DICTIONARY-5'!$A$2)</f>
        <v>649,-</v>
      </c>
      <c r="M309" s="670" t="str">
        <f>IF(EXC.RATE_2=0,"",IFERROR(IF(CURRENCY.FORMAT_2=0,CONCATENATE(TEXT(FIXED(ROUND(IF(EXC.RATE.SWITCH=1,C309*(1-I309)*(1-ADD.DISCOUNT)*(1+MAT.SURCHARGE)/EXC.RATE_2,C309*(1-I309)*(1-ADD.DISCOUNT)*(1+MAT.SURCHARGE)*EXC.RATE_2),CURRENCY.FORMAT_2),CURRENCY.FORMAT_2,1),"# ##0;-# ##0"),",-"),FIXED(ROUND(IF(EXC.RATE.SWITCH=1,C309*(1-I309)*(1-ADD.DISCOUNT)*(1+MAT.SURCHARGE)/EXC.RATE_2,C309*(1-I309)*(1-ADD.DISCOUNT)*(1+MAT.SURCHARGE)*EXC.RATE_2),CURRENCY.FORMAT_2),CURRENCY.FORMAT_2,0)),'DICTIONARY-5'!$A$2))</f>
        <v/>
      </c>
      <c r="N309" s="544">
        <v>1</v>
      </c>
      <c r="O309" s="544"/>
      <c r="P309" s="731" t="str">
        <f>'DICTIONARY-3'!$A$2</f>
        <v>EKOplus</v>
      </c>
      <c r="Q309" s="732" t="str">
        <f>'DICTIONARY-3'!$A$187</f>
        <v>Zasuwa klinowa</v>
      </c>
      <c r="R309" s="732" t="str">
        <f>CONCATENATE('DICTIONARY-3'!$A$2," ",'DICTIONARY-6'!$A$3," ",'DICTIONARY-2'!$A$2,"200"," ",'DICTIONARY-2'!$A$3,"16"," ","R15",", ",'DICTIONARY-5'!$A$45,", ",'DICTIONARY-4'!$A$2)</f>
        <v>EKOplus Zasuwa DN200 PN16 R15, NBR, WW</v>
      </c>
      <c r="S309" s="733" t="str">
        <f>'DICTIONARY-4'!$A$2</f>
        <v>WW</v>
      </c>
      <c r="T309" s="732" t="str">
        <f>'DICTIONARY-4'!$A$18</f>
        <v>Wolny wałek</v>
      </c>
      <c r="U309" s="734" t="s">
        <v>5750</v>
      </c>
      <c r="V309" s="735">
        <v>16</v>
      </c>
      <c r="W309" s="736"/>
      <c r="X309" s="737"/>
      <c r="Y309" s="738"/>
      <c r="Z309" s="739"/>
      <c r="AA309" s="739"/>
      <c r="AB309" s="740">
        <v>16</v>
      </c>
      <c r="AC309" s="741" t="str">
        <f>'DICTIONARY-5'!$A$11&amp;" 15"</f>
        <v>EN 558 szereg 15</v>
      </c>
      <c r="AD309" s="741" t="str">
        <f>'DICTIONARY-5'!$A$14</f>
        <v>ścieki</v>
      </c>
      <c r="AE309" s="742">
        <v>50</v>
      </c>
      <c r="AF309" s="743">
        <v>58</v>
      </c>
      <c r="AG309" s="741" t="str">
        <f>'DICTIONARY-5'!$A$23</f>
        <v>powłoka epoksydowa</v>
      </c>
    </row>
    <row r="310" spans="1:33" x14ac:dyDescent="0.25">
      <c r="A310" s="842" t="s">
        <v>399</v>
      </c>
      <c r="B310" s="842" t="s">
        <v>3347</v>
      </c>
      <c r="C310" s="836">
        <v>1167</v>
      </c>
      <c r="D310" s="836"/>
      <c r="E310" s="836"/>
      <c r="F310" s="836"/>
      <c r="G310" s="496" t="s">
        <v>7792</v>
      </c>
      <c r="H310" s="797" t="str">
        <f>VLOOKUP(G310,SETTINGS!$B$7:$D$97,2,0)</f>
        <v>EKOplus Waste Water</v>
      </c>
      <c r="I310" s="796">
        <f>VLOOKUP(G310,SETTINGS!$B$7:$D$97,3,0)</f>
        <v>0</v>
      </c>
      <c r="J310" s="670" t="str">
        <f>IFERROR(IF(CURRENCY.FORMAT_1=0,CONCATENATE(TEXT(FIXED(ROUND((C310/EXC.RATE_1),CURRENCY.FORMAT_1),CURRENCY.FORMAT_1,1),"# ##0;-# ##0"),",-"),FIXED(ROUND((C310/EXC.RATE_1),CURRENCY.FORMAT_1),CURRENCY.FORMAT_1,0)),'DICTIONARY-5'!$A$2)</f>
        <v>1 167,-</v>
      </c>
      <c r="K310" s="670" t="str">
        <f>IF(EXC.RATE_2=0,"",IFERROR(IF(CURRENCY.FORMAT_2=0,CONCATENATE(TEXT(FIXED(ROUND(IF(EXC.RATE.SWITCH=1,C310/EXC.RATE_2,C310*EXC.RATE_2),CURRENCY.FORMAT_2),CURRENCY.FORMAT_2,1),"# ##0;-# ##0"),",-"),FIXED(ROUND(IF(EXC.RATE.SWITCH=1,C310/EXC.RATE_2,C310*EXC.RATE_2),CURRENCY.FORMAT_2),CURRENCY.FORMAT_2,0)),'DICTIONARY-5'!$A$2))</f>
        <v/>
      </c>
      <c r="L310" s="670" t="str">
        <f>IFERROR(IF(CURRENCY.FORMAT_1=0,CONCATENATE(TEXT(FIXED(ROUND((C310*(1-I310)*(1-ADD.DISCOUNT)*(1+MAT.SURCHARGE)/EXC.RATE_1),CURRENCY.FORMAT_1),CURRENCY.FORMAT_1,1),"# ##0;-# ##0"),",-"),FIXED(ROUND((C310*(1-I310)*(1-ADD.DISCOUNT)*(1+MAT.SURCHARGE)/EXC.RATE_1),CURRENCY.FORMAT_1),CURRENCY.FORMAT_1,0)),'DICTIONARY-5'!$A$2)</f>
        <v>1 213,-</v>
      </c>
      <c r="M310" s="670" t="str">
        <f>IF(EXC.RATE_2=0,"",IFERROR(IF(CURRENCY.FORMAT_2=0,CONCATENATE(TEXT(FIXED(ROUND(IF(EXC.RATE.SWITCH=1,C310*(1-I310)*(1-ADD.DISCOUNT)*(1+MAT.SURCHARGE)/EXC.RATE_2,C310*(1-I310)*(1-ADD.DISCOUNT)*(1+MAT.SURCHARGE)*EXC.RATE_2),CURRENCY.FORMAT_2),CURRENCY.FORMAT_2,1),"# ##0;-# ##0"),",-"),FIXED(ROUND(IF(EXC.RATE.SWITCH=1,C310*(1-I310)*(1-ADD.DISCOUNT)*(1+MAT.SURCHARGE)/EXC.RATE_2,C310*(1-I310)*(1-ADD.DISCOUNT)*(1+MAT.SURCHARGE)*EXC.RATE_2),CURRENCY.FORMAT_2),CURRENCY.FORMAT_2,0)),'DICTIONARY-5'!$A$2))</f>
        <v/>
      </c>
      <c r="N310" s="544">
        <v>1</v>
      </c>
      <c r="O310" s="544"/>
      <c r="P310" s="731" t="str">
        <f>'DICTIONARY-3'!$A$2</f>
        <v>EKOplus</v>
      </c>
      <c r="Q310" s="732" t="str">
        <f>'DICTIONARY-3'!$A$187</f>
        <v>Zasuwa klinowa</v>
      </c>
      <c r="R310" s="732" t="str">
        <f>CONCATENATE('DICTIONARY-3'!$A$2," ",'DICTIONARY-6'!$A$3," ",'DICTIONARY-2'!$A$2,"250"," ",'DICTIONARY-2'!$A$3,"10"," ","R15",", ",'DICTIONARY-5'!$A$45,", ",'DICTIONARY-4'!$A$2)</f>
        <v>EKOplus Zasuwa DN250 PN10 R15, NBR, WW</v>
      </c>
      <c r="S310" s="733" t="str">
        <f>'DICTIONARY-4'!$A$2</f>
        <v>WW</v>
      </c>
      <c r="T310" s="732" t="str">
        <f>'DICTIONARY-4'!$A$18</f>
        <v>Wolny wałek</v>
      </c>
      <c r="U310" s="734" t="s">
        <v>5751</v>
      </c>
      <c r="V310" s="735">
        <v>10</v>
      </c>
      <c r="W310" s="736"/>
      <c r="X310" s="737"/>
      <c r="Y310" s="738"/>
      <c r="Z310" s="739"/>
      <c r="AA310" s="739"/>
      <c r="AB310" s="740">
        <v>10</v>
      </c>
      <c r="AC310" s="741" t="str">
        <f>'DICTIONARY-5'!$A$11&amp;" 15"</f>
        <v>EN 558 szereg 15</v>
      </c>
      <c r="AD310" s="741" t="str">
        <f>'DICTIONARY-5'!$A$14</f>
        <v>ścieki</v>
      </c>
      <c r="AE310" s="742">
        <v>50</v>
      </c>
      <c r="AF310" s="743">
        <v>102.5</v>
      </c>
      <c r="AG310" s="741" t="str">
        <f>'DICTIONARY-5'!$A$23</f>
        <v>powłoka epoksydowa</v>
      </c>
    </row>
    <row r="311" spans="1:33" x14ac:dyDescent="0.25">
      <c r="A311" s="842" t="s">
        <v>401</v>
      </c>
      <c r="B311" s="842" t="s">
        <v>3369</v>
      </c>
      <c r="C311" s="836">
        <v>1177</v>
      </c>
      <c r="D311" s="836"/>
      <c r="E311" s="836"/>
      <c r="F311" s="836"/>
      <c r="G311" s="496" t="s">
        <v>7792</v>
      </c>
      <c r="H311" s="797" t="str">
        <f>VLOOKUP(G311,SETTINGS!$B$7:$D$97,2,0)</f>
        <v>EKOplus Waste Water</v>
      </c>
      <c r="I311" s="796">
        <f>VLOOKUP(G311,SETTINGS!$B$7:$D$97,3,0)</f>
        <v>0</v>
      </c>
      <c r="J311" s="670" t="str">
        <f>IFERROR(IF(CURRENCY.FORMAT_1=0,CONCATENATE(TEXT(FIXED(ROUND((C311/EXC.RATE_1),CURRENCY.FORMAT_1),CURRENCY.FORMAT_1,1),"# ##0;-# ##0"),",-"),FIXED(ROUND((C311/EXC.RATE_1),CURRENCY.FORMAT_1),CURRENCY.FORMAT_1,0)),'DICTIONARY-5'!$A$2)</f>
        <v>1 177,-</v>
      </c>
      <c r="K311" s="670" t="str">
        <f>IF(EXC.RATE_2=0,"",IFERROR(IF(CURRENCY.FORMAT_2=0,CONCATENATE(TEXT(FIXED(ROUND(IF(EXC.RATE.SWITCH=1,C311/EXC.RATE_2,C311*EXC.RATE_2),CURRENCY.FORMAT_2),CURRENCY.FORMAT_2,1),"# ##0;-# ##0"),",-"),FIXED(ROUND(IF(EXC.RATE.SWITCH=1,C311/EXC.RATE_2,C311*EXC.RATE_2),CURRENCY.FORMAT_2),CURRENCY.FORMAT_2,0)),'DICTIONARY-5'!$A$2))</f>
        <v/>
      </c>
      <c r="L311" s="670" t="str">
        <f>IFERROR(IF(CURRENCY.FORMAT_1=0,CONCATENATE(TEXT(FIXED(ROUND((C311*(1-I311)*(1-ADD.DISCOUNT)*(1+MAT.SURCHARGE)/EXC.RATE_1),CURRENCY.FORMAT_1),CURRENCY.FORMAT_1,1),"# ##0;-# ##0"),",-"),FIXED(ROUND((C311*(1-I311)*(1-ADD.DISCOUNT)*(1+MAT.SURCHARGE)/EXC.RATE_1),CURRENCY.FORMAT_1),CURRENCY.FORMAT_1,0)),'DICTIONARY-5'!$A$2)</f>
        <v>1 223,-</v>
      </c>
      <c r="M311" s="670" t="str">
        <f>IF(EXC.RATE_2=0,"",IFERROR(IF(CURRENCY.FORMAT_2=0,CONCATENATE(TEXT(FIXED(ROUND(IF(EXC.RATE.SWITCH=1,C311*(1-I311)*(1-ADD.DISCOUNT)*(1+MAT.SURCHARGE)/EXC.RATE_2,C311*(1-I311)*(1-ADD.DISCOUNT)*(1+MAT.SURCHARGE)*EXC.RATE_2),CURRENCY.FORMAT_2),CURRENCY.FORMAT_2,1),"# ##0;-# ##0"),",-"),FIXED(ROUND(IF(EXC.RATE.SWITCH=1,C311*(1-I311)*(1-ADD.DISCOUNT)*(1+MAT.SURCHARGE)/EXC.RATE_2,C311*(1-I311)*(1-ADD.DISCOUNT)*(1+MAT.SURCHARGE)*EXC.RATE_2),CURRENCY.FORMAT_2),CURRENCY.FORMAT_2,0)),'DICTIONARY-5'!$A$2))</f>
        <v/>
      </c>
      <c r="N311" s="544">
        <v>1</v>
      </c>
      <c r="O311" s="544"/>
      <c r="P311" s="731" t="str">
        <f>'DICTIONARY-3'!$A$2</f>
        <v>EKOplus</v>
      </c>
      <c r="Q311" s="732" t="str">
        <f>'DICTIONARY-3'!$A$187</f>
        <v>Zasuwa klinowa</v>
      </c>
      <c r="R311" s="732" t="str">
        <f>CONCATENATE('DICTIONARY-3'!$A$2," ",'DICTIONARY-6'!$A$3," ",'DICTIONARY-2'!$A$2,"250"," ",'DICTIONARY-2'!$A$3,"16"," ","R15",", ",'DICTIONARY-5'!$A$45,", ",'DICTIONARY-4'!$A$2)</f>
        <v>EKOplus Zasuwa DN250 PN16 R15, NBR, WW</v>
      </c>
      <c r="S311" s="733" t="str">
        <f>'DICTIONARY-4'!$A$2</f>
        <v>WW</v>
      </c>
      <c r="T311" s="732" t="str">
        <f>'DICTIONARY-4'!$A$18</f>
        <v>Wolny wałek</v>
      </c>
      <c r="U311" s="734" t="s">
        <v>5751</v>
      </c>
      <c r="V311" s="735">
        <v>16</v>
      </c>
      <c r="W311" s="736"/>
      <c r="X311" s="737"/>
      <c r="Y311" s="738"/>
      <c r="Z311" s="739"/>
      <c r="AA311" s="739"/>
      <c r="AB311" s="740">
        <v>16</v>
      </c>
      <c r="AC311" s="741" t="str">
        <f>'DICTIONARY-5'!$A$11&amp;" 15"</f>
        <v>EN 558 szereg 15</v>
      </c>
      <c r="AD311" s="741" t="str">
        <f>'DICTIONARY-5'!$A$14</f>
        <v>ścieki</v>
      </c>
      <c r="AE311" s="742">
        <v>50</v>
      </c>
      <c r="AF311" s="743">
        <v>99</v>
      </c>
      <c r="AG311" s="741" t="str">
        <f>'DICTIONARY-5'!$A$23</f>
        <v>powłoka epoksydowa</v>
      </c>
    </row>
    <row r="312" spans="1:33" x14ac:dyDescent="0.25">
      <c r="A312" s="842" t="s">
        <v>403</v>
      </c>
      <c r="B312" s="842" t="s">
        <v>3349</v>
      </c>
      <c r="C312" s="836">
        <v>1431</v>
      </c>
      <c r="D312" s="836"/>
      <c r="E312" s="836"/>
      <c r="F312" s="836"/>
      <c r="G312" s="496" t="s">
        <v>7792</v>
      </c>
      <c r="H312" s="797" t="str">
        <f>VLOOKUP(G312,SETTINGS!$B$7:$D$97,2,0)</f>
        <v>EKOplus Waste Water</v>
      </c>
      <c r="I312" s="796">
        <f>VLOOKUP(G312,SETTINGS!$B$7:$D$97,3,0)</f>
        <v>0</v>
      </c>
      <c r="J312" s="670" t="str">
        <f>IFERROR(IF(CURRENCY.FORMAT_1=0,CONCATENATE(TEXT(FIXED(ROUND((C312/EXC.RATE_1),CURRENCY.FORMAT_1),CURRENCY.FORMAT_1,1),"# ##0;-# ##0"),",-"),FIXED(ROUND((C312/EXC.RATE_1),CURRENCY.FORMAT_1),CURRENCY.FORMAT_1,0)),'DICTIONARY-5'!$A$2)</f>
        <v>1 431,-</v>
      </c>
      <c r="K312" s="670" t="str">
        <f>IF(EXC.RATE_2=0,"",IFERROR(IF(CURRENCY.FORMAT_2=0,CONCATENATE(TEXT(FIXED(ROUND(IF(EXC.RATE.SWITCH=1,C312/EXC.RATE_2,C312*EXC.RATE_2),CURRENCY.FORMAT_2),CURRENCY.FORMAT_2,1),"# ##0;-# ##0"),",-"),FIXED(ROUND(IF(EXC.RATE.SWITCH=1,C312/EXC.RATE_2,C312*EXC.RATE_2),CURRENCY.FORMAT_2),CURRENCY.FORMAT_2,0)),'DICTIONARY-5'!$A$2))</f>
        <v/>
      </c>
      <c r="L312" s="670" t="str">
        <f>IFERROR(IF(CURRENCY.FORMAT_1=0,CONCATENATE(TEXT(FIXED(ROUND((C312*(1-I312)*(1-ADD.DISCOUNT)*(1+MAT.SURCHARGE)/EXC.RATE_1),CURRENCY.FORMAT_1),CURRENCY.FORMAT_1,1),"# ##0;-# ##0"),",-"),FIXED(ROUND((C312*(1-I312)*(1-ADD.DISCOUNT)*(1+MAT.SURCHARGE)/EXC.RATE_1),CURRENCY.FORMAT_1),CURRENCY.FORMAT_1,0)),'DICTIONARY-5'!$A$2)</f>
        <v>1 487,-</v>
      </c>
      <c r="M312" s="670" t="str">
        <f>IF(EXC.RATE_2=0,"",IFERROR(IF(CURRENCY.FORMAT_2=0,CONCATENATE(TEXT(FIXED(ROUND(IF(EXC.RATE.SWITCH=1,C312*(1-I312)*(1-ADD.DISCOUNT)*(1+MAT.SURCHARGE)/EXC.RATE_2,C312*(1-I312)*(1-ADD.DISCOUNT)*(1+MAT.SURCHARGE)*EXC.RATE_2),CURRENCY.FORMAT_2),CURRENCY.FORMAT_2,1),"# ##0;-# ##0"),",-"),FIXED(ROUND(IF(EXC.RATE.SWITCH=1,C312*(1-I312)*(1-ADD.DISCOUNT)*(1+MAT.SURCHARGE)/EXC.RATE_2,C312*(1-I312)*(1-ADD.DISCOUNT)*(1+MAT.SURCHARGE)*EXC.RATE_2),CURRENCY.FORMAT_2),CURRENCY.FORMAT_2,0)),'DICTIONARY-5'!$A$2))</f>
        <v/>
      </c>
      <c r="N312" s="544">
        <v>1</v>
      </c>
      <c r="O312" s="544"/>
      <c r="P312" s="731" t="str">
        <f>'DICTIONARY-3'!$A$2</f>
        <v>EKOplus</v>
      </c>
      <c r="Q312" s="732" t="str">
        <f>'DICTIONARY-3'!$A$187</f>
        <v>Zasuwa klinowa</v>
      </c>
      <c r="R312" s="732" t="str">
        <f>CONCATENATE('DICTIONARY-3'!$A$2," ",'DICTIONARY-6'!$A$3," ",'DICTIONARY-2'!$A$2,"300"," ",'DICTIONARY-2'!$A$3,"10"," ","R15",", ",'DICTIONARY-5'!$A$45,", ",'DICTIONARY-4'!$A$2)</f>
        <v>EKOplus Zasuwa DN300 PN10 R15, NBR, WW</v>
      </c>
      <c r="S312" s="733" t="str">
        <f>'DICTIONARY-4'!$A$2</f>
        <v>WW</v>
      </c>
      <c r="T312" s="732" t="str">
        <f>'DICTIONARY-4'!$A$18</f>
        <v>Wolny wałek</v>
      </c>
      <c r="U312" s="734" t="s">
        <v>5752</v>
      </c>
      <c r="V312" s="735">
        <v>10</v>
      </c>
      <c r="W312" s="736"/>
      <c r="X312" s="737"/>
      <c r="Y312" s="738"/>
      <c r="Z312" s="739"/>
      <c r="AA312" s="739"/>
      <c r="AB312" s="740">
        <v>10</v>
      </c>
      <c r="AC312" s="741" t="str">
        <f>'DICTIONARY-5'!$A$11&amp;" 15"</f>
        <v>EN 558 szereg 15</v>
      </c>
      <c r="AD312" s="741" t="str">
        <f>'DICTIONARY-5'!$A$14</f>
        <v>ścieki</v>
      </c>
      <c r="AE312" s="742">
        <v>50</v>
      </c>
      <c r="AF312" s="743">
        <v>139.5</v>
      </c>
      <c r="AG312" s="741" t="str">
        <f>'DICTIONARY-5'!$A$23</f>
        <v>powłoka epoksydowa</v>
      </c>
    </row>
    <row r="313" spans="1:33" x14ac:dyDescent="0.25">
      <c r="A313" s="842" t="s">
        <v>405</v>
      </c>
      <c r="B313" s="842" t="s">
        <v>3371</v>
      </c>
      <c r="C313" s="836">
        <v>1431</v>
      </c>
      <c r="D313" s="836"/>
      <c r="E313" s="836"/>
      <c r="F313" s="836"/>
      <c r="G313" s="496" t="s">
        <v>7792</v>
      </c>
      <c r="H313" s="797" t="str">
        <f>VLOOKUP(G313,SETTINGS!$B$7:$D$97,2,0)</f>
        <v>EKOplus Waste Water</v>
      </c>
      <c r="I313" s="796">
        <f>VLOOKUP(G313,SETTINGS!$B$7:$D$97,3,0)</f>
        <v>0</v>
      </c>
      <c r="J313" s="670" t="str">
        <f>IFERROR(IF(CURRENCY.FORMAT_1=0,CONCATENATE(TEXT(FIXED(ROUND((C313/EXC.RATE_1),CURRENCY.FORMAT_1),CURRENCY.FORMAT_1,1),"# ##0;-# ##0"),",-"),FIXED(ROUND((C313/EXC.RATE_1),CURRENCY.FORMAT_1),CURRENCY.FORMAT_1,0)),'DICTIONARY-5'!$A$2)</f>
        <v>1 431,-</v>
      </c>
      <c r="K313" s="670" t="str">
        <f>IF(EXC.RATE_2=0,"",IFERROR(IF(CURRENCY.FORMAT_2=0,CONCATENATE(TEXT(FIXED(ROUND(IF(EXC.RATE.SWITCH=1,C313/EXC.RATE_2,C313*EXC.RATE_2),CURRENCY.FORMAT_2),CURRENCY.FORMAT_2,1),"# ##0;-# ##0"),",-"),FIXED(ROUND(IF(EXC.RATE.SWITCH=1,C313/EXC.RATE_2,C313*EXC.RATE_2),CURRENCY.FORMAT_2),CURRENCY.FORMAT_2,0)),'DICTIONARY-5'!$A$2))</f>
        <v/>
      </c>
      <c r="L313" s="670" t="str">
        <f>IFERROR(IF(CURRENCY.FORMAT_1=0,CONCATENATE(TEXT(FIXED(ROUND((C313*(1-I313)*(1-ADD.DISCOUNT)*(1+MAT.SURCHARGE)/EXC.RATE_1),CURRENCY.FORMAT_1),CURRENCY.FORMAT_1,1),"# ##0;-# ##0"),",-"),FIXED(ROUND((C313*(1-I313)*(1-ADD.DISCOUNT)*(1+MAT.SURCHARGE)/EXC.RATE_1),CURRENCY.FORMAT_1),CURRENCY.FORMAT_1,0)),'DICTIONARY-5'!$A$2)</f>
        <v>1 487,-</v>
      </c>
      <c r="M313" s="670" t="str">
        <f>IF(EXC.RATE_2=0,"",IFERROR(IF(CURRENCY.FORMAT_2=0,CONCATENATE(TEXT(FIXED(ROUND(IF(EXC.RATE.SWITCH=1,C313*(1-I313)*(1-ADD.DISCOUNT)*(1+MAT.SURCHARGE)/EXC.RATE_2,C313*(1-I313)*(1-ADD.DISCOUNT)*(1+MAT.SURCHARGE)*EXC.RATE_2),CURRENCY.FORMAT_2),CURRENCY.FORMAT_2,1),"# ##0;-# ##0"),",-"),FIXED(ROUND(IF(EXC.RATE.SWITCH=1,C313*(1-I313)*(1-ADD.DISCOUNT)*(1+MAT.SURCHARGE)/EXC.RATE_2,C313*(1-I313)*(1-ADD.DISCOUNT)*(1+MAT.SURCHARGE)*EXC.RATE_2),CURRENCY.FORMAT_2),CURRENCY.FORMAT_2,0)),'DICTIONARY-5'!$A$2))</f>
        <v/>
      </c>
      <c r="N313" s="544">
        <v>1</v>
      </c>
      <c r="O313" s="544"/>
      <c r="P313" s="731" t="str">
        <f>'DICTIONARY-3'!$A$2</f>
        <v>EKOplus</v>
      </c>
      <c r="Q313" s="732" t="str">
        <f>'DICTIONARY-3'!$A$187</f>
        <v>Zasuwa klinowa</v>
      </c>
      <c r="R313" s="732" t="str">
        <f>CONCATENATE('DICTIONARY-3'!$A$2," ",'DICTIONARY-6'!$A$3," ",'DICTIONARY-2'!$A$2,"300"," ",'DICTIONARY-2'!$A$3,"16"," ","R15",", ",'DICTIONARY-5'!$A$45,", ",'DICTIONARY-4'!$A$2)</f>
        <v>EKOplus Zasuwa DN300 PN16 R15, NBR, WW</v>
      </c>
      <c r="S313" s="733" t="str">
        <f>'DICTIONARY-4'!$A$2</f>
        <v>WW</v>
      </c>
      <c r="T313" s="732" t="str">
        <f>'DICTIONARY-4'!$A$18</f>
        <v>Wolny wałek</v>
      </c>
      <c r="U313" s="734" t="s">
        <v>5752</v>
      </c>
      <c r="V313" s="735">
        <v>16</v>
      </c>
      <c r="W313" s="736"/>
      <c r="X313" s="737"/>
      <c r="Y313" s="738"/>
      <c r="Z313" s="739"/>
      <c r="AA313" s="739"/>
      <c r="AB313" s="740">
        <v>16</v>
      </c>
      <c r="AC313" s="741" t="str">
        <f>'DICTIONARY-5'!$A$11&amp;" 15"</f>
        <v>EN 558 szereg 15</v>
      </c>
      <c r="AD313" s="741" t="str">
        <f>'DICTIONARY-5'!$A$14</f>
        <v>ścieki</v>
      </c>
      <c r="AE313" s="742">
        <v>50</v>
      </c>
      <c r="AF313" s="743">
        <v>131.80000000000001</v>
      </c>
      <c r="AG313" s="741" t="str">
        <f>'DICTIONARY-5'!$A$23</f>
        <v>powłoka epoksydowa</v>
      </c>
    </row>
    <row r="314" spans="1:33" x14ac:dyDescent="0.25">
      <c r="A314" s="843" t="s">
        <v>7874</v>
      </c>
      <c r="B314" s="843" t="s">
        <v>7875</v>
      </c>
      <c r="C314" s="836">
        <v>2476</v>
      </c>
      <c r="D314" s="836"/>
      <c r="E314" s="836"/>
      <c r="F314" s="836"/>
      <c r="G314" s="496" t="s">
        <v>7792</v>
      </c>
      <c r="H314" s="797" t="str">
        <f>VLOOKUP(G314,SETTINGS!$B$7:$D$97,2,0)</f>
        <v>EKOplus Waste Water</v>
      </c>
      <c r="I314" s="796">
        <f>VLOOKUP(G314,SETTINGS!$B$7:$D$97,3,0)</f>
        <v>0</v>
      </c>
      <c r="J314" s="670" t="str">
        <f>IFERROR(IF(CURRENCY.FORMAT_1=0,CONCATENATE(TEXT(FIXED(ROUND((C314/EXC.RATE_1),CURRENCY.FORMAT_1),CURRENCY.FORMAT_1,1),"# ##0;-# ##0"),",-"),FIXED(ROUND((C314/EXC.RATE_1),CURRENCY.FORMAT_1),CURRENCY.FORMAT_1,0)),'DICTIONARY-5'!$A$2)</f>
        <v>2 476,-</v>
      </c>
      <c r="K314" s="670" t="str">
        <f>IF(EXC.RATE_2=0,"",IFERROR(IF(CURRENCY.FORMAT_2=0,CONCATENATE(TEXT(FIXED(ROUND(IF(EXC.RATE.SWITCH=1,C314/EXC.RATE_2,C314*EXC.RATE_2),CURRENCY.FORMAT_2),CURRENCY.FORMAT_2,1),"# ##0;-# ##0"),",-"),FIXED(ROUND(IF(EXC.RATE.SWITCH=1,C314/EXC.RATE_2,C314*EXC.RATE_2),CURRENCY.FORMAT_2),CURRENCY.FORMAT_2,0)),'DICTIONARY-5'!$A$2))</f>
        <v/>
      </c>
      <c r="L314" s="670" t="str">
        <f>IFERROR(IF(CURRENCY.FORMAT_1=0,CONCATENATE(TEXT(FIXED(ROUND((C314*(1-I314)*(1-ADD.DISCOUNT)*(1+MAT.SURCHARGE)/EXC.RATE_1),CURRENCY.FORMAT_1),CURRENCY.FORMAT_1,1),"# ##0;-# ##0"),",-"),FIXED(ROUND((C314*(1-I314)*(1-ADD.DISCOUNT)*(1+MAT.SURCHARGE)/EXC.RATE_1),CURRENCY.FORMAT_1),CURRENCY.FORMAT_1,0)),'DICTIONARY-5'!$A$2)</f>
        <v>2 573,-</v>
      </c>
      <c r="M314" s="670" t="str">
        <f>IF(EXC.RATE_2=0,"",IFERROR(IF(CURRENCY.FORMAT_2=0,CONCATENATE(TEXT(FIXED(ROUND(IF(EXC.RATE.SWITCH=1,C314*(1-I314)*(1-ADD.DISCOUNT)*(1+MAT.SURCHARGE)/EXC.RATE_2,C314*(1-I314)*(1-ADD.DISCOUNT)*(1+MAT.SURCHARGE)*EXC.RATE_2),CURRENCY.FORMAT_2),CURRENCY.FORMAT_2,1),"# ##0;-# ##0"),",-"),FIXED(ROUND(IF(EXC.RATE.SWITCH=1,C314*(1-I314)*(1-ADD.DISCOUNT)*(1+MAT.SURCHARGE)/EXC.RATE_2,C314*(1-I314)*(1-ADD.DISCOUNT)*(1+MAT.SURCHARGE)*EXC.RATE_2),CURRENCY.FORMAT_2),CURRENCY.FORMAT_2,0)),'DICTIONARY-5'!$A$2))</f>
        <v/>
      </c>
      <c r="N314" s="544">
        <v>1</v>
      </c>
      <c r="O314" s="544"/>
      <c r="P314" s="731" t="str">
        <f>'DICTIONARY-3'!$A$2</f>
        <v>EKOplus</v>
      </c>
      <c r="Q314" s="732" t="str">
        <f>'DICTIONARY-3'!$A$187</f>
        <v>Zasuwa klinowa</v>
      </c>
      <c r="R314" s="732" t="str">
        <f>CONCATENATE('DICTIONARY-3'!$A$2," ",'DICTIONARY-6'!$A$3," ",'DICTIONARY-2'!$A$2,"350"," ",'DICTIONARY-2'!$A$3,"10"," ","R15",", ",'DICTIONARY-5'!$A$45,", ",'DICTIONARY-4'!$A$2)</f>
        <v>EKOplus Zasuwa DN350 PN10 R15, NBR, WW</v>
      </c>
      <c r="S314" s="733" t="str">
        <f>'DICTIONARY-4'!$A$2</f>
        <v>WW</v>
      </c>
      <c r="T314" s="732" t="str">
        <f>'DICTIONARY-4'!$A$18</f>
        <v>Wolny wałek</v>
      </c>
      <c r="U314" s="734" t="s">
        <v>5753</v>
      </c>
      <c r="V314" s="735">
        <v>10</v>
      </c>
      <c r="W314" s="736"/>
      <c r="X314" s="737"/>
      <c r="Y314" s="738"/>
      <c r="Z314" s="739"/>
      <c r="AA314" s="739"/>
      <c r="AB314" s="740">
        <v>10</v>
      </c>
      <c r="AC314" s="741" t="str">
        <f>'DICTIONARY-5'!$A$11&amp;" 15"</f>
        <v>EN 558 szereg 15</v>
      </c>
      <c r="AD314" s="741" t="str">
        <f>'DICTIONARY-5'!$A$14</f>
        <v>ścieki</v>
      </c>
      <c r="AE314" s="742">
        <v>50</v>
      </c>
      <c r="AF314" s="743"/>
      <c r="AG314" s="741" t="str">
        <f>'DICTIONARY-5'!$A$23</f>
        <v>powłoka epoksydowa</v>
      </c>
    </row>
    <row r="315" spans="1:33" x14ac:dyDescent="0.25">
      <c r="A315" s="843" t="s">
        <v>7876</v>
      </c>
      <c r="B315" s="843" t="s">
        <v>7877</v>
      </c>
      <c r="C315" s="836">
        <v>2489</v>
      </c>
      <c r="D315" s="836"/>
      <c r="E315" s="836"/>
      <c r="F315" s="836"/>
      <c r="G315" s="496" t="s">
        <v>7792</v>
      </c>
      <c r="H315" s="797" t="str">
        <f>VLOOKUP(G315,SETTINGS!$B$7:$D$97,2,0)</f>
        <v>EKOplus Waste Water</v>
      </c>
      <c r="I315" s="796">
        <f>VLOOKUP(G315,SETTINGS!$B$7:$D$97,3,0)</f>
        <v>0</v>
      </c>
      <c r="J315" s="670" t="str">
        <f>IFERROR(IF(CURRENCY.FORMAT_1=0,CONCATENATE(TEXT(FIXED(ROUND((C315/EXC.RATE_1),CURRENCY.FORMAT_1),CURRENCY.FORMAT_1,1),"# ##0;-# ##0"),",-"),FIXED(ROUND((C315/EXC.RATE_1),CURRENCY.FORMAT_1),CURRENCY.FORMAT_1,0)),'DICTIONARY-5'!$A$2)</f>
        <v>2 489,-</v>
      </c>
      <c r="K315" s="670" t="str">
        <f>IF(EXC.RATE_2=0,"",IFERROR(IF(CURRENCY.FORMAT_2=0,CONCATENATE(TEXT(FIXED(ROUND(IF(EXC.RATE.SWITCH=1,C315/EXC.RATE_2,C315*EXC.RATE_2),CURRENCY.FORMAT_2),CURRENCY.FORMAT_2,1),"# ##0;-# ##0"),",-"),FIXED(ROUND(IF(EXC.RATE.SWITCH=1,C315/EXC.RATE_2,C315*EXC.RATE_2),CURRENCY.FORMAT_2),CURRENCY.FORMAT_2,0)),'DICTIONARY-5'!$A$2))</f>
        <v/>
      </c>
      <c r="L315" s="670" t="str">
        <f>IFERROR(IF(CURRENCY.FORMAT_1=0,CONCATENATE(TEXT(FIXED(ROUND((C315*(1-I315)*(1-ADD.DISCOUNT)*(1+MAT.SURCHARGE)/EXC.RATE_1),CURRENCY.FORMAT_1),CURRENCY.FORMAT_1,1),"# ##0;-# ##0"),",-"),FIXED(ROUND((C315*(1-I315)*(1-ADD.DISCOUNT)*(1+MAT.SURCHARGE)/EXC.RATE_1),CURRENCY.FORMAT_1),CURRENCY.FORMAT_1,0)),'DICTIONARY-5'!$A$2)</f>
        <v>2 586,-</v>
      </c>
      <c r="M315" s="670" t="str">
        <f>IF(EXC.RATE_2=0,"",IFERROR(IF(CURRENCY.FORMAT_2=0,CONCATENATE(TEXT(FIXED(ROUND(IF(EXC.RATE.SWITCH=1,C315*(1-I315)*(1-ADD.DISCOUNT)*(1+MAT.SURCHARGE)/EXC.RATE_2,C315*(1-I315)*(1-ADD.DISCOUNT)*(1+MAT.SURCHARGE)*EXC.RATE_2),CURRENCY.FORMAT_2),CURRENCY.FORMAT_2,1),"# ##0;-# ##0"),",-"),FIXED(ROUND(IF(EXC.RATE.SWITCH=1,C315*(1-I315)*(1-ADD.DISCOUNT)*(1+MAT.SURCHARGE)/EXC.RATE_2,C315*(1-I315)*(1-ADD.DISCOUNT)*(1+MAT.SURCHARGE)*EXC.RATE_2),CURRENCY.FORMAT_2),CURRENCY.FORMAT_2,0)),'DICTIONARY-5'!$A$2))</f>
        <v/>
      </c>
      <c r="N315" s="544">
        <v>1</v>
      </c>
      <c r="O315" s="544"/>
      <c r="P315" s="731" t="str">
        <f>'DICTIONARY-3'!$A$2</f>
        <v>EKOplus</v>
      </c>
      <c r="Q315" s="732" t="str">
        <f>'DICTIONARY-3'!$A$187</f>
        <v>Zasuwa klinowa</v>
      </c>
      <c r="R315" s="732" t="str">
        <f>CONCATENATE('DICTIONARY-3'!$A$2," ",'DICTIONARY-6'!$A$3," ",'DICTIONARY-2'!$A$2,"350"," ",'DICTIONARY-2'!$A$3,"16"," ","R15",", ",'DICTIONARY-5'!$A$45,", ",'DICTIONARY-4'!$A$2)</f>
        <v>EKOplus Zasuwa DN350 PN16 R15, NBR, WW</v>
      </c>
      <c r="S315" s="733" t="str">
        <f>'DICTIONARY-4'!$A$2</f>
        <v>WW</v>
      </c>
      <c r="T315" s="732" t="str">
        <f>'DICTIONARY-4'!$A$18</f>
        <v>Wolny wałek</v>
      </c>
      <c r="U315" s="734" t="s">
        <v>5753</v>
      </c>
      <c r="V315" s="735">
        <v>16</v>
      </c>
      <c r="W315" s="736"/>
      <c r="X315" s="737"/>
      <c r="Y315" s="738"/>
      <c r="Z315" s="739"/>
      <c r="AA315" s="739"/>
      <c r="AB315" s="740">
        <v>16</v>
      </c>
      <c r="AC315" s="741" t="str">
        <f>'DICTIONARY-5'!$A$11&amp;" 15"</f>
        <v>EN 558 szereg 15</v>
      </c>
      <c r="AD315" s="741" t="str">
        <f>'DICTIONARY-5'!$A$14</f>
        <v>ścieki</v>
      </c>
      <c r="AE315" s="742">
        <v>50</v>
      </c>
      <c r="AF315" s="743"/>
      <c r="AG315" s="741" t="str">
        <f>'DICTIONARY-5'!$A$23</f>
        <v>powłoka epoksydowa</v>
      </c>
    </row>
    <row r="316" spans="1:33" x14ac:dyDescent="0.25">
      <c r="A316" s="843" t="s">
        <v>7878</v>
      </c>
      <c r="B316" s="843" t="s">
        <v>7879</v>
      </c>
      <c r="C316" s="836">
        <v>3213</v>
      </c>
      <c r="D316" s="836"/>
      <c r="E316" s="836"/>
      <c r="F316" s="836"/>
      <c r="G316" s="496" t="s">
        <v>7792</v>
      </c>
      <c r="H316" s="797" t="str">
        <f>VLOOKUP(G316,SETTINGS!$B$7:$D$97,2,0)</f>
        <v>EKOplus Waste Water</v>
      </c>
      <c r="I316" s="796">
        <f>VLOOKUP(G316,SETTINGS!$B$7:$D$97,3,0)</f>
        <v>0</v>
      </c>
      <c r="J316" s="670" t="str">
        <f>IFERROR(IF(CURRENCY.FORMAT_1=0,CONCATENATE(TEXT(FIXED(ROUND((C316/EXC.RATE_1),CURRENCY.FORMAT_1),CURRENCY.FORMAT_1,1),"# ##0;-# ##0"),",-"),FIXED(ROUND((C316/EXC.RATE_1),CURRENCY.FORMAT_1),CURRENCY.FORMAT_1,0)),'DICTIONARY-5'!$A$2)</f>
        <v>3 213,-</v>
      </c>
      <c r="K316" s="670" t="str">
        <f>IF(EXC.RATE_2=0,"",IFERROR(IF(CURRENCY.FORMAT_2=0,CONCATENATE(TEXT(FIXED(ROUND(IF(EXC.RATE.SWITCH=1,C316/EXC.RATE_2,C316*EXC.RATE_2),CURRENCY.FORMAT_2),CURRENCY.FORMAT_2,1),"# ##0;-# ##0"),",-"),FIXED(ROUND(IF(EXC.RATE.SWITCH=1,C316/EXC.RATE_2,C316*EXC.RATE_2),CURRENCY.FORMAT_2),CURRENCY.FORMAT_2,0)),'DICTIONARY-5'!$A$2))</f>
        <v/>
      </c>
      <c r="L316" s="670" t="str">
        <f>IFERROR(IF(CURRENCY.FORMAT_1=0,CONCATENATE(TEXT(FIXED(ROUND((C316*(1-I316)*(1-ADD.DISCOUNT)*(1+MAT.SURCHARGE)/EXC.RATE_1),CURRENCY.FORMAT_1),CURRENCY.FORMAT_1,1),"# ##0;-# ##0"),",-"),FIXED(ROUND((C316*(1-I316)*(1-ADD.DISCOUNT)*(1+MAT.SURCHARGE)/EXC.RATE_1),CURRENCY.FORMAT_1),CURRENCY.FORMAT_1,0)),'DICTIONARY-5'!$A$2)</f>
        <v>3 338,-</v>
      </c>
      <c r="M316" s="670" t="str">
        <f>IF(EXC.RATE_2=0,"",IFERROR(IF(CURRENCY.FORMAT_2=0,CONCATENATE(TEXT(FIXED(ROUND(IF(EXC.RATE.SWITCH=1,C316*(1-I316)*(1-ADD.DISCOUNT)*(1+MAT.SURCHARGE)/EXC.RATE_2,C316*(1-I316)*(1-ADD.DISCOUNT)*(1+MAT.SURCHARGE)*EXC.RATE_2),CURRENCY.FORMAT_2),CURRENCY.FORMAT_2,1),"# ##0;-# ##0"),",-"),FIXED(ROUND(IF(EXC.RATE.SWITCH=1,C316*(1-I316)*(1-ADD.DISCOUNT)*(1+MAT.SURCHARGE)/EXC.RATE_2,C316*(1-I316)*(1-ADD.DISCOUNT)*(1+MAT.SURCHARGE)*EXC.RATE_2),CURRENCY.FORMAT_2),CURRENCY.FORMAT_2,0)),'DICTIONARY-5'!$A$2))</f>
        <v/>
      </c>
      <c r="N316" s="544">
        <v>1</v>
      </c>
      <c r="O316" s="544"/>
      <c r="P316" s="731" t="str">
        <f>'DICTIONARY-3'!$A$2</f>
        <v>EKOplus</v>
      </c>
      <c r="Q316" s="732" t="str">
        <f>'DICTIONARY-3'!$A$187</f>
        <v>Zasuwa klinowa</v>
      </c>
      <c r="R316" s="732" t="str">
        <f>CONCATENATE('DICTIONARY-3'!$A$2," ",'DICTIONARY-6'!$A$3," ",'DICTIONARY-2'!$A$2,"400"," ",'DICTIONARY-2'!$A$3,"10"," ","R15",", ",'DICTIONARY-5'!$A$45,", ",'DICTIONARY-4'!$A$2)</f>
        <v>EKOplus Zasuwa DN400 PN10 R15, NBR, WW</v>
      </c>
      <c r="S316" s="733" t="str">
        <f>'DICTIONARY-4'!$A$2</f>
        <v>WW</v>
      </c>
      <c r="T316" s="732" t="str">
        <f>'DICTIONARY-4'!$A$18</f>
        <v>Wolny wałek</v>
      </c>
      <c r="U316" s="734" t="s">
        <v>5754</v>
      </c>
      <c r="V316" s="735">
        <v>10</v>
      </c>
      <c r="W316" s="736"/>
      <c r="X316" s="737"/>
      <c r="Y316" s="738"/>
      <c r="Z316" s="739"/>
      <c r="AA316" s="739"/>
      <c r="AB316" s="740">
        <v>10</v>
      </c>
      <c r="AC316" s="741" t="str">
        <f>'DICTIONARY-5'!$A$11&amp;" 15"</f>
        <v>EN 558 szereg 15</v>
      </c>
      <c r="AD316" s="741" t="str">
        <f>'DICTIONARY-5'!$A$14</f>
        <v>ścieki</v>
      </c>
      <c r="AE316" s="742">
        <v>50</v>
      </c>
      <c r="AF316" s="743">
        <v>348</v>
      </c>
      <c r="AG316" s="741" t="str">
        <f>'DICTIONARY-5'!$A$23</f>
        <v>powłoka epoksydowa</v>
      </c>
    </row>
    <row r="317" spans="1:33" x14ac:dyDescent="0.25">
      <c r="A317" s="843" t="s">
        <v>7880</v>
      </c>
      <c r="B317" s="843" t="s">
        <v>7881</v>
      </c>
      <c r="C317" s="836">
        <v>3102</v>
      </c>
      <c r="D317" s="836"/>
      <c r="E317" s="836"/>
      <c r="F317" s="836"/>
      <c r="G317" s="496" t="s">
        <v>7792</v>
      </c>
      <c r="H317" s="797" t="str">
        <f>VLOOKUP(G317,SETTINGS!$B$7:$D$97,2,0)</f>
        <v>EKOplus Waste Water</v>
      </c>
      <c r="I317" s="796">
        <f>VLOOKUP(G317,SETTINGS!$B$7:$D$97,3,0)</f>
        <v>0</v>
      </c>
      <c r="J317" s="670" t="str">
        <f>IFERROR(IF(CURRENCY.FORMAT_1=0,CONCATENATE(TEXT(FIXED(ROUND((C317/EXC.RATE_1),CURRENCY.FORMAT_1),CURRENCY.FORMAT_1,1),"# ##0;-# ##0"),",-"),FIXED(ROUND((C317/EXC.RATE_1),CURRENCY.FORMAT_1),CURRENCY.FORMAT_1,0)),'DICTIONARY-5'!$A$2)</f>
        <v>3 102,-</v>
      </c>
      <c r="K317" s="670" t="str">
        <f>IF(EXC.RATE_2=0,"",IFERROR(IF(CURRENCY.FORMAT_2=0,CONCATENATE(TEXT(FIXED(ROUND(IF(EXC.RATE.SWITCH=1,C317/EXC.RATE_2,C317*EXC.RATE_2),CURRENCY.FORMAT_2),CURRENCY.FORMAT_2,1),"# ##0;-# ##0"),",-"),FIXED(ROUND(IF(EXC.RATE.SWITCH=1,C317/EXC.RATE_2,C317*EXC.RATE_2),CURRENCY.FORMAT_2),CURRENCY.FORMAT_2,0)),'DICTIONARY-5'!$A$2))</f>
        <v/>
      </c>
      <c r="L317" s="670" t="str">
        <f>IFERROR(IF(CURRENCY.FORMAT_1=0,CONCATENATE(TEXT(FIXED(ROUND((C317*(1-I317)*(1-ADD.DISCOUNT)*(1+MAT.SURCHARGE)/EXC.RATE_1),CURRENCY.FORMAT_1),CURRENCY.FORMAT_1,1),"# ##0;-# ##0"),",-"),FIXED(ROUND((C317*(1-I317)*(1-ADD.DISCOUNT)*(1+MAT.SURCHARGE)/EXC.RATE_1),CURRENCY.FORMAT_1),CURRENCY.FORMAT_1,0)),'DICTIONARY-5'!$A$2)</f>
        <v>3 223,-</v>
      </c>
      <c r="M317" s="670" t="str">
        <f>IF(EXC.RATE_2=0,"",IFERROR(IF(CURRENCY.FORMAT_2=0,CONCATENATE(TEXT(FIXED(ROUND(IF(EXC.RATE.SWITCH=1,C317*(1-I317)*(1-ADD.DISCOUNT)*(1+MAT.SURCHARGE)/EXC.RATE_2,C317*(1-I317)*(1-ADD.DISCOUNT)*(1+MAT.SURCHARGE)*EXC.RATE_2),CURRENCY.FORMAT_2),CURRENCY.FORMAT_2,1),"# ##0;-# ##0"),",-"),FIXED(ROUND(IF(EXC.RATE.SWITCH=1,C317*(1-I317)*(1-ADD.DISCOUNT)*(1+MAT.SURCHARGE)/EXC.RATE_2,C317*(1-I317)*(1-ADD.DISCOUNT)*(1+MAT.SURCHARGE)*EXC.RATE_2),CURRENCY.FORMAT_2),CURRENCY.FORMAT_2,0)),'DICTIONARY-5'!$A$2))</f>
        <v/>
      </c>
      <c r="N317" s="544">
        <v>1</v>
      </c>
      <c r="O317" s="544"/>
      <c r="P317" s="731" t="str">
        <f>'DICTIONARY-3'!$A$2</f>
        <v>EKOplus</v>
      </c>
      <c r="Q317" s="732" t="str">
        <f>'DICTIONARY-3'!$A$187</f>
        <v>Zasuwa klinowa</v>
      </c>
      <c r="R317" s="732" t="str">
        <f>CONCATENATE('DICTIONARY-3'!$A$2," ",'DICTIONARY-6'!$A$3," ",'DICTIONARY-2'!$A$2,"400"," ",'DICTIONARY-2'!$A$3,"16"," ","R15",", ",'DICTIONARY-5'!$A$45,", ",'DICTIONARY-4'!$A$2)</f>
        <v>EKOplus Zasuwa DN400 PN16 R15, NBR, WW</v>
      </c>
      <c r="S317" s="733" t="str">
        <f>'DICTIONARY-4'!$A$2</f>
        <v>WW</v>
      </c>
      <c r="T317" s="732" t="str">
        <f>'DICTIONARY-4'!$A$18</f>
        <v>Wolny wałek</v>
      </c>
      <c r="U317" s="734" t="s">
        <v>5754</v>
      </c>
      <c r="V317" s="735">
        <v>16</v>
      </c>
      <c r="W317" s="736"/>
      <c r="X317" s="737"/>
      <c r="Y317" s="738"/>
      <c r="Z317" s="739"/>
      <c r="AA317" s="739"/>
      <c r="AB317" s="740">
        <v>16</v>
      </c>
      <c r="AC317" s="741" t="str">
        <f>'DICTIONARY-5'!$A$11&amp;" 15"</f>
        <v>EN 558 szereg 15</v>
      </c>
      <c r="AD317" s="741" t="str">
        <f>'DICTIONARY-5'!$A$14</f>
        <v>ścieki</v>
      </c>
      <c r="AE317" s="742">
        <v>50</v>
      </c>
      <c r="AF317" s="743">
        <v>348</v>
      </c>
      <c r="AG317" s="741" t="str">
        <f>'DICTIONARY-5'!$A$23</f>
        <v>powłoka epoksydowa</v>
      </c>
    </row>
    <row r="318" spans="1:33" x14ac:dyDescent="0.25">
      <c r="A318" s="842" t="s">
        <v>7882</v>
      </c>
      <c r="B318" s="842" t="s">
        <v>7883</v>
      </c>
      <c r="C318" s="836">
        <v>5316</v>
      </c>
      <c r="D318" s="836"/>
      <c r="E318" s="836"/>
      <c r="F318" s="836"/>
      <c r="G318" s="496" t="s">
        <v>7792</v>
      </c>
      <c r="H318" s="797" t="str">
        <f>VLOOKUP(G318,SETTINGS!$B$7:$D$97,2,0)</f>
        <v>EKOplus Waste Water</v>
      </c>
      <c r="I318" s="796">
        <f>VLOOKUP(G318,SETTINGS!$B$7:$D$97,3,0)</f>
        <v>0</v>
      </c>
      <c r="J318" s="670" t="str">
        <f>IFERROR(IF(CURRENCY.FORMAT_1=0,CONCATENATE(TEXT(FIXED(ROUND((C318/EXC.RATE_1),CURRENCY.FORMAT_1),CURRENCY.FORMAT_1,1),"# ##0;-# ##0"),",-"),FIXED(ROUND((C318/EXC.RATE_1),CURRENCY.FORMAT_1),CURRENCY.FORMAT_1,0)),'DICTIONARY-5'!$A$2)</f>
        <v>5 316,-</v>
      </c>
      <c r="K318" s="670" t="str">
        <f>IF(EXC.RATE_2=0,"",IFERROR(IF(CURRENCY.FORMAT_2=0,CONCATENATE(TEXT(FIXED(ROUND(IF(EXC.RATE.SWITCH=1,C318/EXC.RATE_2,C318*EXC.RATE_2),CURRENCY.FORMAT_2),CURRENCY.FORMAT_2,1),"# ##0;-# ##0"),",-"),FIXED(ROUND(IF(EXC.RATE.SWITCH=1,C318/EXC.RATE_2,C318*EXC.RATE_2),CURRENCY.FORMAT_2),CURRENCY.FORMAT_2,0)),'DICTIONARY-5'!$A$2))</f>
        <v/>
      </c>
      <c r="L318" s="670" t="str">
        <f>IFERROR(IF(CURRENCY.FORMAT_1=0,CONCATENATE(TEXT(FIXED(ROUND((C318*(1-I318)*(1-ADD.DISCOUNT)*(1+MAT.SURCHARGE)/EXC.RATE_1),CURRENCY.FORMAT_1),CURRENCY.FORMAT_1,1),"# ##0;-# ##0"),",-"),FIXED(ROUND((C318*(1-I318)*(1-ADD.DISCOUNT)*(1+MAT.SURCHARGE)/EXC.RATE_1),CURRENCY.FORMAT_1),CURRENCY.FORMAT_1,0)),'DICTIONARY-5'!$A$2)</f>
        <v>5 523,-</v>
      </c>
      <c r="M318" s="670" t="str">
        <f>IF(EXC.RATE_2=0,"",IFERROR(IF(CURRENCY.FORMAT_2=0,CONCATENATE(TEXT(FIXED(ROUND(IF(EXC.RATE.SWITCH=1,C318*(1-I318)*(1-ADD.DISCOUNT)*(1+MAT.SURCHARGE)/EXC.RATE_2,C318*(1-I318)*(1-ADD.DISCOUNT)*(1+MAT.SURCHARGE)*EXC.RATE_2),CURRENCY.FORMAT_2),CURRENCY.FORMAT_2,1),"# ##0;-# ##0"),",-"),FIXED(ROUND(IF(EXC.RATE.SWITCH=1,C318*(1-I318)*(1-ADD.DISCOUNT)*(1+MAT.SURCHARGE)/EXC.RATE_2,C318*(1-I318)*(1-ADD.DISCOUNT)*(1+MAT.SURCHARGE)*EXC.RATE_2),CURRENCY.FORMAT_2),CURRENCY.FORMAT_2,0)),'DICTIONARY-5'!$A$2))</f>
        <v/>
      </c>
      <c r="N318" s="544">
        <v>1</v>
      </c>
      <c r="O318" s="544"/>
      <c r="P318" s="731" t="str">
        <f>'DICTIONARY-3'!$A$2</f>
        <v>EKOplus</v>
      </c>
      <c r="Q318" s="732" t="str">
        <f>'DICTIONARY-3'!$A$187</f>
        <v>Zasuwa klinowa</v>
      </c>
      <c r="R318" s="732" t="str">
        <f>CONCATENATE('DICTIONARY-3'!$A$2," ",'DICTIONARY-6'!$A$3," ",'DICTIONARY-2'!$A$2,"500"," ",'DICTIONARY-2'!$A$3,"10"," ","R15",", ",'DICTIONARY-5'!$A$45,", ",'DICTIONARY-4'!$A$2)</f>
        <v>EKOplus Zasuwa DN500 PN10 R15, NBR, WW</v>
      </c>
      <c r="S318" s="733" t="str">
        <f>'DICTIONARY-4'!$A$2</f>
        <v>WW</v>
      </c>
      <c r="T318" s="732" t="str">
        <f>'DICTIONARY-4'!$A$18</f>
        <v>Wolny wałek</v>
      </c>
      <c r="U318" s="734" t="s">
        <v>5756</v>
      </c>
      <c r="V318" s="735">
        <v>10</v>
      </c>
      <c r="W318" s="736"/>
      <c r="X318" s="737"/>
      <c r="Y318" s="738"/>
      <c r="Z318" s="739"/>
      <c r="AA318" s="739"/>
      <c r="AB318" s="740">
        <v>10</v>
      </c>
      <c r="AC318" s="741" t="str">
        <f>'DICTIONARY-5'!$A$11&amp;" 15"</f>
        <v>EN 558 szereg 15</v>
      </c>
      <c r="AD318" s="741" t="str">
        <f>'DICTIONARY-5'!$A$14</f>
        <v>ścieki</v>
      </c>
      <c r="AE318" s="742">
        <v>50</v>
      </c>
      <c r="AF318" s="743"/>
      <c r="AG318" s="741" t="str">
        <f>'DICTIONARY-5'!$A$23</f>
        <v>powłoka epoksydowa</v>
      </c>
    </row>
    <row r="319" spans="1:33" x14ac:dyDescent="0.25">
      <c r="A319" s="843" t="s">
        <v>7884</v>
      </c>
      <c r="B319" s="843" t="s">
        <v>7885</v>
      </c>
      <c r="C319" s="836">
        <v>6243</v>
      </c>
      <c r="D319" s="836"/>
      <c r="E319" s="836"/>
      <c r="F319" s="836"/>
      <c r="G319" s="496" t="s">
        <v>7792</v>
      </c>
      <c r="H319" s="797" t="str">
        <f>VLOOKUP(G319,SETTINGS!$B$7:$D$97,2,0)</f>
        <v>EKOplus Waste Water</v>
      </c>
      <c r="I319" s="796">
        <f>VLOOKUP(G319,SETTINGS!$B$7:$D$97,3,0)</f>
        <v>0</v>
      </c>
      <c r="J319" s="670" t="str">
        <f>IFERROR(IF(CURRENCY.FORMAT_1=0,CONCATENATE(TEXT(FIXED(ROUND((C319/EXC.RATE_1),CURRENCY.FORMAT_1),CURRENCY.FORMAT_1,1),"# ##0;-# ##0"),",-"),FIXED(ROUND((C319/EXC.RATE_1),CURRENCY.FORMAT_1),CURRENCY.FORMAT_1,0)),'DICTIONARY-5'!$A$2)</f>
        <v>6 243,-</v>
      </c>
      <c r="K319" s="670" t="str">
        <f>IF(EXC.RATE_2=0,"",IFERROR(IF(CURRENCY.FORMAT_2=0,CONCATENATE(TEXT(FIXED(ROUND(IF(EXC.RATE.SWITCH=1,C319/EXC.RATE_2,C319*EXC.RATE_2),CURRENCY.FORMAT_2),CURRENCY.FORMAT_2,1),"# ##0;-# ##0"),",-"),FIXED(ROUND(IF(EXC.RATE.SWITCH=1,C319/EXC.RATE_2,C319*EXC.RATE_2),CURRENCY.FORMAT_2),CURRENCY.FORMAT_2,0)),'DICTIONARY-5'!$A$2))</f>
        <v/>
      </c>
      <c r="L319" s="670" t="str">
        <f>IFERROR(IF(CURRENCY.FORMAT_1=0,CONCATENATE(TEXT(FIXED(ROUND((C319*(1-I319)*(1-ADD.DISCOUNT)*(1+MAT.SURCHARGE)/EXC.RATE_1),CURRENCY.FORMAT_1),CURRENCY.FORMAT_1,1),"# ##0;-# ##0"),",-"),FIXED(ROUND((C319*(1-I319)*(1-ADD.DISCOUNT)*(1+MAT.SURCHARGE)/EXC.RATE_1),CURRENCY.FORMAT_1),CURRENCY.FORMAT_1,0)),'DICTIONARY-5'!$A$2)</f>
        <v>6 486,-</v>
      </c>
      <c r="M319" s="670" t="str">
        <f>IF(EXC.RATE_2=0,"",IFERROR(IF(CURRENCY.FORMAT_2=0,CONCATENATE(TEXT(FIXED(ROUND(IF(EXC.RATE.SWITCH=1,C319*(1-I319)*(1-ADD.DISCOUNT)*(1+MAT.SURCHARGE)/EXC.RATE_2,C319*(1-I319)*(1-ADD.DISCOUNT)*(1+MAT.SURCHARGE)*EXC.RATE_2),CURRENCY.FORMAT_2),CURRENCY.FORMAT_2,1),"# ##0;-# ##0"),",-"),FIXED(ROUND(IF(EXC.RATE.SWITCH=1,C319*(1-I319)*(1-ADD.DISCOUNT)*(1+MAT.SURCHARGE)/EXC.RATE_2,C319*(1-I319)*(1-ADD.DISCOUNT)*(1+MAT.SURCHARGE)*EXC.RATE_2),CURRENCY.FORMAT_2),CURRENCY.FORMAT_2,0)),'DICTIONARY-5'!$A$2))</f>
        <v/>
      </c>
      <c r="N319" s="544">
        <v>1</v>
      </c>
      <c r="O319" s="544"/>
      <c r="P319" s="731" t="str">
        <f>'DICTIONARY-3'!$A$2</f>
        <v>EKOplus</v>
      </c>
      <c r="Q319" s="732" t="str">
        <f>'DICTIONARY-3'!$A$187</f>
        <v>Zasuwa klinowa</v>
      </c>
      <c r="R319" s="732" t="str">
        <f>CONCATENATE('DICTIONARY-3'!$A$2," ",'DICTIONARY-6'!$A$3," ",'DICTIONARY-2'!$A$2,"500"," ",'DICTIONARY-2'!$A$3,"16"," ","R15",", ",'DICTIONARY-5'!$A$45,", ",'DICTIONARY-4'!$A$2)</f>
        <v>EKOplus Zasuwa DN500 PN16 R15, NBR, WW</v>
      </c>
      <c r="S319" s="733" t="str">
        <f>'DICTIONARY-4'!$A$2</f>
        <v>WW</v>
      </c>
      <c r="T319" s="732" t="str">
        <f>'DICTIONARY-4'!$A$18</f>
        <v>Wolny wałek</v>
      </c>
      <c r="U319" s="734" t="s">
        <v>5756</v>
      </c>
      <c r="V319" s="735">
        <v>16</v>
      </c>
      <c r="W319" s="736"/>
      <c r="X319" s="737"/>
      <c r="Y319" s="738"/>
      <c r="Z319" s="739"/>
      <c r="AA319" s="739"/>
      <c r="AB319" s="740">
        <v>16</v>
      </c>
      <c r="AC319" s="741" t="str">
        <f>'DICTIONARY-5'!$A$11&amp;" 15"</f>
        <v>EN 558 szereg 15</v>
      </c>
      <c r="AD319" s="741" t="str">
        <f>'DICTIONARY-5'!$A$14</f>
        <v>ścieki</v>
      </c>
      <c r="AE319" s="742">
        <v>50</v>
      </c>
      <c r="AF319" s="743"/>
      <c r="AG319" s="741" t="str">
        <f>'DICTIONARY-5'!$A$23</f>
        <v>powłoka epoksydowa</v>
      </c>
    </row>
    <row r="320" spans="1:33" x14ac:dyDescent="0.25">
      <c r="A320" s="842" t="s">
        <v>7886</v>
      </c>
      <c r="B320" s="842" t="s">
        <v>7887</v>
      </c>
      <c r="C320" s="836">
        <v>5516</v>
      </c>
      <c r="D320" s="836"/>
      <c r="E320" s="836"/>
      <c r="F320" s="836"/>
      <c r="G320" s="496" t="s">
        <v>7792</v>
      </c>
      <c r="H320" s="797" t="str">
        <f>VLOOKUP(G320,SETTINGS!$B$7:$D$97,2,0)</f>
        <v>EKOplus Waste Water</v>
      </c>
      <c r="I320" s="796">
        <f>VLOOKUP(G320,SETTINGS!$B$7:$D$97,3,0)</f>
        <v>0</v>
      </c>
      <c r="J320" s="670" t="str">
        <f>IFERROR(IF(CURRENCY.FORMAT_1=0,CONCATENATE(TEXT(FIXED(ROUND((C320/EXC.RATE_1),CURRENCY.FORMAT_1),CURRENCY.FORMAT_1,1),"# ##0;-# ##0"),",-"),FIXED(ROUND((C320/EXC.RATE_1),CURRENCY.FORMAT_1),CURRENCY.FORMAT_1,0)),'DICTIONARY-5'!$A$2)</f>
        <v>5 516,-</v>
      </c>
      <c r="K320" s="670" t="str">
        <f>IF(EXC.RATE_2=0,"",IFERROR(IF(CURRENCY.FORMAT_2=0,CONCATENATE(TEXT(FIXED(ROUND(IF(EXC.RATE.SWITCH=1,C320/EXC.RATE_2,C320*EXC.RATE_2),CURRENCY.FORMAT_2),CURRENCY.FORMAT_2,1),"# ##0;-# ##0"),",-"),FIXED(ROUND(IF(EXC.RATE.SWITCH=1,C320/EXC.RATE_2,C320*EXC.RATE_2),CURRENCY.FORMAT_2),CURRENCY.FORMAT_2,0)),'DICTIONARY-5'!$A$2))</f>
        <v/>
      </c>
      <c r="L320" s="670" t="str">
        <f>IFERROR(IF(CURRENCY.FORMAT_1=0,CONCATENATE(TEXT(FIXED(ROUND((C320*(1-I320)*(1-ADD.DISCOUNT)*(1+MAT.SURCHARGE)/EXC.RATE_1),CURRENCY.FORMAT_1),CURRENCY.FORMAT_1,1),"# ##0;-# ##0"),",-"),FIXED(ROUND((C320*(1-I320)*(1-ADD.DISCOUNT)*(1+MAT.SURCHARGE)/EXC.RATE_1),CURRENCY.FORMAT_1),CURRENCY.FORMAT_1,0)),'DICTIONARY-5'!$A$2)</f>
        <v>5 731,-</v>
      </c>
      <c r="M320" s="670" t="str">
        <f>IF(EXC.RATE_2=0,"",IFERROR(IF(CURRENCY.FORMAT_2=0,CONCATENATE(TEXT(FIXED(ROUND(IF(EXC.RATE.SWITCH=1,C320*(1-I320)*(1-ADD.DISCOUNT)*(1+MAT.SURCHARGE)/EXC.RATE_2,C320*(1-I320)*(1-ADD.DISCOUNT)*(1+MAT.SURCHARGE)*EXC.RATE_2),CURRENCY.FORMAT_2),CURRENCY.FORMAT_2,1),"# ##0;-# ##0"),",-"),FIXED(ROUND(IF(EXC.RATE.SWITCH=1,C320*(1-I320)*(1-ADD.DISCOUNT)*(1+MAT.SURCHARGE)/EXC.RATE_2,C320*(1-I320)*(1-ADD.DISCOUNT)*(1+MAT.SURCHARGE)*EXC.RATE_2),CURRENCY.FORMAT_2),CURRENCY.FORMAT_2,0)),'DICTIONARY-5'!$A$2))</f>
        <v/>
      </c>
      <c r="N320" s="544">
        <v>1</v>
      </c>
      <c r="O320" s="544"/>
      <c r="P320" s="731" t="str">
        <f>'DICTIONARY-3'!$A$2</f>
        <v>EKOplus</v>
      </c>
      <c r="Q320" s="732" t="str">
        <f>'DICTIONARY-3'!$A$187</f>
        <v>Zasuwa klinowa</v>
      </c>
      <c r="R320" s="732" t="str">
        <f>CONCATENATE('DICTIONARY-3'!$A$2," ",'DICTIONARY-6'!$A$3," ",'DICTIONARY-2'!$A$2,"600/",'DICTIONARY-6'!$A$46,'DICTIONARY-2'!$A$2,"500"," ",'DICTIONARY-2'!$A$3,"10"," ","R15",", ",'DICTIONARY-5'!$A$45,", ",'DICTIONARY-4'!$A$2)</f>
        <v>EKOplus Zasuwa DN600/reduk.DN500 PN10 R15, NBR, WW</v>
      </c>
      <c r="S320" s="733" t="str">
        <f>'DICTIONARY-4'!$A$2</f>
        <v>WW</v>
      </c>
      <c r="T320" s="732" t="str">
        <f>'DICTIONARY-4'!$A$18</f>
        <v>Wolny wałek</v>
      </c>
      <c r="U320" s="734" t="s">
        <v>5757</v>
      </c>
      <c r="V320" s="735">
        <v>10</v>
      </c>
      <c r="W320" s="736"/>
      <c r="X320" s="737"/>
      <c r="Y320" s="738"/>
      <c r="Z320" s="739"/>
      <c r="AA320" s="739"/>
      <c r="AB320" s="740">
        <v>10</v>
      </c>
      <c r="AC320" s="741" t="str">
        <f>'DICTIONARY-5'!$A$11&amp;" 15"</f>
        <v>EN 558 szereg 15</v>
      </c>
      <c r="AD320" s="741" t="str">
        <f>'DICTIONARY-5'!$A$14</f>
        <v>ścieki</v>
      </c>
      <c r="AE320" s="742">
        <v>50</v>
      </c>
      <c r="AF320" s="743">
        <v>548</v>
      </c>
      <c r="AG320" s="741" t="str">
        <f>'DICTIONARY-5'!$A$23</f>
        <v>powłoka epoksydowa</v>
      </c>
    </row>
    <row r="321" spans="1:33" x14ac:dyDescent="0.25">
      <c r="A321" s="844" t="s">
        <v>5497</v>
      </c>
      <c r="B321" s="844" t="s">
        <v>5135</v>
      </c>
      <c r="C321" s="836">
        <v>224</v>
      </c>
      <c r="D321" s="836"/>
      <c r="E321" s="836"/>
      <c r="F321" s="836"/>
      <c r="G321" s="496" t="s">
        <v>7793</v>
      </c>
      <c r="H321" s="797" t="str">
        <f>VLOOKUP(G321,SETTINGS!$B$7:$D$97,2,0)</f>
        <v>EKOplus Sea Water</v>
      </c>
      <c r="I321" s="796">
        <f>VLOOKUP(G321,SETTINGS!$B$7:$D$97,3,0)</f>
        <v>0</v>
      </c>
      <c r="J321" s="670" t="str">
        <f>IFERROR(IF(CURRENCY.FORMAT_1=0,CONCATENATE(TEXT(FIXED(ROUND((C321/EXC.RATE_1),CURRENCY.FORMAT_1),CURRENCY.FORMAT_1,1),"# ##0;-# ##0"),",-"),FIXED(ROUND((C321/EXC.RATE_1),CURRENCY.FORMAT_1),CURRENCY.FORMAT_1,0)),'DICTIONARY-5'!$A$2)</f>
        <v>224,-</v>
      </c>
      <c r="K321" s="670" t="str">
        <f>IF(EXC.RATE_2=0,"",IFERROR(IF(CURRENCY.FORMAT_2=0,CONCATENATE(TEXT(FIXED(ROUND(IF(EXC.RATE.SWITCH=1,C321/EXC.RATE_2,C321*EXC.RATE_2),CURRENCY.FORMAT_2),CURRENCY.FORMAT_2,1),"# ##0;-# ##0"),",-"),FIXED(ROUND(IF(EXC.RATE.SWITCH=1,C321/EXC.RATE_2,C321*EXC.RATE_2),CURRENCY.FORMAT_2),CURRENCY.FORMAT_2,0)),'DICTIONARY-5'!$A$2))</f>
        <v/>
      </c>
      <c r="L321" s="670" t="str">
        <f>IFERROR(IF(CURRENCY.FORMAT_1=0,CONCATENATE(TEXT(FIXED(ROUND((C321*(1-I321)*(1-ADD.DISCOUNT)*(1+MAT.SURCHARGE)/EXC.RATE_1),CURRENCY.FORMAT_1),CURRENCY.FORMAT_1,1),"# ##0;-# ##0"),",-"),FIXED(ROUND((C321*(1-I321)*(1-ADD.DISCOUNT)*(1+MAT.SURCHARGE)/EXC.RATE_1),CURRENCY.FORMAT_1),CURRENCY.FORMAT_1,0)),'DICTIONARY-5'!$A$2)</f>
        <v>233,-</v>
      </c>
      <c r="M321" s="670" t="str">
        <f>IF(EXC.RATE_2=0,"",IFERROR(IF(CURRENCY.FORMAT_2=0,CONCATENATE(TEXT(FIXED(ROUND(IF(EXC.RATE.SWITCH=1,C321*(1-I321)*(1-ADD.DISCOUNT)*(1+MAT.SURCHARGE)/EXC.RATE_2,C321*(1-I321)*(1-ADD.DISCOUNT)*(1+MAT.SURCHARGE)*EXC.RATE_2),CURRENCY.FORMAT_2),CURRENCY.FORMAT_2,1),"# ##0;-# ##0"),",-"),FIXED(ROUND(IF(EXC.RATE.SWITCH=1,C321*(1-I321)*(1-ADD.DISCOUNT)*(1+MAT.SURCHARGE)/EXC.RATE_2,C321*(1-I321)*(1-ADD.DISCOUNT)*(1+MAT.SURCHARGE)*EXC.RATE_2),CURRENCY.FORMAT_2),CURRENCY.FORMAT_2,0)),'DICTIONARY-5'!$A$2))</f>
        <v/>
      </c>
      <c r="N321" s="544">
        <v>1</v>
      </c>
      <c r="O321" s="654"/>
      <c r="P321" s="731" t="str">
        <f>'DICTIONARY-3'!$A$2</f>
        <v>EKOplus</v>
      </c>
      <c r="Q321" s="732" t="str">
        <f>'DICTIONARY-3'!$A$187</f>
        <v>Zasuwa klinowa</v>
      </c>
      <c r="R321" s="732" t="str">
        <f>CONCATENATE('DICTIONARY-3'!$A$2," ",'DICTIONARY-6'!$A$3," ",'DICTIONARY-2'!$A$2,"40"," ",'DICTIONARY-2'!$A$3,"10/16"," ","R14"," ",'DICTIONARY-5'!$A$38,", ",'DICTIONARY-4'!$A$2)</f>
        <v>EKOplus Zasuwa DN40 PN10/16 R14 DUPLEX, WW</v>
      </c>
      <c r="S321" s="733" t="str">
        <f>'DICTIONARY-4'!$A$2</f>
        <v>WW</v>
      </c>
      <c r="T321" s="732" t="str">
        <f>'DICTIONARY-4'!$A$18</f>
        <v>Wolny wałek</v>
      </c>
      <c r="U321" s="734" t="s">
        <v>5758</v>
      </c>
      <c r="V321" s="735">
        <v>16</v>
      </c>
      <c r="W321" s="736"/>
      <c r="X321" s="737"/>
      <c r="Y321" s="738"/>
      <c r="Z321" s="739"/>
      <c r="AA321" s="739"/>
      <c r="AB321" s="740">
        <v>16</v>
      </c>
      <c r="AC321" s="741" t="str">
        <f>'DICTIONARY-5'!$A$11&amp;" 14"</f>
        <v>EN 558 szereg 14</v>
      </c>
      <c r="AD321" s="741" t="str">
        <f>'DICTIONARY-5'!$A$15</f>
        <v>woda morska</v>
      </c>
      <c r="AE321" s="742">
        <v>50</v>
      </c>
      <c r="AF321" s="743">
        <v>8.1999999999999993</v>
      </c>
      <c r="AG321" s="741" t="str">
        <f>'DICTIONARY-5'!$A$23</f>
        <v>powłoka epoksydowa</v>
      </c>
    </row>
    <row r="322" spans="1:33" x14ac:dyDescent="0.25">
      <c r="A322" s="844" t="s">
        <v>5498</v>
      </c>
      <c r="B322" s="844" t="s">
        <v>5137</v>
      </c>
      <c r="C322" s="836">
        <v>225</v>
      </c>
      <c r="D322" s="836"/>
      <c r="E322" s="836"/>
      <c r="F322" s="836"/>
      <c r="G322" s="496" t="s">
        <v>7793</v>
      </c>
      <c r="H322" s="797" t="str">
        <f>VLOOKUP(G322,SETTINGS!$B$7:$D$97,2,0)</f>
        <v>EKOplus Sea Water</v>
      </c>
      <c r="I322" s="796">
        <f>VLOOKUP(G322,SETTINGS!$B$7:$D$97,3,0)</f>
        <v>0</v>
      </c>
      <c r="J322" s="670" t="str">
        <f>IFERROR(IF(CURRENCY.FORMAT_1=0,CONCATENATE(TEXT(FIXED(ROUND((C322/EXC.RATE_1),CURRENCY.FORMAT_1),CURRENCY.FORMAT_1,1),"# ##0;-# ##0"),",-"),FIXED(ROUND((C322/EXC.RATE_1),CURRENCY.FORMAT_1),CURRENCY.FORMAT_1,0)),'DICTIONARY-5'!$A$2)</f>
        <v>225,-</v>
      </c>
      <c r="K322" s="670" t="str">
        <f>IF(EXC.RATE_2=0,"",IFERROR(IF(CURRENCY.FORMAT_2=0,CONCATENATE(TEXT(FIXED(ROUND(IF(EXC.RATE.SWITCH=1,C322/EXC.RATE_2,C322*EXC.RATE_2),CURRENCY.FORMAT_2),CURRENCY.FORMAT_2,1),"# ##0;-# ##0"),",-"),FIXED(ROUND(IF(EXC.RATE.SWITCH=1,C322/EXC.RATE_2,C322*EXC.RATE_2),CURRENCY.FORMAT_2),CURRENCY.FORMAT_2,0)),'DICTIONARY-5'!$A$2))</f>
        <v/>
      </c>
      <c r="L322" s="670" t="str">
        <f>IFERROR(IF(CURRENCY.FORMAT_1=0,CONCATENATE(TEXT(FIXED(ROUND((C322*(1-I322)*(1-ADD.DISCOUNT)*(1+MAT.SURCHARGE)/EXC.RATE_1),CURRENCY.FORMAT_1),CURRENCY.FORMAT_1,1),"# ##0;-# ##0"),",-"),FIXED(ROUND((C322*(1-I322)*(1-ADD.DISCOUNT)*(1+MAT.SURCHARGE)/EXC.RATE_1),CURRENCY.FORMAT_1),CURRENCY.FORMAT_1,0)),'DICTIONARY-5'!$A$2)</f>
        <v>234,-</v>
      </c>
      <c r="M322" s="670" t="str">
        <f>IF(EXC.RATE_2=0,"",IFERROR(IF(CURRENCY.FORMAT_2=0,CONCATENATE(TEXT(FIXED(ROUND(IF(EXC.RATE.SWITCH=1,C322*(1-I322)*(1-ADD.DISCOUNT)*(1+MAT.SURCHARGE)/EXC.RATE_2,C322*(1-I322)*(1-ADD.DISCOUNT)*(1+MAT.SURCHARGE)*EXC.RATE_2),CURRENCY.FORMAT_2),CURRENCY.FORMAT_2,1),"# ##0;-# ##0"),",-"),FIXED(ROUND(IF(EXC.RATE.SWITCH=1,C322*(1-I322)*(1-ADD.DISCOUNT)*(1+MAT.SURCHARGE)/EXC.RATE_2,C322*(1-I322)*(1-ADD.DISCOUNT)*(1+MAT.SURCHARGE)*EXC.RATE_2),CURRENCY.FORMAT_2),CURRENCY.FORMAT_2,0)),'DICTIONARY-5'!$A$2))</f>
        <v/>
      </c>
      <c r="N322" s="544">
        <v>1</v>
      </c>
      <c r="O322" s="654"/>
      <c r="P322" s="731" t="str">
        <f>'DICTIONARY-3'!$A$2</f>
        <v>EKOplus</v>
      </c>
      <c r="Q322" s="732" t="str">
        <f>'DICTIONARY-3'!$A$187</f>
        <v>Zasuwa klinowa</v>
      </c>
      <c r="R322" s="732" t="str">
        <f>CONCATENATE('DICTIONARY-3'!$A$2," ",'DICTIONARY-6'!$A$3," ",'DICTIONARY-2'!$A$2,"50"," ",'DICTIONARY-2'!$A$3,"10/16"," ","R14"," ",'DICTIONARY-5'!$A$38,", ",'DICTIONARY-4'!$A$2)</f>
        <v>EKOplus Zasuwa DN50 PN10/16 R14 DUPLEX, WW</v>
      </c>
      <c r="S322" s="733" t="str">
        <f>'DICTIONARY-4'!$A$2</f>
        <v>WW</v>
      </c>
      <c r="T322" s="732" t="str">
        <f>'DICTIONARY-4'!$A$18</f>
        <v>Wolny wałek</v>
      </c>
      <c r="U322" s="734" t="s">
        <v>5748</v>
      </c>
      <c r="V322" s="735">
        <v>16</v>
      </c>
      <c r="W322" s="736"/>
      <c r="X322" s="737"/>
      <c r="Y322" s="738"/>
      <c r="Z322" s="739"/>
      <c r="AA322" s="739"/>
      <c r="AB322" s="740">
        <v>16</v>
      </c>
      <c r="AC322" s="741" t="str">
        <f>'DICTIONARY-5'!$A$11&amp;" 14"</f>
        <v>EN 558 szereg 14</v>
      </c>
      <c r="AD322" s="741" t="str">
        <f>'DICTIONARY-5'!$A$15</f>
        <v>woda morska</v>
      </c>
      <c r="AE322" s="742">
        <v>50</v>
      </c>
      <c r="AF322" s="743">
        <v>10</v>
      </c>
      <c r="AG322" s="741" t="str">
        <f>'DICTIONARY-5'!$A$23</f>
        <v>powłoka epoksydowa</v>
      </c>
    </row>
    <row r="323" spans="1:33" x14ac:dyDescent="0.25">
      <c r="A323" s="844" t="s">
        <v>5499</v>
      </c>
      <c r="B323" s="844" t="s">
        <v>5139</v>
      </c>
      <c r="C323" s="836">
        <v>256</v>
      </c>
      <c r="D323" s="836"/>
      <c r="E323" s="836"/>
      <c r="F323" s="836"/>
      <c r="G323" s="496" t="s">
        <v>7793</v>
      </c>
      <c r="H323" s="797" t="str">
        <f>VLOOKUP(G323,SETTINGS!$B$7:$D$97,2,0)</f>
        <v>EKOplus Sea Water</v>
      </c>
      <c r="I323" s="796">
        <f>VLOOKUP(G323,SETTINGS!$B$7:$D$97,3,0)</f>
        <v>0</v>
      </c>
      <c r="J323" s="670" t="str">
        <f>IFERROR(IF(CURRENCY.FORMAT_1=0,CONCATENATE(TEXT(FIXED(ROUND((C323/EXC.RATE_1),CURRENCY.FORMAT_1),CURRENCY.FORMAT_1,1),"# ##0;-# ##0"),",-"),FIXED(ROUND((C323/EXC.RATE_1),CURRENCY.FORMAT_1),CURRENCY.FORMAT_1,0)),'DICTIONARY-5'!$A$2)</f>
        <v>256,-</v>
      </c>
      <c r="K323" s="670" t="str">
        <f>IF(EXC.RATE_2=0,"",IFERROR(IF(CURRENCY.FORMAT_2=0,CONCATENATE(TEXT(FIXED(ROUND(IF(EXC.RATE.SWITCH=1,C323/EXC.RATE_2,C323*EXC.RATE_2),CURRENCY.FORMAT_2),CURRENCY.FORMAT_2,1),"# ##0;-# ##0"),",-"),FIXED(ROUND(IF(EXC.RATE.SWITCH=1,C323/EXC.RATE_2,C323*EXC.RATE_2),CURRENCY.FORMAT_2),CURRENCY.FORMAT_2,0)),'DICTIONARY-5'!$A$2))</f>
        <v/>
      </c>
      <c r="L323" s="670" t="str">
        <f>IFERROR(IF(CURRENCY.FORMAT_1=0,CONCATENATE(TEXT(FIXED(ROUND((C323*(1-I323)*(1-ADD.DISCOUNT)*(1+MAT.SURCHARGE)/EXC.RATE_1),CURRENCY.FORMAT_1),CURRENCY.FORMAT_1,1),"# ##0;-# ##0"),",-"),FIXED(ROUND((C323*(1-I323)*(1-ADD.DISCOUNT)*(1+MAT.SURCHARGE)/EXC.RATE_1),CURRENCY.FORMAT_1),CURRENCY.FORMAT_1,0)),'DICTIONARY-5'!$A$2)</f>
        <v>266,-</v>
      </c>
      <c r="M323" s="670" t="str">
        <f>IF(EXC.RATE_2=0,"",IFERROR(IF(CURRENCY.FORMAT_2=0,CONCATENATE(TEXT(FIXED(ROUND(IF(EXC.RATE.SWITCH=1,C323*(1-I323)*(1-ADD.DISCOUNT)*(1+MAT.SURCHARGE)/EXC.RATE_2,C323*(1-I323)*(1-ADD.DISCOUNT)*(1+MAT.SURCHARGE)*EXC.RATE_2),CURRENCY.FORMAT_2),CURRENCY.FORMAT_2,1),"# ##0;-# ##0"),",-"),FIXED(ROUND(IF(EXC.RATE.SWITCH=1,C323*(1-I323)*(1-ADD.DISCOUNT)*(1+MAT.SURCHARGE)/EXC.RATE_2,C323*(1-I323)*(1-ADD.DISCOUNT)*(1+MAT.SURCHARGE)*EXC.RATE_2),CURRENCY.FORMAT_2),CURRENCY.FORMAT_2,0)),'DICTIONARY-5'!$A$2))</f>
        <v/>
      </c>
      <c r="N323" s="544">
        <v>1</v>
      </c>
      <c r="O323" s="654"/>
      <c r="P323" s="731" t="str">
        <f>'DICTIONARY-3'!$A$2</f>
        <v>EKOplus</v>
      </c>
      <c r="Q323" s="732" t="str">
        <f>'DICTIONARY-3'!$A$187</f>
        <v>Zasuwa klinowa</v>
      </c>
      <c r="R323" s="732" t="str">
        <f>CONCATENATE('DICTIONARY-3'!$A$2," ",'DICTIONARY-6'!$A$3," ",'DICTIONARY-2'!$A$2,"65"," ",'DICTIONARY-2'!$A$3,"10/16"," ","R14"," ",'DICTIONARY-5'!$A$38,", ",'DICTIONARY-4'!$A$2)</f>
        <v>EKOplus Zasuwa DN65 PN10/16 R14 DUPLEX, WW</v>
      </c>
      <c r="S323" s="733" t="str">
        <f>'DICTIONARY-4'!$A$2</f>
        <v>WW</v>
      </c>
      <c r="T323" s="732" t="str">
        <f>'DICTIONARY-4'!$A$18</f>
        <v>Wolny wałek</v>
      </c>
      <c r="U323" s="734" t="s">
        <v>5759</v>
      </c>
      <c r="V323" s="735">
        <v>16</v>
      </c>
      <c r="W323" s="736"/>
      <c r="X323" s="737"/>
      <c r="Y323" s="738"/>
      <c r="Z323" s="739"/>
      <c r="AA323" s="739"/>
      <c r="AB323" s="740">
        <v>16</v>
      </c>
      <c r="AC323" s="741" t="str">
        <f>'DICTIONARY-5'!$A$11&amp;" 14"</f>
        <v>EN 558 szereg 14</v>
      </c>
      <c r="AD323" s="741" t="str">
        <f>'DICTIONARY-5'!$A$15</f>
        <v>woda morska</v>
      </c>
      <c r="AE323" s="742">
        <v>50</v>
      </c>
      <c r="AF323" s="743">
        <v>13.5</v>
      </c>
      <c r="AG323" s="741" t="str">
        <f>'DICTIONARY-5'!$A$23</f>
        <v>powłoka epoksydowa</v>
      </c>
    </row>
    <row r="324" spans="1:33" x14ac:dyDescent="0.25">
      <c r="A324" s="844" t="s">
        <v>5500</v>
      </c>
      <c r="B324" s="844" t="s">
        <v>5141</v>
      </c>
      <c r="C324" s="836">
        <v>256</v>
      </c>
      <c r="D324" s="836"/>
      <c r="E324" s="836"/>
      <c r="F324" s="836"/>
      <c r="G324" s="496" t="s">
        <v>7793</v>
      </c>
      <c r="H324" s="797" t="str">
        <f>VLOOKUP(G324,SETTINGS!$B$7:$D$97,2,0)</f>
        <v>EKOplus Sea Water</v>
      </c>
      <c r="I324" s="796">
        <f>VLOOKUP(G324,SETTINGS!$B$7:$D$97,3,0)</f>
        <v>0</v>
      </c>
      <c r="J324" s="670" t="str">
        <f>IFERROR(IF(CURRENCY.FORMAT_1=0,CONCATENATE(TEXT(FIXED(ROUND((C324/EXC.RATE_1),CURRENCY.FORMAT_1),CURRENCY.FORMAT_1,1),"# ##0;-# ##0"),",-"),FIXED(ROUND((C324/EXC.RATE_1),CURRENCY.FORMAT_1),CURRENCY.FORMAT_1,0)),'DICTIONARY-5'!$A$2)</f>
        <v>256,-</v>
      </c>
      <c r="K324" s="670" t="str">
        <f>IF(EXC.RATE_2=0,"",IFERROR(IF(CURRENCY.FORMAT_2=0,CONCATENATE(TEXT(FIXED(ROUND(IF(EXC.RATE.SWITCH=1,C324/EXC.RATE_2,C324*EXC.RATE_2),CURRENCY.FORMAT_2),CURRENCY.FORMAT_2,1),"# ##0;-# ##0"),",-"),FIXED(ROUND(IF(EXC.RATE.SWITCH=1,C324/EXC.RATE_2,C324*EXC.RATE_2),CURRENCY.FORMAT_2),CURRENCY.FORMAT_2,0)),'DICTIONARY-5'!$A$2))</f>
        <v/>
      </c>
      <c r="L324" s="670" t="str">
        <f>IFERROR(IF(CURRENCY.FORMAT_1=0,CONCATENATE(TEXT(FIXED(ROUND((C324*(1-I324)*(1-ADD.DISCOUNT)*(1+MAT.SURCHARGE)/EXC.RATE_1),CURRENCY.FORMAT_1),CURRENCY.FORMAT_1,1),"# ##0;-# ##0"),",-"),FIXED(ROUND((C324*(1-I324)*(1-ADD.DISCOUNT)*(1+MAT.SURCHARGE)/EXC.RATE_1),CURRENCY.FORMAT_1),CURRENCY.FORMAT_1,0)),'DICTIONARY-5'!$A$2)</f>
        <v>266,-</v>
      </c>
      <c r="M324" s="670" t="str">
        <f>IF(EXC.RATE_2=0,"",IFERROR(IF(CURRENCY.FORMAT_2=0,CONCATENATE(TEXT(FIXED(ROUND(IF(EXC.RATE.SWITCH=1,C324*(1-I324)*(1-ADD.DISCOUNT)*(1+MAT.SURCHARGE)/EXC.RATE_2,C324*(1-I324)*(1-ADD.DISCOUNT)*(1+MAT.SURCHARGE)*EXC.RATE_2),CURRENCY.FORMAT_2),CURRENCY.FORMAT_2,1),"# ##0;-# ##0"),",-"),FIXED(ROUND(IF(EXC.RATE.SWITCH=1,C324*(1-I324)*(1-ADD.DISCOUNT)*(1+MAT.SURCHARGE)/EXC.RATE_2,C324*(1-I324)*(1-ADD.DISCOUNT)*(1+MAT.SURCHARGE)*EXC.RATE_2),CURRENCY.FORMAT_2),CURRENCY.FORMAT_2,0)),'DICTIONARY-5'!$A$2))</f>
        <v/>
      </c>
      <c r="N324" s="544">
        <v>1</v>
      </c>
      <c r="O324" s="654"/>
      <c r="P324" s="731" t="str">
        <f>'DICTIONARY-3'!$A$2</f>
        <v>EKOplus</v>
      </c>
      <c r="Q324" s="732" t="str">
        <f>'DICTIONARY-3'!$A$187</f>
        <v>Zasuwa klinowa</v>
      </c>
      <c r="R324" s="732" t="str">
        <f>CONCATENATE('DICTIONARY-3'!$A$2," ",'DICTIONARY-6'!$A$3," ",'DICTIONARY-2'!$A$2,"80"," ",'DICTIONARY-2'!$A$3,"10/16"," ","R14"," ",'DICTIONARY-5'!$A$38,", ",'DICTIONARY-4'!$A$2)</f>
        <v>EKOplus Zasuwa DN80 PN10/16 R14 DUPLEX, WW</v>
      </c>
      <c r="S324" s="733" t="str">
        <f>'DICTIONARY-4'!$A$2</f>
        <v>WW</v>
      </c>
      <c r="T324" s="732" t="str">
        <f>'DICTIONARY-4'!$A$18</f>
        <v>Wolny wałek</v>
      </c>
      <c r="U324" s="734" t="s">
        <v>5760</v>
      </c>
      <c r="V324" s="735">
        <v>16</v>
      </c>
      <c r="W324" s="736"/>
      <c r="X324" s="737"/>
      <c r="Y324" s="738"/>
      <c r="Z324" s="739"/>
      <c r="AA324" s="739"/>
      <c r="AB324" s="740">
        <v>16</v>
      </c>
      <c r="AC324" s="741" t="str">
        <f>'DICTIONARY-5'!$A$11&amp;" 14"</f>
        <v>EN 558 szereg 14</v>
      </c>
      <c r="AD324" s="741" t="str">
        <f>'DICTIONARY-5'!$A$15</f>
        <v>woda morska</v>
      </c>
      <c r="AE324" s="742">
        <v>50</v>
      </c>
      <c r="AF324" s="743">
        <v>15</v>
      </c>
      <c r="AG324" s="741" t="str">
        <f>'DICTIONARY-5'!$A$23</f>
        <v>powłoka epoksydowa</v>
      </c>
    </row>
    <row r="325" spans="1:33" x14ac:dyDescent="0.25">
      <c r="A325" s="844" t="s">
        <v>5501</v>
      </c>
      <c r="B325" s="844" t="s">
        <v>5143</v>
      </c>
      <c r="C325" s="836">
        <v>270</v>
      </c>
      <c r="D325" s="836"/>
      <c r="E325" s="836"/>
      <c r="F325" s="836"/>
      <c r="G325" s="496" t="s">
        <v>7793</v>
      </c>
      <c r="H325" s="797" t="str">
        <f>VLOOKUP(G325,SETTINGS!$B$7:$D$97,2,0)</f>
        <v>EKOplus Sea Water</v>
      </c>
      <c r="I325" s="796">
        <f>VLOOKUP(G325,SETTINGS!$B$7:$D$97,3,0)</f>
        <v>0</v>
      </c>
      <c r="J325" s="670" t="str">
        <f>IFERROR(IF(CURRENCY.FORMAT_1=0,CONCATENATE(TEXT(FIXED(ROUND((C325/EXC.RATE_1),CURRENCY.FORMAT_1),CURRENCY.FORMAT_1,1),"# ##0;-# ##0"),",-"),FIXED(ROUND((C325/EXC.RATE_1),CURRENCY.FORMAT_1),CURRENCY.FORMAT_1,0)),'DICTIONARY-5'!$A$2)</f>
        <v>270,-</v>
      </c>
      <c r="K325" s="670" t="str">
        <f>IF(EXC.RATE_2=0,"",IFERROR(IF(CURRENCY.FORMAT_2=0,CONCATENATE(TEXT(FIXED(ROUND(IF(EXC.RATE.SWITCH=1,C325/EXC.RATE_2,C325*EXC.RATE_2),CURRENCY.FORMAT_2),CURRENCY.FORMAT_2,1),"# ##0;-# ##0"),",-"),FIXED(ROUND(IF(EXC.RATE.SWITCH=1,C325/EXC.RATE_2,C325*EXC.RATE_2),CURRENCY.FORMAT_2),CURRENCY.FORMAT_2,0)),'DICTIONARY-5'!$A$2))</f>
        <v/>
      </c>
      <c r="L325" s="670" t="str">
        <f>IFERROR(IF(CURRENCY.FORMAT_1=0,CONCATENATE(TEXT(FIXED(ROUND((C325*(1-I325)*(1-ADD.DISCOUNT)*(1+MAT.SURCHARGE)/EXC.RATE_1),CURRENCY.FORMAT_1),CURRENCY.FORMAT_1,1),"# ##0;-# ##0"),",-"),FIXED(ROUND((C325*(1-I325)*(1-ADD.DISCOUNT)*(1+MAT.SURCHARGE)/EXC.RATE_1),CURRENCY.FORMAT_1),CURRENCY.FORMAT_1,0)),'DICTIONARY-5'!$A$2)</f>
        <v>281,-</v>
      </c>
      <c r="M325" s="670" t="str">
        <f>IF(EXC.RATE_2=0,"",IFERROR(IF(CURRENCY.FORMAT_2=0,CONCATENATE(TEXT(FIXED(ROUND(IF(EXC.RATE.SWITCH=1,C325*(1-I325)*(1-ADD.DISCOUNT)*(1+MAT.SURCHARGE)/EXC.RATE_2,C325*(1-I325)*(1-ADD.DISCOUNT)*(1+MAT.SURCHARGE)*EXC.RATE_2),CURRENCY.FORMAT_2),CURRENCY.FORMAT_2,1),"# ##0;-# ##0"),",-"),FIXED(ROUND(IF(EXC.RATE.SWITCH=1,C325*(1-I325)*(1-ADD.DISCOUNT)*(1+MAT.SURCHARGE)/EXC.RATE_2,C325*(1-I325)*(1-ADD.DISCOUNT)*(1+MAT.SURCHARGE)*EXC.RATE_2),CURRENCY.FORMAT_2),CURRENCY.FORMAT_2,0)),'DICTIONARY-5'!$A$2))</f>
        <v/>
      </c>
      <c r="N325" s="544">
        <v>1</v>
      </c>
      <c r="O325" s="654"/>
      <c r="P325" s="731" t="str">
        <f>'DICTIONARY-3'!$A$2</f>
        <v>EKOplus</v>
      </c>
      <c r="Q325" s="732" t="str">
        <f>'DICTIONARY-3'!$A$187</f>
        <v>Zasuwa klinowa</v>
      </c>
      <c r="R325" s="732" t="str">
        <f>CONCATENATE('DICTIONARY-3'!$A$2," ",'DICTIONARY-6'!$A$3," ",'DICTIONARY-2'!$A$2,"100"," ",'DICTIONARY-2'!$A$3,"10/16"," ","R14"," ",'DICTIONARY-5'!$A$38,", ",'DICTIONARY-4'!$A$2)</f>
        <v>EKOplus Zasuwa DN100 PN10/16 R14 DUPLEX, WW</v>
      </c>
      <c r="S325" s="733" t="str">
        <f>'DICTIONARY-4'!$A$2</f>
        <v>WW</v>
      </c>
      <c r="T325" s="732" t="str">
        <f>'DICTIONARY-4'!$A$18</f>
        <v>Wolny wałek</v>
      </c>
      <c r="U325" s="734" t="s">
        <v>5749</v>
      </c>
      <c r="V325" s="735">
        <v>16</v>
      </c>
      <c r="W325" s="736"/>
      <c r="X325" s="737"/>
      <c r="Y325" s="738"/>
      <c r="Z325" s="739"/>
      <c r="AA325" s="739"/>
      <c r="AB325" s="740">
        <v>16</v>
      </c>
      <c r="AC325" s="741" t="str">
        <f>'DICTIONARY-5'!$A$11&amp;" 14"</f>
        <v>EN 558 szereg 14</v>
      </c>
      <c r="AD325" s="741" t="str">
        <f>'DICTIONARY-5'!$A$15</f>
        <v>woda morska</v>
      </c>
      <c r="AE325" s="742">
        <v>50</v>
      </c>
      <c r="AF325" s="743">
        <v>19</v>
      </c>
      <c r="AG325" s="741" t="str">
        <f>'DICTIONARY-5'!$A$23</f>
        <v>powłoka epoksydowa</v>
      </c>
    </row>
    <row r="326" spans="1:33" x14ac:dyDescent="0.25">
      <c r="A326" s="844" t="s">
        <v>5502</v>
      </c>
      <c r="B326" s="844" t="s">
        <v>5145</v>
      </c>
      <c r="C326" s="836">
        <v>416</v>
      </c>
      <c r="D326" s="836"/>
      <c r="E326" s="836"/>
      <c r="F326" s="836"/>
      <c r="G326" s="496" t="s">
        <v>7793</v>
      </c>
      <c r="H326" s="797" t="str">
        <f>VLOOKUP(G326,SETTINGS!$B$7:$D$97,2,0)</f>
        <v>EKOplus Sea Water</v>
      </c>
      <c r="I326" s="796">
        <f>VLOOKUP(G326,SETTINGS!$B$7:$D$97,3,0)</f>
        <v>0</v>
      </c>
      <c r="J326" s="670" t="str">
        <f>IFERROR(IF(CURRENCY.FORMAT_1=0,CONCATENATE(TEXT(FIXED(ROUND((C326/EXC.RATE_1),CURRENCY.FORMAT_1),CURRENCY.FORMAT_1,1),"# ##0;-# ##0"),",-"),FIXED(ROUND((C326/EXC.RATE_1),CURRENCY.FORMAT_1),CURRENCY.FORMAT_1,0)),'DICTIONARY-5'!$A$2)</f>
        <v>416,-</v>
      </c>
      <c r="K326" s="670" t="str">
        <f>IF(EXC.RATE_2=0,"",IFERROR(IF(CURRENCY.FORMAT_2=0,CONCATENATE(TEXT(FIXED(ROUND(IF(EXC.RATE.SWITCH=1,C326/EXC.RATE_2,C326*EXC.RATE_2),CURRENCY.FORMAT_2),CURRENCY.FORMAT_2,1),"# ##0;-# ##0"),",-"),FIXED(ROUND(IF(EXC.RATE.SWITCH=1,C326/EXC.RATE_2,C326*EXC.RATE_2),CURRENCY.FORMAT_2),CURRENCY.FORMAT_2,0)),'DICTIONARY-5'!$A$2))</f>
        <v/>
      </c>
      <c r="L326" s="670" t="str">
        <f>IFERROR(IF(CURRENCY.FORMAT_1=0,CONCATENATE(TEXT(FIXED(ROUND((C326*(1-I326)*(1-ADD.DISCOUNT)*(1+MAT.SURCHARGE)/EXC.RATE_1),CURRENCY.FORMAT_1),CURRENCY.FORMAT_1,1),"# ##0;-# ##0"),",-"),FIXED(ROUND((C326*(1-I326)*(1-ADD.DISCOUNT)*(1+MAT.SURCHARGE)/EXC.RATE_1),CURRENCY.FORMAT_1),CURRENCY.FORMAT_1,0)),'DICTIONARY-5'!$A$2)</f>
        <v>432,-</v>
      </c>
      <c r="M326" s="670" t="str">
        <f>IF(EXC.RATE_2=0,"",IFERROR(IF(CURRENCY.FORMAT_2=0,CONCATENATE(TEXT(FIXED(ROUND(IF(EXC.RATE.SWITCH=1,C326*(1-I326)*(1-ADD.DISCOUNT)*(1+MAT.SURCHARGE)/EXC.RATE_2,C326*(1-I326)*(1-ADD.DISCOUNT)*(1+MAT.SURCHARGE)*EXC.RATE_2),CURRENCY.FORMAT_2),CURRENCY.FORMAT_2,1),"# ##0;-# ##0"),",-"),FIXED(ROUND(IF(EXC.RATE.SWITCH=1,C326*(1-I326)*(1-ADD.DISCOUNT)*(1+MAT.SURCHARGE)/EXC.RATE_2,C326*(1-I326)*(1-ADD.DISCOUNT)*(1+MAT.SURCHARGE)*EXC.RATE_2),CURRENCY.FORMAT_2),CURRENCY.FORMAT_2,0)),'DICTIONARY-5'!$A$2))</f>
        <v/>
      </c>
      <c r="N326" s="544">
        <v>1</v>
      </c>
      <c r="O326" s="654"/>
      <c r="P326" s="731" t="str">
        <f>'DICTIONARY-3'!$A$2</f>
        <v>EKOplus</v>
      </c>
      <c r="Q326" s="732" t="str">
        <f>'DICTIONARY-3'!$A$187</f>
        <v>Zasuwa klinowa</v>
      </c>
      <c r="R326" s="732" t="str">
        <f>CONCATENATE('DICTIONARY-3'!$A$2," ",'DICTIONARY-6'!$A$3," ",'DICTIONARY-2'!$A$2,"125"," ",'DICTIONARY-2'!$A$3,"10/16"," ","R14"," ",'DICTIONARY-5'!$A$38,", ",'DICTIONARY-4'!$A$2)</f>
        <v>EKOplus Zasuwa DN125 PN10/16 R14 DUPLEX, WW</v>
      </c>
      <c r="S326" s="733" t="str">
        <f>'DICTIONARY-4'!$A$2</f>
        <v>WW</v>
      </c>
      <c r="T326" s="732" t="str">
        <f>'DICTIONARY-4'!$A$18</f>
        <v>Wolny wałek</v>
      </c>
      <c r="U326" s="734" t="s">
        <v>5761</v>
      </c>
      <c r="V326" s="735">
        <v>16</v>
      </c>
      <c r="W326" s="736"/>
      <c r="X326" s="737"/>
      <c r="Y326" s="738"/>
      <c r="Z326" s="739"/>
      <c r="AA326" s="739"/>
      <c r="AB326" s="740">
        <v>16</v>
      </c>
      <c r="AC326" s="741" t="str">
        <f>'DICTIONARY-5'!$A$11&amp;" 14"</f>
        <v>EN 558 szereg 14</v>
      </c>
      <c r="AD326" s="741" t="str">
        <f>'DICTIONARY-5'!$A$15</f>
        <v>woda morska</v>
      </c>
      <c r="AE326" s="742">
        <v>50</v>
      </c>
      <c r="AF326" s="743">
        <v>27</v>
      </c>
      <c r="AG326" s="741" t="str">
        <f>'DICTIONARY-5'!$A$23</f>
        <v>powłoka epoksydowa</v>
      </c>
    </row>
    <row r="327" spans="1:33" x14ac:dyDescent="0.25">
      <c r="A327" s="844" t="s">
        <v>5503</v>
      </c>
      <c r="B327" s="844" t="s">
        <v>5147</v>
      </c>
      <c r="C327" s="836">
        <v>457</v>
      </c>
      <c r="D327" s="836"/>
      <c r="E327" s="836"/>
      <c r="F327" s="836"/>
      <c r="G327" s="496" t="s">
        <v>7793</v>
      </c>
      <c r="H327" s="797" t="str">
        <f>VLOOKUP(G327,SETTINGS!$B$7:$D$97,2,0)</f>
        <v>EKOplus Sea Water</v>
      </c>
      <c r="I327" s="796">
        <f>VLOOKUP(G327,SETTINGS!$B$7:$D$97,3,0)</f>
        <v>0</v>
      </c>
      <c r="J327" s="670" t="str">
        <f>IFERROR(IF(CURRENCY.FORMAT_1=0,CONCATENATE(TEXT(FIXED(ROUND((C327/EXC.RATE_1),CURRENCY.FORMAT_1),CURRENCY.FORMAT_1,1),"# ##0;-# ##0"),",-"),FIXED(ROUND((C327/EXC.RATE_1),CURRENCY.FORMAT_1),CURRENCY.FORMAT_1,0)),'DICTIONARY-5'!$A$2)</f>
        <v>457,-</v>
      </c>
      <c r="K327" s="670" t="str">
        <f>IF(EXC.RATE_2=0,"",IFERROR(IF(CURRENCY.FORMAT_2=0,CONCATENATE(TEXT(FIXED(ROUND(IF(EXC.RATE.SWITCH=1,C327/EXC.RATE_2,C327*EXC.RATE_2),CURRENCY.FORMAT_2),CURRENCY.FORMAT_2,1),"# ##0;-# ##0"),",-"),FIXED(ROUND(IF(EXC.RATE.SWITCH=1,C327/EXC.RATE_2,C327*EXC.RATE_2),CURRENCY.FORMAT_2),CURRENCY.FORMAT_2,0)),'DICTIONARY-5'!$A$2))</f>
        <v/>
      </c>
      <c r="L327" s="670" t="str">
        <f>IFERROR(IF(CURRENCY.FORMAT_1=0,CONCATENATE(TEXT(FIXED(ROUND((C327*(1-I327)*(1-ADD.DISCOUNT)*(1+MAT.SURCHARGE)/EXC.RATE_1),CURRENCY.FORMAT_1),CURRENCY.FORMAT_1,1),"# ##0;-# ##0"),",-"),FIXED(ROUND((C327*(1-I327)*(1-ADD.DISCOUNT)*(1+MAT.SURCHARGE)/EXC.RATE_1),CURRENCY.FORMAT_1),CURRENCY.FORMAT_1,0)),'DICTIONARY-5'!$A$2)</f>
        <v>475,-</v>
      </c>
      <c r="M327" s="670" t="str">
        <f>IF(EXC.RATE_2=0,"",IFERROR(IF(CURRENCY.FORMAT_2=0,CONCATENATE(TEXT(FIXED(ROUND(IF(EXC.RATE.SWITCH=1,C327*(1-I327)*(1-ADD.DISCOUNT)*(1+MAT.SURCHARGE)/EXC.RATE_2,C327*(1-I327)*(1-ADD.DISCOUNT)*(1+MAT.SURCHARGE)*EXC.RATE_2),CURRENCY.FORMAT_2),CURRENCY.FORMAT_2,1),"# ##0;-# ##0"),",-"),FIXED(ROUND(IF(EXC.RATE.SWITCH=1,C327*(1-I327)*(1-ADD.DISCOUNT)*(1+MAT.SURCHARGE)/EXC.RATE_2,C327*(1-I327)*(1-ADD.DISCOUNT)*(1+MAT.SURCHARGE)*EXC.RATE_2),CURRENCY.FORMAT_2),CURRENCY.FORMAT_2,0)),'DICTIONARY-5'!$A$2))</f>
        <v/>
      </c>
      <c r="N327" s="544">
        <v>1</v>
      </c>
      <c r="O327" s="654"/>
      <c r="P327" s="731" t="str">
        <f>'DICTIONARY-3'!$A$2</f>
        <v>EKOplus</v>
      </c>
      <c r="Q327" s="732" t="str">
        <f>'DICTIONARY-3'!$A$187</f>
        <v>Zasuwa klinowa</v>
      </c>
      <c r="R327" s="732" t="str">
        <f>CONCATENATE('DICTIONARY-3'!$A$2," ",'DICTIONARY-6'!$A$3," ",'DICTIONARY-2'!$A$2,"150"," ",'DICTIONARY-2'!$A$3,"10/16"," ","R14"," ",'DICTIONARY-5'!$A$38,", ",'DICTIONARY-4'!$A$2)</f>
        <v>EKOplus Zasuwa DN150 PN10/16 R14 DUPLEX, WW</v>
      </c>
      <c r="S327" s="733" t="str">
        <f>'DICTIONARY-4'!$A$2</f>
        <v>WW</v>
      </c>
      <c r="T327" s="732" t="str">
        <f>'DICTIONARY-4'!$A$18</f>
        <v>Wolny wałek</v>
      </c>
      <c r="U327" s="734" t="s">
        <v>5572</v>
      </c>
      <c r="V327" s="735">
        <v>16</v>
      </c>
      <c r="W327" s="736"/>
      <c r="X327" s="737"/>
      <c r="Y327" s="738"/>
      <c r="Z327" s="739"/>
      <c r="AA327" s="739"/>
      <c r="AB327" s="740">
        <v>16</v>
      </c>
      <c r="AC327" s="741" t="str">
        <f>'DICTIONARY-5'!$A$11&amp;" 14"</f>
        <v>EN 558 szereg 14</v>
      </c>
      <c r="AD327" s="741" t="str">
        <f>'DICTIONARY-5'!$A$15</f>
        <v>woda morska</v>
      </c>
      <c r="AE327" s="742">
        <v>50</v>
      </c>
      <c r="AF327" s="743">
        <v>32.5</v>
      </c>
      <c r="AG327" s="741" t="str">
        <f>'DICTIONARY-5'!$A$23</f>
        <v>powłoka epoksydowa</v>
      </c>
    </row>
    <row r="328" spans="1:33" x14ac:dyDescent="0.25">
      <c r="A328" s="844" t="s">
        <v>5504</v>
      </c>
      <c r="B328" s="844" t="s">
        <v>5149</v>
      </c>
      <c r="C328" s="836">
        <v>674</v>
      </c>
      <c r="D328" s="836"/>
      <c r="E328" s="836"/>
      <c r="F328" s="836"/>
      <c r="G328" s="496" t="s">
        <v>7793</v>
      </c>
      <c r="H328" s="797" t="str">
        <f>VLOOKUP(G328,SETTINGS!$B$7:$D$97,2,0)</f>
        <v>EKOplus Sea Water</v>
      </c>
      <c r="I328" s="796">
        <f>VLOOKUP(G328,SETTINGS!$B$7:$D$97,3,0)</f>
        <v>0</v>
      </c>
      <c r="J328" s="670" t="str">
        <f>IFERROR(IF(CURRENCY.FORMAT_1=0,CONCATENATE(TEXT(FIXED(ROUND((C328/EXC.RATE_1),CURRENCY.FORMAT_1),CURRENCY.FORMAT_1,1),"# ##0;-# ##0"),",-"),FIXED(ROUND((C328/EXC.RATE_1),CURRENCY.FORMAT_1),CURRENCY.FORMAT_1,0)),'DICTIONARY-5'!$A$2)</f>
        <v>674,-</v>
      </c>
      <c r="K328" s="670" t="str">
        <f>IF(EXC.RATE_2=0,"",IFERROR(IF(CURRENCY.FORMAT_2=0,CONCATENATE(TEXT(FIXED(ROUND(IF(EXC.RATE.SWITCH=1,C328/EXC.RATE_2,C328*EXC.RATE_2),CURRENCY.FORMAT_2),CURRENCY.FORMAT_2,1),"# ##0;-# ##0"),",-"),FIXED(ROUND(IF(EXC.RATE.SWITCH=1,C328/EXC.RATE_2,C328*EXC.RATE_2),CURRENCY.FORMAT_2),CURRENCY.FORMAT_2,0)),'DICTIONARY-5'!$A$2))</f>
        <v/>
      </c>
      <c r="L328" s="670" t="str">
        <f>IFERROR(IF(CURRENCY.FORMAT_1=0,CONCATENATE(TEXT(FIXED(ROUND((C328*(1-I328)*(1-ADD.DISCOUNT)*(1+MAT.SURCHARGE)/EXC.RATE_1),CURRENCY.FORMAT_1),CURRENCY.FORMAT_1,1),"# ##0;-# ##0"),",-"),FIXED(ROUND((C328*(1-I328)*(1-ADD.DISCOUNT)*(1+MAT.SURCHARGE)/EXC.RATE_1),CURRENCY.FORMAT_1),CURRENCY.FORMAT_1,0)),'DICTIONARY-5'!$A$2)</f>
        <v>700,-</v>
      </c>
      <c r="M328" s="670" t="str">
        <f>IF(EXC.RATE_2=0,"",IFERROR(IF(CURRENCY.FORMAT_2=0,CONCATENATE(TEXT(FIXED(ROUND(IF(EXC.RATE.SWITCH=1,C328*(1-I328)*(1-ADD.DISCOUNT)*(1+MAT.SURCHARGE)/EXC.RATE_2,C328*(1-I328)*(1-ADD.DISCOUNT)*(1+MAT.SURCHARGE)*EXC.RATE_2),CURRENCY.FORMAT_2),CURRENCY.FORMAT_2,1),"# ##0;-# ##0"),",-"),FIXED(ROUND(IF(EXC.RATE.SWITCH=1,C328*(1-I328)*(1-ADD.DISCOUNT)*(1+MAT.SURCHARGE)/EXC.RATE_2,C328*(1-I328)*(1-ADD.DISCOUNT)*(1+MAT.SURCHARGE)*EXC.RATE_2),CURRENCY.FORMAT_2),CURRENCY.FORMAT_2,0)),'DICTIONARY-5'!$A$2))</f>
        <v/>
      </c>
      <c r="N328" s="544">
        <v>1</v>
      </c>
      <c r="O328" s="654"/>
      <c r="P328" s="731" t="str">
        <f>'DICTIONARY-3'!$A$2</f>
        <v>EKOplus</v>
      </c>
      <c r="Q328" s="732" t="str">
        <f>'DICTIONARY-3'!$A$187</f>
        <v>Zasuwa klinowa</v>
      </c>
      <c r="R328" s="732" t="str">
        <f>CONCATENATE('DICTIONARY-3'!$A$2," ",'DICTIONARY-6'!$A$3," ",'DICTIONARY-2'!$A$2,"200"," ",'DICTIONARY-2'!$A$3,"10"," ","R14"," ",'DICTIONARY-5'!$A$38,", ",'DICTIONARY-4'!$A$2)</f>
        <v>EKOplus Zasuwa DN200 PN10 R14 DUPLEX, WW</v>
      </c>
      <c r="S328" s="733" t="str">
        <f>'DICTIONARY-4'!$A$2</f>
        <v>WW</v>
      </c>
      <c r="T328" s="732" t="str">
        <f>'DICTIONARY-4'!$A$18</f>
        <v>Wolny wałek</v>
      </c>
      <c r="U328" s="734" t="s">
        <v>5750</v>
      </c>
      <c r="V328" s="735">
        <v>10</v>
      </c>
      <c r="W328" s="736"/>
      <c r="X328" s="737"/>
      <c r="Y328" s="738"/>
      <c r="Z328" s="739"/>
      <c r="AA328" s="739"/>
      <c r="AB328" s="740">
        <v>10</v>
      </c>
      <c r="AC328" s="741" t="str">
        <f>'DICTIONARY-5'!$A$11&amp;" 14"</f>
        <v>EN 558 szereg 14</v>
      </c>
      <c r="AD328" s="741" t="str">
        <f>'DICTIONARY-5'!$A$15</f>
        <v>woda morska</v>
      </c>
      <c r="AE328" s="742">
        <v>50</v>
      </c>
      <c r="AF328" s="743">
        <v>52.5</v>
      </c>
      <c r="AG328" s="741" t="str">
        <f>'DICTIONARY-5'!$A$23</f>
        <v>powłoka epoksydowa</v>
      </c>
    </row>
    <row r="329" spans="1:33" x14ac:dyDescent="0.25">
      <c r="A329" s="844" t="s">
        <v>5505</v>
      </c>
      <c r="B329" s="844" t="s">
        <v>5151</v>
      </c>
      <c r="C329" s="836">
        <v>676</v>
      </c>
      <c r="D329" s="836"/>
      <c r="E329" s="836"/>
      <c r="F329" s="836"/>
      <c r="G329" s="496" t="s">
        <v>7793</v>
      </c>
      <c r="H329" s="797" t="str">
        <f>VLOOKUP(G329,SETTINGS!$B$7:$D$97,2,0)</f>
        <v>EKOplus Sea Water</v>
      </c>
      <c r="I329" s="796">
        <f>VLOOKUP(G329,SETTINGS!$B$7:$D$97,3,0)</f>
        <v>0</v>
      </c>
      <c r="J329" s="670" t="str">
        <f>IFERROR(IF(CURRENCY.FORMAT_1=0,CONCATENATE(TEXT(FIXED(ROUND((C329/EXC.RATE_1),CURRENCY.FORMAT_1),CURRENCY.FORMAT_1,1),"# ##0;-# ##0"),",-"),FIXED(ROUND((C329/EXC.RATE_1),CURRENCY.FORMAT_1),CURRENCY.FORMAT_1,0)),'DICTIONARY-5'!$A$2)</f>
        <v>676,-</v>
      </c>
      <c r="K329" s="670" t="str">
        <f>IF(EXC.RATE_2=0,"",IFERROR(IF(CURRENCY.FORMAT_2=0,CONCATENATE(TEXT(FIXED(ROUND(IF(EXC.RATE.SWITCH=1,C329/EXC.RATE_2,C329*EXC.RATE_2),CURRENCY.FORMAT_2),CURRENCY.FORMAT_2,1),"# ##0;-# ##0"),",-"),FIXED(ROUND(IF(EXC.RATE.SWITCH=1,C329/EXC.RATE_2,C329*EXC.RATE_2),CURRENCY.FORMAT_2),CURRENCY.FORMAT_2,0)),'DICTIONARY-5'!$A$2))</f>
        <v/>
      </c>
      <c r="L329" s="670" t="str">
        <f>IFERROR(IF(CURRENCY.FORMAT_1=0,CONCATENATE(TEXT(FIXED(ROUND((C329*(1-I329)*(1-ADD.DISCOUNT)*(1+MAT.SURCHARGE)/EXC.RATE_1),CURRENCY.FORMAT_1),CURRENCY.FORMAT_1,1),"# ##0;-# ##0"),",-"),FIXED(ROUND((C329*(1-I329)*(1-ADD.DISCOUNT)*(1+MAT.SURCHARGE)/EXC.RATE_1),CURRENCY.FORMAT_1),CURRENCY.FORMAT_1,0)),'DICTIONARY-5'!$A$2)</f>
        <v>702,-</v>
      </c>
      <c r="M329" s="670" t="str">
        <f>IF(EXC.RATE_2=0,"",IFERROR(IF(CURRENCY.FORMAT_2=0,CONCATENATE(TEXT(FIXED(ROUND(IF(EXC.RATE.SWITCH=1,C329*(1-I329)*(1-ADD.DISCOUNT)*(1+MAT.SURCHARGE)/EXC.RATE_2,C329*(1-I329)*(1-ADD.DISCOUNT)*(1+MAT.SURCHARGE)*EXC.RATE_2),CURRENCY.FORMAT_2),CURRENCY.FORMAT_2,1),"# ##0;-# ##0"),",-"),FIXED(ROUND(IF(EXC.RATE.SWITCH=1,C329*(1-I329)*(1-ADD.DISCOUNT)*(1+MAT.SURCHARGE)/EXC.RATE_2,C329*(1-I329)*(1-ADD.DISCOUNT)*(1+MAT.SURCHARGE)*EXC.RATE_2),CURRENCY.FORMAT_2),CURRENCY.FORMAT_2,0)),'DICTIONARY-5'!$A$2))</f>
        <v/>
      </c>
      <c r="N329" s="544">
        <v>1</v>
      </c>
      <c r="O329" s="654"/>
      <c r="P329" s="731" t="str">
        <f>'DICTIONARY-3'!$A$2</f>
        <v>EKOplus</v>
      </c>
      <c r="Q329" s="732" t="str">
        <f>'DICTIONARY-3'!$A$187</f>
        <v>Zasuwa klinowa</v>
      </c>
      <c r="R329" s="732" t="str">
        <f>CONCATENATE('DICTIONARY-3'!$A$2," ",'DICTIONARY-6'!$A$3," ",'DICTIONARY-2'!$A$2,"200"," ",'DICTIONARY-2'!$A$3,"16"," ","R14"," ",'DICTIONARY-5'!$A$38,", ",'DICTIONARY-4'!$A$2)</f>
        <v>EKOplus Zasuwa DN200 PN16 R14 DUPLEX, WW</v>
      </c>
      <c r="S329" s="733" t="str">
        <f>'DICTIONARY-4'!$A$2</f>
        <v>WW</v>
      </c>
      <c r="T329" s="732" t="str">
        <f>'DICTIONARY-4'!$A$18</f>
        <v>Wolny wałek</v>
      </c>
      <c r="U329" s="734" t="s">
        <v>5750</v>
      </c>
      <c r="V329" s="735">
        <v>16</v>
      </c>
      <c r="W329" s="736"/>
      <c r="X329" s="737"/>
      <c r="Y329" s="738"/>
      <c r="Z329" s="739"/>
      <c r="AA329" s="739"/>
      <c r="AB329" s="740">
        <v>16</v>
      </c>
      <c r="AC329" s="741" t="str">
        <f>'DICTIONARY-5'!$A$11&amp;" 14"</f>
        <v>EN 558 szereg 14</v>
      </c>
      <c r="AD329" s="741" t="str">
        <f>'DICTIONARY-5'!$A$15</f>
        <v>woda morska</v>
      </c>
      <c r="AE329" s="742">
        <v>50</v>
      </c>
      <c r="AF329" s="743">
        <v>52.5</v>
      </c>
      <c r="AG329" s="741" t="str">
        <f>'DICTIONARY-5'!$A$23</f>
        <v>powłoka epoksydowa</v>
      </c>
    </row>
    <row r="330" spans="1:33" x14ac:dyDescent="0.25">
      <c r="A330" s="844" t="s">
        <v>5506</v>
      </c>
      <c r="B330" s="844" t="s">
        <v>5153</v>
      </c>
      <c r="C330" s="836">
        <v>1052</v>
      </c>
      <c r="D330" s="836"/>
      <c r="E330" s="836"/>
      <c r="F330" s="836"/>
      <c r="G330" s="496" t="s">
        <v>7793</v>
      </c>
      <c r="H330" s="797" t="str">
        <f>VLOOKUP(G330,SETTINGS!$B$7:$D$97,2,0)</f>
        <v>EKOplus Sea Water</v>
      </c>
      <c r="I330" s="796">
        <f>VLOOKUP(G330,SETTINGS!$B$7:$D$97,3,0)</f>
        <v>0</v>
      </c>
      <c r="J330" s="670" t="str">
        <f>IFERROR(IF(CURRENCY.FORMAT_1=0,CONCATENATE(TEXT(FIXED(ROUND((C330/EXC.RATE_1),CURRENCY.FORMAT_1),CURRENCY.FORMAT_1,1),"# ##0;-# ##0"),",-"),FIXED(ROUND((C330/EXC.RATE_1),CURRENCY.FORMAT_1),CURRENCY.FORMAT_1,0)),'DICTIONARY-5'!$A$2)</f>
        <v>1 052,-</v>
      </c>
      <c r="K330" s="670" t="str">
        <f>IF(EXC.RATE_2=0,"",IFERROR(IF(CURRENCY.FORMAT_2=0,CONCATENATE(TEXT(FIXED(ROUND(IF(EXC.RATE.SWITCH=1,C330/EXC.RATE_2,C330*EXC.RATE_2),CURRENCY.FORMAT_2),CURRENCY.FORMAT_2,1),"# ##0;-# ##0"),",-"),FIXED(ROUND(IF(EXC.RATE.SWITCH=1,C330/EXC.RATE_2,C330*EXC.RATE_2),CURRENCY.FORMAT_2),CURRENCY.FORMAT_2,0)),'DICTIONARY-5'!$A$2))</f>
        <v/>
      </c>
      <c r="L330" s="670" t="str">
        <f>IFERROR(IF(CURRENCY.FORMAT_1=0,CONCATENATE(TEXT(FIXED(ROUND((C330*(1-I330)*(1-ADD.DISCOUNT)*(1+MAT.SURCHARGE)/EXC.RATE_1),CURRENCY.FORMAT_1),CURRENCY.FORMAT_1,1),"# ##0;-# ##0"),",-"),FIXED(ROUND((C330*(1-I330)*(1-ADD.DISCOUNT)*(1+MAT.SURCHARGE)/EXC.RATE_1),CURRENCY.FORMAT_1),CURRENCY.FORMAT_1,0)),'DICTIONARY-5'!$A$2)</f>
        <v>1 093,-</v>
      </c>
      <c r="M330" s="670" t="str">
        <f>IF(EXC.RATE_2=0,"",IFERROR(IF(CURRENCY.FORMAT_2=0,CONCATENATE(TEXT(FIXED(ROUND(IF(EXC.RATE.SWITCH=1,C330*(1-I330)*(1-ADD.DISCOUNT)*(1+MAT.SURCHARGE)/EXC.RATE_2,C330*(1-I330)*(1-ADD.DISCOUNT)*(1+MAT.SURCHARGE)*EXC.RATE_2),CURRENCY.FORMAT_2),CURRENCY.FORMAT_2,1),"# ##0;-# ##0"),",-"),FIXED(ROUND(IF(EXC.RATE.SWITCH=1,C330*(1-I330)*(1-ADD.DISCOUNT)*(1+MAT.SURCHARGE)/EXC.RATE_2,C330*(1-I330)*(1-ADD.DISCOUNT)*(1+MAT.SURCHARGE)*EXC.RATE_2),CURRENCY.FORMAT_2),CURRENCY.FORMAT_2,0)),'DICTIONARY-5'!$A$2))</f>
        <v/>
      </c>
      <c r="N330" s="544">
        <v>1</v>
      </c>
      <c r="O330" s="654"/>
      <c r="P330" s="731" t="str">
        <f>'DICTIONARY-3'!$A$2</f>
        <v>EKOplus</v>
      </c>
      <c r="Q330" s="732" t="str">
        <f>'DICTIONARY-3'!$A$187</f>
        <v>Zasuwa klinowa</v>
      </c>
      <c r="R330" s="732" t="str">
        <f>CONCATENATE('DICTIONARY-3'!$A$2," ",'DICTIONARY-6'!$A$3," ",'DICTIONARY-2'!$A$2,"250"," ",'DICTIONARY-2'!$A$3,"10"," ","R14"," ",'DICTIONARY-5'!$A$38,", ",'DICTIONARY-4'!$A$2)</f>
        <v>EKOplus Zasuwa DN250 PN10 R14 DUPLEX, WW</v>
      </c>
      <c r="S330" s="733" t="str">
        <f>'DICTIONARY-4'!$A$2</f>
        <v>WW</v>
      </c>
      <c r="T330" s="732" t="str">
        <f>'DICTIONARY-4'!$A$18</f>
        <v>Wolny wałek</v>
      </c>
      <c r="U330" s="734" t="s">
        <v>5751</v>
      </c>
      <c r="V330" s="735">
        <v>10</v>
      </c>
      <c r="W330" s="736"/>
      <c r="X330" s="737"/>
      <c r="Y330" s="738"/>
      <c r="Z330" s="739"/>
      <c r="AA330" s="739"/>
      <c r="AB330" s="740">
        <v>10</v>
      </c>
      <c r="AC330" s="741" t="str">
        <f>'DICTIONARY-5'!$A$11&amp;" 14"</f>
        <v>EN 558 szereg 14</v>
      </c>
      <c r="AD330" s="741" t="str">
        <f>'DICTIONARY-5'!$A$15</f>
        <v>woda morska</v>
      </c>
      <c r="AE330" s="742">
        <v>50</v>
      </c>
      <c r="AF330" s="743">
        <v>87.5</v>
      </c>
      <c r="AG330" s="741" t="str">
        <f>'DICTIONARY-5'!$A$23</f>
        <v>powłoka epoksydowa</v>
      </c>
    </row>
    <row r="331" spans="1:33" x14ac:dyDescent="0.25">
      <c r="A331" s="844" t="s">
        <v>5507</v>
      </c>
      <c r="B331" s="844" t="s">
        <v>5155</v>
      </c>
      <c r="C331" s="836">
        <v>1053</v>
      </c>
      <c r="D331" s="836"/>
      <c r="E331" s="836"/>
      <c r="F331" s="836"/>
      <c r="G331" s="496" t="s">
        <v>7793</v>
      </c>
      <c r="H331" s="797" t="str">
        <f>VLOOKUP(G331,SETTINGS!$B$7:$D$97,2,0)</f>
        <v>EKOplus Sea Water</v>
      </c>
      <c r="I331" s="796">
        <f>VLOOKUP(G331,SETTINGS!$B$7:$D$97,3,0)</f>
        <v>0</v>
      </c>
      <c r="J331" s="670" t="str">
        <f>IFERROR(IF(CURRENCY.FORMAT_1=0,CONCATENATE(TEXT(FIXED(ROUND((C331/EXC.RATE_1),CURRENCY.FORMAT_1),CURRENCY.FORMAT_1,1),"# ##0;-# ##0"),",-"),FIXED(ROUND((C331/EXC.RATE_1),CURRENCY.FORMAT_1),CURRENCY.FORMAT_1,0)),'DICTIONARY-5'!$A$2)</f>
        <v>1 053,-</v>
      </c>
      <c r="K331" s="670" t="str">
        <f>IF(EXC.RATE_2=0,"",IFERROR(IF(CURRENCY.FORMAT_2=0,CONCATENATE(TEXT(FIXED(ROUND(IF(EXC.RATE.SWITCH=1,C331/EXC.RATE_2,C331*EXC.RATE_2),CURRENCY.FORMAT_2),CURRENCY.FORMAT_2,1),"# ##0;-# ##0"),",-"),FIXED(ROUND(IF(EXC.RATE.SWITCH=1,C331/EXC.RATE_2,C331*EXC.RATE_2),CURRENCY.FORMAT_2),CURRENCY.FORMAT_2,0)),'DICTIONARY-5'!$A$2))</f>
        <v/>
      </c>
      <c r="L331" s="670" t="str">
        <f>IFERROR(IF(CURRENCY.FORMAT_1=0,CONCATENATE(TEXT(FIXED(ROUND((C331*(1-I331)*(1-ADD.DISCOUNT)*(1+MAT.SURCHARGE)/EXC.RATE_1),CURRENCY.FORMAT_1),CURRENCY.FORMAT_1,1),"# ##0;-# ##0"),",-"),FIXED(ROUND((C331*(1-I331)*(1-ADD.DISCOUNT)*(1+MAT.SURCHARGE)/EXC.RATE_1),CURRENCY.FORMAT_1),CURRENCY.FORMAT_1,0)),'DICTIONARY-5'!$A$2)</f>
        <v>1 094,-</v>
      </c>
      <c r="M331" s="670" t="str">
        <f>IF(EXC.RATE_2=0,"",IFERROR(IF(CURRENCY.FORMAT_2=0,CONCATENATE(TEXT(FIXED(ROUND(IF(EXC.RATE.SWITCH=1,C331*(1-I331)*(1-ADD.DISCOUNT)*(1+MAT.SURCHARGE)/EXC.RATE_2,C331*(1-I331)*(1-ADD.DISCOUNT)*(1+MAT.SURCHARGE)*EXC.RATE_2),CURRENCY.FORMAT_2),CURRENCY.FORMAT_2,1),"# ##0;-# ##0"),",-"),FIXED(ROUND(IF(EXC.RATE.SWITCH=1,C331*(1-I331)*(1-ADD.DISCOUNT)*(1+MAT.SURCHARGE)/EXC.RATE_2,C331*(1-I331)*(1-ADD.DISCOUNT)*(1+MAT.SURCHARGE)*EXC.RATE_2),CURRENCY.FORMAT_2),CURRENCY.FORMAT_2,0)),'DICTIONARY-5'!$A$2))</f>
        <v/>
      </c>
      <c r="N331" s="544">
        <v>1</v>
      </c>
      <c r="O331" s="654"/>
      <c r="P331" s="731" t="str">
        <f>'DICTIONARY-3'!$A$2</f>
        <v>EKOplus</v>
      </c>
      <c r="Q331" s="732" t="str">
        <f>'DICTIONARY-3'!$A$187</f>
        <v>Zasuwa klinowa</v>
      </c>
      <c r="R331" s="732" t="str">
        <f>CONCATENATE('DICTIONARY-3'!$A$2," ",'DICTIONARY-6'!$A$3," ",'DICTIONARY-2'!$A$2,"250"," ",'DICTIONARY-2'!$A$3,"16"," ","R14"," ",'DICTIONARY-5'!$A$38,", ",'DICTIONARY-4'!$A$2)</f>
        <v>EKOplus Zasuwa DN250 PN16 R14 DUPLEX, WW</v>
      </c>
      <c r="S331" s="733" t="str">
        <f>'DICTIONARY-4'!$A$2</f>
        <v>WW</v>
      </c>
      <c r="T331" s="732" t="str">
        <f>'DICTIONARY-4'!$A$18</f>
        <v>Wolny wałek</v>
      </c>
      <c r="U331" s="734" t="s">
        <v>5751</v>
      </c>
      <c r="V331" s="735">
        <v>16</v>
      </c>
      <c r="W331" s="736"/>
      <c r="X331" s="737"/>
      <c r="Y331" s="738"/>
      <c r="Z331" s="739"/>
      <c r="AA331" s="739"/>
      <c r="AB331" s="740">
        <v>16</v>
      </c>
      <c r="AC331" s="741" t="str">
        <f>'DICTIONARY-5'!$A$11&amp;" 14"</f>
        <v>EN 558 szereg 14</v>
      </c>
      <c r="AD331" s="741" t="str">
        <f>'DICTIONARY-5'!$A$15</f>
        <v>woda morska</v>
      </c>
      <c r="AE331" s="742">
        <v>50</v>
      </c>
      <c r="AF331" s="743">
        <v>87</v>
      </c>
      <c r="AG331" s="741" t="str">
        <f>'DICTIONARY-5'!$A$23</f>
        <v>powłoka epoksydowa</v>
      </c>
    </row>
    <row r="332" spans="1:33" x14ac:dyDescent="0.25">
      <c r="A332" s="844" t="s">
        <v>5508</v>
      </c>
      <c r="B332" s="844" t="s">
        <v>5157</v>
      </c>
      <c r="C332" s="836">
        <v>1243</v>
      </c>
      <c r="D332" s="836"/>
      <c r="E332" s="836"/>
      <c r="F332" s="836"/>
      <c r="G332" s="496" t="s">
        <v>7793</v>
      </c>
      <c r="H332" s="797" t="str">
        <f>VLOOKUP(G332,SETTINGS!$B$7:$D$97,2,0)</f>
        <v>EKOplus Sea Water</v>
      </c>
      <c r="I332" s="796">
        <f>VLOOKUP(G332,SETTINGS!$B$7:$D$97,3,0)</f>
        <v>0</v>
      </c>
      <c r="J332" s="670" t="str">
        <f>IFERROR(IF(CURRENCY.FORMAT_1=0,CONCATENATE(TEXT(FIXED(ROUND((C332/EXC.RATE_1),CURRENCY.FORMAT_1),CURRENCY.FORMAT_1,1),"# ##0;-# ##0"),",-"),FIXED(ROUND((C332/EXC.RATE_1),CURRENCY.FORMAT_1),CURRENCY.FORMAT_1,0)),'DICTIONARY-5'!$A$2)</f>
        <v>1 243,-</v>
      </c>
      <c r="K332" s="670" t="str">
        <f>IF(EXC.RATE_2=0,"",IFERROR(IF(CURRENCY.FORMAT_2=0,CONCATENATE(TEXT(FIXED(ROUND(IF(EXC.RATE.SWITCH=1,C332/EXC.RATE_2,C332*EXC.RATE_2),CURRENCY.FORMAT_2),CURRENCY.FORMAT_2,1),"# ##0;-# ##0"),",-"),FIXED(ROUND(IF(EXC.RATE.SWITCH=1,C332/EXC.RATE_2,C332*EXC.RATE_2),CURRENCY.FORMAT_2),CURRENCY.FORMAT_2,0)),'DICTIONARY-5'!$A$2))</f>
        <v/>
      </c>
      <c r="L332" s="670" t="str">
        <f>IFERROR(IF(CURRENCY.FORMAT_1=0,CONCATENATE(TEXT(FIXED(ROUND((C332*(1-I332)*(1-ADD.DISCOUNT)*(1+MAT.SURCHARGE)/EXC.RATE_1),CURRENCY.FORMAT_1),CURRENCY.FORMAT_1,1),"# ##0;-# ##0"),",-"),FIXED(ROUND((C332*(1-I332)*(1-ADD.DISCOUNT)*(1+MAT.SURCHARGE)/EXC.RATE_1),CURRENCY.FORMAT_1),CURRENCY.FORMAT_1,0)),'DICTIONARY-5'!$A$2)</f>
        <v>1 291,-</v>
      </c>
      <c r="M332" s="670" t="str">
        <f>IF(EXC.RATE_2=0,"",IFERROR(IF(CURRENCY.FORMAT_2=0,CONCATENATE(TEXT(FIXED(ROUND(IF(EXC.RATE.SWITCH=1,C332*(1-I332)*(1-ADD.DISCOUNT)*(1+MAT.SURCHARGE)/EXC.RATE_2,C332*(1-I332)*(1-ADD.DISCOUNT)*(1+MAT.SURCHARGE)*EXC.RATE_2),CURRENCY.FORMAT_2),CURRENCY.FORMAT_2,1),"# ##0;-# ##0"),",-"),FIXED(ROUND(IF(EXC.RATE.SWITCH=1,C332*(1-I332)*(1-ADD.DISCOUNT)*(1+MAT.SURCHARGE)/EXC.RATE_2,C332*(1-I332)*(1-ADD.DISCOUNT)*(1+MAT.SURCHARGE)*EXC.RATE_2),CURRENCY.FORMAT_2),CURRENCY.FORMAT_2,0)),'DICTIONARY-5'!$A$2))</f>
        <v/>
      </c>
      <c r="N332" s="544">
        <v>1</v>
      </c>
      <c r="O332" s="654"/>
      <c r="P332" s="731" t="str">
        <f>'DICTIONARY-3'!$A$2</f>
        <v>EKOplus</v>
      </c>
      <c r="Q332" s="732" t="str">
        <f>'DICTIONARY-3'!$A$187</f>
        <v>Zasuwa klinowa</v>
      </c>
      <c r="R332" s="732" t="str">
        <f>CONCATENATE('DICTIONARY-3'!$A$2," ",'DICTIONARY-6'!$A$3," ",'DICTIONARY-2'!$A$2,"300"," ",'DICTIONARY-2'!$A$3,"10"," ","R14"," ",'DICTIONARY-5'!$A$38,", ",'DICTIONARY-4'!$A$2)</f>
        <v>EKOplus Zasuwa DN300 PN10 R14 DUPLEX, WW</v>
      </c>
      <c r="S332" s="733" t="str">
        <f>'DICTIONARY-4'!$A$2</f>
        <v>WW</v>
      </c>
      <c r="T332" s="732" t="str">
        <f>'DICTIONARY-4'!$A$18</f>
        <v>Wolny wałek</v>
      </c>
      <c r="U332" s="734" t="s">
        <v>5752</v>
      </c>
      <c r="V332" s="735">
        <v>10</v>
      </c>
      <c r="W332" s="736"/>
      <c r="X332" s="737"/>
      <c r="Y332" s="738"/>
      <c r="Z332" s="739"/>
      <c r="AA332" s="739"/>
      <c r="AB332" s="740">
        <v>10</v>
      </c>
      <c r="AC332" s="741" t="str">
        <f>'DICTIONARY-5'!$A$11&amp;" 14"</f>
        <v>EN 558 szereg 14</v>
      </c>
      <c r="AD332" s="741" t="str">
        <f>'DICTIONARY-5'!$A$15</f>
        <v>woda morska</v>
      </c>
      <c r="AE332" s="742">
        <v>50</v>
      </c>
      <c r="AF332" s="743">
        <v>114</v>
      </c>
      <c r="AG332" s="741" t="str">
        <f>'DICTIONARY-5'!$A$23</f>
        <v>powłoka epoksydowa</v>
      </c>
    </row>
    <row r="333" spans="1:33" x14ac:dyDescent="0.25">
      <c r="A333" s="844" t="s">
        <v>5509</v>
      </c>
      <c r="B333" s="844" t="s">
        <v>5159</v>
      </c>
      <c r="C333" s="836">
        <v>1233</v>
      </c>
      <c r="D333" s="836"/>
      <c r="E333" s="836"/>
      <c r="F333" s="836"/>
      <c r="G333" s="496" t="s">
        <v>7793</v>
      </c>
      <c r="H333" s="797" t="str">
        <f>VLOOKUP(G333,SETTINGS!$B$7:$D$97,2,0)</f>
        <v>EKOplus Sea Water</v>
      </c>
      <c r="I333" s="796">
        <f>VLOOKUP(G333,SETTINGS!$B$7:$D$97,3,0)</f>
        <v>0</v>
      </c>
      <c r="J333" s="670" t="str">
        <f>IFERROR(IF(CURRENCY.FORMAT_1=0,CONCATENATE(TEXT(FIXED(ROUND((C333/EXC.RATE_1),CURRENCY.FORMAT_1),CURRENCY.FORMAT_1,1),"# ##0;-# ##0"),",-"),FIXED(ROUND((C333/EXC.RATE_1),CURRENCY.FORMAT_1),CURRENCY.FORMAT_1,0)),'DICTIONARY-5'!$A$2)</f>
        <v>1 233,-</v>
      </c>
      <c r="K333" s="670" t="str">
        <f>IF(EXC.RATE_2=0,"",IFERROR(IF(CURRENCY.FORMAT_2=0,CONCATENATE(TEXT(FIXED(ROUND(IF(EXC.RATE.SWITCH=1,C333/EXC.RATE_2,C333*EXC.RATE_2),CURRENCY.FORMAT_2),CURRENCY.FORMAT_2,1),"# ##0;-# ##0"),",-"),FIXED(ROUND(IF(EXC.RATE.SWITCH=1,C333/EXC.RATE_2,C333*EXC.RATE_2),CURRENCY.FORMAT_2),CURRENCY.FORMAT_2,0)),'DICTIONARY-5'!$A$2))</f>
        <v/>
      </c>
      <c r="L333" s="670" t="str">
        <f>IFERROR(IF(CURRENCY.FORMAT_1=0,CONCATENATE(TEXT(FIXED(ROUND((C333*(1-I333)*(1-ADD.DISCOUNT)*(1+MAT.SURCHARGE)/EXC.RATE_1),CURRENCY.FORMAT_1),CURRENCY.FORMAT_1,1),"# ##0;-# ##0"),",-"),FIXED(ROUND((C333*(1-I333)*(1-ADD.DISCOUNT)*(1+MAT.SURCHARGE)/EXC.RATE_1),CURRENCY.FORMAT_1),CURRENCY.FORMAT_1,0)),'DICTIONARY-5'!$A$2)</f>
        <v>1 281,-</v>
      </c>
      <c r="M333" s="670" t="str">
        <f>IF(EXC.RATE_2=0,"",IFERROR(IF(CURRENCY.FORMAT_2=0,CONCATENATE(TEXT(FIXED(ROUND(IF(EXC.RATE.SWITCH=1,C333*(1-I333)*(1-ADD.DISCOUNT)*(1+MAT.SURCHARGE)/EXC.RATE_2,C333*(1-I333)*(1-ADD.DISCOUNT)*(1+MAT.SURCHARGE)*EXC.RATE_2),CURRENCY.FORMAT_2),CURRENCY.FORMAT_2,1),"# ##0;-# ##0"),",-"),FIXED(ROUND(IF(EXC.RATE.SWITCH=1,C333*(1-I333)*(1-ADD.DISCOUNT)*(1+MAT.SURCHARGE)/EXC.RATE_2,C333*(1-I333)*(1-ADD.DISCOUNT)*(1+MAT.SURCHARGE)*EXC.RATE_2),CURRENCY.FORMAT_2),CURRENCY.FORMAT_2,0)),'DICTIONARY-5'!$A$2))</f>
        <v/>
      </c>
      <c r="N333" s="544">
        <v>1</v>
      </c>
      <c r="O333" s="654"/>
      <c r="P333" s="731" t="str">
        <f>'DICTIONARY-3'!$A$2</f>
        <v>EKOplus</v>
      </c>
      <c r="Q333" s="732" t="str">
        <f>'DICTIONARY-3'!$A$187</f>
        <v>Zasuwa klinowa</v>
      </c>
      <c r="R333" s="732" t="str">
        <f>CONCATENATE('DICTIONARY-3'!$A$2," ",'DICTIONARY-6'!$A$3," ",'DICTIONARY-2'!$A$2,"300"," ",'DICTIONARY-2'!$A$3,"16"," ","R14"," ",'DICTIONARY-5'!$A$38,", ",'DICTIONARY-4'!$A$2)</f>
        <v>EKOplus Zasuwa DN300 PN16 R14 DUPLEX, WW</v>
      </c>
      <c r="S333" s="733" t="str">
        <f>'DICTIONARY-4'!$A$2</f>
        <v>WW</v>
      </c>
      <c r="T333" s="732" t="str">
        <f>'DICTIONARY-4'!$A$18</f>
        <v>Wolny wałek</v>
      </c>
      <c r="U333" s="734" t="s">
        <v>5752</v>
      </c>
      <c r="V333" s="735">
        <v>16</v>
      </c>
      <c r="W333" s="736"/>
      <c r="X333" s="737"/>
      <c r="Y333" s="738"/>
      <c r="Z333" s="739"/>
      <c r="AA333" s="739"/>
      <c r="AB333" s="740">
        <v>16</v>
      </c>
      <c r="AC333" s="741" t="str">
        <f>'DICTIONARY-5'!$A$11&amp;" 14"</f>
        <v>EN 558 szereg 14</v>
      </c>
      <c r="AD333" s="741" t="str">
        <f>'DICTIONARY-5'!$A$15</f>
        <v>woda morska</v>
      </c>
      <c r="AE333" s="742">
        <v>50</v>
      </c>
      <c r="AF333" s="743">
        <v>116</v>
      </c>
      <c r="AG333" s="741" t="str">
        <f>'DICTIONARY-5'!$A$23</f>
        <v>powłoka epoksydowa</v>
      </c>
    </row>
    <row r="334" spans="1:33" x14ac:dyDescent="0.25">
      <c r="A334" s="844" t="s">
        <v>5510</v>
      </c>
      <c r="B334" s="844" t="s">
        <v>5161</v>
      </c>
      <c r="C334" s="836">
        <v>2600</v>
      </c>
      <c r="D334" s="836"/>
      <c r="E334" s="836"/>
      <c r="F334" s="836"/>
      <c r="G334" s="496" t="s">
        <v>7793</v>
      </c>
      <c r="H334" s="797" t="str">
        <f>VLOOKUP(G334,SETTINGS!$B$7:$D$97,2,0)</f>
        <v>EKOplus Sea Water</v>
      </c>
      <c r="I334" s="796">
        <f>VLOOKUP(G334,SETTINGS!$B$7:$D$97,3,0)</f>
        <v>0</v>
      </c>
      <c r="J334" s="670" t="str">
        <f>IFERROR(IF(CURRENCY.FORMAT_1=0,CONCATENATE(TEXT(FIXED(ROUND((C334/EXC.RATE_1),CURRENCY.FORMAT_1),CURRENCY.FORMAT_1,1),"# ##0;-# ##0"),",-"),FIXED(ROUND((C334/EXC.RATE_1),CURRENCY.FORMAT_1),CURRENCY.FORMAT_1,0)),'DICTIONARY-5'!$A$2)</f>
        <v>2 600,-</v>
      </c>
      <c r="K334" s="670" t="str">
        <f>IF(EXC.RATE_2=0,"",IFERROR(IF(CURRENCY.FORMAT_2=0,CONCATENATE(TEXT(FIXED(ROUND(IF(EXC.RATE.SWITCH=1,C334/EXC.RATE_2,C334*EXC.RATE_2),CURRENCY.FORMAT_2),CURRENCY.FORMAT_2,1),"# ##0;-# ##0"),",-"),FIXED(ROUND(IF(EXC.RATE.SWITCH=1,C334/EXC.RATE_2,C334*EXC.RATE_2),CURRENCY.FORMAT_2),CURRENCY.FORMAT_2,0)),'DICTIONARY-5'!$A$2))</f>
        <v/>
      </c>
      <c r="L334" s="670" t="str">
        <f>IFERROR(IF(CURRENCY.FORMAT_1=0,CONCATENATE(TEXT(FIXED(ROUND((C334*(1-I334)*(1-ADD.DISCOUNT)*(1+MAT.SURCHARGE)/EXC.RATE_1),CURRENCY.FORMAT_1),CURRENCY.FORMAT_1,1),"# ##0;-# ##0"),",-"),FIXED(ROUND((C334*(1-I334)*(1-ADD.DISCOUNT)*(1+MAT.SURCHARGE)/EXC.RATE_1),CURRENCY.FORMAT_1),CURRENCY.FORMAT_1,0)),'DICTIONARY-5'!$A$2)</f>
        <v>2 701,-</v>
      </c>
      <c r="M334" s="670" t="str">
        <f>IF(EXC.RATE_2=0,"",IFERROR(IF(CURRENCY.FORMAT_2=0,CONCATENATE(TEXT(FIXED(ROUND(IF(EXC.RATE.SWITCH=1,C334*(1-I334)*(1-ADD.DISCOUNT)*(1+MAT.SURCHARGE)/EXC.RATE_2,C334*(1-I334)*(1-ADD.DISCOUNT)*(1+MAT.SURCHARGE)*EXC.RATE_2),CURRENCY.FORMAT_2),CURRENCY.FORMAT_2,1),"# ##0;-# ##0"),",-"),FIXED(ROUND(IF(EXC.RATE.SWITCH=1,C334*(1-I334)*(1-ADD.DISCOUNT)*(1+MAT.SURCHARGE)/EXC.RATE_2,C334*(1-I334)*(1-ADD.DISCOUNT)*(1+MAT.SURCHARGE)*EXC.RATE_2),CURRENCY.FORMAT_2),CURRENCY.FORMAT_2,0)),'DICTIONARY-5'!$A$2))</f>
        <v/>
      </c>
      <c r="N334" s="544">
        <v>1</v>
      </c>
      <c r="O334" s="654"/>
      <c r="P334" s="731" t="str">
        <f>'DICTIONARY-3'!$A$2</f>
        <v>EKOplus</v>
      </c>
      <c r="Q334" s="732" t="str">
        <f>'DICTIONARY-3'!$A$187</f>
        <v>Zasuwa klinowa</v>
      </c>
      <c r="R334" s="732" t="str">
        <f>CONCATENATE('DICTIONARY-3'!$A$2," ",'DICTIONARY-6'!$A$3," ",'DICTIONARY-2'!$A$2,"350"," ",'DICTIONARY-2'!$A$3,"10"," ","R14"," ",'DICTIONARY-5'!$A$38,", ",'DICTIONARY-4'!$A$2)</f>
        <v>EKOplus Zasuwa DN350 PN10 R14 DUPLEX, WW</v>
      </c>
      <c r="S334" s="733" t="str">
        <f>'DICTIONARY-4'!$A$2</f>
        <v>WW</v>
      </c>
      <c r="T334" s="732" t="str">
        <f>'DICTIONARY-4'!$A$18</f>
        <v>Wolny wałek</v>
      </c>
      <c r="U334" s="734" t="s">
        <v>5753</v>
      </c>
      <c r="V334" s="735">
        <v>10</v>
      </c>
      <c r="W334" s="736"/>
      <c r="X334" s="737"/>
      <c r="Y334" s="738"/>
      <c r="Z334" s="739"/>
      <c r="AA334" s="739"/>
      <c r="AB334" s="740">
        <v>10</v>
      </c>
      <c r="AC334" s="741" t="str">
        <f>'DICTIONARY-5'!$A$11&amp;" 14"</f>
        <v>EN 558 szereg 14</v>
      </c>
      <c r="AD334" s="741" t="str">
        <f>'DICTIONARY-5'!$A$15</f>
        <v>woda morska</v>
      </c>
      <c r="AE334" s="742">
        <v>50</v>
      </c>
      <c r="AF334" s="743">
        <v>259</v>
      </c>
      <c r="AG334" s="741" t="str">
        <f>'DICTIONARY-5'!$A$23</f>
        <v>powłoka epoksydowa</v>
      </c>
    </row>
    <row r="335" spans="1:33" x14ac:dyDescent="0.25">
      <c r="A335" s="844" t="s">
        <v>5511</v>
      </c>
      <c r="B335" s="844" t="s">
        <v>5163</v>
      </c>
      <c r="C335" s="836">
        <v>2525</v>
      </c>
      <c r="D335" s="836"/>
      <c r="E335" s="836"/>
      <c r="F335" s="836"/>
      <c r="G335" s="496" t="s">
        <v>7793</v>
      </c>
      <c r="H335" s="797" t="str">
        <f>VLOOKUP(G335,SETTINGS!$B$7:$D$97,2,0)</f>
        <v>EKOplus Sea Water</v>
      </c>
      <c r="I335" s="796">
        <f>VLOOKUP(G335,SETTINGS!$B$7:$D$97,3,0)</f>
        <v>0</v>
      </c>
      <c r="J335" s="670" t="str">
        <f>IFERROR(IF(CURRENCY.FORMAT_1=0,CONCATENATE(TEXT(FIXED(ROUND((C335/EXC.RATE_1),CURRENCY.FORMAT_1),CURRENCY.FORMAT_1,1),"# ##0;-# ##0"),",-"),FIXED(ROUND((C335/EXC.RATE_1),CURRENCY.FORMAT_1),CURRENCY.FORMAT_1,0)),'DICTIONARY-5'!$A$2)</f>
        <v>2 525,-</v>
      </c>
      <c r="K335" s="670" t="str">
        <f>IF(EXC.RATE_2=0,"",IFERROR(IF(CURRENCY.FORMAT_2=0,CONCATENATE(TEXT(FIXED(ROUND(IF(EXC.RATE.SWITCH=1,C335/EXC.RATE_2,C335*EXC.RATE_2),CURRENCY.FORMAT_2),CURRENCY.FORMAT_2,1),"# ##0;-# ##0"),",-"),FIXED(ROUND(IF(EXC.RATE.SWITCH=1,C335/EXC.RATE_2,C335*EXC.RATE_2),CURRENCY.FORMAT_2),CURRENCY.FORMAT_2,0)),'DICTIONARY-5'!$A$2))</f>
        <v/>
      </c>
      <c r="L335" s="670" t="str">
        <f>IFERROR(IF(CURRENCY.FORMAT_1=0,CONCATENATE(TEXT(FIXED(ROUND((C335*(1-I335)*(1-ADD.DISCOUNT)*(1+MAT.SURCHARGE)/EXC.RATE_1),CURRENCY.FORMAT_1),CURRENCY.FORMAT_1,1),"# ##0;-# ##0"),",-"),FIXED(ROUND((C335*(1-I335)*(1-ADD.DISCOUNT)*(1+MAT.SURCHARGE)/EXC.RATE_1),CURRENCY.FORMAT_1),CURRENCY.FORMAT_1,0)),'DICTIONARY-5'!$A$2)</f>
        <v>2 623,-</v>
      </c>
      <c r="M335" s="670" t="str">
        <f>IF(EXC.RATE_2=0,"",IFERROR(IF(CURRENCY.FORMAT_2=0,CONCATENATE(TEXT(FIXED(ROUND(IF(EXC.RATE.SWITCH=1,C335*(1-I335)*(1-ADD.DISCOUNT)*(1+MAT.SURCHARGE)/EXC.RATE_2,C335*(1-I335)*(1-ADD.DISCOUNT)*(1+MAT.SURCHARGE)*EXC.RATE_2),CURRENCY.FORMAT_2),CURRENCY.FORMAT_2,1),"# ##0;-# ##0"),",-"),FIXED(ROUND(IF(EXC.RATE.SWITCH=1,C335*(1-I335)*(1-ADD.DISCOUNT)*(1+MAT.SURCHARGE)/EXC.RATE_2,C335*(1-I335)*(1-ADD.DISCOUNT)*(1+MAT.SURCHARGE)*EXC.RATE_2),CURRENCY.FORMAT_2),CURRENCY.FORMAT_2,0)),'DICTIONARY-5'!$A$2))</f>
        <v/>
      </c>
      <c r="N335" s="544">
        <v>1</v>
      </c>
      <c r="O335" s="654"/>
      <c r="P335" s="731" t="str">
        <f>'DICTIONARY-3'!$A$2</f>
        <v>EKOplus</v>
      </c>
      <c r="Q335" s="732" t="str">
        <f>'DICTIONARY-3'!$A$187</f>
        <v>Zasuwa klinowa</v>
      </c>
      <c r="R335" s="732" t="str">
        <f>CONCATENATE('DICTIONARY-3'!$A$2," ",'DICTIONARY-6'!$A$3," ",'DICTIONARY-2'!$A$2,"350"," ",'DICTIONARY-2'!$A$3,"16"," ","R14"," ",'DICTIONARY-5'!$A$38,", ",'DICTIONARY-4'!$A$2)</f>
        <v>EKOplus Zasuwa DN350 PN16 R14 DUPLEX, WW</v>
      </c>
      <c r="S335" s="733" t="str">
        <f>'DICTIONARY-4'!$A$2</f>
        <v>WW</v>
      </c>
      <c r="T335" s="732" t="str">
        <f>'DICTIONARY-4'!$A$18</f>
        <v>Wolny wałek</v>
      </c>
      <c r="U335" s="734" t="s">
        <v>5753</v>
      </c>
      <c r="V335" s="735">
        <v>16</v>
      </c>
      <c r="W335" s="736"/>
      <c r="X335" s="737"/>
      <c r="Y335" s="738"/>
      <c r="Z335" s="739"/>
      <c r="AA335" s="739"/>
      <c r="AB335" s="740">
        <v>16</v>
      </c>
      <c r="AC335" s="741" t="str">
        <f>'DICTIONARY-5'!$A$11&amp;" 14"</f>
        <v>EN 558 szereg 14</v>
      </c>
      <c r="AD335" s="741" t="str">
        <f>'DICTIONARY-5'!$A$15</f>
        <v>woda morska</v>
      </c>
      <c r="AE335" s="742">
        <v>50</v>
      </c>
      <c r="AF335" s="743">
        <v>247</v>
      </c>
      <c r="AG335" s="741" t="str">
        <f>'DICTIONARY-5'!$A$23</f>
        <v>powłoka epoksydowa</v>
      </c>
    </row>
    <row r="336" spans="1:33" x14ac:dyDescent="0.25">
      <c r="A336" s="844" t="s">
        <v>5512</v>
      </c>
      <c r="B336" s="844" t="s">
        <v>5165</v>
      </c>
      <c r="C336" s="836">
        <v>3585</v>
      </c>
      <c r="D336" s="836"/>
      <c r="E336" s="836"/>
      <c r="F336" s="836"/>
      <c r="G336" s="496" t="s">
        <v>7793</v>
      </c>
      <c r="H336" s="797" t="str">
        <f>VLOOKUP(G336,SETTINGS!$B$7:$D$97,2,0)</f>
        <v>EKOplus Sea Water</v>
      </c>
      <c r="I336" s="796">
        <f>VLOOKUP(G336,SETTINGS!$B$7:$D$97,3,0)</f>
        <v>0</v>
      </c>
      <c r="J336" s="670" t="str">
        <f>IFERROR(IF(CURRENCY.FORMAT_1=0,CONCATENATE(TEXT(FIXED(ROUND((C336/EXC.RATE_1),CURRENCY.FORMAT_1),CURRENCY.FORMAT_1,1),"# ##0;-# ##0"),",-"),FIXED(ROUND((C336/EXC.RATE_1),CURRENCY.FORMAT_1),CURRENCY.FORMAT_1,0)),'DICTIONARY-5'!$A$2)</f>
        <v>3 585,-</v>
      </c>
      <c r="K336" s="670" t="str">
        <f>IF(EXC.RATE_2=0,"",IFERROR(IF(CURRENCY.FORMAT_2=0,CONCATENATE(TEXT(FIXED(ROUND(IF(EXC.RATE.SWITCH=1,C336/EXC.RATE_2,C336*EXC.RATE_2),CURRENCY.FORMAT_2),CURRENCY.FORMAT_2,1),"# ##0;-# ##0"),",-"),FIXED(ROUND(IF(EXC.RATE.SWITCH=1,C336/EXC.RATE_2,C336*EXC.RATE_2),CURRENCY.FORMAT_2),CURRENCY.FORMAT_2,0)),'DICTIONARY-5'!$A$2))</f>
        <v/>
      </c>
      <c r="L336" s="670" t="str">
        <f>IFERROR(IF(CURRENCY.FORMAT_1=0,CONCATENATE(TEXT(FIXED(ROUND((C336*(1-I336)*(1-ADD.DISCOUNT)*(1+MAT.SURCHARGE)/EXC.RATE_1),CURRENCY.FORMAT_1),CURRENCY.FORMAT_1,1),"# ##0;-# ##0"),",-"),FIXED(ROUND((C336*(1-I336)*(1-ADD.DISCOUNT)*(1+MAT.SURCHARGE)/EXC.RATE_1),CURRENCY.FORMAT_1),CURRENCY.FORMAT_1,0)),'DICTIONARY-5'!$A$2)</f>
        <v>3 725,-</v>
      </c>
      <c r="M336" s="670" t="str">
        <f>IF(EXC.RATE_2=0,"",IFERROR(IF(CURRENCY.FORMAT_2=0,CONCATENATE(TEXT(FIXED(ROUND(IF(EXC.RATE.SWITCH=1,C336*(1-I336)*(1-ADD.DISCOUNT)*(1+MAT.SURCHARGE)/EXC.RATE_2,C336*(1-I336)*(1-ADD.DISCOUNT)*(1+MAT.SURCHARGE)*EXC.RATE_2),CURRENCY.FORMAT_2),CURRENCY.FORMAT_2,1),"# ##0;-# ##0"),",-"),FIXED(ROUND(IF(EXC.RATE.SWITCH=1,C336*(1-I336)*(1-ADD.DISCOUNT)*(1+MAT.SURCHARGE)/EXC.RATE_2,C336*(1-I336)*(1-ADD.DISCOUNT)*(1+MAT.SURCHARGE)*EXC.RATE_2),CURRENCY.FORMAT_2),CURRENCY.FORMAT_2,0)),'DICTIONARY-5'!$A$2))</f>
        <v/>
      </c>
      <c r="N336" s="544">
        <v>1</v>
      </c>
      <c r="O336" s="654"/>
      <c r="P336" s="731" t="str">
        <f>'DICTIONARY-3'!$A$2</f>
        <v>EKOplus</v>
      </c>
      <c r="Q336" s="732" t="str">
        <f>'DICTIONARY-3'!$A$187</f>
        <v>Zasuwa klinowa</v>
      </c>
      <c r="R336" s="732" t="str">
        <f>CONCATENATE('DICTIONARY-3'!$A$2," ",'DICTIONARY-6'!$A$3," ",'DICTIONARY-2'!$A$2,"400"," ",'DICTIONARY-2'!$A$3,"10"," ","R14"," ",'DICTIONARY-5'!$A$38,", ",'DICTIONARY-4'!$A$2)</f>
        <v>EKOplus Zasuwa DN400 PN10 R14 DUPLEX, WW</v>
      </c>
      <c r="S336" s="733" t="str">
        <f>'DICTIONARY-4'!$A$2</f>
        <v>WW</v>
      </c>
      <c r="T336" s="732" t="str">
        <f>'DICTIONARY-4'!$A$18</f>
        <v>Wolny wałek</v>
      </c>
      <c r="U336" s="734" t="s">
        <v>5754</v>
      </c>
      <c r="V336" s="735">
        <v>10</v>
      </c>
      <c r="W336" s="736"/>
      <c r="X336" s="737"/>
      <c r="Y336" s="738"/>
      <c r="Z336" s="739"/>
      <c r="AA336" s="739"/>
      <c r="AB336" s="740">
        <v>10</v>
      </c>
      <c r="AC336" s="741" t="str">
        <f>'DICTIONARY-5'!$A$11&amp;" 14"</f>
        <v>EN 558 szereg 14</v>
      </c>
      <c r="AD336" s="741" t="str">
        <f>'DICTIONARY-5'!$A$15</f>
        <v>woda morska</v>
      </c>
      <c r="AE336" s="742">
        <v>50</v>
      </c>
      <c r="AF336" s="743">
        <v>311</v>
      </c>
      <c r="AG336" s="741" t="str">
        <f>'DICTIONARY-5'!$A$23</f>
        <v>powłoka epoksydowa</v>
      </c>
    </row>
    <row r="337" spans="1:33" x14ac:dyDescent="0.25">
      <c r="A337" s="844" t="s">
        <v>5513</v>
      </c>
      <c r="B337" s="844" t="s">
        <v>5167</v>
      </c>
      <c r="C337" s="836">
        <v>3543</v>
      </c>
      <c r="D337" s="836"/>
      <c r="E337" s="836"/>
      <c r="F337" s="836"/>
      <c r="G337" s="496" t="s">
        <v>7793</v>
      </c>
      <c r="H337" s="797" t="str">
        <f>VLOOKUP(G337,SETTINGS!$B$7:$D$97,2,0)</f>
        <v>EKOplus Sea Water</v>
      </c>
      <c r="I337" s="796">
        <f>VLOOKUP(G337,SETTINGS!$B$7:$D$97,3,0)</f>
        <v>0</v>
      </c>
      <c r="J337" s="670" t="str">
        <f>IFERROR(IF(CURRENCY.FORMAT_1=0,CONCATENATE(TEXT(FIXED(ROUND((C337/EXC.RATE_1),CURRENCY.FORMAT_1),CURRENCY.FORMAT_1,1),"# ##0;-# ##0"),",-"),FIXED(ROUND((C337/EXC.RATE_1),CURRENCY.FORMAT_1),CURRENCY.FORMAT_1,0)),'DICTIONARY-5'!$A$2)</f>
        <v>3 543,-</v>
      </c>
      <c r="K337" s="670" t="str">
        <f>IF(EXC.RATE_2=0,"",IFERROR(IF(CURRENCY.FORMAT_2=0,CONCATENATE(TEXT(FIXED(ROUND(IF(EXC.RATE.SWITCH=1,C337/EXC.RATE_2,C337*EXC.RATE_2),CURRENCY.FORMAT_2),CURRENCY.FORMAT_2,1),"# ##0;-# ##0"),",-"),FIXED(ROUND(IF(EXC.RATE.SWITCH=1,C337/EXC.RATE_2,C337*EXC.RATE_2),CURRENCY.FORMAT_2),CURRENCY.FORMAT_2,0)),'DICTIONARY-5'!$A$2))</f>
        <v/>
      </c>
      <c r="L337" s="670" t="str">
        <f>IFERROR(IF(CURRENCY.FORMAT_1=0,CONCATENATE(TEXT(FIXED(ROUND((C337*(1-I337)*(1-ADD.DISCOUNT)*(1+MAT.SURCHARGE)/EXC.RATE_1),CURRENCY.FORMAT_1),CURRENCY.FORMAT_1,1),"# ##0;-# ##0"),",-"),FIXED(ROUND((C337*(1-I337)*(1-ADD.DISCOUNT)*(1+MAT.SURCHARGE)/EXC.RATE_1),CURRENCY.FORMAT_1),CURRENCY.FORMAT_1,0)),'DICTIONARY-5'!$A$2)</f>
        <v>3 681,-</v>
      </c>
      <c r="M337" s="670" t="str">
        <f>IF(EXC.RATE_2=0,"",IFERROR(IF(CURRENCY.FORMAT_2=0,CONCATENATE(TEXT(FIXED(ROUND(IF(EXC.RATE.SWITCH=1,C337*(1-I337)*(1-ADD.DISCOUNT)*(1+MAT.SURCHARGE)/EXC.RATE_2,C337*(1-I337)*(1-ADD.DISCOUNT)*(1+MAT.SURCHARGE)*EXC.RATE_2),CURRENCY.FORMAT_2),CURRENCY.FORMAT_2,1),"# ##0;-# ##0"),",-"),FIXED(ROUND(IF(EXC.RATE.SWITCH=1,C337*(1-I337)*(1-ADD.DISCOUNT)*(1+MAT.SURCHARGE)/EXC.RATE_2,C337*(1-I337)*(1-ADD.DISCOUNT)*(1+MAT.SURCHARGE)*EXC.RATE_2),CURRENCY.FORMAT_2),CURRENCY.FORMAT_2,0)),'DICTIONARY-5'!$A$2))</f>
        <v/>
      </c>
      <c r="N337" s="544">
        <v>1</v>
      </c>
      <c r="O337" s="654"/>
      <c r="P337" s="731" t="str">
        <f>'DICTIONARY-3'!$A$2</f>
        <v>EKOplus</v>
      </c>
      <c r="Q337" s="732" t="str">
        <f>'DICTIONARY-3'!$A$187</f>
        <v>Zasuwa klinowa</v>
      </c>
      <c r="R337" s="732" t="str">
        <f>CONCATENATE('DICTIONARY-3'!$A$2," ",'DICTIONARY-6'!$A$3," ",'DICTIONARY-2'!$A$2,"400"," ",'DICTIONARY-2'!$A$3,"16"," ","R14"," ",'DICTIONARY-5'!$A$38,", ",'DICTIONARY-4'!$A$2)</f>
        <v>EKOplus Zasuwa DN400 PN16 R14 DUPLEX, WW</v>
      </c>
      <c r="S337" s="733" t="str">
        <f>'DICTIONARY-4'!$A$2</f>
        <v>WW</v>
      </c>
      <c r="T337" s="732" t="str">
        <f>'DICTIONARY-4'!$A$18</f>
        <v>Wolny wałek</v>
      </c>
      <c r="U337" s="734" t="s">
        <v>5754</v>
      </c>
      <c r="V337" s="735">
        <v>16</v>
      </c>
      <c r="W337" s="736"/>
      <c r="X337" s="737"/>
      <c r="Y337" s="738"/>
      <c r="Z337" s="739"/>
      <c r="AA337" s="739"/>
      <c r="AB337" s="740">
        <v>16</v>
      </c>
      <c r="AC337" s="741" t="str">
        <f>'DICTIONARY-5'!$A$11&amp;" 14"</f>
        <v>EN 558 szereg 14</v>
      </c>
      <c r="AD337" s="741" t="str">
        <f>'DICTIONARY-5'!$A$15</f>
        <v>woda morska</v>
      </c>
      <c r="AE337" s="742">
        <v>50</v>
      </c>
      <c r="AF337" s="743">
        <v>310</v>
      </c>
      <c r="AG337" s="741" t="str">
        <f>'DICTIONARY-5'!$A$23</f>
        <v>powłoka epoksydowa</v>
      </c>
    </row>
    <row r="338" spans="1:33" x14ac:dyDescent="0.25">
      <c r="A338" s="844" t="s">
        <v>5514</v>
      </c>
      <c r="B338" s="844" t="s">
        <v>5169</v>
      </c>
      <c r="C338" s="836">
        <v>5512</v>
      </c>
      <c r="D338" s="836"/>
      <c r="E338" s="836"/>
      <c r="F338" s="836"/>
      <c r="G338" s="496" t="s">
        <v>7793</v>
      </c>
      <c r="H338" s="797" t="str">
        <f>VLOOKUP(G338,SETTINGS!$B$7:$D$97,2,0)</f>
        <v>EKOplus Sea Water</v>
      </c>
      <c r="I338" s="796">
        <f>VLOOKUP(G338,SETTINGS!$B$7:$D$97,3,0)</f>
        <v>0</v>
      </c>
      <c r="J338" s="670" t="str">
        <f>IFERROR(IF(CURRENCY.FORMAT_1=0,CONCATENATE(TEXT(FIXED(ROUND((C338/EXC.RATE_1),CURRENCY.FORMAT_1),CURRENCY.FORMAT_1,1),"# ##0;-# ##0"),",-"),FIXED(ROUND((C338/EXC.RATE_1),CURRENCY.FORMAT_1),CURRENCY.FORMAT_1,0)),'DICTIONARY-5'!$A$2)</f>
        <v>5 512,-</v>
      </c>
      <c r="K338" s="670" t="str">
        <f>IF(EXC.RATE_2=0,"",IFERROR(IF(CURRENCY.FORMAT_2=0,CONCATENATE(TEXT(FIXED(ROUND(IF(EXC.RATE.SWITCH=1,C338/EXC.RATE_2,C338*EXC.RATE_2),CURRENCY.FORMAT_2),CURRENCY.FORMAT_2,1),"# ##0;-# ##0"),",-"),FIXED(ROUND(IF(EXC.RATE.SWITCH=1,C338/EXC.RATE_2,C338*EXC.RATE_2),CURRENCY.FORMAT_2),CURRENCY.FORMAT_2,0)),'DICTIONARY-5'!$A$2))</f>
        <v/>
      </c>
      <c r="L338" s="670" t="str">
        <f>IFERROR(IF(CURRENCY.FORMAT_1=0,CONCATENATE(TEXT(FIXED(ROUND((C338*(1-I338)*(1-ADD.DISCOUNT)*(1+MAT.SURCHARGE)/EXC.RATE_1),CURRENCY.FORMAT_1),CURRENCY.FORMAT_1,1),"# ##0;-# ##0"),",-"),FIXED(ROUND((C338*(1-I338)*(1-ADD.DISCOUNT)*(1+MAT.SURCHARGE)/EXC.RATE_1),CURRENCY.FORMAT_1),CURRENCY.FORMAT_1,0)),'DICTIONARY-5'!$A$2)</f>
        <v>5 727,-</v>
      </c>
      <c r="M338" s="670" t="str">
        <f>IF(EXC.RATE_2=0,"",IFERROR(IF(CURRENCY.FORMAT_2=0,CONCATENATE(TEXT(FIXED(ROUND(IF(EXC.RATE.SWITCH=1,C338*(1-I338)*(1-ADD.DISCOUNT)*(1+MAT.SURCHARGE)/EXC.RATE_2,C338*(1-I338)*(1-ADD.DISCOUNT)*(1+MAT.SURCHARGE)*EXC.RATE_2),CURRENCY.FORMAT_2),CURRENCY.FORMAT_2,1),"# ##0;-# ##0"),",-"),FIXED(ROUND(IF(EXC.RATE.SWITCH=1,C338*(1-I338)*(1-ADD.DISCOUNT)*(1+MAT.SURCHARGE)/EXC.RATE_2,C338*(1-I338)*(1-ADD.DISCOUNT)*(1+MAT.SURCHARGE)*EXC.RATE_2),CURRENCY.FORMAT_2),CURRENCY.FORMAT_2,0)),'DICTIONARY-5'!$A$2))</f>
        <v/>
      </c>
      <c r="N338" s="544">
        <v>1</v>
      </c>
      <c r="O338" s="654"/>
      <c r="P338" s="731" t="str">
        <f>'DICTIONARY-3'!$A$2</f>
        <v>EKOplus</v>
      </c>
      <c r="Q338" s="732" t="str">
        <f>'DICTIONARY-3'!$A$187</f>
        <v>Zasuwa klinowa</v>
      </c>
      <c r="R338" s="732" t="str">
        <f>CONCATENATE('DICTIONARY-3'!$A$2," ",'DICTIONARY-6'!$A$3," ",'DICTIONARY-2'!$A$2,"500"," ",'DICTIONARY-2'!$A$3,"10"," ","R14"," ",'DICTIONARY-5'!$A$38,", ",'DICTIONARY-4'!$A$2)</f>
        <v>EKOplus Zasuwa DN500 PN10 R14 DUPLEX, WW</v>
      </c>
      <c r="S338" s="733" t="str">
        <f>'DICTIONARY-4'!$A$2</f>
        <v>WW</v>
      </c>
      <c r="T338" s="732" t="str">
        <f>'DICTIONARY-4'!$A$18</f>
        <v>Wolny wałek</v>
      </c>
      <c r="U338" s="734" t="s">
        <v>5756</v>
      </c>
      <c r="V338" s="735">
        <v>10</v>
      </c>
      <c r="W338" s="736"/>
      <c r="X338" s="737"/>
      <c r="Y338" s="738"/>
      <c r="Z338" s="739"/>
      <c r="AA338" s="739"/>
      <c r="AB338" s="740">
        <v>10</v>
      </c>
      <c r="AC338" s="741" t="str">
        <f>'DICTIONARY-5'!$A$11&amp;" 14"</f>
        <v>EN 558 szereg 14</v>
      </c>
      <c r="AD338" s="741" t="str">
        <f>'DICTIONARY-5'!$A$15</f>
        <v>woda morska</v>
      </c>
      <c r="AE338" s="742">
        <v>50</v>
      </c>
      <c r="AF338" s="743">
        <v>465</v>
      </c>
      <c r="AG338" s="741" t="str">
        <f>'DICTIONARY-5'!$A$23</f>
        <v>powłoka epoksydowa</v>
      </c>
    </row>
    <row r="339" spans="1:33" x14ac:dyDescent="0.25">
      <c r="A339" s="844" t="s">
        <v>5515</v>
      </c>
      <c r="B339" s="844" t="s">
        <v>5171</v>
      </c>
      <c r="C339" s="836">
        <v>5690</v>
      </c>
      <c r="D339" s="836"/>
      <c r="E339" s="836"/>
      <c r="F339" s="836"/>
      <c r="G339" s="496" t="s">
        <v>7793</v>
      </c>
      <c r="H339" s="797" t="str">
        <f>VLOOKUP(G339,SETTINGS!$B$7:$D$97,2,0)</f>
        <v>EKOplus Sea Water</v>
      </c>
      <c r="I339" s="796">
        <f>VLOOKUP(G339,SETTINGS!$B$7:$D$97,3,0)</f>
        <v>0</v>
      </c>
      <c r="J339" s="670" t="str">
        <f>IFERROR(IF(CURRENCY.FORMAT_1=0,CONCATENATE(TEXT(FIXED(ROUND((C339/EXC.RATE_1),CURRENCY.FORMAT_1),CURRENCY.FORMAT_1,1),"# ##0;-# ##0"),",-"),FIXED(ROUND((C339/EXC.RATE_1),CURRENCY.FORMAT_1),CURRENCY.FORMAT_1,0)),'DICTIONARY-5'!$A$2)</f>
        <v>5 690,-</v>
      </c>
      <c r="K339" s="670" t="str">
        <f>IF(EXC.RATE_2=0,"",IFERROR(IF(CURRENCY.FORMAT_2=0,CONCATENATE(TEXT(FIXED(ROUND(IF(EXC.RATE.SWITCH=1,C339/EXC.RATE_2,C339*EXC.RATE_2),CURRENCY.FORMAT_2),CURRENCY.FORMAT_2,1),"# ##0;-# ##0"),",-"),FIXED(ROUND(IF(EXC.RATE.SWITCH=1,C339/EXC.RATE_2,C339*EXC.RATE_2),CURRENCY.FORMAT_2),CURRENCY.FORMAT_2,0)),'DICTIONARY-5'!$A$2))</f>
        <v/>
      </c>
      <c r="L339" s="670" t="str">
        <f>IFERROR(IF(CURRENCY.FORMAT_1=0,CONCATENATE(TEXT(FIXED(ROUND((C339*(1-I339)*(1-ADD.DISCOUNT)*(1+MAT.SURCHARGE)/EXC.RATE_1),CURRENCY.FORMAT_1),CURRENCY.FORMAT_1,1),"# ##0;-# ##0"),",-"),FIXED(ROUND((C339*(1-I339)*(1-ADD.DISCOUNT)*(1+MAT.SURCHARGE)/EXC.RATE_1),CURRENCY.FORMAT_1),CURRENCY.FORMAT_1,0)),'DICTIONARY-5'!$A$2)</f>
        <v>5 912,-</v>
      </c>
      <c r="M339" s="670" t="str">
        <f>IF(EXC.RATE_2=0,"",IFERROR(IF(CURRENCY.FORMAT_2=0,CONCATENATE(TEXT(FIXED(ROUND(IF(EXC.RATE.SWITCH=1,C339*(1-I339)*(1-ADD.DISCOUNT)*(1+MAT.SURCHARGE)/EXC.RATE_2,C339*(1-I339)*(1-ADD.DISCOUNT)*(1+MAT.SURCHARGE)*EXC.RATE_2),CURRENCY.FORMAT_2),CURRENCY.FORMAT_2,1),"# ##0;-# ##0"),",-"),FIXED(ROUND(IF(EXC.RATE.SWITCH=1,C339*(1-I339)*(1-ADD.DISCOUNT)*(1+MAT.SURCHARGE)/EXC.RATE_2,C339*(1-I339)*(1-ADD.DISCOUNT)*(1+MAT.SURCHARGE)*EXC.RATE_2),CURRENCY.FORMAT_2),CURRENCY.FORMAT_2,0)),'DICTIONARY-5'!$A$2))</f>
        <v/>
      </c>
      <c r="N339" s="544">
        <v>1</v>
      </c>
      <c r="O339" s="654"/>
      <c r="P339" s="731" t="str">
        <f>'DICTIONARY-3'!$A$2</f>
        <v>EKOplus</v>
      </c>
      <c r="Q339" s="732" t="str">
        <f>'DICTIONARY-3'!$A$187</f>
        <v>Zasuwa klinowa</v>
      </c>
      <c r="R339" s="732" t="str">
        <f>CONCATENATE('DICTIONARY-3'!$A$2," ",'DICTIONARY-6'!$A$3," ",'DICTIONARY-2'!$A$2,"500"," ",'DICTIONARY-2'!$A$3,"16"," ","R14"," ",'DICTIONARY-5'!$A$38,", ",'DICTIONARY-4'!$A$2)</f>
        <v>EKOplus Zasuwa DN500 PN16 R14 DUPLEX, WW</v>
      </c>
      <c r="S339" s="733" t="str">
        <f>'DICTIONARY-4'!$A$2</f>
        <v>WW</v>
      </c>
      <c r="T339" s="732" t="str">
        <f>'DICTIONARY-4'!$A$18</f>
        <v>Wolny wałek</v>
      </c>
      <c r="U339" s="734" t="s">
        <v>5756</v>
      </c>
      <c r="V339" s="735">
        <v>16</v>
      </c>
      <c r="W339" s="736"/>
      <c r="X339" s="737"/>
      <c r="Y339" s="738"/>
      <c r="Z339" s="739"/>
      <c r="AA339" s="739"/>
      <c r="AB339" s="740">
        <v>16</v>
      </c>
      <c r="AC339" s="741" t="str">
        <f>'DICTIONARY-5'!$A$11&amp;" 14"</f>
        <v>EN 558 szereg 14</v>
      </c>
      <c r="AD339" s="741" t="str">
        <f>'DICTIONARY-5'!$A$15</f>
        <v>woda morska</v>
      </c>
      <c r="AE339" s="742">
        <v>50</v>
      </c>
      <c r="AF339" s="743">
        <v>467</v>
      </c>
      <c r="AG339" s="741" t="str">
        <f>'DICTIONARY-5'!$A$23</f>
        <v>powłoka epoksydowa</v>
      </c>
    </row>
    <row r="340" spans="1:33" x14ac:dyDescent="0.25">
      <c r="A340" s="844" t="s">
        <v>5516</v>
      </c>
      <c r="B340" s="844" t="s">
        <v>5174</v>
      </c>
      <c r="C340" s="836">
        <v>10794</v>
      </c>
      <c r="D340" s="836"/>
      <c r="E340" s="836"/>
      <c r="F340" s="836"/>
      <c r="G340" s="496" t="s">
        <v>7793</v>
      </c>
      <c r="H340" s="797" t="str">
        <f>VLOOKUP(G340,SETTINGS!$B$7:$D$97,2,0)</f>
        <v>EKOplus Sea Water</v>
      </c>
      <c r="I340" s="796">
        <f>VLOOKUP(G340,SETTINGS!$B$7:$D$97,3,0)</f>
        <v>0</v>
      </c>
      <c r="J340" s="670" t="str">
        <f>IFERROR(IF(CURRENCY.FORMAT_1=0,CONCATENATE(TEXT(FIXED(ROUND((C340/EXC.RATE_1),CURRENCY.FORMAT_1),CURRENCY.FORMAT_1,1),"# ##0;-# ##0"),",-"),FIXED(ROUND((C340/EXC.RATE_1),CURRENCY.FORMAT_1),CURRENCY.FORMAT_1,0)),'DICTIONARY-5'!$A$2)</f>
        <v>10 794,-</v>
      </c>
      <c r="K340" s="670" t="str">
        <f>IF(EXC.RATE_2=0,"",IFERROR(IF(CURRENCY.FORMAT_2=0,CONCATENATE(TEXT(FIXED(ROUND(IF(EXC.RATE.SWITCH=1,C340/EXC.RATE_2,C340*EXC.RATE_2),CURRENCY.FORMAT_2),CURRENCY.FORMAT_2,1),"# ##0;-# ##0"),",-"),FIXED(ROUND(IF(EXC.RATE.SWITCH=1,C340/EXC.RATE_2,C340*EXC.RATE_2),CURRENCY.FORMAT_2),CURRENCY.FORMAT_2,0)),'DICTIONARY-5'!$A$2))</f>
        <v/>
      </c>
      <c r="L340" s="670" t="str">
        <f>IFERROR(IF(CURRENCY.FORMAT_1=0,CONCATENATE(TEXT(FIXED(ROUND((C340*(1-I340)*(1-ADD.DISCOUNT)*(1+MAT.SURCHARGE)/EXC.RATE_1),CURRENCY.FORMAT_1),CURRENCY.FORMAT_1,1),"# ##0;-# ##0"),",-"),FIXED(ROUND((C340*(1-I340)*(1-ADD.DISCOUNT)*(1+MAT.SURCHARGE)/EXC.RATE_1),CURRENCY.FORMAT_1),CURRENCY.FORMAT_1,0)),'DICTIONARY-5'!$A$2)</f>
        <v>11 215,-</v>
      </c>
      <c r="M340" s="670" t="str">
        <f>IF(EXC.RATE_2=0,"",IFERROR(IF(CURRENCY.FORMAT_2=0,CONCATENATE(TEXT(FIXED(ROUND(IF(EXC.RATE.SWITCH=1,C340*(1-I340)*(1-ADD.DISCOUNT)*(1+MAT.SURCHARGE)/EXC.RATE_2,C340*(1-I340)*(1-ADD.DISCOUNT)*(1+MAT.SURCHARGE)*EXC.RATE_2),CURRENCY.FORMAT_2),CURRENCY.FORMAT_2,1),"# ##0;-# ##0"),",-"),FIXED(ROUND(IF(EXC.RATE.SWITCH=1,C340*(1-I340)*(1-ADD.DISCOUNT)*(1+MAT.SURCHARGE)/EXC.RATE_2,C340*(1-I340)*(1-ADD.DISCOUNT)*(1+MAT.SURCHARGE)*EXC.RATE_2),CURRENCY.FORMAT_2),CURRENCY.FORMAT_2,0)),'DICTIONARY-5'!$A$2))</f>
        <v/>
      </c>
      <c r="N340" s="544">
        <v>1</v>
      </c>
      <c r="O340" s="654"/>
      <c r="P340" s="731" t="str">
        <f>'DICTIONARY-3'!$A$2</f>
        <v>EKOplus</v>
      </c>
      <c r="Q340" s="732" t="str">
        <f>'DICTIONARY-3'!$A$187</f>
        <v>Zasuwa klinowa</v>
      </c>
      <c r="R340" s="732" t="str">
        <f>CONCATENATE('DICTIONARY-3'!$A$2," ",'DICTIONARY-6'!$A$3," ",'DICTIONARY-2'!$A$2,"600"," ",'DICTIONARY-2'!$A$3,"10"," ","R14"," ",'DICTIONARY-5'!$A$38,", ",'DICTIONARY-4'!$A$2)</f>
        <v>EKOplus Zasuwa DN600 PN10 R14 DUPLEX, WW</v>
      </c>
      <c r="S340" s="733" t="str">
        <f>'DICTIONARY-4'!$A$2</f>
        <v>WW</v>
      </c>
      <c r="T340" s="732" t="str">
        <f>'DICTIONARY-4'!$A$18</f>
        <v>Wolny wałek</v>
      </c>
      <c r="U340" s="734" t="s">
        <v>5757</v>
      </c>
      <c r="V340" s="735">
        <v>10</v>
      </c>
      <c r="W340" s="736"/>
      <c r="X340" s="737"/>
      <c r="Y340" s="738"/>
      <c r="Z340" s="739"/>
      <c r="AA340" s="739"/>
      <c r="AB340" s="740">
        <v>10</v>
      </c>
      <c r="AC340" s="741" t="str">
        <f>'DICTIONARY-5'!$A$11&amp;" 14"</f>
        <v>EN 558 szereg 14</v>
      </c>
      <c r="AD340" s="741" t="str">
        <f>'DICTIONARY-5'!$A$15</f>
        <v>woda morska</v>
      </c>
      <c r="AE340" s="742">
        <v>50</v>
      </c>
      <c r="AF340" s="743">
        <v>705</v>
      </c>
      <c r="AG340" s="741" t="str">
        <f>'DICTIONARY-5'!$A$23</f>
        <v>powłoka epoksydowa</v>
      </c>
    </row>
    <row r="341" spans="1:33" x14ac:dyDescent="0.25">
      <c r="A341" s="844" t="s">
        <v>5517</v>
      </c>
      <c r="B341" s="844" t="s">
        <v>5175</v>
      </c>
      <c r="C341" s="836">
        <v>11417</v>
      </c>
      <c r="D341" s="836"/>
      <c r="E341" s="836"/>
      <c r="F341" s="836"/>
      <c r="G341" s="496" t="s">
        <v>7793</v>
      </c>
      <c r="H341" s="797" t="str">
        <f>VLOOKUP(G341,SETTINGS!$B$7:$D$97,2,0)</f>
        <v>EKOplus Sea Water</v>
      </c>
      <c r="I341" s="796">
        <f>VLOOKUP(G341,SETTINGS!$B$7:$D$97,3,0)</f>
        <v>0</v>
      </c>
      <c r="J341" s="670" t="str">
        <f>IFERROR(IF(CURRENCY.FORMAT_1=0,CONCATENATE(TEXT(FIXED(ROUND((C341/EXC.RATE_1),CURRENCY.FORMAT_1),CURRENCY.FORMAT_1,1),"# ##0;-# ##0"),",-"),FIXED(ROUND((C341/EXC.RATE_1),CURRENCY.FORMAT_1),CURRENCY.FORMAT_1,0)),'DICTIONARY-5'!$A$2)</f>
        <v>11 417,-</v>
      </c>
      <c r="K341" s="670" t="str">
        <f>IF(EXC.RATE_2=0,"",IFERROR(IF(CURRENCY.FORMAT_2=0,CONCATENATE(TEXT(FIXED(ROUND(IF(EXC.RATE.SWITCH=1,C341/EXC.RATE_2,C341*EXC.RATE_2),CURRENCY.FORMAT_2),CURRENCY.FORMAT_2,1),"# ##0;-# ##0"),",-"),FIXED(ROUND(IF(EXC.RATE.SWITCH=1,C341/EXC.RATE_2,C341*EXC.RATE_2),CURRENCY.FORMAT_2),CURRENCY.FORMAT_2,0)),'DICTIONARY-5'!$A$2))</f>
        <v/>
      </c>
      <c r="L341" s="670" t="str">
        <f>IFERROR(IF(CURRENCY.FORMAT_1=0,CONCATENATE(TEXT(FIXED(ROUND((C341*(1-I341)*(1-ADD.DISCOUNT)*(1+MAT.SURCHARGE)/EXC.RATE_1),CURRENCY.FORMAT_1),CURRENCY.FORMAT_1,1),"# ##0;-# ##0"),",-"),FIXED(ROUND((C341*(1-I341)*(1-ADD.DISCOUNT)*(1+MAT.SURCHARGE)/EXC.RATE_1),CURRENCY.FORMAT_1),CURRENCY.FORMAT_1,0)),'DICTIONARY-5'!$A$2)</f>
        <v>11 862,-</v>
      </c>
      <c r="M341" s="670" t="str">
        <f>IF(EXC.RATE_2=0,"",IFERROR(IF(CURRENCY.FORMAT_2=0,CONCATENATE(TEXT(FIXED(ROUND(IF(EXC.RATE.SWITCH=1,C341*(1-I341)*(1-ADD.DISCOUNT)*(1+MAT.SURCHARGE)/EXC.RATE_2,C341*(1-I341)*(1-ADD.DISCOUNT)*(1+MAT.SURCHARGE)*EXC.RATE_2),CURRENCY.FORMAT_2),CURRENCY.FORMAT_2,1),"# ##0;-# ##0"),",-"),FIXED(ROUND(IF(EXC.RATE.SWITCH=1,C341*(1-I341)*(1-ADD.DISCOUNT)*(1+MAT.SURCHARGE)/EXC.RATE_2,C341*(1-I341)*(1-ADD.DISCOUNT)*(1+MAT.SURCHARGE)*EXC.RATE_2),CURRENCY.FORMAT_2),CURRENCY.FORMAT_2,0)),'DICTIONARY-5'!$A$2))</f>
        <v/>
      </c>
      <c r="N341" s="544">
        <v>1</v>
      </c>
      <c r="O341" s="654"/>
      <c r="P341" s="731" t="str">
        <f>'DICTIONARY-3'!$A$2</f>
        <v>EKOplus</v>
      </c>
      <c r="Q341" s="732" t="str">
        <f>'DICTIONARY-3'!$A$187</f>
        <v>Zasuwa klinowa</v>
      </c>
      <c r="R341" s="732" t="str">
        <f>CONCATENATE('DICTIONARY-3'!$A$2," ",'DICTIONARY-6'!$A$3," ",'DICTIONARY-2'!$A$2,"600"," ",'DICTIONARY-2'!$A$3,"16"," ","R14"," ",'DICTIONARY-5'!$A$38,", ",'DICTIONARY-4'!$A$2)</f>
        <v>EKOplus Zasuwa DN600 PN16 R14 DUPLEX, WW</v>
      </c>
      <c r="S341" s="733" t="str">
        <f>'DICTIONARY-4'!$A$2</f>
        <v>WW</v>
      </c>
      <c r="T341" s="732" t="str">
        <f>'DICTIONARY-4'!$A$18</f>
        <v>Wolny wałek</v>
      </c>
      <c r="U341" s="734" t="s">
        <v>5757</v>
      </c>
      <c r="V341" s="735">
        <v>16</v>
      </c>
      <c r="W341" s="736"/>
      <c r="X341" s="737"/>
      <c r="Y341" s="738"/>
      <c r="Z341" s="739"/>
      <c r="AA341" s="739"/>
      <c r="AB341" s="740">
        <v>16</v>
      </c>
      <c r="AC341" s="741" t="str">
        <f>'DICTIONARY-5'!$A$11&amp;" 14"</f>
        <v>EN 558 szereg 14</v>
      </c>
      <c r="AD341" s="741" t="str">
        <f>'DICTIONARY-5'!$A$15</f>
        <v>woda morska</v>
      </c>
      <c r="AE341" s="742">
        <v>50</v>
      </c>
      <c r="AF341" s="743">
        <v>849</v>
      </c>
      <c r="AG341" s="741" t="str">
        <f>'DICTIONARY-5'!$A$23</f>
        <v>powłoka epoksydowa</v>
      </c>
    </row>
    <row r="342" spans="1:33" x14ac:dyDescent="0.25">
      <c r="A342" s="844" t="s">
        <v>5518</v>
      </c>
      <c r="B342" s="844" t="s">
        <v>5136</v>
      </c>
      <c r="C342" s="836">
        <v>232</v>
      </c>
      <c r="D342" s="836"/>
      <c r="E342" s="836"/>
      <c r="F342" s="836"/>
      <c r="G342" s="496" t="s">
        <v>7793</v>
      </c>
      <c r="H342" s="797" t="str">
        <f>VLOOKUP(G342,SETTINGS!$B$7:$D$97,2,0)</f>
        <v>EKOplus Sea Water</v>
      </c>
      <c r="I342" s="796">
        <f>VLOOKUP(G342,SETTINGS!$B$7:$D$97,3,0)</f>
        <v>0</v>
      </c>
      <c r="J342" s="670" t="str">
        <f>IFERROR(IF(CURRENCY.FORMAT_1=0,CONCATENATE(TEXT(FIXED(ROUND((C342/EXC.RATE_1),CURRENCY.FORMAT_1),CURRENCY.FORMAT_1,1),"# ##0;-# ##0"),",-"),FIXED(ROUND((C342/EXC.RATE_1),CURRENCY.FORMAT_1),CURRENCY.FORMAT_1,0)),'DICTIONARY-5'!$A$2)</f>
        <v>232,-</v>
      </c>
      <c r="K342" s="670" t="str">
        <f>IF(EXC.RATE_2=0,"",IFERROR(IF(CURRENCY.FORMAT_2=0,CONCATENATE(TEXT(FIXED(ROUND(IF(EXC.RATE.SWITCH=1,C342/EXC.RATE_2,C342*EXC.RATE_2),CURRENCY.FORMAT_2),CURRENCY.FORMAT_2,1),"# ##0;-# ##0"),",-"),FIXED(ROUND(IF(EXC.RATE.SWITCH=1,C342/EXC.RATE_2,C342*EXC.RATE_2),CURRENCY.FORMAT_2),CURRENCY.FORMAT_2,0)),'DICTIONARY-5'!$A$2))</f>
        <v/>
      </c>
      <c r="L342" s="670" t="str">
        <f>IFERROR(IF(CURRENCY.FORMAT_1=0,CONCATENATE(TEXT(FIXED(ROUND((C342*(1-I342)*(1-ADD.DISCOUNT)*(1+MAT.SURCHARGE)/EXC.RATE_1),CURRENCY.FORMAT_1),CURRENCY.FORMAT_1,1),"# ##0;-# ##0"),",-"),FIXED(ROUND((C342*(1-I342)*(1-ADD.DISCOUNT)*(1+MAT.SURCHARGE)/EXC.RATE_1),CURRENCY.FORMAT_1),CURRENCY.FORMAT_1,0)),'DICTIONARY-5'!$A$2)</f>
        <v>241,-</v>
      </c>
      <c r="M342" s="670" t="str">
        <f>IF(EXC.RATE_2=0,"",IFERROR(IF(CURRENCY.FORMAT_2=0,CONCATENATE(TEXT(FIXED(ROUND(IF(EXC.RATE.SWITCH=1,C342*(1-I342)*(1-ADD.DISCOUNT)*(1+MAT.SURCHARGE)/EXC.RATE_2,C342*(1-I342)*(1-ADD.DISCOUNT)*(1+MAT.SURCHARGE)*EXC.RATE_2),CURRENCY.FORMAT_2),CURRENCY.FORMAT_2,1),"# ##0;-# ##0"),",-"),FIXED(ROUND(IF(EXC.RATE.SWITCH=1,C342*(1-I342)*(1-ADD.DISCOUNT)*(1+MAT.SURCHARGE)/EXC.RATE_2,C342*(1-I342)*(1-ADD.DISCOUNT)*(1+MAT.SURCHARGE)*EXC.RATE_2),CURRENCY.FORMAT_2),CURRENCY.FORMAT_2,0)),'DICTIONARY-5'!$A$2))</f>
        <v/>
      </c>
      <c r="N342" s="544">
        <v>1</v>
      </c>
      <c r="O342" s="654"/>
      <c r="P342" s="731" t="str">
        <f>'DICTIONARY-3'!$A$2</f>
        <v>EKOplus</v>
      </c>
      <c r="Q342" s="732" t="str">
        <f>'DICTIONARY-3'!$A$187</f>
        <v>Zasuwa klinowa</v>
      </c>
      <c r="R342" s="732" t="str">
        <f>CONCATENATE('DICTIONARY-3'!$A$2," ",'DICTIONARY-6'!$A$3," ",'DICTIONARY-2'!$A$2,"40"," ",'DICTIONARY-2'!$A$3,"10/16"," ","R15"," ",'DICTIONARY-5'!$A$38,", ",'DICTIONARY-4'!$A$2)</f>
        <v>EKOplus Zasuwa DN40 PN10/16 R15 DUPLEX, WW</v>
      </c>
      <c r="S342" s="733" t="str">
        <f>'DICTIONARY-4'!$A$2</f>
        <v>WW</v>
      </c>
      <c r="T342" s="732" t="str">
        <f>'DICTIONARY-4'!$A$18</f>
        <v>Wolny wałek</v>
      </c>
      <c r="U342" s="734" t="s">
        <v>5758</v>
      </c>
      <c r="V342" s="735">
        <v>16</v>
      </c>
      <c r="W342" s="736"/>
      <c r="X342" s="737"/>
      <c r="Y342" s="738"/>
      <c r="Z342" s="739"/>
      <c r="AA342" s="739"/>
      <c r="AB342" s="740">
        <v>16</v>
      </c>
      <c r="AC342" s="741" t="str">
        <f>'DICTIONARY-5'!$A$11&amp;" 15"</f>
        <v>EN 558 szereg 15</v>
      </c>
      <c r="AD342" s="741" t="str">
        <f>'DICTIONARY-5'!$A$15</f>
        <v>woda morska</v>
      </c>
      <c r="AE342" s="742">
        <v>50</v>
      </c>
      <c r="AF342" s="743">
        <v>8.6999999999999993</v>
      </c>
      <c r="AG342" s="741" t="str">
        <f>'DICTIONARY-5'!$A$23</f>
        <v>powłoka epoksydowa</v>
      </c>
    </row>
    <row r="343" spans="1:33" x14ac:dyDescent="0.25">
      <c r="A343" s="844" t="s">
        <v>5519</v>
      </c>
      <c r="B343" s="844" t="s">
        <v>5138</v>
      </c>
      <c r="C343" s="836">
        <v>247</v>
      </c>
      <c r="D343" s="836"/>
      <c r="E343" s="836"/>
      <c r="F343" s="836"/>
      <c r="G343" s="496" t="s">
        <v>7793</v>
      </c>
      <c r="H343" s="797" t="str">
        <f>VLOOKUP(G343,SETTINGS!$B$7:$D$97,2,0)</f>
        <v>EKOplus Sea Water</v>
      </c>
      <c r="I343" s="796">
        <f>VLOOKUP(G343,SETTINGS!$B$7:$D$97,3,0)</f>
        <v>0</v>
      </c>
      <c r="J343" s="670" t="str">
        <f>IFERROR(IF(CURRENCY.FORMAT_1=0,CONCATENATE(TEXT(FIXED(ROUND((C343/EXC.RATE_1),CURRENCY.FORMAT_1),CURRENCY.FORMAT_1,1),"# ##0;-# ##0"),",-"),FIXED(ROUND((C343/EXC.RATE_1),CURRENCY.FORMAT_1),CURRENCY.FORMAT_1,0)),'DICTIONARY-5'!$A$2)</f>
        <v>247,-</v>
      </c>
      <c r="K343" s="670" t="str">
        <f>IF(EXC.RATE_2=0,"",IFERROR(IF(CURRENCY.FORMAT_2=0,CONCATENATE(TEXT(FIXED(ROUND(IF(EXC.RATE.SWITCH=1,C343/EXC.RATE_2,C343*EXC.RATE_2),CURRENCY.FORMAT_2),CURRENCY.FORMAT_2,1),"# ##0;-# ##0"),",-"),FIXED(ROUND(IF(EXC.RATE.SWITCH=1,C343/EXC.RATE_2,C343*EXC.RATE_2),CURRENCY.FORMAT_2),CURRENCY.FORMAT_2,0)),'DICTIONARY-5'!$A$2))</f>
        <v/>
      </c>
      <c r="L343" s="670" t="str">
        <f>IFERROR(IF(CURRENCY.FORMAT_1=0,CONCATENATE(TEXT(FIXED(ROUND((C343*(1-I343)*(1-ADD.DISCOUNT)*(1+MAT.SURCHARGE)/EXC.RATE_1),CURRENCY.FORMAT_1),CURRENCY.FORMAT_1,1),"# ##0;-# ##0"),",-"),FIXED(ROUND((C343*(1-I343)*(1-ADD.DISCOUNT)*(1+MAT.SURCHARGE)/EXC.RATE_1),CURRENCY.FORMAT_1),CURRENCY.FORMAT_1,0)),'DICTIONARY-5'!$A$2)</f>
        <v>257,-</v>
      </c>
      <c r="M343" s="670" t="str">
        <f>IF(EXC.RATE_2=0,"",IFERROR(IF(CURRENCY.FORMAT_2=0,CONCATENATE(TEXT(FIXED(ROUND(IF(EXC.RATE.SWITCH=1,C343*(1-I343)*(1-ADD.DISCOUNT)*(1+MAT.SURCHARGE)/EXC.RATE_2,C343*(1-I343)*(1-ADD.DISCOUNT)*(1+MAT.SURCHARGE)*EXC.RATE_2),CURRENCY.FORMAT_2),CURRENCY.FORMAT_2,1),"# ##0;-# ##0"),",-"),FIXED(ROUND(IF(EXC.RATE.SWITCH=1,C343*(1-I343)*(1-ADD.DISCOUNT)*(1+MAT.SURCHARGE)/EXC.RATE_2,C343*(1-I343)*(1-ADD.DISCOUNT)*(1+MAT.SURCHARGE)*EXC.RATE_2),CURRENCY.FORMAT_2),CURRENCY.FORMAT_2,0)),'DICTIONARY-5'!$A$2))</f>
        <v/>
      </c>
      <c r="N343" s="544">
        <v>1</v>
      </c>
      <c r="O343" s="654"/>
      <c r="P343" s="731" t="str">
        <f>'DICTIONARY-3'!$A$2</f>
        <v>EKOplus</v>
      </c>
      <c r="Q343" s="732" t="str">
        <f>'DICTIONARY-3'!$A$187</f>
        <v>Zasuwa klinowa</v>
      </c>
      <c r="R343" s="732" t="str">
        <f>CONCATENATE('DICTIONARY-3'!$A$2," ",'DICTIONARY-6'!$A$3," ",'DICTIONARY-2'!$A$2,"50"," ",'DICTIONARY-2'!$A$3,"10/16"," ","R15"," ",'DICTIONARY-5'!$A$38,", ",'DICTIONARY-4'!$A$2)</f>
        <v>EKOplus Zasuwa DN50 PN10/16 R15 DUPLEX, WW</v>
      </c>
      <c r="S343" s="733" t="str">
        <f>'DICTIONARY-4'!$A$2</f>
        <v>WW</v>
      </c>
      <c r="T343" s="732" t="str">
        <f>'DICTIONARY-4'!$A$18</f>
        <v>Wolny wałek</v>
      </c>
      <c r="U343" s="734" t="s">
        <v>5748</v>
      </c>
      <c r="V343" s="735">
        <v>16</v>
      </c>
      <c r="W343" s="736"/>
      <c r="X343" s="737"/>
      <c r="Y343" s="738"/>
      <c r="Z343" s="739"/>
      <c r="AA343" s="739"/>
      <c r="AB343" s="740">
        <v>16</v>
      </c>
      <c r="AC343" s="741" t="str">
        <f>'DICTIONARY-5'!$A$11&amp;" 15"</f>
        <v>EN 558 szereg 15</v>
      </c>
      <c r="AD343" s="741" t="str">
        <f>'DICTIONARY-5'!$A$15</f>
        <v>woda morska</v>
      </c>
      <c r="AE343" s="742">
        <v>50</v>
      </c>
      <c r="AF343" s="743">
        <v>9.6999999999999993</v>
      </c>
      <c r="AG343" s="741" t="str">
        <f>'DICTIONARY-5'!$A$23</f>
        <v>powłoka epoksydowa</v>
      </c>
    </row>
    <row r="344" spans="1:33" x14ac:dyDescent="0.25">
      <c r="A344" s="844" t="s">
        <v>5520</v>
      </c>
      <c r="B344" s="844" t="s">
        <v>5140</v>
      </c>
      <c r="C344" s="836">
        <v>267</v>
      </c>
      <c r="D344" s="836"/>
      <c r="E344" s="836"/>
      <c r="F344" s="836"/>
      <c r="G344" s="496" t="s">
        <v>7793</v>
      </c>
      <c r="H344" s="797" t="str">
        <f>VLOOKUP(G344,SETTINGS!$B$7:$D$97,2,0)</f>
        <v>EKOplus Sea Water</v>
      </c>
      <c r="I344" s="796">
        <f>VLOOKUP(G344,SETTINGS!$B$7:$D$97,3,0)</f>
        <v>0</v>
      </c>
      <c r="J344" s="670" t="str">
        <f>IFERROR(IF(CURRENCY.FORMAT_1=0,CONCATENATE(TEXT(FIXED(ROUND((C344/EXC.RATE_1),CURRENCY.FORMAT_1),CURRENCY.FORMAT_1,1),"# ##0;-# ##0"),",-"),FIXED(ROUND((C344/EXC.RATE_1),CURRENCY.FORMAT_1),CURRENCY.FORMAT_1,0)),'DICTIONARY-5'!$A$2)</f>
        <v>267,-</v>
      </c>
      <c r="K344" s="670" t="str">
        <f>IF(EXC.RATE_2=0,"",IFERROR(IF(CURRENCY.FORMAT_2=0,CONCATENATE(TEXT(FIXED(ROUND(IF(EXC.RATE.SWITCH=1,C344/EXC.RATE_2,C344*EXC.RATE_2),CURRENCY.FORMAT_2),CURRENCY.FORMAT_2,1),"# ##0;-# ##0"),",-"),FIXED(ROUND(IF(EXC.RATE.SWITCH=1,C344/EXC.RATE_2,C344*EXC.RATE_2),CURRENCY.FORMAT_2),CURRENCY.FORMAT_2,0)),'DICTIONARY-5'!$A$2))</f>
        <v/>
      </c>
      <c r="L344" s="670" t="str">
        <f>IFERROR(IF(CURRENCY.FORMAT_1=0,CONCATENATE(TEXT(FIXED(ROUND((C344*(1-I344)*(1-ADD.DISCOUNT)*(1+MAT.SURCHARGE)/EXC.RATE_1),CURRENCY.FORMAT_1),CURRENCY.FORMAT_1,1),"# ##0;-# ##0"),",-"),FIXED(ROUND((C344*(1-I344)*(1-ADD.DISCOUNT)*(1+MAT.SURCHARGE)/EXC.RATE_1),CURRENCY.FORMAT_1),CURRENCY.FORMAT_1,0)),'DICTIONARY-5'!$A$2)</f>
        <v>277,-</v>
      </c>
      <c r="M344" s="670" t="str">
        <f>IF(EXC.RATE_2=0,"",IFERROR(IF(CURRENCY.FORMAT_2=0,CONCATENATE(TEXT(FIXED(ROUND(IF(EXC.RATE.SWITCH=1,C344*(1-I344)*(1-ADD.DISCOUNT)*(1+MAT.SURCHARGE)/EXC.RATE_2,C344*(1-I344)*(1-ADD.DISCOUNT)*(1+MAT.SURCHARGE)*EXC.RATE_2),CURRENCY.FORMAT_2),CURRENCY.FORMAT_2,1),"# ##0;-# ##0"),",-"),FIXED(ROUND(IF(EXC.RATE.SWITCH=1,C344*(1-I344)*(1-ADD.DISCOUNT)*(1+MAT.SURCHARGE)/EXC.RATE_2,C344*(1-I344)*(1-ADD.DISCOUNT)*(1+MAT.SURCHARGE)*EXC.RATE_2),CURRENCY.FORMAT_2),CURRENCY.FORMAT_2,0)),'DICTIONARY-5'!$A$2))</f>
        <v/>
      </c>
      <c r="N344" s="544">
        <v>1</v>
      </c>
      <c r="O344" s="654"/>
      <c r="P344" s="731" t="str">
        <f>'DICTIONARY-3'!$A$2</f>
        <v>EKOplus</v>
      </c>
      <c r="Q344" s="732" t="str">
        <f>'DICTIONARY-3'!$A$187</f>
        <v>Zasuwa klinowa</v>
      </c>
      <c r="R344" s="732" t="str">
        <f>CONCATENATE('DICTIONARY-3'!$A$2," ",'DICTIONARY-6'!$A$3," ",'DICTIONARY-2'!$A$2,"65"," ",'DICTIONARY-2'!$A$3,"10/16"," ","R15"," ",'DICTIONARY-5'!$A$38,", ",'DICTIONARY-4'!$A$2)</f>
        <v>EKOplus Zasuwa DN65 PN10/16 R15 DUPLEX, WW</v>
      </c>
      <c r="S344" s="733" t="str">
        <f>'DICTIONARY-4'!$A$2</f>
        <v>WW</v>
      </c>
      <c r="T344" s="732" t="str">
        <f>'DICTIONARY-4'!$A$18</f>
        <v>Wolny wałek</v>
      </c>
      <c r="U344" s="734" t="s">
        <v>5759</v>
      </c>
      <c r="V344" s="735">
        <v>16</v>
      </c>
      <c r="W344" s="736"/>
      <c r="X344" s="737"/>
      <c r="Y344" s="738"/>
      <c r="Z344" s="739"/>
      <c r="AA344" s="739"/>
      <c r="AB344" s="740">
        <v>16</v>
      </c>
      <c r="AC344" s="741" t="str">
        <f>'DICTIONARY-5'!$A$11&amp;" 15"</f>
        <v>EN 558 szereg 15</v>
      </c>
      <c r="AD344" s="741" t="str">
        <f>'DICTIONARY-5'!$A$15</f>
        <v>woda morska</v>
      </c>
      <c r="AE344" s="742">
        <v>50</v>
      </c>
      <c r="AF344" s="743">
        <v>15</v>
      </c>
      <c r="AG344" s="741" t="str">
        <f>'DICTIONARY-5'!$A$23</f>
        <v>powłoka epoksydowa</v>
      </c>
    </row>
    <row r="345" spans="1:33" x14ac:dyDescent="0.25">
      <c r="A345" s="844" t="s">
        <v>5521</v>
      </c>
      <c r="B345" s="844" t="s">
        <v>5142</v>
      </c>
      <c r="C345" s="836">
        <v>267</v>
      </c>
      <c r="D345" s="836"/>
      <c r="E345" s="836"/>
      <c r="F345" s="836"/>
      <c r="G345" s="496" t="s">
        <v>7793</v>
      </c>
      <c r="H345" s="797" t="str">
        <f>VLOOKUP(G345,SETTINGS!$B$7:$D$97,2,0)</f>
        <v>EKOplus Sea Water</v>
      </c>
      <c r="I345" s="796">
        <f>VLOOKUP(G345,SETTINGS!$B$7:$D$97,3,0)</f>
        <v>0</v>
      </c>
      <c r="J345" s="670" t="str">
        <f>IFERROR(IF(CURRENCY.FORMAT_1=0,CONCATENATE(TEXT(FIXED(ROUND((C345/EXC.RATE_1),CURRENCY.FORMAT_1),CURRENCY.FORMAT_1,1),"# ##0;-# ##0"),",-"),FIXED(ROUND((C345/EXC.RATE_1),CURRENCY.FORMAT_1),CURRENCY.FORMAT_1,0)),'DICTIONARY-5'!$A$2)</f>
        <v>267,-</v>
      </c>
      <c r="K345" s="670" t="str">
        <f>IF(EXC.RATE_2=0,"",IFERROR(IF(CURRENCY.FORMAT_2=0,CONCATENATE(TEXT(FIXED(ROUND(IF(EXC.RATE.SWITCH=1,C345/EXC.RATE_2,C345*EXC.RATE_2),CURRENCY.FORMAT_2),CURRENCY.FORMAT_2,1),"# ##0;-# ##0"),",-"),FIXED(ROUND(IF(EXC.RATE.SWITCH=1,C345/EXC.RATE_2,C345*EXC.RATE_2),CURRENCY.FORMAT_2),CURRENCY.FORMAT_2,0)),'DICTIONARY-5'!$A$2))</f>
        <v/>
      </c>
      <c r="L345" s="670" t="str">
        <f>IFERROR(IF(CURRENCY.FORMAT_1=0,CONCATENATE(TEXT(FIXED(ROUND((C345*(1-I345)*(1-ADD.DISCOUNT)*(1+MAT.SURCHARGE)/EXC.RATE_1),CURRENCY.FORMAT_1),CURRENCY.FORMAT_1,1),"# ##0;-# ##0"),",-"),FIXED(ROUND((C345*(1-I345)*(1-ADD.DISCOUNT)*(1+MAT.SURCHARGE)/EXC.RATE_1),CURRENCY.FORMAT_1),CURRENCY.FORMAT_1,0)),'DICTIONARY-5'!$A$2)</f>
        <v>277,-</v>
      </c>
      <c r="M345" s="670" t="str">
        <f>IF(EXC.RATE_2=0,"",IFERROR(IF(CURRENCY.FORMAT_2=0,CONCATENATE(TEXT(FIXED(ROUND(IF(EXC.RATE.SWITCH=1,C345*(1-I345)*(1-ADD.DISCOUNT)*(1+MAT.SURCHARGE)/EXC.RATE_2,C345*(1-I345)*(1-ADD.DISCOUNT)*(1+MAT.SURCHARGE)*EXC.RATE_2),CURRENCY.FORMAT_2),CURRENCY.FORMAT_2,1),"# ##0;-# ##0"),",-"),FIXED(ROUND(IF(EXC.RATE.SWITCH=1,C345*(1-I345)*(1-ADD.DISCOUNT)*(1+MAT.SURCHARGE)/EXC.RATE_2,C345*(1-I345)*(1-ADD.DISCOUNT)*(1+MAT.SURCHARGE)*EXC.RATE_2),CURRENCY.FORMAT_2),CURRENCY.FORMAT_2,0)),'DICTIONARY-5'!$A$2))</f>
        <v/>
      </c>
      <c r="N345" s="544">
        <v>1</v>
      </c>
      <c r="O345" s="654"/>
      <c r="P345" s="731" t="str">
        <f>'DICTIONARY-3'!$A$2</f>
        <v>EKOplus</v>
      </c>
      <c r="Q345" s="732" t="str">
        <f>'DICTIONARY-3'!$A$187</f>
        <v>Zasuwa klinowa</v>
      </c>
      <c r="R345" s="732" t="str">
        <f>CONCATENATE('DICTIONARY-3'!$A$2," ",'DICTIONARY-6'!$A$3," ",'DICTIONARY-2'!$A$2,"80"," ",'DICTIONARY-2'!$A$3,"10/16"," ","R15"," ",'DICTIONARY-5'!$A$38,", ",'DICTIONARY-4'!$A$2)</f>
        <v>EKOplus Zasuwa DN80 PN10/16 R15 DUPLEX, WW</v>
      </c>
      <c r="S345" s="733" t="str">
        <f>'DICTIONARY-4'!$A$2</f>
        <v>WW</v>
      </c>
      <c r="T345" s="732" t="str">
        <f>'DICTIONARY-4'!$A$18</f>
        <v>Wolny wałek</v>
      </c>
      <c r="U345" s="734" t="s">
        <v>5760</v>
      </c>
      <c r="V345" s="735">
        <v>16</v>
      </c>
      <c r="W345" s="736"/>
      <c r="X345" s="737"/>
      <c r="Y345" s="738"/>
      <c r="Z345" s="739"/>
      <c r="AA345" s="739"/>
      <c r="AB345" s="740">
        <v>16</v>
      </c>
      <c r="AC345" s="741" t="str">
        <f>'DICTIONARY-5'!$A$11&amp;" 15"</f>
        <v>EN 558 szereg 15</v>
      </c>
      <c r="AD345" s="741" t="str">
        <f>'DICTIONARY-5'!$A$15</f>
        <v>woda morska</v>
      </c>
      <c r="AE345" s="742">
        <v>50</v>
      </c>
      <c r="AF345" s="743">
        <v>16.899999999999999</v>
      </c>
      <c r="AG345" s="741" t="str">
        <f>'DICTIONARY-5'!$A$23</f>
        <v>powłoka epoksydowa</v>
      </c>
    </row>
    <row r="346" spans="1:33" x14ac:dyDescent="0.25">
      <c r="A346" s="844" t="s">
        <v>5522</v>
      </c>
      <c r="B346" s="844" t="s">
        <v>5144</v>
      </c>
      <c r="C346" s="836">
        <v>288</v>
      </c>
      <c r="D346" s="836"/>
      <c r="E346" s="836"/>
      <c r="F346" s="836"/>
      <c r="G346" s="496" t="s">
        <v>7793</v>
      </c>
      <c r="H346" s="797" t="str">
        <f>VLOOKUP(G346,SETTINGS!$B$7:$D$97,2,0)</f>
        <v>EKOplus Sea Water</v>
      </c>
      <c r="I346" s="796">
        <f>VLOOKUP(G346,SETTINGS!$B$7:$D$97,3,0)</f>
        <v>0</v>
      </c>
      <c r="J346" s="670" t="str">
        <f>IFERROR(IF(CURRENCY.FORMAT_1=0,CONCATENATE(TEXT(FIXED(ROUND((C346/EXC.RATE_1),CURRENCY.FORMAT_1),CURRENCY.FORMAT_1,1),"# ##0;-# ##0"),",-"),FIXED(ROUND((C346/EXC.RATE_1),CURRENCY.FORMAT_1),CURRENCY.FORMAT_1,0)),'DICTIONARY-5'!$A$2)</f>
        <v>288,-</v>
      </c>
      <c r="K346" s="670" t="str">
        <f>IF(EXC.RATE_2=0,"",IFERROR(IF(CURRENCY.FORMAT_2=0,CONCATENATE(TEXT(FIXED(ROUND(IF(EXC.RATE.SWITCH=1,C346/EXC.RATE_2,C346*EXC.RATE_2),CURRENCY.FORMAT_2),CURRENCY.FORMAT_2,1),"# ##0;-# ##0"),",-"),FIXED(ROUND(IF(EXC.RATE.SWITCH=1,C346/EXC.RATE_2,C346*EXC.RATE_2),CURRENCY.FORMAT_2),CURRENCY.FORMAT_2,0)),'DICTIONARY-5'!$A$2))</f>
        <v/>
      </c>
      <c r="L346" s="670" t="str">
        <f>IFERROR(IF(CURRENCY.FORMAT_1=0,CONCATENATE(TEXT(FIXED(ROUND((C346*(1-I346)*(1-ADD.DISCOUNT)*(1+MAT.SURCHARGE)/EXC.RATE_1),CURRENCY.FORMAT_1),CURRENCY.FORMAT_1,1),"# ##0;-# ##0"),",-"),FIXED(ROUND((C346*(1-I346)*(1-ADD.DISCOUNT)*(1+MAT.SURCHARGE)/EXC.RATE_1),CURRENCY.FORMAT_1),CURRENCY.FORMAT_1,0)),'DICTIONARY-5'!$A$2)</f>
        <v>299,-</v>
      </c>
      <c r="M346" s="670" t="str">
        <f>IF(EXC.RATE_2=0,"",IFERROR(IF(CURRENCY.FORMAT_2=0,CONCATENATE(TEXT(FIXED(ROUND(IF(EXC.RATE.SWITCH=1,C346*(1-I346)*(1-ADD.DISCOUNT)*(1+MAT.SURCHARGE)/EXC.RATE_2,C346*(1-I346)*(1-ADD.DISCOUNT)*(1+MAT.SURCHARGE)*EXC.RATE_2),CURRENCY.FORMAT_2),CURRENCY.FORMAT_2,1),"# ##0;-# ##0"),",-"),FIXED(ROUND(IF(EXC.RATE.SWITCH=1,C346*(1-I346)*(1-ADD.DISCOUNT)*(1+MAT.SURCHARGE)/EXC.RATE_2,C346*(1-I346)*(1-ADD.DISCOUNT)*(1+MAT.SURCHARGE)*EXC.RATE_2),CURRENCY.FORMAT_2),CURRENCY.FORMAT_2,0)),'DICTIONARY-5'!$A$2))</f>
        <v/>
      </c>
      <c r="N346" s="544">
        <v>1</v>
      </c>
      <c r="O346" s="654"/>
      <c r="P346" s="731" t="str">
        <f>'DICTIONARY-3'!$A$2</f>
        <v>EKOplus</v>
      </c>
      <c r="Q346" s="732" t="str">
        <f>'DICTIONARY-3'!$A$187</f>
        <v>Zasuwa klinowa</v>
      </c>
      <c r="R346" s="732" t="str">
        <f>CONCATENATE('DICTIONARY-3'!$A$2," ",'DICTIONARY-6'!$A$3," ",'DICTIONARY-2'!$A$2,"100"," ",'DICTIONARY-2'!$A$3,"10/16"," ","R15"," ",'DICTIONARY-5'!$A$38,", ",'DICTIONARY-4'!$A$2)</f>
        <v>EKOplus Zasuwa DN100 PN10/16 R15 DUPLEX, WW</v>
      </c>
      <c r="S346" s="733" t="str">
        <f>'DICTIONARY-4'!$A$2</f>
        <v>WW</v>
      </c>
      <c r="T346" s="732" t="str">
        <f>'DICTIONARY-4'!$A$18</f>
        <v>Wolny wałek</v>
      </c>
      <c r="U346" s="734" t="s">
        <v>5749</v>
      </c>
      <c r="V346" s="735">
        <v>16</v>
      </c>
      <c r="W346" s="736"/>
      <c r="X346" s="737"/>
      <c r="Y346" s="738"/>
      <c r="Z346" s="739"/>
      <c r="AA346" s="739"/>
      <c r="AB346" s="740">
        <v>16</v>
      </c>
      <c r="AC346" s="741" t="str">
        <f>'DICTIONARY-5'!$A$11&amp;" 15"</f>
        <v>EN 558 szereg 15</v>
      </c>
      <c r="AD346" s="741" t="str">
        <f>'DICTIONARY-5'!$A$15</f>
        <v>woda morska</v>
      </c>
      <c r="AE346" s="742">
        <v>50</v>
      </c>
      <c r="AF346" s="743">
        <v>22.5</v>
      </c>
      <c r="AG346" s="741" t="str">
        <f>'DICTIONARY-5'!$A$23</f>
        <v>powłoka epoksydowa</v>
      </c>
    </row>
    <row r="347" spans="1:33" x14ac:dyDescent="0.25">
      <c r="A347" s="844" t="s">
        <v>5523</v>
      </c>
      <c r="B347" s="844" t="s">
        <v>5146</v>
      </c>
      <c r="C347" s="836">
        <v>472</v>
      </c>
      <c r="D347" s="836"/>
      <c r="E347" s="836"/>
      <c r="F347" s="836"/>
      <c r="G347" s="496" t="s">
        <v>7793</v>
      </c>
      <c r="H347" s="797" t="str">
        <f>VLOOKUP(G347,SETTINGS!$B$7:$D$97,2,0)</f>
        <v>EKOplus Sea Water</v>
      </c>
      <c r="I347" s="796">
        <f>VLOOKUP(G347,SETTINGS!$B$7:$D$97,3,0)</f>
        <v>0</v>
      </c>
      <c r="J347" s="670" t="str">
        <f>IFERROR(IF(CURRENCY.FORMAT_1=0,CONCATENATE(TEXT(FIXED(ROUND((C347/EXC.RATE_1),CURRENCY.FORMAT_1),CURRENCY.FORMAT_1,1),"# ##0;-# ##0"),",-"),FIXED(ROUND((C347/EXC.RATE_1),CURRENCY.FORMAT_1),CURRENCY.FORMAT_1,0)),'DICTIONARY-5'!$A$2)</f>
        <v>472,-</v>
      </c>
      <c r="K347" s="670" t="str">
        <f>IF(EXC.RATE_2=0,"",IFERROR(IF(CURRENCY.FORMAT_2=0,CONCATENATE(TEXT(FIXED(ROUND(IF(EXC.RATE.SWITCH=1,C347/EXC.RATE_2,C347*EXC.RATE_2),CURRENCY.FORMAT_2),CURRENCY.FORMAT_2,1),"# ##0;-# ##0"),",-"),FIXED(ROUND(IF(EXC.RATE.SWITCH=1,C347/EXC.RATE_2,C347*EXC.RATE_2),CURRENCY.FORMAT_2),CURRENCY.FORMAT_2,0)),'DICTIONARY-5'!$A$2))</f>
        <v/>
      </c>
      <c r="L347" s="670" t="str">
        <f>IFERROR(IF(CURRENCY.FORMAT_1=0,CONCATENATE(TEXT(FIXED(ROUND((C347*(1-I347)*(1-ADD.DISCOUNT)*(1+MAT.SURCHARGE)/EXC.RATE_1),CURRENCY.FORMAT_1),CURRENCY.FORMAT_1,1),"# ##0;-# ##0"),",-"),FIXED(ROUND((C347*(1-I347)*(1-ADD.DISCOUNT)*(1+MAT.SURCHARGE)/EXC.RATE_1),CURRENCY.FORMAT_1),CURRENCY.FORMAT_1,0)),'DICTIONARY-5'!$A$2)</f>
        <v>490,-</v>
      </c>
      <c r="M347" s="670" t="str">
        <f>IF(EXC.RATE_2=0,"",IFERROR(IF(CURRENCY.FORMAT_2=0,CONCATENATE(TEXT(FIXED(ROUND(IF(EXC.RATE.SWITCH=1,C347*(1-I347)*(1-ADD.DISCOUNT)*(1+MAT.SURCHARGE)/EXC.RATE_2,C347*(1-I347)*(1-ADD.DISCOUNT)*(1+MAT.SURCHARGE)*EXC.RATE_2),CURRENCY.FORMAT_2),CURRENCY.FORMAT_2,1),"# ##0;-# ##0"),",-"),FIXED(ROUND(IF(EXC.RATE.SWITCH=1,C347*(1-I347)*(1-ADD.DISCOUNT)*(1+MAT.SURCHARGE)/EXC.RATE_2,C347*(1-I347)*(1-ADD.DISCOUNT)*(1+MAT.SURCHARGE)*EXC.RATE_2),CURRENCY.FORMAT_2),CURRENCY.FORMAT_2,0)),'DICTIONARY-5'!$A$2))</f>
        <v/>
      </c>
      <c r="N347" s="544">
        <v>1</v>
      </c>
      <c r="O347" s="654"/>
      <c r="P347" s="731" t="str">
        <f>'DICTIONARY-3'!$A$2</f>
        <v>EKOplus</v>
      </c>
      <c r="Q347" s="732" t="str">
        <f>'DICTIONARY-3'!$A$187</f>
        <v>Zasuwa klinowa</v>
      </c>
      <c r="R347" s="732" t="str">
        <f>CONCATENATE('DICTIONARY-3'!$A$2," ",'DICTIONARY-6'!$A$3," ",'DICTIONARY-2'!$A$2,"125"," ",'DICTIONARY-2'!$A$3,"10/16"," ","R15"," ",'DICTIONARY-5'!$A$38,", ",'DICTIONARY-4'!$A$2)</f>
        <v>EKOplus Zasuwa DN125 PN10/16 R15 DUPLEX, WW</v>
      </c>
      <c r="S347" s="733" t="str">
        <f>'DICTIONARY-4'!$A$2</f>
        <v>WW</v>
      </c>
      <c r="T347" s="732" t="str">
        <f>'DICTIONARY-4'!$A$18</f>
        <v>Wolny wałek</v>
      </c>
      <c r="U347" s="734" t="s">
        <v>5761</v>
      </c>
      <c r="V347" s="735">
        <v>16</v>
      </c>
      <c r="W347" s="736"/>
      <c r="X347" s="737"/>
      <c r="Y347" s="738"/>
      <c r="Z347" s="739"/>
      <c r="AA347" s="739"/>
      <c r="AB347" s="740">
        <v>16</v>
      </c>
      <c r="AC347" s="741" t="str">
        <f>'DICTIONARY-5'!$A$11&amp;" 15"</f>
        <v>EN 558 szereg 15</v>
      </c>
      <c r="AD347" s="741" t="str">
        <f>'DICTIONARY-5'!$A$15</f>
        <v>woda morska</v>
      </c>
      <c r="AE347" s="742">
        <v>50</v>
      </c>
      <c r="AF347" s="743">
        <v>29</v>
      </c>
      <c r="AG347" s="741" t="str">
        <f>'DICTIONARY-5'!$A$23</f>
        <v>powłoka epoksydowa</v>
      </c>
    </row>
    <row r="348" spans="1:33" x14ac:dyDescent="0.25">
      <c r="A348" s="844" t="s">
        <v>5524</v>
      </c>
      <c r="B348" s="844" t="s">
        <v>5148</v>
      </c>
      <c r="C348" s="836">
        <v>514</v>
      </c>
      <c r="D348" s="836"/>
      <c r="E348" s="836"/>
      <c r="F348" s="836"/>
      <c r="G348" s="496" t="s">
        <v>7793</v>
      </c>
      <c r="H348" s="797" t="str">
        <f>VLOOKUP(G348,SETTINGS!$B$7:$D$97,2,0)</f>
        <v>EKOplus Sea Water</v>
      </c>
      <c r="I348" s="796">
        <f>VLOOKUP(G348,SETTINGS!$B$7:$D$97,3,0)</f>
        <v>0</v>
      </c>
      <c r="J348" s="670" t="str">
        <f>IFERROR(IF(CURRENCY.FORMAT_1=0,CONCATENATE(TEXT(FIXED(ROUND((C348/EXC.RATE_1),CURRENCY.FORMAT_1),CURRENCY.FORMAT_1,1),"# ##0;-# ##0"),",-"),FIXED(ROUND((C348/EXC.RATE_1),CURRENCY.FORMAT_1),CURRENCY.FORMAT_1,0)),'DICTIONARY-5'!$A$2)</f>
        <v>514,-</v>
      </c>
      <c r="K348" s="670" t="str">
        <f>IF(EXC.RATE_2=0,"",IFERROR(IF(CURRENCY.FORMAT_2=0,CONCATENATE(TEXT(FIXED(ROUND(IF(EXC.RATE.SWITCH=1,C348/EXC.RATE_2,C348*EXC.RATE_2),CURRENCY.FORMAT_2),CURRENCY.FORMAT_2,1),"# ##0;-# ##0"),",-"),FIXED(ROUND(IF(EXC.RATE.SWITCH=1,C348/EXC.RATE_2,C348*EXC.RATE_2),CURRENCY.FORMAT_2),CURRENCY.FORMAT_2,0)),'DICTIONARY-5'!$A$2))</f>
        <v/>
      </c>
      <c r="L348" s="670" t="str">
        <f>IFERROR(IF(CURRENCY.FORMAT_1=0,CONCATENATE(TEXT(FIXED(ROUND((C348*(1-I348)*(1-ADD.DISCOUNT)*(1+MAT.SURCHARGE)/EXC.RATE_1),CURRENCY.FORMAT_1),CURRENCY.FORMAT_1,1),"# ##0;-# ##0"),",-"),FIXED(ROUND((C348*(1-I348)*(1-ADD.DISCOUNT)*(1+MAT.SURCHARGE)/EXC.RATE_1),CURRENCY.FORMAT_1),CURRENCY.FORMAT_1,0)),'DICTIONARY-5'!$A$2)</f>
        <v>534,-</v>
      </c>
      <c r="M348" s="670" t="str">
        <f>IF(EXC.RATE_2=0,"",IFERROR(IF(CURRENCY.FORMAT_2=0,CONCATENATE(TEXT(FIXED(ROUND(IF(EXC.RATE.SWITCH=1,C348*(1-I348)*(1-ADD.DISCOUNT)*(1+MAT.SURCHARGE)/EXC.RATE_2,C348*(1-I348)*(1-ADD.DISCOUNT)*(1+MAT.SURCHARGE)*EXC.RATE_2),CURRENCY.FORMAT_2),CURRENCY.FORMAT_2,1),"# ##0;-# ##0"),",-"),FIXED(ROUND(IF(EXC.RATE.SWITCH=1,C348*(1-I348)*(1-ADD.DISCOUNT)*(1+MAT.SURCHARGE)/EXC.RATE_2,C348*(1-I348)*(1-ADD.DISCOUNT)*(1+MAT.SURCHARGE)*EXC.RATE_2),CURRENCY.FORMAT_2),CURRENCY.FORMAT_2,0)),'DICTIONARY-5'!$A$2))</f>
        <v/>
      </c>
      <c r="N348" s="544">
        <v>1</v>
      </c>
      <c r="O348" s="654"/>
      <c r="P348" s="731" t="str">
        <f>'DICTIONARY-3'!$A$2</f>
        <v>EKOplus</v>
      </c>
      <c r="Q348" s="732" t="str">
        <f>'DICTIONARY-3'!$A$187</f>
        <v>Zasuwa klinowa</v>
      </c>
      <c r="R348" s="732" t="str">
        <f>CONCATENATE('DICTIONARY-3'!$A$2," ",'DICTIONARY-6'!$A$3," ",'DICTIONARY-2'!$A$2,"150"," ",'DICTIONARY-2'!$A$3,"10/16"," ","R15"," ",'DICTIONARY-5'!$A$38,", ",'DICTIONARY-4'!$A$2)</f>
        <v>EKOplus Zasuwa DN150 PN10/16 R15 DUPLEX, WW</v>
      </c>
      <c r="S348" s="733" t="str">
        <f>'DICTIONARY-4'!$A$2</f>
        <v>WW</v>
      </c>
      <c r="T348" s="732" t="str">
        <f>'DICTIONARY-4'!$A$18</f>
        <v>Wolny wałek</v>
      </c>
      <c r="U348" s="734" t="s">
        <v>5572</v>
      </c>
      <c r="V348" s="735">
        <v>16</v>
      </c>
      <c r="W348" s="736"/>
      <c r="X348" s="737"/>
      <c r="Y348" s="738"/>
      <c r="Z348" s="739"/>
      <c r="AA348" s="739"/>
      <c r="AB348" s="740">
        <v>16</v>
      </c>
      <c r="AC348" s="741" t="str">
        <f>'DICTIONARY-5'!$A$11&amp;" 15"</f>
        <v>EN 558 szereg 15</v>
      </c>
      <c r="AD348" s="741" t="str">
        <f>'DICTIONARY-5'!$A$15</f>
        <v>woda morska</v>
      </c>
      <c r="AE348" s="742">
        <v>50</v>
      </c>
      <c r="AF348" s="743">
        <v>34.700000000000003</v>
      </c>
      <c r="AG348" s="741" t="str">
        <f>'DICTIONARY-5'!$A$23</f>
        <v>powłoka epoksydowa</v>
      </c>
    </row>
    <row r="349" spans="1:33" x14ac:dyDescent="0.25">
      <c r="A349" s="844" t="s">
        <v>5525</v>
      </c>
      <c r="B349" s="844" t="s">
        <v>5150</v>
      </c>
      <c r="C349" s="836">
        <v>771</v>
      </c>
      <c r="D349" s="836"/>
      <c r="E349" s="836"/>
      <c r="F349" s="836"/>
      <c r="G349" s="496" t="s">
        <v>7793</v>
      </c>
      <c r="H349" s="797" t="str">
        <f>VLOOKUP(G349,SETTINGS!$B$7:$D$97,2,0)</f>
        <v>EKOplus Sea Water</v>
      </c>
      <c r="I349" s="796">
        <f>VLOOKUP(G349,SETTINGS!$B$7:$D$97,3,0)</f>
        <v>0</v>
      </c>
      <c r="J349" s="670" t="str">
        <f>IFERROR(IF(CURRENCY.FORMAT_1=0,CONCATENATE(TEXT(FIXED(ROUND((C349/EXC.RATE_1),CURRENCY.FORMAT_1),CURRENCY.FORMAT_1,1),"# ##0;-# ##0"),",-"),FIXED(ROUND((C349/EXC.RATE_1),CURRENCY.FORMAT_1),CURRENCY.FORMAT_1,0)),'DICTIONARY-5'!$A$2)</f>
        <v>771,-</v>
      </c>
      <c r="K349" s="670" t="str">
        <f>IF(EXC.RATE_2=0,"",IFERROR(IF(CURRENCY.FORMAT_2=0,CONCATENATE(TEXT(FIXED(ROUND(IF(EXC.RATE.SWITCH=1,C349/EXC.RATE_2,C349*EXC.RATE_2),CURRENCY.FORMAT_2),CURRENCY.FORMAT_2,1),"# ##0;-# ##0"),",-"),FIXED(ROUND(IF(EXC.RATE.SWITCH=1,C349/EXC.RATE_2,C349*EXC.RATE_2),CURRENCY.FORMAT_2),CURRENCY.FORMAT_2,0)),'DICTIONARY-5'!$A$2))</f>
        <v/>
      </c>
      <c r="L349" s="670" t="str">
        <f>IFERROR(IF(CURRENCY.FORMAT_1=0,CONCATENATE(TEXT(FIXED(ROUND((C349*(1-I349)*(1-ADD.DISCOUNT)*(1+MAT.SURCHARGE)/EXC.RATE_1),CURRENCY.FORMAT_1),CURRENCY.FORMAT_1,1),"# ##0;-# ##0"),",-"),FIXED(ROUND((C349*(1-I349)*(1-ADD.DISCOUNT)*(1+MAT.SURCHARGE)/EXC.RATE_1),CURRENCY.FORMAT_1),CURRENCY.FORMAT_1,0)),'DICTIONARY-5'!$A$2)</f>
        <v>801,-</v>
      </c>
      <c r="M349" s="670" t="str">
        <f>IF(EXC.RATE_2=0,"",IFERROR(IF(CURRENCY.FORMAT_2=0,CONCATENATE(TEXT(FIXED(ROUND(IF(EXC.RATE.SWITCH=1,C349*(1-I349)*(1-ADD.DISCOUNT)*(1+MAT.SURCHARGE)/EXC.RATE_2,C349*(1-I349)*(1-ADD.DISCOUNT)*(1+MAT.SURCHARGE)*EXC.RATE_2),CURRENCY.FORMAT_2),CURRENCY.FORMAT_2,1),"# ##0;-# ##0"),",-"),FIXED(ROUND(IF(EXC.RATE.SWITCH=1,C349*(1-I349)*(1-ADD.DISCOUNT)*(1+MAT.SURCHARGE)/EXC.RATE_2,C349*(1-I349)*(1-ADD.DISCOUNT)*(1+MAT.SURCHARGE)*EXC.RATE_2),CURRENCY.FORMAT_2),CURRENCY.FORMAT_2,0)),'DICTIONARY-5'!$A$2))</f>
        <v/>
      </c>
      <c r="N349" s="544">
        <v>1</v>
      </c>
      <c r="O349" s="654"/>
      <c r="P349" s="731" t="str">
        <f>'DICTIONARY-3'!$A$2</f>
        <v>EKOplus</v>
      </c>
      <c r="Q349" s="732" t="str">
        <f>'DICTIONARY-3'!$A$187</f>
        <v>Zasuwa klinowa</v>
      </c>
      <c r="R349" s="732" t="str">
        <f>CONCATENATE('DICTIONARY-3'!$A$2," ",'DICTIONARY-6'!$A$3," ",'DICTIONARY-2'!$A$2,"200"," ",'DICTIONARY-2'!$A$3,"10"," ","R15"," ",'DICTIONARY-5'!$A$38,", ",'DICTIONARY-4'!$A$2)</f>
        <v>EKOplus Zasuwa DN200 PN10 R15 DUPLEX, WW</v>
      </c>
      <c r="S349" s="733" t="str">
        <f>'DICTIONARY-4'!$A$2</f>
        <v>WW</v>
      </c>
      <c r="T349" s="732" t="str">
        <f>'DICTIONARY-4'!$A$18</f>
        <v>Wolny wałek</v>
      </c>
      <c r="U349" s="734" t="s">
        <v>5750</v>
      </c>
      <c r="V349" s="735">
        <v>10</v>
      </c>
      <c r="W349" s="736"/>
      <c r="X349" s="737"/>
      <c r="Y349" s="738"/>
      <c r="Z349" s="739"/>
      <c r="AA349" s="739"/>
      <c r="AB349" s="740">
        <v>10</v>
      </c>
      <c r="AC349" s="741" t="str">
        <f>'DICTIONARY-5'!$A$11&amp;" 15"</f>
        <v>EN 558 szereg 15</v>
      </c>
      <c r="AD349" s="741" t="str">
        <f>'DICTIONARY-5'!$A$15</f>
        <v>woda morska</v>
      </c>
      <c r="AE349" s="742">
        <v>50</v>
      </c>
      <c r="AF349" s="743">
        <v>57.3</v>
      </c>
      <c r="AG349" s="741" t="str">
        <f>'DICTIONARY-5'!$A$23</f>
        <v>powłoka epoksydowa</v>
      </c>
    </row>
    <row r="350" spans="1:33" x14ac:dyDescent="0.25">
      <c r="A350" s="844" t="s">
        <v>5526</v>
      </c>
      <c r="B350" s="844" t="s">
        <v>5152</v>
      </c>
      <c r="C350" s="836">
        <v>776</v>
      </c>
      <c r="D350" s="836"/>
      <c r="E350" s="836"/>
      <c r="F350" s="836"/>
      <c r="G350" s="496" t="s">
        <v>7793</v>
      </c>
      <c r="H350" s="797" t="str">
        <f>VLOOKUP(G350,SETTINGS!$B$7:$D$97,2,0)</f>
        <v>EKOplus Sea Water</v>
      </c>
      <c r="I350" s="796">
        <f>VLOOKUP(G350,SETTINGS!$B$7:$D$97,3,0)</f>
        <v>0</v>
      </c>
      <c r="J350" s="670" t="str">
        <f>IFERROR(IF(CURRENCY.FORMAT_1=0,CONCATENATE(TEXT(FIXED(ROUND((C350/EXC.RATE_1),CURRENCY.FORMAT_1),CURRENCY.FORMAT_1,1),"# ##0;-# ##0"),",-"),FIXED(ROUND((C350/EXC.RATE_1),CURRENCY.FORMAT_1),CURRENCY.FORMAT_1,0)),'DICTIONARY-5'!$A$2)</f>
        <v>776,-</v>
      </c>
      <c r="K350" s="670" t="str">
        <f>IF(EXC.RATE_2=0,"",IFERROR(IF(CURRENCY.FORMAT_2=0,CONCATENATE(TEXT(FIXED(ROUND(IF(EXC.RATE.SWITCH=1,C350/EXC.RATE_2,C350*EXC.RATE_2),CURRENCY.FORMAT_2),CURRENCY.FORMAT_2,1),"# ##0;-# ##0"),",-"),FIXED(ROUND(IF(EXC.RATE.SWITCH=1,C350/EXC.RATE_2,C350*EXC.RATE_2),CURRENCY.FORMAT_2),CURRENCY.FORMAT_2,0)),'DICTIONARY-5'!$A$2))</f>
        <v/>
      </c>
      <c r="L350" s="670" t="str">
        <f>IFERROR(IF(CURRENCY.FORMAT_1=0,CONCATENATE(TEXT(FIXED(ROUND((C350*(1-I350)*(1-ADD.DISCOUNT)*(1+MAT.SURCHARGE)/EXC.RATE_1),CURRENCY.FORMAT_1),CURRENCY.FORMAT_1,1),"# ##0;-# ##0"),",-"),FIXED(ROUND((C350*(1-I350)*(1-ADD.DISCOUNT)*(1+MAT.SURCHARGE)/EXC.RATE_1),CURRENCY.FORMAT_1),CURRENCY.FORMAT_1,0)),'DICTIONARY-5'!$A$2)</f>
        <v>806,-</v>
      </c>
      <c r="M350" s="670" t="str">
        <f>IF(EXC.RATE_2=0,"",IFERROR(IF(CURRENCY.FORMAT_2=0,CONCATENATE(TEXT(FIXED(ROUND(IF(EXC.RATE.SWITCH=1,C350*(1-I350)*(1-ADD.DISCOUNT)*(1+MAT.SURCHARGE)/EXC.RATE_2,C350*(1-I350)*(1-ADD.DISCOUNT)*(1+MAT.SURCHARGE)*EXC.RATE_2),CURRENCY.FORMAT_2),CURRENCY.FORMAT_2,1),"# ##0;-# ##0"),",-"),FIXED(ROUND(IF(EXC.RATE.SWITCH=1,C350*(1-I350)*(1-ADD.DISCOUNT)*(1+MAT.SURCHARGE)/EXC.RATE_2,C350*(1-I350)*(1-ADD.DISCOUNT)*(1+MAT.SURCHARGE)*EXC.RATE_2),CURRENCY.FORMAT_2),CURRENCY.FORMAT_2,0)),'DICTIONARY-5'!$A$2))</f>
        <v/>
      </c>
      <c r="N350" s="544">
        <v>1</v>
      </c>
      <c r="O350" s="654"/>
      <c r="P350" s="731" t="str">
        <f>'DICTIONARY-3'!$A$2</f>
        <v>EKOplus</v>
      </c>
      <c r="Q350" s="732" t="str">
        <f>'DICTIONARY-3'!$A$187</f>
        <v>Zasuwa klinowa</v>
      </c>
      <c r="R350" s="732" t="str">
        <f>CONCATENATE('DICTIONARY-3'!$A$2," ",'DICTIONARY-6'!$A$3," ",'DICTIONARY-2'!$A$2,"200"," ",'DICTIONARY-2'!$A$3,"16"," ","R15"," ",'DICTIONARY-5'!$A$38,", ",'DICTIONARY-4'!$A$2)</f>
        <v>EKOplus Zasuwa DN200 PN16 R15 DUPLEX, WW</v>
      </c>
      <c r="S350" s="733" t="str">
        <f>'DICTIONARY-4'!$A$2</f>
        <v>WW</v>
      </c>
      <c r="T350" s="732" t="str">
        <f>'DICTIONARY-4'!$A$18</f>
        <v>Wolny wałek</v>
      </c>
      <c r="U350" s="734" t="s">
        <v>5750</v>
      </c>
      <c r="V350" s="735">
        <v>16</v>
      </c>
      <c r="W350" s="736"/>
      <c r="X350" s="737"/>
      <c r="Y350" s="738"/>
      <c r="Z350" s="739"/>
      <c r="AA350" s="739"/>
      <c r="AB350" s="740">
        <v>16</v>
      </c>
      <c r="AC350" s="741" t="str">
        <f>'DICTIONARY-5'!$A$11&amp;" 15"</f>
        <v>EN 558 szereg 15</v>
      </c>
      <c r="AD350" s="741" t="str">
        <f>'DICTIONARY-5'!$A$15</f>
        <v>woda morska</v>
      </c>
      <c r="AE350" s="742">
        <v>50</v>
      </c>
      <c r="AF350" s="743">
        <v>60</v>
      </c>
      <c r="AG350" s="741" t="str">
        <f>'DICTIONARY-5'!$A$23</f>
        <v>powłoka epoksydowa</v>
      </c>
    </row>
    <row r="351" spans="1:33" x14ac:dyDescent="0.25">
      <c r="A351" s="844" t="s">
        <v>5527</v>
      </c>
      <c r="B351" s="844" t="s">
        <v>5154</v>
      </c>
      <c r="C351" s="836">
        <v>1406</v>
      </c>
      <c r="D351" s="836"/>
      <c r="E351" s="836"/>
      <c r="F351" s="836"/>
      <c r="G351" s="496" t="s">
        <v>7793</v>
      </c>
      <c r="H351" s="797" t="str">
        <f>VLOOKUP(G351,SETTINGS!$B$7:$D$97,2,0)</f>
        <v>EKOplus Sea Water</v>
      </c>
      <c r="I351" s="796">
        <f>VLOOKUP(G351,SETTINGS!$B$7:$D$97,3,0)</f>
        <v>0</v>
      </c>
      <c r="J351" s="670" t="str">
        <f>IFERROR(IF(CURRENCY.FORMAT_1=0,CONCATENATE(TEXT(FIXED(ROUND((C351/EXC.RATE_1),CURRENCY.FORMAT_1),CURRENCY.FORMAT_1,1),"# ##0;-# ##0"),",-"),FIXED(ROUND((C351/EXC.RATE_1),CURRENCY.FORMAT_1),CURRENCY.FORMAT_1,0)),'DICTIONARY-5'!$A$2)</f>
        <v>1 406,-</v>
      </c>
      <c r="K351" s="670" t="str">
        <f>IF(EXC.RATE_2=0,"",IFERROR(IF(CURRENCY.FORMAT_2=0,CONCATENATE(TEXT(FIXED(ROUND(IF(EXC.RATE.SWITCH=1,C351/EXC.RATE_2,C351*EXC.RATE_2),CURRENCY.FORMAT_2),CURRENCY.FORMAT_2,1),"# ##0;-# ##0"),",-"),FIXED(ROUND(IF(EXC.RATE.SWITCH=1,C351/EXC.RATE_2,C351*EXC.RATE_2),CURRENCY.FORMAT_2),CURRENCY.FORMAT_2,0)),'DICTIONARY-5'!$A$2))</f>
        <v/>
      </c>
      <c r="L351" s="670" t="str">
        <f>IFERROR(IF(CURRENCY.FORMAT_1=0,CONCATENATE(TEXT(FIXED(ROUND((C351*(1-I351)*(1-ADD.DISCOUNT)*(1+MAT.SURCHARGE)/EXC.RATE_1),CURRENCY.FORMAT_1),CURRENCY.FORMAT_1,1),"# ##0;-# ##0"),",-"),FIXED(ROUND((C351*(1-I351)*(1-ADD.DISCOUNT)*(1+MAT.SURCHARGE)/EXC.RATE_1),CURRENCY.FORMAT_1),CURRENCY.FORMAT_1,0)),'DICTIONARY-5'!$A$2)</f>
        <v>1 461,-</v>
      </c>
      <c r="M351" s="670" t="str">
        <f>IF(EXC.RATE_2=0,"",IFERROR(IF(CURRENCY.FORMAT_2=0,CONCATENATE(TEXT(FIXED(ROUND(IF(EXC.RATE.SWITCH=1,C351*(1-I351)*(1-ADD.DISCOUNT)*(1+MAT.SURCHARGE)/EXC.RATE_2,C351*(1-I351)*(1-ADD.DISCOUNT)*(1+MAT.SURCHARGE)*EXC.RATE_2),CURRENCY.FORMAT_2),CURRENCY.FORMAT_2,1),"# ##0;-# ##0"),",-"),FIXED(ROUND(IF(EXC.RATE.SWITCH=1,C351*(1-I351)*(1-ADD.DISCOUNT)*(1+MAT.SURCHARGE)/EXC.RATE_2,C351*(1-I351)*(1-ADD.DISCOUNT)*(1+MAT.SURCHARGE)*EXC.RATE_2),CURRENCY.FORMAT_2),CURRENCY.FORMAT_2,0)),'DICTIONARY-5'!$A$2))</f>
        <v/>
      </c>
      <c r="N351" s="544">
        <v>1</v>
      </c>
      <c r="O351" s="654"/>
      <c r="P351" s="731" t="str">
        <f>'DICTIONARY-3'!$A$2</f>
        <v>EKOplus</v>
      </c>
      <c r="Q351" s="732" t="str">
        <f>'DICTIONARY-3'!$A$187</f>
        <v>Zasuwa klinowa</v>
      </c>
      <c r="R351" s="732" t="str">
        <f>CONCATENATE('DICTIONARY-3'!$A$2," ",'DICTIONARY-6'!$A$3," ",'DICTIONARY-2'!$A$2,"250"," ",'DICTIONARY-2'!$A$3,"10"," ","R15"," ",'DICTIONARY-5'!$A$38,", ",'DICTIONARY-4'!$A$2)</f>
        <v>EKOplus Zasuwa DN250 PN10 R15 DUPLEX, WW</v>
      </c>
      <c r="S351" s="733" t="str">
        <f>'DICTIONARY-4'!$A$2</f>
        <v>WW</v>
      </c>
      <c r="T351" s="732" t="str">
        <f>'DICTIONARY-4'!$A$18</f>
        <v>Wolny wałek</v>
      </c>
      <c r="U351" s="734" t="s">
        <v>5751</v>
      </c>
      <c r="V351" s="735">
        <v>10</v>
      </c>
      <c r="W351" s="736"/>
      <c r="X351" s="737"/>
      <c r="Y351" s="738"/>
      <c r="Z351" s="739"/>
      <c r="AA351" s="739"/>
      <c r="AB351" s="740">
        <v>10</v>
      </c>
      <c r="AC351" s="741" t="str">
        <f>'DICTIONARY-5'!$A$11&amp;" 15"</f>
        <v>EN 558 szereg 15</v>
      </c>
      <c r="AD351" s="741" t="str">
        <f>'DICTIONARY-5'!$A$15</f>
        <v>woda morska</v>
      </c>
      <c r="AE351" s="742">
        <v>50</v>
      </c>
      <c r="AF351" s="743">
        <v>112</v>
      </c>
      <c r="AG351" s="741" t="str">
        <f>'DICTIONARY-5'!$A$23</f>
        <v>powłoka epoksydowa</v>
      </c>
    </row>
    <row r="352" spans="1:33" x14ac:dyDescent="0.25">
      <c r="A352" s="844" t="s">
        <v>5528</v>
      </c>
      <c r="B352" s="844" t="s">
        <v>5156</v>
      </c>
      <c r="C352" s="836">
        <v>1415</v>
      </c>
      <c r="D352" s="836"/>
      <c r="E352" s="836"/>
      <c r="F352" s="836"/>
      <c r="G352" s="496" t="s">
        <v>7793</v>
      </c>
      <c r="H352" s="797" t="str">
        <f>VLOOKUP(G352,SETTINGS!$B$7:$D$97,2,0)</f>
        <v>EKOplus Sea Water</v>
      </c>
      <c r="I352" s="796">
        <f>VLOOKUP(G352,SETTINGS!$B$7:$D$97,3,0)</f>
        <v>0</v>
      </c>
      <c r="J352" s="670" t="str">
        <f>IFERROR(IF(CURRENCY.FORMAT_1=0,CONCATENATE(TEXT(FIXED(ROUND((C352/EXC.RATE_1),CURRENCY.FORMAT_1),CURRENCY.FORMAT_1,1),"# ##0;-# ##0"),",-"),FIXED(ROUND((C352/EXC.RATE_1),CURRENCY.FORMAT_1),CURRENCY.FORMAT_1,0)),'DICTIONARY-5'!$A$2)</f>
        <v>1 415,-</v>
      </c>
      <c r="K352" s="670" t="str">
        <f>IF(EXC.RATE_2=0,"",IFERROR(IF(CURRENCY.FORMAT_2=0,CONCATENATE(TEXT(FIXED(ROUND(IF(EXC.RATE.SWITCH=1,C352/EXC.RATE_2,C352*EXC.RATE_2),CURRENCY.FORMAT_2),CURRENCY.FORMAT_2,1),"# ##0;-# ##0"),",-"),FIXED(ROUND(IF(EXC.RATE.SWITCH=1,C352/EXC.RATE_2,C352*EXC.RATE_2),CURRENCY.FORMAT_2),CURRENCY.FORMAT_2,0)),'DICTIONARY-5'!$A$2))</f>
        <v/>
      </c>
      <c r="L352" s="670" t="str">
        <f>IFERROR(IF(CURRENCY.FORMAT_1=0,CONCATENATE(TEXT(FIXED(ROUND((C352*(1-I352)*(1-ADD.DISCOUNT)*(1+MAT.SURCHARGE)/EXC.RATE_1),CURRENCY.FORMAT_1),CURRENCY.FORMAT_1,1),"# ##0;-# ##0"),",-"),FIXED(ROUND((C352*(1-I352)*(1-ADD.DISCOUNT)*(1+MAT.SURCHARGE)/EXC.RATE_1),CURRENCY.FORMAT_1),CURRENCY.FORMAT_1,0)),'DICTIONARY-5'!$A$2)</f>
        <v>1 470,-</v>
      </c>
      <c r="M352" s="670" t="str">
        <f>IF(EXC.RATE_2=0,"",IFERROR(IF(CURRENCY.FORMAT_2=0,CONCATENATE(TEXT(FIXED(ROUND(IF(EXC.RATE.SWITCH=1,C352*(1-I352)*(1-ADD.DISCOUNT)*(1+MAT.SURCHARGE)/EXC.RATE_2,C352*(1-I352)*(1-ADD.DISCOUNT)*(1+MAT.SURCHARGE)*EXC.RATE_2),CURRENCY.FORMAT_2),CURRENCY.FORMAT_2,1),"# ##0;-# ##0"),",-"),FIXED(ROUND(IF(EXC.RATE.SWITCH=1,C352*(1-I352)*(1-ADD.DISCOUNT)*(1+MAT.SURCHARGE)/EXC.RATE_2,C352*(1-I352)*(1-ADD.DISCOUNT)*(1+MAT.SURCHARGE)*EXC.RATE_2),CURRENCY.FORMAT_2),CURRENCY.FORMAT_2,0)),'DICTIONARY-5'!$A$2))</f>
        <v/>
      </c>
      <c r="N352" s="544">
        <v>1</v>
      </c>
      <c r="O352" s="654"/>
      <c r="P352" s="731" t="str">
        <f>'DICTIONARY-3'!$A$2</f>
        <v>EKOplus</v>
      </c>
      <c r="Q352" s="732" t="str">
        <f>'DICTIONARY-3'!$A$187</f>
        <v>Zasuwa klinowa</v>
      </c>
      <c r="R352" s="732" t="str">
        <f>CONCATENATE('DICTIONARY-3'!$A$2," ",'DICTIONARY-6'!$A$3," ",'DICTIONARY-2'!$A$2,"250"," ",'DICTIONARY-2'!$A$3,"16"," ","R15"," ",'DICTIONARY-5'!$A$38,", ",'DICTIONARY-4'!$A$2)</f>
        <v>EKOplus Zasuwa DN250 PN16 R15 DUPLEX, WW</v>
      </c>
      <c r="S352" s="733" t="str">
        <f>'DICTIONARY-4'!$A$2</f>
        <v>WW</v>
      </c>
      <c r="T352" s="732" t="str">
        <f>'DICTIONARY-4'!$A$18</f>
        <v>Wolny wałek</v>
      </c>
      <c r="U352" s="734" t="s">
        <v>5751</v>
      </c>
      <c r="V352" s="735">
        <v>16</v>
      </c>
      <c r="W352" s="736"/>
      <c r="X352" s="737"/>
      <c r="Y352" s="738"/>
      <c r="Z352" s="739"/>
      <c r="AA352" s="739"/>
      <c r="AB352" s="740">
        <v>16</v>
      </c>
      <c r="AC352" s="741" t="str">
        <f>'DICTIONARY-5'!$A$11&amp;" 15"</f>
        <v>EN 558 szereg 15</v>
      </c>
      <c r="AD352" s="741" t="str">
        <f>'DICTIONARY-5'!$A$15</f>
        <v>woda morska</v>
      </c>
      <c r="AE352" s="742">
        <v>50</v>
      </c>
      <c r="AF352" s="743">
        <v>101</v>
      </c>
      <c r="AG352" s="741" t="str">
        <f>'DICTIONARY-5'!$A$23</f>
        <v>powłoka epoksydowa</v>
      </c>
    </row>
    <row r="353" spans="1:33" x14ac:dyDescent="0.25">
      <c r="A353" s="844" t="s">
        <v>5529</v>
      </c>
      <c r="B353" s="844" t="s">
        <v>5158</v>
      </c>
      <c r="C353" s="836">
        <v>1712</v>
      </c>
      <c r="D353" s="836"/>
      <c r="E353" s="836"/>
      <c r="F353" s="836"/>
      <c r="G353" s="496" t="s">
        <v>7793</v>
      </c>
      <c r="H353" s="797" t="str">
        <f>VLOOKUP(G353,SETTINGS!$B$7:$D$97,2,0)</f>
        <v>EKOplus Sea Water</v>
      </c>
      <c r="I353" s="796">
        <f>VLOOKUP(G353,SETTINGS!$B$7:$D$97,3,0)</f>
        <v>0</v>
      </c>
      <c r="J353" s="670" t="str">
        <f>IFERROR(IF(CURRENCY.FORMAT_1=0,CONCATENATE(TEXT(FIXED(ROUND((C353/EXC.RATE_1),CURRENCY.FORMAT_1),CURRENCY.FORMAT_1,1),"# ##0;-# ##0"),",-"),FIXED(ROUND((C353/EXC.RATE_1),CURRENCY.FORMAT_1),CURRENCY.FORMAT_1,0)),'DICTIONARY-5'!$A$2)</f>
        <v>1 712,-</v>
      </c>
      <c r="K353" s="670" t="str">
        <f>IF(EXC.RATE_2=0,"",IFERROR(IF(CURRENCY.FORMAT_2=0,CONCATENATE(TEXT(FIXED(ROUND(IF(EXC.RATE.SWITCH=1,C353/EXC.RATE_2,C353*EXC.RATE_2),CURRENCY.FORMAT_2),CURRENCY.FORMAT_2,1),"# ##0;-# ##0"),",-"),FIXED(ROUND(IF(EXC.RATE.SWITCH=1,C353/EXC.RATE_2,C353*EXC.RATE_2),CURRENCY.FORMAT_2),CURRENCY.FORMAT_2,0)),'DICTIONARY-5'!$A$2))</f>
        <v/>
      </c>
      <c r="L353" s="670" t="str">
        <f>IFERROR(IF(CURRENCY.FORMAT_1=0,CONCATENATE(TEXT(FIXED(ROUND((C353*(1-I353)*(1-ADD.DISCOUNT)*(1+MAT.SURCHARGE)/EXC.RATE_1),CURRENCY.FORMAT_1),CURRENCY.FORMAT_1,1),"# ##0;-# ##0"),",-"),FIXED(ROUND((C353*(1-I353)*(1-ADD.DISCOUNT)*(1+MAT.SURCHARGE)/EXC.RATE_1),CURRENCY.FORMAT_1),CURRENCY.FORMAT_1,0)),'DICTIONARY-5'!$A$2)</f>
        <v>1 779,-</v>
      </c>
      <c r="M353" s="670" t="str">
        <f>IF(EXC.RATE_2=0,"",IFERROR(IF(CURRENCY.FORMAT_2=0,CONCATENATE(TEXT(FIXED(ROUND(IF(EXC.RATE.SWITCH=1,C353*(1-I353)*(1-ADD.DISCOUNT)*(1+MAT.SURCHARGE)/EXC.RATE_2,C353*(1-I353)*(1-ADD.DISCOUNT)*(1+MAT.SURCHARGE)*EXC.RATE_2),CURRENCY.FORMAT_2),CURRENCY.FORMAT_2,1),"# ##0;-# ##0"),",-"),FIXED(ROUND(IF(EXC.RATE.SWITCH=1,C353*(1-I353)*(1-ADD.DISCOUNT)*(1+MAT.SURCHARGE)/EXC.RATE_2,C353*(1-I353)*(1-ADD.DISCOUNT)*(1+MAT.SURCHARGE)*EXC.RATE_2),CURRENCY.FORMAT_2),CURRENCY.FORMAT_2,0)),'DICTIONARY-5'!$A$2))</f>
        <v/>
      </c>
      <c r="N353" s="544">
        <v>1</v>
      </c>
      <c r="O353" s="654"/>
      <c r="P353" s="731" t="str">
        <f>'DICTIONARY-3'!$A$2</f>
        <v>EKOplus</v>
      </c>
      <c r="Q353" s="732" t="str">
        <f>'DICTIONARY-3'!$A$187</f>
        <v>Zasuwa klinowa</v>
      </c>
      <c r="R353" s="732" t="str">
        <f>CONCATENATE('DICTIONARY-3'!$A$2," ",'DICTIONARY-6'!$A$3," ",'DICTIONARY-2'!$A$2,"300"," ",'DICTIONARY-2'!$A$3,"10"," ","R15"," ",'DICTIONARY-5'!$A$38,", ",'DICTIONARY-4'!$A$2)</f>
        <v>EKOplus Zasuwa DN300 PN10 R15 DUPLEX, WW</v>
      </c>
      <c r="S353" s="733" t="str">
        <f>'DICTIONARY-4'!$A$2</f>
        <v>WW</v>
      </c>
      <c r="T353" s="732" t="str">
        <f>'DICTIONARY-4'!$A$18</f>
        <v>Wolny wałek</v>
      </c>
      <c r="U353" s="734" t="s">
        <v>5752</v>
      </c>
      <c r="V353" s="735">
        <v>10</v>
      </c>
      <c r="W353" s="736"/>
      <c r="X353" s="737"/>
      <c r="Y353" s="738"/>
      <c r="Z353" s="739"/>
      <c r="AA353" s="739"/>
      <c r="AB353" s="740">
        <v>10</v>
      </c>
      <c r="AC353" s="741" t="str">
        <f>'DICTIONARY-5'!$A$11&amp;" 15"</f>
        <v>EN 558 szereg 15</v>
      </c>
      <c r="AD353" s="741" t="str">
        <f>'DICTIONARY-5'!$A$15</f>
        <v>woda morska</v>
      </c>
      <c r="AE353" s="742">
        <v>50</v>
      </c>
      <c r="AF353" s="743">
        <v>132.30000000000001</v>
      </c>
      <c r="AG353" s="741" t="str">
        <f>'DICTIONARY-5'!$A$23</f>
        <v>powłoka epoksydowa</v>
      </c>
    </row>
    <row r="354" spans="1:33" x14ac:dyDescent="0.25">
      <c r="A354" s="844" t="s">
        <v>5530</v>
      </c>
      <c r="B354" s="844" t="s">
        <v>5160</v>
      </c>
      <c r="C354" s="836">
        <v>1712</v>
      </c>
      <c r="D354" s="836"/>
      <c r="E354" s="836"/>
      <c r="F354" s="836"/>
      <c r="G354" s="496" t="s">
        <v>7793</v>
      </c>
      <c r="H354" s="797" t="str">
        <f>VLOOKUP(G354,SETTINGS!$B$7:$D$97,2,0)</f>
        <v>EKOplus Sea Water</v>
      </c>
      <c r="I354" s="796">
        <f>VLOOKUP(G354,SETTINGS!$B$7:$D$97,3,0)</f>
        <v>0</v>
      </c>
      <c r="J354" s="670" t="str">
        <f>IFERROR(IF(CURRENCY.FORMAT_1=0,CONCATENATE(TEXT(FIXED(ROUND((C354/EXC.RATE_1),CURRENCY.FORMAT_1),CURRENCY.FORMAT_1,1),"# ##0;-# ##0"),",-"),FIXED(ROUND((C354/EXC.RATE_1),CURRENCY.FORMAT_1),CURRENCY.FORMAT_1,0)),'DICTIONARY-5'!$A$2)</f>
        <v>1 712,-</v>
      </c>
      <c r="K354" s="670" t="str">
        <f>IF(EXC.RATE_2=0,"",IFERROR(IF(CURRENCY.FORMAT_2=0,CONCATENATE(TEXT(FIXED(ROUND(IF(EXC.RATE.SWITCH=1,C354/EXC.RATE_2,C354*EXC.RATE_2),CURRENCY.FORMAT_2),CURRENCY.FORMAT_2,1),"# ##0;-# ##0"),",-"),FIXED(ROUND(IF(EXC.RATE.SWITCH=1,C354/EXC.RATE_2,C354*EXC.RATE_2),CURRENCY.FORMAT_2),CURRENCY.FORMAT_2,0)),'DICTIONARY-5'!$A$2))</f>
        <v/>
      </c>
      <c r="L354" s="670" t="str">
        <f>IFERROR(IF(CURRENCY.FORMAT_1=0,CONCATENATE(TEXT(FIXED(ROUND((C354*(1-I354)*(1-ADD.DISCOUNT)*(1+MAT.SURCHARGE)/EXC.RATE_1),CURRENCY.FORMAT_1),CURRENCY.FORMAT_1,1),"# ##0;-# ##0"),",-"),FIXED(ROUND((C354*(1-I354)*(1-ADD.DISCOUNT)*(1+MAT.SURCHARGE)/EXC.RATE_1),CURRENCY.FORMAT_1),CURRENCY.FORMAT_1,0)),'DICTIONARY-5'!$A$2)</f>
        <v>1 779,-</v>
      </c>
      <c r="M354" s="670" t="str">
        <f>IF(EXC.RATE_2=0,"",IFERROR(IF(CURRENCY.FORMAT_2=0,CONCATENATE(TEXT(FIXED(ROUND(IF(EXC.RATE.SWITCH=1,C354*(1-I354)*(1-ADD.DISCOUNT)*(1+MAT.SURCHARGE)/EXC.RATE_2,C354*(1-I354)*(1-ADD.DISCOUNT)*(1+MAT.SURCHARGE)*EXC.RATE_2),CURRENCY.FORMAT_2),CURRENCY.FORMAT_2,1),"# ##0;-# ##0"),",-"),FIXED(ROUND(IF(EXC.RATE.SWITCH=1,C354*(1-I354)*(1-ADD.DISCOUNT)*(1+MAT.SURCHARGE)/EXC.RATE_2,C354*(1-I354)*(1-ADD.DISCOUNT)*(1+MAT.SURCHARGE)*EXC.RATE_2),CURRENCY.FORMAT_2),CURRENCY.FORMAT_2,0)),'DICTIONARY-5'!$A$2))</f>
        <v/>
      </c>
      <c r="N354" s="544">
        <v>1</v>
      </c>
      <c r="O354" s="654"/>
      <c r="P354" s="731" t="str">
        <f>'DICTIONARY-3'!$A$2</f>
        <v>EKOplus</v>
      </c>
      <c r="Q354" s="732" t="str">
        <f>'DICTIONARY-3'!$A$187</f>
        <v>Zasuwa klinowa</v>
      </c>
      <c r="R354" s="732" t="str">
        <f>CONCATENATE('DICTIONARY-3'!$A$2," ",'DICTIONARY-6'!$A$3," ",'DICTIONARY-2'!$A$2,"300"," ",'DICTIONARY-2'!$A$3,"16"," ","R15"," ",'DICTIONARY-5'!$A$38,", ",'DICTIONARY-4'!$A$2)</f>
        <v>EKOplus Zasuwa DN300 PN16 R15 DUPLEX, WW</v>
      </c>
      <c r="S354" s="733" t="str">
        <f>'DICTIONARY-4'!$A$2</f>
        <v>WW</v>
      </c>
      <c r="T354" s="732" t="str">
        <f>'DICTIONARY-4'!$A$18</f>
        <v>Wolny wałek</v>
      </c>
      <c r="U354" s="734" t="s">
        <v>5752</v>
      </c>
      <c r="V354" s="735">
        <v>16</v>
      </c>
      <c r="W354" s="736"/>
      <c r="X354" s="737"/>
      <c r="Y354" s="738"/>
      <c r="Z354" s="739"/>
      <c r="AA354" s="739"/>
      <c r="AB354" s="740">
        <v>16</v>
      </c>
      <c r="AC354" s="741" t="str">
        <f>'DICTIONARY-5'!$A$11&amp;" 15"</f>
        <v>EN 558 szereg 15</v>
      </c>
      <c r="AD354" s="741" t="str">
        <f>'DICTIONARY-5'!$A$15</f>
        <v>woda morska</v>
      </c>
      <c r="AE354" s="742">
        <v>50</v>
      </c>
      <c r="AF354" s="743">
        <v>131.80000000000001</v>
      </c>
      <c r="AG354" s="741" t="str">
        <f>'DICTIONARY-5'!$A$23</f>
        <v>powłoka epoksydowa</v>
      </c>
    </row>
    <row r="355" spans="1:33" x14ac:dyDescent="0.25">
      <c r="A355" s="844" t="s">
        <v>5531</v>
      </c>
      <c r="B355" s="844" t="s">
        <v>5162</v>
      </c>
      <c r="C355" s="836">
        <v>2790</v>
      </c>
      <c r="D355" s="836"/>
      <c r="E355" s="836"/>
      <c r="F355" s="836"/>
      <c r="G355" s="496" t="s">
        <v>7793</v>
      </c>
      <c r="H355" s="797" t="str">
        <f>VLOOKUP(G355,SETTINGS!$B$7:$D$97,2,0)</f>
        <v>EKOplus Sea Water</v>
      </c>
      <c r="I355" s="796">
        <f>VLOOKUP(G355,SETTINGS!$B$7:$D$97,3,0)</f>
        <v>0</v>
      </c>
      <c r="J355" s="670" t="str">
        <f>IFERROR(IF(CURRENCY.FORMAT_1=0,CONCATENATE(TEXT(FIXED(ROUND((C355/EXC.RATE_1),CURRENCY.FORMAT_1),CURRENCY.FORMAT_1,1),"# ##0;-# ##0"),",-"),FIXED(ROUND((C355/EXC.RATE_1),CURRENCY.FORMAT_1),CURRENCY.FORMAT_1,0)),'DICTIONARY-5'!$A$2)</f>
        <v>2 790,-</v>
      </c>
      <c r="K355" s="670" t="str">
        <f>IF(EXC.RATE_2=0,"",IFERROR(IF(CURRENCY.FORMAT_2=0,CONCATENATE(TEXT(FIXED(ROUND(IF(EXC.RATE.SWITCH=1,C355/EXC.RATE_2,C355*EXC.RATE_2),CURRENCY.FORMAT_2),CURRENCY.FORMAT_2,1),"# ##0;-# ##0"),",-"),FIXED(ROUND(IF(EXC.RATE.SWITCH=1,C355/EXC.RATE_2,C355*EXC.RATE_2),CURRENCY.FORMAT_2),CURRENCY.FORMAT_2,0)),'DICTIONARY-5'!$A$2))</f>
        <v/>
      </c>
      <c r="L355" s="670" t="str">
        <f>IFERROR(IF(CURRENCY.FORMAT_1=0,CONCATENATE(TEXT(FIXED(ROUND((C355*(1-I355)*(1-ADD.DISCOUNT)*(1+MAT.SURCHARGE)/EXC.RATE_1),CURRENCY.FORMAT_1),CURRENCY.FORMAT_1,1),"# ##0;-# ##0"),",-"),FIXED(ROUND((C355*(1-I355)*(1-ADD.DISCOUNT)*(1+MAT.SURCHARGE)/EXC.RATE_1),CURRENCY.FORMAT_1),CURRENCY.FORMAT_1,0)),'DICTIONARY-5'!$A$2)</f>
        <v>2 899,-</v>
      </c>
      <c r="M355" s="670" t="str">
        <f>IF(EXC.RATE_2=0,"",IFERROR(IF(CURRENCY.FORMAT_2=0,CONCATENATE(TEXT(FIXED(ROUND(IF(EXC.RATE.SWITCH=1,C355*(1-I355)*(1-ADD.DISCOUNT)*(1+MAT.SURCHARGE)/EXC.RATE_2,C355*(1-I355)*(1-ADD.DISCOUNT)*(1+MAT.SURCHARGE)*EXC.RATE_2),CURRENCY.FORMAT_2),CURRENCY.FORMAT_2,1),"# ##0;-# ##0"),",-"),FIXED(ROUND(IF(EXC.RATE.SWITCH=1,C355*(1-I355)*(1-ADD.DISCOUNT)*(1+MAT.SURCHARGE)/EXC.RATE_2,C355*(1-I355)*(1-ADD.DISCOUNT)*(1+MAT.SURCHARGE)*EXC.RATE_2),CURRENCY.FORMAT_2),CURRENCY.FORMAT_2,0)),'DICTIONARY-5'!$A$2))</f>
        <v/>
      </c>
      <c r="N355" s="544">
        <v>1</v>
      </c>
      <c r="O355" s="654"/>
      <c r="P355" s="731" t="str">
        <f>'DICTIONARY-3'!$A$2</f>
        <v>EKOplus</v>
      </c>
      <c r="Q355" s="732" t="str">
        <f>'DICTIONARY-3'!$A$187</f>
        <v>Zasuwa klinowa</v>
      </c>
      <c r="R355" s="732" t="str">
        <f>CONCATENATE('DICTIONARY-3'!$A$2," ",'DICTIONARY-6'!$A$3," ",'DICTIONARY-2'!$A$2,"350"," ",'DICTIONARY-2'!$A$3,"10"," ","R15"," ",'DICTIONARY-5'!$A$38,", ",'DICTIONARY-4'!$A$2)</f>
        <v>EKOplus Zasuwa DN350 PN10 R15 DUPLEX, WW</v>
      </c>
      <c r="S355" s="733" t="str">
        <f>'DICTIONARY-4'!$A$2</f>
        <v>WW</v>
      </c>
      <c r="T355" s="732" t="str">
        <f>'DICTIONARY-4'!$A$18</f>
        <v>Wolny wałek</v>
      </c>
      <c r="U355" s="734" t="s">
        <v>5753</v>
      </c>
      <c r="V355" s="735">
        <v>10</v>
      </c>
      <c r="W355" s="736"/>
      <c r="X355" s="737"/>
      <c r="Y355" s="738"/>
      <c r="Z355" s="739"/>
      <c r="AA355" s="739"/>
      <c r="AB355" s="740">
        <v>10</v>
      </c>
      <c r="AC355" s="741" t="str">
        <f>'DICTIONARY-5'!$A$11&amp;" 15"</f>
        <v>EN 558 szereg 15</v>
      </c>
      <c r="AD355" s="741" t="str">
        <f>'DICTIONARY-5'!$A$15</f>
        <v>woda morska</v>
      </c>
      <c r="AE355" s="742">
        <v>50</v>
      </c>
      <c r="AF355" s="743">
        <v>276.3</v>
      </c>
      <c r="AG355" s="741" t="str">
        <f>'DICTIONARY-5'!$A$23</f>
        <v>powłoka epoksydowa</v>
      </c>
    </row>
    <row r="356" spans="1:33" x14ac:dyDescent="0.25">
      <c r="A356" s="844" t="s">
        <v>5532</v>
      </c>
      <c r="B356" s="844" t="s">
        <v>5164</v>
      </c>
      <c r="C356" s="836">
        <v>2762</v>
      </c>
      <c r="D356" s="836"/>
      <c r="E356" s="836"/>
      <c r="F356" s="836"/>
      <c r="G356" s="496" t="s">
        <v>7793</v>
      </c>
      <c r="H356" s="797" t="str">
        <f>VLOOKUP(G356,SETTINGS!$B$7:$D$97,2,0)</f>
        <v>EKOplus Sea Water</v>
      </c>
      <c r="I356" s="796">
        <f>VLOOKUP(G356,SETTINGS!$B$7:$D$97,3,0)</f>
        <v>0</v>
      </c>
      <c r="J356" s="670" t="str">
        <f>IFERROR(IF(CURRENCY.FORMAT_1=0,CONCATENATE(TEXT(FIXED(ROUND((C356/EXC.RATE_1),CURRENCY.FORMAT_1),CURRENCY.FORMAT_1,1),"# ##0;-# ##0"),",-"),FIXED(ROUND((C356/EXC.RATE_1),CURRENCY.FORMAT_1),CURRENCY.FORMAT_1,0)),'DICTIONARY-5'!$A$2)</f>
        <v>2 762,-</v>
      </c>
      <c r="K356" s="670" t="str">
        <f>IF(EXC.RATE_2=0,"",IFERROR(IF(CURRENCY.FORMAT_2=0,CONCATENATE(TEXT(FIXED(ROUND(IF(EXC.RATE.SWITCH=1,C356/EXC.RATE_2,C356*EXC.RATE_2),CURRENCY.FORMAT_2),CURRENCY.FORMAT_2,1),"# ##0;-# ##0"),",-"),FIXED(ROUND(IF(EXC.RATE.SWITCH=1,C356/EXC.RATE_2,C356*EXC.RATE_2),CURRENCY.FORMAT_2),CURRENCY.FORMAT_2,0)),'DICTIONARY-5'!$A$2))</f>
        <v/>
      </c>
      <c r="L356" s="670" t="str">
        <f>IFERROR(IF(CURRENCY.FORMAT_1=0,CONCATENATE(TEXT(FIXED(ROUND((C356*(1-I356)*(1-ADD.DISCOUNT)*(1+MAT.SURCHARGE)/EXC.RATE_1),CURRENCY.FORMAT_1),CURRENCY.FORMAT_1,1),"# ##0;-# ##0"),",-"),FIXED(ROUND((C356*(1-I356)*(1-ADD.DISCOUNT)*(1+MAT.SURCHARGE)/EXC.RATE_1),CURRENCY.FORMAT_1),CURRENCY.FORMAT_1,0)),'DICTIONARY-5'!$A$2)</f>
        <v>2 870,-</v>
      </c>
      <c r="M356" s="670" t="str">
        <f>IF(EXC.RATE_2=0,"",IFERROR(IF(CURRENCY.FORMAT_2=0,CONCATENATE(TEXT(FIXED(ROUND(IF(EXC.RATE.SWITCH=1,C356*(1-I356)*(1-ADD.DISCOUNT)*(1+MAT.SURCHARGE)/EXC.RATE_2,C356*(1-I356)*(1-ADD.DISCOUNT)*(1+MAT.SURCHARGE)*EXC.RATE_2),CURRENCY.FORMAT_2),CURRENCY.FORMAT_2,1),"# ##0;-# ##0"),",-"),FIXED(ROUND(IF(EXC.RATE.SWITCH=1,C356*(1-I356)*(1-ADD.DISCOUNT)*(1+MAT.SURCHARGE)/EXC.RATE_2,C356*(1-I356)*(1-ADD.DISCOUNT)*(1+MAT.SURCHARGE)*EXC.RATE_2),CURRENCY.FORMAT_2),CURRENCY.FORMAT_2,0)),'DICTIONARY-5'!$A$2))</f>
        <v/>
      </c>
      <c r="N356" s="544">
        <v>1</v>
      </c>
      <c r="O356" s="654"/>
      <c r="P356" s="731" t="str">
        <f>'DICTIONARY-3'!$A$2</f>
        <v>EKOplus</v>
      </c>
      <c r="Q356" s="732" t="str">
        <f>'DICTIONARY-3'!$A$187</f>
        <v>Zasuwa klinowa</v>
      </c>
      <c r="R356" s="732" t="str">
        <f>CONCATENATE('DICTIONARY-3'!$A$2," ",'DICTIONARY-6'!$A$3," ",'DICTIONARY-2'!$A$2,"350"," ",'DICTIONARY-2'!$A$3,"16"," ","R15"," ",'DICTIONARY-5'!$A$38,", ",'DICTIONARY-4'!$A$2)</f>
        <v>EKOplus Zasuwa DN350 PN16 R15 DUPLEX, WW</v>
      </c>
      <c r="S356" s="733" t="str">
        <f>'DICTIONARY-4'!$A$2</f>
        <v>WW</v>
      </c>
      <c r="T356" s="732" t="str">
        <f>'DICTIONARY-4'!$A$18</f>
        <v>Wolny wałek</v>
      </c>
      <c r="U356" s="734" t="s">
        <v>5753</v>
      </c>
      <c r="V356" s="735">
        <v>16</v>
      </c>
      <c r="W356" s="736"/>
      <c r="X356" s="737"/>
      <c r="Y356" s="738"/>
      <c r="Z356" s="739"/>
      <c r="AA356" s="739"/>
      <c r="AB356" s="740">
        <v>16</v>
      </c>
      <c r="AC356" s="741" t="str">
        <f>'DICTIONARY-5'!$A$11&amp;" 15"</f>
        <v>EN 558 szereg 15</v>
      </c>
      <c r="AD356" s="741" t="str">
        <f>'DICTIONARY-5'!$A$15</f>
        <v>woda morska</v>
      </c>
      <c r="AE356" s="742">
        <v>50</v>
      </c>
      <c r="AF356" s="743">
        <v>276.3</v>
      </c>
      <c r="AG356" s="741" t="str">
        <f>'DICTIONARY-5'!$A$23</f>
        <v>powłoka epoksydowa</v>
      </c>
    </row>
    <row r="357" spans="1:33" x14ac:dyDescent="0.25">
      <c r="A357" s="844" t="s">
        <v>5533</v>
      </c>
      <c r="B357" s="844" t="s">
        <v>5166</v>
      </c>
      <c r="C357" s="836">
        <v>3796</v>
      </c>
      <c r="D357" s="836"/>
      <c r="E357" s="836"/>
      <c r="F357" s="836"/>
      <c r="G357" s="496" t="s">
        <v>7793</v>
      </c>
      <c r="H357" s="797" t="str">
        <f>VLOOKUP(G357,SETTINGS!$B$7:$D$97,2,0)</f>
        <v>EKOplus Sea Water</v>
      </c>
      <c r="I357" s="796">
        <f>VLOOKUP(G357,SETTINGS!$B$7:$D$97,3,0)</f>
        <v>0</v>
      </c>
      <c r="J357" s="670" t="str">
        <f>IFERROR(IF(CURRENCY.FORMAT_1=0,CONCATENATE(TEXT(FIXED(ROUND((C357/EXC.RATE_1),CURRENCY.FORMAT_1),CURRENCY.FORMAT_1,1),"# ##0;-# ##0"),",-"),FIXED(ROUND((C357/EXC.RATE_1),CURRENCY.FORMAT_1),CURRENCY.FORMAT_1,0)),'DICTIONARY-5'!$A$2)</f>
        <v>3 796,-</v>
      </c>
      <c r="K357" s="670" t="str">
        <f>IF(EXC.RATE_2=0,"",IFERROR(IF(CURRENCY.FORMAT_2=0,CONCATENATE(TEXT(FIXED(ROUND(IF(EXC.RATE.SWITCH=1,C357/EXC.RATE_2,C357*EXC.RATE_2),CURRENCY.FORMAT_2),CURRENCY.FORMAT_2,1),"# ##0;-# ##0"),",-"),FIXED(ROUND(IF(EXC.RATE.SWITCH=1,C357/EXC.RATE_2,C357*EXC.RATE_2),CURRENCY.FORMAT_2),CURRENCY.FORMAT_2,0)),'DICTIONARY-5'!$A$2))</f>
        <v/>
      </c>
      <c r="L357" s="670" t="str">
        <f>IFERROR(IF(CURRENCY.FORMAT_1=0,CONCATENATE(TEXT(FIXED(ROUND((C357*(1-I357)*(1-ADD.DISCOUNT)*(1+MAT.SURCHARGE)/EXC.RATE_1),CURRENCY.FORMAT_1),CURRENCY.FORMAT_1,1),"# ##0;-# ##0"),",-"),FIXED(ROUND((C357*(1-I357)*(1-ADD.DISCOUNT)*(1+MAT.SURCHARGE)/EXC.RATE_1),CURRENCY.FORMAT_1),CURRENCY.FORMAT_1,0)),'DICTIONARY-5'!$A$2)</f>
        <v>3 944,-</v>
      </c>
      <c r="M357" s="670" t="str">
        <f>IF(EXC.RATE_2=0,"",IFERROR(IF(CURRENCY.FORMAT_2=0,CONCATENATE(TEXT(FIXED(ROUND(IF(EXC.RATE.SWITCH=1,C357*(1-I357)*(1-ADD.DISCOUNT)*(1+MAT.SURCHARGE)/EXC.RATE_2,C357*(1-I357)*(1-ADD.DISCOUNT)*(1+MAT.SURCHARGE)*EXC.RATE_2),CURRENCY.FORMAT_2),CURRENCY.FORMAT_2,1),"# ##0;-# ##0"),",-"),FIXED(ROUND(IF(EXC.RATE.SWITCH=1,C357*(1-I357)*(1-ADD.DISCOUNT)*(1+MAT.SURCHARGE)/EXC.RATE_2,C357*(1-I357)*(1-ADD.DISCOUNT)*(1+MAT.SURCHARGE)*EXC.RATE_2),CURRENCY.FORMAT_2),CURRENCY.FORMAT_2,0)),'DICTIONARY-5'!$A$2))</f>
        <v/>
      </c>
      <c r="N357" s="544">
        <v>1</v>
      </c>
      <c r="O357" s="654"/>
      <c r="P357" s="731" t="str">
        <f>'DICTIONARY-3'!$A$2</f>
        <v>EKOplus</v>
      </c>
      <c r="Q357" s="732" t="str">
        <f>'DICTIONARY-3'!$A$187</f>
        <v>Zasuwa klinowa</v>
      </c>
      <c r="R357" s="732" t="str">
        <f>CONCATENATE('DICTIONARY-3'!$A$2," ",'DICTIONARY-6'!$A$3," ",'DICTIONARY-2'!$A$2,"400"," ",'DICTIONARY-2'!$A$3,"10"," ","R15"," ",'DICTIONARY-5'!$A$38,", ",'DICTIONARY-4'!$A$2)</f>
        <v>EKOplus Zasuwa DN400 PN10 R15 DUPLEX, WW</v>
      </c>
      <c r="S357" s="733" t="str">
        <f>'DICTIONARY-4'!$A$2</f>
        <v>WW</v>
      </c>
      <c r="T357" s="732" t="str">
        <f>'DICTIONARY-4'!$A$18</f>
        <v>Wolny wałek</v>
      </c>
      <c r="U357" s="734" t="s">
        <v>5754</v>
      </c>
      <c r="V357" s="735">
        <v>10</v>
      </c>
      <c r="W357" s="736"/>
      <c r="X357" s="737"/>
      <c r="Y357" s="738"/>
      <c r="Z357" s="739"/>
      <c r="AA357" s="739"/>
      <c r="AB357" s="740">
        <v>10</v>
      </c>
      <c r="AC357" s="741" t="str">
        <f>'DICTIONARY-5'!$A$11&amp;" 15"</f>
        <v>EN 558 szereg 15</v>
      </c>
      <c r="AD357" s="741" t="str">
        <f>'DICTIONARY-5'!$A$15</f>
        <v>woda morska</v>
      </c>
      <c r="AE357" s="742">
        <v>50</v>
      </c>
      <c r="AF357" s="743">
        <v>348</v>
      </c>
      <c r="AG357" s="741" t="str">
        <f>'DICTIONARY-5'!$A$23</f>
        <v>powłoka epoksydowa</v>
      </c>
    </row>
    <row r="358" spans="1:33" x14ac:dyDescent="0.25">
      <c r="A358" s="844" t="s">
        <v>5534</v>
      </c>
      <c r="B358" s="844" t="s">
        <v>5168</v>
      </c>
      <c r="C358" s="836">
        <v>3793</v>
      </c>
      <c r="D358" s="836"/>
      <c r="E358" s="836"/>
      <c r="F358" s="836"/>
      <c r="G358" s="496" t="s">
        <v>7793</v>
      </c>
      <c r="H358" s="797" t="str">
        <f>VLOOKUP(G358,SETTINGS!$B$7:$D$97,2,0)</f>
        <v>EKOplus Sea Water</v>
      </c>
      <c r="I358" s="796">
        <f>VLOOKUP(G358,SETTINGS!$B$7:$D$97,3,0)</f>
        <v>0</v>
      </c>
      <c r="J358" s="670" t="str">
        <f>IFERROR(IF(CURRENCY.FORMAT_1=0,CONCATENATE(TEXT(FIXED(ROUND((C358/EXC.RATE_1),CURRENCY.FORMAT_1),CURRENCY.FORMAT_1,1),"# ##0;-# ##0"),",-"),FIXED(ROUND((C358/EXC.RATE_1),CURRENCY.FORMAT_1),CURRENCY.FORMAT_1,0)),'DICTIONARY-5'!$A$2)</f>
        <v>3 793,-</v>
      </c>
      <c r="K358" s="670" t="str">
        <f>IF(EXC.RATE_2=0,"",IFERROR(IF(CURRENCY.FORMAT_2=0,CONCATENATE(TEXT(FIXED(ROUND(IF(EXC.RATE.SWITCH=1,C358/EXC.RATE_2,C358*EXC.RATE_2),CURRENCY.FORMAT_2),CURRENCY.FORMAT_2,1),"# ##0;-# ##0"),",-"),FIXED(ROUND(IF(EXC.RATE.SWITCH=1,C358/EXC.RATE_2,C358*EXC.RATE_2),CURRENCY.FORMAT_2),CURRENCY.FORMAT_2,0)),'DICTIONARY-5'!$A$2))</f>
        <v/>
      </c>
      <c r="L358" s="670" t="str">
        <f>IFERROR(IF(CURRENCY.FORMAT_1=0,CONCATENATE(TEXT(FIXED(ROUND((C358*(1-I358)*(1-ADD.DISCOUNT)*(1+MAT.SURCHARGE)/EXC.RATE_1),CURRENCY.FORMAT_1),CURRENCY.FORMAT_1,1),"# ##0;-# ##0"),",-"),FIXED(ROUND((C358*(1-I358)*(1-ADD.DISCOUNT)*(1+MAT.SURCHARGE)/EXC.RATE_1),CURRENCY.FORMAT_1),CURRENCY.FORMAT_1,0)),'DICTIONARY-5'!$A$2)</f>
        <v>3 941,-</v>
      </c>
      <c r="M358" s="670" t="str">
        <f>IF(EXC.RATE_2=0,"",IFERROR(IF(CURRENCY.FORMAT_2=0,CONCATENATE(TEXT(FIXED(ROUND(IF(EXC.RATE.SWITCH=1,C358*(1-I358)*(1-ADD.DISCOUNT)*(1+MAT.SURCHARGE)/EXC.RATE_2,C358*(1-I358)*(1-ADD.DISCOUNT)*(1+MAT.SURCHARGE)*EXC.RATE_2),CURRENCY.FORMAT_2),CURRENCY.FORMAT_2,1),"# ##0;-# ##0"),",-"),FIXED(ROUND(IF(EXC.RATE.SWITCH=1,C358*(1-I358)*(1-ADD.DISCOUNT)*(1+MAT.SURCHARGE)/EXC.RATE_2,C358*(1-I358)*(1-ADD.DISCOUNT)*(1+MAT.SURCHARGE)*EXC.RATE_2),CURRENCY.FORMAT_2),CURRENCY.FORMAT_2,0)),'DICTIONARY-5'!$A$2))</f>
        <v/>
      </c>
      <c r="N358" s="544">
        <v>1</v>
      </c>
      <c r="O358" s="654"/>
      <c r="P358" s="731" t="str">
        <f>'DICTIONARY-3'!$A$2</f>
        <v>EKOplus</v>
      </c>
      <c r="Q358" s="732" t="str">
        <f>'DICTIONARY-3'!$A$187</f>
        <v>Zasuwa klinowa</v>
      </c>
      <c r="R358" s="732" t="str">
        <f>CONCATENATE('DICTIONARY-3'!$A$2," ",'DICTIONARY-6'!$A$3," ",'DICTIONARY-2'!$A$2,"400"," ",'DICTIONARY-2'!$A$3,"16"," ","R15"," ",'DICTIONARY-5'!$A$38,", ",'DICTIONARY-4'!$A$2)</f>
        <v>EKOplus Zasuwa DN400 PN16 R15 DUPLEX, WW</v>
      </c>
      <c r="S358" s="733" t="str">
        <f>'DICTIONARY-4'!$A$2</f>
        <v>WW</v>
      </c>
      <c r="T358" s="732" t="str">
        <f>'DICTIONARY-4'!$A$18</f>
        <v>Wolny wałek</v>
      </c>
      <c r="U358" s="734" t="s">
        <v>5754</v>
      </c>
      <c r="V358" s="735">
        <v>16</v>
      </c>
      <c r="W358" s="736"/>
      <c r="X358" s="737"/>
      <c r="Y358" s="738"/>
      <c r="Z358" s="739"/>
      <c r="AA358" s="739"/>
      <c r="AB358" s="740">
        <v>16</v>
      </c>
      <c r="AC358" s="741" t="str">
        <f>'DICTIONARY-5'!$A$11&amp;" 15"</f>
        <v>EN 558 szereg 15</v>
      </c>
      <c r="AD358" s="741" t="str">
        <f>'DICTIONARY-5'!$A$15</f>
        <v>woda morska</v>
      </c>
      <c r="AE358" s="742">
        <v>50</v>
      </c>
      <c r="AF358" s="743">
        <v>348</v>
      </c>
      <c r="AG358" s="741" t="str">
        <f>'DICTIONARY-5'!$A$23</f>
        <v>powłoka epoksydowa</v>
      </c>
    </row>
    <row r="359" spans="1:33" x14ac:dyDescent="0.25">
      <c r="A359" s="844" t="s">
        <v>5535</v>
      </c>
      <c r="B359" s="844" t="s">
        <v>5170</v>
      </c>
      <c r="C359" s="836">
        <v>5903</v>
      </c>
      <c r="D359" s="836"/>
      <c r="E359" s="836"/>
      <c r="F359" s="836"/>
      <c r="G359" s="496" t="s">
        <v>7793</v>
      </c>
      <c r="H359" s="797" t="str">
        <f>VLOOKUP(G359,SETTINGS!$B$7:$D$97,2,0)</f>
        <v>EKOplus Sea Water</v>
      </c>
      <c r="I359" s="796">
        <f>VLOOKUP(G359,SETTINGS!$B$7:$D$97,3,0)</f>
        <v>0</v>
      </c>
      <c r="J359" s="670" t="str">
        <f>IFERROR(IF(CURRENCY.FORMAT_1=0,CONCATENATE(TEXT(FIXED(ROUND((C359/EXC.RATE_1),CURRENCY.FORMAT_1),CURRENCY.FORMAT_1,1),"# ##0;-# ##0"),",-"),FIXED(ROUND((C359/EXC.RATE_1),CURRENCY.FORMAT_1),CURRENCY.FORMAT_1,0)),'DICTIONARY-5'!$A$2)</f>
        <v>5 903,-</v>
      </c>
      <c r="K359" s="670" t="str">
        <f>IF(EXC.RATE_2=0,"",IFERROR(IF(CURRENCY.FORMAT_2=0,CONCATENATE(TEXT(FIXED(ROUND(IF(EXC.RATE.SWITCH=1,C359/EXC.RATE_2,C359*EXC.RATE_2),CURRENCY.FORMAT_2),CURRENCY.FORMAT_2,1),"# ##0;-# ##0"),",-"),FIXED(ROUND(IF(EXC.RATE.SWITCH=1,C359/EXC.RATE_2,C359*EXC.RATE_2),CURRENCY.FORMAT_2),CURRENCY.FORMAT_2,0)),'DICTIONARY-5'!$A$2))</f>
        <v/>
      </c>
      <c r="L359" s="670" t="str">
        <f>IFERROR(IF(CURRENCY.FORMAT_1=0,CONCATENATE(TEXT(FIXED(ROUND((C359*(1-I359)*(1-ADD.DISCOUNT)*(1+MAT.SURCHARGE)/EXC.RATE_1),CURRENCY.FORMAT_1),CURRENCY.FORMAT_1,1),"# ##0;-# ##0"),",-"),FIXED(ROUND((C359*(1-I359)*(1-ADD.DISCOUNT)*(1+MAT.SURCHARGE)/EXC.RATE_1),CURRENCY.FORMAT_1),CURRENCY.FORMAT_1,0)),'DICTIONARY-5'!$A$2)</f>
        <v>6 133,-</v>
      </c>
      <c r="M359" s="670" t="str">
        <f>IF(EXC.RATE_2=0,"",IFERROR(IF(CURRENCY.FORMAT_2=0,CONCATENATE(TEXT(FIXED(ROUND(IF(EXC.RATE.SWITCH=1,C359*(1-I359)*(1-ADD.DISCOUNT)*(1+MAT.SURCHARGE)/EXC.RATE_2,C359*(1-I359)*(1-ADD.DISCOUNT)*(1+MAT.SURCHARGE)*EXC.RATE_2),CURRENCY.FORMAT_2),CURRENCY.FORMAT_2,1),"# ##0;-# ##0"),",-"),FIXED(ROUND(IF(EXC.RATE.SWITCH=1,C359*(1-I359)*(1-ADD.DISCOUNT)*(1+MAT.SURCHARGE)/EXC.RATE_2,C359*(1-I359)*(1-ADD.DISCOUNT)*(1+MAT.SURCHARGE)*EXC.RATE_2),CURRENCY.FORMAT_2),CURRENCY.FORMAT_2,0)),'DICTIONARY-5'!$A$2))</f>
        <v/>
      </c>
      <c r="N359" s="544">
        <v>1</v>
      </c>
      <c r="O359" s="654"/>
      <c r="P359" s="731" t="str">
        <f>'DICTIONARY-3'!$A$2</f>
        <v>EKOplus</v>
      </c>
      <c r="Q359" s="732" t="str">
        <f>'DICTIONARY-3'!$A$187</f>
        <v>Zasuwa klinowa</v>
      </c>
      <c r="R359" s="732" t="str">
        <f>CONCATENATE('DICTIONARY-3'!$A$2," ",'DICTIONARY-6'!$A$3," ",'DICTIONARY-2'!$A$2,"500"," ",'DICTIONARY-2'!$A$3,"10"," ","R15"," ",'DICTIONARY-5'!$A$38,", ",'DICTIONARY-4'!$A$2)</f>
        <v>EKOplus Zasuwa DN500 PN10 R15 DUPLEX, WW</v>
      </c>
      <c r="S359" s="733" t="str">
        <f>'DICTIONARY-4'!$A$2</f>
        <v>WW</v>
      </c>
      <c r="T359" s="732" t="str">
        <f>'DICTIONARY-4'!$A$18</f>
        <v>Wolny wałek</v>
      </c>
      <c r="U359" s="734" t="s">
        <v>5756</v>
      </c>
      <c r="V359" s="735">
        <v>10</v>
      </c>
      <c r="W359" s="736"/>
      <c r="X359" s="737"/>
      <c r="Y359" s="738"/>
      <c r="Z359" s="739"/>
      <c r="AA359" s="739"/>
      <c r="AB359" s="740">
        <v>10</v>
      </c>
      <c r="AC359" s="741" t="str">
        <f>'DICTIONARY-5'!$A$11&amp;" 15"</f>
        <v>EN 558 szereg 15</v>
      </c>
      <c r="AD359" s="741" t="str">
        <f>'DICTIONARY-5'!$A$15</f>
        <v>woda morska</v>
      </c>
      <c r="AE359" s="742">
        <v>50</v>
      </c>
      <c r="AF359" s="743">
        <v>527</v>
      </c>
      <c r="AG359" s="741" t="str">
        <f>'DICTIONARY-5'!$A$23</f>
        <v>powłoka epoksydowa</v>
      </c>
    </row>
    <row r="360" spans="1:33" x14ac:dyDescent="0.25">
      <c r="A360" s="844" t="s">
        <v>5536</v>
      </c>
      <c r="B360" s="844" t="s">
        <v>5172</v>
      </c>
      <c r="C360" s="836">
        <v>6570</v>
      </c>
      <c r="D360" s="836"/>
      <c r="E360" s="836"/>
      <c r="F360" s="836"/>
      <c r="G360" s="496" t="s">
        <v>7793</v>
      </c>
      <c r="H360" s="797" t="str">
        <f>VLOOKUP(G360,SETTINGS!$B$7:$D$97,2,0)</f>
        <v>EKOplus Sea Water</v>
      </c>
      <c r="I360" s="796">
        <f>VLOOKUP(G360,SETTINGS!$B$7:$D$97,3,0)</f>
        <v>0</v>
      </c>
      <c r="J360" s="670" t="str">
        <f>IFERROR(IF(CURRENCY.FORMAT_1=0,CONCATENATE(TEXT(FIXED(ROUND((C360/EXC.RATE_1),CURRENCY.FORMAT_1),CURRENCY.FORMAT_1,1),"# ##0;-# ##0"),",-"),FIXED(ROUND((C360/EXC.RATE_1),CURRENCY.FORMAT_1),CURRENCY.FORMAT_1,0)),'DICTIONARY-5'!$A$2)</f>
        <v>6 570,-</v>
      </c>
      <c r="K360" s="670" t="str">
        <f>IF(EXC.RATE_2=0,"",IFERROR(IF(CURRENCY.FORMAT_2=0,CONCATENATE(TEXT(FIXED(ROUND(IF(EXC.RATE.SWITCH=1,C360/EXC.RATE_2,C360*EXC.RATE_2),CURRENCY.FORMAT_2),CURRENCY.FORMAT_2,1),"# ##0;-# ##0"),",-"),FIXED(ROUND(IF(EXC.RATE.SWITCH=1,C360/EXC.RATE_2,C360*EXC.RATE_2),CURRENCY.FORMAT_2),CURRENCY.FORMAT_2,0)),'DICTIONARY-5'!$A$2))</f>
        <v/>
      </c>
      <c r="L360" s="670" t="str">
        <f>IFERROR(IF(CURRENCY.FORMAT_1=0,CONCATENATE(TEXT(FIXED(ROUND((C360*(1-I360)*(1-ADD.DISCOUNT)*(1+MAT.SURCHARGE)/EXC.RATE_1),CURRENCY.FORMAT_1),CURRENCY.FORMAT_1,1),"# ##0;-# ##0"),",-"),FIXED(ROUND((C360*(1-I360)*(1-ADD.DISCOUNT)*(1+MAT.SURCHARGE)/EXC.RATE_1),CURRENCY.FORMAT_1),CURRENCY.FORMAT_1,0)),'DICTIONARY-5'!$A$2)</f>
        <v>6 826,-</v>
      </c>
      <c r="M360" s="670" t="str">
        <f>IF(EXC.RATE_2=0,"",IFERROR(IF(CURRENCY.FORMAT_2=0,CONCATENATE(TEXT(FIXED(ROUND(IF(EXC.RATE.SWITCH=1,C360*(1-I360)*(1-ADD.DISCOUNT)*(1+MAT.SURCHARGE)/EXC.RATE_2,C360*(1-I360)*(1-ADD.DISCOUNT)*(1+MAT.SURCHARGE)*EXC.RATE_2),CURRENCY.FORMAT_2),CURRENCY.FORMAT_2,1),"# ##0;-# ##0"),",-"),FIXED(ROUND(IF(EXC.RATE.SWITCH=1,C360*(1-I360)*(1-ADD.DISCOUNT)*(1+MAT.SURCHARGE)/EXC.RATE_2,C360*(1-I360)*(1-ADD.DISCOUNT)*(1+MAT.SURCHARGE)*EXC.RATE_2),CURRENCY.FORMAT_2),CURRENCY.FORMAT_2,0)),'DICTIONARY-5'!$A$2))</f>
        <v/>
      </c>
      <c r="N360" s="544">
        <v>1</v>
      </c>
      <c r="O360" s="654"/>
      <c r="P360" s="731" t="str">
        <f>'DICTIONARY-3'!$A$2</f>
        <v>EKOplus</v>
      </c>
      <c r="Q360" s="732" t="str">
        <f>'DICTIONARY-3'!$A$187</f>
        <v>Zasuwa klinowa</v>
      </c>
      <c r="R360" s="732" t="str">
        <f>CONCATENATE('DICTIONARY-3'!$A$2," ",'DICTIONARY-6'!$A$3," ",'DICTIONARY-2'!$A$2,"500"," ",'DICTIONARY-2'!$A$3,"16"," ","R15"," ",'DICTIONARY-5'!$A$38,", ",'DICTIONARY-4'!$A$2)</f>
        <v>EKOplus Zasuwa DN500 PN16 R15 DUPLEX, WW</v>
      </c>
      <c r="S360" s="733" t="str">
        <f>'DICTIONARY-4'!$A$2</f>
        <v>WW</v>
      </c>
      <c r="T360" s="732" t="str">
        <f>'DICTIONARY-4'!$A$18</f>
        <v>Wolny wałek</v>
      </c>
      <c r="U360" s="734" t="s">
        <v>5756</v>
      </c>
      <c r="V360" s="735">
        <v>16</v>
      </c>
      <c r="W360" s="736"/>
      <c r="X360" s="737"/>
      <c r="Y360" s="738"/>
      <c r="Z360" s="739"/>
      <c r="AA360" s="739"/>
      <c r="AB360" s="740">
        <v>16</v>
      </c>
      <c r="AC360" s="741" t="str">
        <f>'DICTIONARY-5'!$A$11&amp;" 15"</f>
        <v>EN 558 szereg 15</v>
      </c>
      <c r="AD360" s="741" t="str">
        <f>'DICTIONARY-5'!$A$15</f>
        <v>woda morska</v>
      </c>
      <c r="AE360" s="742">
        <v>50</v>
      </c>
      <c r="AF360" s="743">
        <v>538</v>
      </c>
      <c r="AG360" s="741" t="str">
        <f>'DICTIONARY-5'!$A$23</f>
        <v>powłoka epoksydowa</v>
      </c>
    </row>
    <row r="361" spans="1:33" x14ac:dyDescent="0.25">
      <c r="A361" s="844"/>
      <c r="B361" s="844" t="s">
        <v>5173</v>
      </c>
      <c r="C361" s="836">
        <v>10089</v>
      </c>
      <c r="D361" s="836"/>
      <c r="E361" s="836"/>
      <c r="F361" s="836"/>
      <c r="G361" s="496" t="s">
        <v>7793</v>
      </c>
      <c r="H361" s="797" t="str">
        <f>VLOOKUP(G361,SETTINGS!$B$7:$D$97,2,0)</f>
        <v>EKOplus Sea Water</v>
      </c>
      <c r="I361" s="796">
        <f>VLOOKUP(G361,SETTINGS!$B$7:$D$97,3,0)</f>
        <v>0</v>
      </c>
      <c r="J361" s="670" t="str">
        <f>IFERROR(IF(CURRENCY.FORMAT_1=0,CONCATENATE(TEXT(FIXED(ROUND((C361/EXC.RATE_1),CURRENCY.FORMAT_1),CURRENCY.FORMAT_1,1),"# ##0;-# ##0"),",-"),FIXED(ROUND((C361/EXC.RATE_1),CURRENCY.FORMAT_1),CURRENCY.FORMAT_1,0)),'DICTIONARY-5'!$A$2)</f>
        <v>10 089,-</v>
      </c>
      <c r="K361" s="670" t="str">
        <f>IF(EXC.RATE_2=0,"",IFERROR(IF(CURRENCY.FORMAT_2=0,CONCATENATE(TEXT(FIXED(ROUND(IF(EXC.RATE.SWITCH=1,C361/EXC.RATE_2,C361*EXC.RATE_2),CURRENCY.FORMAT_2),CURRENCY.FORMAT_2,1),"# ##0;-# ##0"),",-"),FIXED(ROUND(IF(EXC.RATE.SWITCH=1,C361/EXC.RATE_2,C361*EXC.RATE_2),CURRENCY.FORMAT_2),CURRENCY.FORMAT_2,0)),'DICTIONARY-5'!$A$2))</f>
        <v/>
      </c>
      <c r="L361" s="670" t="str">
        <f>IFERROR(IF(CURRENCY.FORMAT_1=0,CONCATENATE(TEXT(FIXED(ROUND((C361*(1-I361)*(1-ADD.DISCOUNT)*(1+MAT.SURCHARGE)/EXC.RATE_1),CURRENCY.FORMAT_1),CURRENCY.FORMAT_1,1),"# ##0;-# ##0"),",-"),FIXED(ROUND((C361*(1-I361)*(1-ADD.DISCOUNT)*(1+MAT.SURCHARGE)/EXC.RATE_1),CURRENCY.FORMAT_1),CURRENCY.FORMAT_1,0)),'DICTIONARY-5'!$A$2)</f>
        <v>10 482,-</v>
      </c>
      <c r="M361" s="670" t="str">
        <f>IF(EXC.RATE_2=0,"",IFERROR(IF(CURRENCY.FORMAT_2=0,CONCATENATE(TEXT(FIXED(ROUND(IF(EXC.RATE.SWITCH=1,C361*(1-I361)*(1-ADD.DISCOUNT)*(1+MAT.SURCHARGE)/EXC.RATE_2,C361*(1-I361)*(1-ADD.DISCOUNT)*(1+MAT.SURCHARGE)*EXC.RATE_2),CURRENCY.FORMAT_2),CURRENCY.FORMAT_2,1),"# ##0;-# ##0"),",-"),FIXED(ROUND(IF(EXC.RATE.SWITCH=1,C361*(1-I361)*(1-ADD.DISCOUNT)*(1+MAT.SURCHARGE)/EXC.RATE_2,C361*(1-I361)*(1-ADD.DISCOUNT)*(1+MAT.SURCHARGE)*EXC.RATE_2),CURRENCY.FORMAT_2),CURRENCY.FORMAT_2,0)),'DICTIONARY-5'!$A$2))</f>
        <v/>
      </c>
      <c r="N361" s="544">
        <v>1</v>
      </c>
      <c r="O361" s="654"/>
      <c r="P361" s="731" t="str">
        <f>'DICTIONARY-3'!$A$2</f>
        <v>EKOplus</v>
      </c>
      <c r="Q361" s="732" t="str">
        <f>'DICTIONARY-3'!$A$187</f>
        <v>Zasuwa klinowa</v>
      </c>
      <c r="R361" s="732" t="str">
        <f>CONCATENATE('DICTIONARY-3'!$A$2," ",'DICTIONARY-6'!$A$3," ",'DICTIONARY-2'!$A$2,"600/",'DICTIONARY-6'!$A$46,'DICTIONARY-2'!$A$2,"500"," ",'DICTIONARY-2'!$A$3,"10"," ","R15"," ",'DICTIONARY-5'!$A$38,", ",'DICTIONARY-4'!$A$2)</f>
        <v>EKOplus Zasuwa DN600/reduk.DN500 PN10 R15 DUPLEX, WW</v>
      </c>
      <c r="S361" s="733" t="str">
        <f>'DICTIONARY-4'!$A$2</f>
        <v>WW</v>
      </c>
      <c r="T361" s="732" t="str">
        <f>'DICTIONARY-4'!$A$18</f>
        <v>Wolny wałek</v>
      </c>
      <c r="U361" s="734" t="s">
        <v>5757</v>
      </c>
      <c r="V361" s="735">
        <v>10</v>
      </c>
      <c r="W361" s="736"/>
      <c r="X361" s="737"/>
      <c r="Y361" s="738"/>
      <c r="Z361" s="739"/>
      <c r="AA361" s="739"/>
      <c r="AB361" s="740">
        <v>10</v>
      </c>
      <c r="AC361" s="741" t="str">
        <f>'DICTIONARY-5'!$A$11&amp;" 15"</f>
        <v>EN 558 szereg 15</v>
      </c>
      <c r="AD361" s="741" t="str">
        <f>'DICTIONARY-5'!$A$15</f>
        <v>woda morska</v>
      </c>
      <c r="AE361" s="742">
        <v>50</v>
      </c>
      <c r="AF361" s="743">
        <v>660</v>
      </c>
      <c r="AG361" s="741" t="str">
        <f>'DICTIONARY-5'!$A$23</f>
        <v>powłoka epoksydowa</v>
      </c>
    </row>
    <row r="362" spans="1:33" x14ac:dyDescent="0.25">
      <c r="A362" s="842" t="s">
        <v>341</v>
      </c>
      <c r="B362" s="842" t="str">
        <f>'DICTIONARY-5'!$A$2</f>
        <v>na zapytanie</v>
      </c>
      <c r="C362" s="836" t="s">
        <v>5967</v>
      </c>
      <c r="D362" s="836"/>
      <c r="E362" s="836"/>
      <c r="F362" s="836"/>
      <c r="G362" s="496" t="s">
        <v>7789</v>
      </c>
      <c r="H362" s="797" t="str">
        <f>VLOOKUP(G362,SETTINGS!$B$7:$D$97,2,0)</f>
        <v>EKOplus</v>
      </c>
      <c r="I362" s="796">
        <f>VLOOKUP(G362,SETTINGS!$B$7:$D$97,3,0)</f>
        <v>0</v>
      </c>
      <c r="J362" s="670" t="str">
        <f>IFERROR(IF(CURRENCY.FORMAT_1=0,CONCATENATE(TEXT(FIXED(ROUND((C362/EXC.RATE_1),CURRENCY.FORMAT_1),CURRENCY.FORMAT_1,1),"# ##0;-# ##0"),",-"),FIXED(ROUND((C362/EXC.RATE_1),CURRENCY.FORMAT_1),CURRENCY.FORMAT_1,0)),'DICTIONARY-5'!$A$2)</f>
        <v>na zapytanie</v>
      </c>
      <c r="K362" s="670" t="str">
        <f>IF(EXC.RATE_2=0,"",IFERROR(IF(CURRENCY.FORMAT_2=0,CONCATENATE(TEXT(FIXED(ROUND(IF(EXC.RATE.SWITCH=1,C362/EXC.RATE_2,C362*EXC.RATE_2),CURRENCY.FORMAT_2),CURRENCY.FORMAT_2,1),"# ##0;-# ##0"),",-"),FIXED(ROUND(IF(EXC.RATE.SWITCH=1,C362/EXC.RATE_2,C362*EXC.RATE_2),CURRENCY.FORMAT_2),CURRENCY.FORMAT_2,0)),'DICTIONARY-5'!$A$2))</f>
        <v/>
      </c>
      <c r="L362" s="670" t="str">
        <f>IFERROR(IF(CURRENCY.FORMAT_1=0,CONCATENATE(TEXT(FIXED(ROUND((C362*(1-I362)*(1-ADD.DISCOUNT)*(1+MAT.SURCHARGE)/EXC.RATE_1),CURRENCY.FORMAT_1),CURRENCY.FORMAT_1,1),"# ##0;-# ##0"),",-"),FIXED(ROUND((C362*(1-I362)*(1-ADD.DISCOUNT)*(1+MAT.SURCHARGE)/EXC.RATE_1),CURRENCY.FORMAT_1),CURRENCY.FORMAT_1,0)),'DICTIONARY-5'!$A$2)</f>
        <v>na zapytanie</v>
      </c>
      <c r="M362" s="670" t="str">
        <f>IF(EXC.RATE_2=0,"",IFERROR(IF(CURRENCY.FORMAT_2=0,CONCATENATE(TEXT(FIXED(ROUND(IF(EXC.RATE.SWITCH=1,C362*(1-I362)*(1-ADD.DISCOUNT)*(1+MAT.SURCHARGE)/EXC.RATE_2,C362*(1-I362)*(1-ADD.DISCOUNT)*(1+MAT.SURCHARGE)*EXC.RATE_2),CURRENCY.FORMAT_2),CURRENCY.FORMAT_2,1),"# ##0;-# ##0"),",-"),FIXED(ROUND(IF(EXC.RATE.SWITCH=1,C362*(1-I362)*(1-ADD.DISCOUNT)*(1+MAT.SURCHARGE)/EXC.RATE_2,C362*(1-I362)*(1-ADD.DISCOUNT)*(1+MAT.SURCHARGE)*EXC.RATE_2),CURRENCY.FORMAT_2),CURRENCY.FORMAT_2,0)),'DICTIONARY-5'!$A$2))</f>
        <v/>
      </c>
      <c r="N362" s="544">
        <v>1</v>
      </c>
      <c r="O362" s="544"/>
      <c r="P362" s="731" t="str">
        <f>'DICTIONARY-3'!$A$5</f>
        <v>EKOplus</v>
      </c>
      <c r="Q362" s="732" t="str">
        <f>'DICTIONARY-3'!$A$187</f>
        <v>Zasuwa klinowa</v>
      </c>
      <c r="R362" s="732" t="str">
        <f>CONCATENATE('DICTIONARY-3'!$A$5," ",'DICTIONARY-6'!$A$3," ",'DICTIONARY-2'!$A$2,"40"," ",'DICTIONARY-2'!$A$3,"10/16"," ","R14",", ",'DICTIONARY-6'!$A$38,", ",'DICTIONARY-5'!$A$191,", ",'DICTIONARY-4'!$A$7,"+",'DICTIONARY-6'!$A$48)</f>
        <v>EKOplus Zasuwa DN40 PN10/16 R14, cert. 3.1, RAL3000, KR+mechan. wskaźn. położenia</v>
      </c>
      <c r="S362" s="733" t="str">
        <f>'DICTIONARY-4'!$A$7</f>
        <v>KR</v>
      </c>
      <c r="T362" s="732" t="str">
        <f>'DICTIONARY-4'!$A$23</f>
        <v>Kółko ręczne</v>
      </c>
      <c r="U362" s="734" t="s">
        <v>5758</v>
      </c>
      <c r="V362" s="735">
        <v>16</v>
      </c>
      <c r="W362" s="736"/>
      <c r="X362" s="737"/>
      <c r="Y362" s="738"/>
      <c r="Z362" s="739"/>
      <c r="AA362" s="739"/>
      <c r="AB362" s="740">
        <v>16</v>
      </c>
      <c r="AC362" s="741" t="str">
        <f>'DICTIONARY-5'!$A$11&amp;" 14"</f>
        <v>EN 558 szereg 14</v>
      </c>
      <c r="AD362" s="733" t="str">
        <f>'DICTIONARY-5'!$A$16</f>
        <v>woda gaśnicza</v>
      </c>
      <c r="AE362" s="742">
        <v>50</v>
      </c>
      <c r="AF362" s="743"/>
      <c r="AG362" s="741" t="str">
        <f>'DICTIONARY-5'!$A$23</f>
        <v>powłoka epoksydowa</v>
      </c>
    </row>
    <row r="363" spans="1:33" x14ac:dyDescent="0.25">
      <c r="A363" s="842" t="s">
        <v>344</v>
      </c>
      <c r="B363" s="842" t="s">
        <v>3376</v>
      </c>
      <c r="C363" s="836">
        <v>385</v>
      </c>
      <c r="D363" s="836"/>
      <c r="E363" s="836"/>
      <c r="F363" s="836"/>
      <c r="G363" s="496" t="s">
        <v>7789</v>
      </c>
      <c r="H363" s="797" t="str">
        <f>VLOOKUP(G363,SETTINGS!$B$7:$D$97,2,0)</f>
        <v>EKOplus</v>
      </c>
      <c r="I363" s="796">
        <f>VLOOKUP(G363,SETTINGS!$B$7:$D$97,3,0)</f>
        <v>0</v>
      </c>
      <c r="J363" s="670" t="str">
        <f>IFERROR(IF(CURRENCY.FORMAT_1=0,CONCATENATE(TEXT(FIXED(ROUND((C363/EXC.RATE_1),CURRENCY.FORMAT_1),CURRENCY.FORMAT_1,1),"# ##0;-# ##0"),",-"),FIXED(ROUND((C363/EXC.RATE_1),CURRENCY.FORMAT_1),CURRENCY.FORMAT_1,0)),'DICTIONARY-5'!$A$2)</f>
        <v>385,-</v>
      </c>
      <c r="K363" s="670" t="str">
        <f>IF(EXC.RATE_2=0,"",IFERROR(IF(CURRENCY.FORMAT_2=0,CONCATENATE(TEXT(FIXED(ROUND(IF(EXC.RATE.SWITCH=1,C363/EXC.RATE_2,C363*EXC.RATE_2),CURRENCY.FORMAT_2),CURRENCY.FORMAT_2,1),"# ##0;-# ##0"),",-"),FIXED(ROUND(IF(EXC.RATE.SWITCH=1,C363/EXC.RATE_2,C363*EXC.RATE_2),CURRENCY.FORMAT_2),CURRENCY.FORMAT_2,0)),'DICTIONARY-5'!$A$2))</f>
        <v/>
      </c>
      <c r="L363" s="670" t="str">
        <f>IFERROR(IF(CURRENCY.FORMAT_1=0,CONCATENATE(TEXT(FIXED(ROUND((C363*(1-I363)*(1-ADD.DISCOUNT)*(1+MAT.SURCHARGE)/EXC.RATE_1),CURRENCY.FORMAT_1),CURRENCY.FORMAT_1,1),"# ##0;-# ##0"),",-"),FIXED(ROUND((C363*(1-I363)*(1-ADD.DISCOUNT)*(1+MAT.SURCHARGE)/EXC.RATE_1),CURRENCY.FORMAT_1),CURRENCY.FORMAT_1,0)),'DICTIONARY-5'!$A$2)</f>
        <v>400,-</v>
      </c>
      <c r="M363" s="670" t="str">
        <f>IF(EXC.RATE_2=0,"",IFERROR(IF(CURRENCY.FORMAT_2=0,CONCATENATE(TEXT(FIXED(ROUND(IF(EXC.RATE.SWITCH=1,C363*(1-I363)*(1-ADD.DISCOUNT)*(1+MAT.SURCHARGE)/EXC.RATE_2,C363*(1-I363)*(1-ADD.DISCOUNT)*(1+MAT.SURCHARGE)*EXC.RATE_2),CURRENCY.FORMAT_2),CURRENCY.FORMAT_2,1),"# ##0;-# ##0"),",-"),FIXED(ROUND(IF(EXC.RATE.SWITCH=1,C363*(1-I363)*(1-ADD.DISCOUNT)*(1+MAT.SURCHARGE)/EXC.RATE_2,C363*(1-I363)*(1-ADD.DISCOUNT)*(1+MAT.SURCHARGE)*EXC.RATE_2),CURRENCY.FORMAT_2),CURRENCY.FORMAT_2,0)),'DICTIONARY-5'!$A$2))</f>
        <v/>
      </c>
      <c r="N363" s="544">
        <v>1</v>
      </c>
      <c r="O363" s="544"/>
      <c r="P363" s="731" t="str">
        <f>'DICTIONARY-3'!$A$5</f>
        <v>EKOplus</v>
      </c>
      <c r="Q363" s="732" t="str">
        <f>'DICTIONARY-3'!$A$187</f>
        <v>Zasuwa klinowa</v>
      </c>
      <c r="R363" s="732" t="str">
        <f>CONCATENATE('DICTIONARY-3'!$A$5," ",'DICTIONARY-6'!$A$3," ",'DICTIONARY-2'!$A$2,"50"," ",'DICTIONARY-2'!$A$3,"10/16"," ","R14",", ",'DICTIONARY-6'!$A$38,", ",'DICTIONARY-5'!$A$191,", ",'DICTIONARY-4'!$A$7,"+",'DICTIONARY-6'!$A$48)</f>
        <v>EKOplus Zasuwa DN50 PN10/16 R14, cert. 3.1, RAL3000, KR+mechan. wskaźn. położenia</v>
      </c>
      <c r="S363" s="733" t="str">
        <f>'DICTIONARY-4'!$A$7</f>
        <v>KR</v>
      </c>
      <c r="T363" s="732" t="str">
        <f>'DICTIONARY-4'!$A$23</f>
        <v>Kółko ręczne</v>
      </c>
      <c r="U363" s="734" t="s">
        <v>5748</v>
      </c>
      <c r="V363" s="735">
        <v>16</v>
      </c>
      <c r="W363" s="736"/>
      <c r="X363" s="737"/>
      <c r="Y363" s="738"/>
      <c r="Z363" s="739"/>
      <c r="AA363" s="739"/>
      <c r="AB363" s="740">
        <v>16</v>
      </c>
      <c r="AC363" s="741" t="str">
        <f>'DICTIONARY-5'!$A$11&amp;" 14"</f>
        <v>EN 558 szereg 14</v>
      </c>
      <c r="AD363" s="733" t="str">
        <f>'DICTIONARY-5'!$A$16</f>
        <v>woda gaśnicza</v>
      </c>
      <c r="AE363" s="742">
        <v>50</v>
      </c>
      <c r="AF363" s="743">
        <v>11.5</v>
      </c>
      <c r="AG363" s="741" t="str">
        <f>'DICTIONARY-5'!$A$23</f>
        <v>powłoka epoksydowa</v>
      </c>
    </row>
    <row r="364" spans="1:33" x14ac:dyDescent="0.25">
      <c r="A364" s="842" t="s">
        <v>347</v>
      </c>
      <c r="B364" s="842" t="s">
        <v>3380</v>
      </c>
      <c r="C364" s="836">
        <v>446</v>
      </c>
      <c r="D364" s="836"/>
      <c r="E364" s="836"/>
      <c r="F364" s="836"/>
      <c r="G364" s="496" t="s">
        <v>7789</v>
      </c>
      <c r="H364" s="797" t="str">
        <f>VLOOKUP(G364,SETTINGS!$B$7:$D$97,2,0)</f>
        <v>EKOplus</v>
      </c>
      <c r="I364" s="796">
        <f>VLOOKUP(G364,SETTINGS!$B$7:$D$97,3,0)</f>
        <v>0</v>
      </c>
      <c r="J364" s="670" t="str">
        <f>IFERROR(IF(CURRENCY.FORMAT_1=0,CONCATENATE(TEXT(FIXED(ROUND((C364/EXC.RATE_1),CURRENCY.FORMAT_1),CURRENCY.FORMAT_1,1),"# ##0;-# ##0"),",-"),FIXED(ROUND((C364/EXC.RATE_1),CURRENCY.FORMAT_1),CURRENCY.FORMAT_1,0)),'DICTIONARY-5'!$A$2)</f>
        <v>446,-</v>
      </c>
      <c r="K364" s="670" t="str">
        <f>IF(EXC.RATE_2=0,"",IFERROR(IF(CURRENCY.FORMAT_2=0,CONCATENATE(TEXT(FIXED(ROUND(IF(EXC.RATE.SWITCH=1,C364/EXC.RATE_2,C364*EXC.RATE_2),CURRENCY.FORMAT_2),CURRENCY.FORMAT_2,1),"# ##0;-# ##0"),",-"),FIXED(ROUND(IF(EXC.RATE.SWITCH=1,C364/EXC.RATE_2,C364*EXC.RATE_2),CURRENCY.FORMAT_2),CURRENCY.FORMAT_2,0)),'DICTIONARY-5'!$A$2))</f>
        <v/>
      </c>
      <c r="L364" s="670" t="str">
        <f>IFERROR(IF(CURRENCY.FORMAT_1=0,CONCATENATE(TEXT(FIXED(ROUND((C364*(1-I364)*(1-ADD.DISCOUNT)*(1+MAT.SURCHARGE)/EXC.RATE_1),CURRENCY.FORMAT_1),CURRENCY.FORMAT_1,1),"# ##0;-# ##0"),",-"),FIXED(ROUND((C364*(1-I364)*(1-ADD.DISCOUNT)*(1+MAT.SURCHARGE)/EXC.RATE_1),CURRENCY.FORMAT_1),CURRENCY.FORMAT_1,0)),'DICTIONARY-5'!$A$2)</f>
        <v>463,-</v>
      </c>
      <c r="M364" s="670" t="str">
        <f>IF(EXC.RATE_2=0,"",IFERROR(IF(CURRENCY.FORMAT_2=0,CONCATENATE(TEXT(FIXED(ROUND(IF(EXC.RATE.SWITCH=1,C364*(1-I364)*(1-ADD.DISCOUNT)*(1+MAT.SURCHARGE)/EXC.RATE_2,C364*(1-I364)*(1-ADD.DISCOUNT)*(1+MAT.SURCHARGE)*EXC.RATE_2),CURRENCY.FORMAT_2),CURRENCY.FORMAT_2,1),"# ##0;-# ##0"),",-"),FIXED(ROUND(IF(EXC.RATE.SWITCH=1,C364*(1-I364)*(1-ADD.DISCOUNT)*(1+MAT.SURCHARGE)/EXC.RATE_2,C364*(1-I364)*(1-ADD.DISCOUNT)*(1+MAT.SURCHARGE)*EXC.RATE_2),CURRENCY.FORMAT_2),CURRENCY.FORMAT_2,0)),'DICTIONARY-5'!$A$2))</f>
        <v/>
      </c>
      <c r="N364" s="544">
        <v>1</v>
      </c>
      <c r="O364" s="544"/>
      <c r="P364" s="731" t="str">
        <f>'DICTIONARY-3'!$A$5</f>
        <v>EKOplus</v>
      </c>
      <c r="Q364" s="732" t="str">
        <f>'DICTIONARY-3'!$A$187</f>
        <v>Zasuwa klinowa</v>
      </c>
      <c r="R364" s="732" t="str">
        <f>CONCATENATE('DICTIONARY-3'!$A$5," ",'DICTIONARY-6'!$A$3," ",'DICTIONARY-2'!$A$2,"65"," ",'DICTIONARY-2'!$A$3,"10/16"," ","R14",", ",'DICTIONARY-6'!$A$38,", ",'DICTIONARY-5'!$A$191,", ",'DICTIONARY-4'!$A$7,"+",'DICTIONARY-6'!$A$48)</f>
        <v>EKOplus Zasuwa DN65 PN10/16 R14, cert. 3.1, RAL3000, KR+mechan. wskaźn. położenia</v>
      </c>
      <c r="S364" s="733" t="str">
        <f>'DICTIONARY-4'!$A$7</f>
        <v>KR</v>
      </c>
      <c r="T364" s="732" t="str">
        <f>'DICTIONARY-4'!$A$23</f>
        <v>Kółko ręczne</v>
      </c>
      <c r="U364" s="734" t="s">
        <v>5759</v>
      </c>
      <c r="V364" s="735">
        <v>16</v>
      </c>
      <c r="W364" s="736"/>
      <c r="X364" s="737"/>
      <c r="Y364" s="738"/>
      <c r="Z364" s="739"/>
      <c r="AA364" s="739"/>
      <c r="AB364" s="740">
        <v>16</v>
      </c>
      <c r="AC364" s="741" t="str">
        <f>'DICTIONARY-5'!$A$11&amp;" 14"</f>
        <v>EN 558 szereg 14</v>
      </c>
      <c r="AD364" s="733" t="str">
        <f>'DICTIONARY-5'!$A$16</f>
        <v>woda gaśnicza</v>
      </c>
      <c r="AE364" s="742">
        <v>50</v>
      </c>
      <c r="AF364" s="743">
        <v>13.5</v>
      </c>
      <c r="AG364" s="741" t="str">
        <f>'DICTIONARY-5'!$A$23</f>
        <v>powłoka epoksydowa</v>
      </c>
    </row>
    <row r="365" spans="1:33" x14ac:dyDescent="0.25">
      <c r="A365" s="842" t="s">
        <v>350</v>
      </c>
      <c r="B365" s="842" t="s">
        <v>3385</v>
      </c>
      <c r="C365" s="836">
        <v>433</v>
      </c>
      <c r="D365" s="836"/>
      <c r="E365" s="836"/>
      <c r="F365" s="836"/>
      <c r="G365" s="496" t="s">
        <v>7789</v>
      </c>
      <c r="H365" s="797" t="str">
        <f>VLOOKUP(G365,SETTINGS!$B$7:$D$97,2,0)</f>
        <v>EKOplus</v>
      </c>
      <c r="I365" s="796">
        <f>VLOOKUP(G365,SETTINGS!$B$7:$D$97,3,0)</f>
        <v>0</v>
      </c>
      <c r="J365" s="670" t="str">
        <f>IFERROR(IF(CURRENCY.FORMAT_1=0,CONCATENATE(TEXT(FIXED(ROUND((C365/EXC.RATE_1),CURRENCY.FORMAT_1),CURRENCY.FORMAT_1,1),"# ##0;-# ##0"),",-"),FIXED(ROUND((C365/EXC.RATE_1),CURRENCY.FORMAT_1),CURRENCY.FORMAT_1,0)),'DICTIONARY-5'!$A$2)</f>
        <v>433,-</v>
      </c>
      <c r="K365" s="670" t="str">
        <f>IF(EXC.RATE_2=0,"",IFERROR(IF(CURRENCY.FORMAT_2=0,CONCATENATE(TEXT(FIXED(ROUND(IF(EXC.RATE.SWITCH=1,C365/EXC.RATE_2,C365*EXC.RATE_2),CURRENCY.FORMAT_2),CURRENCY.FORMAT_2,1),"# ##0;-# ##0"),",-"),FIXED(ROUND(IF(EXC.RATE.SWITCH=1,C365/EXC.RATE_2,C365*EXC.RATE_2),CURRENCY.FORMAT_2),CURRENCY.FORMAT_2,0)),'DICTIONARY-5'!$A$2))</f>
        <v/>
      </c>
      <c r="L365" s="670" t="str">
        <f>IFERROR(IF(CURRENCY.FORMAT_1=0,CONCATENATE(TEXT(FIXED(ROUND((C365*(1-I365)*(1-ADD.DISCOUNT)*(1+MAT.SURCHARGE)/EXC.RATE_1),CURRENCY.FORMAT_1),CURRENCY.FORMAT_1,1),"# ##0;-# ##0"),",-"),FIXED(ROUND((C365*(1-I365)*(1-ADD.DISCOUNT)*(1+MAT.SURCHARGE)/EXC.RATE_1),CURRENCY.FORMAT_1),CURRENCY.FORMAT_1,0)),'DICTIONARY-5'!$A$2)</f>
        <v>450,-</v>
      </c>
      <c r="M365" s="670" t="str">
        <f>IF(EXC.RATE_2=0,"",IFERROR(IF(CURRENCY.FORMAT_2=0,CONCATENATE(TEXT(FIXED(ROUND(IF(EXC.RATE.SWITCH=1,C365*(1-I365)*(1-ADD.DISCOUNT)*(1+MAT.SURCHARGE)/EXC.RATE_2,C365*(1-I365)*(1-ADD.DISCOUNT)*(1+MAT.SURCHARGE)*EXC.RATE_2),CURRENCY.FORMAT_2),CURRENCY.FORMAT_2,1),"# ##0;-# ##0"),",-"),FIXED(ROUND(IF(EXC.RATE.SWITCH=1,C365*(1-I365)*(1-ADD.DISCOUNT)*(1+MAT.SURCHARGE)/EXC.RATE_2,C365*(1-I365)*(1-ADD.DISCOUNT)*(1+MAT.SURCHARGE)*EXC.RATE_2),CURRENCY.FORMAT_2),CURRENCY.FORMAT_2,0)),'DICTIONARY-5'!$A$2))</f>
        <v/>
      </c>
      <c r="N365" s="544">
        <v>1</v>
      </c>
      <c r="O365" s="544"/>
      <c r="P365" s="731" t="str">
        <f>'DICTIONARY-3'!$A$5</f>
        <v>EKOplus</v>
      </c>
      <c r="Q365" s="732" t="str">
        <f>'DICTIONARY-3'!$A$187</f>
        <v>Zasuwa klinowa</v>
      </c>
      <c r="R365" s="732" t="str">
        <f>CONCATENATE('DICTIONARY-3'!$A$5," ",'DICTIONARY-6'!$A$3," ",'DICTIONARY-2'!$A$2,"80"," ",'DICTIONARY-2'!$A$3,"10/16"," ","R14",", ",'DICTIONARY-6'!$A$38,", ",'DICTIONARY-5'!$A$191,", ",'DICTIONARY-4'!$A$7,"+",'DICTIONARY-6'!$A$48)</f>
        <v>EKOplus Zasuwa DN80 PN10/16 R14, cert. 3.1, RAL3000, KR+mechan. wskaźn. położenia</v>
      </c>
      <c r="S365" s="733" t="str">
        <f>'DICTIONARY-4'!$A$7</f>
        <v>KR</v>
      </c>
      <c r="T365" s="732" t="str">
        <f>'DICTIONARY-4'!$A$23</f>
        <v>Kółko ręczne</v>
      </c>
      <c r="U365" s="734" t="s">
        <v>5760</v>
      </c>
      <c r="V365" s="735">
        <v>16</v>
      </c>
      <c r="W365" s="736"/>
      <c r="X365" s="737"/>
      <c r="Y365" s="738"/>
      <c r="Z365" s="739"/>
      <c r="AA365" s="739"/>
      <c r="AB365" s="740">
        <v>16</v>
      </c>
      <c r="AC365" s="741" t="str">
        <f>'DICTIONARY-5'!$A$11&amp;" 14"</f>
        <v>EN 558 szereg 14</v>
      </c>
      <c r="AD365" s="733" t="str">
        <f>'DICTIONARY-5'!$A$16</f>
        <v>woda gaśnicza</v>
      </c>
      <c r="AE365" s="742">
        <v>50</v>
      </c>
      <c r="AF365" s="743">
        <v>15.5</v>
      </c>
      <c r="AG365" s="741" t="str">
        <f>'DICTIONARY-5'!$A$23</f>
        <v>powłoka epoksydowa</v>
      </c>
    </row>
    <row r="366" spans="1:33" x14ac:dyDescent="0.25">
      <c r="A366" s="842" t="s">
        <v>353</v>
      </c>
      <c r="B366" s="842" t="str">
        <f>'DICTIONARY-5'!$A$2</f>
        <v>na zapytanie</v>
      </c>
      <c r="C366" s="836" t="s">
        <v>5967</v>
      </c>
      <c r="D366" s="836"/>
      <c r="E366" s="836"/>
      <c r="F366" s="836"/>
      <c r="G366" s="496" t="s">
        <v>7789</v>
      </c>
      <c r="H366" s="797" t="str">
        <f>VLOOKUP(G366,SETTINGS!$B$7:$D$97,2,0)</f>
        <v>EKOplus</v>
      </c>
      <c r="I366" s="796">
        <f>VLOOKUP(G366,SETTINGS!$B$7:$D$97,3,0)</f>
        <v>0</v>
      </c>
      <c r="J366" s="670" t="str">
        <f>IFERROR(IF(CURRENCY.FORMAT_1=0,CONCATENATE(TEXT(FIXED(ROUND((C366/EXC.RATE_1),CURRENCY.FORMAT_1),CURRENCY.FORMAT_1,1),"# ##0;-# ##0"),",-"),FIXED(ROUND((C366/EXC.RATE_1),CURRENCY.FORMAT_1),CURRENCY.FORMAT_1,0)),'DICTIONARY-5'!$A$2)</f>
        <v>na zapytanie</v>
      </c>
      <c r="K366" s="670" t="str">
        <f>IF(EXC.RATE_2=0,"",IFERROR(IF(CURRENCY.FORMAT_2=0,CONCATENATE(TEXT(FIXED(ROUND(IF(EXC.RATE.SWITCH=1,C366/EXC.RATE_2,C366*EXC.RATE_2),CURRENCY.FORMAT_2),CURRENCY.FORMAT_2,1),"# ##0;-# ##0"),",-"),FIXED(ROUND(IF(EXC.RATE.SWITCH=1,C366/EXC.RATE_2,C366*EXC.RATE_2),CURRENCY.FORMAT_2),CURRENCY.FORMAT_2,0)),'DICTIONARY-5'!$A$2))</f>
        <v/>
      </c>
      <c r="L366" s="670" t="str">
        <f>IFERROR(IF(CURRENCY.FORMAT_1=0,CONCATENATE(TEXT(FIXED(ROUND((C366*(1-I366)*(1-ADD.DISCOUNT)*(1+MAT.SURCHARGE)/EXC.RATE_1),CURRENCY.FORMAT_1),CURRENCY.FORMAT_1,1),"# ##0;-# ##0"),",-"),FIXED(ROUND((C366*(1-I366)*(1-ADD.DISCOUNT)*(1+MAT.SURCHARGE)/EXC.RATE_1),CURRENCY.FORMAT_1),CURRENCY.FORMAT_1,0)),'DICTIONARY-5'!$A$2)</f>
        <v>na zapytanie</v>
      </c>
      <c r="M366" s="670" t="str">
        <f>IF(EXC.RATE_2=0,"",IFERROR(IF(CURRENCY.FORMAT_2=0,CONCATENATE(TEXT(FIXED(ROUND(IF(EXC.RATE.SWITCH=1,C366*(1-I366)*(1-ADD.DISCOUNT)*(1+MAT.SURCHARGE)/EXC.RATE_2,C366*(1-I366)*(1-ADD.DISCOUNT)*(1+MAT.SURCHARGE)*EXC.RATE_2),CURRENCY.FORMAT_2),CURRENCY.FORMAT_2,1),"# ##0;-# ##0"),",-"),FIXED(ROUND(IF(EXC.RATE.SWITCH=1,C366*(1-I366)*(1-ADD.DISCOUNT)*(1+MAT.SURCHARGE)/EXC.RATE_2,C366*(1-I366)*(1-ADD.DISCOUNT)*(1+MAT.SURCHARGE)*EXC.RATE_2),CURRENCY.FORMAT_2),CURRENCY.FORMAT_2,0)),'DICTIONARY-5'!$A$2))</f>
        <v/>
      </c>
      <c r="N366" s="544">
        <v>1</v>
      </c>
      <c r="O366" s="544"/>
      <c r="P366" s="731" t="str">
        <f>'DICTIONARY-3'!$A$5</f>
        <v>EKOplus</v>
      </c>
      <c r="Q366" s="732" t="str">
        <f>'DICTIONARY-3'!$A$187</f>
        <v>Zasuwa klinowa</v>
      </c>
      <c r="R366" s="732" t="str">
        <f>CONCATENATE('DICTIONARY-3'!$A$5," ",'DICTIONARY-6'!$A$3," ",'DICTIONARY-2'!$A$2,"100"," ",'DICTIONARY-2'!$A$3,"10/16"," ","R14",", ",'DICTIONARY-6'!$A$38,", ",'DICTIONARY-5'!$A$191,", ",'DICTIONARY-4'!$A$7,"+",'DICTIONARY-6'!$A$48)</f>
        <v>EKOplus Zasuwa DN100 PN10/16 R14, cert. 3.1, RAL3000, KR+mechan. wskaźn. położenia</v>
      </c>
      <c r="S366" s="733" t="str">
        <f>'DICTIONARY-4'!$A$7</f>
        <v>KR</v>
      </c>
      <c r="T366" s="732" t="str">
        <f>'DICTIONARY-4'!$A$23</f>
        <v>Kółko ręczne</v>
      </c>
      <c r="U366" s="734" t="s">
        <v>5749</v>
      </c>
      <c r="V366" s="735">
        <v>16</v>
      </c>
      <c r="W366" s="736"/>
      <c r="X366" s="737"/>
      <c r="Y366" s="738"/>
      <c r="Z366" s="739"/>
      <c r="AA366" s="739"/>
      <c r="AB366" s="740">
        <v>16</v>
      </c>
      <c r="AC366" s="741" t="str">
        <f>'DICTIONARY-5'!$A$11&amp;" 14"</f>
        <v>EN 558 szereg 14</v>
      </c>
      <c r="AD366" s="733" t="str">
        <f>'DICTIONARY-5'!$A$16</f>
        <v>woda gaśnicza</v>
      </c>
      <c r="AE366" s="742">
        <v>50</v>
      </c>
      <c r="AF366" s="743"/>
      <c r="AG366" s="741" t="str">
        <f>'DICTIONARY-5'!$A$23</f>
        <v>powłoka epoksydowa</v>
      </c>
    </row>
    <row r="367" spans="1:33" x14ac:dyDescent="0.25">
      <c r="A367" s="842" t="s">
        <v>356</v>
      </c>
      <c r="B367" s="842" t="str">
        <f>'DICTIONARY-5'!$A$2</f>
        <v>na zapytanie</v>
      </c>
      <c r="C367" s="836" t="s">
        <v>5967</v>
      </c>
      <c r="D367" s="836"/>
      <c r="E367" s="836"/>
      <c r="F367" s="836"/>
      <c r="G367" s="496" t="s">
        <v>7789</v>
      </c>
      <c r="H367" s="797" t="str">
        <f>VLOOKUP(G367,SETTINGS!$B$7:$D$97,2,0)</f>
        <v>EKOplus</v>
      </c>
      <c r="I367" s="796">
        <f>VLOOKUP(G367,SETTINGS!$B$7:$D$97,3,0)</f>
        <v>0</v>
      </c>
      <c r="J367" s="670" t="str">
        <f>IFERROR(IF(CURRENCY.FORMAT_1=0,CONCATENATE(TEXT(FIXED(ROUND((C367/EXC.RATE_1),CURRENCY.FORMAT_1),CURRENCY.FORMAT_1,1),"# ##0;-# ##0"),",-"),FIXED(ROUND((C367/EXC.RATE_1),CURRENCY.FORMAT_1),CURRENCY.FORMAT_1,0)),'DICTIONARY-5'!$A$2)</f>
        <v>na zapytanie</v>
      </c>
      <c r="K367" s="670" t="str">
        <f>IF(EXC.RATE_2=0,"",IFERROR(IF(CURRENCY.FORMAT_2=0,CONCATENATE(TEXT(FIXED(ROUND(IF(EXC.RATE.SWITCH=1,C367/EXC.RATE_2,C367*EXC.RATE_2),CURRENCY.FORMAT_2),CURRENCY.FORMAT_2,1),"# ##0;-# ##0"),",-"),FIXED(ROUND(IF(EXC.RATE.SWITCH=1,C367/EXC.RATE_2,C367*EXC.RATE_2),CURRENCY.FORMAT_2),CURRENCY.FORMAT_2,0)),'DICTIONARY-5'!$A$2))</f>
        <v/>
      </c>
      <c r="L367" s="670" t="str">
        <f>IFERROR(IF(CURRENCY.FORMAT_1=0,CONCATENATE(TEXT(FIXED(ROUND((C367*(1-I367)*(1-ADD.DISCOUNT)*(1+MAT.SURCHARGE)/EXC.RATE_1),CURRENCY.FORMAT_1),CURRENCY.FORMAT_1,1),"# ##0;-# ##0"),",-"),FIXED(ROUND((C367*(1-I367)*(1-ADD.DISCOUNT)*(1+MAT.SURCHARGE)/EXC.RATE_1),CURRENCY.FORMAT_1),CURRENCY.FORMAT_1,0)),'DICTIONARY-5'!$A$2)</f>
        <v>na zapytanie</v>
      </c>
      <c r="M367" s="670" t="str">
        <f>IF(EXC.RATE_2=0,"",IFERROR(IF(CURRENCY.FORMAT_2=0,CONCATENATE(TEXT(FIXED(ROUND(IF(EXC.RATE.SWITCH=1,C367*(1-I367)*(1-ADD.DISCOUNT)*(1+MAT.SURCHARGE)/EXC.RATE_2,C367*(1-I367)*(1-ADD.DISCOUNT)*(1+MAT.SURCHARGE)*EXC.RATE_2),CURRENCY.FORMAT_2),CURRENCY.FORMAT_2,1),"# ##0;-# ##0"),",-"),FIXED(ROUND(IF(EXC.RATE.SWITCH=1,C367*(1-I367)*(1-ADD.DISCOUNT)*(1+MAT.SURCHARGE)/EXC.RATE_2,C367*(1-I367)*(1-ADD.DISCOUNT)*(1+MAT.SURCHARGE)*EXC.RATE_2),CURRENCY.FORMAT_2),CURRENCY.FORMAT_2,0)),'DICTIONARY-5'!$A$2))</f>
        <v/>
      </c>
      <c r="N367" s="544">
        <v>1</v>
      </c>
      <c r="O367" s="544"/>
      <c r="P367" s="731" t="str">
        <f>'DICTIONARY-3'!$A$5</f>
        <v>EKOplus</v>
      </c>
      <c r="Q367" s="732" t="str">
        <f>'DICTIONARY-3'!$A$187</f>
        <v>Zasuwa klinowa</v>
      </c>
      <c r="R367" s="732" t="str">
        <f>CONCATENATE('DICTIONARY-3'!$A$5," ",'DICTIONARY-6'!$A$3," ",'DICTIONARY-2'!$A$2,"125"," ",'DICTIONARY-2'!$A$3,"10/16"," ","R14",", ",'DICTIONARY-6'!$A$38,", ",'DICTIONARY-5'!$A$191,", ",'DICTIONARY-4'!$A$7,"+",'DICTIONARY-6'!$A$48)</f>
        <v>EKOplus Zasuwa DN125 PN10/16 R14, cert. 3.1, RAL3000, KR+mechan. wskaźn. położenia</v>
      </c>
      <c r="S367" s="733" t="str">
        <f>'DICTIONARY-4'!$A$7</f>
        <v>KR</v>
      </c>
      <c r="T367" s="732" t="str">
        <f>'DICTIONARY-4'!$A$23</f>
        <v>Kółko ręczne</v>
      </c>
      <c r="U367" s="734" t="s">
        <v>5761</v>
      </c>
      <c r="V367" s="735">
        <v>16</v>
      </c>
      <c r="W367" s="736"/>
      <c r="X367" s="737"/>
      <c r="Y367" s="738"/>
      <c r="Z367" s="739"/>
      <c r="AA367" s="739"/>
      <c r="AB367" s="740">
        <v>16</v>
      </c>
      <c r="AC367" s="741" t="str">
        <f>'DICTIONARY-5'!$A$11&amp;" 14"</f>
        <v>EN 558 szereg 14</v>
      </c>
      <c r="AD367" s="733" t="str">
        <f>'DICTIONARY-5'!$A$16</f>
        <v>woda gaśnicza</v>
      </c>
      <c r="AE367" s="742">
        <v>50</v>
      </c>
      <c r="AF367" s="743"/>
      <c r="AG367" s="741" t="str">
        <f>'DICTIONARY-5'!$A$23</f>
        <v>powłoka epoksydowa</v>
      </c>
    </row>
    <row r="368" spans="1:33" x14ac:dyDescent="0.25">
      <c r="A368" s="842" t="s">
        <v>359</v>
      </c>
      <c r="B368" s="842" t="str">
        <f>'DICTIONARY-5'!$A$2</f>
        <v>na zapytanie</v>
      </c>
      <c r="C368" s="836" t="s">
        <v>5967</v>
      </c>
      <c r="D368" s="836"/>
      <c r="E368" s="836"/>
      <c r="F368" s="836"/>
      <c r="G368" s="496" t="s">
        <v>7789</v>
      </c>
      <c r="H368" s="797" t="str">
        <f>VLOOKUP(G368,SETTINGS!$B$7:$D$97,2,0)</f>
        <v>EKOplus</v>
      </c>
      <c r="I368" s="796">
        <f>VLOOKUP(G368,SETTINGS!$B$7:$D$97,3,0)</f>
        <v>0</v>
      </c>
      <c r="J368" s="670" t="str">
        <f>IFERROR(IF(CURRENCY.FORMAT_1=0,CONCATENATE(TEXT(FIXED(ROUND((C368/EXC.RATE_1),CURRENCY.FORMAT_1),CURRENCY.FORMAT_1,1),"# ##0;-# ##0"),",-"),FIXED(ROUND((C368/EXC.RATE_1),CURRENCY.FORMAT_1),CURRENCY.FORMAT_1,0)),'DICTIONARY-5'!$A$2)</f>
        <v>na zapytanie</v>
      </c>
      <c r="K368" s="670" t="str">
        <f>IF(EXC.RATE_2=0,"",IFERROR(IF(CURRENCY.FORMAT_2=0,CONCATENATE(TEXT(FIXED(ROUND(IF(EXC.RATE.SWITCH=1,C368/EXC.RATE_2,C368*EXC.RATE_2),CURRENCY.FORMAT_2),CURRENCY.FORMAT_2,1),"# ##0;-# ##0"),",-"),FIXED(ROUND(IF(EXC.RATE.SWITCH=1,C368/EXC.RATE_2,C368*EXC.RATE_2),CURRENCY.FORMAT_2),CURRENCY.FORMAT_2,0)),'DICTIONARY-5'!$A$2))</f>
        <v/>
      </c>
      <c r="L368" s="670" t="str">
        <f>IFERROR(IF(CURRENCY.FORMAT_1=0,CONCATENATE(TEXT(FIXED(ROUND((C368*(1-I368)*(1-ADD.DISCOUNT)*(1+MAT.SURCHARGE)/EXC.RATE_1),CURRENCY.FORMAT_1),CURRENCY.FORMAT_1,1),"# ##0;-# ##0"),",-"),FIXED(ROUND((C368*(1-I368)*(1-ADD.DISCOUNT)*(1+MAT.SURCHARGE)/EXC.RATE_1),CURRENCY.FORMAT_1),CURRENCY.FORMAT_1,0)),'DICTIONARY-5'!$A$2)</f>
        <v>na zapytanie</v>
      </c>
      <c r="M368" s="670" t="str">
        <f>IF(EXC.RATE_2=0,"",IFERROR(IF(CURRENCY.FORMAT_2=0,CONCATENATE(TEXT(FIXED(ROUND(IF(EXC.RATE.SWITCH=1,C368*(1-I368)*(1-ADD.DISCOUNT)*(1+MAT.SURCHARGE)/EXC.RATE_2,C368*(1-I368)*(1-ADD.DISCOUNT)*(1+MAT.SURCHARGE)*EXC.RATE_2),CURRENCY.FORMAT_2),CURRENCY.FORMAT_2,1),"# ##0;-# ##0"),",-"),FIXED(ROUND(IF(EXC.RATE.SWITCH=1,C368*(1-I368)*(1-ADD.DISCOUNT)*(1+MAT.SURCHARGE)/EXC.RATE_2,C368*(1-I368)*(1-ADD.DISCOUNT)*(1+MAT.SURCHARGE)*EXC.RATE_2),CURRENCY.FORMAT_2),CURRENCY.FORMAT_2,0)),'DICTIONARY-5'!$A$2))</f>
        <v/>
      </c>
      <c r="N368" s="544">
        <v>1</v>
      </c>
      <c r="O368" s="544"/>
      <c r="P368" s="731" t="str">
        <f>'DICTIONARY-3'!$A$5</f>
        <v>EKOplus</v>
      </c>
      <c r="Q368" s="732" t="str">
        <f>'DICTIONARY-3'!$A$187</f>
        <v>Zasuwa klinowa</v>
      </c>
      <c r="R368" s="732" t="str">
        <f>CONCATENATE('DICTIONARY-3'!$A$5," ",'DICTIONARY-6'!$A$3," ",'DICTIONARY-2'!$A$2,"150"," ",'DICTIONARY-2'!$A$3,"10/16"," ","R14",", ",'DICTIONARY-6'!$A$38,", ",'DICTIONARY-5'!$A$191,", ",'DICTIONARY-4'!$A$7,"+",'DICTIONARY-6'!$A$48)</f>
        <v>EKOplus Zasuwa DN150 PN10/16 R14, cert. 3.1, RAL3000, KR+mechan. wskaźn. położenia</v>
      </c>
      <c r="S368" s="733" t="str">
        <f>'DICTIONARY-4'!$A$7</f>
        <v>KR</v>
      </c>
      <c r="T368" s="732" t="str">
        <f>'DICTIONARY-4'!$A$23</f>
        <v>Kółko ręczne</v>
      </c>
      <c r="U368" s="734" t="s">
        <v>5572</v>
      </c>
      <c r="V368" s="735">
        <v>16</v>
      </c>
      <c r="W368" s="736"/>
      <c r="X368" s="737"/>
      <c r="Y368" s="738"/>
      <c r="Z368" s="739"/>
      <c r="AA368" s="739"/>
      <c r="AB368" s="740">
        <v>16</v>
      </c>
      <c r="AC368" s="741" t="str">
        <f>'DICTIONARY-5'!$A$11&amp;" 14"</f>
        <v>EN 558 szereg 14</v>
      </c>
      <c r="AD368" s="733" t="str">
        <f>'DICTIONARY-5'!$A$16</f>
        <v>woda gaśnicza</v>
      </c>
      <c r="AE368" s="742">
        <v>50</v>
      </c>
      <c r="AF368" s="743"/>
      <c r="AG368" s="741" t="str">
        <f>'DICTIONARY-5'!$A$23</f>
        <v>powłoka epoksydowa</v>
      </c>
    </row>
    <row r="369" spans="1:33" x14ac:dyDescent="0.25">
      <c r="A369" s="842" t="s">
        <v>362</v>
      </c>
      <c r="B369" s="842" t="str">
        <f>'DICTIONARY-5'!$A$2</f>
        <v>na zapytanie</v>
      </c>
      <c r="C369" s="836" t="s">
        <v>5967</v>
      </c>
      <c r="D369" s="836"/>
      <c r="E369" s="836"/>
      <c r="F369" s="836"/>
      <c r="G369" s="496" t="s">
        <v>7789</v>
      </c>
      <c r="H369" s="797" t="str">
        <f>VLOOKUP(G369,SETTINGS!$B$7:$D$97,2,0)</f>
        <v>EKOplus</v>
      </c>
      <c r="I369" s="796">
        <f>VLOOKUP(G369,SETTINGS!$B$7:$D$97,3,0)</f>
        <v>0</v>
      </c>
      <c r="J369" s="670" t="str">
        <f>IFERROR(IF(CURRENCY.FORMAT_1=0,CONCATENATE(TEXT(FIXED(ROUND((C369/EXC.RATE_1),CURRENCY.FORMAT_1),CURRENCY.FORMAT_1,1),"# ##0;-# ##0"),",-"),FIXED(ROUND((C369/EXC.RATE_1),CURRENCY.FORMAT_1),CURRENCY.FORMAT_1,0)),'DICTIONARY-5'!$A$2)</f>
        <v>na zapytanie</v>
      </c>
      <c r="K369" s="670" t="str">
        <f>IF(EXC.RATE_2=0,"",IFERROR(IF(CURRENCY.FORMAT_2=0,CONCATENATE(TEXT(FIXED(ROUND(IF(EXC.RATE.SWITCH=1,C369/EXC.RATE_2,C369*EXC.RATE_2),CURRENCY.FORMAT_2),CURRENCY.FORMAT_2,1),"# ##0;-# ##0"),",-"),FIXED(ROUND(IF(EXC.RATE.SWITCH=1,C369/EXC.RATE_2,C369*EXC.RATE_2),CURRENCY.FORMAT_2),CURRENCY.FORMAT_2,0)),'DICTIONARY-5'!$A$2))</f>
        <v/>
      </c>
      <c r="L369" s="670" t="str">
        <f>IFERROR(IF(CURRENCY.FORMAT_1=0,CONCATENATE(TEXT(FIXED(ROUND((C369*(1-I369)*(1-ADD.DISCOUNT)*(1+MAT.SURCHARGE)/EXC.RATE_1),CURRENCY.FORMAT_1),CURRENCY.FORMAT_1,1),"# ##0;-# ##0"),",-"),FIXED(ROUND((C369*(1-I369)*(1-ADD.DISCOUNT)*(1+MAT.SURCHARGE)/EXC.RATE_1),CURRENCY.FORMAT_1),CURRENCY.FORMAT_1,0)),'DICTIONARY-5'!$A$2)</f>
        <v>na zapytanie</v>
      </c>
      <c r="M369" s="670" t="str">
        <f>IF(EXC.RATE_2=0,"",IFERROR(IF(CURRENCY.FORMAT_2=0,CONCATENATE(TEXT(FIXED(ROUND(IF(EXC.RATE.SWITCH=1,C369*(1-I369)*(1-ADD.DISCOUNT)*(1+MAT.SURCHARGE)/EXC.RATE_2,C369*(1-I369)*(1-ADD.DISCOUNT)*(1+MAT.SURCHARGE)*EXC.RATE_2),CURRENCY.FORMAT_2),CURRENCY.FORMAT_2,1),"# ##0;-# ##0"),",-"),FIXED(ROUND(IF(EXC.RATE.SWITCH=1,C369*(1-I369)*(1-ADD.DISCOUNT)*(1+MAT.SURCHARGE)/EXC.RATE_2,C369*(1-I369)*(1-ADD.DISCOUNT)*(1+MAT.SURCHARGE)*EXC.RATE_2),CURRENCY.FORMAT_2),CURRENCY.FORMAT_2,0)),'DICTIONARY-5'!$A$2))</f>
        <v/>
      </c>
      <c r="N369" s="544">
        <v>1</v>
      </c>
      <c r="O369" s="544"/>
      <c r="P369" s="731" t="str">
        <f>'DICTIONARY-3'!$A$5</f>
        <v>EKOplus</v>
      </c>
      <c r="Q369" s="732" t="str">
        <f>'DICTIONARY-3'!$A$187</f>
        <v>Zasuwa klinowa</v>
      </c>
      <c r="R369" s="732" t="str">
        <f>CONCATENATE('DICTIONARY-3'!$A$5," ",'DICTIONARY-6'!$A$3," ",'DICTIONARY-2'!$A$2,"200"," ",'DICTIONARY-2'!$A$3,"10"," ","R14",", ",'DICTIONARY-6'!$A$38,", ",'DICTIONARY-5'!$A$191,", ",'DICTIONARY-4'!$A$7,"+",'DICTIONARY-6'!$A$48)</f>
        <v>EKOplus Zasuwa DN200 PN10 R14, cert. 3.1, RAL3000, KR+mechan. wskaźn. położenia</v>
      </c>
      <c r="S369" s="733" t="str">
        <f>'DICTIONARY-4'!$A$7</f>
        <v>KR</v>
      </c>
      <c r="T369" s="732" t="str">
        <f>'DICTIONARY-4'!$A$23</f>
        <v>Kółko ręczne</v>
      </c>
      <c r="U369" s="734" t="s">
        <v>5750</v>
      </c>
      <c r="V369" s="735">
        <v>10</v>
      </c>
      <c r="W369" s="736"/>
      <c r="X369" s="737"/>
      <c r="Y369" s="738"/>
      <c r="Z369" s="739"/>
      <c r="AA369" s="739"/>
      <c r="AB369" s="740">
        <v>10</v>
      </c>
      <c r="AC369" s="741" t="str">
        <f>'DICTIONARY-5'!$A$11&amp;" 14"</f>
        <v>EN 558 szereg 14</v>
      </c>
      <c r="AD369" s="733" t="str">
        <f>'DICTIONARY-5'!$A$16</f>
        <v>woda gaśnicza</v>
      </c>
      <c r="AE369" s="742">
        <v>50</v>
      </c>
      <c r="AF369" s="743"/>
      <c r="AG369" s="741" t="str">
        <f>'DICTIONARY-5'!$A$23</f>
        <v>powłoka epoksydowa</v>
      </c>
    </row>
    <row r="370" spans="1:33" x14ac:dyDescent="0.25">
      <c r="A370" s="842" t="s">
        <v>365</v>
      </c>
      <c r="B370" s="842" t="str">
        <f>'DICTIONARY-5'!$A$2</f>
        <v>na zapytanie</v>
      </c>
      <c r="C370" s="836" t="s">
        <v>5967</v>
      </c>
      <c r="D370" s="836"/>
      <c r="E370" s="836"/>
      <c r="F370" s="836"/>
      <c r="G370" s="496" t="s">
        <v>7789</v>
      </c>
      <c r="H370" s="797" t="str">
        <f>VLOOKUP(G370,SETTINGS!$B$7:$D$97,2,0)</f>
        <v>EKOplus</v>
      </c>
      <c r="I370" s="796">
        <f>VLOOKUP(G370,SETTINGS!$B$7:$D$97,3,0)</f>
        <v>0</v>
      </c>
      <c r="J370" s="670" t="str">
        <f>IFERROR(IF(CURRENCY.FORMAT_1=0,CONCATENATE(TEXT(FIXED(ROUND((C370/EXC.RATE_1),CURRENCY.FORMAT_1),CURRENCY.FORMAT_1,1),"# ##0;-# ##0"),",-"),FIXED(ROUND((C370/EXC.RATE_1),CURRENCY.FORMAT_1),CURRENCY.FORMAT_1,0)),'DICTIONARY-5'!$A$2)</f>
        <v>na zapytanie</v>
      </c>
      <c r="K370" s="670" t="str">
        <f>IF(EXC.RATE_2=0,"",IFERROR(IF(CURRENCY.FORMAT_2=0,CONCATENATE(TEXT(FIXED(ROUND(IF(EXC.RATE.SWITCH=1,C370/EXC.RATE_2,C370*EXC.RATE_2),CURRENCY.FORMAT_2),CURRENCY.FORMAT_2,1),"# ##0;-# ##0"),",-"),FIXED(ROUND(IF(EXC.RATE.SWITCH=1,C370/EXC.RATE_2,C370*EXC.RATE_2),CURRENCY.FORMAT_2),CURRENCY.FORMAT_2,0)),'DICTIONARY-5'!$A$2))</f>
        <v/>
      </c>
      <c r="L370" s="670" t="str">
        <f>IFERROR(IF(CURRENCY.FORMAT_1=0,CONCATENATE(TEXT(FIXED(ROUND((C370*(1-I370)*(1-ADD.DISCOUNT)*(1+MAT.SURCHARGE)/EXC.RATE_1),CURRENCY.FORMAT_1),CURRENCY.FORMAT_1,1),"# ##0;-# ##0"),",-"),FIXED(ROUND((C370*(1-I370)*(1-ADD.DISCOUNT)*(1+MAT.SURCHARGE)/EXC.RATE_1),CURRENCY.FORMAT_1),CURRENCY.FORMAT_1,0)),'DICTIONARY-5'!$A$2)</f>
        <v>na zapytanie</v>
      </c>
      <c r="M370" s="670" t="str">
        <f>IF(EXC.RATE_2=0,"",IFERROR(IF(CURRENCY.FORMAT_2=0,CONCATENATE(TEXT(FIXED(ROUND(IF(EXC.RATE.SWITCH=1,C370*(1-I370)*(1-ADD.DISCOUNT)*(1+MAT.SURCHARGE)/EXC.RATE_2,C370*(1-I370)*(1-ADD.DISCOUNT)*(1+MAT.SURCHARGE)*EXC.RATE_2),CURRENCY.FORMAT_2),CURRENCY.FORMAT_2,1),"# ##0;-# ##0"),",-"),FIXED(ROUND(IF(EXC.RATE.SWITCH=1,C370*(1-I370)*(1-ADD.DISCOUNT)*(1+MAT.SURCHARGE)/EXC.RATE_2,C370*(1-I370)*(1-ADD.DISCOUNT)*(1+MAT.SURCHARGE)*EXC.RATE_2),CURRENCY.FORMAT_2),CURRENCY.FORMAT_2,0)),'DICTIONARY-5'!$A$2))</f>
        <v/>
      </c>
      <c r="N370" s="544">
        <v>1</v>
      </c>
      <c r="O370" s="544"/>
      <c r="P370" s="731" t="str">
        <f>'DICTIONARY-3'!$A$5</f>
        <v>EKOplus</v>
      </c>
      <c r="Q370" s="732" t="str">
        <f>'DICTIONARY-3'!$A$187</f>
        <v>Zasuwa klinowa</v>
      </c>
      <c r="R370" s="732" t="str">
        <f>CONCATENATE('DICTIONARY-3'!$A$5," ",'DICTIONARY-6'!$A$3," ",'DICTIONARY-2'!$A$2,"200"," ",'DICTIONARY-2'!$A$3,"16"," ","R14",", ",'DICTIONARY-6'!$A$38,", ",'DICTIONARY-5'!$A$191,", ",'DICTIONARY-4'!$A$7,"+",'DICTIONARY-6'!$A$48)</f>
        <v>EKOplus Zasuwa DN200 PN16 R14, cert. 3.1, RAL3000, KR+mechan. wskaźn. położenia</v>
      </c>
      <c r="S370" s="733" t="str">
        <f>'DICTIONARY-4'!$A$7</f>
        <v>KR</v>
      </c>
      <c r="T370" s="732" t="str">
        <f>'DICTIONARY-4'!$A$23</f>
        <v>Kółko ręczne</v>
      </c>
      <c r="U370" s="734" t="s">
        <v>5750</v>
      </c>
      <c r="V370" s="735">
        <v>16</v>
      </c>
      <c r="W370" s="736"/>
      <c r="X370" s="737"/>
      <c r="Y370" s="738"/>
      <c r="Z370" s="739"/>
      <c r="AA370" s="739"/>
      <c r="AB370" s="740">
        <v>16</v>
      </c>
      <c r="AC370" s="741" t="str">
        <f>'DICTIONARY-5'!$A$11&amp;" 14"</f>
        <v>EN 558 szereg 14</v>
      </c>
      <c r="AD370" s="733" t="str">
        <f>'DICTIONARY-5'!$A$16</f>
        <v>woda gaśnicza</v>
      </c>
      <c r="AE370" s="742">
        <v>50</v>
      </c>
      <c r="AF370" s="743"/>
      <c r="AG370" s="741" t="str">
        <f>'DICTIONARY-5'!$A$23</f>
        <v>powłoka epoksydowa</v>
      </c>
    </row>
    <row r="371" spans="1:33" x14ac:dyDescent="0.25">
      <c r="A371" s="842" t="s">
        <v>368</v>
      </c>
      <c r="B371" s="842" t="str">
        <f>'DICTIONARY-5'!$A$2</f>
        <v>na zapytanie</v>
      </c>
      <c r="C371" s="836" t="s">
        <v>5967</v>
      </c>
      <c r="D371" s="836"/>
      <c r="E371" s="836"/>
      <c r="F371" s="836"/>
      <c r="G371" s="496" t="s">
        <v>7789</v>
      </c>
      <c r="H371" s="797" t="str">
        <f>VLOOKUP(G371,SETTINGS!$B$7:$D$97,2,0)</f>
        <v>EKOplus</v>
      </c>
      <c r="I371" s="796">
        <f>VLOOKUP(G371,SETTINGS!$B$7:$D$97,3,0)</f>
        <v>0</v>
      </c>
      <c r="J371" s="670" t="str">
        <f>IFERROR(IF(CURRENCY.FORMAT_1=0,CONCATENATE(TEXT(FIXED(ROUND((C371/EXC.RATE_1),CURRENCY.FORMAT_1),CURRENCY.FORMAT_1,1),"# ##0;-# ##0"),",-"),FIXED(ROUND((C371/EXC.RATE_1),CURRENCY.FORMAT_1),CURRENCY.FORMAT_1,0)),'DICTIONARY-5'!$A$2)</f>
        <v>na zapytanie</v>
      </c>
      <c r="K371" s="670" t="str">
        <f>IF(EXC.RATE_2=0,"",IFERROR(IF(CURRENCY.FORMAT_2=0,CONCATENATE(TEXT(FIXED(ROUND(IF(EXC.RATE.SWITCH=1,C371/EXC.RATE_2,C371*EXC.RATE_2),CURRENCY.FORMAT_2),CURRENCY.FORMAT_2,1),"# ##0;-# ##0"),",-"),FIXED(ROUND(IF(EXC.RATE.SWITCH=1,C371/EXC.RATE_2,C371*EXC.RATE_2),CURRENCY.FORMAT_2),CURRENCY.FORMAT_2,0)),'DICTIONARY-5'!$A$2))</f>
        <v/>
      </c>
      <c r="L371" s="670" t="str">
        <f>IFERROR(IF(CURRENCY.FORMAT_1=0,CONCATENATE(TEXT(FIXED(ROUND((C371*(1-I371)*(1-ADD.DISCOUNT)*(1+MAT.SURCHARGE)/EXC.RATE_1),CURRENCY.FORMAT_1),CURRENCY.FORMAT_1,1),"# ##0;-# ##0"),",-"),FIXED(ROUND((C371*(1-I371)*(1-ADD.DISCOUNT)*(1+MAT.SURCHARGE)/EXC.RATE_1),CURRENCY.FORMAT_1),CURRENCY.FORMAT_1,0)),'DICTIONARY-5'!$A$2)</f>
        <v>na zapytanie</v>
      </c>
      <c r="M371" s="670" t="str">
        <f>IF(EXC.RATE_2=0,"",IFERROR(IF(CURRENCY.FORMAT_2=0,CONCATENATE(TEXT(FIXED(ROUND(IF(EXC.RATE.SWITCH=1,C371*(1-I371)*(1-ADD.DISCOUNT)*(1+MAT.SURCHARGE)/EXC.RATE_2,C371*(1-I371)*(1-ADD.DISCOUNT)*(1+MAT.SURCHARGE)*EXC.RATE_2),CURRENCY.FORMAT_2),CURRENCY.FORMAT_2,1),"# ##0;-# ##0"),",-"),FIXED(ROUND(IF(EXC.RATE.SWITCH=1,C371*(1-I371)*(1-ADD.DISCOUNT)*(1+MAT.SURCHARGE)/EXC.RATE_2,C371*(1-I371)*(1-ADD.DISCOUNT)*(1+MAT.SURCHARGE)*EXC.RATE_2),CURRENCY.FORMAT_2),CURRENCY.FORMAT_2,0)),'DICTIONARY-5'!$A$2))</f>
        <v/>
      </c>
      <c r="N371" s="544">
        <v>1</v>
      </c>
      <c r="O371" s="544"/>
      <c r="P371" s="731" t="str">
        <f>'DICTIONARY-3'!$A$5</f>
        <v>EKOplus</v>
      </c>
      <c r="Q371" s="732" t="str">
        <f>'DICTIONARY-3'!$A$187</f>
        <v>Zasuwa klinowa</v>
      </c>
      <c r="R371" s="732" t="str">
        <f>CONCATENATE('DICTIONARY-3'!$A$5," ",'DICTIONARY-6'!$A$3," ",'DICTIONARY-2'!$A$2,"250"," ",'DICTIONARY-2'!$A$3,"10"," ","R14",", ",'DICTIONARY-6'!$A$38,", ",'DICTIONARY-5'!$A$191,", ",'DICTIONARY-4'!$A$7,"+",'DICTIONARY-6'!$A$48)</f>
        <v>EKOplus Zasuwa DN250 PN10 R14, cert. 3.1, RAL3000, KR+mechan. wskaźn. położenia</v>
      </c>
      <c r="S371" s="733" t="str">
        <f>'DICTIONARY-4'!$A$7</f>
        <v>KR</v>
      </c>
      <c r="T371" s="732" t="str">
        <f>'DICTIONARY-4'!$A$23</f>
        <v>Kółko ręczne</v>
      </c>
      <c r="U371" s="734" t="s">
        <v>5751</v>
      </c>
      <c r="V371" s="735">
        <v>10</v>
      </c>
      <c r="W371" s="736"/>
      <c r="X371" s="737"/>
      <c r="Y371" s="738"/>
      <c r="Z371" s="739"/>
      <c r="AA371" s="739"/>
      <c r="AB371" s="740">
        <v>10</v>
      </c>
      <c r="AC371" s="741" t="str">
        <f>'DICTIONARY-5'!$A$11&amp;" 14"</f>
        <v>EN 558 szereg 14</v>
      </c>
      <c r="AD371" s="733" t="str">
        <f>'DICTIONARY-5'!$A$16</f>
        <v>woda gaśnicza</v>
      </c>
      <c r="AE371" s="742">
        <v>50</v>
      </c>
      <c r="AF371" s="743"/>
      <c r="AG371" s="741" t="str">
        <f>'DICTIONARY-5'!$A$23</f>
        <v>powłoka epoksydowa</v>
      </c>
    </row>
    <row r="372" spans="1:33" x14ac:dyDescent="0.25">
      <c r="A372" s="842" t="s">
        <v>371</v>
      </c>
      <c r="B372" s="842" t="str">
        <f>'DICTIONARY-5'!$A$2</f>
        <v>na zapytanie</v>
      </c>
      <c r="C372" s="836" t="s">
        <v>5967</v>
      </c>
      <c r="D372" s="836"/>
      <c r="E372" s="836"/>
      <c r="F372" s="836"/>
      <c r="G372" s="496" t="s">
        <v>7789</v>
      </c>
      <c r="H372" s="797" t="str">
        <f>VLOOKUP(G372,SETTINGS!$B$7:$D$97,2,0)</f>
        <v>EKOplus</v>
      </c>
      <c r="I372" s="796">
        <f>VLOOKUP(G372,SETTINGS!$B$7:$D$97,3,0)</f>
        <v>0</v>
      </c>
      <c r="J372" s="670" t="str">
        <f>IFERROR(IF(CURRENCY.FORMAT_1=0,CONCATENATE(TEXT(FIXED(ROUND((C372/EXC.RATE_1),CURRENCY.FORMAT_1),CURRENCY.FORMAT_1,1),"# ##0;-# ##0"),",-"),FIXED(ROUND((C372/EXC.RATE_1),CURRENCY.FORMAT_1),CURRENCY.FORMAT_1,0)),'DICTIONARY-5'!$A$2)</f>
        <v>na zapytanie</v>
      </c>
      <c r="K372" s="670" t="str">
        <f>IF(EXC.RATE_2=0,"",IFERROR(IF(CURRENCY.FORMAT_2=0,CONCATENATE(TEXT(FIXED(ROUND(IF(EXC.RATE.SWITCH=1,C372/EXC.RATE_2,C372*EXC.RATE_2),CURRENCY.FORMAT_2),CURRENCY.FORMAT_2,1),"# ##0;-# ##0"),",-"),FIXED(ROUND(IF(EXC.RATE.SWITCH=1,C372/EXC.RATE_2,C372*EXC.RATE_2),CURRENCY.FORMAT_2),CURRENCY.FORMAT_2,0)),'DICTIONARY-5'!$A$2))</f>
        <v/>
      </c>
      <c r="L372" s="670" t="str">
        <f>IFERROR(IF(CURRENCY.FORMAT_1=0,CONCATENATE(TEXT(FIXED(ROUND((C372*(1-I372)*(1-ADD.DISCOUNT)*(1+MAT.SURCHARGE)/EXC.RATE_1),CURRENCY.FORMAT_1),CURRENCY.FORMAT_1,1),"# ##0;-# ##0"),",-"),FIXED(ROUND((C372*(1-I372)*(1-ADD.DISCOUNT)*(1+MAT.SURCHARGE)/EXC.RATE_1),CURRENCY.FORMAT_1),CURRENCY.FORMAT_1,0)),'DICTIONARY-5'!$A$2)</f>
        <v>na zapytanie</v>
      </c>
      <c r="M372" s="670" t="str">
        <f>IF(EXC.RATE_2=0,"",IFERROR(IF(CURRENCY.FORMAT_2=0,CONCATENATE(TEXT(FIXED(ROUND(IF(EXC.RATE.SWITCH=1,C372*(1-I372)*(1-ADD.DISCOUNT)*(1+MAT.SURCHARGE)/EXC.RATE_2,C372*(1-I372)*(1-ADD.DISCOUNT)*(1+MAT.SURCHARGE)*EXC.RATE_2),CURRENCY.FORMAT_2),CURRENCY.FORMAT_2,1),"# ##0;-# ##0"),",-"),FIXED(ROUND(IF(EXC.RATE.SWITCH=1,C372*(1-I372)*(1-ADD.DISCOUNT)*(1+MAT.SURCHARGE)/EXC.RATE_2,C372*(1-I372)*(1-ADD.DISCOUNT)*(1+MAT.SURCHARGE)*EXC.RATE_2),CURRENCY.FORMAT_2),CURRENCY.FORMAT_2,0)),'DICTIONARY-5'!$A$2))</f>
        <v/>
      </c>
      <c r="N372" s="544">
        <v>1</v>
      </c>
      <c r="O372" s="544"/>
      <c r="P372" s="731" t="str">
        <f>'DICTIONARY-3'!$A$5</f>
        <v>EKOplus</v>
      </c>
      <c r="Q372" s="732" t="str">
        <f>'DICTIONARY-3'!$A$187</f>
        <v>Zasuwa klinowa</v>
      </c>
      <c r="R372" s="732" t="str">
        <f>CONCATENATE('DICTIONARY-3'!$A$5," ",'DICTIONARY-6'!$A$3," ",'DICTIONARY-2'!$A$2,"250"," ",'DICTIONARY-2'!$A$3,"16"," ","R14",", ",'DICTIONARY-6'!$A$38,", ",'DICTIONARY-5'!$A$191,", ",'DICTIONARY-4'!$A$7,"+",'DICTIONARY-6'!$A$48)</f>
        <v>EKOplus Zasuwa DN250 PN16 R14, cert. 3.1, RAL3000, KR+mechan. wskaźn. położenia</v>
      </c>
      <c r="S372" s="733" t="str">
        <f>'DICTIONARY-4'!$A$7</f>
        <v>KR</v>
      </c>
      <c r="T372" s="732" t="str">
        <f>'DICTIONARY-4'!$A$23</f>
        <v>Kółko ręczne</v>
      </c>
      <c r="U372" s="734" t="s">
        <v>5751</v>
      </c>
      <c r="V372" s="735">
        <v>16</v>
      </c>
      <c r="W372" s="736"/>
      <c r="X372" s="737"/>
      <c r="Y372" s="738"/>
      <c r="Z372" s="739"/>
      <c r="AA372" s="739"/>
      <c r="AB372" s="740">
        <v>16</v>
      </c>
      <c r="AC372" s="741" t="str">
        <f>'DICTIONARY-5'!$A$11&amp;" 14"</f>
        <v>EN 558 szereg 14</v>
      </c>
      <c r="AD372" s="733" t="str">
        <f>'DICTIONARY-5'!$A$16</f>
        <v>woda gaśnicza</v>
      </c>
      <c r="AE372" s="742">
        <v>50</v>
      </c>
      <c r="AF372" s="743"/>
      <c r="AG372" s="741" t="str">
        <f>'DICTIONARY-5'!$A$23</f>
        <v>powłoka epoksydowa</v>
      </c>
    </row>
    <row r="373" spans="1:33" x14ac:dyDescent="0.25">
      <c r="A373" s="842" t="s">
        <v>374</v>
      </c>
      <c r="B373" s="842" t="s">
        <v>3338</v>
      </c>
      <c r="C373" s="836">
        <v>1383</v>
      </c>
      <c r="D373" s="836"/>
      <c r="E373" s="836"/>
      <c r="F373" s="836"/>
      <c r="G373" s="496" t="s">
        <v>7789</v>
      </c>
      <c r="H373" s="797" t="str">
        <f>VLOOKUP(G373,SETTINGS!$B$7:$D$97,2,0)</f>
        <v>EKOplus</v>
      </c>
      <c r="I373" s="796">
        <f>VLOOKUP(G373,SETTINGS!$B$7:$D$97,3,0)</f>
        <v>0</v>
      </c>
      <c r="J373" s="670" t="str">
        <f>IFERROR(IF(CURRENCY.FORMAT_1=0,CONCATENATE(TEXT(FIXED(ROUND((C373/EXC.RATE_1),CURRENCY.FORMAT_1),CURRENCY.FORMAT_1,1),"# ##0;-# ##0"),",-"),FIXED(ROUND((C373/EXC.RATE_1),CURRENCY.FORMAT_1),CURRENCY.FORMAT_1,0)),'DICTIONARY-5'!$A$2)</f>
        <v>1 383,-</v>
      </c>
      <c r="K373" s="670" t="str">
        <f>IF(EXC.RATE_2=0,"",IFERROR(IF(CURRENCY.FORMAT_2=0,CONCATENATE(TEXT(FIXED(ROUND(IF(EXC.RATE.SWITCH=1,C373/EXC.RATE_2,C373*EXC.RATE_2),CURRENCY.FORMAT_2),CURRENCY.FORMAT_2,1),"# ##0;-# ##0"),",-"),FIXED(ROUND(IF(EXC.RATE.SWITCH=1,C373/EXC.RATE_2,C373*EXC.RATE_2),CURRENCY.FORMAT_2),CURRENCY.FORMAT_2,0)),'DICTIONARY-5'!$A$2))</f>
        <v/>
      </c>
      <c r="L373" s="670" t="str">
        <f>IFERROR(IF(CURRENCY.FORMAT_1=0,CONCATENATE(TEXT(FIXED(ROUND((C373*(1-I373)*(1-ADD.DISCOUNT)*(1+MAT.SURCHARGE)/EXC.RATE_1),CURRENCY.FORMAT_1),CURRENCY.FORMAT_1,1),"# ##0;-# ##0"),",-"),FIXED(ROUND((C373*(1-I373)*(1-ADD.DISCOUNT)*(1+MAT.SURCHARGE)/EXC.RATE_1),CURRENCY.FORMAT_1),CURRENCY.FORMAT_1,0)),'DICTIONARY-5'!$A$2)</f>
        <v>1 437,-</v>
      </c>
      <c r="M373" s="670" t="str">
        <f>IF(EXC.RATE_2=0,"",IFERROR(IF(CURRENCY.FORMAT_2=0,CONCATENATE(TEXT(FIXED(ROUND(IF(EXC.RATE.SWITCH=1,C373*(1-I373)*(1-ADD.DISCOUNT)*(1+MAT.SURCHARGE)/EXC.RATE_2,C373*(1-I373)*(1-ADD.DISCOUNT)*(1+MAT.SURCHARGE)*EXC.RATE_2),CURRENCY.FORMAT_2),CURRENCY.FORMAT_2,1),"# ##0;-# ##0"),",-"),FIXED(ROUND(IF(EXC.RATE.SWITCH=1,C373*(1-I373)*(1-ADD.DISCOUNT)*(1+MAT.SURCHARGE)/EXC.RATE_2,C373*(1-I373)*(1-ADD.DISCOUNT)*(1+MAT.SURCHARGE)*EXC.RATE_2),CURRENCY.FORMAT_2),CURRENCY.FORMAT_2,0)),'DICTIONARY-5'!$A$2))</f>
        <v/>
      </c>
      <c r="N373" s="544">
        <v>1</v>
      </c>
      <c r="O373" s="544"/>
      <c r="P373" s="731" t="str">
        <f>'DICTIONARY-3'!$A$5</f>
        <v>EKOplus</v>
      </c>
      <c r="Q373" s="732" t="str">
        <f>'DICTIONARY-3'!$A$187</f>
        <v>Zasuwa klinowa</v>
      </c>
      <c r="R373" s="732" t="str">
        <f>CONCATENATE('DICTIONARY-3'!$A$5," ",'DICTIONARY-6'!$A$3," ",'DICTIONARY-2'!$A$2,"300"," ",'DICTIONARY-2'!$A$3,"10"," ","R14",", ",'DICTIONARY-6'!$A$38,", ",'DICTIONARY-5'!$A$191,", ",'DICTIONARY-4'!$A$7,"+",'DICTIONARY-6'!$A$48)</f>
        <v>EKOplus Zasuwa DN300 PN10 R14, cert. 3.1, RAL3000, KR+mechan. wskaźn. położenia</v>
      </c>
      <c r="S373" s="733" t="str">
        <f>'DICTIONARY-4'!$A$7</f>
        <v>KR</v>
      </c>
      <c r="T373" s="732" t="str">
        <f>'DICTIONARY-4'!$A$23</f>
        <v>Kółko ręczne</v>
      </c>
      <c r="U373" s="734" t="s">
        <v>5752</v>
      </c>
      <c r="V373" s="735">
        <v>10</v>
      </c>
      <c r="W373" s="736"/>
      <c r="X373" s="737"/>
      <c r="Y373" s="738"/>
      <c r="Z373" s="739"/>
      <c r="AA373" s="739"/>
      <c r="AB373" s="740">
        <v>10</v>
      </c>
      <c r="AC373" s="741" t="str">
        <f>'DICTIONARY-5'!$A$11&amp;" 14"</f>
        <v>EN 558 szereg 14</v>
      </c>
      <c r="AD373" s="733" t="str">
        <f>'DICTIONARY-5'!$A$16</f>
        <v>woda gaśnicza</v>
      </c>
      <c r="AE373" s="742">
        <v>50</v>
      </c>
      <c r="AF373" s="743">
        <v>121</v>
      </c>
      <c r="AG373" s="741" t="str">
        <f>'DICTIONARY-5'!$A$23</f>
        <v>powłoka epoksydowa</v>
      </c>
    </row>
    <row r="374" spans="1:33" x14ac:dyDescent="0.25">
      <c r="A374" s="842" t="s">
        <v>377</v>
      </c>
      <c r="B374" s="842" t="s">
        <v>3405</v>
      </c>
      <c r="C374" s="836">
        <v>1328</v>
      </c>
      <c r="D374" s="836"/>
      <c r="E374" s="836"/>
      <c r="F374" s="836"/>
      <c r="G374" s="496" t="s">
        <v>7789</v>
      </c>
      <c r="H374" s="797" t="str">
        <f>VLOOKUP(G374,SETTINGS!$B$7:$D$97,2,0)</f>
        <v>EKOplus</v>
      </c>
      <c r="I374" s="796">
        <f>VLOOKUP(G374,SETTINGS!$B$7:$D$97,3,0)</f>
        <v>0</v>
      </c>
      <c r="J374" s="670" t="str">
        <f>IFERROR(IF(CURRENCY.FORMAT_1=0,CONCATENATE(TEXT(FIXED(ROUND((C374/EXC.RATE_1),CURRENCY.FORMAT_1),CURRENCY.FORMAT_1,1),"# ##0;-# ##0"),",-"),FIXED(ROUND((C374/EXC.RATE_1),CURRENCY.FORMAT_1),CURRENCY.FORMAT_1,0)),'DICTIONARY-5'!$A$2)</f>
        <v>1 328,-</v>
      </c>
      <c r="K374" s="670" t="str">
        <f>IF(EXC.RATE_2=0,"",IFERROR(IF(CURRENCY.FORMAT_2=0,CONCATENATE(TEXT(FIXED(ROUND(IF(EXC.RATE.SWITCH=1,C374/EXC.RATE_2,C374*EXC.RATE_2),CURRENCY.FORMAT_2),CURRENCY.FORMAT_2,1),"# ##0;-# ##0"),",-"),FIXED(ROUND(IF(EXC.RATE.SWITCH=1,C374/EXC.RATE_2,C374*EXC.RATE_2),CURRENCY.FORMAT_2),CURRENCY.FORMAT_2,0)),'DICTIONARY-5'!$A$2))</f>
        <v/>
      </c>
      <c r="L374" s="670" t="str">
        <f>IFERROR(IF(CURRENCY.FORMAT_1=0,CONCATENATE(TEXT(FIXED(ROUND((C374*(1-I374)*(1-ADD.DISCOUNT)*(1+MAT.SURCHARGE)/EXC.RATE_1),CURRENCY.FORMAT_1),CURRENCY.FORMAT_1,1),"# ##0;-# ##0"),",-"),FIXED(ROUND((C374*(1-I374)*(1-ADD.DISCOUNT)*(1+MAT.SURCHARGE)/EXC.RATE_1),CURRENCY.FORMAT_1),CURRENCY.FORMAT_1,0)),'DICTIONARY-5'!$A$2)</f>
        <v>1 380,-</v>
      </c>
      <c r="M374" s="670" t="str">
        <f>IF(EXC.RATE_2=0,"",IFERROR(IF(CURRENCY.FORMAT_2=0,CONCATENATE(TEXT(FIXED(ROUND(IF(EXC.RATE.SWITCH=1,C374*(1-I374)*(1-ADD.DISCOUNT)*(1+MAT.SURCHARGE)/EXC.RATE_2,C374*(1-I374)*(1-ADD.DISCOUNT)*(1+MAT.SURCHARGE)*EXC.RATE_2),CURRENCY.FORMAT_2),CURRENCY.FORMAT_2,1),"# ##0;-# ##0"),",-"),FIXED(ROUND(IF(EXC.RATE.SWITCH=1,C374*(1-I374)*(1-ADD.DISCOUNT)*(1+MAT.SURCHARGE)/EXC.RATE_2,C374*(1-I374)*(1-ADD.DISCOUNT)*(1+MAT.SURCHARGE)*EXC.RATE_2),CURRENCY.FORMAT_2),CURRENCY.FORMAT_2,0)),'DICTIONARY-5'!$A$2))</f>
        <v/>
      </c>
      <c r="N374" s="544">
        <v>1</v>
      </c>
      <c r="O374" s="544"/>
      <c r="P374" s="731" t="str">
        <f>'DICTIONARY-3'!$A$5</f>
        <v>EKOplus</v>
      </c>
      <c r="Q374" s="732" t="str">
        <f>'DICTIONARY-3'!$A$187</f>
        <v>Zasuwa klinowa</v>
      </c>
      <c r="R374" s="732" t="str">
        <f>CONCATENATE('DICTIONARY-3'!$A$5," ",'DICTIONARY-6'!$A$3," ",'DICTIONARY-2'!$A$2,"300"," ",'DICTIONARY-2'!$A$3,"16"," ","R14",", ",'DICTIONARY-6'!$A$38,", ",'DICTIONARY-5'!$A$191,", ",'DICTIONARY-4'!$A$7,"+",'DICTIONARY-6'!$A$48)</f>
        <v>EKOplus Zasuwa DN300 PN16 R14, cert. 3.1, RAL3000, KR+mechan. wskaźn. położenia</v>
      </c>
      <c r="S374" s="733" t="str">
        <f>'DICTIONARY-4'!$A$7</f>
        <v>KR</v>
      </c>
      <c r="T374" s="732" t="str">
        <f>'DICTIONARY-4'!$A$23</f>
        <v>Kółko ręczne</v>
      </c>
      <c r="U374" s="734" t="s">
        <v>5752</v>
      </c>
      <c r="V374" s="735">
        <v>16</v>
      </c>
      <c r="W374" s="736"/>
      <c r="X374" s="737"/>
      <c r="Y374" s="738"/>
      <c r="Z374" s="739"/>
      <c r="AA374" s="739"/>
      <c r="AB374" s="740">
        <v>16</v>
      </c>
      <c r="AC374" s="741" t="str">
        <f>'DICTIONARY-5'!$A$11&amp;" 14"</f>
        <v>EN 558 szereg 14</v>
      </c>
      <c r="AD374" s="733" t="str">
        <f>'DICTIONARY-5'!$A$16</f>
        <v>woda gaśnicza</v>
      </c>
      <c r="AE374" s="742">
        <v>50</v>
      </c>
      <c r="AF374" s="743">
        <v>120</v>
      </c>
      <c r="AG374" s="741" t="str">
        <f>'DICTIONARY-5'!$A$23</f>
        <v>powłoka epoksydowa</v>
      </c>
    </row>
    <row r="375" spans="1:33" x14ac:dyDescent="0.25">
      <c r="A375" s="842" t="s">
        <v>342</v>
      </c>
      <c r="B375" s="842" t="str">
        <f>'DICTIONARY-5'!$A$2</f>
        <v>na zapytanie</v>
      </c>
      <c r="C375" s="836" t="s">
        <v>5967</v>
      </c>
      <c r="D375" s="836"/>
      <c r="E375" s="836"/>
      <c r="F375" s="836"/>
      <c r="G375" s="496" t="s">
        <v>7789</v>
      </c>
      <c r="H375" s="797" t="str">
        <f>VLOOKUP(G375,SETTINGS!$B$7:$D$97,2,0)</f>
        <v>EKOplus</v>
      </c>
      <c r="I375" s="796">
        <f>VLOOKUP(G375,SETTINGS!$B$7:$D$97,3,0)</f>
        <v>0</v>
      </c>
      <c r="J375" s="670" t="str">
        <f>IFERROR(IF(CURRENCY.FORMAT_1=0,CONCATENATE(TEXT(FIXED(ROUND((C375/EXC.RATE_1),CURRENCY.FORMAT_1),CURRENCY.FORMAT_1,1),"# ##0;-# ##0"),",-"),FIXED(ROUND((C375/EXC.RATE_1),CURRENCY.FORMAT_1),CURRENCY.FORMAT_1,0)),'DICTIONARY-5'!$A$2)</f>
        <v>na zapytanie</v>
      </c>
      <c r="K375" s="670" t="str">
        <f>IF(EXC.RATE_2=0,"",IFERROR(IF(CURRENCY.FORMAT_2=0,CONCATENATE(TEXT(FIXED(ROUND(IF(EXC.RATE.SWITCH=1,C375/EXC.RATE_2,C375*EXC.RATE_2),CURRENCY.FORMAT_2),CURRENCY.FORMAT_2,1),"# ##0;-# ##0"),",-"),FIXED(ROUND(IF(EXC.RATE.SWITCH=1,C375/EXC.RATE_2,C375*EXC.RATE_2),CURRENCY.FORMAT_2),CURRENCY.FORMAT_2,0)),'DICTIONARY-5'!$A$2))</f>
        <v/>
      </c>
      <c r="L375" s="670" t="str">
        <f>IFERROR(IF(CURRENCY.FORMAT_1=0,CONCATENATE(TEXT(FIXED(ROUND((C375*(1-I375)*(1-ADD.DISCOUNT)*(1+MAT.SURCHARGE)/EXC.RATE_1),CURRENCY.FORMAT_1),CURRENCY.FORMAT_1,1),"# ##0;-# ##0"),",-"),FIXED(ROUND((C375*(1-I375)*(1-ADD.DISCOUNT)*(1+MAT.SURCHARGE)/EXC.RATE_1),CURRENCY.FORMAT_1),CURRENCY.FORMAT_1,0)),'DICTIONARY-5'!$A$2)</f>
        <v>na zapytanie</v>
      </c>
      <c r="M375" s="670" t="str">
        <f>IF(EXC.RATE_2=0,"",IFERROR(IF(CURRENCY.FORMAT_2=0,CONCATENATE(TEXT(FIXED(ROUND(IF(EXC.RATE.SWITCH=1,C375*(1-I375)*(1-ADD.DISCOUNT)*(1+MAT.SURCHARGE)/EXC.RATE_2,C375*(1-I375)*(1-ADD.DISCOUNT)*(1+MAT.SURCHARGE)*EXC.RATE_2),CURRENCY.FORMAT_2),CURRENCY.FORMAT_2,1),"# ##0;-# ##0"),",-"),FIXED(ROUND(IF(EXC.RATE.SWITCH=1,C375*(1-I375)*(1-ADD.DISCOUNT)*(1+MAT.SURCHARGE)/EXC.RATE_2,C375*(1-I375)*(1-ADD.DISCOUNT)*(1+MAT.SURCHARGE)*EXC.RATE_2),CURRENCY.FORMAT_2),CURRENCY.FORMAT_2,0)),'DICTIONARY-5'!$A$2))</f>
        <v/>
      </c>
      <c r="N375" s="544">
        <v>1</v>
      </c>
      <c r="O375" s="544"/>
      <c r="P375" s="731" t="str">
        <f>'DICTIONARY-3'!$A$5</f>
        <v>EKOplus</v>
      </c>
      <c r="Q375" s="732" t="str">
        <f>'DICTIONARY-3'!$A$187</f>
        <v>Zasuwa klinowa</v>
      </c>
      <c r="R375" s="732" t="str">
        <f>CONCATENATE('DICTIONARY-3'!$A$5," ",'DICTIONARY-6'!$A$3," ",'DICTIONARY-2'!$A$2,"40"," ",'DICTIONARY-2'!$A$3,"10/16"," ","R14",", ",'DICTIONARY-6'!$A$38,", ",'DICTIONARY-5'!$A$191,", ",'DICTIONARY-4'!$A$7,"+",'DICTIONARY-6'!$A$49)</f>
        <v>EKOplus Zasuwa DN40 PN10/16 R14, cert. 3.1, RAL3000, KR+czujniki elektromech.</v>
      </c>
      <c r="S375" s="733" t="str">
        <f>'DICTIONARY-4'!$A$7</f>
        <v>KR</v>
      </c>
      <c r="T375" s="732" t="str">
        <f>'DICTIONARY-4'!$A$23</f>
        <v>Kółko ręczne</v>
      </c>
      <c r="U375" s="734" t="s">
        <v>5758</v>
      </c>
      <c r="V375" s="735">
        <v>16</v>
      </c>
      <c r="W375" s="736"/>
      <c r="X375" s="737"/>
      <c r="Y375" s="738"/>
      <c r="Z375" s="739"/>
      <c r="AA375" s="739"/>
      <c r="AB375" s="740">
        <v>16</v>
      </c>
      <c r="AC375" s="741" t="str">
        <f>'DICTIONARY-5'!$A$11&amp;" 14"</f>
        <v>EN 558 szereg 14</v>
      </c>
      <c r="AD375" s="733" t="str">
        <f>'DICTIONARY-5'!$A$16</f>
        <v>woda gaśnicza</v>
      </c>
      <c r="AE375" s="742">
        <v>50</v>
      </c>
      <c r="AF375" s="743"/>
      <c r="AG375" s="741" t="str">
        <f>'DICTIONARY-5'!$A$23</f>
        <v>powłoka epoksydowa</v>
      </c>
    </row>
    <row r="376" spans="1:33" x14ac:dyDescent="0.25">
      <c r="A376" s="842" t="s">
        <v>345</v>
      </c>
      <c r="B376" s="842" t="str">
        <f>'DICTIONARY-5'!$A$2</f>
        <v>na zapytanie</v>
      </c>
      <c r="C376" s="836" t="s">
        <v>5967</v>
      </c>
      <c r="D376" s="836"/>
      <c r="E376" s="836"/>
      <c r="F376" s="836"/>
      <c r="G376" s="496" t="s">
        <v>7789</v>
      </c>
      <c r="H376" s="797" t="str">
        <f>VLOOKUP(G376,SETTINGS!$B$7:$D$97,2,0)</f>
        <v>EKOplus</v>
      </c>
      <c r="I376" s="796">
        <f>VLOOKUP(G376,SETTINGS!$B$7:$D$97,3,0)</f>
        <v>0</v>
      </c>
      <c r="J376" s="670" t="str">
        <f>IFERROR(IF(CURRENCY.FORMAT_1=0,CONCATENATE(TEXT(FIXED(ROUND((C376/EXC.RATE_1),CURRENCY.FORMAT_1),CURRENCY.FORMAT_1,1),"# ##0;-# ##0"),",-"),FIXED(ROUND((C376/EXC.RATE_1),CURRENCY.FORMAT_1),CURRENCY.FORMAT_1,0)),'DICTIONARY-5'!$A$2)</f>
        <v>na zapytanie</v>
      </c>
      <c r="K376" s="670" t="str">
        <f>IF(EXC.RATE_2=0,"",IFERROR(IF(CURRENCY.FORMAT_2=0,CONCATENATE(TEXT(FIXED(ROUND(IF(EXC.RATE.SWITCH=1,C376/EXC.RATE_2,C376*EXC.RATE_2),CURRENCY.FORMAT_2),CURRENCY.FORMAT_2,1),"# ##0;-# ##0"),",-"),FIXED(ROUND(IF(EXC.RATE.SWITCH=1,C376/EXC.RATE_2,C376*EXC.RATE_2),CURRENCY.FORMAT_2),CURRENCY.FORMAT_2,0)),'DICTIONARY-5'!$A$2))</f>
        <v/>
      </c>
      <c r="L376" s="670" t="str">
        <f>IFERROR(IF(CURRENCY.FORMAT_1=0,CONCATENATE(TEXT(FIXED(ROUND((C376*(1-I376)*(1-ADD.DISCOUNT)*(1+MAT.SURCHARGE)/EXC.RATE_1),CURRENCY.FORMAT_1),CURRENCY.FORMAT_1,1),"# ##0;-# ##0"),",-"),FIXED(ROUND((C376*(1-I376)*(1-ADD.DISCOUNT)*(1+MAT.SURCHARGE)/EXC.RATE_1),CURRENCY.FORMAT_1),CURRENCY.FORMAT_1,0)),'DICTIONARY-5'!$A$2)</f>
        <v>na zapytanie</v>
      </c>
      <c r="M376" s="670" t="str">
        <f>IF(EXC.RATE_2=0,"",IFERROR(IF(CURRENCY.FORMAT_2=0,CONCATENATE(TEXT(FIXED(ROUND(IF(EXC.RATE.SWITCH=1,C376*(1-I376)*(1-ADD.DISCOUNT)*(1+MAT.SURCHARGE)/EXC.RATE_2,C376*(1-I376)*(1-ADD.DISCOUNT)*(1+MAT.SURCHARGE)*EXC.RATE_2),CURRENCY.FORMAT_2),CURRENCY.FORMAT_2,1),"# ##0;-# ##0"),",-"),FIXED(ROUND(IF(EXC.RATE.SWITCH=1,C376*(1-I376)*(1-ADD.DISCOUNT)*(1+MAT.SURCHARGE)/EXC.RATE_2,C376*(1-I376)*(1-ADD.DISCOUNT)*(1+MAT.SURCHARGE)*EXC.RATE_2),CURRENCY.FORMAT_2),CURRENCY.FORMAT_2,0)),'DICTIONARY-5'!$A$2))</f>
        <v/>
      </c>
      <c r="N376" s="544">
        <v>1</v>
      </c>
      <c r="O376" s="544"/>
      <c r="P376" s="731" t="str">
        <f>'DICTIONARY-3'!$A$5</f>
        <v>EKOplus</v>
      </c>
      <c r="Q376" s="732" t="str">
        <f>'DICTIONARY-3'!$A$187</f>
        <v>Zasuwa klinowa</v>
      </c>
      <c r="R376" s="732" t="str">
        <f>CONCATENATE('DICTIONARY-3'!$A$5," ",'DICTIONARY-6'!$A$3," ",'DICTIONARY-2'!$A$2,"50"," ",'DICTIONARY-2'!$A$3,"10/16"," ","R14",", ",'DICTIONARY-6'!$A$38,", ",'DICTIONARY-5'!$A$191,", ",'DICTIONARY-4'!$A$7,"+",'DICTIONARY-6'!$A$49)</f>
        <v>EKOplus Zasuwa DN50 PN10/16 R14, cert. 3.1, RAL3000, KR+czujniki elektromech.</v>
      </c>
      <c r="S376" s="733" t="str">
        <f>'DICTIONARY-4'!$A$7</f>
        <v>KR</v>
      </c>
      <c r="T376" s="732" t="str">
        <f>'DICTIONARY-4'!$A$23</f>
        <v>Kółko ręczne</v>
      </c>
      <c r="U376" s="734" t="s">
        <v>5748</v>
      </c>
      <c r="V376" s="735">
        <v>16</v>
      </c>
      <c r="W376" s="736"/>
      <c r="X376" s="737"/>
      <c r="Y376" s="738"/>
      <c r="Z376" s="739"/>
      <c r="AA376" s="739"/>
      <c r="AB376" s="740">
        <v>16</v>
      </c>
      <c r="AC376" s="741" t="str">
        <f>'DICTIONARY-5'!$A$11&amp;" 14"</f>
        <v>EN 558 szereg 14</v>
      </c>
      <c r="AD376" s="733" t="str">
        <f>'DICTIONARY-5'!$A$16</f>
        <v>woda gaśnicza</v>
      </c>
      <c r="AE376" s="742">
        <v>50</v>
      </c>
      <c r="AF376" s="743"/>
      <c r="AG376" s="741" t="str">
        <f>'DICTIONARY-5'!$A$23</f>
        <v>powłoka epoksydowa</v>
      </c>
    </row>
    <row r="377" spans="1:33" x14ac:dyDescent="0.25">
      <c r="A377" s="842" t="s">
        <v>348</v>
      </c>
      <c r="B377" s="842" t="s">
        <v>3381</v>
      </c>
      <c r="C377" s="836">
        <v>568</v>
      </c>
      <c r="D377" s="836"/>
      <c r="E377" s="836"/>
      <c r="F377" s="836"/>
      <c r="G377" s="496" t="s">
        <v>7789</v>
      </c>
      <c r="H377" s="797" t="str">
        <f>VLOOKUP(G377,SETTINGS!$B$7:$D$97,2,0)</f>
        <v>EKOplus</v>
      </c>
      <c r="I377" s="796">
        <f>VLOOKUP(G377,SETTINGS!$B$7:$D$97,3,0)</f>
        <v>0</v>
      </c>
      <c r="J377" s="670" t="str">
        <f>IFERROR(IF(CURRENCY.FORMAT_1=0,CONCATENATE(TEXT(FIXED(ROUND((C377/EXC.RATE_1),CURRENCY.FORMAT_1),CURRENCY.FORMAT_1,1),"# ##0;-# ##0"),",-"),FIXED(ROUND((C377/EXC.RATE_1),CURRENCY.FORMAT_1),CURRENCY.FORMAT_1,0)),'DICTIONARY-5'!$A$2)</f>
        <v>568,-</v>
      </c>
      <c r="K377" s="670" t="str">
        <f>IF(EXC.RATE_2=0,"",IFERROR(IF(CURRENCY.FORMAT_2=0,CONCATENATE(TEXT(FIXED(ROUND(IF(EXC.RATE.SWITCH=1,C377/EXC.RATE_2,C377*EXC.RATE_2),CURRENCY.FORMAT_2),CURRENCY.FORMAT_2,1),"# ##0;-# ##0"),",-"),FIXED(ROUND(IF(EXC.RATE.SWITCH=1,C377/EXC.RATE_2,C377*EXC.RATE_2),CURRENCY.FORMAT_2),CURRENCY.FORMAT_2,0)),'DICTIONARY-5'!$A$2))</f>
        <v/>
      </c>
      <c r="L377" s="670" t="str">
        <f>IFERROR(IF(CURRENCY.FORMAT_1=0,CONCATENATE(TEXT(FIXED(ROUND((C377*(1-I377)*(1-ADD.DISCOUNT)*(1+MAT.SURCHARGE)/EXC.RATE_1),CURRENCY.FORMAT_1),CURRENCY.FORMAT_1,1),"# ##0;-# ##0"),",-"),FIXED(ROUND((C377*(1-I377)*(1-ADD.DISCOUNT)*(1+MAT.SURCHARGE)/EXC.RATE_1),CURRENCY.FORMAT_1),CURRENCY.FORMAT_1,0)),'DICTIONARY-5'!$A$2)</f>
        <v>590,-</v>
      </c>
      <c r="M377" s="670" t="str">
        <f>IF(EXC.RATE_2=0,"",IFERROR(IF(CURRENCY.FORMAT_2=0,CONCATENATE(TEXT(FIXED(ROUND(IF(EXC.RATE.SWITCH=1,C377*(1-I377)*(1-ADD.DISCOUNT)*(1+MAT.SURCHARGE)/EXC.RATE_2,C377*(1-I377)*(1-ADD.DISCOUNT)*(1+MAT.SURCHARGE)*EXC.RATE_2),CURRENCY.FORMAT_2),CURRENCY.FORMAT_2,1),"# ##0;-# ##0"),",-"),FIXED(ROUND(IF(EXC.RATE.SWITCH=1,C377*(1-I377)*(1-ADD.DISCOUNT)*(1+MAT.SURCHARGE)/EXC.RATE_2,C377*(1-I377)*(1-ADD.DISCOUNT)*(1+MAT.SURCHARGE)*EXC.RATE_2),CURRENCY.FORMAT_2),CURRENCY.FORMAT_2,0)),'DICTIONARY-5'!$A$2))</f>
        <v/>
      </c>
      <c r="N377" s="544">
        <v>1</v>
      </c>
      <c r="O377" s="544"/>
      <c r="P377" s="731" t="str">
        <f>'DICTIONARY-3'!$A$5</f>
        <v>EKOplus</v>
      </c>
      <c r="Q377" s="732" t="str">
        <f>'DICTIONARY-3'!$A$187</f>
        <v>Zasuwa klinowa</v>
      </c>
      <c r="R377" s="732" t="str">
        <f>CONCATENATE('DICTIONARY-3'!$A$5," ",'DICTIONARY-6'!$A$3," ",'DICTIONARY-2'!$A$2,"65"," ",'DICTIONARY-2'!$A$3,"10/16"," ","R14",", ",'DICTIONARY-6'!$A$38,", ",'DICTIONARY-5'!$A$191,", ",'DICTIONARY-4'!$A$7,"+",'DICTIONARY-6'!$A$49)</f>
        <v>EKOplus Zasuwa DN65 PN10/16 R14, cert. 3.1, RAL3000, KR+czujniki elektromech.</v>
      </c>
      <c r="S377" s="733" t="str">
        <f>'DICTIONARY-4'!$A$7</f>
        <v>KR</v>
      </c>
      <c r="T377" s="732" t="str">
        <f>'DICTIONARY-4'!$A$23</f>
        <v>Kółko ręczne</v>
      </c>
      <c r="U377" s="734" t="s">
        <v>5759</v>
      </c>
      <c r="V377" s="735">
        <v>16</v>
      </c>
      <c r="W377" s="736"/>
      <c r="X377" s="737"/>
      <c r="Y377" s="738"/>
      <c r="Z377" s="739"/>
      <c r="AA377" s="739"/>
      <c r="AB377" s="740">
        <v>16</v>
      </c>
      <c r="AC377" s="741" t="str">
        <f>'DICTIONARY-5'!$A$11&amp;" 14"</f>
        <v>EN 558 szereg 14</v>
      </c>
      <c r="AD377" s="733" t="str">
        <f>'DICTIONARY-5'!$A$16</f>
        <v>woda gaśnicza</v>
      </c>
      <c r="AE377" s="742">
        <v>50</v>
      </c>
      <c r="AF377" s="743">
        <v>13.9</v>
      </c>
      <c r="AG377" s="741" t="str">
        <f>'DICTIONARY-5'!$A$23</f>
        <v>powłoka epoksydowa</v>
      </c>
    </row>
    <row r="378" spans="1:33" x14ac:dyDescent="0.25">
      <c r="A378" s="842" t="s">
        <v>351</v>
      </c>
      <c r="B378" s="842" t="s">
        <v>3386</v>
      </c>
      <c r="C378" s="836">
        <v>548</v>
      </c>
      <c r="D378" s="836"/>
      <c r="E378" s="836"/>
      <c r="F378" s="836"/>
      <c r="G378" s="496" t="s">
        <v>7789</v>
      </c>
      <c r="H378" s="797" t="str">
        <f>VLOOKUP(G378,SETTINGS!$B$7:$D$97,2,0)</f>
        <v>EKOplus</v>
      </c>
      <c r="I378" s="796">
        <f>VLOOKUP(G378,SETTINGS!$B$7:$D$97,3,0)</f>
        <v>0</v>
      </c>
      <c r="J378" s="670" t="str">
        <f>IFERROR(IF(CURRENCY.FORMAT_1=0,CONCATENATE(TEXT(FIXED(ROUND((C378/EXC.RATE_1),CURRENCY.FORMAT_1),CURRENCY.FORMAT_1,1),"# ##0;-# ##0"),",-"),FIXED(ROUND((C378/EXC.RATE_1),CURRENCY.FORMAT_1),CURRENCY.FORMAT_1,0)),'DICTIONARY-5'!$A$2)</f>
        <v>548,-</v>
      </c>
      <c r="K378" s="670" t="str">
        <f>IF(EXC.RATE_2=0,"",IFERROR(IF(CURRENCY.FORMAT_2=0,CONCATENATE(TEXT(FIXED(ROUND(IF(EXC.RATE.SWITCH=1,C378/EXC.RATE_2,C378*EXC.RATE_2),CURRENCY.FORMAT_2),CURRENCY.FORMAT_2,1),"# ##0;-# ##0"),",-"),FIXED(ROUND(IF(EXC.RATE.SWITCH=1,C378/EXC.RATE_2,C378*EXC.RATE_2),CURRENCY.FORMAT_2),CURRENCY.FORMAT_2,0)),'DICTIONARY-5'!$A$2))</f>
        <v/>
      </c>
      <c r="L378" s="670" t="str">
        <f>IFERROR(IF(CURRENCY.FORMAT_1=0,CONCATENATE(TEXT(FIXED(ROUND((C378*(1-I378)*(1-ADD.DISCOUNT)*(1+MAT.SURCHARGE)/EXC.RATE_1),CURRENCY.FORMAT_1),CURRENCY.FORMAT_1,1),"# ##0;-# ##0"),",-"),FIXED(ROUND((C378*(1-I378)*(1-ADD.DISCOUNT)*(1+MAT.SURCHARGE)/EXC.RATE_1),CURRENCY.FORMAT_1),CURRENCY.FORMAT_1,0)),'DICTIONARY-5'!$A$2)</f>
        <v>569,-</v>
      </c>
      <c r="M378" s="670" t="str">
        <f>IF(EXC.RATE_2=0,"",IFERROR(IF(CURRENCY.FORMAT_2=0,CONCATENATE(TEXT(FIXED(ROUND(IF(EXC.RATE.SWITCH=1,C378*(1-I378)*(1-ADD.DISCOUNT)*(1+MAT.SURCHARGE)/EXC.RATE_2,C378*(1-I378)*(1-ADD.DISCOUNT)*(1+MAT.SURCHARGE)*EXC.RATE_2),CURRENCY.FORMAT_2),CURRENCY.FORMAT_2,1),"# ##0;-# ##0"),",-"),FIXED(ROUND(IF(EXC.RATE.SWITCH=1,C378*(1-I378)*(1-ADD.DISCOUNT)*(1+MAT.SURCHARGE)/EXC.RATE_2,C378*(1-I378)*(1-ADD.DISCOUNT)*(1+MAT.SURCHARGE)*EXC.RATE_2),CURRENCY.FORMAT_2),CURRENCY.FORMAT_2,0)),'DICTIONARY-5'!$A$2))</f>
        <v/>
      </c>
      <c r="N378" s="544">
        <v>1</v>
      </c>
      <c r="O378" s="544"/>
      <c r="P378" s="731" t="str">
        <f>'DICTIONARY-3'!$A$5</f>
        <v>EKOplus</v>
      </c>
      <c r="Q378" s="732" t="str">
        <f>'DICTIONARY-3'!$A$187</f>
        <v>Zasuwa klinowa</v>
      </c>
      <c r="R378" s="732" t="str">
        <f>CONCATENATE('DICTIONARY-3'!$A$5," ",'DICTIONARY-6'!$A$3," ",'DICTIONARY-2'!$A$2,"80"," ",'DICTIONARY-2'!$A$3,"10/16"," ","R14",", ",'DICTIONARY-6'!$A$38,", ",'DICTIONARY-5'!$A$191,", ",'DICTIONARY-4'!$A$7,"+",'DICTIONARY-6'!$A$49)</f>
        <v>EKOplus Zasuwa DN80 PN10/16 R14, cert. 3.1, RAL3000, KR+czujniki elektromech.</v>
      </c>
      <c r="S378" s="733" t="str">
        <f>'DICTIONARY-4'!$A$7</f>
        <v>KR</v>
      </c>
      <c r="T378" s="732" t="str">
        <f>'DICTIONARY-4'!$A$23</f>
        <v>Kółko ręczne</v>
      </c>
      <c r="U378" s="734" t="s">
        <v>5760</v>
      </c>
      <c r="V378" s="735">
        <v>16</v>
      </c>
      <c r="W378" s="736"/>
      <c r="X378" s="737"/>
      <c r="Y378" s="738"/>
      <c r="Z378" s="739"/>
      <c r="AA378" s="739"/>
      <c r="AB378" s="740">
        <v>16</v>
      </c>
      <c r="AC378" s="741" t="str">
        <f>'DICTIONARY-5'!$A$11&amp;" 14"</f>
        <v>EN 558 szereg 14</v>
      </c>
      <c r="AD378" s="733" t="str">
        <f>'DICTIONARY-5'!$A$16</f>
        <v>woda gaśnicza</v>
      </c>
      <c r="AE378" s="742">
        <v>50</v>
      </c>
      <c r="AF378" s="743">
        <v>15.9</v>
      </c>
      <c r="AG378" s="741" t="str">
        <f>'DICTIONARY-5'!$A$23</f>
        <v>powłoka epoksydowa</v>
      </c>
    </row>
    <row r="379" spans="1:33" x14ac:dyDescent="0.25">
      <c r="A379" s="842" t="s">
        <v>354</v>
      </c>
      <c r="B379" s="842" t="str">
        <f>'DICTIONARY-5'!$A$2</f>
        <v>na zapytanie</v>
      </c>
      <c r="C379" s="836" t="s">
        <v>5967</v>
      </c>
      <c r="D379" s="836"/>
      <c r="E379" s="836"/>
      <c r="F379" s="836"/>
      <c r="G379" s="496" t="s">
        <v>7789</v>
      </c>
      <c r="H379" s="797" t="str">
        <f>VLOOKUP(G379,SETTINGS!$B$7:$D$97,2,0)</f>
        <v>EKOplus</v>
      </c>
      <c r="I379" s="796">
        <f>VLOOKUP(G379,SETTINGS!$B$7:$D$97,3,0)</f>
        <v>0</v>
      </c>
      <c r="J379" s="670" t="str">
        <f>IFERROR(IF(CURRENCY.FORMAT_1=0,CONCATENATE(TEXT(FIXED(ROUND((C379/EXC.RATE_1),CURRENCY.FORMAT_1),CURRENCY.FORMAT_1,1),"# ##0;-# ##0"),",-"),FIXED(ROUND((C379/EXC.RATE_1),CURRENCY.FORMAT_1),CURRENCY.FORMAT_1,0)),'DICTIONARY-5'!$A$2)</f>
        <v>na zapytanie</v>
      </c>
      <c r="K379" s="670" t="str">
        <f>IF(EXC.RATE_2=0,"",IFERROR(IF(CURRENCY.FORMAT_2=0,CONCATENATE(TEXT(FIXED(ROUND(IF(EXC.RATE.SWITCH=1,C379/EXC.RATE_2,C379*EXC.RATE_2),CURRENCY.FORMAT_2),CURRENCY.FORMAT_2,1),"# ##0;-# ##0"),",-"),FIXED(ROUND(IF(EXC.RATE.SWITCH=1,C379/EXC.RATE_2,C379*EXC.RATE_2),CURRENCY.FORMAT_2),CURRENCY.FORMAT_2,0)),'DICTIONARY-5'!$A$2))</f>
        <v/>
      </c>
      <c r="L379" s="670" t="str">
        <f>IFERROR(IF(CURRENCY.FORMAT_1=0,CONCATENATE(TEXT(FIXED(ROUND((C379*(1-I379)*(1-ADD.DISCOUNT)*(1+MAT.SURCHARGE)/EXC.RATE_1),CURRENCY.FORMAT_1),CURRENCY.FORMAT_1,1),"# ##0;-# ##0"),",-"),FIXED(ROUND((C379*(1-I379)*(1-ADD.DISCOUNT)*(1+MAT.SURCHARGE)/EXC.RATE_1),CURRENCY.FORMAT_1),CURRENCY.FORMAT_1,0)),'DICTIONARY-5'!$A$2)</f>
        <v>na zapytanie</v>
      </c>
      <c r="M379" s="670" t="str">
        <f>IF(EXC.RATE_2=0,"",IFERROR(IF(CURRENCY.FORMAT_2=0,CONCATENATE(TEXT(FIXED(ROUND(IF(EXC.RATE.SWITCH=1,C379*(1-I379)*(1-ADD.DISCOUNT)*(1+MAT.SURCHARGE)/EXC.RATE_2,C379*(1-I379)*(1-ADD.DISCOUNT)*(1+MAT.SURCHARGE)*EXC.RATE_2),CURRENCY.FORMAT_2),CURRENCY.FORMAT_2,1),"# ##0;-# ##0"),",-"),FIXED(ROUND(IF(EXC.RATE.SWITCH=1,C379*(1-I379)*(1-ADD.DISCOUNT)*(1+MAT.SURCHARGE)/EXC.RATE_2,C379*(1-I379)*(1-ADD.DISCOUNT)*(1+MAT.SURCHARGE)*EXC.RATE_2),CURRENCY.FORMAT_2),CURRENCY.FORMAT_2,0)),'DICTIONARY-5'!$A$2))</f>
        <v/>
      </c>
      <c r="N379" s="544">
        <v>1</v>
      </c>
      <c r="O379" s="544"/>
      <c r="P379" s="731" t="str">
        <f>'DICTIONARY-3'!$A$5</f>
        <v>EKOplus</v>
      </c>
      <c r="Q379" s="732" t="str">
        <f>'DICTIONARY-3'!$A$187</f>
        <v>Zasuwa klinowa</v>
      </c>
      <c r="R379" s="732" t="str">
        <f>CONCATENATE('DICTIONARY-3'!$A$5," ",'DICTIONARY-6'!$A$3," ",'DICTIONARY-2'!$A$2,"100"," ",'DICTIONARY-2'!$A$3,"10/16"," ","R14",", ",'DICTIONARY-6'!$A$38,", ",'DICTIONARY-5'!$A$191,", ",'DICTIONARY-4'!$A$7,"+",'DICTIONARY-6'!$A$49)</f>
        <v>EKOplus Zasuwa DN100 PN10/16 R14, cert. 3.1, RAL3000, KR+czujniki elektromech.</v>
      </c>
      <c r="S379" s="733" t="str">
        <f>'DICTIONARY-4'!$A$7</f>
        <v>KR</v>
      </c>
      <c r="T379" s="732" t="str">
        <f>'DICTIONARY-4'!$A$23</f>
        <v>Kółko ręczne</v>
      </c>
      <c r="U379" s="734" t="s">
        <v>5749</v>
      </c>
      <c r="V379" s="735">
        <v>16</v>
      </c>
      <c r="W379" s="736"/>
      <c r="X379" s="737"/>
      <c r="Y379" s="738"/>
      <c r="Z379" s="739"/>
      <c r="AA379" s="739"/>
      <c r="AB379" s="740">
        <v>16</v>
      </c>
      <c r="AC379" s="741" t="str">
        <f>'DICTIONARY-5'!$A$11&amp;" 14"</f>
        <v>EN 558 szereg 14</v>
      </c>
      <c r="AD379" s="733" t="str">
        <f>'DICTIONARY-5'!$A$16</f>
        <v>woda gaśnicza</v>
      </c>
      <c r="AE379" s="742">
        <v>50</v>
      </c>
      <c r="AF379" s="743"/>
      <c r="AG379" s="741" t="str">
        <f>'DICTIONARY-5'!$A$23</f>
        <v>powłoka epoksydowa</v>
      </c>
    </row>
    <row r="380" spans="1:33" x14ac:dyDescent="0.25">
      <c r="A380" s="842" t="s">
        <v>357</v>
      </c>
      <c r="B380" s="842" t="str">
        <f>'DICTIONARY-5'!$A$2</f>
        <v>na zapytanie</v>
      </c>
      <c r="C380" s="836" t="s">
        <v>5967</v>
      </c>
      <c r="D380" s="836"/>
      <c r="E380" s="836"/>
      <c r="F380" s="836"/>
      <c r="G380" s="496" t="s">
        <v>7789</v>
      </c>
      <c r="H380" s="797" t="str">
        <f>VLOOKUP(G380,SETTINGS!$B$7:$D$97,2,0)</f>
        <v>EKOplus</v>
      </c>
      <c r="I380" s="796">
        <f>VLOOKUP(G380,SETTINGS!$B$7:$D$97,3,0)</f>
        <v>0</v>
      </c>
      <c r="J380" s="670" t="str">
        <f>IFERROR(IF(CURRENCY.FORMAT_1=0,CONCATENATE(TEXT(FIXED(ROUND((C380/EXC.RATE_1),CURRENCY.FORMAT_1),CURRENCY.FORMAT_1,1),"# ##0;-# ##0"),",-"),FIXED(ROUND((C380/EXC.RATE_1),CURRENCY.FORMAT_1),CURRENCY.FORMAT_1,0)),'DICTIONARY-5'!$A$2)</f>
        <v>na zapytanie</v>
      </c>
      <c r="K380" s="670" t="str">
        <f>IF(EXC.RATE_2=0,"",IFERROR(IF(CURRENCY.FORMAT_2=0,CONCATENATE(TEXT(FIXED(ROUND(IF(EXC.RATE.SWITCH=1,C380/EXC.RATE_2,C380*EXC.RATE_2),CURRENCY.FORMAT_2),CURRENCY.FORMAT_2,1),"# ##0;-# ##0"),",-"),FIXED(ROUND(IF(EXC.RATE.SWITCH=1,C380/EXC.RATE_2,C380*EXC.RATE_2),CURRENCY.FORMAT_2),CURRENCY.FORMAT_2,0)),'DICTIONARY-5'!$A$2))</f>
        <v/>
      </c>
      <c r="L380" s="670" t="str">
        <f>IFERROR(IF(CURRENCY.FORMAT_1=0,CONCATENATE(TEXT(FIXED(ROUND((C380*(1-I380)*(1-ADD.DISCOUNT)*(1+MAT.SURCHARGE)/EXC.RATE_1),CURRENCY.FORMAT_1),CURRENCY.FORMAT_1,1),"# ##0;-# ##0"),",-"),FIXED(ROUND((C380*(1-I380)*(1-ADD.DISCOUNT)*(1+MAT.SURCHARGE)/EXC.RATE_1),CURRENCY.FORMAT_1),CURRENCY.FORMAT_1,0)),'DICTIONARY-5'!$A$2)</f>
        <v>na zapytanie</v>
      </c>
      <c r="M380" s="670" t="str">
        <f>IF(EXC.RATE_2=0,"",IFERROR(IF(CURRENCY.FORMAT_2=0,CONCATENATE(TEXT(FIXED(ROUND(IF(EXC.RATE.SWITCH=1,C380*(1-I380)*(1-ADD.DISCOUNT)*(1+MAT.SURCHARGE)/EXC.RATE_2,C380*(1-I380)*(1-ADD.DISCOUNT)*(1+MAT.SURCHARGE)*EXC.RATE_2),CURRENCY.FORMAT_2),CURRENCY.FORMAT_2,1),"# ##0;-# ##0"),",-"),FIXED(ROUND(IF(EXC.RATE.SWITCH=1,C380*(1-I380)*(1-ADD.DISCOUNT)*(1+MAT.SURCHARGE)/EXC.RATE_2,C380*(1-I380)*(1-ADD.DISCOUNT)*(1+MAT.SURCHARGE)*EXC.RATE_2),CURRENCY.FORMAT_2),CURRENCY.FORMAT_2,0)),'DICTIONARY-5'!$A$2))</f>
        <v/>
      </c>
      <c r="N380" s="544">
        <v>1</v>
      </c>
      <c r="O380" s="544"/>
      <c r="P380" s="731" t="str">
        <f>'DICTIONARY-3'!$A$5</f>
        <v>EKOplus</v>
      </c>
      <c r="Q380" s="732" t="str">
        <f>'DICTIONARY-3'!$A$187</f>
        <v>Zasuwa klinowa</v>
      </c>
      <c r="R380" s="732" t="str">
        <f>CONCATENATE('DICTIONARY-3'!$A$5," ",'DICTIONARY-6'!$A$3," ",'DICTIONARY-2'!$A$2,"125"," ",'DICTIONARY-2'!$A$3,"10/16"," ","R14",", ",'DICTIONARY-6'!$A$38,", ",'DICTIONARY-5'!$A$191,", ",'DICTIONARY-4'!$A$7,"+",'DICTIONARY-6'!$A$49)</f>
        <v>EKOplus Zasuwa DN125 PN10/16 R14, cert. 3.1, RAL3000, KR+czujniki elektromech.</v>
      </c>
      <c r="S380" s="733" t="str">
        <f>'DICTIONARY-4'!$A$7</f>
        <v>KR</v>
      </c>
      <c r="T380" s="732" t="str">
        <f>'DICTIONARY-4'!$A$23</f>
        <v>Kółko ręczne</v>
      </c>
      <c r="U380" s="734" t="s">
        <v>5761</v>
      </c>
      <c r="V380" s="735">
        <v>16</v>
      </c>
      <c r="W380" s="736"/>
      <c r="X380" s="737"/>
      <c r="Y380" s="738"/>
      <c r="Z380" s="739"/>
      <c r="AA380" s="739"/>
      <c r="AB380" s="740">
        <v>16</v>
      </c>
      <c r="AC380" s="741" t="str">
        <f>'DICTIONARY-5'!$A$11&amp;" 14"</f>
        <v>EN 558 szereg 14</v>
      </c>
      <c r="AD380" s="733" t="str">
        <f>'DICTIONARY-5'!$A$16</f>
        <v>woda gaśnicza</v>
      </c>
      <c r="AE380" s="742">
        <v>50</v>
      </c>
      <c r="AF380" s="743"/>
      <c r="AG380" s="741" t="str">
        <f>'DICTIONARY-5'!$A$23</f>
        <v>powłoka epoksydowa</v>
      </c>
    </row>
    <row r="381" spans="1:33" x14ac:dyDescent="0.25">
      <c r="A381" s="842" t="s">
        <v>360</v>
      </c>
      <c r="B381" s="842" t="str">
        <f>'DICTIONARY-5'!$A$2</f>
        <v>na zapytanie</v>
      </c>
      <c r="C381" s="836" t="s">
        <v>5967</v>
      </c>
      <c r="D381" s="836"/>
      <c r="E381" s="836"/>
      <c r="F381" s="836"/>
      <c r="G381" s="496" t="s">
        <v>7789</v>
      </c>
      <c r="H381" s="797" t="str">
        <f>VLOOKUP(G381,SETTINGS!$B$7:$D$97,2,0)</f>
        <v>EKOplus</v>
      </c>
      <c r="I381" s="796">
        <f>VLOOKUP(G381,SETTINGS!$B$7:$D$97,3,0)</f>
        <v>0</v>
      </c>
      <c r="J381" s="670" t="str">
        <f>IFERROR(IF(CURRENCY.FORMAT_1=0,CONCATENATE(TEXT(FIXED(ROUND((C381/EXC.RATE_1),CURRENCY.FORMAT_1),CURRENCY.FORMAT_1,1),"# ##0;-# ##0"),",-"),FIXED(ROUND((C381/EXC.RATE_1),CURRENCY.FORMAT_1),CURRENCY.FORMAT_1,0)),'DICTIONARY-5'!$A$2)</f>
        <v>na zapytanie</v>
      </c>
      <c r="K381" s="670" t="str">
        <f>IF(EXC.RATE_2=0,"",IFERROR(IF(CURRENCY.FORMAT_2=0,CONCATENATE(TEXT(FIXED(ROUND(IF(EXC.RATE.SWITCH=1,C381/EXC.RATE_2,C381*EXC.RATE_2),CURRENCY.FORMAT_2),CURRENCY.FORMAT_2,1),"# ##0;-# ##0"),",-"),FIXED(ROUND(IF(EXC.RATE.SWITCH=1,C381/EXC.RATE_2,C381*EXC.RATE_2),CURRENCY.FORMAT_2),CURRENCY.FORMAT_2,0)),'DICTIONARY-5'!$A$2))</f>
        <v/>
      </c>
      <c r="L381" s="670" t="str">
        <f>IFERROR(IF(CURRENCY.FORMAT_1=0,CONCATENATE(TEXT(FIXED(ROUND((C381*(1-I381)*(1-ADD.DISCOUNT)*(1+MAT.SURCHARGE)/EXC.RATE_1),CURRENCY.FORMAT_1),CURRENCY.FORMAT_1,1),"# ##0;-# ##0"),",-"),FIXED(ROUND((C381*(1-I381)*(1-ADD.DISCOUNT)*(1+MAT.SURCHARGE)/EXC.RATE_1),CURRENCY.FORMAT_1),CURRENCY.FORMAT_1,0)),'DICTIONARY-5'!$A$2)</f>
        <v>na zapytanie</v>
      </c>
      <c r="M381" s="670" t="str">
        <f>IF(EXC.RATE_2=0,"",IFERROR(IF(CURRENCY.FORMAT_2=0,CONCATENATE(TEXT(FIXED(ROUND(IF(EXC.RATE.SWITCH=1,C381*(1-I381)*(1-ADD.DISCOUNT)*(1+MAT.SURCHARGE)/EXC.RATE_2,C381*(1-I381)*(1-ADD.DISCOUNT)*(1+MAT.SURCHARGE)*EXC.RATE_2),CURRENCY.FORMAT_2),CURRENCY.FORMAT_2,1),"# ##0;-# ##0"),",-"),FIXED(ROUND(IF(EXC.RATE.SWITCH=1,C381*(1-I381)*(1-ADD.DISCOUNT)*(1+MAT.SURCHARGE)/EXC.RATE_2,C381*(1-I381)*(1-ADD.DISCOUNT)*(1+MAT.SURCHARGE)*EXC.RATE_2),CURRENCY.FORMAT_2),CURRENCY.FORMAT_2,0)),'DICTIONARY-5'!$A$2))</f>
        <v/>
      </c>
      <c r="N381" s="544">
        <v>1</v>
      </c>
      <c r="O381" s="544"/>
      <c r="P381" s="731" t="str">
        <f>'DICTIONARY-3'!$A$5</f>
        <v>EKOplus</v>
      </c>
      <c r="Q381" s="732" t="str">
        <f>'DICTIONARY-3'!$A$187</f>
        <v>Zasuwa klinowa</v>
      </c>
      <c r="R381" s="732" t="str">
        <f>CONCATENATE('DICTIONARY-3'!$A$5," ",'DICTIONARY-6'!$A$3," ",'DICTIONARY-2'!$A$2,"150"," ",'DICTIONARY-2'!$A$3,"10/16"," ","R14",", ",'DICTIONARY-6'!$A$38,", ",'DICTIONARY-5'!$A$191,", ",'DICTIONARY-4'!$A$7,"+",'DICTIONARY-6'!$A$49)</f>
        <v>EKOplus Zasuwa DN150 PN10/16 R14, cert. 3.1, RAL3000, KR+czujniki elektromech.</v>
      </c>
      <c r="S381" s="733" t="str">
        <f>'DICTIONARY-4'!$A$7</f>
        <v>KR</v>
      </c>
      <c r="T381" s="732" t="str">
        <f>'DICTIONARY-4'!$A$23</f>
        <v>Kółko ręczne</v>
      </c>
      <c r="U381" s="734" t="s">
        <v>5572</v>
      </c>
      <c r="V381" s="735">
        <v>16</v>
      </c>
      <c r="W381" s="736"/>
      <c r="X381" s="737"/>
      <c r="Y381" s="738"/>
      <c r="Z381" s="739"/>
      <c r="AA381" s="739"/>
      <c r="AB381" s="740">
        <v>16</v>
      </c>
      <c r="AC381" s="741" t="str">
        <f>'DICTIONARY-5'!$A$11&amp;" 14"</f>
        <v>EN 558 szereg 14</v>
      </c>
      <c r="AD381" s="733" t="str">
        <f>'DICTIONARY-5'!$A$16</f>
        <v>woda gaśnicza</v>
      </c>
      <c r="AE381" s="742">
        <v>50</v>
      </c>
      <c r="AF381" s="743"/>
      <c r="AG381" s="741" t="str">
        <f>'DICTIONARY-5'!$A$23</f>
        <v>powłoka epoksydowa</v>
      </c>
    </row>
    <row r="382" spans="1:33" x14ac:dyDescent="0.25">
      <c r="A382" s="842" t="s">
        <v>363</v>
      </c>
      <c r="B382" s="842" t="str">
        <f>'DICTIONARY-5'!$A$2</f>
        <v>na zapytanie</v>
      </c>
      <c r="C382" s="836" t="s">
        <v>5967</v>
      </c>
      <c r="D382" s="836"/>
      <c r="E382" s="836"/>
      <c r="F382" s="836"/>
      <c r="G382" s="496" t="s">
        <v>7789</v>
      </c>
      <c r="H382" s="797" t="str">
        <f>VLOOKUP(G382,SETTINGS!$B$7:$D$97,2,0)</f>
        <v>EKOplus</v>
      </c>
      <c r="I382" s="796">
        <f>VLOOKUP(G382,SETTINGS!$B$7:$D$97,3,0)</f>
        <v>0</v>
      </c>
      <c r="J382" s="670" t="str">
        <f>IFERROR(IF(CURRENCY.FORMAT_1=0,CONCATENATE(TEXT(FIXED(ROUND((C382/EXC.RATE_1),CURRENCY.FORMAT_1),CURRENCY.FORMAT_1,1),"# ##0;-# ##0"),",-"),FIXED(ROUND((C382/EXC.RATE_1),CURRENCY.FORMAT_1),CURRENCY.FORMAT_1,0)),'DICTIONARY-5'!$A$2)</f>
        <v>na zapytanie</v>
      </c>
      <c r="K382" s="670" t="str">
        <f>IF(EXC.RATE_2=0,"",IFERROR(IF(CURRENCY.FORMAT_2=0,CONCATENATE(TEXT(FIXED(ROUND(IF(EXC.RATE.SWITCH=1,C382/EXC.RATE_2,C382*EXC.RATE_2),CURRENCY.FORMAT_2),CURRENCY.FORMAT_2,1),"# ##0;-# ##0"),",-"),FIXED(ROUND(IF(EXC.RATE.SWITCH=1,C382/EXC.RATE_2,C382*EXC.RATE_2),CURRENCY.FORMAT_2),CURRENCY.FORMAT_2,0)),'DICTIONARY-5'!$A$2))</f>
        <v/>
      </c>
      <c r="L382" s="670" t="str">
        <f>IFERROR(IF(CURRENCY.FORMAT_1=0,CONCATENATE(TEXT(FIXED(ROUND((C382*(1-I382)*(1-ADD.DISCOUNT)*(1+MAT.SURCHARGE)/EXC.RATE_1),CURRENCY.FORMAT_1),CURRENCY.FORMAT_1,1),"# ##0;-# ##0"),",-"),FIXED(ROUND((C382*(1-I382)*(1-ADD.DISCOUNT)*(1+MAT.SURCHARGE)/EXC.RATE_1),CURRENCY.FORMAT_1),CURRENCY.FORMAT_1,0)),'DICTIONARY-5'!$A$2)</f>
        <v>na zapytanie</v>
      </c>
      <c r="M382" s="670" t="str">
        <f>IF(EXC.RATE_2=0,"",IFERROR(IF(CURRENCY.FORMAT_2=0,CONCATENATE(TEXT(FIXED(ROUND(IF(EXC.RATE.SWITCH=1,C382*(1-I382)*(1-ADD.DISCOUNT)*(1+MAT.SURCHARGE)/EXC.RATE_2,C382*(1-I382)*(1-ADD.DISCOUNT)*(1+MAT.SURCHARGE)*EXC.RATE_2),CURRENCY.FORMAT_2),CURRENCY.FORMAT_2,1),"# ##0;-# ##0"),",-"),FIXED(ROUND(IF(EXC.RATE.SWITCH=1,C382*(1-I382)*(1-ADD.DISCOUNT)*(1+MAT.SURCHARGE)/EXC.RATE_2,C382*(1-I382)*(1-ADD.DISCOUNT)*(1+MAT.SURCHARGE)*EXC.RATE_2),CURRENCY.FORMAT_2),CURRENCY.FORMAT_2,0)),'DICTIONARY-5'!$A$2))</f>
        <v/>
      </c>
      <c r="N382" s="544">
        <v>1</v>
      </c>
      <c r="O382" s="544"/>
      <c r="P382" s="731" t="str">
        <f>'DICTIONARY-3'!$A$5</f>
        <v>EKOplus</v>
      </c>
      <c r="Q382" s="732" t="str">
        <f>'DICTIONARY-3'!$A$187</f>
        <v>Zasuwa klinowa</v>
      </c>
      <c r="R382" s="732" t="str">
        <f>CONCATENATE('DICTIONARY-3'!$A$5," ",'DICTIONARY-6'!$A$3," ",'DICTIONARY-2'!$A$2,"200"," ",'DICTIONARY-2'!$A$3,"10"," ","R14",", ",'DICTIONARY-6'!$A$38,", ",'DICTIONARY-5'!$A$191,", ",'DICTIONARY-4'!$A$7,"+",'DICTIONARY-6'!$A$49)</f>
        <v>EKOplus Zasuwa DN200 PN10 R14, cert. 3.1, RAL3000, KR+czujniki elektromech.</v>
      </c>
      <c r="S382" s="733" t="str">
        <f>'DICTIONARY-4'!$A$7</f>
        <v>KR</v>
      </c>
      <c r="T382" s="732" t="str">
        <f>'DICTIONARY-4'!$A$23</f>
        <v>Kółko ręczne</v>
      </c>
      <c r="U382" s="734" t="s">
        <v>5750</v>
      </c>
      <c r="V382" s="735">
        <v>10</v>
      </c>
      <c r="W382" s="736"/>
      <c r="X382" s="737"/>
      <c r="Y382" s="738"/>
      <c r="Z382" s="739"/>
      <c r="AA382" s="739"/>
      <c r="AB382" s="740">
        <v>10</v>
      </c>
      <c r="AC382" s="741" t="str">
        <f>'DICTIONARY-5'!$A$11&amp;" 14"</f>
        <v>EN 558 szereg 14</v>
      </c>
      <c r="AD382" s="733" t="str">
        <f>'DICTIONARY-5'!$A$16</f>
        <v>woda gaśnicza</v>
      </c>
      <c r="AE382" s="742">
        <v>50</v>
      </c>
      <c r="AF382" s="743"/>
      <c r="AG382" s="741" t="str">
        <f>'DICTIONARY-5'!$A$23</f>
        <v>powłoka epoksydowa</v>
      </c>
    </row>
    <row r="383" spans="1:33" x14ac:dyDescent="0.25">
      <c r="A383" s="842" t="s">
        <v>366</v>
      </c>
      <c r="B383" s="842" t="str">
        <f>'DICTIONARY-5'!$A$2</f>
        <v>na zapytanie</v>
      </c>
      <c r="C383" s="836" t="s">
        <v>5967</v>
      </c>
      <c r="D383" s="836"/>
      <c r="E383" s="836"/>
      <c r="F383" s="836"/>
      <c r="G383" s="496" t="s">
        <v>7789</v>
      </c>
      <c r="H383" s="797" t="str">
        <f>VLOOKUP(G383,SETTINGS!$B$7:$D$97,2,0)</f>
        <v>EKOplus</v>
      </c>
      <c r="I383" s="796">
        <f>VLOOKUP(G383,SETTINGS!$B$7:$D$97,3,0)</f>
        <v>0</v>
      </c>
      <c r="J383" s="670" t="str">
        <f>IFERROR(IF(CURRENCY.FORMAT_1=0,CONCATENATE(TEXT(FIXED(ROUND((C383/EXC.RATE_1),CURRENCY.FORMAT_1),CURRENCY.FORMAT_1,1),"# ##0;-# ##0"),",-"),FIXED(ROUND((C383/EXC.RATE_1),CURRENCY.FORMAT_1),CURRENCY.FORMAT_1,0)),'DICTIONARY-5'!$A$2)</f>
        <v>na zapytanie</v>
      </c>
      <c r="K383" s="670" t="str">
        <f>IF(EXC.RATE_2=0,"",IFERROR(IF(CURRENCY.FORMAT_2=0,CONCATENATE(TEXT(FIXED(ROUND(IF(EXC.RATE.SWITCH=1,C383/EXC.RATE_2,C383*EXC.RATE_2),CURRENCY.FORMAT_2),CURRENCY.FORMAT_2,1),"# ##0;-# ##0"),",-"),FIXED(ROUND(IF(EXC.RATE.SWITCH=1,C383/EXC.RATE_2,C383*EXC.RATE_2),CURRENCY.FORMAT_2),CURRENCY.FORMAT_2,0)),'DICTIONARY-5'!$A$2))</f>
        <v/>
      </c>
      <c r="L383" s="670" t="str">
        <f>IFERROR(IF(CURRENCY.FORMAT_1=0,CONCATENATE(TEXT(FIXED(ROUND((C383*(1-I383)*(1-ADD.DISCOUNT)*(1+MAT.SURCHARGE)/EXC.RATE_1),CURRENCY.FORMAT_1),CURRENCY.FORMAT_1,1),"# ##0;-# ##0"),",-"),FIXED(ROUND((C383*(1-I383)*(1-ADD.DISCOUNT)*(1+MAT.SURCHARGE)/EXC.RATE_1),CURRENCY.FORMAT_1),CURRENCY.FORMAT_1,0)),'DICTIONARY-5'!$A$2)</f>
        <v>na zapytanie</v>
      </c>
      <c r="M383" s="670" t="str">
        <f>IF(EXC.RATE_2=0,"",IFERROR(IF(CURRENCY.FORMAT_2=0,CONCATENATE(TEXT(FIXED(ROUND(IF(EXC.RATE.SWITCH=1,C383*(1-I383)*(1-ADD.DISCOUNT)*(1+MAT.SURCHARGE)/EXC.RATE_2,C383*(1-I383)*(1-ADD.DISCOUNT)*(1+MAT.SURCHARGE)*EXC.RATE_2),CURRENCY.FORMAT_2),CURRENCY.FORMAT_2,1),"# ##0;-# ##0"),",-"),FIXED(ROUND(IF(EXC.RATE.SWITCH=1,C383*(1-I383)*(1-ADD.DISCOUNT)*(1+MAT.SURCHARGE)/EXC.RATE_2,C383*(1-I383)*(1-ADD.DISCOUNT)*(1+MAT.SURCHARGE)*EXC.RATE_2),CURRENCY.FORMAT_2),CURRENCY.FORMAT_2,0)),'DICTIONARY-5'!$A$2))</f>
        <v/>
      </c>
      <c r="N383" s="544">
        <v>1</v>
      </c>
      <c r="O383" s="544"/>
      <c r="P383" s="731" t="str">
        <f>'DICTIONARY-3'!$A$5</f>
        <v>EKOplus</v>
      </c>
      <c r="Q383" s="732" t="str">
        <f>'DICTIONARY-3'!$A$187</f>
        <v>Zasuwa klinowa</v>
      </c>
      <c r="R383" s="732" t="str">
        <f>CONCATENATE('DICTIONARY-3'!$A$5," ",'DICTIONARY-6'!$A$3," ",'DICTIONARY-2'!$A$2,"200"," ",'DICTIONARY-2'!$A$3,"16"," ","R14",", ",'DICTIONARY-6'!$A$38,", ",'DICTIONARY-5'!$A$191,", ",'DICTIONARY-4'!$A$7,"+",'DICTIONARY-6'!$A$49)</f>
        <v>EKOplus Zasuwa DN200 PN16 R14, cert. 3.1, RAL3000, KR+czujniki elektromech.</v>
      </c>
      <c r="S383" s="733" t="str">
        <f>'DICTIONARY-4'!$A$7</f>
        <v>KR</v>
      </c>
      <c r="T383" s="732" t="str">
        <f>'DICTIONARY-4'!$A$23</f>
        <v>Kółko ręczne</v>
      </c>
      <c r="U383" s="734" t="s">
        <v>5750</v>
      </c>
      <c r="V383" s="735">
        <v>16</v>
      </c>
      <c r="W383" s="736"/>
      <c r="X383" s="737"/>
      <c r="Y383" s="738"/>
      <c r="Z383" s="739"/>
      <c r="AA383" s="739"/>
      <c r="AB383" s="740">
        <v>16</v>
      </c>
      <c r="AC383" s="741" t="str">
        <f>'DICTIONARY-5'!$A$11&amp;" 14"</f>
        <v>EN 558 szereg 14</v>
      </c>
      <c r="AD383" s="733" t="str">
        <f>'DICTIONARY-5'!$A$16</f>
        <v>woda gaśnicza</v>
      </c>
      <c r="AE383" s="742">
        <v>50</v>
      </c>
      <c r="AF383" s="743"/>
      <c r="AG383" s="741" t="str">
        <f>'DICTIONARY-5'!$A$23</f>
        <v>powłoka epoksydowa</v>
      </c>
    </row>
    <row r="384" spans="1:33" x14ac:dyDescent="0.25">
      <c r="A384" s="842" t="s">
        <v>369</v>
      </c>
      <c r="B384" s="842" t="str">
        <f>'DICTIONARY-5'!$A$2</f>
        <v>na zapytanie</v>
      </c>
      <c r="C384" s="836" t="s">
        <v>5967</v>
      </c>
      <c r="D384" s="836"/>
      <c r="E384" s="836"/>
      <c r="F384" s="836"/>
      <c r="G384" s="496" t="s">
        <v>7789</v>
      </c>
      <c r="H384" s="797" t="str">
        <f>VLOOKUP(G384,SETTINGS!$B$7:$D$97,2,0)</f>
        <v>EKOplus</v>
      </c>
      <c r="I384" s="796">
        <f>VLOOKUP(G384,SETTINGS!$B$7:$D$97,3,0)</f>
        <v>0</v>
      </c>
      <c r="J384" s="670" t="str">
        <f>IFERROR(IF(CURRENCY.FORMAT_1=0,CONCATENATE(TEXT(FIXED(ROUND((C384/EXC.RATE_1),CURRENCY.FORMAT_1),CURRENCY.FORMAT_1,1),"# ##0;-# ##0"),",-"),FIXED(ROUND((C384/EXC.RATE_1),CURRENCY.FORMAT_1),CURRENCY.FORMAT_1,0)),'DICTIONARY-5'!$A$2)</f>
        <v>na zapytanie</v>
      </c>
      <c r="K384" s="670" t="str">
        <f>IF(EXC.RATE_2=0,"",IFERROR(IF(CURRENCY.FORMAT_2=0,CONCATENATE(TEXT(FIXED(ROUND(IF(EXC.RATE.SWITCH=1,C384/EXC.RATE_2,C384*EXC.RATE_2),CURRENCY.FORMAT_2),CURRENCY.FORMAT_2,1),"# ##0;-# ##0"),",-"),FIXED(ROUND(IF(EXC.RATE.SWITCH=1,C384/EXC.RATE_2,C384*EXC.RATE_2),CURRENCY.FORMAT_2),CURRENCY.FORMAT_2,0)),'DICTIONARY-5'!$A$2))</f>
        <v/>
      </c>
      <c r="L384" s="670" t="str">
        <f>IFERROR(IF(CURRENCY.FORMAT_1=0,CONCATENATE(TEXT(FIXED(ROUND((C384*(1-I384)*(1-ADD.DISCOUNT)*(1+MAT.SURCHARGE)/EXC.RATE_1),CURRENCY.FORMAT_1),CURRENCY.FORMAT_1,1),"# ##0;-# ##0"),",-"),FIXED(ROUND((C384*(1-I384)*(1-ADD.DISCOUNT)*(1+MAT.SURCHARGE)/EXC.RATE_1),CURRENCY.FORMAT_1),CURRENCY.FORMAT_1,0)),'DICTIONARY-5'!$A$2)</f>
        <v>na zapytanie</v>
      </c>
      <c r="M384" s="670" t="str">
        <f>IF(EXC.RATE_2=0,"",IFERROR(IF(CURRENCY.FORMAT_2=0,CONCATENATE(TEXT(FIXED(ROUND(IF(EXC.RATE.SWITCH=1,C384*(1-I384)*(1-ADD.DISCOUNT)*(1+MAT.SURCHARGE)/EXC.RATE_2,C384*(1-I384)*(1-ADD.DISCOUNT)*(1+MAT.SURCHARGE)*EXC.RATE_2),CURRENCY.FORMAT_2),CURRENCY.FORMAT_2,1),"# ##0;-# ##0"),",-"),FIXED(ROUND(IF(EXC.RATE.SWITCH=1,C384*(1-I384)*(1-ADD.DISCOUNT)*(1+MAT.SURCHARGE)/EXC.RATE_2,C384*(1-I384)*(1-ADD.DISCOUNT)*(1+MAT.SURCHARGE)*EXC.RATE_2),CURRENCY.FORMAT_2),CURRENCY.FORMAT_2,0)),'DICTIONARY-5'!$A$2))</f>
        <v/>
      </c>
      <c r="N384" s="544">
        <v>1</v>
      </c>
      <c r="O384" s="544"/>
      <c r="P384" s="731" t="str">
        <f>'DICTIONARY-3'!$A$5</f>
        <v>EKOplus</v>
      </c>
      <c r="Q384" s="732" t="str">
        <f>'DICTIONARY-3'!$A$187</f>
        <v>Zasuwa klinowa</v>
      </c>
      <c r="R384" s="732" t="str">
        <f>CONCATENATE('DICTIONARY-3'!$A$5," ",'DICTIONARY-6'!$A$3," ",'DICTIONARY-2'!$A$2,"250"," ",'DICTIONARY-2'!$A$3,"10"," ","R14",", ",'DICTIONARY-6'!$A$38,", ",'DICTIONARY-5'!$A$191,", ",'DICTIONARY-4'!$A$7,"+",'DICTIONARY-6'!$A$49)</f>
        <v>EKOplus Zasuwa DN250 PN10 R14, cert. 3.1, RAL3000, KR+czujniki elektromech.</v>
      </c>
      <c r="S384" s="733" t="str">
        <f>'DICTIONARY-4'!$A$7</f>
        <v>KR</v>
      </c>
      <c r="T384" s="732" t="str">
        <f>'DICTIONARY-4'!$A$23</f>
        <v>Kółko ręczne</v>
      </c>
      <c r="U384" s="734" t="s">
        <v>5751</v>
      </c>
      <c r="V384" s="735">
        <v>10</v>
      </c>
      <c r="W384" s="736"/>
      <c r="X384" s="737"/>
      <c r="Y384" s="738"/>
      <c r="Z384" s="739"/>
      <c r="AA384" s="739"/>
      <c r="AB384" s="740">
        <v>10</v>
      </c>
      <c r="AC384" s="741" t="str">
        <f>'DICTIONARY-5'!$A$11&amp;" 14"</f>
        <v>EN 558 szereg 14</v>
      </c>
      <c r="AD384" s="733" t="str">
        <f>'DICTIONARY-5'!$A$16</f>
        <v>woda gaśnicza</v>
      </c>
      <c r="AE384" s="742">
        <v>50</v>
      </c>
      <c r="AF384" s="743"/>
      <c r="AG384" s="741" t="str">
        <f>'DICTIONARY-5'!$A$23</f>
        <v>powłoka epoksydowa</v>
      </c>
    </row>
    <row r="385" spans="1:33" x14ac:dyDescent="0.25">
      <c r="A385" s="842" t="s">
        <v>372</v>
      </c>
      <c r="B385" s="842" t="str">
        <f>'DICTIONARY-5'!$A$2</f>
        <v>na zapytanie</v>
      </c>
      <c r="C385" s="836" t="s">
        <v>5967</v>
      </c>
      <c r="D385" s="836"/>
      <c r="E385" s="836"/>
      <c r="F385" s="836"/>
      <c r="G385" s="496" t="s">
        <v>7789</v>
      </c>
      <c r="H385" s="797" t="str">
        <f>VLOOKUP(G385,SETTINGS!$B$7:$D$97,2,0)</f>
        <v>EKOplus</v>
      </c>
      <c r="I385" s="796">
        <f>VLOOKUP(G385,SETTINGS!$B$7:$D$97,3,0)</f>
        <v>0</v>
      </c>
      <c r="J385" s="670" t="str">
        <f>IFERROR(IF(CURRENCY.FORMAT_1=0,CONCATENATE(TEXT(FIXED(ROUND((C385/EXC.RATE_1),CURRENCY.FORMAT_1),CURRENCY.FORMAT_1,1),"# ##0;-# ##0"),",-"),FIXED(ROUND((C385/EXC.RATE_1),CURRENCY.FORMAT_1),CURRENCY.FORMAT_1,0)),'DICTIONARY-5'!$A$2)</f>
        <v>na zapytanie</v>
      </c>
      <c r="K385" s="670" t="str">
        <f>IF(EXC.RATE_2=0,"",IFERROR(IF(CURRENCY.FORMAT_2=0,CONCATENATE(TEXT(FIXED(ROUND(IF(EXC.RATE.SWITCH=1,C385/EXC.RATE_2,C385*EXC.RATE_2),CURRENCY.FORMAT_2),CURRENCY.FORMAT_2,1),"# ##0;-# ##0"),",-"),FIXED(ROUND(IF(EXC.RATE.SWITCH=1,C385/EXC.RATE_2,C385*EXC.RATE_2),CURRENCY.FORMAT_2),CURRENCY.FORMAT_2,0)),'DICTIONARY-5'!$A$2))</f>
        <v/>
      </c>
      <c r="L385" s="670" t="str">
        <f>IFERROR(IF(CURRENCY.FORMAT_1=0,CONCATENATE(TEXT(FIXED(ROUND((C385*(1-I385)*(1-ADD.DISCOUNT)*(1+MAT.SURCHARGE)/EXC.RATE_1),CURRENCY.FORMAT_1),CURRENCY.FORMAT_1,1),"# ##0;-# ##0"),",-"),FIXED(ROUND((C385*(1-I385)*(1-ADD.DISCOUNT)*(1+MAT.SURCHARGE)/EXC.RATE_1),CURRENCY.FORMAT_1),CURRENCY.FORMAT_1,0)),'DICTIONARY-5'!$A$2)</f>
        <v>na zapytanie</v>
      </c>
      <c r="M385" s="670" t="str">
        <f>IF(EXC.RATE_2=0,"",IFERROR(IF(CURRENCY.FORMAT_2=0,CONCATENATE(TEXT(FIXED(ROUND(IF(EXC.RATE.SWITCH=1,C385*(1-I385)*(1-ADD.DISCOUNT)*(1+MAT.SURCHARGE)/EXC.RATE_2,C385*(1-I385)*(1-ADD.DISCOUNT)*(1+MAT.SURCHARGE)*EXC.RATE_2),CURRENCY.FORMAT_2),CURRENCY.FORMAT_2,1),"# ##0;-# ##0"),",-"),FIXED(ROUND(IF(EXC.RATE.SWITCH=1,C385*(1-I385)*(1-ADD.DISCOUNT)*(1+MAT.SURCHARGE)/EXC.RATE_2,C385*(1-I385)*(1-ADD.DISCOUNT)*(1+MAT.SURCHARGE)*EXC.RATE_2),CURRENCY.FORMAT_2),CURRENCY.FORMAT_2,0)),'DICTIONARY-5'!$A$2))</f>
        <v/>
      </c>
      <c r="N385" s="544">
        <v>1</v>
      </c>
      <c r="O385" s="544"/>
      <c r="P385" s="731" t="str">
        <f>'DICTIONARY-3'!$A$5</f>
        <v>EKOplus</v>
      </c>
      <c r="Q385" s="732" t="str">
        <f>'DICTIONARY-3'!$A$187</f>
        <v>Zasuwa klinowa</v>
      </c>
      <c r="R385" s="732" t="str">
        <f>CONCATENATE('DICTIONARY-3'!$A$5," ",'DICTIONARY-6'!$A$3," ",'DICTIONARY-2'!$A$2,"250"," ",'DICTIONARY-2'!$A$3,"16"," ","R14",", ",'DICTIONARY-6'!$A$38,", ",'DICTIONARY-5'!$A$191,", ",'DICTIONARY-4'!$A$7,"+",'DICTIONARY-6'!$A$49)</f>
        <v>EKOplus Zasuwa DN250 PN16 R14, cert. 3.1, RAL3000, KR+czujniki elektromech.</v>
      </c>
      <c r="S385" s="733" t="str">
        <f>'DICTIONARY-4'!$A$7</f>
        <v>KR</v>
      </c>
      <c r="T385" s="732" t="str">
        <f>'DICTIONARY-4'!$A$23</f>
        <v>Kółko ręczne</v>
      </c>
      <c r="U385" s="734" t="s">
        <v>5751</v>
      </c>
      <c r="V385" s="735">
        <v>16</v>
      </c>
      <c r="W385" s="736"/>
      <c r="X385" s="737"/>
      <c r="Y385" s="738"/>
      <c r="Z385" s="739"/>
      <c r="AA385" s="739"/>
      <c r="AB385" s="740">
        <v>16</v>
      </c>
      <c r="AC385" s="741" t="str">
        <f>'DICTIONARY-5'!$A$11&amp;" 14"</f>
        <v>EN 558 szereg 14</v>
      </c>
      <c r="AD385" s="733" t="str">
        <f>'DICTIONARY-5'!$A$16</f>
        <v>woda gaśnicza</v>
      </c>
      <c r="AE385" s="742">
        <v>50</v>
      </c>
      <c r="AF385" s="743"/>
      <c r="AG385" s="741" t="str">
        <f>'DICTIONARY-5'!$A$23</f>
        <v>powłoka epoksydowa</v>
      </c>
    </row>
    <row r="386" spans="1:33" x14ac:dyDescent="0.25">
      <c r="A386" s="842" t="s">
        <v>375</v>
      </c>
      <c r="B386" s="842" t="str">
        <f>'DICTIONARY-5'!$A$2</f>
        <v>na zapytanie</v>
      </c>
      <c r="C386" s="836" t="s">
        <v>5967</v>
      </c>
      <c r="D386" s="836"/>
      <c r="E386" s="836"/>
      <c r="F386" s="836"/>
      <c r="G386" s="496" t="s">
        <v>7789</v>
      </c>
      <c r="H386" s="797" t="str">
        <f>VLOOKUP(G386,SETTINGS!$B$7:$D$97,2,0)</f>
        <v>EKOplus</v>
      </c>
      <c r="I386" s="796">
        <f>VLOOKUP(G386,SETTINGS!$B$7:$D$97,3,0)</f>
        <v>0</v>
      </c>
      <c r="J386" s="670" t="str">
        <f>IFERROR(IF(CURRENCY.FORMAT_1=0,CONCATENATE(TEXT(FIXED(ROUND((C386/EXC.RATE_1),CURRENCY.FORMAT_1),CURRENCY.FORMAT_1,1),"# ##0;-# ##0"),",-"),FIXED(ROUND((C386/EXC.RATE_1),CURRENCY.FORMAT_1),CURRENCY.FORMAT_1,0)),'DICTIONARY-5'!$A$2)</f>
        <v>na zapytanie</v>
      </c>
      <c r="K386" s="670" t="str">
        <f>IF(EXC.RATE_2=0,"",IFERROR(IF(CURRENCY.FORMAT_2=0,CONCATENATE(TEXT(FIXED(ROUND(IF(EXC.RATE.SWITCH=1,C386/EXC.RATE_2,C386*EXC.RATE_2),CURRENCY.FORMAT_2),CURRENCY.FORMAT_2,1),"# ##0;-# ##0"),",-"),FIXED(ROUND(IF(EXC.RATE.SWITCH=1,C386/EXC.RATE_2,C386*EXC.RATE_2),CURRENCY.FORMAT_2),CURRENCY.FORMAT_2,0)),'DICTIONARY-5'!$A$2))</f>
        <v/>
      </c>
      <c r="L386" s="670" t="str">
        <f>IFERROR(IF(CURRENCY.FORMAT_1=0,CONCATENATE(TEXT(FIXED(ROUND((C386*(1-I386)*(1-ADD.DISCOUNT)*(1+MAT.SURCHARGE)/EXC.RATE_1),CURRENCY.FORMAT_1),CURRENCY.FORMAT_1,1),"# ##0;-# ##0"),",-"),FIXED(ROUND((C386*(1-I386)*(1-ADD.DISCOUNT)*(1+MAT.SURCHARGE)/EXC.RATE_1),CURRENCY.FORMAT_1),CURRENCY.FORMAT_1,0)),'DICTIONARY-5'!$A$2)</f>
        <v>na zapytanie</v>
      </c>
      <c r="M386" s="670" t="str">
        <f>IF(EXC.RATE_2=0,"",IFERROR(IF(CURRENCY.FORMAT_2=0,CONCATENATE(TEXT(FIXED(ROUND(IF(EXC.RATE.SWITCH=1,C386*(1-I386)*(1-ADD.DISCOUNT)*(1+MAT.SURCHARGE)/EXC.RATE_2,C386*(1-I386)*(1-ADD.DISCOUNT)*(1+MAT.SURCHARGE)*EXC.RATE_2),CURRENCY.FORMAT_2),CURRENCY.FORMAT_2,1),"# ##0;-# ##0"),",-"),FIXED(ROUND(IF(EXC.RATE.SWITCH=1,C386*(1-I386)*(1-ADD.DISCOUNT)*(1+MAT.SURCHARGE)/EXC.RATE_2,C386*(1-I386)*(1-ADD.DISCOUNT)*(1+MAT.SURCHARGE)*EXC.RATE_2),CURRENCY.FORMAT_2),CURRENCY.FORMAT_2,0)),'DICTIONARY-5'!$A$2))</f>
        <v/>
      </c>
      <c r="N386" s="544">
        <v>1</v>
      </c>
      <c r="O386" s="544"/>
      <c r="P386" s="731" t="str">
        <f>'DICTIONARY-3'!$A$5</f>
        <v>EKOplus</v>
      </c>
      <c r="Q386" s="732" t="str">
        <f>'DICTIONARY-3'!$A$187</f>
        <v>Zasuwa klinowa</v>
      </c>
      <c r="R386" s="732" t="str">
        <f>CONCATENATE('DICTIONARY-3'!$A$5," ",'DICTIONARY-6'!$A$3," ",'DICTIONARY-2'!$A$2,"300"," ",'DICTIONARY-2'!$A$3,"10"," ","R14",", ",'DICTIONARY-6'!$A$38,", ",'DICTIONARY-5'!$A$191,", ",'DICTIONARY-4'!$A$7,"+",'DICTIONARY-6'!$A$49)</f>
        <v>EKOplus Zasuwa DN300 PN10 R14, cert. 3.1, RAL3000, KR+czujniki elektromech.</v>
      </c>
      <c r="S386" s="733" t="str">
        <f>'DICTIONARY-4'!$A$7</f>
        <v>KR</v>
      </c>
      <c r="T386" s="732" t="str">
        <f>'DICTIONARY-4'!$A$23</f>
        <v>Kółko ręczne</v>
      </c>
      <c r="U386" s="734" t="s">
        <v>5752</v>
      </c>
      <c r="V386" s="735">
        <v>10</v>
      </c>
      <c r="W386" s="736"/>
      <c r="X386" s="737"/>
      <c r="Y386" s="738"/>
      <c r="Z386" s="739"/>
      <c r="AA386" s="739"/>
      <c r="AB386" s="740">
        <v>10</v>
      </c>
      <c r="AC386" s="741" t="str">
        <f>'DICTIONARY-5'!$A$11&amp;" 14"</f>
        <v>EN 558 szereg 14</v>
      </c>
      <c r="AD386" s="733" t="str">
        <f>'DICTIONARY-5'!$A$16</f>
        <v>woda gaśnicza</v>
      </c>
      <c r="AE386" s="742">
        <v>50</v>
      </c>
      <c r="AF386" s="743"/>
      <c r="AG386" s="741" t="str">
        <f>'DICTIONARY-5'!$A$23</f>
        <v>powłoka epoksydowa</v>
      </c>
    </row>
    <row r="387" spans="1:33" x14ac:dyDescent="0.25">
      <c r="A387" s="842" t="s">
        <v>378</v>
      </c>
      <c r="B387" s="842" t="str">
        <f>'DICTIONARY-5'!$A$2</f>
        <v>na zapytanie</v>
      </c>
      <c r="C387" s="836" t="s">
        <v>5967</v>
      </c>
      <c r="D387" s="836"/>
      <c r="E387" s="836"/>
      <c r="F387" s="836"/>
      <c r="G387" s="496" t="s">
        <v>7789</v>
      </c>
      <c r="H387" s="797" t="str">
        <f>VLOOKUP(G387,SETTINGS!$B$7:$D$97,2,0)</f>
        <v>EKOplus</v>
      </c>
      <c r="I387" s="796">
        <f>VLOOKUP(G387,SETTINGS!$B$7:$D$97,3,0)</f>
        <v>0</v>
      </c>
      <c r="J387" s="670" t="str">
        <f>IFERROR(IF(CURRENCY.FORMAT_1=0,CONCATENATE(TEXT(FIXED(ROUND((C387/EXC.RATE_1),CURRENCY.FORMAT_1),CURRENCY.FORMAT_1,1),"# ##0;-# ##0"),",-"),FIXED(ROUND((C387/EXC.RATE_1),CURRENCY.FORMAT_1),CURRENCY.FORMAT_1,0)),'DICTIONARY-5'!$A$2)</f>
        <v>na zapytanie</v>
      </c>
      <c r="K387" s="670" t="str">
        <f>IF(EXC.RATE_2=0,"",IFERROR(IF(CURRENCY.FORMAT_2=0,CONCATENATE(TEXT(FIXED(ROUND(IF(EXC.RATE.SWITCH=1,C387/EXC.RATE_2,C387*EXC.RATE_2),CURRENCY.FORMAT_2),CURRENCY.FORMAT_2,1),"# ##0;-# ##0"),",-"),FIXED(ROUND(IF(EXC.RATE.SWITCH=1,C387/EXC.RATE_2,C387*EXC.RATE_2),CURRENCY.FORMAT_2),CURRENCY.FORMAT_2,0)),'DICTIONARY-5'!$A$2))</f>
        <v/>
      </c>
      <c r="L387" s="670" t="str">
        <f>IFERROR(IF(CURRENCY.FORMAT_1=0,CONCATENATE(TEXT(FIXED(ROUND((C387*(1-I387)*(1-ADD.DISCOUNT)*(1+MAT.SURCHARGE)/EXC.RATE_1),CURRENCY.FORMAT_1),CURRENCY.FORMAT_1,1),"# ##0;-# ##0"),",-"),FIXED(ROUND((C387*(1-I387)*(1-ADD.DISCOUNT)*(1+MAT.SURCHARGE)/EXC.RATE_1),CURRENCY.FORMAT_1),CURRENCY.FORMAT_1,0)),'DICTIONARY-5'!$A$2)</f>
        <v>na zapytanie</v>
      </c>
      <c r="M387" s="670" t="str">
        <f>IF(EXC.RATE_2=0,"",IFERROR(IF(CURRENCY.FORMAT_2=0,CONCATENATE(TEXT(FIXED(ROUND(IF(EXC.RATE.SWITCH=1,C387*(1-I387)*(1-ADD.DISCOUNT)*(1+MAT.SURCHARGE)/EXC.RATE_2,C387*(1-I387)*(1-ADD.DISCOUNT)*(1+MAT.SURCHARGE)*EXC.RATE_2),CURRENCY.FORMAT_2),CURRENCY.FORMAT_2,1),"# ##0;-# ##0"),",-"),FIXED(ROUND(IF(EXC.RATE.SWITCH=1,C387*(1-I387)*(1-ADD.DISCOUNT)*(1+MAT.SURCHARGE)/EXC.RATE_2,C387*(1-I387)*(1-ADD.DISCOUNT)*(1+MAT.SURCHARGE)*EXC.RATE_2),CURRENCY.FORMAT_2),CURRENCY.FORMAT_2,0)),'DICTIONARY-5'!$A$2))</f>
        <v/>
      </c>
      <c r="N387" s="544">
        <v>1</v>
      </c>
      <c r="O387" s="544"/>
      <c r="P387" s="731" t="str">
        <f>'DICTIONARY-3'!$A$5</f>
        <v>EKOplus</v>
      </c>
      <c r="Q387" s="732" t="str">
        <f>'DICTIONARY-3'!$A$187</f>
        <v>Zasuwa klinowa</v>
      </c>
      <c r="R387" s="732" t="str">
        <f>CONCATENATE('DICTIONARY-3'!$A$5," ",'DICTIONARY-6'!$A$3," ",'DICTIONARY-2'!$A$2,"300"," ",'DICTIONARY-2'!$A$3,"16"," ","R14",", ",'DICTIONARY-6'!$A$38,", ",'DICTIONARY-5'!$A$191,", ",'DICTIONARY-4'!$A$7,"+",'DICTIONARY-6'!$A$49)</f>
        <v>EKOplus Zasuwa DN300 PN16 R14, cert. 3.1, RAL3000, KR+czujniki elektromech.</v>
      </c>
      <c r="S387" s="733" t="str">
        <f>'DICTIONARY-4'!$A$7</f>
        <v>KR</v>
      </c>
      <c r="T387" s="732" t="str">
        <f>'DICTIONARY-4'!$A$23</f>
        <v>Kółko ręczne</v>
      </c>
      <c r="U387" s="734" t="s">
        <v>5752</v>
      </c>
      <c r="V387" s="735">
        <v>16</v>
      </c>
      <c r="W387" s="736"/>
      <c r="X387" s="737"/>
      <c r="Y387" s="738"/>
      <c r="Z387" s="739"/>
      <c r="AA387" s="739"/>
      <c r="AB387" s="740">
        <v>16</v>
      </c>
      <c r="AC387" s="741" t="str">
        <f>'DICTIONARY-5'!$A$11&amp;" 14"</f>
        <v>EN 558 szereg 14</v>
      </c>
      <c r="AD387" s="733" t="str">
        <f>'DICTIONARY-5'!$A$16</f>
        <v>woda gaśnicza</v>
      </c>
      <c r="AE387" s="742">
        <v>50</v>
      </c>
      <c r="AF387" s="743"/>
      <c r="AG387" s="741" t="str">
        <f>'DICTIONARY-5'!$A$23</f>
        <v>powłoka epoksydowa</v>
      </c>
    </row>
    <row r="388" spans="1:33" x14ac:dyDescent="0.25">
      <c r="A388" s="842" t="s">
        <v>343</v>
      </c>
      <c r="B388" s="842" t="str">
        <f>'DICTIONARY-5'!$A$2</f>
        <v>na zapytanie</v>
      </c>
      <c r="C388" s="836" t="s">
        <v>5967</v>
      </c>
      <c r="D388" s="836"/>
      <c r="E388" s="836"/>
      <c r="F388" s="836"/>
      <c r="G388" s="496" t="s">
        <v>7789</v>
      </c>
      <c r="H388" s="797" t="str">
        <f>VLOOKUP(G388,SETTINGS!$B$7:$D$97,2,0)</f>
        <v>EKOplus</v>
      </c>
      <c r="I388" s="796">
        <f>VLOOKUP(G388,SETTINGS!$B$7:$D$97,3,0)</f>
        <v>0</v>
      </c>
      <c r="J388" s="670" t="str">
        <f>IFERROR(IF(CURRENCY.FORMAT_1=0,CONCATENATE(TEXT(FIXED(ROUND((C388/EXC.RATE_1),CURRENCY.FORMAT_1),CURRENCY.FORMAT_1,1),"# ##0;-# ##0"),",-"),FIXED(ROUND((C388/EXC.RATE_1),CURRENCY.FORMAT_1),CURRENCY.FORMAT_1,0)),'DICTIONARY-5'!$A$2)</f>
        <v>na zapytanie</v>
      </c>
      <c r="K388" s="670" t="str">
        <f>IF(EXC.RATE_2=0,"",IFERROR(IF(CURRENCY.FORMAT_2=0,CONCATENATE(TEXT(FIXED(ROUND(IF(EXC.RATE.SWITCH=1,C388/EXC.RATE_2,C388*EXC.RATE_2),CURRENCY.FORMAT_2),CURRENCY.FORMAT_2,1),"# ##0;-# ##0"),",-"),FIXED(ROUND(IF(EXC.RATE.SWITCH=1,C388/EXC.RATE_2,C388*EXC.RATE_2),CURRENCY.FORMAT_2),CURRENCY.FORMAT_2,0)),'DICTIONARY-5'!$A$2))</f>
        <v/>
      </c>
      <c r="L388" s="670" t="str">
        <f>IFERROR(IF(CURRENCY.FORMAT_1=0,CONCATENATE(TEXT(FIXED(ROUND((C388*(1-I388)*(1-ADD.DISCOUNT)*(1+MAT.SURCHARGE)/EXC.RATE_1),CURRENCY.FORMAT_1),CURRENCY.FORMAT_1,1),"# ##0;-# ##0"),",-"),FIXED(ROUND((C388*(1-I388)*(1-ADD.DISCOUNT)*(1+MAT.SURCHARGE)/EXC.RATE_1),CURRENCY.FORMAT_1),CURRENCY.FORMAT_1,0)),'DICTIONARY-5'!$A$2)</f>
        <v>na zapytanie</v>
      </c>
      <c r="M388" s="670" t="str">
        <f>IF(EXC.RATE_2=0,"",IFERROR(IF(CURRENCY.FORMAT_2=0,CONCATENATE(TEXT(FIXED(ROUND(IF(EXC.RATE.SWITCH=1,C388*(1-I388)*(1-ADD.DISCOUNT)*(1+MAT.SURCHARGE)/EXC.RATE_2,C388*(1-I388)*(1-ADD.DISCOUNT)*(1+MAT.SURCHARGE)*EXC.RATE_2),CURRENCY.FORMAT_2),CURRENCY.FORMAT_2,1),"# ##0;-# ##0"),",-"),FIXED(ROUND(IF(EXC.RATE.SWITCH=1,C388*(1-I388)*(1-ADD.DISCOUNT)*(1+MAT.SURCHARGE)/EXC.RATE_2,C388*(1-I388)*(1-ADD.DISCOUNT)*(1+MAT.SURCHARGE)*EXC.RATE_2),CURRENCY.FORMAT_2),CURRENCY.FORMAT_2,0)),'DICTIONARY-5'!$A$2))</f>
        <v/>
      </c>
      <c r="N388" s="544">
        <v>1</v>
      </c>
      <c r="O388" s="544"/>
      <c r="P388" s="731" t="str">
        <f>'DICTIONARY-3'!$A$5</f>
        <v>EKOplus</v>
      </c>
      <c r="Q388" s="732" t="str">
        <f>'DICTIONARY-3'!$A$187</f>
        <v>Zasuwa klinowa</v>
      </c>
      <c r="R388" s="732" t="str">
        <f>CONCATENATE('DICTIONARY-3'!$A$5," ",'DICTIONARY-6'!$A$3," ",'DICTIONARY-2'!$A$2,"40"," ",'DICTIONARY-2'!$A$3,"10/16"," ","R14",", ",'DICTIONARY-6'!$A$38,", ",'DICTIONARY-5'!$A$191,", ",'DICTIONARY-4'!$A$7,"+",'DICTIONARY-6'!$A$50)</f>
        <v>EKOplus Zasuwa DN40 PN10/16 R14, cert. 3.1, RAL3000, KR+czujniki indukcyjne</v>
      </c>
      <c r="S388" s="733" t="str">
        <f>'DICTIONARY-4'!$A$7</f>
        <v>KR</v>
      </c>
      <c r="T388" s="732" t="str">
        <f>'DICTIONARY-4'!$A$23</f>
        <v>Kółko ręczne</v>
      </c>
      <c r="U388" s="734" t="s">
        <v>5758</v>
      </c>
      <c r="V388" s="735">
        <v>16</v>
      </c>
      <c r="W388" s="736"/>
      <c r="X388" s="737"/>
      <c r="Y388" s="738"/>
      <c r="Z388" s="739"/>
      <c r="AA388" s="739"/>
      <c r="AB388" s="740">
        <v>16</v>
      </c>
      <c r="AC388" s="741" t="str">
        <f>'DICTIONARY-5'!$A$11&amp;" 14"</f>
        <v>EN 558 szereg 14</v>
      </c>
      <c r="AD388" s="733" t="str">
        <f>'DICTIONARY-5'!$A$16</f>
        <v>woda gaśnicza</v>
      </c>
      <c r="AE388" s="742">
        <v>50</v>
      </c>
      <c r="AF388" s="743"/>
      <c r="AG388" s="741" t="str">
        <f>'DICTIONARY-5'!$A$23</f>
        <v>powłoka epoksydowa</v>
      </c>
    </row>
    <row r="389" spans="1:33" x14ac:dyDescent="0.25">
      <c r="A389" s="842" t="s">
        <v>346</v>
      </c>
      <c r="B389" s="842" t="str">
        <f>'DICTIONARY-5'!$A$2</f>
        <v>na zapytanie</v>
      </c>
      <c r="C389" s="836" t="s">
        <v>5967</v>
      </c>
      <c r="D389" s="836"/>
      <c r="E389" s="836"/>
      <c r="F389" s="836"/>
      <c r="G389" s="496" t="s">
        <v>7789</v>
      </c>
      <c r="H389" s="797" t="str">
        <f>VLOOKUP(G389,SETTINGS!$B$7:$D$97,2,0)</f>
        <v>EKOplus</v>
      </c>
      <c r="I389" s="796">
        <f>VLOOKUP(G389,SETTINGS!$B$7:$D$97,3,0)</f>
        <v>0</v>
      </c>
      <c r="J389" s="670" t="str">
        <f>IFERROR(IF(CURRENCY.FORMAT_1=0,CONCATENATE(TEXT(FIXED(ROUND((C389/EXC.RATE_1),CURRENCY.FORMAT_1),CURRENCY.FORMAT_1,1),"# ##0;-# ##0"),",-"),FIXED(ROUND((C389/EXC.RATE_1),CURRENCY.FORMAT_1),CURRENCY.FORMAT_1,0)),'DICTIONARY-5'!$A$2)</f>
        <v>na zapytanie</v>
      </c>
      <c r="K389" s="670" t="str">
        <f>IF(EXC.RATE_2=0,"",IFERROR(IF(CURRENCY.FORMAT_2=0,CONCATENATE(TEXT(FIXED(ROUND(IF(EXC.RATE.SWITCH=1,C389/EXC.RATE_2,C389*EXC.RATE_2),CURRENCY.FORMAT_2),CURRENCY.FORMAT_2,1),"# ##0;-# ##0"),",-"),FIXED(ROUND(IF(EXC.RATE.SWITCH=1,C389/EXC.RATE_2,C389*EXC.RATE_2),CURRENCY.FORMAT_2),CURRENCY.FORMAT_2,0)),'DICTIONARY-5'!$A$2))</f>
        <v/>
      </c>
      <c r="L389" s="670" t="str">
        <f>IFERROR(IF(CURRENCY.FORMAT_1=0,CONCATENATE(TEXT(FIXED(ROUND((C389*(1-I389)*(1-ADD.DISCOUNT)*(1+MAT.SURCHARGE)/EXC.RATE_1),CURRENCY.FORMAT_1),CURRENCY.FORMAT_1,1),"# ##0;-# ##0"),",-"),FIXED(ROUND((C389*(1-I389)*(1-ADD.DISCOUNT)*(1+MAT.SURCHARGE)/EXC.RATE_1),CURRENCY.FORMAT_1),CURRENCY.FORMAT_1,0)),'DICTIONARY-5'!$A$2)</f>
        <v>na zapytanie</v>
      </c>
      <c r="M389" s="670" t="str">
        <f>IF(EXC.RATE_2=0,"",IFERROR(IF(CURRENCY.FORMAT_2=0,CONCATENATE(TEXT(FIXED(ROUND(IF(EXC.RATE.SWITCH=1,C389*(1-I389)*(1-ADD.DISCOUNT)*(1+MAT.SURCHARGE)/EXC.RATE_2,C389*(1-I389)*(1-ADD.DISCOUNT)*(1+MAT.SURCHARGE)*EXC.RATE_2),CURRENCY.FORMAT_2),CURRENCY.FORMAT_2,1),"# ##0;-# ##0"),",-"),FIXED(ROUND(IF(EXC.RATE.SWITCH=1,C389*(1-I389)*(1-ADD.DISCOUNT)*(1+MAT.SURCHARGE)/EXC.RATE_2,C389*(1-I389)*(1-ADD.DISCOUNT)*(1+MAT.SURCHARGE)*EXC.RATE_2),CURRENCY.FORMAT_2),CURRENCY.FORMAT_2,0)),'DICTIONARY-5'!$A$2))</f>
        <v/>
      </c>
      <c r="N389" s="544">
        <v>1</v>
      </c>
      <c r="O389" s="544"/>
      <c r="P389" s="731" t="str">
        <f>'DICTIONARY-3'!$A$5</f>
        <v>EKOplus</v>
      </c>
      <c r="Q389" s="732" t="str">
        <f>'DICTIONARY-3'!$A$187</f>
        <v>Zasuwa klinowa</v>
      </c>
      <c r="R389" s="732" t="str">
        <f>CONCATENATE('DICTIONARY-3'!$A$5," ",'DICTIONARY-6'!$A$3," ",'DICTIONARY-2'!$A$2,"50"," ",'DICTIONARY-2'!$A$3,"10/16"," ","R14",", ",'DICTIONARY-6'!$A$38,", ",'DICTIONARY-5'!$A$191,", ",'DICTIONARY-4'!$A$7,"+",'DICTIONARY-6'!$A$50)</f>
        <v>EKOplus Zasuwa DN50 PN10/16 R14, cert. 3.1, RAL3000, KR+czujniki indukcyjne</v>
      </c>
      <c r="S389" s="733" t="str">
        <f>'DICTIONARY-4'!$A$7</f>
        <v>KR</v>
      </c>
      <c r="T389" s="732" t="str">
        <f>'DICTIONARY-4'!$A$23</f>
        <v>Kółko ręczne</v>
      </c>
      <c r="U389" s="734" t="s">
        <v>5748</v>
      </c>
      <c r="V389" s="735">
        <v>16</v>
      </c>
      <c r="W389" s="736"/>
      <c r="X389" s="737"/>
      <c r="Y389" s="738"/>
      <c r="Z389" s="739"/>
      <c r="AA389" s="739"/>
      <c r="AB389" s="740">
        <v>16</v>
      </c>
      <c r="AC389" s="741" t="str">
        <f>'DICTIONARY-5'!$A$11&amp;" 14"</f>
        <v>EN 558 szereg 14</v>
      </c>
      <c r="AD389" s="733" t="str">
        <f>'DICTIONARY-5'!$A$16</f>
        <v>woda gaśnicza</v>
      </c>
      <c r="AE389" s="742">
        <v>50</v>
      </c>
      <c r="AF389" s="743"/>
      <c r="AG389" s="741" t="str">
        <f>'DICTIONARY-5'!$A$23</f>
        <v>powłoka epoksydowa</v>
      </c>
    </row>
    <row r="390" spans="1:33" x14ac:dyDescent="0.25">
      <c r="A390" s="842" t="s">
        <v>349</v>
      </c>
      <c r="B390" s="842" t="str">
        <f>'DICTIONARY-5'!$A$2</f>
        <v>na zapytanie</v>
      </c>
      <c r="C390" s="836" t="s">
        <v>5967</v>
      </c>
      <c r="D390" s="836"/>
      <c r="E390" s="836"/>
      <c r="F390" s="836"/>
      <c r="G390" s="496" t="s">
        <v>7789</v>
      </c>
      <c r="H390" s="797" t="str">
        <f>VLOOKUP(G390,SETTINGS!$B$7:$D$97,2,0)</f>
        <v>EKOplus</v>
      </c>
      <c r="I390" s="796">
        <f>VLOOKUP(G390,SETTINGS!$B$7:$D$97,3,0)</f>
        <v>0</v>
      </c>
      <c r="J390" s="670" t="str">
        <f>IFERROR(IF(CURRENCY.FORMAT_1=0,CONCATENATE(TEXT(FIXED(ROUND((C390/EXC.RATE_1),CURRENCY.FORMAT_1),CURRENCY.FORMAT_1,1),"# ##0;-# ##0"),",-"),FIXED(ROUND((C390/EXC.RATE_1),CURRENCY.FORMAT_1),CURRENCY.FORMAT_1,0)),'DICTIONARY-5'!$A$2)</f>
        <v>na zapytanie</v>
      </c>
      <c r="K390" s="670" t="str">
        <f>IF(EXC.RATE_2=0,"",IFERROR(IF(CURRENCY.FORMAT_2=0,CONCATENATE(TEXT(FIXED(ROUND(IF(EXC.RATE.SWITCH=1,C390/EXC.RATE_2,C390*EXC.RATE_2),CURRENCY.FORMAT_2),CURRENCY.FORMAT_2,1),"# ##0;-# ##0"),",-"),FIXED(ROUND(IF(EXC.RATE.SWITCH=1,C390/EXC.RATE_2,C390*EXC.RATE_2),CURRENCY.FORMAT_2),CURRENCY.FORMAT_2,0)),'DICTIONARY-5'!$A$2))</f>
        <v/>
      </c>
      <c r="L390" s="670" t="str">
        <f>IFERROR(IF(CURRENCY.FORMAT_1=0,CONCATENATE(TEXT(FIXED(ROUND((C390*(1-I390)*(1-ADD.DISCOUNT)*(1+MAT.SURCHARGE)/EXC.RATE_1),CURRENCY.FORMAT_1),CURRENCY.FORMAT_1,1),"# ##0;-# ##0"),",-"),FIXED(ROUND((C390*(1-I390)*(1-ADD.DISCOUNT)*(1+MAT.SURCHARGE)/EXC.RATE_1),CURRENCY.FORMAT_1),CURRENCY.FORMAT_1,0)),'DICTIONARY-5'!$A$2)</f>
        <v>na zapytanie</v>
      </c>
      <c r="M390" s="670" t="str">
        <f>IF(EXC.RATE_2=0,"",IFERROR(IF(CURRENCY.FORMAT_2=0,CONCATENATE(TEXT(FIXED(ROUND(IF(EXC.RATE.SWITCH=1,C390*(1-I390)*(1-ADD.DISCOUNT)*(1+MAT.SURCHARGE)/EXC.RATE_2,C390*(1-I390)*(1-ADD.DISCOUNT)*(1+MAT.SURCHARGE)*EXC.RATE_2),CURRENCY.FORMAT_2),CURRENCY.FORMAT_2,1),"# ##0;-# ##0"),",-"),FIXED(ROUND(IF(EXC.RATE.SWITCH=1,C390*(1-I390)*(1-ADD.DISCOUNT)*(1+MAT.SURCHARGE)/EXC.RATE_2,C390*(1-I390)*(1-ADD.DISCOUNT)*(1+MAT.SURCHARGE)*EXC.RATE_2),CURRENCY.FORMAT_2),CURRENCY.FORMAT_2,0)),'DICTIONARY-5'!$A$2))</f>
        <v/>
      </c>
      <c r="N390" s="544">
        <v>1</v>
      </c>
      <c r="O390" s="544"/>
      <c r="P390" s="731" t="str">
        <f>'DICTIONARY-3'!$A$5</f>
        <v>EKOplus</v>
      </c>
      <c r="Q390" s="732" t="str">
        <f>'DICTIONARY-3'!$A$187</f>
        <v>Zasuwa klinowa</v>
      </c>
      <c r="R390" s="732" t="str">
        <f>CONCATENATE('DICTIONARY-3'!$A$5," ",'DICTIONARY-6'!$A$3," ",'DICTIONARY-2'!$A$2,"65"," ",'DICTIONARY-2'!$A$3,"10/16"," ","R14",", ",'DICTIONARY-6'!$A$38,", ",'DICTIONARY-5'!$A$191,", ",'DICTIONARY-4'!$A$7,"+",'DICTIONARY-6'!$A$50)</f>
        <v>EKOplus Zasuwa DN65 PN10/16 R14, cert. 3.1, RAL3000, KR+czujniki indukcyjne</v>
      </c>
      <c r="S390" s="733" t="str">
        <f>'DICTIONARY-4'!$A$7</f>
        <v>KR</v>
      </c>
      <c r="T390" s="732" t="str">
        <f>'DICTIONARY-4'!$A$23</f>
        <v>Kółko ręczne</v>
      </c>
      <c r="U390" s="734" t="s">
        <v>5759</v>
      </c>
      <c r="V390" s="735">
        <v>16</v>
      </c>
      <c r="W390" s="736"/>
      <c r="X390" s="737"/>
      <c r="Y390" s="738"/>
      <c r="Z390" s="739"/>
      <c r="AA390" s="739"/>
      <c r="AB390" s="740">
        <v>16</v>
      </c>
      <c r="AC390" s="741" t="str">
        <f>'DICTIONARY-5'!$A$11&amp;" 14"</f>
        <v>EN 558 szereg 14</v>
      </c>
      <c r="AD390" s="733" t="str">
        <f>'DICTIONARY-5'!$A$16</f>
        <v>woda gaśnicza</v>
      </c>
      <c r="AE390" s="742">
        <v>50</v>
      </c>
      <c r="AF390" s="743"/>
      <c r="AG390" s="741" t="str">
        <f>'DICTIONARY-5'!$A$23</f>
        <v>powłoka epoksydowa</v>
      </c>
    </row>
    <row r="391" spans="1:33" x14ac:dyDescent="0.25">
      <c r="A391" s="842" t="s">
        <v>352</v>
      </c>
      <c r="B391" s="842" t="str">
        <f>'DICTIONARY-5'!$A$2</f>
        <v>na zapytanie</v>
      </c>
      <c r="C391" s="836" t="s">
        <v>5967</v>
      </c>
      <c r="D391" s="836"/>
      <c r="E391" s="836"/>
      <c r="F391" s="836"/>
      <c r="G391" s="496" t="s">
        <v>7789</v>
      </c>
      <c r="H391" s="797" t="str">
        <f>VLOOKUP(G391,SETTINGS!$B$7:$D$97,2,0)</f>
        <v>EKOplus</v>
      </c>
      <c r="I391" s="796">
        <f>VLOOKUP(G391,SETTINGS!$B$7:$D$97,3,0)</f>
        <v>0</v>
      </c>
      <c r="J391" s="670" t="str">
        <f>IFERROR(IF(CURRENCY.FORMAT_1=0,CONCATENATE(TEXT(FIXED(ROUND((C391/EXC.RATE_1),CURRENCY.FORMAT_1),CURRENCY.FORMAT_1,1),"# ##0;-# ##0"),",-"),FIXED(ROUND((C391/EXC.RATE_1),CURRENCY.FORMAT_1),CURRENCY.FORMAT_1,0)),'DICTIONARY-5'!$A$2)</f>
        <v>na zapytanie</v>
      </c>
      <c r="K391" s="670" t="str">
        <f>IF(EXC.RATE_2=0,"",IFERROR(IF(CURRENCY.FORMAT_2=0,CONCATENATE(TEXT(FIXED(ROUND(IF(EXC.RATE.SWITCH=1,C391/EXC.RATE_2,C391*EXC.RATE_2),CURRENCY.FORMAT_2),CURRENCY.FORMAT_2,1),"# ##0;-# ##0"),",-"),FIXED(ROUND(IF(EXC.RATE.SWITCH=1,C391/EXC.RATE_2,C391*EXC.RATE_2),CURRENCY.FORMAT_2),CURRENCY.FORMAT_2,0)),'DICTIONARY-5'!$A$2))</f>
        <v/>
      </c>
      <c r="L391" s="670" t="str">
        <f>IFERROR(IF(CURRENCY.FORMAT_1=0,CONCATENATE(TEXT(FIXED(ROUND((C391*(1-I391)*(1-ADD.DISCOUNT)*(1+MAT.SURCHARGE)/EXC.RATE_1),CURRENCY.FORMAT_1),CURRENCY.FORMAT_1,1),"# ##0;-# ##0"),",-"),FIXED(ROUND((C391*(1-I391)*(1-ADD.DISCOUNT)*(1+MAT.SURCHARGE)/EXC.RATE_1),CURRENCY.FORMAT_1),CURRENCY.FORMAT_1,0)),'DICTIONARY-5'!$A$2)</f>
        <v>na zapytanie</v>
      </c>
      <c r="M391" s="670" t="str">
        <f>IF(EXC.RATE_2=0,"",IFERROR(IF(CURRENCY.FORMAT_2=0,CONCATENATE(TEXT(FIXED(ROUND(IF(EXC.RATE.SWITCH=1,C391*(1-I391)*(1-ADD.DISCOUNT)*(1+MAT.SURCHARGE)/EXC.RATE_2,C391*(1-I391)*(1-ADD.DISCOUNT)*(1+MAT.SURCHARGE)*EXC.RATE_2),CURRENCY.FORMAT_2),CURRENCY.FORMAT_2,1),"# ##0;-# ##0"),",-"),FIXED(ROUND(IF(EXC.RATE.SWITCH=1,C391*(1-I391)*(1-ADD.DISCOUNT)*(1+MAT.SURCHARGE)/EXC.RATE_2,C391*(1-I391)*(1-ADD.DISCOUNT)*(1+MAT.SURCHARGE)*EXC.RATE_2),CURRENCY.FORMAT_2),CURRENCY.FORMAT_2,0)),'DICTIONARY-5'!$A$2))</f>
        <v/>
      </c>
      <c r="N391" s="544">
        <v>1</v>
      </c>
      <c r="O391" s="544"/>
      <c r="P391" s="731" t="str">
        <f>'DICTIONARY-3'!$A$5</f>
        <v>EKOplus</v>
      </c>
      <c r="Q391" s="732" t="str">
        <f>'DICTIONARY-3'!$A$187</f>
        <v>Zasuwa klinowa</v>
      </c>
      <c r="R391" s="732" t="str">
        <f>CONCATENATE('DICTIONARY-3'!$A$5," ",'DICTIONARY-6'!$A$3," ",'DICTIONARY-2'!$A$2,"80"," ",'DICTIONARY-2'!$A$3,"10/16"," ","R14",", ",'DICTIONARY-6'!$A$38,", ",'DICTIONARY-5'!$A$191,", ",'DICTIONARY-4'!$A$7,"+",'DICTIONARY-6'!$A$50)</f>
        <v>EKOplus Zasuwa DN80 PN10/16 R14, cert. 3.1, RAL3000, KR+czujniki indukcyjne</v>
      </c>
      <c r="S391" s="733" t="str">
        <f>'DICTIONARY-4'!$A$7</f>
        <v>KR</v>
      </c>
      <c r="T391" s="732" t="str">
        <f>'DICTIONARY-4'!$A$23</f>
        <v>Kółko ręczne</v>
      </c>
      <c r="U391" s="734" t="s">
        <v>5760</v>
      </c>
      <c r="V391" s="735">
        <v>16</v>
      </c>
      <c r="W391" s="736"/>
      <c r="X391" s="737"/>
      <c r="Y391" s="738"/>
      <c r="Z391" s="739"/>
      <c r="AA391" s="739"/>
      <c r="AB391" s="740">
        <v>16</v>
      </c>
      <c r="AC391" s="741" t="str">
        <f>'DICTIONARY-5'!$A$11&amp;" 14"</f>
        <v>EN 558 szereg 14</v>
      </c>
      <c r="AD391" s="733" t="str">
        <f>'DICTIONARY-5'!$A$16</f>
        <v>woda gaśnicza</v>
      </c>
      <c r="AE391" s="742">
        <v>50</v>
      </c>
      <c r="AF391" s="743"/>
      <c r="AG391" s="741" t="str">
        <f>'DICTIONARY-5'!$A$23</f>
        <v>powłoka epoksydowa</v>
      </c>
    </row>
    <row r="392" spans="1:33" x14ac:dyDescent="0.25">
      <c r="A392" s="842" t="s">
        <v>355</v>
      </c>
      <c r="B392" s="842" t="str">
        <f>'DICTIONARY-5'!$A$2</f>
        <v>na zapytanie</v>
      </c>
      <c r="C392" s="836" t="s">
        <v>5967</v>
      </c>
      <c r="D392" s="836"/>
      <c r="E392" s="836"/>
      <c r="F392" s="836"/>
      <c r="G392" s="496" t="s">
        <v>7789</v>
      </c>
      <c r="H392" s="797" t="str">
        <f>VLOOKUP(G392,SETTINGS!$B$7:$D$97,2,0)</f>
        <v>EKOplus</v>
      </c>
      <c r="I392" s="796">
        <f>VLOOKUP(G392,SETTINGS!$B$7:$D$97,3,0)</f>
        <v>0</v>
      </c>
      <c r="J392" s="670" t="str">
        <f>IFERROR(IF(CURRENCY.FORMAT_1=0,CONCATENATE(TEXT(FIXED(ROUND((C392/EXC.RATE_1),CURRENCY.FORMAT_1),CURRENCY.FORMAT_1,1),"# ##0;-# ##0"),",-"),FIXED(ROUND((C392/EXC.RATE_1),CURRENCY.FORMAT_1),CURRENCY.FORMAT_1,0)),'DICTIONARY-5'!$A$2)</f>
        <v>na zapytanie</v>
      </c>
      <c r="K392" s="670" t="str">
        <f>IF(EXC.RATE_2=0,"",IFERROR(IF(CURRENCY.FORMAT_2=0,CONCATENATE(TEXT(FIXED(ROUND(IF(EXC.RATE.SWITCH=1,C392/EXC.RATE_2,C392*EXC.RATE_2),CURRENCY.FORMAT_2),CURRENCY.FORMAT_2,1),"# ##0;-# ##0"),",-"),FIXED(ROUND(IF(EXC.RATE.SWITCH=1,C392/EXC.RATE_2,C392*EXC.RATE_2),CURRENCY.FORMAT_2),CURRENCY.FORMAT_2,0)),'DICTIONARY-5'!$A$2))</f>
        <v/>
      </c>
      <c r="L392" s="670" t="str">
        <f>IFERROR(IF(CURRENCY.FORMAT_1=0,CONCATENATE(TEXT(FIXED(ROUND((C392*(1-I392)*(1-ADD.DISCOUNT)*(1+MAT.SURCHARGE)/EXC.RATE_1),CURRENCY.FORMAT_1),CURRENCY.FORMAT_1,1),"# ##0;-# ##0"),",-"),FIXED(ROUND((C392*(1-I392)*(1-ADD.DISCOUNT)*(1+MAT.SURCHARGE)/EXC.RATE_1),CURRENCY.FORMAT_1),CURRENCY.FORMAT_1,0)),'DICTIONARY-5'!$A$2)</f>
        <v>na zapytanie</v>
      </c>
      <c r="M392" s="670" t="str">
        <f>IF(EXC.RATE_2=0,"",IFERROR(IF(CURRENCY.FORMAT_2=0,CONCATENATE(TEXT(FIXED(ROUND(IF(EXC.RATE.SWITCH=1,C392*(1-I392)*(1-ADD.DISCOUNT)*(1+MAT.SURCHARGE)/EXC.RATE_2,C392*(1-I392)*(1-ADD.DISCOUNT)*(1+MAT.SURCHARGE)*EXC.RATE_2),CURRENCY.FORMAT_2),CURRENCY.FORMAT_2,1),"# ##0;-# ##0"),",-"),FIXED(ROUND(IF(EXC.RATE.SWITCH=1,C392*(1-I392)*(1-ADD.DISCOUNT)*(1+MAT.SURCHARGE)/EXC.RATE_2,C392*(1-I392)*(1-ADD.DISCOUNT)*(1+MAT.SURCHARGE)*EXC.RATE_2),CURRENCY.FORMAT_2),CURRENCY.FORMAT_2,0)),'DICTIONARY-5'!$A$2))</f>
        <v/>
      </c>
      <c r="N392" s="544">
        <v>1</v>
      </c>
      <c r="O392" s="544"/>
      <c r="P392" s="731" t="str">
        <f>'DICTIONARY-3'!$A$5</f>
        <v>EKOplus</v>
      </c>
      <c r="Q392" s="732" t="str">
        <f>'DICTIONARY-3'!$A$187</f>
        <v>Zasuwa klinowa</v>
      </c>
      <c r="R392" s="732" t="str">
        <f>CONCATENATE('DICTIONARY-3'!$A$5," ",'DICTIONARY-6'!$A$3," ",'DICTIONARY-2'!$A$2,"100"," ",'DICTIONARY-2'!$A$3,"10/16"," ","R14",", ",'DICTIONARY-6'!$A$38,", ",'DICTIONARY-5'!$A$191,", ",'DICTIONARY-4'!$A$7,"+",'DICTIONARY-6'!$A$50)</f>
        <v>EKOplus Zasuwa DN100 PN10/16 R14, cert. 3.1, RAL3000, KR+czujniki indukcyjne</v>
      </c>
      <c r="S392" s="733" t="str">
        <f>'DICTIONARY-4'!$A$7</f>
        <v>KR</v>
      </c>
      <c r="T392" s="732" t="str">
        <f>'DICTIONARY-4'!$A$23</f>
        <v>Kółko ręczne</v>
      </c>
      <c r="U392" s="734" t="s">
        <v>5749</v>
      </c>
      <c r="V392" s="735">
        <v>16</v>
      </c>
      <c r="W392" s="736"/>
      <c r="X392" s="737"/>
      <c r="Y392" s="738"/>
      <c r="Z392" s="739"/>
      <c r="AA392" s="739"/>
      <c r="AB392" s="740">
        <v>16</v>
      </c>
      <c r="AC392" s="741" t="str">
        <f>'DICTIONARY-5'!$A$11&amp;" 14"</f>
        <v>EN 558 szereg 14</v>
      </c>
      <c r="AD392" s="733" t="str">
        <f>'DICTIONARY-5'!$A$16</f>
        <v>woda gaśnicza</v>
      </c>
      <c r="AE392" s="742">
        <v>50</v>
      </c>
      <c r="AF392" s="743"/>
      <c r="AG392" s="741" t="str">
        <f>'DICTIONARY-5'!$A$23</f>
        <v>powłoka epoksydowa</v>
      </c>
    </row>
    <row r="393" spans="1:33" x14ac:dyDescent="0.25">
      <c r="A393" s="842" t="s">
        <v>358</v>
      </c>
      <c r="B393" s="842" t="str">
        <f>'DICTIONARY-5'!$A$2</f>
        <v>na zapytanie</v>
      </c>
      <c r="C393" s="836" t="s">
        <v>5967</v>
      </c>
      <c r="D393" s="836"/>
      <c r="E393" s="836"/>
      <c r="F393" s="836"/>
      <c r="G393" s="496" t="s">
        <v>7789</v>
      </c>
      <c r="H393" s="797" t="str">
        <f>VLOOKUP(G393,SETTINGS!$B$7:$D$97,2,0)</f>
        <v>EKOplus</v>
      </c>
      <c r="I393" s="796">
        <f>VLOOKUP(G393,SETTINGS!$B$7:$D$97,3,0)</f>
        <v>0</v>
      </c>
      <c r="J393" s="670" t="str">
        <f>IFERROR(IF(CURRENCY.FORMAT_1=0,CONCATENATE(TEXT(FIXED(ROUND((C393/EXC.RATE_1),CURRENCY.FORMAT_1),CURRENCY.FORMAT_1,1),"# ##0;-# ##0"),",-"),FIXED(ROUND((C393/EXC.RATE_1),CURRENCY.FORMAT_1),CURRENCY.FORMAT_1,0)),'DICTIONARY-5'!$A$2)</f>
        <v>na zapytanie</v>
      </c>
      <c r="K393" s="670" t="str">
        <f>IF(EXC.RATE_2=0,"",IFERROR(IF(CURRENCY.FORMAT_2=0,CONCATENATE(TEXT(FIXED(ROUND(IF(EXC.RATE.SWITCH=1,C393/EXC.RATE_2,C393*EXC.RATE_2),CURRENCY.FORMAT_2),CURRENCY.FORMAT_2,1),"# ##0;-# ##0"),",-"),FIXED(ROUND(IF(EXC.RATE.SWITCH=1,C393/EXC.RATE_2,C393*EXC.RATE_2),CURRENCY.FORMAT_2),CURRENCY.FORMAT_2,0)),'DICTIONARY-5'!$A$2))</f>
        <v/>
      </c>
      <c r="L393" s="670" t="str">
        <f>IFERROR(IF(CURRENCY.FORMAT_1=0,CONCATENATE(TEXT(FIXED(ROUND((C393*(1-I393)*(1-ADD.DISCOUNT)*(1+MAT.SURCHARGE)/EXC.RATE_1),CURRENCY.FORMAT_1),CURRENCY.FORMAT_1,1),"# ##0;-# ##0"),",-"),FIXED(ROUND((C393*(1-I393)*(1-ADD.DISCOUNT)*(1+MAT.SURCHARGE)/EXC.RATE_1),CURRENCY.FORMAT_1),CURRENCY.FORMAT_1,0)),'DICTIONARY-5'!$A$2)</f>
        <v>na zapytanie</v>
      </c>
      <c r="M393" s="670" t="str">
        <f>IF(EXC.RATE_2=0,"",IFERROR(IF(CURRENCY.FORMAT_2=0,CONCATENATE(TEXT(FIXED(ROUND(IF(EXC.RATE.SWITCH=1,C393*(1-I393)*(1-ADD.DISCOUNT)*(1+MAT.SURCHARGE)/EXC.RATE_2,C393*(1-I393)*(1-ADD.DISCOUNT)*(1+MAT.SURCHARGE)*EXC.RATE_2),CURRENCY.FORMAT_2),CURRENCY.FORMAT_2,1),"# ##0;-# ##0"),",-"),FIXED(ROUND(IF(EXC.RATE.SWITCH=1,C393*(1-I393)*(1-ADD.DISCOUNT)*(1+MAT.SURCHARGE)/EXC.RATE_2,C393*(1-I393)*(1-ADD.DISCOUNT)*(1+MAT.SURCHARGE)*EXC.RATE_2),CURRENCY.FORMAT_2),CURRENCY.FORMAT_2,0)),'DICTIONARY-5'!$A$2))</f>
        <v/>
      </c>
      <c r="N393" s="544">
        <v>1</v>
      </c>
      <c r="O393" s="544"/>
      <c r="P393" s="731" t="str">
        <f>'DICTIONARY-3'!$A$5</f>
        <v>EKOplus</v>
      </c>
      <c r="Q393" s="732" t="str">
        <f>'DICTIONARY-3'!$A$187</f>
        <v>Zasuwa klinowa</v>
      </c>
      <c r="R393" s="732" t="str">
        <f>CONCATENATE('DICTIONARY-3'!$A$5," ",'DICTIONARY-6'!$A$3," ",'DICTIONARY-2'!$A$2,"125"," ",'DICTIONARY-2'!$A$3,"10/16"," ","R14",", ",'DICTIONARY-6'!$A$38,", ",'DICTIONARY-5'!$A$191,", ",'DICTIONARY-4'!$A$7,"+",'DICTIONARY-6'!$A$50)</f>
        <v>EKOplus Zasuwa DN125 PN10/16 R14, cert. 3.1, RAL3000, KR+czujniki indukcyjne</v>
      </c>
      <c r="S393" s="733" t="str">
        <f>'DICTIONARY-4'!$A$7</f>
        <v>KR</v>
      </c>
      <c r="T393" s="732" t="str">
        <f>'DICTIONARY-4'!$A$23</f>
        <v>Kółko ręczne</v>
      </c>
      <c r="U393" s="734" t="s">
        <v>5761</v>
      </c>
      <c r="V393" s="735">
        <v>16</v>
      </c>
      <c r="W393" s="736"/>
      <c r="X393" s="737"/>
      <c r="Y393" s="738"/>
      <c r="Z393" s="739"/>
      <c r="AA393" s="739"/>
      <c r="AB393" s="740">
        <v>16</v>
      </c>
      <c r="AC393" s="741" t="str">
        <f>'DICTIONARY-5'!$A$11&amp;" 14"</f>
        <v>EN 558 szereg 14</v>
      </c>
      <c r="AD393" s="733" t="str">
        <f>'DICTIONARY-5'!$A$16</f>
        <v>woda gaśnicza</v>
      </c>
      <c r="AE393" s="742">
        <v>50</v>
      </c>
      <c r="AF393" s="743"/>
      <c r="AG393" s="741" t="str">
        <f>'DICTIONARY-5'!$A$23</f>
        <v>powłoka epoksydowa</v>
      </c>
    </row>
    <row r="394" spans="1:33" x14ac:dyDescent="0.25">
      <c r="A394" s="842" t="s">
        <v>361</v>
      </c>
      <c r="B394" s="842" t="str">
        <f>'DICTIONARY-5'!$A$2</f>
        <v>na zapytanie</v>
      </c>
      <c r="C394" s="836" t="s">
        <v>5967</v>
      </c>
      <c r="D394" s="836"/>
      <c r="E394" s="836"/>
      <c r="F394" s="836"/>
      <c r="G394" s="496" t="s">
        <v>7789</v>
      </c>
      <c r="H394" s="797" t="str">
        <f>VLOOKUP(G394,SETTINGS!$B$7:$D$97,2,0)</f>
        <v>EKOplus</v>
      </c>
      <c r="I394" s="796">
        <f>VLOOKUP(G394,SETTINGS!$B$7:$D$97,3,0)</f>
        <v>0</v>
      </c>
      <c r="J394" s="670" t="str">
        <f>IFERROR(IF(CURRENCY.FORMAT_1=0,CONCATENATE(TEXT(FIXED(ROUND((C394/EXC.RATE_1),CURRENCY.FORMAT_1),CURRENCY.FORMAT_1,1),"# ##0;-# ##0"),",-"),FIXED(ROUND((C394/EXC.RATE_1),CURRENCY.FORMAT_1),CURRENCY.FORMAT_1,0)),'DICTIONARY-5'!$A$2)</f>
        <v>na zapytanie</v>
      </c>
      <c r="K394" s="670" t="str">
        <f>IF(EXC.RATE_2=0,"",IFERROR(IF(CURRENCY.FORMAT_2=0,CONCATENATE(TEXT(FIXED(ROUND(IF(EXC.RATE.SWITCH=1,C394/EXC.RATE_2,C394*EXC.RATE_2),CURRENCY.FORMAT_2),CURRENCY.FORMAT_2,1),"# ##0;-# ##0"),",-"),FIXED(ROUND(IF(EXC.RATE.SWITCH=1,C394/EXC.RATE_2,C394*EXC.RATE_2),CURRENCY.FORMAT_2),CURRENCY.FORMAT_2,0)),'DICTIONARY-5'!$A$2))</f>
        <v/>
      </c>
      <c r="L394" s="670" t="str">
        <f>IFERROR(IF(CURRENCY.FORMAT_1=0,CONCATENATE(TEXT(FIXED(ROUND((C394*(1-I394)*(1-ADD.DISCOUNT)*(1+MAT.SURCHARGE)/EXC.RATE_1),CURRENCY.FORMAT_1),CURRENCY.FORMAT_1,1),"# ##0;-# ##0"),",-"),FIXED(ROUND((C394*(1-I394)*(1-ADD.DISCOUNT)*(1+MAT.SURCHARGE)/EXC.RATE_1),CURRENCY.FORMAT_1),CURRENCY.FORMAT_1,0)),'DICTIONARY-5'!$A$2)</f>
        <v>na zapytanie</v>
      </c>
      <c r="M394" s="670" t="str">
        <f>IF(EXC.RATE_2=0,"",IFERROR(IF(CURRENCY.FORMAT_2=0,CONCATENATE(TEXT(FIXED(ROUND(IF(EXC.RATE.SWITCH=1,C394*(1-I394)*(1-ADD.DISCOUNT)*(1+MAT.SURCHARGE)/EXC.RATE_2,C394*(1-I394)*(1-ADD.DISCOUNT)*(1+MAT.SURCHARGE)*EXC.RATE_2),CURRENCY.FORMAT_2),CURRENCY.FORMAT_2,1),"# ##0;-# ##0"),",-"),FIXED(ROUND(IF(EXC.RATE.SWITCH=1,C394*(1-I394)*(1-ADD.DISCOUNT)*(1+MAT.SURCHARGE)/EXC.RATE_2,C394*(1-I394)*(1-ADD.DISCOUNT)*(1+MAT.SURCHARGE)*EXC.RATE_2),CURRENCY.FORMAT_2),CURRENCY.FORMAT_2,0)),'DICTIONARY-5'!$A$2))</f>
        <v/>
      </c>
      <c r="N394" s="544">
        <v>1</v>
      </c>
      <c r="O394" s="544"/>
      <c r="P394" s="731" t="str">
        <f>'DICTIONARY-3'!$A$5</f>
        <v>EKOplus</v>
      </c>
      <c r="Q394" s="732" t="str">
        <f>'DICTIONARY-3'!$A$187</f>
        <v>Zasuwa klinowa</v>
      </c>
      <c r="R394" s="732" t="str">
        <f>CONCATENATE('DICTIONARY-3'!$A$5," ",'DICTIONARY-6'!$A$3," ",'DICTIONARY-2'!$A$2,"150"," ",'DICTIONARY-2'!$A$3,"10/16"," ","R14",", ",'DICTIONARY-6'!$A$38,", ",'DICTIONARY-5'!$A$191,", ",'DICTIONARY-4'!$A$7,"+",'DICTIONARY-6'!$A$50)</f>
        <v>EKOplus Zasuwa DN150 PN10/16 R14, cert. 3.1, RAL3000, KR+czujniki indukcyjne</v>
      </c>
      <c r="S394" s="733" t="str">
        <f>'DICTIONARY-4'!$A$7</f>
        <v>KR</v>
      </c>
      <c r="T394" s="732" t="str">
        <f>'DICTIONARY-4'!$A$23</f>
        <v>Kółko ręczne</v>
      </c>
      <c r="U394" s="734" t="s">
        <v>5572</v>
      </c>
      <c r="V394" s="735">
        <v>16</v>
      </c>
      <c r="W394" s="736"/>
      <c r="X394" s="737"/>
      <c r="Y394" s="738"/>
      <c r="Z394" s="739"/>
      <c r="AA394" s="739"/>
      <c r="AB394" s="740">
        <v>16</v>
      </c>
      <c r="AC394" s="741" t="str">
        <f>'DICTIONARY-5'!$A$11&amp;" 14"</f>
        <v>EN 558 szereg 14</v>
      </c>
      <c r="AD394" s="733" t="str">
        <f>'DICTIONARY-5'!$A$16</f>
        <v>woda gaśnicza</v>
      </c>
      <c r="AE394" s="742">
        <v>50</v>
      </c>
      <c r="AF394" s="743"/>
      <c r="AG394" s="741" t="str">
        <f>'DICTIONARY-5'!$A$23</f>
        <v>powłoka epoksydowa</v>
      </c>
    </row>
    <row r="395" spans="1:33" x14ac:dyDescent="0.25">
      <c r="A395" s="842" t="s">
        <v>364</v>
      </c>
      <c r="B395" s="842" t="str">
        <f>'DICTIONARY-5'!$A$2</f>
        <v>na zapytanie</v>
      </c>
      <c r="C395" s="836" t="s">
        <v>5967</v>
      </c>
      <c r="D395" s="836"/>
      <c r="E395" s="836"/>
      <c r="F395" s="836"/>
      <c r="G395" s="496" t="s">
        <v>7789</v>
      </c>
      <c r="H395" s="797" t="str">
        <f>VLOOKUP(G395,SETTINGS!$B$7:$D$97,2,0)</f>
        <v>EKOplus</v>
      </c>
      <c r="I395" s="796">
        <f>VLOOKUP(G395,SETTINGS!$B$7:$D$97,3,0)</f>
        <v>0</v>
      </c>
      <c r="J395" s="670" t="str">
        <f>IFERROR(IF(CURRENCY.FORMAT_1=0,CONCATENATE(TEXT(FIXED(ROUND((C395/EXC.RATE_1),CURRENCY.FORMAT_1),CURRENCY.FORMAT_1,1),"# ##0;-# ##0"),",-"),FIXED(ROUND((C395/EXC.RATE_1),CURRENCY.FORMAT_1),CURRENCY.FORMAT_1,0)),'DICTIONARY-5'!$A$2)</f>
        <v>na zapytanie</v>
      </c>
      <c r="K395" s="670" t="str">
        <f>IF(EXC.RATE_2=0,"",IFERROR(IF(CURRENCY.FORMAT_2=0,CONCATENATE(TEXT(FIXED(ROUND(IF(EXC.RATE.SWITCH=1,C395/EXC.RATE_2,C395*EXC.RATE_2),CURRENCY.FORMAT_2),CURRENCY.FORMAT_2,1),"# ##0;-# ##0"),",-"),FIXED(ROUND(IF(EXC.RATE.SWITCH=1,C395/EXC.RATE_2,C395*EXC.RATE_2),CURRENCY.FORMAT_2),CURRENCY.FORMAT_2,0)),'DICTIONARY-5'!$A$2))</f>
        <v/>
      </c>
      <c r="L395" s="670" t="str">
        <f>IFERROR(IF(CURRENCY.FORMAT_1=0,CONCATENATE(TEXT(FIXED(ROUND((C395*(1-I395)*(1-ADD.DISCOUNT)*(1+MAT.SURCHARGE)/EXC.RATE_1),CURRENCY.FORMAT_1),CURRENCY.FORMAT_1,1),"# ##0;-# ##0"),",-"),FIXED(ROUND((C395*(1-I395)*(1-ADD.DISCOUNT)*(1+MAT.SURCHARGE)/EXC.RATE_1),CURRENCY.FORMAT_1),CURRENCY.FORMAT_1,0)),'DICTIONARY-5'!$A$2)</f>
        <v>na zapytanie</v>
      </c>
      <c r="M395" s="670" t="str">
        <f>IF(EXC.RATE_2=0,"",IFERROR(IF(CURRENCY.FORMAT_2=0,CONCATENATE(TEXT(FIXED(ROUND(IF(EXC.RATE.SWITCH=1,C395*(1-I395)*(1-ADD.DISCOUNT)*(1+MAT.SURCHARGE)/EXC.RATE_2,C395*(1-I395)*(1-ADD.DISCOUNT)*(1+MAT.SURCHARGE)*EXC.RATE_2),CURRENCY.FORMAT_2),CURRENCY.FORMAT_2,1),"# ##0;-# ##0"),",-"),FIXED(ROUND(IF(EXC.RATE.SWITCH=1,C395*(1-I395)*(1-ADD.DISCOUNT)*(1+MAT.SURCHARGE)/EXC.RATE_2,C395*(1-I395)*(1-ADD.DISCOUNT)*(1+MAT.SURCHARGE)*EXC.RATE_2),CURRENCY.FORMAT_2),CURRENCY.FORMAT_2,0)),'DICTIONARY-5'!$A$2))</f>
        <v/>
      </c>
      <c r="N395" s="544">
        <v>1</v>
      </c>
      <c r="O395" s="544"/>
      <c r="P395" s="731" t="str">
        <f>'DICTIONARY-3'!$A$5</f>
        <v>EKOplus</v>
      </c>
      <c r="Q395" s="732" t="str">
        <f>'DICTIONARY-3'!$A$187</f>
        <v>Zasuwa klinowa</v>
      </c>
      <c r="R395" s="732" t="str">
        <f>CONCATENATE('DICTIONARY-3'!$A$5," ",'DICTIONARY-6'!$A$3," ",'DICTIONARY-2'!$A$2,"200"," ",'DICTIONARY-2'!$A$3,"10"," ","R14",", ",'DICTIONARY-6'!$A$38,", ",'DICTIONARY-5'!$A$191,", ",'DICTIONARY-4'!$A$7,"+",'DICTIONARY-6'!$A$50)</f>
        <v>EKOplus Zasuwa DN200 PN10 R14, cert. 3.1, RAL3000, KR+czujniki indukcyjne</v>
      </c>
      <c r="S395" s="733" t="str">
        <f>'DICTIONARY-4'!$A$7</f>
        <v>KR</v>
      </c>
      <c r="T395" s="732" t="str">
        <f>'DICTIONARY-4'!$A$23</f>
        <v>Kółko ręczne</v>
      </c>
      <c r="U395" s="734" t="s">
        <v>5750</v>
      </c>
      <c r="V395" s="735">
        <v>10</v>
      </c>
      <c r="W395" s="736"/>
      <c r="X395" s="737"/>
      <c r="Y395" s="738"/>
      <c r="Z395" s="739"/>
      <c r="AA395" s="739"/>
      <c r="AB395" s="740">
        <v>10</v>
      </c>
      <c r="AC395" s="741" t="str">
        <f>'DICTIONARY-5'!$A$11&amp;" 14"</f>
        <v>EN 558 szereg 14</v>
      </c>
      <c r="AD395" s="733" t="str">
        <f>'DICTIONARY-5'!$A$16</f>
        <v>woda gaśnicza</v>
      </c>
      <c r="AE395" s="742">
        <v>50</v>
      </c>
      <c r="AF395" s="743"/>
      <c r="AG395" s="741" t="str">
        <f>'DICTIONARY-5'!$A$23</f>
        <v>powłoka epoksydowa</v>
      </c>
    </row>
    <row r="396" spans="1:33" x14ac:dyDescent="0.25">
      <c r="A396" s="842" t="s">
        <v>367</v>
      </c>
      <c r="B396" s="842" t="str">
        <f>'DICTIONARY-5'!$A$2</f>
        <v>na zapytanie</v>
      </c>
      <c r="C396" s="836" t="s">
        <v>5967</v>
      </c>
      <c r="D396" s="836"/>
      <c r="E396" s="836"/>
      <c r="F396" s="836"/>
      <c r="G396" s="496" t="s">
        <v>7789</v>
      </c>
      <c r="H396" s="797" t="str">
        <f>VLOOKUP(G396,SETTINGS!$B$7:$D$97,2,0)</f>
        <v>EKOplus</v>
      </c>
      <c r="I396" s="796">
        <f>VLOOKUP(G396,SETTINGS!$B$7:$D$97,3,0)</f>
        <v>0</v>
      </c>
      <c r="J396" s="670" t="str">
        <f>IFERROR(IF(CURRENCY.FORMAT_1=0,CONCATENATE(TEXT(FIXED(ROUND((C396/EXC.RATE_1),CURRENCY.FORMAT_1),CURRENCY.FORMAT_1,1),"# ##0;-# ##0"),",-"),FIXED(ROUND((C396/EXC.RATE_1),CURRENCY.FORMAT_1),CURRENCY.FORMAT_1,0)),'DICTIONARY-5'!$A$2)</f>
        <v>na zapytanie</v>
      </c>
      <c r="K396" s="670" t="str">
        <f>IF(EXC.RATE_2=0,"",IFERROR(IF(CURRENCY.FORMAT_2=0,CONCATENATE(TEXT(FIXED(ROUND(IF(EXC.RATE.SWITCH=1,C396/EXC.RATE_2,C396*EXC.RATE_2),CURRENCY.FORMAT_2),CURRENCY.FORMAT_2,1),"# ##0;-# ##0"),",-"),FIXED(ROUND(IF(EXC.RATE.SWITCH=1,C396/EXC.RATE_2,C396*EXC.RATE_2),CURRENCY.FORMAT_2),CURRENCY.FORMAT_2,0)),'DICTIONARY-5'!$A$2))</f>
        <v/>
      </c>
      <c r="L396" s="670" t="str">
        <f>IFERROR(IF(CURRENCY.FORMAT_1=0,CONCATENATE(TEXT(FIXED(ROUND((C396*(1-I396)*(1-ADD.DISCOUNT)*(1+MAT.SURCHARGE)/EXC.RATE_1),CURRENCY.FORMAT_1),CURRENCY.FORMAT_1,1),"# ##0;-# ##0"),",-"),FIXED(ROUND((C396*(1-I396)*(1-ADD.DISCOUNT)*(1+MAT.SURCHARGE)/EXC.RATE_1),CURRENCY.FORMAT_1),CURRENCY.FORMAT_1,0)),'DICTIONARY-5'!$A$2)</f>
        <v>na zapytanie</v>
      </c>
      <c r="M396" s="670" t="str">
        <f>IF(EXC.RATE_2=0,"",IFERROR(IF(CURRENCY.FORMAT_2=0,CONCATENATE(TEXT(FIXED(ROUND(IF(EXC.RATE.SWITCH=1,C396*(1-I396)*(1-ADD.DISCOUNT)*(1+MAT.SURCHARGE)/EXC.RATE_2,C396*(1-I396)*(1-ADD.DISCOUNT)*(1+MAT.SURCHARGE)*EXC.RATE_2),CURRENCY.FORMAT_2),CURRENCY.FORMAT_2,1),"# ##0;-# ##0"),",-"),FIXED(ROUND(IF(EXC.RATE.SWITCH=1,C396*(1-I396)*(1-ADD.DISCOUNT)*(1+MAT.SURCHARGE)/EXC.RATE_2,C396*(1-I396)*(1-ADD.DISCOUNT)*(1+MAT.SURCHARGE)*EXC.RATE_2),CURRENCY.FORMAT_2),CURRENCY.FORMAT_2,0)),'DICTIONARY-5'!$A$2))</f>
        <v/>
      </c>
      <c r="N396" s="544">
        <v>1</v>
      </c>
      <c r="O396" s="544"/>
      <c r="P396" s="731" t="str">
        <f>'DICTIONARY-3'!$A$5</f>
        <v>EKOplus</v>
      </c>
      <c r="Q396" s="732" t="str">
        <f>'DICTIONARY-3'!$A$187</f>
        <v>Zasuwa klinowa</v>
      </c>
      <c r="R396" s="732" t="str">
        <f>CONCATENATE('DICTIONARY-3'!$A$5," ",'DICTIONARY-6'!$A$3," ",'DICTIONARY-2'!$A$2,"200"," ",'DICTIONARY-2'!$A$3,"16"," ","R14",", ",'DICTIONARY-6'!$A$38,", ",'DICTIONARY-5'!$A$191,", ",'DICTIONARY-4'!$A$7,"+",'DICTIONARY-6'!$A$50)</f>
        <v>EKOplus Zasuwa DN200 PN16 R14, cert. 3.1, RAL3000, KR+czujniki indukcyjne</v>
      </c>
      <c r="S396" s="733" t="str">
        <f>'DICTIONARY-4'!$A$7</f>
        <v>KR</v>
      </c>
      <c r="T396" s="732" t="str">
        <f>'DICTIONARY-4'!$A$23</f>
        <v>Kółko ręczne</v>
      </c>
      <c r="U396" s="734" t="s">
        <v>5750</v>
      </c>
      <c r="V396" s="735">
        <v>16</v>
      </c>
      <c r="W396" s="736"/>
      <c r="X396" s="737"/>
      <c r="Y396" s="738"/>
      <c r="Z396" s="739"/>
      <c r="AA396" s="739"/>
      <c r="AB396" s="740">
        <v>16</v>
      </c>
      <c r="AC396" s="741" t="str">
        <f>'DICTIONARY-5'!$A$11&amp;" 14"</f>
        <v>EN 558 szereg 14</v>
      </c>
      <c r="AD396" s="733" t="str">
        <f>'DICTIONARY-5'!$A$16</f>
        <v>woda gaśnicza</v>
      </c>
      <c r="AE396" s="742">
        <v>50</v>
      </c>
      <c r="AF396" s="743"/>
      <c r="AG396" s="741" t="str">
        <f>'DICTIONARY-5'!$A$23</f>
        <v>powłoka epoksydowa</v>
      </c>
    </row>
    <row r="397" spans="1:33" x14ac:dyDescent="0.25">
      <c r="A397" s="842" t="s">
        <v>370</v>
      </c>
      <c r="B397" s="842" t="str">
        <f>'DICTIONARY-5'!$A$2</f>
        <v>na zapytanie</v>
      </c>
      <c r="C397" s="836" t="s">
        <v>5967</v>
      </c>
      <c r="D397" s="836"/>
      <c r="E397" s="836"/>
      <c r="F397" s="836"/>
      <c r="G397" s="496" t="s">
        <v>7789</v>
      </c>
      <c r="H397" s="797" t="str">
        <f>VLOOKUP(G397,SETTINGS!$B$7:$D$97,2,0)</f>
        <v>EKOplus</v>
      </c>
      <c r="I397" s="796">
        <f>VLOOKUP(G397,SETTINGS!$B$7:$D$97,3,0)</f>
        <v>0</v>
      </c>
      <c r="J397" s="670" t="str">
        <f>IFERROR(IF(CURRENCY.FORMAT_1=0,CONCATENATE(TEXT(FIXED(ROUND((C397/EXC.RATE_1),CURRENCY.FORMAT_1),CURRENCY.FORMAT_1,1),"# ##0;-# ##0"),",-"),FIXED(ROUND((C397/EXC.RATE_1),CURRENCY.FORMAT_1),CURRENCY.FORMAT_1,0)),'DICTIONARY-5'!$A$2)</f>
        <v>na zapytanie</v>
      </c>
      <c r="K397" s="670" t="str">
        <f>IF(EXC.RATE_2=0,"",IFERROR(IF(CURRENCY.FORMAT_2=0,CONCATENATE(TEXT(FIXED(ROUND(IF(EXC.RATE.SWITCH=1,C397/EXC.RATE_2,C397*EXC.RATE_2),CURRENCY.FORMAT_2),CURRENCY.FORMAT_2,1),"# ##0;-# ##0"),",-"),FIXED(ROUND(IF(EXC.RATE.SWITCH=1,C397/EXC.RATE_2,C397*EXC.RATE_2),CURRENCY.FORMAT_2),CURRENCY.FORMAT_2,0)),'DICTIONARY-5'!$A$2))</f>
        <v/>
      </c>
      <c r="L397" s="670" t="str">
        <f>IFERROR(IF(CURRENCY.FORMAT_1=0,CONCATENATE(TEXT(FIXED(ROUND((C397*(1-I397)*(1-ADD.DISCOUNT)*(1+MAT.SURCHARGE)/EXC.RATE_1),CURRENCY.FORMAT_1),CURRENCY.FORMAT_1,1),"# ##0;-# ##0"),",-"),FIXED(ROUND((C397*(1-I397)*(1-ADD.DISCOUNT)*(1+MAT.SURCHARGE)/EXC.RATE_1),CURRENCY.FORMAT_1),CURRENCY.FORMAT_1,0)),'DICTIONARY-5'!$A$2)</f>
        <v>na zapytanie</v>
      </c>
      <c r="M397" s="670" t="str">
        <f>IF(EXC.RATE_2=0,"",IFERROR(IF(CURRENCY.FORMAT_2=0,CONCATENATE(TEXT(FIXED(ROUND(IF(EXC.RATE.SWITCH=1,C397*(1-I397)*(1-ADD.DISCOUNT)*(1+MAT.SURCHARGE)/EXC.RATE_2,C397*(1-I397)*(1-ADD.DISCOUNT)*(1+MAT.SURCHARGE)*EXC.RATE_2),CURRENCY.FORMAT_2),CURRENCY.FORMAT_2,1),"# ##0;-# ##0"),",-"),FIXED(ROUND(IF(EXC.RATE.SWITCH=1,C397*(1-I397)*(1-ADD.DISCOUNT)*(1+MAT.SURCHARGE)/EXC.RATE_2,C397*(1-I397)*(1-ADD.DISCOUNT)*(1+MAT.SURCHARGE)*EXC.RATE_2),CURRENCY.FORMAT_2),CURRENCY.FORMAT_2,0)),'DICTIONARY-5'!$A$2))</f>
        <v/>
      </c>
      <c r="N397" s="544">
        <v>1</v>
      </c>
      <c r="O397" s="544"/>
      <c r="P397" s="731" t="str">
        <f>'DICTIONARY-3'!$A$5</f>
        <v>EKOplus</v>
      </c>
      <c r="Q397" s="732" t="str">
        <f>'DICTIONARY-3'!$A$187</f>
        <v>Zasuwa klinowa</v>
      </c>
      <c r="R397" s="732" t="str">
        <f>CONCATENATE('DICTIONARY-3'!$A$5," ",'DICTIONARY-6'!$A$3," ",'DICTIONARY-2'!$A$2,"250"," ",'DICTIONARY-2'!$A$3,"10"," ","R14",", ",'DICTIONARY-6'!$A$38,", ",'DICTIONARY-5'!$A$191,", ",'DICTIONARY-4'!$A$7,"+",'DICTIONARY-6'!$A$50)</f>
        <v>EKOplus Zasuwa DN250 PN10 R14, cert. 3.1, RAL3000, KR+czujniki indukcyjne</v>
      </c>
      <c r="S397" s="733" t="str">
        <f>'DICTIONARY-4'!$A$7</f>
        <v>KR</v>
      </c>
      <c r="T397" s="732" t="str">
        <f>'DICTIONARY-4'!$A$23</f>
        <v>Kółko ręczne</v>
      </c>
      <c r="U397" s="734" t="s">
        <v>5751</v>
      </c>
      <c r="V397" s="735">
        <v>10</v>
      </c>
      <c r="W397" s="736"/>
      <c r="X397" s="737"/>
      <c r="Y397" s="738"/>
      <c r="Z397" s="739"/>
      <c r="AA397" s="739"/>
      <c r="AB397" s="740">
        <v>10</v>
      </c>
      <c r="AC397" s="741" t="str">
        <f>'DICTIONARY-5'!$A$11&amp;" 14"</f>
        <v>EN 558 szereg 14</v>
      </c>
      <c r="AD397" s="733" t="str">
        <f>'DICTIONARY-5'!$A$16</f>
        <v>woda gaśnicza</v>
      </c>
      <c r="AE397" s="742">
        <v>50</v>
      </c>
      <c r="AF397" s="743"/>
      <c r="AG397" s="741" t="str">
        <f>'DICTIONARY-5'!$A$23</f>
        <v>powłoka epoksydowa</v>
      </c>
    </row>
    <row r="398" spans="1:33" x14ac:dyDescent="0.25">
      <c r="A398" s="842" t="s">
        <v>373</v>
      </c>
      <c r="B398" s="842" t="str">
        <f>'DICTIONARY-5'!$A$2</f>
        <v>na zapytanie</v>
      </c>
      <c r="C398" s="836" t="s">
        <v>5967</v>
      </c>
      <c r="D398" s="836"/>
      <c r="E398" s="836"/>
      <c r="F398" s="836"/>
      <c r="G398" s="496" t="s">
        <v>7789</v>
      </c>
      <c r="H398" s="797" t="str">
        <f>VLOOKUP(G398,SETTINGS!$B$7:$D$97,2,0)</f>
        <v>EKOplus</v>
      </c>
      <c r="I398" s="796">
        <f>VLOOKUP(G398,SETTINGS!$B$7:$D$97,3,0)</f>
        <v>0</v>
      </c>
      <c r="J398" s="670" t="str">
        <f>IFERROR(IF(CURRENCY.FORMAT_1=0,CONCATENATE(TEXT(FIXED(ROUND((C398/EXC.RATE_1),CURRENCY.FORMAT_1),CURRENCY.FORMAT_1,1),"# ##0;-# ##0"),",-"),FIXED(ROUND((C398/EXC.RATE_1),CURRENCY.FORMAT_1),CURRENCY.FORMAT_1,0)),'DICTIONARY-5'!$A$2)</f>
        <v>na zapytanie</v>
      </c>
      <c r="K398" s="670" t="str">
        <f>IF(EXC.RATE_2=0,"",IFERROR(IF(CURRENCY.FORMAT_2=0,CONCATENATE(TEXT(FIXED(ROUND(IF(EXC.RATE.SWITCH=1,C398/EXC.RATE_2,C398*EXC.RATE_2),CURRENCY.FORMAT_2),CURRENCY.FORMAT_2,1),"# ##0;-# ##0"),",-"),FIXED(ROUND(IF(EXC.RATE.SWITCH=1,C398/EXC.RATE_2,C398*EXC.RATE_2),CURRENCY.FORMAT_2),CURRENCY.FORMAT_2,0)),'DICTIONARY-5'!$A$2))</f>
        <v/>
      </c>
      <c r="L398" s="670" t="str">
        <f>IFERROR(IF(CURRENCY.FORMAT_1=0,CONCATENATE(TEXT(FIXED(ROUND((C398*(1-I398)*(1-ADD.DISCOUNT)*(1+MAT.SURCHARGE)/EXC.RATE_1),CURRENCY.FORMAT_1),CURRENCY.FORMAT_1,1),"# ##0;-# ##0"),",-"),FIXED(ROUND((C398*(1-I398)*(1-ADD.DISCOUNT)*(1+MAT.SURCHARGE)/EXC.RATE_1),CURRENCY.FORMAT_1),CURRENCY.FORMAT_1,0)),'DICTIONARY-5'!$A$2)</f>
        <v>na zapytanie</v>
      </c>
      <c r="M398" s="670" t="str">
        <f>IF(EXC.RATE_2=0,"",IFERROR(IF(CURRENCY.FORMAT_2=0,CONCATENATE(TEXT(FIXED(ROUND(IF(EXC.RATE.SWITCH=1,C398*(1-I398)*(1-ADD.DISCOUNT)*(1+MAT.SURCHARGE)/EXC.RATE_2,C398*(1-I398)*(1-ADD.DISCOUNT)*(1+MAT.SURCHARGE)*EXC.RATE_2),CURRENCY.FORMAT_2),CURRENCY.FORMAT_2,1),"# ##0;-# ##0"),",-"),FIXED(ROUND(IF(EXC.RATE.SWITCH=1,C398*(1-I398)*(1-ADD.DISCOUNT)*(1+MAT.SURCHARGE)/EXC.RATE_2,C398*(1-I398)*(1-ADD.DISCOUNT)*(1+MAT.SURCHARGE)*EXC.RATE_2),CURRENCY.FORMAT_2),CURRENCY.FORMAT_2,0)),'DICTIONARY-5'!$A$2))</f>
        <v/>
      </c>
      <c r="N398" s="544">
        <v>1</v>
      </c>
      <c r="O398" s="544"/>
      <c r="P398" s="731" t="str">
        <f>'DICTIONARY-3'!$A$5</f>
        <v>EKOplus</v>
      </c>
      <c r="Q398" s="732" t="str">
        <f>'DICTIONARY-3'!$A$187</f>
        <v>Zasuwa klinowa</v>
      </c>
      <c r="R398" s="732" t="str">
        <f>CONCATENATE('DICTIONARY-3'!$A$5," ",'DICTIONARY-6'!$A$3," ",'DICTIONARY-2'!$A$2,"250"," ",'DICTIONARY-2'!$A$3,"16"," ","R14",", ",'DICTIONARY-6'!$A$38,", ",'DICTIONARY-5'!$A$191,", ",'DICTIONARY-4'!$A$7,"+",'DICTIONARY-6'!$A$50)</f>
        <v>EKOplus Zasuwa DN250 PN16 R14, cert. 3.1, RAL3000, KR+czujniki indukcyjne</v>
      </c>
      <c r="S398" s="733" t="str">
        <f>'DICTIONARY-4'!$A$7</f>
        <v>KR</v>
      </c>
      <c r="T398" s="732" t="str">
        <f>'DICTIONARY-4'!$A$23</f>
        <v>Kółko ręczne</v>
      </c>
      <c r="U398" s="734" t="s">
        <v>5751</v>
      </c>
      <c r="V398" s="735">
        <v>16</v>
      </c>
      <c r="W398" s="736"/>
      <c r="X398" s="737"/>
      <c r="Y398" s="738"/>
      <c r="Z398" s="739"/>
      <c r="AA398" s="739"/>
      <c r="AB398" s="740">
        <v>16</v>
      </c>
      <c r="AC398" s="741" t="str">
        <f>'DICTIONARY-5'!$A$11&amp;" 14"</f>
        <v>EN 558 szereg 14</v>
      </c>
      <c r="AD398" s="733" t="str">
        <f>'DICTIONARY-5'!$A$16</f>
        <v>woda gaśnicza</v>
      </c>
      <c r="AE398" s="742">
        <v>50</v>
      </c>
      <c r="AF398" s="743"/>
      <c r="AG398" s="741" t="str">
        <f>'DICTIONARY-5'!$A$23</f>
        <v>powłoka epoksydowa</v>
      </c>
    </row>
    <row r="399" spans="1:33" x14ac:dyDescent="0.25">
      <c r="A399" s="842" t="s">
        <v>376</v>
      </c>
      <c r="B399" s="842" t="str">
        <f>'DICTIONARY-5'!$A$2</f>
        <v>na zapytanie</v>
      </c>
      <c r="C399" s="836" t="s">
        <v>5967</v>
      </c>
      <c r="D399" s="836"/>
      <c r="E399" s="836"/>
      <c r="F399" s="836"/>
      <c r="G399" s="496" t="s">
        <v>7789</v>
      </c>
      <c r="H399" s="797" t="str">
        <f>VLOOKUP(G399,SETTINGS!$B$7:$D$97,2,0)</f>
        <v>EKOplus</v>
      </c>
      <c r="I399" s="796">
        <f>VLOOKUP(G399,SETTINGS!$B$7:$D$97,3,0)</f>
        <v>0</v>
      </c>
      <c r="J399" s="670" t="str">
        <f>IFERROR(IF(CURRENCY.FORMAT_1=0,CONCATENATE(TEXT(FIXED(ROUND((C399/EXC.RATE_1),CURRENCY.FORMAT_1),CURRENCY.FORMAT_1,1),"# ##0;-# ##0"),",-"),FIXED(ROUND((C399/EXC.RATE_1),CURRENCY.FORMAT_1),CURRENCY.FORMAT_1,0)),'DICTIONARY-5'!$A$2)</f>
        <v>na zapytanie</v>
      </c>
      <c r="K399" s="670" t="str">
        <f>IF(EXC.RATE_2=0,"",IFERROR(IF(CURRENCY.FORMAT_2=0,CONCATENATE(TEXT(FIXED(ROUND(IF(EXC.RATE.SWITCH=1,C399/EXC.RATE_2,C399*EXC.RATE_2),CURRENCY.FORMAT_2),CURRENCY.FORMAT_2,1),"# ##0;-# ##0"),",-"),FIXED(ROUND(IF(EXC.RATE.SWITCH=1,C399/EXC.RATE_2,C399*EXC.RATE_2),CURRENCY.FORMAT_2),CURRENCY.FORMAT_2,0)),'DICTIONARY-5'!$A$2))</f>
        <v/>
      </c>
      <c r="L399" s="670" t="str">
        <f>IFERROR(IF(CURRENCY.FORMAT_1=0,CONCATENATE(TEXT(FIXED(ROUND((C399*(1-I399)*(1-ADD.DISCOUNT)*(1+MAT.SURCHARGE)/EXC.RATE_1),CURRENCY.FORMAT_1),CURRENCY.FORMAT_1,1),"# ##0;-# ##0"),",-"),FIXED(ROUND((C399*(1-I399)*(1-ADD.DISCOUNT)*(1+MAT.SURCHARGE)/EXC.RATE_1),CURRENCY.FORMAT_1),CURRENCY.FORMAT_1,0)),'DICTIONARY-5'!$A$2)</f>
        <v>na zapytanie</v>
      </c>
      <c r="M399" s="670" t="str">
        <f>IF(EXC.RATE_2=0,"",IFERROR(IF(CURRENCY.FORMAT_2=0,CONCATENATE(TEXT(FIXED(ROUND(IF(EXC.RATE.SWITCH=1,C399*(1-I399)*(1-ADD.DISCOUNT)*(1+MAT.SURCHARGE)/EXC.RATE_2,C399*(1-I399)*(1-ADD.DISCOUNT)*(1+MAT.SURCHARGE)*EXC.RATE_2),CURRENCY.FORMAT_2),CURRENCY.FORMAT_2,1),"# ##0;-# ##0"),",-"),FIXED(ROUND(IF(EXC.RATE.SWITCH=1,C399*(1-I399)*(1-ADD.DISCOUNT)*(1+MAT.SURCHARGE)/EXC.RATE_2,C399*(1-I399)*(1-ADD.DISCOUNT)*(1+MAT.SURCHARGE)*EXC.RATE_2),CURRENCY.FORMAT_2),CURRENCY.FORMAT_2,0)),'DICTIONARY-5'!$A$2))</f>
        <v/>
      </c>
      <c r="N399" s="544">
        <v>1</v>
      </c>
      <c r="O399" s="544"/>
      <c r="P399" s="731" t="str">
        <f>'DICTIONARY-3'!$A$5</f>
        <v>EKOplus</v>
      </c>
      <c r="Q399" s="732" t="str">
        <f>'DICTIONARY-3'!$A$187</f>
        <v>Zasuwa klinowa</v>
      </c>
      <c r="R399" s="732" t="str">
        <f>CONCATENATE('DICTIONARY-3'!$A$5," ",'DICTIONARY-6'!$A$3," ",'DICTIONARY-2'!$A$2,"300"," ",'DICTIONARY-2'!$A$3,"10"," ","R14",", ",'DICTIONARY-6'!$A$38,", ",'DICTIONARY-5'!$A$191,", ",'DICTIONARY-4'!$A$7,"+",'DICTIONARY-6'!$A$50)</f>
        <v>EKOplus Zasuwa DN300 PN10 R14, cert. 3.1, RAL3000, KR+czujniki indukcyjne</v>
      </c>
      <c r="S399" s="733" t="str">
        <f>'DICTIONARY-4'!$A$7</f>
        <v>KR</v>
      </c>
      <c r="T399" s="732" t="str">
        <f>'DICTIONARY-4'!$A$23</f>
        <v>Kółko ręczne</v>
      </c>
      <c r="U399" s="734" t="s">
        <v>5752</v>
      </c>
      <c r="V399" s="735">
        <v>10</v>
      </c>
      <c r="W399" s="736"/>
      <c r="X399" s="737"/>
      <c r="Y399" s="738"/>
      <c r="Z399" s="739"/>
      <c r="AA399" s="739"/>
      <c r="AB399" s="740">
        <v>10</v>
      </c>
      <c r="AC399" s="741" t="str">
        <f>'DICTIONARY-5'!$A$11&amp;" 14"</f>
        <v>EN 558 szereg 14</v>
      </c>
      <c r="AD399" s="733" t="str">
        <f>'DICTIONARY-5'!$A$16</f>
        <v>woda gaśnicza</v>
      </c>
      <c r="AE399" s="742">
        <v>50</v>
      </c>
      <c r="AF399" s="743"/>
      <c r="AG399" s="741" t="str">
        <f>'DICTIONARY-5'!$A$23</f>
        <v>powłoka epoksydowa</v>
      </c>
    </row>
    <row r="400" spans="1:33" x14ac:dyDescent="0.25">
      <c r="A400" s="842" t="s">
        <v>379</v>
      </c>
      <c r="B400" s="842" t="str">
        <f>'DICTIONARY-5'!$A$2</f>
        <v>na zapytanie</v>
      </c>
      <c r="C400" s="836" t="s">
        <v>5967</v>
      </c>
      <c r="D400" s="836"/>
      <c r="E400" s="836"/>
      <c r="F400" s="836"/>
      <c r="G400" s="496" t="s">
        <v>7789</v>
      </c>
      <c r="H400" s="797" t="str">
        <f>VLOOKUP(G400,SETTINGS!$B$7:$D$97,2,0)</f>
        <v>EKOplus</v>
      </c>
      <c r="I400" s="796">
        <f>VLOOKUP(G400,SETTINGS!$B$7:$D$97,3,0)</f>
        <v>0</v>
      </c>
      <c r="J400" s="670" t="str">
        <f>IFERROR(IF(CURRENCY.FORMAT_1=0,CONCATENATE(TEXT(FIXED(ROUND((C400/EXC.RATE_1),CURRENCY.FORMAT_1),CURRENCY.FORMAT_1,1),"# ##0;-# ##0"),",-"),FIXED(ROUND((C400/EXC.RATE_1),CURRENCY.FORMAT_1),CURRENCY.FORMAT_1,0)),'DICTIONARY-5'!$A$2)</f>
        <v>na zapytanie</v>
      </c>
      <c r="K400" s="670" t="str">
        <f>IF(EXC.RATE_2=0,"",IFERROR(IF(CURRENCY.FORMAT_2=0,CONCATENATE(TEXT(FIXED(ROUND(IF(EXC.RATE.SWITCH=1,C400/EXC.RATE_2,C400*EXC.RATE_2),CURRENCY.FORMAT_2),CURRENCY.FORMAT_2,1),"# ##0;-# ##0"),",-"),FIXED(ROUND(IF(EXC.RATE.SWITCH=1,C400/EXC.RATE_2,C400*EXC.RATE_2),CURRENCY.FORMAT_2),CURRENCY.FORMAT_2,0)),'DICTIONARY-5'!$A$2))</f>
        <v/>
      </c>
      <c r="L400" s="670" t="str">
        <f>IFERROR(IF(CURRENCY.FORMAT_1=0,CONCATENATE(TEXT(FIXED(ROUND((C400*(1-I400)*(1-ADD.DISCOUNT)*(1+MAT.SURCHARGE)/EXC.RATE_1),CURRENCY.FORMAT_1),CURRENCY.FORMAT_1,1),"# ##0;-# ##0"),",-"),FIXED(ROUND((C400*(1-I400)*(1-ADD.DISCOUNT)*(1+MAT.SURCHARGE)/EXC.RATE_1),CURRENCY.FORMAT_1),CURRENCY.FORMAT_1,0)),'DICTIONARY-5'!$A$2)</f>
        <v>na zapytanie</v>
      </c>
      <c r="M400" s="670" t="str">
        <f>IF(EXC.RATE_2=0,"",IFERROR(IF(CURRENCY.FORMAT_2=0,CONCATENATE(TEXT(FIXED(ROUND(IF(EXC.RATE.SWITCH=1,C400*(1-I400)*(1-ADD.DISCOUNT)*(1+MAT.SURCHARGE)/EXC.RATE_2,C400*(1-I400)*(1-ADD.DISCOUNT)*(1+MAT.SURCHARGE)*EXC.RATE_2),CURRENCY.FORMAT_2),CURRENCY.FORMAT_2,1),"# ##0;-# ##0"),",-"),FIXED(ROUND(IF(EXC.RATE.SWITCH=1,C400*(1-I400)*(1-ADD.DISCOUNT)*(1+MAT.SURCHARGE)/EXC.RATE_2,C400*(1-I400)*(1-ADD.DISCOUNT)*(1+MAT.SURCHARGE)*EXC.RATE_2),CURRENCY.FORMAT_2),CURRENCY.FORMAT_2,0)),'DICTIONARY-5'!$A$2))</f>
        <v/>
      </c>
      <c r="N400" s="544">
        <v>1</v>
      </c>
      <c r="O400" s="544"/>
      <c r="P400" s="731" t="str">
        <f>'DICTIONARY-3'!$A$5</f>
        <v>EKOplus</v>
      </c>
      <c r="Q400" s="732" t="str">
        <f>'DICTIONARY-3'!$A$187</f>
        <v>Zasuwa klinowa</v>
      </c>
      <c r="R400" s="732" t="str">
        <f>CONCATENATE('DICTIONARY-3'!$A$5," ",'DICTIONARY-6'!$A$3," ",'DICTIONARY-2'!$A$2,"300"," ",'DICTIONARY-2'!$A$3,"16"," ","R14",", ",'DICTIONARY-6'!$A$38,", ",'DICTIONARY-5'!$A$191,", ",'DICTIONARY-4'!$A$7,"+",'DICTIONARY-6'!$A$50)</f>
        <v>EKOplus Zasuwa DN300 PN16 R14, cert. 3.1, RAL3000, KR+czujniki indukcyjne</v>
      </c>
      <c r="S400" s="733" t="str">
        <f>'DICTIONARY-4'!$A$7</f>
        <v>KR</v>
      </c>
      <c r="T400" s="732" t="str">
        <f>'DICTIONARY-4'!$A$23</f>
        <v>Kółko ręczne</v>
      </c>
      <c r="U400" s="734" t="s">
        <v>5752</v>
      </c>
      <c r="V400" s="735">
        <v>16</v>
      </c>
      <c r="W400" s="736"/>
      <c r="X400" s="737"/>
      <c r="Y400" s="738"/>
      <c r="Z400" s="739"/>
      <c r="AA400" s="739"/>
      <c r="AB400" s="740">
        <v>16</v>
      </c>
      <c r="AC400" s="741" t="str">
        <f>'DICTIONARY-5'!$A$11&amp;" 14"</f>
        <v>EN 558 szereg 14</v>
      </c>
      <c r="AD400" s="733" t="str">
        <f>'DICTIONARY-5'!$A$16</f>
        <v>woda gaśnicza</v>
      </c>
      <c r="AE400" s="742">
        <v>50</v>
      </c>
      <c r="AF400" s="743"/>
      <c r="AG400" s="741" t="str">
        <f>'DICTIONARY-5'!$A$23</f>
        <v>powłoka epoksydowa</v>
      </c>
    </row>
    <row r="401" spans="1:33" x14ac:dyDescent="0.25">
      <c r="A401" s="842" t="s">
        <v>7993</v>
      </c>
      <c r="B401" s="842" t="s">
        <v>7985</v>
      </c>
      <c r="C401" s="836">
        <v>422</v>
      </c>
      <c r="D401" s="836"/>
      <c r="E401" s="836"/>
      <c r="F401" s="836"/>
      <c r="G401" s="496" t="s">
        <v>7794</v>
      </c>
      <c r="H401" s="797" t="str">
        <f>VLOOKUP(G401,SETTINGS!$B$7:$D$97,2,0)</f>
        <v>IKOplus</v>
      </c>
      <c r="I401" s="796">
        <f>VLOOKUP(G401,SETTINGS!$B$7:$D$97,3,0)</f>
        <v>0</v>
      </c>
      <c r="J401" s="670" t="str">
        <f>IFERROR(IF(CURRENCY.FORMAT_1=0,CONCATENATE(TEXT(FIXED(ROUND((C401/EXC.RATE_1),CURRENCY.FORMAT_1),CURRENCY.FORMAT_1,1),"# ##0;-# ##0"),",-"),FIXED(ROUND((C401/EXC.RATE_1),CURRENCY.FORMAT_1),CURRENCY.FORMAT_1,0)),'DICTIONARY-5'!$A$2)</f>
        <v>422,-</v>
      </c>
      <c r="K401" s="670" t="str">
        <f>IF(EXC.RATE_2=0,"",IFERROR(IF(CURRENCY.FORMAT_2=0,CONCATENATE(TEXT(FIXED(ROUND(IF(EXC.RATE.SWITCH=1,C401/EXC.RATE_2,C401*EXC.RATE_2),CURRENCY.FORMAT_2),CURRENCY.FORMAT_2,1),"# ##0;-# ##0"),",-"),FIXED(ROUND(IF(EXC.RATE.SWITCH=1,C401/EXC.RATE_2,C401*EXC.RATE_2),CURRENCY.FORMAT_2),CURRENCY.FORMAT_2,0)),'DICTIONARY-5'!$A$2))</f>
        <v/>
      </c>
      <c r="L401" s="670" t="str">
        <f>IFERROR(IF(CURRENCY.FORMAT_1=0,CONCATENATE(TEXT(FIXED(ROUND((C401*(1-I401)*(1-ADD.DISCOUNT)*(1+MAT.SURCHARGE)/EXC.RATE_1),CURRENCY.FORMAT_1),CURRENCY.FORMAT_1,1),"# ##0;-# ##0"),",-"),FIXED(ROUND((C401*(1-I401)*(1-ADD.DISCOUNT)*(1+MAT.SURCHARGE)/EXC.RATE_1),CURRENCY.FORMAT_1),CURRENCY.FORMAT_1,0)),'DICTIONARY-5'!$A$2)</f>
        <v>438,-</v>
      </c>
      <c r="M401" s="670" t="str">
        <f>IF(EXC.RATE_2=0,"",IFERROR(IF(CURRENCY.FORMAT_2=0,CONCATENATE(TEXT(FIXED(ROUND(IF(EXC.RATE.SWITCH=1,C401*(1-I401)*(1-ADD.DISCOUNT)*(1+MAT.SURCHARGE)/EXC.RATE_2,C401*(1-I401)*(1-ADD.DISCOUNT)*(1+MAT.SURCHARGE)*EXC.RATE_2),CURRENCY.FORMAT_2),CURRENCY.FORMAT_2,1),"# ##0;-# ##0"),",-"),FIXED(ROUND(IF(EXC.RATE.SWITCH=1,C401*(1-I401)*(1-ADD.DISCOUNT)*(1+MAT.SURCHARGE)/EXC.RATE_2,C401*(1-I401)*(1-ADD.DISCOUNT)*(1+MAT.SURCHARGE)*EXC.RATE_2),CURRENCY.FORMAT_2),CURRENCY.FORMAT_2,0)),'DICTIONARY-5'!$A$2))</f>
        <v/>
      </c>
      <c r="N401" s="544">
        <v>1</v>
      </c>
      <c r="O401" s="544"/>
      <c r="P401" s="731" t="str">
        <f>'DICTIONARY-3'!$A$8</f>
        <v>IKOplus</v>
      </c>
      <c r="Q401" s="732" t="str">
        <f>'DICTIONARY-3'!$A$188</f>
        <v>Zasuwa klinowa</v>
      </c>
      <c r="R401" s="732" t="str">
        <f>CONCATENATE('DICTIONARY-3'!$A$8," ",'DICTIONARY-6'!$A$3," ",'DICTIONARY-2'!$A$2,U401," ",'DICTIONARY-2'!$A$3,V401," ","R14",", ",'DICTIONARY-4'!$A$7)</f>
        <v>IKOplus Zasuwa DN40 PN10 R14, KR</v>
      </c>
      <c r="S401" s="733" t="str">
        <f>'DICTIONARY-4'!$A$7</f>
        <v>KR</v>
      </c>
      <c r="T401" s="732" t="str">
        <f>'DICTIONARY-4'!$A$23</f>
        <v>Kółko ręczne</v>
      </c>
      <c r="U401" s="734">
        <v>40</v>
      </c>
      <c r="V401" s="735">
        <v>10</v>
      </c>
      <c r="W401" s="736"/>
      <c r="X401" s="737"/>
      <c r="Y401" s="738"/>
      <c r="Z401" s="739"/>
      <c r="AA401" s="739"/>
      <c r="AB401" s="740">
        <v>10</v>
      </c>
      <c r="AC401" s="741" t="str">
        <f>'DICTIONARY-5'!$A$11&amp;" 14"</f>
        <v>EN 558 szereg 14</v>
      </c>
      <c r="AD401" s="733" t="str">
        <f>'DICTIONARY-5'!$A$17</f>
        <v>woda przemysłowa</v>
      </c>
      <c r="AE401" s="742">
        <v>70</v>
      </c>
      <c r="AF401" s="743">
        <v>9</v>
      </c>
      <c r="AG401" s="741" t="str">
        <f>'DICTIONARY-5'!$A$23</f>
        <v>powłoka epoksydowa</v>
      </c>
    </row>
    <row r="402" spans="1:33" x14ac:dyDescent="0.25">
      <c r="A402" s="842" t="s">
        <v>7994</v>
      </c>
      <c r="B402" s="842" t="s">
        <v>7986</v>
      </c>
      <c r="C402" s="836">
        <v>439</v>
      </c>
      <c r="D402" s="836"/>
      <c r="E402" s="836"/>
      <c r="F402" s="836"/>
      <c r="G402" s="496" t="s">
        <v>7794</v>
      </c>
      <c r="H402" s="797" t="str">
        <f>VLOOKUP(G402,SETTINGS!$B$7:$D$97,2,0)</f>
        <v>IKOplus</v>
      </c>
      <c r="I402" s="796">
        <f>VLOOKUP(G402,SETTINGS!$B$7:$D$97,3,0)</f>
        <v>0</v>
      </c>
      <c r="J402" s="670" t="str">
        <f>IFERROR(IF(CURRENCY.FORMAT_1=0,CONCATENATE(TEXT(FIXED(ROUND((C402/EXC.RATE_1),CURRENCY.FORMAT_1),CURRENCY.FORMAT_1,1),"# ##0;-# ##0"),",-"),FIXED(ROUND((C402/EXC.RATE_1),CURRENCY.FORMAT_1),CURRENCY.FORMAT_1,0)),'DICTIONARY-5'!$A$2)</f>
        <v>439,-</v>
      </c>
      <c r="K402" s="670" t="str">
        <f>IF(EXC.RATE_2=0,"",IFERROR(IF(CURRENCY.FORMAT_2=0,CONCATENATE(TEXT(FIXED(ROUND(IF(EXC.RATE.SWITCH=1,C402/EXC.RATE_2,C402*EXC.RATE_2),CURRENCY.FORMAT_2),CURRENCY.FORMAT_2,1),"# ##0;-# ##0"),",-"),FIXED(ROUND(IF(EXC.RATE.SWITCH=1,C402/EXC.RATE_2,C402*EXC.RATE_2),CURRENCY.FORMAT_2),CURRENCY.FORMAT_2,0)),'DICTIONARY-5'!$A$2))</f>
        <v/>
      </c>
      <c r="L402" s="670" t="str">
        <f>IFERROR(IF(CURRENCY.FORMAT_1=0,CONCATENATE(TEXT(FIXED(ROUND((C402*(1-I402)*(1-ADD.DISCOUNT)*(1+MAT.SURCHARGE)/EXC.RATE_1),CURRENCY.FORMAT_1),CURRENCY.FORMAT_1,1),"# ##0;-# ##0"),",-"),FIXED(ROUND((C402*(1-I402)*(1-ADD.DISCOUNT)*(1+MAT.SURCHARGE)/EXC.RATE_1),CURRENCY.FORMAT_1),CURRENCY.FORMAT_1,0)),'DICTIONARY-5'!$A$2)</f>
        <v>456,-</v>
      </c>
      <c r="M402" s="670" t="str">
        <f>IF(EXC.RATE_2=0,"",IFERROR(IF(CURRENCY.FORMAT_2=0,CONCATENATE(TEXT(FIXED(ROUND(IF(EXC.RATE.SWITCH=1,C402*(1-I402)*(1-ADD.DISCOUNT)*(1+MAT.SURCHARGE)/EXC.RATE_2,C402*(1-I402)*(1-ADD.DISCOUNT)*(1+MAT.SURCHARGE)*EXC.RATE_2),CURRENCY.FORMAT_2),CURRENCY.FORMAT_2,1),"# ##0;-# ##0"),",-"),FIXED(ROUND(IF(EXC.RATE.SWITCH=1,C402*(1-I402)*(1-ADD.DISCOUNT)*(1+MAT.SURCHARGE)/EXC.RATE_2,C402*(1-I402)*(1-ADD.DISCOUNT)*(1+MAT.SURCHARGE)*EXC.RATE_2),CURRENCY.FORMAT_2),CURRENCY.FORMAT_2,0)),'DICTIONARY-5'!$A$2))</f>
        <v/>
      </c>
      <c r="N402" s="544">
        <v>1</v>
      </c>
      <c r="O402" s="544"/>
      <c r="P402" s="731" t="str">
        <f>'DICTIONARY-3'!$A$8</f>
        <v>IKOplus</v>
      </c>
      <c r="Q402" s="732" t="str">
        <f>'DICTIONARY-3'!$A$188</f>
        <v>Zasuwa klinowa</v>
      </c>
      <c r="R402" s="732" t="str">
        <f>CONCATENATE('DICTIONARY-3'!$A$8," ",'DICTIONARY-6'!$A$3," ",'DICTIONARY-2'!$A$2,U402," ",'DICTIONARY-2'!$A$3,V402," ","R14",", ",'DICTIONARY-4'!$A$7)</f>
        <v>IKOplus Zasuwa DN50 PN10 R14, KR</v>
      </c>
      <c r="S402" s="733" t="str">
        <f>'DICTIONARY-4'!$A$7</f>
        <v>KR</v>
      </c>
      <c r="T402" s="732" t="str">
        <f>'DICTIONARY-4'!$A$23</f>
        <v>Kółko ręczne</v>
      </c>
      <c r="U402" s="734">
        <v>50</v>
      </c>
      <c r="V402" s="735">
        <v>10</v>
      </c>
      <c r="W402" s="736"/>
      <c r="X402" s="737"/>
      <c r="Y402" s="738"/>
      <c r="Z402" s="739"/>
      <c r="AA402" s="739"/>
      <c r="AB402" s="740">
        <v>10</v>
      </c>
      <c r="AC402" s="741" t="str">
        <f>'DICTIONARY-5'!$A$11&amp;" 14"</f>
        <v>EN 558 szereg 14</v>
      </c>
      <c r="AD402" s="733" t="str">
        <f>'DICTIONARY-5'!$A$17</f>
        <v>woda przemysłowa</v>
      </c>
      <c r="AE402" s="742">
        <v>70</v>
      </c>
      <c r="AF402" s="743">
        <v>10.5</v>
      </c>
      <c r="AG402" s="741" t="str">
        <f>'DICTIONARY-5'!$A$23</f>
        <v>powłoka epoksydowa</v>
      </c>
    </row>
    <row r="403" spans="1:33" x14ac:dyDescent="0.25">
      <c r="A403" s="842" t="s">
        <v>7995</v>
      </c>
      <c r="B403" s="842" t="s">
        <v>7987</v>
      </c>
      <c r="C403" s="836">
        <v>495</v>
      </c>
      <c r="D403" s="836"/>
      <c r="E403" s="836"/>
      <c r="F403" s="836"/>
      <c r="G403" s="496" t="s">
        <v>7794</v>
      </c>
      <c r="H403" s="797" t="str">
        <f>VLOOKUP(G403,SETTINGS!$B$7:$D$97,2,0)</f>
        <v>IKOplus</v>
      </c>
      <c r="I403" s="796">
        <f>VLOOKUP(G403,SETTINGS!$B$7:$D$97,3,0)</f>
        <v>0</v>
      </c>
      <c r="J403" s="670" t="str">
        <f>IFERROR(IF(CURRENCY.FORMAT_1=0,CONCATENATE(TEXT(FIXED(ROUND((C403/EXC.RATE_1),CURRENCY.FORMAT_1),CURRENCY.FORMAT_1,1),"# ##0;-# ##0"),",-"),FIXED(ROUND((C403/EXC.RATE_1),CURRENCY.FORMAT_1),CURRENCY.FORMAT_1,0)),'DICTIONARY-5'!$A$2)</f>
        <v>495,-</v>
      </c>
      <c r="K403" s="670" t="str">
        <f>IF(EXC.RATE_2=0,"",IFERROR(IF(CURRENCY.FORMAT_2=0,CONCATENATE(TEXT(FIXED(ROUND(IF(EXC.RATE.SWITCH=1,C403/EXC.RATE_2,C403*EXC.RATE_2),CURRENCY.FORMAT_2),CURRENCY.FORMAT_2,1),"# ##0;-# ##0"),",-"),FIXED(ROUND(IF(EXC.RATE.SWITCH=1,C403/EXC.RATE_2,C403*EXC.RATE_2),CURRENCY.FORMAT_2),CURRENCY.FORMAT_2,0)),'DICTIONARY-5'!$A$2))</f>
        <v/>
      </c>
      <c r="L403" s="670" t="str">
        <f>IFERROR(IF(CURRENCY.FORMAT_1=0,CONCATENATE(TEXT(FIXED(ROUND((C403*(1-I403)*(1-ADD.DISCOUNT)*(1+MAT.SURCHARGE)/EXC.RATE_1),CURRENCY.FORMAT_1),CURRENCY.FORMAT_1,1),"# ##0;-# ##0"),",-"),FIXED(ROUND((C403*(1-I403)*(1-ADD.DISCOUNT)*(1+MAT.SURCHARGE)/EXC.RATE_1),CURRENCY.FORMAT_1),CURRENCY.FORMAT_1,0)),'DICTIONARY-5'!$A$2)</f>
        <v>514,-</v>
      </c>
      <c r="M403" s="670" t="str">
        <f>IF(EXC.RATE_2=0,"",IFERROR(IF(CURRENCY.FORMAT_2=0,CONCATENATE(TEXT(FIXED(ROUND(IF(EXC.RATE.SWITCH=1,C403*(1-I403)*(1-ADD.DISCOUNT)*(1+MAT.SURCHARGE)/EXC.RATE_2,C403*(1-I403)*(1-ADD.DISCOUNT)*(1+MAT.SURCHARGE)*EXC.RATE_2),CURRENCY.FORMAT_2),CURRENCY.FORMAT_2,1),"# ##0;-# ##0"),",-"),FIXED(ROUND(IF(EXC.RATE.SWITCH=1,C403*(1-I403)*(1-ADD.DISCOUNT)*(1+MAT.SURCHARGE)/EXC.RATE_2,C403*(1-I403)*(1-ADD.DISCOUNT)*(1+MAT.SURCHARGE)*EXC.RATE_2),CURRENCY.FORMAT_2),CURRENCY.FORMAT_2,0)),'DICTIONARY-5'!$A$2))</f>
        <v/>
      </c>
      <c r="N403" s="544">
        <v>1</v>
      </c>
      <c r="O403" s="544"/>
      <c r="P403" s="731" t="str">
        <f>'DICTIONARY-3'!$A$8</f>
        <v>IKOplus</v>
      </c>
      <c r="Q403" s="732" t="str">
        <f>'DICTIONARY-3'!$A$188</f>
        <v>Zasuwa klinowa</v>
      </c>
      <c r="R403" s="732" t="str">
        <f>CONCATENATE('DICTIONARY-3'!$A$8," ",'DICTIONARY-6'!$A$3," ",'DICTIONARY-2'!$A$2,U403," ",'DICTIONARY-2'!$A$3,V403," ","R14",", ",'DICTIONARY-4'!$A$7)</f>
        <v>IKOplus Zasuwa DN80 PN10 R14, KR</v>
      </c>
      <c r="S403" s="733" t="str">
        <f>'DICTIONARY-4'!$A$7</f>
        <v>KR</v>
      </c>
      <c r="T403" s="732" t="str">
        <f>'DICTIONARY-4'!$A$23</f>
        <v>Kółko ręczne</v>
      </c>
      <c r="U403" s="734">
        <v>80</v>
      </c>
      <c r="V403" s="735">
        <v>10</v>
      </c>
      <c r="W403" s="736"/>
      <c r="X403" s="737"/>
      <c r="Y403" s="738"/>
      <c r="Z403" s="739"/>
      <c r="AA403" s="739"/>
      <c r="AB403" s="740">
        <v>10</v>
      </c>
      <c r="AC403" s="741" t="str">
        <f>'DICTIONARY-5'!$A$11&amp;" 14"</f>
        <v>EN 558 szereg 14</v>
      </c>
      <c r="AD403" s="733" t="str">
        <f>'DICTIONARY-5'!$A$17</f>
        <v>woda przemysłowa</v>
      </c>
      <c r="AE403" s="742">
        <v>70</v>
      </c>
      <c r="AF403" s="743">
        <v>16.5</v>
      </c>
      <c r="AG403" s="741" t="str">
        <f>'DICTIONARY-5'!$A$23</f>
        <v>powłoka epoksydowa</v>
      </c>
    </row>
    <row r="404" spans="1:33" x14ac:dyDescent="0.25">
      <c r="A404" s="842" t="s">
        <v>7996</v>
      </c>
      <c r="B404" s="842" t="s">
        <v>7988</v>
      </c>
      <c r="C404" s="836">
        <v>513</v>
      </c>
      <c r="D404" s="836"/>
      <c r="E404" s="836"/>
      <c r="F404" s="836"/>
      <c r="G404" s="496" t="s">
        <v>7794</v>
      </c>
      <c r="H404" s="797" t="str">
        <f>VLOOKUP(G404,SETTINGS!$B$7:$D$97,2,0)</f>
        <v>IKOplus</v>
      </c>
      <c r="I404" s="796">
        <f>VLOOKUP(G404,SETTINGS!$B$7:$D$97,3,0)</f>
        <v>0</v>
      </c>
      <c r="J404" s="670" t="str">
        <f>IFERROR(IF(CURRENCY.FORMAT_1=0,CONCATENATE(TEXT(FIXED(ROUND((C404/EXC.RATE_1),CURRENCY.FORMAT_1),CURRENCY.FORMAT_1,1),"# ##0;-# ##0"),",-"),FIXED(ROUND((C404/EXC.RATE_1),CURRENCY.FORMAT_1),CURRENCY.FORMAT_1,0)),'DICTIONARY-5'!$A$2)</f>
        <v>513,-</v>
      </c>
      <c r="K404" s="670" t="str">
        <f>IF(EXC.RATE_2=0,"",IFERROR(IF(CURRENCY.FORMAT_2=0,CONCATENATE(TEXT(FIXED(ROUND(IF(EXC.RATE.SWITCH=1,C404/EXC.RATE_2,C404*EXC.RATE_2),CURRENCY.FORMAT_2),CURRENCY.FORMAT_2,1),"# ##0;-# ##0"),",-"),FIXED(ROUND(IF(EXC.RATE.SWITCH=1,C404/EXC.RATE_2,C404*EXC.RATE_2),CURRENCY.FORMAT_2),CURRENCY.FORMAT_2,0)),'DICTIONARY-5'!$A$2))</f>
        <v/>
      </c>
      <c r="L404" s="670" t="str">
        <f>IFERROR(IF(CURRENCY.FORMAT_1=0,CONCATENATE(TEXT(FIXED(ROUND((C404*(1-I404)*(1-ADD.DISCOUNT)*(1+MAT.SURCHARGE)/EXC.RATE_1),CURRENCY.FORMAT_1),CURRENCY.FORMAT_1,1),"# ##0;-# ##0"),",-"),FIXED(ROUND((C404*(1-I404)*(1-ADD.DISCOUNT)*(1+MAT.SURCHARGE)/EXC.RATE_1),CURRENCY.FORMAT_1),CURRENCY.FORMAT_1,0)),'DICTIONARY-5'!$A$2)</f>
        <v>533,-</v>
      </c>
      <c r="M404" s="670" t="str">
        <f>IF(EXC.RATE_2=0,"",IFERROR(IF(CURRENCY.FORMAT_2=0,CONCATENATE(TEXT(FIXED(ROUND(IF(EXC.RATE.SWITCH=1,C404*(1-I404)*(1-ADD.DISCOUNT)*(1+MAT.SURCHARGE)/EXC.RATE_2,C404*(1-I404)*(1-ADD.DISCOUNT)*(1+MAT.SURCHARGE)*EXC.RATE_2),CURRENCY.FORMAT_2),CURRENCY.FORMAT_2,1),"# ##0;-# ##0"),",-"),FIXED(ROUND(IF(EXC.RATE.SWITCH=1,C404*(1-I404)*(1-ADD.DISCOUNT)*(1+MAT.SURCHARGE)/EXC.RATE_2,C404*(1-I404)*(1-ADD.DISCOUNT)*(1+MAT.SURCHARGE)*EXC.RATE_2),CURRENCY.FORMAT_2),CURRENCY.FORMAT_2,0)),'DICTIONARY-5'!$A$2))</f>
        <v/>
      </c>
      <c r="N404" s="544">
        <v>1</v>
      </c>
      <c r="O404" s="544"/>
      <c r="P404" s="731" t="str">
        <f>'DICTIONARY-3'!$A$8</f>
        <v>IKOplus</v>
      </c>
      <c r="Q404" s="732" t="str">
        <f>'DICTIONARY-3'!$A$188</f>
        <v>Zasuwa klinowa</v>
      </c>
      <c r="R404" s="732" t="str">
        <f>CONCATENATE('DICTIONARY-3'!$A$8," ",'DICTIONARY-6'!$A$3," ",'DICTIONARY-2'!$A$2,U404," ",'DICTIONARY-2'!$A$3,V404," ","R14",", ",'DICTIONARY-4'!$A$7)</f>
        <v>IKOplus Zasuwa DN100 PN10 R14, KR</v>
      </c>
      <c r="S404" s="733" t="str">
        <f>'DICTIONARY-4'!$A$7</f>
        <v>KR</v>
      </c>
      <c r="T404" s="732" t="str">
        <f>'DICTIONARY-4'!$A$23</f>
        <v>Kółko ręczne</v>
      </c>
      <c r="U404" s="734">
        <v>100</v>
      </c>
      <c r="V404" s="735">
        <v>10</v>
      </c>
      <c r="W404" s="736"/>
      <c r="X404" s="737"/>
      <c r="Y404" s="738"/>
      <c r="Z404" s="739"/>
      <c r="AA404" s="739"/>
      <c r="AB404" s="740">
        <v>10</v>
      </c>
      <c r="AC404" s="741" t="str">
        <f>'DICTIONARY-5'!$A$11&amp;" 14"</f>
        <v>EN 558 szereg 14</v>
      </c>
      <c r="AD404" s="733" t="str">
        <f>'DICTIONARY-5'!$A$17</f>
        <v>woda przemysłowa</v>
      </c>
      <c r="AE404" s="742">
        <v>70</v>
      </c>
      <c r="AF404" s="743">
        <v>23</v>
      </c>
      <c r="AG404" s="741" t="str">
        <f>'DICTIONARY-5'!$A$23</f>
        <v>powłoka epoksydowa</v>
      </c>
    </row>
    <row r="405" spans="1:33" x14ac:dyDescent="0.25">
      <c r="A405" s="842" t="s">
        <v>7997</v>
      </c>
      <c r="B405" s="842" t="s">
        <v>7989</v>
      </c>
      <c r="C405" s="836">
        <v>837</v>
      </c>
      <c r="D405" s="836"/>
      <c r="E405" s="836"/>
      <c r="F405" s="836"/>
      <c r="G405" s="496" t="s">
        <v>7794</v>
      </c>
      <c r="H405" s="797" t="str">
        <f>VLOOKUP(G405,SETTINGS!$B$7:$D$97,2,0)</f>
        <v>IKOplus</v>
      </c>
      <c r="I405" s="796">
        <f>VLOOKUP(G405,SETTINGS!$B$7:$D$97,3,0)</f>
        <v>0</v>
      </c>
      <c r="J405" s="670" t="str">
        <f>IFERROR(IF(CURRENCY.FORMAT_1=0,CONCATENATE(TEXT(FIXED(ROUND((C405/EXC.RATE_1),CURRENCY.FORMAT_1),CURRENCY.FORMAT_1,1),"# ##0;-# ##0"),",-"),FIXED(ROUND((C405/EXC.RATE_1),CURRENCY.FORMAT_1),CURRENCY.FORMAT_1,0)),'DICTIONARY-5'!$A$2)</f>
        <v>837,-</v>
      </c>
      <c r="K405" s="670" t="str">
        <f>IF(EXC.RATE_2=0,"",IFERROR(IF(CURRENCY.FORMAT_2=0,CONCATENATE(TEXT(FIXED(ROUND(IF(EXC.RATE.SWITCH=1,C405/EXC.RATE_2,C405*EXC.RATE_2),CURRENCY.FORMAT_2),CURRENCY.FORMAT_2,1),"# ##0;-# ##0"),",-"),FIXED(ROUND(IF(EXC.RATE.SWITCH=1,C405/EXC.RATE_2,C405*EXC.RATE_2),CURRENCY.FORMAT_2),CURRENCY.FORMAT_2,0)),'DICTIONARY-5'!$A$2))</f>
        <v/>
      </c>
      <c r="L405" s="670" t="str">
        <f>IFERROR(IF(CURRENCY.FORMAT_1=0,CONCATENATE(TEXT(FIXED(ROUND((C405*(1-I405)*(1-ADD.DISCOUNT)*(1+MAT.SURCHARGE)/EXC.RATE_1),CURRENCY.FORMAT_1),CURRENCY.FORMAT_1,1),"# ##0;-# ##0"),",-"),FIXED(ROUND((C405*(1-I405)*(1-ADD.DISCOUNT)*(1+MAT.SURCHARGE)/EXC.RATE_1),CURRENCY.FORMAT_1),CURRENCY.FORMAT_1,0)),'DICTIONARY-5'!$A$2)</f>
        <v>870,-</v>
      </c>
      <c r="M405" s="670" t="str">
        <f>IF(EXC.RATE_2=0,"",IFERROR(IF(CURRENCY.FORMAT_2=0,CONCATENATE(TEXT(FIXED(ROUND(IF(EXC.RATE.SWITCH=1,C405*(1-I405)*(1-ADD.DISCOUNT)*(1+MAT.SURCHARGE)/EXC.RATE_2,C405*(1-I405)*(1-ADD.DISCOUNT)*(1+MAT.SURCHARGE)*EXC.RATE_2),CURRENCY.FORMAT_2),CURRENCY.FORMAT_2,1),"# ##0;-# ##0"),",-"),FIXED(ROUND(IF(EXC.RATE.SWITCH=1,C405*(1-I405)*(1-ADD.DISCOUNT)*(1+MAT.SURCHARGE)/EXC.RATE_2,C405*(1-I405)*(1-ADD.DISCOUNT)*(1+MAT.SURCHARGE)*EXC.RATE_2),CURRENCY.FORMAT_2),CURRENCY.FORMAT_2,0)),'DICTIONARY-5'!$A$2))</f>
        <v/>
      </c>
      <c r="N405" s="544">
        <v>1</v>
      </c>
      <c r="O405" s="544"/>
      <c r="P405" s="731" t="str">
        <f>'DICTIONARY-3'!$A$8</f>
        <v>IKOplus</v>
      </c>
      <c r="Q405" s="732" t="str">
        <f>'DICTIONARY-3'!$A$188</f>
        <v>Zasuwa klinowa</v>
      </c>
      <c r="R405" s="732" t="str">
        <f>CONCATENATE('DICTIONARY-3'!$A$8," ",'DICTIONARY-6'!$A$3," ",'DICTIONARY-2'!$A$2,U405," ",'DICTIONARY-2'!$A$3,V405," ","R14",", ",'DICTIONARY-4'!$A$7)</f>
        <v>IKOplus Zasuwa DN150 PN10 R14, KR</v>
      </c>
      <c r="S405" s="733" t="str">
        <f>'DICTIONARY-4'!$A$7</f>
        <v>KR</v>
      </c>
      <c r="T405" s="732" t="str">
        <f>'DICTIONARY-4'!$A$23</f>
        <v>Kółko ręczne</v>
      </c>
      <c r="U405" s="734">
        <v>150</v>
      </c>
      <c r="V405" s="735">
        <v>10</v>
      </c>
      <c r="W405" s="736"/>
      <c r="X405" s="737"/>
      <c r="Y405" s="738"/>
      <c r="Z405" s="739"/>
      <c r="AA405" s="739"/>
      <c r="AB405" s="740">
        <v>10</v>
      </c>
      <c r="AC405" s="741" t="str">
        <f>'DICTIONARY-5'!$A$11&amp;" 14"</f>
        <v>EN 558 szereg 14</v>
      </c>
      <c r="AD405" s="733" t="str">
        <f>'DICTIONARY-5'!$A$17</f>
        <v>woda przemysłowa</v>
      </c>
      <c r="AE405" s="742">
        <v>70</v>
      </c>
      <c r="AF405" s="743">
        <v>41.1</v>
      </c>
      <c r="AG405" s="741" t="str">
        <f>'DICTIONARY-5'!$A$23</f>
        <v>powłoka epoksydowa</v>
      </c>
    </row>
    <row r="406" spans="1:33" x14ac:dyDescent="0.25">
      <c r="A406" s="842" t="s">
        <v>7998</v>
      </c>
      <c r="B406" s="842" t="s">
        <v>7990</v>
      </c>
      <c r="C406" s="836">
        <v>1061</v>
      </c>
      <c r="D406" s="836"/>
      <c r="E406" s="836"/>
      <c r="F406" s="836"/>
      <c r="G406" s="496" t="s">
        <v>7794</v>
      </c>
      <c r="H406" s="797" t="str">
        <f>VLOOKUP(G406,SETTINGS!$B$7:$D$97,2,0)</f>
        <v>IKOplus</v>
      </c>
      <c r="I406" s="796">
        <f>VLOOKUP(G406,SETTINGS!$B$7:$D$97,3,0)</f>
        <v>0</v>
      </c>
      <c r="J406" s="670" t="str">
        <f>IFERROR(IF(CURRENCY.FORMAT_1=0,CONCATENATE(TEXT(FIXED(ROUND((C406/EXC.RATE_1),CURRENCY.FORMAT_1),CURRENCY.FORMAT_1,1),"# ##0;-# ##0"),",-"),FIXED(ROUND((C406/EXC.RATE_1),CURRENCY.FORMAT_1),CURRENCY.FORMAT_1,0)),'DICTIONARY-5'!$A$2)</f>
        <v>1 061,-</v>
      </c>
      <c r="K406" s="670" t="str">
        <f>IF(EXC.RATE_2=0,"",IFERROR(IF(CURRENCY.FORMAT_2=0,CONCATENATE(TEXT(FIXED(ROUND(IF(EXC.RATE.SWITCH=1,C406/EXC.RATE_2,C406*EXC.RATE_2),CURRENCY.FORMAT_2),CURRENCY.FORMAT_2,1),"# ##0;-# ##0"),",-"),FIXED(ROUND(IF(EXC.RATE.SWITCH=1,C406/EXC.RATE_2,C406*EXC.RATE_2),CURRENCY.FORMAT_2),CURRENCY.FORMAT_2,0)),'DICTIONARY-5'!$A$2))</f>
        <v/>
      </c>
      <c r="L406" s="670" t="str">
        <f>IFERROR(IF(CURRENCY.FORMAT_1=0,CONCATENATE(TEXT(FIXED(ROUND((C406*(1-I406)*(1-ADD.DISCOUNT)*(1+MAT.SURCHARGE)/EXC.RATE_1),CURRENCY.FORMAT_1),CURRENCY.FORMAT_1,1),"# ##0;-# ##0"),",-"),FIXED(ROUND((C406*(1-I406)*(1-ADD.DISCOUNT)*(1+MAT.SURCHARGE)/EXC.RATE_1),CURRENCY.FORMAT_1),CURRENCY.FORMAT_1,0)),'DICTIONARY-5'!$A$2)</f>
        <v>1 102,-</v>
      </c>
      <c r="M406" s="670" t="str">
        <f>IF(EXC.RATE_2=0,"",IFERROR(IF(CURRENCY.FORMAT_2=0,CONCATENATE(TEXT(FIXED(ROUND(IF(EXC.RATE.SWITCH=1,C406*(1-I406)*(1-ADD.DISCOUNT)*(1+MAT.SURCHARGE)/EXC.RATE_2,C406*(1-I406)*(1-ADD.DISCOUNT)*(1+MAT.SURCHARGE)*EXC.RATE_2),CURRENCY.FORMAT_2),CURRENCY.FORMAT_2,1),"# ##0;-# ##0"),",-"),FIXED(ROUND(IF(EXC.RATE.SWITCH=1,C406*(1-I406)*(1-ADD.DISCOUNT)*(1+MAT.SURCHARGE)/EXC.RATE_2,C406*(1-I406)*(1-ADD.DISCOUNT)*(1+MAT.SURCHARGE)*EXC.RATE_2),CURRENCY.FORMAT_2),CURRENCY.FORMAT_2,0)),'DICTIONARY-5'!$A$2))</f>
        <v/>
      </c>
      <c r="N406" s="544">
        <v>1</v>
      </c>
      <c r="O406" s="544"/>
      <c r="P406" s="731" t="str">
        <f>'DICTIONARY-3'!$A$8</f>
        <v>IKOplus</v>
      </c>
      <c r="Q406" s="732" t="str">
        <f>'DICTIONARY-3'!$A$188</f>
        <v>Zasuwa klinowa</v>
      </c>
      <c r="R406" s="732" t="str">
        <f>CONCATENATE('DICTIONARY-3'!$A$8," ",'DICTIONARY-6'!$A$3," ",'DICTIONARY-2'!$A$2,U406," ",'DICTIONARY-2'!$A$3,V406," ","R14",", ",'DICTIONARY-4'!$A$7)</f>
        <v>IKOplus Zasuwa DN200 PN10 R14, KR</v>
      </c>
      <c r="S406" s="733" t="str">
        <f>'DICTIONARY-4'!$A$7</f>
        <v>KR</v>
      </c>
      <c r="T406" s="732" t="str">
        <f>'DICTIONARY-4'!$A$23</f>
        <v>Kółko ręczne</v>
      </c>
      <c r="U406" s="734">
        <v>200</v>
      </c>
      <c r="V406" s="735">
        <v>10</v>
      </c>
      <c r="W406" s="736"/>
      <c r="X406" s="737"/>
      <c r="Y406" s="738"/>
      <c r="Z406" s="739"/>
      <c r="AA406" s="739"/>
      <c r="AB406" s="740">
        <v>10</v>
      </c>
      <c r="AC406" s="741" t="str">
        <f>'DICTIONARY-5'!$A$11&amp;" 14"</f>
        <v>EN 558 szereg 14</v>
      </c>
      <c r="AD406" s="733" t="str">
        <f>'DICTIONARY-5'!$A$17</f>
        <v>woda przemysłowa</v>
      </c>
      <c r="AE406" s="742">
        <v>70</v>
      </c>
      <c r="AF406" s="743">
        <v>61.2</v>
      </c>
      <c r="AG406" s="741" t="str">
        <f>'DICTIONARY-5'!$A$23</f>
        <v>powłoka epoksydowa</v>
      </c>
    </row>
    <row r="407" spans="1:33" x14ac:dyDescent="0.25">
      <c r="A407" s="842" t="s">
        <v>7999</v>
      </c>
      <c r="B407" s="842" t="s">
        <v>7991</v>
      </c>
      <c r="C407" s="836">
        <v>1758</v>
      </c>
      <c r="D407" s="836"/>
      <c r="E407" s="836"/>
      <c r="F407" s="836"/>
      <c r="G407" s="496" t="s">
        <v>7794</v>
      </c>
      <c r="H407" s="797" t="str">
        <f>VLOOKUP(G407,SETTINGS!$B$7:$D$97,2,0)</f>
        <v>IKOplus</v>
      </c>
      <c r="I407" s="796">
        <f>VLOOKUP(G407,SETTINGS!$B$7:$D$97,3,0)</f>
        <v>0</v>
      </c>
      <c r="J407" s="670" t="str">
        <f>IFERROR(IF(CURRENCY.FORMAT_1=0,CONCATENATE(TEXT(FIXED(ROUND((C407/EXC.RATE_1),CURRENCY.FORMAT_1),CURRENCY.FORMAT_1,1),"# ##0;-# ##0"),",-"),FIXED(ROUND((C407/EXC.RATE_1),CURRENCY.FORMAT_1),CURRENCY.FORMAT_1,0)),'DICTIONARY-5'!$A$2)</f>
        <v>1 758,-</v>
      </c>
      <c r="K407" s="670" t="str">
        <f>IF(EXC.RATE_2=0,"",IFERROR(IF(CURRENCY.FORMAT_2=0,CONCATENATE(TEXT(FIXED(ROUND(IF(EXC.RATE.SWITCH=1,C407/EXC.RATE_2,C407*EXC.RATE_2),CURRENCY.FORMAT_2),CURRENCY.FORMAT_2,1),"# ##0;-# ##0"),",-"),FIXED(ROUND(IF(EXC.RATE.SWITCH=1,C407/EXC.RATE_2,C407*EXC.RATE_2),CURRENCY.FORMAT_2),CURRENCY.FORMAT_2,0)),'DICTIONARY-5'!$A$2))</f>
        <v/>
      </c>
      <c r="L407" s="670" t="str">
        <f>IFERROR(IF(CURRENCY.FORMAT_1=0,CONCATENATE(TEXT(FIXED(ROUND((C407*(1-I407)*(1-ADD.DISCOUNT)*(1+MAT.SURCHARGE)/EXC.RATE_1),CURRENCY.FORMAT_1),CURRENCY.FORMAT_1,1),"# ##0;-# ##0"),",-"),FIXED(ROUND((C407*(1-I407)*(1-ADD.DISCOUNT)*(1+MAT.SURCHARGE)/EXC.RATE_1),CURRENCY.FORMAT_1),CURRENCY.FORMAT_1,0)),'DICTIONARY-5'!$A$2)</f>
        <v>1 827,-</v>
      </c>
      <c r="M407" s="670" t="str">
        <f>IF(EXC.RATE_2=0,"",IFERROR(IF(CURRENCY.FORMAT_2=0,CONCATENATE(TEXT(FIXED(ROUND(IF(EXC.RATE.SWITCH=1,C407*(1-I407)*(1-ADD.DISCOUNT)*(1+MAT.SURCHARGE)/EXC.RATE_2,C407*(1-I407)*(1-ADD.DISCOUNT)*(1+MAT.SURCHARGE)*EXC.RATE_2),CURRENCY.FORMAT_2),CURRENCY.FORMAT_2,1),"# ##0;-# ##0"),",-"),FIXED(ROUND(IF(EXC.RATE.SWITCH=1,C407*(1-I407)*(1-ADD.DISCOUNT)*(1+MAT.SURCHARGE)/EXC.RATE_2,C407*(1-I407)*(1-ADD.DISCOUNT)*(1+MAT.SURCHARGE)*EXC.RATE_2),CURRENCY.FORMAT_2),CURRENCY.FORMAT_2,0)),'DICTIONARY-5'!$A$2))</f>
        <v/>
      </c>
      <c r="N407" s="544">
        <v>1</v>
      </c>
      <c r="O407" s="544"/>
      <c r="P407" s="731" t="str">
        <f>'DICTIONARY-3'!$A$8</f>
        <v>IKOplus</v>
      </c>
      <c r="Q407" s="732" t="str">
        <f>'DICTIONARY-3'!$A$188</f>
        <v>Zasuwa klinowa</v>
      </c>
      <c r="R407" s="732" t="str">
        <f>CONCATENATE('DICTIONARY-3'!$A$8," ",'DICTIONARY-6'!$A$3," ",'DICTIONARY-2'!$A$2,U407," ",'DICTIONARY-2'!$A$3,V407," ","R14",", ",'DICTIONARY-4'!$A$7)</f>
        <v>IKOplus Zasuwa DN250 PN10 R14, KR</v>
      </c>
      <c r="S407" s="733" t="str">
        <f>'DICTIONARY-4'!$A$7</f>
        <v>KR</v>
      </c>
      <c r="T407" s="732" t="str">
        <f>'DICTIONARY-4'!$A$23</f>
        <v>Kółko ręczne</v>
      </c>
      <c r="U407" s="734">
        <v>250</v>
      </c>
      <c r="V407" s="735">
        <v>10</v>
      </c>
      <c r="W407" s="736"/>
      <c r="X407" s="737"/>
      <c r="Y407" s="738"/>
      <c r="Z407" s="739"/>
      <c r="AA407" s="739"/>
      <c r="AB407" s="740">
        <v>10</v>
      </c>
      <c r="AC407" s="741" t="str">
        <f>'DICTIONARY-5'!$A$11&amp;" 14"</f>
        <v>EN 558 szereg 14</v>
      </c>
      <c r="AD407" s="733" t="str">
        <f>'DICTIONARY-5'!$A$17</f>
        <v>woda przemysłowa</v>
      </c>
      <c r="AE407" s="742">
        <v>70</v>
      </c>
      <c r="AF407" s="743">
        <v>98</v>
      </c>
      <c r="AG407" s="741" t="str">
        <f>'DICTIONARY-5'!$A$23</f>
        <v>powłoka epoksydowa</v>
      </c>
    </row>
    <row r="408" spans="1:33" x14ac:dyDescent="0.25">
      <c r="A408" s="842" t="s">
        <v>8000</v>
      </c>
      <c r="B408" s="842" t="s">
        <v>7992</v>
      </c>
      <c r="C408" s="836">
        <v>2073</v>
      </c>
      <c r="D408" s="836"/>
      <c r="E408" s="836"/>
      <c r="F408" s="836"/>
      <c r="G408" s="496" t="s">
        <v>7794</v>
      </c>
      <c r="H408" s="797" t="str">
        <f>VLOOKUP(G408,SETTINGS!$B$7:$D$97,2,0)</f>
        <v>IKOplus</v>
      </c>
      <c r="I408" s="796">
        <f>VLOOKUP(G408,SETTINGS!$B$7:$D$97,3,0)</f>
        <v>0</v>
      </c>
      <c r="J408" s="670" t="str">
        <f>IFERROR(IF(CURRENCY.FORMAT_1=0,CONCATENATE(TEXT(FIXED(ROUND((C408/EXC.RATE_1),CURRENCY.FORMAT_1),CURRENCY.FORMAT_1,1),"# ##0;-# ##0"),",-"),FIXED(ROUND((C408/EXC.RATE_1),CURRENCY.FORMAT_1),CURRENCY.FORMAT_1,0)),'DICTIONARY-5'!$A$2)</f>
        <v>2 073,-</v>
      </c>
      <c r="K408" s="670" t="str">
        <f>IF(EXC.RATE_2=0,"",IFERROR(IF(CURRENCY.FORMAT_2=0,CONCATENATE(TEXT(FIXED(ROUND(IF(EXC.RATE.SWITCH=1,C408/EXC.RATE_2,C408*EXC.RATE_2),CURRENCY.FORMAT_2),CURRENCY.FORMAT_2,1),"# ##0;-# ##0"),",-"),FIXED(ROUND(IF(EXC.RATE.SWITCH=1,C408/EXC.RATE_2,C408*EXC.RATE_2),CURRENCY.FORMAT_2),CURRENCY.FORMAT_2,0)),'DICTIONARY-5'!$A$2))</f>
        <v/>
      </c>
      <c r="L408" s="670" t="str">
        <f>IFERROR(IF(CURRENCY.FORMAT_1=0,CONCATENATE(TEXT(FIXED(ROUND((C408*(1-I408)*(1-ADD.DISCOUNT)*(1+MAT.SURCHARGE)/EXC.RATE_1),CURRENCY.FORMAT_1),CURRENCY.FORMAT_1,1),"# ##0;-# ##0"),",-"),FIXED(ROUND((C408*(1-I408)*(1-ADD.DISCOUNT)*(1+MAT.SURCHARGE)/EXC.RATE_1),CURRENCY.FORMAT_1),CURRENCY.FORMAT_1,0)),'DICTIONARY-5'!$A$2)</f>
        <v>2 154,-</v>
      </c>
      <c r="M408" s="670" t="str">
        <f>IF(EXC.RATE_2=0,"",IFERROR(IF(CURRENCY.FORMAT_2=0,CONCATENATE(TEXT(FIXED(ROUND(IF(EXC.RATE.SWITCH=1,C408*(1-I408)*(1-ADD.DISCOUNT)*(1+MAT.SURCHARGE)/EXC.RATE_2,C408*(1-I408)*(1-ADD.DISCOUNT)*(1+MAT.SURCHARGE)*EXC.RATE_2),CURRENCY.FORMAT_2),CURRENCY.FORMAT_2,1),"# ##0;-# ##0"),",-"),FIXED(ROUND(IF(EXC.RATE.SWITCH=1,C408*(1-I408)*(1-ADD.DISCOUNT)*(1+MAT.SURCHARGE)/EXC.RATE_2,C408*(1-I408)*(1-ADD.DISCOUNT)*(1+MAT.SURCHARGE)*EXC.RATE_2),CURRENCY.FORMAT_2),CURRENCY.FORMAT_2,0)),'DICTIONARY-5'!$A$2))</f>
        <v/>
      </c>
      <c r="N408" s="544">
        <v>1</v>
      </c>
      <c r="O408" s="544"/>
      <c r="P408" s="731" t="str">
        <f>'DICTIONARY-3'!$A$8</f>
        <v>IKOplus</v>
      </c>
      <c r="Q408" s="732" t="str">
        <f>'DICTIONARY-3'!$A$188</f>
        <v>Zasuwa klinowa</v>
      </c>
      <c r="R408" s="732" t="str">
        <f>CONCATENATE('DICTIONARY-3'!$A$8," ",'DICTIONARY-6'!$A$3," ",'DICTIONARY-2'!$A$2,U408," ",'DICTIONARY-2'!$A$3,V408," ","R14",", ",'DICTIONARY-4'!$A$7)</f>
        <v>IKOplus Zasuwa DN300 PN10 R14, KR</v>
      </c>
      <c r="S408" s="733" t="str">
        <f>'DICTIONARY-4'!$A$7</f>
        <v>KR</v>
      </c>
      <c r="T408" s="732" t="str">
        <f>'DICTIONARY-4'!$A$23</f>
        <v>Kółko ręczne</v>
      </c>
      <c r="U408" s="734">
        <v>300</v>
      </c>
      <c r="V408" s="735">
        <v>10</v>
      </c>
      <c r="W408" s="736"/>
      <c r="X408" s="737"/>
      <c r="Y408" s="738"/>
      <c r="Z408" s="739"/>
      <c r="AA408" s="739"/>
      <c r="AB408" s="740">
        <v>10</v>
      </c>
      <c r="AC408" s="741" t="str">
        <f>'DICTIONARY-5'!$A$11&amp;" 14"</f>
        <v>EN 558 szereg 14</v>
      </c>
      <c r="AD408" s="733" t="str">
        <f>'DICTIONARY-5'!$A$17</f>
        <v>woda przemysłowa</v>
      </c>
      <c r="AE408" s="742">
        <v>70</v>
      </c>
      <c r="AF408" s="743">
        <v>131.5</v>
      </c>
      <c r="AG408" s="741" t="str">
        <f>'DICTIONARY-5'!$A$23</f>
        <v>powłoka epoksydowa</v>
      </c>
    </row>
    <row r="409" spans="1:33" x14ac:dyDescent="0.25">
      <c r="A409" s="842" t="s">
        <v>8014</v>
      </c>
      <c r="B409" s="842" t="s">
        <v>8001</v>
      </c>
      <c r="C409" s="836">
        <v>430</v>
      </c>
      <c r="D409" s="836"/>
      <c r="E409" s="836"/>
      <c r="F409" s="836"/>
      <c r="G409" s="496" t="s">
        <v>7794</v>
      </c>
      <c r="H409" s="797" t="str">
        <f>VLOOKUP(G409,SETTINGS!$B$7:$D$97,2,0)</f>
        <v>IKOplus</v>
      </c>
      <c r="I409" s="796">
        <f>VLOOKUP(G409,SETTINGS!$B$7:$D$97,3,0)</f>
        <v>0</v>
      </c>
      <c r="J409" s="670" t="str">
        <f>IFERROR(IF(CURRENCY.FORMAT_1=0,CONCATENATE(TEXT(FIXED(ROUND((C409/EXC.RATE_1),CURRENCY.FORMAT_1),CURRENCY.FORMAT_1,1),"# ##0;-# ##0"),",-"),FIXED(ROUND((C409/EXC.RATE_1),CURRENCY.FORMAT_1),CURRENCY.FORMAT_1,0)),'DICTIONARY-5'!$A$2)</f>
        <v>430,-</v>
      </c>
      <c r="K409" s="670" t="str">
        <f>IF(EXC.RATE_2=0,"",IFERROR(IF(CURRENCY.FORMAT_2=0,CONCATENATE(TEXT(FIXED(ROUND(IF(EXC.RATE.SWITCH=1,C409/EXC.RATE_2,C409*EXC.RATE_2),CURRENCY.FORMAT_2),CURRENCY.FORMAT_2,1),"# ##0;-# ##0"),",-"),FIXED(ROUND(IF(EXC.RATE.SWITCH=1,C409/EXC.RATE_2,C409*EXC.RATE_2),CURRENCY.FORMAT_2),CURRENCY.FORMAT_2,0)),'DICTIONARY-5'!$A$2))</f>
        <v/>
      </c>
      <c r="L409" s="670" t="str">
        <f>IFERROR(IF(CURRENCY.FORMAT_1=0,CONCATENATE(TEXT(FIXED(ROUND((C409*(1-I409)*(1-ADD.DISCOUNT)*(1+MAT.SURCHARGE)/EXC.RATE_1),CURRENCY.FORMAT_1),CURRENCY.FORMAT_1,1),"# ##0;-# ##0"),",-"),FIXED(ROUND((C409*(1-I409)*(1-ADD.DISCOUNT)*(1+MAT.SURCHARGE)/EXC.RATE_1),CURRENCY.FORMAT_1),CURRENCY.FORMAT_1,0)),'DICTIONARY-5'!$A$2)</f>
        <v>447,-</v>
      </c>
      <c r="M409" s="670" t="str">
        <f>IF(EXC.RATE_2=0,"",IFERROR(IF(CURRENCY.FORMAT_2=0,CONCATENATE(TEXT(FIXED(ROUND(IF(EXC.RATE.SWITCH=1,C409*(1-I409)*(1-ADD.DISCOUNT)*(1+MAT.SURCHARGE)/EXC.RATE_2,C409*(1-I409)*(1-ADD.DISCOUNT)*(1+MAT.SURCHARGE)*EXC.RATE_2),CURRENCY.FORMAT_2),CURRENCY.FORMAT_2,1),"# ##0;-# ##0"),",-"),FIXED(ROUND(IF(EXC.RATE.SWITCH=1,C409*(1-I409)*(1-ADD.DISCOUNT)*(1+MAT.SURCHARGE)/EXC.RATE_2,C409*(1-I409)*(1-ADD.DISCOUNT)*(1+MAT.SURCHARGE)*EXC.RATE_2),CURRENCY.FORMAT_2),CURRENCY.FORMAT_2,0)),'DICTIONARY-5'!$A$2))</f>
        <v/>
      </c>
      <c r="N409" s="544">
        <v>1</v>
      </c>
      <c r="O409" s="544"/>
      <c r="P409" s="731" t="str">
        <f>'DICTIONARY-3'!$A$8</f>
        <v>IKOplus</v>
      </c>
      <c r="Q409" s="732" t="str">
        <f>'DICTIONARY-3'!$A$188</f>
        <v>Zasuwa klinowa</v>
      </c>
      <c r="R409" s="732" t="str">
        <f>CONCATENATE('DICTIONARY-3'!$A$8," ",'DICTIONARY-6'!$A$3," ",'DICTIONARY-2'!$A$2,U409," ",'DICTIONARY-2'!$A$3,"10/",V409," ","R15",", ",'DICTIONARY-4'!$A$7)</f>
        <v>IKOplus Zasuwa DN40 PN10/16 R15, KR</v>
      </c>
      <c r="S409" s="733" t="str">
        <f>'DICTIONARY-4'!$A$7</f>
        <v>KR</v>
      </c>
      <c r="T409" s="732" t="str">
        <f>'DICTIONARY-4'!$A$23</f>
        <v>Kółko ręczne</v>
      </c>
      <c r="U409" s="734">
        <v>40</v>
      </c>
      <c r="V409" s="735">
        <v>16</v>
      </c>
      <c r="W409" s="736"/>
      <c r="X409" s="737"/>
      <c r="Y409" s="738"/>
      <c r="Z409" s="739"/>
      <c r="AA409" s="739"/>
      <c r="AB409" s="740">
        <v>16</v>
      </c>
      <c r="AC409" s="741" t="str">
        <f>'DICTIONARY-5'!$A$11&amp;" 15"</f>
        <v>EN 558 szereg 15</v>
      </c>
      <c r="AD409" s="733" t="str">
        <f>'DICTIONARY-5'!$A$17</f>
        <v>woda przemysłowa</v>
      </c>
      <c r="AE409" s="742">
        <v>70</v>
      </c>
      <c r="AF409" s="743">
        <v>10</v>
      </c>
      <c r="AG409" s="741" t="str">
        <f>'DICTIONARY-5'!$A$23</f>
        <v>powłoka epoksydowa</v>
      </c>
    </row>
    <row r="410" spans="1:33" x14ac:dyDescent="0.25">
      <c r="A410" s="842" t="s">
        <v>8015</v>
      </c>
      <c r="B410" s="842" t="s">
        <v>8002</v>
      </c>
      <c r="C410" s="836">
        <v>453</v>
      </c>
      <c r="D410" s="836"/>
      <c r="E410" s="836"/>
      <c r="F410" s="836"/>
      <c r="G410" s="496" t="s">
        <v>7794</v>
      </c>
      <c r="H410" s="797" t="str">
        <f>VLOOKUP(G410,SETTINGS!$B$7:$D$97,2,0)</f>
        <v>IKOplus</v>
      </c>
      <c r="I410" s="796">
        <f>VLOOKUP(G410,SETTINGS!$B$7:$D$97,3,0)</f>
        <v>0</v>
      </c>
      <c r="J410" s="670" t="str">
        <f>IFERROR(IF(CURRENCY.FORMAT_1=0,CONCATENATE(TEXT(FIXED(ROUND((C410/EXC.RATE_1),CURRENCY.FORMAT_1),CURRENCY.FORMAT_1,1),"# ##0;-# ##0"),",-"),FIXED(ROUND((C410/EXC.RATE_1),CURRENCY.FORMAT_1),CURRENCY.FORMAT_1,0)),'DICTIONARY-5'!$A$2)</f>
        <v>453,-</v>
      </c>
      <c r="K410" s="670" t="str">
        <f>IF(EXC.RATE_2=0,"",IFERROR(IF(CURRENCY.FORMAT_2=0,CONCATENATE(TEXT(FIXED(ROUND(IF(EXC.RATE.SWITCH=1,C410/EXC.RATE_2,C410*EXC.RATE_2),CURRENCY.FORMAT_2),CURRENCY.FORMAT_2,1),"# ##0;-# ##0"),",-"),FIXED(ROUND(IF(EXC.RATE.SWITCH=1,C410/EXC.RATE_2,C410*EXC.RATE_2),CURRENCY.FORMAT_2),CURRENCY.FORMAT_2,0)),'DICTIONARY-5'!$A$2))</f>
        <v/>
      </c>
      <c r="L410" s="670" t="str">
        <f>IFERROR(IF(CURRENCY.FORMAT_1=0,CONCATENATE(TEXT(FIXED(ROUND((C410*(1-I410)*(1-ADD.DISCOUNT)*(1+MAT.SURCHARGE)/EXC.RATE_1),CURRENCY.FORMAT_1),CURRENCY.FORMAT_1,1),"# ##0;-# ##0"),",-"),FIXED(ROUND((C410*(1-I410)*(1-ADD.DISCOUNT)*(1+MAT.SURCHARGE)/EXC.RATE_1),CURRENCY.FORMAT_1),CURRENCY.FORMAT_1,0)),'DICTIONARY-5'!$A$2)</f>
        <v>471,-</v>
      </c>
      <c r="M410" s="670" t="str">
        <f>IF(EXC.RATE_2=0,"",IFERROR(IF(CURRENCY.FORMAT_2=0,CONCATENATE(TEXT(FIXED(ROUND(IF(EXC.RATE.SWITCH=1,C410*(1-I410)*(1-ADD.DISCOUNT)*(1+MAT.SURCHARGE)/EXC.RATE_2,C410*(1-I410)*(1-ADD.DISCOUNT)*(1+MAT.SURCHARGE)*EXC.RATE_2),CURRENCY.FORMAT_2),CURRENCY.FORMAT_2,1),"# ##0;-# ##0"),",-"),FIXED(ROUND(IF(EXC.RATE.SWITCH=1,C410*(1-I410)*(1-ADD.DISCOUNT)*(1+MAT.SURCHARGE)/EXC.RATE_2,C410*(1-I410)*(1-ADD.DISCOUNT)*(1+MAT.SURCHARGE)*EXC.RATE_2),CURRENCY.FORMAT_2),CURRENCY.FORMAT_2,0)),'DICTIONARY-5'!$A$2))</f>
        <v/>
      </c>
      <c r="N410" s="544">
        <v>1</v>
      </c>
      <c r="O410" s="544"/>
      <c r="P410" s="731" t="str">
        <f>'DICTIONARY-3'!$A$8</f>
        <v>IKOplus</v>
      </c>
      <c r="Q410" s="732" t="str">
        <f>'DICTIONARY-3'!$A$188</f>
        <v>Zasuwa klinowa</v>
      </c>
      <c r="R410" s="732" t="str">
        <f>CONCATENATE('DICTIONARY-3'!$A$8," ",'DICTIONARY-6'!$A$3," ",'DICTIONARY-2'!$A$2,U410," ",'DICTIONARY-2'!$A$3,"10/",V410," ","R15",", ",'DICTIONARY-4'!$A$7)</f>
        <v>IKOplus Zasuwa DN50 PN10/16 R15, KR</v>
      </c>
      <c r="S410" s="733" t="str">
        <f>'DICTIONARY-4'!$A$7</f>
        <v>KR</v>
      </c>
      <c r="T410" s="732" t="str">
        <f>'DICTIONARY-4'!$A$23</f>
        <v>Kółko ręczne</v>
      </c>
      <c r="U410" s="734">
        <v>50</v>
      </c>
      <c r="V410" s="735">
        <v>16</v>
      </c>
      <c r="W410" s="736"/>
      <c r="X410" s="737"/>
      <c r="Y410" s="738"/>
      <c r="Z410" s="739"/>
      <c r="AA410" s="739"/>
      <c r="AB410" s="740">
        <v>16</v>
      </c>
      <c r="AC410" s="741" t="str">
        <f>'DICTIONARY-5'!$A$11&amp;" 15"</f>
        <v>EN 558 szereg 15</v>
      </c>
      <c r="AD410" s="733" t="str">
        <f>'DICTIONARY-5'!$A$17</f>
        <v>woda przemysłowa</v>
      </c>
      <c r="AE410" s="742">
        <v>70</v>
      </c>
      <c r="AF410" s="743">
        <v>10</v>
      </c>
      <c r="AG410" s="741" t="str">
        <f>'DICTIONARY-5'!$A$23</f>
        <v>powłoka epoksydowa</v>
      </c>
    </row>
    <row r="411" spans="1:33" x14ac:dyDescent="0.25">
      <c r="A411" s="842" t="s">
        <v>8016</v>
      </c>
      <c r="B411" s="842" t="s">
        <v>8003</v>
      </c>
      <c r="C411" s="836">
        <v>513</v>
      </c>
      <c r="D411" s="836"/>
      <c r="E411" s="836"/>
      <c r="F411" s="836"/>
      <c r="G411" s="496" t="s">
        <v>7794</v>
      </c>
      <c r="H411" s="797" t="str">
        <f>VLOOKUP(G411,SETTINGS!$B$7:$D$97,2,0)</f>
        <v>IKOplus</v>
      </c>
      <c r="I411" s="796">
        <f>VLOOKUP(G411,SETTINGS!$B$7:$D$97,3,0)</f>
        <v>0</v>
      </c>
      <c r="J411" s="670" t="str">
        <f>IFERROR(IF(CURRENCY.FORMAT_1=0,CONCATENATE(TEXT(FIXED(ROUND((C411/EXC.RATE_1),CURRENCY.FORMAT_1),CURRENCY.FORMAT_1,1),"# ##0;-# ##0"),",-"),FIXED(ROUND((C411/EXC.RATE_1),CURRENCY.FORMAT_1),CURRENCY.FORMAT_1,0)),'DICTIONARY-5'!$A$2)</f>
        <v>513,-</v>
      </c>
      <c r="K411" s="670" t="str">
        <f>IF(EXC.RATE_2=0,"",IFERROR(IF(CURRENCY.FORMAT_2=0,CONCATENATE(TEXT(FIXED(ROUND(IF(EXC.RATE.SWITCH=1,C411/EXC.RATE_2,C411*EXC.RATE_2),CURRENCY.FORMAT_2),CURRENCY.FORMAT_2,1),"# ##0;-# ##0"),",-"),FIXED(ROUND(IF(EXC.RATE.SWITCH=1,C411/EXC.RATE_2,C411*EXC.RATE_2),CURRENCY.FORMAT_2),CURRENCY.FORMAT_2,0)),'DICTIONARY-5'!$A$2))</f>
        <v/>
      </c>
      <c r="L411" s="670" t="str">
        <f>IFERROR(IF(CURRENCY.FORMAT_1=0,CONCATENATE(TEXT(FIXED(ROUND((C411*(1-I411)*(1-ADD.DISCOUNT)*(1+MAT.SURCHARGE)/EXC.RATE_1),CURRENCY.FORMAT_1),CURRENCY.FORMAT_1,1),"# ##0;-# ##0"),",-"),FIXED(ROUND((C411*(1-I411)*(1-ADD.DISCOUNT)*(1+MAT.SURCHARGE)/EXC.RATE_1),CURRENCY.FORMAT_1),CURRENCY.FORMAT_1,0)),'DICTIONARY-5'!$A$2)</f>
        <v>533,-</v>
      </c>
      <c r="M411" s="670" t="str">
        <f>IF(EXC.RATE_2=0,"",IFERROR(IF(CURRENCY.FORMAT_2=0,CONCATENATE(TEXT(FIXED(ROUND(IF(EXC.RATE.SWITCH=1,C411*(1-I411)*(1-ADD.DISCOUNT)*(1+MAT.SURCHARGE)/EXC.RATE_2,C411*(1-I411)*(1-ADD.DISCOUNT)*(1+MAT.SURCHARGE)*EXC.RATE_2),CURRENCY.FORMAT_2),CURRENCY.FORMAT_2,1),"# ##0;-# ##0"),",-"),FIXED(ROUND(IF(EXC.RATE.SWITCH=1,C411*(1-I411)*(1-ADD.DISCOUNT)*(1+MAT.SURCHARGE)/EXC.RATE_2,C411*(1-I411)*(1-ADD.DISCOUNT)*(1+MAT.SURCHARGE)*EXC.RATE_2),CURRENCY.FORMAT_2),CURRENCY.FORMAT_2,0)),'DICTIONARY-5'!$A$2))</f>
        <v/>
      </c>
      <c r="N411" s="544">
        <v>1</v>
      </c>
      <c r="O411" s="544"/>
      <c r="P411" s="731" t="str">
        <f>'DICTIONARY-3'!$A$8</f>
        <v>IKOplus</v>
      </c>
      <c r="Q411" s="732" t="str">
        <f>'DICTIONARY-3'!$A$188</f>
        <v>Zasuwa klinowa</v>
      </c>
      <c r="R411" s="732" t="str">
        <f>CONCATENATE('DICTIONARY-3'!$A$8," ",'DICTIONARY-6'!$A$3," ",'DICTIONARY-2'!$A$2,U411," ",'DICTIONARY-2'!$A$3,"10/",V411," ","R15",", ",'DICTIONARY-4'!$A$7)</f>
        <v>IKOplus Zasuwa DN65 PN10/16 R15, KR</v>
      </c>
      <c r="S411" s="733" t="str">
        <f>'DICTIONARY-4'!$A$7</f>
        <v>KR</v>
      </c>
      <c r="T411" s="732" t="str">
        <f>'DICTIONARY-4'!$A$23</f>
        <v>Kółko ręczne</v>
      </c>
      <c r="U411" s="734">
        <v>65</v>
      </c>
      <c r="V411" s="735">
        <v>16</v>
      </c>
      <c r="W411" s="736"/>
      <c r="X411" s="737"/>
      <c r="Y411" s="738"/>
      <c r="Z411" s="739"/>
      <c r="AA411" s="739"/>
      <c r="AB411" s="740">
        <v>16</v>
      </c>
      <c r="AC411" s="741" t="str">
        <f>'DICTIONARY-5'!$A$11&amp;" 15"</f>
        <v>EN 558 szereg 15</v>
      </c>
      <c r="AD411" s="733" t="str">
        <f>'DICTIONARY-5'!$A$17</f>
        <v>woda przemysłowa</v>
      </c>
      <c r="AE411" s="742">
        <v>70</v>
      </c>
      <c r="AF411" s="743">
        <v>17.5</v>
      </c>
      <c r="AG411" s="741" t="str">
        <f>'DICTIONARY-5'!$A$23</f>
        <v>powłoka epoksydowa</v>
      </c>
    </row>
    <row r="412" spans="1:33" x14ac:dyDescent="0.25">
      <c r="A412" s="842" t="s">
        <v>8017</v>
      </c>
      <c r="B412" s="842" t="s">
        <v>8004</v>
      </c>
      <c r="C412" s="836">
        <v>541</v>
      </c>
      <c r="D412" s="836"/>
      <c r="E412" s="836"/>
      <c r="F412" s="836"/>
      <c r="G412" s="496" t="s">
        <v>7794</v>
      </c>
      <c r="H412" s="797" t="str">
        <f>VLOOKUP(G412,SETTINGS!$B$7:$D$97,2,0)</f>
        <v>IKOplus</v>
      </c>
      <c r="I412" s="796">
        <f>VLOOKUP(G412,SETTINGS!$B$7:$D$97,3,0)</f>
        <v>0</v>
      </c>
      <c r="J412" s="670" t="str">
        <f>IFERROR(IF(CURRENCY.FORMAT_1=0,CONCATENATE(TEXT(FIXED(ROUND((C412/EXC.RATE_1),CURRENCY.FORMAT_1),CURRENCY.FORMAT_1,1),"# ##0;-# ##0"),",-"),FIXED(ROUND((C412/EXC.RATE_1),CURRENCY.FORMAT_1),CURRENCY.FORMAT_1,0)),'DICTIONARY-5'!$A$2)</f>
        <v>541,-</v>
      </c>
      <c r="K412" s="670" t="str">
        <f>IF(EXC.RATE_2=0,"",IFERROR(IF(CURRENCY.FORMAT_2=0,CONCATENATE(TEXT(FIXED(ROUND(IF(EXC.RATE.SWITCH=1,C412/EXC.RATE_2,C412*EXC.RATE_2),CURRENCY.FORMAT_2),CURRENCY.FORMAT_2,1),"# ##0;-# ##0"),",-"),FIXED(ROUND(IF(EXC.RATE.SWITCH=1,C412/EXC.RATE_2,C412*EXC.RATE_2),CURRENCY.FORMAT_2),CURRENCY.FORMAT_2,0)),'DICTIONARY-5'!$A$2))</f>
        <v/>
      </c>
      <c r="L412" s="670" t="str">
        <f>IFERROR(IF(CURRENCY.FORMAT_1=0,CONCATENATE(TEXT(FIXED(ROUND((C412*(1-I412)*(1-ADD.DISCOUNT)*(1+MAT.SURCHARGE)/EXC.RATE_1),CURRENCY.FORMAT_1),CURRENCY.FORMAT_1,1),"# ##0;-# ##0"),",-"),FIXED(ROUND((C412*(1-I412)*(1-ADD.DISCOUNT)*(1+MAT.SURCHARGE)/EXC.RATE_1),CURRENCY.FORMAT_1),CURRENCY.FORMAT_1,0)),'DICTIONARY-5'!$A$2)</f>
        <v>562,-</v>
      </c>
      <c r="M412" s="670" t="str">
        <f>IF(EXC.RATE_2=0,"",IFERROR(IF(CURRENCY.FORMAT_2=0,CONCATENATE(TEXT(FIXED(ROUND(IF(EXC.RATE.SWITCH=1,C412*(1-I412)*(1-ADD.DISCOUNT)*(1+MAT.SURCHARGE)/EXC.RATE_2,C412*(1-I412)*(1-ADD.DISCOUNT)*(1+MAT.SURCHARGE)*EXC.RATE_2),CURRENCY.FORMAT_2),CURRENCY.FORMAT_2,1),"# ##0;-# ##0"),",-"),FIXED(ROUND(IF(EXC.RATE.SWITCH=1,C412*(1-I412)*(1-ADD.DISCOUNT)*(1+MAT.SURCHARGE)/EXC.RATE_2,C412*(1-I412)*(1-ADD.DISCOUNT)*(1+MAT.SURCHARGE)*EXC.RATE_2),CURRENCY.FORMAT_2),CURRENCY.FORMAT_2,0)),'DICTIONARY-5'!$A$2))</f>
        <v/>
      </c>
      <c r="N412" s="544">
        <v>1</v>
      </c>
      <c r="O412" s="544"/>
      <c r="P412" s="731" t="str">
        <f>'DICTIONARY-3'!$A$8</f>
        <v>IKOplus</v>
      </c>
      <c r="Q412" s="732" t="str">
        <f>'DICTIONARY-3'!$A$188</f>
        <v>Zasuwa klinowa</v>
      </c>
      <c r="R412" s="732" t="str">
        <f>CONCATENATE('DICTIONARY-3'!$A$8," ",'DICTIONARY-6'!$A$3," ",'DICTIONARY-2'!$A$2,U412," ",'DICTIONARY-2'!$A$3,"10/",V412," ","R15",", ",'DICTIONARY-4'!$A$7)</f>
        <v>IKOplus Zasuwa DN80 PN10/16 R15, KR</v>
      </c>
      <c r="S412" s="733" t="str">
        <f>'DICTIONARY-4'!$A$7</f>
        <v>KR</v>
      </c>
      <c r="T412" s="732" t="str">
        <f>'DICTIONARY-4'!$A$23</f>
        <v>Kółko ręczne</v>
      </c>
      <c r="U412" s="734">
        <v>80</v>
      </c>
      <c r="V412" s="735">
        <v>16</v>
      </c>
      <c r="W412" s="736"/>
      <c r="X412" s="737"/>
      <c r="Y412" s="738"/>
      <c r="Z412" s="739"/>
      <c r="AA412" s="739"/>
      <c r="AB412" s="740">
        <v>16</v>
      </c>
      <c r="AC412" s="741" t="str">
        <f>'DICTIONARY-5'!$A$11&amp;" 15"</f>
        <v>EN 558 szereg 15</v>
      </c>
      <c r="AD412" s="733" t="str">
        <f>'DICTIONARY-5'!$A$17</f>
        <v>woda przemysłowa</v>
      </c>
      <c r="AE412" s="742">
        <v>70</v>
      </c>
      <c r="AF412" s="743">
        <v>19.5</v>
      </c>
      <c r="AG412" s="741" t="str">
        <f>'DICTIONARY-5'!$A$23</f>
        <v>powłoka epoksydowa</v>
      </c>
    </row>
    <row r="413" spans="1:33" x14ac:dyDescent="0.25">
      <c r="A413" s="842" t="s">
        <v>8018</v>
      </c>
      <c r="B413" s="842" t="s">
        <v>8005</v>
      </c>
      <c r="C413" s="836">
        <v>558</v>
      </c>
      <c r="D413" s="836"/>
      <c r="E413" s="836"/>
      <c r="F413" s="836"/>
      <c r="G413" s="496" t="s">
        <v>7794</v>
      </c>
      <c r="H413" s="797" t="str">
        <f>VLOOKUP(G413,SETTINGS!$B$7:$D$97,2,0)</f>
        <v>IKOplus</v>
      </c>
      <c r="I413" s="796">
        <f>VLOOKUP(G413,SETTINGS!$B$7:$D$97,3,0)</f>
        <v>0</v>
      </c>
      <c r="J413" s="670" t="str">
        <f>IFERROR(IF(CURRENCY.FORMAT_1=0,CONCATENATE(TEXT(FIXED(ROUND((C413/EXC.RATE_1),CURRENCY.FORMAT_1),CURRENCY.FORMAT_1,1),"# ##0;-# ##0"),",-"),FIXED(ROUND((C413/EXC.RATE_1),CURRENCY.FORMAT_1),CURRENCY.FORMAT_1,0)),'DICTIONARY-5'!$A$2)</f>
        <v>558,-</v>
      </c>
      <c r="K413" s="670" t="str">
        <f>IF(EXC.RATE_2=0,"",IFERROR(IF(CURRENCY.FORMAT_2=0,CONCATENATE(TEXT(FIXED(ROUND(IF(EXC.RATE.SWITCH=1,C413/EXC.RATE_2,C413*EXC.RATE_2),CURRENCY.FORMAT_2),CURRENCY.FORMAT_2,1),"# ##0;-# ##0"),",-"),FIXED(ROUND(IF(EXC.RATE.SWITCH=1,C413/EXC.RATE_2,C413*EXC.RATE_2),CURRENCY.FORMAT_2),CURRENCY.FORMAT_2,0)),'DICTIONARY-5'!$A$2))</f>
        <v/>
      </c>
      <c r="L413" s="670" t="str">
        <f>IFERROR(IF(CURRENCY.FORMAT_1=0,CONCATENATE(TEXT(FIXED(ROUND((C413*(1-I413)*(1-ADD.DISCOUNT)*(1+MAT.SURCHARGE)/EXC.RATE_1),CURRENCY.FORMAT_1),CURRENCY.FORMAT_1,1),"# ##0;-# ##0"),",-"),FIXED(ROUND((C413*(1-I413)*(1-ADD.DISCOUNT)*(1+MAT.SURCHARGE)/EXC.RATE_1),CURRENCY.FORMAT_1),CURRENCY.FORMAT_1,0)),'DICTIONARY-5'!$A$2)</f>
        <v>580,-</v>
      </c>
      <c r="M413" s="670" t="str">
        <f>IF(EXC.RATE_2=0,"",IFERROR(IF(CURRENCY.FORMAT_2=0,CONCATENATE(TEXT(FIXED(ROUND(IF(EXC.RATE.SWITCH=1,C413*(1-I413)*(1-ADD.DISCOUNT)*(1+MAT.SURCHARGE)/EXC.RATE_2,C413*(1-I413)*(1-ADD.DISCOUNT)*(1+MAT.SURCHARGE)*EXC.RATE_2),CURRENCY.FORMAT_2),CURRENCY.FORMAT_2,1),"# ##0;-# ##0"),",-"),FIXED(ROUND(IF(EXC.RATE.SWITCH=1,C413*(1-I413)*(1-ADD.DISCOUNT)*(1+MAT.SURCHARGE)/EXC.RATE_2,C413*(1-I413)*(1-ADD.DISCOUNT)*(1+MAT.SURCHARGE)*EXC.RATE_2),CURRENCY.FORMAT_2),CURRENCY.FORMAT_2,0)),'DICTIONARY-5'!$A$2))</f>
        <v/>
      </c>
      <c r="N413" s="544">
        <v>1</v>
      </c>
      <c r="O413" s="544"/>
      <c r="P413" s="731" t="str">
        <f>'DICTIONARY-3'!$A$8</f>
        <v>IKOplus</v>
      </c>
      <c r="Q413" s="732" t="str">
        <f>'DICTIONARY-3'!$A$188</f>
        <v>Zasuwa klinowa</v>
      </c>
      <c r="R413" s="732" t="str">
        <f>CONCATENATE('DICTIONARY-3'!$A$8," ",'DICTIONARY-6'!$A$3," ",'DICTIONARY-2'!$A$2,U413," ",'DICTIONARY-2'!$A$3,"10/",V413," ","R15",", ",'DICTIONARY-4'!$A$7)</f>
        <v>IKOplus Zasuwa DN100 PN10/16 R15, KR</v>
      </c>
      <c r="S413" s="733" t="str">
        <f>'DICTIONARY-4'!$A$7</f>
        <v>KR</v>
      </c>
      <c r="T413" s="732" t="str">
        <f>'DICTIONARY-4'!$A$23</f>
        <v>Kółko ręczne</v>
      </c>
      <c r="U413" s="734">
        <v>100</v>
      </c>
      <c r="V413" s="735">
        <v>16</v>
      </c>
      <c r="W413" s="736"/>
      <c r="X413" s="737"/>
      <c r="Y413" s="738"/>
      <c r="Z413" s="739"/>
      <c r="AA413" s="739"/>
      <c r="AB413" s="740">
        <v>16</v>
      </c>
      <c r="AC413" s="741" t="str">
        <f>'DICTIONARY-5'!$A$11&amp;" 15"</f>
        <v>EN 558 szereg 15</v>
      </c>
      <c r="AD413" s="733" t="str">
        <f>'DICTIONARY-5'!$A$17</f>
        <v>woda przemysłowa</v>
      </c>
      <c r="AE413" s="742">
        <v>70</v>
      </c>
      <c r="AF413" s="743">
        <v>26.5</v>
      </c>
      <c r="AG413" s="741" t="str">
        <f>'DICTIONARY-5'!$A$23</f>
        <v>powłoka epoksydowa</v>
      </c>
    </row>
    <row r="414" spans="1:33" x14ac:dyDescent="0.25">
      <c r="A414" s="842" t="s">
        <v>8019</v>
      </c>
      <c r="B414" s="842" t="s">
        <v>8006</v>
      </c>
      <c r="C414" s="836">
        <v>654</v>
      </c>
      <c r="D414" s="836"/>
      <c r="E414" s="836"/>
      <c r="F414" s="836"/>
      <c r="G414" s="496" t="s">
        <v>7794</v>
      </c>
      <c r="H414" s="797" t="str">
        <f>VLOOKUP(G414,SETTINGS!$B$7:$D$97,2,0)</f>
        <v>IKOplus</v>
      </c>
      <c r="I414" s="796">
        <f>VLOOKUP(G414,SETTINGS!$B$7:$D$97,3,0)</f>
        <v>0</v>
      </c>
      <c r="J414" s="670" t="str">
        <f>IFERROR(IF(CURRENCY.FORMAT_1=0,CONCATENATE(TEXT(FIXED(ROUND((C414/EXC.RATE_1),CURRENCY.FORMAT_1),CURRENCY.FORMAT_1,1),"# ##0;-# ##0"),",-"),FIXED(ROUND((C414/EXC.RATE_1),CURRENCY.FORMAT_1),CURRENCY.FORMAT_1,0)),'DICTIONARY-5'!$A$2)</f>
        <v>654,-</v>
      </c>
      <c r="K414" s="670" t="str">
        <f>IF(EXC.RATE_2=0,"",IFERROR(IF(CURRENCY.FORMAT_2=0,CONCATENATE(TEXT(FIXED(ROUND(IF(EXC.RATE.SWITCH=1,C414/EXC.RATE_2,C414*EXC.RATE_2),CURRENCY.FORMAT_2),CURRENCY.FORMAT_2,1),"# ##0;-# ##0"),",-"),FIXED(ROUND(IF(EXC.RATE.SWITCH=1,C414/EXC.RATE_2,C414*EXC.RATE_2),CURRENCY.FORMAT_2),CURRENCY.FORMAT_2,0)),'DICTIONARY-5'!$A$2))</f>
        <v/>
      </c>
      <c r="L414" s="670" t="str">
        <f>IFERROR(IF(CURRENCY.FORMAT_1=0,CONCATENATE(TEXT(FIXED(ROUND((C414*(1-I414)*(1-ADD.DISCOUNT)*(1+MAT.SURCHARGE)/EXC.RATE_1),CURRENCY.FORMAT_1),CURRENCY.FORMAT_1,1),"# ##0;-# ##0"),",-"),FIXED(ROUND((C414*(1-I414)*(1-ADD.DISCOUNT)*(1+MAT.SURCHARGE)/EXC.RATE_1),CURRENCY.FORMAT_1),CURRENCY.FORMAT_1,0)),'DICTIONARY-5'!$A$2)</f>
        <v>680,-</v>
      </c>
      <c r="M414" s="670" t="str">
        <f>IF(EXC.RATE_2=0,"",IFERROR(IF(CURRENCY.FORMAT_2=0,CONCATENATE(TEXT(FIXED(ROUND(IF(EXC.RATE.SWITCH=1,C414*(1-I414)*(1-ADD.DISCOUNT)*(1+MAT.SURCHARGE)/EXC.RATE_2,C414*(1-I414)*(1-ADD.DISCOUNT)*(1+MAT.SURCHARGE)*EXC.RATE_2),CURRENCY.FORMAT_2),CURRENCY.FORMAT_2,1),"# ##0;-# ##0"),",-"),FIXED(ROUND(IF(EXC.RATE.SWITCH=1,C414*(1-I414)*(1-ADD.DISCOUNT)*(1+MAT.SURCHARGE)/EXC.RATE_2,C414*(1-I414)*(1-ADD.DISCOUNT)*(1+MAT.SURCHARGE)*EXC.RATE_2),CURRENCY.FORMAT_2),CURRENCY.FORMAT_2,0)),'DICTIONARY-5'!$A$2))</f>
        <v/>
      </c>
      <c r="N414" s="544">
        <v>1</v>
      </c>
      <c r="O414" s="544"/>
      <c r="P414" s="731" t="str">
        <f>'DICTIONARY-3'!$A$8</f>
        <v>IKOplus</v>
      </c>
      <c r="Q414" s="732" t="str">
        <f>'DICTIONARY-3'!$A$188</f>
        <v>Zasuwa klinowa</v>
      </c>
      <c r="R414" s="732" t="str">
        <f>CONCATENATE('DICTIONARY-3'!$A$8," ",'DICTIONARY-6'!$A$3," ",'DICTIONARY-2'!$A$2,U414," ",'DICTIONARY-2'!$A$3,"10/",V414," ","R15",", ",'DICTIONARY-4'!$A$7)</f>
        <v>IKOplus Zasuwa DN125 PN10/16 R15, KR</v>
      </c>
      <c r="S414" s="733" t="str">
        <f>'DICTIONARY-4'!$A$7</f>
        <v>KR</v>
      </c>
      <c r="T414" s="732" t="str">
        <f>'DICTIONARY-4'!$A$23</f>
        <v>Kółko ręczne</v>
      </c>
      <c r="U414" s="734">
        <v>125</v>
      </c>
      <c r="V414" s="735">
        <v>16</v>
      </c>
      <c r="W414" s="736"/>
      <c r="X414" s="737"/>
      <c r="Y414" s="738"/>
      <c r="Z414" s="739"/>
      <c r="AA414" s="739"/>
      <c r="AB414" s="740">
        <v>16</v>
      </c>
      <c r="AC414" s="741" t="str">
        <f>'DICTIONARY-5'!$A$11&amp;" 15"</f>
        <v>EN 558 szereg 15</v>
      </c>
      <c r="AD414" s="733" t="str">
        <f>'DICTIONARY-5'!$A$17</f>
        <v>woda przemysłowa</v>
      </c>
      <c r="AE414" s="742">
        <v>70</v>
      </c>
      <c r="AF414" s="743">
        <v>38.5</v>
      </c>
      <c r="AG414" s="741" t="str">
        <f>'DICTIONARY-5'!$A$23</f>
        <v>powłoka epoksydowa</v>
      </c>
    </row>
    <row r="415" spans="1:33" x14ac:dyDescent="0.25">
      <c r="A415" s="842" t="s">
        <v>8020</v>
      </c>
      <c r="B415" s="842" t="s">
        <v>8007</v>
      </c>
      <c r="C415" s="836">
        <v>908</v>
      </c>
      <c r="D415" s="836"/>
      <c r="E415" s="836"/>
      <c r="F415" s="836"/>
      <c r="G415" s="496" t="s">
        <v>7794</v>
      </c>
      <c r="H415" s="797" t="str">
        <f>VLOOKUP(G415,SETTINGS!$B$7:$D$97,2,0)</f>
        <v>IKOplus</v>
      </c>
      <c r="I415" s="796">
        <f>VLOOKUP(G415,SETTINGS!$B$7:$D$97,3,0)</f>
        <v>0</v>
      </c>
      <c r="J415" s="670" t="str">
        <f>IFERROR(IF(CURRENCY.FORMAT_1=0,CONCATENATE(TEXT(FIXED(ROUND((C415/EXC.RATE_1),CURRENCY.FORMAT_1),CURRENCY.FORMAT_1,1),"# ##0;-# ##0"),",-"),FIXED(ROUND((C415/EXC.RATE_1),CURRENCY.FORMAT_1),CURRENCY.FORMAT_1,0)),'DICTIONARY-5'!$A$2)</f>
        <v>908,-</v>
      </c>
      <c r="K415" s="670" t="str">
        <f>IF(EXC.RATE_2=0,"",IFERROR(IF(CURRENCY.FORMAT_2=0,CONCATENATE(TEXT(FIXED(ROUND(IF(EXC.RATE.SWITCH=1,C415/EXC.RATE_2,C415*EXC.RATE_2),CURRENCY.FORMAT_2),CURRENCY.FORMAT_2,1),"# ##0;-# ##0"),",-"),FIXED(ROUND(IF(EXC.RATE.SWITCH=1,C415/EXC.RATE_2,C415*EXC.RATE_2),CURRENCY.FORMAT_2),CURRENCY.FORMAT_2,0)),'DICTIONARY-5'!$A$2))</f>
        <v/>
      </c>
      <c r="L415" s="670" t="str">
        <f>IFERROR(IF(CURRENCY.FORMAT_1=0,CONCATENATE(TEXT(FIXED(ROUND((C415*(1-I415)*(1-ADD.DISCOUNT)*(1+MAT.SURCHARGE)/EXC.RATE_1),CURRENCY.FORMAT_1),CURRENCY.FORMAT_1,1),"# ##0;-# ##0"),",-"),FIXED(ROUND((C415*(1-I415)*(1-ADD.DISCOUNT)*(1+MAT.SURCHARGE)/EXC.RATE_1),CURRENCY.FORMAT_1),CURRENCY.FORMAT_1,0)),'DICTIONARY-5'!$A$2)</f>
        <v>943,-</v>
      </c>
      <c r="M415" s="670" t="str">
        <f>IF(EXC.RATE_2=0,"",IFERROR(IF(CURRENCY.FORMAT_2=0,CONCATENATE(TEXT(FIXED(ROUND(IF(EXC.RATE.SWITCH=1,C415*(1-I415)*(1-ADD.DISCOUNT)*(1+MAT.SURCHARGE)/EXC.RATE_2,C415*(1-I415)*(1-ADD.DISCOUNT)*(1+MAT.SURCHARGE)*EXC.RATE_2),CURRENCY.FORMAT_2),CURRENCY.FORMAT_2,1),"# ##0;-# ##0"),",-"),FIXED(ROUND(IF(EXC.RATE.SWITCH=1,C415*(1-I415)*(1-ADD.DISCOUNT)*(1+MAT.SURCHARGE)/EXC.RATE_2,C415*(1-I415)*(1-ADD.DISCOUNT)*(1+MAT.SURCHARGE)*EXC.RATE_2),CURRENCY.FORMAT_2),CURRENCY.FORMAT_2,0)),'DICTIONARY-5'!$A$2))</f>
        <v/>
      </c>
      <c r="N415" s="544">
        <v>1</v>
      </c>
      <c r="O415" s="544"/>
      <c r="P415" s="731" t="str">
        <f>'DICTIONARY-3'!$A$8</f>
        <v>IKOplus</v>
      </c>
      <c r="Q415" s="732" t="str">
        <f>'DICTIONARY-3'!$A$188</f>
        <v>Zasuwa klinowa</v>
      </c>
      <c r="R415" s="732" t="str">
        <f>CONCATENATE('DICTIONARY-3'!$A$8," ",'DICTIONARY-6'!$A$3," ",'DICTIONARY-2'!$A$2,U415," ",'DICTIONARY-2'!$A$3,"10/",V415," ","R15",", ",'DICTIONARY-4'!$A$7)</f>
        <v>IKOplus Zasuwa DN150 PN10/16 R15, KR</v>
      </c>
      <c r="S415" s="733" t="str">
        <f>'DICTIONARY-4'!$A$7</f>
        <v>KR</v>
      </c>
      <c r="T415" s="732" t="str">
        <f>'DICTIONARY-4'!$A$23</f>
        <v>Kółko ręczne</v>
      </c>
      <c r="U415" s="734">
        <v>150</v>
      </c>
      <c r="V415" s="735">
        <v>16</v>
      </c>
      <c r="W415" s="736"/>
      <c r="X415" s="737"/>
      <c r="Y415" s="738"/>
      <c r="Z415" s="739"/>
      <c r="AA415" s="739"/>
      <c r="AB415" s="740">
        <v>16</v>
      </c>
      <c r="AC415" s="741" t="str">
        <f>'DICTIONARY-5'!$A$11&amp;" 15"</f>
        <v>EN 558 szereg 15</v>
      </c>
      <c r="AD415" s="733" t="str">
        <f>'DICTIONARY-5'!$A$17</f>
        <v>woda przemysłowa</v>
      </c>
      <c r="AE415" s="742">
        <v>70</v>
      </c>
      <c r="AF415" s="743">
        <v>49.4</v>
      </c>
      <c r="AG415" s="741" t="str">
        <f>'DICTIONARY-5'!$A$23</f>
        <v>powłoka epoksydowa</v>
      </c>
    </row>
    <row r="416" spans="1:33" x14ac:dyDescent="0.25">
      <c r="A416" s="842" t="s">
        <v>8021</v>
      </c>
      <c r="B416" s="842" t="s">
        <v>8008</v>
      </c>
      <c r="C416" s="836">
        <v>1133</v>
      </c>
      <c r="D416" s="836"/>
      <c r="E416" s="836"/>
      <c r="F416" s="836"/>
      <c r="G416" s="496" t="s">
        <v>7794</v>
      </c>
      <c r="H416" s="797" t="str">
        <f>VLOOKUP(G416,SETTINGS!$B$7:$D$97,2,0)</f>
        <v>IKOplus</v>
      </c>
      <c r="I416" s="796">
        <f>VLOOKUP(G416,SETTINGS!$B$7:$D$97,3,0)</f>
        <v>0</v>
      </c>
      <c r="J416" s="670" t="str">
        <f>IFERROR(IF(CURRENCY.FORMAT_1=0,CONCATENATE(TEXT(FIXED(ROUND((C416/EXC.RATE_1),CURRENCY.FORMAT_1),CURRENCY.FORMAT_1,1),"# ##0;-# ##0"),",-"),FIXED(ROUND((C416/EXC.RATE_1),CURRENCY.FORMAT_1),CURRENCY.FORMAT_1,0)),'DICTIONARY-5'!$A$2)</f>
        <v>1 133,-</v>
      </c>
      <c r="K416" s="670" t="str">
        <f>IF(EXC.RATE_2=0,"",IFERROR(IF(CURRENCY.FORMAT_2=0,CONCATENATE(TEXT(FIXED(ROUND(IF(EXC.RATE.SWITCH=1,C416/EXC.RATE_2,C416*EXC.RATE_2),CURRENCY.FORMAT_2),CURRENCY.FORMAT_2,1),"# ##0;-# ##0"),",-"),FIXED(ROUND(IF(EXC.RATE.SWITCH=1,C416/EXC.RATE_2,C416*EXC.RATE_2),CURRENCY.FORMAT_2),CURRENCY.FORMAT_2,0)),'DICTIONARY-5'!$A$2))</f>
        <v/>
      </c>
      <c r="L416" s="670" t="str">
        <f>IFERROR(IF(CURRENCY.FORMAT_1=0,CONCATENATE(TEXT(FIXED(ROUND((C416*(1-I416)*(1-ADD.DISCOUNT)*(1+MAT.SURCHARGE)/EXC.RATE_1),CURRENCY.FORMAT_1),CURRENCY.FORMAT_1,1),"# ##0;-# ##0"),",-"),FIXED(ROUND((C416*(1-I416)*(1-ADD.DISCOUNT)*(1+MAT.SURCHARGE)/EXC.RATE_1),CURRENCY.FORMAT_1),CURRENCY.FORMAT_1,0)),'DICTIONARY-5'!$A$2)</f>
        <v>1 177,-</v>
      </c>
      <c r="M416" s="670" t="str">
        <f>IF(EXC.RATE_2=0,"",IFERROR(IF(CURRENCY.FORMAT_2=0,CONCATENATE(TEXT(FIXED(ROUND(IF(EXC.RATE.SWITCH=1,C416*(1-I416)*(1-ADD.DISCOUNT)*(1+MAT.SURCHARGE)/EXC.RATE_2,C416*(1-I416)*(1-ADD.DISCOUNT)*(1+MAT.SURCHARGE)*EXC.RATE_2),CURRENCY.FORMAT_2),CURRENCY.FORMAT_2,1),"# ##0;-# ##0"),",-"),FIXED(ROUND(IF(EXC.RATE.SWITCH=1,C416*(1-I416)*(1-ADD.DISCOUNT)*(1+MAT.SURCHARGE)/EXC.RATE_2,C416*(1-I416)*(1-ADD.DISCOUNT)*(1+MAT.SURCHARGE)*EXC.RATE_2),CURRENCY.FORMAT_2),CURRENCY.FORMAT_2,0)),'DICTIONARY-5'!$A$2))</f>
        <v/>
      </c>
      <c r="N416" s="544">
        <v>1</v>
      </c>
      <c r="O416" s="544"/>
      <c r="P416" s="731" t="str">
        <f>'DICTIONARY-3'!$A$8</f>
        <v>IKOplus</v>
      </c>
      <c r="Q416" s="732" t="str">
        <f>'DICTIONARY-3'!$A$188</f>
        <v>Zasuwa klinowa</v>
      </c>
      <c r="R416" s="732" t="str">
        <f>CONCATENATE('DICTIONARY-3'!$A$8," ",'DICTIONARY-6'!$A$3," ",'DICTIONARY-2'!$A$2,U416," ",'DICTIONARY-2'!$A$3,V416," ","R15",", ",'DICTIONARY-4'!$A$7)</f>
        <v>IKOplus Zasuwa DN200 PN10 R15, KR</v>
      </c>
      <c r="S416" s="733" t="str">
        <f>'DICTIONARY-4'!$A$7</f>
        <v>KR</v>
      </c>
      <c r="T416" s="732" t="str">
        <f>'DICTIONARY-4'!$A$23</f>
        <v>Kółko ręczne</v>
      </c>
      <c r="U416" s="734">
        <v>200</v>
      </c>
      <c r="V416" s="735">
        <v>10</v>
      </c>
      <c r="W416" s="736"/>
      <c r="X416" s="737"/>
      <c r="Y416" s="738"/>
      <c r="Z416" s="739"/>
      <c r="AA416" s="739"/>
      <c r="AB416" s="740">
        <v>10</v>
      </c>
      <c r="AC416" s="741" t="str">
        <f>'DICTIONARY-5'!$A$11&amp;" 15"</f>
        <v>EN 558 szereg 15</v>
      </c>
      <c r="AD416" s="733" t="str">
        <f>'DICTIONARY-5'!$A$17</f>
        <v>woda przemysłowa</v>
      </c>
      <c r="AE416" s="742">
        <v>70</v>
      </c>
      <c r="AF416" s="743">
        <v>81</v>
      </c>
      <c r="AG416" s="741" t="str">
        <f>'DICTIONARY-5'!$A$23</f>
        <v>powłoka epoksydowa</v>
      </c>
    </row>
    <row r="417" spans="1:33" x14ac:dyDescent="0.25">
      <c r="A417" s="842" t="s">
        <v>8022</v>
      </c>
      <c r="B417" s="842" t="s">
        <v>8009</v>
      </c>
      <c r="C417" s="836">
        <v>1133</v>
      </c>
      <c r="D417" s="836"/>
      <c r="E417" s="836"/>
      <c r="F417" s="836"/>
      <c r="G417" s="496" t="s">
        <v>7794</v>
      </c>
      <c r="H417" s="797" t="str">
        <f>VLOOKUP(G417,SETTINGS!$B$7:$D$97,2,0)</f>
        <v>IKOplus</v>
      </c>
      <c r="I417" s="796">
        <f>VLOOKUP(G417,SETTINGS!$B$7:$D$97,3,0)</f>
        <v>0</v>
      </c>
      <c r="J417" s="670" t="str">
        <f>IFERROR(IF(CURRENCY.FORMAT_1=0,CONCATENATE(TEXT(FIXED(ROUND((C417/EXC.RATE_1),CURRENCY.FORMAT_1),CURRENCY.FORMAT_1,1),"# ##0;-# ##0"),",-"),FIXED(ROUND((C417/EXC.RATE_1),CURRENCY.FORMAT_1),CURRENCY.FORMAT_1,0)),'DICTIONARY-5'!$A$2)</f>
        <v>1 133,-</v>
      </c>
      <c r="K417" s="670" t="str">
        <f>IF(EXC.RATE_2=0,"",IFERROR(IF(CURRENCY.FORMAT_2=0,CONCATENATE(TEXT(FIXED(ROUND(IF(EXC.RATE.SWITCH=1,C417/EXC.RATE_2,C417*EXC.RATE_2),CURRENCY.FORMAT_2),CURRENCY.FORMAT_2,1),"# ##0;-# ##0"),",-"),FIXED(ROUND(IF(EXC.RATE.SWITCH=1,C417/EXC.RATE_2,C417*EXC.RATE_2),CURRENCY.FORMAT_2),CURRENCY.FORMAT_2,0)),'DICTIONARY-5'!$A$2))</f>
        <v/>
      </c>
      <c r="L417" s="670" t="str">
        <f>IFERROR(IF(CURRENCY.FORMAT_1=0,CONCATENATE(TEXT(FIXED(ROUND((C417*(1-I417)*(1-ADD.DISCOUNT)*(1+MAT.SURCHARGE)/EXC.RATE_1),CURRENCY.FORMAT_1),CURRENCY.FORMAT_1,1),"# ##0;-# ##0"),",-"),FIXED(ROUND((C417*(1-I417)*(1-ADD.DISCOUNT)*(1+MAT.SURCHARGE)/EXC.RATE_1),CURRENCY.FORMAT_1),CURRENCY.FORMAT_1,0)),'DICTIONARY-5'!$A$2)</f>
        <v>1 177,-</v>
      </c>
      <c r="M417" s="670" t="str">
        <f>IF(EXC.RATE_2=0,"",IFERROR(IF(CURRENCY.FORMAT_2=0,CONCATENATE(TEXT(FIXED(ROUND(IF(EXC.RATE.SWITCH=1,C417*(1-I417)*(1-ADD.DISCOUNT)*(1+MAT.SURCHARGE)/EXC.RATE_2,C417*(1-I417)*(1-ADD.DISCOUNT)*(1+MAT.SURCHARGE)*EXC.RATE_2),CURRENCY.FORMAT_2),CURRENCY.FORMAT_2,1),"# ##0;-# ##0"),",-"),FIXED(ROUND(IF(EXC.RATE.SWITCH=1,C417*(1-I417)*(1-ADD.DISCOUNT)*(1+MAT.SURCHARGE)/EXC.RATE_2,C417*(1-I417)*(1-ADD.DISCOUNT)*(1+MAT.SURCHARGE)*EXC.RATE_2),CURRENCY.FORMAT_2),CURRENCY.FORMAT_2,0)),'DICTIONARY-5'!$A$2))</f>
        <v/>
      </c>
      <c r="N417" s="544">
        <v>1</v>
      </c>
      <c r="O417" s="544"/>
      <c r="P417" s="731" t="str">
        <f>'DICTIONARY-3'!$A$8</f>
        <v>IKOplus</v>
      </c>
      <c r="Q417" s="732" t="str">
        <f>'DICTIONARY-3'!$A$188</f>
        <v>Zasuwa klinowa</v>
      </c>
      <c r="R417" s="732" t="str">
        <f>CONCATENATE('DICTIONARY-3'!$A$8," ",'DICTIONARY-6'!$A$3," ",'DICTIONARY-2'!$A$2,U417," ",'DICTIONARY-2'!$A$3,V417," ","R15",", ",'DICTIONARY-4'!$A$7)</f>
        <v>IKOplus Zasuwa DN200 PN16 R15, KR</v>
      </c>
      <c r="S417" s="733" t="str">
        <f>'DICTIONARY-4'!$A$7</f>
        <v>KR</v>
      </c>
      <c r="T417" s="732" t="str">
        <f>'DICTIONARY-4'!$A$23</f>
        <v>Kółko ręczne</v>
      </c>
      <c r="U417" s="734">
        <v>200</v>
      </c>
      <c r="V417" s="735">
        <v>16</v>
      </c>
      <c r="W417" s="736"/>
      <c r="X417" s="737"/>
      <c r="Y417" s="738"/>
      <c r="Z417" s="739"/>
      <c r="AA417" s="739"/>
      <c r="AB417" s="740">
        <v>16</v>
      </c>
      <c r="AC417" s="741" t="str">
        <f>'DICTIONARY-5'!$A$11&amp;" 15"</f>
        <v>EN 558 szereg 15</v>
      </c>
      <c r="AD417" s="733" t="str">
        <f>'DICTIONARY-5'!$A$17</f>
        <v>woda przemysłowa</v>
      </c>
      <c r="AE417" s="742">
        <v>70</v>
      </c>
      <c r="AF417" s="743">
        <v>81.2</v>
      </c>
      <c r="AG417" s="741" t="str">
        <f>'DICTIONARY-5'!$A$23</f>
        <v>powłoka epoksydowa</v>
      </c>
    </row>
    <row r="418" spans="1:33" x14ac:dyDescent="0.25">
      <c r="A418" s="842" t="s">
        <v>8023</v>
      </c>
      <c r="B418" s="842" t="s">
        <v>8010</v>
      </c>
      <c r="C418" s="836">
        <v>1676</v>
      </c>
      <c r="D418" s="836"/>
      <c r="E418" s="836"/>
      <c r="F418" s="836"/>
      <c r="G418" s="496" t="s">
        <v>7794</v>
      </c>
      <c r="H418" s="797" t="str">
        <f>VLOOKUP(G418,SETTINGS!$B$7:$D$97,2,0)</f>
        <v>IKOplus</v>
      </c>
      <c r="I418" s="796">
        <f>VLOOKUP(G418,SETTINGS!$B$7:$D$97,3,0)</f>
        <v>0</v>
      </c>
      <c r="J418" s="670" t="str">
        <f>IFERROR(IF(CURRENCY.FORMAT_1=0,CONCATENATE(TEXT(FIXED(ROUND((C418/EXC.RATE_1),CURRENCY.FORMAT_1),CURRENCY.FORMAT_1,1),"# ##0;-# ##0"),",-"),FIXED(ROUND((C418/EXC.RATE_1),CURRENCY.FORMAT_1),CURRENCY.FORMAT_1,0)),'DICTIONARY-5'!$A$2)</f>
        <v>1 676,-</v>
      </c>
      <c r="K418" s="670" t="str">
        <f>IF(EXC.RATE_2=0,"",IFERROR(IF(CURRENCY.FORMAT_2=0,CONCATENATE(TEXT(FIXED(ROUND(IF(EXC.RATE.SWITCH=1,C418/EXC.RATE_2,C418*EXC.RATE_2),CURRENCY.FORMAT_2),CURRENCY.FORMAT_2,1),"# ##0;-# ##0"),",-"),FIXED(ROUND(IF(EXC.RATE.SWITCH=1,C418/EXC.RATE_2,C418*EXC.RATE_2),CURRENCY.FORMAT_2),CURRENCY.FORMAT_2,0)),'DICTIONARY-5'!$A$2))</f>
        <v/>
      </c>
      <c r="L418" s="670" t="str">
        <f>IFERROR(IF(CURRENCY.FORMAT_1=0,CONCATENATE(TEXT(FIXED(ROUND((C418*(1-I418)*(1-ADD.DISCOUNT)*(1+MAT.SURCHARGE)/EXC.RATE_1),CURRENCY.FORMAT_1),CURRENCY.FORMAT_1,1),"# ##0;-# ##0"),",-"),FIXED(ROUND((C418*(1-I418)*(1-ADD.DISCOUNT)*(1+MAT.SURCHARGE)/EXC.RATE_1),CURRENCY.FORMAT_1),CURRENCY.FORMAT_1,0)),'DICTIONARY-5'!$A$2)</f>
        <v>1 741,-</v>
      </c>
      <c r="M418" s="670" t="str">
        <f>IF(EXC.RATE_2=0,"",IFERROR(IF(CURRENCY.FORMAT_2=0,CONCATENATE(TEXT(FIXED(ROUND(IF(EXC.RATE.SWITCH=1,C418*(1-I418)*(1-ADD.DISCOUNT)*(1+MAT.SURCHARGE)/EXC.RATE_2,C418*(1-I418)*(1-ADD.DISCOUNT)*(1+MAT.SURCHARGE)*EXC.RATE_2),CURRENCY.FORMAT_2),CURRENCY.FORMAT_2,1),"# ##0;-# ##0"),",-"),FIXED(ROUND(IF(EXC.RATE.SWITCH=1,C418*(1-I418)*(1-ADD.DISCOUNT)*(1+MAT.SURCHARGE)/EXC.RATE_2,C418*(1-I418)*(1-ADD.DISCOUNT)*(1+MAT.SURCHARGE)*EXC.RATE_2),CURRENCY.FORMAT_2),CURRENCY.FORMAT_2,0)),'DICTIONARY-5'!$A$2))</f>
        <v/>
      </c>
      <c r="N418" s="544">
        <v>1</v>
      </c>
      <c r="O418" s="544"/>
      <c r="P418" s="731" t="str">
        <f>'DICTIONARY-3'!$A$8</f>
        <v>IKOplus</v>
      </c>
      <c r="Q418" s="732" t="str">
        <f>'DICTIONARY-3'!$A$188</f>
        <v>Zasuwa klinowa</v>
      </c>
      <c r="R418" s="732" t="str">
        <f>CONCATENATE('DICTIONARY-3'!$A$8," ",'DICTIONARY-6'!$A$3," ",'DICTIONARY-2'!$A$2,U418," ",'DICTIONARY-2'!$A$3,V418," ","R15",", ",'DICTIONARY-4'!$A$7)</f>
        <v>IKOplus Zasuwa DN250 PN10 R15, KR</v>
      </c>
      <c r="S418" s="733" t="str">
        <f>'DICTIONARY-4'!$A$7</f>
        <v>KR</v>
      </c>
      <c r="T418" s="732" t="str">
        <f>'DICTIONARY-4'!$A$23</f>
        <v>Kółko ręczne</v>
      </c>
      <c r="U418" s="734">
        <v>250</v>
      </c>
      <c r="V418" s="735">
        <v>10</v>
      </c>
      <c r="W418" s="736"/>
      <c r="X418" s="737"/>
      <c r="Y418" s="738"/>
      <c r="Z418" s="739"/>
      <c r="AA418" s="739"/>
      <c r="AB418" s="740">
        <v>10</v>
      </c>
      <c r="AC418" s="741" t="str">
        <f>'DICTIONARY-5'!$A$11&amp;" 15"</f>
        <v>EN 558 szereg 15</v>
      </c>
      <c r="AD418" s="733" t="str">
        <f>'DICTIONARY-5'!$A$17</f>
        <v>woda przemysłowa</v>
      </c>
      <c r="AE418" s="742">
        <v>70</v>
      </c>
      <c r="AF418" s="743">
        <v>125</v>
      </c>
      <c r="AG418" s="741" t="str">
        <f>'DICTIONARY-5'!$A$23</f>
        <v>powłoka epoksydowa</v>
      </c>
    </row>
    <row r="419" spans="1:33" x14ac:dyDescent="0.25">
      <c r="A419" s="842" t="s">
        <v>8024</v>
      </c>
      <c r="B419" s="842" t="s">
        <v>8011</v>
      </c>
      <c r="C419" s="836">
        <v>1676</v>
      </c>
      <c r="D419" s="836"/>
      <c r="E419" s="836"/>
      <c r="F419" s="836"/>
      <c r="G419" s="496" t="s">
        <v>7794</v>
      </c>
      <c r="H419" s="797" t="str">
        <f>VLOOKUP(G419,SETTINGS!$B$7:$D$97,2,0)</f>
        <v>IKOplus</v>
      </c>
      <c r="I419" s="796">
        <f>VLOOKUP(G419,SETTINGS!$B$7:$D$97,3,0)</f>
        <v>0</v>
      </c>
      <c r="J419" s="670" t="str">
        <f>IFERROR(IF(CURRENCY.FORMAT_1=0,CONCATENATE(TEXT(FIXED(ROUND((C419/EXC.RATE_1),CURRENCY.FORMAT_1),CURRENCY.FORMAT_1,1),"# ##0;-# ##0"),",-"),FIXED(ROUND((C419/EXC.RATE_1),CURRENCY.FORMAT_1),CURRENCY.FORMAT_1,0)),'DICTIONARY-5'!$A$2)</f>
        <v>1 676,-</v>
      </c>
      <c r="K419" s="670" t="str">
        <f>IF(EXC.RATE_2=0,"",IFERROR(IF(CURRENCY.FORMAT_2=0,CONCATENATE(TEXT(FIXED(ROUND(IF(EXC.RATE.SWITCH=1,C419/EXC.RATE_2,C419*EXC.RATE_2),CURRENCY.FORMAT_2),CURRENCY.FORMAT_2,1),"# ##0;-# ##0"),",-"),FIXED(ROUND(IF(EXC.RATE.SWITCH=1,C419/EXC.RATE_2,C419*EXC.RATE_2),CURRENCY.FORMAT_2),CURRENCY.FORMAT_2,0)),'DICTIONARY-5'!$A$2))</f>
        <v/>
      </c>
      <c r="L419" s="670" t="str">
        <f>IFERROR(IF(CURRENCY.FORMAT_1=0,CONCATENATE(TEXT(FIXED(ROUND((C419*(1-I419)*(1-ADD.DISCOUNT)*(1+MAT.SURCHARGE)/EXC.RATE_1),CURRENCY.FORMAT_1),CURRENCY.FORMAT_1,1),"# ##0;-# ##0"),",-"),FIXED(ROUND((C419*(1-I419)*(1-ADD.DISCOUNT)*(1+MAT.SURCHARGE)/EXC.RATE_1),CURRENCY.FORMAT_1),CURRENCY.FORMAT_1,0)),'DICTIONARY-5'!$A$2)</f>
        <v>1 741,-</v>
      </c>
      <c r="M419" s="670" t="str">
        <f>IF(EXC.RATE_2=0,"",IFERROR(IF(CURRENCY.FORMAT_2=0,CONCATENATE(TEXT(FIXED(ROUND(IF(EXC.RATE.SWITCH=1,C419*(1-I419)*(1-ADD.DISCOUNT)*(1+MAT.SURCHARGE)/EXC.RATE_2,C419*(1-I419)*(1-ADD.DISCOUNT)*(1+MAT.SURCHARGE)*EXC.RATE_2),CURRENCY.FORMAT_2),CURRENCY.FORMAT_2,1),"# ##0;-# ##0"),",-"),FIXED(ROUND(IF(EXC.RATE.SWITCH=1,C419*(1-I419)*(1-ADD.DISCOUNT)*(1+MAT.SURCHARGE)/EXC.RATE_2,C419*(1-I419)*(1-ADD.DISCOUNT)*(1+MAT.SURCHARGE)*EXC.RATE_2),CURRENCY.FORMAT_2),CURRENCY.FORMAT_2,0)),'DICTIONARY-5'!$A$2))</f>
        <v/>
      </c>
      <c r="N419" s="544">
        <v>1</v>
      </c>
      <c r="O419" s="544"/>
      <c r="P419" s="731" t="str">
        <f>'DICTIONARY-3'!$A$8</f>
        <v>IKOplus</v>
      </c>
      <c r="Q419" s="732" t="str">
        <f>'DICTIONARY-3'!$A$188</f>
        <v>Zasuwa klinowa</v>
      </c>
      <c r="R419" s="732" t="str">
        <f>CONCATENATE('DICTIONARY-3'!$A$8," ",'DICTIONARY-6'!$A$3," ",'DICTIONARY-2'!$A$2,U419," ",'DICTIONARY-2'!$A$3,V419," ","R15",", ",'DICTIONARY-4'!$A$7)</f>
        <v>IKOplus Zasuwa DN250 PN16 R15, KR</v>
      </c>
      <c r="S419" s="733" t="str">
        <f>'DICTIONARY-4'!$A$7</f>
        <v>KR</v>
      </c>
      <c r="T419" s="732" t="str">
        <f>'DICTIONARY-4'!$A$23</f>
        <v>Kółko ręczne</v>
      </c>
      <c r="U419" s="734">
        <v>250</v>
      </c>
      <c r="V419" s="735">
        <v>16</v>
      </c>
      <c r="W419" s="736"/>
      <c r="X419" s="737"/>
      <c r="Y419" s="738"/>
      <c r="Z419" s="739"/>
      <c r="AA419" s="739"/>
      <c r="AB419" s="740">
        <v>16</v>
      </c>
      <c r="AC419" s="741" t="str">
        <f>'DICTIONARY-5'!$A$11&amp;" 15"</f>
        <v>EN 558 szereg 15</v>
      </c>
      <c r="AD419" s="733" t="str">
        <f>'DICTIONARY-5'!$A$17</f>
        <v>woda przemysłowa</v>
      </c>
      <c r="AE419" s="742">
        <v>70</v>
      </c>
      <c r="AF419" s="743">
        <v>127</v>
      </c>
      <c r="AG419" s="741" t="str">
        <f>'DICTIONARY-5'!$A$23</f>
        <v>powłoka epoksydowa</v>
      </c>
    </row>
    <row r="420" spans="1:33" x14ac:dyDescent="0.25">
      <c r="A420" s="842" t="s">
        <v>8025</v>
      </c>
      <c r="B420" s="842" t="s">
        <v>8012</v>
      </c>
      <c r="C420" s="836">
        <v>2382</v>
      </c>
      <c r="D420" s="836"/>
      <c r="E420" s="836"/>
      <c r="F420" s="836"/>
      <c r="G420" s="496" t="s">
        <v>7794</v>
      </c>
      <c r="H420" s="797" t="str">
        <f>VLOOKUP(G420,SETTINGS!$B$7:$D$97,2,0)</f>
        <v>IKOplus</v>
      </c>
      <c r="I420" s="796">
        <f>VLOOKUP(G420,SETTINGS!$B$7:$D$97,3,0)</f>
        <v>0</v>
      </c>
      <c r="J420" s="670" t="str">
        <f>IFERROR(IF(CURRENCY.FORMAT_1=0,CONCATENATE(TEXT(FIXED(ROUND((C420/EXC.RATE_1),CURRENCY.FORMAT_1),CURRENCY.FORMAT_1,1),"# ##0;-# ##0"),",-"),FIXED(ROUND((C420/EXC.RATE_1),CURRENCY.FORMAT_1),CURRENCY.FORMAT_1,0)),'DICTIONARY-5'!$A$2)</f>
        <v>2 382,-</v>
      </c>
      <c r="K420" s="670" t="str">
        <f>IF(EXC.RATE_2=0,"",IFERROR(IF(CURRENCY.FORMAT_2=0,CONCATENATE(TEXT(FIXED(ROUND(IF(EXC.RATE.SWITCH=1,C420/EXC.RATE_2,C420*EXC.RATE_2),CURRENCY.FORMAT_2),CURRENCY.FORMAT_2,1),"# ##0;-# ##0"),",-"),FIXED(ROUND(IF(EXC.RATE.SWITCH=1,C420/EXC.RATE_2,C420*EXC.RATE_2),CURRENCY.FORMAT_2),CURRENCY.FORMAT_2,0)),'DICTIONARY-5'!$A$2))</f>
        <v/>
      </c>
      <c r="L420" s="670" t="str">
        <f>IFERROR(IF(CURRENCY.FORMAT_1=0,CONCATENATE(TEXT(FIXED(ROUND((C420*(1-I420)*(1-ADD.DISCOUNT)*(1+MAT.SURCHARGE)/EXC.RATE_1),CURRENCY.FORMAT_1),CURRENCY.FORMAT_1,1),"# ##0;-# ##0"),",-"),FIXED(ROUND((C420*(1-I420)*(1-ADD.DISCOUNT)*(1+MAT.SURCHARGE)/EXC.RATE_1),CURRENCY.FORMAT_1),CURRENCY.FORMAT_1,0)),'DICTIONARY-5'!$A$2)</f>
        <v>2 475,-</v>
      </c>
      <c r="M420" s="670" t="str">
        <f>IF(EXC.RATE_2=0,"",IFERROR(IF(CURRENCY.FORMAT_2=0,CONCATENATE(TEXT(FIXED(ROUND(IF(EXC.RATE.SWITCH=1,C420*(1-I420)*(1-ADD.DISCOUNT)*(1+MAT.SURCHARGE)/EXC.RATE_2,C420*(1-I420)*(1-ADD.DISCOUNT)*(1+MAT.SURCHARGE)*EXC.RATE_2),CURRENCY.FORMAT_2),CURRENCY.FORMAT_2,1),"# ##0;-# ##0"),",-"),FIXED(ROUND(IF(EXC.RATE.SWITCH=1,C420*(1-I420)*(1-ADD.DISCOUNT)*(1+MAT.SURCHARGE)/EXC.RATE_2,C420*(1-I420)*(1-ADD.DISCOUNT)*(1+MAT.SURCHARGE)*EXC.RATE_2),CURRENCY.FORMAT_2),CURRENCY.FORMAT_2,0)),'DICTIONARY-5'!$A$2))</f>
        <v/>
      </c>
      <c r="N420" s="544">
        <v>1</v>
      </c>
      <c r="O420" s="544"/>
      <c r="P420" s="731" t="str">
        <f>'DICTIONARY-3'!$A$8</f>
        <v>IKOplus</v>
      </c>
      <c r="Q420" s="732" t="str">
        <f>'DICTIONARY-3'!$A$188</f>
        <v>Zasuwa klinowa</v>
      </c>
      <c r="R420" s="732" t="str">
        <f>CONCATENATE('DICTIONARY-3'!$A$8," ",'DICTIONARY-6'!$A$3," ",'DICTIONARY-2'!$A$2,U420," ",'DICTIONARY-2'!$A$3,V420," ","R15",", ",'DICTIONARY-4'!$A$7)</f>
        <v>IKOplus Zasuwa DN300 PN10 R15, KR</v>
      </c>
      <c r="S420" s="733" t="str">
        <f>'DICTIONARY-4'!$A$7</f>
        <v>KR</v>
      </c>
      <c r="T420" s="732" t="str">
        <f>'DICTIONARY-4'!$A$23</f>
        <v>Kółko ręczne</v>
      </c>
      <c r="U420" s="734">
        <v>300</v>
      </c>
      <c r="V420" s="735">
        <v>10</v>
      </c>
      <c r="W420" s="736"/>
      <c r="X420" s="737"/>
      <c r="Y420" s="738"/>
      <c r="Z420" s="739"/>
      <c r="AA420" s="739"/>
      <c r="AB420" s="740">
        <v>10</v>
      </c>
      <c r="AC420" s="741" t="str">
        <f>'DICTIONARY-5'!$A$11&amp;" 15"</f>
        <v>EN 558 szereg 15</v>
      </c>
      <c r="AD420" s="733" t="str">
        <f>'DICTIONARY-5'!$A$17</f>
        <v>woda przemysłowa</v>
      </c>
      <c r="AE420" s="742">
        <v>70</v>
      </c>
      <c r="AF420" s="743">
        <v>175</v>
      </c>
      <c r="AG420" s="741" t="str">
        <f>'DICTIONARY-5'!$A$23</f>
        <v>powłoka epoksydowa</v>
      </c>
    </row>
    <row r="421" spans="1:33" x14ac:dyDescent="0.25">
      <c r="A421" s="842" t="s">
        <v>8026</v>
      </c>
      <c r="B421" s="842" t="s">
        <v>8013</v>
      </c>
      <c r="C421" s="836">
        <v>2382</v>
      </c>
      <c r="D421" s="836"/>
      <c r="E421" s="836"/>
      <c r="F421" s="836"/>
      <c r="G421" s="496" t="s">
        <v>7794</v>
      </c>
      <c r="H421" s="797" t="str">
        <f>VLOOKUP(G421,SETTINGS!$B$7:$D$97,2,0)</f>
        <v>IKOplus</v>
      </c>
      <c r="I421" s="796">
        <f>VLOOKUP(G421,SETTINGS!$B$7:$D$97,3,0)</f>
        <v>0</v>
      </c>
      <c r="J421" s="670" t="str">
        <f>IFERROR(IF(CURRENCY.FORMAT_1=0,CONCATENATE(TEXT(FIXED(ROUND((C421/EXC.RATE_1),CURRENCY.FORMAT_1),CURRENCY.FORMAT_1,1),"# ##0;-# ##0"),",-"),FIXED(ROUND((C421/EXC.RATE_1),CURRENCY.FORMAT_1),CURRENCY.FORMAT_1,0)),'DICTIONARY-5'!$A$2)</f>
        <v>2 382,-</v>
      </c>
      <c r="K421" s="670" t="str">
        <f>IF(EXC.RATE_2=0,"",IFERROR(IF(CURRENCY.FORMAT_2=0,CONCATENATE(TEXT(FIXED(ROUND(IF(EXC.RATE.SWITCH=1,C421/EXC.RATE_2,C421*EXC.RATE_2),CURRENCY.FORMAT_2),CURRENCY.FORMAT_2,1),"# ##0;-# ##0"),",-"),FIXED(ROUND(IF(EXC.RATE.SWITCH=1,C421/EXC.RATE_2,C421*EXC.RATE_2),CURRENCY.FORMAT_2),CURRENCY.FORMAT_2,0)),'DICTIONARY-5'!$A$2))</f>
        <v/>
      </c>
      <c r="L421" s="670" t="str">
        <f>IFERROR(IF(CURRENCY.FORMAT_1=0,CONCATENATE(TEXT(FIXED(ROUND((C421*(1-I421)*(1-ADD.DISCOUNT)*(1+MAT.SURCHARGE)/EXC.RATE_1),CURRENCY.FORMAT_1),CURRENCY.FORMAT_1,1),"# ##0;-# ##0"),",-"),FIXED(ROUND((C421*(1-I421)*(1-ADD.DISCOUNT)*(1+MAT.SURCHARGE)/EXC.RATE_1),CURRENCY.FORMAT_1),CURRENCY.FORMAT_1,0)),'DICTIONARY-5'!$A$2)</f>
        <v>2 475,-</v>
      </c>
      <c r="M421" s="670" t="str">
        <f>IF(EXC.RATE_2=0,"",IFERROR(IF(CURRENCY.FORMAT_2=0,CONCATENATE(TEXT(FIXED(ROUND(IF(EXC.RATE.SWITCH=1,C421*(1-I421)*(1-ADD.DISCOUNT)*(1+MAT.SURCHARGE)/EXC.RATE_2,C421*(1-I421)*(1-ADD.DISCOUNT)*(1+MAT.SURCHARGE)*EXC.RATE_2),CURRENCY.FORMAT_2),CURRENCY.FORMAT_2,1),"# ##0;-# ##0"),",-"),FIXED(ROUND(IF(EXC.RATE.SWITCH=1,C421*(1-I421)*(1-ADD.DISCOUNT)*(1+MAT.SURCHARGE)/EXC.RATE_2,C421*(1-I421)*(1-ADD.DISCOUNT)*(1+MAT.SURCHARGE)*EXC.RATE_2),CURRENCY.FORMAT_2),CURRENCY.FORMAT_2,0)),'DICTIONARY-5'!$A$2))</f>
        <v/>
      </c>
      <c r="N421" s="544">
        <v>1</v>
      </c>
      <c r="O421" s="544"/>
      <c r="P421" s="731" t="str">
        <f>'DICTIONARY-3'!$A$8</f>
        <v>IKOplus</v>
      </c>
      <c r="Q421" s="732" t="str">
        <f>'DICTIONARY-3'!$A$188</f>
        <v>Zasuwa klinowa</v>
      </c>
      <c r="R421" s="732" t="str">
        <f>CONCATENATE('DICTIONARY-3'!$A$8," ",'DICTIONARY-6'!$A$3," ",'DICTIONARY-2'!$A$2,U421," ",'DICTIONARY-2'!$A$3,V421," ","R15",", ",'DICTIONARY-4'!$A$7)</f>
        <v>IKOplus Zasuwa DN300 PN16 R15, KR</v>
      </c>
      <c r="S421" s="733" t="str">
        <f>'DICTIONARY-4'!$A$7</f>
        <v>KR</v>
      </c>
      <c r="T421" s="732" t="str">
        <f>'DICTIONARY-4'!$A$23</f>
        <v>Kółko ręczne</v>
      </c>
      <c r="U421" s="734">
        <v>300</v>
      </c>
      <c r="V421" s="735">
        <v>16</v>
      </c>
      <c r="W421" s="736"/>
      <c r="X421" s="737"/>
      <c r="Y421" s="738"/>
      <c r="Z421" s="739"/>
      <c r="AA421" s="739"/>
      <c r="AB421" s="740">
        <v>16</v>
      </c>
      <c r="AC421" s="741" t="str">
        <f>'DICTIONARY-5'!$A$11&amp;" 15"</f>
        <v>EN 558 szereg 15</v>
      </c>
      <c r="AD421" s="733" t="str">
        <f>'DICTIONARY-5'!$A$17</f>
        <v>woda przemysłowa</v>
      </c>
      <c r="AE421" s="742">
        <v>70</v>
      </c>
      <c r="AF421" s="743">
        <v>173</v>
      </c>
      <c r="AG421" s="741" t="str">
        <f>'DICTIONARY-5'!$A$23</f>
        <v>powłoka epoksydowa</v>
      </c>
    </row>
    <row r="422" spans="1:33" x14ac:dyDescent="0.25">
      <c r="A422" s="842" t="s">
        <v>409</v>
      </c>
      <c r="B422" s="842" t="s">
        <v>2982</v>
      </c>
      <c r="C422" s="836">
        <v>299</v>
      </c>
      <c r="D422" s="836"/>
      <c r="E422" s="836"/>
      <c r="F422" s="836"/>
      <c r="G422" s="496" t="s">
        <v>7794</v>
      </c>
      <c r="H422" s="797" t="str">
        <f>VLOOKUP(G422,SETTINGS!$B$7:$D$97,2,0)</f>
        <v>IKOplus</v>
      </c>
      <c r="I422" s="796">
        <f>VLOOKUP(G422,SETTINGS!$B$7:$D$97,3,0)</f>
        <v>0</v>
      </c>
      <c r="J422" s="670" t="str">
        <f>IFERROR(IF(CURRENCY.FORMAT_1=0,CONCATENATE(TEXT(FIXED(ROUND((C422/EXC.RATE_1),CURRENCY.FORMAT_1),CURRENCY.FORMAT_1,1),"# ##0;-# ##0"),",-"),FIXED(ROUND((C422/EXC.RATE_1),CURRENCY.FORMAT_1),CURRENCY.FORMAT_1,0)),'DICTIONARY-5'!$A$2)</f>
        <v>299,-</v>
      </c>
      <c r="K422" s="670" t="str">
        <f>IF(EXC.RATE_2=0,"",IFERROR(IF(CURRENCY.FORMAT_2=0,CONCATENATE(TEXT(FIXED(ROUND(IF(EXC.RATE.SWITCH=1,C422/EXC.RATE_2,C422*EXC.RATE_2),CURRENCY.FORMAT_2),CURRENCY.FORMAT_2,1),"# ##0;-# ##0"),",-"),FIXED(ROUND(IF(EXC.RATE.SWITCH=1,C422/EXC.RATE_2,C422*EXC.RATE_2),CURRENCY.FORMAT_2),CURRENCY.FORMAT_2,0)),'DICTIONARY-5'!$A$2))</f>
        <v/>
      </c>
      <c r="L422" s="670" t="str">
        <f>IFERROR(IF(CURRENCY.FORMAT_1=0,CONCATENATE(TEXT(FIXED(ROUND((C422*(1-I422)*(1-ADD.DISCOUNT)*(1+MAT.SURCHARGE)/EXC.RATE_1),CURRENCY.FORMAT_1),CURRENCY.FORMAT_1,1),"# ##0;-# ##0"),",-"),FIXED(ROUND((C422*(1-I422)*(1-ADD.DISCOUNT)*(1+MAT.SURCHARGE)/EXC.RATE_1),CURRENCY.FORMAT_1),CURRENCY.FORMAT_1,0)),'DICTIONARY-5'!$A$2)</f>
        <v>311,-</v>
      </c>
      <c r="M422" s="670" t="str">
        <f>IF(EXC.RATE_2=0,"",IFERROR(IF(CURRENCY.FORMAT_2=0,CONCATENATE(TEXT(FIXED(ROUND(IF(EXC.RATE.SWITCH=1,C422*(1-I422)*(1-ADD.DISCOUNT)*(1+MAT.SURCHARGE)/EXC.RATE_2,C422*(1-I422)*(1-ADD.DISCOUNT)*(1+MAT.SURCHARGE)*EXC.RATE_2),CURRENCY.FORMAT_2),CURRENCY.FORMAT_2,1),"# ##0;-# ##0"),",-"),FIXED(ROUND(IF(EXC.RATE.SWITCH=1,C422*(1-I422)*(1-ADD.DISCOUNT)*(1+MAT.SURCHARGE)/EXC.RATE_2,C422*(1-I422)*(1-ADD.DISCOUNT)*(1+MAT.SURCHARGE)*EXC.RATE_2),CURRENCY.FORMAT_2),CURRENCY.FORMAT_2,0)),'DICTIONARY-5'!$A$2))</f>
        <v/>
      </c>
      <c r="N422" s="544">
        <v>1</v>
      </c>
      <c r="O422" s="544"/>
      <c r="P422" s="731" t="str">
        <f>'DICTIONARY-3'!$A$8</f>
        <v>IKOplus</v>
      </c>
      <c r="Q422" s="732" t="str">
        <f>'DICTIONARY-3'!$A$188</f>
        <v>Zasuwa klinowa</v>
      </c>
      <c r="R422" s="732" t="str">
        <f>CONCATENATE('DICTIONARY-3'!$A$8," ",'DICTIONARY-6'!$A$3," ",'DICTIONARY-2'!$A$2,U422," ",'DICTIONARY-2'!$A$3,V422," ","R14"," ",'DICTIONARY-6'!$A$36,", ",'DICTIONARY-4'!$A$7)</f>
        <v>IKOplus Zasuwa DN40 PN6 R14 SYNT., KR</v>
      </c>
      <c r="S422" s="733" t="str">
        <f>'DICTIONARY-4'!$A$7</f>
        <v>KR</v>
      </c>
      <c r="T422" s="732" t="str">
        <f>'DICTIONARY-4'!$A$23</f>
        <v>Kółko ręczne</v>
      </c>
      <c r="U422" s="734" t="s">
        <v>5758</v>
      </c>
      <c r="V422" s="735">
        <v>6</v>
      </c>
      <c r="W422" s="736"/>
      <c r="X422" s="737"/>
      <c r="Y422" s="738"/>
      <c r="Z422" s="739"/>
      <c r="AA422" s="739"/>
      <c r="AB422" s="740">
        <v>6</v>
      </c>
      <c r="AC422" s="741" t="str">
        <f>'DICTIONARY-5'!$A$11&amp;" 14"</f>
        <v>EN 558 szereg 14</v>
      </c>
      <c r="AD422" s="741" t="str">
        <f>'DICTIONARY-5'!$A$17</f>
        <v>woda przemysłowa</v>
      </c>
      <c r="AE422" s="742">
        <v>200</v>
      </c>
      <c r="AF422" s="743">
        <v>9</v>
      </c>
      <c r="AG422" s="741" t="str">
        <f>'DICTIONARY-5'!$A$24</f>
        <v>powłoka syntetyczna</v>
      </c>
    </row>
    <row r="423" spans="1:33" x14ac:dyDescent="0.25">
      <c r="A423" s="842" t="s">
        <v>411</v>
      </c>
      <c r="B423" s="842" t="s">
        <v>2983</v>
      </c>
      <c r="C423" s="836">
        <v>308</v>
      </c>
      <c r="D423" s="836"/>
      <c r="E423" s="836"/>
      <c r="F423" s="836"/>
      <c r="G423" s="496" t="s">
        <v>7794</v>
      </c>
      <c r="H423" s="797" t="str">
        <f>VLOOKUP(G423,SETTINGS!$B$7:$D$97,2,0)</f>
        <v>IKOplus</v>
      </c>
      <c r="I423" s="796">
        <f>VLOOKUP(G423,SETTINGS!$B$7:$D$97,3,0)</f>
        <v>0</v>
      </c>
      <c r="J423" s="670" t="str">
        <f>IFERROR(IF(CURRENCY.FORMAT_1=0,CONCATENATE(TEXT(FIXED(ROUND((C423/EXC.RATE_1),CURRENCY.FORMAT_1),CURRENCY.FORMAT_1,1),"# ##0;-# ##0"),",-"),FIXED(ROUND((C423/EXC.RATE_1),CURRENCY.FORMAT_1),CURRENCY.FORMAT_1,0)),'DICTIONARY-5'!$A$2)</f>
        <v>308,-</v>
      </c>
      <c r="K423" s="670" t="str">
        <f>IF(EXC.RATE_2=0,"",IFERROR(IF(CURRENCY.FORMAT_2=0,CONCATENATE(TEXT(FIXED(ROUND(IF(EXC.RATE.SWITCH=1,C423/EXC.RATE_2,C423*EXC.RATE_2),CURRENCY.FORMAT_2),CURRENCY.FORMAT_2,1),"# ##0;-# ##0"),",-"),FIXED(ROUND(IF(EXC.RATE.SWITCH=1,C423/EXC.RATE_2,C423*EXC.RATE_2),CURRENCY.FORMAT_2),CURRENCY.FORMAT_2,0)),'DICTIONARY-5'!$A$2))</f>
        <v/>
      </c>
      <c r="L423" s="670" t="str">
        <f>IFERROR(IF(CURRENCY.FORMAT_1=0,CONCATENATE(TEXT(FIXED(ROUND((C423*(1-I423)*(1-ADD.DISCOUNT)*(1+MAT.SURCHARGE)/EXC.RATE_1),CURRENCY.FORMAT_1),CURRENCY.FORMAT_1,1),"# ##0;-# ##0"),",-"),FIXED(ROUND((C423*(1-I423)*(1-ADD.DISCOUNT)*(1+MAT.SURCHARGE)/EXC.RATE_1),CURRENCY.FORMAT_1),CURRENCY.FORMAT_1,0)),'DICTIONARY-5'!$A$2)</f>
        <v>320,-</v>
      </c>
      <c r="M423" s="670" t="str">
        <f>IF(EXC.RATE_2=0,"",IFERROR(IF(CURRENCY.FORMAT_2=0,CONCATENATE(TEXT(FIXED(ROUND(IF(EXC.RATE.SWITCH=1,C423*(1-I423)*(1-ADD.DISCOUNT)*(1+MAT.SURCHARGE)/EXC.RATE_2,C423*(1-I423)*(1-ADD.DISCOUNT)*(1+MAT.SURCHARGE)*EXC.RATE_2),CURRENCY.FORMAT_2),CURRENCY.FORMAT_2,1),"# ##0;-# ##0"),",-"),FIXED(ROUND(IF(EXC.RATE.SWITCH=1,C423*(1-I423)*(1-ADD.DISCOUNT)*(1+MAT.SURCHARGE)/EXC.RATE_2,C423*(1-I423)*(1-ADD.DISCOUNT)*(1+MAT.SURCHARGE)*EXC.RATE_2),CURRENCY.FORMAT_2),CURRENCY.FORMAT_2,0)),'DICTIONARY-5'!$A$2))</f>
        <v/>
      </c>
      <c r="N423" s="544">
        <v>1</v>
      </c>
      <c r="O423" s="544"/>
      <c r="P423" s="731" t="str">
        <f>'DICTIONARY-3'!$A$8</f>
        <v>IKOplus</v>
      </c>
      <c r="Q423" s="732" t="str">
        <f>'DICTIONARY-3'!$A$188</f>
        <v>Zasuwa klinowa</v>
      </c>
      <c r="R423" s="732" t="str">
        <f>CONCATENATE('DICTIONARY-3'!$A$8," ",'DICTIONARY-6'!$A$3," ",'DICTIONARY-2'!$A$2,U423," ",'DICTIONARY-2'!$A$3,V423," ","R14"," ",'DICTIONARY-6'!$A$36,", ",'DICTIONARY-4'!$A$7)</f>
        <v>IKOplus Zasuwa DN50 PN6 R14 SYNT., KR</v>
      </c>
      <c r="S423" s="733" t="str">
        <f>'DICTIONARY-4'!$A$7</f>
        <v>KR</v>
      </c>
      <c r="T423" s="732" t="str">
        <f>'DICTIONARY-4'!$A$23</f>
        <v>Kółko ręczne</v>
      </c>
      <c r="U423" s="734" t="s">
        <v>5748</v>
      </c>
      <c r="V423" s="735">
        <v>6</v>
      </c>
      <c r="W423" s="736"/>
      <c r="X423" s="737"/>
      <c r="Y423" s="738"/>
      <c r="Z423" s="739"/>
      <c r="AA423" s="739"/>
      <c r="AB423" s="740">
        <v>6</v>
      </c>
      <c r="AC423" s="741" t="str">
        <f>'DICTIONARY-5'!$A$11&amp;" 14"</f>
        <v>EN 558 szereg 14</v>
      </c>
      <c r="AD423" s="741" t="str">
        <f>'DICTIONARY-5'!$A$17</f>
        <v>woda przemysłowa</v>
      </c>
      <c r="AE423" s="742">
        <v>200</v>
      </c>
      <c r="AF423" s="743">
        <v>10.5</v>
      </c>
      <c r="AG423" s="741" t="str">
        <f>'DICTIONARY-5'!$A$24</f>
        <v>powłoka syntetyczna</v>
      </c>
    </row>
    <row r="424" spans="1:33" x14ac:dyDescent="0.25">
      <c r="A424" s="842" t="s">
        <v>413</v>
      </c>
      <c r="B424" s="842" t="s">
        <v>2984</v>
      </c>
      <c r="C424" s="836">
        <v>382</v>
      </c>
      <c r="D424" s="836"/>
      <c r="E424" s="836"/>
      <c r="F424" s="836"/>
      <c r="G424" s="496" t="s">
        <v>7794</v>
      </c>
      <c r="H424" s="797" t="str">
        <f>VLOOKUP(G424,SETTINGS!$B$7:$D$97,2,0)</f>
        <v>IKOplus</v>
      </c>
      <c r="I424" s="796">
        <f>VLOOKUP(G424,SETTINGS!$B$7:$D$97,3,0)</f>
        <v>0</v>
      </c>
      <c r="J424" s="670" t="str">
        <f>IFERROR(IF(CURRENCY.FORMAT_1=0,CONCATENATE(TEXT(FIXED(ROUND((C424/EXC.RATE_1),CURRENCY.FORMAT_1),CURRENCY.FORMAT_1,1),"# ##0;-# ##0"),",-"),FIXED(ROUND((C424/EXC.RATE_1),CURRENCY.FORMAT_1),CURRENCY.FORMAT_1,0)),'DICTIONARY-5'!$A$2)</f>
        <v>382,-</v>
      </c>
      <c r="K424" s="670" t="str">
        <f>IF(EXC.RATE_2=0,"",IFERROR(IF(CURRENCY.FORMAT_2=0,CONCATENATE(TEXT(FIXED(ROUND(IF(EXC.RATE.SWITCH=1,C424/EXC.RATE_2,C424*EXC.RATE_2),CURRENCY.FORMAT_2),CURRENCY.FORMAT_2,1),"# ##0;-# ##0"),",-"),FIXED(ROUND(IF(EXC.RATE.SWITCH=1,C424/EXC.RATE_2,C424*EXC.RATE_2),CURRENCY.FORMAT_2),CURRENCY.FORMAT_2,0)),'DICTIONARY-5'!$A$2))</f>
        <v/>
      </c>
      <c r="L424" s="670" t="str">
        <f>IFERROR(IF(CURRENCY.FORMAT_1=0,CONCATENATE(TEXT(FIXED(ROUND((C424*(1-I424)*(1-ADD.DISCOUNT)*(1+MAT.SURCHARGE)/EXC.RATE_1),CURRENCY.FORMAT_1),CURRENCY.FORMAT_1,1),"# ##0;-# ##0"),",-"),FIXED(ROUND((C424*(1-I424)*(1-ADD.DISCOUNT)*(1+MAT.SURCHARGE)/EXC.RATE_1),CURRENCY.FORMAT_1),CURRENCY.FORMAT_1,0)),'DICTIONARY-5'!$A$2)</f>
        <v>397,-</v>
      </c>
      <c r="M424" s="670" t="str">
        <f>IF(EXC.RATE_2=0,"",IFERROR(IF(CURRENCY.FORMAT_2=0,CONCATENATE(TEXT(FIXED(ROUND(IF(EXC.RATE.SWITCH=1,C424*(1-I424)*(1-ADD.DISCOUNT)*(1+MAT.SURCHARGE)/EXC.RATE_2,C424*(1-I424)*(1-ADD.DISCOUNT)*(1+MAT.SURCHARGE)*EXC.RATE_2),CURRENCY.FORMAT_2),CURRENCY.FORMAT_2,1),"# ##0;-# ##0"),",-"),FIXED(ROUND(IF(EXC.RATE.SWITCH=1,C424*(1-I424)*(1-ADD.DISCOUNT)*(1+MAT.SURCHARGE)/EXC.RATE_2,C424*(1-I424)*(1-ADD.DISCOUNT)*(1+MAT.SURCHARGE)*EXC.RATE_2),CURRENCY.FORMAT_2),CURRENCY.FORMAT_2,0)),'DICTIONARY-5'!$A$2))</f>
        <v/>
      </c>
      <c r="N424" s="544">
        <v>1</v>
      </c>
      <c r="O424" s="544"/>
      <c r="P424" s="731" t="str">
        <f>'DICTIONARY-3'!$A$8</f>
        <v>IKOplus</v>
      </c>
      <c r="Q424" s="732" t="str">
        <f>'DICTIONARY-3'!$A$188</f>
        <v>Zasuwa klinowa</v>
      </c>
      <c r="R424" s="732" t="str">
        <f>CONCATENATE('DICTIONARY-3'!$A$8," ",'DICTIONARY-6'!$A$3," ",'DICTIONARY-2'!$A$2,U424," ",'DICTIONARY-2'!$A$3,V424," ","R14"," ",'DICTIONARY-6'!$A$36,", ",'DICTIONARY-4'!$A$7)</f>
        <v>IKOplus Zasuwa DN65 PN6 R14 SYNT., KR</v>
      </c>
      <c r="S424" s="733" t="str">
        <f>'DICTIONARY-4'!$A$7</f>
        <v>KR</v>
      </c>
      <c r="T424" s="732" t="str">
        <f>'DICTIONARY-4'!$A$23</f>
        <v>Kółko ręczne</v>
      </c>
      <c r="U424" s="734" t="s">
        <v>5759</v>
      </c>
      <c r="V424" s="735">
        <v>6</v>
      </c>
      <c r="W424" s="736"/>
      <c r="X424" s="737"/>
      <c r="Y424" s="738"/>
      <c r="Z424" s="739"/>
      <c r="AA424" s="739"/>
      <c r="AB424" s="740">
        <v>6</v>
      </c>
      <c r="AC424" s="741" t="str">
        <f>'DICTIONARY-5'!$A$11&amp;" 14"</f>
        <v>EN 558 szereg 14</v>
      </c>
      <c r="AD424" s="741" t="str">
        <f>'DICTIONARY-5'!$A$17</f>
        <v>woda przemysłowa</v>
      </c>
      <c r="AE424" s="742">
        <v>200</v>
      </c>
      <c r="AF424" s="743">
        <v>15</v>
      </c>
      <c r="AG424" s="741" t="str">
        <f>'DICTIONARY-5'!$A$24</f>
        <v>powłoka syntetyczna</v>
      </c>
    </row>
    <row r="425" spans="1:33" x14ac:dyDescent="0.25">
      <c r="A425" s="842" t="s">
        <v>415</v>
      </c>
      <c r="B425" s="842" t="s">
        <v>2985</v>
      </c>
      <c r="C425" s="836">
        <v>403</v>
      </c>
      <c r="D425" s="836"/>
      <c r="E425" s="836"/>
      <c r="F425" s="836"/>
      <c r="G425" s="496" t="s">
        <v>7794</v>
      </c>
      <c r="H425" s="797" t="str">
        <f>VLOOKUP(G425,SETTINGS!$B$7:$D$97,2,0)</f>
        <v>IKOplus</v>
      </c>
      <c r="I425" s="796">
        <f>VLOOKUP(G425,SETTINGS!$B$7:$D$97,3,0)</f>
        <v>0</v>
      </c>
      <c r="J425" s="670" t="str">
        <f>IFERROR(IF(CURRENCY.FORMAT_1=0,CONCATENATE(TEXT(FIXED(ROUND((C425/EXC.RATE_1),CURRENCY.FORMAT_1),CURRENCY.FORMAT_1,1),"# ##0;-# ##0"),",-"),FIXED(ROUND((C425/EXC.RATE_1),CURRENCY.FORMAT_1),CURRENCY.FORMAT_1,0)),'DICTIONARY-5'!$A$2)</f>
        <v>403,-</v>
      </c>
      <c r="K425" s="670" t="str">
        <f>IF(EXC.RATE_2=0,"",IFERROR(IF(CURRENCY.FORMAT_2=0,CONCATENATE(TEXT(FIXED(ROUND(IF(EXC.RATE.SWITCH=1,C425/EXC.RATE_2,C425*EXC.RATE_2),CURRENCY.FORMAT_2),CURRENCY.FORMAT_2,1),"# ##0;-# ##0"),",-"),FIXED(ROUND(IF(EXC.RATE.SWITCH=1,C425/EXC.RATE_2,C425*EXC.RATE_2),CURRENCY.FORMAT_2),CURRENCY.FORMAT_2,0)),'DICTIONARY-5'!$A$2))</f>
        <v/>
      </c>
      <c r="L425" s="670" t="str">
        <f>IFERROR(IF(CURRENCY.FORMAT_1=0,CONCATENATE(TEXT(FIXED(ROUND((C425*(1-I425)*(1-ADD.DISCOUNT)*(1+MAT.SURCHARGE)/EXC.RATE_1),CURRENCY.FORMAT_1),CURRENCY.FORMAT_1,1),"# ##0;-# ##0"),",-"),FIXED(ROUND((C425*(1-I425)*(1-ADD.DISCOUNT)*(1+MAT.SURCHARGE)/EXC.RATE_1),CURRENCY.FORMAT_1),CURRENCY.FORMAT_1,0)),'DICTIONARY-5'!$A$2)</f>
        <v>419,-</v>
      </c>
      <c r="M425" s="670" t="str">
        <f>IF(EXC.RATE_2=0,"",IFERROR(IF(CURRENCY.FORMAT_2=0,CONCATENATE(TEXT(FIXED(ROUND(IF(EXC.RATE.SWITCH=1,C425*(1-I425)*(1-ADD.DISCOUNT)*(1+MAT.SURCHARGE)/EXC.RATE_2,C425*(1-I425)*(1-ADD.DISCOUNT)*(1+MAT.SURCHARGE)*EXC.RATE_2),CURRENCY.FORMAT_2),CURRENCY.FORMAT_2,1),"# ##0;-# ##0"),",-"),FIXED(ROUND(IF(EXC.RATE.SWITCH=1,C425*(1-I425)*(1-ADD.DISCOUNT)*(1+MAT.SURCHARGE)/EXC.RATE_2,C425*(1-I425)*(1-ADD.DISCOUNT)*(1+MAT.SURCHARGE)*EXC.RATE_2),CURRENCY.FORMAT_2),CURRENCY.FORMAT_2,0)),'DICTIONARY-5'!$A$2))</f>
        <v/>
      </c>
      <c r="N425" s="544">
        <v>1</v>
      </c>
      <c r="O425" s="544"/>
      <c r="P425" s="731" t="str">
        <f>'DICTIONARY-3'!$A$8</f>
        <v>IKOplus</v>
      </c>
      <c r="Q425" s="732" t="str">
        <f>'DICTIONARY-3'!$A$188</f>
        <v>Zasuwa klinowa</v>
      </c>
      <c r="R425" s="732" t="str">
        <f>CONCATENATE('DICTIONARY-3'!$A$8," ",'DICTIONARY-6'!$A$3," ",'DICTIONARY-2'!$A$2,U425," ",'DICTIONARY-2'!$A$3,V425," ","R14"," ",'DICTIONARY-6'!$A$36,", ",'DICTIONARY-4'!$A$7)</f>
        <v>IKOplus Zasuwa DN80 PN6 R14 SYNT., KR</v>
      </c>
      <c r="S425" s="733" t="str">
        <f>'DICTIONARY-4'!$A$7</f>
        <v>KR</v>
      </c>
      <c r="T425" s="732" t="str">
        <f>'DICTIONARY-4'!$A$23</f>
        <v>Kółko ręczne</v>
      </c>
      <c r="U425" s="734" t="s">
        <v>5760</v>
      </c>
      <c r="V425" s="735">
        <v>6</v>
      </c>
      <c r="W425" s="736"/>
      <c r="X425" s="737"/>
      <c r="Y425" s="738"/>
      <c r="Z425" s="739"/>
      <c r="AA425" s="739"/>
      <c r="AB425" s="740">
        <v>6</v>
      </c>
      <c r="AC425" s="741" t="str">
        <f>'DICTIONARY-5'!$A$11&amp;" 14"</f>
        <v>EN 558 szereg 14</v>
      </c>
      <c r="AD425" s="741" t="str">
        <f>'DICTIONARY-5'!$A$17</f>
        <v>woda przemysłowa</v>
      </c>
      <c r="AE425" s="742">
        <v>200</v>
      </c>
      <c r="AF425" s="743">
        <v>16.5</v>
      </c>
      <c r="AG425" s="741" t="str">
        <f>'DICTIONARY-5'!$A$24</f>
        <v>powłoka syntetyczna</v>
      </c>
    </row>
    <row r="426" spans="1:33" x14ac:dyDescent="0.25">
      <c r="A426" s="842" t="s">
        <v>417</v>
      </c>
      <c r="B426" s="842" t="s">
        <v>2986</v>
      </c>
      <c r="C426" s="836">
        <v>437</v>
      </c>
      <c r="D426" s="836"/>
      <c r="E426" s="836"/>
      <c r="F426" s="836"/>
      <c r="G426" s="496" t="s">
        <v>7794</v>
      </c>
      <c r="H426" s="797" t="str">
        <f>VLOOKUP(G426,SETTINGS!$B$7:$D$97,2,0)</f>
        <v>IKOplus</v>
      </c>
      <c r="I426" s="796">
        <f>VLOOKUP(G426,SETTINGS!$B$7:$D$97,3,0)</f>
        <v>0</v>
      </c>
      <c r="J426" s="670" t="str">
        <f>IFERROR(IF(CURRENCY.FORMAT_1=0,CONCATENATE(TEXT(FIXED(ROUND((C426/EXC.RATE_1),CURRENCY.FORMAT_1),CURRENCY.FORMAT_1,1),"# ##0;-# ##0"),",-"),FIXED(ROUND((C426/EXC.RATE_1),CURRENCY.FORMAT_1),CURRENCY.FORMAT_1,0)),'DICTIONARY-5'!$A$2)</f>
        <v>437,-</v>
      </c>
      <c r="K426" s="670" t="str">
        <f>IF(EXC.RATE_2=0,"",IFERROR(IF(CURRENCY.FORMAT_2=0,CONCATENATE(TEXT(FIXED(ROUND(IF(EXC.RATE.SWITCH=1,C426/EXC.RATE_2,C426*EXC.RATE_2),CURRENCY.FORMAT_2),CURRENCY.FORMAT_2,1),"# ##0;-# ##0"),",-"),FIXED(ROUND(IF(EXC.RATE.SWITCH=1,C426/EXC.RATE_2,C426*EXC.RATE_2),CURRENCY.FORMAT_2),CURRENCY.FORMAT_2,0)),'DICTIONARY-5'!$A$2))</f>
        <v/>
      </c>
      <c r="L426" s="670" t="str">
        <f>IFERROR(IF(CURRENCY.FORMAT_1=0,CONCATENATE(TEXT(FIXED(ROUND((C426*(1-I426)*(1-ADD.DISCOUNT)*(1+MAT.SURCHARGE)/EXC.RATE_1),CURRENCY.FORMAT_1),CURRENCY.FORMAT_1,1),"# ##0;-# ##0"),",-"),FIXED(ROUND((C426*(1-I426)*(1-ADD.DISCOUNT)*(1+MAT.SURCHARGE)/EXC.RATE_1),CURRENCY.FORMAT_1),CURRENCY.FORMAT_1,0)),'DICTIONARY-5'!$A$2)</f>
        <v>454,-</v>
      </c>
      <c r="M426" s="670" t="str">
        <f>IF(EXC.RATE_2=0,"",IFERROR(IF(CURRENCY.FORMAT_2=0,CONCATENATE(TEXT(FIXED(ROUND(IF(EXC.RATE.SWITCH=1,C426*(1-I426)*(1-ADD.DISCOUNT)*(1+MAT.SURCHARGE)/EXC.RATE_2,C426*(1-I426)*(1-ADD.DISCOUNT)*(1+MAT.SURCHARGE)*EXC.RATE_2),CURRENCY.FORMAT_2),CURRENCY.FORMAT_2,1),"# ##0;-# ##0"),",-"),FIXED(ROUND(IF(EXC.RATE.SWITCH=1,C426*(1-I426)*(1-ADD.DISCOUNT)*(1+MAT.SURCHARGE)/EXC.RATE_2,C426*(1-I426)*(1-ADD.DISCOUNT)*(1+MAT.SURCHARGE)*EXC.RATE_2),CURRENCY.FORMAT_2),CURRENCY.FORMAT_2,0)),'DICTIONARY-5'!$A$2))</f>
        <v/>
      </c>
      <c r="N426" s="544">
        <v>1</v>
      </c>
      <c r="O426" s="544"/>
      <c r="P426" s="731" t="str">
        <f>'DICTIONARY-3'!$A$8</f>
        <v>IKOplus</v>
      </c>
      <c r="Q426" s="732" t="str">
        <f>'DICTIONARY-3'!$A$188</f>
        <v>Zasuwa klinowa</v>
      </c>
      <c r="R426" s="732" t="str">
        <f>CONCATENATE('DICTIONARY-3'!$A$8," ",'DICTIONARY-6'!$A$3," ",'DICTIONARY-2'!$A$2,U426," ",'DICTIONARY-2'!$A$3,V426," ","R14"," ",'DICTIONARY-6'!$A$36,", ",'DICTIONARY-4'!$A$7)</f>
        <v>IKOplus Zasuwa DN100 PN6 R14 SYNT., KR</v>
      </c>
      <c r="S426" s="733" t="str">
        <f>'DICTIONARY-4'!$A$7</f>
        <v>KR</v>
      </c>
      <c r="T426" s="732" t="str">
        <f>'DICTIONARY-4'!$A$23</f>
        <v>Kółko ręczne</v>
      </c>
      <c r="U426" s="734" t="s">
        <v>5749</v>
      </c>
      <c r="V426" s="735">
        <v>6</v>
      </c>
      <c r="W426" s="736"/>
      <c r="X426" s="737"/>
      <c r="Y426" s="738"/>
      <c r="Z426" s="739"/>
      <c r="AA426" s="739"/>
      <c r="AB426" s="740">
        <v>6</v>
      </c>
      <c r="AC426" s="741" t="str">
        <f>'DICTIONARY-5'!$A$11&amp;" 14"</f>
        <v>EN 558 szereg 14</v>
      </c>
      <c r="AD426" s="741" t="str">
        <f>'DICTIONARY-5'!$A$17</f>
        <v>woda przemysłowa</v>
      </c>
      <c r="AE426" s="742">
        <v>200</v>
      </c>
      <c r="AF426" s="743">
        <v>22.5</v>
      </c>
      <c r="AG426" s="741" t="str">
        <f>'DICTIONARY-5'!$A$24</f>
        <v>powłoka syntetyczna</v>
      </c>
    </row>
    <row r="427" spans="1:33" x14ac:dyDescent="0.25">
      <c r="A427" s="842" t="s">
        <v>419</v>
      </c>
      <c r="B427" s="842" t="s">
        <v>2987</v>
      </c>
      <c r="C427" s="836">
        <v>607</v>
      </c>
      <c r="D427" s="836"/>
      <c r="E427" s="836"/>
      <c r="F427" s="836"/>
      <c r="G427" s="496" t="s">
        <v>7794</v>
      </c>
      <c r="H427" s="797" t="str">
        <f>VLOOKUP(G427,SETTINGS!$B$7:$D$97,2,0)</f>
        <v>IKOplus</v>
      </c>
      <c r="I427" s="796">
        <f>VLOOKUP(G427,SETTINGS!$B$7:$D$97,3,0)</f>
        <v>0</v>
      </c>
      <c r="J427" s="670" t="str">
        <f>IFERROR(IF(CURRENCY.FORMAT_1=0,CONCATENATE(TEXT(FIXED(ROUND((C427/EXC.RATE_1),CURRENCY.FORMAT_1),CURRENCY.FORMAT_1,1),"# ##0;-# ##0"),",-"),FIXED(ROUND((C427/EXC.RATE_1),CURRENCY.FORMAT_1),CURRENCY.FORMAT_1,0)),'DICTIONARY-5'!$A$2)</f>
        <v>607,-</v>
      </c>
      <c r="K427" s="670" t="str">
        <f>IF(EXC.RATE_2=0,"",IFERROR(IF(CURRENCY.FORMAT_2=0,CONCATENATE(TEXT(FIXED(ROUND(IF(EXC.RATE.SWITCH=1,C427/EXC.RATE_2,C427*EXC.RATE_2),CURRENCY.FORMAT_2),CURRENCY.FORMAT_2,1),"# ##0;-# ##0"),",-"),FIXED(ROUND(IF(EXC.RATE.SWITCH=1,C427/EXC.RATE_2,C427*EXC.RATE_2),CURRENCY.FORMAT_2),CURRENCY.FORMAT_2,0)),'DICTIONARY-5'!$A$2))</f>
        <v/>
      </c>
      <c r="L427" s="670" t="str">
        <f>IFERROR(IF(CURRENCY.FORMAT_1=0,CONCATENATE(TEXT(FIXED(ROUND((C427*(1-I427)*(1-ADD.DISCOUNT)*(1+MAT.SURCHARGE)/EXC.RATE_1),CURRENCY.FORMAT_1),CURRENCY.FORMAT_1,1),"# ##0;-# ##0"),",-"),FIXED(ROUND((C427*(1-I427)*(1-ADD.DISCOUNT)*(1+MAT.SURCHARGE)/EXC.RATE_1),CURRENCY.FORMAT_1),CURRENCY.FORMAT_1,0)),'DICTIONARY-5'!$A$2)</f>
        <v>631,-</v>
      </c>
      <c r="M427" s="670" t="str">
        <f>IF(EXC.RATE_2=0,"",IFERROR(IF(CURRENCY.FORMAT_2=0,CONCATENATE(TEXT(FIXED(ROUND(IF(EXC.RATE.SWITCH=1,C427*(1-I427)*(1-ADD.DISCOUNT)*(1+MAT.SURCHARGE)/EXC.RATE_2,C427*(1-I427)*(1-ADD.DISCOUNT)*(1+MAT.SURCHARGE)*EXC.RATE_2),CURRENCY.FORMAT_2),CURRENCY.FORMAT_2,1),"# ##0;-# ##0"),",-"),FIXED(ROUND(IF(EXC.RATE.SWITCH=1,C427*(1-I427)*(1-ADD.DISCOUNT)*(1+MAT.SURCHARGE)/EXC.RATE_2,C427*(1-I427)*(1-ADD.DISCOUNT)*(1+MAT.SURCHARGE)*EXC.RATE_2),CURRENCY.FORMAT_2),CURRENCY.FORMAT_2,0)),'DICTIONARY-5'!$A$2))</f>
        <v/>
      </c>
      <c r="N427" s="544">
        <v>1</v>
      </c>
      <c r="O427" s="544"/>
      <c r="P427" s="731" t="str">
        <f>'DICTIONARY-3'!$A$8</f>
        <v>IKOplus</v>
      </c>
      <c r="Q427" s="732" t="str">
        <f>'DICTIONARY-3'!$A$188</f>
        <v>Zasuwa klinowa</v>
      </c>
      <c r="R427" s="732" t="str">
        <f>CONCATENATE('DICTIONARY-3'!$A$8," ",'DICTIONARY-6'!$A$3," ",'DICTIONARY-2'!$A$2,U427," ",'DICTIONARY-2'!$A$3,V427," ","R14"," ",'DICTIONARY-6'!$A$36,", ",'DICTIONARY-4'!$A$7)</f>
        <v>IKOplus Zasuwa DN125 PN6 R14 SYNT., KR</v>
      </c>
      <c r="S427" s="733" t="str">
        <f>'DICTIONARY-4'!$A$7</f>
        <v>KR</v>
      </c>
      <c r="T427" s="732" t="str">
        <f>'DICTIONARY-4'!$A$23</f>
        <v>Kółko ręczne</v>
      </c>
      <c r="U427" s="734" t="s">
        <v>5761</v>
      </c>
      <c r="V427" s="735">
        <v>6</v>
      </c>
      <c r="W427" s="736"/>
      <c r="X427" s="737"/>
      <c r="Y427" s="738"/>
      <c r="Z427" s="739"/>
      <c r="AA427" s="739"/>
      <c r="AB427" s="740">
        <v>6</v>
      </c>
      <c r="AC427" s="741" t="str">
        <f>'DICTIONARY-5'!$A$11&amp;" 14"</f>
        <v>EN 558 szereg 14</v>
      </c>
      <c r="AD427" s="741" t="str">
        <f>'DICTIONARY-5'!$A$17</f>
        <v>woda przemysłowa</v>
      </c>
      <c r="AE427" s="742">
        <v>200</v>
      </c>
      <c r="AF427" s="743">
        <v>32.5</v>
      </c>
      <c r="AG427" s="741" t="str">
        <f>'DICTIONARY-5'!$A$24</f>
        <v>powłoka syntetyczna</v>
      </c>
    </row>
    <row r="428" spans="1:33" x14ac:dyDescent="0.25">
      <c r="A428" s="842" t="s">
        <v>421</v>
      </c>
      <c r="B428" s="842" t="s">
        <v>2988</v>
      </c>
      <c r="C428" s="836">
        <v>723</v>
      </c>
      <c r="D428" s="836"/>
      <c r="E428" s="836"/>
      <c r="F428" s="836"/>
      <c r="G428" s="496" t="s">
        <v>7794</v>
      </c>
      <c r="H428" s="797" t="str">
        <f>VLOOKUP(G428,SETTINGS!$B$7:$D$97,2,0)</f>
        <v>IKOplus</v>
      </c>
      <c r="I428" s="796">
        <f>VLOOKUP(G428,SETTINGS!$B$7:$D$97,3,0)</f>
        <v>0</v>
      </c>
      <c r="J428" s="670" t="str">
        <f>IFERROR(IF(CURRENCY.FORMAT_1=0,CONCATENATE(TEXT(FIXED(ROUND((C428/EXC.RATE_1),CURRENCY.FORMAT_1),CURRENCY.FORMAT_1,1),"# ##0;-# ##0"),",-"),FIXED(ROUND((C428/EXC.RATE_1),CURRENCY.FORMAT_1),CURRENCY.FORMAT_1,0)),'DICTIONARY-5'!$A$2)</f>
        <v>723,-</v>
      </c>
      <c r="K428" s="670" t="str">
        <f>IF(EXC.RATE_2=0,"",IFERROR(IF(CURRENCY.FORMAT_2=0,CONCATENATE(TEXT(FIXED(ROUND(IF(EXC.RATE.SWITCH=1,C428/EXC.RATE_2,C428*EXC.RATE_2),CURRENCY.FORMAT_2),CURRENCY.FORMAT_2,1),"# ##0;-# ##0"),",-"),FIXED(ROUND(IF(EXC.RATE.SWITCH=1,C428/EXC.RATE_2,C428*EXC.RATE_2),CURRENCY.FORMAT_2),CURRENCY.FORMAT_2,0)),'DICTIONARY-5'!$A$2))</f>
        <v/>
      </c>
      <c r="L428" s="670" t="str">
        <f>IFERROR(IF(CURRENCY.FORMAT_1=0,CONCATENATE(TEXT(FIXED(ROUND((C428*(1-I428)*(1-ADD.DISCOUNT)*(1+MAT.SURCHARGE)/EXC.RATE_1),CURRENCY.FORMAT_1),CURRENCY.FORMAT_1,1),"# ##0;-# ##0"),",-"),FIXED(ROUND((C428*(1-I428)*(1-ADD.DISCOUNT)*(1+MAT.SURCHARGE)/EXC.RATE_1),CURRENCY.FORMAT_1),CURRENCY.FORMAT_1,0)),'DICTIONARY-5'!$A$2)</f>
        <v>751,-</v>
      </c>
      <c r="M428" s="670" t="str">
        <f>IF(EXC.RATE_2=0,"",IFERROR(IF(CURRENCY.FORMAT_2=0,CONCATENATE(TEXT(FIXED(ROUND(IF(EXC.RATE.SWITCH=1,C428*(1-I428)*(1-ADD.DISCOUNT)*(1+MAT.SURCHARGE)/EXC.RATE_2,C428*(1-I428)*(1-ADD.DISCOUNT)*(1+MAT.SURCHARGE)*EXC.RATE_2),CURRENCY.FORMAT_2),CURRENCY.FORMAT_2,1),"# ##0;-# ##0"),",-"),FIXED(ROUND(IF(EXC.RATE.SWITCH=1,C428*(1-I428)*(1-ADD.DISCOUNT)*(1+MAT.SURCHARGE)/EXC.RATE_2,C428*(1-I428)*(1-ADD.DISCOUNT)*(1+MAT.SURCHARGE)*EXC.RATE_2),CURRENCY.FORMAT_2),CURRENCY.FORMAT_2,0)),'DICTIONARY-5'!$A$2))</f>
        <v/>
      </c>
      <c r="N428" s="544">
        <v>1</v>
      </c>
      <c r="O428" s="544"/>
      <c r="P428" s="731" t="str">
        <f>'DICTIONARY-3'!$A$8</f>
        <v>IKOplus</v>
      </c>
      <c r="Q428" s="732" t="str">
        <f>'DICTIONARY-3'!$A$188</f>
        <v>Zasuwa klinowa</v>
      </c>
      <c r="R428" s="732" t="str">
        <f>CONCATENATE('DICTIONARY-3'!$A$8," ",'DICTIONARY-6'!$A$3," ",'DICTIONARY-2'!$A$2,U428," ",'DICTIONARY-2'!$A$3,V428," ","R14"," ",'DICTIONARY-6'!$A$36,", ",'DICTIONARY-4'!$A$7)</f>
        <v>IKOplus Zasuwa DN150 PN6 R14 SYNT., KR</v>
      </c>
      <c r="S428" s="733" t="str">
        <f>'DICTIONARY-4'!$A$7</f>
        <v>KR</v>
      </c>
      <c r="T428" s="732" t="str">
        <f>'DICTIONARY-4'!$A$23</f>
        <v>Kółko ręczne</v>
      </c>
      <c r="U428" s="734" t="s">
        <v>5572</v>
      </c>
      <c r="V428" s="735">
        <v>6</v>
      </c>
      <c r="W428" s="736"/>
      <c r="X428" s="737"/>
      <c r="Y428" s="738"/>
      <c r="Z428" s="739"/>
      <c r="AA428" s="739"/>
      <c r="AB428" s="740">
        <v>6</v>
      </c>
      <c r="AC428" s="741" t="str">
        <f>'DICTIONARY-5'!$A$11&amp;" 14"</f>
        <v>EN 558 szereg 14</v>
      </c>
      <c r="AD428" s="741" t="str">
        <f>'DICTIONARY-5'!$A$17</f>
        <v>woda przemysłowa</v>
      </c>
      <c r="AE428" s="742">
        <v>200</v>
      </c>
      <c r="AF428" s="743">
        <v>41</v>
      </c>
      <c r="AG428" s="741" t="str">
        <f>'DICTIONARY-5'!$A$24</f>
        <v>powłoka syntetyczna</v>
      </c>
    </row>
    <row r="429" spans="1:33" x14ac:dyDescent="0.25">
      <c r="A429" s="842" t="s">
        <v>423</v>
      </c>
      <c r="B429" s="842" t="s">
        <v>2989</v>
      </c>
      <c r="C429" s="836">
        <v>964</v>
      </c>
      <c r="D429" s="836"/>
      <c r="E429" s="836"/>
      <c r="F429" s="836"/>
      <c r="G429" s="496" t="s">
        <v>7794</v>
      </c>
      <c r="H429" s="797" t="str">
        <f>VLOOKUP(G429,SETTINGS!$B$7:$D$97,2,0)</f>
        <v>IKOplus</v>
      </c>
      <c r="I429" s="796">
        <f>VLOOKUP(G429,SETTINGS!$B$7:$D$97,3,0)</f>
        <v>0</v>
      </c>
      <c r="J429" s="670" t="str">
        <f>IFERROR(IF(CURRENCY.FORMAT_1=0,CONCATENATE(TEXT(FIXED(ROUND((C429/EXC.RATE_1),CURRENCY.FORMAT_1),CURRENCY.FORMAT_1,1),"# ##0;-# ##0"),",-"),FIXED(ROUND((C429/EXC.RATE_1),CURRENCY.FORMAT_1),CURRENCY.FORMAT_1,0)),'DICTIONARY-5'!$A$2)</f>
        <v>964,-</v>
      </c>
      <c r="K429" s="670" t="str">
        <f>IF(EXC.RATE_2=0,"",IFERROR(IF(CURRENCY.FORMAT_2=0,CONCATENATE(TEXT(FIXED(ROUND(IF(EXC.RATE.SWITCH=1,C429/EXC.RATE_2,C429*EXC.RATE_2),CURRENCY.FORMAT_2),CURRENCY.FORMAT_2,1),"# ##0;-# ##0"),",-"),FIXED(ROUND(IF(EXC.RATE.SWITCH=1,C429/EXC.RATE_2,C429*EXC.RATE_2),CURRENCY.FORMAT_2),CURRENCY.FORMAT_2,0)),'DICTIONARY-5'!$A$2))</f>
        <v/>
      </c>
      <c r="L429" s="670" t="str">
        <f>IFERROR(IF(CURRENCY.FORMAT_1=0,CONCATENATE(TEXT(FIXED(ROUND((C429*(1-I429)*(1-ADD.DISCOUNT)*(1+MAT.SURCHARGE)/EXC.RATE_1),CURRENCY.FORMAT_1),CURRENCY.FORMAT_1,1),"# ##0;-# ##0"),",-"),FIXED(ROUND((C429*(1-I429)*(1-ADD.DISCOUNT)*(1+MAT.SURCHARGE)/EXC.RATE_1),CURRENCY.FORMAT_1),CURRENCY.FORMAT_1,0)),'DICTIONARY-5'!$A$2)</f>
        <v>1 002,-</v>
      </c>
      <c r="M429" s="670" t="str">
        <f>IF(EXC.RATE_2=0,"",IFERROR(IF(CURRENCY.FORMAT_2=0,CONCATENATE(TEXT(FIXED(ROUND(IF(EXC.RATE.SWITCH=1,C429*(1-I429)*(1-ADD.DISCOUNT)*(1+MAT.SURCHARGE)/EXC.RATE_2,C429*(1-I429)*(1-ADD.DISCOUNT)*(1+MAT.SURCHARGE)*EXC.RATE_2),CURRENCY.FORMAT_2),CURRENCY.FORMAT_2,1),"# ##0;-# ##0"),",-"),FIXED(ROUND(IF(EXC.RATE.SWITCH=1,C429*(1-I429)*(1-ADD.DISCOUNT)*(1+MAT.SURCHARGE)/EXC.RATE_2,C429*(1-I429)*(1-ADD.DISCOUNT)*(1+MAT.SURCHARGE)*EXC.RATE_2),CURRENCY.FORMAT_2),CURRENCY.FORMAT_2,0)),'DICTIONARY-5'!$A$2))</f>
        <v/>
      </c>
      <c r="N429" s="544">
        <v>1</v>
      </c>
      <c r="O429" s="544"/>
      <c r="P429" s="731" t="str">
        <f>'DICTIONARY-3'!$A$8</f>
        <v>IKOplus</v>
      </c>
      <c r="Q429" s="732" t="str">
        <f>'DICTIONARY-3'!$A$188</f>
        <v>Zasuwa klinowa</v>
      </c>
      <c r="R429" s="732" t="str">
        <f>CONCATENATE('DICTIONARY-3'!$A$8," ",'DICTIONARY-6'!$A$3," ",'DICTIONARY-2'!$A$2,U429," ",'DICTIONARY-2'!$A$3,V429," ","R14"," ",'DICTIONARY-6'!$A$36,", ",'DICTIONARY-4'!$A$7)</f>
        <v>IKOplus Zasuwa DN200 PN6 R14 SYNT., KR</v>
      </c>
      <c r="S429" s="733" t="str">
        <f>'DICTIONARY-4'!$A$7</f>
        <v>KR</v>
      </c>
      <c r="T429" s="732" t="str">
        <f>'DICTIONARY-4'!$A$23</f>
        <v>Kółko ręczne</v>
      </c>
      <c r="U429" s="734" t="s">
        <v>5750</v>
      </c>
      <c r="V429" s="735">
        <v>6</v>
      </c>
      <c r="W429" s="736"/>
      <c r="X429" s="737"/>
      <c r="Y429" s="738"/>
      <c r="Z429" s="739"/>
      <c r="AA429" s="739"/>
      <c r="AB429" s="740">
        <v>6</v>
      </c>
      <c r="AC429" s="741" t="str">
        <f>'DICTIONARY-5'!$A$11&amp;" 14"</f>
        <v>EN 558 szereg 14</v>
      </c>
      <c r="AD429" s="741" t="str">
        <f>'DICTIONARY-5'!$A$17</f>
        <v>woda przemysłowa</v>
      </c>
      <c r="AE429" s="742">
        <v>200</v>
      </c>
      <c r="AF429" s="743">
        <v>62</v>
      </c>
      <c r="AG429" s="741" t="str">
        <f>'DICTIONARY-5'!$A$24</f>
        <v>powłoka syntetyczna</v>
      </c>
    </row>
    <row r="430" spans="1:33" x14ac:dyDescent="0.25">
      <c r="A430" s="842" t="s">
        <v>425</v>
      </c>
      <c r="B430" s="842" t="s">
        <v>2990</v>
      </c>
      <c r="C430" s="836">
        <v>1697</v>
      </c>
      <c r="D430" s="836"/>
      <c r="E430" s="836"/>
      <c r="F430" s="836"/>
      <c r="G430" s="496" t="s">
        <v>7794</v>
      </c>
      <c r="H430" s="797" t="str">
        <f>VLOOKUP(G430,SETTINGS!$B$7:$D$97,2,0)</f>
        <v>IKOplus</v>
      </c>
      <c r="I430" s="796">
        <f>VLOOKUP(G430,SETTINGS!$B$7:$D$97,3,0)</f>
        <v>0</v>
      </c>
      <c r="J430" s="670" t="str">
        <f>IFERROR(IF(CURRENCY.FORMAT_1=0,CONCATENATE(TEXT(FIXED(ROUND((C430/EXC.RATE_1),CURRENCY.FORMAT_1),CURRENCY.FORMAT_1,1),"# ##0;-# ##0"),",-"),FIXED(ROUND((C430/EXC.RATE_1),CURRENCY.FORMAT_1),CURRENCY.FORMAT_1,0)),'DICTIONARY-5'!$A$2)</f>
        <v>1 697,-</v>
      </c>
      <c r="K430" s="670" t="str">
        <f>IF(EXC.RATE_2=0,"",IFERROR(IF(CURRENCY.FORMAT_2=0,CONCATENATE(TEXT(FIXED(ROUND(IF(EXC.RATE.SWITCH=1,C430/EXC.RATE_2,C430*EXC.RATE_2),CURRENCY.FORMAT_2),CURRENCY.FORMAT_2,1),"# ##0;-# ##0"),",-"),FIXED(ROUND(IF(EXC.RATE.SWITCH=1,C430/EXC.RATE_2,C430*EXC.RATE_2),CURRENCY.FORMAT_2),CURRENCY.FORMAT_2,0)),'DICTIONARY-5'!$A$2))</f>
        <v/>
      </c>
      <c r="L430" s="670" t="str">
        <f>IFERROR(IF(CURRENCY.FORMAT_1=0,CONCATENATE(TEXT(FIXED(ROUND((C430*(1-I430)*(1-ADD.DISCOUNT)*(1+MAT.SURCHARGE)/EXC.RATE_1),CURRENCY.FORMAT_1),CURRENCY.FORMAT_1,1),"# ##0;-# ##0"),",-"),FIXED(ROUND((C430*(1-I430)*(1-ADD.DISCOUNT)*(1+MAT.SURCHARGE)/EXC.RATE_1),CURRENCY.FORMAT_1),CURRENCY.FORMAT_1,0)),'DICTIONARY-5'!$A$2)</f>
        <v>1 763,-</v>
      </c>
      <c r="M430" s="670" t="str">
        <f>IF(EXC.RATE_2=0,"",IFERROR(IF(CURRENCY.FORMAT_2=0,CONCATENATE(TEXT(FIXED(ROUND(IF(EXC.RATE.SWITCH=1,C430*(1-I430)*(1-ADD.DISCOUNT)*(1+MAT.SURCHARGE)/EXC.RATE_2,C430*(1-I430)*(1-ADD.DISCOUNT)*(1+MAT.SURCHARGE)*EXC.RATE_2),CURRENCY.FORMAT_2),CURRENCY.FORMAT_2,1),"# ##0;-# ##0"),",-"),FIXED(ROUND(IF(EXC.RATE.SWITCH=1,C430*(1-I430)*(1-ADD.DISCOUNT)*(1+MAT.SURCHARGE)/EXC.RATE_2,C430*(1-I430)*(1-ADD.DISCOUNT)*(1+MAT.SURCHARGE)*EXC.RATE_2),CURRENCY.FORMAT_2),CURRENCY.FORMAT_2,0)),'DICTIONARY-5'!$A$2))</f>
        <v/>
      </c>
      <c r="N430" s="544">
        <v>1</v>
      </c>
      <c r="O430" s="544"/>
      <c r="P430" s="731" t="str">
        <f>'DICTIONARY-3'!$A$8</f>
        <v>IKOplus</v>
      </c>
      <c r="Q430" s="732" t="str">
        <f>'DICTIONARY-3'!$A$188</f>
        <v>Zasuwa klinowa</v>
      </c>
      <c r="R430" s="732" t="str">
        <f>CONCATENATE('DICTIONARY-3'!$A$8," ",'DICTIONARY-6'!$A$3," ",'DICTIONARY-2'!$A$2,U430," ",'DICTIONARY-2'!$A$3,V430," ","R14"," ",'DICTIONARY-6'!$A$36,", ",'DICTIONARY-4'!$A$7)</f>
        <v>IKOplus Zasuwa DN250 PN6 R14 SYNT., KR</v>
      </c>
      <c r="S430" s="733" t="str">
        <f>'DICTIONARY-4'!$A$7</f>
        <v>KR</v>
      </c>
      <c r="T430" s="732" t="str">
        <f>'DICTIONARY-4'!$A$23</f>
        <v>Kółko ręczne</v>
      </c>
      <c r="U430" s="734" t="s">
        <v>5751</v>
      </c>
      <c r="V430" s="735">
        <v>6</v>
      </c>
      <c r="W430" s="736"/>
      <c r="X430" s="737"/>
      <c r="Y430" s="738"/>
      <c r="Z430" s="739"/>
      <c r="AA430" s="739"/>
      <c r="AB430" s="740">
        <v>6</v>
      </c>
      <c r="AC430" s="741" t="str">
        <f>'DICTIONARY-5'!$A$11&amp;" 14"</f>
        <v>EN 558 szereg 14</v>
      </c>
      <c r="AD430" s="741" t="str">
        <f>'DICTIONARY-5'!$A$17</f>
        <v>woda przemysłowa</v>
      </c>
      <c r="AE430" s="742">
        <v>200</v>
      </c>
      <c r="AF430" s="743">
        <v>93.5</v>
      </c>
      <c r="AG430" s="741" t="str">
        <f>'DICTIONARY-5'!$A$24</f>
        <v>powłoka syntetyczna</v>
      </c>
    </row>
    <row r="431" spans="1:33" x14ac:dyDescent="0.25">
      <c r="A431" s="842" t="s">
        <v>427</v>
      </c>
      <c r="B431" s="842" t="s">
        <v>2991</v>
      </c>
      <c r="C431" s="836">
        <v>1942</v>
      </c>
      <c r="D431" s="836"/>
      <c r="E431" s="836"/>
      <c r="F431" s="836"/>
      <c r="G431" s="496" t="s">
        <v>7794</v>
      </c>
      <c r="H431" s="797" t="str">
        <f>VLOOKUP(G431,SETTINGS!$B$7:$D$97,2,0)</f>
        <v>IKOplus</v>
      </c>
      <c r="I431" s="796">
        <f>VLOOKUP(G431,SETTINGS!$B$7:$D$97,3,0)</f>
        <v>0</v>
      </c>
      <c r="J431" s="670" t="str">
        <f>IFERROR(IF(CURRENCY.FORMAT_1=0,CONCATENATE(TEXT(FIXED(ROUND((C431/EXC.RATE_1),CURRENCY.FORMAT_1),CURRENCY.FORMAT_1,1),"# ##0;-# ##0"),",-"),FIXED(ROUND((C431/EXC.RATE_1),CURRENCY.FORMAT_1),CURRENCY.FORMAT_1,0)),'DICTIONARY-5'!$A$2)</f>
        <v>1 942,-</v>
      </c>
      <c r="K431" s="670" t="str">
        <f>IF(EXC.RATE_2=0,"",IFERROR(IF(CURRENCY.FORMAT_2=0,CONCATENATE(TEXT(FIXED(ROUND(IF(EXC.RATE.SWITCH=1,C431/EXC.RATE_2,C431*EXC.RATE_2),CURRENCY.FORMAT_2),CURRENCY.FORMAT_2,1),"# ##0;-# ##0"),",-"),FIXED(ROUND(IF(EXC.RATE.SWITCH=1,C431/EXC.RATE_2,C431*EXC.RATE_2),CURRENCY.FORMAT_2),CURRENCY.FORMAT_2,0)),'DICTIONARY-5'!$A$2))</f>
        <v/>
      </c>
      <c r="L431" s="670" t="str">
        <f>IFERROR(IF(CURRENCY.FORMAT_1=0,CONCATENATE(TEXT(FIXED(ROUND((C431*(1-I431)*(1-ADD.DISCOUNT)*(1+MAT.SURCHARGE)/EXC.RATE_1),CURRENCY.FORMAT_1),CURRENCY.FORMAT_1,1),"# ##0;-# ##0"),",-"),FIXED(ROUND((C431*(1-I431)*(1-ADD.DISCOUNT)*(1+MAT.SURCHARGE)/EXC.RATE_1),CURRENCY.FORMAT_1),CURRENCY.FORMAT_1,0)),'DICTIONARY-5'!$A$2)</f>
        <v>2 018,-</v>
      </c>
      <c r="M431" s="670" t="str">
        <f>IF(EXC.RATE_2=0,"",IFERROR(IF(CURRENCY.FORMAT_2=0,CONCATENATE(TEXT(FIXED(ROUND(IF(EXC.RATE.SWITCH=1,C431*(1-I431)*(1-ADD.DISCOUNT)*(1+MAT.SURCHARGE)/EXC.RATE_2,C431*(1-I431)*(1-ADD.DISCOUNT)*(1+MAT.SURCHARGE)*EXC.RATE_2),CURRENCY.FORMAT_2),CURRENCY.FORMAT_2,1),"# ##0;-# ##0"),",-"),FIXED(ROUND(IF(EXC.RATE.SWITCH=1,C431*(1-I431)*(1-ADD.DISCOUNT)*(1+MAT.SURCHARGE)/EXC.RATE_2,C431*(1-I431)*(1-ADD.DISCOUNT)*(1+MAT.SURCHARGE)*EXC.RATE_2),CURRENCY.FORMAT_2),CURRENCY.FORMAT_2,0)),'DICTIONARY-5'!$A$2))</f>
        <v/>
      </c>
      <c r="N431" s="544">
        <v>1</v>
      </c>
      <c r="O431" s="544"/>
      <c r="P431" s="731" t="str">
        <f>'DICTIONARY-3'!$A$8</f>
        <v>IKOplus</v>
      </c>
      <c r="Q431" s="732" t="str">
        <f>'DICTIONARY-3'!$A$188</f>
        <v>Zasuwa klinowa</v>
      </c>
      <c r="R431" s="732" t="str">
        <f>CONCATENATE('DICTIONARY-3'!$A$8," ",'DICTIONARY-6'!$A$3," ",'DICTIONARY-2'!$A$2,U431," ",'DICTIONARY-2'!$A$3,V431," ","R14"," ",'DICTIONARY-6'!$A$36,", ",'DICTIONARY-4'!$A$7)</f>
        <v>IKOplus Zasuwa DN300 PN6 R14 SYNT., KR</v>
      </c>
      <c r="S431" s="733" t="str">
        <f>'DICTIONARY-4'!$A$7</f>
        <v>KR</v>
      </c>
      <c r="T431" s="732" t="str">
        <f>'DICTIONARY-4'!$A$23</f>
        <v>Kółko ręczne</v>
      </c>
      <c r="U431" s="734" t="s">
        <v>5752</v>
      </c>
      <c r="V431" s="735">
        <v>6</v>
      </c>
      <c r="W431" s="736"/>
      <c r="X431" s="737"/>
      <c r="Y431" s="738"/>
      <c r="Z431" s="739"/>
      <c r="AA431" s="739"/>
      <c r="AB431" s="740">
        <v>6</v>
      </c>
      <c r="AC431" s="741" t="str">
        <f>'DICTIONARY-5'!$A$11&amp;" 14"</f>
        <v>EN 558 szereg 14</v>
      </c>
      <c r="AD431" s="741" t="str">
        <f>'DICTIONARY-5'!$A$17</f>
        <v>woda przemysłowa</v>
      </c>
      <c r="AE431" s="742">
        <v>200</v>
      </c>
      <c r="AF431" s="743">
        <v>131.5</v>
      </c>
      <c r="AG431" s="741" t="str">
        <f>'DICTIONARY-5'!$A$24</f>
        <v>powłoka syntetyczna</v>
      </c>
    </row>
    <row r="432" spans="1:33" x14ac:dyDescent="0.25">
      <c r="A432" s="842" t="s">
        <v>410</v>
      </c>
      <c r="B432" s="842" t="s">
        <v>3012</v>
      </c>
      <c r="C432" s="836">
        <v>299</v>
      </c>
      <c r="D432" s="836"/>
      <c r="E432" s="836"/>
      <c r="F432" s="836"/>
      <c r="G432" s="496" t="s">
        <v>7794</v>
      </c>
      <c r="H432" s="797" t="str">
        <f>VLOOKUP(G432,SETTINGS!$B$7:$D$97,2,0)</f>
        <v>IKOplus</v>
      </c>
      <c r="I432" s="796">
        <f>VLOOKUP(G432,SETTINGS!$B$7:$D$97,3,0)</f>
        <v>0</v>
      </c>
      <c r="J432" s="670" t="str">
        <f>IFERROR(IF(CURRENCY.FORMAT_1=0,CONCATENATE(TEXT(FIXED(ROUND((C432/EXC.RATE_1),CURRENCY.FORMAT_1),CURRENCY.FORMAT_1,1),"# ##0;-# ##0"),",-"),FIXED(ROUND((C432/EXC.RATE_1),CURRENCY.FORMAT_1),CURRENCY.FORMAT_1,0)),'DICTIONARY-5'!$A$2)</f>
        <v>299,-</v>
      </c>
      <c r="K432" s="670" t="str">
        <f>IF(EXC.RATE_2=0,"",IFERROR(IF(CURRENCY.FORMAT_2=0,CONCATENATE(TEXT(FIXED(ROUND(IF(EXC.RATE.SWITCH=1,C432/EXC.RATE_2,C432*EXC.RATE_2),CURRENCY.FORMAT_2),CURRENCY.FORMAT_2,1),"# ##0;-# ##0"),",-"),FIXED(ROUND(IF(EXC.RATE.SWITCH=1,C432/EXC.RATE_2,C432*EXC.RATE_2),CURRENCY.FORMAT_2),CURRENCY.FORMAT_2,0)),'DICTIONARY-5'!$A$2))</f>
        <v/>
      </c>
      <c r="L432" s="670" t="str">
        <f>IFERROR(IF(CURRENCY.FORMAT_1=0,CONCATENATE(TEXT(FIXED(ROUND((C432*(1-I432)*(1-ADD.DISCOUNT)*(1+MAT.SURCHARGE)/EXC.RATE_1),CURRENCY.FORMAT_1),CURRENCY.FORMAT_1,1),"# ##0;-# ##0"),",-"),FIXED(ROUND((C432*(1-I432)*(1-ADD.DISCOUNT)*(1+MAT.SURCHARGE)/EXC.RATE_1),CURRENCY.FORMAT_1),CURRENCY.FORMAT_1,0)),'DICTIONARY-5'!$A$2)</f>
        <v>311,-</v>
      </c>
      <c r="M432" s="670" t="str">
        <f>IF(EXC.RATE_2=0,"",IFERROR(IF(CURRENCY.FORMAT_2=0,CONCATENATE(TEXT(FIXED(ROUND(IF(EXC.RATE.SWITCH=1,C432*(1-I432)*(1-ADD.DISCOUNT)*(1+MAT.SURCHARGE)/EXC.RATE_2,C432*(1-I432)*(1-ADD.DISCOUNT)*(1+MAT.SURCHARGE)*EXC.RATE_2),CURRENCY.FORMAT_2),CURRENCY.FORMAT_2,1),"# ##0;-# ##0"),",-"),FIXED(ROUND(IF(EXC.RATE.SWITCH=1,C432*(1-I432)*(1-ADD.DISCOUNT)*(1+MAT.SURCHARGE)/EXC.RATE_2,C432*(1-I432)*(1-ADD.DISCOUNT)*(1+MAT.SURCHARGE)*EXC.RATE_2),CURRENCY.FORMAT_2),CURRENCY.FORMAT_2,0)),'DICTIONARY-5'!$A$2))</f>
        <v/>
      </c>
      <c r="N432" s="544">
        <v>1</v>
      </c>
      <c r="O432" s="544"/>
      <c r="P432" s="731" t="str">
        <f>'DICTIONARY-3'!$A$8</f>
        <v>IKOplus</v>
      </c>
      <c r="Q432" s="732" t="str">
        <f>'DICTIONARY-3'!$A$188</f>
        <v>Zasuwa klinowa</v>
      </c>
      <c r="R432" s="732" t="str">
        <f>CONCATENATE('DICTIONARY-3'!$A$8," ",'DICTIONARY-6'!$A$3," ",'DICTIONARY-2'!$A$2,U432," ",'DICTIONARY-2'!$A$3,V432," ","R14"," ",'DICTIONARY-6'!$A$36,", ",'DICTIONARY-4'!$A$7)</f>
        <v>IKOplus Zasuwa DN40 PN10 R14 SYNT., KR</v>
      </c>
      <c r="S432" s="733" t="str">
        <f>'DICTIONARY-4'!$A$7</f>
        <v>KR</v>
      </c>
      <c r="T432" s="732" t="str">
        <f>'DICTIONARY-4'!$A$23</f>
        <v>Kółko ręczne</v>
      </c>
      <c r="U432" s="734" t="s">
        <v>5758</v>
      </c>
      <c r="V432" s="735">
        <v>10</v>
      </c>
      <c r="W432" s="736"/>
      <c r="X432" s="737"/>
      <c r="Y432" s="738"/>
      <c r="Z432" s="739"/>
      <c r="AA432" s="739"/>
      <c r="AB432" s="740">
        <v>10</v>
      </c>
      <c r="AC432" s="741" t="str">
        <f>'DICTIONARY-5'!$A$11&amp;" 14"</f>
        <v>EN 558 szereg 14</v>
      </c>
      <c r="AD432" s="741" t="str">
        <f>'DICTIONARY-5'!$A$17</f>
        <v>woda przemysłowa</v>
      </c>
      <c r="AE432" s="742">
        <v>200</v>
      </c>
      <c r="AF432" s="743">
        <v>9</v>
      </c>
      <c r="AG432" s="741" t="str">
        <f>'DICTIONARY-5'!$A$24</f>
        <v>powłoka syntetyczna</v>
      </c>
    </row>
    <row r="433" spans="1:33" x14ac:dyDescent="0.25">
      <c r="A433" s="842" t="s">
        <v>412</v>
      </c>
      <c r="B433" s="842" t="s">
        <v>3013</v>
      </c>
      <c r="C433" s="836">
        <v>308</v>
      </c>
      <c r="D433" s="836"/>
      <c r="E433" s="836"/>
      <c r="F433" s="836"/>
      <c r="G433" s="496" t="s">
        <v>7794</v>
      </c>
      <c r="H433" s="797" t="str">
        <f>VLOOKUP(G433,SETTINGS!$B$7:$D$97,2,0)</f>
        <v>IKOplus</v>
      </c>
      <c r="I433" s="796">
        <f>VLOOKUP(G433,SETTINGS!$B$7:$D$97,3,0)</f>
        <v>0</v>
      </c>
      <c r="J433" s="670" t="str">
        <f>IFERROR(IF(CURRENCY.FORMAT_1=0,CONCATENATE(TEXT(FIXED(ROUND((C433/EXC.RATE_1),CURRENCY.FORMAT_1),CURRENCY.FORMAT_1,1),"# ##0;-# ##0"),",-"),FIXED(ROUND((C433/EXC.RATE_1),CURRENCY.FORMAT_1),CURRENCY.FORMAT_1,0)),'DICTIONARY-5'!$A$2)</f>
        <v>308,-</v>
      </c>
      <c r="K433" s="670" t="str">
        <f>IF(EXC.RATE_2=0,"",IFERROR(IF(CURRENCY.FORMAT_2=0,CONCATENATE(TEXT(FIXED(ROUND(IF(EXC.RATE.SWITCH=1,C433/EXC.RATE_2,C433*EXC.RATE_2),CURRENCY.FORMAT_2),CURRENCY.FORMAT_2,1),"# ##0;-# ##0"),",-"),FIXED(ROUND(IF(EXC.RATE.SWITCH=1,C433/EXC.RATE_2,C433*EXC.RATE_2),CURRENCY.FORMAT_2),CURRENCY.FORMAT_2,0)),'DICTIONARY-5'!$A$2))</f>
        <v/>
      </c>
      <c r="L433" s="670" t="str">
        <f>IFERROR(IF(CURRENCY.FORMAT_1=0,CONCATENATE(TEXT(FIXED(ROUND((C433*(1-I433)*(1-ADD.DISCOUNT)*(1+MAT.SURCHARGE)/EXC.RATE_1),CURRENCY.FORMAT_1),CURRENCY.FORMAT_1,1),"# ##0;-# ##0"),",-"),FIXED(ROUND((C433*(1-I433)*(1-ADD.DISCOUNT)*(1+MAT.SURCHARGE)/EXC.RATE_1),CURRENCY.FORMAT_1),CURRENCY.FORMAT_1,0)),'DICTIONARY-5'!$A$2)</f>
        <v>320,-</v>
      </c>
      <c r="M433" s="670" t="str">
        <f>IF(EXC.RATE_2=0,"",IFERROR(IF(CURRENCY.FORMAT_2=0,CONCATENATE(TEXT(FIXED(ROUND(IF(EXC.RATE.SWITCH=1,C433*(1-I433)*(1-ADD.DISCOUNT)*(1+MAT.SURCHARGE)/EXC.RATE_2,C433*(1-I433)*(1-ADD.DISCOUNT)*(1+MAT.SURCHARGE)*EXC.RATE_2),CURRENCY.FORMAT_2),CURRENCY.FORMAT_2,1),"# ##0;-# ##0"),",-"),FIXED(ROUND(IF(EXC.RATE.SWITCH=1,C433*(1-I433)*(1-ADD.DISCOUNT)*(1+MAT.SURCHARGE)/EXC.RATE_2,C433*(1-I433)*(1-ADD.DISCOUNT)*(1+MAT.SURCHARGE)*EXC.RATE_2),CURRENCY.FORMAT_2),CURRENCY.FORMAT_2,0)),'DICTIONARY-5'!$A$2))</f>
        <v/>
      </c>
      <c r="N433" s="544">
        <v>1</v>
      </c>
      <c r="O433" s="544"/>
      <c r="P433" s="731" t="str">
        <f>'DICTIONARY-3'!$A$8</f>
        <v>IKOplus</v>
      </c>
      <c r="Q433" s="732" t="str">
        <f>'DICTIONARY-3'!$A$188</f>
        <v>Zasuwa klinowa</v>
      </c>
      <c r="R433" s="732" t="str">
        <f>CONCATENATE('DICTIONARY-3'!$A$8," ",'DICTIONARY-6'!$A$3," ",'DICTIONARY-2'!$A$2,U433," ",'DICTIONARY-2'!$A$3,V433," ","R14"," ",'DICTIONARY-6'!$A$36,", ",'DICTIONARY-4'!$A$7)</f>
        <v>IKOplus Zasuwa DN50 PN10 R14 SYNT., KR</v>
      </c>
      <c r="S433" s="733" t="str">
        <f>'DICTIONARY-4'!$A$7</f>
        <v>KR</v>
      </c>
      <c r="T433" s="732" t="str">
        <f>'DICTIONARY-4'!$A$23</f>
        <v>Kółko ręczne</v>
      </c>
      <c r="U433" s="734" t="s">
        <v>5748</v>
      </c>
      <c r="V433" s="735">
        <v>10</v>
      </c>
      <c r="W433" s="736"/>
      <c r="X433" s="737"/>
      <c r="Y433" s="738"/>
      <c r="Z433" s="739"/>
      <c r="AA433" s="739"/>
      <c r="AB433" s="740">
        <v>10</v>
      </c>
      <c r="AC433" s="741" t="str">
        <f>'DICTIONARY-5'!$A$11&amp;" 14"</f>
        <v>EN 558 szereg 14</v>
      </c>
      <c r="AD433" s="741" t="str">
        <f>'DICTIONARY-5'!$A$17</f>
        <v>woda przemysłowa</v>
      </c>
      <c r="AE433" s="742">
        <v>200</v>
      </c>
      <c r="AF433" s="743">
        <v>10.5</v>
      </c>
      <c r="AG433" s="741" t="str">
        <f>'DICTIONARY-5'!$A$24</f>
        <v>powłoka syntetyczna</v>
      </c>
    </row>
    <row r="434" spans="1:33" x14ac:dyDescent="0.25">
      <c r="A434" s="842" t="s">
        <v>414</v>
      </c>
      <c r="B434" s="842" t="s">
        <v>3014</v>
      </c>
      <c r="C434" s="836">
        <v>382</v>
      </c>
      <c r="D434" s="836"/>
      <c r="E434" s="836"/>
      <c r="F434" s="836"/>
      <c r="G434" s="496" t="s">
        <v>7794</v>
      </c>
      <c r="H434" s="797" t="str">
        <f>VLOOKUP(G434,SETTINGS!$B$7:$D$97,2,0)</f>
        <v>IKOplus</v>
      </c>
      <c r="I434" s="796">
        <f>VLOOKUP(G434,SETTINGS!$B$7:$D$97,3,0)</f>
        <v>0</v>
      </c>
      <c r="J434" s="670" t="str">
        <f>IFERROR(IF(CURRENCY.FORMAT_1=0,CONCATENATE(TEXT(FIXED(ROUND((C434/EXC.RATE_1),CURRENCY.FORMAT_1),CURRENCY.FORMAT_1,1),"# ##0;-# ##0"),",-"),FIXED(ROUND((C434/EXC.RATE_1),CURRENCY.FORMAT_1),CURRENCY.FORMAT_1,0)),'DICTIONARY-5'!$A$2)</f>
        <v>382,-</v>
      </c>
      <c r="K434" s="670" t="str">
        <f>IF(EXC.RATE_2=0,"",IFERROR(IF(CURRENCY.FORMAT_2=0,CONCATENATE(TEXT(FIXED(ROUND(IF(EXC.RATE.SWITCH=1,C434/EXC.RATE_2,C434*EXC.RATE_2),CURRENCY.FORMAT_2),CURRENCY.FORMAT_2,1),"# ##0;-# ##0"),",-"),FIXED(ROUND(IF(EXC.RATE.SWITCH=1,C434/EXC.RATE_2,C434*EXC.RATE_2),CURRENCY.FORMAT_2),CURRENCY.FORMAT_2,0)),'DICTIONARY-5'!$A$2))</f>
        <v/>
      </c>
      <c r="L434" s="670" t="str">
        <f>IFERROR(IF(CURRENCY.FORMAT_1=0,CONCATENATE(TEXT(FIXED(ROUND((C434*(1-I434)*(1-ADD.DISCOUNT)*(1+MAT.SURCHARGE)/EXC.RATE_1),CURRENCY.FORMAT_1),CURRENCY.FORMAT_1,1),"# ##0;-# ##0"),",-"),FIXED(ROUND((C434*(1-I434)*(1-ADD.DISCOUNT)*(1+MAT.SURCHARGE)/EXC.RATE_1),CURRENCY.FORMAT_1),CURRENCY.FORMAT_1,0)),'DICTIONARY-5'!$A$2)</f>
        <v>397,-</v>
      </c>
      <c r="M434" s="670" t="str">
        <f>IF(EXC.RATE_2=0,"",IFERROR(IF(CURRENCY.FORMAT_2=0,CONCATENATE(TEXT(FIXED(ROUND(IF(EXC.RATE.SWITCH=1,C434*(1-I434)*(1-ADD.DISCOUNT)*(1+MAT.SURCHARGE)/EXC.RATE_2,C434*(1-I434)*(1-ADD.DISCOUNT)*(1+MAT.SURCHARGE)*EXC.RATE_2),CURRENCY.FORMAT_2),CURRENCY.FORMAT_2,1),"# ##0;-# ##0"),",-"),FIXED(ROUND(IF(EXC.RATE.SWITCH=1,C434*(1-I434)*(1-ADD.DISCOUNT)*(1+MAT.SURCHARGE)/EXC.RATE_2,C434*(1-I434)*(1-ADD.DISCOUNT)*(1+MAT.SURCHARGE)*EXC.RATE_2),CURRENCY.FORMAT_2),CURRENCY.FORMAT_2,0)),'DICTIONARY-5'!$A$2))</f>
        <v/>
      </c>
      <c r="N434" s="544">
        <v>1</v>
      </c>
      <c r="O434" s="544"/>
      <c r="P434" s="731" t="str">
        <f>'DICTIONARY-3'!$A$8</f>
        <v>IKOplus</v>
      </c>
      <c r="Q434" s="732" t="str">
        <f>'DICTIONARY-3'!$A$188</f>
        <v>Zasuwa klinowa</v>
      </c>
      <c r="R434" s="732" t="str">
        <f>CONCATENATE('DICTIONARY-3'!$A$8," ",'DICTIONARY-6'!$A$3," ",'DICTIONARY-2'!$A$2,U434," ",'DICTIONARY-2'!$A$3,V434," ","R14"," ",'DICTIONARY-6'!$A$36,", ",'DICTIONARY-4'!$A$7)</f>
        <v>IKOplus Zasuwa DN65 PN10 R14 SYNT., KR</v>
      </c>
      <c r="S434" s="733" t="str">
        <f>'DICTIONARY-4'!$A$7</f>
        <v>KR</v>
      </c>
      <c r="T434" s="732" t="str">
        <f>'DICTIONARY-4'!$A$23</f>
        <v>Kółko ręczne</v>
      </c>
      <c r="U434" s="734" t="s">
        <v>5759</v>
      </c>
      <c r="V434" s="735">
        <v>10</v>
      </c>
      <c r="W434" s="736"/>
      <c r="X434" s="737"/>
      <c r="Y434" s="738"/>
      <c r="Z434" s="739"/>
      <c r="AA434" s="739"/>
      <c r="AB434" s="740">
        <v>10</v>
      </c>
      <c r="AC434" s="741" t="str">
        <f>'DICTIONARY-5'!$A$11&amp;" 14"</f>
        <v>EN 558 szereg 14</v>
      </c>
      <c r="AD434" s="741" t="str">
        <f>'DICTIONARY-5'!$A$17</f>
        <v>woda przemysłowa</v>
      </c>
      <c r="AE434" s="742">
        <v>200</v>
      </c>
      <c r="AF434" s="743">
        <v>15.5</v>
      </c>
      <c r="AG434" s="741" t="str">
        <f>'DICTIONARY-5'!$A$24</f>
        <v>powłoka syntetyczna</v>
      </c>
    </row>
    <row r="435" spans="1:33" x14ac:dyDescent="0.25">
      <c r="A435" s="842" t="s">
        <v>416</v>
      </c>
      <c r="B435" s="842" t="s">
        <v>3015</v>
      </c>
      <c r="C435" s="836">
        <v>407</v>
      </c>
      <c r="D435" s="836"/>
      <c r="E435" s="836"/>
      <c r="F435" s="836"/>
      <c r="G435" s="496" t="s">
        <v>7794</v>
      </c>
      <c r="H435" s="797" t="str">
        <f>VLOOKUP(G435,SETTINGS!$B$7:$D$97,2,0)</f>
        <v>IKOplus</v>
      </c>
      <c r="I435" s="796">
        <f>VLOOKUP(G435,SETTINGS!$B$7:$D$97,3,0)</f>
        <v>0</v>
      </c>
      <c r="J435" s="670" t="str">
        <f>IFERROR(IF(CURRENCY.FORMAT_1=0,CONCATENATE(TEXT(FIXED(ROUND((C435/EXC.RATE_1),CURRENCY.FORMAT_1),CURRENCY.FORMAT_1,1),"# ##0;-# ##0"),",-"),FIXED(ROUND((C435/EXC.RATE_1),CURRENCY.FORMAT_1),CURRENCY.FORMAT_1,0)),'DICTIONARY-5'!$A$2)</f>
        <v>407,-</v>
      </c>
      <c r="K435" s="670" t="str">
        <f>IF(EXC.RATE_2=0,"",IFERROR(IF(CURRENCY.FORMAT_2=0,CONCATENATE(TEXT(FIXED(ROUND(IF(EXC.RATE.SWITCH=1,C435/EXC.RATE_2,C435*EXC.RATE_2),CURRENCY.FORMAT_2),CURRENCY.FORMAT_2,1),"# ##0;-# ##0"),",-"),FIXED(ROUND(IF(EXC.RATE.SWITCH=1,C435/EXC.RATE_2,C435*EXC.RATE_2),CURRENCY.FORMAT_2),CURRENCY.FORMAT_2,0)),'DICTIONARY-5'!$A$2))</f>
        <v/>
      </c>
      <c r="L435" s="670" t="str">
        <f>IFERROR(IF(CURRENCY.FORMAT_1=0,CONCATENATE(TEXT(FIXED(ROUND((C435*(1-I435)*(1-ADD.DISCOUNT)*(1+MAT.SURCHARGE)/EXC.RATE_1),CURRENCY.FORMAT_1),CURRENCY.FORMAT_1,1),"# ##0;-# ##0"),",-"),FIXED(ROUND((C435*(1-I435)*(1-ADD.DISCOUNT)*(1+MAT.SURCHARGE)/EXC.RATE_1),CURRENCY.FORMAT_1),CURRENCY.FORMAT_1,0)),'DICTIONARY-5'!$A$2)</f>
        <v>423,-</v>
      </c>
      <c r="M435" s="670" t="str">
        <f>IF(EXC.RATE_2=0,"",IFERROR(IF(CURRENCY.FORMAT_2=0,CONCATENATE(TEXT(FIXED(ROUND(IF(EXC.RATE.SWITCH=1,C435*(1-I435)*(1-ADD.DISCOUNT)*(1+MAT.SURCHARGE)/EXC.RATE_2,C435*(1-I435)*(1-ADD.DISCOUNT)*(1+MAT.SURCHARGE)*EXC.RATE_2),CURRENCY.FORMAT_2),CURRENCY.FORMAT_2,1),"# ##0;-# ##0"),",-"),FIXED(ROUND(IF(EXC.RATE.SWITCH=1,C435*(1-I435)*(1-ADD.DISCOUNT)*(1+MAT.SURCHARGE)/EXC.RATE_2,C435*(1-I435)*(1-ADD.DISCOUNT)*(1+MAT.SURCHARGE)*EXC.RATE_2),CURRENCY.FORMAT_2),CURRENCY.FORMAT_2,0)),'DICTIONARY-5'!$A$2))</f>
        <v/>
      </c>
      <c r="N435" s="544">
        <v>1</v>
      </c>
      <c r="O435" s="544"/>
      <c r="P435" s="731" t="str">
        <f>'DICTIONARY-3'!$A$8</f>
        <v>IKOplus</v>
      </c>
      <c r="Q435" s="732" t="str">
        <f>'DICTIONARY-3'!$A$188</f>
        <v>Zasuwa klinowa</v>
      </c>
      <c r="R435" s="732" t="str">
        <f>CONCATENATE('DICTIONARY-3'!$A$8," ",'DICTIONARY-6'!$A$3," ",'DICTIONARY-2'!$A$2,U435," ",'DICTIONARY-2'!$A$3,V435," ","R14"," ",'DICTIONARY-6'!$A$36,", ",'DICTIONARY-4'!$A$7)</f>
        <v>IKOplus Zasuwa DN80 PN10 R14 SYNT., KR</v>
      </c>
      <c r="S435" s="733" t="str">
        <f>'DICTIONARY-4'!$A$7</f>
        <v>KR</v>
      </c>
      <c r="T435" s="732" t="str">
        <f>'DICTIONARY-4'!$A$23</f>
        <v>Kółko ręczne</v>
      </c>
      <c r="U435" s="734" t="s">
        <v>5760</v>
      </c>
      <c r="V435" s="735">
        <v>10</v>
      </c>
      <c r="W435" s="736"/>
      <c r="X435" s="737"/>
      <c r="Y435" s="738"/>
      <c r="Z435" s="739"/>
      <c r="AA435" s="739"/>
      <c r="AB435" s="740">
        <v>10</v>
      </c>
      <c r="AC435" s="741" t="str">
        <f>'DICTIONARY-5'!$A$11&amp;" 14"</f>
        <v>EN 558 szereg 14</v>
      </c>
      <c r="AD435" s="741" t="str">
        <f>'DICTIONARY-5'!$A$17</f>
        <v>woda przemysłowa</v>
      </c>
      <c r="AE435" s="742">
        <v>200</v>
      </c>
      <c r="AF435" s="743">
        <v>17</v>
      </c>
      <c r="AG435" s="741" t="str">
        <f>'DICTIONARY-5'!$A$24</f>
        <v>powłoka syntetyczna</v>
      </c>
    </row>
    <row r="436" spans="1:33" x14ac:dyDescent="0.25">
      <c r="A436" s="842" t="s">
        <v>418</v>
      </c>
      <c r="B436" s="842" t="s">
        <v>3016</v>
      </c>
      <c r="C436" s="836">
        <v>447</v>
      </c>
      <c r="D436" s="836"/>
      <c r="E436" s="836"/>
      <c r="F436" s="836"/>
      <c r="G436" s="496" t="s">
        <v>7794</v>
      </c>
      <c r="H436" s="797" t="str">
        <f>VLOOKUP(G436,SETTINGS!$B$7:$D$97,2,0)</f>
        <v>IKOplus</v>
      </c>
      <c r="I436" s="796">
        <f>VLOOKUP(G436,SETTINGS!$B$7:$D$97,3,0)</f>
        <v>0</v>
      </c>
      <c r="J436" s="670" t="str">
        <f>IFERROR(IF(CURRENCY.FORMAT_1=0,CONCATENATE(TEXT(FIXED(ROUND((C436/EXC.RATE_1),CURRENCY.FORMAT_1),CURRENCY.FORMAT_1,1),"# ##0;-# ##0"),",-"),FIXED(ROUND((C436/EXC.RATE_1),CURRENCY.FORMAT_1),CURRENCY.FORMAT_1,0)),'DICTIONARY-5'!$A$2)</f>
        <v>447,-</v>
      </c>
      <c r="K436" s="670" t="str">
        <f>IF(EXC.RATE_2=0,"",IFERROR(IF(CURRENCY.FORMAT_2=0,CONCATENATE(TEXT(FIXED(ROUND(IF(EXC.RATE.SWITCH=1,C436/EXC.RATE_2,C436*EXC.RATE_2),CURRENCY.FORMAT_2),CURRENCY.FORMAT_2,1),"# ##0;-# ##0"),",-"),FIXED(ROUND(IF(EXC.RATE.SWITCH=1,C436/EXC.RATE_2,C436*EXC.RATE_2),CURRENCY.FORMAT_2),CURRENCY.FORMAT_2,0)),'DICTIONARY-5'!$A$2))</f>
        <v/>
      </c>
      <c r="L436" s="670" t="str">
        <f>IFERROR(IF(CURRENCY.FORMAT_1=0,CONCATENATE(TEXT(FIXED(ROUND((C436*(1-I436)*(1-ADD.DISCOUNT)*(1+MAT.SURCHARGE)/EXC.RATE_1),CURRENCY.FORMAT_1),CURRENCY.FORMAT_1,1),"# ##0;-# ##0"),",-"),FIXED(ROUND((C436*(1-I436)*(1-ADD.DISCOUNT)*(1+MAT.SURCHARGE)/EXC.RATE_1),CURRENCY.FORMAT_1),CURRENCY.FORMAT_1,0)),'DICTIONARY-5'!$A$2)</f>
        <v>464,-</v>
      </c>
      <c r="M436" s="670" t="str">
        <f>IF(EXC.RATE_2=0,"",IFERROR(IF(CURRENCY.FORMAT_2=0,CONCATENATE(TEXT(FIXED(ROUND(IF(EXC.RATE.SWITCH=1,C436*(1-I436)*(1-ADD.DISCOUNT)*(1+MAT.SURCHARGE)/EXC.RATE_2,C436*(1-I436)*(1-ADD.DISCOUNT)*(1+MAT.SURCHARGE)*EXC.RATE_2),CURRENCY.FORMAT_2),CURRENCY.FORMAT_2,1),"# ##0;-# ##0"),",-"),FIXED(ROUND(IF(EXC.RATE.SWITCH=1,C436*(1-I436)*(1-ADD.DISCOUNT)*(1+MAT.SURCHARGE)/EXC.RATE_2,C436*(1-I436)*(1-ADD.DISCOUNT)*(1+MAT.SURCHARGE)*EXC.RATE_2),CURRENCY.FORMAT_2),CURRENCY.FORMAT_2,0)),'DICTIONARY-5'!$A$2))</f>
        <v/>
      </c>
      <c r="N436" s="544">
        <v>1</v>
      </c>
      <c r="O436" s="544"/>
      <c r="P436" s="731" t="str">
        <f>'DICTIONARY-3'!$A$8</f>
        <v>IKOplus</v>
      </c>
      <c r="Q436" s="732" t="str">
        <f>'DICTIONARY-3'!$A$188</f>
        <v>Zasuwa klinowa</v>
      </c>
      <c r="R436" s="732" t="str">
        <f>CONCATENATE('DICTIONARY-3'!$A$8," ",'DICTIONARY-6'!$A$3," ",'DICTIONARY-2'!$A$2,U436," ",'DICTIONARY-2'!$A$3,V436," ","R14"," ",'DICTIONARY-6'!$A$36,", ",'DICTIONARY-4'!$A$7)</f>
        <v>IKOplus Zasuwa DN100 PN10 R14 SYNT., KR</v>
      </c>
      <c r="S436" s="733" t="str">
        <f>'DICTIONARY-4'!$A$7</f>
        <v>KR</v>
      </c>
      <c r="T436" s="732" t="str">
        <f>'DICTIONARY-4'!$A$23</f>
        <v>Kółko ręczne</v>
      </c>
      <c r="U436" s="734" t="s">
        <v>5749</v>
      </c>
      <c r="V436" s="735">
        <v>10</v>
      </c>
      <c r="W436" s="736"/>
      <c r="X436" s="737"/>
      <c r="Y436" s="738"/>
      <c r="Z436" s="739"/>
      <c r="AA436" s="739"/>
      <c r="AB436" s="740">
        <v>10</v>
      </c>
      <c r="AC436" s="741" t="str">
        <f>'DICTIONARY-5'!$A$11&amp;" 14"</f>
        <v>EN 558 szereg 14</v>
      </c>
      <c r="AD436" s="741" t="str">
        <f>'DICTIONARY-5'!$A$17</f>
        <v>woda przemysłowa</v>
      </c>
      <c r="AE436" s="742">
        <v>200</v>
      </c>
      <c r="AF436" s="743">
        <v>22</v>
      </c>
      <c r="AG436" s="741" t="str">
        <f>'DICTIONARY-5'!$A$24</f>
        <v>powłoka syntetyczna</v>
      </c>
    </row>
    <row r="437" spans="1:33" x14ac:dyDescent="0.25">
      <c r="A437" s="842" t="s">
        <v>420</v>
      </c>
      <c r="B437" s="842" t="s">
        <v>3017</v>
      </c>
      <c r="C437" s="836">
        <v>609</v>
      </c>
      <c r="D437" s="836"/>
      <c r="E437" s="836"/>
      <c r="F437" s="836"/>
      <c r="G437" s="496" t="s">
        <v>7794</v>
      </c>
      <c r="H437" s="797" t="str">
        <f>VLOOKUP(G437,SETTINGS!$B$7:$D$97,2,0)</f>
        <v>IKOplus</v>
      </c>
      <c r="I437" s="796">
        <f>VLOOKUP(G437,SETTINGS!$B$7:$D$97,3,0)</f>
        <v>0</v>
      </c>
      <c r="J437" s="670" t="str">
        <f>IFERROR(IF(CURRENCY.FORMAT_1=0,CONCATENATE(TEXT(FIXED(ROUND((C437/EXC.RATE_1),CURRENCY.FORMAT_1),CURRENCY.FORMAT_1,1),"# ##0;-# ##0"),",-"),FIXED(ROUND((C437/EXC.RATE_1),CURRENCY.FORMAT_1),CURRENCY.FORMAT_1,0)),'DICTIONARY-5'!$A$2)</f>
        <v>609,-</v>
      </c>
      <c r="K437" s="670" t="str">
        <f>IF(EXC.RATE_2=0,"",IFERROR(IF(CURRENCY.FORMAT_2=0,CONCATENATE(TEXT(FIXED(ROUND(IF(EXC.RATE.SWITCH=1,C437/EXC.RATE_2,C437*EXC.RATE_2),CURRENCY.FORMAT_2),CURRENCY.FORMAT_2,1),"# ##0;-# ##0"),",-"),FIXED(ROUND(IF(EXC.RATE.SWITCH=1,C437/EXC.RATE_2,C437*EXC.RATE_2),CURRENCY.FORMAT_2),CURRENCY.FORMAT_2,0)),'DICTIONARY-5'!$A$2))</f>
        <v/>
      </c>
      <c r="L437" s="670" t="str">
        <f>IFERROR(IF(CURRENCY.FORMAT_1=0,CONCATENATE(TEXT(FIXED(ROUND((C437*(1-I437)*(1-ADD.DISCOUNT)*(1+MAT.SURCHARGE)/EXC.RATE_1),CURRENCY.FORMAT_1),CURRENCY.FORMAT_1,1),"# ##0;-# ##0"),",-"),FIXED(ROUND((C437*(1-I437)*(1-ADD.DISCOUNT)*(1+MAT.SURCHARGE)/EXC.RATE_1),CURRENCY.FORMAT_1),CURRENCY.FORMAT_1,0)),'DICTIONARY-5'!$A$2)</f>
        <v>633,-</v>
      </c>
      <c r="M437" s="670" t="str">
        <f>IF(EXC.RATE_2=0,"",IFERROR(IF(CURRENCY.FORMAT_2=0,CONCATENATE(TEXT(FIXED(ROUND(IF(EXC.RATE.SWITCH=1,C437*(1-I437)*(1-ADD.DISCOUNT)*(1+MAT.SURCHARGE)/EXC.RATE_2,C437*(1-I437)*(1-ADD.DISCOUNT)*(1+MAT.SURCHARGE)*EXC.RATE_2),CURRENCY.FORMAT_2),CURRENCY.FORMAT_2,1),"# ##0;-# ##0"),",-"),FIXED(ROUND(IF(EXC.RATE.SWITCH=1,C437*(1-I437)*(1-ADD.DISCOUNT)*(1+MAT.SURCHARGE)/EXC.RATE_2,C437*(1-I437)*(1-ADD.DISCOUNT)*(1+MAT.SURCHARGE)*EXC.RATE_2),CURRENCY.FORMAT_2),CURRENCY.FORMAT_2,0)),'DICTIONARY-5'!$A$2))</f>
        <v/>
      </c>
      <c r="N437" s="544">
        <v>1</v>
      </c>
      <c r="O437" s="544"/>
      <c r="P437" s="731" t="str">
        <f>'DICTIONARY-3'!$A$8</f>
        <v>IKOplus</v>
      </c>
      <c r="Q437" s="732" t="str">
        <f>'DICTIONARY-3'!$A$188</f>
        <v>Zasuwa klinowa</v>
      </c>
      <c r="R437" s="732" t="str">
        <f>CONCATENATE('DICTIONARY-3'!$A$8," ",'DICTIONARY-6'!$A$3," ",'DICTIONARY-2'!$A$2,U437," ",'DICTIONARY-2'!$A$3,V437," ","R14"," ",'DICTIONARY-6'!$A$36,", ",'DICTIONARY-4'!$A$7)</f>
        <v>IKOplus Zasuwa DN125 PN10 R14 SYNT., KR</v>
      </c>
      <c r="S437" s="733" t="str">
        <f>'DICTIONARY-4'!$A$7</f>
        <v>KR</v>
      </c>
      <c r="T437" s="732" t="str">
        <f>'DICTIONARY-4'!$A$23</f>
        <v>Kółko ręczne</v>
      </c>
      <c r="U437" s="734" t="s">
        <v>5761</v>
      </c>
      <c r="V437" s="735">
        <v>10</v>
      </c>
      <c r="W437" s="736"/>
      <c r="X437" s="737"/>
      <c r="Y437" s="738"/>
      <c r="Z437" s="739"/>
      <c r="AA437" s="739"/>
      <c r="AB437" s="740">
        <v>10</v>
      </c>
      <c r="AC437" s="741" t="str">
        <f>'DICTIONARY-5'!$A$11&amp;" 14"</f>
        <v>EN 558 szereg 14</v>
      </c>
      <c r="AD437" s="741" t="str">
        <f>'DICTIONARY-5'!$A$17</f>
        <v>woda przemysłowa</v>
      </c>
      <c r="AE437" s="742">
        <v>200</v>
      </c>
      <c r="AF437" s="743">
        <v>32.5</v>
      </c>
      <c r="AG437" s="741" t="str">
        <f>'DICTIONARY-5'!$A$24</f>
        <v>powłoka syntetyczna</v>
      </c>
    </row>
    <row r="438" spans="1:33" x14ac:dyDescent="0.25">
      <c r="A438" s="842" t="s">
        <v>422</v>
      </c>
      <c r="B438" s="842" t="s">
        <v>3018</v>
      </c>
      <c r="C438" s="836">
        <v>726</v>
      </c>
      <c r="D438" s="836"/>
      <c r="E438" s="836"/>
      <c r="F438" s="836"/>
      <c r="G438" s="496" t="s">
        <v>7794</v>
      </c>
      <c r="H438" s="797" t="str">
        <f>VLOOKUP(G438,SETTINGS!$B$7:$D$97,2,0)</f>
        <v>IKOplus</v>
      </c>
      <c r="I438" s="796">
        <f>VLOOKUP(G438,SETTINGS!$B$7:$D$97,3,0)</f>
        <v>0</v>
      </c>
      <c r="J438" s="670" t="str">
        <f>IFERROR(IF(CURRENCY.FORMAT_1=0,CONCATENATE(TEXT(FIXED(ROUND((C438/EXC.RATE_1),CURRENCY.FORMAT_1),CURRENCY.FORMAT_1,1),"# ##0;-# ##0"),",-"),FIXED(ROUND((C438/EXC.RATE_1),CURRENCY.FORMAT_1),CURRENCY.FORMAT_1,0)),'DICTIONARY-5'!$A$2)</f>
        <v>726,-</v>
      </c>
      <c r="K438" s="670" t="str">
        <f>IF(EXC.RATE_2=0,"",IFERROR(IF(CURRENCY.FORMAT_2=0,CONCATENATE(TEXT(FIXED(ROUND(IF(EXC.RATE.SWITCH=1,C438/EXC.RATE_2,C438*EXC.RATE_2),CURRENCY.FORMAT_2),CURRENCY.FORMAT_2,1),"# ##0;-# ##0"),",-"),FIXED(ROUND(IF(EXC.RATE.SWITCH=1,C438/EXC.RATE_2,C438*EXC.RATE_2),CURRENCY.FORMAT_2),CURRENCY.FORMAT_2,0)),'DICTIONARY-5'!$A$2))</f>
        <v/>
      </c>
      <c r="L438" s="670" t="str">
        <f>IFERROR(IF(CURRENCY.FORMAT_1=0,CONCATENATE(TEXT(FIXED(ROUND((C438*(1-I438)*(1-ADD.DISCOUNT)*(1+MAT.SURCHARGE)/EXC.RATE_1),CURRENCY.FORMAT_1),CURRENCY.FORMAT_1,1),"# ##0;-# ##0"),",-"),FIXED(ROUND((C438*(1-I438)*(1-ADD.DISCOUNT)*(1+MAT.SURCHARGE)/EXC.RATE_1),CURRENCY.FORMAT_1),CURRENCY.FORMAT_1,0)),'DICTIONARY-5'!$A$2)</f>
        <v>754,-</v>
      </c>
      <c r="M438" s="670" t="str">
        <f>IF(EXC.RATE_2=0,"",IFERROR(IF(CURRENCY.FORMAT_2=0,CONCATENATE(TEXT(FIXED(ROUND(IF(EXC.RATE.SWITCH=1,C438*(1-I438)*(1-ADD.DISCOUNT)*(1+MAT.SURCHARGE)/EXC.RATE_2,C438*(1-I438)*(1-ADD.DISCOUNT)*(1+MAT.SURCHARGE)*EXC.RATE_2),CURRENCY.FORMAT_2),CURRENCY.FORMAT_2,1),"# ##0;-# ##0"),",-"),FIXED(ROUND(IF(EXC.RATE.SWITCH=1,C438*(1-I438)*(1-ADD.DISCOUNT)*(1+MAT.SURCHARGE)/EXC.RATE_2,C438*(1-I438)*(1-ADD.DISCOUNT)*(1+MAT.SURCHARGE)*EXC.RATE_2),CURRENCY.FORMAT_2),CURRENCY.FORMAT_2,0)),'DICTIONARY-5'!$A$2))</f>
        <v/>
      </c>
      <c r="N438" s="544">
        <v>1</v>
      </c>
      <c r="O438" s="544"/>
      <c r="P438" s="731" t="str">
        <f>'DICTIONARY-3'!$A$8</f>
        <v>IKOplus</v>
      </c>
      <c r="Q438" s="732" t="str">
        <f>'DICTIONARY-3'!$A$188</f>
        <v>Zasuwa klinowa</v>
      </c>
      <c r="R438" s="732" t="str">
        <f>CONCATENATE('DICTIONARY-3'!$A$8," ",'DICTIONARY-6'!$A$3," ",'DICTIONARY-2'!$A$2,U438," ",'DICTIONARY-2'!$A$3,V438," ","R14"," ",'DICTIONARY-6'!$A$36,", ",'DICTIONARY-4'!$A$7)</f>
        <v>IKOplus Zasuwa DN150 PN10 R14 SYNT., KR</v>
      </c>
      <c r="S438" s="733" t="str">
        <f>'DICTIONARY-4'!$A$7</f>
        <v>KR</v>
      </c>
      <c r="T438" s="732" t="str">
        <f>'DICTIONARY-4'!$A$23</f>
        <v>Kółko ręczne</v>
      </c>
      <c r="U438" s="734" t="s">
        <v>5572</v>
      </c>
      <c r="V438" s="735">
        <v>10</v>
      </c>
      <c r="W438" s="736"/>
      <c r="X438" s="737"/>
      <c r="Y438" s="738"/>
      <c r="Z438" s="739"/>
      <c r="AA438" s="739"/>
      <c r="AB438" s="740">
        <v>10</v>
      </c>
      <c r="AC438" s="741" t="str">
        <f>'DICTIONARY-5'!$A$11&amp;" 14"</f>
        <v>EN 558 szereg 14</v>
      </c>
      <c r="AD438" s="741" t="str">
        <f>'DICTIONARY-5'!$A$17</f>
        <v>woda przemysłowa</v>
      </c>
      <c r="AE438" s="742">
        <v>200</v>
      </c>
      <c r="AF438" s="743">
        <v>42</v>
      </c>
      <c r="AG438" s="741" t="str">
        <f>'DICTIONARY-5'!$A$24</f>
        <v>powłoka syntetyczna</v>
      </c>
    </row>
    <row r="439" spans="1:33" x14ac:dyDescent="0.25">
      <c r="A439" s="842" t="s">
        <v>424</v>
      </c>
      <c r="B439" s="842" t="s">
        <v>3019</v>
      </c>
      <c r="C439" s="836">
        <v>975</v>
      </c>
      <c r="D439" s="836"/>
      <c r="E439" s="836"/>
      <c r="F439" s="836"/>
      <c r="G439" s="496" t="s">
        <v>7794</v>
      </c>
      <c r="H439" s="797" t="str">
        <f>VLOOKUP(G439,SETTINGS!$B$7:$D$97,2,0)</f>
        <v>IKOplus</v>
      </c>
      <c r="I439" s="796">
        <f>VLOOKUP(G439,SETTINGS!$B$7:$D$97,3,0)</f>
        <v>0</v>
      </c>
      <c r="J439" s="670" t="str">
        <f>IFERROR(IF(CURRENCY.FORMAT_1=0,CONCATENATE(TEXT(FIXED(ROUND((C439/EXC.RATE_1),CURRENCY.FORMAT_1),CURRENCY.FORMAT_1,1),"# ##0;-# ##0"),",-"),FIXED(ROUND((C439/EXC.RATE_1),CURRENCY.FORMAT_1),CURRENCY.FORMAT_1,0)),'DICTIONARY-5'!$A$2)</f>
        <v>975,-</v>
      </c>
      <c r="K439" s="670" t="str">
        <f>IF(EXC.RATE_2=0,"",IFERROR(IF(CURRENCY.FORMAT_2=0,CONCATENATE(TEXT(FIXED(ROUND(IF(EXC.RATE.SWITCH=1,C439/EXC.RATE_2,C439*EXC.RATE_2),CURRENCY.FORMAT_2),CURRENCY.FORMAT_2,1),"# ##0;-# ##0"),",-"),FIXED(ROUND(IF(EXC.RATE.SWITCH=1,C439/EXC.RATE_2,C439*EXC.RATE_2),CURRENCY.FORMAT_2),CURRENCY.FORMAT_2,0)),'DICTIONARY-5'!$A$2))</f>
        <v/>
      </c>
      <c r="L439" s="670" t="str">
        <f>IFERROR(IF(CURRENCY.FORMAT_1=0,CONCATENATE(TEXT(FIXED(ROUND((C439*(1-I439)*(1-ADD.DISCOUNT)*(1+MAT.SURCHARGE)/EXC.RATE_1),CURRENCY.FORMAT_1),CURRENCY.FORMAT_1,1),"# ##0;-# ##0"),",-"),FIXED(ROUND((C439*(1-I439)*(1-ADD.DISCOUNT)*(1+MAT.SURCHARGE)/EXC.RATE_1),CURRENCY.FORMAT_1),CURRENCY.FORMAT_1,0)),'DICTIONARY-5'!$A$2)</f>
        <v>1 013,-</v>
      </c>
      <c r="M439" s="670" t="str">
        <f>IF(EXC.RATE_2=0,"",IFERROR(IF(CURRENCY.FORMAT_2=0,CONCATENATE(TEXT(FIXED(ROUND(IF(EXC.RATE.SWITCH=1,C439*(1-I439)*(1-ADD.DISCOUNT)*(1+MAT.SURCHARGE)/EXC.RATE_2,C439*(1-I439)*(1-ADD.DISCOUNT)*(1+MAT.SURCHARGE)*EXC.RATE_2),CURRENCY.FORMAT_2),CURRENCY.FORMAT_2,1),"# ##0;-# ##0"),",-"),FIXED(ROUND(IF(EXC.RATE.SWITCH=1,C439*(1-I439)*(1-ADD.DISCOUNT)*(1+MAT.SURCHARGE)/EXC.RATE_2,C439*(1-I439)*(1-ADD.DISCOUNT)*(1+MAT.SURCHARGE)*EXC.RATE_2),CURRENCY.FORMAT_2),CURRENCY.FORMAT_2,0)),'DICTIONARY-5'!$A$2))</f>
        <v/>
      </c>
      <c r="N439" s="544">
        <v>1</v>
      </c>
      <c r="O439" s="544"/>
      <c r="P439" s="731" t="str">
        <f>'DICTIONARY-3'!$A$8</f>
        <v>IKOplus</v>
      </c>
      <c r="Q439" s="732" t="str">
        <f>'DICTIONARY-3'!$A$188</f>
        <v>Zasuwa klinowa</v>
      </c>
      <c r="R439" s="732" t="str">
        <f>CONCATENATE('DICTIONARY-3'!$A$8," ",'DICTIONARY-6'!$A$3," ",'DICTIONARY-2'!$A$2,U439," ",'DICTIONARY-2'!$A$3,V439," ","R14"," ",'DICTIONARY-6'!$A$36,", ",'DICTIONARY-4'!$A$7)</f>
        <v>IKOplus Zasuwa DN200 PN10 R14 SYNT., KR</v>
      </c>
      <c r="S439" s="733" t="str">
        <f>'DICTIONARY-4'!$A$7</f>
        <v>KR</v>
      </c>
      <c r="T439" s="732" t="str">
        <f>'DICTIONARY-4'!$A$23</f>
        <v>Kółko ręczne</v>
      </c>
      <c r="U439" s="734" t="s">
        <v>5750</v>
      </c>
      <c r="V439" s="735">
        <v>10</v>
      </c>
      <c r="W439" s="736"/>
      <c r="X439" s="737"/>
      <c r="Y439" s="738"/>
      <c r="Z439" s="739"/>
      <c r="AA439" s="739"/>
      <c r="AB439" s="740">
        <v>10</v>
      </c>
      <c r="AC439" s="741" t="str">
        <f>'DICTIONARY-5'!$A$11&amp;" 14"</f>
        <v>EN 558 szereg 14</v>
      </c>
      <c r="AD439" s="741" t="str">
        <f>'DICTIONARY-5'!$A$17</f>
        <v>woda przemysłowa</v>
      </c>
      <c r="AE439" s="742">
        <v>200</v>
      </c>
      <c r="AF439" s="743">
        <v>60.5</v>
      </c>
      <c r="AG439" s="741" t="str">
        <f>'DICTIONARY-5'!$A$24</f>
        <v>powłoka syntetyczna</v>
      </c>
    </row>
    <row r="440" spans="1:33" x14ac:dyDescent="0.25">
      <c r="A440" s="842" t="s">
        <v>426</v>
      </c>
      <c r="B440" s="842" t="s">
        <v>3020</v>
      </c>
      <c r="C440" s="836">
        <v>1731</v>
      </c>
      <c r="D440" s="836"/>
      <c r="E440" s="836"/>
      <c r="F440" s="836"/>
      <c r="G440" s="496" t="s">
        <v>7794</v>
      </c>
      <c r="H440" s="797" t="str">
        <f>VLOOKUP(G440,SETTINGS!$B$7:$D$97,2,0)</f>
        <v>IKOplus</v>
      </c>
      <c r="I440" s="796">
        <f>VLOOKUP(G440,SETTINGS!$B$7:$D$97,3,0)</f>
        <v>0</v>
      </c>
      <c r="J440" s="670" t="str">
        <f>IFERROR(IF(CURRENCY.FORMAT_1=0,CONCATENATE(TEXT(FIXED(ROUND((C440/EXC.RATE_1),CURRENCY.FORMAT_1),CURRENCY.FORMAT_1,1),"# ##0;-# ##0"),",-"),FIXED(ROUND((C440/EXC.RATE_1),CURRENCY.FORMAT_1),CURRENCY.FORMAT_1,0)),'DICTIONARY-5'!$A$2)</f>
        <v>1 731,-</v>
      </c>
      <c r="K440" s="670" t="str">
        <f>IF(EXC.RATE_2=0,"",IFERROR(IF(CURRENCY.FORMAT_2=0,CONCATENATE(TEXT(FIXED(ROUND(IF(EXC.RATE.SWITCH=1,C440/EXC.RATE_2,C440*EXC.RATE_2),CURRENCY.FORMAT_2),CURRENCY.FORMAT_2,1),"# ##0;-# ##0"),",-"),FIXED(ROUND(IF(EXC.RATE.SWITCH=1,C440/EXC.RATE_2,C440*EXC.RATE_2),CURRENCY.FORMAT_2),CURRENCY.FORMAT_2,0)),'DICTIONARY-5'!$A$2))</f>
        <v/>
      </c>
      <c r="L440" s="670" t="str">
        <f>IFERROR(IF(CURRENCY.FORMAT_1=0,CONCATENATE(TEXT(FIXED(ROUND((C440*(1-I440)*(1-ADD.DISCOUNT)*(1+MAT.SURCHARGE)/EXC.RATE_1),CURRENCY.FORMAT_1),CURRENCY.FORMAT_1,1),"# ##0;-# ##0"),",-"),FIXED(ROUND((C440*(1-I440)*(1-ADD.DISCOUNT)*(1+MAT.SURCHARGE)/EXC.RATE_1),CURRENCY.FORMAT_1),CURRENCY.FORMAT_1,0)),'DICTIONARY-5'!$A$2)</f>
        <v>1 799,-</v>
      </c>
      <c r="M440" s="670" t="str">
        <f>IF(EXC.RATE_2=0,"",IFERROR(IF(CURRENCY.FORMAT_2=0,CONCATENATE(TEXT(FIXED(ROUND(IF(EXC.RATE.SWITCH=1,C440*(1-I440)*(1-ADD.DISCOUNT)*(1+MAT.SURCHARGE)/EXC.RATE_2,C440*(1-I440)*(1-ADD.DISCOUNT)*(1+MAT.SURCHARGE)*EXC.RATE_2),CURRENCY.FORMAT_2),CURRENCY.FORMAT_2,1),"# ##0;-# ##0"),",-"),FIXED(ROUND(IF(EXC.RATE.SWITCH=1,C440*(1-I440)*(1-ADD.DISCOUNT)*(1+MAT.SURCHARGE)/EXC.RATE_2,C440*(1-I440)*(1-ADD.DISCOUNT)*(1+MAT.SURCHARGE)*EXC.RATE_2),CURRENCY.FORMAT_2),CURRENCY.FORMAT_2,0)),'DICTIONARY-5'!$A$2))</f>
        <v/>
      </c>
      <c r="N440" s="544">
        <v>1</v>
      </c>
      <c r="O440" s="544"/>
      <c r="P440" s="731" t="str">
        <f>'DICTIONARY-3'!$A$8</f>
        <v>IKOplus</v>
      </c>
      <c r="Q440" s="732" t="str">
        <f>'DICTIONARY-3'!$A$188</f>
        <v>Zasuwa klinowa</v>
      </c>
      <c r="R440" s="732" t="str">
        <f>CONCATENATE('DICTIONARY-3'!$A$8," ",'DICTIONARY-6'!$A$3," ",'DICTIONARY-2'!$A$2,U440," ",'DICTIONARY-2'!$A$3,V440," ","R14"," ",'DICTIONARY-6'!$A$36,", ",'DICTIONARY-4'!$A$7)</f>
        <v>IKOplus Zasuwa DN250 PN10 R14 SYNT., KR</v>
      </c>
      <c r="S440" s="733" t="str">
        <f>'DICTIONARY-4'!$A$7</f>
        <v>KR</v>
      </c>
      <c r="T440" s="732" t="str">
        <f>'DICTIONARY-4'!$A$23</f>
        <v>Kółko ręczne</v>
      </c>
      <c r="U440" s="734" t="s">
        <v>5751</v>
      </c>
      <c r="V440" s="735">
        <v>10</v>
      </c>
      <c r="W440" s="736"/>
      <c r="X440" s="737"/>
      <c r="Y440" s="738"/>
      <c r="Z440" s="739"/>
      <c r="AA440" s="739"/>
      <c r="AB440" s="740">
        <v>10</v>
      </c>
      <c r="AC440" s="741" t="str">
        <f>'DICTIONARY-5'!$A$11&amp;" 14"</f>
        <v>EN 558 szereg 14</v>
      </c>
      <c r="AD440" s="741" t="str">
        <f>'DICTIONARY-5'!$A$17</f>
        <v>woda przemysłowa</v>
      </c>
      <c r="AE440" s="742">
        <v>200</v>
      </c>
      <c r="AF440" s="743">
        <v>93</v>
      </c>
      <c r="AG440" s="741" t="str">
        <f>'DICTIONARY-5'!$A$24</f>
        <v>powłoka syntetyczna</v>
      </c>
    </row>
    <row r="441" spans="1:33" x14ac:dyDescent="0.25">
      <c r="A441" s="842" t="s">
        <v>428</v>
      </c>
      <c r="B441" s="842" t="s">
        <v>3021</v>
      </c>
      <c r="C441" s="836">
        <v>1950</v>
      </c>
      <c r="D441" s="836"/>
      <c r="E441" s="836"/>
      <c r="F441" s="836"/>
      <c r="G441" s="496" t="s">
        <v>7794</v>
      </c>
      <c r="H441" s="797" t="str">
        <f>VLOOKUP(G441,SETTINGS!$B$7:$D$97,2,0)</f>
        <v>IKOplus</v>
      </c>
      <c r="I441" s="796">
        <f>VLOOKUP(G441,SETTINGS!$B$7:$D$97,3,0)</f>
        <v>0</v>
      </c>
      <c r="J441" s="670" t="str">
        <f>IFERROR(IF(CURRENCY.FORMAT_1=0,CONCATENATE(TEXT(FIXED(ROUND((C441/EXC.RATE_1),CURRENCY.FORMAT_1),CURRENCY.FORMAT_1,1),"# ##0;-# ##0"),",-"),FIXED(ROUND((C441/EXC.RATE_1),CURRENCY.FORMAT_1),CURRENCY.FORMAT_1,0)),'DICTIONARY-5'!$A$2)</f>
        <v>1 950,-</v>
      </c>
      <c r="K441" s="670" t="str">
        <f>IF(EXC.RATE_2=0,"",IFERROR(IF(CURRENCY.FORMAT_2=0,CONCATENATE(TEXT(FIXED(ROUND(IF(EXC.RATE.SWITCH=1,C441/EXC.RATE_2,C441*EXC.RATE_2),CURRENCY.FORMAT_2),CURRENCY.FORMAT_2,1),"# ##0;-# ##0"),",-"),FIXED(ROUND(IF(EXC.RATE.SWITCH=1,C441/EXC.RATE_2,C441*EXC.RATE_2),CURRENCY.FORMAT_2),CURRENCY.FORMAT_2,0)),'DICTIONARY-5'!$A$2))</f>
        <v/>
      </c>
      <c r="L441" s="670" t="str">
        <f>IFERROR(IF(CURRENCY.FORMAT_1=0,CONCATENATE(TEXT(FIXED(ROUND((C441*(1-I441)*(1-ADD.DISCOUNT)*(1+MAT.SURCHARGE)/EXC.RATE_1),CURRENCY.FORMAT_1),CURRENCY.FORMAT_1,1),"# ##0;-# ##0"),",-"),FIXED(ROUND((C441*(1-I441)*(1-ADD.DISCOUNT)*(1+MAT.SURCHARGE)/EXC.RATE_1),CURRENCY.FORMAT_1),CURRENCY.FORMAT_1,0)),'DICTIONARY-5'!$A$2)</f>
        <v>2 026,-</v>
      </c>
      <c r="M441" s="670" t="str">
        <f>IF(EXC.RATE_2=0,"",IFERROR(IF(CURRENCY.FORMAT_2=0,CONCATENATE(TEXT(FIXED(ROUND(IF(EXC.RATE.SWITCH=1,C441*(1-I441)*(1-ADD.DISCOUNT)*(1+MAT.SURCHARGE)/EXC.RATE_2,C441*(1-I441)*(1-ADD.DISCOUNT)*(1+MAT.SURCHARGE)*EXC.RATE_2),CURRENCY.FORMAT_2),CURRENCY.FORMAT_2,1),"# ##0;-# ##0"),",-"),FIXED(ROUND(IF(EXC.RATE.SWITCH=1,C441*(1-I441)*(1-ADD.DISCOUNT)*(1+MAT.SURCHARGE)/EXC.RATE_2,C441*(1-I441)*(1-ADD.DISCOUNT)*(1+MAT.SURCHARGE)*EXC.RATE_2),CURRENCY.FORMAT_2),CURRENCY.FORMAT_2,0)),'DICTIONARY-5'!$A$2))</f>
        <v/>
      </c>
      <c r="N441" s="544">
        <v>1</v>
      </c>
      <c r="O441" s="544"/>
      <c r="P441" s="731" t="str">
        <f>'DICTIONARY-3'!$A$8</f>
        <v>IKOplus</v>
      </c>
      <c r="Q441" s="732" t="str">
        <f>'DICTIONARY-3'!$A$188</f>
        <v>Zasuwa klinowa</v>
      </c>
      <c r="R441" s="732" t="str">
        <f>CONCATENATE('DICTIONARY-3'!$A$8," ",'DICTIONARY-6'!$A$3," ",'DICTIONARY-2'!$A$2,U441," ",'DICTIONARY-2'!$A$3,V441," ","R14"," ",'DICTIONARY-6'!$A$36,", ",'DICTIONARY-4'!$A$7)</f>
        <v>IKOplus Zasuwa DN300 PN10 R14 SYNT., KR</v>
      </c>
      <c r="S441" s="733" t="str">
        <f>'DICTIONARY-4'!$A$7</f>
        <v>KR</v>
      </c>
      <c r="T441" s="732" t="str">
        <f>'DICTIONARY-4'!$A$23</f>
        <v>Kółko ręczne</v>
      </c>
      <c r="U441" s="734" t="s">
        <v>5752</v>
      </c>
      <c r="V441" s="735">
        <v>10</v>
      </c>
      <c r="W441" s="736"/>
      <c r="X441" s="737"/>
      <c r="Y441" s="738"/>
      <c r="Z441" s="739"/>
      <c r="AA441" s="739"/>
      <c r="AB441" s="740">
        <v>10</v>
      </c>
      <c r="AC441" s="741" t="str">
        <f>'DICTIONARY-5'!$A$11&amp;" 14"</f>
        <v>EN 558 szereg 14</v>
      </c>
      <c r="AD441" s="741" t="str">
        <f>'DICTIONARY-5'!$A$17</f>
        <v>woda przemysłowa</v>
      </c>
      <c r="AE441" s="742">
        <v>200</v>
      </c>
      <c r="AF441" s="743">
        <v>131.5</v>
      </c>
      <c r="AG441" s="741" t="str">
        <f>'DICTIONARY-5'!$A$24</f>
        <v>powłoka syntetyczna</v>
      </c>
    </row>
    <row r="442" spans="1:33" x14ac:dyDescent="0.25">
      <c r="A442" s="842" t="s">
        <v>429</v>
      </c>
      <c r="B442" s="842" t="s">
        <v>3032</v>
      </c>
      <c r="C442" s="836">
        <v>304</v>
      </c>
      <c r="D442" s="836"/>
      <c r="E442" s="836"/>
      <c r="F442" s="836"/>
      <c r="G442" s="496" t="s">
        <v>7794</v>
      </c>
      <c r="H442" s="797" t="str">
        <f>VLOOKUP(G442,SETTINGS!$B$7:$D$97,2,0)</f>
        <v>IKOplus</v>
      </c>
      <c r="I442" s="796">
        <f>VLOOKUP(G442,SETTINGS!$B$7:$D$97,3,0)</f>
        <v>0</v>
      </c>
      <c r="J442" s="670" t="str">
        <f>IFERROR(IF(CURRENCY.FORMAT_1=0,CONCATENATE(TEXT(FIXED(ROUND((C442/EXC.RATE_1),CURRENCY.FORMAT_1),CURRENCY.FORMAT_1,1),"# ##0;-# ##0"),",-"),FIXED(ROUND((C442/EXC.RATE_1),CURRENCY.FORMAT_1),CURRENCY.FORMAT_1,0)),'DICTIONARY-5'!$A$2)</f>
        <v>304,-</v>
      </c>
      <c r="K442" s="670" t="str">
        <f>IF(EXC.RATE_2=0,"",IFERROR(IF(CURRENCY.FORMAT_2=0,CONCATENATE(TEXT(FIXED(ROUND(IF(EXC.RATE.SWITCH=1,C442/EXC.RATE_2,C442*EXC.RATE_2),CURRENCY.FORMAT_2),CURRENCY.FORMAT_2,1),"# ##0;-# ##0"),",-"),FIXED(ROUND(IF(EXC.RATE.SWITCH=1,C442/EXC.RATE_2,C442*EXC.RATE_2),CURRENCY.FORMAT_2),CURRENCY.FORMAT_2,0)),'DICTIONARY-5'!$A$2))</f>
        <v/>
      </c>
      <c r="L442" s="670" t="str">
        <f>IFERROR(IF(CURRENCY.FORMAT_1=0,CONCATENATE(TEXT(FIXED(ROUND((C442*(1-I442)*(1-ADD.DISCOUNT)*(1+MAT.SURCHARGE)/EXC.RATE_1),CURRENCY.FORMAT_1),CURRENCY.FORMAT_1,1),"# ##0;-# ##0"),",-"),FIXED(ROUND((C442*(1-I442)*(1-ADD.DISCOUNT)*(1+MAT.SURCHARGE)/EXC.RATE_1),CURRENCY.FORMAT_1),CURRENCY.FORMAT_1,0)),'DICTIONARY-5'!$A$2)</f>
        <v>316,-</v>
      </c>
      <c r="M442" s="670" t="str">
        <f>IF(EXC.RATE_2=0,"",IFERROR(IF(CURRENCY.FORMAT_2=0,CONCATENATE(TEXT(FIXED(ROUND(IF(EXC.RATE.SWITCH=1,C442*(1-I442)*(1-ADD.DISCOUNT)*(1+MAT.SURCHARGE)/EXC.RATE_2,C442*(1-I442)*(1-ADD.DISCOUNT)*(1+MAT.SURCHARGE)*EXC.RATE_2),CURRENCY.FORMAT_2),CURRENCY.FORMAT_2,1),"# ##0;-# ##0"),",-"),FIXED(ROUND(IF(EXC.RATE.SWITCH=1,C442*(1-I442)*(1-ADD.DISCOUNT)*(1+MAT.SURCHARGE)/EXC.RATE_2,C442*(1-I442)*(1-ADD.DISCOUNT)*(1+MAT.SURCHARGE)*EXC.RATE_2),CURRENCY.FORMAT_2),CURRENCY.FORMAT_2,0)),'DICTIONARY-5'!$A$2))</f>
        <v/>
      </c>
      <c r="N442" s="544">
        <v>1</v>
      </c>
      <c r="O442" s="544"/>
      <c r="P442" s="731" t="str">
        <f>'DICTIONARY-3'!$A$8</f>
        <v>IKOplus</v>
      </c>
      <c r="Q442" s="732" t="str">
        <f>'DICTIONARY-3'!$A$188</f>
        <v>Zasuwa klinowa</v>
      </c>
      <c r="R442" s="732" t="str">
        <f>CONCATENATE('DICTIONARY-3'!$A$8," ",'DICTIONARY-6'!$A$3," ",'DICTIONARY-2'!$A$2,U442," ",'DICTIONARY-2'!$A$3,"10/",V442," ","R15"," ",'DICTIONARY-6'!$A$36,", ",'DICTIONARY-4'!$A$7)</f>
        <v>IKOplus Zasuwa DN40 PN10/16 R15 SYNT., KR</v>
      </c>
      <c r="S442" s="733" t="str">
        <f>'DICTIONARY-4'!$A$7</f>
        <v>KR</v>
      </c>
      <c r="T442" s="732" t="str">
        <f>'DICTIONARY-4'!$A$23</f>
        <v>Kółko ręczne</v>
      </c>
      <c r="U442" s="734" t="s">
        <v>5758</v>
      </c>
      <c r="V442" s="735">
        <v>16</v>
      </c>
      <c r="W442" s="736"/>
      <c r="X442" s="737"/>
      <c r="Y442" s="738"/>
      <c r="Z442" s="739"/>
      <c r="AA442" s="739"/>
      <c r="AB442" s="740">
        <v>16</v>
      </c>
      <c r="AC442" s="741" t="str">
        <f>'DICTIONARY-5'!$A$11&amp;" 15"</f>
        <v>EN 558 szereg 15</v>
      </c>
      <c r="AD442" s="741" t="str">
        <f>'DICTIONARY-5'!$A$17</f>
        <v>woda przemysłowa</v>
      </c>
      <c r="AE442" s="742">
        <v>200</v>
      </c>
      <c r="AF442" s="743">
        <v>10</v>
      </c>
      <c r="AG442" s="741" t="str">
        <f>'DICTIONARY-5'!$A$24</f>
        <v>powłoka syntetyczna</v>
      </c>
    </row>
    <row r="443" spans="1:33" x14ac:dyDescent="0.25">
      <c r="A443" s="842" t="s">
        <v>430</v>
      </c>
      <c r="B443" s="842" t="s">
        <v>3033</v>
      </c>
      <c r="C443" s="836">
        <v>325</v>
      </c>
      <c r="D443" s="836"/>
      <c r="E443" s="836"/>
      <c r="F443" s="836"/>
      <c r="G443" s="496" t="s">
        <v>7794</v>
      </c>
      <c r="H443" s="797" t="str">
        <f>VLOOKUP(G443,SETTINGS!$B$7:$D$97,2,0)</f>
        <v>IKOplus</v>
      </c>
      <c r="I443" s="796">
        <f>VLOOKUP(G443,SETTINGS!$B$7:$D$97,3,0)</f>
        <v>0</v>
      </c>
      <c r="J443" s="670" t="str">
        <f>IFERROR(IF(CURRENCY.FORMAT_1=0,CONCATENATE(TEXT(FIXED(ROUND((C443/EXC.RATE_1),CURRENCY.FORMAT_1),CURRENCY.FORMAT_1,1),"# ##0;-# ##0"),",-"),FIXED(ROUND((C443/EXC.RATE_1),CURRENCY.FORMAT_1),CURRENCY.FORMAT_1,0)),'DICTIONARY-5'!$A$2)</f>
        <v>325,-</v>
      </c>
      <c r="K443" s="670" t="str">
        <f>IF(EXC.RATE_2=0,"",IFERROR(IF(CURRENCY.FORMAT_2=0,CONCATENATE(TEXT(FIXED(ROUND(IF(EXC.RATE.SWITCH=1,C443/EXC.RATE_2,C443*EXC.RATE_2),CURRENCY.FORMAT_2),CURRENCY.FORMAT_2,1),"# ##0;-# ##0"),",-"),FIXED(ROUND(IF(EXC.RATE.SWITCH=1,C443/EXC.RATE_2,C443*EXC.RATE_2),CURRENCY.FORMAT_2),CURRENCY.FORMAT_2,0)),'DICTIONARY-5'!$A$2))</f>
        <v/>
      </c>
      <c r="L443" s="670" t="str">
        <f>IFERROR(IF(CURRENCY.FORMAT_1=0,CONCATENATE(TEXT(FIXED(ROUND((C443*(1-I443)*(1-ADD.DISCOUNT)*(1+MAT.SURCHARGE)/EXC.RATE_1),CURRENCY.FORMAT_1),CURRENCY.FORMAT_1,1),"# ##0;-# ##0"),",-"),FIXED(ROUND((C443*(1-I443)*(1-ADD.DISCOUNT)*(1+MAT.SURCHARGE)/EXC.RATE_1),CURRENCY.FORMAT_1),CURRENCY.FORMAT_1,0)),'DICTIONARY-5'!$A$2)</f>
        <v>338,-</v>
      </c>
      <c r="M443" s="670" t="str">
        <f>IF(EXC.RATE_2=0,"",IFERROR(IF(CURRENCY.FORMAT_2=0,CONCATENATE(TEXT(FIXED(ROUND(IF(EXC.RATE.SWITCH=1,C443*(1-I443)*(1-ADD.DISCOUNT)*(1+MAT.SURCHARGE)/EXC.RATE_2,C443*(1-I443)*(1-ADD.DISCOUNT)*(1+MAT.SURCHARGE)*EXC.RATE_2),CURRENCY.FORMAT_2),CURRENCY.FORMAT_2,1),"# ##0;-# ##0"),",-"),FIXED(ROUND(IF(EXC.RATE.SWITCH=1,C443*(1-I443)*(1-ADD.DISCOUNT)*(1+MAT.SURCHARGE)/EXC.RATE_2,C443*(1-I443)*(1-ADD.DISCOUNT)*(1+MAT.SURCHARGE)*EXC.RATE_2),CURRENCY.FORMAT_2),CURRENCY.FORMAT_2,0)),'DICTIONARY-5'!$A$2))</f>
        <v/>
      </c>
      <c r="N443" s="544">
        <v>1</v>
      </c>
      <c r="O443" s="544"/>
      <c r="P443" s="731" t="str">
        <f>'DICTIONARY-3'!$A$8</f>
        <v>IKOplus</v>
      </c>
      <c r="Q443" s="732" t="str">
        <f>'DICTIONARY-3'!$A$188</f>
        <v>Zasuwa klinowa</v>
      </c>
      <c r="R443" s="732" t="str">
        <f>CONCATENATE('DICTIONARY-3'!$A$8," ",'DICTIONARY-6'!$A$3," ",'DICTIONARY-2'!$A$2,U443," ",'DICTIONARY-2'!$A$3,"10/",V443," ","R15"," ",'DICTIONARY-6'!$A$36,", ",'DICTIONARY-4'!$A$7)</f>
        <v>IKOplus Zasuwa DN50 PN10/16 R15 SYNT., KR</v>
      </c>
      <c r="S443" s="733" t="str">
        <f>'DICTIONARY-4'!$A$7</f>
        <v>KR</v>
      </c>
      <c r="T443" s="732" t="str">
        <f>'DICTIONARY-4'!$A$23</f>
        <v>Kółko ręczne</v>
      </c>
      <c r="U443" s="734" t="s">
        <v>5748</v>
      </c>
      <c r="V443" s="735">
        <v>16</v>
      </c>
      <c r="W443" s="736"/>
      <c r="X443" s="737"/>
      <c r="Y443" s="738"/>
      <c r="Z443" s="739"/>
      <c r="AA443" s="739"/>
      <c r="AB443" s="740">
        <v>16</v>
      </c>
      <c r="AC443" s="741" t="str">
        <f>'DICTIONARY-5'!$A$11&amp;" 15"</f>
        <v>EN 558 szereg 15</v>
      </c>
      <c r="AD443" s="741" t="str">
        <f>'DICTIONARY-5'!$A$17</f>
        <v>woda przemysłowa</v>
      </c>
      <c r="AE443" s="742">
        <v>200</v>
      </c>
      <c r="AF443" s="743">
        <v>12.5</v>
      </c>
      <c r="AG443" s="741" t="str">
        <f>'DICTIONARY-5'!$A$24</f>
        <v>powłoka syntetyczna</v>
      </c>
    </row>
    <row r="444" spans="1:33" x14ac:dyDescent="0.25">
      <c r="A444" s="842" t="s">
        <v>431</v>
      </c>
      <c r="B444" s="842" t="s">
        <v>3034</v>
      </c>
      <c r="C444" s="836">
        <v>392</v>
      </c>
      <c r="D444" s="836"/>
      <c r="E444" s="836"/>
      <c r="F444" s="836"/>
      <c r="G444" s="496" t="s">
        <v>7794</v>
      </c>
      <c r="H444" s="797" t="str">
        <f>VLOOKUP(G444,SETTINGS!$B$7:$D$97,2,0)</f>
        <v>IKOplus</v>
      </c>
      <c r="I444" s="796">
        <f>VLOOKUP(G444,SETTINGS!$B$7:$D$97,3,0)</f>
        <v>0</v>
      </c>
      <c r="J444" s="670" t="str">
        <f>IFERROR(IF(CURRENCY.FORMAT_1=0,CONCATENATE(TEXT(FIXED(ROUND((C444/EXC.RATE_1),CURRENCY.FORMAT_1),CURRENCY.FORMAT_1,1),"# ##0;-# ##0"),",-"),FIXED(ROUND((C444/EXC.RATE_1),CURRENCY.FORMAT_1),CURRENCY.FORMAT_1,0)),'DICTIONARY-5'!$A$2)</f>
        <v>392,-</v>
      </c>
      <c r="K444" s="670" t="str">
        <f>IF(EXC.RATE_2=0,"",IFERROR(IF(CURRENCY.FORMAT_2=0,CONCATENATE(TEXT(FIXED(ROUND(IF(EXC.RATE.SWITCH=1,C444/EXC.RATE_2,C444*EXC.RATE_2),CURRENCY.FORMAT_2),CURRENCY.FORMAT_2,1),"# ##0;-# ##0"),",-"),FIXED(ROUND(IF(EXC.RATE.SWITCH=1,C444/EXC.RATE_2,C444*EXC.RATE_2),CURRENCY.FORMAT_2),CURRENCY.FORMAT_2,0)),'DICTIONARY-5'!$A$2))</f>
        <v/>
      </c>
      <c r="L444" s="670" t="str">
        <f>IFERROR(IF(CURRENCY.FORMAT_1=0,CONCATENATE(TEXT(FIXED(ROUND((C444*(1-I444)*(1-ADD.DISCOUNT)*(1+MAT.SURCHARGE)/EXC.RATE_1),CURRENCY.FORMAT_1),CURRENCY.FORMAT_1,1),"# ##0;-# ##0"),",-"),FIXED(ROUND((C444*(1-I444)*(1-ADD.DISCOUNT)*(1+MAT.SURCHARGE)/EXC.RATE_1),CURRENCY.FORMAT_1),CURRENCY.FORMAT_1,0)),'DICTIONARY-5'!$A$2)</f>
        <v>407,-</v>
      </c>
      <c r="M444" s="670" t="str">
        <f>IF(EXC.RATE_2=0,"",IFERROR(IF(CURRENCY.FORMAT_2=0,CONCATENATE(TEXT(FIXED(ROUND(IF(EXC.RATE.SWITCH=1,C444*(1-I444)*(1-ADD.DISCOUNT)*(1+MAT.SURCHARGE)/EXC.RATE_2,C444*(1-I444)*(1-ADD.DISCOUNT)*(1+MAT.SURCHARGE)*EXC.RATE_2),CURRENCY.FORMAT_2),CURRENCY.FORMAT_2,1),"# ##0;-# ##0"),",-"),FIXED(ROUND(IF(EXC.RATE.SWITCH=1,C444*(1-I444)*(1-ADD.DISCOUNT)*(1+MAT.SURCHARGE)/EXC.RATE_2,C444*(1-I444)*(1-ADD.DISCOUNT)*(1+MAT.SURCHARGE)*EXC.RATE_2),CURRENCY.FORMAT_2),CURRENCY.FORMAT_2,0)),'DICTIONARY-5'!$A$2))</f>
        <v/>
      </c>
      <c r="N444" s="544">
        <v>1</v>
      </c>
      <c r="O444" s="544"/>
      <c r="P444" s="731" t="str">
        <f>'DICTIONARY-3'!$A$8</f>
        <v>IKOplus</v>
      </c>
      <c r="Q444" s="732" t="str">
        <f>'DICTIONARY-3'!$A$188</f>
        <v>Zasuwa klinowa</v>
      </c>
      <c r="R444" s="732" t="str">
        <f>CONCATENATE('DICTIONARY-3'!$A$8," ",'DICTIONARY-6'!$A$3," ",'DICTIONARY-2'!$A$2,U444," ",'DICTIONARY-2'!$A$3,"10/",V444," ","R15"," ",'DICTIONARY-6'!$A$36,", ",'DICTIONARY-4'!$A$7)</f>
        <v>IKOplus Zasuwa DN65 PN10/16 R15 SYNT., KR</v>
      </c>
      <c r="S444" s="733" t="str">
        <f>'DICTIONARY-4'!$A$7</f>
        <v>KR</v>
      </c>
      <c r="T444" s="732" t="str">
        <f>'DICTIONARY-4'!$A$23</f>
        <v>Kółko ręczne</v>
      </c>
      <c r="U444" s="734" t="s">
        <v>5759</v>
      </c>
      <c r="V444" s="735">
        <v>16</v>
      </c>
      <c r="W444" s="736"/>
      <c r="X444" s="737"/>
      <c r="Y444" s="738"/>
      <c r="Z444" s="739"/>
      <c r="AA444" s="739"/>
      <c r="AB444" s="740">
        <v>16</v>
      </c>
      <c r="AC444" s="741" t="str">
        <f>'DICTIONARY-5'!$A$11&amp;" 15"</f>
        <v>EN 558 szereg 15</v>
      </c>
      <c r="AD444" s="741" t="str">
        <f>'DICTIONARY-5'!$A$17</f>
        <v>woda przemysłowa</v>
      </c>
      <c r="AE444" s="742">
        <v>200</v>
      </c>
      <c r="AF444" s="743">
        <v>17.5</v>
      </c>
      <c r="AG444" s="741" t="str">
        <f>'DICTIONARY-5'!$A$24</f>
        <v>powłoka syntetyczna</v>
      </c>
    </row>
    <row r="445" spans="1:33" x14ac:dyDescent="0.25">
      <c r="A445" s="842" t="s">
        <v>432</v>
      </c>
      <c r="B445" s="842" t="s">
        <v>3035</v>
      </c>
      <c r="C445" s="836">
        <v>446</v>
      </c>
      <c r="D445" s="836"/>
      <c r="E445" s="836"/>
      <c r="F445" s="836"/>
      <c r="G445" s="496" t="s">
        <v>7794</v>
      </c>
      <c r="H445" s="797" t="str">
        <f>VLOOKUP(G445,SETTINGS!$B$7:$D$97,2,0)</f>
        <v>IKOplus</v>
      </c>
      <c r="I445" s="796">
        <f>VLOOKUP(G445,SETTINGS!$B$7:$D$97,3,0)</f>
        <v>0</v>
      </c>
      <c r="J445" s="670" t="str">
        <f>IFERROR(IF(CURRENCY.FORMAT_1=0,CONCATENATE(TEXT(FIXED(ROUND((C445/EXC.RATE_1),CURRENCY.FORMAT_1),CURRENCY.FORMAT_1,1),"# ##0;-# ##0"),",-"),FIXED(ROUND((C445/EXC.RATE_1),CURRENCY.FORMAT_1),CURRENCY.FORMAT_1,0)),'DICTIONARY-5'!$A$2)</f>
        <v>446,-</v>
      </c>
      <c r="K445" s="670" t="str">
        <f>IF(EXC.RATE_2=0,"",IFERROR(IF(CURRENCY.FORMAT_2=0,CONCATENATE(TEXT(FIXED(ROUND(IF(EXC.RATE.SWITCH=1,C445/EXC.RATE_2,C445*EXC.RATE_2),CURRENCY.FORMAT_2),CURRENCY.FORMAT_2,1),"# ##0;-# ##0"),",-"),FIXED(ROUND(IF(EXC.RATE.SWITCH=1,C445/EXC.RATE_2,C445*EXC.RATE_2),CURRENCY.FORMAT_2),CURRENCY.FORMAT_2,0)),'DICTIONARY-5'!$A$2))</f>
        <v/>
      </c>
      <c r="L445" s="670" t="str">
        <f>IFERROR(IF(CURRENCY.FORMAT_1=0,CONCATENATE(TEXT(FIXED(ROUND((C445*(1-I445)*(1-ADD.DISCOUNT)*(1+MAT.SURCHARGE)/EXC.RATE_1),CURRENCY.FORMAT_1),CURRENCY.FORMAT_1,1),"# ##0;-# ##0"),",-"),FIXED(ROUND((C445*(1-I445)*(1-ADD.DISCOUNT)*(1+MAT.SURCHARGE)/EXC.RATE_1),CURRENCY.FORMAT_1),CURRENCY.FORMAT_1,0)),'DICTIONARY-5'!$A$2)</f>
        <v>463,-</v>
      </c>
      <c r="M445" s="670" t="str">
        <f>IF(EXC.RATE_2=0,"",IFERROR(IF(CURRENCY.FORMAT_2=0,CONCATENATE(TEXT(FIXED(ROUND(IF(EXC.RATE.SWITCH=1,C445*(1-I445)*(1-ADD.DISCOUNT)*(1+MAT.SURCHARGE)/EXC.RATE_2,C445*(1-I445)*(1-ADD.DISCOUNT)*(1+MAT.SURCHARGE)*EXC.RATE_2),CURRENCY.FORMAT_2),CURRENCY.FORMAT_2,1),"# ##0;-# ##0"),",-"),FIXED(ROUND(IF(EXC.RATE.SWITCH=1,C445*(1-I445)*(1-ADD.DISCOUNT)*(1+MAT.SURCHARGE)/EXC.RATE_2,C445*(1-I445)*(1-ADD.DISCOUNT)*(1+MAT.SURCHARGE)*EXC.RATE_2),CURRENCY.FORMAT_2),CURRENCY.FORMAT_2,0)),'DICTIONARY-5'!$A$2))</f>
        <v/>
      </c>
      <c r="N445" s="544">
        <v>1</v>
      </c>
      <c r="O445" s="544"/>
      <c r="P445" s="731" t="str">
        <f>'DICTIONARY-3'!$A$8</f>
        <v>IKOplus</v>
      </c>
      <c r="Q445" s="732" t="str">
        <f>'DICTIONARY-3'!$A$188</f>
        <v>Zasuwa klinowa</v>
      </c>
      <c r="R445" s="732" t="str">
        <f>CONCATENATE('DICTIONARY-3'!$A$8," ",'DICTIONARY-6'!$A$3," ",'DICTIONARY-2'!$A$2,U445," ",'DICTIONARY-2'!$A$3,"10/",V445," ","R15"," ",'DICTIONARY-6'!$A$36,", ",'DICTIONARY-4'!$A$7)</f>
        <v>IKOplus Zasuwa DN80 PN10/16 R15 SYNT., KR</v>
      </c>
      <c r="S445" s="733" t="str">
        <f>'DICTIONARY-4'!$A$7</f>
        <v>KR</v>
      </c>
      <c r="T445" s="732" t="str">
        <f>'DICTIONARY-4'!$A$23</f>
        <v>Kółko ręczne</v>
      </c>
      <c r="U445" s="734" t="s">
        <v>5760</v>
      </c>
      <c r="V445" s="735">
        <v>16</v>
      </c>
      <c r="W445" s="736"/>
      <c r="X445" s="737"/>
      <c r="Y445" s="738"/>
      <c r="Z445" s="739"/>
      <c r="AA445" s="739"/>
      <c r="AB445" s="740">
        <v>16</v>
      </c>
      <c r="AC445" s="741" t="str">
        <f>'DICTIONARY-5'!$A$11&amp;" 15"</f>
        <v>EN 558 szereg 15</v>
      </c>
      <c r="AD445" s="741" t="str">
        <f>'DICTIONARY-5'!$A$17</f>
        <v>woda przemysłowa</v>
      </c>
      <c r="AE445" s="742">
        <v>200</v>
      </c>
      <c r="AF445" s="743">
        <v>19.5</v>
      </c>
      <c r="AG445" s="741" t="str">
        <f>'DICTIONARY-5'!$A$24</f>
        <v>powłoka syntetyczna</v>
      </c>
    </row>
    <row r="446" spans="1:33" x14ac:dyDescent="0.25">
      <c r="A446" s="842" t="s">
        <v>433</v>
      </c>
      <c r="B446" s="842" t="s">
        <v>3036</v>
      </c>
      <c r="C446" s="836">
        <v>477</v>
      </c>
      <c r="D446" s="836"/>
      <c r="E446" s="836"/>
      <c r="F446" s="836"/>
      <c r="G446" s="496" t="s">
        <v>7794</v>
      </c>
      <c r="H446" s="797" t="str">
        <f>VLOOKUP(G446,SETTINGS!$B$7:$D$97,2,0)</f>
        <v>IKOplus</v>
      </c>
      <c r="I446" s="796">
        <f>VLOOKUP(G446,SETTINGS!$B$7:$D$97,3,0)</f>
        <v>0</v>
      </c>
      <c r="J446" s="670" t="str">
        <f>IFERROR(IF(CURRENCY.FORMAT_1=0,CONCATENATE(TEXT(FIXED(ROUND((C446/EXC.RATE_1),CURRENCY.FORMAT_1),CURRENCY.FORMAT_1,1),"# ##0;-# ##0"),",-"),FIXED(ROUND((C446/EXC.RATE_1),CURRENCY.FORMAT_1),CURRENCY.FORMAT_1,0)),'DICTIONARY-5'!$A$2)</f>
        <v>477,-</v>
      </c>
      <c r="K446" s="670" t="str">
        <f>IF(EXC.RATE_2=0,"",IFERROR(IF(CURRENCY.FORMAT_2=0,CONCATENATE(TEXT(FIXED(ROUND(IF(EXC.RATE.SWITCH=1,C446/EXC.RATE_2,C446*EXC.RATE_2),CURRENCY.FORMAT_2),CURRENCY.FORMAT_2,1),"# ##0;-# ##0"),",-"),FIXED(ROUND(IF(EXC.RATE.SWITCH=1,C446/EXC.RATE_2,C446*EXC.RATE_2),CURRENCY.FORMAT_2),CURRENCY.FORMAT_2,0)),'DICTIONARY-5'!$A$2))</f>
        <v/>
      </c>
      <c r="L446" s="670" t="str">
        <f>IFERROR(IF(CURRENCY.FORMAT_1=0,CONCATENATE(TEXT(FIXED(ROUND((C446*(1-I446)*(1-ADD.DISCOUNT)*(1+MAT.SURCHARGE)/EXC.RATE_1),CURRENCY.FORMAT_1),CURRENCY.FORMAT_1,1),"# ##0;-# ##0"),",-"),FIXED(ROUND((C446*(1-I446)*(1-ADD.DISCOUNT)*(1+MAT.SURCHARGE)/EXC.RATE_1),CURRENCY.FORMAT_1),CURRENCY.FORMAT_1,0)),'DICTIONARY-5'!$A$2)</f>
        <v>496,-</v>
      </c>
      <c r="M446" s="670" t="str">
        <f>IF(EXC.RATE_2=0,"",IFERROR(IF(CURRENCY.FORMAT_2=0,CONCATENATE(TEXT(FIXED(ROUND(IF(EXC.RATE.SWITCH=1,C446*(1-I446)*(1-ADD.DISCOUNT)*(1+MAT.SURCHARGE)/EXC.RATE_2,C446*(1-I446)*(1-ADD.DISCOUNT)*(1+MAT.SURCHARGE)*EXC.RATE_2),CURRENCY.FORMAT_2),CURRENCY.FORMAT_2,1),"# ##0;-# ##0"),",-"),FIXED(ROUND(IF(EXC.RATE.SWITCH=1,C446*(1-I446)*(1-ADD.DISCOUNT)*(1+MAT.SURCHARGE)/EXC.RATE_2,C446*(1-I446)*(1-ADD.DISCOUNT)*(1+MAT.SURCHARGE)*EXC.RATE_2),CURRENCY.FORMAT_2),CURRENCY.FORMAT_2,0)),'DICTIONARY-5'!$A$2))</f>
        <v/>
      </c>
      <c r="N446" s="544">
        <v>1</v>
      </c>
      <c r="O446" s="544"/>
      <c r="P446" s="731" t="str">
        <f>'DICTIONARY-3'!$A$8</f>
        <v>IKOplus</v>
      </c>
      <c r="Q446" s="732" t="str">
        <f>'DICTIONARY-3'!$A$188</f>
        <v>Zasuwa klinowa</v>
      </c>
      <c r="R446" s="732" t="str">
        <f>CONCATENATE('DICTIONARY-3'!$A$8," ",'DICTIONARY-6'!$A$3," ",'DICTIONARY-2'!$A$2,U446," ",'DICTIONARY-2'!$A$3,"10/",V446," ","R15"," ",'DICTIONARY-6'!$A$36,", ",'DICTIONARY-4'!$A$7)</f>
        <v>IKOplus Zasuwa DN100 PN10/16 R15 SYNT., KR</v>
      </c>
      <c r="S446" s="733" t="str">
        <f>'DICTIONARY-4'!$A$7</f>
        <v>KR</v>
      </c>
      <c r="T446" s="732" t="str">
        <f>'DICTIONARY-4'!$A$23</f>
        <v>Kółko ręczne</v>
      </c>
      <c r="U446" s="734" t="s">
        <v>5749</v>
      </c>
      <c r="V446" s="735">
        <v>16</v>
      </c>
      <c r="W446" s="736"/>
      <c r="X446" s="737"/>
      <c r="Y446" s="738"/>
      <c r="Z446" s="739"/>
      <c r="AA446" s="739"/>
      <c r="AB446" s="740">
        <v>16</v>
      </c>
      <c r="AC446" s="741" t="str">
        <f>'DICTIONARY-5'!$A$11&amp;" 15"</f>
        <v>EN 558 szereg 15</v>
      </c>
      <c r="AD446" s="741" t="str">
        <f>'DICTIONARY-5'!$A$17</f>
        <v>woda przemysłowa</v>
      </c>
      <c r="AE446" s="742">
        <v>200</v>
      </c>
      <c r="AF446" s="743">
        <v>26.5</v>
      </c>
      <c r="AG446" s="741" t="str">
        <f>'DICTIONARY-5'!$A$24</f>
        <v>powłoka syntetyczna</v>
      </c>
    </row>
    <row r="447" spans="1:33" x14ac:dyDescent="0.25">
      <c r="A447" s="842" t="s">
        <v>434</v>
      </c>
      <c r="B447" s="842" t="s">
        <v>3037</v>
      </c>
      <c r="C447" s="836">
        <v>605</v>
      </c>
      <c r="D447" s="836"/>
      <c r="E447" s="836"/>
      <c r="F447" s="836"/>
      <c r="G447" s="496" t="s">
        <v>7794</v>
      </c>
      <c r="H447" s="797" t="str">
        <f>VLOOKUP(G447,SETTINGS!$B$7:$D$97,2,0)</f>
        <v>IKOplus</v>
      </c>
      <c r="I447" s="796">
        <f>VLOOKUP(G447,SETTINGS!$B$7:$D$97,3,0)</f>
        <v>0</v>
      </c>
      <c r="J447" s="670" t="str">
        <f>IFERROR(IF(CURRENCY.FORMAT_1=0,CONCATENATE(TEXT(FIXED(ROUND((C447/EXC.RATE_1),CURRENCY.FORMAT_1),CURRENCY.FORMAT_1,1),"# ##0;-# ##0"),",-"),FIXED(ROUND((C447/EXC.RATE_1),CURRENCY.FORMAT_1),CURRENCY.FORMAT_1,0)),'DICTIONARY-5'!$A$2)</f>
        <v>605,-</v>
      </c>
      <c r="K447" s="670" t="str">
        <f>IF(EXC.RATE_2=0,"",IFERROR(IF(CURRENCY.FORMAT_2=0,CONCATENATE(TEXT(FIXED(ROUND(IF(EXC.RATE.SWITCH=1,C447/EXC.RATE_2,C447*EXC.RATE_2),CURRENCY.FORMAT_2),CURRENCY.FORMAT_2,1),"# ##0;-# ##0"),",-"),FIXED(ROUND(IF(EXC.RATE.SWITCH=1,C447/EXC.RATE_2,C447*EXC.RATE_2),CURRENCY.FORMAT_2),CURRENCY.FORMAT_2,0)),'DICTIONARY-5'!$A$2))</f>
        <v/>
      </c>
      <c r="L447" s="670" t="str">
        <f>IFERROR(IF(CURRENCY.FORMAT_1=0,CONCATENATE(TEXT(FIXED(ROUND((C447*(1-I447)*(1-ADD.DISCOUNT)*(1+MAT.SURCHARGE)/EXC.RATE_1),CURRENCY.FORMAT_1),CURRENCY.FORMAT_1,1),"# ##0;-# ##0"),",-"),FIXED(ROUND((C447*(1-I447)*(1-ADD.DISCOUNT)*(1+MAT.SURCHARGE)/EXC.RATE_1),CURRENCY.FORMAT_1),CURRENCY.FORMAT_1,0)),'DICTIONARY-5'!$A$2)</f>
        <v>629,-</v>
      </c>
      <c r="M447" s="670" t="str">
        <f>IF(EXC.RATE_2=0,"",IFERROR(IF(CURRENCY.FORMAT_2=0,CONCATENATE(TEXT(FIXED(ROUND(IF(EXC.RATE.SWITCH=1,C447*(1-I447)*(1-ADD.DISCOUNT)*(1+MAT.SURCHARGE)/EXC.RATE_2,C447*(1-I447)*(1-ADD.DISCOUNT)*(1+MAT.SURCHARGE)*EXC.RATE_2),CURRENCY.FORMAT_2),CURRENCY.FORMAT_2,1),"# ##0;-# ##0"),",-"),FIXED(ROUND(IF(EXC.RATE.SWITCH=1,C447*(1-I447)*(1-ADD.DISCOUNT)*(1+MAT.SURCHARGE)/EXC.RATE_2,C447*(1-I447)*(1-ADD.DISCOUNT)*(1+MAT.SURCHARGE)*EXC.RATE_2),CURRENCY.FORMAT_2),CURRENCY.FORMAT_2,0)),'DICTIONARY-5'!$A$2))</f>
        <v/>
      </c>
      <c r="N447" s="544">
        <v>1</v>
      </c>
      <c r="O447" s="544"/>
      <c r="P447" s="731" t="str">
        <f>'DICTIONARY-3'!$A$8</f>
        <v>IKOplus</v>
      </c>
      <c r="Q447" s="732" t="str">
        <f>'DICTIONARY-3'!$A$188</f>
        <v>Zasuwa klinowa</v>
      </c>
      <c r="R447" s="732" t="str">
        <f>CONCATENATE('DICTIONARY-3'!$A$8," ",'DICTIONARY-6'!$A$3," ",'DICTIONARY-2'!$A$2,U447," ",'DICTIONARY-2'!$A$3,"10/",V447," ","R15"," ",'DICTIONARY-6'!$A$36,", ",'DICTIONARY-4'!$A$7)</f>
        <v>IKOplus Zasuwa DN125 PN10/16 R15 SYNT., KR</v>
      </c>
      <c r="S447" s="733" t="str">
        <f>'DICTIONARY-4'!$A$7</f>
        <v>KR</v>
      </c>
      <c r="T447" s="732" t="str">
        <f>'DICTIONARY-4'!$A$23</f>
        <v>Kółko ręczne</v>
      </c>
      <c r="U447" s="734" t="s">
        <v>5761</v>
      </c>
      <c r="V447" s="735">
        <v>16</v>
      </c>
      <c r="W447" s="736"/>
      <c r="X447" s="737"/>
      <c r="Y447" s="738"/>
      <c r="Z447" s="739"/>
      <c r="AA447" s="739"/>
      <c r="AB447" s="740">
        <v>16</v>
      </c>
      <c r="AC447" s="741" t="str">
        <f>'DICTIONARY-5'!$A$11&amp;" 15"</f>
        <v>EN 558 szereg 15</v>
      </c>
      <c r="AD447" s="741" t="str">
        <f>'DICTIONARY-5'!$A$17</f>
        <v>woda przemysłowa</v>
      </c>
      <c r="AE447" s="742">
        <v>200</v>
      </c>
      <c r="AF447" s="743">
        <v>38.5</v>
      </c>
      <c r="AG447" s="741" t="str">
        <f>'DICTIONARY-5'!$A$24</f>
        <v>powłoka syntetyczna</v>
      </c>
    </row>
    <row r="448" spans="1:33" x14ac:dyDescent="0.25">
      <c r="A448" s="842" t="s">
        <v>435</v>
      </c>
      <c r="B448" s="842" t="s">
        <v>3038</v>
      </c>
      <c r="C448" s="836">
        <v>860</v>
      </c>
      <c r="D448" s="836"/>
      <c r="E448" s="836"/>
      <c r="F448" s="836"/>
      <c r="G448" s="496" t="s">
        <v>7794</v>
      </c>
      <c r="H448" s="797" t="str">
        <f>VLOOKUP(G448,SETTINGS!$B$7:$D$97,2,0)</f>
        <v>IKOplus</v>
      </c>
      <c r="I448" s="796">
        <f>VLOOKUP(G448,SETTINGS!$B$7:$D$97,3,0)</f>
        <v>0</v>
      </c>
      <c r="J448" s="670" t="str">
        <f>IFERROR(IF(CURRENCY.FORMAT_1=0,CONCATENATE(TEXT(FIXED(ROUND((C448/EXC.RATE_1),CURRENCY.FORMAT_1),CURRENCY.FORMAT_1,1),"# ##0;-# ##0"),",-"),FIXED(ROUND((C448/EXC.RATE_1),CURRENCY.FORMAT_1),CURRENCY.FORMAT_1,0)),'DICTIONARY-5'!$A$2)</f>
        <v>860,-</v>
      </c>
      <c r="K448" s="670" t="str">
        <f>IF(EXC.RATE_2=0,"",IFERROR(IF(CURRENCY.FORMAT_2=0,CONCATENATE(TEXT(FIXED(ROUND(IF(EXC.RATE.SWITCH=1,C448/EXC.RATE_2,C448*EXC.RATE_2),CURRENCY.FORMAT_2),CURRENCY.FORMAT_2,1),"# ##0;-# ##0"),",-"),FIXED(ROUND(IF(EXC.RATE.SWITCH=1,C448/EXC.RATE_2,C448*EXC.RATE_2),CURRENCY.FORMAT_2),CURRENCY.FORMAT_2,0)),'DICTIONARY-5'!$A$2))</f>
        <v/>
      </c>
      <c r="L448" s="670" t="str">
        <f>IFERROR(IF(CURRENCY.FORMAT_1=0,CONCATENATE(TEXT(FIXED(ROUND((C448*(1-I448)*(1-ADD.DISCOUNT)*(1+MAT.SURCHARGE)/EXC.RATE_1),CURRENCY.FORMAT_1),CURRENCY.FORMAT_1,1),"# ##0;-# ##0"),",-"),FIXED(ROUND((C448*(1-I448)*(1-ADD.DISCOUNT)*(1+MAT.SURCHARGE)/EXC.RATE_1),CURRENCY.FORMAT_1),CURRENCY.FORMAT_1,0)),'DICTIONARY-5'!$A$2)</f>
        <v>894,-</v>
      </c>
      <c r="M448" s="670" t="str">
        <f>IF(EXC.RATE_2=0,"",IFERROR(IF(CURRENCY.FORMAT_2=0,CONCATENATE(TEXT(FIXED(ROUND(IF(EXC.RATE.SWITCH=1,C448*(1-I448)*(1-ADD.DISCOUNT)*(1+MAT.SURCHARGE)/EXC.RATE_2,C448*(1-I448)*(1-ADD.DISCOUNT)*(1+MAT.SURCHARGE)*EXC.RATE_2),CURRENCY.FORMAT_2),CURRENCY.FORMAT_2,1),"# ##0;-# ##0"),",-"),FIXED(ROUND(IF(EXC.RATE.SWITCH=1,C448*(1-I448)*(1-ADD.DISCOUNT)*(1+MAT.SURCHARGE)/EXC.RATE_2,C448*(1-I448)*(1-ADD.DISCOUNT)*(1+MAT.SURCHARGE)*EXC.RATE_2),CURRENCY.FORMAT_2),CURRENCY.FORMAT_2,0)),'DICTIONARY-5'!$A$2))</f>
        <v/>
      </c>
      <c r="N448" s="544">
        <v>1</v>
      </c>
      <c r="O448" s="544"/>
      <c r="P448" s="731" t="str">
        <f>'DICTIONARY-3'!$A$8</f>
        <v>IKOplus</v>
      </c>
      <c r="Q448" s="732" t="str">
        <f>'DICTIONARY-3'!$A$188</f>
        <v>Zasuwa klinowa</v>
      </c>
      <c r="R448" s="732" t="str">
        <f>CONCATENATE('DICTIONARY-3'!$A$8," ",'DICTIONARY-6'!$A$3," ",'DICTIONARY-2'!$A$2,U448," ",'DICTIONARY-2'!$A$3,"10/",V448," ","R15"," ",'DICTIONARY-6'!$A$36,", ",'DICTIONARY-4'!$A$7)</f>
        <v>IKOplus Zasuwa DN150 PN10/16 R15 SYNT., KR</v>
      </c>
      <c r="S448" s="733" t="str">
        <f>'DICTIONARY-4'!$A$7</f>
        <v>KR</v>
      </c>
      <c r="T448" s="732" t="str">
        <f>'DICTIONARY-4'!$A$23</f>
        <v>Kółko ręczne</v>
      </c>
      <c r="U448" s="734" t="s">
        <v>5572</v>
      </c>
      <c r="V448" s="735">
        <v>16</v>
      </c>
      <c r="W448" s="736"/>
      <c r="X448" s="737"/>
      <c r="Y448" s="738"/>
      <c r="Z448" s="739"/>
      <c r="AA448" s="739"/>
      <c r="AB448" s="740">
        <v>16</v>
      </c>
      <c r="AC448" s="741" t="str">
        <f>'DICTIONARY-5'!$A$11&amp;" 15"</f>
        <v>EN 558 szereg 15</v>
      </c>
      <c r="AD448" s="741" t="str">
        <f>'DICTIONARY-5'!$A$17</f>
        <v>woda przemysłowa</v>
      </c>
      <c r="AE448" s="742">
        <v>200</v>
      </c>
      <c r="AF448" s="743">
        <v>48</v>
      </c>
      <c r="AG448" s="741" t="str">
        <f>'DICTIONARY-5'!$A$24</f>
        <v>powłoka syntetyczna</v>
      </c>
    </row>
    <row r="449" spans="1:33" x14ac:dyDescent="0.25">
      <c r="A449" s="842" t="s">
        <v>437</v>
      </c>
      <c r="B449" s="842" t="s">
        <v>3039</v>
      </c>
      <c r="C449" s="836">
        <v>1072</v>
      </c>
      <c r="D449" s="836"/>
      <c r="E449" s="836"/>
      <c r="F449" s="836"/>
      <c r="G449" s="496" t="s">
        <v>7794</v>
      </c>
      <c r="H449" s="797" t="str">
        <f>VLOOKUP(G449,SETTINGS!$B$7:$D$97,2,0)</f>
        <v>IKOplus</v>
      </c>
      <c r="I449" s="796">
        <f>VLOOKUP(G449,SETTINGS!$B$7:$D$97,3,0)</f>
        <v>0</v>
      </c>
      <c r="J449" s="670" t="str">
        <f>IFERROR(IF(CURRENCY.FORMAT_1=0,CONCATENATE(TEXT(FIXED(ROUND((C449/EXC.RATE_1),CURRENCY.FORMAT_1),CURRENCY.FORMAT_1,1),"# ##0;-# ##0"),",-"),FIXED(ROUND((C449/EXC.RATE_1),CURRENCY.FORMAT_1),CURRENCY.FORMAT_1,0)),'DICTIONARY-5'!$A$2)</f>
        <v>1 072,-</v>
      </c>
      <c r="K449" s="670" t="str">
        <f>IF(EXC.RATE_2=0,"",IFERROR(IF(CURRENCY.FORMAT_2=0,CONCATENATE(TEXT(FIXED(ROUND(IF(EXC.RATE.SWITCH=1,C449/EXC.RATE_2,C449*EXC.RATE_2),CURRENCY.FORMAT_2),CURRENCY.FORMAT_2,1),"# ##0;-# ##0"),",-"),FIXED(ROUND(IF(EXC.RATE.SWITCH=1,C449/EXC.RATE_2,C449*EXC.RATE_2),CURRENCY.FORMAT_2),CURRENCY.FORMAT_2,0)),'DICTIONARY-5'!$A$2))</f>
        <v/>
      </c>
      <c r="L449" s="670" t="str">
        <f>IFERROR(IF(CURRENCY.FORMAT_1=0,CONCATENATE(TEXT(FIXED(ROUND((C449*(1-I449)*(1-ADD.DISCOUNT)*(1+MAT.SURCHARGE)/EXC.RATE_1),CURRENCY.FORMAT_1),CURRENCY.FORMAT_1,1),"# ##0;-# ##0"),",-"),FIXED(ROUND((C449*(1-I449)*(1-ADD.DISCOUNT)*(1+MAT.SURCHARGE)/EXC.RATE_1),CURRENCY.FORMAT_1),CURRENCY.FORMAT_1,0)),'DICTIONARY-5'!$A$2)</f>
        <v>1 114,-</v>
      </c>
      <c r="M449" s="670" t="str">
        <f>IF(EXC.RATE_2=0,"",IFERROR(IF(CURRENCY.FORMAT_2=0,CONCATENATE(TEXT(FIXED(ROUND(IF(EXC.RATE.SWITCH=1,C449*(1-I449)*(1-ADD.DISCOUNT)*(1+MAT.SURCHARGE)/EXC.RATE_2,C449*(1-I449)*(1-ADD.DISCOUNT)*(1+MAT.SURCHARGE)*EXC.RATE_2),CURRENCY.FORMAT_2),CURRENCY.FORMAT_2,1),"# ##0;-# ##0"),",-"),FIXED(ROUND(IF(EXC.RATE.SWITCH=1,C449*(1-I449)*(1-ADD.DISCOUNT)*(1+MAT.SURCHARGE)/EXC.RATE_2,C449*(1-I449)*(1-ADD.DISCOUNT)*(1+MAT.SURCHARGE)*EXC.RATE_2),CURRENCY.FORMAT_2),CURRENCY.FORMAT_2,0)),'DICTIONARY-5'!$A$2))</f>
        <v/>
      </c>
      <c r="N449" s="544">
        <v>1</v>
      </c>
      <c r="O449" s="544"/>
      <c r="P449" s="731" t="str">
        <f>'DICTIONARY-3'!$A$8</f>
        <v>IKOplus</v>
      </c>
      <c r="Q449" s="732" t="str">
        <f>'DICTIONARY-3'!$A$188</f>
        <v>Zasuwa klinowa</v>
      </c>
      <c r="R449" s="732" t="str">
        <f>CONCATENATE('DICTIONARY-3'!$A$8," ",'DICTIONARY-6'!$A$3," ",'DICTIONARY-2'!$A$2,U449," ",'DICTIONARY-2'!$A$3,V449," ","R15"," ",'DICTIONARY-6'!$A$36,", ",'DICTIONARY-4'!$A$7)</f>
        <v>IKOplus Zasuwa DN200 PN16 R15 SYNT., KR</v>
      </c>
      <c r="S449" s="733" t="str">
        <f>'DICTIONARY-4'!$A$7</f>
        <v>KR</v>
      </c>
      <c r="T449" s="732" t="str">
        <f>'DICTIONARY-4'!$A$23</f>
        <v>Kółko ręczne</v>
      </c>
      <c r="U449" s="734" t="s">
        <v>5750</v>
      </c>
      <c r="V449" s="735">
        <v>16</v>
      </c>
      <c r="W449" s="736"/>
      <c r="X449" s="737"/>
      <c r="Y449" s="738"/>
      <c r="Z449" s="739"/>
      <c r="AA449" s="739"/>
      <c r="AB449" s="740">
        <v>16</v>
      </c>
      <c r="AC449" s="741" t="str">
        <f>'DICTIONARY-5'!$A$11&amp;" 15"</f>
        <v>EN 558 szereg 15</v>
      </c>
      <c r="AD449" s="741" t="str">
        <f>'DICTIONARY-5'!$A$17</f>
        <v>woda przemysłowa</v>
      </c>
      <c r="AE449" s="742">
        <v>200</v>
      </c>
      <c r="AF449" s="743">
        <v>80.5</v>
      </c>
      <c r="AG449" s="741" t="str">
        <f>'DICTIONARY-5'!$A$24</f>
        <v>powłoka syntetyczna</v>
      </c>
    </row>
    <row r="450" spans="1:33" x14ac:dyDescent="0.25">
      <c r="A450" s="842" t="s">
        <v>438</v>
      </c>
      <c r="B450" s="842" t="s">
        <v>3040</v>
      </c>
      <c r="C450" s="836">
        <v>1571</v>
      </c>
      <c r="D450" s="836"/>
      <c r="E450" s="836"/>
      <c r="F450" s="836"/>
      <c r="G450" s="496" t="s">
        <v>7794</v>
      </c>
      <c r="H450" s="797" t="str">
        <f>VLOOKUP(G450,SETTINGS!$B$7:$D$97,2,0)</f>
        <v>IKOplus</v>
      </c>
      <c r="I450" s="796">
        <f>VLOOKUP(G450,SETTINGS!$B$7:$D$97,3,0)</f>
        <v>0</v>
      </c>
      <c r="J450" s="670" t="str">
        <f>IFERROR(IF(CURRENCY.FORMAT_1=0,CONCATENATE(TEXT(FIXED(ROUND((C450/EXC.RATE_1),CURRENCY.FORMAT_1),CURRENCY.FORMAT_1,1),"# ##0;-# ##0"),",-"),FIXED(ROUND((C450/EXC.RATE_1),CURRENCY.FORMAT_1),CURRENCY.FORMAT_1,0)),'DICTIONARY-5'!$A$2)</f>
        <v>1 571,-</v>
      </c>
      <c r="K450" s="670" t="str">
        <f>IF(EXC.RATE_2=0,"",IFERROR(IF(CURRENCY.FORMAT_2=0,CONCATENATE(TEXT(FIXED(ROUND(IF(EXC.RATE.SWITCH=1,C450/EXC.RATE_2,C450*EXC.RATE_2),CURRENCY.FORMAT_2),CURRENCY.FORMAT_2,1),"# ##0;-# ##0"),",-"),FIXED(ROUND(IF(EXC.RATE.SWITCH=1,C450/EXC.RATE_2,C450*EXC.RATE_2),CURRENCY.FORMAT_2),CURRENCY.FORMAT_2,0)),'DICTIONARY-5'!$A$2))</f>
        <v/>
      </c>
      <c r="L450" s="670" t="str">
        <f>IFERROR(IF(CURRENCY.FORMAT_1=0,CONCATENATE(TEXT(FIXED(ROUND((C450*(1-I450)*(1-ADD.DISCOUNT)*(1+MAT.SURCHARGE)/EXC.RATE_1),CURRENCY.FORMAT_1),CURRENCY.FORMAT_1,1),"# ##0;-# ##0"),",-"),FIXED(ROUND((C450*(1-I450)*(1-ADD.DISCOUNT)*(1+MAT.SURCHARGE)/EXC.RATE_1),CURRENCY.FORMAT_1),CURRENCY.FORMAT_1,0)),'DICTIONARY-5'!$A$2)</f>
        <v>1 632,-</v>
      </c>
      <c r="M450" s="670" t="str">
        <f>IF(EXC.RATE_2=0,"",IFERROR(IF(CURRENCY.FORMAT_2=0,CONCATENATE(TEXT(FIXED(ROUND(IF(EXC.RATE.SWITCH=1,C450*(1-I450)*(1-ADD.DISCOUNT)*(1+MAT.SURCHARGE)/EXC.RATE_2,C450*(1-I450)*(1-ADD.DISCOUNT)*(1+MAT.SURCHARGE)*EXC.RATE_2),CURRENCY.FORMAT_2),CURRENCY.FORMAT_2,1),"# ##0;-# ##0"),",-"),FIXED(ROUND(IF(EXC.RATE.SWITCH=1,C450*(1-I450)*(1-ADD.DISCOUNT)*(1+MAT.SURCHARGE)/EXC.RATE_2,C450*(1-I450)*(1-ADD.DISCOUNT)*(1+MAT.SURCHARGE)*EXC.RATE_2),CURRENCY.FORMAT_2),CURRENCY.FORMAT_2,0)),'DICTIONARY-5'!$A$2))</f>
        <v/>
      </c>
      <c r="N450" s="544">
        <v>1</v>
      </c>
      <c r="O450" s="544"/>
      <c r="P450" s="731" t="str">
        <f>'DICTIONARY-3'!$A$8</f>
        <v>IKOplus</v>
      </c>
      <c r="Q450" s="732" t="str">
        <f>'DICTIONARY-3'!$A$188</f>
        <v>Zasuwa klinowa</v>
      </c>
      <c r="R450" s="732" t="str">
        <f>CONCATENATE('DICTIONARY-3'!$A$8," ",'DICTIONARY-6'!$A$3," ",'DICTIONARY-2'!$A$2,U450," ",'DICTIONARY-2'!$A$3,V450," ","R15"," ",'DICTIONARY-6'!$A$36,", ",'DICTIONARY-4'!$A$7)</f>
        <v>IKOplus Zasuwa DN250 PN16 R15 SYNT., KR</v>
      </c>
      <c r="S450" s="733" t="str">
        <f>'DICTIONARY-4'!$A$7</f>
        <v>KR</v>
      </c>
      <c r="T450" s="732" t="str">
        <f>'DICTIONARY-4'!$A$23</f>
        <v>Kółko ręczne</v>
      </c>
      <c r="U450" s="734" t="s">
        <v>5751</v>
      </c>
      <c r="V450" s="735">
        <v>16</v>
      </c>
      <c r="W450" s="736"/>
      <c r="X450" s="737"/>
      <c r="Y450" s="738"/>
      <c r="Z450" s="739"/>
      <c r="AA450" s="739"/>
      <c r="AB450" s="740">
        <v>16</v>
      </c>
      <c r="AC450" s="741" t="str">
        <f>'DICTIONARY-5'!$A$11&amp;" 15"</f>
        <v>EN 558 szereg 15</v>
      </c>
      <c r="AD450" s="741" t="str">
        <f>'DICTIONARY-5'!$A$17</f>
        <v>woda przemysłowa</v>
      </c>
      <c r="AE450" s="742">
        <v>200</v>
      </c>
      <c r="AF450" s="743">
        <v>125</v>
      </c>
      <c r="AG450" s="741" t="str">
        <f>'DICTIONARY-5'!$A$24</f>
        <v>powłoka syntetyczna</v>
      </c>
    </row>
    <row r="451" spans="1:33" x14ac:dyDescent="0.25">
      <c r="A451" s="842" t="s">
        <v>439</v>
      </c>
      <c r="B451" s="842" t="s">
        <v>3041</v>
      </c>
      <c r="C451" s="836">
        <v>2270</v>
      </c>
      <c r="D451" s="836"/>
      <c r="E451" s="836"/>
      <c r="F451" s="836"/>
      <c r="G451" s="496" t="s">
        <v>7794</v>
      </c>
      <c r="H451" s="797" t="str">
        <f>VLOOKUP(G451,SETTINGS!$B$7:$D$97,2,0)</f>
        <v>IKOplus</v>
      </c>
      <c r="I451" s="796">
        <f>VLOOKUP(G451,SETTINGS!$B$7:$D$97,3,0)</f>
        <v>0</v>
      </c>
      <c r="J451" s="670" t="str">
        <f>IFERROR(IF(CURRENCY.FORMAT_1=0,CONCATENATE(TEXT(FIXED(ROUND((C451/EXC.RATE_1),CURRENCY.FORMAT_1),CURRENCY.FORMAT_1,1),"# ##0;-# ##0"),",-"),FIXED(ROUND((C451/EXC.RATE_1),CURRENCY.FORMAT_1),CURRENCY.FORMAT_1,0)),'DICTIONARY-5'!$A$2)</f>
        <v>2 270,-</v>
      </c>
      <c r="K451" s="670" t="str">
        <f>IF(EXC.RATE_2=0,"",IFERROR(IF(CURRENCY.FORMAT_2=0,CONCATENATE(TEXT(FIXED(ROUND(IF(EXC.RATE.SWITCH=1,C451/EXC.RATE_2,C451*EXC.RATE_2),CURRENCY.FORMAT_2),CURRENCY.FORMAT_2,1),"# ##0;-# ##0"),",-"),FIXED(ROUND(IF(EXC.RATE.SWITCH=1,C451/EXC.RATE_2,C451*EXC.RATE_2),CURRENCY.FORMAT_2),CURRENCY.FORMAT_2,0)),'DICTIONARY-5'!$A$2))</f>
        <v/>
      </c>
      <c r="L451" s="670" t="str">
        <f>IFERROR(IF(CURRENCY.FORMAT_1=0,CONCATENATE(TEXT(FIXED(ROUND((C451*(1-I451)*(1-ADD.DISCOUNT)*(1+MAT.SURCHARGE)/EXC.RATE_1),CURRENCY.FORMAT_1),CURRENCY.FORMAT_1,1),"# ##0;-# ##0"),",-"),FIXED(ROUND((C451*(1-I451)*(1-ADD.DISCOUNT)*(1+MAT.SURCHARGE)/EXC.RATE_1),CURRENCY.FORMAT_1),CURRENCY.FORMAT_1,0)),'DICTIONARY-5'!$A$2)</f>
        <v>2 359,-</v>
      </c>
      <c r="M451" s="670" t="str">
        <f>IF(EXC.RATE_2=0,"",IFERROR(IF(CURRENCY.FORMAT_2=0,CONCATENATE(TEXT(FIXED(ROUND(IF(EXC.RATE.SWITCH=1,C451*(1-I451)*(1-ADD.DISCOUNT)*(1+MAT.SURCHARGE)/EXC.RATE_2,C451*(1-I451)*(1-ADD.DISCOUNT)*(1+MAT.SURCHARGE)*EXC.RATE_2),CURRENCY.FORMAT_2),CURRENCY.FORMAT_2,1),"# ##0;-# ##0"),",-"),FIXED(ROUND(IF(EXC.RATE.SWITCH=1,C451*(1-I451)*(1-ADD.DISCOUNT)*(1+MAT.SURCHARGE)/EXC.RATE_2,C451*(1-I451)*(1-ADD.DISCOUNT)*(1+MAT.SURCHARGE)*EXC.RATE_2),CURRENCY.FORMAT_2),CURRENCY.FORMAT_2,0)),'DICTIONARY-5'!$A$2))</f>
        <v/>
      </c>
      <c r="N451" s="544">
        <v>1</v>
      </c>
      <c r="O451" s="544"/>
      <c r="P451" s="731" t="str">
        <f>'DICTIONARY-3'!$A$8</f>
        <v>IKOplus</v>
      </c>
      <c r="Q451" s="732" t="str">
        <f>'DICTIONARY-3'!$A$188</f>
        <v>Zasuwa klinowa</v>
      </c>
      <c r="R451" s="732" t="str">
        <f>CONCATENATE('DICTIONARY-3'!$A$8," ",'DICTIONARY-6'!$A$3," ",'DICTIONARY-2'!$A$2,U451," ",'DICTIONARY-2'!$A$3,V451," ","R15"," ",'DICTIONARY-6'!$A$36,", ",'DICTIONARY-4'!$A$7)</f>
        <v>IKOplus Zasuwa DN300 PN16 R15 SYNT., KR</v>
      </c>
      <c r="S451" s="733" t="str">
        <f>'DICTIONARY-4'!$A$7</f>
        <v>KR</v>
      </c>
      <c r="T451" s="732" t="str">
        <f>'DICTIONARY-4'!$A$23</f>
        <v>Kółko ręczne</v>
      </c>
      <c r="U451" s="734" t="s">
        <v>5752</v>
      </c>
      <c r="V451" s="735">
        <v>16</v>
      </c>
      <c r="W451" s="736"/>
      <c r="X451" s="737"/>
      <c r="Y451" s="738"/>
      <c r="Z451" s="739"/>
      <c r="AA451" s="739"/>
      <c r="AB451" s="740">
        <v>16</v>
      </c>
      <c r="AC451" s="741" t="str">
        <f>'DICTIONARY-5'!$A$11&amp;" 15"</f>
        <v>EN 558 szereg 15</v>
      </c>
      <c r="AD451" s="741" t="str">
        <f>'DICTIONARY-5'!$A$17</f>
        <v>woda przemysłowa</v>
      </c>
      <c r="AE451" s="742">
        <v>200</v>
      </c>
      <c r="AF451" s="743">
        <v>180</v>
      </c>
      <c r="AG451" s="741" t="str">
        <f>'DICTIONARY-5'!$A$24</f>
        <v>powłoka syntetyczna</v>
      </c>
    </row>
    <row r="452" spans="1:33" x14ac:dyDescent="0.25">
      <c r="A452" s="845" t="s">
        <v>440</v>
      </c>
      <c r="B452" s="845" t="s">
        <v>2992</v>
      </c>
      <c r="C452" s="836">
        <v>383</v>
      </c>
      <c r="D452" s="836"/>
      <c r="E452" s="836"/>
      <c r="F452" s="836"/>
      <c r="G452" s="496" t="s">
        <v>7794</v>
      </c>
      <c r="H452" s="797" t="str">
        <f>VLOOKUP(G452,SETTINGS!$B$7:$D$97,2,0)</f>
        <v>IKOplus</v>
      </c>
      <c r="I452" s="796">
        <f>VLOOKUP(G452,SETTINGS!$B$7:$D$97,3,0)</f>
        <v>0</v>
      </c>
      <c r="J452" s="670" t="str">
        <f>IFERROR(IF(CURRENCY.FORMAT_1=0,CONCATENATE(TEXT(FIXED(ROUND((C452/EXC.RATE_1),CURRENCY.FORMAT_1),CURRENCY.FORMAT_1,1),"# ##0;-# ##0"),",-"),FIXED(ROUND((C452/EXC.RATE_1),CURRENCY.FORMAT_1),CURRENCY.FORMAT_1,0)),'DICTIONARY-5'!$A$2)</f>
        <v>383,-</v>
      </c>
      <c r="K452" s="670" t="str">
        <f>IF(EXC.RATE_2=0,"",IFERROR(IF(CURRENCY.FORMAT_2=0,CONCATENATE(TEXT(FIXED(ROUND(IF(EXC.RATE.SWITCH=1,C452/EXC.RATE_2,C452*EXC.RATE_2),CURRENCY.FORMAT_2),CURRENCY.FORMAT_2,1),"# ##0;-# ##0"),",-"),FIXED(ROUND(IF(EXC.RATE.SWITCH=1,C452/EXC.RATE_2,C452*EXC.RATE_2),CURRENCY.FORMAT_2),CURRENCY.FORMAT_2,0)),'DICTIONARY-5'!$A$2))</f>
        <v/>
      </c>
      <c r="L452" s="670" t="str">
        <f>IFERROR(IF(CURRENCY.FORMAT_1=0,CONCATENATE(TEXT(FIXED(ROUND((C452*(1-I452)*(1-ADD.DISCOUNT)*(1+MAT.SURCHARGE)/EXC.RATE_1),CURRENCY.FORMAT_1),CURRENCY.FORMAT_1,1),"# ##0;-# ##0"),",-"),FIXED(ROUND((C452*(1-I452)*(1-ADD.DISCOUNT)*(1+MAT.SURCHARGE)/EXC.RATE_1),CURRENCY.FORMAT_1),CURRENCY.FORMAT_1,0)),'DICTIONARY-5'!$A$2)</f>
        <v>398,-</v>
      </c>
      <c r="M452" s="670" t="str">
        <f>IF(EXC.RATE_2=0,"",IFERROR(IF(CURRENCY.FORMAT_2=0,CONCATENATE(TEXT(FIXED(ROUND(IF(EXC.RATE.SWITCH=1,C452*(1-I452)*(1-ADD.DISCOUNT)*(1+MAT.SURCHARGE)/EXC.RATE_2,C452*(1-I452)*(1-ADD.DISCOUNT)*(1+MAT.SURCHARGE)*EXC.RATE_2),CURRENCY.FORMAT_2),CURRENCY.FORMAT_2,1),"# ##0;-# ##0"),",-"),FIXED(ROUND(IF(EXC.RATE.SWITCH=1,C452*(1-I452)*(1-ADD.DISCOUNT)*(1+MAT.SURCHARGE)/EXC.RATE_2,C452*(1-I452)*(1-ADD.DISCOUNT)*(1+MAT.SURCHARGE)*EXC.RATE_2),CURRENCY.FORMAT_2),CURRENCY.FORMAT_2,0)),'DICTIONARY-5'!$A$2))</f>
        <v/>
      </c>
      <c r="N452" s="544">
        <v>1</v>
      </c>
      <c r="O452" s="544"/>
      <c r="P452" s="731" t="str">
        <f>'DICTIONARY-3'!$A$8</f>
        <v>IKOplus</v>
      </c>
      <c r="Q452" s="732" t="str">
        <f>'DICTIONARY-3'!$A$188</f>
        <v>Zasuwa klinowa</v>
      </c>
      <c r="R452" s="732" t="str">
        <f>CONCATENATE('DICTIONARY-3'!$A$8," ",'DICTIONARY-6'!$A$4," ",'DICTIONARY-2'!$A$2,U452," ",'DICTIONARY-2'!$A$3,V452," ","R14"," ",'DICTIONARY-6'!$A$36,", ",'DICTIONARY-4'!$A$7)</f>
        <v>IKOplus Zasuwa z wrzec. wznosz. się DN40 PN6 R14 SYNT., KR</v>
      </c>
      <c r="S452" s="733" t="str">
        <f>'DICTIONARY-4'!$A$7</f>
        <v>KR</v>
      </c>
      <c r="T452" s="732" t="str">
        <f>'DICTIONARY-4'!$A$23</f>
        <v>Kółko ręczne</v>
      </c>
      <c r="U452" s="734" t="s">
        <v>5758</v>
      </c>
      <c r="V452" s="735">
        <v>6</v>
      </c>
      <c r="W452" s="736"/>
      <c r="X452" s="737"/>
      <c r="Y452" s="738"/>
      <c r="Z452" s="739"/>
      <c r="AA452" s="739"/>
      <c r="AB452" s="740">
        <v>6</v>
      </c>
      <c r="AC452" s="741" t="str">
        <f>'DICTIONARY-5'!$A$11&amp;" 14"</f>
        <v>EN 558 szereg 14</v>
      </c>
      <c r="AD452" s="741" t="str">
        <f>'DICTIONARY-5'!$A$17</f>
        <v>woda przemysłowa</v>
      </c>
      <c r="AE452" s="742">
        <v>200</v>
      </c>
      <c r="AF452" s="743">
        <v>11.15</v>
      </c>
      <c r="AG452" s="741" t="str">
        <f>'DICTIONARY-5'!$A$24</f>
        <v>powłoka syntetyczna</v>
      </c>
    </row>
    <row r="453" spans="1:33" x14ac:dyDescent="0.25">
      <c r="A453" s="845" t="s">
        <v>442</v>
      </c>
      <c r="B453" s="845" t="s">
        <v>2993</v>
      </c>
      <c r="C453" s="836">
        <v>391</v>
      </c>
      <c r="D453" s="836"/>
      <c r="E453" s="836"/>
      <c r="F453" s="836"/>
      <c r="G453" s="496" t="s">
        <v>7794</v>
      </c>
      <c r="H453" s="797" t="str">
        <f>VLOOKUP(G453,SETTINGS!$B$7:$D$97,2,0)</f>
        <v>IKOplus</v>
      </c>
      <c r="I453" s="796">
        <f>VLOOKUP(G453,SETTINGS!$B$7:$D$97,3,0)</f>
        <v>0</v>
      </c>
      <c r="J453" s="670" t="str">
        <f>IFERROR(IF(CURRENCY.FORMAT_1=0,CONCATENATE(TEXT(FIXED(ROUND((C453/EXC.RATE_1),CURRENCY.FORMAT_1),CURRENCY.FORMAT_1,1),"# ##0;-# ##0"),",-"),FIXED(ROUND((C453/EXC.RATE_1),CURRENCY.FORMAT_1),CURRENCY.FORMAT_1,0)),'DICTIONARY-5'!$A$2)</f>
        <v>391,-</v>
      </c>
      <c r="K453" s="670" t="str">
        <f>IF(EXC.RATE_2=0,"",IFERROR(IF(CURRENCY.FORMAT_2=0,CONCATENATE(TEXT(FIXED(ROUND(IF(EXC.RATE.SWITCH=1,C453/EXC.RATE_2,C453*EXC.RATE_2),CURRENCY.FORMAT_2),CURRENCY.FORMAT_2,1),"# ##0;-# ##0"),",-"),FIXED(ROUND(IF(EXC.RATE.SWITCH=1,C453/EXC.RATE_2,C453*EXC.RATE_2),CURRENCY.FORMAT_2),CURRENCY.FORMAT_2,0)),'DICTIONARY-5'!$A$2))</f>
        <v/>
      </c>
      <c r="L453" s="670" t="str">
        <f>IFERROR(IF(CURRENCY.FORMAT_1=0,CONCATENATE(TEXT(FIXED(ROUND((C453*(1-I453)*(1-ADD.DISCOUNT)*(1+MAT.SURCHARGE)/EXC.RATE_1),CURRENCY.FORMAT_1),CURRENCY.FORMAT_1,1),"# ##0;-# ##0"),",-"),FIXED(ROUND((C453*(1-I453)*(1-ADD.DISCOUNT)*(1+MAT.SURCHARGE)/EXC.RATE_1),CURRENCY.FORMAT_1),CURRENCY.FORMAT_1,0)),'DICTIONARY-5'!$A$2)</f>
        <v>406,-</v>
      </c>
      <c r="M453" s="670" t="str">
        <f>IF(EXC.RATE_2=0,"",IFERROR(IF(CURRENCY.FORMAT_2=0,CONCATENATE(TEXT(FIXED(ROUND(IF(EXC.RATE.SWITCH=1,C453*(1-I453)*(1-ADD.DISCOUNT)*(1+MAT.SURCHARGE)/EXC.RATE_2,C453*(1-I453)*(1-ADD.DISCOUNT)*(1+MAT.SURCHARGE)*EXC.RATE_2),CURRENCY.FORMAT_2),CURRENCY.FORMAT_2,1),"# ##0;-# ##0"),",-"),FIXED(ROUND(IF(EXC.RATE.SWITCH=1,C453*(1-I453)*(1-ADD.DISCOUNT)*(1+MAT.SURCHARGE)/EXC.RATE_2,C453*(1-I453)*(1-ADD.DISCOUNT)*(1+MAT.SURCHARGE)*EXC.RATE_2),CURRENCY.FORMAT_2),CURRENCY.FORMAT_2,0)),'DICTIONARY-5'!$A$2))</f>
        <v/>
      </c>
      <c r="N453" s="544">
        <v>1</v>
      </c>
      <c r="O453" s="544"/>
      <c r="P453" s="731" t="str">
        <f>'DICTIONARY-3'!$A$8</f>
        <v>IKOplus</v>
      </c>
      <c r="Q453" s="732" t="str">
        <f>'DICTIONARY-3'!$A$188</f>
        <v>Zasuwa klinowa</v>
      </c>
      <c r="R453" s="732" t="str">
        <f>CONCATENATE('DICTIONARY-3'!$A$8," ",'DICTIONARY-6'!$A$4," ",'DICTIONARY-2'!$A$2,U453," ",'DICTIONARY-2'!$A$3,V453," ","R14"," ",'DICTIONARY-6'!$A$36,", ",'DICTIONARY-4'!$A$7)</f>
        <v>IKOplus Zasuwa z wrzec. wznosz. się DN50 PN6 R14 SYNT., KR</v>
      </c>
      <c r="S453" s="733" t="str">
        <f>'DICTIONARY-4'!$A$7</f>
        <v>KR</v>
      </c>
      <c r="T453" s="732" t="str">
        <f>'DICTIONARY-4'!$A$23</f>
        <v>Kółko ręczne</v>
      </c>
      <c r="U453" s="734" t="s">
        <v>5748</v>
      </c>
      <c r="V453" s="735">
        <v>6</v>
      </c>
      <c r="W453" s="736"/>
      <c r="X453" s="737"/>
      <c r="Y453" s="738"/>
      <c r="Z453" s="739"/>
      <c r="AA453" s="739"/>
      <c r="AB453" s="740">
        <v>6</v>
      </c>
      <c r="AC453" s="741" t="str">
        <f>'DICTIONARY-5'!$A$11&amp;" 14"</f>
        <v>EN 558 szereg 14</v>
      </c>
      <c r="AD453" s="741" t="str">
        <f>'DICTIONARY-5'!$A$17</f>
        <v>woda przemysłowa</v>
      </c>
      <c r="AE453" s="742">
        <v>200</v>
      </c>
      <c r="AF453" s="743">
        <v>12.65</v>
      </c>
      <c r="AG453" s="741" t="str">
        <f>'DICTIONARY-5'!$A$24</f>
        <v>powłoka syntetyczna</v>
      </c>
    </row>
    <row r="454" spans="1:33" x14ac:dyDescent="0.25">
      <c r="A454" s="845" t="s">
        <v>444</v>
      </c>
      <c r="B454" s="845" t="s">
        <v>2994</v>
      </c>
      <c r="C454" s="836">
        <v>461</v>
      </c>
      <c r="D454" s="836"/>
      <c r="E454" s="836"/>
      <c r="F454" s="836"/>
      <c r="G454" s="496" t="s">
        <v>7794</v>
      </c>
      <c r="H454" s="797" t="str">
        <f>VLOOKUP(G454,SETTINGS!$B$7:$D$97,2,0)</f>
        <v>IKOplus</v>
      </c>
      <c r="I454" s="796">
        <f>VLOOKUP(G454,SETTINGS!$B$7:$D$97,3,0)</f>
        <v>0</v>
      </c>
      <c r="J454" s="670" t="str">
        <f>IFERROR(IF(CURRENCY.FORMAT_1=0,CONCATENATE(TEXT(FIXED(ROUND((C454/EXC.RATE_1),CURRENCY.FORMAT_1),CURRENCY.FORMAT_1,1),"# ##0;-# ##0"),",-"),FIXED(ROUND((C454/EXC.RATE_1),CURRENCY.FORMAT_1),CURRENCY.FORMAT_1,0)),'DICTIONARY-5'!$A$2)</f>
        <v>461,-</v>
      </c>
      <c r="K454" s="670" t="str">
        <f>IF(EXC.RATE_2=0,"",IFERROR(IF(CURRENCY.FORMAT_2=0,CONCATENATE(TEXT(FIXED(ROUND(IF(EXC.RATE.SWITCH=1,C454/EXC.RATE_2,C454*EXC.RATE_2),CURRENCY.FORMAT_2),CURRENCY.FORMAT_2,1),"# ##0;-# ##0"),",-"),FIXED(ROUND(IF(EXC.RATE.SWITCH=1,C454/EXC.RATE_2,C454*EXC.RATE_2),CURRENCY.FORMAT_2),CURRENCY.FORMAT_2,0)),'DICTIONARY-5'!$A$2))</f>
        <v/>
      </c>
      <c r="L454" s="670" t="str">
        <f>IFERROR(IF(CURRENCY.FORMAT_1=0,CONCATENATE(TEXT(FIXED(ROUND((C454*(1-I454)*(1-ADD.DISCOUNT)*(1+MAT.SURCHARGE)/EXC.RATE_1),CURRENCY.FORMAT_1),CURRENCY.FORMAT_1,1),"# ##0;-# ##0"),",-"),FIXED(ROUND((C454*(1-I454)*(1-ADD.DISCOUNT)*(1+MAT.SURCHARGE)/EXC.RATE_1),CURRENCY.FORMAT_1),CURRENCY.FORMAT_1,0)),'DICTIONARY-5'!$A$2)</f>
        <v>479,-</v>
      </c>
      <c r="M454" s="670" t="str">
        <f>IF(EXC.RATE_2=0,"",IFERROR(IF(CURRENCY.FORMAT_2=0,CONCATENATE(TEXT(FIXED(ROUND(IF(EXC.RATE.SWITCH=1,C454*(1-I454)*(1-ADD.DISCOUNT)*(1+MAT.SURCHARGE)/EXC.RATE_2,C454*(1-I454)*(1-ADD.DISCOUNT)*(1+MAT.SURCHARGE)*EXC.RATE_2),CURRENCY.FORMAT_2),CURRENCY.FORMAT_2,1),"# ##0;-# ##0"),",-"),FIXED(ROUND(IF(EXC.RATE.SWITCH=1,C454*(1-I454)*(1-ADD.DISCOUNT)*(1+MAT.SURCHARGE)/EXC.RATE_2,C454*(1-I454)*(1-ADD.DISCOUNT)*(1+MAT.SURCHARGE)*EXC.RATE_2),CURRENCY.FORMAT_2),CURRENCY.FORMAT_2,0)),'DICTIONARY-5'!$A$2))</f>
        <v/>
      </c>
      <c r="N454" s="544">
        <v>1</v>
      </c>
      <c r="O454" s="544"/>
      <c r="P454" s="731" t="str">
        <f>'DICTIONARY-3'!$A$8</f>
        <v>IKOplus</v>
      </c>
      <c r="Q454" s="732" t="str">
        <f>'DICTIONARY-3'!$A$188</f>
        <v>Zasuwa klinowa</v>
      </c>
      <c r="R454" s="732" t="str">
        <f>CONCATENATE('DICTIONARY-3'!$A$8," ",'DICTIONARY-6'!$A$4," ",'DICTIONARY-2'!$A$2,U454," ",'DICTIONARY-2'!$A$3,V454," ","R14"," ",'DICTIONARY-6'!$A$36,", ",'DICTIONARY-4'!$A$7)</f>
        <v>IKOplus Zasuwa z wrzec. wznosz. się DN65 PN6 R14 SYNT., KR</v>
      </c>
      <c r="S454" s="733" t="str">
        <f>'DICTIONARY-4'!$A$7</f>
        <v>KR</v>
      </c>
      <c r="T454" s="732" t="str">
        <f>'DICTIONARY-4'!$A$23</f>
        <v>Kółko ręczne</v>
      </c>
      <c r="U454" s="734" t="s">
        <v>5759</v>
      </c>
      <c r="V454" s="735">
        <v>6</v>
      </c>
      <c r="W454" s="736"/>
      <c r="X454" s="737"/>
      <c r="Y454" s="738"/>
      <c r="Z454" s="739"/>
      <c r="AA454" s="739"/>
      <c r="AB454" s="740">
        <v>6</v>
      </c>
      <c r="AC454" s="741" t="str">
        <f>'DICTIONARY-5'!$A$11&amp;" 14"</f>
        <v>EN 558 szereg 14</v>
      </c>
      <c r="AD454" s="741" t="str">
        <f>'DICTIONARY-5'!$A$17</f>
        <v>woda przemysłowa</v>
      </c>
      <c r="AE454" s="742">
        <v>200</v>
      </c>
      <c r="AF454" s="743">
        <v>17.03</v>
      </c>
      <c r="AG454" s="741" t="str">
        <f>'DICTIONARY-5'!$A$24</f>
        <v>powłoka syntetyczna</v>
      </c>
    </row>
    <row r="455" spans="1:33" x14ac:dyDescent="0.25">
      <c r="A455" s="845" t="s">
        <v>446</v>
      </c>
      <c r="B455" s="845" t="s">
        <v>2995</v>
      </c>
      <c r="C455" s="836">
        <v>480</v>
      </c>
      <c r="D455" s="836"/>
      <c r="E455" s="836"/>
      <c r="F455" s="836"/>
      <c r="G455" s="496" t="s">
        <v>7794</v>
      </c>
      <c r="H455" s="797" t="str">
        <f>VLOOKUP(G455,SETTINGS!$B$7:$D$97,2,0)</f>
        <v>IKOplus</v>
      </c>
      <c r="I455" s="796">
        <f>VLOOKUP(G455,SETTINGS!$B$7:$D$97,3,0)</f>
        <v>0</v>
      </c>
      <c r="J455" s="670" t="str">
        <f>IFERROR(IF(CURRENCY.FORMAT_1=0,CONCATENATE(TEXT(FIXED(ROUND((C455/EXC.RATE_1),CURRENCY.FORMAT_1),CURRENCY.FORMAT_1,1),"# ##0;-# ##0"),",-"),FIXED(ROUND((C455/EXC.RATE_1),CURRENCY.FORMAT_1),CURRENCY.FORMAT_1,0)),'DICTIONARY-5'!$A$2)</f>
        <v>480,-</v>
      </c>
      <c r="K455" s="670" t="str">
        <f>IF(EXC.RATE_2=0,"",IFERROR(IF(CURRENCY.FORMAT_2=0,CONCATENATE(TEXT(FIXED(ROUND(IF(EXC.RATE.SWITCH=1,C455/EXC.RATE_2,C455*EXC.RATE_2),CURRENCY.FORMAT_2),CURRENCY.FORMAT_2,1),"# ##0;-# ##0"),",-"),FIXED(ROUND(IF(EXC.RATE.SWITCH=1,C455/EXC.RATE_2,C455*EXC.RATE_2),CURRENCY.FORMAT_2),CURRENCY.FORMAT_2,0)),'DICTIONARY-5'!$A$2))</f>
        <v/>
      </c>
      <c r="L455" s="670" t="str">
        <f>IFERROR(IF(CURRENCY.FORMAT_1=0,CONCATENATE(TEXT(FIXED(ROUND((C455*(1-I455)*(1-ADD.DISCOUNT)*(1+MAT.SURCHARGE)/EXC.RATE_1),CURRENCY.FORMAT_1),CURRENCY.FORMAT_1,1),"# ##0;-# ##0"),",-"),FIXED(ROUND((C455*(1-I455)*(1-ADD.DISCOUNT)*(1+MAT.SURCHARGE)/EXC.RATE_1),CURRENCY.FORMAT_1),CURRENCY.FORMAT_1,0)),'DICTIONARY-5'!$A$2)</f>
        <v>499,-</v>
      </c>
      <c r="M455" s="670" t="str">
        <f>IF(EXC.RATE_2=0,"",IFERROR(IF(CURRENCY.FORMAT_2=0,CONCATENATE(TEXT(FIXED(ROUND(IF(EXC.RATE.SWITCH=1,C455*(1-I455)*(1-ADD.DISCOUNT)*(1+MAT.SURCHARGE)/EXC.RATE_2,C455*(1-I455)*(1-ADD.DISCOUNT)*(1+MAT.SURCHARGE)*EXC.RATE_2),CURRENCY.FORMAT_2),CURRENCY.FORMAT_2,1),"# ##0;-# ##0"),",-"),FIXED(ROUND(IF(EXC.RATE.SWITCH=1,C455*(1-I455)*(1-ADD.DISCOUNT)*(1+MAT.SURCHARGE)/EXC.RATE_2,C455*(1-I455)*(1-ADD.DISCOUNT)*(1+MAT.SURCHARGE)*EXC.RATE_2),CURRENCY.FORMAT_2),CURRENCY.FORMAT_2,0)),'DICTIONARY-5'!$A$2))</f>
        <v/>
      </c>
      <c r="N455" s="544">
        <v>1</v>
      </c>
      <c r="O455" s="544"/>
      <c r="P455" s="731" t="str">
        <f>'DICTIONARY-3'!$A$8</f>
        <v>IKOplus</v>
      </c>
      <c r="Q455" s="732" t="str">
        <f>'DICTIONARY-3'!$A$188</f>
        <v>Zasuwa klinowa</v>
      </c>
      <c r="R455" s="732" t="str">
        <f>CONCATENATE('DICTIONARY-3'!$A$8," ",'DICTIONARY-6'!$A$4," ",'DICTIONARY-2'!$A$2,U455," ",'DICTIONARY-2'!$A$3,V455," ","R14"," ",'DICTIONARY-6'!$A$36,", ",'DICTIONARY-4'!$A$7)</f>
        <v>IKOplus Zasuwa z wrzec. wznosz. się DN80 PN6 R14 SYNT., KR</v>
      </c>
      <c r="S455" s="733" t="str">
        <f>'DICTIONARY-4'!$A$7</f>
        <v>KR</v>
      </c>
      <c r="T455" s="732" t="str">
        <f>'DICTIONARY-4'!$A$23</f>
        <v>Kółko ręczne</v>
      </c>
      <c r="U455" s="734" t="s">
        <v>5760</v>
      </c>
      <c r="V455" s="735">
        <v>6</v>
      </c>
      <c r="W455" s="736"/>
      <c r="X455" s="737"/>
      <c r="Y455" s="738"/>
      <c r="Z455" s="739"/>
      <c r="AA455" s="739"/>
      <c r="AB455" s="740">
        <v>6</v>
      </c>
      <c r="AC455" s="741" t="str">
        <f>'DICTIONARY-5'!$A$11&amp;" 14"</f>
        <v>EN 558 szereg 14</v>
      </c>
      <c r="AD455" s="741" t="str">
        <f>'DICTIONARY-5'!$A$17</f>
        <v>woda przemysłowa</v>
      </c>
      <c r="AE455" s="742">
        <v>200</v>
      </c>
      <c r="AF455" s="743">
        <v>18.899999999999999</v>
      </c>
      <c r="AG455" s="741" t="str">
        <f>'DICTIONARY-5'!$A$24</f>
        <v>powłoka syntetyczna</v>
      </c>
    </row>
    <row r="456" spans="1:33" x14ac:dyDescent="0.25">
      <c r="A456" s="845" t="s">
        <v>448</v>
      </c>
      <c r="B456" s="845" t="s">
        <v>2996</v>
      </c>
      <c r="C456" s="836">
        <v>572</v>
      </c>
      <c r="D456" s="836"/>
      <c r="E456" s="836"/>
      <c r="F456" s="836"/>
      <c r="G456" s="496" t="s">
        <v>7794</v>
      </c>
      <c r="H456" s="797" t="str">
        <f>VLOOKUP(G456,SETTINGS!$B$7:$D$97,2,0)</f>
        <v>IKOplus</v>
      </c>
      <c r="I456" s="796">
        <f>VLOOKUP(G456,SETTINGS!$B$7:$D$97,3,0)</f>
        <v>0</v>
      </c>
      <c r="J456" s="670" t="str">
        <f>IFERROR(IF(CURRENCY.FORMAT_1=0,CONCATENATE(TEXT(FIXED(ROUND((C456/EXC.RATE_1),CURRENCY.FORMAT_1),CURRENCY.FORMAT_1,1),"# ##0;-# ##0"),",-"),FIXED(ROUND((C456/EXC.RATE_1),CURRENCY.FORMAT_1),CURRENCY.FORMAT_1,0)),'DICTIONARY-5'!$A$2)</f>
        <v>572,-</v>
      </c>
      <c r="K456" s="670" t="str">
        <f>IF(EXC.RATE_2=0,"",IFERROR(IF(CURRENCY.FORMAT_2=0,CONCATENATE(TEXT(FIXED(ROUND(IF(EXC.RATE.SWITCH=1,C456/EXC.RATE_2,C456*EXC.RATE_2),CURRENCY.FORMAT_2),CURRENCY.FORMAT_2,1),"# ##0;-# ##0"),",-"),FIXED(ROUND(IF(EXC.RATE.SWITCH=1,C456/EXC.RATE_2,C456*EXC.RATE_2),CURRENCY.FORMAT_2),CURRENCY.FORMAT_2,0)),'DICTIONARY-5'!$A$2))</f>
        <v/>
      </c>
      <c r="L456" s="670" t="str">
        <f>IFERROR(IF(CURRENCY.FORMAT_1=0,CONCATENATE(TEXT(FIXED(ROUND((C456*(1-I456)*(1-ADD.DISCOUNT)*(1+MAT.SURCHARGE)/EXC.RATE_1),CURRENCY.FORMAT_1),CURRENCY.FORMAT_1,1),"# ##0;-# ##0"),",-"),FIXED(ROUND((C456*(1-I456)*(1-ADD.DISCOUNT)*(1+MAT.SURCHARGE)/EXC.RATE_1),CURRENCY.FORMAT_1),CURRENCY.FORMAT_1,0)),'DICTIONARY-5'!$A$2)</f>
        <v>594,-</v>
      </c>
      <c r="M456" s="670" t="str">
        <f>IF(EXC.RATE_2=0,"",IFERROR(IF(CURRENCY.FORMAT_2=0,CONCATENATE(TEXT(FIXED(ROUND(IF(EXC.RATE.SWITCH=1,C456*(1-I456)*(1-ADD.DISCOUNT)*(1+MAT.SURCHARGE)/EXC.RATE_2,C456*(1-I456)*(1-ADD.DISCOUNT)*(1+MAT.SURCHARGE)*EXC.RATE_2),CURRENCY.FORMAT_2),CURRENCY.FORMAT_2,1),"# ##0;-# ##0"),",-"),FIXED(ROUND(IF(EXC.RATE.SWITCH=1,C456*(1-I456)*(1-ADD.DISCOUNT)*(1+MAT.SURCHARGE)/EXC.RATE_2,C456*(1-I456)*(1-ADD.DISCOUNT)*(1+MAT.SURCHARGE)*EXC.RATE_2),CURRENCY.FORMAT_2),CURRENCY.FORMAT_2,0)),'DICTIONARY-5'!$A$2))</f>
        <v/>
      </c>
      <c r="N456" s="544">
        <v>1</v>
      </c>
      <c r="O456" s="544"/>
      <c r="P456" s="731" t="str">
        <f>'DICTIONARY-3'!$A$8</f>
        <v>IKOplus</v>
      </c>
      <c r="Q456" s="732" t="str">
        <f>'DICTIONARY-3'!$A$188</f>
        <v>Zasuwa klinowa</v>
      </c>
      <c r="R456" s="732" t="str">
        <f>CONCATENATE('DICTIONARY-3'!$A$8," ",'DICTIONARY-6'!$A$4," ",'DICTIONARY-2'!$A$2,U456," ",'DICTIONARY-2'!$A$3,V456," ","R14"," ",'DICTIONARY-6'!$A$36,", ",'DICTIONARY-4'!$A$7)</f>
        <v>IKOplus Zasuwa z wrzec. wznosz. się DN100 PN6 R14 SYNT., KR</v>
      </c>
      <c r="S456" s="733" t="str">
        <f>'DICTIONARY-4'!$A$7</f>
        <v>KR</v>
      </c>
      <c r="T456" s="732" t="str">
        <f>'DICTIONARY-4'!$A$23</f>
        <v>Kółko ręczne</v>
      </c>
      <c r="U456" s="734" t="s">
        <v>5749</v>
      </c>
      <c r="V456" s="735">
        <v>6</v>
      </c>
      <c r="W456" s="736"/>
      <c r="X456" s="737"/>
      <c r="Y456" s="738"/>
      <c r="Z456" s="739"/>
      <c r="AA456" s="739"/>
      <c r="AB456" s="740">
        <v>6</v>
      </c>
      <c r="AC456" s="741" t="str">
        <f>'DICTIONARY-5'!$A$11&amp;" 14"</f>
        <v>EN 558 szereg 14</v>
      </c>
      <c r="AD456" s="741" t="str">
        <f>'DICTIONARY-5'!$A$17</f>
        <v>woda przemysłowa</v>
      </c>
      <c r="AE456" s="742">
        <v>200</v>
      </c>
      <c r="AF456" s="743">
        <v>25.45</v>
      </c>
      <c r="AG456" s="741" t="str">
        <f>'DICTIONARY-5'!$A$24</f>
        <v>powłoka syntetyczna</v>
      </c>
    </row>
    <row r="457" spans="1:33" x14ac:dyDescent="0.25">
      <c r="A457" s="845" t="s">
        <v>450</v>
      </c>
      <c r="B457" s="845" t="s">
        <v>2997</v>
      </c>
      <c r="C457" s="836">
        <v>793</v>
      </c>
      <c r="D457" s="836"/>
      <c r="E457" s="836"/>
      <c r="F457" s="836"/>
      <c r="G457" s="496" t="s">
        <v>7794</v>
      </c>
      <c r="H457" s="797" t="str">
        <f>VLOOKUP(G457,SETTINGS!$B$7:$D$97,2,0)</f>
        <v>IKOplus</v>
      </c>
      <c r="I457" s="796">
        <f>VLOOKUP(G457,SETTINGS!$B$7:$D$97,3,0)</f>
        <v>0</v>
      </c>
      <c r="J457" s="670" t="str">
        <f>IFERROR(IF(CURRENCY.FORMAT_1=0,CONCATENATE(TEXT(FIXED(ROUND((C457/EXC.RATE_1),CURRENCY.FORMAT_1),CURRENCY.FORMAT_1,1),"# ##0;-# ##0"),",-"),FIXED(ROUND((C457/EXC.RATE_1),CURRENCY.FORMAT_1),CURRENCY.FORMAT_1,0)),'DICTIONARY-5'!$A$2)</f>
        <v>793,-</v>
      </c>
      <c r="K457" s="670" t="str">
        <f>IF(EXC.RATE_2=0,"",IFERROR(IF(CURRENCY.FORMAT_2=0,CONCATENATE(TEXT(FIXED(ROUND(IF(EXC.RATE.SWITCH=1,C457/EXC.RATE_2,C457*EXC.RATE_2),CURRENCY.FORMAT_2),CURRENCY.FORMAT_2,1),"# ##0;-# ##0"),",-"),FIXED(ROUND(IF(EXC.RATE.SWITCH=1,C457/EXC.RATE_2,C457*EXC.RATE_2),CURRENCY.FORMAT_2),CURRENCY.FORMAT_2,0)),'DICTIONARY-5'!$A$2))</f>
        <v/>
      </c>
      <c r="L457" s="670" t="str">
        <f>IFERROR(IF(CURRENCY.FORMAT_1=0,CONCATENATE(TEXT(FIXED(ROUND((C457*(1-I457)*(1-ADD.DISCOUNT)*(1+MAT.SURCHARGE)/EXC.RATE_1),CURRENCY.FORMAT_1),CURRENCY.FORMAT_1,1),"# ##0;-# ##0"),",-"),FIXED(ROUND((C457*(1-I457)*(1-ADD.DISCOUNT)*(1+MAT.SURCHARGE)/EXC.RATE_1),CURRENCY.FORMAT_1),CURRENCY.FORMAT_1,0)),'DICTIONARY-5'!$A$2)</f>
        <v>824,-</v>
      </c>
      <c r="M457" s="670" t="str">
        <f>IF(EXC.RATE_2=0,"",IFERROR(IF(CURRENCY.FORMAT_2=0,CONCATENATE(TEXT(FIXED(ROUND(IF(EXC.RATE.SWITCH=1,C457*(1-I457)*(1-ADD.DISCOUNT)*(1+MAT.SURCHARGE)/EXC.RATE_2,C457*(1-I457)*(1-ADD.DISCOUNT)*(1+MAT.SURCHARGE)*EXC.RATE_2),CURRENCY.FORMAT_2),CURRENCY.FORMAT_2,1),"# ##0;-# ##0"),",-"),FIXED(ROUND(IF(EXC.RATE.SWITCH=1,C457*(1-I457)*(1-ADD.DISCOUNT)*(1+MAT.SURCHARGE)/EXC.RATE_2,C457*(1-I457)*(1-ADD.DISCOUNT)*(1+MAT.SURCHARGE)*EXC.RATE_2),CURRENCY.FORMAT_2),CURRENCY.FORMAT_2,0)),'DICTIONARY-5'!$A$2))</f>
        <v/>
      </c>
      <c r="N457" s="544">
        <v>1</v>
      </c>
      <c r="O457" s="544"/>
      <c r="P457" s="731" t="str">
        <f>'DICTIONARY-3'!$A$8</f>
        <v>IKOplus</v>
      </c>
      <c r="Q457" s="732" t="str">
        <f>'DICTIONARY-3'!$A$188</f>
        <v>Zasuwa klinowa</v>
      </c>
      <c r="R457" s="732" t="str">
        <f>CONCATENATE('DICTIONARY-3'!$A$8," ",'DICTIONARY-6'!$A$4," ",'DICTIONARY-2'!$A$2,U457," ",'DICTIONARY-2'!$A$3,V457," ","R14"," ",'DICTIONARY-6'!$A$36,", ",'DICTIONARY-4'!$A$7)</f>
        <v>IKOplus Zasuwa z wrzec. wznosz. się DN125 PN6 R14 SYNT., KR</v>
      </c>
      <c r="S457" s="733" t="str">
        <f>'DICTIONARY-4'!$A$7</f>
        <v>KR</v>
      </c>
      <c r="T457" s="732" t="str">
        <f>'DICTIONARY-4'!$A$23</f>
        <v>Kółko ręczne</v>
      </c>
      <c r="U457" s="734" t="s">
        <v>5761</v>
      </c>
      <c r="V457" s="735">
        <v>6</v>
      </c>
      <c r="W457" s="736"/>
      <c r="X457" s="737"/>
      <c r="Y457" s="738"/>
      <c r="Z457" s="739"/>
      <c r="AA457" s="739"/>
      <c r="AB457" s="740">
        <v>6</v>
      </c>
      <c r="AC457" s="741" t="str">
        <f>'DICTIONARY-5'!$A$11&amp;" 14"</f>
        <v>EN 558 szereg 14</v>
      </c>
      <c r="AD457" s="741" t="str">
        <f>'DICTIONARY-5'!$A$17</f>
        <v>woda przemysłowa</v>
      </c>
      <c r="AE457" s="742">
        <v>200</v>
      </c>
      <c r="AF457" s="743">
        <v>37</v>
      </c>
      <c r="AG457" s="741" t="str">
        <f>'DICTIONARY-5'!$A$24</f>
        <v>powłoka syntetyczna</v>
      </c>
    </row>
    <row r="458" spans="1:33" x14ac:dyDescent="0.25">
      <c r="A458" s="845" t="s">
        <v>452</v>
      </c>
      <c r="B458" s="845" t="s">
        <v>2998</v>
      </c>
      <c r="C458" s="836">
        <v>926</v>
      </c>
      <c r="D458" s="836"/>
      <c r="E458" s="836"/>
      <c r="F458" s="836"/>
      <c r="G458" s="496" t="s">
        <v>7794</v>
      </c>
      <c r="H458" s="797" t="str">
        <f>VLOOKUP(G458,SETTINGS!$B$7:$D$97,2,0)</f>
        <v>IKOplus</v>
      </c>
      <c r="I458" s="796">
        <f>VLOOKUP(G458,SETTINGS!$B$7:$D$97,3,0)</f>
        <v>0</v>
      </c>
      <c r="J458" s="670" t="str">
        <f>IFERROR(IF(CURRENCY.FORMAT_1=0,CONCATENATE(TEXT(FIXED(ROUND((C458/EXC.RATE_1),CURRENCY.FORMAT_1),CURRENCY.FORMAT_1,1),"# ##0;-# ##0"),",-"),FIXED(ROUND((C458/EXC.RATE_1),CURRENCY.FORMAT_1),CURRENCY.FORMAT_1,0)),'DICTIONARY-5'!$A$2)</f>
        <v>926,-</v>
      </c>
      <c r="K458" s="670" t="str">
        <f>IF(EXC.RATE_2=0,"",IFERROR(IF(CURRENCY.FORMAT_2=0,CONCATENATE(TEXT(FIXED(ROUND(IF(EXC.RATE.SWITCH=1,C458/EXC.RATE_2,C458*EXC.RATE_2),CURRENCY.FORMAT_2),CURRENCY.FORMAT_2,1),"# ##0;-# ##0"),",-"),FIXED(ROUND(IF(EXC.RATE.SWITCH=1,C458/EXC.RATE_2,C458*EXC.RATE_2),CURRENCY.FORMAT_2),CURRENCY.FORMAT_2,0)),'DICTIONARY-5'!$A$2))</f>
        <v/>
      </c>
      <c r="L458" s="670" t="str">
        <f>IFERROR(IF(CURRENCY.FORMAT_1=0,CONCATENATE(TEXT(FIXED(ROUND((C458*(1-I458)*(1-ADD.DISCOUNT)*(1+MAT.SURCHARGE)/EXC.RATE_1),CURRENCY.FORMAT_1),CURRENCY.FORMAT_1,1),"# ##0;-# ##0"),",-"),FIXED(ROUND((C458*(1-I458)*(1-ADD.DISCOUNT)*(1+MAT.SURCHARGE)/EXC.RATE_1),CURRENCY.FORMAT_1),CURRENCY.FORMAT_1,0)),'DICTIONARY-5'!$A$2)</f>
        <v>962,-</v>
      </c>
      <c r="M458" s="670" t="str">
        <f>IF(EXC.RATE_2=0,"",IFERROR(IF(CURRENCY.FORMAT_2=0,CONCATENATE(TEXT(FIXED(ROUND(IF(EXC.RATE.SWITCH=1,C458*(1-I458)*(1-ADD.DISCOUNT)*(1+MAT.SURCHARGE)/EXC.RATE_2,C458*(1-I458)*(1-ADD.DISCOUNT)*(1+MAT.SURCHARGE)*EXC.RATE_2),CURRENCY.FORMAT_2),CURRENCY.FORMAT_2,1),"# ##0;-# ##0"),",-"),FIXED(ROUND(IF(EXC.RATE.SWITCH=1,C458*(1-I458)*(1-ADD.DISCOUNT)*(1+MAT.SURCHARGE)/EXC.RATE_2,C458*(1-I458)*(1-ADD.DISCOUNT)*(1+MAT.SURCHARGE)*EXC.RATE_2),CURRENCY.FORMAT_2),CURRENCY.FORMAT_2,0)),'DICTIONARY-5'!$A$2))</f>
        <v/>
      </c>
      <c r="N458" s="544">
        <v>1</v>
      </c>
      <c r="O458" s="544"/>
      <c r="P458" s="731" t="str">
        <f>'DICTIONARY-3'!$A$8</f>
        <v>IKOplus</v>
      </c>
      <c r="Q458" s="732" t="str">
        <f>'DICTIONARY-3'!$A$188</f>
        <v>Zasuwa klinowa</v>
      </c>
      <c r="R458" s="732" t="str">
        <f>CONCATENATE('DICTIONARY-3'!$A$8," ",'DICTIONARY-6'!$A$4," ",'DICTIONARY-2'!$A$2,U458," ",'DICTIONARY-2'!$A$3,V458," ","R14"," ",'DICTIONARY-6'!$A$36,", ",'DICTIONARY-4'!$A$7)</f>
        <v>IKOplus Zasuwa z wrzec. wznosz. się DN150 PN6 R14 SYNT., KR</v>
      </c>
      <c r="S458" s="733" t="str">
        <f>'DICTIONARY-4'!$A$7</f>
        <v>KR</v>
      </c>
      <c r="T458" s="732" t="str">
        <f>'DICTIONARY-4'!$A$23</f>
        <v>Kółko ręczne</v>
      </c>
      <c r="U458" s="734" t="s">
        <v>5572</v>
      </c>
      <c r="V458" s="735">
        <v>6</v>
      </c>
      <c r="W458" s="736"/>
      <c r="X458" s="737"/>
      <c r="Y458" s="738"/>
      <c r="Z458" s="739"/>
      <c r="AA458" s="739"/>
      <c r="AB458" s="740">
        <v>6</v>
      </c>
      <c r="AC458" s="741" t="str">
        <f>'DICTIONARY-5'!$A$11&amp;" 14"</f>
        <v>EN 558 szereg 14</v>
      </c>
      <c r="AD458" s="741" t="str">
        <f>'DICTIONARY-5'!$A$17</f>
        <v>woda przemysłowa</v>
      </c>
      <c r="AE458" s="742">
        <v>200</v>
      </c>
      <c r="AF458" s="743">
        <v>46.15</v>
      </c>
      <c r="AG458" s="741" t="str">
        <f>'DICTIONARY-5'!$A$24</f>
        <v>powłoka syntetyczna</v>
      </c>
    </row>
    <row r="459" spans="1:33" x14ac:dyDescent="0.25">
      <c r="A459" s="845" t="s">
        <v>454</v>
      </c>
      <c r="B459" s="845" t="s">
        <v>2999</v>
      </c>
      <c r="C459" s="836">
        <v>1173</v>
      </c>
      <c r="D459" s="836"/>
      <c r="E459" s="836"/>
      <c r="F459" s="836"/>
      <c r="G459" s="496" t="s">
        <v>7794</v>
      </c>
      <c r="H459" s="797" t="str">
        <f>VLOOKUP(G459,SETTINGS!$B$7:$D$97,2,0)</f>
        <v>IKOplus</v>
      </c>
      <c r="I459" s="796">
        <f>VLOOKUP(G459,SETTINGS!$B$7:$D$97,3,0)</f>
        <v>0</v>
      </c>
      <c r="J459" s="670" t="str">
        <f>IFERROR(IF(CURRENCY.FORMAT_1=0,CONCATENATE(TEXT(FIXED(ROUND((C459/EXC.RATE_1),CURRENCY.FORMAT_1),CURRENCY.FORMAT_1,1),"# ##0;-# ##0"),",-"),FIXED(ROUND((C459/EXC.RATE_1),CURRENCY.FORMAT_1),CURRENCY.FORMAT_1,0)),'DICTIONARY-5'!$A$2)</f>
        <v>1 173,-</v>
      </c>
      <c r="K459" s="670" t="str">
        <f>IF(EXC.RATE_2=0,"",IFERROR(IF(CURRENCY.FORMAT_2=0,CONCATENATE(TEXT(FIXED(ROUND(IF(EXC.RATE.SWITCH=1,C459/EXC.RATE_2,C459*EXC.RATE_2),CURRENCY.FORMAT_2),CURRENCY.FORMAT_2,1),"# ##0;-# ##0"),",-"),FIXED(ROUND(IF(EXC.RATE.SWITCH=1,C459/EXC.RATE_2,C459*EXC.RATE_2),CURRENCY.FORMAT_2),CURRENCY.FORMAT_2,0)),'DICTIONARY-5'!$A$2))</f>
        <v/>
      </c>
      <c r="L459" s="670" t="str">
        <f>IFERROR(IF(CURRENCY.FORMAT_1=0,CONCATENATE(TEXT(FIXED(ROUND((C459*(1-I459)*(1-ADD.DISCOUNT)*(1+MAT.SURCHARGE)/EXC.RATE_1),CURRENCY.FORMAT_1),CURRENCY.FORMAT_1,1),"# ##0;-# ##0"),",-"),FIXED(ROUND((C459*(1-I459)*(1-ADD.DISCOUNT)*(1+MAT.SURCHARGE)/EXC.RATE_1),CURRENCY.FORMAT_1),CURRENCY.FORMAT_1,0)),'DICTIONARY-5'!$A$2)</f>
        <v>1 219,-</v>
      </c>
      <c r="M459" s="670" t="str">
        <f>IF(EXC.RATE_2=0,"",IFERROR(IF(CURRENCY.FORMAT_2=0,CONCATENATE(TEXT(FIXED(ROUND(IF(EXC.RATE.SWITCH=1,C459*(1-I459)*(1-ADD.DISCOUNT)*(1+MAT.SURCHARGE)/EXC.RATE_2,C459*(1-I459)*(1-ADD.DISCOUNT)*(1+MAT.SURCHARGE)*EXC.RATE_2),CURRENCY.FORMAT_2),CURRENCY.FORMAT_2,1),"# ##0;-# ##0"),",-"),FIXED(ROUND(IF(EXC.RATE.SWITCH=1,C459*(1-I459)*(1-ADD.DISCOUNT)*(1+MAT.SURCHARGE)/EXC.RATE_2,C459*(1-I459)*(1-ADD.DISCOUNT)*(1+MAT.SURCHARGE)*EXC.RATE_2),CURRENCY.FORMAT_2),CURRENCY.FORMAT_2,0)),'DICTIONARY-5'!$A$2))</f>
        <v/>
      </c>
      <c r="N459" s="544">
        <v>1</v>
      </c>
      <c r="O459" s="544"/>
      <c r="P459" s="731" t="str">
        <f>'DICTIONARY-3'!$A$8</f>
        <v>IKOplus</v>
      </c>
      <c r="Q459" s="732" t="str">
        <f>'DICTIONARY-3'!$A$188</f>
        <v>Zasuwa klinowa</v>
      </c>
      <c r="R459" s="732" t="str">
        <f>CONCATENATE('DICTIONARY-3'!$A$8," ",'DICTIONARY-6'!$A$4," ",'DICTIONARY-2'!$A$2,U459," ",'DICTIONARY-2'!$A$3,V459," ","R14"," ",'DICTIONARY-6'!$A$36,", ",'DICTIONARY-4'!$A$7)</f>
        <v>IKOplus Zasuwa z wrzec. wznosz. się DN200 PN6 R14 SYNT., KR</v>
      </c>
      <c r="S459" s="733" t="str">
        <f>'DICTIONARY-4'!$A$7</f>
        <v>KR</v>
      </c>
      <c r="T459" s="732" t="str">
        <f>'DICTIONARY-4'!$A$23</f>
        <v>Kółko ręczne</v>
      </c>
      <c r="U459" s="734" t="s">
        <v>5750</v>
      </c>
      <c r="V459" s="735">
        <v>6</v>
      </c>
      <c r="W459" s="736"/>
      <c r="X459" s="737"/>
      <c r="Y459" s="738"/>
      <c r="Z459" s="739"/>
      <c r="AA459" s="739"/>
      <c r="AB459" s="740">
        <v>6</v>
      </c>
      <c r="AC459" s="741" t="str">
        <f>'DICTIONARY-5'!$A$11&amp;" 14"</f>
        <v>EN 558 szereg 14</v>
      </c>
      <c r="AD459" s="741" t="str">
        <f>'DICTIONARY-5'!$A$17</f>
        <v>woda przemysłowa</v>
      </c>
      <c r="AE459" s="742">
        <v>200</v>
      </c>
      <c r="AF459" s="743">
        <v>67.75</v>
      </c>
      <c r="AG459" s="741" t="str">
        <f>'DICTIONARY-5'!$A$24</f>
        <v>powłoka syntetyczna</v>
      </c>
    </row>
    <row r="460" spans="1:33" x14ac:dyDescent="0.25">
      <c r="A460" s="845" t="s">
        <v>456</v>
      </c>
      <c r="B460" s="845" t="s">
        <v>3000</v>
      </c>
      <c r="C460" s="836">
        <v>1979</v>
      </c>
      <c r="D460" s="836"/>
      <c r="E460" s="836"/>
      <c r="F460" s="836"/>
      <c r="G460" s="496" t="s">
        <v>7794</v>
      </c>
      <c r="H460" s="797" t="str">
        <f>VLOOKUP(G460,SETTINGS!$B$7:$D$97,2,0)</f>
        <v>IKOplus</v>
      </c>
      <c r="I460" s="796">
        <f>VLOOKUP(G460,SETTINGS!$B$7:$D$97,3,0)</f>
        <v>0</v>
      </c>
      <c r="J460" s="670" t="str">
        <f>IFERROR(IF(CURRENCY.FORMAT_1=0,CONCATENATE(TEXT(FIXED(ROUND((C460/EXC.RATE_1),CURRENCY.FORMAT_1),CURRENCY.FORMAT_1,1),"# ##0;-# ##0"),",-"),FIXED(ROUND((C460/EXC.RATE_1),CURRENCY.FORMAT_1),CURRENCY.FORMAT_1,0)),'DICTIONARY-5'!$A$2)</f>
        <v>1 979,-</v>
      </c>
      <c r="K460" s="670" t="str">
        <f>IF(EXC.RATE_2=0,"",IFERROR(IF(CURRENCY.FORMAT_2=0,CONCATENATE(TEXT(FIXED(ROUND(IF(EXC.RATE.SWITCH=1,C460/EXC.RATE_2,C460*EXC.RATE_2),CURRENCY.FORMAT_2),CURRENCY.FORMAT_2,1),"# ##0;-# ##0"),",-"),FIXED(ROUND(IF(EXC.RATE.SWITCH=1,C460/EXC.RATE_2,C460*EXC.RATE_2),CURRENCY.FORMAT_2),CURRENCY.FORMAT_2,0)),'DICTIONARY-5'!$A$2))</f>
        <v/>
      </c>
      <c r="L460" s="670" t="str">
        <f>IFERROR(IF(CURRENCY.FORMAT_1=0,CONCATENATE(TEXT(FIXED(ROUND((C460*(1-I460)*(1-ADD.DISCOUNT)*(1+MAT.SURCHARGE)/EXC.RATE_1),CURRENCY.FORMAT_1),CURRENCY.FORMAT_1,1),"# ##0;-# ##0"),",-"),FIXED(ROUND((C460*(1-I460)*(1-ADD.DISCOUNT)*(1+MAT.SURCHARGE)/EXC.RATE_1),CURRENCY.FORMAT_1),CURRENCY.FORMAT_1,0)),'DICTIONARY-5'!$A$2)</f>
        <v>2 056,-</v>
      </c>
      <c r="M460" s="670" t="str">
        <f>IF(EXC.RATE_2=0,"",IFERROR(IF(CURRENCY.FORMAT_2=0,CONCATENATE(TEXT(FIXED(ROUND(IF(EXC.RATE.SWITCH=1,C460*(1-I460)*(1-ADD.DISCOUNT)*(1+MAT.SURCHARGE)/EXC.RATE_2,C460*(1-I460)*(1-ADD.DISCOUNT)*(1+MAT.SURCHARGE)*EXC.RATE_2),CURRENCY.FORMAT_2),CURRENCY.FORMAT_2,1),"# ##0;-# ##0"),",-"),FIXED(ROUND(IF(EXC.RATE.SWITCH=1,C460*(1-I460)*(1-ADD.DISCOUNT)*(1+MAT.SURCHARGE)/EXC.RATE_2,C460*(1-I460)*(1-ADD.DISCOUNT)*(1+MAT.SURCHARGE)*EXC.RATE_2),CURRENCY.FORMAT_2),CURRENCY.FORMAT_2,0)),'DICTIONARY-5'!$A$2))</f>
        <v/>
      </c>
      <c r="N460" s="544">
        <v>1</v>
      </c>
      <c r="O460" s="544"/>
      <c r="P460" s="731" t="str">
        <f>'DICTIONARY-3'!$A$8</f>
        <v>IKOplus</v>
      </c>
      <c r="Q460" s="732" t="str">
        <f>'DICTIONARY-3'!$A$188</f>
        <v>Zasuwa klinowa</v>
      </c>
      <c r="R460" s="732" t="str">
        <f>CONCATENATE('DICTIONARY-3'!$A$8," ",'DICTIONARY-6'!$A$4," ",'DICTIONARY-2'!$A$2,U460," ",'DICTIONARY-2'!$A$3,V460," ","R14"," ",'DICTIONARY-6'!$A$36,", ",'DICTIONARY-4'!$A$7)</f>
        <v>IKOplus Zasuwa z wrzec. wznosz. się DN250 PN6 R14 SYNT., KR</v>
      </c>
      <c r="S460" s="733" t="str">
        <f>'DICTIONARY-4'!$A$7</f>
        <v>KR</v>
      </c>
      <c r="T460" s="732" t="str">
        <f>'DICTIONARY-4'!$A$23</f>
        <v>Kółko ręczne</v>
      </c>
      <c r="U460" s="734" t="s">
        <v>5751</v>
      </c>
      <c r="V460" s="735">
        <v>6</v>
      </c>
      <c r="W460" s="736"/>
      <c r="X460" s="737"/>
      <c r="Y460" s="738"/>
      <c r="Z460" s="739"/>
      <c r="AA460" s="739"/>
      <c r="AB460" s="740">
        <v>6</v>
      </c>
      <c r="AC460" s="741" t="str">
        <f>'DICTIONARY-5'!$A$11&amp;" 14"</f>
        <v>EN 558 szereg 14</v>
      </c>
      <c r="AD460" s="741" t="str">
        <f>'DICTIONARY-5'!$A$17</f>
        <v>woda przemysłowa</v>
      </c>
      <c r="AE460" s="742">
        <v>200</v>
      </c>
      <c r="AF460" s="743">
        <v>105.85</v>
      </c>
      <c r="AG460" s="741" t="str">
        <f>'DICTIONARY-5'!$A$24</f>
        <v>powłoka syntetyczna</v>
      </c>
    </row>
    <row r="461" spans="1:33" x14ac:dyDescent="0.25">
      <c r="A461" s="845" t="s">
        <v>458</v>
      </c>
      <c r="B461" s="845" t="s">
        <v>3001</v>
      </c>
      <c r="C461" s="836">
        <v>2175</v>
      </c>
      <c r="D461" s="836"/>
      <c r="E461" s="836"/>
      <c r="F461" s="836"/>
      <c r="G461" s="496" t="s">
        <v>7794</v>
      </c>
      <c r="H461" s="797" t="str">
        <f>VLOOKUP(G461,SETTINGS!$B$7:$D$97,2,0)</f>
        <v>IKOplus</v>
      </c>
      <c r="I461" s="796">
        <f>VLOOKUP(G461,SETTINGS!$B$7:$D$97,3,0)</f>
        <v>0</v>
      </c>
      <c r="J461" s="670" t="str">
        <f>IFERROR(IF(CURRENCY.FORMAT_1=0,CONCATENATE(TEXT(FIXED(ROUND((C461/EXC.RATE_1),CURRENCY.FORMAT_1),CURRENCY.FORMAT_1,1),"# ##0;-# ##0"),",-"),FIXED(ROUND((C461/EXC.RATE_1),CURRENCY.FORMAT_1),CURRENCY.FORMAT_1,0)),'DICTIONARY-5'!$A$2)</f>
        <v>2 175,-</v>
      </c>
      <c r="K461" s="670" t="str">
        <f>IF(EXC.RATE_2=0,"",IFERROR(IF(CURRENCY.FORMAT_2=0,CONCATENATE(TEXT(FIXED(ROUND(IF(EXC.RATE.SWITCH=1,C461/EXC.RATE_2,C461*EXC.RATE_2),CURRENCY.FORMAT_2),CURRENCY.FORMAT_2,1),"# ##0;-# ##0"),",-"),FIXED(ROUND(IF(EXC.RATE.SWITCH=1,C461/EXC.RATE_2,C461*EXC.RATE_2),CURRENCY.FORMAT_2),CURRENCY.FORMAT_2,0)),'DICTIONARY-5'!$A$2))</f>
        <v/>
      </c>
      <c r="L461" s="670" t="str">
        <f>IFERROR(IF(CURRENCY.FORMAT_1=0,CONCATENATE(TEXT(FIXED(ROUND((C461*(1-I461)*(1-ADD.DISCOUNT)*(1+MAT.SURCHARGE)/EXC.RATE_1),CURRENCY.FORMAT_1),CURRENCY.FORMAT_1,1),"# ##0;-# ##0"),",-"),FIXED(ROUND((C461*(1-I461)*(1-ADD.DISCOUNT)*(1+MAT.SURCHARGE)/EXC.RATE_1),CURRENCY.FORMAT_1),CURRENCY.FORMAT_1,0)),'DICTIONARY-5'!$A$2)</f>
        <v>2 260,-</v>
      </c>
      <c r="M461" s="670" t="str">
        <f>IF(EXC.RATE_2=0,"",IFERROR(IF(CURRENCY.FORMAT_2=0,CONCATENATE(TEXT(FIXED(ROUND(IF(EXC.RATE.SWITCH=1,C461*(1-I461)*(1-ADD.DISCOUNT)*(1+MAT.SURCHARGE)/EXC.RATE_2,C461*(1-I461)*(1-ADD.DISCOUNT)*(1+MAT.SURCHARGE)*EXC.RATE_2),CURRENCY.FORMAT_2),CURRENCY.FORMAT_2,1),"# ##0;-# ##0"),",-"),FIXED(ROUND(IF(EXC.RATE.SWITCH=1,C461*(1-I461)*(1-ADD.DISCOUNT)*(1+MAT.SURCHARGE)/EXC.RATE_2,C461*(1-I461)*(1-ADD.DISCOUNT)*(1+MAT.SURCHARGE)*EXC.RATE_2),CURRENCY.FORMAT_2),CURRENCY.FORMAT_2,0)),'DICTIONARY-5'!$A$2))</f>
        <v/>
      </c>
      <c r="N461" s="544">
        <v>1</v>
      </c>
      <c r="O461" s="544"/>
      <c r="P461" s="731" t="str">
        <f>'DICTIONARY-3'!$A$8</f>
        <v>IKOplus</v>
      </c>
      <c r="Q461" s="732" t="str">
        <f>'DICTIONARY-3'!$A$188</f>
        <v>Zasuwa klinowa</v>
      </c>
      <c r="R461" s="732" t="str">
        <f>CONCATENATE('DICTIONARY-3'!$A$8," ",'DICTIONARY-6'!$A$4," ",'DICTIONARY-2'!$A$2,U461," ",'DICTIONARY-2'!$A$3,V461," ","R14"," ",'DICTIONARY-6'!$A$36,", ",'DICTIONARY-4'!$A$7)</f>
        <v>IKOplus Zasuwa z wrzec. wznosz. się DN300 PN6 R14 SYNT., KR</v>
      </c>
      <c r="S461" s="733" t="str">
        <f>'DICTIONARY-4'!$A$7</f>
        <v>KR</v>
      </c>
      <c r="T461" s="732" t="str">
        <f>'DICTIONARY-4'!$A$23</f>
        <v>Kółko ręczne</v>
      </c>
      <c r="U461" s="734" t="s">
        <v>5752</v>
      </c>
      <c r="V461" s="735">
        <v>6</v>
      </c>
      <c r="W461" s="736"/>
      <c r="X461" s="737"/>
      <c r="Y461" s="738"/>
      <c r="Z461" s="739"/>
      <c r="AA461" s="739"/>
      <c r="AB461" s="740">
        <v>6</v>
      </c>
      <c r="AC461" s="741" t="str">
        <f>'DICTIONARY-5'!$A$11&amp;" 14"</f>
        <v>EN 558 szereg 14</v>
      </c>
      <c r="AD461" s="741" t="str">
        <f>'DICTIONARY-5'!$A$17</f>
        <v>woda przemysłowa</v>
      </c>
      <c r="AE461" s="742">
        <v>200</v>
      </c>
      <c r="AF461" s="743">
        <v>138.69999999999999</v>
      </c>
      <c r="AG461" s="741" t="str">
        <f>'DICTIONARY-5'!$A$24</f>
        <v>powłoka syntetyczna</v>
      </c>
    </row>
    <row r="462" spans="1:33" x14ac:dyDescent="0.25">
      <c r="A462" s="842" t="s">
        <v>441</v>
      </c>
      <c r="B462" s="842" t="s">
        <v>3022</v>
      </c>
      <c r="C462" s="836">
        <v>383</v>
      </c>
      <c r="D462" s="836"/>
      <c r="E462" s="836"/>
      <c r="F462" s="836"/>
      <c r="G462" s="496" t="s">
        <v>7794</v>
      </c>
      <c r="H462" s="797" t="str">
        <f>VLOOKUP(G462,SETTINGS!$B$7:$D$97,2,0)</f>
        <v>IKOplus</v>
      </c>
      <c r="I462" s="796">
        <f>VLOOKUP(G462,SETTINGS!$B$7:$D$97,3,0)</f>
        <v>0</v>
      </c>
      <c r="J462" s="670" t="str">
        <f>IFERROR(IF(CURRENCY.FORMAT_1=0,CONCATENATE(TEXT(FIXED(ROUND((C462/EXC.RATE_1),CURRENCY.FORMAT_1),CURRENCY.FORMAT_1,1),"# ##0;-# ##0"),",-"),FIXED(ROUND((C462/EXC.RATE_1),CURRENCY.FORMAT_1),CURRENCY.FORMAT_1,0)),'DICTIONARY-5'!$A$2)</f>
        <v>383,-</v>
      </c>
      <c r="K462" s="670" t="str">
        <f>IF(EXC.RATE_2=0,"",IFERROR(IF(CURRENCY.FORMAT_2=0,CONCATENATE(TEXT(FIXED(ROUND(IF(EXC.RATE.SWITCH=1,C462/EXC.RATE_2,C462*EXC.RATE_2),CURRENCY.FORMAT_2),CURRENCY.FORMAT_2,1),"# ##0;-# ##0"),",-"),FIXED(ROUND(IF(EXC.RATE.SWITCH=1,C462/EXC.RATE_2,C462*EXC.RATE_2),CURRENCY.FORMAT_2),CURRENCY.FORMAT_2,0)),'DICTIONARY-5'!$A$2))</f>
        <v/>
      </c>
      <c r="L462" s="670" t="str">
        <f>IFERROR(IF(CURRENCY.FORMAT_1=0,CONCATENATE(TEXT(FIXED(ROUND((C462*(1-I462)*(1-ADD.DISCOUNT)*(1+MAT.SURCHARGE)/EXC.RATE_1),CURRENCY.FORMAT_1),CURRENCY.FORMAT_1,1),"# ##0;-# ##0"),",-"),FIXED(ROUND((C462*(1-I462)*(1-ADD.DISCOUNT)*(1+MAT.SURCHARGE)/EXC.RATE_1),CURRENCY.FORMAT_1),CURRENCY.FORMAT_1,0)),'DICTIONARY-5'!$A$2)</f>
        <v>398,-</v>
      </c>
      <c r="M462" s="670" t="str">
        <f>IF(EXC.RATE_2=0,"",IFERROR(IF(CURRENCY.FORMAT_2=0,CONCATENATE(TEXT(FIXED(ROUND(IF(EXC.RATE.SWITCH=1,C462*(1-I462)*(1-ADD.DISCOUNT)*(1+MAT.SURCHARGE)/EXC.RATE_2,C462*(1-I462)*(1-ADD.DISCOUNT)*(1+MAT.SURCHARGE)*EXC.RATE_2),CURRENCY.FORMAT_2),CURRENCY.FORMAT_2,1),"# ##0;-# ##0"),",-"),FIXED(ROUND(IF(EXC.RATE.SWITCH=1,C462*(1-I462)*(1-ADD.DISCOUNT)*(1+MAT.SURCHARGE)/EXC.RATE_2,C462*(1-I462)*(1-ADD.DISCOUNT)*(1+MAT.SURCHARGE)*EXC.RATE_2),CURRENCY.FORMAT_2),CURRENCY.FORMAT_2,0)),'DICTIONARY-5'!$A$2))</f>
        <v/>
      </c>
      <c r="N462" s="544">
        <v>1</v>
      </c>
      <c r="O462" s="544"/>
      <c r="P462" s="731" t="str">
        <f>'DICTIONARY-3'!$A$8</f>
        <v>IKOplus</v>
      </c>
      <c r="Q462" s="732" t="str">
        <f>'DICTIONARY-3'!$A$188</f>
        <v>Zasuwa klinowa</v>
      </c>
      <c r="R462" s="732" t="str">
        <f>CONCATENATE('DICTIONARY-3'!$A$8," ",'DICTIONARY-6'!$A$4," ",'DICTIONARY-2'!$A$2,U462," ",'DICTIONARY-2'!$A$3,V462," ","R14"," ",'DICTIONARY-6'!$A$36,", ",'DICTIONARY-4'!$A$7)</f>
        <v>IKOplus Zasuwa z wrzec. wznosz. się DN40 PN10 R14 SYNT., KR</v>
      </c>
      <c r="S462" s="733" t="str">
        <f>'DICTIONARY-4'!$A$7</f>
        <v>KR</v>
      </c>
      <c r="T462" s="732" t="str">
        <f>'DICTIONARY-4'!$A$23</f>
        <v>Kółko ręczne</v>
      </c>
      <c r="U462" s="734" t="s">
        <v>5758</v>
      </c>
      <c r="V462" s="735">
        <v>10</v>
      </c>
      <c r="W462" s="736"/>
      <c r="X462" s="737"/>
      <c r="Y462" s="738"/>
      <c r="Z462" s="739"/>
      <c r="AA462" s="739"/>
      <c r="AB462" s="740">
        <v>10</v>
      </c>
      <c r="AC462" s="741" t="str">
        <f>'DICTIONARY-5'!$A$11&amp;" 14"</f>
        <v>EN 558 szereg 14</v>
      </c>
      <c r="AD462" s="741" t="str">
        <f>'DICTIONARY-5'!$A$17</f>
        <v>woda przemysłowa</v>
      </c>
      <c r="AE462" s="742">
        <v>200</v>
      </c>
      <c r="AF462" s="743">
        <v>11</v>
      </c>
      <c r="AG462" s="741" t="str">
        <f>'DICTIONARY-5'!$A$24</f>
        <v>powłoka syntetyczna</v>
      </c>
    </row>
    <row r="463" spans="1:33" x14ac:dyDescent="0.25">
      <c r="A463" s="842" t="s">
        <v>443</v>
      </c>
      <c r="B463" s="842" t="s">
        <v>3023</v>
      </c>
      <c r="C463" s="836">
        <v>391</v>
      </c>
      <c r="D463" s="836"/>
      <c r="E463" s="836"/>
      <c r="F463" s="836"/>
      <c r="G463" s="496" t="s">
        <v>7794</v>
      </c>
      <c r="H463" s="797" t="str">
        <f>VLOOKUP(G463,SETTINGS!$B$7:$D$97,2,0)</f>
        <v>IKOplus</v>
      </c>
      <c r="I463" s="796">
        <f>VLOOKUP(G463,SETTINGS!$B$7:$D$97,3,0)</f>
        <v>0</v>
      </c>
      <c r="J463" s="670" t="str">
        <f>IFERROR(IF(CURRENCY.FORMAT_1=0,CONCATENATE(TEXT(FIXED(ROUND((C463/EXC.RATE_1),CURRENCY.FORMAT_1),CURRENCY.FORMAT_1,1),"# ##0;-# ##0"),",-"),FIXED(ROUND((C463/EXC.RATE_1),CURRENCY.FORMAT_1),CURRENCY.FORMAT_1,0)),'DICTIONARY-5'!$A$2)</f>
        <v>391,-</v>
      </c>
      <c r="K463" s="670" t="str">
        <f>IF(EXC.RATE_2=0,"",IFERROR(IF(CURRENCY.FORMAT_2=0,CONCATENATE(TEXT(FIXED(ROUND(IF(EXC.RATE.SWITCH=1,C463/EXC.RATE_2,C463*EXC.RATE_2),CURRENCY.FORMAT_2),CURRENCY.FORMAT_2,1),"# ##0;-# ##0"),",-"),FIXED(ROUND(IF(EXC.RATE.SWITCH=1,C463/EXC.RATE_2,C463*EXC.RATE_2),CURRENCY.FORMAT_2),CURRENCY.FORMAT_2,0)),'DICTIONARY-5'!$A$2))</f>
        <v/>
      </c>
      <c r="L463" s="670" t="str">
        <f>IFERROR(IF(CURRENCY.FORMAT_1=0,CONCATENATE(TEXT(FIXED(ROUND((C463*(1-I463)*(1-ADD.DISCOUNT)*(1+MAT.SURCHARGE)/EXC.RATE_1),CURRENCY.FORMAT_1),CURRENCY.FORMAT_1,1),"# ##0;-# ##0"),",-"),FIXED(ROUND((C463*(1-I463)*(1-ADD.DISCOUNT)*(1+MAT.SURCHARGE)/EXC.RATE_1),CURRENCY.FORMAT_1),CURRENCY.FORMAT_1,0)),'DICTIONARY-5'!$A$2)</f>
        <v>406,-</v>
      </c>
      <c r="M463" s="670" t="str">
        <f>IF(EXC.RATE_2=0,"",IFERROR(IF(CURRENCY.FORMAT_2=0,CONCATENATE(TEXT(FIXED(ROUND(IF(EXC.RATE.SWITCH=1,C463*(1-I463)*(1-ADD.DISCOUNT)*(1+MAT.SURCHARGE)/EXC.RATE_2,C463*(1-I463)*(1-ADD.DISCOUNT)*(1+MAT.SURCHARGE)*EXC.RATE_2),CURRENCY.FORMAT_2),CURRENCY.FORMAT_2,1),"# ##0;-# ##0"),",-"),FIXED(ROUND(IF(EXC.RATE.SWITCH=1,C463*(1-I463)*(1-ADD.DISCOUNT)*(1+MAT.SURCHARGE)/EXC.RATE_2,C463*(1-I463)*(1-ADD.DISCOUNT)*(1+MAT.SURCHARGE)*EXC.RATE_2),CURRENCY.FORMAT_2),CURRENCY.FORMAT_2,0)),'DICTIONARY-5'!$A$2))</f>
        <v/>
      </c>
      <c r="N463" s="544">
        <v>1</v>
      </c>
      <c r="O463" s="544"/>
      <c r="P463" s="731" t="str">
        <f>'DICTIONARY-3'!$A$8</f>
        <v>IKOplus</v>
      </c>
      <c r="Q463" s="732" t="str">
        <f>'DICTIONARY-3'!$A$188</f>
        <v>Zasuwa klinowa</v>
      </c>
      <c r="R463" s="732" t="str">
        <f>CONCATENATE('DICTIONARY-3'!$A$8," ",'DICTIONARY-6'!$A$4," ",'DICTIONARY-2'!$A$2,U463," ",'DICTIONARY-2'!$A$3,V463," ","R14"," ",'DICTIONARY-6'!$A$36,", ",'DICTIONARY-4'!$A$7)</f>
        <v>IKOplus Zasuwa z wrzec. wznosz. się DN50 PN10 R14 SYNT., KR</v>
      </c>
      <c r="S463" s="733" t="str">
        <f>'DICTIONARY-4'!$A$7</f>
        <v>KR</v>
      </c>
      <c r="T463" s="732" t="str">
        <f>'DICTIONARY-4'!$A$23</f>
        <v>Kółko ręczne</v>
      </c>
      <c r="U463" s="734" t="s">
        <v>5748</v>
      </c>
      <c r="V463" s="735">
        <v>10</v>
      </c>
      <c r="W463" s="736"/>
      <c r="X463" s="737"/>
      <c r="Y463" s="738"/>
      <c r="Z463" s="739"/>
      <c r="AA463" s="739"/>
      <c r="AB463" s="740">
        <v>10</v>
      </c>
      <c r="AC463" s="741" t="str">
        <f>'DICTIONARY-5'!$A$11&amp;" 14"</f>
        <v>EN 558 szereg 14</v>
      </c>
      <c r="AD463" s="741" t="str">
        <f>'DICTIONARY-5'!$A$17</f>
        <v>woda przemysłowa</v>
      </c>
      <c r="AE463" s="742">
        <v>200</v>
      </c>
      <c r="AF463" s="743">
        <v>12.5</v>
      </c>
      <c r="AG463" s="741" t="str">
        <f>'DICTIONARY-5'!$A$24</f>
        <v>powłoka syntetyczna</v>
      </c>
    </row>
    <row r="464" spans="1:33" x14ac:dyDescent="0.25">
      <c r="A464" s="842" t="s">
        <v>445</v>
      </c>
      <c r="B464" s="842" t="s">
        <v>3024</v>
      </c>
      <c r="C464" s="836">
        <v>461</v>
      </c>
      <c r="D464" s="836"/>
      <c r="E464" s="836"/>
      <c r="F464" s="836"/>
      <c r="G464" s="496" t="s">
        <v>7794</v>
      </c>
      <c r="H464" s="797" t="str">
        <f>VLOOKUP(G464,SETTINGS!$B$7:$D$97,2,0)</f>
        <v>IKOplus</v>
      </c>
      <c r="I464" s="796">
        <f>VLOOKUP(G464,SETTINGS!$B$7:$D$97,3,0)</f>
        <v>0</v>
      </c>
      <c r="J464" s="670" t="str">
        <f>IFERROR(IF(CURRENCY.FORMAT_1=0,CONCATENATE(TEXT(FIXED(ROUND((C464/EXC.RATE_1),CURRENCY.FORMAT_1),CURRENCY.FORMAT_1,1),"# ##0;-# ##0"),",-"),FIXED(ROUND((C464/EXC.RATE_1),CURRENCY.FORMAT_1),CURRENCY.FORMAT_1,0)),'DICTIONARY-5'!$A$2)</f>
        <v>461,-</v>
      </c>
      <c r="K464" s="670" t="str">
        <f>IF(EXC.RATE_2=0,"",IFERROR(IF(CURRENCY.FORMAT_2=0,CONCATENATE(TEXT(FIXED(ROUND(IF(EXC.RATE.SWITCH=1,C464/EXC.RATE_2,C464*EXC.RATE_2),CURRENCY.FORMAT_2),CURRENCY.FORMAT_2,1),"# ##0;-# ##0"),",-"),FIXED(ROUND(IF(EXC.RATE.SWITCH=1,C464/EXC.RATE_2,C464*EXC.RATE_2),CURRENCY.FORMAT_2),CURRENCY.FORMAT_2,0)),'DICTIONARY-5'!$A$2))</f>
        <v/>
      </c>
      <c r="L464" s="670" t="str">
        <f>IFERROR(IF(CURRENCY.FORMAT_1=0,CONCATENATE(TEXT(FIXED(ROUND((C464*(1-I464)*(1-ADD.DISCOUNT)*(1+MAT.SURCHARGE)/EXC.RATE_1),CURRENCY.FORMAT_1),CURRENCY.FORMAT_1,1),"# ##0;-# ##0"),",-"),FIXED(ROUND((C464*(1-I464)*(1-ADD.DISCOUNT)*(1+MAT.SURCHARGE)/EXC.RATE_1),CURRENCY.FORMAT_1),CURRENCY.FORMAT_1,0)),'DICTIONARY-5'!$A$2)</f>
        <v>479,-</v>
      </c>
      <c r="M464" s="670" t="str">
        <f>IF(EXC.RATE_2=0,"",IFERROR(IF(CURRENCY.FORMAT_2=0,CONCATENATE(TEXT(FIXED(ROUND(IF(EXC.RATE.SWITCH=1,C464*(1-I464)*(1-ADD.DISCOUNT)*(1+MAT.SURCHARGE)/EXC.RATE_2,C464*(1-I464)*(1-ADD.DISCOUNT)*(1+MAT.SURCHARGE)*EXC.RATE_2),CURRENCY.FORMAT_2),CURRENCY.FORMAT_2,1),"# ##0;-# ##0"),",-"),FIXED(ROUND(IF(EXC.RATE.SWITCH=1,C464*(1-I464)*(1-ADD.DISCOUNT)*(1+MAT.SURCHARGE)/EXC.RATE_2,C464*(1-I464)*(1-ADD.DISCOUNT)*(1+MAT.SURCHARGE)*EXC.RATE_2),CURRENCY.FORMAT_2),CURRENCY.FORMAT_2,0)),'DICTIONARY-5'!$A$2))</f>
        <v/>
      </c>
      <c r="N464" s="544">
        <v>1</v>
      </c>
      <c r="O464" s="544"/>
      <c r="P464" s="731" t="str">
        <f>'DICTIONARY-3'!$A$8</f>
        <v>IKOplus</v>
      </c>
      <c r="Q464" s="732" t="str">
        <f>'DICTIONARY-3'!$A$188</f>
        <v>Zasuwa klinowa</v>
      </c>
      <c r="R464" s="732" t="str">
        <f>CONCATENATE('DICTIONARY-3'!$A$8," ",'DICTIONARY-6'!$A$4," ",'DICTIONARY-2'!$A$2,U464," ",'DICTIONARY-2'!$A$3,V464," ","R14"," ",'DICTIONARY-6'!$A$36,", ",'DICTIONARY-4'!$A$7)</f>
        <v>IKOplus Zasuwa z wrzec. wznosz. się DN65 PN10 R14 SYNT., KR</v>
      </c>
      <c r="S464" s="733" t="str">
        <f>'DICTIONARY-4'!$A$7</f>
        <v>KR</v>
      </c>
      <c r="T464" s="732" t="str">
        <f>'DICTIONARY-4'!$A$23</f>
        <v>Kółko ręczne</v>
      </c>
      <c r="U464" s="734" t="s">
        <v>5759</v>
      </c>
      <c r="V464" s="735">
        <v>10</v>
      </c>
      <c r="W464" s="736"/>
      <c r="X464" s="737"/>
      <c r="Y464" s="738"/>
      <c r="Z464" s="739"/>
      <c r="AA464" s="739"/>
      <c r="AB464" s="740">
        <v>10</v>
      </c>
      <c r="AC464" s="741" t="str">
        <f>'DICTIONARY-5'!$A$11&amp;" 14"</f>
        <v>EN 558 szereg 14</v>
      </c>
      <c r="AD464" s="741" t="str">
        <f>'DICTIONARY-5'!$A$17</f>
        <v>woda przemysłowa</v>
      </c>
      <c r="AE464" s="742">
        <v>200</v>
      </c>
      <c r="AF464" s="743">
        <v>18</v>
      </c>
      <c r="AG464" s="741" t="str">
        <f>'DICTIONARY-5'!$A$24</f>
        <v>powłoka syntetyczna</v>
      </c>
    </row>
    <row r="465" spans="1:33" x14ac:dyDescent="0.25">
      <c r="A465" s="842" t="s">
        <v>447</v>
      </c>
      <c r="B465" s="842" t="s">
        <v>3025</v>
      </c>
      <c r="C465" s="836">
        <v>484</v>
      </c>
      <c r="D465" s="836"/>
      <c r="E465" s="836"/>
      <c r="F465" s="836"/>
      <c r="G465" s="496" t="s">
        <v>7794</v>
      </c>
      <c r="H465" s="797" t="str">
        <f>VLOOKUP(G465,SETTINGS!$B$7:$D$97,2,0)</f>
        <v>IKOplus</v>
      </c>
      <c r="I465" s="796">
        <f>VLOOKUP(G465,SETTINGS!$B$7:$D$97,3,0)</f>
        <v>0</v>
      </c>
      <c r="J465" s="670" t="str">
        <f>IFERROR(IF(CURRENCY.FORMAT_1=0,CONCATENATE(TEXT(FIXED(ROUND((C465/EXC.RATE_1),CURRENCY.FORMAT_1),CURRENCY.FORMAT_1,1),"# ##0;-# ##0"),",-"),FIXED(ROUND((C465/EXC.RATE_1),CURRENCY.FORMAT_1),CURRENCY.FORMAT_1,0)),'DICTIONARY-5'!$A$2)</f>
        <v>484,-</v>
      </c>
      <c r="K465" s="670" t="str">
        <f>IF(EXC.RATE_2=0,"",IFERROR(IF(CURRENCY.FORMAT_2=0,CONCATENATE(TEXT(FIXED(ROUND(IF(EXC.RATE.SWITCH=1,C465/EXC.RATE_2,C465*EXC.RATE_2),CURRENCY.FORMAT_2),CURRENCY.FORMAT_2,1),"# ##0;-# ##0"),",-"),FIXED(ROUND(IF(EXC.RATE.SWITCH=1,C465/EXC.RATE_2,C465*EXC.RATE_2),CURRENCY.FORMAT_2),CURRENCY.FORMAT_2,0)),'DICTIONARY-5'!$A$2))</f>
        <v/>
      </c>
      <c r="L465" s="670" t="str">
        <f>IFERROR(IF(CURRENCY.FORMAT_1=0,CONCATENATE(TEXT(FIXED(ROUND((C465*(1-I465)*(1-ADD.DISCOUNT)*(1+MAT.SURCHARGE)/EXC.RATE_1),CURRENCY.FORMAT_1),CURRENCY.FORMAT_1,1),"# ##0;-# ##0"),",-"),FIXED(ROUND((C465*(1-I465)*(1-ADD.DISCOUNT)*(1+MAT.SURCHARGE)/EXC.RATE_1),CURRENCY.FORMAT_1),CURRENCY.FORMAT_1,0)),'DICTIONARY-5'!$A$2)</f>
        <v>503,-</v>
      </c>
      <c r="M465" s="670" t="str">
        <f>IF(EXC.RATE_2=0,"",IFERROR(IF(CURRENCY.FORMAT_2=0,CONCATENATE(TEXT(FIXED(ROUND(IF(EXC.RATE.SWITCH=1,C465*(1-I465)*(1-ADD.DISCOUNT)*(1+MAT.SURCHARGE)/EXC.RATE_2,C465*(1-I465)*(1-ADD.DISCOUNT)*(1+MAT.SURCHARGE)*EXC.RATE_2),CURRENCY.FORMAT_2),CURRENCY.FORMAT_2,1),"# ##0;-# ##0"),",-"),FIXED(ROUND(IF(EXC.RATE.SWITCH=1,C465*(1-I465)*(1-ADD.DISCOUNT)*(1+MAT.SURCHARGE)/EXC.RATE_2,C465*(1-I465)*(1-ADD.DISCOUNT)*(1+MAT.SURCHARGE)*EXC.RATE_2),CURRENCY.FORMAT_2),CURRENCY.FORMAT_2,0)),'DICTIONARY-5'!$A$2))</f>
        <v/>
      </c>
      <c r="N465" s="544">
        <v>1</v>
      </c>
      <c r="O465" s="544"/>
      <c r="P465" s="731" t="str">
        <f>'DICTIONARY-3'!$A$8</f>
        <v>IKOplus</v>
      </c>
      <c r="Q465" s="732" t="str">
        <f>'DICTIONARY-3'!$A$188</f>
        <v>Zasuwa klinowa</v>
      </c>
      <c r="R465" s="732" t="str">
        <f>CONCATENATE('DICTIONARY-3'!$A$8," ",'DICTIONARY-6'!$A$4," ",'DICTIONARY-2'!$A$2,U465," ",'DICTIONARY-2'!$A$3,V465," ","R14"," ",'DICTIONARY-6'!$A$36,", ",'DICTIONARY-4'!$A$7)</f>
        <v>IKOplus Zasuwa z wrzec. wznosz. się DN80 PN10 R14 SYNT., KR</v>
      </c>
      <c r="S465" s="733" t="str">
        <f>'DICTIONARY-4'!$A$7</f>
        <v>KR</v>
      </c>
      <c r="T465" s="732" t="str">
        <f>'DICTIONARY-4'!$A$23</f>
        <v>Kółko ręczne</v>
      </c>
      <c r="U465" s="734" t="s">
        <v>5760</v>
      </c>
      <c r="V465" s="735">
        <v>10</v>
      </c>
      <c r="W465" s="736"/>
      <c r="X465" s="737"/>
      <c r="Y465" s="738"/>
      <c r="Z465" s="739"/>
      <c r="AA465" s="739"/>
      <c r="AB465" s="740">
        <v>10</v>
      </c>
      <c r="AC465" s="741" t="str">
        <f>'DICTIONARY-5'!$A$11&amp;" 14"</f>
        <v>EN 558 szereg 14</v>
      </c>
      <c r="AD465" s="741" t="str">
        <f>'DICTIONARY-5'!$A$17</f>
        <v>woda przemysłowa</v>
      </c>
      <c r="AE465" s="742">
        <v>200</v>
      </c>
      <c r="AF465" s="743">
        <v>18</v>
      </c>
      <c r="AG465" s="741" t="str">
        <f>'DICTIONARY-5'!$A$24</f>
        <v>powłoka syntetyczna</v>
      </c>
    </row>
    <row r="466" spans="1:33" x14ac:dyDescent="0.25">
      <c r="A466" s="842" t="s">
        <v>449</v>
      </c>
      <c r="B466" s="842" t="s">
        <v>3026</v>
      </c>
      <c r="C466" s="836">
        <v>581</v>
      </c>
      <c r="D466" s="836"/>
      <c r="E466" s="836"/>
      <c r="F466" s="836"/>
      <c r="G466" s="496" t="s">
        <v>7794</v>
      </c>
      <c r="H466" s="797" t="str">
        <f>VLOOKUP(G466,SETTINGS!$B$7:$D$97,2,0)</f>
        <v>IKOplus</v>
      </c>
      <c r="I466" s="796">
        <f>VLOOKUP(G466,SETTINGS!$B$7:$D$97,3,0)</f>
        <v>0</v>
      </c>
      <c r="J466" s="670" t="str">
        <f>IFERROR(IF(CURRENCY.FORMAT_1=0,CONCATENATE(TEXT(FIXED(ROUND((C466/EXC.RATE_1),CURRENCY.FORMAT_1),CURRENCY.FORMAT_1,1),"# ##0;-# ##0"),",-"),FIXED(ROUND((C466/EXC.RATE_1),CURRENCY.FORMAT_1),CURRENCY.FORMAT_1,0)),'DICTIONARY-5'!$A$2)</f>
        <v>581,-</v>
      </c>
      <c r="K466" s="670" t="str">
        <f>IF(EXC.RATE_2=0,"",IFERROR(IF(CURRENCY.FORMAT_2=0,CONCATENATE(TEXT(FIXED(ROUND(IF(EXC.RATE.SWITCH=1,C466/EXC.RATE_2,C466*EXC.RATE_2),CURRENCY.FORMAT_2),CURRENCY.FORMAT_2,1),"# ##0;-# ##0"),",-"),FIXED(ROUND(IF(EXC.RATE.SWITCH=1,C466/EXC.RATE_2,C466*EXC.RATE_2),CURRENCY.FORMAT_2),CURRENCY.FORMAT_2,0)),'DICTIONARY-5'!$A$2))</f>
        <v/>
      </c>
      <c r="L466" s="670" t="str">
        <f>IFERROR(IF(CURRENCY.FORMAT_1=0,CONCATENATE(TEXT(FIXED(ROUND((C466*(1-I466)*(1-ADD.DISCOUNT)*(1+MAT.SURCHARGE)/EXC.RATE_1),CURRENCY.FORMAT_1),CURRENCY.FORMAT_1,1),"# ##0;-# ##0"),",-"),FIXED(ROUND((C466*(1-I466)*(1-ADD.DISCOUNT)*(1+MAT.SURCHARGE)/EXC.RATE_1),CURRENCY.FORMAT_1),CURRENCY.FORMAT_1,0)),'DICTIONARY-5'!$A$2)</f>
        <v>604,-</v>
      </c>
      <c r="M466" s="670" t="str">
        <f>IF(EXC.RATE_2=0,"",IFERROR(IF(CURRENCY.FORMAT_2=0,CONCATENATE(TEXT(FIXED(ROUND(IF(EXC.RATE.SWITCH=1,C466*(1-I466)*(1-ADD.DISCOUNT)*(1+MAT.SURCHARGE)/EXC.RATE_2,C466*(1-I466)*(1-ADD.DISCOUNT)*(1+MAT.SURCHARGE)*EXC.RATE_2),CURRENCY.FORMAT_2),CURRENCY.FORMAT_2,1),"# ##0;-# ##0"),",-"),FIXED(ROUND(IF(EXC.RATE.SWITCH=1,C466*(1-I466)*(1-ADD.DISCOUNT)*(1+MAT.SURCHARGE)/EXC.RATE_2,C466*(1-I466)*(1-ADD.DISCOUNT)*(1+MAT.SURCHARGE)*EXC.RATE_2),CURRENCY.FORMAT_2),CURRENCY.FORMAT_2,0)),'DICTIONARY-5'!$A$2))</f>
        <v/>
      </c>
      <c r="N466" s="544">
        <v>1</v>
      </c>
      <c r="O466" s="544"/>
      <c r="P466" s="731" t="str">
        <f>'DICTIONARY-3'!$A$8</f>
        <v>IKOplus</v>
      </c>
      <c r="Q466" s="732" t="str">
        <f>'DICTIONARY-3'!$A$188</f>
        <v>Zasuwa klinowa</v>
      </c>
      <c r="R466" s="732" t="str">
        <f>CONCATENATE('DICTIONARY-3'!$A$8," ",'DICTIONARY-6'!$A$4," ",'DICTIONARY-2'!$A$2,U466," ",'DICTIONARY-2'!$A$3,V466," ","R14"," ",'DICTIONARY-6'!$A$36,", ",'DICTIONARY-4'!$A$7)</f>
        <v>IKOplus Zasuwa z wrzec. wznosz. się DN100 PN10 R14 SYNT., KR</v>
      </c>
      <c r="S466" s="733" t="str">
        <f>'DICTIONARY-4'!$A$7</f>
        <v>KR</v>
      </c>
      <c r="T466" s="732" t="str">
        <f>'DICTIONARY-4'!$A$23</f>
        <v>Kółko ręczne</v>
      </c>
      <c r="U466" s="734" t="s">
        <v>5749</v>
      </c>
      <c r="V466" s="735">
        <v>10</v>
      </c>
      <c r="W466" s="736"/>
      <c r="X466" s="737"/>
      <c r="Y466" s="738"/>
      <c r="Z466" s="739"/>
      <c r="AA466" s="739"/>
      <c r="AB466" s="740">
        <v>10</v>
      </c>
      <c r="AC466" s="741" t="str">
        <f>'DICTIONARY-5'!$A$11&amp;" 14"</f>
        <v>EN 558 szereg 14</v>
      </c>
      <c r="AD466" s="741" t="str">
        <f>'DICTIONARY-5'!$A$17</f>
        <v>woda przemysłowa</v>
      </c>
      <c r="AE466" s="742">
        <v>200</v>
      </c>
      <c r="AF466" s="743">
        <v>26</v>
      </c>
      <c r="AG466" s="741" t="str">
        <f>'DICTIONARY-5'!$A$24</f>
        <v>powłoka syntetyczna</v>
      </c>
    </row>
    <row r="467" spans="1:33" x14ac:dyDescent="0.25">
      <c r="A467" s="842" t="s">
        <v>451</v>
      </c>
      <c r="B467" s="842" t="s">
        <v>3027</v>
      </c>
      <c r="C467" s="836">
        <v>808</v>
      </c>
      <c r="D467" s="836"/>
      <c r="E467" s="836"/>
      <c r="F467" s="836"/>
      <c r="G467" s="496" t="s">
        <v>7794</v>
      </c>
      <c r="H467" s="797" t="str">
        <f>VLOOKUP(G467,SETTINGS!$B$7:$D$97,2,0)</f>
        <v>IKOplus</v>
      </c>
      <c r="I467" s="796">
        <f>VLOOKUP(G467,SETTINGS!$B$7:$D$97,3,0)</f>
        <v>0</v>
      </c>
      <c r="J467" s="670" t="str">
        <f>IFERROR(IF(CURRENCY.FORMAT_1=0,CONCATENATE(TEXT(FIXED(ROUND((C467/EXC.RATE_1),CURRENCY.FORMAT_1),CURRENCY.FORMAT_1,1),"# ##0;-# ##0"),",-"),FIXED(ROUND((C467/EXC.RATE_1),CURRENCY.FORMAT_1),CURRENCY.FORMAT_1,0)),'DICTIONARY-5'!$A$2)</f>
        <v>808,-</v>
      </c>
      <c r="K467" s="670" t="str">
        <f>IF(EXC.RATE_2=0,"",IFERROR(IF(CURRENCY.FORMAT_2=0,CONCATENATE(TEXT(FIXED(ROUND(IF(EXC.RATE.SWITCH=1,C467/EXC.RATE_2,C467*EXC.RATE_2),CURRENCY.FORMAT_2),CURRENCY.FORMAT_2,1),"# ##0;-# ##0"),",-"),FIXED(ROUND(IF(EXC.RATE.SWITCH=1,C467/EXC.RATE_2,C467*EXC.RATE_2),CURRENCY.FORMAT_2),CURRENCY.FORMAT_2,0)),'DICTIONARY-5'!$A$2))</f>
        <v/>
      </c>
      <c r="L467" s="670" t="str">
        <f>IFERROR(IF(CURRENCY.FORMAT_1=0,CONCATENATE(TEXT(FIXED(ROUND((C467*(1-I467)*(1-ADD.DISCOUNT)*(1+MAT.SURCHARGE)/EXC.RATE_1),CURRENCY.FORMAT_1),CURRENCY.FORMAT_1,1),"# ##0;-# ##0"),",-"),FIXED(ROUND((C467*(1-I467)*(1-ADD.DISCOUNT)*(1+MAT.SURCHARGE)/EXC.RATE_1),CURRENCY.FORMAT_1),CURRENCY.FORMAT_1,0)),'DICTIONARY-5'!$A$2)</f>
        <v>840,-</v>
      </c>
      <c r="M467" s="670" t="str">
        <f>IF(EXC.RATE_2=0,"",IFERROR(IF(CURRENCY.FORMAT_2=0,CONCATENATE(TEXT(FIXED(ROUND(IF(EXC.RATE.SWITCH=1,C467*(1-I467)*(1-ADD.DISCOUNT)*(1+MAT.SURCHARGE)/EXC.RATE_2,C467*(1-I467)*(1-ADD.DISCOUNT)*(1+MAT.SURCHARGE)*EXC.RATE_2),CURRENCY.FORMAT_2),CURRENCY.FORMAT_2,1),"# ##0;-# ##0"),",-"),FIXED(ROUND(IF(EXC.RATE.SWITCH=1,C467*(1-I467)*(1-ADD.DISCOUNT)*(1+MAT.SURCHARGE)/EXC.RATE_2,C467*(1-I467)*(1-ADD.DISCOUNT)*(1+MAT.SURCHARGE)*EXC.RATE_2),CURRENCY.FORMAT_2),CURRENCY.FORMAT_2,0)),'DICTIONARY-5'!$A$2))</f>
        <v/>
      </c>
      <c r="N467" s="544">
        <v>1</v>
      </c>
      <c r="O467" s="544"/>
      <c r="P467" s="731" t="str">
        <f>'DICTIONARY-3'!$A$8</f>
        <v>IKOplus</v>
      </c>
      <c r="Q467" s="732" t="str">
        <f>'DICTIONARY-3'!$A$188</f>
        <v>Zasuwa klinowa</v>
      </c>
      <c r="R467" s="732" t="str">
        <f>CONCATENATE('DICTIONARY-3'!$A$8," ",'DICTIONARY-6'!$A$4," ",'DICTIONARY-2'!$A$2,U467," ",'DICTIONARY-2'!$A$3,V467," ","R14"," ",'DICTIONARY-6'!$A$36,", ",'DICTIONARY-4'!$A$7)</f>
        <v>IKOplus Zasuwa z wrzec. wznosz. się DN125 PN10 R14 SYNT., KR</v>
      </c>
      <c r="S467" s="733" t="str">
        <f>'DICTIONARY-4'!$A$7</f>
        <v>KR</v>
      </c>
      <c r="T467" s="732" t="str">
        <f>'DICTIONARY-4'!$A$23</f>
        <v>Kółko ręczne</v>
      </c>
      <c r="U467" s="734" t="s">
        <v>5761</v>
      </c>
      <c r="V467" s="735">
        <v>10</v>
      </c>
      <c r="W467" s="736"/>
      <c r="X467" s="737"/>
      <c r="Y467" s="738"/>
      <c r="Z467" s="739"/>
      <c r="AA467" s="739"/>
      <c r="AB467" s="740">
        <v>10</v>
      </c>
      <c r="AC467" s="741" t="str">
        <f>'DICTIONARY-5'!$A$11&amp;" 14"</f>
        <v>EN 558 szereg 14</v>
      </c>
      <c r="AD467" s="741" t="str">
        <f>'DICTIONARY-5'!$A$17</f>
        <v>woda przemysłowa</v>
      </c>
      <c r="AE467" s="742">
        <v>200</v>
      </c>
      <c r="AF467" s="743">
        <v>36.5</v>
      </c>
      <c r="AG467" s="741" t="str">
        <f>'DICTIONARY-5'!$A$24</f>
        <v>powłoka syntetyczna</v>
      </c>
    </row>
    <row r="468" spans="1:33" x14ac:dyDescent="0.25">
      <c r="A468" s="842" t="s">
        <v>453</v>
      </c>
      <c r="B468" s="842" t="s">
        <v>3028</v>
      </c>
      <c r="C468" s="836">
        <v>928</v>
      </c>
      <c r="D468" s="836"/>
      <c r="E468" s="836"/>
      <c r="F468" s="836"/>
      <c r="G468" s="496" t="s">
        <v>7794</v>
      </c>
      <c r="H468" s="797" t="str">
        <f>VLOOKUP(G468,SETTINGS!$B$7:$D$97,2,0)</f>
        <v>IKOplus</v>
      </c>
      <c r="I468" s="796">
        <f>VLOOKUP(G468,SETTINGS!$B$7:$D$97,3,0)</f>
        <v>0</v>
      </c>
      <c r="J468" s="670" t="str">
        <f>IFERROR(IF(CURRENCY.FORMAT_1=0,CONCATENATE(TEXT(FIXED(ROUND((C468/EXC.RATE_1),CURRENCY.FORMAT_1),CURRENCY.FORMAT_1,1),"# ##0;-# ##0"),",-"),FIXED(ROUND((C468/EXC.RATE_1),CURRENCY.FORMAT_1),CURRENCY.FORMAT_1,0)),'DICTIONARY-5'!$A$2)</f>
        <v>928,-</v>
      </c>
      <c r="K468" s="670" t="str">
        <f>IF(EXC.RATE_2=0,"",IFERROR(IF(CURRENCY.FORMAT_2=0,CONCATENATE(TEXT(FIXED(ROUND(IF(EXC.RATE.SWITCH=1,C468/EXC.RATE_2,C468*EXC.RATE_2),CURRENCY.FORMAT_2),CURRENCY.FORMAT_2,1),"# ##0;-# ##0"),",-"),FIXED(ROUND(IF(EXC.RATE.SWITCH=1,C468/EXC.RATE_2,C468*EXC.RATE_2),CURRENCY.FORMAT_2),CURRENCY.FORMAT_2,0)),'DICTIONARY-5'!$A$2))</f>
        <v/>
      </c>
      <c r="L468" s="670" t="str">
        <f>IFERROR(IF(CURRENCY.FORMAT_1=0,CONCATENATE(TEXT(FIXED(ROUND((C468*(1-I468)*(1-ADD.DISCOUNT)*(1+MAT.SURCHARGE)/EXC.RATE_1),CURRENCY.FORMAT_1),CURRENCY.FORMAT_1,1),"# ##0;-# ##0"),",-"),FIXED(ROUND((C468*(1-I468)*(1-ADD.DISCOUNT)*(1+MAT.SURCHARGE)/EXC.RATE_1),CURRENCY.FORMAT_1),CURRENCY.FORMAT_1,0)),'DICTIONARY-5'!$A$2)</f>
        <v>964,-</v>
      </c>
      <c r="M468" s="670" t="str">
        <f>IF(EXC.RATE_2=0,"",IFERROR(IF(CURRENCY.FORMAT_2=0,CONCATENATE(TEXT(FIXED(ROUND(IF(EXC.RATE.SWITCH=1,C468*(1-I468)*(1-ADD.DISCOUNT)*(1+MAT.SURCHARGE)/EXC.RATE_2,C468*(1-I468)*(1-ADD.DISCOUNT)*(1+MAT.SURCHARGE)*EXC.RATE_2),CURRENCY.FORMAT_2),CURRENCY.FORMAT_2,1),"# ##0;-# ##0"),",-"),FIXED(ROUND(IF(EXC.RATE.SWITCH=1,C468*(1-I468)*(1-ADD.DISCOUNT)*(1+MAT.SURCHARGE)/EXC.RATE_2,C468*(1-I468)*(1-ADD.DISCOUNT)*(1+MAT.SURCHARGE)*EXC.RATE_2),CURRENCY.FORMAT_2),CURRENCY.FORMAT_2,0)),'DICTIONARY-5'!$A$2))</f>
        <v/>
      </c>
      <c r="N468" s="544">
        <v>1</v>
      </c>
      <c r="O468" s="544"/>
      <c r="P468" s="731" t="str">
        <f>'DICTIONARY-3'!$A$8</f>
        <v>IKOplus</v>
      </c>
      <c r="Q468" s="732" t="str">
        <f>'DICTIONARY-3'!$A$188</f>
        <v>Zasuwa klinowa</v>
      </c>
      <c r="R468" s="732" t="str">
        <f>CONCATENATE('DICTIONARY-3'!$A$8," ",'DICTIONARY-6'!$A$4," ",'DICTIONARY-2'!$A$2,U468," ",'DICTIONARY-2'!$A$3,V468," ","R14"," ",'DICTIONARY-6'!$A$36,", ",'DICTIONARY-4'!$A$7)</f>
        <v>IKOplus Zasuwa z wrzec. wznosz. się DN150 PN10 R14 SYNT., KR</v>
      </c>
      <c r="S468" s="733" t="str">
        <f>'DICTIONARY-4'!$A$7</f>
        <v>KR</v>
      </c>
      <c r="T468" s="732" t="str">
        <f>'DICTIONARY-4'!$A$23</f>
        <v>Kółko ręczne</v>
      </c>
      <c r="U468" s="734" t="s">
        <v>5572</v>
      </c>
      <c r="V468" s="735">
        <v>10</v>
      </c>
      <c r="W468" s="736"/>
      <c r="X468" s="737"/>
      <c r="Y468" s="738"/>
      <c r="Z468" s="739"/>
      <c r="AA468" s="739"/>
      <c r="AB468" s="740">
        <v>10</v>
      </c>
      <c r="AC468" s="741" t="str">
        <f>'DICTIONARY-5'!$A$11&amp;" 14"</f>
        <v>EN 558 szereg 14</v>
      </c>
      <c r="AD468" s="741" t="str">
        <f>'DICTIONARY-5'!$A$17</f>
        <v>woda przemysłowa</v>
      </c>
      <c r="AE468" s="742">
        <v>200</v>
      </c>
      <c r="AF468" s="743">
        <v>46</v>
      </c>
      <c r="AG468" s="741" t="str">
        <f>'DICTIONARY-5'!$A$24</f>
        <v>powłoka syntetyczna</v>
      </c>
    </row>
    <row r="469" spans="1:33" x14ac:dyDescent="0.25">
      <c r="A469" s="842" t="s">
        <v>455</v>
      </c>
      <c r="B469" s="842" t="s">
        <v>3029</v>
      </c>
      <c r="C469" s="836">
        <v>1171</v>
      </c>
      <c r="D469" s="836"/>
      <c r="E469" s="836"/>
      <c r="F469" s="836"/>
      <c r="G469" s="496" t="s">
        <v>7794</v>
      </c>
      <c r="H469" s="797" t="str">
        <f>VLOOKUP(G469,SETTINGS!$B$7:$D$97,2,0)</f>
        <v>IKOplus</v>
      </c>
      <c r="I469" s="796">
        <f>VLOOKUP(G469,SETTINGS!$B$7:$D$97,3,0)</f>
        <v>0</v>
      </c>
      <c r="J469" s="670" t="str">
        <f>IFERROR(IF(CURRENCY.FORMAT_1=0,CONCATENATE(TEXT(FIXED(ROUND((C469/EXC.RATE_1),CURRENCY.FORMAT_1),CURRENCY.FORMAT_1,1),"# ##0;-# ##0"),",-"),FIXED(ROUND((C469/EXC.RATE_1),CURRENCY.FORMAT_1),CURRENCY.FORMAT_1,0)),'DICTIONARY-5'!$A$2)</f>
        <v>1 171,-</v>
      </c>
      <c r="K469" s="670" t="str">
        <f>IF(EXC.RATE_2=0,"",IFERROR(IF(CURRENCY.FORMAT_2=0,CONCATENATE(TEXT(FIXED(ROUND(IF(EXC.RATE.SWITCH=1,C469/EXC.RATE_2,C469*EXC.RATE_2),CURRENCY.FORMAT_2),CURRENCY.FORMAT_2,1),"# ##0;-# ##0"),",-"),FIXED(ROUND(IF(EXC.RATE.SWITCH=1,C469/EXC.RATE_2,C469*EXC.RATE_2),CURRENCY.FORMAT_2),CURRENCY.FORMAT_2,0)),'DICTIONARY-5'!$A$2))</f>
        <v/>
      </c>
      <c r="L469" s="670" t="str">
        <f>IFERROR(IF(CURRENCY.FORMAT_1=0,CONCATENATE(TEXT(FIXED(ROUND((C469*(1-I469)*(1-ADD.DISCOUNT)*(1+MAT.SURCHARGE)/EXC.RATE_1),CURRENCY.FORMAT_1),CURRENCY.FORMAT_1,1),"# ##0;-# ##0"),",-"),FIXED(ROUND((C469*(1-I469)*(1-ADD.DISCOUNT)*(1+MAT.SURCHARGE)/EXC.RATE_1),CURRENCY.FORMAT_1),CURRENCY.FORMAT_1,0)),'DICTIONARY-5'!$A$2)</f>
        <v>1 217,-</v>
      </c>
      <c r="M469" s="670" t="str">
        <f>IF(EXC.RATE_2=0,"",IFERROR(IF(CURRENCY.FORMAT_2=0,CONCATENATE(TEXT(FIXED(ROUND(IF(EXC.RATE.SWITCH=1,C469*(1-I469)*(1-ADD.DISCOUNT)*(1+MAT.SURCHARGE)/EXC.RATE_2,C469*(1-I469)*(1-ADD.DISCOUNT)*(1+MAT.SURCHARGE)*EXC.RATE_2),CURRENCY.FORMAT_2),CURRENCY.FORMAT_2,1),"# ##0;-# ##0"),",-"),FIXED(ROUND(IF(EXC.RATE.SWITCH=1,C469*(1-I469)*(1-ADD.DISCOUNT)*(1+MAT.SURCHARGE)/EXC.RATE_2,C469*(1-I469)*(1-ADD.DISCOUNT)*(1+MAT.SURCHARGE)*EXC.RATE_2),CURRENCY.FORMAT_2),CURRENCY.FORMAT_2,0)),'DICTIONARY-5'!$A$2))</f>
        <v/>
      </c>
      <c r="N469" s="544">
        <v>1</v>
      </c>
      <c r="O469" s="544"/>
      <c r="P469" s="731" t="str">
        <f>'DICTIONARY-3'!$A$8</f>
        <v>IKOplus</v>
      </c>
      <c r="Q469" s="732" t="str">
        <f>'DICTIONARY-3'!$A$188</f>
        <v>Zasuwa klinowa</v>
      </c>
      <c r="R469" s="732" t="str">
        <f>CONCATENATE('DICTIONARY-3'!$A$8," ",'DICTIONARY-6'!$A$4," ",'DICTIONARY-2'!$A$2,U469," ",'DICTIONARY-2'!$A$3,V469," ","R14"," ",'DICTIONARY-6'!$A$36,", ",'DICTIONARY-4'!$A$7)</f>
        <v>IKOplus Zasuwa z wrzec. wznosz. się DN200 PN10 R14 SYNT., KR</v>
      </c>
      <c r="S469" s="733" t="str">
        <f>'DICTIONARY-4'!$A$7</f>
        <v>KR</v>
      </c>
      <c r="T469" s="732" t="str">
        <f>'DICTIONARY-4'!$A$23</f>
        <v>Kółko ręczne</v>
      </c>
      <c r="U469" s="734" t="s">
        <v>5750</v>
      </c>
      <c r="V469" s="735">
        <v>10</v>
      </c>
      <c r="W469" s="736"/>
      <c r="X469" s="737"/>
      <c r="Y469" s="738"/>
      <c r="Z469" s="739"/>
      <c r="AA469" s="739"/>
      <c r="AB469" s="740">
        <v>10</v>
      </c>
      <c r="AC469" s="741" t="str">
        <f>'DICTIONARY-5'!$A$11&amp;" 14"</f>
        <v>EN 558 szereg 14</v>
      </c>
      <c r="AD469" s="741" t="str">
        <f>'DICTIONARY-5'!$A$17</f>
        <v>woda przemysłowa</v>
      </c>
      <c r="AE469" s="742">
        <v>200</v>
      </c>
      <c r="AF469" s="743">
        <v>67</v>
      </c>
      <c r="AG469" s="741" t="str">
        <f>'DICTIONARY-5'!$A$24</f>
        <v>powłoka syntetyczna</v>
      </c>
    </row>
    <row r="470" spans="1:33" x14ac:dyDescent="0.25">
      <c r="A470" s="842" t="s">
        <v>457</v>
      </c>
      <c r="B470" s="842" t="s">
        <v>3030</v>
      </c>
      <c r="C470" s="836">
        <v>1980</v>
      </c>
      <c r="D470" s="836"/>
      <c r="E470" s="836"/>
      <c r="F470" s="836"/>
      <c r="G470" s="496" t="s">
        <v>7794</v>
      </c>
      <c r="H470" s="797" t="str">
        <f>VLOOKUP(G470,SETTINGS!$B$7:$D$97,2,0)</f>
        <v>IKOplus</v>
      </c>
      <c r="I470" s="796">
        <f>VLOOKUP(G470,SETTINGS!$B$7:$D$97,3,0)</f>
        <v>0</v>
      </c>
      <c r="J470" s="670" t="str">
        <f>IFERROR(IF(CURRENCY.FORMAT_1=0,CONCATENATE(TEXT(FIXED(ROUND((C470/EXC.RATE_1),CURRENCY.FORMAT_1),CURRENCY.FORMAT_1,1),"# ##0;-# ##0"),",-"),FIXED(ROUND((C470/EXC.RATE_1),CURRENCY.FORMAT_1),CURRENCY.FORMAT_1,0)),'DICTIONARY-5'!$A$2)</f>
        <v>1 980,-</v>
      </c>
      <c r="K470" s="670" t="str">
        <f>IF(EXC.RATE_2=0,"",IFERROR(IF(CURRENCY.FORMAT_2=0,CONCATENATE(TEXT(FIXED(ROUND(IF(EXC.RATE.SWITCH=1,C470/EXC.RATE_2,C470*EXC.RATE_2),CURRENCY.FORMAT_2),CURRENCY.FORMAT_2,1),"# ##0;-# ##0"),",-"),FIXED(ROUND(IF(EXC.RATE.SWITCH=1,C470/EXC.RATE_2,C470*EXC.RATE_2),CURRENCY.FORMAT_2),CURRENCY.FORMAT_2,0)),'DICTIONARY-5'!$A$2))</f>
        <v/>
      </c>
      <c r="L470" s="670" t="str">
        <f>IFERROR(IF(CURRENCY.FORMAT_1=0,CONCATENATE(TEXT(FIXED(ROUND((C470*(1-I470)*(1-ADD.DISCOUNT)*(1+MAT.SURCHARGE)/EXC.RATE_1),CURRENCY.FORMAT_1),CURRENCY.FORMAT_1,1),"# ##0;-# ##0"),",-"),FIXED(ROUND((C470*(1-I470)*(1-ADD.DISCOUNT)*(1+MAT.SURCHARGE)/EXC.RATE_1),CURRENCY.FORMAT_1),CURRENCY.FORMAT_1,0)),'DICTIONARY-5'!$A$2)</f>
        <v>2 057,-</v>
      </c>
      <c r="M470" s="670" t="str">
        <f>IF(EXC.RATE_2=0,"",IFERROR(IF(CURRENCY.FORMAT_2=0,CONCATENATE(TEXT(FIXED(ROUND(IF(EXC.RATE.SWITCH=1,C470*(1-I470)*(1-ADD.DISCOUNT)*(1+MAT.SURCHARGE)/EXC.RATE_2,C470*(1-I470)*(1-ADD.DISCOUNT)*(1+MAT.SURCHARGE)*EXC.RATE_2),CURRENCY.FORMAT_2),CURRENCY.FORMAT_2,1),"# ##0;-# ##0"),",-"),FIXED(ROUND(IF(EXC.RATE.SWITCH=1,C470*(1-I470)*(1-ADD.DISCOUNT)*(1+MAT.SURCHARGE)/EXC.RATE_2,C470*(1-I470)*(1-ADD.DISCOUNT)*(1+MAT.SURCHARGE)*EXC.RATE_2),CURRENCY.FORMAT_2),CURRENCY.FORMAT_2,0)),'DICTIONARY-5'!$A$2))</f>
        <v/>
      </c>
      <c r="N470" s="544">
        <v>1</v>
      </c>
      <c r="O470" s="544"/>
      <c r="P470" s="731" t="str">
        <f>'DICTIONARY-3'!$A$8</f>
        <v>IKOplus</v>
      </c>
      <c r="Q470" s="732" t="str">
        <f>'DICTIONARY-3'!$A$188</f>
        <v>Zasuwa klinowa</v>
      </c>
      <c r="R470" s="732" t="str">
        <f>CONCATENATE('DICTIONARY-3'!$A$8," ",'DICTIONARY-6'!$A$4," ",'DICTIONARY-2'!$A$2,U470," ",'DICTIONARY-2'!$A$3,V470," ","R14"," ",'DICTIONARY-6'!$A$36,", ",'DICTIONARY-4'!$A$7)</f>
        <v>IKOplus Zasuwa z wrzec. wznosz. się DN250 PN10 R14 SYNT., KR</v>
      </c>
      <c r="S470" s="733" t="str">
        <f>'DICTIONARY-4'!$A$7</f>
        <v>KR</v>
      </c>
      <c r="T470" s="732" t="str">
        <f>'DICTIONARY-4'!$A$23</f>
        <v>Kółko ręczne</v>
      </c>
      <c r="U470" s="734" t="s">
        <v>5751</v>
      </c>
      <c r="V470" s="735">
        <v>10</v>
      </c>
      <c r="W470" s="736"/>
      <c r="X470" s="737"/>
      <c r="Y470" s="738"/>
      <c r="Z470" s="739"/>
      <c r="AA470" s="739"/>
      <c r="AB470" s="740">
        <v>10</v>
      </c>
      <c r="AC470" s="741" t="str">
        <f>'DICTIONARY-5'!$A$11&amp;" 14"</f>
        <v>EN 558 szereg 14</v>
      </c>
      <c r="AD470" s="741" t="str">
        <f>'DICTIONARY-5'!$A$17</f>
        <v>woda przemysłowa</v>
      </c>
      <c r="AE470" s="742">
        <v>200</v>
      </c>
      <c r="AF470" s="743">
        <v>103.5</v>
      </c>
      <c r="AG470" s="741" t="str">
        <f>'DICTIONARY-5'!$A$24</f>
        <v>powłoka syntetyczna</v>
      </c>
    </row>
    <row r="471" spans="1:33" x14ac:dyDescent="0.25">
      <c r="A471" s="842" t="s">
        <v>459</v>
      </c>
      <c r="B471" s="842" t="s">
        <v>3031</v>
      </c>
      <c r="C471" s="836">
        <v>2175</v>
      </c>
      <c r="D471" s="836"/>
      <c r="E471" s="836"/>
      <c r="F471" s="836"/>
      <c r="G471" s="496" t="s">
        <v>7794</v>
      </c>
      <c r="H471" s="797" t="str">
        <f>VLOOKUP(G471,SETTINGS!$B$7:$D$97,2,0)</f>
        <v>IKOplus</v>
      </c>
      <c r="I471" s="796">
        <f>VLOOKUP(G471,SETTINGS!$B$7:$D$97,3,0)</f>
        <v>0</v>
      </c>
      <c r="J471" s="670" t="str">
        <f>IFERROR(IF(CURRENCY.FORMAT_1=0,CONCATENATE(TEXT(FIXED(ROUND((C471/EXC.RATE_1),CURRENCY.FORMAT_1),CURRENCY.FORMAT_1,1),"# ##0;-# ##0"),",-"),FIXED(ROUND((C471/EXC.RATE_1),CURRENCY.FORMAT_1),CURRENCY.FORMAT_1,0)),'DICTIONARY-5'!$A$2)</f>
        <v>2 175,-</v>
      </c>
      <c r="K471" s="670" t="str">
        <f>IF(EXC.RATE_2=0,"",IFERROR(IF(CURRENCY.FORMAT_2=0,CONCATENATE(TEXT(FIXED(ROUND(IF(EXC.RATE.SWITCH=1,C471/EXC.RATE_2,C471*EXC.RATE_2),CURRENCY.FORMAT_2),CURRENCY.FORMAT_2,1),"# ##0;-# ##0"),",-"),FIXED(ROUND(IF(EXC.RATE.SWITCH=1,C471/EXC.RATE_2,C471*EXC.RATE_2),CURRENCY.FORMAT_2),CURRENCY.FORMAT_2,0)),'DICTIONARY-5'!$A$2))</f>
        <v/>
      </c>
      <c r="L471" s="670" t="str">
        <f>IFERROR(IF(CURRENCY.FORMAT_1=0,CONCATENATE(TEXT(FIXED(ROUND((C471*(1-I471)*(1-ADD.DISCOUNT)*(1+MAT.SURCHARGE)/EXC.RATE_1),CURRENCY.FORMAT_1),CURRENCY.FORMAT_1,1),"# ##0;-# ##0"),",-"),FIXED(ROUND((C471*(1-I471)*(1-ADD.DISCOUNT)*(1+MAT.SURCHARGE)/EXC.RATE_1),CURRENCY.FORMAT_1),CURRENCY.FORMAT_1,0)),'DICTIONARY-5'!$A$2)</f>
        <v>2 260,-</v>
      </c>
      <c r="M471" s="670" t="str">
        <f>IF(EXC.RATE_2=0,"",IFERROR(IF(CURRENCY.FORMAT_2=0,CONCATENATE(TEXT(FIXED(ROUND(IF(EXC.RATE.SWITCH=1,C471*(1-I471)*(1-ADD.DISCOUNT)*(1+MAT.SURCHARGE)/EXC.RATE_2,C471*(1-I471)*(1-ADD.DISCOUNT)*(1+MAT.SURCHARGE)*EXC.RATE_2),CURRENCY.FORMAT_2),CURRENCY.FORMAT_2,1),"# ##0;-# ##0"),",-"),FIXED(ROUND(IF(EXC.RATE.SWITCH=1,C471*(1-I471)*(1-ADD.DISCOUNT)*(1+MAT.SURCHARGE)/EXC.RATE_2,C471*(1-I471)*(1-ADD.DISCOUNT)*(1+MAT.SURCHARGE)*EXC.RATE_2),CURRENCY.FORMAT_2),CURRENCY.FORMAT_2,0)),'DICTIONARY-5'!$A$2))</f>
        <v/>
      </c>
      <c r="N471" s="544">
        <v>1</v>
      </c>
      <c r="O471" s="544"/>
      <c r="P471" s="731" t="str">
        <f>'DICTIONARY-3'!$A$8</f>
        <v>IKOplus</v>
      </c>
      <c r="Q471" s="732" t="str">
        <f>'DICTIONARY-3'!$A$188</f>
        <v>Zasuwa klinowa</v>
      </c>
      <c r="R471" s="732" t="str">
        <f>CONCATENATE('DICTIONARY-3'!$A$8," ",'DICTIONARY-6'!$A$4," ",'DICTIONARY-2'!$A$2,U471," ",'DICTIONARY-2'!$A$3,V471," ","R14"," ",'DICTIONARY-6'!$A$36,", ",'DICTIONARY-4'!$A$7)</f>
        <v>IKOplus Zasuwa z wrzec. wznosz. się DN300 PN10 R14 SYNT., KR</v>
      </c>
      <c r="S471" s="733" t="str">
        <f>'DICTIONARY-4'!$A$7</f>
        <v>KR</v>
      </c>
      <c r="T471" s="732" t="str">
        <f>'DICTIONARY-4'!$A$23</f>
        <v>Kółko ręczne</v>
      </c>
      <c r="U471" s="734" t="s">
        <v>5752</v>
      </c>
      <c r="V471" s="735">
        <v>10</v>
      </c>
      <c r="W471" s="736"/>
      <c r="X471" s="737"/>
      <c r="Y471" s="738"/>
      <c r="Z471" s="739"/>
      <c r="AA471" s="739"/>
      <c r="AB471" s="740">
        <v>10</v>
      </c>
      <c r="AC471" s="741" t="str">
        <f>'DICTIONARY-5'!$A$11&amp;" 14"</f>
        <v>EN 558 szereg 14</v>
      </c>
      <c r="AD471" s="741" t="str">
        <f>'DICTIONARY-5'!$A$17</f>
        <v>woda przemysłowa</v>
      </c>
      <c r="AE471" s="742">
        <v>200</v>
      </c>
      <c r="AF471" s="743">
        <v>140.5</v>
      </c>
      <c r="AG471" s="741" t="str">
        <f>'DICTIONARY-5'!$A$24</f>
        <v>powłoka syntetyczna</v>
      </c>
    </row>
    <row r="472" spans="1:33" x14ac:dyDescent="0.25">
      <c r="A472" s="842" t="s">
        <v>460</v>
      </c>
      <c r="B472" s="842" t="s">
        <v>3042</v>
      </c>
      <c r="C472" s="836">
        <v>387</v>
      </c>
      <c r="D472" s="836"/>
      <c r="E472" s="836"/>
      <c r="F472" s="836"/>
      <c r="G472" s="496" t="s">
        <v>7794</v>
      </c>
      <c r="H472" s="797" t="str">
        <f>VLOOKUP(G472,SETTINGS!$B$7:$D$97,2,0)</f>
        <v>IKOplus</v>
      </c>
      <c r="I472" s="796">
        <f>VLOOKUP(G472,SETTINGS!$B$7:$D$97,3,0)</f>
        <v>0</v>
      </c>
      <c r="J472" s="670" t="str">
        <f>IFERROR(IF(CURRENCY.FORMAT_1=0,CONCATENATE(TEXT(FIXED(ROUND((C472/EXC.RATE_1),CURRENCY.FORMAT_1),CURRENCY.FORMAT_1,1),"# ##0;-# ##0"),",-"),FIXED(ROUND((C472/EXC.RATE_1),CURRENCY.FORMAT_1),CURRENCY.FORMAT_1,0)),'DICTIONARY-5'!$A$2)</f>
        <v>387,-</v>
      </c>
      <c r="K472" s="670" t="str">
        <f>IF(EXC.RATE_2=0,"",IFERROR(IF(CURRENCY.FORMAT_2=0,CONCATENATE(TEXT(FIXED(ROUND(IF(EXC.RATE.SWITCH=1,C472/EXC.RATE_2,C472*EXC.RATE_2),CURRENCY.FORMAT_2),CURRENCY.FORMAT_2,1),"# ##0;-# ##0"),",-"),FIXED(ROUND(IF(EXC.RATE.SWITCH=1,C472/EXC.RATE_2,C472*EXC.RATE_2),CURRENCY.FORMAT_2),CURRENCY.FORMAT_2,0)),'DICTIONARY-5'!$A$2))</f>
        <v/>
      </c>
      <c r="L472" s="670" t="str">
        <f>IFERROR(IF(CURRENCY.FORMAT_1=0,CONCATENATE(TEXT(FIXED(ROUND((C472*(1-I472)*(1-ADD.DISCOUNT)*(1+MAT.SURCHARGE)/EXC.RATE_1),CURRENCY.FORMAT_1),CURRENCY.FORMAT_1,1),"# ##0;-# ##0"),",-"),FIXED(ROUND((C472*(1-I472)*(1-ADD.DISCOUNT)*(1+MAT.SURCHARGE)/EXC.RATE_1),CURRENCY.FORMAT_1),CURRENCY.FORMAT_1,0)),'DICTIONARY-5'!$A$2)</f>
        <v>402,-</v>
      </c>
      <c r="M472" s="670" t="str">
        <f>IF(EXC.RATE_2=0,"",IFERROR(IF(CURRENCY.FORMAT_2=0,CONCATENATE(TEXT(FIXED(ROUND(IF(EXC.RATE.SWITCH=1,C472*(1-I472)*(1-ADD.DISCOUNT)*(1+MAT.SURCHARGE)/EXC.RATE_2,C472*(1-I472)*(1-ADD.DISCOUNT)*(1+MAT.SURCHARGE)*EXC.RATE_2),CURRENCY.FORMAT_2),CURRENCY.FORMAT_2,1),"# ##0;-# ##0"),",-"),FIXED(ROUND(IF(EXC.RATE.SWITCH=1,C472*(1-I472)*(1-ADD.DISCOUNT)*(1+MAT.SURCHARGE)/EXC.RATE_2,C472*(1-I472)*(1-ADD.DISCOUNT)*(1+MAT.SURCHARGE)*EXC.RATE_2),CURRENCY.FORMAT_2),CURRENCY.FORMAT_2,0)),'DICTIONARY-5'!$A$2))</f>
        <v/>
      </c>
      <c r="N472" s="544">
        <v>1</v>
      </c>
      <c r="O472" s="544"/>
      <c r="P472" s="731" t="str">
        <f>'DICTIONARY-3'!$A$8</f>
        <v>IKOplus</v>
      </c>
      <c r="Q472" s="732" t="str">
        <f>'DICTIONARY-3'!$A$188</f>
        <v>Zasuwa klinowa</v>
      </c>
      <c r="R472" s="732" t="str">
        <f>CONCATENATE('DICTIONARY-3'!$A$8," ",'DICTIONARY-6'!$A$4," ",'DICTIONARY-2'!$A$2,U472," ",'DICTIONARY-2'!$A$3,"10/",V472," ","R15"," ",'DICTIONARY-6'!$A$36,", ",'DICTIONARY-4'!$A$7)</f>
        <v>IKOplus Zasuwa z wrzec. wznosz. się DN40 PN10/16 R15 SYNT., KR</v>
      </c>
      <c r="S472" s="733" t="str">
        <f>'DICTIONARY-4'!$A$7</f>
        <v>KR</v>
      </c>
      <c r="T472" s="732" t="str">
        <f>'DICTIONARY-4'!$A$23</f>
        <v>Kółko ręczne</v>
      </c>
      <c r="U472" s="734" t="s">
        <v>5758</v>
      </c>
      <c r="V472" s="735">
        <v>16</v>
      </c>
      <c r="W472" s="736"/>
      <c r="X472" s="737"/>
      <c r="Y472" s="738"/>
      <c r="Z472" s="739"/>
      <c r="AA472" s="739"/>
      <c r="AB472" s="740">
        <v>16</v>
      </c>
      <c r="AC472" s="741" t="str">
        <f>'DICTIONARY-5'!$A$11&amp;" 15"</f>
        <v>EN 558 szereg 15</v>
      </c>
      <c r="AD472" s="741" t="str">
        <f>'DICTIONARY-5'!$A$17</f>
        <v>woda przemysłowa</v>
      </c>
      <c r="AE472" s="742">
        <v>200</v>
      </c>
      <c r="AF472" s="743">
        <v>12.35</v>
      </c>
      <c r="AG472" s="741" t="str">
        <f>'DICTIONARY-5'!$A$24</f>
        <v>powłoka syntetyczna</v>
      </c>
    </row>
    <row r="473" spans="1:33" x14ac:dyDescent="0.25">
      <c r="A473" s="842" t="s">
        <v>461</v>
      </c>
      <c r="B473" s="842" t="s">
        <v>3043</v>
      </c>
      <c r="C473" s="836">
        <v>409</v>
      </c>
      <c r="D473" s="836"/>
      <c r="E473" s="836"/>
      <c r="F473" s="836"/>
      <c r="G473" s="496" t="s">
        <v>7794</v>
      </c>
      <c r="H473" s="797" t="str">
        <f>VLOOKUP(G473,SETTINGS!$B$7:$D$97,2,0)</f>
        <v>IKOplus</v>
      </c>
      <c r="I473" s="796">
        <f>VLOOKUP(G473,SETTINGS!$B$7:$D$97,3,0)</f>
        <v>0</v>
      </c>
      <c r="J473" s="670" t="str">
        <f>IFERROR(IF(CURRENCY.FORMAT_1=0,CONCATENATE(TEXT(FIXED(ROUND((C473/EXC.RATE_1),CURRENCY.FORMAT_1),CURRENCY.FORMAT_1,1),"# ##0;-# ##0"),",-"),FIXED(ROUND((C473/EXC.RATE_1),CURRENCY.FORMAT_1),CURRENCY.FORMAT_1,0)),'DICTIONARY-5'!$A$2)</f>
        <v>409,-</v>
      </c>
      <c r="K473" s="670" t="str">
        <f>IF(EXC.RATE_2=0,"",IFERROR(IF(CURRENCY.FORMAT_2=0,CONCATENATE(TEXT(FIXED(ROUND(IF(EXC.RATE.SWITCH=1,C473/EXC.RATE_2,C473*EXC.RATE_2),CURRENCY.FORMAT_2),CURRENCY.FORMAT_2,1),"# ##0;-# ##0"),",-"),FIXED(ROUND(IF(EXC.RATE.SWITCH=1,C473/EXC.RATE_2,C473*EXC.RATE_2),CURRENCY.FORMAT_2),CURRENCY.FORMAT_2,0)),'DICTIONARY-5'!$A$2))</f>
        <v/>
      </c>
      <c r="L473" s="670" t="str">
        <f>IFERROR(IF(CURRENCY.FORMAT_1=0,CONCATENATE(TEXT(FIXED(ROUND((C473*(1-I473)*(1-ADD.DISCOUNT)*(1+MAT.SURCHARGE)/EXC.RATE_1),CURRENCY.FORMAT_1),CURRENCY.FORMAT_1,1),"# ##0;-# ##0"),",-"),FIXED(ROUND((C473*(1-I473)*(1-ADD.DISCOUNT)*(1+MAT.SURCHARGE)/EXC.RATE_1),CURRENCY.FORMAT_1),CURRENCY.FORMAT_1,0)),'DICTIONARY-5'!$A$2)</f>
        <v>425,-</v>
      </c>
      <c r="M473" s="670" t="str">
        <f>IF(EXC.RATE_2=0,"",IFERROR(IF(CURRENCY.FORMAT_2=0,CONCATENATE(TEXT(FIXED(ROUND(IF(EXC.RATE.SWITCH=1,C473*(1-I473)*(1-ADD.DISCOUNT)*(1+MAT.SURCHARGE)/EXC.RATE_2,C473*(1-I473)*(1-ADD.DISCOUNT)*(1+MAT.SURCHARGE)*EXC.RATE_2),CURRENCY.FORMAT_2),CURRENCY.FORMAT_2,1),"# ##0;-# ##0"),",-"),FIXED(ROUND(IF(EXC.RATE.SWITCH=1,C473*(1-I473)*(1-ADD.DISCOUNT)*(1+MAT.SURCHARGE)/EXC.RATE_2,C473*(1-I473)*(1-ADD.DISCOUNT)*(1+MAT.SURCHARGE)*EXC.RATE_2),CURRENCY.FORMAT_2),CURRENCY.FORMAT_2,0)),'DICTIONARY-5'!$A$2))</f>
        <v/>
      </c>
      <c r="N473" s="544">
        <v>1</v>
      </c>
      <c r="O473" s="544"/>
      <c r="P473" s="731" t="str">
        <f>'DICTIONARY-3'!$A$8</f>
        <v>IKOplus</v>
      </c>
      <c r="Q473" s="732" t="str">
        <f>'DICTIONARY-3'!$A$188</f>
        <v>Zasuwa klinowa</v>
      </c>
      <c r="R473" s="732" t="str">
        <f>CONCATENATE('DICTIONARY-3'!$A$8," ",'DICTIONARY-6'!$A$4," ",'DICTIONARY-2'!$A$2,U473," ",'DICTIONARY-2'!$A$3,"10/",V473," ","R15"," ",'DICTIONARY-6'!$A$36,", ",'DICTIONARY-4'!$A$7)</f>
        <v>IKOplus Zasuwa z wrzec. wznosz. się DN50 PN10/16 R15 SYNT., KR</v>
      </c>
      <c r="S473" s="733" t="str">
        <f>'DICTIONARY-4'!$A$7</f>
        <v>KR</v>
      </c>
      <c r="T473" s="732" t="str">
        <f>'DICTIONARY-4'!$A$23</f>
        <v>Kółko ręczne</v>
      </c>
      <c r="U473" s="734" t="s">
        <v>5748</v>
      </c>
      <c r="V473" s="735">
        <v>16</v>
      </c>
      <c r="W473" s="736"/>
      <c r="X473" s="737"/>
      <c r="Y473" s="738"/>
      <c r="Z473" s="739"/>
      <c r="AA473" s="739"/>
      <c r="AB473" s="740">
        <v>16</v>
      </c>
      <c r="AC473" s="741" t="str">
        <f>'DICTIONARY-5'!$A$11&amp;" 15"</f>
        <v>EN 558 szereg 15</v>
      </c>
      <c r="AD473" s="741" t="str">
        <f>'DICTIONARY-5'!$A$17</f>
        <v>woda przemysłowa</v>
      </c>
      <c r="AE473" s="742">
        <v>200</v>
      </c>
      <c r="AF473" s="743">
        <v>14</v>
      </c>
      <c r="AG473" s="741" t="str">
        <f>'DICTIONARY-5'!$A$24</f>
        <v>powłoka syntetyczna</v>
      </c>
    </row>
    <row r="474" spans="1:33" x14ac:dyDescent="0.25">
      <c r="A474" s="842" t="s">
        <v>462</v>
      </c>
      <c r="B474" s="842" t="s">
        <v>3044</v>
      </c>
      <c r="C474" s="836">
        <v>472</v>
      </c>
      <c r="D474" s="836"/>
      <c r="E474" s="836"/>
      <c r="F474" s="836"/>
      <c r="G474" s="496" t="s">
        <v>7794</v>
      </c>
      <c r="H474" s="797" t="str">
        <f>VLOOKUP(G474,SETTINGS!$B$7:$D$97,2,0)</f>
        <v>IKOplus</v>
      </c>
      <c r="I474" s="796">
        <f>VLOOKUP(G474,SETTINGS!$B$7:$D$97,3,0)</f>
        <v>0</v>
      </c>
      <c r="J474" s="670" t="str">
        <f>IFERROR(IF(CURRENCY.FORMAT_1=0,CONCATENATE(TEXT(FIXED(ROUND((C474/EXC.RATE_1),CURRENCY.FORMAT_1),CURRENCY.FORMAT_1,1),"# ##0;-# ##0"),",-"),FIXED(ROUND((C474/EXC.RATE_1),CURRENCY.FORMAT_1),CURRENCY.FORMAT_1,0)),'DICTIONARY-5'!$A$2)</f>
        <v>472,-</v>
      </c>
      <c r="K474" s="670" t="str">
        <f>IF(EXC.RATE_2=0,"",IFERROR(IF(CURRENCY.FORMAT_2=0,CONCATENATE(TEXT(FIXED(ROUND(IF(EXC.RATE.SWITCH=1,C474/EXC.RATE_2,C474*EXC.RATE_2),CURRENCY.FORMAT_2),CURRENCY.FORMAT_2,1),"# ##0;-# ##0"),",-"),FIXED(ROUND(IF(EXC.RATE.SWITCH=1,C474/EXC.RATE_2,C474*EXC.RATE_2),CURRENCY.FORMAT_2),CURRENCY.FORMAT_2,0)),'DICTIONARY-5'!$A$2))</f>
        <v/>
      </c>
      <c r="L474" s="670" t="str">
        <f>IFERROR(IF(CURRENCY.FORMAT_1=0,CONCATENATE(TEXT(FIXED(ROUND((C474*(1-I474)*(1-ADD.DISCOUNT)*(1+MAT.SURCHARGE)/EXC.RATE_1),CURRENCY.FORMAT_1),CURRENCY.FORMAT_1,1),"# ##0;-# ##0"),",-"),FIXED(ROUND((C474*(1-I474)*(1-ADD.DISCOUNT)*(1+MAT.SURCHARGE)/EXC.RATE_1),CURRENCY.FORMAT_1),CURRENCY.FORMAT_1,0)),'DICTIONARY-5'!$A$2)</f>
        <v>490,-</v>
      </c>
      <c r="M474" s="670" t="str">
        <f>IF(EXC.RATE_2=0,"",IFERROR(IF(CURRENCY.FORMAT_2=0,CONCATENATE(TEXT(FIXED(ROUND(IF(EXC.RATE.SWITCH=1,C474*(1-I474)*(1-ADD.DISCOUNT)*(1+MAT.SURCHARGE)/EXC.RATE_2,C474*(1-I474)*(1-ADD.DISCOUNT)*(1+MAT.SURCHARGE)*EXC.RATE_2),CURRENCY.FORMAT_2),CURRENCY.FORMAT_2,1),"# ##0;-# ##0"),",-"),FIXED(ROUND(IF(EXC.RATE.SWITCH=1,C474*(1-I474)*(1-ADD.DISCOUNT)*(1+MAT.SURCHARGE)/EXC.RATE_2,C474*(1-I474)*(1-ADD.DISCOUNT)*(1+MAT.SURCHARGE)*EXC.RATE_2),CURRENCY.FORMAT_2),CURRENCY.FORMAT_2,0)),'DICTIONARY-5'!$A$2))</f>
        <v/>
      </c>
      <c r="N474" s="544">
        <v>1</v>
      </c>
      <c r="O474" s="544"/>
      <c r="P474" s="731" t="str">
        <f>'DICTIONARY-3'!$A$8</f>
        <v>IKOplus</v>
      </c>
      <c r="Q474" s="732" t="str">
        <f>'DICTIONARY-3'!$A$188</f>
        <v>Zasuwa klinowa</v>
      </c>
      <c r="R474" s="732" t="str">
        <f>CONCATENATE('DICTIONARY-3'!$A$8," ",'DICTIONARY-6'!$A$4," ",'DICTIONARY-2'!$A$2,U474," ",'DICTIONARY-2'!$A$3,"10/",V474," ","R15"," ",'DICTIONARY-6'!$A$36,", ",'DICTIONARY-4'!$A$7)</f>
        <v>IKOplus Zasuwa z wrzec. wznosz. się DN65 PN10/16 R15 SYNT., KR</v>
      </c>
      <c r="S474" s="733" t="str">
        <f>'DICTIONARY-4'!$A$7</f>
        <v>KR</v>
      </c>
      <c r="T474" s="732" t="str">
        <f>'DICTIONARY-4'!$A$23</f>
        <v>Kółko ręczne</v>
      </c>
      <c r="U474" s="734" t="s">
        <v>5759</v>
      </c>
      <c r="V474" s="735">
        <v>16</v>
      </c>
      <c r="W474" s="736"/>
      <c r="X474" s="737"/>
      <c r="Y474" s="738"/>
      <c r="Z474" s="739"/>
      <c r="AA474" s="739"/>
      <c r="AB474" s="740">
        <v>16</v>
      </c>
      <c r="AC474" s="741" t="str">
        <f>'DICTIONARY-5'!$A$11&amp;" 15"</f>
        <v>EN 558 szereg 15</v>
      </c>
      <c r="AD474" s="741" t="str">
        <f>'DICTIONARY-5'!$A$17</f>
        <v>woda przemysłowa</v>
      </c>
      <c r="AE474" s="742">
        <v>200</v>
      </c>
      <c r="AF474" s="743">
        <v>19</v>
      </c>
      <c r="AG474" s="741" t="str">
        <f>'DICTIONARY-5'!$A$24</f>
        <v>powłoka syntetyczna</v>
      </c>
    </row>
    <row r="475" spans="1:33" x14ac:dyDescent="0.25">
      <c r="A475" s="842" t="s">
        <v>463</v>
      </c>
      <c r="B475" s="842" t="s">
        <v>3045</v>
      </c>
      <c r="C475" s="836">
        <v>523</v>
      </c>
      <c r="D475" s="836"/>
      <c r="E475" s="836"/>
      <c r="F475" s="836"/>
      <c r="G475" s="496" t="s">
        <v>7794</v>
      </c>
      <c r="H475" s="797" t="str">
        <f>VLOOKUP(G475,SETTINGS!$B$7:$D$97,2,0)</f>
        <v>IKOplus</v>
      </c>
      <c r="I475" s="796">
        <f>VLOOKUP(G475,SETTINGS!$B$7:$D$97,3,0)</f>
        <v>0</v>
      </c>
      <c r="J475" s="670" t="str">
        <f>IFERROR(IF(CURRENCY.FORMAT_1=0,CONCATENATE(TEXT(FIXED(ROUND((C475/EXC.RATE_1),CURRENCY.FORMAT_1),CURRENCY.FORMAT_1,1),"# ##0;-# ##0"),",-"),FIXED(ROUND((C475/EXC.RATE_1),CURRENCY.FORMAT_1),CURRENCY.FORMAT_1,0)),'DICTIONARY-5'!$A$2)</f>
        <v>523,-</v>
      </c>
      <c r="K475" s="670" t="str">
        <f>IF(EXC.RATE_2=0,"",IFERROR(IF(CURRENCY.FORMAT_2=0,CONCATENATE(TEXT(FIXED(ROUND(IF(EXC.RATE.SWITCH=1,C475/EXC.RATE_2,C475*EXC.RATE_2),CURRENCY.FORMAT_2),CURRENCY.FORMAT_2,1),"# ##0;-# ##0"),",-"),FIXED(ROUND(IF(EXC.RATE.SWITCH=1,C475/EXC.RATE_2,C475*EXC.RATE_2),CURRENCY.FORMAT_2),CURRENCY.FORMAT_2,0)),'DICTIONARY-5'!$A$2))</f>
        <v/>
      </c>
      <c r="L475" s="670" t="str">
        <f>IFERROR(IF(CURRENCY.FORMAT_1=0,CONCATENATE(TEXT(FIXED(ROUND((C475*(1-I475)*(1-ADD.DISCOUNT)*(1+MAT.SURCHARGE)/EXC.RATE_1),CURRENCY.FORMAT_1),CURRENCY.FORMAT_1,1),"# ##0;-# ##0"),",-"),FIXED(ROUND((C475*(1-I475)*(1-ADD.DISCOUNT)*(1+MAT.SURCHARGE)/EXC.RATE_1),CURRENCY.FORMAT_1),CURRENCY.FORMAT_1,0)),'DICTIONARY-5'!$A$2)</f>
        <v>543,-</v>
      </c>
      <c r="M475" s="670" t="str">
        <f>IF(EXC.RATE_2=0,"",IFERROR(IF(CURRENCY.FORMAT_2=0,CONCATENATE(TEXT(FIXED(ROUND(IF(EXC.RATE.SWITCH=1,C475*(1-I475)*(1-ADD.DISCOUNT)*(1+MAT.SURCHARGE)/EXC.RATE_2,C475*(1-I475)*(1-ADD.DISCOUNT)*(1+MAT.SURCHARGE)*EXC.RATE_2),CURRENCY.FORMAT_2),CURRENCY.FORMAT_2,1),"# ##0;-# ##0"),",-"),FIXED(ROUND(IF(EXC.RATE.SWITCH=1,C475*(1-I475)*(1-ADD.DISCOUNT)*(1+MAT.SURCHARGE)/EXC.RATE_2,C475*(1-I475)*(1-ADD.DISCOUNT)*(1+MAT.SURCHARGE)*EXC.RATE_2),CURRENCY.FORMAT_2),CURRENCY.FORMAT_2,0)),'DICTIONARY-5'!$A$2))</f>
        <v/>
      </c>
      <c r="N475" s="544">
        <v>1</v>
      </c>
      <c r="O475" s="544"/>
      <c r="P475" s="731" t="str">
        <f>'DICTIONARY-3'!$A$8</f>
        <v>IKOplus</v>
      </c>
      <c r="Q475" s="732" t="str">
        <f>'DICTIONARY-3'!$A$188</f>
        <v>Zasuwa klinowa</v>
      </c>
      <c r="R475" s="732" t="str">
        <f>CONCATENATE('DICTIONARY-3'!$A$8," ",'DICTIONARY-6'!$A$4," ",'DICTIONARY-2'!$A$2,U475," ",'DICTIONARY-2'!$A$3,"10/",V475," ","R15"," ",'DICTIONARY-6'!$A$36,", ",'DICTIONARY-4'!$A$7)</f>
        <v>IKOplus Zasuwa z wrzec. wznosz. się DN80 PN10/16 R15 SYNT., KR</v>
      </c>
      <c r="S475" s="733" t="str">
        <f>'DICTIONARY-4'!$A$7</f>
        <v>KR</v>
      </c>
      <c r="T475" s="732" t="str">
        <f>'DICTIONARY-4'!$A$23</f>
        <v>Kółko ręczne</v>
      </c>
      <c r="U475" s="734" t="s">
        <v>5760</v>
      </c>
      <c r="V475" s="735">
        <v>16</v>
      </c>
      <c r="W475" s="736"/>
      <c r="X475" s="737"/>
      <c r="Y475" s="738"/>
      <c r="Z475" s="739"/>
      <c r="AA475" s="739"/>
      <c r="AB475" s="740">
        <v>16</v>
      </c>
      <c r="AC475" s="741" t="str">
        <f>'DICTIONARY-5'!$A$11&amp;" 15"</f>
        <v>EN 558 szereg 15</v>
      </c>
      <c r="AD475" s="741" t="str">
        <f>'DICTIONARY-5'!$A$17</f>
        <v>woda przemysłowa</v>
      </c>
      <c r="AE475" s="742">
        <v>200</v>
      </c>
      <c r="AF475" s="743">
        <v>21</v>
      </c>
      <c r="AG475" s="741" t="str">
        <f>'DICTIONARY-5'!$A$24</f>
        <v>powłoka syntetyczna</v>
      </c>
    </row>
    <row r="476" spans="1:33" x14ac:dyDescent="0.25">
      <c r="A476" s="842" t="s">
        <v>464</v>
      </c>
      <c r="B476" s="842" t="s">
        <v>3046</v>
      </c>
      <c r="C476" s="836">
        <v>624</v>
      </c>
      <c r="D476" s="836"/>
      <c r="E476" s="836"/>
      <c r="F476" s="836"/>
      <c r="G476" s="496" t="s">
        <v>7794</v>
      </c>
      <c r="H476" s="797" t="str">
        <f>VLOOKUP(G476,SETTINGS!$B$7:$D$97,2,0)</f>
        <v>IKOplus</v>
      </c>
      <c r="I476" s="796">
        <f>VLOOKUP(G476,SETTINGS!$B$7:$D$97,3,0)</f>
        <v>0</v>
      </c>
      <c r="J476" s="670" t="str">
        <f>IFERROR(IF(CURRENCY.FORMAT_1=0,CONCATENATE(TEXT(FIXED(ROUND((C476/EXC.RATE_1),CURRENCY.FORMAT_1),CURRENCY.FORMAT_1,1),"# ##0;-# ##0"),",-"),FIXED(ROUND((C476/EXC.RATE_1),CURRENCY.FORMAT_1),CURRENCY.FORMAT_1,0)),'DICTIONARY-5'!$A$2)</f>
        <v>624,-</v>
      </c>
      <c r="K476" s="670" t="str">
        <f>IF(EXC.RATE_2=0,"",IFERROR(IF(CURRENCY.FORMAT_2=0,CONCATENATE(TEXT(FIXED(ROUND(IF(EXC.RATE.SWITCH=1,C476/EXC.RATE_2,C476*EXC.RATE_2),CURRENCY.FORMAT_2),CURRENCY.FORMAT_2,1),"# ##0;-# ##0"),",-"),FIXED(ROUND(IF(EXC.RATE.SWITCH=1,C476/EXC.RATE_2,C476*EXC.RATE_2),CURRENCY.FORMAT_2),CURRENCY.FORMAT_2,0)),'DICTIONARY-5'!$A$2))</f>
        <v/>
      </c>
      <c r="L476" s="670" t="str">
        <f>IFERROR(IF(CURRENCY.FORMAT_1=0,CONCATENATE(TEXT(FIXED(ROUND((C476*(1-I476)*(1-ADD.DISCOUNT)*(1+MAT.SURCHARGE)/EXC.RATE_1),CURRENCY.FORMAT_1),CURRENCY.FORMAT_1,1),"# ##0;-# ##0"),",-"),FIXED(ROUND((C476*(1-I476)*(1-ADD.DISCOUNT)*(1+MAT.SURCHARGE)/EXC.RATE_1),CURRENCY.FORMAT_1),CURRENCY.FORMAT_1,0)),'DICTIONARY-5'!$A$2)</f>
        <v>648,-</v>
      </c>
      <c r="M476" s="670" t="str">
        <f>IF(EXC.RATE_2=0,"",IFERROR(IF(CURRENCY.FORMAT_2=0,CONCATENATE(TEXT(FIXED(ROUND(IF(EXC.RATE.SWITCH=1,C476*(1-I476)*(1-ADD.DISCOUNT)*(1+MAT.SURCHARGE)/EXC.RATE_2,C476*(1-I476)*(1-ADD.DISCOUNT)*(1+MAT.SURCHARGE)*EXC.RATE_2),CURRENCY.FORMAT_2),CURRENCY.FORMAT_2,1),"# ##0;-# ##0"),",-"),FIXED(ROUND(IF(EXC.RATE.SWITCH=1,C476*(1-I476)*(1-ADD.DISCOUNT)*(1+MAT.SURCHARGE)/EXC.RATE_2,C476*(1-I476)*(1-ADD.DISCOUNT)*(1+MAT.SURCHARGE)*EXC.RATE_2),CURRENCY.FORMAT_2),CURRENCY.FORMAT_2,0)),'DICTIONARY-5'!$A$2))</f>
        <v/>
      </c>
      <c r="N476" s="544">
        <v>1</v>
      </c>
      <c r="O476" s="544"/>
      <c r="P476" s="731" t="str">
        <f>'DICTIONARY-3'!$A$8</f>
        <v>IKOplus</v>
      </c>
      <c r="Q476" s="732" t="str">
        <f>'DICTIONARY-3'!$A$188</f>
        <v>Zasuwa klinowa</v>
      </c>
      <c r="R476" s="732" t="str">
        <f>CONCATENATE('DICTIONARY-3'!$A$8," ",'DICTIONARY-6'!$A$4," ",'DICTIONARY-2'!$A$2,U476," ",'DICTIONARY-2'!$A$3,"10/",V476," ","R15"," ",'DICTIONARY-6'!$A$36,", ",'DICTIONARY-4'!$A$7)</f>
        <v>IKOplus Zasuwa z wrzec. wznosz. się DN100 PN10/16 R15 SYNT., KR</v>
      </c>
      <c r="S476" s="733" t="str">
        <f>'DICTIONARY-4'!$A$7</f>
        <v>KR</v>
      </c>
      <c r="T476" s="732" t="str">
        <f>'DICTIONARY-4'!$A$23</f>
        <v>Kółko ręczne</v>
      </c>
      <c r="U476" s="734" t="s">
        <v>5749</v>
      </c>
      <c r="V476" s="735">
        <v>16</v>
      </c>
      <c r="W476" s="736"/>
      <c r="X476" s="737"/>
      <c r="Y476" s="738"/>
      <c r="Z476" s="739"/>
      <c r="AA476" s="739"/>
      <c r="AB476" s="740">
        <v>16</v>
      </c>
      <c r="AC476" s="741" t="str">
        <f>'DICTIONARY-5'!$A$11&amp;" 15"</f>
        <v>EN 558 szereg 15</v>
      </c>
      <c r="AD476" s="741" t="str">
        <f>'DICTIONARY-5'!$A$17</f>
        <v>woda przemysłowa</v>
      </c>
      <c r="AE476" s="742">
        <v>200</v>
      </c>
      <c r="AF476" s="743">
        <v>29</v>
      </c>
      <c r="AG476" s="741" t="str">
        <f>'DICTIONARY-5'!$A$24</f>
        <v>powłoka syntetyczna</v>
      </c>
    </row>
    <row r="477" spans="1:33" x14ac:dyDescent="0.25">
      <c r="A477" s="842" t="s">
        <v>465</v>
      </c>
      <c r="B477" s="842" t="s">
        <v>3047</v>
      </c>
      <c r="C477" s="836">
        <v>801</v>
      </c>
      <c r="D477" s="836"/>
      <c r="E477" s="836"/>
      <c r="F477" s="836"/>
      <c r="G477" s="496" t="s">
        <v>7794</v>
      </c>
      <c r="H477" s="797" t="str">
        <f>VLOOKUP(G477,SETTINGS!$B$7:$D$97,2,0)</f>
        <v>IKOplus</v>
      </c>
      <c r="I477" s="796">
        <f>VLOOKUP(G477,SETTINGS!$B$7:$D$97,3,0)</f>
        <v>0</v>
      </c>
      <c r="J477" s="670" t="str">
        <f>IFERROR(IF(CURRENCY.FORMAT_1=0,CONCATENATE(TEXT(FIXED(ROUND((C477/EXC.RATE_1),CURRENCY.FORMAT_1),CURRENCY.FORMAT_1,1),"# ##0;-# ##0"),",-"),FIXED(ROUND((C477/EXC.RATE_1),CURRENCY.FORMAT_1),CURRENCY.FORMAT_1,0)),'DICTIONARY-5'!$A$2)</f>
        <v>801,-</v>
      </c>
      <c r="K477" s="670" t="str">
        <f>IF(EXC.RATE_2=0,"",IFERROR(IF(CURRENCY.FORMAT_2=0,CONCATENATE(TEXT(FIXED(ROUND(IF(EXC.RATE.SWITCH=1,C477/EXC.RATE_2,C477*EXC.RATE_2),CURRENCY.FORMAT_2),CURRENCY.FORMAT_2,1),"# ##0;-# ##0"),",-"),FIXED(ROUND(IF(EXC.RATE.SWITCH=1,C477/EXC.RATE_2,C477*EXC.RATE_2),CURRENCY.FORMAT_2),CURRENCY.FORMAT_2,0)),'DICTIONARY-5'!$A$2))</f>
        <v/>
      </c>
      <c r="L477" s="670" t="str">
        <f>IFERROR(IF(CURRENCY.FORMAT_1=0,CONCATENATE(TEXT(FIXED(ROUND((C477*(1-I477)*(1-ADD.DISCOUNT)*(1+MAT.SURCHARGE)/EXC.RATE_1),CURRENCY.FORMAT_1),CURRENCY.FORMAT_1,1),"# ##0;-# ##0"),",-"),FIXED(ROUND((C477*(1-I477)*(1-ADD.DISCOUNT)*(1+MAT.SURCHARGE)/EXC.RATE_1),CURRENCY.FORMAT_1),CURRENCY.FORMAT_1,0)),'DICTIONARY-5'!$A$2)</f>
        <v>832,-</v>
      </c>
      <c r="M477" s="670" t="str">
        <f>IF(EXC.RATE_2=0,"",IFERROR(IF(CURRENCY.FORMAT_2=0,CONCATENATE(TEXT(FIXED(ROUND(IF(EXC.RATE.SWITCH=1,C477*(1-I477)*(1-ADD.DISCOUNT)*(1+MAT.SURCHARGE)/EXC.RATE_2,C477*(1-I477)*(1-ADD.DISCOUNT)*(1+MAT.SURCHARGE)*EXC.RATE_2),CURRENCY.FORMAT_2),CURRENCY.FORMAT_2,1),"# ##0;-# ##0"),",-"),FIXED(ROUND(IF(EXC.RATE.SWITCH=1,C477*(1-I477)*(1-ADD.DISCOUNT)*(1+MAT.SURCHARGE)/EXC.RATE_2,C477*(1-I477)*(1-ADD.DISCOUNT)*(1+MAT.SURCHARGE)*EXC.RATE_2),CURRENCY.FORMAT_2),CURRENCY.FORMAT_2,0)),'DICTIONARY-5'!$A$2))</f>
        <v/>
      </c>
      <c r="N477" s="544">
        <v>1</v>
      </c>
      <c r="O477" s="544"/>
      <c r="P477" s="731" t="str">
        <f>'DICTIONARY-3'!$A$8</f>
        <v>IKOplus</v>
      </c>
      <c r="Q477" s="732" t="str">
        <f>'DICTIONARY-3'!$A$188</f>
        <v>Zasuwa klinowa</v>
      </c>
      <c r="R477" s="732" t="str">
        <f>CONCATENATE('DICTIONARY-3'!$A$8," ",'DICTIONARY-6'!$A$4," ",'DICTIONARY-2'!$A$2,U477," ",'DICTIONARY-2'!$A$3,"10/",V477," ","R15"," ",'DICTIONARY-6'!$A$36,", ",'DICTIONARY-4'!$A$7)</f>
        <v>IKOplus Zasuwa z wrzec. wznosz. się DN125 PN10/16 R15 SYNT., KR</v>
      </c>
      <c r="S477" s="733" t="str">
        <f>'DICTIONARY-4'!$A$7</f>
        <v>KR</v>
      </c>
      <c r="T477" s="732" t="str">
        <f>'DICTIONARY-4'!$A$23</f>
        <v>Kółko ręczne</v>
      </c>
      <c r="U477" s="734" t="s">
        <v>5761</v>
      </c>
      <c r="V477" s="735">
        <v>16</v>
      </c>
      <c r="W477" s="736"/>
      <c r="X477" s="737"/>
      <c r="Y477" s="738"/>
      <c r="Z477" s="739"/>
      <c r="AA477" s="739"/>
      <c r="AB477" s="740">
        <v>16</v>
      </c>
      <c r="AC477" s="741" t="str">
        <f>'DICTIONARY-5'!$A$11&amp;" 15"</f>
        <v>EN 558 szereg 15</v>
      </c>
      <c r="AD477" s="741" t="str">
        <f>'DICTIONARY-5'!$A$17</f>
        <v>woda przemysłowa</v>
      </c>
      <c r="AE477" s="742">
        <v>200</v>
      </c>
      <c r="AF477" s="743">
        <v>43.55</v>
      </c>
      <c r="AG477" s="741" t="str">
        <f>'DICTIONARY-5'!$A$24</f>
        <v>powłoka syntetyczna</v>
      </c>
    </row>
    <row r="478" spans="1:33" x14ac:dyDescent="0.25">
      <c r="A478" s="842" t="s">
        <v>466</v>
      </c>
      <c r="B478" s="842" t="s">
        <v>3048</v>
      </c>
      <c r="C478" s="836">
        <v>1060</v>
      </c>
      <c r="D478" s="836"/>
      <c r="E478" s="836"/>
      <c r="F478" s="836"/>
      <c r="G478" s="496" t="s">
        <v>7794</v>
      </c>
      <c r="H478" s="797" t="str">
        <f>VLOOKUP(G478,SETTINGS!$B$7:$D$97,2,0)</f>
        <v>IKOplus</v>
      </c>
      <c r="I478" s="796">
        <f>VLOOKUP(G478,SETTINGS!$B$7:$D$97,3,0)</f>
        <v>0</v>
      </c>
      <c r="J478" s="670" t="str">
        <f>IFERROR(IF(CURRENCY.FORMAT_1=0,CONCATENATE(TEXT(FIXED(ROUND((C478/EXC.RATE_1),CURRENCY.FORMAT_1),CURRENCY.FORMAT_1,1),"# ##0;-# ##0"),",-"),FIXED(ROUND((C478/EXC.RATE_1),CURRENCY.FORMAT_1),CURRENCY.FORMAT_1,0)),'DICTIONARY-5'!$A$2)</f>
        <v>1 060,-</v>
      </c>
      <c r="K478" s="670" t="str">
        <f>IF(EXC.RATE_2=0,"",IFERROR(IF(CURRENCY.FORMAT_2=0,CONCATENATE(TEXT(FIXED(ROUND(IF(EXC.RATE.SWITCH=1,C478/EXC.RATE_2,C478*EXC.RATE_2),CURRENCY.FORMAT_2),CURRENCY.FORMAT_2,1),"# ##0;-# ##0"),",-"),FIXED(ROUND(IF(EXC.RATE.SWITCH=1,C478/EXC.RATE_2,C478*EXC.RATE_2),CURRENCY.FORMAT_2),CURRENCY.FORMAT_2,0)),'DICTIONARY-5'!$A$2))</f>
        <v/>
      </c>
      <c r="L478" s="670" t="str">
        <f>IFERROR(IF(CURRENCY.FORMAT_1=0,CONCATENATE(TEXT(FIXED(ROUND((C478*(1-I478)*(1-ADD.DISCOUNT)*(1+MAT.SURCHARGE)/EXC.RATE_1),CURRENCY.FORMAT_1),CURRENCY.FORMAT_1,1),"# ##0;-# ##0"),",-"),FIXED(ROUND((C478*(1-I478)*(1-ADD.DISCOUNT)*(1+MAT.SURCHARGE)/EXC.RATE_1),CURRENCY.FORMAT_1),CURRENCY.FORMAT_1,0)),'DICTIONARY-5'!$A$2)</f>
        <v>1 101,-</v>
      </c>
      <c r="M478" s="670" t="str">
        <f>IF(EXC.RATE_2=0,"",IFERROR(IF(CURRENCY.FORMAT_2=0,CONCATENATE(TEXT(FIXED(ROUND(IF(EXC.RATE.SWITCH=1,C478*(1-I478)*(1-ADD.DISCOUNT)*(1+MAT.SURCHARGE)/EXC.RATE_2,C478*(1-I478)*(1-ADD.DISCOUNT)*(1+MAT.SURCHARGE)*EXC.RATE_2),CURRENCY.FORMAT_2),CURRENCY.FORMAT_2,1),"# ##0;-# ##0"),",-"),FIXED(ROUND(IF(EXC.RATE.SWITCH=1,C478*(1-I478)*(1-ADD.DISCOUNT)*(1+MAT.SURCHARGE)/EXC.RATE_2,C478*(1-I478)*(1-ADD.DISCOUNT)*(1+MAT.SURCHARGE)*EXC.RATE_2),CURRENCY.FORMAT_2),CURRENCY.FORMAT_2,0)),'DICTIONARY-5'!$A$2))</f>
        <v/>
      </c>
      <c r="N478" s="544">
        <v>1</v>
      </c>
      <c r="O478" s="544"/>
      <c r="P478" s="731" t="str">
        <f>'DICTIONARY-3'!$A$8</f>
        <v>IKOplus</v>
      </c>
      <c r="Q478" s="732" t="str">
        <f>'DICTIONARY-3'!$A$188</f>
        <v>Zasuwa klinowa</v>
      </c>
      <c r="R478" s="732" t="str">
        <f>CONCATENATE('DICTIONARY-3'!$A$8," ",'DICTIONARY-6'!$A$4," ",'DICTIONARY-2'!$A$2,U478," ",'DICTIONARY-2'!$A$3,"10/",V478," ","R15"," ",'DICTIONARY-6'!$A$36,", ",'DICTIONARY-4'!$A$7)</f>
        <v>IKOplus Zasuwa z wrzec. wznosz. się DN150 PN10/16 R15 SYNT., KR</v>
      </c>
      <c r="S478" s="733" t="str">
        <f>'DICTIONARY-4'!$A$7</f>
        <v>KR</v>
      </c>
      <c r="T478" s="732" t="str">
        <f>'DICTIONARY-4'!$A$23</f>
        <v>Kółko ręczne</v>
      </c>
      <c r="U478" s="734" t="s">
        <v>5572</v>
      </c>
      <c r="V478" s="735">
        <v>16</v>
      </c>
      <c r="W478" s="736"/>
      <c r="X478" s="737"/>
      <c r="Y478" s="738"/>
      <c r="Z478" s="739"/>
      <c r="AA478" s="739"/>
      <c r="AB478" s="740">
        <v>16</v>
      </c>
      <c r="AC478" s="741" t="str">
        <f>'DICTIONARY-5'!$A$11&amp;" 15"</f>
        <v>EN 558 szereg 15</v>
      </c>
      <c r="AD478" s="741" t="str">
        <f>'DICTIONARY-5'!$A$17</f>
        <v>woda przemysłowa</v>
      </c>
      <c r="AE478" s="742">
        <v>200</v>
      </c>
      <c r="AF478" s="743">
        <v>53.5</v>
      </c>
      <c r="AG478" s="741" t="str">
        <f>'DICTIONARY-5'!$A$24</f>
        <v>powłoka syntetyczna</v>
      </c>
    </row>
    <row r="479" spans="1:33" x14ac:dyDescent="0.25">
      <c r="A479" s="842" t="s">
        <v>467</v>
      </c>
      <c r="B479" s="842" t="s">
        <v>3049</v>
      </c>
      <c r="C479" s="836">
        <v>1306</v>
      </c>
      <c r="D479" s="836"/>
      <c r="E479" s="836"/>
      <c r="F479" s="836"/>
      <c r="G479" s="496" t="s">
        <v>7794</v>
      </c>
      <c r="H479" s="797" t="str">
        <f>VLOOKUP(G479,SETTINGS!$B$7:$D$97,2,0)</f>
        <v>IKOplus</v>
      </c>
      <c r="I479" s="796">
        <f>VLOOKUP(G479,SETTINGS!$B$7:$D$97,3,0)</f>
        <v>0</v>
      </c>
      <c r="J479" s="670" t="str">
        <f>IFERROR(IF(CURRENCY.FORMAT_1=0,CONCATENATE(TEXT(FIXED(ROUND((C479/EXC.RATE_1),CURRENCY.FORMAT_1),CURRENCY.FORMAT_1,1),"# ##0;-# ##0"),",-"),FIXED(ROUND((C479/EXC.RATE_1),CURRENCY.FORMAT_1),CURRENCY.FORMAT_1,0)),'DICTIONARY-5'!$A$2)</f>
        <v>1 306,-</v>
      </c>
      <c r="K479" s="670" t="str">
        <f>IF(EXC.RATE_2=0,"",IFERROR(IF(CURRENCY.FORMAT_2=0,CONCATENATE(TEXT(FIXED(ROUND(IF(EXC.RATE.SWITCH=1,C479/EXC.RATE_2,C479*EXC.RATE_2),CURRENCY.FORMAT_2),CURRENCY.FORMAT_2,1),"# ##0;-# ##0"),",-"),FIXED(ROUND(IF(EXC.RATE.SWITCH=1,C479/EXC.RATE_2,C479*EXC.RATE_2),CURRENCY.FORMAT_2),CURRENCY.FORMAT_2,0)),'DICTIONARY-5'!$A$2))</f>
        <v/>
      </c>
      <c r="L479" s="670" t="str">
        <f>IFERROR(IF(CURRENCY.FORMAT_1=0,CONCATENATE(TEXT(FIXED(ROUND((C479*(1-I479)*(1-ADD.DISCOUNT)*(1+MAT.SURCHARGE)/EXC.RATE_1),CURRENCY.FORMAT_1),CURRENCY.FORMAT_1,1),"# ##0;-# ##0"),",-"),FIXED(ROUND((C479*(1-I479)*(1-ADD.DISCOUNT)*(1+MAT.SURCHARGE)/EXC.RATE_1),CURRENCY.FORMAT_1),CURRENCY.FORMAT_1,0)),'DICTIONARY-5'!$A$2)</f>
        <v>1 357,-</v>
      </c>
      <c r="M479" s="670" t="str">
        <f>IF(EXC.RATE_2=0,"",IFERROR(IF(CURRENCY.FORMAT_2=0,CONCATENATE(TEXT(FIXED(ROUND(IF(EXC.RATE.SWITCH=1,C479*(1-I479)*(1-ADD.DISCOUNT)*(1+MAT.SURCHARGE)/EXC.RATE_2,C479*(1-I479)*(1-ADD.DISCOUNT)*(1+MAT.SURCHARGE)*EXC.RATE_2),CURRENCY.FORMAT_2),CURRENCY.FORMAT_2,1),"# ##0;-# ##0"),",-"),FIXED(ROUND(IF(EXC.RATE.SWITCH=1,C479*(1-I479)*(1-ADD.DISCOUNT)*(1+MAT.SURCHARGE)/EXC.RATE_2,C479*(1-I479)*(1-ADD.DISCOUNT)*(1+MAT.SURCHARGE)*EXC.RATE_2),CURRENCY.FORMAT_2),CURRENCY.FORMAT_2,0)),'DICTIONARY-5'!$A$2))</f>
        <v/>
      </c>
      <c r="N479" s="544">
        <v>1</v>
      </c>
      <c r="O479" s="544"/>
      <c r="P479" s="731" t="str">
        <f>'DICTIONARY-3'!$A$8</f>
        <v>IKOplus</v>
      </c>
      <c r="Q479" s="732" t="str">
        <f>'DICTIONARY-3'!$A$188</f>
        <v>Zasuwa klinowa</v>
      </c>
      <c r="R479" s="732" t="str">
        <f>CONCATENATE('DICTIONARY-3'!$A$8," ",'DICTIONARY-6'!$A$4," ",'DICTIONARY-2'!$A$2,U479," ",'DICTIONARY-2'!$A$3,V479," ","R15"," ",'DICTIONARY-6'!$A$36,", ",'DICTIONARY-4'!$A$7)</f>
        <v>IKOplus Zasuwa z wrzec. wznosz. się DN200 PN16 R15 SYNT., KR</v>
      </c>
      <c r="S479" s="733" t="str">
        <f>'DICTIONARY-4'!$A$7</f>
        <v>KR</v>
      </c>
      <c r="T479" s="732" t="str">
        <f>'DICTIONARY-4'!$A$23</f>
        <v>Kółko ręczne</v>
      </c>
      <c r="U479" s="734" t="s">
        <v>5750</v>
      </c>
      <c r="V479" s="735">
        <v>16</v>
      </c>
      <c r="W479" s="736"/>
      <c r="X479" s="737"/>
      <c r="Y479" s="738"/>
      <c r="Z479" s="739"/>
      <c r="AA479" s="739"/>
      <c r="AB479" s="740">
        <v>16</v>
      </c>
      <c r="AC479" s="741" t="str">
        <f>'DICTIONARY-5'!$A$11&amp;" 15"</f>
        <v>EN 558 szereg 15</v>
      </c>
      <c r="AD479" s="741" t="str">
        <f>'DICTIONARY-5'!$A$17</f>
        <v>woda przemysłowa</v>
      </c>
      <c r="AE479" s="742">
        <v>200</v>
      </c>
      <c r="AF479" s="743">
        <v>87</v>
      </c>
      <c r="AG479" s="741" t="str">
        <f>'DICTIONARY-5'!$A$24</f>
        <v>powłoka syntetyczna</v>
      </c>
    </row>
    <row r="480" spans="1:33" x14ac:dyDescent="0.25">
      <c r="A480" s="842" t="s">
        <v>468</v>
      </c>
      <c r="B480" s="842" t="s">
        <v>3050</v>
      </c>
      <c r="C480" s="836">
        <v>1838</v>
      </c>
      <c r="D480" s="836"/>
      <c r="E480" s="836"/>
      <c r="F480" s="836"/>
      <c r="G480" s="496" t="s">
        <v>7794</v>
      </c>
      <c r="H480" s="797" t="str">
        <f>VLOOKUP(G480,SETTINGS!$B$7:$D$97,2,0)</f>
        <v>IKOplus</v>
      </c>
      <c r="I480" s="796">
        <f>VLOOKUP(G480,SETTINGS!$B$7:$D$97,3,0)</f>
        <v>0</v>
      </c>
      <c r="J480" s="670" t="str">
        <f>IFERROR(IF(CURRENCY.FORMAT_1=0,CONCATENATE(TEXT(FIXED(ROUND((C480/EXC.RATE_1),CURRENCY.FORMAT_1),CURRENCY.FORMAT_1,1),"# ##0;-# ##0"),",-"),FIXED(ROUND((C480/EXC.RATE_1),CURRENCY.FORMAT_1),CURRENCY.FORMAT_1,0)),'DICTIONARY-5'!$A$2)</f>
        <v>1 838,-</v>
      </c>
      <c r="K480" s="670" t="str">
        <f>IF(EXC.RATE_2=0,"",IFERROR(IF(CURRENCY.FORMAT_2=0,CONCATENATE(TEXT(FIXED(ROUND(IF(EXC.RATE.SWITCH=1,C480/EXC.RATE_2,C480*EXC.RATE_2),CURRENCY.FORMAT_2),CURRENCY.FORMAT_2,1),"# ##0;-# ##0"),",-"),FIXED(ROUND(IF(EXC.RATE.SWITCH=1,C480/EXC.RATE_2,C480*EXC.RATE_2),CURRENCY.FORMAT_2),CURRENCY.FORMAT_2,0)),'DICTIONARY-5'!$A$2))</f>
        <v/>
      </c>
      <c r="L480" s="670" t="str">
        <f>IFERROR(IF(CURRENCY.FORMAT_1=0,CONCATENATE(TEXT(FIXED(ROUND((C480*(1-I480)*(1-ADD.DISCOUNT)*(1+MAT.SURCHARGE)/EXC.RATE_1),CURRENCY.FORMAT_1),CURRENCY.FORMAT_1,1),"# ##0;-# ##0"),",-"),FIXED(ROUND((C480*(1-I480)*(1-ADD.DISCOUNT)*(1+MAT.SURCHARGE)/EXC.RATE_1),CURRENCY.FORMAT_1),CURRENCY.FORMAT_1,0)),'DICTIONARY-5'!$A$2)</f>
        <v>1 910,-</v>
      </c>
      <c r="M480" s="670" t="str">
        <f>IF(EXC.RATE_2=0,"",IFERROR(IF(CURRENCY.FORMAT_2=0,CONCATENATE(TEXT(FIXED(ROUND(IF(EXC.RATE.SWITCH=1,C480*(1-I480)*(1-ADD.DISCOUNT)*(1+MAT.SURCHARGE)/EXC.RATE_2,C480*(1-I480)*(1-ADD.DISCOUNT)*(1+MAT.SURCHARGE)*EXC.RATE_2),CURRENCY.FORMAT_2),CURRENCY.FORMAT_2,1),"# ##0;-# ##0"),",-"),FIXED(ROUND(IF(EXC.RATE.SWITCH=1,C480*(1-I480)*(1-ADD.DISCOUNT)*(1+MAT.SURCHARGE)/EXC.RATE_2,C480*(1-I480)*(1-ADD.DISCOUNT)*(1+MAT.SURCHARGE)*EXC.RATE_2),CURRENCY.FORMAT_2),CURRENCY.FORMAT_2,0)),'DICTIONARY-5'!$A$2))</f>
        <v/>
      </c>
      <c r="N480" s="544">
        <v>1</v>
      </c>
      <c r="O480" s="544"/>
      <c r="P480" s="731" t="str">
        <f>'DICTIONARY-3'!$A$8</f>
        <v>IKOplus</v>
      </c>
      <c r="Q480" s="732" t="str">
        <f>'DICTIONARY-3'!$A$188</f>
        <v>Zasuwa klinowa</v>
      </c>
      <c r="R480" s="732" t="str">
        <f>CONCATENATE('DICTIONARY-3'!$A$8," ",'DICTIONARY-6'!$A$4," ",'DICTIONARY-2'!$A$2,U480," ",'DICTIONARY-2'!$A$3,V480," ","R15"," ",'DICTIONARY-6'!$A$36,", ",'DICTIONARY-4'!$A$7)</f>
        <v>IKOplus Zasuwa z wrzec. wznosz. się DN250 PN16 R15 SYNT., KR</v>
      </c>
      <c r="S480" s="733" t="str">
        <f>'DICTIONARY-4'!$A$7</f>
        <v>KR</v>
      </c>
      <c r="T480" s="732" t="str">
        <f>'DICTIONARY-4'!$A$23</f>
        <v>Kółko ręczne</v>
      </c>
      <c r="U480" s="734" t="s">
        <v>5751</v>
      </c>
      <c r="V480" s="735">
        <v>16</v>
      </c>
      <c r="W480" s="736"/>
      <c r="X480" s="737"/>
      <c r="Y480" s="738"/>
      <c r="Z480" s="739"/>
      <c r="AA480" s="739"/>
      <c r="AB480" s="740">
        <v>16</v>
      </c>
      <c r="AC480" s="741" t="str">
        <f>'DICTIONARY-5'!$A$11&amp;" 15"</f>
        <v>EN 558 szereg 15</v>
      </c>
      <c r="AD480" s="741" t="str">
        <f>'DICTIONARY-5'!$A$17</f>
        <v>woda przemysłowa</v>
      </c>
      <c r="AE480" s="742">
        <v>200</v>
      </c>
      <c r="AF480" s="743">
        <v>136.4</v>
      </c>
      <c r="AG480" s="741" t="str">
        <f>'DICTIONARY-5'!$A$24</f>
        <v>powłoka syntetyczna</v>
      </c>
    </row>
    <row r="481" spans="1:33" x14ac:dyDescent="0.25">
      <c r="A481" s="842" t="s">
        <v>469</v>
      </c>
      <c r="B481" s="842" t="s">
        <v>3051</v>
      </c>
      <c r="C481" s="836">
        <v>2500</v>
      </c>
      <c r="D481" s="836"/>
      <c r="E481" s="836"/>
      <c r="F481" s="836"/>
      <c r="G481" s="496" t="s">
        <v>7794</v>
      </c>
      <c r="H481" s="797" t="str">
        <f>VLOOKUP(G481,SETTINGS!$B$7:$D$97,2,0)</f>
        <v>IKOplus</v>
      </c>
      <c r="I481" s="796">
        <f>VLOOKUP(G481,SETTINGS!$B$7:$D$97,3,0)</f>
        <v>0</v>
      </c>
      <c r="J481" s="670" t="str">
        <f>IFERROR(IF(CURRENCY.FORMAT_1=0,CONCATENATE(TEXT(FIXED(ROUND((C481/EXC.RATE_1),CURRENCY.FORMAT_1),CURRENCY.FORMAT_1,1),"# ##0;-# ##0"),",-"),FIXED(ROUND((C481/EXC.RATE_1),CURRENCY.FORMAT_1),CURRENCY.FORMAT_1,0)),'DICTIONARY-5'!$A$2)</f>
        <v>2 500,-</v>
      </c>
      <c r="K481" s="670" t="str">
        <f>IF(EXC.RATE_2=0,"",IFERROR(IF(CURRENCY.FORMAT_2=0,CONCATENATE(TEXT(FIXED(ROUND(IF(EXC.RATE.SWITCH=1,C481/EXC.RATE_2,C481*EXC.RATE_2),CURRENCY.FORMAT_2),CURRENCY.FORMAT_2,1),"# ##0;-# ##0"),",-"),FIXED(ROUND(IF(EXC.RATE.SWITCH=1,C481/EXC.RATE_2,C481*EXC.RATE_2),CURRENCY.FORMAT_2),CURRENCY.FORMAT_2,0)),'DICTIONARY-5'!$A$2))</f>
        <v/>
      </c>
      <c r="L481" s="670" t="str">
        <f>IFERROR(IF(CURRENCY.FORMAT_1=0,CONCATENATE(TEXT(FIXED(ROUND((C481*(1-I481)*(1-ADD.DISCOUNT)*(1+MAT.SURCHARGE)/EXC.RATE_1),CURRENCY.FORMAT_1),CURRENCY.FORMAT_1,1),"# ##0;-# ##0"),",-"),FIXED(ROUND((C481*(1-I481)*(1-ADD.DISCOUNT)*(1+MAT.SURCHARGE)/EXC.RATE_1),CURRENCY.FORMAT_1),CURRENCY.FORMAT_1,0)),'DICTIONARY-5'!$A$2)</f>
        <v>2 598,-</v>
      </c>
      <c r="M481" s="670" t="str">
        <f>IF(EXC.RATE_2=0,"",IFERROR(IF(CURRENCY.FORMAT_2=0,CONCATENATE(TEXT(FIXED(ROUND(IF(EXC.RATE.SWITCH=1,C481*(1-I481)*(1-ADD.DISCOUNT)*(1+MAT.SURCHARGE)/EXC.RATE_2,C481*(1-I481)*(1-ADD.DISCOUNT)*(1+MAT.SURCHARGE)*EXC.RATE_2),CURRENCY.FORMAT_2),CURRENCY.FORMAT_2,1),"# ##0;-# ##0"),",-"),FIXED(ROUND(IF(EXC.RATE.SWITCH=1,C481*(1-I481)*(1-ADD.DISCOUNT)*(1+MAT.SURCHARGE)/EXC.RATE_2,C481*(1-I481)*(1-ADD.DISCOUNT)*(1+MAT.SURCHARGE)*EXC.RATE_2),CURRENCY.FORMAT_2),CURRENCY.FORMAT_2,0)),'DICTIONARY-5'!$A$2))</f>
        <v/>
      </c>
      <c r="N481" s="544">
        <v>1</v>
      </c>
      <c r="O481" s="544"/>
      <c r="P481" s="731" t="str">
        <f>'DICTIONARY-3'!$A$8</f>
        <v>IKOplus</v>
      </c>
      <c r="Q481" s="732" t="str">
        <f>'DICTIONARY-3'!$A$188</f>
        <v>Zasuwa klinowa</v>
      </c>
      <c r="R481" s="732" t="str">
        <f>CONCATENATE('DICTIONARY-3'!$A$8," ",'DICTIONARY-6'!$A$4," ",'DICTIONARY-2'!$A$2,U481," ",'DICTIONARY-2'!$A$3,V481," ","R15"," ",'DICTIONARY-6'!$A$36,", ",'DICTIONARY-4'!$A$7)</f>
        <v>IKOplus Zasuwa z wrzec. wznosz. się DN300 PN16 R15 SYNT., KR</v>
      </c>
      <c r="S481" s="733" t="str">
        <f>'DICTIONARY-4'!$A$7</f>
        <v>KR</v>
      </c>
      <c r="T481" s="732" t="str">
        <f>'DICTIONARY-4'!$A$23</f>
        <v>Kółko ręczne</v>
      </c>
      <c r="U481" s="734" t="s">
        <v>5752</v>
      </c>
      <c r="V481" s="735">
        <v>16</v>
      </c>
      <c r="W481" s="736"/>
      <c r="X481" s="737"/>
      <c r="Y481" s="738"/>
      <c r="Z481" s="739"/>
      <c r="AA481" s="739"/>
      <c r="AB481" s="740">
        <v>16</v>
      </c>
      <c r="AC481" s="741" t="str">
        <f>'DICTIONARY-5'!$A$11&amp;" 15"</f>
        <v>EN 558 szereg 15</v>
      </c>
      <c r="AD481" s="741" t="str">
        <f>'DICTIONARY-5'!$A$17</f>
        <v>woda przemysłowa</v>
      </c>
      <c r="AE481" s="742">
        <v>200</v>
      </c>
      <c r="AF481" s="743">
        <v>185</v>
      </c>
      <c r="AG481" s="741" t="str">
        <f>'DICTIONARY-5'!$A$24</f>
        <v>powłoka syntetyczna</v>
      </c>
    </row>
    <row r="482" spans="1:33" x14ac:dyDescent="0.25">
      <c r="A482" s="842" t="s">
        <v>7970</v>
      </c>
      <c r="B482" s="842" t="s">
        <v>7960</v>
      </c>
      <c r="C482" s="836">
        <v>510</v>
      </c>
      <c r="D482" s="836"/>
      <c r="E482" s="836"/>
      <c r="F482" s="836"/>
      <c r="G482" s="496" t="s">
        <v>7794</v>
      </c>
      <c r="H482" s="797" t="str">
        <f>VLOOKUP(G482,SETTINGS!$B$7:$D$97,2,0)</f>
        <v>IKOplus</v>
      </c>
      <c r="I482" s="796">
        <f>VLOOKUP(G482,SETTINGS!$B$7:$D$97,3,0)</f>
        <v>0</v>
      </c>
      <c r="J482" s="670" t="str">
        <f>IFERROR(IF(CURRENCY.FORMAT_1=0,CONCATENATE(TEXT(FIXED(ROUND((C482/EXC.RATE_1),CURRENCY.FORMAT_1),CURRENCY.FORMAT_1,1),"# ##0;-# ##0"),",-"),FIXED(ROUND((C482/EXC.RATE_1),CURRENCY.FORMAT_1),CURRENCY.FORMAT_1,0)),'DICTIONARY-5'!$A$2)</f>
        <v>510,-</v>
      </c>
      <c r="K482" s="670" t="str">
        <f>IF(EXC.RATE_2=0,"",IFERROR(IF(CURRENCY.FORMAT_2=0,CONCATENATE(TEXT(FIXED(ROUND(IF(EXC.RATE.SWITCH=1,C482/EXC.RATE_2,C482*EXC.RATE_2),CURRENCY.FORMAT_2),CURRENCY.FORMAT_2,1),"# ##0;-# ##0"),",-"),FIXED(ROUND(IF(EXC.RATE.SWITCH=1,C482/EXC.RATE_2,C482*EXC.RATE_2),CURRENCY.FORMAT_2),CURRENCY.FORMAT_2,0)),'DICTIONARY-5'!$A$2))</f>
        <v/>
      </c>
      <c r="L482" s="670" t="str">
        <f>IFERROR(IF(CURRENCY.FORMAT_1=0,CONCATENATE(TEXT(FIXED(ROUND((C482*(1-I482)*(1-ADD.DISCOUNT)*(1+MAT.SURCHARGE)/EXC.RATE_1),CURRENCY.FORMAT_1),CURRENCY.FORMAT_1,1),"# ##0;-# ##0"),",-"),FIXED(ROUND((C482*(1-I482)*(1-ADD.DISCOUNT)*(1+MAT.SURCHARGE)/EXC.RATE_1),CURRENCY.FORMAT_1),CURRENCY.FORMAT_1,0)),'DICTIONARY-5'!$A$2)</f>
        <v>530,-</v>
      </c>
      <c r="M482" s="670" t="str">
        <f>IF(EXC.RATE_2=0,"",IFERROR(IF(CURRENCY.FORMAT_2=0,CONCATENATE(TEXT(FIXED(ROUND(IF(EXC.RATE.SWITCH=1,C482*(1-I482)*(1-ADD.DISCOUNT)*(1+MAT.SURCHARGE)/EXC.RATE_2,C482*(1-I482)*(1-ADD.DISCOUNT)*(1+MAT.SURCHARGE)*EXC.RATE_2),CURRENCY.FORMAT_2),CURRENCY.FORMAT_2,1),"# ##0;-# ##0"),",-"),FIXED(ROUND(IF(EXC.RATE.SWITCH=1,C482*(1-I482)*(1-ADD.DISCOUNT)*(1+MAT.SURCHARGE)/EXC.RATE_2,C482*(1-I482)*(1-ADD.DISCOUNT)*(1+MAT.SURCHARGE)*EXC.RATE_2),CURRENCY.FORMAT_2),CURRENCY.FORMAT_2,0)),'DICTIONARY-5'!$A$2))</f>
        <v/>
      </c>
      <c r="N482" s="544">
        <v>1</v>
      </c>
      <c r="O482" s="544"/>
      <c r="P482" s="731" t="str">
        <f>'DICTIONARY-3'!$A$9</f>
        <v>IKOplus TRAFO</v>
      </c>
      <c r="Q482" s="732" t="str">
        <f>'DICTIONARY-3'!$A$188</f>
        <v>Zasuwa klinowa</v>
      </c>
      <c r="R482" s="732" t="str">
        <f>CONCATENATE('DICTIONARY-3'!$A$9," ",'DICTIONARY-6'!$A$3," ",'DICTIONARY-2'!$A$2,U482," ",'DICTIONARY-2'!$A$3,V482," ","R14",", ",'DICTIONARY-4'!$A$7)</f>
        <v>IKOplus TRAFO Zasuwa DN40 PN10 R14, KR</v>
      </c>
      <c r="S482" s="733" t="str">
        <f>'DICTIONARY-4'!$A$7</f>
        <v>KR</v>
      </c>
      <c r="T482" s="732" t="str">
        <f>'DICTIONARY-4'!$A$23</f>
        <v>Kółko ręczne</v>
      </c>
      <c r="U482" s="734" t="s">
        <v>5758</v>
      </c>
      <c r="V482" s="735">
        <v>10</v>
      </c>
      <c r="W482" s="736"/>
      <c r="X482" s="737"/>
      <c r="Y482" s="738"/>
      <c r="Z482" s="739"/>
      <c r="AA482" s="739"/>
      <c r="AB482" s="740">
        <v>10</v>
      </c>
      <c r="AC482" s="741" t="str">
        <f>'DICTIONARY-5'!$A$11&amp;" 14"</f>
        <v>EN 558 szereg 14</v>
      </c>
      <c r="AD482" s="741" t="str">
        <f>'DICTIONARY-5'!$A$22</f>
        <v>olej transformatorowy</v>
      </c>
      <c r="AE482" s="742">
        <v>80</v>
      </c>
      <c r="AF482" s="743">
        <v>9.5</v>
      </c>
      <c r="AG482" s="733" t="str">
        <f>'DICTIONARY-5'!$A$23&amp;" + "&amp;'DICTIONARY-5'!$A$26</f>
        <v>powłoka epoksydowa + akryl</v>
      </c>
    </row>
    <row r="483" spans="1:33" x14ac:dyDescent="0.25">
      <c r="A483" s="842" t="s">
        <v>7971</v>
      </c>
      <c r="B483" s="842" t="s">
        <v>7961</v>
      </c>
      <c r="C483" s="836">
        <v>521</v>
      </c>
      <c r="D483" s="836"/>
      <c r="E483" s="836"/>
      <c r="F483" s="836"/>
      <c r="G483" s="496" t="s">
        <v>7794</v>
      </c>
      <c r="H483" s="797" t="str">
        <f>VLOOKUP(G483,SETTINGS!$B$7:$D$97,2,0)</f>
        <v>IKOplus</v>
      </c>
      <c r="I483" s="796">
        <f>VLOOKUP(G483,SETTINGS!$B$7:$D$97,3,0)</f>
        <v>0</v>
      </c>
      <c r="J483" s="670" t="str">
        <f>IFERROR(IF(CURRENCY.FORMAT_1=0,CONCATENATE(TEXT(FIXED(ROUND((C483/EXC.RATE_1),CURRENCY.FORMAT_1),CURRENCY.FORMAT_1,1),"# ##0;-# ##0"),",-"),FIXED(ROUND((C483/EXC.RATE_1),CURRENCY.FORMAT_1),CURRENCY.FORMAT_1,0)),'DICTIONARY-5'!$A$2)</f>
        <v>521,-</v>
      </c>
      <c r="K483" s="670" t="str">
        <f>IF(EXC.RATE_2=0,"",IFERROR(IF(CURRENCY.FORMAT_2=0,CONCATENATE(TEXT(FIXED(ROUND(IF(EXC.RATE.SWITCH=1,C483/EXC.RATE_2,C483*EXC.RATE_2),CURRENCY.FORMAT_2),CURRENCY.FORMAT_2,1),"# ##0;-# ##0"),",-"),FIXED(ROUND(IF(EXC.RATE.SWITCH=1,C483/EXC.RATE_2,C483*EXC.RATE_2),CURRENCY.FORMAT_2),CURRENCY.FORMAT_2,0)),'DICTIONARY-5'!$A$2))</f>
        <v/>
      </c>
      <c r="L483" s="670" t="str">
        <f>IFERROR(IF(CURRENCY.FORMAT_1=0,CONCATENATE(TEXT(FIXED(ROUND((C483*(1-I483)*(1-ADD.DISCOUNT)*(1+MAT.SURCHARGE)/EXC.RATE_1),CURRENCY.FORMAT_1),CURRENCY.FORMAT_1,1),"# ##0;-# ##0"),",-"),FIXED(ROUND((C483*(1-I483)*(1-ADD.DISCOUNT)*(1+MAT.SURCHARGE)/EXC.RATE_1),CURRENCY.FORMAT_1),CURRENCY.FORMAT_1,0)),'DICTIONARY-5'!$A$2)</f>
        <v>541,-</v>
      </c>
      <c r="M483" s="670" t="str">
        <f>IF(EXC.RATE_2=0,"",IFERROR(IF(CURRENCY.FORMAT_2=0,CONCATENATE(TEXT(FIXED(ROUND(IF(EXC.RATE.SWITCH=1,C483*(1-I483)*(1-ADD.DISCOUNT)*(1+MAT.SURCHARGE)/EXC.RATE_2,C483*(1-I483)*(1-ADD.DISCOUNT)*(1+MAT.SURCHARGE)*EXC.RATE_2),CURRENCY.FORMAT_2),CURRENCY.FORMAT_2,1),"# ##0;-# ##0"),",-"),FIXED(ROUND(IF(EXC.RATE.SWITCH=1,C483*(1-I483)*(1-ADD.DISCOUNT)*(1+MAT.SURCHARGE)/EXC.RATE_2,C483*(1-I483)*(1-ADD.DISCOUNT)*(1+MAT.SURCHARGE)*EXC.RATE_2),CURRENCY.FORMAT_2),CURRENCY.FORMAT_2,0)),'DICTIONARY-5'!$A$2))</f>
        <v/>
      </c>
      <c r="N483" s="544">
        <v>1</v>
      </c>
      <c r="O483" s="544"/>
      <c r="P483" s="731" t="str">
        <f>'DICTIONARY-3'!$A$9</f>
        <v>IKOplus TRAFO</v>
      </c>
      <c r="Q483" s="732" t="str">
        <f>'DICTIONARY-3'!$A$188</f>
        <v>Zasuwa klinowa</v>
      </c>
      <c r="R483" s="732" t="str">
        <f>CONCATENATE('DICTIONARY-3'!$A$9," ",'DICTIONARY-6'!$A$3," ",'DICTIONARY-2'!$A$2,U483," ",'DICTIONARY-2'!$A$3,V483," ","R14",", ",'DICTIONARY-4'!$A$7)</f>
        <v>IKOplus TRAFO Zasuwa DN50 PN10 R14, KR</v>
      </c>
      <c r="S483" s="733" t="str">
        <f>'DICTIONARY-4'!$A$7</f>
        <v>KR</v>
      </c>
      <c r="T483" s="732" t="str">
        <f>'DICTIONARY-4'!$A$23</f>
        <v>Kółko ręczne</v>
      </c>
      <c r="U483" s="734" t="s">
        <v>5748</v>
      </c>
      <c r="V483" s="735">
        <v>10</v>
      </c>
      <c r="W483" s="736"/>
      <c r="X483" s="737"/>
      <c r="Y483" s="738"/>
      <c r="Z483" s="739"/>
      <c r="AA483" s="739"/>
      <c r="AB483" s="740">
        <v>10</v>
      </c>
      <c r="AC483" s="741" t="str">
        <f>'DICTIONARY-5'!$A$11&amp;" 14"</f>
        <v>EN 558 szereg 14</v>
      </c>
      <c r="AD483" s="741" t="str">
        <f>'DICTIONARY-5'!$A$22</f>
        <v>olej transformatorowy</v>
      </c>
      <c r="AE483" s="742">
        <v>80</v>
      </c>
      <c r="AF483" s="743">
        <v>11</v>
      </c>
      <c r="AG483" s="733" t="str">
        <f>'DICTIONARY-5'!$A$23&amp;" + "&amp;'DICTIONARY-5'!$A$26</f>
        <v>powłoka epoksydowa + akryl</v>
      </c>
    </row>
    <row r="484" spans="1:33" x14ac:dyDescent="0.25">
      <c r="A484" s="842" t="s">
        <v>7972</v>
      </c>
      <c r="B484" s="842" t="s">
        <v>7962</v>
      </c>
      <c r="C484" s="836">
        <v>601</v>
      </c>
      <c r="D484" s="836"/>
      <c r="E484" s="836"/>
      <c r="F484" s="836"/>
      <c r="G484" s="496" t="s">
        <v>7794</v>
      </c>
      <c r="H484" s="797" t="str">
        <f>VLOOKUP(G484,SETTINGS!$B$7:$D$97,2,0)</f>
        <v>IKOplus</v>
      </c>
      <c r="I484" s="796">
        <f>VLOOKUP(G484,SETTINGS!$B$7:$D$97,3,0)</f>
        <v>0</v>
      </c>
      <c r="J484" s="670" t="str">
        <f>IFERROR(IF(CURRENCY.FORMAT_1=0,CONCATENATE(TEXT(FIXED(ROUND((C484/EXC.RATE_1),CURRENCY.FORMAT_1),CURRENCY.FORMAT_1,1),"# ##0;-# ##0"),",-"),FIXED(ROUND((C484/EXC.RATE_1),CURRENCY.FORMAT_1),CURRENCY.FORMAT_1,0)),'DICTIONARY-5'!$A$2)</f>
        <v>601,-</v>
      </c>
      <c r="K484" s="670" t="str">
        <f>IF(EXC.RATE_2=0,"",IFERROR(IF(CURRENCY.FORMAT_2=0,CONCATENATE(TEXT(FIXED(ROUND(IF(EXC.RATE.SWITCH=1,C484/EXC.RATE_2,C484*EXC.RATE_2),CURRENCY.FORMAT_2),CURRENCY.FORMAT_2,1),"# ##0;-# ##0"),",-"),FIXED(ROUND(IF(EXC.RATE.SWITCH=1,C484/EXC.RATE_2,C484*EXC.RATE_2),CURRENCY.FORMAT_2),CURRENCY.FORMAT_2,0)),'DICTIONARY-5'!$A$2))</f>
        <v/>
      </c>
      <c r="L484" s="670" t="str">
        <f>IFERROR(IF(CURRENCY.FORMAT_1=0,CONCATENATE(TEXT(FIXED(ROUND((C484*(1-I484)*(1-ADD.DISCOUNT)*(1+MAT.SURCHARGE)/EXC.RATE_1),CURRENCY.FORMAT_1),CURRENCY.FORMAT_1,1),"# ##0;-# ##0"),",-"),FIXED(ROUND((C484*(1-I484)*(1-ADD.DISCOUNT)*(1+MAT.SURCHARGE)/EXC.RATE_1),CURRENCY.FORMAT_1),CURRENCY.FORMAT_1,0)),'DICTIONARY-5'!$A$2)</f>
        <v>624,-</v>
      </c>
      <c r="M484" s="670" t="str">
        <f>IF(EXC.RATE_2=0,"",IFERROR(IF(CURRENCY.FORMAT_2=0,CONCATENATE(TEXT(FIXED(ROUND(IF(EXC.RATE.SWITCH=1,C484*(1-I484)*(1-ADD.DISCOUNT)*(1+MAT.SURCHARGE)/EXC.RATE_2,C484*(1-I484)*(1-ADD.DISCOUNT)*(1+MAT.SURCHARGE)*EXC.RATE_2),CURRENCY.FORMAT_2),CURRENCY.FORMAT_2,1),"# ##0;-# ##0"),",-"),FIXED(ROUND(IF(EXC.RATE.SWITCH=1,C484*(1-I484)*(1-ADD.DISCOUNT)*(1+MAT.SURCHARGE)/EXC.RATE_2,C484*(1-I484)*(1-ADD.DISCOUNT)*(1+MAT.SURCHARGE)*EXC.RATE_2),CURRENCY.FORMAT_2),CURRENCY.FORMAT_2,0)),'DICTIONARY-5'!$A$2))</f>
        <v/>
      </c>
      <c r="N484" s="544">
        <v>1</v>
      </c>
      <c r="O484" s="544"/>
      <c r="P484" s="731" t="str">
        <f>'DICTIONARY-3'!$A$9</f>
        <v>IKOplus TRAFO</v>
      </c>
      <c r="Q484" s="732" t="str">
        <f>'DICTIONARY-3'!$A$188</f>
        <v>Zasuwa klinowa</v>
      </c>
      <c r="R484" s="732" t="str">
        <f>CONCATENATE('DICTIONARY-3'!$A$9," ",'DICTIONARY-6'!$A$3," ",'DICTIONARY-2'!$A$2,U484," ",'DICTIONARY-2'!$A$3,V484," ","R14",", ",'DICTIONARY-4'!$A$7)</f>
        <v>IKOplus TRAFO Zasuwa DN65 PN10 R14, KR</v>
      </c>
      <c r="S484" s="733" t="str">
        <f>'DICTIONARY-4'!$A$7</f>
        <v>KR</v>
      </c>
      <c r="T484" s="732" t="str">
        <f>'DICTIONARY-4'!$A$23</f>
        <v>Kółko ręczne</v>
      </c>
      <c r="U484" s="734" t="s">
        <v>5759</v>
      </c>
      <c r="V484" s="735">
        <v>10</v>
      </c>
      <c r="W484" s="736"/>
      <c r="X484" s="737"/>
      <c r="Y484" s="738"/>
      <c r="Z484" s="739"/>
      <c r="AA484" s="739"/>
      <c r="AB484" s="740">
        <v>10</v>
      </c>
      <c r="AC484" s="741" t="str">
        <f>'DICTIONARY-5'!$A$11&amp;" 14"</f>
        <v>EN 558 szereg 14</v>
      </c>
      <c r="AD484" s="741" t="str">
        <f>'DICTIONARY-5'!$A$22</f>
        <v>olej transformatorowy</v>
      </c>
      <c r="AE484" s="742">
        <v>80</v>
      </c>
      <c r="AF484" s="743">
        <v>15.5</v>
      </c>
      <c r="AG484" s="733" t="str">
        <f>'DICTIONARY-5'!$A$23&amp;" + "&amp;'DICTIONARY-5'!$A$26</f>
        <v>powłoka epoksydowa + akryl</v>
      </c>
    </row>
    <row r="485" spans="1:33" x14ac:dyDescent="0.25">
      <c r="A485" s="842" t="s">
        <v>7973</v>
      </c>
      <c r="B485" s="842" t="s">
        <v>7963</v>
      </c>
      <c r="C485" s="836">
        <v>636</v>
      </c>
      <c r="D485" s="836"/>
      <c r="E485" s="836"/>
      <c r="F485" s="836"/>
      <c r="G485" s="496" t="s">
        <v>7794</v>
      </c>
      <c r="H485" s="797" t="str">
        <f>VLOOKUP(G485,SETTINGS!$B$7:$D$97,2,0)</f>
        <v>IKOplus</v>
      </c>
      <c r="I485" s="796">
        <f>VLOOKUP(G485,SETTINGS!$B$7:$D$97,3,0)</f>
        <v>0</v>
      </c>
      <c r="J485" s="670" t="str">
        <f>IFERROR(IF(CURRENCY.FORMAT_1=0,CONCATENATE(TEXT(FIXED(ROUND((C485/EXC.RATE_1),CURRENCY.FORMAT_1),CURRENCY.FORMAT_1,1),"# ##0;-# ##0"),",-"),FIXED(ROUND((C485/EXC.RATE_1),CURRENCY.FORMAT_1),CURRENCY.FORMAT_1,0)),'DICTIONARY-5'!$A$2)</f>
        <v>636,-</v>
      </c>
      <c r="K485" s="670" t="str">
        <f>IF(EXC.RATE_2=0,"",IFERROR(IF(CURRENCY.FORMAT_2=0,CONCATENATE(TEXT(FIXED(ROUND(IF(EXC.RATE.SWITCH=1,C485/EXC.RATE_2,C485*EXC.RATE_2),CURRENCY.FORMAT_2),CURRENCY.FORMAT_2,1),"# ##0;-# ##0"),",-"),FIXED(ROUND(IF(EXC.RATE.SWITCH=1,C485/EXC.RATE_2,C485*EXC.RATE_2),CURRENCY.FORMAT_2),CURRENCY.FORMAT_2,0)),'DICTIONARY-5'!$A$2))</f>
        <v/>
      </c>
      <c r="L485" s="670" t="str">
        <f>IFERROR(IF(CURRENCY.FORMAT_1=0,CONCATENATE(TEXT(FIXED(ROUND((C485*(1-I485)*(1-ADD.DISCOUNT)*(1+MAT.SURCHARGE)/EXC.RATE_1),CURRENCY.FORMAT_1),CURRENCY.FORMAT_1,1),"# ##0;-# ##0"),",-"),FIXED(ROUND((C485*(1-I485)*(1-ADD.DISCOUNT)*(1+MAT.SURCHARGE)/EXC.RATE_1),CURRENCY.FORMAT_1),CURRENCY.FORMAT_1,0)),'DICTIONARY-5'!$A$2)</f>
        <v>661,-</v>
      </c>
      <c r="M485" s="670" t="str">
        <f>IF(EXC.RATE_2=0,"",IFERROR(IF(CURRENCY.FORMAT_2=0,CONCATENATE(TEXT(FIXED(ROUND(IF(EXC.RATE.SWITCH=1,C485*(1-I485)*(1-ADD.DISCOUNT)*(1+MAT.SURCHARGE)/EXC.RATE_2,C485*(1-I485)*(1-ADD.DISCOUNT)*(1+MAT.SURCHARGE)*EXC.RATE_2),CURRENCY.FORMAT_2),CURRENCY.FORMAT_2,1),"# ##0;-# ##0"),",-"),FIXED(ROUND(IF(EXC.RATE.SWITCH=1,C485*(1-I485)*(1-ADD.DISCOUNT)*(1+MAT.SURCHARGE)/EXC.RATE_2,C485*(1-I485)*(1-ADD.DISCOUNT)*(1+MAT.SURCHARGE)*EXC.RATE_2),CURRENCY.FORMAT_2),CURRENCY.FORMAT_2,0)),'DICTIONARY-5'!$A$2))</f>
        <v/>
      </c>
      <c r="N485" s="544">
        <v>1</v>
      </c>
      <c r="O485" s="544"/>
      <c r="P485" s="731" t="str">
        <f>'DICTIONARY-3'!$A$9</f>
        <v>IKOplus TRAFO</v>
      </c>
      <c r="Q485" s="732" t="str">
        <f>'DICTIONARY-3'!$A$188</f>
        <v>Zasuwa klinowa</v>
      </c>
      <c r="R485" s="732" t="str">
        <f>CONCATENATE('DICTIONARY-3'!$A$9," ",'DICTIONARY-6'!$A$3," ",'DICTIONARY-2'!$A$2,U485," ",'DICTIONARY-2'!$A$3,V485," ","R14",", ",'DICTIONARY-4'!$A$7)</f>
        <v>IKOplus TRAFO Zasuwa DN80 PN10 R14, KR</v>
      </c>
      <c r="S485" s="733" t="str">
        <f>'DICTIONARY-4'!$A$7</f>
        <v>KR</v>
      </c>
      <c r="T485" s="732" t="str">
        <f>'DICTIONARY-4'!$A$23</f>
        <v>Kółko ręczne</v>
      </c>
      <c r="U485" s="734" t="s">
        <v>5760</v>
      </c>
      <c r="V485" s="735">
        <v>10</v>
      </c>
      <c r="W485" s="736"/>
      <c r="X485" s="737"/>
      <c r="Y485" s="738"/>
      <c r="Z485" s="739"/>
      <c r="AA485" s="739"/>
      <c r="AB485" s="740">
        <v>10</v>
      </c>
      <c r="AC485" s="741" t="str">
        <f>'DICTIONARY-5'!$A$11&amp;" 14"</f>
        <v>EN 558 szereg 14</v>
      </c>
      <c r="AD485" s="741" t="str">
        <f>'DICTIONARY-5'!$A$22</f>
        <v>olej transformatorowy</v>
      </c>
      <c r="AE485" s="742">
        <v>80</v>
      </c>
      <c r="AF485" s="743">
        <v>17</v>
      </c>
      <c r="AG485" s="733" t="str">
        <f>'DICTIONARY-5'!$A$23&amp;" + "&amp;'DICTIONARY-5'!$A$26</f>
        <v>powłoka epoksydowa + akryl</v>
      </c>
    </row>
    <row r="486" spans="1:33" x14ac:dyDescent="0.25">
      <c r="A486" s="842" t="s">
        <v>7974</v>
      </c>
      <c r="B486" s="842" t="s">
        <v>7964</v>
      </c>
      <c r="C486" s="836">
        <v>699</v>
      </c>
      <c r="D486" s="836"/>
      <c r="E486" s="836"/>
      <c r="F486" s="836"/>
      <c r="G486" s="496" t="s">
        <v>7794</v>
      </c>
      <c r="H486" s="797" t="str">
        <f>VLOOKUP(G486,SETTINGS!$B$7:$D$97,2,0)</f>
        <v>IKOplus</v>
      </c>
      <c r="I486" s="796">
        <f>VLOOKUP(G486,SETTINGS!$B$7:$D$97,3,0)</f>
        <v>0</v>
      </c>
      <c r="J486" s="670" t="str">
        <f>IFERROR(IF(CURRENCY.FORMAT_1=0,CONCATENATE(TEXT(FIXED(ROUND((C486/EXC.RATE_1),CURRENCY.FORMAT_1),CURRENCY.FORMAT_1,1),"# ##0;-# ##0"),",-"),FIXED(ROUND((C486/EXC.RATE_1),CURRENCY.FORMAT_1),CURRENCY.FORMAT_1,0)),'DICTIONARY-5'!$A$2)</f>
        <v>699,-</v>
      </c>
      <c r="K486" s="670" t="str">
        <f>IF(EXC.RATE_2=0,"",IFERROR(IF(CURRENCY.FORMAT_2=0,CONCATENATE(TEXT(FIXED(ROUND(IF(EXC.RATE.SWITCH=1,C486/EXC.RATE_2,C486*EXC.RATE_2),CURRENCY.FORMAT_2),CURRENCY.FORMAT_2,1),"# ##0;-# ##0"),",-"),FIXED(ROUND(IF(EXC.RATE.SWITCH=1,C486/EXC.RATE_2,C486*EXC.RATE_2),CURRENCY.FORMAT_2),CURRENCY.FORMAT_2,0)),'DICTIONARY-5'!$A$2))</f>
        <v/>
      </c>
      <c r="L486" s="670" t="str">
        <f>IFERROR(IF(CURRENCY.FORMAT_1=0,CONCATENATE(TEXT(FIXED(ROUND((C486*(1-I486)*(1-ADD.DISCOUNT)*(1+MAT.SURCHARGE)/EXC.RATE_1),CURRENCY.FORMAT_1),CURRENCY.FORMAT_1,1),"# ##0;-# ##0"),",-"),FIXED(ROUND((C486*(1-I486)*(1-ADD.DISCOUNT)*(1+MAT.SURCHARGE)/EXC.RATE_1),CURRENCY.FORMAT_1),CURRENCY.FORMAT_1,0)),'DICTIONARY-5'!$A$2)</f>
        <v>726,-</v>
      </c>
      <c r="M486" s="670" t="str">
        <f>IF(EXC.RATE_2=0,"",IFERROR(IF(CURRENCY.FORMAT_2=0,CONCATENATE(TEXT(FIXED(ROUND(IF(EXC.RATE.SWITCH=1,C486*(1-I486)*(1-ADD.DISCOUNT)*(1+MAT.SURCHARGE)/EXC.RATE_2,C486*(1-I486)*(1-ADD.DISCOUNT)*(1+MAT.SURCHARGE)*EXC.RATE_2),CURRENCY.FORMAT_2),CURRENCY.FORMAT_2,1),"# ##0;-# ##0"),",-"),FIXED(ROUND(IF(EXC.RATE.SWITCH=1,C486*(1-I486)*(1-ADD.DISCOUNT)*(1+MAT.SURCHARGE)/EXC.RATE_2,C486*(1-I486)*(1-ADD.DISCOUNT)*(1+MAT.SURCHARGE)*EXC.RATE_2),CURRENCY.FORMAT_2),CURRENCY.FORMAT_2,0)),'DICTIONARY-5'!$A$2))</f>
        <v/>
      </c>
      <c r="N486" s="544">
        <v>1</v>
      </c>
      <c r="O486" s="544"/>
      <c r="P486" s="731" t="str">
        <f>'DICTIONARY-3'!$A$9</f>
        <v>IKOplus TRAFO</v>
      </c>
      <c r="Q486" s="732" t="str">
        <f>'DICTIONARY-3'!$A$188</f>
        <v>Zasuwa klinowa</v>
      </c>
      <c r="R486" s="732" t="str">
        <f>CONCATENATE('DICTIONARY-3'!$A$9," ",'DICTIONARY-6'!$A$3," ",'DICTIONARY-2'!$A$2,U486," ",'DICTIONARY-2'!$A$3,V486," ","R14",", ",'DICTIONARY-4'!$A$7)</f>
        <v>IKOplus TRAFO Zasuwa DN100 PN10 R14, KR</v>
      </c>
      <c r="S486" s="733" t="str">
        <f>'DICTIONARY-4'!$A$7</f>
        <v>KR</v>
      </c>
      <c r="T486" s="732" t="str">
        <f>'DICTIONARY-4'!$A$23</f>
        <v>Kółko ręczne</v>
      </c>
      <c r="U486" s="734" t="s">
        <v>5749</v>
      </c>
      <c r="V486" s="735">
        <v>10</v>
      </c>
      <c r="W486" s="736"/>
      <c r="X486" s="737"/>
      <c r="Y486" s="738"/>
      <c r="Z486" s="739"/>
      <c r="AA486" s="739"/>
      <c r="AB486" s="740">
        <v>10</v>
      </c>
      <c r="AC486" s="741" t="str">
        <f>'DICTIONARY-5'!$A$11&amp;" 14"</f>
        <v>EN 558 szereg 14</v>
      </c>
      <c r="AD486" s="741" t="str">
        <f>'DICTIONARY-5'!$A$22</f>
        <v>olej transformatorowy</v>
      </c>
      <c r="AE486" s="742">
        <v>80</v>
      </c>
      <c r="AF486" s="743">
        <v>23.5</v>
      </c>
      <c r="AG486" s="733" t="str">
        <f>'DICTIONARY-5'!$A$23&amp;" + "&amp;'DICTIONARY-5'!$A$26</f>
        <v>powłoka epoksydowa + akryl</v>
      </c>
    </row>
    <row r="487" spans="1:33" x14ac:dyDescent="0.25">
      <c r="A487" s="842" t="s">
        <v>7975</v>
      </c>
      <c r="B487" s="842" t="s">
        <v>7965</v>
      </c>
      <c r="C487" s="836">
        <v>865</v>
      </c>
      <c r="D487" s="836"/>
      <c r="E487" s="836"/>
      <c r="F487" s="836"/>
      <c r="G487" s="496" t="s">
        <v>7794</v>
      </c>
      <c r="H487" s="797" t="str">
        <f>VLOOKUP(G487,SETTINGS!$B$7:$D$97,2,0)</f>
        <v>IKOplus</v>
      </c>
      <c r="I487" s="796">
        <f>VLOOKUP(G487,SETTINGS!$B$7:$D$97,3,0)</f>
        <v>0</v>
      </c>
      <c r="J487" s="670" t="str">
        <f>IFERROR(IF(CURRENCY.FORMAT_1=0,CONCATENATE(TEXT(FIXED(ROUND((C487/EXC.RATE_1),CURRENCY.FORMAT_1),CURRENCY.FORMAT_1,1),"# ##0;-# ##0"),",-"),FIXED(ROUND((C487/EXC.RATE_1),CURRENCY.FORMAT_1),CURRENCY.FORMAT_1,0)),'DICTIONARY-5'!$A$2)</f>
        <v>865,-</v>
      </c>
      <c r="K487" s="670" t="str">
        <f>IF(EXC.RATE_2=0,"",IFERROR(IF(CURRENCY.FORMAT_2=0,CONCATENATE(TEXT(FIXED(ROUND(IF(EXC.RATE.SWITCH=1,C487/EXC.RATE_2,C487*EXC.RATE_2),CURRENCY.FORMAT_2),CURRENCY.FORMAT_2,1),"# ##0;-# ##0"),",-"),FIXED(ROUND(IF(EXC.RATE.SWITCH=1,C487/EXC.RATE_2,C487*EXC.RATE_2),CURRENCY.FORMAT_2),CURRENCY.FORMAT_2,0)),'DICTIONARY-5'!$A$2))</f>
        <v/>
      </c>
      <c r="L487" s="670" t="str">
        <f>IFERROR(IF(CURRENCY.FORMAT_1=0,CONCATENATE(TEXT(FIXED(ROUND((C487*(1-I487)*(1-ADD.DISCOUNT)*(1+MAT.SURCHARGE)/EXC.RATE_1),CURRENCY.FORMAT_1),CURRENCY.FORMAT_1,1),"# ##0;-# ##0"),",-"),FIXED(ROUND((C487*(1-I487)*(1-ADD.DISCOUNT)*(1+MAT.SURCHARGE)/EXC.RATE_1),CURRENCY.FORMAT_1),CURRENCY.FORMAT_1,0)),'DICTIONARY-5'!$A$2)</f>
        <v>899,-</v>
      </c>
      <c r="M487" s="670" t="str">
        <f>IF(EXC.RATE_2=0,"",IFERROR(IF(CURRENCY.FORMAT_2=0,CONCATENATE(TEXT(FIXED(ROUND(IF(EXC.RATE.SWITCH=1,C487*(1-I487)*(1-ADD.DISCOUNT)*(1+MAT.SURCHARGE)/EXC.RATE_2,C487*(1-I487)*(1-ADD.DISCOUNT)*(1+MAT.SURCHARGE)*EXC.RATE_2),CURRENCY.FORMAT_2),CURRENCY.FORMAT_2,1),"# ##0;-# ##0"),",-"),FIXED(ROUND(IF(EXC.RATE.SWITCH=1,C487*(1-I487)*(1-ADD.DISCOUNT)*(1+MAT.SURCHARGE)/EXC.RATE_2,C487*(1-I487)*(1-ADD.DISCOUNT)*(1+MAT.SURCHARGE)*EXC.RATE_2),CURRENCY.FORMAT_2),CURRENCY.FORMAT_2,0)),'DICTIONARY-5'!$A$2))</f>
        <v/>
      </c>
      <c r="N487" s="544">
        <v>1</v>
      </c>
      <c r="O487" s="544"/>
      <c r="P487" s="731" t="str">
        <f>'DICTIONARY-3'!$A$9</f>
        <v>IKOplus TRAFO</v>
      </c>
      <c r="Q487" s="732" t="str">
        <f>'DICTIONARY-3'!$A$188</f>
        <v>Zasuwa klinowa</v>
      </c>
      <c r="R487" s="732" t="str">
        <f>CONCATENATE('DICTIONARY-3'!$A$9," ",'DICTIONARY-6'!$A$3," ",'DICTIONARY-2'!$A$2,U487," ",'DICTIONARY-2'!$A$3,V487," ","R14",", ",'DICTIONARY-4'!$A$7)</f>
        <v>IKOplus TRAFO Zasuwa DN125 PN10 R14, KR</v>
      </c>
      <c r="S487" s="733" t="str">
        <f>'DICTIONARY-4'!$A$7</f>
        <v>KR</v>
      </c>
      <c r="T487" s="732" t="str">
        <f>'DICTIONARY-4'!$A$23</f>
        <v>Kółko ręczne</v>
      </c>
      <c r="U487" s="734" t="s">
        <v>5761</v>
      </c>
      <c r="V487" s="735">
        <v>10</v>
      </c>
      <c r="W487" s="736"/>
      <c r="X487" s="737"/>
      <c r="Y487" s="738"/>
      <c r="Z487" s="739"/>
      <c r="AA487" s="739"/>
      <c r="AB487" s="740">
        <v>10</v>
      </c>
      <c r="AC487" s="741" t="str">
        <f>'DICTIONARY-5'!$A$11&amp;" 14"</f>
        <v>EN 558 szereg 14</v>
      </c>
      <c r="AD487" s="741" t="str">
        <f>'DICTIONARY-5'!$A$22</f>
        <v>olej transformatorowy</v>
      </c>
      <c r="AE487" s="742">
        <v>80</v>
      </c>
      <c r="AF487" s="743">
        <v>33.5</v>
      </c>
      <c r="AG487" s="733" t="str">
        <f>'DICTIONARY-5'!$A$23&amp;" + "&amp;'DICTIONARY-5'!$A$26</f>
        <v>powłoka epoksydowa + akryl</v>
      </c>
    </row>
    <row r="488" spans="1:33" x14ac:dyDescent="0.25">
      <c r="A488" s="842" t="s">
        <v>7976</v>
      </c>
      <c r="B488" s="842" t="s">
        <v>7966</v>
      </c>
      <c r="C488" s="836">
        <v>1030</v>
      </c>
      <c r="D488" s="836"/>
      <c r="E488" s="836"/>
      <c r="F488" s="836"/>
      <c r="G488" s="496" t="s">
        <v>7794</v>
      </c>
      <c r="H488" s="797" t="str">
        <f>VLOOKUP(G488,SETTINGS!$B$7:$D$97,2,0)</f>
        <v>IKOplus</v>
      </c>
      <c r="I488" s="796">
        <f>VLOOKUP(G488,SETTINGS!$B$7:$D$97,3,0)</f>
        <v>0</v>
      </c>
      <c r="J488" s="670" t="str">
        <f>IFERROR(IF(CURRENCY.FORMAT_1=0,CONCATENATE(TEXT(FIXED(ROUND((C488/EXC.RATE_1),CURRENCY.FORMAT_1),CURRENCY.FORMAT_1,1),"# ##0;-# ##0"),",-"),FIXED(ROUND((C488/EXC.RATE_1),CURRENCY.FORMAT_1),CURRENCY.FORMAT_1,0)),'DICTIONARY-5'!$A$2)</f>
        <v>1 030,-</v>
      </c>
      <c r="K488" s="670" t="str">
        <f>IF(EXC.RATE_2=0,"",IFERROR(IF(CURRENCY.FORMAT_2=0,CONCATENATE(TEXT(FIXED(ROUND(IF(EXC.RATE.SWITCH=1,C488/EXC.RATE_2,C488*EXC.RATE_2),CURRENCY.FORMAT_2),CURRENCY.FORMAT_2,1),"# ##0;-# ##0"),",-"),FIXED(ROUND(IF(EXC.RATE.SWITCH=1,C488/EXC.RATE_2,C488*EXC.RATE_2),CURRENCY.FORMAT_2),CURRENCY.FORMAT_2,0)),'DICTIONARY-5'!$A$2))</f>
        <v/>
      </c>
      <c r="L488" s="670" t="str">
        <f>IFERROR(IF(CURRENCY.FORMAT_1=0,CONCATENATE(TEXT(FIXED(ROUND((C488*(1-I488)*(1-ADD.DISCOUNT)*(1+MAT.SURCHARGE)/EXC.RATE_1),CURRENCY.FORMAT_1),CURRENCY.FORMAT_1,1),"# ##0;-# ##0"),",-"),FIXED(ROUND((C488*(1-I488)*(1-ADD.DISCOUNT)*(1+MAT.SURCHARGE)/EXC.RATE_1),CURRENCY.FORMAT_1),CURRENCY.FORMAT_1,0)),'DICTIONARY-5'!$A$2)</f>
        <v>1 070,-</v>
      </c>
      <c r="M488" s="670" t="str">
        <f>IF(EXC.RATE_2=0,"",IFERROR(IF(CURRENCY.FORMAT_2=0,CONCATENATE(TEXT(FIXED(ROUND(IF(EXC.RATE.SWITCH=1,C488*(1-I488)*(1-ADD.DISCOUNT)*(1+MAT.SURCHARGE)/EXC.RATE_2,C488*(1-I488)*(1-ADD.DISCOUNT)*(1+MAT.SURCHARGE)*EXC.RATE_2),CURRENCY.FORMAT_2),CURRENCY.FORMAT_2,1),"# ##0;-# ##0"),",-"),FIXED(ROUND(IF(EXC.RATE.SWITCH=1,C488*(1-I488)*(1-ADD.DISCOUNT)*(1+MAT.SURCHARGE)/EXC.RATE_2,C488*(1-I488)*(1-ADD.DISCOUNT)*(1+MAT.SURCHARGE)*EXC.RATE_2),CURRENCY.FORMAT_2),CURRENCY.FORMAT_2,0)),'DICTIONARY-5'!$A$2))</f>
        <v/>
      </c>
      <c r="N488" s="544">
        <v>1</v>
      </c>
      <c r="O488" s="544"/>
      <c r="P488" s="731" t="str">
        <f>'DICTIONARY-3'!$A$9</f>
        <v>IKOplus TRAFO</v>
      </c>
      <c r="Q488" s="732" t="str">
        <f>'DICTIONARY-3'!$A$188</f>
        <v>Zasuwa klinowa</v>
      </c>
      <c r="R488" s="732" t="str">
        <f>CONCATENATE('DICTIONARY-3'!$A$9," ",'DICTIONARY-6'!$A$3," ",'DICTIONARY-2'!$A$2,U488," ",'DICTIONARY-2'!$A$3,V488," ","R14",", ",'DICTIONARY-4'!$A$7)</f>
        <v>IKOplus TRAFO Zasuwa DN150 PN10 R14, KR</v>
      </c>
      <c r="S488" s="733" t="str">
        <f>'DICTIONARY-4'!$A$7</f>
        <v>KR</v>
      </c>
      <c r="T488" s="732" t="str">
        <f>'DICTIONARY-4'!$A$23</f>
        <v>Kółko ręczne</v>
      </c>
      <c r="U488" s="734" t="s">
        <v>5572</v>
      </c>
      <c r="V488" s="735">
        <v>10</v>
      </c>
      <c r="W488" s="736"/>
      <c r="X488" s="737"/>
      <c r="Y488" s="738"/>
      <c r="Z488" s="739"/>
      <c r="AA488" s="739"/>
      <c r="AB488" s="740">
        <v>10</v>
      </c>
      <c r="AC488" s="741" t="str">
        <f>'DICTIONARY-5'!$A$11&amp;" 14"</f>
        <v>EN 558 szereg 14</v>
      </c>
      <c r="AD488" s="741" t="str">
        <f>'DICTIONARY-5'!$A$22</f>
        <v>olej transformatorowy</v>
      </c>
      <c r="AE488" s="742">
        <v>80</v>
      </c>
      <c r="AF488" s="743">
        <v>42</v>
      </c>
      <c r="AG488" s="733" t="str">
        <f>'DICTIONARY-5'!$A$23&amp;" + "&amp;'DICTIONARY-5'!$A$26</f>
        <v>powłoka epoksydowa + akryl</v>
      </c>
    </row>
    <row r="489" spans="1:33" x14ac:dyDescent="0.25">
      <c r="A489" s="842" t="s">
        <v>7977</v>
      </c>
      <c r="B489" s="842" t="s">
        <v>7967</v>
      </c>
      <c r="C489" s="836">
        <v>1293</v>
      </c>
      <c r="D489" s="836"/>
      <c r="E489" s="836"/>
      <c r="F489" s="836"/>
      <c r="G489" s="496" t="s">
        <v>7794</v>
      </c>
      <c r="H489" s="797" t="str">
        <f>VLOOKUP(G489,SETTINGS!$B$7:$D$97,2,0)</f>
        <v>IKOplus</v>
      </c>
      <c r="I489" s="796">
        <f>VLOOKUP(G489,SETTINGS!$B$7:$D$97,3,0)</f>
        <v>0</v>
      </c>
      <c r="J489" s="670" t="str">
        <f>IFERROR(IF(CURRENCY.FORMAT_1=0,CONCATENATE(TEXT(FIXED(ROUND((C489/EXC.RATE_1),CURRENCY.FORMAT_1),CURRENCY.FORMAT_1,1),"# ##0;-# ##0"),",-"),FIXED(ROUND((C489/EXC.RATE_1),CURRENCY.FORMAT_1),CURRENCY.FORMAT_1,0)),'DICTIONARY-5'!$A$2)</f>
        <v>1 293,-</v>
      </c>
      <c r="K489" s="670" t="str">
        <f>IF(EXC.RATE_2=0,"",IFERROR(IF(CURRENCY.FORMAT_2=0,CONCATENATE(TEXT(FIXED(ROUND(IF(EXC.RATE.SWITCH=1,C489/EXC.RATE_2,C489*EXC.RATE_2),CURRENCY.FORMAT_2),CURRENCY.FORMAT_2,1),"# ##0;-# ##0"),",-"),FIXED(ROUND(IF(EXC.RATE.SWITCH=1,C489/EXC.RATE_2,C489*EXC.RATE_2),CURRENCY.FORMAT_2),CURRENCY.FORMAT_2,0)),'DICTIONARY-5'!$A$2))</f>
        <v/>
      </c>
      <c r="L489" s="670" t="str">
        <f>IFERROR(IF(CURRENCY.FORMAT_1=0,CONCATENATE(TEXT(FIXED(ROUND((C489*(1-I489)*(1-ADD.DISCOUNT)*(1+MAT.SURCHARGE)/EXC.RATE_1),CURRENCY.FORMAT_1),CURRENCY.FORMAT_1,1),"# ##0;-# ##0"),",-"),FIXED(ROUND((C489*(1-I489)*(1-ADD.DISCOUNT)*(1+MAT.SURCHARGE)/EXC.RATE_1),CURRENCY.FORMAT_1),CURRENCY.FORMAT_1,0)),'DICTIONARY-5'!$A$2)</f>
        <v>1 343,-</v>
      </c>
      <c r="M489" s="670" t="str">
        <f>IF(EXC.RATE_2=0,"",IFERROR(IF(CURRENCY.FORMAT_2=0,CONCATENATE(TEXT(FIXED(ROUND(IF(EXC.RATE.SWITCH=1,C489*(1-I489)*(1-ADD.DISCOUNT)*(1+MAT.SURCHARGE)/EXC.RATE_2,C489*(1-I489)*(1-ADD.DISCOUNT)*(1+MAT.SURCHARGE)*EXC.RATE_2),CURRENCY.FORMAT_2),CURRENCY.FORMAT_2,1),"# ##0;-# ##0"),",-"),FIXED(ROUND(IF(EXC.RATE.SWITCH=1,C489*(1-I489)*(1-ADD.DISCOUNT)*(1+MAT.SURCHARGE)/EXC.RATE_2,C489*(1-I489)*(1-ADD.DISCOUNT)*(1+MAT.SURCHARGE)*EXC.RATE_2),CURRENCY.FORMAT_2),CURRENCY.FORMAT_2,0)),'DICTIONARY-5'!$A$2))</f>
        <v/>
      </c>
      <c r="N489" s="544">
        <v>1</v>
      </c>
      <c r="O489" s="544"/>
      <c r="P489" s="731" t="str">
        <f>'DICTIONARY-3'!$A$9</f>
        <v>IKOplus TRAFO</v>
      </c>
      <c r="Q489" s="732" t="str">
        <f>'DICTIONARY-3'!$A$188</f>
        <v>Zasuwa klinowa</v>
      </c>
      <c r="R489" s="732" t="str">
        <f>CONCATENATE('DICTIONARY-3'!$A$9," ",'DICTIONARY-6'!$A$3," ",'DICTIONARY-2'!$A$2,U489," ",'DICTIONARY-2'!$A$3,V489," ","R14",", ",'DICTIONARY-4'!$A$7)</f>
        <v>IKOplus TRAFO Zasuwa DN200 PN10 R14, KR</v>
      </c>
      <c r="S489" s="733" t="str">
        <f>'DICTIONARY-4'!$A$7</f>
        <v>KR</v>
      </c>
      <c r="T489" s="732" t="str">
        <f>'DICTIONARY-4'!$A$23</f>
        <v>Kółko ręczne</v>
      </c>
      <c r="U489" s="734" t="s">
        <v>5750</v>
      </c>
      <c r="V489" s="735">
        <v>10</v>
      </c>
      <c r="W489" s="736"/>
      <c r="X489" s="737"/>
      <c r="Y489" s="738"/>
      <c r="Z489" s="739"/>
      <c r="AA489" s="739"/>
      <c r="AB489" s="740">
        <v>10</v>
      </c>
      <c r="AC489" s="741" t="str">
        <f>'DICTIONARY-5'!$A$11&amp;" 14"</f>
        <v>EN 558 szereg 14</v>
      </c>
      <c r="AD489" s="741" t="str">
        <f>'DICTIONARY-5'!$A$22</f>
        <v>olej transformatorowy</v>
      </c>
      <c r="AE489" s="742">
        <v>80</v>
      </c>
      <c r="AF489" s="743">
        <v>62.5</v>
      </c>
      <c r="AG489" s="733" t="str">
        <f>'DICTIONARY-5'!$A$23&amp;" + "&amp;'DICTIONARY-5'!$A$26</f>
        <v>powłoka epoksydowa + akryl</v>
      </c>
    </row>
    <row r="490" spans="1:33" x14ac:dyDescent="0.25">
      <c r="A490" s="842" t="s">
        <v>7978</v>
      </c>
      <c r="B490" s="842" t="s">
        <v>7968</v>
      </c>
      <c r="C490" s="836">
        <v>2125</v>
      </c>
      <c r="D490" s="836"/>
      <c r="E490" s="836"/>
      <c r="F490" s="836"/>
      <c r="G490" s="496" t="s">
        <v>7794</v>
      </c>
      <c r="H490" s="797" t="str">
        <f>VLOOKUP(G490,SETTINGS!$B$7:$D$97,2,0)</f>
        <v>IKOplus</v>
      </c>
      <c r="I490" s="796">
        <f>VLOOKUP(G490,SETTINGS!$B$7:$D$97,3,0)</f>
        <v>0</v>
      </c>
      <c r="J490" s="670" t="str">
        <f>IFERROR(IF(CURRENCY.FORMAT_1=0,CONCATENATE(TEXT(FIXED(ROUND((C490/EXC.RATE_1),CURRENCY.FORMAT_1),CURRENCY.FORMAT_1,1),"# ##0;-# ##0"),",-"),FIXED(ROUND((C490/EXC.RATE_1),CURRENCY.FORMAT_1),CURRENCY.FORMAT_1,0)),'DICTIONARY-5'!$A$2)</f>
        <v>2 125,-</v>
      </c>
      <c r="K490" s="670" t="str">
        <f>IF(EXC.RATE_2=0,"",IFERROR(IF(CURRENCY.FORMAT_2=0,CONCATENATE(TEXT(FIXED(ROUND(IF(EXC.RATE.SWITCH=1,C490/EXC.RATE_2,C490*EXC.RATE_2),CURRENCY.FORMAT_2),CURRENCY.FORMAT_2,1),"# ##0;-# ##0"),",-"),FIXED(ROUND(IF(EXC.RATE.SWITCH=1,C490/EXC.RATE_2,C490*EXC.RATE_2),CURRENCY.FORMAT_2),CURRENCY.FORMAT_2,0)),'DICTIONARY-5'!$A$2))</f>
        <v/>
      </c>
      <c r="L490" s="670" t="str">
        <f>IFERROR(IF(CURRENCY.FORMAT_1=0,CONCATENATE(TEXT(FIXED(ROUND((C490*(1-I490)*(1-ADD.DISCOUNT)*(1+MAT.SURCHARGE)/EXC.RATE_1),CURRENCY.FORMAT_1),CURRENCY.FORMAT_1,1),"# ##0;-# ##0"),",-"),FIXED(ROUND((C490*(1-I490)*(1-ADD.DISCOUNT)*(1+MAT.SURCHARGE)/EXC.RATE_1),CURRENCY.FORMAT_1),CURRENCY.FORMAT_1,0)),'DICTIONARY-5'!$A$2)</f>
        <v>2 208,-</v>
      </c>
      <c r="M490" s="670" t="str">
        <f>IF(EXC.RATE_2=0,"",IFERROR(IF(CURRENCY.FORMAT_2=0,CONCATENATE(TEXT(FIXED(ROUND(IF(EXC.RATE.SWITCH=1,C490*(1-I490)*(1-ADD.DISCOUNT)*(1+MAT.SURCHARGE)/EXC.RATE_2,C490*(1-I490)*(1-ADD.DISCOUNT)*(1+MAT.SURCHARGE)*EXC.RATE_2),CURRENCY.FORMAT_2),CURRENCY.FORMAT_2,1),"# ##0;-# ##0"),",-"),FIXED(ROUND(IF(EXC.RATE.SWITCH=1,C490*(1-I490)*(1-ADD.DISCOUNT)*(1+MAT.SURCHARGE)/EXC.RATE_2,C490*(1-I490)*(1-ADD.DISCOUNT)*(1+MAT.SURCHARGE)*EXC.RATE_2),CURRENCY.FORMAT_2),CURRENCY.FORMAT_2,0)),'DICTIONARY-5'!$A$2))</f>
        <v/>
      </c>
      <c r="N490" s="544">
        <v>1</v>
      </c>
      <c r="O490" s="544"/>
      <c r="P490" s="731" t="str">
        <f>'DICTIONARY-3'!$A$9</f>
        <v>IKOplus TRAFO</v>
      </c>
      <c r="Q490" s="732" t="str">
        <f>'DICTIONARY-3'!$A$188</f>
        <v>Zasuwa klinowa</v>
      </c>
      <c r="R490" s="732" t="str">
        <f>CONCATENATE('DICTIONARY-3'!$A$9," ",'DICTIONARY-6'!$A$3," ",'DICTIONARY-2'!$A$2,U490," ",'DICTIONARY-2'!$A$3,V490," ","R14",", ",'DICTIONARY-4'!$A$7)</f>
        <v>IKOplus TRAFO Zasuwa DN250 PN10 R14, KR</v>
      </c>
      <c r="S490" s="733" t="str">
        <f>'DICTIONARY-4'!$A$7</f>
        <v>KR</v>
      </c>
      <c r="T490" s="732" t="str">
        <f>'DICTIONARY-4'!$A$23</f>
        <v>Kółko ręczne</v>
      </c>
      <c r="U490" s="734" t="s">
        <v>5751</v>
      </c>
      <c r="V490" s="735">
        <v>10</v>
      </c>
      <c r="W490" s="736"/>
      <c r="X490" s="737"/>
      <c r="Y490" s="738"/>
      <c r="Z490" s="739"/>
      <c r="AA490" s="739"/>
      <c r="AB490" s="740">
        <v>10</v>
      </c>
      <c r="AC490" s="741" t="str">
        <f>'DICTIONARY-5'!$A$11&amp;" 14"</f>
        <v>EN 558 szereg 14</v>
      </c>
      <c r="AD490" s="741" t="str">
        <f>'DICTIONARY-5'!$A$22</f>
        <v>olej transformatorowy</v>
      </c>
      <c r="AE490" s="742">
        <v>80</v>
      </c>
      <c r="AF490" s="743">
        <v>97</v>
      </c>
      <c r="AG490" s="733" t="str">
        <f>'DICTIONARY-5'!$A$23&amp;" + "&amp;'DICTIONARY-5'!$A$26</f>
        <v>powłoka epoksydowa + akryl</v>
      </c>
    </row>
    <row r="491" spans="1:33" x14ac:dyDescent="0.25">
      <c r="A491" s="842" t="s">
        <v>7979</v>
      </c>
      <c r="B491" s="842" t="s">
        <v>7969</v>
      </c>
      <c r="C491" s="836">
        <v>2335</v>
      </c>
      <c r="D491" s="836"/>
      <c r="E491" s="836"/>
      <c r="F491" s="836"/>
      <c r="G491" s="496" t="s">
        <v>7794</v>
      </c>
      <c r="H491" s="797" t="str">
        <f>VLOOKUP(G491,SETTINGS!$B$7:$D$97,2,0)</f>
        <v>IKOplus</v>
      </c>
      <c r="I491" s="796">
        <f>VLOOKUP(G491,SETTINGS!$B$7:$D$97,3,0)</f>
        <v>0</v>
      </c>
      <c r="J491" s="670" t="str">
        <f>IFERROR(IF(CURRENCY.FORMAT_1=0,CONCATENATE(TEXT(FIXED(ROUND((C491/EXC.RATE_1),CURRENCY.FORMAT_1),CURRENCY.FORMAT_1,1),"# ##0;-# ##0"),",-"),FIXED(ROUND((C491/EXC.RATE_1),CURRENCY.FORMAT_1),CURRENCY.FORMAT_1,0)),'DICTIONARY-5'!$A$2)</f>
        <v>2 335,-</v>
      </c>
      <c r="K491" s="670" t="str">
        <f>IF(EXC.RATE_2=0,"",IFERROR(IF(CURRENCY.FORMAT_2=0,CONCATENATE(TEXT(FIXED(ROUND(IF(EXC.RATE.SWITCH=1,C491/EXC.RATE_2,C491*EXC.RATE_2),CURRENCY.FORMAT_2),CURRENCY.FORMAT_2,1),"# ##0;-# ##0"),",-"),FIXED(ROUND(IF(EXC.RATE.SWITCH=1,C491/EXC.RATE_2,C491*EXC.RATE_2),CURRENCY.FORMAT_2),CURRENCY.FORMAT_2,0)),'DICTIONARY-5'!$A$2))</f>
        <v/>
      </c>
      <c r="L491" s="670" t="str">
        <f>IFERROR(IF(CURRENCY.FORMAT_1=0,CONCATENATE(TEXT(FIXED(ROUND((C491*(1-I491)*(1-ADD.DISCOUNT)*(1+MAT.SURCHARGE)/EXC.RATE_1),CURRENCY.FORMAT_1),CURRENCY.FORMAT_1,1),"# ##0;-# ##0"),",-"),FIXED(ROUND((C491*(1-I491)*(1-ADD.DISCOUNT)*(1+MAT.SURCHARGE)/EXC.RATE_1),CURRENCY.FORMAT_1),CURRENCY.FORMAT_1,0)),'DICTIONARY-5'!$A$2)</f>
        <v>2 426,-</v>
      </c>
      <c r="M491" s="670" t="str">
        <f>IF(EXC.RATE_2=0,"",IFERROR(IF(CURRENCY.FORMAT_2=0,CONCATENATE(TEXT(FIXED(ROUND(IF(EXC.RATE.SWITCH=1,C491*(1-I491)*(1-ADD.DISCOUNT)*(1+MAT.SURCHARGE)/EXC.RATE_2,C491*(1-I491)*(1-ADD.DISCOUNT)*(1+MAT.SURCHARGE)*EXC.RATE_2),CURRENCY.FORMAT_2),CURRENCY.FORMAT_2,1),"# ##0;-# ##0"),",-"),FIXED(ROUND(IF(EXC.RATE.SWITCH=1,C491*(1-I491)*(1-ADD.DISCOUNT)*(1+MAT.SURCHARGE)/EXC.RATE_2,C491*(1-I491)*(1-ADD.DISCOUNT)*(1+MAT.SURCHARGE)*EXC.RATE_2),CURRENCY.FORMAT_2),CURRENCY.FORMAT_2,0)),'DICTIONARY-5'!$A$2))</f>
        <v/>
      </c>
      <c r="N491" s="544">
        <v>1</v>
      </c>
      <c r="O491" s="544"/>
      <c r="P491" s="731" t="str">
        <f>'DICTIONARY-3'!$A$9</f>
        <v>IKOplus TRAFO</v>
      </c>
      <c r="Q491" s="732" t="str">
        <f>'DICTIONARY-3'!$A$188</f>
        <v>Zasuwa klinowa</v>
      </c>
      <c r="R491" s="732" t="str">
        <f>CONCATENATE('DICTIONARY-3'!$A$9," ",'DICTIONARY-6'!$A$3," ",'DICTIONARY-2'!$A$2,U491," ",'DICTIONARY-2'!$A$3,V491," ","R14",", ",'DICTIONARY-4'!$A$7)</f>
        <v>IKOplus TRAFO Zasuwa DN300 PN10 R14, KR</v>
      </c>
      <c r="S491" s="733" t="str">
        <f>'DICTIONARY-4'!$A$7</f>
        <v>KR</v>
      </c>
      <c r="T491" s="732" t="str">
        <f>'DICTIONARY-4'!$A$23</f>
        <v>Kółko ręczne</v>
      </c>
      <c r="U491" s="734" t="s">
        <v>5752</v>
      </c>
      <c r="V491" s="735">
        <v>10</v>
      </c>
      <c r="W491" s="736"/>
      <c r="X491" s="737"/>
      <c r="Y491" s="738"/>
      <c r="Z491" s="739"/>
      <c r="AA491" s="739"/>
      <c r="AB491" s="740">
        <v>10</v>
      </c>
      <c r="AC491" s="741" t="str">
        <f>'DICTIONARY-5'!$A$11&amp;" 14"</f>
        <v>EN 558 szereg 14</v>
      </c>
      <c r="AD491" s="741" t="str">
        <f>'DICTIONARY-5'!$A$22</f>
        <v>olej transformatorowy</v>
      </c>
      <c r="AE491" s="742">
        <v>80</v>
      </c>
      <c r="AF491" s="743">
        <v>134</v>
      </c>
      <c r="AG491" s="733" t="str">
        <f>'DICTIONARY-5'!$A$23&amp;" + "&amp;'DICTIONARY-5'!$A$26</f>
        <v>powłoka epoksydowa + akryl</v>
      </c>
    </row>
    <row r="492" spans="1:33" x14ac:dyDescent="0.25">
      <c r="A492" s="842" t="s">
        <v>479</v>
      </c>
      <c r="B492" s="842" t="s">
        <v>3124</v>
      </c>
      <c r="C492" s="836">
        <v>942</v>
      </c>
      <c r="D492" s="836"/>
      <c r="E492" s="836"/>
      <c r="F492" s="836"/>
      <c r="G492" s="496" t="s">
        <v>7795</v>
      </c>
      <c r="H492" s="797" t="str">
        <f>VLOOKUP(G492,SETTINGS!$B$7:$D$97,2,0)</f>
        <v>MONO</v>
      </c>
      <c r="I492" s="796">
        <f>VLOOKUP(G492,SETTINGS!$B$7:$D$97,3,0)</f>
        <v>0</v>
      </c>
      <c r="J492" s="670" t="str">
        <f>IFERROR(IF(CURRENCY.FORMAT_1=0,CONCATENATE(TEXT(FIXED(ROUND((C492/EXC.RATE_1),CURRENCY.FORMAT_1),CURRENCY.FORMAT_1,1),"# ##0;-# ##0"),",-"),FIXED(ROUND((C492/EXC.RATE_1),CURRENCY.FORMAT_1),CURRENCY.FORMAT_1,0)),'DICTIONARY-5'!$A$2)</f>
        <v>942,-</v>
      </c>
      <c r="K492" s="670" t="str">
        <f>IF(EXC.RATE_2=0,"",IFERROR(IF(CURRENCY.FORMAT_2=0,CONCATENATE(TEXT(FIXED(ROUND(IF(EXC.RATE.SWITCH=1,C492/EXC.RATE_2,C492*EXC.RATE_2),CURRENCY.FORMAT_2),CURRENCY.FORMAT_2,1),"# ##0;-# ##0"),",-"),FIXED(ROUND(IF(EXC.RATE.SWITCH=1,C492/EXC.RATE_2,C492*EXC.RATE_2),CURRENCY.FORMAT_2),CURRENCY.FORMAT_2,0)),'DICTIONARY-5'!$A$2))</f>
        <v/>
      </c>
      <c r="L492" s="670" t="str">
        <f>IFERROR(IF(CURRENCY.FORMAT_1=0,CONCATENATE(TEXT(FIXED(ROUND((C492*(1-I492)*(1-ADD.DISCOUNT)*(1+MAT.SURCHARGE)/EXC.RATE_1),CURRENCY.FORMAT_1),CURRENCY.FORMAT_1,1),"# ##0;-# ##0"),",-"),FIXED(ROUND((C492*(1-I492)*(1-ADD.DISCOUNT)*(1+MAT.SURCHARGE)/EXC.RATE_1),CURRENCY.FORMAT_1),CURRENCY.FORMAT_1,0)),'DICTIONARY-5'!$A$2)</f>
        <v>979,-</v>
      </c>
      <c r="M492" s="670" t="str">
        <f>IF(EXC.RATE_2=0,"",IFERROR(IF(CURRENCY.FORMAT_2=0,CONCATENATE(TEXT(FIXED(ROUND(IF(EXC.RATE.SWITCH=1,C492*(1-I492)*(1-ADD.DISCOUNT)*(1+MAT.SURCHARGE)/EXC.RATE_2,C492*(1-I492)*(1-ADD.DISCOUNT)*(1+MAT.SURCHARGE)*EXC.RATE_2),CURRENCY.FORMAT_2),CURRENCY.FORMAT_2,1),"# ##0;-# ##0"),",-"),FIXED(ROUND(IF(EXC.RATE.SWITCH=1,C492*(1-I492)*(1-ADD.DISCOUNT)*(1+MAT.SURCHARGE)/EXC.RATE_2,C492*(1-I492)*(1-ADD.DISCOUNT)*(1+MAT.SURCHARGE)*EXC.RATE_2),CURRENCY.FORMAT_2),CURRENCY.FORMAT_2,0)),'DICTIONARY-5'!$A$2))</f>
        <v/>
      </c>
      <c r="N492" s="544">
        <v>2</v>
      </c>
      <c r="O492" s="544"/>
      <c r="P492" s="731" t="str">
        <f>'DICTIONARY-3'!$A$10</f>
        <v>MONO</v>
      </c>
      <c r="Q492" s="732" t="str">
        <f>'DICTIONARY-3'!$A$189</f>
        <v>Zasuwa nożowa</v>
      </c>
      <c r="R492" s="732" t="str">
        <f>CONCATENATE('DICTIONARY-3'!$A$10," ",'DICTIONARY-6'!$A$6," ",'DICTIONARY-5'!$A$34," ",'DICTIONARY-2'!$A$2,"50"," ",'DICTIONARY-2'!$A$3,"10"," ",'DICTIONARY-2'!$A$10,"10",'DICTIONARY-2'!$A$20," ",'DICTIONARY-2'!$A$7,Y492,", ",'DICTIONARY-4'!$A$10,"+",'DICTIONARY-4'!$A$13)</f>
        <v>MONO Zasuwa noż. A2 DN50 PN10 PS10bar Rd1,04-1,41 m, PPW+KK</v>
      </c>
      <c r="S492" s="733" t="str">
        <f>'DICTIONARY-4'!$A$13</f>
        <v>KK</v>
      </c>
      <c r="T492" s="732" t="str">
        <f>'DICTIONARY-4'!$A$29</f>
        <v>Końcówka kwadratowa, zamontowana</v>
      </c>
      <c r="U492" s="734" t="s">
        <v>5748</v>
      </c>
      <c r="V492" s="735">
        <v>10</v>
      </c>
      <c r="W492" s="736"/>
      <c r="X492" s="737"/>
      <c r="Y492" s="745" t="s">
        <v>5816</v>
      </c>
      <c r="Z492" s="739"/>
      <c r="AA492" s="739"/>
      <c r="AB492" s="740">
        <v>10</v>
      </c>
      <c r="AC492" s="741" t="str">
        <f>'DICTIONARY-5'!$A$11&amp;" 20"</f>
        <v>EN 558 szereg 20</v>
      </c>
      <c r="AD492" s="741" t="str">
        <f>'DICTIONARY-5'!$A$14</f>
        <v>ścieki</v>
      </c>
      <c r="AE492" s="742">
        <v>50</v>
      </c>
      <c r="AF492" s="743">
        <v>12.5</v>
      </c>
      <c r="AG492" s="741" t="str">
        <f>'DICTIONARY-5'!$A$23</f>
        <v>powłoka epoksydowa</v>
      </c>
    </row>
    <row r="493" spans="1:33" x14ac:dyDescent="0.25">
      <c r="A493" s="842" t="s">
        <v>483</v>
      </c>
      <c r="B493" s="842" t="s">
        <v>3126</v>
      </c>
      <c r="C493" s="836">
        <v>847</v>
      </c>
      <c r="D493" s="836"/>
      <c r="E493" s="836"/>
      <c r="F493" s="836"/>
      <c r="G493" s="496" t="s">
        <v>7795</v>
      </c>
      <c r="H493" s="797" t="str">
        <f>VLOOKUP(G493,SETTINGS!$B$7:$D$97,2,0)</f>
        <v>MONO</v>
      </c>
      <c r="I493" s="796">
        <f>VLOOKUP(G493,SETTINGS!$B$7:$D$97,3,0)</f>
        <v>0</v>
      </c>
      <c r="J493" s="670" t="str">
        <f>IFERROR(IF(CURRENCY.FORMAT_1=0,CONCATENATE(TEXT(FIXED(ROUND((C493/EXC.RATE_1),CURRENCY.FORMAT_1),CURRENCY.FORMAT_1,1),"# ##0;-# ##0"),",-"),FIXED(ROUND((C493/EXC.RATE_1),CURRENCY.FORMAT_1),CURRENCY.FORMAT_1,0)),'DICTIONARY-5'!$A$2)</f>
        <v>847,-</v>
      </c>
      <c r="K493" s="670" t="str">
        <f>IF(EXC.RATE_2=0,"",IFERROR(IF(CURRENCY.FORMAT_2=0,CONCATENATE(TEXT(FIXED(ROUND(IF(EXC.RATE.SWITCH=1,C493/EXC.RATE_2,C493*EXC.RATE_2),CURRENCY.FORMAT_2),CURRENCY.FORMAT_2,1),"# ##0;-# ##0"),",-"),FIXED(ROUND(IF(EXC.RATE.SWITCH=1,C493/EXC.RATE_2,C493*EXC.RATE_2),CURRENCY.FORMAT_2),CURRENCY.FORMAT_2,0)),'DICTIONARY-5'!$A$2))</f>
        <v/>
      </c>
      <c r="L493" s="670" t="str">
        <f>IFERROR(IF(CURRENCY.FORMAT_1=0,CONCATENATE(TEXT(FIXED(ROUND((C493*(1-I493)*(1-ADD.DISCOUNT)*(1+MAT.SURCHARGE)/EXC.RATE_1),CURRENCY.FORMAT_1),CURRENCY.FORMAT_1,1),"# ##0;-# ##0"),",-"),FIXED(ROUND((C493*(1-I493)*(1-ADD.DISCOUNT)*(1+MAT.SURCHARGE)/EXC.RATE_1),CURRENCY.FORMAT_1),CURRENCY.FORMAT_1,0)),'DICTIONARY-5'!$A$2)</f>
        <v>880,-</v>
      </c>
      <c r="M493" s="670" t="str">
        <f>IF(EXC.RATE_2=0,"",IFERROR(IF(CURRENCY.FORMAT_2=0,CONCATENATE(TEXT(FIXED(ROUND(IF(EXC.RATE.SWITCH=1,C493*(1-I493)*(1-ADD.DISCOUNT)*(1+MAT.SURCHARGE)/EXC.RATE_2,C493*(1-I493)*(1-ADD.DISCOUNT)*(1+MAT.SURCHARGE)*EXC.RATE_2),CURRENCY.FORMAT_2),CURRENCY.FORMAT_2,1),"# ##0;-# ##0"),",-"),FIXED(ROUND(IF(EXC.RATE.SWITCH=1,C493*(1-I493)*(1-ADD.DISCOUNT)*(1+MAT.SURCHARGE)/EXC.RATE_2,C493*(1-I493)*(1-ADD.DISCOUNT)*(1+MAT.SURCHARGE)*EXC.RATE_2),CURRENCY.FORMAT_2),CURRENCY.FORMAT_2,0)),'DICTIONARY-5'!$A$2))</f>
        <v/>
      </c>
      <c r="N493" s="544">
        <v>2</v>
      </c>
      <c r="O493" s="544"/>
      <c r="P493" s="731" t="str">
        <f>'DICTIONARY-3'!$A$10</f>
        <v>MONO</v>
      </c>
      <c r="Q493" s="732" t="str">
        <f>'DICTIONARY-3'!$A$189</f>
        <v>Zasuwa nożowa</v>
      </c>
      <c r="R493" s="732" t="str">
        <f>CONCATENATE('DICTIONARY-3'!$A$10," ",'DICTIONARY-6'!$A$6," ",'DICTIONARY-5'!$A$34," ",'DICTIONARY-2'!$A$2,"65"," ",'DICTIONARY-2'!$A$3,"10"," ",'DICTIONARY-2'!$A$10,"10",'DICTIONARY-2'!$A$20," ",'DICTIONARY-2'!$A$7,"1,06-1,43m",", ",'DICTIONARY-4'!$A$10,"+",'DICTIONARY-4'!$A$13)</f>
        <v>MONO Zasuwa noż. A2 DN65 PN10 PS10bar Rd1,06-1,43m, PPW+KK</v>
      </c>
      <c r="S493" s="733" t="str">
        <f>'DICTIONARY-4'!$A$13</f>
        <v>KK</v>
      </c>
      <c r="T493" s="732" t="str">
        <f>'DICTIONARY-4'!$A$29</f>
        <v>Końcówka kwadratowa, zamontowana</v>
      </c>
      <c r="U493" s="734" t="s">
        <v>5759</v>
      </c>
      <c r="V493" s="735">
        <v>10</v>
      </c>
      <c r="W493" s="736"/>
      <c r="X493" s="737"/>
      <c r="Y493" s="745" t="s">
        <v>5817</v>
      </c>
      <c r="Z493" s="739"/>
      <c r="AA493" s="739"/>
      <c r="AB493" s="740">
        <v>10</v>
      </c>
      <c r="AC493" s="741" t="str">
        <f>'DICTIONARY-5'!$A$11&amp;" 20"</f>
        <v>EN 558 szereg 20</v>
      </c>
      <c r="AD493" s="741" t="str">
        <f>'DICTIONARY-5'!$A$14</f>
        <v>ścieki</v>
      </c>
      <c r="AE493" s="742">
        <v>50</v>
      </c>
      <c r="AF493" s="743">
        <v>14</v>
      </c>
      <c r="AG493" s="741" t="str">
        <f>'DICTIONARY-5'!$A$23</f>
        <v>powłoka epoksydowa</v>
      </c>
    </row>
    <row r="494" spans="1:33" x14ac:dyDescent="0.25">
      <c r="A494" s="842" t="s">
        <v>487</v>
      </c>
      <c r="B494" s="842" t="s">
        <v>3128</v>
      </c>
      <c r="C494" s="836">
        <v>881</v>
      </c>
      <c r="D494" s="836"/>
      <c r="E494" s="836"/>
      <c r="F494" s="836"/>
      <c r="G494" s="496" t="s">
        <v>7795</v>
      </c>
      <c r="H494" s="797" t="str">
        <f>VLOOKUP(G494,SETTINGS!$B$7:$D$97,2,0)</f>
        <v>MONO</v>
      </c>
      <c r="I494" s="796">
        <f>VLOOKUP(G494,SETTINGS!$B$7:$D$97,3,0)</f>
        <v>0</v>
      </c>
      <c r="J494" s="670" t="str">
        <f>IFERROR(IF(CURRENCY.FORMAT_1=0,CONCATENATE(TEXT(FIXED(ROUND((C494/EXC.RATE_1),CURRENCY.FORMAT_1),CURRENCY.FORMAT_1,1),"# ##0;-# ##0"),",-"),FIXED(ROUND((C494/EXC.RATE_1),CURRENCY.FORMAT_1),CURRENCY.FORMAT_1,0)),'DICTIONARY-5'!$A$2)</f>
        <v>881,-</v>
      </c>
      <c r="K494" s="670" t="str">
        <f>IF(EXC.RATE_2=0,"",IFERROR(IF(CURRENCY.FORMAT_2=0,CONCATENATE(TEXT(FIXED(ROUND(IF(EXC.RATE.SWITCH=1,C494/EXC.RATE_2,C494*EXC.RATE_2),CURRENCY.FORMAT_2),CURRENCY.FORMAT_2,1),"# ##0;-# ##0"),",-"),FIXED(ROUND(IF(EXC.RATE.SWITCH=1,C494/EXC.RATE_2,C494*EXC.RATE_2),CURRENCY.FORMAT_2),CURRENCY.FORMAT_2,0)),'DICTIONARY-5'!$A$2))</f>
        <v/>
      </c>
      <c r="L494" s="670" t="str">
        <f>IFERROR(IF(CURRENCY.FORMAT_1=0,CONCATENATE(TEXT(FIXED(ROUND((C494*(1-I494)*(1-ADD.DISCOUNT)*(1+MAT.SURCHARGE)/EXC.RATE_1),CURRENCY.FORMAT_1),CURRENCY.FORMAT_1,1),"# ##0;-# ##0"),",-"),FIXED(ROUND((C494*(1-I494)*(1-ADD.DISCOUNT)*(1+MAT.SURCHARGE)/EXC.RATE_1),CURRENCY.FORMAT_1),CURRENCY.FORMAT_1,0)),'DICTIONARY-5'!$A$2)</f>
        <v>915,-</v>
      </c>
      <c r="M494" s="670" t="str">
        <f>IF(EXC.RATE_2=0,"",IFERROR(IF(CURRENCY.FORMAT_2=0,CONCATENATE(TEXT(FIXED(ROUND(IF(EXC.RATE.SWITCH=1,C494*(1-I494)*(1-ADD.DISCOUNT)*(1+MAT.SURCHARGE)/EXC.RATE_2,C494*(1-I494)*(1-ADD.DISCOUNT)*(1+MAT.SURCHARGE)*EXC.RATE_2),CURRENCY.FORMAT_2),CURRENCY.FORMAT_2,1),"# ##0;-# ##0"),",-"),FIXED(ROUND(IF(EXC.RATE.SWITCH=1,C494*(1-I494)*(1-ADD.DISCOUNT)*(1+MAT.SURCHARGE)/EXC.RATE_2,C494*(1-I494)*(1-ADD.DISCOUNT)*(1+MAT.SURCHARGE)*EXC.RATE_2),CURRENCY.FORMAT_2),CURRENCY.FORMAT_2,0)),'DICTIONARY-5'!$A$2))</f>
        <v/>
      </c>
      <c r="N494" s="544">
        <v>2</v>
      </c>
      <c r="O494" s="544"/>
      <c r="P494" s="731" t="str">
        <f>'DICTIONARY-3'!$A$10</f>
        <v>MONO</v>
      </c>
      <c r="Q494" s="732" t="str">
        <f>'DICTIONARY-3'!$A$189</f>
        <v>Zasuwa nożowa</v>
      </c>
      <c r="R494" s="732" t="str">
        <f>CONCATENATE('DICTIONARY-3'!$A$10," ",'DICTIONARY-6'!$A$6," ",'DICTIONARY-5'!$A$34," ",'DICTIONARY-2'!$A$2,"80"," ",'DICTIONARY-2'!$A$3,"10"," ",'DICTIONARY-2'!$A$10,"10",'DICTIONARY-2'!$A$20," ",'DICTIONARY-2'!$A$7,"1,08-1,45m",", ",'DICTIONARY-4'!$A$10,"+",'DICTIONARY-4'!$A$13)</f>
        <v>MONO Zasuwa noż. A2 DN80 PN10 PS10bar Rd1,08-1,45m, PPW+KK</v>
      </c>
      <c r="S494" s="733" t="str">
        <f>'DICTIONARY-4'!$A$13</f>
        <v>KK</v>
      </c>
      <c r="T494" s="732" t="str">
        <f>'DICTIONARY-4'!$A$29</f>
        <v>Końcówka kwadratowa, zamontowana</v>
      </c>
      <c r="U494" s="734" t="s">
        <v>5760</v>
      </c>
      <c r="V494" s="735">
        <v>10</v>
      </c>
      <c r="W494" s="736"/>
      <c r="X494" s="737"/>
      <c r="Y494" s="745" t="s">
        <v>5818</v>
      </c>
      <c r="Z494" s="739"/>
      <c r="AA494" s="739"/>
      <c r="AB494" s="740">
        <v>10</v>
      </c>
      <c r="AC494" s="741" t="str">
        <f>'DICTIONARY-5'!$A$11&amp;" 16"</f>
        <v>EN 558 szereg 16</v>
      </c>
      <c r="AD494" s="741" t="str">
        <f>'DICTIONARY-5'!$A$14</f>
        <v>ścieki</v>
      </c>
      <c r="AE494" s="742">
        <v>50</v>
      </c>
      <c r="AF494" s="743">
        <v>16</v>
      </c>
      <c r="AG494" s="741" t="str">
        <f>'DICTIONARY-5'!$A$23</f>
        <v>powłoka epoksydowa</v>
      </c>
    </row>
    <row r="495" spans="1:33" x14ac:dyDescent="0.25">
      <c r="A495" s="842" t="s">
        <v>491</v>
      </c>
      <c r="B495" s="842" t="s">
        <v>3130</v>
      </c>
      <c r="C495" s="836">
        <v>892</v>
      </c>
      <c r="D495" s="836"/>
      <c r="E495" s="836"/>
      <c r="F495" s="836"/>
      <c r="G495" s="496" t="s">
        <v>7795</v>
      </c>
      <c r="H495" s="797" t="str">
        <f>VLOOKUP(G495,SETTINGS!$B$7:$D$97,2,0)</f>
        <v>MONO</v>
      </c>
      <c r="I495" s="796">
        <f>VLOOKUP(G495,SETTINGS!$B$7:$D$97,3,0)</f>
        <v>0</v>
      </c>
      <c r="J495" s="670" t="str">
        <f>IFERROR(IF(CURRENCY.FORMAT_1=0,CONCATENATE(TEXT(FIXED(ROUND((C495/EXC.RATE_1),CURRENCY.FORMAT_1),CURRENCY.FORMAT_1,1),"# ##0;-# ##0"),",-"),FIXED(ROUND((C495/EXC.RATE_1),CURRENCY.FORMAT_1),CURRENCY.FORMAT_1,0)),'DICTIONARY-5'!$A$2)</f>
        <v>892,-</v>
      </c>
      <c r="K495" s="670" t="str">
        <f>IF(EXC.RATE_2=0,"",IFERROR(IF(CURRENCY.FORMAT_2=0,CONCATENATE(TEXT(FIXED(ROUND(IF(EXC.RATE.SWITCH=1,C495/EXC.RATE_2,C495*EXC.RATE_2),CURRENCY.FORMAT_2),CURRENCY.FORMAT_2,1),"# ##0;-# ##0"),",-"),FIXED(ROUND(IF(EXC.RATE.SWITCH=1,C495/EXC.RATE_2,C495*EXC.RATE_2),CURRENCY.FORMAT_2),CURRENCY.FORMAT_2,0)),'DICTIONARY-5'!$A$2))</f>
        <v/>
      </c>
      <c r="L495" s="670" t="str">
        <f>IFERROR(IF(CURRENCY.FORMAT_1=0,CONCATENATE(TEXT(FIXED(ROUND((C495*(1-I495)*(1-ADD.DISCOUNT)*(1+MAT.SURCHARGE)/EXC.RATE_1),CURRENCY.FORMAT_1),CURRENCY.FORMAT_1,1),"# ##0;-# ##0"),",-"),FIXED(ROUND((C495*(1-I495)*(1-ADD.DISCOUNT)*(1+MAT.SURCHARGE)/EXC.RATE_1),CURRENCY.FORMAT_1),CURRENCY.FORMAT_1,0)),'DICTIONARY-5'!$A$2)</f>
        <v>927,-</v>
      </c>
      <c r="M495" s="670" t="str">
        <f>IF(EXC.RATE_2=0,"",IFERROR(IF(CURRENCY.FORMAT_2=0,CONCATENATE(TEXT(FIXED(ROUND(IF(EXC.RATE.SWITCH=1,C495*(1-I495)*(1-ADD.DISCOUNT)*(1+MAT.SURCHARGE)/EXC.RATE_2,C495*(1-I495)*(1-ADD.DISCOUNT)*(1+MAT.SURCHARGE)*EXC.RATE_2),CURRENCY.FORMAT_2),CURRENCY.FORMAT_2,1),"# ##0;-# ##0"),",-"),FIXED(ROUND(IF(EXC.RATE.SWITCH=1,C495*(1-I495)*(1-ADD.DISCOUNT)*(1+MAT.SURCHARGE)/EXC.RATE_2,C495*(1-I495)*(1-ADD.DISCOUNT)*(1+MAT.SURCHARGE)*EXC.RATE_2),CURRENCY.FORMAT_2),CURRENCY.FORMAT_2,0)),'DICTIONARY-5'!$A$2))</f>
        <v/>
      </c>
      <c r="N495" s="544">
        <v>2</v>
      </c>
      <c r="O495" s="544"/>
      <c r="P495" s="731" t="str">
        <f>'DICTIONARY-3'!$A$10</f>
        <v>MONO</v>
      </c>
      <c r="Q495" s="732" t="str">
        <f>'DICTIONARY-3'!$A$189</f>
        <v>Zasuwa nożowa</v>
      </c>
      <c r="R495" s="732" t="str">
        <f>CONCATENATE('DICTIONARY-3'!$A$10," ",'DICTIONARY-6'!$A$6," ",'DICTIONARY-5'!$A$34," ",'DICTIONARY-2'!$A$2,"100"," ",'DICTIONARY-2'!$A$3,"10"," ",'DICTIONARY-2'!$A$10,"10",'DICTIONARY-2'!$A$20," ",'DICTIONARY-2'!$A$7,"1,13-1,50m",", ",'DICTIONARY-4'!$A$10,"+",'DICTIONARY-4'!$A$13)</f>
        <v>MONO Zasuwa noż. A2 DN100 PN10 PS10bar Rd1,13-1,50m, PPW+KK</v>
      </c>
      <c r="S495" s="733" t="str">
        <f>'DICTIONARY-4'!$A$13</f>
        <v>KK</v>
      </c>
      <c r="T495" s="732" t="str">
        <f>'DICTIONARY-4'!$A$29</f>
        <v>Końcówka kwadratowa, zamontowana</v>
      </c>
      <c r="U495" s="734" t="s">
        <v>5749</v>
      </c>
      <c r="V495" s="735">
        <v>10</v>
      </c>
      <c r="W495" s="736"/>
      <c r="X495" s="737"/>
      <c r="Y495" s="745" t="s">
        <v>5819</v>
      </c>
      <c r="Z495" s="739"/>
      <c r="AA495" s="739"/>
      <c r="AB495" s="740">
        <v>10</v>
      </c>
      <c r="AC495" s="741" t="str">
        <f>'DICTIONARY-5'!$A$11&amp;" 16"</f>
        <v>EN 558 szereg 16</v>
      </c>
      <c r="AD495" s="741" t="str">
        <f>'DICTIONARY-5'!$A$14</f>
        <v>ścieki</v>
      </c>
      <c r="AE495" s="742">
        <v>50</v>
      </c>
      <c r="AF495" s="743">
        <v>18.5</v>
      </c>
      <c r="AG495" s="741" t="str">
        <f>'DICTIONARY-5'!$A$23</f>
        <v>powłoka epoksydowa</v>
      </c>
    </row>
    <row r="496" spans="1:33" x14ac:dyDescent="0.25">
      <c r="A496" s="842" t="s">
        <v>495</v>
      </c>
      <c r="B496" s="842" t="s">
        <v>3132</v>
      </c>
      <c r="C496" s="836">
        <v>914</v>
      </c>
      <c r="D496" s="836"/>
      <c r="E496" s="836"/>
      <c r="F496" s="836"/>
      <c r="G496" s="496" t="s">
        <v>7795</v>
      </c>
      <c r="H496" s="797" t="str">
        <f>VLOOKUP(G496,SETTINGS!$B$7:$D$97,2,0)</f>
        <v>MONO</v>
      </c>
      <c r="I496" s="796">
        <f>VLOOKUP(G496,SETTINGS!$B$7:$D$97,3,0)</f>
        <v>0</v>
      </c>
      <c r="J496" s="670" t="str">
        <f>IFERROR(IF(CURRENCY.FORMAT_1=0,CONCATENATE(TEXT(FIXED(ROUND((C496/EXC.RATE_1),CURRENCY.FORMAT_1),CURRENCY.FORMAT_1,1),"# ##0;-# ##0"),",-"),FIXED(ROUND((C496/EXC.RATE_1),CURRENCY.FORMAT_1),CURRENCY.FORMAT_1,0)),'DICTIONARY-5'!$A$2)</f>
        <v>914,-</v>
      </c>
      <c r="K496" s="670" t="str">
        <f>IF(EXC.RATE_2=0,"",IFERROR(IF(CURRENCY.FORMAT_2=0,CONCATENATE(TEXT(FIXED(ROUND(IF(EXC.RATE.SWITCH=1,C496/EXC.RATE_2,C496*EXC.RATE_2),CURRENCY.FORMAT_2),CURRENCY.FORMAT_2,1),"# ##0;-# ##0"),",-"),FIXED(ROUND(IF(EXC.RATE.SWITCH=1,C496/EXC.RATE_2,C496*EXC.RATE_2),CURRENCY.FORMAT_2),CURRENCY.FORMAT_2,0)),'DICTIONARY-5'!$A$2))</f>
        <v/>
      </c>
      <c r="L496" s="670" t="str">
        <f>IFERROR(IF(CURRENCY.FORMAT_1=0,CONCATENATE(TEXT(FIXED(ROUND((C496*(1-I496)*(1-ADD.DISCOUNT)*(1+MAT.SURCHARGE)/EXC.RATE_1),CURRENCY.FORMAT_1),CURRENCY.FORMAT_1,1),"# ##0;-# ##0"),",-"),FIXED(ROUND((C496*(1-I496)*(1-ADD.DISCOUNT)*(1+MAT.SURCHARGE)/EXC.RATE_1),CURRENCY.FORMAT_1),CURRENCY.FORMAT_1,0)),'DICTIONARY-5'!$A$2)</f>
        <v>950,-</v>
      </c>
      <c r="M496" s="670" t="str">
        <f>IF(EXC.RATE_2=0,"",IFERROR(IF(CURRENCY.FORMAT_2=0,CONCATENATE(TEXT(FIXED(ROUND(IF(EXC.RATE.SWITCH=1,C496*(1-I496)*(1-ADD.DISCOUNT)*(1+MAT.SURCHARGE)/EXC.RATE_2,C496*(1-I496)*(1-ADD.DISCOUNT)*(1+MAT.SURCHARGE)*EXC.RATE_2),CURRENCY.FORMAT_2),CURRENCY.FORMAT_2,1),"# ##0;-# ##0"),",-"),FIXED(ROUND(IF(EXC.RATE.SWITCH=1,C496*(1-I496)*(1-ADD.DISCOUNT)*(1+MAT.SURCHARGE)/EXC.RATE_2,C496*(1-I496)*(1-ADD.DISCOUNT)*(1+MAT.SURCHARGE)*EXC.RATE_2),CURRENCY.FORMAT_2),CURRENCY.FORMAT_2,0)),'DICTIONARY-5'!$A$2))</f>
        <v/>
      </c>
      <c r="N496" s="544">
        <v>2</v>
      </c>
      <c r="O496" s="544"/>
      <c r="P496" s="731" t="str">
        <f>'DICTIONARY-3'!$A$10</f>
        <v>MONO</v>
      </c>
      <c r="Q496" s="732" t="str">
        <f>'DICTIONARY-3'!$A$189</f>
        <v>Zasuwa nożowa</v>
      </c>
      <c r="R496" s="732" t="str">
        <f>CONCATENATE('DICTIONARY-3'!$A$10," ",'DICTIONARY-6'!$A$6," ",'DICTIONARY-5'!$A$34," ",'DICTIONARY-2'!$A$2,"125"," ",'DICTIONARY-2'!$A$3,"10"," ",'DICTIONARY-2'!$A$10,"8",'DICTIONARY-2'!$A$20," ",'DICTIONARY-2'!$A$7,"1,18-1,55m",", ",'DICTIONARY-4'!$A$10,"+",'DICTIONARY-4'!$A$13)</f>
        <v>MONO Zasuwa noż. A2 DN125 PN10 PS8bar Rd1,18-1,55m, PPW+KK</v>
      </c>
      <c r="S496" s="733" t="str">
        <f>'DICTIONARY-4'!$A$13</f>
        <v>KK</v>
      </c>
      <c r="T496" s="732" t="str">
        <f>'DICTIONARY-4'!$A$29</f>
        <v>Końcówka kwadratowa, zamontowana</v>
      </c>
      <c r="U496" s="734" t="s">
        <v>5761</v>
      </c>
      <c r="V496" s="735">
        <v>10</v>
      </c>
      <c r="W496" s="736"/>
      <c r="X496" s="737"/>
      <c r="Y496" s="745" t="s">
        <v>5820</v>
      </c>
      <c r="Z496" s="739"/>
      <c r="AA496" s="739"/>
      <c r="AB496" s="740">
        <v>8</v>
      </c>
      <c r="AC496" s="741" t="str">
        <f>'DICTIONARY-5'!$A$11&amp;" 16"</f>
        <v>EN 558 szereg 16</v>
      </c>
      <c r="AD496" s="741" t="str">
        <f>'DICTIONARY-5'!$A$14</f>
        <v>ścieki</v>
      </c>
      <c r="AE496" s="742">
        <v>50</v>
      </c>
      <c r="AF496" s="743">
        <v>22</v>
      </c>
      <c r="AG496" s="741" t="str">
        <f>'DICTIONARY-5'!$A$23</f>
        <v>powłoka epoksydowa</v>
      </c>
    </row>
    <row r="497" spans="1:33" x14ac:dyDescent="0.25">
      <c r="A497" s="842" t="s">
        <v>499</v>
      </c>
      <c r="B497" s="842" t="s">
        <v>3134</v>
      </c>
      <c r="C497" s="836">
        <v>979</v>
      </c>
      <c r="D497" s="836"/>
      <c r="E497" s="836"/>
      <c r="F497" s="836"/>
      <c r="G497" s="496" t="s">
        <v>7795</v>
      </c>
      <c r="H497" s="797" t="str">
        <f>VLOOKUP(G497,SETTINGS!$B$7:$D$97,2,0)</f>
        <v>MONO</v>
      </c>
      <c r="I497" s="796">
        <f>VLOOKUP(G497,SETTINGS!$B$7:$D$97,3,0)</f>
        <v>0</v>
      </c>
      <c r="J497" s="670" t="str">
        <f>IFERROR(IF(CURRENCY.FORMAT_1=0,CONCATENATE(TEXT(FIXED(ROUND((C497/EXC.RATE_1),CURRENCY.FORMAT_1),CURRENCY.FORMAT_1,1),"# ##0;-# ##0"),",-"),FIXED(ROUND((C497/EXC.RATE_1),CURRENCY.FORMAT_1),CURRENCY.FORMAT_1,0)),'DICTIONARY-5'!$A$2)</f>
        <v>979,-</v>
      </c>
      <c r="K497" s="670" t="str">
        <f>IF(EXC.RATE_2=0,"",IFERROR(IF(CURRENCY.FORMAT_2=0,CONCATENATE(TEXT(FIXED(ROUND(IF(EXC.RATE.SWITCH=1,C497/EXC.RATE_2,C497*EXC.RATE_2),CURRENCY.FORMAT_2),CURRENCY.FORMAT_2,1),"# ##0;-# ##0"),",-"),FIXED(ROUND(IF(EXC.RATE.SWITCH=1,C497/EXC.RATE_2,C497*EXC.RATE_2),CURRENCY.FORMAT_2),CURRENCY.FORMAT_2,0)),'DICTIONARY-5'!$A$2))</f>
        <v/>
      </c>
      <c r="L497" s="670" t="str">
        <f>IFERROR(IF(CURRENCY.FORMAT_1=0,CONCATENATE(TEXT(FIXED(ROUND((C497*(1-I497)*(1-ADD.DISCOUNT)*(1+MAT.SURCHARGE)/EXC.RATE_1),CURRENCY.FORMAT_1),CURRENCY.FORMAT_1,1),"# ##0;-# ##0"),",-"),FIXED(ROUND((C497*(1-I497)*(1-ADD.DISCOUNT)*(1+MAT.SURCHARGE)/EXC.RATE_1),CURRENCY.FORMAT_1),CURRENCY.FORMAT_1,0)),'DICTIONARY-5'!$A$2)</f>
        <v>1 017,-</v>
      </c>
      <c r="M497" s="670" t="str">
        <f>IF(EXC.RATE_2=0,"",IFERROR(IF(CURRENCY.FORMAT_2=0,CONCATENATE(TEXT(FIXED(ROUND(IF(EXC.RATE.SWITCH=1,C497*(1-I497)*(1-ADD.DISCOUNT)*(1+MAT.SURCHARGE)/EXC.RATE_2,C497*(1-I497)*(1-ADD.DISCOUNT)*(1+MAT.SURCHARGE)*EXC.RATE_2),CURRENCY.FORMAT_2),CURRENCY.FORMAT_2,1),"# ##0;-# ##0"),",-"),FIXED(ROUND(IF(EXC.RATE.SWITCH=1,C497*(1-I497)*(1-ADD.DISCOUNT)*(1+MAT.SURCHARGE)/EXC.RATE_2,C497*(1-I497)*(1-ADD.DISCOUNT)*(1+MAT.SURCHARGE)*EXC.RATE_2),CURRENCY.FORMAT_2),CURRENCY.FORMAT_2,0)),'DICTIONARY-5'!$A$2))</f>
        <v/>
      </c>
      <c r="N497" s="544">
        <v>2</v>
      </c>
      <c r="O497" s="544"/>
      <c r="P497" s="731" t="str">
        <f>'DICTIONARY-3'!$A$10</f>
        <v>MONO</v>
      </c>
      <c r="Q497" s="732" t="str">
        <f>'DICTIONARY-3'!$A$189</f>
        <v>Zasuwa nożowa</v>
      </c>
      <c r="R497" s="732" t="str">
        <f>CONCATENATE('DICTIONARY-3'!$A$10," ",'DICTIONARY-6'!$A$6," ",'DICTIONARY-5'!$A$34," ",'DICTIONARY-2'!$A$2,"150"," ",'DICTIONARY-2'!$A$3,"10"," ",'DICTIONARY-2'!$A$10,"8",'DICTIONARY-2'!$A$20," ",'DICTIONARY-2'!$A$7,"1,23-1,60m",", ",'DICTIONARY-4'!$A$10,"+",'DICTIONARY-4'!$A$13)</f>
        <v>MONO Zasuwa noż. A2 DN150 PN10 PS8bar Rd1,23-1,60m, PPW+KK</v>
      </c>
      <c r="S497" s="733" t="str">
        <f>'DICTIONARY-4'!$A$13</f>
        <v>KK</v>
      </c>
      <c r="T497" s="732" t="str">
        <f>'DICTIONARY-4'!$A$29</f>
        <v>Końcówka kwadratowa, zamontowana</v>
      </c>
      <c r="U497" s="734" t="s">
        <v>5572</v>
      </c>
      <c r="V497" s="735">
        <v>10</v>
      </c>
      <c r="W497" s="736"/>
      <c r="X497" s="737"/>
      <c r="Y497" s="745" t="s">
        <v>5821</v>
      </c>
      <c r="Z497" s="739"/>
      <c r="AA497" s="739"/>
      <c r="AB497" s="740">
        <v>8</v>
      </c>
      <c r="AC497" s="741" t="str">
        <f>'DICTIONARY-5'!$A$11&amp;" 20"</f>
        <v>EN 558 szereg 20</v>
      </c>
      <c r="AD497" s="741" t="str">
        <f>'DICTIONARY-5'!$A$14</f>
        <v>ścieki</v>
      </c>
      <c r="AE497" s="742">
        <v>50</v>
      </c>
      <c r="AF497" s="743">
        <v>23.5</v>
      </c>
      <c r="AG497" s="741" t="str">
        <f>'DICTIONARY-5'!$A$23</f>
        <v>powłoka epoksydowa</v>
      </c>
    </row>
    <row r="498" spans="1:33" x14ac:dyDescent="0.25">
      <c r="A498" s="842" t="s">
        <v>503</v>
      </c>
      <c r="B498" s="842" t="s">
        <v>3136</v>
      </c>
      <c r="C498" s="836">
        <v>1188</v>
      </c>
      <c r="D498" s="836"/>
      <c r="E498" s="836"/>
      <c r="F498" s="836"/>
      <c r="G498" s="496" t="s">
        <v>7795</v>
      </c>
      <c r="H498" s="797" t="str">
        <f>VLOOKUP(G498,SETTINGS!$B$7:$D$97,2,0)</f>
        <v>MONO</v>
      </c>
      <c r="I498" s="796">
        <f>VLOOKUP(G498,SETTINGS!$B$7:$D$97,3,0)</f>
        <v>0</v>
      </c>
      <c r="J498" s="670" t="str">
        <f>IFERROR(IF(CURRENCY.FORMAT_1=0,CONCATENATE(TEXT(FIXED(ROUND((C498/EXC.RATE_1),CURRENCY.FORMAT_1),CURRENCY.FORMAT_1,1),"# ##0;-# ##0"),",-"),FIXED(ROUND((C498/EXC.RATE_1),CURRENCY.FORMAT_1),CURRENCY.FORMAT_1,0)),'DICTIONARY-5'!$A$2)</f>
        <v>1 188,-</v>
      </c>
      <c r="K498" s="670" t="str">
        <f>IF(EXC.RATE_2=0,"",IFERROR(IF(CURRENCY.FORMAT_2=0,CONCATENATE(TEXT(FIXED(ROUND(IF(EXC.RATE.SWITCH=1,C498/EXC.RATE_2,C498*EXC.RATE_2),CURRENCY.FORMAT_2),CURRENCY.FORMAT_2,1),"# ##0;-# ##0"),",-"),FIXED(ROUND(IF(EXC.RATE.SWITCH=1,C498/EXC.RATE_2,C498*EXC.RATE_2),CURRENCY.FORMAT_2),CURRENCY.FORMAT_2,0)),'DICTIONARY-5'!$A$2))</f>
        <v/>
      </c>
      <c r="L498" s="670" t="str">
        <f>IFERROR(IF(CURRENCY.FORMAT_1=0,CONCATENATE(TEXT(FIXED(ROUND((C498*(1-I498)*(1-ADD.DISCOUNT)*(1+MAT.SURCHARGE)/EXC.RATE_1),CURRENCY.FORMAT_1),CURRENCY.FORMAT_1,1),"# ##0;-# ##0"),",-"),FIXED(ROUND((C498*(1-I498)*(1-ADD.DISCOUNT)*(1+MAT.SURCHARGE)/EXC.RATE_1),CURRENCY.FORMAT_1),CURRENCY.FORMAT_1,0)),'DICTIONARY-5'!$A$2)</f>
        <v>1 234,-</v>
      </c>
      <c r="M498" s="670" t="str">
        <f>IF(EXC.RATE_2=0,"",IFERROR(IF(CURRENCY.FORMAT_2=0,CONCATENATE(TEXT(FIXED(ROUND(IF(EXC.RATE.SWITCH=1,C498*(1-I498)*(1-ADD.DISCOUNT)*(1+MAT.SURCHARGE)/EXC.RATE_2,C498*(1-I498)*(1-ADD.DISCOUNT)*(1+MAT.SURCHARGE)*EXC.RATE_2),CURRENCY.FORMAT_2),CURRENCY.FORMAT_2,1),"# ##0;-# ##0"),",-"),FIXED(ROUND(IF(EXC.RATE.SWITCH=1,C498*(1-I498)*(1-ADD.DISCOUNT)*(1+MAT.SURCHARGE)/EXC.RATE_2,C498*(1-I498)*(1-ADD.DISCOUNT)*(1+MAT.SURCHARGE)*EXC.RATE_2),CURRENCY.FORMAT_2),CURRENCY.FORMAT_2,0)),'DICTIONARY-5'!$A$2))</f>
        <v/>
      </c>
      <c r="N498" s="544">
        <v>2</v>
      </c>
      <c r="O498" s="544"/>
      <c r="P498" s="731" t="str">
        <f>'DICTIONARY-3'!$A$10</f>
        <v>MONO</v>
      </c>
      <c r="Q498" s="732" t="str">
        <f>'DICTIONARY-3'!$A$189</f>
        <v>Zasuwa nożowa</v>
      </c>
      <c r="R498" s="732" t="str">
        <f>CONCATENATE('DICTIONARY-3'!$A$10," ",'DICTIONARY-6'!$A$6," ",'DICTIONARY-5'!$A$34," ",'DICTIONARY-2'!$A$2,"200"," ",'DICTIONARY-2'!$A$3,"10"," ",'DICTIONARY-2'!$A$10,"6",'DICTIONARY-2'!$A$20," ",'DICTIONARY-2'!$A$7,"1,33-1,70m",", ",'DICTIONARY-4'!$A$10,"+",'DICTIONARY-4'!$A$13)</f>
        <v>MONO Zasuwa noż. A2 DN200 PN10 PS6bar Rd1,33-1,70m, PPW+KK</v>
      </c>
      <c r="S498" s="733" t="str">
        <f>'DICTIONARY-4'!$A$13</f>
        <v>KK</v>
      </c>
      <c r="T498" s="732" t="str">
        <f>'DICTIONARY-4'!$A$29</f>
        <v>Końcówka kwadratowa, zamontowana</v>
      </c>
      <c r="U498" s="734" t="s">
        <v>5750</v>
      </c>
      <c r="V498" s="735">
        <v>10</v>
      </c>
      <c r="W498" s="736"/>
      <c r="X498" s="737"/>
      <c r="Y498" s="745" t="s">
        <v>5822</v>
      </c>
      <c r="Z498" s="739"/>
      <c r="AA498" s="739"/>
      <c r="AB498" s="740">
        <v>6</v>
      </c>
      <c r="AC498" s="741" t="str">
        <f>'DICTIONARY-5'!$A$11&amp;" 20"</f>
        <v>EN 558 szereg 20</v>
      </c>
      <c r="AD498" s="741" t="str">
        <f>'DICTIONARY-5'!$A$14</f>
        <v>ścieki</v>
      </c>
      <c r="AE498" s="742">
        <v>50</v>
      </c>
      <c r="AF498" s="743">
        <v>32</v>
      </c>
      <c r="AG498" s="741" t="str">
        <f>'DICTIONARY-5'!$A$23</f>
        <v>powłoka epoksydowa</v>
      </c>
    </row>
    <row r="499" spans="1:33" x14ac:dyDescent="0.25">
      <c r="A499" s="842" t="s">
        <v>507</v>
      </c>
      <c r="B499" s="842" t="s">
        <v>3138</v>
      </c>
      <c r="C499" s="836">
        <v>1723</v>
      </c>
      <c r="D499" s="836"/>
      <c r="E499" s="836"/>
      <c r="F499" s="836"/>
      <c r="G499" s="496" t="s">
        <v>7795</v>
      </c>
      <c r="H499" s="797" t="str">
        <f>VLOOKUP(G499,SETTINGS!$B$7:$D$97,2,0)</f>
        <v>MONO</v>
      </c>
      <c r="I499" s="796">
        <f>VLOOKUP(G499,SETTINGS!$B$7:$D$97,3,0)</f>
        <v>0</v>
      </c>
      <c r="J499" s="670" t="str">
        <f>IFERROR(IF(CURRENCY.FORMAT_1=0,CONCATENATE(TEXT(FIXED(ROUND((C499/EXC.RATE_1),CURRENCY.FORMAT_1),CURRENCY.FORMAT_1,1),"# ##0;-# ##0"),",-"),FIXED(ROUND((C499/EXC.RATE_1),CURRENCY.FORMAT_1),CURRENCY.FORMAT_1,0)),'DICTIONARY-5'!$A$2)</f>
        <v>1 723,-</v>
      </c>
      <c r="K499" s="670" t="str">
        <f>IF(EXC.RATE_2=0,"",IFERROR(IF(CURRENCY.FORMAT_2=0,CONCATENATE(TEXT(FIXED(ROUND(IF(EXC.RATE.SWITCH=1,C499/EXC.RATE_2,C499*EXC.RATE_2),CURRENCY.FORMAT_2),CURRENCY.FORMAT_2,1),"# ##0;-# ##0"),",-"),FIXED(ROUND(IF(EXC.RATE.SWITCH=1,C499/EXC.RATE_2,C499*EXC.RATE_2),CURRENCY.FORMAT_2),CURRENCY.FORMAT_2,0)),'DICTIONARY-5'!$A$2))</f>
        <v/>
      </c>
      <c r="L499" s="670" t="str">
        <f>IFERROR(IF(CURRENCY.FORMAT_1=0,CONCATENATE(TEXT(FIXED(ROUND((C499*(1-I499)*(1-ADD.DISCOUNT)*(1+MAT.SURCHARGE)/EXC.RATE_1),CURRENCY.FORMAT_1),CURRENCY.FORMAT_1,1),"# ##0;-# ##0"),",-"),FIXED(ROUND((C499*(1-I499)*(1-ADD.DISCOUNT)*(1+MAT.SURCHARGE)/EXC.RATE_1),CURRENCY.FORMAT_1),CURRENCY.FORMAT_1,0)),'DICTIONARY-5'!$A$2)</f>
        <v>1 790,-</v>
      </c>
      <c r="M499" s="670" t="str">
        <f>IF(EXC.RATE_2=0,"",IFERROR(IF(CURRENCY.FORMAT_2=0,CONCATENATE(TEXT(FIXED(ROUND(IF(EXC.RATE.SWITCH=1,C499*(1-I499)*(1-ADD.DISCOUNT)*(1+MAT.SURCHARGE)/EXC.RATE_2,C499*(1-I499)*(1-ADD.DISCOUNT)*(1+MAT.SURCHARGE)*EXC.RATE_2),CURRENCY.FORMAT_2),CURRENCY.FORMAT_2,1),"# ##0;-# ##0"),",-"),FIXED(ROUND(IF(EXC.RATE.SWITCH=1,C499*(1-I499)*(1-ADD.DISCOUNT)*(1+MAT.SURCHARGE)/EXC.RATE_2,C499*(1-I499)*(1-ADD.DISCOUNT)*(1+MAT.SURCHARGE)*EXC.RATE_2),CURRENCY.FORMAT_2),CURRENCY.FORMAT_2,0)),'DICTIONARY-5'!$A$2))</f>
        <v/>
      </c>
      <c r="N499" s="544">
        <v>2</v>
      </c>
      <c r="O499" s="544"/>
      <c r="P499" s="731" t="str">
        <f>'DICTIONARY-3'!$A$10</f>
        <v>MONO</v>
      </c>
      <c r="Q499" s="732" t="str">
        <f>'DICTIONARY-3'!$A$189</f>
        <v>Zasuwa nożowa</v>
      </c>
      <c r="R499" s="732" t="str">
        <f>CONCATENATE('DICTIONARY-3'!$A$10," ",'DICTIONARY-6'!$A$6," ",'DICTIONARY-5'!$A$34," ",'DICTIONARY-2'!$A$2,"250"," ",'DICTIONARY-2'!$A$3,"10"," ",'DICTIONARY-2'!$A$10,"4",'DICTIONARY-2'!$A$20," ",'DICTIONARY-2'!$A$7,"1,45-1,82m",", ",'DICTIONARY-4'!$A$10,"+",'DICTIONARY-4'!$A$13)</f>
        <v>MONO Zasuwa noż. A2 DN250 PN10 PS4bar Rd1,45-1,82m, PPW+KK</v>
      </c>
      <c r="S499" s="733" t="str">
        <f>'DICTIONARY-4'!$A$13</f>
        <v>KK</v>
      </c>
      <c r="T499" s="732" t="str">
        <f>'DICTIONARY-4'!$A$29</f>
        <v>Końcówka kwadratowa, zamontowana</v>
      </c>
      <c r="U499" s="734" t="s">
        <v>5751</v>
      </c>
      <c r="V499" s="735">
        <v>10</v>
      </c>
      <c r="W499" s="736"/>
      <c r="X499" s="737"/>
      <c r="Y499" s="745" t="s">
        <v>5823</v>
      </c>
      <c r="Z499" s="739"/>
      <c r="AA499" s="739"/>
      <c r="AB499" s="740">
        <v>4</v>
      </c>
      <c r="AC499" s="741" t="str">
        <f>'DICTIONARY-5'!$A$11&amp;" 20"</f>
        <v>EN 558 szereg 20</v>
      </c>
      <c r="AD499" s="741" t="str">
        <f>'DICTIONARY-5'!$A$14</f>
        <v>ścieki</v>
      </c>
      <c r="AE499" s="742">
        <v>50</v>
      </c>
      <c r="AF499" s="743">
        <v>45.5</v>
      </c>
      <c r="AG499" s="741" t="str">
        <f>'DICTIONARY-5'!$A$23</f>
        <v>powłoka epoksydowa</v>
      </c>
    </row>
    <row r="500" spans="1:33" x14ac:dyDescent="0.25">
      <c r="A500" s="842" t="s">
        <v>511</v>
      </c>
      <c r="B500" s="842" t="s">
        <v>3140</v>
      </c>
      <c r="C500" s="836">
        <v>1977</v>
      </c>
      <c r="D500" s="836"/>
      <c r="E500" s="836"/>
      <c r="F500" s="836"/>
      <c r="G500" s="496" t="s">
        <v>7795</v>
      </c>
      <c r="H500" s="797" t="str">
        <f>VLOOKUP(G500,SETTINGS!$B$7:$D$97,2,0)</f>
        <v>MONO</v>
      </c>
      <c r="I500" s="796">
        <f>VLOOKUP(G500,SETTINGS!$B$7:$D$97,3,0)</f>
        <v>0</v>
      </c>
      <c r="J500" s="670" t="str">
        <f>IFERROR(IF(CURRENCY.FORMAT_1=0,CONCATENATE(TEXT(FIXED(ROUND((C500/EXC.RATE_1),CURRENCY.FORMAT_1),CURRENCY.FORMAT_1,1),"# ##0;-# ##0"),",-"),FIXED(ROUND((C500/EXC.RATE_1),CURRENCY.FORMAT_1),CURRENCY.FORMAT_1,0)),'DICTIONARY-5'!$A$2)</f>
        <v>1 977,-</v>
      </c>
      <c r="K500" s="670" t="str">
        <f>IF(EXC.RATE_2=0,"",IFERROR(IF(CURRENCY.FORMAT_2=0,CONCATENATE(TEXT(FIXED(ROUND(IF(EXC.RATE.SWITCH=1,C500/EXC.RATE_2,C500*EXC.RATE_2),CURRENCY.FORMAT_2),CURRENCY.FORMAT_2,1),"# ##0;-# ##0"),",-"),FIXED(ROUND(IF(EXC.RATE.SWITCH=1,C500/EXC.RATE_2,C500*EXC.RATE_2),CURRENCY.FORMAT_2),CURRENCY.FORMAT_2,0)),'DICTIONARY-5'!$A$2))</f>
        <v/>
      </c>
      <c r="L500" s="670" t="str">
        <f>IFERROR(IF(CURRENCY.FORMAT_1=0,CONCATENATE(TEXT(FIXED(ROUND((C500*(1-I500)*(1-ADD.DISCOUNT)*(1+MAT.SURCHARGE)/EXC.RATE_1),CURRENCY.FORMAT_1),CURRENCY.FORMAT_1,1),"# ##0;-# ##0"),",-"),FIXED(ROUND((C500*(1-I500)*(1-ADD.DISCOUNT)*(1+MAT.SURCHARGE)/EXC.RATE_1),CURRENCY.FORMAT_1),CURRENCY.FORMAT_1,0)),'DICTIONARY-5'!$A$2)</f>
        <v>2 054,-</v>
      </c>
      <c r="M500" s="670" t="str">
        <f>IF(EXC.RATE_2=0,"",IFERROR(IF(CURRENCY.FORMAT_2=0,CONCATENATE(TEXT(FIXED(ROUND(IF(EXC.RATE.SWITCH=1,C500*(1-I500)*(1-ADD.DISCOUNT)*(1+MAT.SURCHARGE)/EXC.RATE_2,C500*(1-I500)*(1-ADD.DISCOUNT)*(1+MAT.SURCHARGE)*EXC.RATE_2),CURRENCY.FORMAT_2),CURRENCY.FORMAT_2,1),"# ##0;-# ##0"),",-"),FIXED(ROUND(IF(EXC.RATE.SWITCH=1,C500*(1-I500)*(1-ADD.DISCOUNT)*(1+MAT.SURCHARGE)/EXC.RATE_2,C500*(1-I500)*(1-ADD.DISCOUNT)*(1+MAT.SURCHARGE)*EXC.RATE_2),CURRENCY.FORMAT_2),CURRENCY.FORMAT_2,0)),'DICTIONARY-5'!$A$2))</f>
        <v/>
      </c>
      <c r="N500" s="544">
        <v>2</v>
      </c>
      <c r="O500" s="544"/>
      <c r="P500" s="731" t="str">
        <f>'DICTIONARY-3'!$A$10</f>
        <v>MONO</v>
      </c>
      <c r="Q500" s="732" t="str">
        <f>'DICTIONARY-3'!$A$189</f>
        <v>Zasuwa nożowa</v>
      </c>
      <c r="R500" s="732" t="str">
        <f>CONCATENATE('DICTIONARY-3'!$A$10," ",'DICTIONARY-6'!$A$6," ",'DICTIONARY-5'!$A$34," ",'DICTIONARY-2'!$A$2,"300"," ",'DICTIONARY-2'!$A$3,"10"," ",'DICTIONARY-2'!$A$10,"3",'DICTIONARY-2'!$A$20," ",'DICTIONARY-2'!$A$7,"1,57-1,93m",", ",'DICTIONARY-4'!$A$10,"+",'DICTIONARY-4'!$A$13)</f>
        <v>MONO Zasuwa noż. A2 DN300 PN10 PS3bar Rd1,57-1,93m, PPW+KK</v>
      </c>
      <c r="S500" s="733" t="str">
        <f>'DICTIONARY-4'!$A$13</f>
        <v>KK</v>
      </c>
      <c r="T500" s="732" t="str">
        <f>'DICTIONARY-4'!$A$29</f>
        <v>Końcówka kwadratowa, zamontowana</v>
      </c>
      <c r="U500" s="734" t="s">
        <v>5752</v>
      </c>
      <c r="V500" s="735">
        <v>10</v>
      </c>
      <c r="W500" s="736"/>
      <c r="X500" s="737"/>
      <c r="Y500" s="745" t="s">
        <v>5824</v>
      </c>
      <c r="Z500" s="739"/>
      <c r="AA500" s="739"/>
      <c r="AB500" s="740">
        <v>3</v>
      </c>
      <c r="AC500" s="741" t="str">
        <f>'DICTIONARY-5'!$A$11&amp;" 20"</f>
        <v>EN 558 szereg 20</v>
      </c>
      <c r="AD500" s="741" t="str">
        <f>'DICTIONARY-5'!$A$14</f>
        <v>ścieki</v>
      </c>
      <c r="AE500" s="742">
        <v>50</v>
      </c>
      <c r="AF500" s="743">
        <v>62.5</v>
      </c>
      <c r="AG500" s="741" t="str">
        <f>'DICTIONARY-5'!$A$23</f>
        <v>powłoka epoksydowa</v>
      </c>
    </row>
    <row r="501" spans="1:33" x14ac:dyDescent="0.25">
      <c r="A501" s="842" t="s">
        <v>481</v>
      </c>
      <c r="B501" s="842" t="s">
        <v>3125</v>
      </c>
      <c r="C501" s="836">
        <v>944</v>
      </c>
      <c r="D501" s="836"/>
      <c r="E501" s="836"/>
      <c r="F501" s="836"/>
      <c r="G501" s="496" t="s">
        <v>7795</v>
      </c>
      <c r="H501" s="797" t="str">
        <f>VLOOKUP(G501,SETTINGS!$B$7:$D$97,2,0)</f>
        <v>MONO</v>
      </c>
      <c r="I501" s="796">
        <f>VLOOKUP(G501,SETTINGS!$B$7:$D$97,3,0)</f>
        <v>0</v>
      </c>
      <c r="J501" s="670" t="str">
        <f>IFERROR(IF(CURRENCY.FORMAT_1=0,CONCATENATE(TEXT(FIXED(ROUND((C501/EXC.RATE_1),CURRENCY.FORMAT_1),CURRENCY.FORMAT_1,1),"# ##0;-# ##0"),",-"),FIXED(ROUND((C501/EXC.RATE_1),CURRENCY.FORMAT_1),CURRENCY.FORMAT_1,0)),'DICTIONARY-5'!$A$2)</f>
        <v>944,-</v>
      </c>
      <c r="K501" s="670" t="str">
        <f>IF(EXC.RATE_2=0,"",IFERROR(IF(CURRENCY.FORMAT_2=0,CONCATENATE(TEXT(FIXED(ROUND(IF(EXC.RATE.SWITCH=1,C501/EXC.RATE_2,C501*EXC.RATE_2),CURRENCY.FORMAT_2),CURRENCY.FORMAT_2,1),"# ##0;-# ##0"),",-"),FIXED(ROUND(IF(EXC.RATE.SWITCH=1,C501/EXC.RATE_2,C501*EXC.RATE_2),CURRENCY.FORMAT_2),CURRENCY.FORMAT_2,0)),'DICTIONARY-5'!$A$2))</f>
        <v/>
      </c>
      <c r="L501" s="670" t="str">
        <f>IFERROR(IF(CURRENCY.FORMAT_1=0,CONCATENATE(TEXT(FIXED(ROUND((C501*(1-I501)*(1-ADD.DISCOUNT)*(1+MAT.SURCHARGE)/EXC.RATE_1),CURRENCY.FORMAT_1),CURRENCY.FORMAT_1,1),"# ##0;-# ##0"),",-"),FIXED(ROUND((C501*(1-I501)*(1-ADD.DISCOUNT)*(1+MAT.SURCHARGE)/EXC.RATE_1),CURRENCY.FORMAT_1),CURRENCY.FORMAT_1,0)),'DICTIONARY-5'!$A$2)</f>
        <v>981,-</v>
      </c>
      <c r="M501" s="670" t="str">
        <f>IF(EXC.RATE_2=0,"",IFERROR(IF(CURRENCY.FORMAT_2=0,CONCATENATE(TEXT(FIXED(ROUND(IF(EXC.RATE.SWITCH=1,C501*(1-I501)*(1-ADD.DISCOUNT)*(1+MAT.SURCHARGE)/EXC.RATE_2,C501*(1-I501)*(1-ADD.DISCOUNT)*(1+MAT.SURCHARGE)*EXC.RATE_2),CURRENCY.FORMAT_2),CURRENCY.FORMAT_2,1),"# ##0;-# ##0"),",-"),FIXED(ROUND(IF(EXC.RATE.SWITCH=1,C501*(1-I501)*(1-ADD.DISCOUNT)*(1+MAT.SURCHARGE)/EXC.RATE_2,C501*(1-I501)*(1-ADD.DISCOUNT)*(1+MAT.SURCHARGE)*EXC.RATE_2),CURRENCY.FORMAT_2),CURRENCY.FORMAT_2,0)),'DICTIONARY-5'!$A$2))</f>
        <v/>
      </c>
      <c r="N501" s="544">
        <v>2</v>
      </c>
      <c r="O501" s="544"/>
      <c r="P501" s="731" t="str">
        <f>'DICTIONARY-3'!$A$10</f>
        <v>MONO</v>
      </c>
      <c r="Q501" s="732" t="str">
        <f>'DICTIONARY-3'!$A$189</f>
        <v>Zasuwa nożowa</v>
      </c>
      <c r="R501" s="732" t="str">
        <f>CONCATENATE('DICTIONARY-3'!$A$10," ",'DICTIONARY-6'!$A$6," ",'DICTIONARY-5'!$A$34," ",'DICTIONARY-2'!$A$2,"50"," ",'DICTIONARY-2'!$A$3,"10"," ",'DICTIONARY-2'!$A$10,"10",'DICTIONARY-2'!$A$20," ",'DICTIONARY-2'!$A$7,"1,33-1,98m",", ",'DICTIONARY-4'!$A$10,"+",'DICTIONARY-4'!$A$13)</f>
        <v>MONO Zasuwa noż. A2 DN50 PN10 PS10bar Rd1,33-1,98m, PPW+KK</v>
      </c>
      <c r="S501" s="733" t="str">
        <f>'DICTIONARY-4'!$A$13</f>
        <v>KK</v>
      </c>
      <c r="T501" s="732" t="str">
        <f>'DICTIONARY-4'!$A$29</f>
        <v>Końcówka kwadratowa, zamontowana</v>
      </c>
      <c r="U501" s="734" t="s">
        <v>5748</v>
      </c>
      <c r="V501" s="735">
        <v>10</v>
      </c>
      <c r="W501" s="736"/>
      <c r="X501" s="737"/>
      <c r="Y501" s="745" t="s">
        <v>7329</v>
      </c>
      <c r="Z501" s="739"/>
      <c r="AA501" s="739"/>
      <c r="AB501" s="740">
        <v>10</v>
      </c>
      <c r="AC501" s="741" t="str">
        <f>'DICTIONARY-5'!$A$11&amp;" 20"</f>
        <v>EN 558 szereg 20</v>
      </c>
      <c r="AD501" s="741" t="str">
        <f>'DICTIONARY-5'!$A$14</f>
        <v>ścieki</v>
      </c>
      <c r="AE501" s="742">
        <v>50</v>
      </c>
      <c r="AF501" s="743">
        <v>14</v>
      </c>
      <c r="AG501" s="741" t="str">
        <f>'DICTIONARY-5'!$A$23</f>
        <v>powłoka epoksydowa</v>
      </c>
    </row>
    <row r="502" spans="1:33" x14ac:dyDescent="0.25">
      <c r="A502" s="842" t="s">
        <v>485</v>
      </c>
      <c r="B502" s="842" t="s">
        <v>3127</v>
      </c>
      <c r="C502" s="836">
        <v>849</v>
      </c>
      <c r="D502" s="836"/>
      <c r="E502" s="836"/>
      <c r="F502" s="836"/>
      <c r="G502" s="496" t="s">
        <v>7795</v>
      </c>
      <c r="H502" s="797" t="str">
        <f>VLOOKUP(G502,SETTINGS!$B$7:$D$97,2,0)</f>
        <v>MONO</v>
      </c>
      <c r="I502" s="796">
        <f>VLOOKUP(G502,SETTINGS!$B$7:$D$97,3,0)</f>
        <v>0</v>
      </c>
      <c r="J502" s="670" t="str">
        <f>IFERROR(IF(CURRENCY.FORMAT_1=0,CONCATENATE(TEXT(FIXED(ROUND((C502/EXC.RATE_1),CURRENCY.FORMAT_1),CURRENCY.FORMAT_1,1),"# ##0;-# ##0"),",-"),FIXED(ROUND((C502/EXC.RATE_1),CURRENCY.FORMAT_1),CURRENCY.FORMAT_1,0)),'DICTIONARY-5'!$A$2)</f>
        <v>849,-</v>
      </c>
      <c r="K502" s="670" t="str">
        <f>IF(EXC.RATE_2=0,"",IFERROR(IF(CURRENCY.FORMAT_2=0,CONCATENATE(TEXT(FIXED(ROUND(IF(EXC.RATE.SWITCH=1,C502/EXC.RATE_2,C502*EXC.RATE_2),CURRENCY.FORMAT_2),CURRENCY.FORMAT_2,1),"# ##0;-# ##0"),",-"),FIXED(ROUND(IF(EXC.RATE.SWITCH=1,C502/EXC.RATE_2,C502*EXC.RATE_2),CURRENCY.FORMAT_2),CURRENCY.FORMAT_2,0)),'DICTIONARY-5'!$A$2))</f>
        <v/>
      </c>
      <c r="L502" s="670" t="str">
        <f>IFERROR(IF(CURRENCY.FORMAT_1=0,CONCATENATE(TEXT(FIXED(ROUND((C502*(1-I502)*(1-ADD.DISCOUNT)*(1+MAT.SURCHARGE)/EXC.RATE_1),CURRENCY.FORMAT_1),CURRENCY.FORMAT_1,1),"# ##0;-# ##0"),",-"),FIXED(ROUND((C502*(1-I502)*(1-ADD.DISCOUNT)*(1+MAT.SURCHARGE)/EXC.RATE_1),CURRENCY.FORMAT_1),CURRENCY.FORMAT_1,0)),'DICTIONARY-5'!$A$2)</f>
        <v>882,-</v>
      </c>
      <c r="M502" s="670" t="str">
        <f>IF(EXC.RATE_2=0,"",IFERROR(IF(CURRENCY.FORMAT_2=0,CONCATENATE(TEXT(FIXED(ROUND(IF(EXC.RATE.SWITCH=1,C502*(1-I502)*(1-ADD.DISCOUNT)*(1+MAT.SURCHARGE)/EXC.RATE_2,C502*(1-I502)*(1-ADD.DISCOUNT)*(1+MAT.SURCHARGE)*EXC.RATE_2),CURRENCY.FORMAT_2),CURRENCY.FORMAT_2,1),"# ##0;-# ##0"),",-"),FIXED(ROUND(IF(EXC.RATE.SWITCH=1,C502*(1-I502)*(1-ADD.DISCOUNT)*(1+MAT.SURCHARGE)/EXC.RATE_2,C502*(1-I502)*(1-ADD.DISCOUNT)*(1+MAT.SURCHARGE)*EXC.RATE_2),CURRENCY.FORMAT_2),CURRENCY.FORMAT_2,0)),'DICTIONARY-5'!$A$2))</f>
        <v/>
      </c>
      <c r="N502" s="544">
        <v>2</v>
      </c>
      <c r="O502" s="544"/>
      <c r="P502" s="731" t="str">
        <f>'DICTIONARY-3'!$A$10</f>
        <v>MONO</v>
      </c>
      <c r="Q502" s="732" t="str">
        <f>'DICTIONARY-3'!$A$189</f>
        <v>Zasuwa nożowa</v>
      </c>
      <c r="R502" s="732" t="str">
        <f>CONCATENATE('DICTIONARY-3'!$A$10," ",'DICTIONARY-6'!$A$6," ",'DICTIONARY-5'!$A$34," ",'DICTIONARY-2'!$A$2,"65"," ",'DICTIONARY-2'!$A$3,"10"," ",'DICTIONARY-2'!$A$10,"10",'DICTIONARY-2'!$A$20," ",'DICTIONARY-2'!$A$7,"1,35-2,00m",", ",'DICTIONARY-4'!$A$10,"+",'DICTIONARY-4'!$A$13)</f>
        <v>MONO Zasuwa noż. A2 DN65 PN10 PS10bar Rd1,35-2,00m, PPW+KK</v>
      </c>
      <c r="S502" s="733" t="str">
        <f>'DICTIONARY-4'!$A$13</f>
        <v>KK</v>
      </c>
      <c r="T502" s="732" t="str">
        <f>'DICTIONARY-4'!$A$29</f>
        <v>Końcówka kwadratowa, zamontowana</v>
      </c>
      <c r="U502" s="734" t="s">
        <v>5759</v>
      </c>
      <c r="V502" s="735">
        <v>10</v>
      </c>
      <c r="W502" s="736"/>
      <c r="X502" s="737"/>
      <c r="Y502" s="745" t="s">
        <v>7330</v>
      </c>
      <c r="Z502" s="739"/>
      <c r="AA502" s="739"/>
      <c r="AB502" s="740">
        <v>10</v>
      </c>
      <c r="AC502" s="741" t="str">
        <f>'DICTIONARY-5'!$A$11&amp;" 20"</f>
        <v>EN 558 szereg 20</v>
      </c>
      <c r="AD502" s="741" t="str">
        <f>'DICTIONARY-5'!$A$14</f>
        <v>ścieki</v>
      </c>
      <c r="AE502" s="742">
        <v>50</v>
      </c>
      <c r="AF502" s="743">
        <v>15.5</v>
      </c>
      <c r="AG502" s="741" t="str">
        <f>'DICTIONARY-5'!$A$23</f>
        <v>powłoka epoksydowa</v>
      </c>
    </row>
    <row r="503" spans="1:33" x14ac:dyDescent="0.25">
      <c r="A503" s="842" t="s">
        <v>489</v>
      </c>
      <c r="B503" s="842" t="s">
        <v>3129</v>
      </c>
      <c r="C503" s="836">
        <v>884</v>
      </c>
      <c r="D503" s="836"/>
      <c r="E503" s="836"/>
      <c r="F503" s="836"/>
      <c r="G503" s="496" t="s">
        <v>7795</v>
      </c>
      <c r="H503" s="797" t="str">
        <f>VLOOKUP(G503,SETTINGS!$B$7:$D$97,2,0)</f>
        <v>MONO</v>
      </c>
      <c r="I503" s="796">
        <f>VLOOKUP(G503,SETTINGS!$B$7:$D$97,3,0)</f>
        <v>0</v>
      </c>
      <c r="J503" s="670" t="str">
        <f>IFERROR(IF(CURRENCY.FORMAT_1=0,CONCATENATE(TEXT(FIXED(ROUND((C503/EXC.RATE_1),CURRENCY.FORMAT_1),CURRENCY.FORMAT_1,1),"# ##0;-# ##0"),",-"),FIXED(ROUND((C503/EXC.RATE_1),CURRENCY.FORMAT_1),CURRENCY.FORMAT_1,0)),'DICTIONARY-5'!$A$2)</f>
        <v>884,-</v>
      </c>
      <c r="K503" s="670" t="str">
        <f>IF(EXC.RATE_2=0,"",IFERROR(IF(CURRENCY.FORMAT_2=0,CONCATENATE(TEXT(FIXED(ROUND(IF(EXC.RATE.SWITCH=1,C503/EXC.RATE_2,C503*EXC.RATE_2),CURRENCY.FORMAT_2),CURRENCY.FORMAT_2,1),"# ##0;-# ##0"),",-"),FIXED(ROUND(IF(EXC.RATE.SWITCH=1,C503/EXC.RATE_2,C503*EXC.RATE_2),CURRENCY.FORMAT_2),CURRENCY.FORMAT_2,0)),'DICTIONARY-5'!$A$2))</f>
        <v/>
      </c>
      <c r="L503" s="670" t="str">
        <f>IFERROR(IF(CURRENCY.FORMAT_1=0,CONCATENATE(TEXT(FIXED(ROUND((C503*(1-I503)*(1-ADD.DISCOUNT)*(1+MAT.SURCHARGE)/EXC.RATE_1),CURRENCY.FORMAT_1),CURRENCY.FORMAT_1,1),"# ##0;-# ##0"),",-"),FIXED(ROUND((C503*(1-I503)*(1-ADD.DISCOUNT)*(1+MAT.SURCHARGE)/EXC.RATE_1),CURRENCY.FORMAT_1),CURRENCY.FORMAT_1,0)),'DICTIONARY-5'!$A$2)</f>
        <v>918,-</v>
      </c>
      <c r="M503" s="670" t="str">
        <f>IF(EXC.RATE_2=0,"",IFERROR(IF(CURRENCY.FORMAT_2=0,CONCATENATE(TEXT(FIXED(ROUND(IF(EXC.RATE.SWITCH=1,C503*(1-I503)*(1-ADD.DISCOUNT)*(1+MAT.SURCHARGE)/EXC.RATE_2,C503*(1-I503)*(1-ADD.DISCOUNT)*(1+MAT.SURCHARGE)*EXC.RATE_2),CURRENCY.FORMAT_2),CURRENCY.FORMAT_2,1),"# ##0;-# ##0"),",-"),FIXED(ROUND(IF(EXC.RATE.SWITCH=1,C503*(1-I503)*(1-ADD.DISCOUNT)*(1+MAT.SURCHARGE)/EXC.RATE_2,C503*(1-I503)*(1-ADD.DISCOUNT)*(1+MAT.SURCHARGE)*EXC.RATE_2),CURRENCY.FORMAT_2),CURRENCY.FORMAT_2,0)),'DICTIONARY-5'!$A$2))</f>
        <v/>
      </c>
      <c r="N503" s="544">
        <v>2</v>
      </c>
      <c r="O503" s="544"/>
      <c r="P503" s="731" t="str">
        <f>'DICTIONARY-3'!$A$10</f>
        <v>MONO</v>
      </c>
      <c r="Q503" s="732" t="str">
        <f>'DICTIONARY-3'!$A$189</f>
        <v>Zasuwa nożowa</v>
      </c>
      <c r="R503" s="732" t="str">
        <f>CONCATENATE('DICTIONARY-3'!$A$10," ",'DICTIONARY-6'!$A$6," ",'DICTIONARY-5'!$A$34," ",'DICTIONARY-2'!$A$2,"80"," ",'DICTIONARY-2'!$A$3,"10"," ",'DICTIONARY-2'!$A$10,"10",'DICTIONARY-2'!$A$20," ",'DICTIONARY-2'!$A$7,"1,37-2,02m",", ",'DICTIONARY-4'!$A$10,"+",'DICTIONARY-4'!$A$13)</f>
        <v>MONO Zasuwa noż. A2 DN80 PN10 PS10bar Rd1,37-2,02m, PPW+KK</v>
      </c>
      <c r="S503" s="733" t="str">
        <f>'DICTIONARY-4'!$A$13</f>
        <v>KK</v>
      </c>
      <c r="T503" s="732" t="str">
        <f>'DICTIONARY-4'!$A$29</f>
        <v>Końcówka kwadratowa, zamontowana</v>
      </c>
      <c r="U503" s="734" t="s">
        <v>5760</v>
      </c>
      <c r="V503" s="735">
        <v>10</v>
      </c>
      <c r="W503" s="736"/>
      <c r="X503" s="737"/>
      <c r="Y503" s="745" t="s">
        <v>7331</v>
      </c>
      <c r="Z503" s="739"/>
      <c r="AA503" s="739"/>
      <c r="AB503" s="740">
        <v>10</v>
      </c>
      <c r="AC503" s="741" t="str">
        <f>'DICTIONARY-5'!$A$11&amp;" 16"</f>
        <v>EN 558 szereg 16</v>
      </c>
      <c r="AD503" s="741" t="str">
        <f>'DICTIONARY-5'!$A$14</f>
        <v>ścieki</v>
      </c>
      <c r="AE503" s="742">
        <v>50</v>
      </c>
      <c r="AF503" s="743">
        <v>17</v>
      </c>
      <c r="AG503" s="741" t="str">
        <f>'DICTIONARY-5'!$A$23</f>
        <v>powłoka epoksydowa</v>
      </c>
    </row>
    <row r="504" spans="1:33" x14ac:dyDescent="0.25">
      <c r="A504" s="842" t="s">
        <v>493</v>
      </c>
      <c r="B504" s="842" t="s">
        <v>3131</v>
      </c>
      <c r="C504" s="836">
        <v>896</v>
      </c>
      <c r="D504" s="836"/>
      <c r="E504" s="836"/>
      <c r="F504" s="836"/>
      <c r="G504" s="496" t="s">
        <v>7795</v>
      </c>
      <c r="H504" s="797" t="str">
        <f>VLOOKUP(G504,SETTINGS!$B$7:$D$97,2,0)</f>
        <v>MONO</v>
      </c>
      <c r="I504" s="796">
        <f>VLOOKUP(G504,SETTINGS!$B$7:$D$97,3,0)</f>
        <v>0</v>
      </c>
      <c r="J504" s="670" t="str">
        <f>IFERROR(IF(CURRENCY.FORMAT_1=0,CONCATENATE(TEXT(FIXED(ROUND((C504/EXC.RATE_1),CURRENCY.FORMAT_1),CURRENCY.FORMAT_1,1),"# ##0;-# ##0"),",-"),FIXED(ROUND((C504/EXC.RATE_1),CURRENCY.FORMAT_1),CURRENCY.FORMAT_1,0)),'DICTIONARY-5'!$A$2)</f>
        <v>896,-</v>
      </c>
      <c r="K504" s="670" t="str">
        <f>IF(EXC.RATE_2=0,"",IFERROR(IF(CURRENCY.FORMAT_2=0,CONCATENATE(TEXT(FIXED(ROUND(IF(EXC.RATE.SWITCH=1,C504/EXC.RATE_2,C504*EXC.RATE_2),CURRENCY.FORMAT_2),CURRENCY.FORMAT_2,1),"# ##0;-# ##0"),",-"),FIXED(ROUND(IF(EXC.RATE.SWITCH=1,C504/EXC.RATE_2,C504*EXC.RATE_2),CURRENCY.FORMAT_2),CURRENCY.FORMAT_2,0)),'DICTIONARY-5'!$A$2))</f>
        <v/>
      </c>
      <c r="L504" s="670" t="str">
        <f>IFERROR(IF(CURRENCY.FORMAT_1=0,CONCATENATE(TEXT(FIXED(ROUND((C504*(1-I504)*(1-ADD.DISCOUNT)*(1+MAT.SURCHARGE)/EXC.RATE_1),CURRENCY.FORMAT_1),CURRENCY.FORMAT_1,1),"# ##0;-# ##0"),",-"),FIXED(ROUND((C504*(1-I504)*(1-ADD.DISCOUNT)*(1+MAT.SURCHARGE)/EXC.RATE_1),CURRENCY.FORMAT_1),CURRENCY.FORMAT_1,0)),'DICTIONARY-5'!$A$2)</f>
        <v>931,-</v>
      </c>
      <c r="M504" s="670" t="str">
        <f>IF(EXC.RATE_2=0,"",IFERROR(IF(CURRENCY.FORMAT_2=0,CONCATENATE(TEXT(FIXED(ROUND(IF(EXC.RATE.SWITCH=1,C504*(1-I504)*(1-ADD.DISCOUNT)*(1+MAT.SURCHARGE)/EXC.RATE_2,C504*(1-I504)*(1-ADD.DISCOUNT)*(1+MAT.SURCHARGE)*EXC.RATE_2),CURRENCY.FORMAT_2),CURRENCY.FORMAT_2,1),"# ##0;-# ##0"),",-"),FIXED(ROUND(IF(EXC.RATE.SWITCH=1,C504*(1-I504)*(1-ADD.DISCOUNT)*(1+MAT.SURCHARGE)/EXC.RATE_2,C504*(1-I504)*(1-ADD.DISCOUNT)*(1+MAT.SURCHARGE)*EXC.RATE_2),CURRENCY.FORMAT_2),CURRENCY.FORMAT_2,0)),'DICTIONARY-5'!$A$2))</f>
        <v/>
      </c>
      <c r="N504" s="544">
        <v>2</v>
      </c>
      <c r="O504" s="544"/>
      <c r="P504" s="731" t="str">
        <f>'DICTIONARY-3'!$A$10</f>
        <v>MONO</v>
      </c>
      <c r="Q504" s="732" t="str">
        <f>'DICTIONARY-3'!$A$189</f>
        <v>Zasuwa nożowa</v>
      </c>
      <c r="R504" s="732" t="str">
        <f>CONCATENATE('DICTIONARY-3'!$A$10," ",'DICTIONARY-6'!$A$6," ",'DICTIONARY-5'!$A$34," ",'DICTIONARY-2'!$A$2,"100"," ",'DICTIONARY-2'!$A$3,"10"," ",'DICTIONARY-2'!$A$10,"10",'DICTIONARY-2'!$A$20," ",'DICTIONARY-2'!$A$7,"1,41-2,06m",", ",'DICTIONARY-4'!$A$10,"+",'DICTIONARY-4'!$A$13)</f>
        <v>MONO Zasuwa noż. A2 DN100 PN10 PS10bar Rd1,41-2,06m, PPW+KK</v>
      </c>
      <c r="S504" s="733" t="str">
        <f>'DICTIONARY-4'!$A$13</f>
        <v>KK</v>
      </c>
      <c r="T504" s="732" t="str">
        <f>'DICTIONARY-4'!$A$29</f>
        <v>Końcówka kwadratowa, zamontowana</v>
      </c>
      <c r="U504" s="734" t="s">
        <v>5749</v>
      </c>
      <c r="V504" s="735">
        <v>10</v>
      </c>
      <c r="W504" s="736"/>
      <c r="X504" s="737"/>
      <c r="Y504" s="745" t="s">
        <v>7332</v>
      </c>
      <c r="Z504" s="739"/>
      <c r="AA504" s="739"/>
      <c r="AB504" s="740">
        <v>10</v>
      </c>
      <c r="AC504" s="741" t="str">
        <f>'DICTIONARY-5'!$A$11&amp;" 16"</f>
        <v>EN 558 szereg 16</v>
      </c>
      <c r="AD504" s="741" t="str">
        <f>'DICTIONARY-5'!$A$14</f>
        <v>ścieki</v>
      </c>
      <c r="AE504" s="742">
        <v>50</v>
      </c>
      <c r="AF504" s="743">
        <v>19</v>
      </c>
      <c r="AG504" s="741" t="str">
        <f>'DICTIONARY-5'!$A$23</f>
        <v>powłoka epoksydowa</v>
      </c>
    </row>
    <row r="505" spans="1:33" x14ac:dyDescent="0.25">
      <c r="A505" s="842" t="s">
        <v>497</v>
      </c>
      <c r="B505" s="842" t="s">
        <v>3133</v>
      </c>
      <c r="C505" s="836">
        <v>916</v>
      </c>
      <c r="D505" s="836"/>
      <c r="E505" s="836"/>
      <c r="F505" s="836"/>
      <c r="G505" s="496" t="s">
        <v>7795</v>
      </c>
      <c r="H505" s="797" t="str">
        <f>VLOOKUP(G505,SETTINGS!$B$7:$D$97,2,0)</f>
        <v>MONO</v>
      </c>
      <c r="I505" s="796">
        <f>VLOOKUP(G505,SETTINGS!$B$7:$D$97,3,0)</f>
        <v>0</v>
      </c>
      <c r="J505" s="670" t="str">
        <f>IFERROR(IF(CURRENCY.FORMAT_1=0,CONCATENATE(TEXT(FIXED(ROUND((C505/EXC.RATE_1),CURRENCY.FORMAT_1),CURRENCY.FORMAT_1,1),"# ##0;-# ##0"),",-"),FIXED(ROUND((C505/EXC.RATE_1),CURRENCY.FORMAT_1),CURRENCY.FORMAT_1,0)),'DICTIONARY-5'!$A$2)</f>
        <v>916,-</v>
      </c>
      <c r="K505" s="670" t="str">
        <f>IF(EXC.RATE_2=0,"",IFERROR(IF(CURRENCY.FORMAT_2=0,CONCATENATE(TEXT(FIXED(ROUND(IF(EXC.RATE.SWITCH=1,C505/EXC.RATE_2,C505*EXC.RATE_2),CURRENCY.FORMAT_2),CURRENCY.FORMAT_2,1),"# ##0;-# ##0"),",-"),FIXED(ROUND(IF(EXC.RATE.SWITCH=1,C505/EXC.RATE_2,C505*EXC.RATE_2),CURRENCY.FORMAT_2),CURRENCY.FORMAT_2,0)),'DICTIONARY-5'!$A$2))</f>
        <v/>
      </c>
      <c r="L505" s="670" t="str">
        <f>IFERROR(IF(CURRENCY.FORMAT_1=0,CONCATENATE(TEXT(FIXED(ROUND((C505*(1-I505)*(1-ADD.DISCOUNT)*(1+MAT.SURCHARGE)/EXC.RATE_1),CURRENCY.FORMAT_1),CURRENCY.FORMAT_1,1),"# ##0;-# ##0"),",-"),FIXED(ROUND((C505*(1-I505)*(1-ADD.DISCOUNT)*(1+MAT.SURCHARGE)/EXC.RATE_1),CURRENCY.FORMAT_1),CURRENCY.FORMAT_1,0)),'DICTIONARY-5'!$A$2)</f>
        <v>952,-</v>
      </c>
      <c r="M505" s="670" t="str">
        <f>IF(EXC.RATE_2=0,"",IFERROR(IF(CURRENCY.FORMAT_2=0,CONCATENATE(TEXT(FIXED(ROUND(IF(EXC.RATE.SWITCH=1,C505*(1-I505)*(1-ADD.DISCOUNT)*(1+MAT.SURCHARGE)/EXC.RATE_2,C505*(1-I505)*(1-ADD.DISCOUNT)*(1+MAT.SURCHARGE)*EXC.RATE_2),CURRENCY.FORMAT_2),CURRENCY.FORMAT_2,1),"# ##0;-# ##0"),",-"),FIXED(ROUND(IF(EXC.RATE.SWITCH=1,C505*(1-I505)*(1-ADD.DISCOUNT)*(1+MAT.SURCHARGE)/EXC.RATE_2,C505*(1-I505)*(1-ADD.DISCOUNT)*(1+MAT.SURCHARGE)*EXC.RATE_2),CURRENCY.FORMAT_2),CURRENCY.FORMAT_2,0)),'DICTIONARY-5'!$A$2))</f>
        <v/>
      </c>
      <c r="N505" s="544">
        <v>2</v>
      </c>
      <c r="O505" s="544"/>
      <c r="P505" s="731" t="str">
        <f>'DICTIONARY-3'!$A$10</f>
        <v>MONO</v>
      </c>
      <c r="Q505" s="732" t="str">
        <f>'DICTIONARY-3'!$A$189</f>
        <v>Zasuwa nożowa</v>
      </c>
      <c r="R505" s="732" t="str">
        <f>CONCATENATE('DICTIONARY-3'!$A$10," ",'DICTIONARY-6'!$A$6," ",'DICTIONARY-5'!$A$34," ",'DICTIONARY-2'!$A$2,"125"," ",'DICTIONARY-2'!$A$3,"10"," ",'DICTIONARY-2'!$A$10,"8",'DICTIONARY-2'!$A$20," ",'DICTIONARY-2'!$A$7,"1,46-2,12m",", ",'DICTIONARY-4'!$A$10,"+",'DICTIONARY-4'!$A$13)</f>
        <v>MONO Zasuwa noż. A2 DN125 PN10 PS8bar Rd1,46-2,12m, PPW+KK</v>
      </c>
      <c r="S505" s="733" t="str">
        <f>'DICTIONARY-4'!$A$13</f>
        <v>KK</v>
      </c>
      <c r="T505" s="732" t="str">
        <f>'DICTIONARY-4'!$A$29</f>
        <v>Końcówka kwadratowa, zamontowana</v>
      </c>
      <c r="U505" s="734" t="s">
        <v>5761</v>
      </c>
      <c r="V505" s="735">
        <v>10</v>
      </c>
      <c r="W505" s="736"/>
      <c r="X505" s="737"/>
      <c r="Y505" s="745" t="s">
        <v>7333</v>
      </c>
      <c r="Z505" s="739"/>
      <c r="AA505" s="739"/>
      <c r="AB505" s="740">
        <v>8</v>
      </c>
      <c r="AC505" s="741" t="str">
        <f>'DICTIONARY-5'!$A$11&amp;" 16"</f>
        <v>EN 558 szereg 16</v>
      </c>
      <c r="AD505" s="741" t="str">
        <f>'DICTIONARY-5'!$A$14</f>
        <v>ścieki</v>
      </c>
      <c r="AE505" s="742">
        <v>50</v>
      </c>
      <c r="AF505" s="743">
        <v>23.5</v>
      </c>
      <c r="AG505" s="741" t="str">
        <f>'DICTIONARY-5'!$A$23</f>
        <v>powłoka epoksydowa</v>
      </c>
    </row>
    <row r="506" spans="1:33" x14ac:dyDescent="0.25">
      <c r="A506" s="842" t="s">
        <v>501</v>
      </c>
      <c r="B506" s="842" t="s">
        <v>3135</v>
      </c>
      <c r="C506" s="836">
        <v>982</v>
      </c>
      <c r="D506" s="836"/>
      <c r="E506" s="836"/>
      <c r="F506" s="836"/>
      <c r="G506" s="496" t="s">
        <v>7795</v>
      </c>
      <c r="H506" s="797" t="str">
        <f>VLOOKUP(G506,SETTINGS!$B$7:$D$97,2,0)</f>
        <v>MONO</v>
      </c>
      <c r="I506" s="796">
        <f>VLOOKUP(G506,SETTINGS!$B$7:$D$97,3,0)</f>
        <v>0</v>
      </c>
      <c r="J506" s="670" t="str">
        <f>IFERROR(IF(CURRENCY.FORMAT_1=0,CONCATENATE(TEXT(FIXED(ROUND((C506/EXC.RATE_1),CURRENCY.FORMAT_1),CURRENCY.FORMAT_1,1),"# ##0;-# ##0"),",-"),FIXED(ROUND((C506/EXC.RATE_1),CURRENCY.FORMAT_1),CURRENCY.FORMAT_1,0)),'DICTIONARY-5'!$A$2)</f>
        <v>982,-</v>
      </c>
      <c r="K506" s="670" t="str">
        <f>IF(EXC.RATE_2=0,"",IFERROR(IF(CURRENCY.FORMAT_2=0,CONCATENATE(TEXT(FIXED(ROUND(IF(EXC.RATE.SWITCH=1,C506/EXC.RATE_2,C506*EXC.RATE_2),CURRENCY.FORMAT_2),CURRENCY.FORMAT_2,1),"# ##0;-# ##0"),",-"),FIXED(ROUND(IF(EXC.RATE.SWITCH=1,C506/EXC.RATE_2,C506*EXC.RATE_2),CURRENCY.FORMAT_2),CURRENCY.FORMAT_2,0)),'DICTIONARY-5'!$A$2))</f>
        <v/>
      </c>
      <c r="L506" s="670" t="str">
        <f>IFERROR(IF(CURRENCY.FORMAT_1=0,CONCATENATE(TEXT(FIXED(ROUND((C506*(1-I506)*(1-ADD.DISCOUNT)*(1+MAT.SURCHARGE)/EXC.RATE_1),CURRENCY.FORMAT_1),CURRENCY.FORMAT_1,1),"# ##0;-# ##0"),",-"),FIXED(ROUND((C506*(1-I506)*(1-ADD.DISCOUNT)*(1+MAT.SURCHARGE)/EXC.RATE_1),CURRENCY.FORMAT_1),CURRENCY.FORMAT_1,0)),'DICTIONARY-5'!$A$2)</f>
        <v>1 020,-</v>
      </c>
      <c r="M506" s="670" t="str">
        <f>IF(EXC.RATE_2=0,"",IFERROR(IF(CURRENCY.FORMAT_2=0,CONCATENATE(TEXT(FIXED(ROUND(IF(EXC.RATE.SWITCH=1,C506*(1-I506)*(1-ADD.DISCOUNT)*(1+MAT.SURCHARGE)/EXC.RATE_2,C506*(1-I506)*(1-ADD.DISCOUNT)*(1+MAT.SURCHARGE)*EXC.RATE_2),CURRENCY.FORMAT_2),CURRENCY.FORMAT_2,1),"# ##0;-# ##0"),",-"),FIXED(ROUND(IF(EXC.RATE.SWITCH=1,C506*(1-I506)*(1-ADD.DISCOUNT)*(1+MAT.SURCHARGE)/EXC.RATE_2,C506*(1-I506)*(1-ADD.DISCOUNT)*(1+MAT.SURCHARGE)*EXC.RATE_2),CURRENCY.FORMAT_2),CURRENCY.FORMAT_2,0)),'DICTIONARY-5'!$A$2))</f>
        <v/>
      </c>
      <c r="N506" s="544">
        <v>2</v>
      </c>
      <c r="O506" s="544"/>
      <c r="P506" s="731" t="str">
        <f>'DICTIONARY-3'!$A$10</f>
        <v>MONO</v>
      </c>
      <c r="Q506" s="732" t="str">
        <f>'DICTIONARY-3'!$A$189</f>
        <v>Zasuwa nożowa</v>
      </c>
      <c r="R506" s="732" t="str">
        <f>CONCATENATE('DICTIONARY-3'!$A$10," ",'DICTIONARY-6'!$A$6," ",'DICTIONARY-5'!$A$34," ",'DICTIONARY-2'!$A$2,"150"," ",'DICTIONARY-2'!$A$3,"10"," ",'DICTIONARY-2'!$A$10,"8",'DICTIONARY-2'!$A$20," ",'DICTIONARY-2'!$A$7,"1,51-2,17m",", ",'DICTIONARY-4'!$A$10,"+",'DICTIONARY-4'!$A$13)</f>
        <v>MONO Zasuwa noż. A2 DN150 PN10 PS8bar Rd1,51-2,17m, PPW+KK</v>
      </c>
      <c r="S506" s="733" t="str">
        <f>'DICTIONARY-4'!$A$13</f>
        <v>KK</v>
      </c>
      <c r="T506" s="732" t="str">
        <f>'DICTIONARY-4'!$A$29</f>
        <v>Końcówka kwadratowa, zamontowana</v>
      </c>
      <c r="U506" s="734" t="s">
        <v>5572</v>
      </c>
      <c r="V506" s="735">
        <v>10</v>
      </c>
      <c r="W506" s="736"/>
      <c r="X506" s="737"/>
      <c r="Y506" s="745" t="s">
        <v>7334</v>
      </c>
      <c r="Z506" s="739"/>
      <c r="AA506" s="739"/>
      <c r="AB506" s="740">
        <v>8</v>
      </c>
      <c r="AC506" s="741" t="str">
        <f>'DICTIONARY-5'!$A$11&amp;" 20"</f>
        <v>EN 558 szereg 20</v>
      </c>
      <c r="AD506" s="741" t="str">
        <f>'DICTIONARY-5'!$A$14</f>
        <v>ścieki</v>
      </c>
      <c r="AE506" s="742">
        <v>50</v>
      </c>
      <c r="AF506" s="743">
        <v>20</v>
      </c>
      <c r="AG506" s="741" t="str">
        <f>'DICTIONARY-5'!$A$23</f>
        <v>powłoka epoksydowa</v>
      </c>
    </row>
    <row r="507" spans="1:33" x14ac:dyDescent="0.25">
      <c r="A507" s="842" t="s">
        <v>505</v>
      </c>
      <c r="B507" s="842" t="s">
        <v>3137</v>
      </c>
      <c r="C507" s="836">
        <v>1191</v>
      </c>
      <c r="D507" s="836"/>
      <c r="E507" s="836"/>
      <c r="F507" s="836"/>
      <c r="G507" s="496" t="s">
        <v>7795</v>
      </c>
      <c r="H507" s="797" t="str">
        <f>VLOOKUP(G507,SETTINGS!$B$7:$D$97,2,0)</f>
        <v>MONO</v>
      </c>
      <c r="I507" s="796">
        <f>VLOOKUP(G507,SETTINGS!$B$7:$D$97,3,0)</f>
        <v>0</v>
      </c>
      <c r="J507" s="670" t="str">
        <f>IFERROR(IF(CURRENCY.FORMAT_1=0,CONCATENATE(TEXT(FIXED(ROUND((C507/EXC.RATE_1),CURRENCY.FORMAT_1),CURRENCY.FORMAT_1,1),"# ##0;-# ##0"),",-"),FIXED(ROUND((C507/EXC.RATE_1),CURRENCY.FORMAT_1),CURRENCY.FORMAT_1,0)),'DICTIONARY-5'!$A$2)</f>
        <v>1 191,-</v>
      </c>
      <c r="K507" s="670" t="str">
        <f>IF(EXC.RATE_2=0,"",IFERROR(IF(CURRENCY.FORMAT_2=0,CONCATENATE(TEXT(FIXED(ROUND(IF(EXC.RATE.SWITCH=1,C507/EXC.RATE_2,C507*EXC.RATE_2),CURRENCY.FORMAT_2),CURRENCY.FORMAT_2,1),"# ##0;-# ##0"),",-"),FIXED(ROUND(IF(EXC.RATE.SWITCH=1,C507/EXC.RATE_2,C507*EXC.RATE_2),CURRENCY.FORMAT_2),CURRENCY.FORMAT_2,0)),'DICTIONARY-5'!$A$2))</f>
        <v/>
      </c>
      <c r="L507" s="670" t="str">
        <f>IFERROR(IF(CURRENCY.FORMAT_1=0,CONCATENATE(TEXT(FIXED(ROUND((C507*(1-I507)*(1-ADD.DISCOUNT)*(1+MAT.SURCHARGE)/EXC.RATE_1),CURRENCY.FORMAT_1),CURRENCY.FORMAT_1,1),"# ##0;-# ##0"),",-"),FIXED(ROUND((C507*(1-I507)*(1-ADD.DISCOUNT)*(1+MAT.SURCHARGE)/EXC.RATE_1),CURRENCY.FORMAT_1),CURRENCY.FORMAT_1,0)),'DICTIONARY-5'!$A$2)</f>
        <v>1 237,-</v>
      </c>
      <c r="M507" s="670" t="str">
        <f>IF(EXC.RATE_2=0,"",IFERROR(IF(CURRENCY.FORMAT_2=0,CONCATENATE(TEXT(FIXED(ROUND(IF(EXC.RATE.SWITCH=1,C507*(1-I507)*(1-ADD.DISCOUNT)*(1+MAT.SURCHARGE)/EXC.RATE_2,C507*(1-I507)*(1-ADD.DISCOUNT)*(1+MAT.SURCHARGE)*EXC.RATE_2),CURRENCY.FORMAT_2),CURRENCY.FORMAT_2,1),"# ##0;-# ##0"),",-"),FIXED(ROUND(IF(EXC.RATE.SWITCH=1,C507*(1-I507)*(1-ADD.DISCOUNT)*(1+MAT.SURCHARGE)/EXC.RATE_2,C507*(1-I507)*(1-ADD.DISCOUNT)*(1+MAT.SURCHARGE)*EXC.RATE_2),CURRENCY.FORMAT_2),CURRENCY.FORMAT_2,0)),'DICTIONARY-5'!$A$2))</f>
        <v/>
      </c>
      <c r="N507" s="544">
        <v>2</v>
      </c>
      <c r="O507" s="544"/>
      <c r="P507" s="731" t="str">
        <f>'DICTIONARY-3'!$A$10</f>
        <v>MONO</v>
      </c>
      <c r="Q507" s="732" t="str">
        <f>'DICTIONARY-3'!$A$189</f>
        <v>Zasuwa nożowa</v>
      </c>
      <c r="R507" s="732" t="str">
        <f>CONCATENATE('DICTIONARY-3'!$A$10," ",'DICTIONARY-6'!$A$6," ",'DICTIONARY-5'!$A$34," ",'DICTIONARY-2'!$A$2,"200"," ",'DICTIONARY-2'!$A$3,"10"," ",'DICTIONARY-2'!$A$10,"6",'DICTIONARY-2'!$A$20," ",'DICTIONARY-2'!$A$7,"1,61-2,26m",", ",'DICTIONARY-4'!$A$10,"+",'DICTIONARY-4'!$A$13)</f>
        <v>MONO Zasuwa noż. A2 DN200 PN10 PS6bar Rd1,61-2,26m, PPW+KK</v>
      </c>
      <c r="S507" s="733" t="str">
        <f>'DICTIONARY-4'!$A$13</f>
        <v>KK</v>
      </c>
      <c r="T507" s="732" t="str">
        <f>'DICTIONARY-4'!$A$29</f>
        <v>Końcówka kwadratowa, zamontowana</v>
      </c>
      <c r="U507" s="734" t="s">
        <v>5750</v>
      </c>
      <c r="V507" s="735">
        <v>10</v>
      </c>
      <c r="W507" s="736"/>
      <c r="X507" s="737"/>
      <c r="Y507" s="745" t="s">
        <v>7335</v>
      </c>
      <c r="Z507" s="739"/>
      <c r="AA507" s="739"/>
      <c r="AB507" s="740">
        <v>6</v>
      </c>
      <c r="AC507" s="741" t="str">
        <f>'DICTIONARY-5'!$A$11&amp;" 20"</f>
        <v>EN 558 szereg 20</v>
      </c>
      <c r="AD507" s="741" t="str">
        <f>'DICTIONARY-5'!$A$14</f>
        <v>ścieki</v>
      </c>
      <c r="AE507" s="742">
        <v>50</v>
      </c>
      <c r="AF507" s="743">
        <v>32</v>
      </c>
      <c r="AG507" s="741" t="str">
        <f>'DICTIONARY-5'!$A$23</f>
        <v>powłoka epoksydowa</v>
      </c>
    </row>
    <row r="508" spans="1:33" x14ac:dyDescent="0.25">
      <c r="A508" s="842" t="s">
        <v>509</v>
      </c>
      <c r="B508" s="842" t="s">
        <v>3139</v>
      </c>
      <c r="C508" s="836">
        <v>1726</v>
      </c>
      <c r="D508" s="836"/>
      <c r="E508" s="836"/>
      <c r="F508" s="836"/>
      <c r="G508" s="496" t="s">
        <v>7795</v>
      </c>
      <c r="H508" s="797" t="str">
        <f>VLOOKUP(G508,SETTINGS!$B$7:$D$97,2,0)</f>
        <v>MONO</v>
      </c>
      <c r="I508" s="796">
        <f>VLOOKUP(G508,SETTINGS!$B$7:$D$97,3,0)</f>
        <v>0</v>
      </c>
      <c r="J508" s="670" t="str">
        <f>IFERROR(IF(CURRENCY.FORMAT_1=0,CONCATENATE(TEXT(FIXED(ROUND((C508/EXC.RATE_1),CURRENCY.FORMAT_1),CURRENCY.FORMAT_1,1),"# ##0;-# ##0"),",-"),FIXED(ROUND((C508/EXC.RATE_1),CURRENCY.FORMAT_1),CURRENCY.FORMAT_1,0)),'DICTIONARY-5'!$A$2)</f>
        <v>1 726,-</v>
      </c>
      <c r="K508" s="670" t="str">
        <f>IF(EXC.RATE_2=0,"",IFERROR(IF(CURRENCY.FORMAT_2=0,CONCATENATE(TEXT(FIXED(ROUND(IF(EXC.RATE.SWITCH=1,C508/EXC.RATE_2,C508*EXC.RATE_2),CURRENCY.FORMAT_2),CURRENCY.FORMAT_2,1),"# ##0;-# ##0"),",-"),FIXED(ROUND(IF(EXC.RATE.SWITCH=1,C508/EXC.RATE_2,C508*EXC.RATE_2),CURRENCY.FORMAT_2),CURRENCY.FORMAT_2,0)),'DICTIONARY-5'!$A$2))</f>
        <v/>
      </c>
      <c r="L508" s="670" t="str">
        <f>IFERROR(IF(CURRENCY.FORMAT_1=0,CONCATENATE(TEXT(FIXED(ROUND((C508*(1-I508)*(1-ADD.DISCOUNT)*(1+MAT.SURCHARGE)/EXC.RATE_1),CURRENCY.FORMAT_1),CURRENCY.FORMAT_1,1),"# ##0;-# ##0"),",-"),FIXED(ROUND((C508*(1-I508)*(1-ADD.DISCOUNT)*(1+MAT.SURCHARGE)/EXC.RATE_1),CURRENCY.FORMAT_1),CURRENCY.FORMAT_1,0)),'DICTIONARY-5'!$A$2)</f>
        <v>1 793,-</v>
      </c>
      <c r="M508" s="670" t="str">
        <f>IF(EXC.RATE_2=0,"",IFERROR(IF(CURRENCY.FORMAT_2=0,CONCATENATE(TEXT(FIXED(ROUND(IF(EXC.RATE.SWITCH=1,C508*(1-I508)*(1-ADD.DISCOUNT)*(1+MAT.SURCHARGE)/EXC.RATE_2,C508*(1-I508)*(1-ADD.DISCOUNT)*(1+MAT.SURCHARGE)*EXC.RATE_2),CURRENCY.FORMAT_2),CURRENCY.FORMAT_2,1),"# ##0;-# ##0"),",-"),FIXED(ROUND(IF(EXC.RATE.SWITCH=1,C508*(1-I508)*(1-ADD.DISCOUNT)*(1+MAT.SURCHARGE)/EXC.RATE_2,C508*(1-I508)*(1-ADD.DISCOUNT)*(1+MAT.SURCHARGE)*EXC.RATE_2),CURRENCY.FORMAT_2),CURRENCY.FORMAT_2,0)),'DICTIONARY-5'!$A$2))</f>
        <v/>
      </c>
      <c r="N508" s="544">
        <v>2</v>
      </c>
      <c r="O508" s="544"/>
      <c r="P508" s="731" t="str">
        <f>'DICTIONARY-3'!$A$10</f>
        <v>MONO</v>
      </c>
      <c r="Q508" s="732" t="str">
        <f>'DICTIONARY-3'!$A$189</f>
        <v>Zasuwa nożowa</v>
      </c>
      <c r="R508" s="732" t="str">
        <f>CONCATENATE('DICTIONARY-3'!$A$10," ",'DICTIONARY-6'!$A$6," ",'DICTIONARY-5'!$A$34," ",'DICTIONARY-2'!$A$2,"250"," ",'DICTIONARY-2'!$A$3,"10"," ",'DICTIONARY-2'!$A$10,"4",'DICTIONARY-2'!$A$20," ",'DICTIONARY-2'!$A$7,"1,73-2,40m",", ",'DICTIONARY-4'!$A$10,"+",'DICTIONARY-4'!$A$13)</f>
        <v>MONO Zasuwa noż. A2 DN250 PN10 PS4bar Rd1,73-2,40m, PPW+KK</v>
      </c>
      <c r="S508" s="733" t="str">
        <f>'DICTIONARY-4'!$A$13</f>
        <v>KK</v>
      </c>
      <c r="T508" s="732" t="str">
        <f>'DICTIONARY-4'!$A$29</f>
        <v>Końcówka kwadratowa, zamontowana</v>
      </c>
      <c r="U508" s="734" t="s">
        <v>5751</v>
      </c>
      <c r="V508" s="735">
        <v>10</v>
      </c>
      <c r="W508" s="736"/>
      <c r="X508" s="737"/>
      <c r="Y508" s="745" t="s">
        <v>7336</v>
      </c>
      <c r="Z508" s="739"/>
      <c r="AA508" s="739"/>
      <c r="AB508" s="740">
        <v>4</v>
      </c>
      <c r="AC508" s="741" t="str">
        <f>'DICTIONARY-5'!$A$11&amp;" 20"</f>
        <v>EN 558 szereg 20</v>
      </c>
      <c r="AD508" s="741" t="str">
        <f>'DICTIONARY-5'!$A$14</f>
        <v>ścieki</v>
      </c>
      <c r="AE508" s="742">
        <v>50</v>
      </c>
      <c r="AF508" s="743">
        <v>47</v>
      </c>
      <c r="AG508" s="741" t="str">
        <f>'DICTIONARY-5'!$A$23</f>
        <v>powłoka epoksydowa</v>
      </c>
    </row>
    <row r="509" spans="1:33" x14ac:dyDescent="0.25">
      <c r="A509" s="842" t="s">
        <v>513</v>
      </c>
      <c r="B509" s="842" t="s">
        <v>3141</v>
      </c>
      <c r="C509" s="836">
        <v>1980</v>
      </c>
      <c r="D509" s="836"/>
      <c r="E509" s="836"/>
      <c r="F509" s="836"/>
      <c r="G509" s="496" t="s">
        <v>7795</v>
      </c>
      <c r="H509" s="797" t="str">
        <f>VLOOKUP(G509,SETTINGS!$B$7:$D$97,2,0)</f>
        <v>MONO</v>
      </c>
      <c r="I509" s="796">
        <f>VLOOKUP(G509,SETTINGS!$B$7:$D$97,3,0)</f>
        <v>0</v>
      </c>
      <c r="J509" s="670" t="str">
        <f>IFERROR(IF(CURRENCY.FORMAT_1=0,CONCATENATE(TEXT(FIXED(ROUND((C509/EXC.RATE_1),CURRENCY.FORMAT_1),CURRENCY.FORMAT_1,1),"# ##0;-# ##0"),",-"),FIXED(ROUND((C509/EXC.RATE_1),CURRENCY.FORMAT_1),CURRENCY.FORMAT_1,0)),'DICTIONARY-5'!$A$2)</f>
        <v>1 980,-</v>
      </c>
      <c r="K509" s="670" t="str">
        <f>IF(EXC.RATE_2=0,"",IFERROR(IF(CURRENCY.FORMAT_2=0,CONCATENATE(TEXT(FIXED(ROUND(IF(EXC.RATE.SWITCH=1,C509/EXC.RATE_2,C509*EXC.RATE_2),CURRENCY.FORMAT_2),CURRENCY.FORMAT_2,1),"# ##0;-# ##0"),",-"),FIXED(ROUND(IF(EXC.RATE.SWITCH=1,C509/EXC.RATE_2,C509*EXC.RATE_2),CURRENCY.FORMAT_2),CURRENCY.FORMAT_2,0)),'DICTIONARY-5'!$A$2))</f>
        <v/>
      </c>
      <c r="L509" s="670" t="str">
        <f>IFERROR(IF(CURRENCY.FORMAT_1=0,CONCATENATE(TEXT(FIXED(ROUND((C509*(1-I509)*(1-ADD.DISCOUNT)*(1+MAT.SURCHARGE)/EXC.RATE_1),CURRENCY.FORMAT_1),CURRENCY.FORMAT_1,1),"# ##0;-# ##0"),",-"),FIXED(ROUND((C509*(1-I509)*(1-ADD.DISCOUNT)*(1+MAT.SURCHARGE)/EXC.RATE_1),CURRENCY.FORMAT_1),CURRENCY.FORMAT_1,0)),'DICTIONARY-5'!$A$2)</f>
        <v>2 057,-</v>
      </c>
      <c r="M509" s="670" t="str">
        <f>IF(EXC.RATE_2=0,"",IFERROR(IF(CURRENCY.FORMAT_2=0,CONCATENATE(TEXT(FIXED(ROUND(IF(EXC.RATE.SWITCH=1,C509*(1-I509)*(1-ADD.DISCOUNT)*(1+MAT.SURCHARGE)/EXC.RATE_2,C509*(1-I509)*(1-ADD.DISCOUNT)*(1+MAT.SURCHARGE)*EXC.RATE_2),CURRENCY.FORMAT_2),CURRENCY.FORMAT_2,1),"# ##0;-# ##0"),",-"),FIXED(ROUND(IF(EXC.RATE.SWITCH=1,C509*(1-I509)*(1-ADD.DISCOUNT)*(1+MAT.SURCHARGE)/EXC.RATE_2,C509*(1-I509)*(1-ADD.DISCOUNT)*(1+MAT.SURCHARGE)*EXC.RATE_2),CURRENCY.FORMAT_2),CURRENCY.FORMAT_2,0)),'DICTIONARY-5'!$A$2))</f>
        <v/>
      </c>
      <c r="N509" s="544">
        <v>2</v>
      </c>
      <c r="O509" s="544"/>
      <c r="P509" s="731" t="str">
        <f>'DICTIONARY-3'!$A$10</f>
        <v>MONO</v>
      </c>
      <c r="Q509" s="732" t="str">
        <f>'DICTIONARY-3'!$A$189</f>
        <v>Zasuwa nożowa</v>
      </c>
      <c r="R509" s="732" t="str">
        <f>CONCATENATE('DICTIONARY-3'!$A$10," ",'DICTIONARY-6'!$A$6," ",'DICTIONARY-5'!$A$34," ",'DICTIONARY-2'!$A$2,"300"," ",'DICTIONARY-2'!$A$3,"10"," ",'DICTIONARY-2'!$A$10,"3",'DICTIONARY-2'!$A$20," ",'DICTIONARY-2'!$A$7,"1,85-2,50m",", ",'DICTIONARY-4'!$A$10,"+",'DICTIONARY-4'!$A$13)</f>
        <v>MONO Zasuwa noż. A2 DN300 PN10 PS3bar Rd1,85-2,50m, PPW+KK</v>
      </c>
      <c r="S509" s="733" t="str">
        <f>'DICTIONARY-4'!$A$13</f>
        <v>KK</v>
      </c>
      <c r="T509" s="732" t="str">
        <f>'DICTIONARY-4'!$A$29</f>
        <v>Końcówka kwadratowa, zamontowana</v>
      </c>
      <c r="U509" s="734" t="s">
        <v>5752</v>
      </c>
      <c r="V509" s="735">
        <v>10</v>
      </c>
      <c r="W509" s="736"/>
      <c r="X509" s="737"/>
      <c r="Y509" s="745" t="s">
        <v>7337</v>
      </c>
      <c r="Z509" s="739"/>
      <c r="AA509" s="739"/>
      <c r="AB509" s="740">
        <v>3</v>
      </c>
      <c r="AC509" s="741" t="str">
        <f>'DICTIONARY-5'!$A$11&amp;" 20"</f>
        <v>EN 558 szereg 20</v>
      </c>
      <c r="AD509" s="741" t="str">
        <f>'DICTIONARY-5'!$A$14</f>
        <v>ścieki</v>
      </c>
      <c r="AE509" s="742">
        <v>50</v>
      </c>
      <c r="AF509" s="743">
        <v>69</v>
      </c>
      <c r="AG509" s="741" t="str">
        <f>'DICTIONARY-5'!$A$23</f>
        <v>powłoka epoksydowa</v>
      </c>
    </row>
    <row r="510" spans="1:33" x14ac:dyDescent="0.25">
      <c r="A510" s="842" t="s">
        <v>470</v>
      </c>
      <c r="B510" s="842" t="s">
        <v>3117</v>
      </c>
      <c r="C510" s="836">
        <v>398</v>
      </c>
      <c r="D510" s="836"/>
      <c r="E510" s="836"/>
      <c r="F510" s="836"/>
      <c r="G510" s="496" t="s">
        <v>7795</v>
      </c>
      <c r="H510" s="797" t="str">
        <f>VLOOKUP(G510,SETTINGS!$B$7:$D$97,2,0)</f>
        <v>MONO</v>
      </c>
      <c r="I510" s="796">
        <f>VLOOKUP(G510,SETTINGS!$B$7:$D$97,3,0)</f>
        <v>0</v>
      </c>
      <c r="J510" s="670" t="str">
        <f>IFERROR(IF(CURRENCY.FORMAT_1=0,CONCATENATE(TEXT(FIXED(ROUND((C510/EXC.RATE_1),CURRENCY.FORMAT_1),CURRENCY.FORMAT_1,1),"# ##0;-# ##0"),",-"),FIXED(ROUND((C510/EXC.RATE_1),CURRENCY.FORMAT_1),CURRENCY.FORMAT_1,0)),'DICTIONARY-5'!$A$2)</f>
        <v>398,-</v>
      </c>
      <c r="K510" s="670" t="str">
        <f>IF(EXC.RATE_2=0,"",IFERROR(IF(CURRENCY.FORMAT_2=0,CONCATENATE(TEXT(FIXED(ROUND(IF(EXC.RATE.SWITCH=1,C510/EXC.RATE_2,C510*EXC.RATE_2),CURRENCY.FORMAT_2),CURRENCY.FORMAT_2,1),"# ##0;-# ##0"),",-"),FIXED(ROUND(IF(EXC.RATE.SWITCH=1,C510/EXC.RATE_2,C510*EXC.RATE_2),CURRENCY.FORMAT_2),CURRENCY.FORMAT_2,0)),'DICTIONARY-5'!$A$2))</f>
        <v/>
      </c>
      <c r="L510" s="670" t="str">
        <f>IFERROR(IF(CURRENCY.FORMAT_1=0,CONCATENATE(TEXT(FIXED(ROUND((C510*(1-I510)*(1-ADD.DISCOUNT)*(1+MAT.SURCHARGE)/EXC.RATE_1),CURRENCY.FORMAT_1),CURRENCY.FORMAT_1,1),"# ##0;-# ##0"),",-"),FIXED(ROUND((C510*(1-I510)*(1-ADD.DISCOUNT)*(1+MAT.SURCHARGE)/EXC.RATE_1),CURRENCY.FORMAT_1),CURRENCY.FORMAT_1,0)),'DICTIONARY-5'!$A$2)</f>
        <v>414,-</v>
      </c>
      <c r="M510" s="670" t="str">
        <f>IF(EXC.RATE_2=0,"",IFERROR(IF(CURRENCY.FORMAT_2=0,CONCATENATE(TEXT(FIXED(ROUND(IF(EXC.RATE.SWITCH=1,C510*(1-I510)*(1-ADD.DISCOUNT)*(1+MAT.SURCHARGE)/EXC.RATE_2,C510*(1-I510)*(1-ADD.DISCOUNT)*(1+MAT.SURCHARGE)*EXC.RATE_2),CURRENCY.FORMAT_2),CURRENCY.FORMAT_2,1),"# ##0;-# ##0"),",-"),FIXED(ROUND(IF(EXC.RATE.SWITCH=1,C510*(1-I510)*(1-ADD.DISCOUNT)*(1+MAT.SURCHARGE)/EXC.RATE_2,C510*(1-I510)*(1-ADD.DISCOUNT)*(1+MAT.SURCHARGE)*EXC.RATE_2),CURRENCY.FORMAT_2),CURRENCY.FORMAT_2,0)),'DICTIONARY-5'!$A$2))</f>
        <v/>
      </c>
      <c r="N510" s="544">
        <v>2</v>
      </c>
      <c r="O510" s="544"/>
      <c r="P510" s="731" t="str">
        <f>'DICTIONARY-3'!$A$10</f>
        <v>MONO</v>
      </c>
      <c r="Q510" s="732" t="str">
        <f>'DICTIONARY-3'!$A$189</f>
        <v>Zasuwa nożowa</v>
      </c>
      <c r="R510" s="732" t="str">
        <f>CONCATENATE('DICTIONARY-3'!$A$10," ",'DICTIONARY-6'!$A$6," ",'DICTIONARY-5'!$A$34," ",'DICTIONARY-2'!$A$2,"50"," ",'DICTIONARY-2'!$A$3,"10"," ",'DICTIONARY-2'!$A$10,"1",'DICTIONARY-2'!$A$20,", ",'DICTIONARY-4'!$A$3," ",'DICTIONARY-6'!$A$47)</f>
        <v>MONO Zasuwa noż. A2 DN50 PN10 PS1bar, DR szybkozamykającą</v>
      </c>
      <c r="S510" s="733" t="str">
        <f>'DICTIONARY-4'!$A$3</f>
        <v>DR</v>
      </c>
      <c r="T510" s="732" t="str">
        <f>'DICTIONARY-4'!$A$19</f>
        <v>Dźwignia ręczna</v>
      </c>
      <c r="U510" s="734" t="s">
        <v>5748</v>
      </c>
      <c r="V510" s="735">
        <v>10</v>
      </c>
      <c r="W510" s="736"/>
      <c r="X510" s="737"/>
      <c r="Y510" s="738"/>
      <c r="Z510" s="739"/>
      <c r="AA510" s="739"/>
      <c r="AB510" s="740">
        <v>1</v>
      </c>
      <c r="AC510" s="741" t="str">
        <f>'DICTIONARY-5'!$A$11&amp;" 20"</f>
        <v>EN 558 szereg 20</v>
      </c>
      <c r="AD510" s="741" t="str">
        <f>'DICTIONARY-5'!$A$14</f>
        <v>ścieki</v>
      </c>
      <c r="AE510" s="742">
        <v>50</v>
      </c>
      <c r="AF510" s="743">
        <v>9</v>
      </c>
      <c r="AG510" s="741" t="str">
        <f>'DICTIONARY-5'!$A$23</f>
        <v>powłoka epoksydowa</v>
      </c>
    </row>
    <row r="511" spans="1:33" x14ac:dyDescent="0.25">
      <c r="A511" s="842" t="s">
        <v>471</v>
      </c>
      <c r="B511" s="842" t="s">
        <v>3118</v>
      </c>
      <c r="C511" s="836">
        <v>512</v>
      </c>
      <c r="D511" s="836"/>
      <c r="E511" s="836"/>
      <c r="F511" s="836"/>
      <c r="G511" s="496" t="s">
        <v>7795</v>
      </c>
      <c r="H511" s="797" t="str">
        <f>VLOOKUP(G511,SETTINGS!$B$7:$D$97,2,0)</f>
        <v>MONO</v>
      </c>
      <c r="I511" s="796">
        <f>VLOOKUP(G511,SETTINGS!$B$7:$D$97,3,0)</f>
        <v>0</v>
      </c>
      <c r="J511" s="670" t="str">
        <f>IFERROR(IF(CURRENCY.FORMAT_1=0,CONCATENATE(TEXT(FIXED(ROUND((C511/EXC.RATE_1),CURRENCY.FORMAT_1),CURRENCY.FORMAT_1,1),"# ##0;-# ##0"),",-"),FIXED(ROUND((C511/EXC.RATE_1),CURRENCY.FORMAT_1),CURRENCY.FORMAT_1,0)),'DICTIONARY-5'!$A$2)</f>
        <v>512,-</v>
      </c>
      <c r="K511" s="670" t="str">
        <f>IF(EXC.RATE_2=0,"",IFERROR(IF(CURRENCY.FORMAT_2=0,CONCATENATE(TEXT(FIXED(ROUND(IF(EXC.RATE.SWITCH=1,C511/EXC.RATE_2,C511*EXC.RATE_2),CURRENCY.FORMAT_2),CURRENCY.FORMAT_2,1),"# ##0;-# ##0"),",-"),FIXED(ROUND(IF(EXC.RATE.SWITCH=1,C511/EXC.RATE_2,C511*EXC.RATE_2),CURRENCY.FORMAT_2),CURRENCY.FORMAT_2,0)),'DICTIONARY-5'!$A$2))</f>
        <v/>
      </c>
      <c r="L511" s="670" t="str">
        <f>IFERROR(IF(CURRENCY.FORMAT_1=0,CONCATENATE(TEXT(FIXED(ROUND((C511*(1-I511)*(1-ADD.DISCOUNT)*(1+MAT.SURCHARGE)/EXC.RATE_1),CURRENCY.FORMAT_1),CURRENCY.FORMAT_1,1),"# ##0;-# ##0"),",-"),FIXED(ROUND((C511*(1-I511)*(1-ADD.DISCOUNT)*(1+MAT.SURCHARGE)/EXC.RATE_1),CURRENCY.FORMAT_1),CURRENCY.FORMAT_1,0)),'DICTIONARY-5'!$A$2)</f>
        <v>532,-</v>
      </c>
      <c r="M511" s="670" t="str">
        <f>IF(EXC.RATE_2=0,"",IFERROR(IF(CURRENCY.FORMAT_2=0,CONCATENATE(TEXT(FIXED(ROUND(IF(EXC.RATE.SWITCH=1,C511*(1-I511)*(1-ADD.DISCOUNT)*(1+MAT.SURCHARGE)/EXC.RATE_2,C511*(1-I511)*(1-ADD.DISCOUNT)*(1+MAT.SURCHARGE)*EXC.RATE_2),CURRENCY.FORMAT_2),CURRENCY.FORMAT_2,1),"# ##0;-# ##0"),",-"),FIXED(ROUND(IF(EXC.RATE.SWITCH=1,C511*(1-I511)*(1-ADD.DISCOUNT)*(1+MAT.SURCHARGE)/EXC.RATE_2,C511*(1-I511)*(1-ADD.DISCOUNT)*(1+MAT.SURCHARGE)*EXC.RATE_2),CURRENCY.FORMAT_2),CURRENCY.FORMAT_2,0)),'DICTIONARY-5'!$A$2))</f>
        <v/>
      </c>
      <c r="N511" s="544">
        <v>2</v>
      </c>
      <c r="O511" s="544"/>
      <c r="P511" s="731" t="str">
        <f>'DICTIONARY-3'!$A$10</f>
        <v>MONO</v>
      </c>
      <c r="Q511" s="732" t="str">
        <f>'DICTIONARY-3'!$A$189</f>
        <v>Zasuwa nożowa</v>
      </c>
      <c r="R511" s="732" t="str">
        <f>CONCATENATE('DICTIONARY-3'!$A$10," ",'DICTIONARY-6'!$A$6," ",'DICTIONARY-5'!$A$34," ",'DICTIONARY-2'!$A$2,"65"," ",'DICTIONARY-2'!$A$3,"10"," ",'DICTIONARY-2'!$A$10,"1",'DICTIONARY-2'!$A$20,", ",'DICTIONARY-4'!$A$3," ",'DICTIONARY-6'!$A$47)</f>
        <v>MONO Zasuwa noż. A2 DN65 PN10 PS1bar, DR szybkozamykającą</v>
      </c>
      <c r="S511" s="733" t="str">
        <f>'DICTIONARY-4'!$A$3</f>
        <v>DR</v>
      </c>
      <c r="T511" s="732" t="str">
        <f>'DICTIONARY-4'!$A$19</f>
        <v>Dźwignia ręczna</v>
      </c>
      <c r="U511" s="734" t="s">
        <v>5759</v>
      </c>
      <c r="V511" s="735">
        <v>10</v>
      </c>
      <c r="W511" s="736"/>
      <c r="X511" s="737"/>
      <c r="Y511" s="738"/>
      <c r="Z511" s="739"/>
      <c r="AA511" s="739"/>
      <c r="AB511" s="740">
        <v>1</v>
      </c>
      <c r="AC511" s="741" t="str">
        <f>'DICTIONARY-5'!$A$11&amp;" 20"</f>
        <v>EN 558 szereg 20</v>
      </c>
      <c r="AD511" s="741" t="str">
        <f>'DICTIONARY-5'!$A$14</f>
        <v>ścieki</v>
      </c>
      <c r="AE511" s="742">
        <v>50</v>
      </c>
      <c r="AF511" s="743">
        <v>10.5</v>
      </c>
      <c r="AG511" s="741" t="str">
        <f>'DICTIONARY-5'!$A$23</f>
        <v>powłoka epoksydowa</v>
      </c>
    </row>
    <row r="512" spans="1:33" x14ac:dyDescent="0.25">
      <c r="A512" s="842" t="s">
        <v>472</v>
      </c>
      <c r="B512" s="842" t="s">
        <v>3119</v>
      </c>
      <c r="C512" s="836">
        <v>551</v>
      </c>
      <c r="D512" s="836"/>
      <c r="E512" s="836"/>
      <c r="F512" s="836"/>
      <c r="G512" s="496" t="s">
        <v>7795</v>
      </c>
      <c r="H512" s="797" t="str">
        <f>VLOOKUP(G512,SETTINGS!$B$7:$D$97,2,0)</f>
        <v>MONO</v>
      </c>
      <c r="I512" s="796">
        <f>VLOOKUP(G512,SETTINGS!$B$7:$D$97,3,0)</f>
        <v>0</v>
      </c>
      <c r="J512" s="670" t="str">
        <f>IFERROR(IF(CURRENCY.FORMAT_1=0,CONCATENATE(TEXT(FIXED(ROUND((C512/EXC.RATE_1),CURRENCY.FORMAT_1),CURRENCY.FORMAT_1,1),"# ##0;-# ##0"),",-"),FIXED(ROUND((C512/EXC.RATE_1),CURRENCY.FORMAT_1),CURRENCY.FORMAT_1,0)),'DICTIONARY-5'!$A$2)</f>
        <v>551,-</v>
      </c>
      <c r="K512" s="670" t="str">
        <f>IF(EXC.RATE_2=0,"",IFERROR(IF(CURRENCY.FORMAT_2=0,CONCATENATE(TEXT(FIXED(ROUND(IF(EXC.RATE.SWITCH=1,C512/EXC.RATE_2,C512*EXC.RATE_2),CURRENCY.FORMAT_2),CURRENCY.FORMAT_2,1),"# ##0;-# ##0"),",-"),FIXED(ROUND(IF(EXC.RATE.SWITCH=1,C512/EXC.RATE_2,C512*EXC.RATE_2),CURRENCY.FORMAT_2),CURRENCY.FORMAT_2,0)),'DICTIONARY-5'!$A$2))</f>
        <v/>
      </c>
      <c r="L512" s="670" t="str">
        <f>IFERROR(IF(CURRENCY.FORMAT_1=0,CONCATENATE(TEXT(FIXED(ROUND((C512*(1-I512)*(1-ADD.DISCOUNT)*(1+MAT.SURCHARGE)/EXC.RATE_1),CURRENCY.FORMAT_1),CURRENCY.FORMAT_1,1),"# ##0;-# ##0"),",-"),FIXED(ROUND((C512*(1-I512)*(1-ADD.DISCOUNT)*(1+MAT.SURCHARGE)/EXC.RATE_1),CURRENCY.FORMAT_1),CURRENCY.FORMAT_1,0)),'DICTIONARY-5'!$A$2)</f>
        <v>572,-</v>
      </c>
      <c r="M512" s="670" t="str">
        <f>IF(EXC.RATE_2=0,"",IFERROR(IF(CURRENCY.FORMAT_2=0,CONCATENATE(TEXT(FIXED(ROUND(IF(EXC.RATE.SWITCH=1,C512*(1-I512)*(1-ADD.DISCOUNT)*(1+MAT.SURCHARGE)/EXC.RATE_2,C512*(1-I512)*(1-ADD.DISCOUNT)*(1+MAT.SURCHARGE)*EXC.RATE_2),CURRENCY.FORMAT_2),CURRENCY.FORMAT_2,1),"# ##0;-# ##0"),",-"),FIXED(ROUND(IF(EXC.RATE.SWITCH=1,C512*(1-I512)*(1-ADD.DISCOUNT)*(1+MAT.SURCHARGE)/EXC.RATE_2,C512*(1-I512)*(1-ADD.DISCOUNT)*(1+MAT.SURCHARGE)*EXC.RATE_2),CURRENCY.FORMAT_2),CURRENCY.FORMAT_2,0)),'DICTIONARY-5'!$A$2))</f>
        <v/>
      </c>
      <c r="N512" s="544">
        <v>2</v>
      </c>
      <c r="O512" s="544"/>
      <c r="P512" s="731" t="str">
        <f>'DICTIONARY-3'!$A$10</f>
        <v>MONO</v>
      </c>
      <c r="Q512" s="732" t="str">
        <f>'DICTIONARY-3'!$A$189</f>
        <v>Zasuwa nożowa</v>
      </c>
      <c r="R512" s="732" t="str">
        <f>CONCATENATE('DICTIONARY-3'!$A$10," ",'DICTIONARY-6'!$A$6," ",'DICTIONARY-5'!$A$34," ",'DICTIONARY-2'!$A$2,"80"," ",'DICTIONARY-2'!$A$3,"10"," ",'DICTIONARY-2'!$A$10,"1",'DICTIONARY-2'!$A$20,", ",'DICTIONARY-4'!$A$3," ",'DICTIONARY-6'!$A$47)</f>
        <v>MONO Zasuwa noż. A2 DN80 PN10 PS1bar, DR szybkozamykającą</v>
      </c>
      <c r="S512" s="733" t="str">
        <f>'DICTIONARY-4'!$A$3</f>
        <v>DR</v>
      </c>
      <c r="T512" s="732" t="str">
        <f>'DICTIONARY-4'!$A$19</f>
        <v>Dźwignia ręczna</v>
      </c>
      <c r="U512" s="734" t="s">
        <v>5760</v>
      </c>
      <c r="V512" s="735">
        <v>10</v>
      </c>
      <c r="W512" s="736"/>
      <c r="X512" s="737"/>
      <c r="Y512" s="738"/>
      <c r="Z512" s="739"/>
      <c r="AA512" s="739"/>
      <c r="AB512" s="740">
        <v>1</v>
      </c>
      <c r="AC512" s="741" t="str">
        <f>'DICTIONARY-5'!$A$11&amp;" 16"</f>
        <v>EN 558 szereg 16</v>
      </c>
      <c r="AD512" s="741" t="str">
        <f>'DICTIONARY-5'!$A$14</f>
        <v>ścieki</v>
      </c>
      <c r="AE512" s="742">
        <v>50</v>
      </c>
      <c r="AF512" s="743">
        <v>13</v>
      </c>
      <c r="AG512" s="741" t="str">
        <f>'DICTIONARY-5'!$A$23</f>
        <v>powłoka epoksydowa</v>
      </c>
    </row>
    <row r="513" spans="1:33" x14ac:dyDescent="0.25">
      <c r="A513" s="842" t="s">
        <v>473</v>
      </c>
      <c r="B513" s="842" t="s">
        <v>3120</v>
      </c>
      <c r="C513" s="836">
        <v>564</v>
      </c>
      <c r="D513" s="836"/>
      <c r="E513" s="836"/>
      <c r="F513" s="836"/>
      <c r="G513" s="496" t="s">
        <v>7795</v>
      </c>
      <c r="H513" s="797" t="str">
        <f>VLOOKUP(G513,SETTINGS!$B$7:$D$97,2,0)</f>
        <v>MONO</v>
      </c>
      <c r="I513" s="796">
        <f>VLOOKUP(G513,SETTINGS!$B$7:$D$97,3,0)</f>
        <v>0</v>
      </c>
      <c r="J513" s="670" t="str">
        <f>IFERROR(IF(CURRENCY.FORMAT_1=0,CONCATENATE(TEXT(FIXED(ROUND((C513/EXC.RATE_1),CURRENCY.FORMAT_1),CURRENCY.FORMAT_1,1),"# ##0;-# ##0"),",-"),FIXED(ROUND((C513/EXC.RATE_1),CURRENCY.FORMAT_1),CURRENCY.FORMAT_1,0)),'DICTIONARY-5'!$A$2)</f>
        <v>564,-</v>
      </c>
      <c r="K513" s="670" t="str">
        <f>IF(EXC.RATE_2=0,"",IFERROR(IF(CURRENCY.FORMAT_2=0,CONCATENATE(TEXT(FIXED(ROUND(IF(EXC.RATE.SWITCH=1,C513/EXC.RATE_2,C513*EXC.RATE_2),CURRENCY.FORMAT_2),CURRENCY.FORMAT_2,1),"# ##0;-# ##0"),",-"),FIXED(ROUND(IF(EXC.RATE.SWITCH=1,C513/EXC.RATE_2,C513*EXC.RATE_2),CURRENCY.FORMAT_2),CURRENCY.FORMAT_2,0)),'DICTIONARY-5'!$A$2))</f>
        <v/>
      </c>
      <c r="L513" s="670" t="str">
        <f>IFERROR(IF(CURRENCY.FORMAT_1=0,CONCATENATE(TEXT(FIXED(ROUND((C513*(1-I513)*(1-ADD.DISCOUNT)*(1+MAT.SURCHARGE)/EXC.RATE_1),CURRENCY.FORMAT_1),CURRENCY.FORMAT_1,1),"# ##0;-# ##0"),",-"),FIXED(ROUND((C513*(1-I513)*(1-ADD.DISCOUNT)*(1+MAT.SURCHARGE)/EXC.RATE_1),CURRENCY.FORMAT_1),CURRENCY.FORMAT_1,0)),'DICTIONARY-5'!$A$2)</f>
        <v>586,-</v>
      </c>
      <c r="M513" s="670" t="str">
        <f>IF(EXC.RATE_2=0,"",IFERROR(IF(CURRENCY.FORMAT_2=0,CONCATENATE(TEXT(FIXED(ROUND(IF(EXC.RATE.SWITCH=1,C513*(1-I513)*(1-ADD.DISCOUNT)*(1+MAT.SURCHARGE)/EXC.RATE_2,C513*(1-I513)*(1-ADD.DISCOUNT)*(1+MAT.SURCHARGE)*EXC.RATE_2),CURRENCY.FORMAT_2),CURRENCY.FORMAT_2,1),"# ##0;-# ##0"),",-"),FIXED(ROUND(IF(EXC.RATE.SWITCH=1,C513*(1-I513)*(1-ADD.DISCOUNT)*(1+MAT.SURCHARGE)/EXC.RATE_2,C513*(1-I513)*(1-ADD.DISCOUNT)*(1+MAT.SURCHARGE)*EXC.RATE_2),CURRENCY.FORMAT_2),CURRENCY.FORMAT_2,0)),'DICTIONARY-5'!$A$2))</f>
        <v/>
      </c>
      <c r="N513" s="544">
        <v>2</v>
      </c>
      <c r="O513" s="544"/>
      <c r="P513" s="731" t="str">
        <f>'DICTIONARY-3'!$A$10</f>
        <v>MONO</v>
      </c>
      <c r="Q513" s="732" t="str">
        <f>'DICTIONARY-3'!$A$189</f>
        <v>Zasuwa nożowa</v>
      </c>
      <c r="R513" s="732" t="str">
        <f>CONCATENATE('DICTIONARY-3'!$A$10," ",'DICTIONARY-6'!$A$6," ",'DICTIONARY-5'!$A$34," ",'DICTIONARY-2'!$A$2,"100"," ",'DICTIONARY-2'!$A$3,"10"," ",'DICTIONARY-2'!$A$10,"1",'DICTIONARY-2'!$A$20,", ",'DICTIONARY-4'!$A$3," ",'DICTIONARY-6'!$A$47)</f>
        <v>MONO Zasuwa noż. A2 DN100 PN10 PS1bar, DR szybkozamykającą</v>
      </c>
      <c r="S513" s="733" t="str">
        <f>'DICTIONARY-4'!$A$3</f>
        <v>DR</v>
      </c>
      <c r="T513" s="732" t="str">
        <f>'DICTIONARY-4'!$A$19</f>
        <v>Dźwignia ręczna</v>
      </c>
      <c r="U513" s="734" t="s">
        <v>5749</v>
      </c>
      <c r="V513" s="735">
        <v>10</v>
      </c>
      <c r="W513" s="736"/>
      <c r="X513" s="737"/>
      <c r="Y513" s="738"/>
      <c r="Z513" s="739"/>
      <c r="AA513" s="739"/>
      <c r="AB513" s="740">
        <v>1</v>
      </c>
      <c r="AC513" s="741" t="str">
        <f>'DICTIONARY-5'!$A$11&amp;" 16"</f>
        <v>EN 558 szereg 16</v>
      </c>
      <c r="AD513" s="741" t="str">
        <f>'DICTIONARY-5'!$A$14</f>
        <v>ścieki</v>
      </c>
      <c r="AE513" s="742">
        <v>50</v>
      </c>
      <c r="AF513" s="743">
        <v>14.5</v>
      </c>
      <c r="AG513" s="741" t="str">
        <f>'DICTIONARY-5'!$A$23</f>
        <v>powłoka epoksydowa</v>
      </c>
    </row>
    <row r="514" spans="1:33" x14ac:dyDescent="0.25">
      <c r="A514" s="842" t="s">
        <v>474</v>
      </c>
      <c r="B514" s="842" t="s">
        <v>3121</v>
      </c>
      <c r="C514" s="836">
        <v>705</v>
      </c>
      <c r="D514" s="836"/>
      <c r="E514" s="836"/>
      <c r="F514" s="836"/>
      <c r="G514" s="496" t="s">
        <v>7795</v>
      </c>
      <c r="H514" s="797" t="str">
        <f>VLOOKUP(G514,SETTINGS!$B$7:$D$97,2,0)</f>
        <v>MONO</v>
      </c>
      <c r="I514" s="796">
        <f>VLOOKUP(G514,SETTINGS!$B$7:$D$97,3,0)</f>
        <v>0</v>
      </c>
      <c r="J514" s="670" t="str">
        <f>IFERROR(IF(CURRENCY.FORMAT_1=0,CONCATENATE(TEXT(FIXED(ROUND((C514/EXC.RATE_1),CURRENCY.FORMAT_1),CURRENCY.FORMAT_1,1),"# ##0;-# ##0"),",-"),FIXED(ROUND((C514/EXC.RATE_1),CURRENCY.FORMAT_1),CURRENCY.FORMAT_1,0)),'DICTIONARY-5'!$A$2)</f>
        <v>705,-</v>
      </c>
      <c r="K514" s="670" t="str">
        <f>IF(EXC.RATE_2=0,"",IFERROR(IF(CURRENCY.FORMAT_2=0,CONCATENATE(TEXT(FIXED(ROUND(IF(EXC.RATE.SWITCH=1,C514/EXC.RATE_2,C514*EXC.RATE_2),CURRENCY.FORMAT_2),CURRENCY.FORMAT_2,1),"# ##0;-# ##0"),",-"),FIXED(ROUND(IF(EXC.RATE.SWITCH=1,C514/EXC.RATE_2,C514*EXC.RATE_2),CURRENCY.FORMAT_2),CURRENCY.FORMAT_2,0)),'DICTIONARY-5'!$A$2))</f>
        <v/>
      </c>
      <c r="L514" s="670" t="str">
        <f>IFERROR(IF(CURRENCY.FORMAT_1=0,CONCATENATE(TEXT(FIXED(ROUND((C514*(1-I514)*(1-ADD.DISCOUNT)*(1+MAT.SURCHARGE)/EXC.RATE_1),CURRENCY.FORMAT_1),CURRENCY.FORMAT_1,1),"# ##0;-# ##0"),",-"),FIXED(ROUND((C514*(1-I514)*(1-ADD.DISCOUNT)*(1+MAT.SURCHARGE)/EXC.RATE_1),CURRENCY.FORMAT_1),CURRENCY.FORMAT_1,0)),'DICTIONARY-5'!$A$2)</f>
        <v>732,-</v>
      </c>
      <c r="M514" s="670" t="str">
        <f>IF(EXC.RATE_2=0,"",IFERROR(IF(CURRENCY.FORMAT_2=0,CONCATENATE(TEXT(FIXED(ROUND(IF(EXC.RATE.SWITCH=1,C514*(1-I514)*(1-ADD.DISCOUNT)*(1+MAT.SURCHARGE)/EXC.RATE_2,C514*(1-I514)*(1-ADD.DISCOUNT)*(1+MAT.SURCHARGE)*EXC.RATE_2),CURRENCY.FORMAT_2),CURRENCY.FORMAT_2,1),"# ##0;-# ##0"),",-"),FIXED(ROUND(IF(EXC.RATE.SWITCH=1,C514*(1-I514)*(1-ADD.DISCOUNT)*(1+MAT.SURCHARGE)/EXC.RATE_2,C514*(1-I514)*(1-ADD.DISCOUNT)*(1+MAT.SURCHARGE)*EXC.RATE_2),CURRENCY.FORMAT_2),CURRENCY.FORMAT_2,0)),'DICTIONARY-5'!$A$2))</f>
        <v/>
      </c>
      <c r="N514" s="544">
        <v>2</v>
      </c>
      <c r="O514" s="544"/>
      <c r="P514" s="731" t="str">
        <f>'DICTIONARY-3'!$A$10</f>
        <v>MONO</v>
      </c>
      <c r="Q514" s="732" t="str">
        <f>'DICTIONARY-3'!$A$189</f>
        <v>Zasuwa nożowa</v>
      </c>
      <c r="R514" s="732" t="str">
        <f>CONCATENATE('DICTIONARY-3'!$A$10," ",'DICTIONARY-6'!$A$6," ",'DICTIONARY-5'!$A$34," ",'DICTIONARY-2'!$A$2,"125"," ",'DICTIONARY-2'!$A$3,"10"," ",'DICTIONARY-2'!$A$10,"1",'DICTIONARY-2'!$A$20,", ",'DICTIONARY-4'!$A$3," ",'DICTIONARY-6'!$A$47)</f>
        <v>MONO Zasuwa noż. A2 DN125 PN10 PS1bar, DR szybkozamykającą</v>
      </c>
      <c r="S514" s="733" t="str">
        <f>'DICTIONARY-4'!$A$3</f>
        <v>DR</v>
      </c>
      <c r="T514" s="732" t="str">
        <f>'DICTIONARY-4'!$A$19</f>
        <v>Dźwignia ręczna</v>
      </c>
      <c r="U514" s="734" t="s">
        <v>5761</v>
      </c>
      <c r="V514" s="735">
        <v>10</v>
      </c>
      <c r="W514" s="736"/>
      <c r="X514" s="737"/>
      <c r="Y514" s="738"/>
      <c r="Z514" s="739"/>
      <c r="AA514" s="739"/>
      <c r="AB514" s="740">
        <v>1</v>
      </c>
      <c r="AC514" s="741" t="str">
        <f>'DICTIONARY-5'!$A$11&amp;" 16"</f>
        <v>EN 558 szereg 16</v>
      </c>
      <c r="AD514" s="741" t="str">
        <f>'DICTIONARY-5'!$A$14</f>
        <v>ścieki</v>
      </c>
      <c r="AE514" s="742">
        <v>50</v>
      </c>
      <c r="AF514" s="743">
        <v>20</v>
      </c>
      <c r="AG514" s="741" t="str">
        <f>'DICTIONARY-5'!$A$23</f>
        <v>powłoka epoksydowa</v>
      </c>
    </row>
    <row r="515" spans="1:33" x14ac:dyDescent="0.25">
      <c r="A515" s="842" t="s">
        <v>475</v>
      </c>
      <c r="B515" s="842" t="s">
        <v>3122</v>
      </c>
      <c r="C515" s="836">
        <v>891</v>
      </c>
      <c r="D515" s="836"/>
      <c r="E515" s="836"/>
      <c r="F515" s="836"/>
      <c r="G515" s="496" t="s">
        <v>7795</v>
      </c>
      <c r="H515" s="797" t="str">
        <f>VLOOKUP(G515,SETTINGS!$B$7:$D$97,2,0)</f>
        <v>MONO</v>
      </c>
      <c r="I515" s="796">
        <f>VLOOKUP(G515,SETTINGS!$B$7:$D$97,3,0)</f>
        <v>0</v>
      </c>
      <c r="J515" s="670" t="str">
        <f>IFERROR(IF(CURRENCY.FORMAT_1=0,CONCATENATE(TEXT(FIXED(ROUND((C515/EXC.RATE_1),CURRENCY.FORMAT_1),CURRENCY.FORMAT_1,1),"# ##0;-# ##0"),",-"),FIXED(ROUND((C515/EXC.RATE_1),CURRENCY.FORMAT_1),CURRENCY.FORMAT_1,0)),'DICTIONARY-5'!$A$2)</f>
        <v>891,-</v>
      </c>
      <c r="K515" s="670" t="str">
        <f>IF(EXC.RATE_2=0,"",IFERROR(IF(CURRENCY.FORMAT_2=0,CONCATENATE(TEXT(FIXED(ROUND(IF(EXC.RATE.SWITCH=1,C515/EXC.RATE_2,C515*EXC.RATE_2),CURRENCY.FORMAT_2),CURRENCY.FORMAT_2,1),"# ##0;-# ##0"),",-"),FIXED(ROUND(IF(EXC.RATE.SWITCH=1,C515/EXC.RATE_2,C515*EXC.RATE_2),CURRENCY.FORMAT_2),CURRENCY.FORMAT_2,0)),'DICTIONARY-5'!$A$2))</f>
        <v/>
      </c>
      <c r="L515" s="670" t="str">
        <f>IFERROR(IF(CURRENCY.FORMAT_1=0,CONCATENATE(TEXT(FIXED(ROUND((C515*(1-I515)*(1-ADD.DISCOUNT)*(1+MAT.SURCHARGE)/EXC.RATE_1),CURRENCY.FORMAT_1),CURRENCY.FORMAT_1,1),"# ##0;-# ##0"),",-"),FIXED(ROUND((C515*(1-I515)*(1-ADD.DISCOUNT)*(1+MAT.SURCHARGE)/EXC.RATE_1),CURRENCY.FORMAT_1),CURRENCY.FORMAT_1,0)),'DICTIONARY-5'!$A$2)</f>
        <v>926,-</v>
      </c>
      <c r="M515" s="670" t="str">
        <f>IF(EXC.RATE_2=0,"",IFERROR(IF(CURRENCY.FORMAT_2=0,CONCATENATE(TEXT(FIXED(ROUND(IF(EXC.RATE.SWITCH=1,C515*(1-I515)*(1-ADD.DISCOUNT)*(1+MAT.SURCHARGE)/EXC.RATE_2,C515*(1-I515)*(1-ADD.DISCOUNT)*(1+MAT.SURCHARGE)*EXC.RATE_2),CURRENCY.FORMAT_2),CURRENCY.FORMAT_2,1),"# ##0;-# ##0"),",-"),FIXED(ROUND(IF(EXC.RATE.SWITCH=1,C515*(1-I515)*(1-ADD.DISCOUNT)*(1+MAT.SURCHARGE)/EXC.RATE_2,C515*(1-I515)*(1-ADD.DISCOUNT)*(1+MAT.SURCHARGE)*EXC.RATE_2),CURRENCY.FORMAT_2),CURRENCY.FORMAT_2,0)),'DICTIONARY-5'!$A$2))</f>
        <v/>
      </c>
      <c r="N515" s="544">
        <v>2</v>
      </c>
      <c r="O515" s="544"/>
      <c r="P515" s="731" t="str">
        <f>'DICTIONARY-3'!$A$10</f>
        <v>MONO</v>
      </c>
      <c r="Q515" s="732" t="str">
        <f>'DICTIONARY-3'!$A$189</f>
        <v>Zasuwa nożowa</v>
      </c>
      <c r="R515" s="732" t="str">
        <f>CONCATENATE('DICTIONARY-3'!$A$10," ",'DICTIONARY-6'!$A$6," ",'DICTIONARY-5'!$A$34," ",'DICTIONARY-2'!$A$2,"150"," ",'DICTIONARY-2'!$A$3,"10"," ",'DICTIONARY-2'!$A$10,"1",'DICTIONARY-2'!$A$20,", ",'DICTIONARY-4'!$A$3," ",'DICTIONARY-6'!$A$47)</f>
        <v>MONO Zasuwa noż. A2 DN150 PN10 PS1bar, DR szybkozamykającą</v>
      </c>
      <c r="S515" s="733" t="str">
        <f>'DICTIONARY-4'!$A$3</f>
        <v>DR</v>
      </c>
      <c r="T515" s="732" t="str">
        <f>'DICTIONARY-4'!$A$19</f>
        <v>Dźwignia ręczna</v>
      </c>
      <c r="U515" s="734" t="s">
        <v>5572</v>
      </c>
      <c r="V515" s="735">
        <v>10</v>
      </c>
      <c r="W515" s="736"/>
      <c r="X515" s="737"/>
      <c r="Y515" s="738"/>
      <c r="Z515" s="739"/>
      <c r="AA515" s="739"/>
      <c r="AB515" s="740">
        <v>1</v>
      </c>
      <c r="AC515" s="741" t="str">
        <f>'DICTIONARY-5'!$A$11&amp;" 20"</f>
        <v>EN 558 szereg 20</v>
      </c>
      <c r="AD515" s="741" t="str">
        <f>'DICTIONARY-5'!$A$14</f>
        <v>ścieki</v>
      </c>
      <c r="AE515" s="742">
        <v>50</v>
      </c>
      <c r="AF515" s="743">
        <v>22</v>
      </c>
      <c r="AG515" s="741" t="str">
        <f>'DICTIONARY-5'!$A$23</f>
        <v>powłoka epoksydowa</v>
      </c>
    </row>
    <row r="516" spans="1:33" x14ac:dyDescent="0.25">
      <c r="A516" s="842" t="s">
        <v>476</v>
      </c>
      <c r="B516" s="842" t="s">
        <v>3123</v>
      </c>
      <c r="C516" s="836">
        <v>865</v>
      </c>
      <c r="D516" s="836"/>
      <c r="E516" s="836"/>
      <c r="F516" s="836"/>
      <c r="G516" s="496" t="s">
        <v>7795</v>
      </c>
      <c r="H516" s="797" t="str">
        <f>VLOOKUP(G516,SETTINGS!$B$7:$D$97,2,0)</f>
        <v>MONO</v>
      </c>
      <c r="I516" s="796">
        <f>VLOOKUP(G516,SETTINGS!$B$7:$D$97,3,0)</f>
        <v>0</v>
      </c>
      <c r="J516" s="670" t="str">
        <f>IFERROR(IF(CURRENCY.FORMAT_1=0,CONCATENATE(TEXT(FIXED(ROUND((C516/EXC.RATE_1),CURRENCY.FORMAT_1),CURRENCY.FORMAT_1,1),"# ##0;-# ##0"),",-"),FIXED(ROUND((C516/EXC.RATE_1),CURRENCY.FORMAT_1),CURRENCY.FORMAT_1,0)),'DICTIONARY-5'!$A$2)</f>
        <v>865,-</v>
      </c>
      <c r="K516" s="670" t="str">
        <f>IF(EXC.RATE_2=0,"",IFERROR(IF(CURRENCY.FORMAT_2=0,CONCATENATE(TEXT(FIXED(ROUND(IF(EXC.RATE.SWITCH=1,C516/EXC.RATE_2,C516*EXC.RATE_2),CURRENCY.FORMAT_2),CURRENCY.FORMAT_2,1),"# ##0;-# ##0"),",-"),FIXED(ROUND(IF(EXC.RATE.SWITCH=1,C516/EXC.RATE_2,C516*EXC.RATE_2),CURRENCY.FORMAT_2),CURRENCY.FORMAT_2,0)),'DICTIONARY-5'!$A$2))</f>
        <v/>
      </c>
      <c r="L516" s="670" t="str">
        <f>IFERROR(IF(CURRENCY.FORMAT_1=0,CONCATENATE(TEXT(FIXED(ROUND((C516*(1-I516)*(1-ADD.DISCOUNT)*(1+MAT.SURCHARGE)/EXC.RATE_1),CURRENCY.FORMAT_1),CURRENCY.FORMAT_1,1),"# ##0;-# ##0"),",-"),FIXED(ROUND((C516*(1-I516)*(1-ADD.DISCOUNT)*(1+MAT.SURCHARGE)/EXC.RATE_1),CURRENCY.FORMAT_1),CURRENCY.FORMAT_1,0)),'DICTIONARY-5'!$A$2)</f>
        <v>899,-</v>
      </c>
      <c r="M516" s="670" t="str">
        <f>IF(EXC.RATE_2=0,"",IFERROR(IF(CURRENCY.FORMAT_2=0,CONCATENATE(TEXT(FIXED(ROUND(IF(EXC.RATE.SWITCH=1,C516*(1-I516)*(1-ADD.DISCOUNT)*(1+MAT.SURCHARGE)/EXC.RATE_2,C516*(1-I516)*(1-ADD.DISCOUNT)*(1+MAT.SURCHARGE)*EXC.RATE_2),CURRENCY.FORMAT_2),CURRENCY.FORMAT_2,1),"# ##0;-# ##0"),",-"),FIXED(ROUND(IF(EXC.RATE.SWITCH=1,C516*(1-I516)*(1-ADD.DISCOUNT)*(1+MAT.SURCHARGE)/EXC.RATE_2,C516*(1-I516)*(1-ADD.DISCOUNT)*(1+MAT.SURCHARGE)*EXC.RATE_2),CURRENCY.FORMAT_2),CURRENCY.FORMAT_2,0)),'DICTIONARY-5'!$A$2))</f>
        <v/>
      </c>
      <c r="N516" s="544">
        <v>2</v>
      </c>
      <c r="O516" s="544"/>
      <c r="P516" s="731" t="str">
        <f>'DICTIONARY-3'!$A$10</f>
        <v>MONO</v>
      </c>
      <c r="Q516" s="732" t="str">
        <f>'DICTIONARY-3'!$A$189</f>
        <v>Zasuwa nożowa</v>
      </c>
      <c r="R516" s="732" t="str">
        <f>CONCATENATE('DICTIONARY-3'!$A$10," ",'DICTIONARY-6'!$A$6," ",'DICTIONARY-5'!$A$34," ",'DICTIONARY-2'!$A$2,"200"," ",'DICTIONARY-2'!$A$3,"10"," ",'DICTIONARY-2'!$A$10,"1",'DICTIONARY-2'!$A$20,", ",'DICTIONARY-4'!$A$3," ",'DICTIONARY-6'!$A$47)</f>
        <v>MONO Zasuwa noż. A2 DN200 PN10 PS1bar, DR szybkozamykającą</v>
      </c>
      <c r="S516" s="733" t="str">
        <f>'DICTIONARY-4'!$A$3</f>
        <v>DR</v>
      </c>
      <c r="T516" s="732" t="str">
        <f>'DICTIONARY-4'!$A$19</f>
        <v>Dźwignia ręczna</v>
      </c>
      <c r="U516" s="734" t="s">
        <v>5750</v>
      </c>
      <c r="V516" s="735">
        <v>10</v>
      </c>
      <c r="W516" s="736"/>
      <c r="X516" s="737"/>
      <c r="Y516" s="738"/>
      <c r="Z516" s="739"/>
      <c r="AA516" s="739"/>
      <c r="AB516" s="740">
        <v>1</v>
      </c>
      <c r="AC516" s="741" t="str">
        <f>'DICTIONARY-5'!$A$11&amp;" 20"</f>
        <v>EN 558 szereg 20</v>
      </c>
      <c r="AD516" s="741" t="str">
        <f>'DICTIONARY-5'!$A$14</f>
        <v>ścieki</v>
      </c>
      <c r="AE516" s="742">
        <v>50</v>
      </c>
      <c r="AF516" s="743">
        <v>29.5</v>
      </c>
      <c r="AG516" s="741" t="str">
        <f>'DICTIONARY-5'!$A$23</f>
        <v>powłoka epoksydowa</v>
      </c>
    </row>
    <row r="517" spans="1:33" x14ac:dyDescent="0.25">
      <c r="A517" s="842" t="s">
        <v>514</v>
      </c>
      <c r="B517" s="842" t="s">
        <v>3149</v>
      </c>
      <c r="C517" s="836">
        <v>258</v>
      </c>
      <c r="D517" s="836"/>
      <c r="E517" s="836"/>
      <c r="F517" s="836"/>
      <c r="G517" s="496" t="s">
        <v>7796</v>
      </c>
      <c r="H517" s="797" t="str">
        <f>VLOOKUP(G517,SETTINGS!$B$7:$D$97,2,0)</f>
        <v>ZETA</v>
      </c>
      <c r="I517" s="796">
        <f>VLOOKUP(G517,SETTINGS!$B$7:$D$97,3,0)</f>
        <v>0</v>
      </c>
      <c r="J517" s="670" t="str">
        <f>IFERROR(IF(CURRENCY.FORMAT_1=0,CONCATENATE(TEXT(FIXED(ROUND((C517/EXC.RATE_1),CURRENCY.FORMAT_1),CURRENCY.FORMAT_1,1),"# ##0;-# ##0"),",-"),FIXED(ROUND((C517/EXC.RATE_1),CURRENCY.FORMAT_1),CURRENCY.FORMAT_1,0)),'DICTIONARY-5'!$A$2)</f>
        <v>258,-</v>
      </c>
      <c r="K517" s="670" t="str">
        <f>IF(EXC.RATE_2=0,"",IFERROR(IF(CURRENCY.FORMAT_2=0,CONCATENATE(TEXT(FIXED(ROUND(IF(EXC.RATE.SWITCH=1,C517/EXC.RATE_2,C517*EXC.RATE_2),CURRENCY.FORMAT_2),CURRENCY.FORMAT_2,1),"# ##0;-# ##0"),",-"),FIXED(ROUND(IF(EXC.RATE.SWITCH=1,C517/EXC.RATE_2,C517*EXC.RATE_2),CURRENCY.FORMAT_2),CURRENCY.FORMAT_2,0)),'DICTIONARY-5'!$A$2))</f>
        <v/>
      </c>
      <c r="L517" s="670" t="str">
        <f>IFERROR(IF(CURRENCY.FORMAT_1=0,CONCATENATE(TEXT(FIXED(ROUND((C517*(1-I517)*(1-ADD.DISCOUNT)*(1+MAT.SURCHARGE)/EXC.RATE_1),CURRENCY.FORMAT_1),CURRENCY.FORMAT_1,1),"# ##0;-# ##0"),",-"),FIXED(ROUND((C517*(1-I517)*(1-ADD.DISCOUNT)*(1+MAT.SURCHARGE)/EXC.RATE_1),CURRENCY.FORMAT_1),CURRENCY.FORMAT_1,0)),'DICTIONARY-5'!$A$2)</f>
        <v>268,-</v>
      </c>
      <c r="M517" s="670" t="str">
        <f>IF(EXC.RATE_2=0,"",IFERROR(IF(CURRENCY.FORMAT_2=0,CONCATENATE(TEXT(FIXED(ROUND(IF(EXC.RATE.SWITCH=1,C517*(1-I517)*(1-ADD.DISCOUNT)*(1+MAT.SURCHARGE)/EXC.RATE_2,C517*(1-I517)*(1-ADD.DISCOUNT)*(1+MAT.SURCHARGE)*EXC.RATE_2),CURRENCY.FORMAT_2),CURRENCY.FORMAT_2,1),"# ##0;-# ##0"),",-"),FIXED(ROUND(IF(EXC.RATE.SWITCH=1,C517*(1-I517)*(1-ADD.DISCOUNT)*(1+MAT.SURCHARGE)/EXC.RATE_2,C517*(1-I517)*(1-ADD.DISCOUNT)*(1+MAT.SURCHARGE)*EXC.RATE_2),CURRENCY.FORMAT_2),CURRENCY.FORMAT_2,0)),'DICTIONARY-5'!$A$2))</f>
        <v/>
      </c>
      <c r="N517" s="544">
        <v>2</v>
      </c>
      <c r="O517" s="544"/>
      <c r="P517" s="731" t="str">
        <f>'DICTIONARY-3'!$A$11</f>
        <v>ZETA</v>
      </c>
      <c r="Q517" s="732" t="str">
        <f>'DICTIONARY-3'!$A$189</f>
        <v>Zasuwa nożowa</v>
      </c>
      <c r="R517" s="732" t="str">
        <f>CONCATENATE('DICTIONARY-3'!$A$11," ",'DICTIONARY-6'!$A$6," ",'DICTIONARY-5'!$A$35," ",'DICTIONARY-2'!$A$2,"50"," ",'DICTIONARY-2'!$A$3,"10"," ",'DICTIONARY-2'!$A$10,"10",'DICTIONARY-2'!$A$20,", ",'DICTIONARY-4'!$A$7)</f>
        <v>ZETA Zasuwa noż. A4 DN50 PN10 PS10bar, KR</v>
      </c>
      <c r="S517" s="733" t="str">
        <f>'DICTIONARY-4'!$A$7</f>
        <v>KR</v>
      </c>
      <c r="T517" s="732" t="str">
        <f>'DICTIONARY-4'!$A$23</f>
        <v>Kółko ręczne</v>
      </c>
      <c r="U517" s="734" t="s">
        <v>5748</v>
      </c>
      <c r="V517" s="735">
        <v>10</v>
      </c>
      <c r="W517" s="736"/>
      <c r="X517" s="737"/>
      <c r="Y517" s="738"/>
      <c r="Z517" s="739"/>
      <c r="AA517" s="739"/>
      <c r="AB517" s="740">
        <v>10</v>
      </c>
      <c r="AC517" s="741" t="str">
        <f>'DICTIONARY-5'!$A$11&amp;" 20"</f>
        <v>EN 558 szereg 20</v>
      </c>
      <c r="AD517" s="741" t="str">
        <f>'DICTIONARY-5'!$A$14</f>
        <v>ścieki</v>
      </c>
      <c r="AE517" s="742">
        <v>50</v>
      </c>
      <c r="AF517" s="743">
        <v>8.5</v>
      </c>
      <c r="AG517" s="741" t="str">
        <f>'DICTIONARY-5'!$A$23</f>
        <v>powłoka epoksydowa</v>
      </c>
    </row>
    <row r="518" spans="1:33" x14ac:dyDescent="0.25">
      <c r="A518" s="842" t="s">
        <v>515</v>
      </c>
      <c r="B518" s="842" t="s">
        <v>3150</v>
      </c>
      <c r="C518" s="836">
        <v>270</v>
      </c>
      <c r="D518" s="836"/>
      <c r="E518" s="836"/>
      <c r="F518" s="836"/>
      <c r="G518" s="496" t="s">
        <v>7796</v>
      </c>
      <c r="H518" s="797" t="str">
        <f>VLOOKUP(G518,SETTINGS!$B$7:$D$97,2,0)</f>
        <v>ZETA</v>
      </c>
      <c r="I518" s="796">
        <f>VLOOKUP(G518,SETTINGS!$B$7:$D$97,3,0)</f>
        <v>0</v>
      </c>
      <c r="J518" s="670" t="str">
        <f>IFERROR(IF(CURRENCY.FORMAT_1=0,CONCATENATE(TEXT(FIXED(ROUND((C518/EXC.RATE_1),CURRENCY.FORMAT_1),CURRENCY.FORMAT_1,1),"# ##0;-# ##0"),",-"),FIXED(ROUND((C518/EXC.RATE_1),CURRENCY.FORMAT_1),CURRENCY.FORMAT_1,0)),'DICTIONARY-5'!$A$2)</f>
        <v>270,-</v>
      </c>
      <c r="K518" s="670" t="str">
        <f>IF(EXC.RATE_2=0,"",IFERROR(IF(CURRENCY.FORMAT_2=0,CONCATENATE(TEXT(FIXED(ROUND(IF(EXC.RATE.SWITCH=1,C518/EXC.RATE_2,C518*EXC.RATE_2),CURRENCY.FORMAT_2),CURRENCY.FORMAT_2,1),"# ##0;-# ##0"),",-"),FIXED(ROUND(IF(EXC.RATE.SWITCH=1,C518/EXC.RATE_2,C518*EXC.RATE_2),CURRENCY.FORMAT_2),CURRENCY.FORMAT_2,0)),'DICTIONARY-5'!$A$2))</f>
        <v/>
      </c>
      <c r="L518" s="670" t="str">
        <f>IFERROR(IF(CURRENCY.FORMAT_1=0,CONCATENATE(TEXT(FIXED(ROUND((C518*(1-I518)*(1-ADD.DISCOUNT)*(1+MAT.SURCHARGE)/EXC.RATE_1),CURRENCY.FORMAT_1),CURRENCY.FORMAT_1,1),"# ##0;-# ##0"),",-"),FIXED(ROUND((C518*(1-I518)*(1-ADD.DISCOUNT)*(1+MAT.SURCHARGE)/EXC.RATE_1),CURRENCY.FORMAT_1),CURRENCY.FORMAT_1,0)),'DICTIONARY-5'!$A$2)</f>
        <v>281,-</v>
      </c>
      <c r="M518" s="670" t="str">
        <f>IF(EXC.RATE_2=0,"",IFERROR(IF(CURRENCY.FORMAT_2=0,CONCATENATE(TEXT(FIXED(ROUND(IF(EXC.RATE.SWITCH=1,C518*(1-I518)*(1-ADD.DISCOUNT)*(1+MAT.SURCHARGE)/EXC.RATE_2,C518*(1-I518)*(1-ADD.DISCOUNT)*(1+MAT.SURCHARGE)*EXC.RATE_2),CURRENCY.FORMAT_2),CURRENCY.FORMAT_2,1),"# ##0;-# ##0"),",-"),FIXED(ROUND(IF(EXC.RATE.SWITCH=1,C518*(1-I518)*(1-ADD.DISCOUNT)*(1+MAT.SURCHARGE)/EXC.RATE_2,C518*(1-I518)*(1-ADD.DISCOUNT)*(1+MAT.SURCHARGE)*EXC.RATE_2),CURRENCY.FORMAT_2),CURRENCY.FORMAT_2,0)),'DICTIONARY-5'!$A$2))</f>
        <v/>
      </c>
      <c r="N518" s="544">
        <v>2</v>
      </c>
      <c r="O518" s="544"/>
      <c r="P518" s="731" t="str">
        <f>'DICTIONARY-3'!$A$11</f>
        <v>ZETA</v>
      </c>
      <c r="Q518" s="732" t="str">
        <f>'DICTIONARY-3'!$A$189</f>
        <v>Zasuwa nożowa</v>
      </c>
      <c r="R518" s="732" t="str">
        <f>CONCATENATE('DICTIONARY-3'!$A$11," ",'DICTIONARY-6'!$A$6," ",'DICTIONARY-5'!$A$35," ",'DICTIONARY-2'!$A$2,"65"," ",'DICTIONARY-2'!$A$3,"10"," ",'DICTIONARY-2'!$A$10,"10",'DICTIONARY-2'!$A$20,", ",'DICTIONARY-4'!$A$7)</f>
        <v>ZETA Zasuwa noż. A4 DN65 PN10 PS10bar, KR</v>
      </c>
      <c r="S518" s="733" t="str">
        <f>'DICTIONARY-4'!$A$7</f>
        <v>KR</v>
      </c>
      <c r="T518" s="732" t="str">
        <f>'DICTIONARY-4'!$A$23</f>
        <v>Kółko ręczne</v>
      </c>
      <c r="U518" s="734" t="s">
        <v>5759</v>
      </c>
      <c r="V518" s="735">
        <v>10</v>
      </c>
      <c r="W518" s="736"/>
      <c r="X518" s="737"/>
      <c r="Y518" s="738"/>
      <c r="Z518" s="739"/>
      <c r="AA518" s="739"/>
      <c r="AB518" s="740">
        <v>10</v>
      </c>
      <c r="AC518" s="741" t="str">
        <f>'DICTIONARY-5'!$A$11&amp;" 20"</f>
        <v>EN 558 szereg 20</v>
      </c>
      <c r="AD518" s="741" t="str">
        <f>'DICTIONARY-5'!$A$14</f>
        <v>ścieki</v>
      </c>
      <c r="AE518" s="742">
        <v>50</v>
      </c>
      <c r="AF518" s="743">
        <v>10</v>
      </c>
      <c r="AG518" s="741" t="str">
        <f>'DICTIONARY-5'!$A$23</f>
        <v>powłoka epoksydowa</v>
      </c>
    </row>
    <row r="519" spans="1:33" x14ac:dyDescent="0.25">
      <c r="A519" s="842" t="s">
        <v>516</v>
      </c>
      <c r="B519" s="842" t="s">
        <v>3151</v>
      </c>
      <c r="C519" s="836">
        <v>310</v>
      </c>
      <c r="D519" s="836"/>
      <c r="E519" s="836"/>
      <c r="F519" s="836"/>
      <c r="G519" s="496" t="s">
        <v>7796</v>
      </c>
      <c r="H519" s="797" t="str">
        <f>VLOOKUP(G519,SETTINGS!$B$7:$D$97,2,0)</f>
        <v>ZETA</v>
      </c>
      <c r="I519" s="796">
        <f>VLOOKUP(G519,SETTINGS!$B$7:$D$97,3,0)</f>
        <v>0</v>
      </c>
      <c r="J519" s="670" t="str">
        <f>IFERROR(IF(CURRENCY.FORMAT_1=0,CONCATENATE(TEXT(FIXED(ROUND((C519/EXC.RATE_1),CURRENCY.FORMAT_1),CURRENCY.FORMAT_1,1),"# ##0;-# ##0"),",-"),FIXED(ROUND((C519/EXC.RATE_1),CURRENCY.FORMAT_1),CURRENCY.FORMAT_1,0)),'DICTIONARY-5'!$A$2)</f>
        <v>310,-</v>
      </c>
      <c r="K519" s="670" t="str">
        <f>IF(EXC.RATE_2=0,"",IFERROR(IF(CURRENCY.FORMAT_2=0,CONCATENATE(TEXT(FIXED(ROUND(IF(EXC.RATE.SWITCH=1,C519/EXC.RATE_2,C519*EXC.RATE_2),CURRENCY.FORMAT_2),CURRENCY.FORMAT_2,1),"# ##0;-# ##0"),",-"),FIXED(ROUND(IF(EXC.RATE.SWITCH=1,C519/EXC.RATE_2,C519*EXC.RATE_2),CURRENCY.FORMAT_2),CURRENCY.FORMAT_2,0)),'DICTIONARY-5'!$A$2))</f>
        <v/>
      </c>
      <c r="L519" s="670" t="str">
        <f>IFERROR(IF(CURRENCY.FORMAT_1=0,CONCATENATE(TEXT(FIXED(ROUND((C519*(1-I519)*(1-ADD.DISCOUNT)*(1+MAT.SURCHARGE)/EXC.RATE_1),CURRENCY.FORMAT_1),CURRENCY.FORMAT_1,1),"# ##0;-# ##0"),",-"),FIXED(ROUND((C519*(1-I519)*(1-ADD.DISCOUNT)*(1+MAT.SURCHARGE)/EXC.RATE_1),CURRENCY.FORMAT_1),CURRENCY.FORMAT_1,0)),'DICTIONARY-5'!$A$2)</f>
        <v>322,-</v>
      </c>
      <c r="M519" s="670" t="str">
        <f>IF(EXC.RATE_2=0,"",IFERROR(IF(CURRENCY.FORMAT_2=0,CONCATENATE(TEXT(FIXED(ROUND(IF(EXC.RATE.SWITCH=1,C519*(1-I519)*(1-ADD.DISCOUNT)*(1+MAT.SURCHARGE)/EXC.RATE_2,C519*(1-I519)*(1-ADD.DISCOUNT)*(1+MAT.SURCHARGE)*EXC.RATE_2),CURRENCY.FORMAT_2),CURRENCY.FORMAT_2,1),"# ##0;-# ##0"),",-"),FIXED(ROUND(IF(EXC.RATE.SWITCH=1,C519*(1-I519)*(1-ADD.DISCOUNT)*(1+MAT.SURCHARGE)/EXC.RATE_2,C519*(1-I519)*(1-ADD.DISCOUNT)*(1+MAT.SURCHARGE)*EXC.RATE_2),CURRENCY.FORMAT_2),CURRENCY.FORMAT_2,0)),'DICTIONARY-5'!$A$2))</f>
        <v/>
      </c>
      <c r="N519" s="544">
        <v>2</v>
      </c>
      <c r="O519" s="544"/>
      <c r="P519" s="731" t="str">
        <f>'DICTIONARY-3'!$A$11</f>
        <v>ZETA</v>
      </c>
      <c r="Q519" s="732" t="str">
        <f>'DICTIONARY-3'!$A$189</f>
        <v>Zasuwa nożowa</v>
      </c>
      <c r="R519" s="732" t="str">
        <f>CONCATENATE('DICTIONARY-3'!$A$11," ",'DICTIONARY-6'!$A$6," ",'DICTIONARY-5'!$A$35," ",'DICTIONARY-2'!$A$2,"80"," ",'DICTIONARY-2'!$A$3,"10"," ",'DICTIONARY-2'!$A$10,"10",'DICTIONARY-2'!$A$20,", ",'DICTIONARY-4'!$A$7)</f>
        <v>ZETA Zasuwa noż. A4 DN80 PN10 PS10bar, KR</v>
      </c>
      <c r="S519" s="733" t="str">
        <f>'DICTIONARY-4'!$A$7</f>
        <v>KR</v>
      </c>
      <c r="T519" s="732" t="str">
        <f>'DICTIONARY-4'!$A$23</f>
        <v>Kółko ręczne</v>
      </c>
      <c r="U519" s="734" t="s">
        <v>5760</v>
      </c>
      <c r="V519" s="735">
        <v>10</v>
      </c>
      <c r="W519" s="736"/>
      <c r="X519" s="737"/>
      <c r="Y519" s="738"/>
      <c r="Z519" s="739"/>
      <c r="AA519" s="739"/>
      <c r="AB519" s="740">
        <v>10</v>
      </c>
      <c r="AC519" s="741" t="str">
        <f>'DICTIONARY-5'!$A$11&amp;" 20"</f>
        <v>EN 558 szereg 20</v>
      </c>
      <c r="AD519" s="741" t="str">
        <f>'DICTIONARY-5'!$A$14</f>
        <v>ścieki</v>
      </c>
      <c r="AE519" s="742">
        <v>50</v>
      </c>
      <c r="AF519" s="743">
        <v>11</v>
      </c>
      <c r="AG519" s="741" t="str">
        <f>'DICTIONARY-5'!$A$23</f>
        <v>powłoka epoksydowa</v>
      </c>
    </row>
    <row r="520" spans="1:33" x14ac:dyDescent="0.25">
      <c r="A520" s="842" t="s">
        <v>517</v>
      </c>
      <c r="B520" s="842" t="s">
        <v>3152</v>
      </c>
      <c r="C520" s="836">
        <v>357</v>
      </c>
      <c r="D520" s="836"/>
      <c r="E520" s="836"/>
      <c r="F520" s="836"/>
      <c r="G520" s="496" t="s">
        <v>7796</v>
      </c>
      <c r="H520" s="797" t="str">
        <f>VLOOKUP(G520,SETTINGS!$B$7:$D$97,2,0)</f>
        <v>ZETA</v>
      </c>
      <c r="I520" s="796">
        <f>VLOOKUP(G520,SETTINGS!$B$7:$D$97,3,0)</f>
        <v>0</v>
      </c>
      <c r="J520" s="670" t="str">
        <f>IFERROR(IF(CURRENCY.FORMAT_1=0,CONCATENATE(TEXT(FIXED(ROUND((C520/EXC.RATE_1),CURRENCY.FORMAT_1),CURRENCY.FORMAT_1,1),"# ##0;-# ##0"),",-"),FIXED(ROUND((C520/EXC.RATE_1),CURRENCY.FORMAT_1),CURRENCY.FORMAT_1,0)),'DICTIONARY-5'!$A$2)</f>
        <v>357,-</v>
      </c>
      <c r="K520" s="670" t="str">
        <f>IF(EXC.RATE_2=0,"",IFERROR(IF(CURRENCY.FORMAT_2=0,CONCATENATE(TEXT(FIXED(ROUND(IF(EXC.RATE.SWITCH=1,C520/EXC.RATE_2,C520*EXC.RATE_2),CURRENCY.FORMAT_2),CURRENCY.FORMAT_2,1),"# ##0;-# ##0"),",-"),FIXED(ROUND(IF(EXC.RATE.SWITCH=1,C520/EXC.RATE_2,C520*EXC.RATE_2),CURRENCY.FORMAT_2),CURRENCY.FORMAT_2,0)),'DICTIONARY-5'!$A$2))</f>
        <v/>
      </c>
      <c r="L520" s="670" t="str">
        <f>IFERROR(IF(CURRENCY.FORMAT_1=0,CONCATENATE(TEXT(FIXED(ROUND((C520*(1-I520)*(1-ADD.DISCOUNT)*(1+MAT.SURCHARGE)/EXC.RATE_1),CURRENCY.FORMAT_1),CURRENCY.FORMAT_1,1),"# ##0;-# ##0"),",-"),FIXED(ROUND((C520*(1-I520)*(1-ADD.DISCOUNT)*(1+MAT.SURCHARGE)/EXC.RATE_1),CURRENCY.FORMAT_1),CURRENCY.FORMAT_1,0)),'DICTIONARY-5'!$A$2)</f>
        <v>371,-</v>
      </c>
      <c r="M520" s="670" t="str">
        <f>IF(EXC.RATE_2=0,"",IFERROR(IF(CURRENCY.FORMAT_2=0,CONCATENATE(TEXT(FIXED(ROUND(IF(EXC.RATE.SWITCH=1,C520*(1-I520)*(1-ADD.DISCOUNT)*(1+MAT.SURCHARGE)/EXC.RATE_2,C520*(1-I520)*(1-ADD.DISCOUNT)*(1+MAT.SURCHARGE)*EXC.RATE_2),CURRENCY.FORMAT_2),CURRENCY.FORMAT_2,1),"# ##0;-# ##0"),",-"),FIXED(ROUND(IF(EXC.RATE.SWITCH=1,C520*(1-I520)*(1-ADD.DISCOUNT)*(1+MAT.SURCHARGE)/EXC.RATE_2,C520*(1-I520)*(1-ADD.DISCOUNT)*(1+MAT.SURCHARGE)*EXC.RATE_2),CURRENCY.FORMAT_2),CURRENCY.FORMAT_2,0)),'DICTIONARY-5'!$A$2))</f>
        <v/>
      </c>
      <c r="N520" s="544">
        <v>2</v>
      </c>
      <c r="O520" s="544"/>
      <c r="P520" s="731" t="str">
        <f>'DICTIONARY-3'!$A$11</f>
        <v>ZETA</v>
      </c>
      <c r="Q520" s="732" t="str">
        <f>'DICTIONARY-3'!$A$189</f>
        <v>Zasuwa nożowa</v>
      </c>
      <c r="R520" s="732" t="str">
        <f>CONCATENATE('DICTIONARY-3'!$A$11," ",'DICTIONARY-6'!$A$6," ",'DICTIONARY-5'!$A$35," ",'DICTIONARY-2'!$A$2,"100"," ",'DICTIONARY-2'!$A$3,"10"," ",'DICTIONARY-2'!$A$10,"10",'DICTIONARY-2'!$A$20,", ",'DICTIONARY-4'!$A$7)</f>
        <v>ZETA Zasuwa noż. A4 DN100 PN10 PS10bar, KR</v>
      </c>
      <c r="S520" s="733" t="str">
        <f>'DICTIONARY-4'!$A$7</f>
        <v>KR</v>
      </c>
      <c r="T520" s="732" t="str">
        <f>'DICTIONARY-4'!$A$23</f>
        <v>Kółko ręczne</v>
      </c>
      <c r="U520" s="734" t="s">
        <v>5749</v>
      </c>
      <c r="V520" s="735">
        <v>10</v>
      </c>
      <c r="W520" s="736"/>
      <c r="X520" s="737"/>
      <c r="Y520" s="738"/>
      <c r="Z520" s="739"/>
      <c r="AA520" s="739"/>
      <c r="AB520" s="740">
        <v>10</v>
      </c>
      <c r="AC520" s="741" t="str">
        <f>'DICTIONARY-5'!$A$11&amp;" 20"</f>
        <v>EN 558 szereg 20</v>
      </c>
      <c r="AD520" s="741" t="str">
        <f>'DICTIONARY-5'!$A$14</f>
        <v>ścieki</v>
      </c>
      <c r="AE520" s="742">
        <v>50</v>
      </c>
      <c r="AF520" s="743">
        <v>14</v>
      </c>
      <c r="AG520" s="741" t="str">
        <f>'DICTIONARY-5'!$A$23</f>
        <v>powłoka epoksydowa</v>
      </c>
    </row>
    <row r="521" spans="1:33" x14ac:dyDescent="0.25">
      <c r="A521" s="842" t="s">
        <v>518</v>
      </c>
      <c r="B521" s="842" t="s">
        <v>3154</v>
      </c>
      <c r="C521" s="836">
        <v>398</v>
      </c>
      <c r="D521" s="836"/>
      <c r="E521" s="836"/>
      <c r="F521" s="836"/>
      <c r="G521" s="496" t="s">
        <v>7796</v>
      </c>
      <c r="H521" s="797" t="str">
        <f>VLOOKUP(G521,SETTINGS!$B$7:$D$97,2,0)</f>
        <v>ZETA</v>
      </c>
      <c r="I521" s="796">
        <f>VLOOKUP(G521,SETTINGS!$B$7:$D$97,3,0)</f>
        <v>0</v>
      </c>
      <c r="J521" s="670" t="str">
        <f>IFERROR(IF(CURRENCY.FORMAT_1=0,CONCATENATE(TEXT(FIXED(ROUND((C521/EXC.RATE_1),CURRENCY.FORMAT_1),CURRENCY.FORMAT_1,1),"# ##0;-# ##0"),",-"),FIXED(ROUND((C521/EXC.RATE_1),CURRENCY.FORMAT_1),CURRENCY.FORMAT_1,0)),'DICTIONARY-5'!$A$2)</f>
        <v>398,-</v>
      </c>
      <c r="K521" s="670" t="str">
        <f>IF(EXC.RATE_2=0,"",IFERROR(IF(CURRENCY.FORMAT_2=0,CONCATENATE(TEXT(FIXED(ROUND(IF(EXC.RATE.SWITCH=1,C521/EXC.RATE_2,C521*EXC.RATE_2),CURRENCY.FORMAT_2),CURRENCY.FORMAT_2,1),"# ##0;-# ##0"),",-"),FIXED(ROUND(IF(EXC.RATE.SWITCH=1,C521/EXC.RATE_2,C521*EXC.RATE_2),CURRENCY.FORMAT_2),CURRENCY.FORMAT_2,0)),'DICTIONARY-5'!$A$2))</f>
        <v/>
      </c>
      <c r="L521" s="670" t="str">
        <f>IFERROR(IF(CURRENCY.FORMAT_1=0,CONCATENATE(TEXT(FIXED(ROUND((C521*(1-I521)*(1-ADD.DISCOUNT)*(1+MAT.SURCHARGE)/EXC.RATE_1),CURRENCY.FORMAT_1),CURRENCY.FORMAT_1,1),"# ##0;-# ##0"),",-"),FIXED(ROUND((C521*(1-I521)*(1-ADD.DISCOUNT)*(1+MAT.SURCHARGE)/EXC.RATE_1),CURRENCY.FORMAT_1),CURRENCY.FORMAT_1,0)),'DICTIONARY-5'!$A$2)</f>
        <v>414,-</v>
      </c>
      <c r="M521" s="670" t="str">
        <f>IF(EXC.RATE_2=0,"",IFERROR(IF(CURRENCY.FORMAT_2=0,CONCATENATE(TEXT(FIXED(ROUND(IF(EXC.RATE.SWITCH=1,C521*(1-I521)*(1-ADD.DISCOUNT)*(1+MAT.SURCHARGE)/EXC.RATE_2,C521*(1-I521)*(1-ADD.DISCOUNT)*(1+MAT.SURCHARGE)*EXC.RATE_2),CURRENCY.FORMAT_2),CURRENCY.FORMAT_2,1),"# ##0;-# ##0"),",-"),FIXED(ROUND(IF(EXC.RATE.SWITCH=1,C521*(1-I521)*(1-ADD.DISCOUNT)*(1+MAT.SURCHARGE)/EXC.RATE_2,C521*(1-I521)*(1-ADD.DISCOUNT)*(1+MAT.SURCHARGE)*EXC.RATE_2),CURRENCY.FORMAT_2),CURRENCY.FORMAT_2,0)),'DICTIONARY-5'!$A$2))</f>
        <v/>
      </c>
      <c r="N521" s="544">
        <v>2</v>
      </c>
      <c r="O521" s="544"/>
      <c r="P521" s="731" t="str">
        <f>'DICTIONARY-3'!$A$11</f>
        <v>ZETA</v>
      </c>
      <c r="Q521" s="732" t="str">
        <f>'DICTIONARY-3'!$A$189</f>
        <v>Zasuwa nożowa</v>
      </c>
      <c r="R521" s="732" t="str">
        <f>CONCATENATE('DICTIONARY-3'!$A$11," ",'DICTIONARY-6'!$A$6," ",'DICTIONARY-5'!$A$35," ",'DICTIONARY-2'!$A$2,"125"," ",'DICTIONARY-2'!$A$3,"10"," ",'DICTIONARY-2'!$A$10,"10",'DICTIONARY-2'!$A$20,", ",'DICTIONARY-4'!$A$7)</f>
        <v>ZETA Zasuwa noż. A4 DN125 PN10 PS10bar, KR</v>
      </c>
      <c r="S521" s="733" t="str">
        <f>'DICTIONARY-4'!$A$7</f>
        <v>KR</v>
      </c>
      <c r="T521" s="732" t="str">
        <f>'DICTIONARY-4'!$A$23</f>
        <v>Kółko ręczne</v>
      </c>
      <c r="U521" s="734" t="s">
        <v>5761</v>
      </c>
      <c r="V521" s="735">
        <v>10</v>
      </c>
      <c r="W521" s="736"/>
      <c r="X521" s="737"/>
      <c r="Y521" s="738"/>
      <c r="Z521" s="739"/>
      <c r="AA521" s="739"/>
      <c r="AB521" s="740">
        <v>10</v>
      </c>
      <c r="AC521" s="741" t="str">
        <f>'DICTIONARY-5'!$A$11&amp;" 20"</f>
        <v>EN 558 szereg 20</v>
      </c>
      <c r="AD521" s="741" t="str">
        <f>'DICTIONARY-5'!$A$14</f>
        <v>ścieki</v>
      </c>
      <c r="AE521" s="742">
        <v>50</v>
      </c>
      <c r="AF521" s="743">
        <v>20</v>
      </c>
      <c r="AG521" s="741" t="str">
        <f>'DICTIONARY-5'!$A$23</f>
        <v>powłoka epoksydowa</v>
      </c>
    </row>
    <row r="522" spans="1:33" x14ac:dyDescent="0.25">
      <c r="A522" s="842" t="s">
        <v>519</v>
      </c>
      <c r="B522" s="842" t="s">
        <v>3156</v>
      </c>
      <c r="C522" s="836">
        <v>497</v>
      </c>
      <c r="D522" s="836"/>
      <c r="E522" s="836"/>
      <c r="F522" s="836"/>
      <c r="G522" s="496" t="s">
        <v>7796</v>
      </c>
      <c r="H522" s="797" t="str">
        <f>VLOOKUP(G522,SETTINGS!$B$7:$D$97,2,0)</f>
        <v>ZETA</v>
      </c>
      <c r="I522" s="796">
        <f>VLOOKUP(G522,SETTINGS!$B$7:$D$97,3,0)</f>
        <v>0</v>
      </c>
      <c r="J522" s="670" t="str">
        <f>IFERROR(IF(CURRENCY.FORMAT_1=0,CONCATENATE(TEXT(FIXED(ROUND((C522/EXC.RATE_1),CURRENCY.FORMAT_1),CURRENCY.FORMAT_1,1),"# ##0;-# ##0"),",-"),FIXED(ROUND((C522/EXC.RATE_1),CURRENCY.FORMAT_1),CURRENCY.FORMAT_1,0)),'DICTIONARY-5'!$A$2)</f>
        <v>497,-</v>
      </c>
      <c r="K522" s="670" t="str">
        <f>IF(EXC.RATE_2=0,"",IFERROR(IF(CURRENCY.FORMAT_2=0,CONCATENATE(TEXT(FIXED(ROUND(IF(EXC.RATE.SWITCH=1,C522/EXC.RATE_2,C522*EXC.RATE_2),CURRENCY.FORMAT_2),CURRENCY.FORMAT_2,1),"# ##0;-# ##0"),",-"),FIXED(ROUND(IF(EXC.RATE.SWITCH=1,C522/EXC.RATE_2,C522*EXC.RATE_2),CURRENCY.FORMAT_2),CURRENCY.FORMAT_2,0)),'DICTIONARY-5'!$A$2))</f>
        <v/>
      </c>
      <c r="L522" s="670" t="str">
        <f>IFERROR(IF(CURRENCY.FORMAT_1=0,CONCATENATE(TEXT(FIXED(ROUND((C522*(1-I522)*(1-ADD.DISCOUNT)*(1+MAT.SURCHARGE)/EXC.RATE_1),CURRENCY.FORMAT_1),CURRENCY.FORMAT_1,1),"# ##0;-# ##0"),",-"),FIXED(ROUND((C522*(1-I522)*(1-ADD.DISCOUNT)*(1+MAT.SURCHARGE)/EXC.RATE_1),CURRENCY.FORMAT_1),CURRENCY.FORMAT_1,0)),'DICTIONARY-5'!$A$2)</f>
        <v>516,-</v>
      </c>
      <c r="M522" s="670" t="str">
        <f>IF(EXC.RATE_2=0,"",IFERROR(IF(CURRENCY.FORMAT_2=0,CONCATENATE(TEXT(FIXED(ROUND(IF(EXC.RATE.SWITCH=1,C522*(1-I522)*(1-ADD.DISCOUNT)*(1+MAT.SURCHARGE)/EXC.RATE_2,C522*(1-I522)*(1-ADD.DISCOUNT)*(1+MAT.SURCHARGE)*EXC.RATE_2),CURRENCY.FORMAT_2),CURRENCY.FORMAT_2,1),"# ##0;-# ##0"),",-"),FIXED(ROUND(IF(EXC.RATE.SWITCH=1,C522*(1-I522)*(1-ADD.DISCOUNT)*(1+MAT.SURCHARGE)/EXC.RATE_2,C522*(1-I522)*(1-ADD.DISCOUNT)*(1+MAT.SURCHARGE)*EXC.RATE_2),CURRENCY.FORMAT_2),CURRENCY.FORMAT_2,0)),'DICTIONARY-5'!$A$2))</f>
        <v/>
      </c>
      <c r="N522" s="544">
        <v>2</v>
      </c>
      <c r="O522" s="544"/>
      <c r="P522" s="731" t="str">
        <f>'DICTIONARY-3'!$A$11</f>
        <v>ZETA</v>
      </c>
      <c r="Q522" s="732" t="str">
        <f>'DICTIONARY-3'!$A$189</f>
        <v>Zasuwa nożowa</v>
      </c>
      <c r="R522" s="732" t="str">
        <f>CONCATENATE('DICTIONARY-3'!$A$11," ",'DICTIONARY-6'!$A$6," ",'DICTIONARY-5'!$A$35," ",'DICTIONARY-2'!$A$2,"150"," ",'DICTIONARY-2'!$A$3,"10"," ",'DICTIONARY-2'!$A$10,"10",'DICTIONARY-2'!$A$20,", ",'DICTIONARY-4'!$A$7)</f>
        <v>ZETA Zasuwa noż. A4 DN150 PN10 PS10bar, KR</v>
      </c>
      <c r="S522" s="733" t="str">
        <f>'DICTIONARY-4'!$A$7</f>
        <v>KR</v>
      </c>
      <c r="T522" s="732" t="str">
        <f>'DICTIONARY-4'!$A$23</f>
        <v>Kółko ręczne</v>
      </c>
      <c r="U522" s="734" t="s">
        <v>5572</v>
      </c>
      <c r="V522" s="735">
        <v>10</v>
      </c>
      <c r="W522" s="736"/>
      <c r="X522" s="737"/>
      <c r="Y522" s="738"/>
      <c r="Z522" s="739"/>
      <c r="AA522" s="739"/>
      <c r="AB522" s="740">
        <v>10</v>
      </c>
      <c r="AC522" s="741" t="str">
        <f>'DICTIONARY-5'!$A$11&amp;" 20"</f>
        <v>EN 558 szereg 20</v>
      </c>
      <c r="AD522" s="741" t="str">
        <f>'DICTIONARY-5'!$A$14</f>
        <v>ścieki</v>
      </c>
      <c r="AE522" s="742">
        <v>50</v>
      </c>
      <c r="AF522" s="743">
        <v>23.5</v>
      </c>
      <c r="AG522" s="741" t="str">
        <f>'DICTIONARY-5'!$A$23</f>
        <v>powłoka epoksydowa</v>
      </c>
    </row>
    <row r="523" spans="1:33" x14ac:dyDescent="0.25">
      <c r="A523" s="842" t="s">
        <v>520</v>
      </c>
      <c r="B523" s="842" t="s">
        <v>3142</v>
      </c>
      <c r="C523" s="836">
        <v>648</v>
      </c>
      <c r="D523" s="836"/>
      <c r="E523" s="836"/>
      <c r="F523" s="836"/>
      <c r="G523" s="496" t="s">
        <v>7796</v>
      </c>
      <c r="H523" s="797" t="str">
        <f>VLOOKUP(G523,SETTINGS!$B$7:$D$97,2,0)</f>
        <v>ZETA</v>
      </c>
      <c r="I523" s="796">
        <f>VLOOKUP(G523,SETTINGS!$B$7:$D$97,3,0)</f>
        <v>0</v>
      </c>
      <c r="J523" s="670" t="str">
        <f>IFERROR(IF(CURRENCY.FORMAT_1=0,CONCATENATE(TEXT(FIXED(ROUND((C523/EXC.RATE_1),CURRENCY.FORMAT_1),CURRENCY.FORMAT_1,1),"# ##0;-# ##0"),",-"),FIXED(ROUND((C523/EXC.RATE_1),CURRENCY.FORMAT_1),CURRENCY.FORMAT_1,0)),'DICTIONARY-5'!$A$2)</f>
        <v>648,-</v>
      </c>
      <c r="K523" s="670" t="str">
        <f>IF(EXC.RATE_2=0,"",IFERROR(IF(CURRENCY.FORMAT_2=0,CONCATENATE(TEXT(FIXED(ROUND(IF(EXC.RATE.SWITCH=1,C523/EXC.RATE_2,C523*EXC.RATE_2),CURRENCY.FORMAT_2),CURRENCY.FORMAT_2,1),"# ##0;-# ##0"),",-"),FIXED(ROUND(IF(EXC.RATE.SWITCH=1,C523/EXC.RATE_2,C523*EXC.RATE_2),CURRENCY.FORMAT_2),CURRENCY.FORMAT_2,0)),'DICTIONARY-5'!$A$2))</f>
        <v/>
      </c>
      <c r="L523" s="670" t="str">
        <f>IFERROR(IF(CURRENCY.FORMAT_1=0,CONCATENATE(TEXT(FIXED(ROUND((C523*(1-I523)*(1-ADD.DISCOUNT)*(1+MAT.SURCHARGE)/EXC.RATE_1),CURRENCY.FORMAT_1),CURRENCY.FORMAT_1,1),"# ##0;-# ##0"),",-"),FIXED(ROUND((C523*(1-I523)*(1-ADD.DISCOUNT)*(1+MAT.SURCHARGE)/EXC.RATE_1),CURRENCY.FORMAT_1),CURRENCY.FORMAT_1,0)),'DICTIONARY-5'!$A$2)</f>
        <v>673,-</v>
      </c>
      <c r="M523" s="670" t="str">
        <f>IF(EXC.RATE_2=0,"",IFERROR(IF(CURRENCY.FORMAT_2=0,CONCATENATE(TEXT(FIXED(ROUND(IF(EXC.RATE.SWITCH=1,C523*(1-I523)*(1-ADD.DISCOUNT)*(1+MAT.SURCHARGE)/EXC.RATE_2,C523*(1-I523)*(1-ADD.DISCOUNT)*(1+MAT.SURCHARGE)*EXC.RATE_2),CURRENCY.FORMAT_2),CURRENCY.FORMAT_2,1),"# ##0;-# ##0"),",-"),FIXED(ROUND(IF(EXC.RATE.SWITCH=1,C523*(1-I523)*(1-ADD.DISCOUNT)*(1+MAT.SURCHARGE)/EXC.RATE_2,C523*(1-I523)*(1-ADD.DISCOUNT)*(1+MAT.SURCHARGE)*EXC.RATE_2),CURRENCY.FORMAT_2),CURRENCY.FORMAT_2,0)),'DICTIONARY-5'!$A$2))</f>
        <v/>
      </c>
      <c r="N523" s="544">
        <v>2</v>
      </c>
      <c r="O523" s="544"/>
      <c r="P523" s="731" t="str">
        <f>'DICTIONARY-3'!$A$11</f>
        <v>ZETA</v>
      </c>
      <c r="Q523" s="732" t="str">
        <f>'DICTIONARY-3'!$A$189</f>
        <v>Zasuwa nożowa</v>
      </c>
      <c r="R523" s="732" t="str">
        <f>CONCATENATE('DICTIONARY-3'!$A$11," ",'DICTIONARY-6'!$A$6," ",'DICTIONARY-5'!$A$34," ",'DICTIONARY-2'!$A$2,"200"," ",'DICTIONARY-2'!$A$3,"10"," ",'DICTIONARY-2'!$A$10,"10",'DICTIONARY-2'!$A$20,", ",'DICTIONARY-4'!$A$7)</f>
        <v>ZETA Zasuwa noż. A2 DN200 PN10 PS10bar, KR</v>
      </c>
      <c r="S523" s="733" t="str">
        <f>'DICTIONARY-4'!$A$7</f>
        <v>KR</v>
      </c>
      <c r="T523" s="732" t="str">
        <f>'DICTIONARY-4'!$A$23</f>
        <v>Kółko ręczne</v>
      </c>
      <c r="U523" s="734" t="s">
        <v>5750</v>
      </c>
      <c r="V523" s="735">
        <v>10</v>
      </c>
      <c r="W523" s="736"/>
      <c r="X523" s="737"/>
      <c r="Y523" s="738"/>
      <c r="Z523" s="739"/>
      <c r="AA523" s="739"/>
      <c r="AB523" s="740">
        <v>10</v>
      </c>
      <c r="AC523" s="741" t="str">
        <f>'DICTIONARY-5'!$A$11&amp;" 20"</f>
        <v>EN 558 szereg 20</v>
      </c>
      <c r="AD523" s="741" t="str">
        <f>'DICTIONARY-5'!$A$14</f>
        <v>ścieki</v>
      </c>
      <c r="AE523" s="742">
        <v>50</v>
      </c>
      <c r="AF523" s="743">
        <v>35</v>
      </c>
      <c r="AG523" s="741" t="str">
        <f>'DICTIONARY-5'!$A$23</f>
        <v>powłoka epoksydowa</v>
      </c>
    </row>
    <row r="524" spans="1:33" x14ac:dyDescent="0.25">
      <c r="A524" s="842" t="s">
        <v>521</v>
      </c>
      <c r="B524" s="842" t="s">
        <v>3143</v>
      </c>
      <c r="C524" s="836">
        <v>1045</v>
      </c>
      <c r="D524" s="836"/>
      <c r="E524" s="836"/>
      <c r="F524" s="836"/>
      <c r="G524" s="496" t="s">
        <v>7796</v>
      </c>
      <c r="H524" s="797" t="str">
        <f>VLOOKUP(G524,SETTINGS!$B$7:$D$97,2,0)</f>
        <v>ZETA</v>
      </c>
      <c r="I524" s="796">
        <f>VLOOKUP(G524,SETTINGS!$B$7:$D$97,3,0)</f>
        <v>0</v>
      </c>
      <c r="J524" s="670" t="str">
        <f>IFERROR(IF(CURRENCY.FORMAT_1=0,CONCATENATE(TEXT(FIXED(ROUND((C524/EXC.RATE_1),CURRENCY.FORMAT_1),CURRENCY.FORMAT_1,1),"# ##0;-# ##0"),",-"),FIXED(ROUND((C524/EXC.RATE_1),CURRENCY.FORMAT_1),CURRENCY.FORMAT_1,0)),'DICTIONARY-5'!$A$2)</f>
        <v>1 045,-</v>
      </c>
      <c r="K524" s="670" t="str">
        <f>IF(EXC.RATE_2=0,"",IFERROR(IF(CURRENCY.FORMAT_2=0,CONCATENATE(TEXT(FIXED(ROUND(IF(EXC.RATE.SWITCH=1,C524/EXC.RATE_2,C524*EXC.RATE_2),CURRENCY.FORMAT_2),CURRENCY.FORMAT_2,1),"# ##0;-# ##0"),",-"),FIXED(ROUND(IF(EXC.RATE.SWITCH=1,C524/EXC.RATE_2,C524*EXC.RATE_2),CURRENCY.FORMAT_2),CURRENCY.FORMAT_2,0)),'DICTIONARY-5'!$A$2))</f>
        <v/>
      </c>
      <c r="L524" s="670" t="str">
        <f>IFERROR(IF(CURRENCY.FORMAT_1=0,CONCATENATE(TEXT(FIXED(ROUND((C524*(1-I524)*(1-ADD.DISCOUNT)*(1+MAT.SURCHARGE)/EXC.RATE_1),CURRENCY.FORMAT_1),CURRENCY.FORMAT_1,1),"# ##0;-# ##0"),",-"),FIXED(ROUND((C524*(1-I524)*(1-ADD.DISCOUNT)*(1+MAT.SURCHARGE)/EXC.RATE_1),CURRENCY.FORMAT_1),CURRENCY.FORMAT_1,0)),'DICTIONARY-5'!$A$2)</f>
        <v>1 086,-</v>
      </c>
      <c r="M524" s="670" t="str">
        <f>IF(EXC.RATE_2=0,"",IFERROR(IF(CURRENCY.FORMAT_2=0,CONCATENATE(TEXT(FIXED(ROUND(IF(EXC.RATE.SWITCH=1,C524*(1-I524)*(1-ADD.DISCOUNT)*(1+MAT.SURCHARGE)/EXC.RATE_2,C524*(1-I524)*(1-ADD.DISCOUNT)*(1+MAT.SURCHARGE)*EXC.RATE_2),CURRENCY.FORMAT_2),CURRENCY.FORMAT_2,1),"# ##0;-# ##0"),",-"),FIXED(ROUND(IF(EXC.RATE.SWITCH=1,C524*(1-I524)*(1-ADD.DISCOUNT)*(1+MAT.SURCHARGE)/EXC.RATE_2,C524*(1-I524)*(1-ADD.DISCOUNT)*(1+MAT.SURCHARGE)*EXC.RATE_2),CURRENCY.FORMAT_2),CURRENCY.FORMAT_2,0)),'DICTIONARY-5'!$A$2))</f>
        <v/>
      </c>
      <c r="N524" s="544">
        <v>2</v>
      </c>
      <c r="O524" s="544"/>
      <c r="P524" s="731" t="str">
        <f>'DICTIONARY-3'!$A$11</f>
        <v>ZETA</v>
      </c>
      <c r="Q524" s="732" t="str">
        <f>'DICTIONARY-3'!$A$189</f>
        <v>Zasuwa nożowa</v>
      </c>
      <c r="R524" s="732" t="str">
        <f>CONCATENATE('DICTIONARY-3'!$A$11," ",'DICTIONARY-6'!$A$6," ",'DICTIONARY-5'!$A$34," ",'DICTIONARY-2'!$A$2,"250"," ",'DICTIONARY-2'!$A$3,"10"," ",'DICTIONARY-2'!$A$10,"10",'DICTIONARY-2'!$A$20,", ",'DICTIONARY-4'!$A$7)</f>
        <v>ZETA Zasuwa noż. A2 DN250 PN10 PS10bar, KR</v>
      </c>
      <c r="S524" s="733" t="str">
        <f>'DICTIONARY-4'!$A$7</f>
        <v>KR</v>
      </c>
      <c r="T524" s="732" t="str">
        <f>'DICTIONARY-4'!$A$23</f>
        <v>Kółko ręczne</v>
      </c>
      <c r="U524" s="734" t="s">
        <v>5751</v>
      </c>
      <c r="V524" s="735">
        <v>10</v>
      </c>
      <c r="W524" s="736"/>
      <c r="X524" s="737"/>
      <c r="Y524" s="738"/>
      <c r="Z524" s="739"/>
      <c r="AA524" s="739"/>
      <c r="AB524" s="740">
        <v>10</v>
      </c>
      <c r="AC524" s="741" t="str">
        <f>'DICTIONARY-5'!$A$11&amp;" 20"</f>
        <v>EN 558 szereg 20</v>
      </c>
      <c r="AD524" s="741" t="str">
        <f>'DICTIONARY-5'!$A$14</f>
        <v>ścieki</v>
      </c>
      <c r="AE524" s="742">
        <v>50</v>
      </c>
      <c r="AF524" s="743">
        <v>65</v>
      </c>
      <c r="AG524" s="741" t="str">
        <f>'DICTIONARY-5'!$A$23</f>
        <v>powłoka epoksydowa</v>
      </c>
    </row>
    <row r="525" spans="1:33" x14ac:dyDescent="0.25">
      <c r="A525" s="842" t="s">
        <v>522</v>
      </c>
      <c r="B525" s="842" t="s">
        <v>3144</v>
      </c>
      <c r="C525" s="836">
        <v>1242</v>
      </c>
      <c r="D525" s="836"/>
      <c r="E525" s="836"/>
      <c r="F525" s="836"/>
      <c r="G525" s="496" t="s">
        <v>7796</v>
      </c>
      <c r="H525" s="797" t="str">
        <f>VLOOKUP(G525,SETTINGS!$B$7:$D$97,2,0)</f>
        <v>ZETA</v>
      </c>
      <c r="I525" s="796">
        <f>VLOOKUP(G525,SETTINGS!$B$7:$D$97,3,0)</f>
        <v>0</v>
      </c>
      <c r="J525" s="670" t="str">
        <f>IFERROR(IF(CURRENCY.FORMAT_1=0,CONCATENATE(TEXT(FIXED(ROUND((C525/EXC.RATE_1),CURRENCY.FORMAT_1),CURRENCY.FORMAT_1,1),"# ##0;-# ##0"),",-"),FIXED(ROUND((C525/EXC.RATE_1),CURRENCY.FORMAT_1),CURRENCY.FORMAT_1,0)),'DICTIONARY-5'!$A$2)</f>
        <v>1 242,-</v>
      </c>
      <c r="K525" s="670" t="str">
        <f>IF(EXC.RATE_2=0,"",IFERROR(IF(CURRENCY.FORMAT_2=0,CONCATENATE(TEXT(FIXED(ROUND(IF(EXC.RATE.SWITCH=1,C525/EXC.RATE_2,C525*EXC.RATE_2),CURRENCY.FORMAT_2),CURRENCY.FORMAT_2,1),"# ##0;-# ##0"),",-"),FIXED(ROUND(IF(EXC.RATE.SWITCH=1,C525/EXC.RATE_2,C525*EXC.RATE_2),CURRENCY.FORMAT_2),CURRENCY.FORMAT_2,0)),'DICTIONARY-5'!$A$2))</f>
        <v/>
      </c>
      <c r="L525" s="670" t="str">
        <f>IFERROR(IF(CURRENCY.FORMAT_1=0,CONCATENATE(TEXT(FIXED(ROUND((C525*(1-I525)*(1-ADD.DISCOUNT)*(1+MAT.SURCHARGE)/EXC.RATE_1),CURRENCY.FORMAT_1),CURRENCY.FORMAT_1,1),"# ##0;-# ##0"),",-"),FIXED(ROUND((C525*(1-I525)*(1-ADD.DISCOUNT)*(1+MAT.SURCHARGE)/EXC.RATE_1),CURRENCY.FORMAT_1),CURRENCY.FORMAT_1,0)),'DICTIONARY-5'!$A$2)</f>
        <v>1 290,-</v>
      </c>
      <c r="M525" s="670" t="str">
        <f>IF(EXC.RATE_2=0,"",IFERROR(IF(CURRENCY.FORMAT_2=0,CONCATENATE(TEXT(FIXED(ROUND(IF(EXC.RATE.SWITCH=1,C525*(1-I525)*(1-ADD.DISCOUNT)*(1+MAT.SURCHARGE)/EXC.RATE_2,C525*(1-I525)*(1-ADD.DISCOUNT)*(1+MAT.SURCHARGE)*EXC.RATE_2),CURRENCY.FORMAT_2),CURRENCY.FORMAT_2,1),"# ##0;-# ##0"),",-"),FIXED(ROUND(IF(EXC.RATE.SWITCH=1,C525*(1-I525)*(1-ADD.DISCOUNT)*(1+MAT.SURCHARGE)/EXC.RATE_2,C525*(1-I525)*(1-ADD.DISCOUNT)*(1+MAT.SURCHARGE)*EXC.RATE_2),CURRENCY.FORMAT_2),CURRENCY.FORMAT_2,0)),'DICTIONARY-5'!$A$2))</f>
        <v/>
      </c>
      <c r="N525" s="544">
        <v>2</v>
      </c>
      <c r="O525" s="544"/>
      <c r="P525" s="731" t="str">
        <f>'DICTIONARY-3'!$A$11</f>
        <v>ZETA</v>
      </c>
      <c r="Q525" s="732" t="str">
        <f>'DICTIONARY-3'!$A$189</f>
        <v>Zasuwa nożowa</v>
      </c>
      <c r="R525" s="732" t="str">
        <f>CONCATENATE('DICTIONARY-3'!$A$11," ",'DICTIONARY-6'!$A$6," ",'DICTIONARY-5'!$A$34," ",'DICTIONARY-2'!$A$2,"300"," ",'DICTIONARY-2'!$A$3,"10"," ",'DICTIONARY-2'!$A$10,"10",'DICTIONARY-2'!$A$20,", ",'DICTIONARY-4'!$A$7)</f>
        <v>ZETA Zasuwa noż. A2 DN300 PN10 PS10bar, KR</v>
      </c>
      <c r="S525" s="733" t="str">
        <f>'DICTIONARY-4'!$A$7</f>
        <v>KR</v>
      </c>
      <c r="T525" s="732" t="str">
        <f>'DICTIONARY-4'!$A$23</f>
        <v>Kółko ręczne</v>
      </c>
      <c r="U525" s="734" t="s">
        <v>5752</v>
      </c>
      <c r="V525" s="735">
        <v>10</v>
      </c>
      <c r="W525" s="736"/>
      <c r="X525" s="737"/>
      <c r="Y525" s="738"/>
      <c r="Z525" s="739"/>
      <c r="AA525" s="739"/>
      <c r="AB525" s="740">
        <v>10</v>
      </c>
      <c r="AC525" s="741" t="str">
        <f>'DICTIONARY-5'!$A$11&amp;" 20"</f>
        <v>EN 558 szereg 20</v>
      </c>
      <c r="AD525" s="741" t="str">
        <f>'DICTIONARY-5'!$A$14</f>
        <v>ścieki</v>
      </c>
      <c r="AE525" s="742">
        <v>50</v>
      </c>
      <c r="AF525" s="743">
        <v>85.25</v>
      </c>
      <c r="AG525" s="741" t="str">
        <f>'DICTIONARY-5'!$A$23</f>
        <v>powłoka epoksydowa</v>
      </c>
    </row>
    <row r="526" spans="1:33" x14ac:dyDescent="0.25">
      <c r="A526" s="842" t="s">
        <v>523</v>
      </c>
      <c r="B526" s="842" t="s">
        <v>3145</v>
      </c>
      <c r="C526" s="836">
        <v>1471</v>
      </c>
      <c r="D526" s="836"/>
      <c r="E526" s="836"/>
      <c r="F526" s="836"/>
      <c r="G526" s="496" t="s">
        <v>7796</v>
      </c>
      <c r="H526" s="797" t="str">
        <f>VLOOKUP(G526,SETTINGS!$B$7:$D$97,2,0)</f>
        <v>ZETA</v>
      </c>
      <c r="I526" s="796">
        <f>VLOOKUP(G526,SETTINGS!$B$7:$D$97,3,0)</f>
        <v>0</v>
      </c>
      <c r="J526" s="670" t="str">
        <f>IFERROR(IF(CURRENCY.FORMAT_1=0,CONCATENATE(TEXT(FIXED(ROUND((C526/EXC.RATE_1),CURRENCY.FORMAT_1),CURRENCY.FORMAT_1,1),"# ##0;-# ##0"),",-"),FIXED(ROUND((C526/EXC.RATE_1),CURRENCY.FORMAT_1),CURRENCY.FORMAT_1,0)),'DICTIONARY-5'!$A$2)</f>
        <v>1 471,-</v>
      </c>
      <c r="K526" s="670" t="str">
        <f>IF(EXC.RATE_2=0,"",IFERROR(IF(CURRENCY.FORMAT_2=0,CONCATENATE(TEXT(FIXED(ROUND(IF(EXC.RATE.SWITCH=1,C526/EXC.RATE_2,C526*EXC.RATE_2),CURRENCY.FORMAT_2),CURRENCY.FORMAT_2,1),"# ##0;-# ##0"),",-"),FIXED(ROUND(IF(EXC.RATE.SWITCH=1,C526/EXC.RATE_2,C526*EXC.RATE_2),CURRENCY.FORMAT_2),CURRENCY.FORMAT_2,0)),'DICTIONARY-5'!$A$2))</f>
        <v/>
      </c>
      <c r="L526" s="670" t="str">
        <f>IFERROR(IF(CURRENCY.FORMAT_1=0,CONCATENATE(TEXT(FIXED(ROUND((C526*(1-I526)*(1-ADD.DISCOUNT)*(1+MAT.SURCHARGE)/EXC.RATE_1),CURRENCY.FORMAT_1),CURRENCY.FORMAT_1,1),"# ##0;-# ##0"),",-"),FIXED(ROUND((C526*(1-I526)*(1-ADD.DISCOUNT)*(1+MAT.SURCHARGE)/EXC.RATE_1),CURRENCY.FORMAT_1),CURRENCY.FORMAT_1,0)),'DICTIONARY-5'!$A$2)</f>
        <v>1 528,-</v>
      </c>
      <c r="M526" s="670" t="str">
        <f>IF(EXC.RATE_2=0,"",IFERROR(IF(CURRENCY.FORMAT_2=0,CONCATENATE(TEXT(FIXED(ROUND(IF(EXC.RATE.SWITCH=1,C526*(1-I526)*(1-ADD.DISCOUNT)*(1+MAT.SURCHARGE)/EXC.RATE_2,C526*(1-I526)*(1-ADD.DISCOUNT)*(1+MAT.SURCHARGE)*EXC.RATE_2),CURRENCY.FORMAT_2),CURRENCY.FORMAT_2,1),"# ##0;-# ##0"),",-"),FIXED(ROUND(IF(EXC.RATE.SWITCH=1,C526*(1-I526)*(1-ADD.DISCOUNT)*(1+MAT.SURCHARGE)/EXC.RATE_2,C526*(1-I526)*(1-ADD.DISCOUNT)*(1+MAT.SURCHARGE)*EXC.RATE_2),CURRENCY.FORMAT_2),CURRENCY.FORMAT_2,0)),'DICTIONARY-5'!$A$2))</f>
        <v/>
      </c>
      <c r="N526" s="544">
        <v>2</v>
      </c>
      <c r="O526" s="544"/>
      <c r="P526" s="731" t="str">
        <f>'DICTIONARY-3'!$A$11</f>
        <v>ZETA</v>
      </c>
      <c r="Q526" s="732" t="str">
        <f>'DICTIONARY-3'!$A$189</f>
        <v>Zasuwa nożowa</v>
      </c>
      <c r="R526" s="732" t="str">
        <f>CONCATENATE('DICTIONARY-3'!$A$11," ",'DICTIONARY-6'!$A$6," ",'DICTIONARY-5'!$A$34," ",'DICTIONARY-2'!$A$2,"350"," ",'DICTIONARY-2'!$A$3,"10"," ",'DICTIONARY-2'!$A$10,"8",'DICTIONARY-2'!$A$20,", ",'DICTIONARY-4'!$A$7)</f>
        <v>ZETA Zasuwa noż. A2 DN350 PN10 PS8bar, KR</v>
      </c>
      <c r="S526" s="733" t="str">
        <f>'DICTIONARY-4'!$A$7</f>
        <v>KR</v>
      </c>
      <c r="T526" s="732" t="str">
        <f>'DICTIONARY-4'!$A$23</f>
        <v>Kółko ręczne</v>
      </c>
      <c r="U526" s="734" t="s">
        <v>5753</v>
      </c>
      <c r="V526" s="735">
        <v>10</v>
      </c>
      <c r="W526" s="736"/>
      <c r="X526" s="737"/>
      <c r="Y526" s="738"/>
      <c r="Z526" s="739"/>
      <c r="AA526" s="739"/>
      <c r="AB526" s="740">
        <v>8</v>
      </c>
      <c r="AC526" s="741" t="str">
        <f>'DICTIONARY-5'!$A$11&amp;" 20"</f>
        <v>EN 558 szereg 20</v>
      </c>
      <c r="AD526" s="741" t="str">
        <f>'DICTIONARY-5'!$A$14</f>
        <v>ścieki</v>
      </c>
      <c r="AE526" s="742">
        <v>50</v>
      </c>
      <c r="AF526" s="743">
        <v>108</v>
      </c>
      <c r="AG526" s="741" t="str">
        <f>'DICTIONARY-5'!$A$23</f>
        <v>powłoka epoksydowa</v>
      </c>
    </row>
    <row r="527" spans="1:33" x14ac:dyDescent="0.25">
      <c r="A527" s="842" t="s">
        <v>524</v>
      </c>
      <c r="B527" s="842" t="s">
        <v>3146</v>
      </c>
      <c r="C527" s="836">
        <v>2211</v>
      </c>
      <c r="D527" s="836"/>
      <c r="E527" s="836"/>
      <c r="F527" s="836"/>
      <c r="G527" s="496" t="s">
        <v>7796</v>
      </c>
      <c r="H527" s="797" t="str">
        <f>VLOOKUP(G527,SETTINGS!$B$7:$D$97,2,0)</f>
        <v>ZETA</v>
      </c>
      <c r="I527" s="796">
        <f>VLOOKUP(G527,SETTINGS!$B$7:$D$97,3,0)</f>
        <v>0</v>
      </c>
      <c r="J527" s="670" t="str">
        <f>IFERROR(IF(CURRENCY.FORMAT_1=0,CONCATENATE(TEXT(FIXED(ROUND((C527/EXC.RATE_1),CURRENCY.FORMAT_1),CURRENCY.FORMAT_1,1),"# ##0;-# ##0"),",-"),FIXED(ROUND((C527/EXC.RATE_1),CURRENCY.FORMAT_1),CURRENCY.FORMAT_1,0)),'DICTIONARY-5'!$A$2)</f>
        <v>2 211,-</v>
      </c>
      <c r="K527" s="670" t="str">
        <f>IF(EXC.RATE_2=0,"",IFERROR(IF(CURRENCY.FORMAT_2=0,CONCATENATE(TEXT(FIXED(ROUND(IF(EXC.RATE.SWITCH=1,C527/EXC.RATE_2,C527*EXC.RATE_2),CURRENCY.FORMAT_2),CURRENCY.FORMAT_2,1),"# ##0;-# ##0"),",-"),FIXED(ROUND(IF(EXC.RATE.SWITCH=1,C527/EXC.RATE_2,C527*EXC.RATE_2),CURRENCY.FORMAT_2),CURRENCY.FORMAT_2,0)),'DICTIONARY-5'!$A$2))</f>
        <v/>
      </c>
      <c r="L527" s="670" t="str">
        <f>IFERROR(IF(CURRENCY.FORMAT_1=0,CONCATENATE(TEXT(FIXED(ROUND((C527*(1-I527)*(1-ADD.DISCOUNT)*(1+MAT.SURCHARGE)/EXC.RATE_1),CURRENCY.FORMAT_1),CURRENCY.FORMAT_1,1),"# ##0;-# ##0"),",-"),FIXED(ROUND((C527*(1-I527)*(1-ADD.DISCOUNT)*(1+MAT.SURCHARGE)/EXC.RATE_1),CURRENCY.FORMAT_1),CURRENCY.FORMAT_1,0)),'DICTIONARY-5'!$A$2)</f>
        <v>2 297,-</v>
      </c>
      <c r="M527" s="670" t="str">
        <f>IF(EXC.RATE_2=0,"",IFERROR(IF(CURRENCY.FORMAT_2=0,CONCATENATE(TEXT(FIXED(ROUND(IF(EXC.RATE.SWITCH=1,C527*(1-I527)*(1-ADD.DISCOUNT)*(1+MAT.SURCHARGE)/EXC.RATE_2,C527*(1-I527)*(1-ADD.DISCOUNT)*(1+MAT.SURCHARGE)*EXC.RATE_2),CURRENCY.FORMAT_2),CURRENCY.FORMAT_2,1),"# ##0;-# ##0"),",-"),FIXED(ROUND(IF(EXC.RATE.SWITCH=1,C527*(1-I527)*(1-ADD.DISCOUNT)*(1+MAT.SURCHARGE)/EXC.RATE_2,C527*(1-I527)*(1-ADD.DISCOUNT)*(1+MAT.SURCHARGE)*EXC.RATE_2),CURRENCY.FORMAT_2),CURRENCY.FORMAT_2,0)),'DICTIONARY-5'!$A$2))</f>
        <v/>
      </c>
      <c r="N527" s="544">
        <v>2</v>
      </c>
      <c r="O527" s="544"/>
      <c r="P527" s="731" t="str">
        <f>'DICTIONARY-3'!$A$11</f>
        <v>ZETA</v>
      </c>
      <c r="Q527" s="732" t="str">
        <f>'DICTIONARY-3'!$A$189</f>
        <v>Zasuwa nożowa</v>
      </c>
      <c r="R527" s="732" t="str">
        <f>CONCATENATE('DICTIONARY-3'!$A$11," ",'DICTIONARY-6'!$A$6," ",'DICTIONARY-5'!$A$34," ",'DICTIONARY-2'!$A$2,"400"," ",'DICTIONARY-2'!$A$3,"10"," ",'DICTIONARY-2'!$A$10,"8",'DICTIONARY-2'!$A$20,", ",'DICTIONARY-4'!$A$7)</f>
        <v>ZETA Zasuwa noż. A2 DN400 PN10 PS8bar, KR</v>
      </c>
      <c r="S527" s="733" t="str">
        <f>'DICTIONARY-4'!$A$7</f>
        <v>KR</v>
      </c>
      <c r="T527" s="732" t="str">
        <f>'DICTIONARY-4'!$A$23</f>
        <v>Kółko ręczne</v>
      </c>
      <c r="U527" s="734" t="s">
        <v>5754</v>
      </c>
      <c r="V527" s="735">
        <v>10</v>
      </c>
      <c r="W527" s="736"/>
      <c r="X527" s="737"/>
      <c r="Y527" s="738"/>
      <c r="Z527" s="739"/>
      <c r="AA527" s="739"/>
      <c r="AB527" s="740">
        <v>8</v>
      </c>
      <c r="AC527" s="741" t="str">
        <f>'DICTIONARY-5'!$A$11&amp;" 20"</f>
        <v>EN 558 szereg 20</v>
      </c>
      <c r="AD527" s="741" t="str">
        <f>'DICTIONARY-5'!$A$14</f>
        <v>ścieki</v>
      </c>
      <c r="AE527" s="742">
        <v>50</v>
      </c>
      <c r="AF527" s="743">
        <v>153</v>
      </c>
      <c r="AG527" s="741" t="str">
        <f>'DICTIONARY-5'!$A$23</f>
        <v>powłoka epoksydowa</v>
      </c>
    </row>
    <row r="528" spans="1:33" x14ac:dyDescent="0.25">
      <c r="A528" s="842" t="s">
        <v>525</v>
      </c>
      <c r="B528" s="842" t="s">
        <v>3147</v>
      </c>
      <c r="C528" s="836">
        <v>4309</v>
      </c>
      <c r="D528" s="836"/>
      <c r="E528" s="836"/>
      <c r="F528" s="836"/>
      <c r="G528" s="496" t="s">
        <v>7796</v>
      </c>
      <c r="H528" s="797" t="str">
        <f>VLOOKUP(G528,SETTINGS!$B$7:$D$97,2,0)</f>
        <v>ZETA</v>
      </c>
      <c r="I528" s="796">
        <f>VLOOKUP(G528,SETTINGS!$B$7:$D$97,3,0)</f>
        <v>0</v>
      </c>
      <c r="J528" s="670" t="str">
        <f>IFERROR(IF(CURRENCY.FORMAT_1=0,CONCATENATE(TEXT(FIXED(ROUND((C528/EXC.RATE_1),CURRENCY.FORMAT_1),CURRENCY.FORMAT_1,1),"# ##0;-# ##0"),",-"),FIXED(ROUND((C528/EXC.RATE_1),CURRENCY.FORMAT_1),CURRENCY.FORMAT_1,0)),'DICTIONARY-5'!$A$2)</f>
        <v>4 309,-</v>
      </c>
      <c r="K528" s="670" t="str">
        <f>IF(EXC.RATE_2=0,"",IFERROR(IF(CURRENCY.FORMAT_2=0,CONCATENATE(TEXT(FIXED(ROUND(IF(EXC.RATE.SWITCH=1,C528/EXC.RATE_2,C528*EXC.RATE_2),CURRENCY.FORMAT_2),CURRENCY.FORMAT_2,1),"# ##0;-# ##0"),",-"),FIXED(ROUND(IF(EXC.RATE.SWITCH=1,C528/EXC.RATE_2,C528*EXC.RATE_2),CURRENCY.FORMAT_2),CURRENCY.FORMAT_2,0)),'DICTIONARY-5'!$A$2))</f>
        <v/>
      </c>
      <c r="L528" s="670" t="str">
        <f>IFERROR(IF(CURRENCY.FORMAT_1=0,CONCATENATE(TEXT(FIXED(ROUND((C528*(1-I528)*(1-ADD.DISCOUNT)*(1+MAT.SURCHARGE)/EXC.RATE_1),CURRENCY.FORMAT_1),CURRENCY.FORMAT_1,1),"# ##0;-# ##0"),",-"),FIXED(ROUND((C528*(1-I528)*(1-ADD.DISCOUNT)*(1+MAT.SURCHARGE)/EXC.RATE_1),CURRENCY.FORMAT_1),CURRENCY.FORMAT_1,0)),'DICTIONARY-5'!$A$2)</f>
        <v>4 477,-</v>
      </c>
      <c r="M528" s="670" t="str">
        <f>IF(EXC.RATE_2=0,"",IFERROR(IF(CURRENCY.FORMAT_2=0,CONCATENATE(TEXT(FIXED(ROUND(IF(EXC.RATE.SWITCH=1,C528*(1-I528)*(1-ADD.DISCOUNT)*(1+MAT.SURCHARGE)/EXC.RATE_2,C528*(1-I528)*(1-ADD.DISCOUNT)*(1+MAT.SURCHARGE)*EXC.RATE_2),CURRENCY.FORMAT_2),CURRENCY.FORMAT_2,1),"# ##0;-# ##0"),",-"),FIXED(ROUND(IF(EXC.RATE.SWITCH=1,C528*(1-I528)*(1-ADD.DISCOUNT)*(1+MAT.SURCHARGE)/EXC.RATE_2,C528*(1-I528)*(1-ADD.DISCOUNT)*(1+MAT.SURCHARGE)*EXC.RATE_2),CURRENCY.FORMAT_2),CURRENCY.FORMAT_2,0)),'DICTIONARY-5'!$A$2))</f>
        <v/>
      </c>
      <c r="N528" s="544">
        <v>2</v>
      </c>
      <c r="O528" s="544"/>
      <c r="P528" s="731" t="str">
        <f>'DICTIONARY-3'!$A$11</f>
        <v>ZETA</v>
      </c>
      <c r="Q528" s="732" t="str">
        <f>'DICTIONARY-3'!$A$189</f>
        <v>Zasuwa nożowa</v>
      </c>
      <c r="R528" s="732" t="str">
        <f>CONCATENATE('DICTIONARY-3'!$A$11," ",'DICTIONARY-6'!$A$6," ",'DICTIONARY-5'!$A$34," ",'DICTIONARY-2'!$A$2,"500"," ",'DICTIONARY-2'!$A$3,"10"," ",'DICTIONARY-2'!$A$10,"6",'DICTIONARY-2'!$A$20,", ",'DICTIONARY-4'!$A$7)</f>
        <v>ZETA Zasuwa noż. A2 DN500 PN10 PS6bar, KR</v>
      </c>
      <c r="S528" s="733" t="str">
        <f>'DICTIONARY-4'!$A$7</f>
        <v>KR</v>
      </c>
      <c r="T528" s="732" t="str">
        <f>'DICTIONARY-4'!$A$23</f>
        <v>Kółko ręczne</v>
      </c>
      <c r="U528" s="734" t="s">
        <v>5756</v>
      </c>
      <c r="V528" s="735">
        <v>10</v>
      </c>
      <c r="W528" s="736"/>
      <c r="X528" s="737"/>
      <c r="Y528" s="738"/>
      <c r="Z528" s="739"/>
      <c r="AA528" s="739"/>
      <c r="AB528" s="740">
        <v>6</v>
      </c>
      <c r="AC528" s="741" t="str">
        <f>'DICTIONARY-5'!$A$11&amp;" 20"</f>
        <v>EN 558 szereg 20</v>
      </c>
      <c r="AD528" s="741" t="str">
        <f>'DICTIONARY-5'!$A$14</f>
        <v>ścieki</v>
      </c>
      <c r="AE528" s="742">
        <v>50</v>
      </c>
      <c r="AF528" s="743">
        <v>273.5</v>
      </c>
      <c r="AG528" s="741" t="str">
        <f>'DICTIONARY-5'!$A$23</f>
        <v>powłoka epoksydowa</v>
      </c>
    </row>
    <row r="529" spans="1:33" x14ac:dyDescent="0.25">
      <c r="A529" s="842" t="s">
        <v>526</v>
      </c>
      <c r="B529" s="842" t="s">
        <v>3148</v>
      </c>
      <c r="C529" s="836">
        <v>6093</v>
      </c>
      <c r="D529" s="836"/>
      <c r="E529" s="836"/>
      <c r="F529" s="836"/>
      <c r="G529" s="496" t="s">
        <v>7796</v>
      </c>
      <c r="H529" s="797" t="str">
        <f>VLOOKUP(G529,SETTINGS!$B$7:$D$97,2,0)</f>
        <v>ZETA</v>
      </c>
      <c r="I529" s="796">
        <f>VLOOKUP(G529,SETTINGS!$B$7:$D$97,3,0)</f>
        <v>0</v>
      </c>
      <c r="J529" s="670" t="str">
        <f>IFERROR(IF(CURRENCY.FORMAT_1=0,CONCATENATE(TEXT(FIXED(ROUND((C529/EXC.RATE_1),CURRENCY.FORMAT_1),CURRENCY.FORMAT_1,1),"# ##0;-# ##0"),",-"),FIXED(ROUND((C529/EXC.RATE_1),CURRENCY.FORMAT_1),CURRENCY.FORMAT_1,0)),'DICTIONARY-5'!$A$2)</f>
        <v>6 093,-</v>
      </c>
      <c r="K529" s="670" t="str">
        <f>IF(EXC.RATE_2=0,"",IFERROR(IF(CURRENCY.FORMAT_2=0,CONCATENATE(TEXT(FIXED(ROUND(IF(EXC.RATE.SWITCH=1,C529/EXC.RATE_2,C529*EXC.RATE_2),CURRENCY.FORMAT_2),CURRENCY.FORMAT_2,1),"# ##0;-# ##0"),",-"),FIXED(ROUND(IF(EXC.RATE.SWITCH=1,C529/EXC.RATE_2,C529*EXC.RATE_2),CURRENCY.FORMAT_2),CURRENCY.FORMAT_2,0)),'DICTIONARY-5'!$A$2))</f>
        <v/>
      </c>
      <c r="L529" s="670" t="str">
        <f>IFERROR(IF(CURRENCY.FORMAT_1=0,CONCATENATE(TEXT(FIXED(ROUND((C529*(1-I529)*(1-ADD.DISCOUNT)*(1+MAT.SURCHARGE)/EXC.RATE_1),CURRENCY.FORMAT_1),CURRENCY.FORMAT_1,1),"# ##0;-# ##0"),",-"),FIXED(ROUND((C529*(1-I529)*(1-ADD.DISCOUNT)*(1+MAT.SURCHARGE)/EXC.RATE_1),CURRENCY.FORMAT_1),CURRENCY.FORMAT_1,0)),'DICTIONARY-5'!$A$2)</f>
        <v>6 331,-</v>
      </c>
      <c r="M529" s="670" t="str">
        <f>IF(EXC.RATE_2=0,"",IFERROR(IF(CURRENCY.FORMAT_2=0,CONCATENATE(TEXT(FIXED(ROUND(IF(EXC.RATE.SWITCH=1,C529*(1-I529)*(1-ADD.DISCOUNT)*(1+MAT.SURCHARGE)/EXC.RATE_2,C529*(1-I529)*(1-ADD.DISCOUNT)*(1+MAT.SURCHARGE)*EXC.RATE_2),CURRENCY.FORMAT_2),CURRENCY.FORMAT_2,1),"# ##0;-# ##0"),",-"),FIXED(ROUND(IF(EXC.RATE.SWITCH=1,C529*(1-I529)*(1-ADD.DISCOUNT)*(1+MAT.SURCHARGE)/EXC.RATE_2,C529*(1-I529)*(1-ADD.DISCOUNT)*(1+MAT.SURCHARGE)*EXC.RATE_2),CURRENCY.FORMAT_2),CURRENCY.FORMAT_2,0)),'DICTIONARY-5'!$A$2))</f>
        <v/>
      </c>
      <c r="N529" s="544">
        <v>2</v>
      </c>
      <c r="O529" s="544"/>
      <c r="P529" s="731" t="str">
        <f>'DICTIONARY-3'!$A$11</f>
        <v>ZETA</v>
      </c>
      <c r="Q529" s="732" t="str">
        <f>'DICTIONARY-3'!$A$189</f>
        <v>Zasuwa nożowa</v>
      </c>
      <c r="R529" s="732" t="str">
        <f>CONCATENATE('DICTIONARY-3'!$A$11," ",'DICTIONARY-6'!$A$6," ",'DICTIONARY-5'!$A$34," ",'DICTIONARY-2'!$A$2,"600"," ",'DICTIONARY-2'!$A$3,"10"," ",'DICTIONARY-2'!$A$10,"6",'DICTIONARY-2'!$A$20,", ",'DICTIONARY-4'!$A$7)</f>
        <v>ZETA Zasuwa noż. A2 DN600 PN10 PS6bar, KR</v>
      </c>
      <c r="S529" s="733" t="str">
        <f>'DICTIONARY-4'!$A$7</f>
        <v>KR</v>
      </c>
      <c r="T529" s="732" t="str">
        <f>'DICTIONARY-4'!$A$23</f>
        <v>Kółko ręczne</v>
      </c>
      <c r="U529" s="734" t="s">
        <v>5757</v>
      </c>
      <c r="V529" s="735">
        <v>10</v>
      </c>
      <c r="W529" s="736"/>
      <c r="X529" s="737"/>
      <c r="Y529" s="738"/>
      <c r="Z529" s="739"/>
      <c r="AA529" s="739"/>
      <c r="AB529" s="740">
        <v>6</v>
      </c>
      <c r="AC529" s="741" t="str">
        <f>'DICTIONARY-5'!$A$11&amp;" 20"</f>
        <v>EN 558 szereg 20</v>
      </c>
      <c r="AD529" s="741" t="str">
        <f>'DICTIONARY-5'!$A$14</f>
        <v>ścieki</v>
      </c>
      <c r="AE529" s="742">
        <v>50</v>
      </c>
      <c r="AF529" s="743">
        <v>369</v>
      </c>
      <c r="AG529" s="741" t="str">
        <f>'DICTIONARY-5'!$A$23</f>
        <v>powłoka epoksydowa</v>
      </c>
    </row>
    <row r="530" spans="1:33" x14ac:dyDescent="0.25">
      <c r="A530" s="842" t="s">
        <v>527</v>
      </c>
      <c r="B530" s="842" t="s">
        <v>3179</v>
      </c>
      <c r="C530" s="836">
        <v>14029</v>
      </c>
      <c r="D530" s="836"/>
      <c r="E530" s="836"/>
      <c r="F530" s="836"/>
      <c r="G530" s="496" t="s">
        <v>7796</v>
      </c>
      <c r="H530" s="797" t="str">
        <f>VLOOKUP(G530,SETTINGS!$B$7:$D$97,2,0)</f>
        <v>ZETA</v>
      </c>
      <c r="I530" s="796">
        <f>VLOOKUP(G530,SETTINGS!$B$7:$D$97,3,0)</f>
        <v>0</v>
      </c>
      <c r="J530" s="670" t="str">
        <f>IFERROR(IF(CURRENCY.FORMAT_1=0,CONCATENATE(TEXT(FIXED(ROUND((C530/EXC.RATE_1),CURRENCY.FORMAT_1),CURRENCY.FORMAT_1,1),"# ##0;-# ##0"),",-"),FIXED(ROUND((C530/EXC.RATE_1),CURRENCY.FORMAT_1),CURRENCY.FORMAT_1,0)),'DICTIONARY-5'!$A$2)</f>
        <v>14 029,-</v>
      </c>
      <c r="K530" s="670" t="str">
        <f>IF(EXC.RATE_2=0,"",IFERROR(IF(CURRENCY.FORMAT_2=0,CONCATENATE(TEXT(FIXED(ROUND(IF(EXC.RATE.SWITCH=1,C530/EXC.RATE_2,C530*EXC.RATE_2),CURRENCY.FORMAT_2),CURRENCY.FORMAT_2,1),"# ##0;-# ##0"),",-"),FIXED(ROUND(IF(EXC.RATE.SWITCH=1,C530/EXC.RATE_2,C530*EXC.RATE_2),CURRENCY.FORMAT_2),CURRENCY.FORMAT_2,0)),'DICTIONARY-5'!$A$2))</f>
        <v/>
      </c>
      <c r="L530" s="670" t="str">
        <f>IFERROR(IF(CURRENCY.FORMAT_1=0,CONCATENATE(TEXT(FIXED(ROUND((C530*(1-I530)*(1-ADD.DISCOUNT)*(1+MAT.SURCHARGE)/EXC.RATE_1),CURRENCY.FORMAT_1),CURRENCY.FORMAT_1,1),"# ##0;-# ##0"),",-"),FIXED(ROUND((C530*(1-I530)*(1-ADD.DISCOUNT)*(1+MAT.SURCHARGE)/EXC.RATE_1),CURRENCY.FORMAT_1),CURRENCY.FORMAT_1,0)),'DICTIONARY-5'!$A$2)</f>
        <v>14 576,-</v>
      </c>
      <c r="M530" s="670" t="str">
        <f>IF(EXC.RATE_2=0,"",IFERROR(IF(CURRENCY.FORMAT_2=0,CONCATENATE(TEXT(FIXED(ROUND(IF(EXC.RATE.SWITCH=1,C530*(1-I530)*(1-ADD.DISCOUNT)*(1+MAT.SURCHARGE)/EXC.RATE_2,C530*(1-I530)*(1-ADD.DISCOUNT)*(1+MAT.SURCHARGE)*EXC.RATE_2),CURRENCY.FORMAT_2),CURRENCY.FORMAT_2,1),"# ##0;-# ##0"),",-"),FIXED(ROUND(IF(EXC.RATE.SWITCH=1,C530*(1-I530)*(1-ADD.DISCOUNT)*(1+MAT.SURCHARGE)/EXC.RATE_2,C530*(1-I530)*(1-ADD.DISCOUNT)*(1+MAT.SURCHARGE)*EXC.RATE_2),CURRENCY.FORMAT_2),CURRENCY.FORMAT_2,0)),'DICTIONARY-5'!$A$2))</f>
        <v/>
      </c>
      <c r="N530" s="544">
        <v>2</v>
      </c>
      <c r="O530" s="544"/>
      <c r="P530" s="731" t="str">
        <f>'DICTIONARY-3'!$A$11</f>
        <v>ZETA</v>
      </c>
      <c r="Q530" s="732" t="str">
        <f>'DICTIONARY-3'!$A$189</f>
        <v>Zasuwa nożowa</v>
      </c>
      <c r="R530" s="732" t="str">
        <f>CONCATENATE('DICTIONARY-3'!$A$11," ",'DICTIONARY-6'!$A$6," ",'DICTIONARY-5'!$A$34," ",'DICTIONARY-2'!$A$2,"700"," ",'DICTIONARY-2'!$A$3,"10"," ",'DICTIONARY-2'!$A$10,"4",'DICTIONARY-2'!$A$20,", ",'DICTIONARY-4'!$A$8," GK14.2")</f>
        <v>ZETA Zasuwa noż. A2 DN700 PN10 PS4bar, PK GK14.2</v>
      </c>
      <c r="S530" s="733" t="str">
        <f>'DICTIONARY-4'!$A$8</f>
        <v>PK</v>
      </c>
      <c r="T530" s="732" t="str">
        <f>'DICTIONARY-4'!$A$24</f>
        <v>Przekładnia z kółkiem</v>
      </c>
      <c r="U530" s="734" t="s">
        <v>5834</v>
      </c>
      <c r="V530" s="735">
        <v>10</v>
      </c>
      <c r="W530" s="736"/>
      <c r="X530" s="737"/>
      <c r="Y530" s="738"/>
      <c r="Z530" s="739"/>
      <c r="AA530" s="739"/>
      <c r="AB530" s="740">
        <v>4</v>
      </c>
      <c r="AC530" s="741" t="str">
        <f>'DICTIONARY-5'!$A$11&amp;" 20"</f>
        <v>EN 558 szereg 20</v>
      </c>
      <c r="AD530" s="741" t="str">
        <f>'DICTIONARY-5'!$A$14</f>
        <v>ścieki</v>
      </c>
      <c r="AE530" s="742">
        <v>50</v>
      </c>
      <c r="AF530" s="743">
        <v>565.5</v>
      </c>
      <c r="AG530" s="741" t="str">
        <f>'DICTIONARY-5'!$A$23</f>
        <v>powłoka epoksydowa</v>
      </c>
    </row>
    <row r="531" spans="1:33" x14ac:dyDescent="0.25">
      <c r="A531" s="842" t="s">
        <v>528</v>
      </c>
      <c r="B531" s="842" t="s">
        <v>3180</v>
      </c>
      <c r="C531" s="836">
        <v>14600</v>
      </c>
      <c r="D531" s="836"/>
      <c r="E531" s="836"/>
      <c r="F531" s="836"/>
      <c r="G531" s="496" t="s">
        <v>7796</v>
      </c>
      <c r="H531" s="797" t="str">
        <f>VLOOKUP(G531,SETTINGS!$B$7:$D$97,2,0)</f>
        <v>ZETA</v>
      </c>
      <c r="I531" s="796">
        <f>VLOOKUP(G531,SETTINGS!$B$7:$D$97,3,0)</f>
        <v>0</v>
      </c>
      <c r="J531" s="670" t="str">
        <f>IFERROR(IF(CURRENCY.FORMAT_1=0,CONCATENATE(TEXT(FIXED(ROUND((C531/EXC.RATE_1),CURRENCY.FORMAT_1),CURRENCY.FORMAT_1,1),"# ##0;-# ##0"),",-"),FIXED(ROUND((C531/EXC.RATE_1),CURRENCY.FORMAT_1),CURRENCY.FORMAT_1,0)),'DICTIONARY-5'!$A$2)</f>
        <v>14 600,-</v>
      </c>
      <c r="K531" s="670" t="str">
        <f>IF(EXC.RATE_2=0,"",IFERROR(IF(CURRENCY.FORMAT_2=0,CONCATENATE(TEXT(FIXED(ROUND(IF(EXC.RATE.SWITCH=1,C531/EXC.RATE_2,C531*EXC.RATE_2),CURRENCY.FORMAT_2),CURRENCY.FORMAT_2,1),"# ##0;-# ##0"),",-"),FIXED(ROUND(IF(EXC.RATE.SWITCH=1,C531/EXC.RATE_2,C531*EXC.RATE_2),CURRENCY.FORMAT_2),CURRENCY.FORMAT_2,0)),'DICTIONARY-5'!$A$2))</f>
        <v/>
      </c>
      <c r="L531" s="670" t="str">
        <f>IFERROR(IF(CURRENCY.FORMAT_1=0,CONCATENATE(TEXT(FIXED(ROUND((C531*(1-I531)*(1-ADD.DISCOUNT)*(1+MAT.SURCHARGE)/EXC.RATE_1),CURRENCY.FORMAT_1),CURRENCY.FORMAT_1,1),"# ##0;-# ##0"),",-"),FIXED(ROUND((C531*(1-I531)*(1-ADD.DISCOUNT)*(1+MAT.SURCHARGE)/EXC.RATE_1),CURRENCY.FORMAT_1),CURRENCY.FORMAT_1,0)),'DICTIONARY-5'!$A$2)</f>
        <v>15 169,-</v>
      </c>
      <c r="M531" s="670" t="str">
        <f>IF(EXC.RATE_2=0,"",IFERROR(IF(CURRENCY.FORMAT_2=0,CONCATENATE(TEXT(FIXED(ROUND(IF(EXC.RATE.SWITCH=1,C531*(1-I531)*(1-ADD.DISCOUNT)*(1+MAT.SURCHARGE)/EXC.RATE_2,C531*(1-I531)*(1-ADD.DISCOUNT)*(1+MAT.SURCHARGE)*EXC.RATE_2),CURRENCY.FORMAT_2),CURRENCY.FORMAT_2,1),"# ##0;-# ##0"),",-"),FIXED(ROUND(IF(EXC.RATE.SWITCH=1,C531*(1-I531)*(1-ADD.DISCOUNT)*(1+MAT.SURCHARGE)/EXC.RATE_2,C531*(1-I531)*(1-ADD.DISCOUNT)*(1+MAT.SURCHARGE)*EXC.RATE_2),CURRENCY.FORMAT_2),CURRENCY.FORMAT_2,0)),'DICTIONARY-5'!$A$2))</f>
        <v/>
      </c>
      <c r="N531" s="544">
        <v>2</v>
      </c>
      <c r="O531" s="544"/>
      <c r="P531" s="731" t="str">
        <f>'DICTIONARY-3'!$A$11</f>
        <v>ZETA</v>
      </c>
      <c r="Q531" s="732" t="str">
        <f>'DICTIONARY-3'!$A$189</f>
        <v>Zasuwa nożowa</v>
      </c>
      <c r="R531" s="732" t="str">
        <f>CONCATENATE('DICTIONARY-3'!$A$11," ",'DICTIONARY-6'!$A$6," ",'DICTIONARY-5'!$A$34," ",'DICTIONARY-2'!$A$2,"800"," ",'DICTIONARY-2'!$A$3,"10"," ",'DICTIONARY-2'!$A$10,"4",'DICTIONARY-2'!$A$20,", ",'DICTIONARY-4'!$A$8," GK14.2")</f>
        <v>ZETA Zasuwa noż. A2 DN800 PN10 PS4bar, PK GK14.2</v>
      </c>
      <c r="S531" s="733" t="str">
        <f>'DICTIONARY-4'!$A$8</f>
        <v>PK</v>
      </c>
      <c r="T531" s="732" t="str">
        <f>'DICTIONARY-4'!$A$24</f>
        <v>Przekładnia z kółkiem</v>
      </c>
      <c r="U531" s="734" t="s">
        <v>5835</v>
      </c>
      <c r="V531" s="735">
        <v>10</v>
      </c>
      <c r="W531" s="736"/>
      <c r="X531" s="737"/>
      <c r="Y531" s="738"/>
      <c r="Z531" s="739"/>
      <c r="AA531" s="739"/>
      <c r="AB531" s="740">
        <v>4</v>
      </c>
      <c r="AC531" s="741" t="str">
        <f>'DICTIONARY-5'!$A$11&amp;" 20"</f>
        <v>EN 558 szereg 20</v>
      </c>
      <c r="AD531" s="741" t="str">
        <f>'DICTIONARY-5'!$A$14</f>
        <v>ścieki</v>
      </c>
      <c r="AE531" s="742">
        <v>50</v>
      </c>
      <c r="AF531" s="743">
        <v>720</v>
      </c>
      <c r="AG531" s="741" t="str">
        <f>'DICTIONARY-5'!$A$23</f>
        <v>powłoka epoksydowa</v>
      </c>
    </row>
    <row r="532" spans="1:33" x14ac:dyDescent="0.25">
      <c r="A532" s="842" t="s">
        <v>529</v>
      </c>
      <c r="B532" s="842" t="s">
        <v>3181</v>
      </c>
      <c r="C532" s="836">
        <v>18714</v>
      </c>
      <c r="D532" s="836"/>
      <c r="E532" s="836"/>
      <c r="F532" s="836"/>
      <c r="G532" s="496" t="s">
        <v>7796</v>
      </c>
      <c r="H532" s="797" t="str">
        <f>VLOOKUP(G532,SETTINGS!$B$7:$D$97,2,0)</f>
        <v>ZETA</v>
      </c>
      <c r="I532" s="796">
        <f>VLOOKUP(G532,SETTINGS!$B$7:$D$97,3,0)</f>
        <v>0</v>
      </c>
      <c r="J532" s="670" t="str">
        <f>IFERROR(IF(CURRENCY.FORMAT_1=0,CONCATENATE(TEXT(FIXED(ROUND((C532/EXC.RATE_1),CURRENCY.FORMAT_1),CURRENCY.FORMAT_1,1),"# ##0;-# ##0"),",-"),FIXED(ROUND((C532/EXC.RATE_1),CURRENCY.FORMAT_1),CURRENCY.FORMAT_1,0)),'DICTIONARY-5'!$A$2)</f>
        <v>18 714,-</v>
      </c>
      <c r="K532" s="670" t="str">
        <f>IF(EXC.RATE_2=0,"",IFERROR(IF(CURRENCY.FORMAT_2=0,CONCATENATE(TEXT(FIXED(ROUND(IF(EXC.RATE.SWITCH=1,C532/EXC.RATE_2,C532*EXC.RATE_2),CURRENCY.FORMAT_2),CURRENCY.FORMAT_2,1),"# ##0;-# ##0"),",-"),FIXED(ROUND(IF(EXC.RATE.SWITCH=1,C532/EXC.RATE_2,C532*EXC.RATE_2),CURRENCY.FORMAT_2),CURRENCY.FORMAT_2,0)),'DICTIONARY-5'!$A$2))</f>
        <v/>
      </c>
      <c r="L532" s="670" t="str">
        <f>IFERROR(IF(CURRENCY.FORMAT_1=0,CONCATENATE(TEXT(FIXED(ROUND((C532*(1-I532)*(1-ADD.DISCOUNT)*(1+MAT.SURCHARGE)/EXC.RATE_1),CURRENCY.FORMAT_1),CURRENCY.FORMAT_1,1),"# ##0;-# ##0"),",-"),FIXED(ROUND((C532*(1-I532)*(1-ADD.DISCOUNT)*(1+MAT.SURCHARGE)/EXC.RATE_1),CURRENCY.FORMAT_1),CURRENCY.FORMAT_1,0)),'DICTIONARY-5'!$A$2)</f>
        <v>19 444,-</v>
      </c>
      <c r="M532" s="670" t="str">
        <f>IF(EXC.RATE_2=0,"",IFERROR(IF(CURRENCY.FORMAT_2=0,CONCATENATE(TEXT(FIXED(ROUND(IF(EXC.RATE.SWITCH=1,C532*(1-I532)*(1-ADD.DISCOUNT)*(1+MAT.SURCHARGE)/EXC.RATE_2,C532*(1-I532)*(1-ADD.DISCOUNT)*(1+MAT.SURCHARGE)*EXC.RATE_2),CURRENCY.FORMAT_2),CURRENCY.FORMAT_2,1),"# ##0;-# ##0"),",-"),FIXED(ROUND(IF(EXC.RATE.SWITCH=1,C532*(1-I532)*(1-ADD.DISCOUNT)*(1+MAT.SURCHARGE)/EXC.RATE_2,C532*(1-I532)*(1-ADD.DISCOUNT)*(1+MAT.SURCHARGE)*EXC.RATE_2),CURRENCY.FORMAT_2),CURRENCY.FORMAT_2,0)),'DICTIONARY-5'!$A$2))</f>
        <v/>
      </c>
      <c r="N532" s="544">
        <v>2</v>
      </c>
      <c r="O532" s="544"/>
      <c r="P532" s="731" t="str">
        <f>'DICTIONARY-3'!$A$11</f>
        <v>ZETA</v>
      </c>
      <c r="Q532" s="732" t="str">
        <f>'DICTIONARY-3'!$A$189</f>
        <v>Zasuwa nożowa</v>
      </c>
      <c r="R532" s="732" t="str">
        <f>CONCATENATE('DICTIONARY-3'!$A$11," ",'DICTIONARY-6'!$A$6," ",'DICTIONARY-5'!$A$34," ",'DICTIONARY-2'!$A$2,"900"," ",'DICTIONARY-2'!$A$3,"10"," ",'DICTIONARY-2'!$A$10,"2,5",'DICTIONARY-2'!$A$20,", ",'DICTIONARY-4'!$A$8," GK14.6")</f>
        <v>ZETA Zasuwa noż. A2 DN900 PN10 PS2,5bar, PK GK14.6</v>
      </c>
      <c r="S532" s="733" t="str">
        <f>'DICTIONARY-4'!$A$8</f>
        <v>PK</v>
      </c>
      <c r="T532" s="732" t="str">
        <f>'DICTIONARY-4'!$A$24</f>
        <v>Przekładnia z kółkiem</v>
      </c>
      <c r="U532" s="734" t="s">
        <v>5837</v>
      </c>
      <c r="V532" s="735">
        <v>10</v>
      </c>
      <c r="W532" s="736"/>
      <c r="X532" s="737"/>
      <c r="Y532" s="738"/>
      <c r="Z532" s="739"/>
      <c r="AA532" s="739"/>
      <c r="AB532" s="740">
        <v>2.5</v>
      </c>
      <c r="AC532" s="741" t="str">
        <f>'DICTIONARY-5'!$A$11&amp;" 20"</f>
        <v>EN 558 szereg 20</v>
      </c>
      <c r="AD532" s="741" t="str">
        <f>'DICTIONARY-5'!$A$14</f>
        <v>ścieki</v>
      </c>
      <c r="AE532" s="742">
        <v>50</v>
      </c>
      <c r="AF532" s="743">
        <v>850</v>
      </c>
      <c r="AG532" s="741" t="str">
        <f>'DICTIONARY-5'!$A$23</f>
        <v>powłoka epoksydowa</v>
      </c>
    </row>
    <row r="533" spans="1:33" x14ac:dyDescent="0.25">
      <c r="A533" s="842" t="s">
        <v>530</v>
      </c>
      <c r="B533" s="842" t="s">
        <v>3182</v>
      </c>
      <c r="C533" s="836">
        <v>20829</v>
      </c>
      <c r="D533" s="836"/>
      <c r="E533" s="836"/>
      <c r="F533" s="836"/>
      <c r="G533" s="496" t="s">
        <v>7796</v>
      </c>
      <c r="H533" s="797" t="str">
        <f>VLOOKUP(G533,SETTINGS!$B$7:$D$97,2,0)</f>
        <v>ZETA</v>
      </c>
      <c r="I533" s="796">
        <f>VLOOKUP(G533,SETTINGS!$B$7:$D$97,3,0)</f>
        <v>0</v>
      </c>
      <c r="J533" s="670" t="str">
        <f>IFERROR(IF(CURRENCY.FORMAT_1=0,CONCATENATE(TEXT(FIXED(ROUND((C533/EXC.RATE_1),CURRENCY.FORMAT_1),CURRENCY.FORMAT_1,1),"# ##0;-# ##0"),",-"),FIXED(ROUND((C533/EXC.RATE_1),CURRENCY.FORMAT_1),CURRENCY.FORMAT_1,0)),'DICTIONARY-5'!$A$2)</f>
        <v>20 829,-</v>
      </c>
      <c r="K533" s="670" t="str">
        <f>IF(EXC.RATE_2=0,"",IFERROR(IF(CURRENCY.FORMAT_2=0,CONCATENATE(TEXT(FIXED(ROUND(IF(EXC.RATE.SWITCH=1,C533/EXC.RATE_2,C533*EXC.RATE_2),CURRENCY.FORMAT_2),CURRENCY.FORMAT_2,1),"# ##0;-# ##0"),",-"),FIXED(ROUND(IF(EXC.RATE.SWITCH=1,C533/EXC.RATE_2,C533*EXC.RATE_2),CURRENCY.FORMAT_2),CURRENCY.FORMAT_2,0)),'DICTIONARY-5'!$A$2))</f>
        <v/>
      </c>
      <c r="L533" s="670" t="str">
        <f>IFERROR(IF(CURRENCY.FORMAT_1=0,CONCATENATE(TEXT(FIXED(ROUND((C533*(1-I533)*(1-ADD.DISCOUNT)*(1+MAT.SURCHARGE)/EXC.RATE_1),CURRENCY.FORMAT_1),CURRENCY.FORMAT_1,1),"# ##0;-# ##0"),",-"),FIXED(ROUND((C533*(1-I533)*(1-ADD.DISCOUNT)*(1+MAT.SURCHARGE)/EXC.RATE_1),CURRENCY.FORMAT_1),CURRENCY.FORMAT_1,0)),'DICTIONARY-5'!$A$2)</f>
        <v>21 641,-</v>
      </c>
      <c r="M533" s="670" t="str">
        <f>IF(EXC.RATE_2=0,"",IFERROR(IF(CURRENCY.FORMAT_2=0,CONCATENATE(TEXT(FIXED(ROUND(IF(EXC.RATE.SWITCH=1,C533*(1-I533)*(1-ADD.DISCOUNT)*(1+MAT.SURCHARGE)/EXC.RATE_2,C533*(1-I533)*(1-ADD.DISCOUNT)*(1+MAT.SURCHARGE)*EXC.RATE_2),CURRENCY.FORMAT_2),CURRENCY.FORMAT_2,1),"# ##0;-# ##0"),",-"),FIXED(ROUND(IF(EXC.RATE.SWITCH=1,C533*(1-I533)*(1-ADD.DISCOUNT)*(1+MAT.SURCHARGE)/EXC.RATE_2,C533*(1-I533)*(1-ADD.DISCOUNT)*(1+MAT.SURCHARGE)*EXC.RATE_2),CURRENCY.FORMAT_2),CURRENCY.FORMAT_2,0)),'DICTIONARY-5'!$A$2))</f>
        <v/>
      </c>
      <c r="N533" s="544">
        <v>2</v>
      </c>
      <c r="O533" s="544"/>
      <c r="P533" s="731" t="str">
        <f>'DICTIONARY-3'!$A$11</f>
        <v>ZETA</v>
      </c>
      <c r="Q533" s="732" t="str">
        <f>'DICTIONARY-3'!$A$189</f>
        <v>Zasuwa nożowa</v>
      </c>
      <c r="R533" s="732" t="str">
        <f>CONCATENATE('DICTIONARY-3'!$A$11," ",'DICTIONARY-6'!$A$6," ",'DICTIONARY-5'!$A$34," ",'DICTIONARY-2'!$A$2,"1000"," ",'DICTIONARY-2'!$A$3,"10"," ",'DICTIONARY-2'!$A$10,"2,5",'DICTIONARY-2'!$A$20,", ",'DICTIONARY-4'!$A$8," GK14.6")</f>
        <v>ZETA Zasuwa noż. A2 DN1000 PN10 PS2,5bar, PK GK14.6</v>
      </c>
      <c r="S533" s="733" t="str">
        <f>'DICTIONARY-4'!$A$8</f>
        <v>PK</v>
      </c>
      <c r="T533" s="732" t="str">
        <f>'DICTIONARY-4'!$A$24</f>
        <v>Przekładnia z kółkiem</v>
      </c>
      <c r="U533" s="734" t="s">
        <v>5836</v>
      </c>
      <c r="V533" s="735">
        <v>10</v>
      </c>
      <c r="W533" s="736"/>
      <c r="X533" s="737"/>
      <c r="Y533" s="738"/>
      <c r="Z533" s="739"/>
      <c r="AA533" s="739"/>
      <c r="AB533" s="740">
        <v>2.5</v>
      </c>
      <c r="AC533" s="741" t="str">
        <f>'DICTIONARY-5'!$A$11&amp;" 20"</f>
        <v>EN 558 szereg 20</v>
      </c>
      <c r="AD533" s="741" t="str">
        <f>'DICTIONARY-5'!$A$14</f>
        <v>ścieki</v>
      </c>
      <c r="AE533" s="742">
        <v>50</v>
      </c>
      <c r="AF533" s="743">
        <v>1050</v>
      </c>
      <c r="AG533" s="741" t="str">
        <f>'DICTIONARY-5'!$A$23</f>
        <v>powłoka epoksydowa</v>
      </c>
    </row>
    <row r="534" spans="1:33" x14ac:dyDescent="0.25">
      <c r="A534" s="842" t="s">
        <v>531</v>
      </c>
      <c r="B534" s="842" t="s">
        <v>3183</v>
      </c>
      <c r="C534" s="836">
        <v>34590</v>
      </c>
      <c r="D534" s="836"/>
      <c r="E534" s="836"/>
      <c r="F534" s="836"/>
      <c r="G534" s="496" t="s">
        <v>7796</v>
      </c>
      <c r="H534" s="797" t="str">
        <f>VLOOKUP(G534,SETTINGS!$B$7:$D$97,2,0)</f>
        <v>ZETA</v>
      </c>
      <c r="I534" s="796">
        <f>VLOOKUP(G534,SETTINGS!$B$7:$D$97,3,0)</f>
        <v>0</v>
      </c>
      <c r="J534" s="670" t="str">
        <f>IFERROR(IF(CURRENCY.FORMAT_1=0,CONCATENATE(TEXT(FIXED(ROUND((C534/EXC.RATE_1),CURRENCY.FORMAT_1),CURRENCY.FORMAT_1,1),"# ##0;-# ##0"),",-"),FIXED(ROUND((C534/EXC.RATE_1),CURRENCY.FORMAT_1),CURRENCY.FORMAT_1,0)),'DICTIONARY-5'!$A$2)</f>
        <v>34 590,-</v>
      </c>
      <c r="K534" s="670" t="str">
        <f>IF(EXC.RATE_2=0,"",IFERROR(IF(CURRENCY.FORMAT_2=0,CONCATENATE(TEXT(FIXED(ROUND(IF(EXC.RATE.SWITCH=1,C534/EXC.RATE_2,C534*EXC.RATE_2),CURRENCY.FORMAT_2),CURRENCY.FORMAT_2,1),"# ##0;-# ##0"),",-"),FIXED(ROUND(IF(EXC.RATE.SWITCH=1,C534/EXC.RATE_2,C534*EXC.RATE_2),CURRENCY.FORMAT_2),CURRENCY.FORMAT_2,0)),'DICTIONARY-5'!$A$2))</f>
        <v/>
      </c>
      <c r="L534" s="670" t="str">
        <f>IFERROR(IF(CURRENCY.FORMAT_1=0,CONCATENATE(TEXT(FIXED(ROUND((C534*(1-I534)*(1-ADD.DISCOUNT)*(1+MAT.SURCHARGE)/EXC.RATE_1),CURRENCY.FORMAT_1),CURRENCY.FORMAT_1,1),"# ##0;-# ##0"),",-"),FIXED(ROUND((C534*(1-I534)*(1-ADD.DISCOUNT)*(1+MAT.SURCHARGE)/EXC.RATE_1),CURRENCY.FORMAT_1),CURRENCY.FORMAT_1,0)),'DICTIONARY-5'!$A$2)</f>
        <v>35 939,-</v>
      </c>
      <c r="M534" s="670" t="str">
        <f>IF(EXC.RATE_2=0,"",IFERROR(IF(CURRENCY.FORMAT_2=0,CONCATENATE(TEXT(FIXED(ROUND(IF(EXC.RATE.SWITCH=1,C534*(1-I534)*(1-ADD.DISCOUNT)*(1+MAT.SURCHARGE)/EXC.RATE_2,C534*(1-I534)*(1-ADD.DISCOUNT)*(1+MAT.SURCHARGE)*EXC.RATE_2),CURRENCY.FORMAT_2),CURRENCY.FORMAT_2,1),"# ##0;-# ##0"),",-"),FIXED(ROUND(IF(EXC.RATE.SWITCH=1,C534*(1-I534)*(1-ADD.DISCOUNT)*(1+MAT.SURCHARGE)/EXC.RATE_2,C534*(1-I534)*(1-ADD.DISCOUNT)*(1+MAT.SURCHARGE)*EXC.RATE_2),CURRENCY.FORMAT_2),CURRENCY.FORMAT_2,0)),'DICTIONARY-5'!$A$2))</f>
        <v/>
      </c>
      <c r="N534" s="544">
        <v>2</v>
      </c>
      <c r="O534" s="544"/>
      <c r="P534" s="731" t="str">
        <f>'DICTIONARY-3'!$A$11</f>
        <v>ZETA</v>
      </c>
      <c r="Q534" s="732" t="str">
        <f>'DICTIONARY-3'!$A$189</f>
        <v>Zasuwa nożowa</v>
      </c>
      <c r="R534" s="732" t="str">
        <f>CONCATENATE('DICTIONARY-3'!$A$11," ",'DICTIONARY-6'!$A$6," ",'DICTIONARY-5'!$A$34," ",'DICTIONARY-2'!$A$2,"1200"," ",'DICTIONARY-2'!$A$3,"10"," ",'DICTIONARY-2'!$A$10,"2",'DICTIONARY-2'!$A$20,", ",'DICTIONARY-4'!$A$8," GK14.6")</f>
        <v>ZETA Zasuwa noż. A2 DN1200 PN10 PS2bar, PK GK14.6</v>
      </c>
      <c r="S534" s="733" t="str">
        <f>'DICTIONARY-4'!$A$8</f>
        <v>PK</v>
      </c>
      <c r="T534" s="732" t="str">
        <f>'DICTIONARY-4'!$A$24</f>
        <v>Przekładnia z kółkiem</v>
      </c>
      <c r="U534" s="734" t="s">
        <v>5838</v>
      </c>
      <c r="V534" s="735">
        <v>10</v>
      </c>
      <c r="W534" s="736"/>
      <c r="X534" s="737"/>
      <c r="Y534" s="738"/>
      <c r="Z534" s="739"/>
      <c r="AA534" s="739"/>
      <c r="AB534" s="740">
        <v>2</v>
      </c>
      <c r="AC534" s="741" t="str">
        <f>'DICTIONARY-5'!$A$11&amp;" 20"</f>
        <v>EN 558 szereg 20</v>
      </c>
      <c r="AD534" s="741" t="str">
        <f>'DICTIONARY-5'!$A$14</f>
        <v>ścieki</v>
      </c>
      <c r="AE534" s="742">
        <v>50</v>
      </c>
      <c r="AF534" s="743">
        <v>1740</v>
      </c>
      <c r="AG534" s="741" t="str">
        <f>'DICTIONARY-5'!$A$23</f>
        <v>powłoka epoksydowa</v>
      </c>
    </row>
    <row r="535" spans="1:33" x14ac:dyDescent="0.25">
      <c r="A535" s="842" t="s">
        <v>532</v>
      </c>
      <c r="B535" s="842" t="s">
        <v>3184</v>
      </c>
      <c r="C535" s="836">
        <v>42674</v>
      </c>
      <c r="D535" s="836"/>
      <c r="E535" s="836"/>
      <c r="F535" s="836"/>
      <c r="G535" s="496" t="s">
        <v>7796</v>
      </c>
      <c r="H535" s="797" t="str">
        <f>VLOOKUP(G535,SETTINGS!$B$7:$D$97,2,0)</f>
        <v>ZETA</v>
      </c>
      <c r="I535" s="796">
        <f>VLOOKUP(G535,SETTINGS!$B$7:$D$97,3,0)</f>
        <v>0</v>
      </c>
      <c r="J535" s="670" t="str">
        <f>IFERROR(IF(CURRENCY.FORMAT_1=0,CONCATENATE(TEXT(FIXED(ROUND((C535/EXC.RATE_1),CURRENCY.FORMAT_1),CURRENCY.FORMAT_1,1),"# ##0;-# ##0"),",-"),FIXED(ROUND((C535/EXC.RATE_1),CURRENCY.FORMAT_1),CURRENCY.FORMAT_1,0)),'DICTIONARY-5'!$A$2)</f>
        <v>42 674,-</v>
      </c>
      <c r="K535" s="670" t="str">
        <f>IF(EXC.RATE_2=0,"",IFERROR(IF(CURRENCY.FORMAT_2=0,CONCATENATE(TEXT(FIXED(ROUND(IF(EXC.RATE.SWITCH=1,C535/EXC.RATE_2,C535*EXC.RATE_2),CURRENCY.FORMAT_2),CURRENCY.FORMAT_2,1),"# ##0;-# ##0"),",-"),FIXED(ROUND(IF(EXC.RATE.SWITCH=1,C535/EXC.RATE_2,C535*EXC.RATE_2),CURRENCY.FORMAT_2),CURRENCY.FORMAT_2,0)),'DICTIONARY-5'!$A$2))</f>
        <v/>
      </c>
      <c r="L535" s="670" t="str">
        <f>IFERROR(IF(CURRENCY.FORMAT_1=0,CONCATENATE(TEXT(FIXED(ROUND((C535*(1-I535)*(1-ADD.DISCOUNT)*(1+MAT.SURCHARGE)/EXC.RATE_1),CURRENCY.FORMAT_1),CURRENCY.FORMAT_1,1),"# ##0;-# ##0"),",-"),FIXED(ROUND((C535*(1-I535)*(1-ADD.DISCOUNT)*(1+MAT.SURCHARGE)/EXC.RATE_1),CURRENCY.FORMAT_1),CURRENCY.FORMAT_1,0)),'DICTIONARY-5'!$A$2)</f>
        <v>44 338,-</v>
      </c>
      <c r="M535" s="670" t="str">
        <f>IF(EXC.RATE_2=0,"",IFERROR(IF(CURRENCY.FORMAT_2=0,CONCATENATE(TEXT(FIXED(ROUND(IF(EXC.RATE.SWITCH=1,C535*(1-I535)*(1-ADD.DISCOUNT)*(1+MAT.SURCHARGE)/EXC.RATE_2,C535*(1-I535)*(1-ADD.DISCOUNT)*(1+MAT.SURCHARGE)*EXC.RATE_2),CURRENCY.FORMAT_2),CURRENCY.FORMAT_2,1),"# ##0;-# ##0"),",-"),FIXED(ROUND(IF(EXC.RATE.SWITCH=1,C535*(1-I535)*(1-ADD.DISCOUNT)*(1+MAT.SURCHARGE)/EXC.RATE_2,C535*(1-I535)*(1-ADD.DISCOUNT)*(1+MAT.SURCHARGE)*EXC.RATE_2),CURRENCY.FORMAT_2),CURRENCY.FORMAT_2,0)),'DICTIONARY-5'!$A$2))</f>
        <v/>
      </c>
      <c r="N535" s="544">
        <v>2</v>
      </c>
      <c r="O535" s="544"/>
      <c r="P535" s="731" t="str">
        <f>'DICTIONARY-3'!$A$11</f>
        <v>ZETA</v>
      </c>
      <c r="Q535" s="732" t="str">
        <f>'DICTIONARY-3'!$A$189</f>
        <v>Zasuwa nożowa</v>
      </c>
      <c r="R535" s="732" t="str">
        <f>CONCATENATE('DICTIONARY-3'!$A$11," ",'DICTIONARY-6'!$A$6," ",'DICTIONARY-5'!$A$34," ",'DICTIONARY-2'!$A$2,"1400"," ",'DICTIONARY-2'!$A$3,"10"," ",'DICTIONARY-2'!$A$10,"2",'DICTIONARY-2'!$A$20,", ",'DICTIONARY-4'!$A$8," GK14.6")</f>
        <v>ZETA Zasuwa noż. A2 DN1400 PN10 PS2bar, PK GK14.6</v>
      </c>
      <c r="S535" s="733" t="str">
        <f>'DICTIONARY-4'!$A$8</f>
        <v>PK</v>
      </c>
      <c r="T535" s="732" t="str">
        <f>'DICTIONARY-4'!$A$24</f>
        <v>Przekładnia z kółkiem</v>
      </c>
      <c r="U535" s="734" t="s">
        <v>5839</v>
      </c>
      <c r="V535" s="735">
        <v>10</v>
      </c>
      <c r="W535" s="736"/>
      <c r="X535" s="737"/>
      <c r="Y535" s="738"/>
      <c r="Z535" s="739"/>
      <c r="AA535" s="739"/>
      <c r="AB535" s="740">
        <v>2</v>
      </c>
      <c r="AC535" s="741" t="str">
        <f>'DICTIONARY-5'!$A$11&amp;" 20"</f>
        <v>EN 558 szereg 20</v>
      </c>
      <c r="AD535" s="741" t="str">
        <f>'DICTIONARY-5'!$A$14</f>
        <v>ścieki</v>
      </c>
      <c r="AE535" s="742">
        <v>50</v>
      </c>
      <c r="AF535" s="743">
        <v>2280</v>
      </c>
      <c r="AG535" s="741" t="str">
        <f>'DICTIONARY-5'!$A$23</f>
        <v>powłoka epoksydowa</v>
      </c>
    </row>
    <row r="536" spans="1:33" x14ac:dyDescent="0.25">
      <c r="A536" s="842" t="s">
        <v>533</v>
      </c>
      <c r="B536" s="842" t="s">
        <v>3158</v>
      </c>
      <c r="C536" s="836">
        <v>681</v>
      </c>
      <c r="D536" s="836"/>
      <c r="E536" s="836"/>
      <c r="F536" s="836"/>
      <c r="G536" s="496" t="s">
        <v>7796</v>
      </c>
      <c r="H536" s="797" t="str">
        <f>VLOOKUP(G536,SETTINGS!$B$7:$D$97,2,0)</f>
        <v>ZETA</v>
      </c>
      <c r="I536" s="796">
        <f>VLOOKUP(G536,SETTINGS!$B$7:$D$97,3,0)</f>
        <v>0</v>
      </c>
      <c r="J536" s="670" t="str">
        <f>IFERROR(IF(CURRENCY.FORMAT_1=0,CONCATENATE(TEXT(FIXED(ROUND((C536/EXC.RATE_1),CURRENCY.FORMAT_1),CURRENCY.FORMAT_1,1),"# ##0;-# ##0"),",-"),FIXED(ROUND((C536/EXC.RATE_1),CURRENCY.FORMAT_1),CURRENCY.FORMAT_1,0)),'DICTIONARY-5'!$A$2)</f>
        <v>681,-</v>
      </c>
      <c r="K536" s="670" t="str">
        <f>IF(EXC.RATE_2=0,"",IFERROR(IF(CURRENCY.FORMAT_2=0,CONCATENATE(TEXT(FIXED(ROUND(IF(EXC.RATE.SWITCH=1,C536/EXC.RATE_2,C536*EXC.RATE_2),CURRENCY.FORMAT_2),CURRENCY.FORMAT_2,1),"# ##0;-# ##0"),",-"),FIXED(ROUND(IF(EXC.RATE.SWITCH=1,C536/EXC.RATE_2,C536*EXC.RATE_2),CURRENCY.FORMAT_2),CURRENCY.FORMAT_2,0)),'DICTIONARY-5'!$A$2))</f>
        <v/>
      </c>
      <c r="L536" s="670" t="str">
        <f>IFERROR(IF(CURRENCY.FORMAT_1=0,CONCATENATE(TEXT(FIXED(ROUND((C536*(1-I536)*(1-ADD.DISCOUNT)*(1+MAT.SURCHARGE)/EXC.RATE_1),CURRENCY.FORMAT_1),CURRENCY.FORMAT_1,1),"# ##0;-# ##0"),",-"),FIXED(ROUND((C536*(1-I536)*(1-ADD.DISCOUNT)*(1+MAT.SURCHARGE)/EXC.RATE_1),CURRENCY.FORMAT_1),CURRENCY.FORMAT_1,0)),'DICTIONARY-5'!$A$2)</f>
        <v>708,-</v>
      </c>
      <c r="M536" s="670" t="str">
        <f>IF(EXC.RATE_2=0,"",IFERROR(IF(CURRENCY.FORMAT_2=0,CONCATENATE(TEXT(FIXED(ROUND(IF(EXC.RATE.SWITCH=1,C536*(1-I536)*(1-ADD.DISCOUNT)*(1+MAT.SURCHARGE)/EXC.RATE_2,C536*(1-I536)*(1-ADD.DISCOUNT)*(1+MAT.SURCHARGE)*EXC.RATE_2),CURRENCY.FORMAT_2),CURRENCY.FORMAT_2,1),"# ##0;-# ##0"),",-"),FIXED(ROUND(IF(EXC.RATE.SWITCH=1,C536*(1-I536)*(1-ADD.DISCOUNT)*(1+MAT.SURCHARGE)/EXC.RATE_2,C536*(1-I536)*(1-ADD.DISCOUNT)*(1+MAT.SURCHARGE)*EXC.RATE_2),CURRENCY.FORMAT_2),CURRENCY.FORMAT_2,0)),'DICTIONARY-5'!$A$2))</f>
        <v/>
      </c>
      <c r="N536" s="544">
        <v>2</v>
      </c>
      <c r="O536" s="544"/>
      <c r="P536" s="731" t="str">
        <f>'DICTIONARY-3'!$A$11</f>
        <v>ZETA</v>
      </c>
      <c r="Q536" s="732" t="str">
        <f>'DICTIONARY-3'!$A$189</f>
        <v>Zasuwa nożowa</v>
      </c>
      <c r="R536" s="732" t="str">
        <f>CONCATENATE('DICTIONARY-3'!$A$11," ",'DICTIONARY-6'!$A$6," ",'DICTIONARY-5'!$A$35," ",'DICTIONARY-2'!$A$2,"200"," ",'DICTIONARY-2'!$A$3,"10"," ",'DICTIONARY-2'!$A$10,"10",'DICTIONARY-2'!$A$20,", ",'DICTIONARY-4'!$A$7)</f>
        <v>ZETA Zasuwa noż. A4 DN200 PN10 PS10bar, KR</v>
      </c>
      <c r="S536" s="733" t="str">
        <f>'DICTIONARY-4'!$A$7</f>
        <v>KR</v>
      </c>
      <c r="T536" s="732" t="str">
        <f>'DICTIONARY-4'!$A$23</f>
        <v>Kółko ręczne</v>
      </c>
      <c r="U536" s="734" t="s">
        <v>5750</v>
      </c>
      <c r="V536" s="735">
        <v>10</v>
      </c>
      <c r="W536" s="736"/>
      <c r="X536" s="737"/>
      <c r="Y536" s="738"/>
      <c r="Z536" s="739"/>
      <c r="AA536" s="739"/>
      <c r="AB536" s="740">
        <v>10</v>
      </c>
      <c r="AC536" s="741" t="str">
        <f>'DICTIONARY-5'!$A$11&amp;" 20"</f>
        <v>EN 558 szereg 20</v>
      </c>
      <c r="AD536" s="741" t="str">
        <f>'DICTIONARY-5'!$A$14</f>
        <v>ścieki</v>
      </c>
      <c r="AE536" s="742">
        <v>50</v>
      </c>
      <c r="AF536" s="743">
        <v>35.5</v>
      </c>
      <c r="AG536" s="741" t="str">
        <f>'DICTIONARY-5'!$A$23</f>
        <v>powłoka epoksydowa</v>
      </c>
    </row>
    <row r="537" spans="1:33" x14ac:dyDescent="0.25">
      <c r="A537" s="842" t="s">
        <v>534</v>
      </c>
      <c r="B537" s="842" t="s">
        <v>3160</v>
      </c>
      <c r="C537" s="836">
        <v>1119</v>
      </c>
      <c r="D537" s="836"/>
      <c r="E537" s="836"/>
      <c r="F537" s="836"/>
      <c r="G537" s="496" t="s">
        <v>7796</v>
      </c>
      <c r="H537" s="797" t="str">
        <f>VLOOKUP(G537,SETTINGS!$B$7:$D$97,2,0)</f>
        <v>ZETA</v>
      </c>
      <c r="I537" s="796">
        <f>VLOOKUP(G537,SETTINGS!$B$7:$D$97,3,0)</f>
        <v>0</v>
      </c>
      <c r="J537" s="670" t="str">
        <f>IFERROR(IF(CURRENCY.FORMAT_1=0,CONCATENATE(TEXT(FIXED(ROUND((C537/EXC.RATE_1),CURRENCY.FORMAT_1),CURRENCY.FORMAT_1,1),"# ##0;-# ##0"),",-"),FIXED(ROUND((C537/EXC.RATE_1),CURRENCY.FORMAT_1),CURRENCY.FORMAT_1,0)),'DICTIONARY-5'!$A$2)</f>
        <v>1 119,-</v>
      </c>
      <c r="K537" s="670" t="str">
        <f>IF(EXC.RATE_2=0,"",IFERROR(IF(CURRENCY.FORMAT_2=0,CONCATENATE(TEXT(FIXED(ROUND(IF(EXC.RATE.SWITCH=1,C537/EXC.RATE_2,C537*EXC.RATE_2),CURRENCY.FORMAT_2),CURRENCY.FORMAT_2,1),"# ##0;-# ##0"),",-"),FIXED(ROUND(IF(EXC.RATE.SWITCH=1,C537/EXC.RATE_2,C537*EXC.RATE_2),CURRENCY.FORMAT_2),CURRENCY.FORMAT_2,0)),'DICTIONARY-5'!$A$2))</f>
        <v/>
      </c>
      <c r="L537" s="670" t="str">
        <f>IFERROR(IF(CURRENCY.FORMAT_1=0,CONCATENATE(TEXT(FIXED(ROUND((C537*(1-I537)*(1-ADD.DISCOUNT)*(1+MAT.SURCHARGE)/EXC.RATE_1),CURRENCY.FORMAT_1),CURRENCY.FORMAT_1,1),"# ##0;-# ##0"),",-"),FIXED(ROUND((C537*(1-I537)*(1-ADD.DISCOUNT)*(1+MAT.SURCHARGE)/EXC.RATE_1),CURRENCY.FORMAT_1),CURRENCY.FORMAT_1,0)),'DICTIONARY-5'!$A$2)</f>
        <v>1 163,-</v>
      </c>
      <c r="M537" s="670" t="str">
        <f>IF(EXC.RATE_2=0,"",IFERROR(IF(CURRENCY.FORMAT_2=0,CONCATENATE(TEXT(FIXED(ROUND(IF(EXC.RATE.SWITCH=1,C537*(1-I537)*(1-ADD.DISCOUNT)*(1+MAT.SURCHARGE)/EXC.RATE_2,C537*(1-I537)*(1-ADD.DISCOUNT)*(1+MAT.SURCHARGE)*EXC.RATE_2),CURRENCY.FORMAT_2),CURRENCY.FORMAT_2,1),"# ##0;-# ##0"),",-"),FIXED(ROUND(IF(EXC.RATE.SWITCH=1,C537*(1-I537)*(1-ADD.DISCOUNT)*(1+MAT.SURCHARGE)/EXC.RATE_2,C537*(1-I537)*(1-ADD.DISCOUNT)*(1+MAT.SURCHARGE)*EXC.RATE_2),CURRENCY.FORMAT_2),CURRENCY.FORMAT_2,0)),'DICTIONARY-5'!$A$2))</f>
        <v/>
      </c>
      <c r="N537" s="544">
        <v>2</v>
      </c>
      <c r="O537" s="544"/>
      <c r="P537" s="731" t="str">
        <f>'DICTIONARY-3'!$A$11</f>
        <v>ZETA</v>
      </c>
      <c r="Q537" s="732" t="str">
        <f>'DICTIONARY-3'!$A$189</f>
        <v>Zasuwa nożowa</v>
      </c>
      <c r="R537" s="732" t="str">
        <f>CONCATENATE('DICTIONARY-3'!$A$11," ",'DICTIONARY-6'!$A$6," ",'DICTIONARY-5'!$A$35," ",'DICTIONARY-2'!$A$2,"250"," ",'DICTIONARY-2'!$A$3,"10"," ",'DICTIONARY-2'!$A$10,"10",'DICTIONARY-2'!$A$20,", ",'DICTIONARY-4'!$A$7)</f>
        <v>ZETA Zasuwa noż. A4 DN250 PN10 PS10bar, KR</v>
      </c>
      <c r="S537" s="733" t="str">
        <f>'DICTIONARY-4'!$A$7</f>
        <v>KR</v>
      </c>
      <c r="T537" s="732" t="str">
        <f>'DICTIONARY-4'!$A$23</f>
        <v>Kółko ręczne</v>
      </c>
      <c r="U537" s="734" t="s">
        <v>5751</v>
      </c>
      <c r="V537" s="735">
        <v>10</v>
      </c>
      <c r="W537" s="736"/>
      <c r="X537" s="737"/>
      <c r="Y537" s="738"/>
      <c r="Z537" s="739"/>
      <c r="AA537" s="739"/>
      <c r="AB537" s="740">
        <v>10</v>
      </c>
      <c r="AC537" s="741" t="str">
        <f>'DICTIONARY-5'!$A$11&amp;" 20"</f>
        <v>EN 558 szereg 20</v>
      </c>
      <c r="AD537" s="741" t="str">
        <f>'DICTIONARY-5'!$A$14</f>
        <v>ścieki</v>
      </c>
      <c r="AE537" s="742">
        <v>50</v>
      </c>
      <c r="AF537" s="743">
        <v>64.5</v>
      </c>
      <c r="AG537" s="741" t="str">
        <f>'DICTIONARY-5'!$A$23</f>
        <v>powłoka epoksydowa</v>
      </c>
    </row>
    <row r="538" spans="1:33" x14ac:dyDescent="0.25">
      <c r="A538" s="842" t="s">
        <v>535</v>
      </c>
      <c r="B538" s="842" t="s">
        <v>3162</v>
      </c>
      <c r="C538" s="836">
        <v>1335</v>
      </c>
      <c r="D538" s="836"/>
      <c r="E538" s="836"/>
      <c r="F538" s="836"/>
      <c r="G538" s="496" t="s">
        <v>7796</v>
      </c>
      <c r="H538" s="797" t="str">
        <f>VLOOKUP(G538,SETTINGS!$B$7:$D$97,2,0)</f>
        <v>ZETA</v>
      </c>
      <c r="I538" s="796">
        <f>VLOOKUP(G538,SETTINGS!$B$7:$D$97,3,0)</f>
        <v>0</v>
      </c>
      <c r="J538" s="670" t="str">
        <f>IFERROR(IF(CURRENCY.FORMAT_1=0,CONCATENATE(TEXT(FIXED(ROUND((C538/EXC.RATE_1),CURRENCY.FORMAT_1),CURRENCY.FORMAT_1,1),"# ##0;-# ##0"),",-"),FIXED(ROUND((C538/EXC.RATE_1),CURRENCY.FORMAT_1),CURRENCY.FORMAT_1,0)),'DICTIONARY-5'!$A$2)</f>
        <v>1 335,-</v>
      </c>
      <c r="K538" s="670" t="str">
        <f>IF(EXC.RATE_2=0,"",IFERROR(IF(CURRENCY.FORMAT_2=0,CONCATENATE(TEXT(FIXED(ROUND(IF(EXC.RATE.SWITCH=1,C538/EXC.RATE_2,C538*EXC.RATE_2),CURRENCY.FORMAT_2),CURRENCY.FORMAT_2,1),"# ##0;-# ##0"),",-"),FIXED(ROUND(IF(EXC.RATE.SWITCH=1,C538/EXC.RATE_2,C538*EXC.RATE_2),CURRENCY.FORMAT_2),CURRENCY.FORMAT_2,0)),'DICTIONARY-5'!$A$2))</f>
        <v/>
      </c>
      <c r="L538" s="670" t="str">
        <f>IFERROR(IF(CURRENCY.FORMAT_1=0,CONCATENATE(TEXT(FIXED(ROUND((C538*(1-I538)*(1-ADD.DISCOUNT)*(1+MAT.SURCHARGE)/EXC.RATE_1),CURRENCY.FORMAT_1),CURRENCY.FORMAT_1,1),"# ##0;-# ##0"),",-"),FIXED(ROUND((C538*(1-I538)*(1-ADD.DISCOUNT)*(1+MAT.SURCHARGE)/EXC.RATE_1),CURRENCY.FORMAT_1),CURRENCY.FORMAT_1,0)),'DICTIONARY-5'!$A$2)</f>
        <v>1 387,-</v>
      </c>
      <c r="M538" s="670" t="str">
        <f>IF(EXC.RATE_2=0,"",IFERROR(IF(CURRENCY.FORMAT_2=0,CONCATENATE(TEXT(FIXED(ROUND(IF(EXC.RATE.SWITCH=1,C538*(1-I538)*(1-ADD.DISCOUNT)*(1+MAT.SURCHARGE)/EXC.RATE_2,C538*(1-I538)*(1-ADD.DISCOUNT)*(1+MAT.SURCHARGE)*EXC.RATE_2),CURRENCY.FORMAT_2),CURRENCY.FORMAT_2,1),"# ##0;-# ##0"),",-"),FIXED(ROUND(IF(EXC.RATE.SWITCH=1,C538*(1-I538)*(1-ADD.DISCOUNT)*(1+MAT.SURCHARGE)/EXC.RATE_2,C538*(1-I538)*(1-ADD.DISCOUNT)*(1+MAT.SURCHARGE)*EXC.RATE_2),CURRENCY.FORMAT_2),CURRENCY.FORMAT_2,0)),'DICTIONARY-5'!$A$2))</f>
        <v/>
      </c>
      <c r="N538" s="544">
        <v>2</v>
      </c>
      <c r="O538" s="544"/>
      <c r="P538" s="731" t="str">
        <f>'DICTIONARY-3'!$A$11</f>
        <v>ZETA</v>
      </c>
      <c r="Q538" s="732" t="str">
        <f>'DICTIONARY-3'!$A$189</f>
        <v>Zasuwa nożowa</v>
      </c>
      <c r="R538" s="732" t="str">
        <f>CONCATENATE('DICTIONARY-3'!$A$11," ",'DICTIONARY-6'!$A$6," ",'DICTIONARY-5'!$A$35," ",'DICTIONARY-2'!$A$2,"300"," ",'DICTIONARY-2'!$A$3,"10"," ",'DICTIONARY-2'!$A$10,"10",'DICTIONARY-2'!$A$20,", ",'DICTIONARY-4'!$A$7)</f>
        <v>ZETA Zasuwa noż. A4 DN300 PN10 PS10bar, KR</v>
      </c>
      <c r="S538" s="733" t="str">
        <f>'DICTIONARY-4'!$A$7</f>
        <v>KR</v>
      </c>
      <c r="T538" s="732" t="str">
        <f>'DICTIONARY-4'!$A$23</f>
        <v>Kółko ręczne</v>
      </c>
      <c r="U538" s="734" t="s">
        <v>5752</v>
      </c>
      <c r="V538" s="735">
        <v>10</v>
      </c>
      <c r="W538" s="736"/>
      <c r="X538" s="737"/>
      <c r="Y538" s="738"/>
      <c r="Z538" s="739"/>
      <c r="AA538" s="739"/>
      <c r="AB538" s="740">
        <v>10</v>
      </c>
      <c r="AC538" s="741" t="str">
        <f>'DICTIONARY-5'!$A$11&amp;" 20"</f>
        <v>EN 558 szereg 20</v>
      </c>
      <c r="AD538" s="741" t="str">
        <f>'DICTIONARY-5'!$A$14</f>
        <v>ścieki</v>
      </c>
      <c r="AE538" s="742">
        <v>50</v>
      </c>
      <c r="AF538" s="743">
        <v>86</v>
      </c>
      <c r="AG538" s="741" t="str">
        <f>'DICTIONARY-5'!$A$23</f>
        <v>powłoka epoksydowa</v>
      </c>
    </row>
    <row r="539" spans="1:33" x14ac:dyDescent="0.25">
      <c r="A539" s="842" t="s">
        <v>536</v>
      </c>
      <c r="B539" s="842" t="s">
        <v>3164</v>
      </c>
      <c r="C539" s="836">
        <v>1697</v>
      </c>
      <c r="D539" s="836"/>
      <c r="E539" s="836"/>
      <c r="F539" s="836"/>
      <c r="G539" s="496" t="s">
        <v>7796</v>
      </c>
      <c r="H539" s="797" t="str">
        <f>VLOOKUP(G539,SETTINGS!$B$7:$D$97,2,0)</f>
        <v>ZETA</v>
      </c>
      <c r="I539" s="796">
        <f>VLOOKUP(G539,SETTINGS!$B$7:$D$97,3,0)</f>
        <v>0</v>
      </c>
      <c r="J539" s="670" t="str">
        <f>IFERROR(IF(CURRENCY.FORMAT_1=0,CONCATENATE(TEXT(FIXED(ROUND((C539/EXC.RATE_1),CURRENCY.FORMAT_1),CURRENCY.FORMAT_1,1),"# ##0;-# ##0"),",-"),FIXED(ROUND((C539/EXC.RATE_1),CURRENCY.FORMAT_1),CURRENCY.FORMAT_1,0)),'DICTIONARY-5'!$A$2)</f>
        <v>1 697,-</v>
      </c>
      <c r="K539" s="670" t="str">
        <f>IF(EXC.RATE_2=0,"",IFERROR(IF(CURRENCY.FORMAT_2=0,CONCATENATE(TEXT(FIXED(ROUND(IF(EXC.RATE.SWITCH=1,C539/EXC.RATE_2,C539*EXC.RATE_2),CURRENCY.FORMAT_2),CURRENCY.FORMAT_2,1),"# ##0;-# ##0"),",-"),FIXED(ROUND(IF(EXC.RATE.SWITCH=1,C539/EXC.RATE_2,C539*EXC.RATE_2),CURRENCY.FORMAT_2),CURRENCY.FORMAT_2,0)),'DICTIONARY-5'!$A$2))</f>
        <v/>
      </c>
      <c r="L539" s="670" t="str">
        <f>IFERROR(IF(CURRENCY.FORMAT_1=0,CONCATENATE(TEXT(FIXED(ROUND((C539*(1-I539)*(1-ADD.DISCOUNT)*(1+MAT.SURCHARGE)/EXC.RATE_1),CURRENCY.FORMAT_1),CURRENCY.FORMAT_1,1),"# ##0;-# ##0"),",-"),FIXED(ROUND((C539*(1-I539)*(1-ADD.DISCOUNT)*(1+MAT.SURCHARGE)/EXC.RATE_1),CURRENCY.FORMAT_1),CURRENCY.FORMAT_1,0)),'DICTIONARY-5'!$A$2)</f>
        <v>1 763,-</v>
      </c>
      <c r="M539" s="670" t="str">
        <f>IF(EXC.RATE_2=0,"",IFERROR(IF(CURRENCY.FORMAT_2=0,CONCATENATE(TEXT(FIXED(ROUND(IF(EXC.RATE.SWITCH=1,C539*(1-I539)*(1-ADD.DISCOUNT)*(1+MAT.SURCHARGE)/EXC.RATE_2,C539*(1-I539)*(1-ADD.DISCOUNT)*(1+MAT.SURCHARGE)*EXC.RATE_2),CURRENCY.FORMAT_2),CURRENCY.FORMAT_2,1),"# ##0;-# ##0"),",-"),FIXED(ROUND(IF(EXC.RATE.SWITCH=1,C539*(1-I539)*(1-ADD.DISCOUNT)*(1+MAT.SURCHARGE)/EXC.RATE_2,C539*(1-I539)*(1-ADD.DISCOUNT)*(1+MAT.SURCHARGE)*EXC.RATE_2),CURRENCY.FORMAT_2),CURRENCY.FORMAT_2,0)),'DICTIONARY-5'!$A$2))</f>
        <v/>
      </c>
      <c r="N539" s="544">
        <v>2</v>
      </c>
      <c r="O539" s="544"/>
      <c r="P539" s="731" t="str">
        <f>'DICTIONARY-3'!$A$11</f>
        <v>ZETA</v>
      </c>
      <c r="Q539" s="732" t="str">
        <f>'DICTIONARY-3'!$A$189</f>
        <v>Zasuwa nożowa</v>
      </c>
      <c r="R539" s="732" t="str">
        <f>CONCATENATE('DICTIONARY-3'!$A$11," ",'DICTIONARY-6'!$A$6," ",'DICTIONARY-5'!$A$35," ",'DICTIONARY-2'!$A$2,"350"," ",'DICTIONARY-2'!$A$3,"10"," ",'DICTIONARY-2'!$A$10,"8",'DICTIONARY-2'!$A$20,", ",'DICTIONARY-4'!$A$7)</f>
        <v>ZETA Zasuwa noż. A4 DN350 PN10 PS8bar, KR</v>
      </c>
      <c r="S539" s="733" t="str">
        <f>'DICTIONARY-4'!$A$7</f>
        <v>KR</v>
      </c>
      <c r="T539" s="732" t="str">
        <f>'DICTIONARY-4'!$A$23</f>
        <v>Kółko ręczne</v>
      </c>
      <c r="U539" s="734" t="s">
        <v>5753</v>
      </c>
      <c r="V539" s="735">
        <v>10</v>
      </c>
      <c r="W539" s="736"/>
      <c r="X539" s="737"/>
      <c r="Y539" s="738"/>
      <c r="Z539" s="739"/>
      <c r="AA539" s="739"/>
      <c r="AB539" s="740">
        <v>8</v>
      </c>
      <c r="AC539" s="741" t="str">
        <f>'DICTIONARY-5'!$A$11&amp;" 20"</f>
        <v>EN 558 szereg 20</v>
      </c>
      <c r="AD539" s="741" t="str">
        <f>'DICTIONARY-5'!$A$14</f>
        <v>ścieki</v>
      </c>
      <c r="AE539" s="742">
        <v>50</v>
      </c>
      <c r="AF539" s="743">
        <v>109.5</v>
      </c>
      <c r="AG539" s="741" t="str">
        <f>'DICTIONARY-5'!$A$23</f>
        <v>powłoka epoksydowa</v>
      </c>
    </row>
    <row r="540" spans="1:33" x14ac:dyDescent="0.25">
      <c r="A540" s="842" t="s">
        <v>537</v>
      </c>
      <c r="B540" s="842" t="s">
        <v>3166</v>
      </c>
      <c r="C540" s="836">
        <v>2405</v>
      </c>
      <c r="D540" s="836"/>
      <c r="E540" s="836"/>
      <c r="F540" s="836"/>
      <c r="G540" s="496" t="s">
        <v>7796</v>
      </c>
      <c r="H540" s="797" t="str">
        <f>VLOOKUP(G540,SETTINGS!$B$7:$D$97,2,0)</f>
        <v>ZETA</v>
      </c>
      <c r="I540" s="796">
        <f>VLOOKUP(G540,SETTINGS!$B$7:$D$97,3,0)</f>
        <v>0</v>
      </c>
      <c r="J540" s="670" t="str">
        <f>IFERROR(IF(CURRENCY.FORMAT_1=0,CONCATENATE(TEXT(FIXED(ROUND((C540/EXC.RATE_1),CURRENCY.FORMAT_1),CURRENCY.FORMAT_1,1),"# ##0;-# ##0"),",-"),FIXED(ROUND((C540/EXC.RATE_1),CURRENCY.FORMAT_1),CURRENCY.FORMAT_1,0)),'DICTIONARY-5'!$A$2)</f>
        <v>2 405,-</v>
      </c>
      <c r="K540" s="670" t="str">
        <f>IF(EXC.RATE_2=0,"",IFERROR(IF(CURRENCY.FORMAT_2=0,CONCATENATE(TEXT(FIXED(ROUND(IF(EXC.RATE.SWITCH=1,C540/EXC.RATE_2,C540*EXC.RATE_2),CURRENCY.FORMAT_2),CURRENCY.FORMAT_2,1),"# ##0;-# ##0"),",-"),FIXED(ROUND(IF(EXC.RATE.SWITCH=1,C540/EXC.RATE_2,C540*EXC.RATE_2),CURRENCY.FORMAT_2),CURRENCY.FORMAT_2,0)),'DICTIONARY-5'!$A$2))</f>
        <v/>
      </c>
      <c r="L540" s="670" t="str">
        <f>IFERROR(IF(CURRENCY.FORMAT_1=0,CONCATENATE(TEXT(FIXED(ROUND((C540*(1-I540)*(1-ADD.DISCOUNT)*(1+MAT.SURCHARGE)/EXC.RATE_1),CURRENCY.FORMAT_1),CURRENCY.FORMAT_1,1),"# ##0;-# ##0"),",-"),FIXED(ROUND((C540*(1-I540)*(1-ADD.DISCOUNT)*(1+MAT.SURCHARGE)/EXC.RATE_1),CURRENCY.FORMAT_1),CURRENCY.FORMAT_1,0)),'DICTIONARY-5'!$A$2)</f>
        <v>2 499,-</v>
      </c>
      <c r="M540" s="670" t="str">
        <f>IF(EXC.RATE_2=0,"",IFERROR(IF(CURRENCY.FORMAT_2=0,CONCATENATE(TEXT(FIXED(ROUND(IF(EXC.RATE.SWITCH=1,C540*(1-I540)*(1-ADD.DISCOUNT)*(1+MAT.SURCHARGE)/EXC.RATE_2,C540*(1-I540)*(1-ADD.DISCOUNT)*(1+MAT.SURCHARGE)*EXC.RATE_2),CURRENCY.FORMAT_2),CURRENCY.FORMAT_2,1),"# ##0;-# ##0"),",-"),FIXED(ROUND(IF(EXC.RATE.SWITCH=1,C540*(1-I540)*(1-ADD.DISCOUNT)*(1+MAT.SURCHARGE)/EXC.RATE_2,C540*(1-I540)*(1-ADD.DISCOUNT)*(1+MAT.SURCHARGE)*EXC.RATE_2),CURRENCY.FORMAT_2),CURRENCY.FORMAT_2,0)),'DICTIONARY-5'!$A$2))</f>
        <v/>
      </c>
      <c r="N540" s="544">
        <v>2</v>
      </c>
      <c r="O540" s="544"/>
      <c r="P540" s="731" t="str">
        <f>'DICTIONARY-3'!$A$11</f>
        <v>ZETA</v>
      </c>
      <c r="Q540" s="732" t="str">
        <f>'DICTIONARY-3'!$A$189</f>
        <v>Zasuwa nożowa</v>
      </c>
      <c r="R540" s="732" t="str">
        <f>CONCATENATE('DICTIONARY-3'!$A$11," ",'DICTIONARY-6'!$A$6," ",'DICTIONARY-5'!$A$35," ",'DICTIONARY-2'!$A$2,"400"," ",'DICTIONARY-2'!$A$3,"10"," ",'DICTIONARY-2'!$A$10,"8",'DICTIONARY-2'!$A$20,", ",'DICTIONARY-4'!$A$7)</f>
        <v>ZETA Zasuwa noż. A4 DN400 PN10 PS8bar, KR</v>
      </c>
      <c r="S540" s="733" t="str">
        <f>'DICTIONARY-4'!$A$7</f>
        <v>KR</v>
      </c>
      <c r="T540" s="732" t="str">
        <f>'DICTIONARY-4'!$A$23</f>
        <v>Kółko ręczne</v>
      </c>
      <c r="U540" s="734" t="s">
        <v>5754</v>
      </c>
      <c r="V540" s="735">
        <v>10</v>
      </c>
      <c r="W540" s="736"/>
      <c r="X540" s="737"/>
      <c r="Y540" s="738"/>
      <c r="Z540" s="739"/>
      <c r="AA540" s="739"/>
      <c r="AB540" s="740">
        <v>8</v>
      </c>
      <c r="AC540" s="741" t="str">
        <f>'DICTIONARY-5'!$A$11&amp;" 20"</f>
        <v>EN 558 szereg 20</v>
      </c>
      <c r="AD540" s="741" t="str">
        <f>'DICTIONARY-5'!$A$14</f>
        <v>ścieki</v>
      </c>
      <c r="AE540" s="742">
        <v>50</v>
      </c>
      <c r="AF540" s="743">
        <v>154</v>
      </c>
      <c r="AG540" s="741" t="str">
        <f>'DICTIONARY-5'!$A$23</f>
        <v>powłoka epoksydowa</v>
      </c>
    </row>
    <row r="541" spans="1:33" x14ac:dyDescent="0.25">
      <c r="A541" s="842" t="s">
        <v>538</v>
      </c>
      <c r="B541" s="842" t="s">
        <v>3168</v>
      </c>
      <c r="C541" s="836">
        <v>4949</v>
      </c>
      <c r="D541" s="836"/>
      <c r="E541" s="836"/>
      <c r="F541" s="836"/>
      <c r="G541" s="496" t="s">
        <v>7796</v>
      </c>
      <c r="H541" s="797" t="str">
        <f>VLOOKUP(G541,SETTINGS!$B$7:$D$97,2,0)</f>
        <v>ZETA</v>
      </c>
      <c r="I541" s="796">
        <f>VLOOKUP(G541,SETTINGS!$B$7:$D$97,3,0)</f>
        <v>0</v>
      </c>
      <c r="J541" s="670" t="str">
        <f>IFERROR(IF(CURRENCY.FORMAT_1=0,CONCATENATE(TEXT(FIXED(ROUND((C541/EXC.RATE_1),CURRENCY.FORMAT_1),CURRENCY.FORMAT_1,1),"# ##0;-# ##0"),",-"),FIXED(ROUND((C541/EXC.RATE_1),CURRENCY.FORMAT_1),CURRENCY.FORMAT_1,0)),'DICTIONARY-5'!$A$2)</f>
        <v>4 949,-</v>
      </c>
      <c r="K541" s="670" t="str">
        <f>IF(EXC.RATE_2=0,"",IFERROR(IF(CURRENCY.FORMAT_2=0,CONCATENATE(TEXT(FIXED(ROUND(IF(EXC.RATE.SWITCH=1,C541/EXC.RATE_2,C541*EXC.RATE_2),CURRENCY.FORMAT_2),CURRENCY.FORMAT_2,1),"# ##0;-# ##0"),",-"),FIXED(ROUND(IF(EXC.RATE.SWITCH=1,C541/EXC.RATE_2,C541*EXC.RATE_2),CURRENCY.FORMAT_2),CURRENCY.FORMAT_2,0)),'DICTIONARY-5'!$A$2))</f>
        <v/>
      </c>
      <c r="L541" s="670" t="str">
        <f>IFERROR(IF(CURRENCY.FORMAT_1=0,CONCATENATE(TEXT(FIXED(ROUND((C541*(1-I541)*(1-ADD.DISCOUNT)*(1+MAT.SURCHARGE)/EXC.RATE_1),CURRENCY.FORMAT_1),CURRENCY.FORMAT_1,1),"# ##0;-# ##0"),",-"),FIXED(ROUND((C541*(1-I541)*(1-ADD.DISCOUNT)*(1+MAT.SURCHARGE)/EXC.RATE_1),CURRENCY.FORMAT_1),CURRENCY.FORMAT_1,0)),'DICTIONARY-5'!$A$2)</f>
        <v>5 142,-</v>
      </c>
      <c r="M541" s="670" t="str">
        <f>IF(EXC.RATE_2=0,"",IFERROR(IF(CURRENCY.FORMAT_2=0,CONCATENATE(TEXT(FIXED(ROUND(IF(EXC.RATE.SWITCH=1,C541*(1-I541)*(1-ADD.DISCOUNT)*(1+MAT.SURCHARGE)/EXC.RATE_2,C541*(1-I541)*(1-ADD.DISCOUNT)*(1+MAT.SURCHARGE)*EXC.RATE_2),CURRENCY.FORMAT_2),CURRENCY.FORMAT_2,1),"# ##0;-# ##0"),",-"),FIXED(ROUND(IF(EXC.RATE.SWITCH=1,C541*(1-I541)*(1-ADD.DISCOUNT)*(1+MAT.SURCHARGE)/EXC.RATE_2,C541*(1-I541)*(1-ADD.DISCOUNT)*(1+MAT.SURCHARGE)*EXC.RATE_2),CURRENCY.FORMAT_2),CURRENCY.FORMAT_2,0)),'DICTIONARY-5'!$A$2))</f>
        <v/>
      </c>
      <c r="N541" s="544">
        <v>2</v>
      </c>
      <c r="O541" s="544"/>
      <c r="P541" s="731" t="str">
        <f>'DICTIONARY-3'!$A$11</f>
        <v>ZETA</v>
      </c>
      <c r="Q541" s="732" t="str">
        <f>'DICTIONARY-3'!$A$189</f>
        <v>Zasuwa nożowa</v>
      </c>
      <c r="R541" s="732" t="str">
        <f>CONCATENATE('DICTIONARY-3'!$A$11," ",'DICTIONARY-6'!$A$6," ",'DICTIONARY-5'!$A$35," ",'DICTIONARY-2'!$A$2,"500"," ",'DICTIONARY-2'!$A$3,"10"," ",'DICTIONARY-2'!$A$10,"6",'DICTIONARY-2'!$A$20,", ",'DICTIONARY-4'!$A$7)</f>
        <v>ZETA Zasuwa noż. A4 DN500 PN10 PS6bar, KR</v>
      </c>
      <c r="S541" s="733" t="str">
        <f>'DICTIONARY-4'!$A$7</f>
        <v>KR</v>
      </c>
      <c r="T541" s="732" t="str">
        <f>'DICTIONARY-4'!$A$23</f>
        <v>Kółko ręczne</v>
      </c>
      <c r="U541" s="734" t="s">
        <v>5756</v>
      </c>
      <c r="V541" s="735">
        <v>10</v>
      </c>
      <c r="W541" s="736"/>
      <c r="X541" s="737"/>
      <c r="Y541" s="738"/>
      <c r="Z541" s="739"/>
      <c r="AA541" s="739"/>
      <c r="AB541" s="740">
        <v>6</v>
      </c>
      <c r="AC541" s="741" t="str">
        <f>'DICTIONARY-5'!$A$11&amp;" 20"</f>
        <v>EN 558 szereg 20</v>
      </c>
      <c r="AD541" s="741" t="str">
        <f>'DICTIONARY-5'!$A$14</f>
        <v>ścieki</v>
      </c>
      <c r="AE541" s="742">
        <v>50</v>
      </c>
      <c r="AF541" s="743">
        <v>272.5</v>
      </c>
      <c r="AG541" s="741" t="str">
        <f>'DICTIONARY-5'!$A$23</f>
        <v>powłoka epoksydowa</v>
      </c>
    </row>
    <row r="542" spans="1:33" x14ac:dyDescent="0.25">
      <c r="A542" s="842" t="s">
        <v>539</v>
      </c>
      <c r="B542" s="842" t="s">
        <v>3170</v>
      </c>
      <c r="C542" s="836">
        <v>6753</v>
      </c>
      <c r="D542" s="836"/>
      <c r="E542" s="836"/>
      <c r="F542" s="836"/>
      <c r="G542" s="496" t="s">
        <v>7796</v>
      </c>
      <c r="H542" s="797" t="str">
        <f>VLOOKUP(G542,SETTINGS!$B$7:$D$97,2,0)</f>
        <v>ZETA</v>
      </c>
      <c r="I542" s="796">
        <f>VLOOKUP(G542,SETTINGS!$B$7:$D$97,3,0)</f>
        <v>0</v>
      </c>
      <c r="J542" s="670" t="str">
        <f>IFERROR(IF(CURRENCY.FORMAT_1=0,CONCATENATE(TEXT(FIXED(ROUND((C542/EXC.RATE_1),CURRENCY.FORMAT_1),CURRENCY.FORMAT_1,1),"# ##0;-# ##0"),",-"),FIXED(ROUND((C542/EXC.RATE_1),CURRENCY.FORMAT_1),CURRENCY.FORMAT_1,0)),'DICTIONARY-5'!$A$2)</f>
        <v>6 753,-</v>
      </c>
      <c r="K542" s="670" t="str">
        <f>IF(EXC.RATE_2=0,"",IFERROR(IF(CURRENCY.FORMAT_2=0,CONCATENATE(TEXT(FIXED(ROUND(IF(EXC.RATE.SWITCH=1,C542/EXC.RATE_2,C542*EXC.RATE_2),CURRENCY.FORMAT_2),CURRENCY.FORMAT_2,1),"# ##0;-# ##0"),",-"),FIXED(ROUND(IF(EXC.RATE.SWITCH=1,C542/EXC.RATE_2,C542*EXC.RATE_2),CURRENCY.FORMAT_2),CURRENCY.FORMAT_2,0)),'DICTIONARY-5'!$A$2))</f>
        <v/>
      </c>
      <c r="L542" s="670" t="str">
        <f>IFERROR(IF(CURRENCY.FORMAT_1=0,CONCATENATE(TEXT(FIXED(ROUND((C542*(1-I542)*(1-ADD.DISCOUNT)*(1+MAT.SURCHARGE)/EXC.RATE_1),CURRENCY.FORMAT_1),CURRENCY.FORMAT_1,1),"# ##0;-# ##0"),",-"),FIXED(ROUND((C542*(1-I542)*(1-ADD.DISCOUNT)*(1+MAT.SURCHARGE)/EXC.RATE_1),CURRENCY.FORMAT_1),CURRENCY.FORMAT_1,0)),'DICTIONARY-5'!$A$2)</f>
        <v>7 016,-</v>
      </c>
      <c r="M542" s="670" t="str">
        <f>IF(EXC.RATE_2=0,"",IFERROR(IF(CURRENCY.FORMAT_2=0,CONCATENATE(TEXT(FIXED(ROUND(IF(EXC.RATE.SWITCH=1,C542*(1-I542)*(1-ADD.DISCOUNT)*(1+MAT.SURCHARGE)/EXC.RATE_2,C542*(1-I542)*(1-ADD.DISCOUNT)*(1+MAT.SURCHARGE)*EXC.RATE_2),CURRENCY.FORMAT_2),CURRENCY.FORMAT_2,1),"# ##0;-# ##0"),",-"),FIXED(ROUND(IF(EXC.RATE.SWITCH=1,C542*(1-I542)*(1-ADD.DISCOUNT)*(1+MAT.SURCHARGE)/EXC.RATE_2,C542*(1-I542)*(1-ADD.DISCOUNT)*(1+MAT.SURCHARGE)*EXC.RATE_2),CURRENCY.FORMAT_2),CURRENCY.FORMAT_2,0)),'DICTIONARY-5'!$A$2))</f>
        <v/>
      </c>
      <c r="N542" s="544">
        <v>2</v>
      </c>
      <c r="O542" s="544"/>
      <c r="P542" s="731" t="str">
        <f>'DICTIONARY-3'!$A$11</f>
        <v>ZETA</v>
      </c>
      <c r="Q542" s="732" t="str">
        <f>'DICTIONARY-3'!$A$189</f>
        <v>Zasuwa nożowa</v>
      </c>
      <c r="R542" s="732" t="str">
        <f>CONCATENATE('DICTIONARY-3'!$A$11," ",'DICTIONARY-6'!$A$6," ",'DICTIONARY-5'!$A$35," ",'DICTIONARY-2'!$A$2,"600"," ",'DICTIONARY-2'!$A$3,"10"," ",'DICTIONARY-2'!$A$10,"6",'DICTIONARY-2'!$A$20,", ",'DICTIONARY-4'!$A$7)</f>
        <v>ZETA Zasuwa noż. A4 DN600 PN10 PS6bar, KR</v>
      </c>
      <c r="S542" s="733" t="str">
        <f>'DICTIONARY-4'!$A$7</f>
        <v>KR</v>
      </c>
      <c r="T542" s="732" t="str">
        <f>'DICTIONARY-4'!$A$23</f>
        <v>Kółko ręczne</v>
      </c>
      <c r="U542" s="734" t="s">
        <v>5757</v>
      </c>
      <c r="V542" s="735">
        <v>10</v>
      </c>
      <c r="W542" s="736"/>
      <c r="X542" s="737"/>
      <c r="Y542" s="738"/>
      <c r="Z542" s="739"/>
      <c r="AA542" s="739"/>
      <c r="AB542" s="740">
        <v>6</v>
      </c>
      <c r="AC542" s="741" t="str">
        <f>'DICTIONARY-5'!$A$11&amp;" 20"</f>
        <v>EN 558 szereg 20</v>
      </c>
      <c r="AD542" s="741" t="str">
        <f>'DICTIONARY-5'!$A$14</f>
        <v>ścieki</v>
      </c>
      <c r="AE542" s="742">
        <v>50</v>
      </c>
      <c r="AF542" s="743">
        <v>375</v>
      </c>
      <c r="AG542" s="741" t="str">
        <f>'DICTIONARY-5'!$A$23</f>
        <v>powłoka epoksydowa</v>
      </c>
    </row>
    <row r="543" spans="1:33" x14ac:dyDescent="0.25">
      <c r="A543" s="842" t="s">
        <v>540</v>
      </c>
      <c r="B543" s="842" t="s">
        <v>3198</v>
      </c>
      <c r="C543" s="836">
        <v>14919</v>
      </c>
      <c r="D543" s="836"/>
      <c r="E543" s="836"/>
      <c r="F543" s="836"/>
      <c r="G543" s="496" t="s">
        <v>7796</v>
      </c>
      <c r="H543" s="797" t="str">
        <f>VLOOKUP(G543,SETTINGS!$B$7:$D$97,2,0)</f>
        <v>ZETA</v>
      </c>
      <c r="I543" s="796">
        <f>VLOOKUP(G543,SETTINGS!$B$7:$D$97,3,0)</f>
        <v>0</v>
      </c>
      <c r="J543" s="670" t="str">
        <f>IFERROR(IF(CURRENCY.FORMAT_1=0,CONCATENATE(TEXT(FIXED(ROUND((C543/EXC.RATE_1),CURRENCY.FORMAT_1),CURRENCY.FORMAT_1,1),"# ##0;-# ##0"),",-"),FIXED(ROUND((C543/EXC.RATE_1),CURRENCY.FORMAT_1),CURRENCY.FORMAT_1,0)),'DICTIONARY-5'!$A$2)</f>
        <v>14 919,-</v>
      </c>
      <c r="K543" s="670" t="str">
        <f>IF(EXC.RATE_2=0,"",IFERROR(IF(CURRENCY.FORMAT_2=0,CONCATENATE(TEXT(FIXED(ROUND(IF(EXC.RATE.SWITCH=1,C543/EXC.RATE_2,C543*EXC.RATE_2),CURRENCY.FORMAT_2),CURRENCY.FORMAT_2,1),"# ##0;-# ##0"),",-"),FIXED(ROUND(IF(EXC.RATE.SWITCH=1,C543/EXC.RATE_2,C543*EXC.RATE_2),CURRENCY.FORMAT_2),CURRENCY.FORMAT_2,0)),'DICTIONARY-5'!$A$2))</f>
        <v/>
      </c>
      <c r="L543" s="670" t="str">
        <f>IFERROR(IF(CURRENCY.FORMAT_1=0,CONCATENATE(TEXT(FIXED(ROUND((C543*(1-I543)*(1-ADD.DISCOUNT)*(1+MAT.SURCHARGE)/EXC.RATE_1),CURRENCY.FORMAT_1),CURRENCY.FORMAT_1,1),"# ##0;-# ##0"),",-"),FIXED(ROUND((C543*(1-I543)*(1-ADD.DISCOUNT)*(1+MAT.SURCHARGE)/EXC.RATE_1),CURRENCY.FORMAT_1),CURRENCY.FORMAT_1,0)),'DICTIONARY-5'!$A$2)</f>
        <v>15 501,-</v>
      </c>
      <c r="M543" s="670" t="str">
        <f>IF(EXC.RATE_2=0,"",IFERROR(IF(CURRENCY.FORMAT_2=0,CONCATENATE(TEXT(FIXED(ROUND(IF(EXC.RATE.SWITCH=1,C543*(1-I543)*(1-ADD.DISCOUNT)*(1+MAT.SURCHARGE)/EXC.RATE_2,C543*(1-I543)*(1-ADD.DISCOUNT)*(1+MAT.SURCHARGE)*EXC.RATE_2),CURRENCY.FORMAT_2),CURRENCY.FORMAT_2,1),"# ##0;-# ##0"),",-"),FIXED(ROUND(IF(EXC.RATE.SWITCH=1,C543*(1-I543)*(1-ADD.DISCOUNT)*(1+MAT.SURCHARGE)/EXC.RATE_2,C543*(1-I543)*(1-ADD.DISCOUNT)*(1+MAT.SURCHARGE)*EXC.RATE_2),CURRENCY.FORMAT_2),CURRENCY.FORMAT_2,0)),'DICTIONARY-5'!$A$2))</f>
        <v/>
      </c>
      <c r="N543" s="544">
        <v>2</v>
      </c>
      <c r="O543" s="544"/>
      <c r="P543" s="731" t="str">
        <f>'DICTIONARY-3'!$A$11</f>
        <v>ZETA</v>
      </c>
      <c r="Q543" s="732" t="str">
        <f>'DICTIONARY-3'!$A$189</f>
        <v>Zasuwa nożowa</v>
      </c>
      <c r="R543" s="732" t="str">
        <f>CONCATENATE('DICTIONARY-3'!$A$11," ",'DICTIONARY-6'!$A$6," ",'DICTIONARY-5'!$A$35," ",'DICTIONARY-2'!$A$2,"700"," ",'DICTIONARY-2'!$A$3,"10"," ",'DICTIONARY-2'!$A$10,"4",'DICTIONARY-2'!$A$20,", ",'DICTIONARY-4'!$A$8," GK14.2")</f>
        <v>ZETA Zasuwa noż. A4 DN700 PN10 PS4bar, PK GK14.2</v>
      </c>
      <c r="S543" s="733" t="str">
        <f>'DICTIONARY-4'!$A$8</f>
        <v>PK</v>
      </c>
      <c r="T543" s="732" t="str">
        <f>'DICTIONARY-4'!$A$24</f>
        <v>Przekładnia z kółkiem</v>
      </c>
      <c r="U543" s="734" t="s">
        <v>5834</v>
      </c>
      <c r="V543" s="735">
        <v>10</v>
      </c>
      <c r="W543" s="736"/>
      <c r="X543" s="737"/>
      <c r="Y543" s="738"/>
      <c r="Z543" s="739"/>
      <c r="AA543" s="739"/>
      <c r="AB543" s="740">
        <v>4</v>
      </c>
      <c r="AC543" s="741" t="str">
        <f>'DICTIONARY-5'!$A$11&amp;" 20"</f>
        <v>EN 558 szereg 20</v>
      </c>
      <c r="AD543" s="741" t="str">
        <f>'DICTIONARY-5'!$A$14</f>
        <v>ścieki</v>
      </c>
      <c r="AE543" s="742">
        <v>50</v>
      </c>
      <c r="AF543" s="743">
        <v>592.5</v>
      </c>
      <c r="AG543" s="741" t="str">
        <f>'DICTIONARY-5'!$A$23</f>
        <v>powłoka epoksydowa</v>
      </c>
    </row>
    <row r="544" spans="1:33" x14ac:dyDescent="0.25">
      <c r="A544" s="842" t="s">
        <v>541</v>
      </c>
      <c r="B544" s="842" t="s">
        <v>3199</v>
      </c>
      <c r="C544" s="836">
        <v>15663</v>
      </c>
      <c r="D544" s="836"/>
      <c r="E544" s="836"/>
      <c r="F544" s="836"/>
      <c r="G544" s="496" t="s">
        <v>7796</v>
      </c>
      <c r="H544" s="797" t="str">
        <f>VLOOKUP(G544,SETTINGS!$B$7:$D$97,2,0)</f>
        <v>ZETA</v>
      </c>
      <c r="I544" s="796">
        <f>VLOOKUP(G544,SETTINGS!$B$7:$D$97,3,0)</f>
        <v>0</v>
      </c>
      <c r="J544" s="670" t="str">
        <f>IFERROR(IF(CURRENCY.FORMAT_1=0,CONCATENATE(TEXT(FIXED(ROUND((C544/EXC.RATE_1),CURRENCY.FORMAT_1),CURRENCY.FORMAT_1,1),"# ##0;-# ##0"),",-"),FIXED(ROUND((C544/EXC.RATE_1),CURRENCY.FORMAT_1),CURRENCY.FORMAT_1,0)),'DICTIONARY-5'!$A$2)</f>
        <v>15 663,-</v>
      </c>
      <c r="K544" s="670" t="str">
        <f>IF(EXC.RATE_2=0,"",IFERROR(IF(CURRENCY.FORMAT_2=0,CONCATENATE(TEXT(FIXED(ROUND(IF(EXC.RATE.SWITCH=1,C544/EXC.RATE_2,C544*EXC.RATE_2),CURRENCY.FORMAT_2),CURRENCY.FORMAT_2,1),"# ##0;-# ##0"),",-"),FIXED(ROUND(IF(EXC.RATE.SWITCH=1,C544/EXC.RATE_2,C544*EXC.RATE_2),CURRENCY.FORMAT_2),CURRENCY.FORMAT_2,0)),'DICTIONARY-5'!$A$2))</f>
        <v/>
      </c>
      <c r="L544" s="670" t="str">
        <f>IFERROR(IF(CURRENCY.FORMAT_1=0,CONCATENATE(TEXT(FIXED(ROUND((C544*(1-I544)*(1-ADD.DISCOUNT)*(1+MAT.SURCHARGE)/EXC.RATE_1),CURRENCY.FORMAT_1),CURRENCY.FORMAT_1,1),"# ##0;-# ##0"),",-"),FIXED(ROUND((C544*(1-I544)*(1-ADD.DISCOUNT)*(1+MAT.SURCHARGE)/EXC.RATE_1),CURRENCY.FORMAT_1),CURRENCY.FORMAT_1,0)),'DICTIONARY-5'!$A$2)</f>
        <v>16 274,-</v>
      </c>
      <c r="M544" s="670" t="str">
        <f>IF(EXC.RATE_2=0,"",IFERROR(IF(CURRENCY.FORMAT_2=0,CONCATENATE(TEXT(FIXED(ROUND(IF(EXC.RATE.SWITCH=1,C544*(1-I544)*(1-ADD.DISCOUNT)*(1+MAT.SURCHARGE)/EXC.RATE_2,C544*(1-I544)*(1-ADD.DISCOUNT)*(1+MAT.SURCHARGE)*EXC.RATE_2),CURRENCY.FORMAT_2),CURRENCY.FORMAT_2,1),"# ##0;-# ##0"),",-"),FIXED(ROUND(IF(EXC.RATE.SWITCH=1,C544*(1-I544)*(1-ADD.DISCOUNT)*(1+MAT.SURCHARGE)/EXC.RATE_2,C544*(1-I544)*(1-ADD.DISCOUNT)*(1+MAT.SURCHARGE)*EXC.RATE_2),CURRENCY.FORMAT_2),CURRENCY.FORMAT_2,0)),'DICTIONARY-5'!$A$2))</f>
        <v/>
      </c>
      <c r="N544" s="544">
        <v>2</v>
      </c>
      <c r="O544" s="544"/>
      <c r="P544" s="731" t="str">
        <f>'DICTIONARY-3'!$A$11</f>
        <v>ZETA</v>
      </c>
      <c r="Q544" s="732" t="str">
        <f>'DICTIONARY-3'!$A$189</f>
        <v>Zasuwa nożowa</v>
      </c>
      <c r="R544" s="732" t="str">
        <f>CONCATENATE('DICTIONARY-3'!$A$11," ",'DICTIONARY-6'!$A$6," ",'DICTIONARY-5'!$A$35," ",'DICTIONARY-2'!$A$2,"800"," ",'DICTIONARY-2'!$A$3,"10"," ",'DICTIONARY-2'!$A$10,"4",'DICTIONARY-2'!$A$20,", ",'DICTIONARY-4'!$A$8," GK14.2")</f>
        <v>ZETA Zasuwa noż. A4 DN800 PN10 PS4bar, PK GK14.2</v>
      </c>
      <c r="S544" s="733" t="str">
        <f>'DICTIONARY-4'!$A$8</f>
        <v>PK</v>
      </c>
      <c r="T544" s="732" t="str">
        <f>'DICTIONARY-4'!$A$24</f>
        <v>Przekładnia z kółkiem</v>
      </c>
      <c r="U544" s="734" t="s">
        <v>5835</v>
      </c>
      <c r="V544" s="735">
        <v>10</v>
      </c>
      <c r="W544" s="736"/>
      <c r="X544" s="737"/>
      <c r="Y544" s="738"/>
      <c r="Z544" s="739"/>
      <c r="AA544" s="739"/>
      <c r="AB544" s="740">
        <v>4</v>
      </c>
      <c r="AC544" s="741" t="str">
        <f>'DICTIONARY-5'!$A$11&amp;" 20"</f>
        <v>EN 558 szereg 20</v>
      </c>
      <c r="AD544" s="741" t="str">
        <f>'DICTIONARY-5'!$A$14</f>
        <v>ścieki</v>
      </c>
      <c r="AE544" s="742">
        <v>50</v>
      </c>
      <c r="AF544" s="743">
        <v>738</v>
      </c>
      <c r="AG544" s="741" t="str">
        <f>'DICTIONARY-5'!$A$23</f>
        <v>powłoka epoksydowa</v>
      </c>
    </row>
    <row r="545" spans="1:33" x14ac:dyDescent="0.25">
      <c r="A545" s="842" t="s">
        <v>542</v>
      </c>
      <c r="B545" s="842" t="s">
        <v>3200</v>
      </c>
      <c r="C545" s="836">
        <v>19444</v>
      </c>
      <c r="D545" s="836"/>
      <c r="E545" s="836"/>
      <c r="F545" s="836"/>
      <c r="G545" s="496" t="s">
        <v>7796</v>
      </c>
      <c r="H545" s="797" t="str">
        <f>VLOOKUP(G545,SETTINGS!$B$7:$D$97,2,0)</f>
        <v>ZETA</v>
      </c>
      <c r="I545" s="796">
        <f>VLOOKUP(G545,SETTINGS!$B$7:$D$97,3,0)</f>
        <v>0</v>
      </c>
      <c r="J545" s="670" t="str">
        <f>IFERROR(IF(CURRENCY.FORMAT_1=0,CONCATENATE(TEXT(FIXED(ROUND((C545/EXC.RATE_1),CURRENCY.FORMAT_1),CURRENCY.FORMAT_1,1),"# ##0;-# ##0"),",-"),FIXED(ROUND((C545/EXC.RATE_1),CURRENCY.FORMAT_1),CURRENCY.FORMAT_1,0)),'DICTIONARY-5'!$A$2)</f>
        <v>19 444,-</v>
      </c>
      <c r="K545" s="670" t="str">
        <f>IF(EXC.RATE_2=0,"",IFERROR(IF(CURRENCY.FORMAT_2=0,CONCATENATE(TEXT(FIXED(ROUND(IF(EXC.RATE.SWITCH=1,C545/EXC.RATE_2,C545*EXC.RATE_2),CURRENCY.FORMAT_2),CURRENCY.FORMAT_2,1),"# ##0;-# ##0"),",-"),FIXED(ROUND(IF(EXC.RATE.SWITCH=1,C545/EXC.RATE_2,C545*EXC.RATE_2),CURRENCY.FORMAT_2),CURRENCY.FORMAT_2,0)),'DICTIONARY-5'!$A$2))</f>
        <v/>
      </c>
      <c r="L545" s="670" t="str">
        <f>IFERROR(IF(CURRENCY.FORMAT_1=0,CONCATENATE(TEXT(FIXED(ROUND((C545*(1-I545)*(1-ADD.DISCOUNT)*(1+MAT.SURCHARGE)/EXC.RATE_1),CURRENCY.FORMAT_1),CURRENCY.FORMAT_1,1),"# ##0;-# ##0"),",-"),FIXED(ROUND((C545*(1-I545)*(1-ADD.DISCOUNT)*(1+MAT.SURCHARGE)/EXC.RATE_1),CURRENCY.FORMAT_1),CURRENCY.FORMAT_1,0)),'DICTIONARY-5'!$A$2)</f>
        <v>20 202,-</v>
      </c>
      <c r="M545" s="670" t="str">
        <f>IF(EXC.RATE_2=0,"",IFERROR(IF(CURRENCY.FORMAT_2=0,CONCATENATE(TEXT(FIXED(ROUND(IF(EXC.RATE.SWITCH=1,C545*(1-I545)*(1-ADD.DISCOUNT)*(1+MAT.SURCHARGE)/EXC.RATE_2,C545*(1-I545)*(1-ADD.DISCOUNT)*(1+MAT.SURCHARGE)*EXC.RATE_2),CURRENCY.FORMAT_2),CURRENCY.FORMAT_2,1),"# ##0;-# ##0"),",-"),FIXED(ROUND(IF(EXC.RATE.SWITCH=1,C545*(1-I545)*(1-ADD.DISCOUNT)*(1+MAT.SURCHARGE)/EXC.RATE_2,C545*(1-I545)*(1-ADD.DISCOUNT)*(1+MAT.SURCHARGE)*EXC.RATE_2),CURRENCY.FORMAT_2),CURRENCY.FORMAT_2,0)),'DICTIONARY-5'!$A$2))</f>
        <v/>
      </c>
      <c r="N545" s="544">
        <v>2</v>
      </c>
      <c r="O545" s="544"/>
      <c r="P545" s="731" t="str">
        <f>'DICTIONARY-3'!$A$11</f>
        <v>ZETA</v>
      </c>
      <c r="Q545" s="732" t="str">
        <f>'DICTIONARY-3'!$A$189</f>
        <v>Zasuwa nożowa</v>
      </c>
      <c r="R545" s="732" t="str">
        <f>CONCATENATE('DICTIONARY-3'!$A$11," ",'DICTIONARY-6'!$A$6," ",'DICTIONARY-5'!$A$35," ",'DICTIONARY-2'!$A$2,"900"," ",'DICTIONARY-2'!$A$3,"10"," ",'DICTIONARY-2'!$A$10,"2,5",'DICTIONARY-2'!$A$20,", ",'DICTIONARY-4'!$A$8," GK14.6")</f>
        <v>ZETA Zasuwa noż. A4 DN900 PN10 PS2,5bar, PK GK14.6</v>
      </c>
      <c r="S545" s="733" t="str">
        <f>'DICTIONARY-4'!$A$8</f>
        <v>PK</v>
      </c>
      <c r="T545" s="732" t="str">
        <f>'DICTIONARY-4'!$A$24</f>
        <v>Przekładnia z kółkiem</v>
      </c>
      <c r="U545" s="734" t="s">
        <v>5837</v>
      </c>
      <c r="V545" s="735">
        <v>10</v>
      </c>
      <c r="W545" s="736"/>
      <c r="X545" s="737"/>
      <c r="Y545" s="738"/>
      <c r="Z545" s="739"/>
      <c r="AA545" s="739"/>
      <c r="AB545" s="740">
        <v>2.5</v>
      </c>
      <c r="AC545" s="741" t="str">
        <f>'DICTIONARY-5'!$A$11&amp;" 20"</f>
        <v>EN 558 szereg 20</v>
      </c>
      <c r="AD545" s="741" t="str">
        <f>'DICTIONARY-5'!$A$14</f>
        <v>ścieki</v>
      </c>
      <c r="AE545" s="742">
        <v>50</v>
      </c>
      <c r="AF545" s="743">
        <v>940</v>
      </c>
      <c r="AG545" s="741" t="str">
        <f>'DICTIONARY-5'!$A$23</f>
        <v>powłoka epoksydowa</v>
      </c>
    </row>
    <row r="546" spans="1:33" x14ac:dyDescent="0.25">
      <c r="A546" s="842" t="s">
        <v>543</v>
      </c>
      <c r="B546" s="842" t="s">
        <v>3201</v>
      </c>
      <c r="C546" s="836">
        <v>22599</v>
      </c>
      <c r="D546" s="836"/>
      <c r="E546" s="836"/>
      <c r="F546" s="836"/>
      <c r="G546" s="496" t="s">
        <v>7796</v>
      </c>
      <c r="H546" s="797" t="str">
        <f>VLOOKUP(G546,SETTINGS!$B$7:$D$97,2,0)</f>
        <v>ZETA</v>
      </c>
      <c r="I546" s="796">
        <f>VLOOKUP(G546,SETTINGS!$B$7:$D$97,3,0)</f>
        <v>0</v>
      </c>
      <c r="J546" s="670" t="str">
        <f>IFERROR(IF(CURRENCY.FORMAT_1=0,CONCATENATE(TEXT(FIXED(ROUND((C546/EXC.RATE_1),CURRENCY.FORMAT_1),CURRENCY.FORMAT_1,1),"# ##0;-# ##0"),",-"),FIXED(ROUND((C546/EXC.RATE_1),CURRENCY.FORMAT_1),CURRENCY.FORMAT_1,0)),'DICTIONARY-5'!$A$2)</f>
        <v>22 599,-</v>
      </c>
      <c r="K546" s="670" t="str">
        <f>IF(EXC.RATE_2=0,"",IFERROR(IF(CURRENCY.FORMAT_2=0,CONCATENATE(TEXT(FIXED(ROUND(IF(EXC.RATE.SWITCH=1,C546/EXC.RATE_2,C546*EXC.RATE_2),CURRENCY.FORMAT_2),CURRENCY.FORMAT_2,1),"# ##0;-# ##0"),",-"),FIXED(ROUND(IF(EXC.RATE.SWITCH=1,C546/EXC.RATE_2,C546*EXC.RATE_2),CURRENCY.FORMAT_2),CURRENCY.FORMAT_2,0)),'DICTIONARY-5'!$A$2))</f>
        <v/>
      </c>
      <c r="L546" s="670" t="str">
        <f>IFERROR(IF(CURRENCY.FORMAT_1=0,CONCATENATE(TEXT(FIXED(ROUND((C546*(1-I546)*(1-ADD.DISCOUNT)*(1+MAT.SURCHARGE)/EXC.RATE_1),CURRENCY.FORMAT_1),CURRENCY.FORMAT_1,1),"# ##0;-# ##0"),",-"),FIXED(ROUND((C546*(1-I546)*(1-ADD.DISCOUNT)*(1+MAT.SURCHARGE)/EXC.RATE_1),CURRENCY.FORMAT_1),CURRENCY.FORMAT_1,0)),'DICTIONARY-5'!$A$2)</f>
        <v>23 480,-</v>
      </c>
      <c r="M546" s="670" t="str">
        <f>IF(EXC.RATE_2=0,"",IFERROR(IF(CURRENCY.FORMAT_2=0,CONCATENATE(TEXT(FIXED(ROUND(IF(EXC.RATE.SWITCH=1,C546*(1-I546)*(1-ADD.DISCOUNT)*(1+MAT.SURCHARGE)/EXC.RATE_2,C546*(1-I546)*(1-ADD.DISCOUNT)*(1+MAT.SURCHARGE)*EXC.RATE_2),CURRENCY.FORMAT_2),CURRENCY.FORMAT_2,1),"# ##0;-# ##0"),",-"),FIXED(ROUND(IF(EXC.RATE.SWITCH=1,C546*(1-I546)*(1-ADD.DISCOUNT)*(1+MAT.SURCHARGE)/EXC.RATE_2,C546*(1-I546)*(1-ADD.DISCOUNT)*(1+MAT.SURCHARGE)*EXC.RATE_2),CURRENCY.FORMAT_2),CURRENCY.FORMAT_2,0)),'DICTIONARY-5'!$A$2))</f>
        <v/>
      </c>
      <c r="N546" s="544">
        <v>2</v>
      </c>
      <c r="O546" s="544"/>
      <c r="P546" s="731" t="str">
        <f>'DICTIONARY-3'!$A$11</f>
        <v>ZETA</v>
      </c>
      <c r="Q546" s="732" t="str">
        <f>'DICTIONARY-3'!$A$189</f>
        <v>Zasuwa nożowa</v>
      </c>
      <c r="R546" s="732" t="str">
        <f>CONCATENATE('DICTIONARY-3'!$A$11," ",'DICTIONARY-6'!$A$6," ",'DICTIONARY-5'!$A$35," ",'DICTIONARY-2'!$A$2,"1000"," ",'DICTIONARY-2'!$A$3,"10"," ",'DICTIONARY-2'!$A$10,"2,5",'DICTIONARY-2'!$A$20,", ",'DICTIONARY-4'!$A$8," GK14.6")</f>
        <v>ZETA Zasuwa noż. A4 DN1000 PN10 PS2,5bar, PK GK14.6</v>
      </c>
      <c r="S546" s="733" t="str">
        <f>'DICTIONARY-4'!$A$8</f>
        <v>PK</v>
      </c>
      <c r="T546" s="732" t="str">
        <f>'DICTIONARY-4'!$A$24</f>
        <v>Przekładnia z kółkiem</v>
      </c>
      <c r="U546" s="734" t="s">
        <v>5836</v>
      </c>
      <c r="V546" s="735">
        <v>10</v>
      </c>
      <c r="W546" s="736"/>
      <c r="X546" s="737"/>
      <c r="Y546" s="738"/>
      <c r="Z546" s="739"/>
      <c r="AA546" s="739"/>
      <c r="AB546" s="740">
        <v>2.5</v>
      </c>
      <c r="AC546" s="741" t="str">
        <f>'DICTIONARY-5'!$A$11&amp;" 20"</f>
        <v>EN 558 szereg 20</v>
      </c>
      <c r="AD546" s="741" t="str">
        <f>'DICTIONARY-5'!$A$14</f>
        <v>ścieki</v>
      </c>
      <c r="AE546" s="742">
        <v>50</v>
      </c>
      <c r="AF546" s="743">
        <v>1088</v>
      </c>
      <c r="AG546" s="741" t="str">
        <f>'DICTIONARY-5'!$A$23</f>
        <v>powłoka epoksydowa</v>
      </c>
    </row>
    <row r="547" spans="1:33" x14ac:dyDescent="0.25">
      <c r="A547" s="842" t="s">
        <v>544</v>
      </c>
      <c r="B547" s="842" t="str">
        <f>'DICTIONARY-5'!$A$2</f>
        <v>na zapytanie</v>
      </c>
      <c r="C547" s="836" t="s">
        <v>5967</v>
      </c>
      <c r="D547" s="836"/>
      <c r="E547" s="836"/>
      <c r="F547" s="836"/>
      <c r="G547" s="496" t="s">
        <v>7796</v>
      </c>
      <c r="H547" s="797" t="str">
        <f>VLOOKUP(G547,SETTINGS!$B$7:$D$97,2,0)</f>
        <v>ZETA</v>
      </c>
      <c r="I547" s="796">
        <f>VLOOKUP(G547,SETTINGS!$B$7:$D$97,3,0)</f>
        <v>0</v>
      </c>
      <c r="J547" s="670" t="str">
        <f>IFERROR(IF(CURRENCY.FORMAT_1=0,CONCATENATE(TEXT(FIXED(ROUND((C547/EXC.RATE_1),CURRENCY.FORMAT_1),CURRENCY.FORMAT_1,1),"# ##0;-# ##0"),",-"),FIXED(ROUND((C547/EXC.RATE_1),CURRENCY.FORMAT_1),CURRENCY.FORMAT_1,0)),'DICTIONARY-5'!$A$2)</f>
        <v>na zapytanie</v>
      </c>
      <c r="K547" s="670" t="str">
        <f>IF(EXC.RATE_2=0,"",IFERROR(IF(CURRENCY.FORMAT_2=0,CONCATENATE(TEXT(FIXED(ROUND(IF(EXC.RATE.SWITCH=1,C547/EXC.RATE_2,C547*EXC.RATE_2),CURRENCY.FORMAT_2),CURRENCY.FORMAT_2,1),"# ##0;-# ##0"),",-"),FIXED(ROUND(IF(EXC.RATE.SWITCH=1,C547/EXC.RATE_2,C547*EXC.RATE_2),CURRENCY.FORMAT_2),CURRENCY.FORMAT_2,0)),'DICTIONARY-5'!$A$2))</f>
        <v/>
      </c>
      <c r="L547" s="670" t="str">
        <f>IFERROR(IF(CURRENCY.FORMAT_1=0,CONCATENATE(TEXT(FIXED(ROUND((C547*(1-I547)*(1-ADD.DISCOUNT)*(1+MAT.SURCHARGE)/EXC.RATE_1),CURRENCY.FORMAT_1),CURRENCY.FORMAT_1,1),"# ##0;-# ##0"),",-"),FIXED(ROUND((C547*(1-I547)*(1-ADD.DISCOUNT)*(1+MAT.SURCHARGE)/EXC.RATE_1),CURRENCY.FORMAT_1),CURRENCY.FORMAT_1,0)),'DICTIONARY-5'!$A$2)</f>
        <v>na zapytanie</v>
      </c>
      <c r="M547" s="670" t="str">
        <f>IF(EXC.RATE_2=0,"",IFERROR(IF(CURRENCY.FORMAT_2=0,CONCATENATE(TEXT(FIXED(ROUND(IF(EXC.RATE.SWITCH=1,C547*(1-I547)*(1-ADD.DISCOUNT)*(1+MAT.SURCHARGE)/EXC.RATE_2,C547*(1-I547)*(1-ADD.DISCOUNT)*(1+MAT.SURCHARGE)*EXC.RATE_2),CURRENCY.FORMAT_2),CURRENCY.FORMAT_2,1),"# ##0;-# ##0"),",-"),FIXED(ROUND(IF(EXC.RATE.SWITCH=1,C547*(1-I547)*(1-ADD.DISCOUNT)*(1+MAT.SURCHARGE)/EXC.RATE_2,C547*(1-I547)*(1-ADD.DISCOUNT)*(1+MAT.SURCHARGE)*EXC.RATE_2),CURRENCY.FORMAT_2),CURRENCY.FORMAT_2,0)),'DICTIONARY-5'!$A$2))</f>
        <v/>
      </c>
      <c r="N547" s="544">
        <v>2</v>
      </c>
      <c r="O547" s="544"/>
      <c r="P547" s="731" t="str">
        <f>'DICTIONARY-3'!$A$11</f>
        <v>ZETA</v>
      </c>
      <c r="Q547" s="732" t="str">
        <f>'DICTIONARY-3'!$A$189</f>
        <v>Zasuwa nożowa</v>
      </c>
      <c r="R547" s="732" t="str">
        <f>CONCATENATE('DICTIONARY-3'!$A$11," ",'DICTIONARY-6'!$A$6," ",'DICTIONARY-5'!$A$34," ",'DICTIONARY-2'!$A$2,"1200"," ",'DICTIONARY-2'!$A$3,"10"," ",'DICTIONARY-2'!$A$10,"2",'DICTIONARY-2'!$A$20,", ",'DICTIONARY-4'!$A$8)</f>
        <v>ZETA Zasuwa noż. A2 DN1200 PN10 PS2bar, PK</v>
      </c>
      <c r="S547" s="733" t="str">
        <f>'DICTIONARY-4'!$A$8</f>
        <v>PK</v>
      </c>
      <c r="T547" s="732" t="str">
        <f>'DICTIONARY-4'!$A$24</f>
        <v>Przekładnia z kółkiem</v>
      </c>
      <c r="U547" s="734" t="s">
        <v>5838</v>
      </c>
      <c r="V547" s="735">
        <v>10</v>
      </c>
      <c r="W547" s="736"/>
      <c r="X547" s="737"/>
      <c r="Y547" s="738"/>
      <c r="Z547" s="739"/>
      <c r="AA547" s="739"/>
      <c r="AB547" s="740">
        <v>2</v>
      </c>
      <c r="AC547" s="741" t="str">
        <f>'DICTIONARY-5'!$A$11&amp;" 20"</f>
        <v>EN 558 szereg 20</v>
      </c>
      <c r="AD547" s="741" t="str">
        <f>'DICTIONARY-5'!$A$14</f>
        <v>ścieki</v>
      </c>
      <c r="AE547" s="742">
        <v>50</v>
      </c>
      <c r="AF547" s="743"/>
      <c r="AG547" s="741" t="str">
        <f>'DICTIONARY-5'!$A$23</f>
        <v>powłoka epoksydowa</v>
      </c>
    </row>
    <row r="548" spans="1:33" x14ac:dyDescent="0.25">
      <c r="A548" s="842" t="s">
        <v>545</v>
      </c>
      <c r="B548" s="842" t="str">
        <f>'DICTIONARY-5'!$A$2</f>
        <v>na zapytanie</v>
      </c>
      <c r="C548" s="836" t="s">
        <v>5967</v>
      </c>
      <c r="D548" s="836"/>
      <c r="E548" s="836"/>
      <c r="F548" s="836"/>
      <c r="G548" s="496" t="s">
        <v>7796</v>
      </c>
      <c r="H548" s="797" t="str">
        <f>VLOOKUP(G548,SETTINGS!$B$7:$D$97,2,0)</f>
        <v>ZETA</v>
      </c>
      <c r="I548" s="796">
        <f>VLOOKUP(G548,SETTINGS!$B$7:$D$97,3,0)</f>
        <v>0</v>
      </c>
      <c r="J548" s="670" t="str">
        <f>IFERROR(IF(CURRENCY.FORMAT_1=0,CONCATENATE(TEXT(FIXED(ROUND((C548/EXC.RATE_1),CURRENCY.FORMAT_1),CURRENCY.FORMAT_1,1),"# ##0;-# ##0"),",-"),FIXED(ROUND((C548/EXC.RATE_1),CURRENCY.FORMAT_1),CURRENCY.FORMAT_1,0)),'DICTIONARY-5'!$A$2)</f>
        <v>na zapytanie</v>
      </c>
      <c r="K548" s="670" t="str">
        <f>IF(EXC.RATE_2=0,"",IFERROR(IF(CURRENCY.FORMAT_2=0,CONCATENATE(TEXT(FIXED(ROUND(IF(EXC.RATE.SWITCH=1,C548/EXC.RATE_2,C548*EXC.RATE_2),CURRENCY.FORMAT_2),CURRENCY.FORMAT_2,1),"# ##0;-# ##0"),",-"),FIXED(ROUND(IF(EXC.RATE.SWITCH=1,C548/EXC.RATE_2,C548*EXC.RATE_2),CURRENCY.FORMAT_2),CURRENCY.FORMAT_2,0)),'DICTIONARY-5'!$A$2))</f>
        <v/>
      </c>
      <c r="L548" s="670" t="str">
        <f>IFERROR(IF(CURRENCY.FORMAT_1=0,CONCATENATE(TEXT(FIXED(ROUND((C548*(1-I548)*(1-ADD.DISCOUNT)*(1+MAT.SURCHARGE)/EXC.RATE_1),CURRENCY.FORMAT_1),CURRENCY.FORMAT_1,1),"# ##0;-# ##0"),",-"),FIXED(ROUND((C548*(1-I548)*(1-ADD.DISCOUNT)*(1+MAT.SURCHARGE)/EXC.RATE_1),CURRENCY.FORMAT_1),CURRENCY.FORMAT_1,0)),'DICTIONARY-5'!$A$2)</f>
        <v>na zapytanie</v>
      </c>
      <c r="M548" s="670" t="str">
        <f>IF(EXC.RATE_2=0,"",IFERROR(IF(CURRENCY.FORMAT_2=0,CONCATENATE(TEXT(FIXED(ROUND(IF(EXC.RATE.SWITCH=1,C548*(1-I548)*(1-ADD.DISCOUNT)*(1+MAT.SURCHARGE)/EXC.RATE_2,C548*(1-I548)*(1-ADD.DISCOUNT)*(1+MAT.SURCHARGE)*EXC.RATE_2),CURRENCY.FORMAT_2),CURRENCY.FORMAT_2,1),"# ##0;-# ##0"),",-"),FIXED(ROUND(IF(EXC.RATE.SWITCH=1,C548*(1-I548)*(1-ADD.DISCOUNT)*(1+MAT.SURCHARGE)/EXC.RATE_2,C548*(1-I548)*(1-ADD.DISCOUNT)*(1+MAT.SURCHARGE)*EXC.RATE_2),CURRENCY.FORMAT_2),CURRENCY.FORMAT_2,0)),'DICTIONARY-5'!$A$2))</f>
        <v/>
      </c>
      <c r="N548" s="544">
        <v>2</v>
      </c>
      <c r="O548" s="544"/>
      <c r="P548" s="731" t="str">
        <f>'DICTIONARY-3'!$A$11</f>
        <v>ZETA</v>
      </c>
      <c r="Q548" s="732" t="str">
        <f>'DICTIONARY-3'!$A$189</f>
        <v>Zasuwa nożowa</v>
      </c>
      <c r="R548" s="732" t="str">
        <f>CONCATENATE('DICTIONARY-3'!$A$11," ",'DICTIONARY-6'!$A$6," ",'DICTIONARY-5'!$A$34," ",'DICTIONARY-2'!$A$2,"1400"," ",'DICTIONARY-2'!$A$3,"10"," ",'DICTIONARY-2'!$A$10,"2",'DICTIONARY-2'!$A$20,", ",'DICTIONARY-4'!$A$8)</f>
        <v>ZETA Zasuwa noż. A2 DN1400 PN10 PS2bar, PK</v>
      </c>
      <c r="S548" s="733" t="str">
        <f>'DICTIONARY-4'!$A$8</f>
        <v>PK</v>
      </c>
      <c r="T548" s="732" t="str">
        <f>'DICTIONARY-4'!$A$24</f>
        <v>Przekładnia z kółkiem</v>
      </c>
      <c r="U548" s="734" t="s">
        <v>5839</v>
      </c>
      <c r="V548" s="735">
        <v>10</v>
      </c>
      <c r="W548" s="736"/>
      <c r="X548" s="737"/>
      <c r="Y548" s="738"/>
      <c r="Z548" s="739"/>
      <c r="AA548" s="739"/>
      <c r="AB548" s="740">
        <v>2</v>
      </c>
      <c r="AC548" s="741" t="str">
        <f>'DICTIONARY-5'!$A$11&amp;" 20"</f>
        <v>EN 558 szereg 20</v>
      </c>
      <c r="AD548" s="741" t="str">
        <f>'DICTIONARY-5'!$A$14</f>
        <v>ścieki</v>
      </c>
      <c r="AE548" s="742">
        <v>50</v>
      </c>
      <c r="AF548" s="743"/>
      <c r="AG548" s="741" t="str">
        <f>'DICTIONARY-5'!$A$23</f>
        <v>powłoka epoksydowa</v>
      </c>
    </row>
    <row r="549" spans="1:33" x14ac:dyDescent="0.25">
      <c r="A549" s="842" t="s">
        <v>546</v>
      </c>
      <c r="B549" s="842" t="s">
        <v>3185</v>
      </c>
      <c r="C549" s="836">
        <v>285</v>
      </c>
      <c r="D549" s="836"/>
      <c r="E549" s="836"/>
      <c r="F549" s="836"/>
      <c r="G549" s="496" t="s">
        <v>7796</v>
      </c>
      <c r="H549" s="797" t="str">
        <f>VLOOKUP(G549,SETTINGS!$B$7:$D$97,2,0)</f>
        <v>ZETA</v>
      </c>
      <c r="I549" s="796">
        <f>VLOOKUP(G549,SETTINGS!$B$7:$D$97,3,0)</f>
        <v>0</v>
      </c>
      <c r="J549" s="670" t="str">
        <f>IFERROR(IF(CURRENCY.FORMAT_1=0,CONCATENATE(TEXT(FIXED(ROUND((C549/EXC.RATE_1),CURRENCY.FORMAT_1),CURRENCY.FORMAT_1,1),"# ##0;-# ##0"),",-"),FIXED(ROUND((C549/EXC.RATE_1),CURRENCY.FORMAT_1),CURRENCY.FORMAT_1,0)),'DICTIONARY-5'!$A$2)</f>
        <v>285,-</v>
      </c>
      <c r="K549" s="670" t="str">
        <f>IF(EXC.RATE_2=0,"",IFERROR(IF(CURRENCY.FORMAT_2=0,CONCATENATE(TEXT(FIXED(ROUND(IF(EXC.RATE.SWITCH=1,C549/EXC.RATE_2,C549*EXC.RATE_2),CURRENCY.FORMAT_2),CURRENCY.FORMAT_2,1),"# ##0;-# ##0"),",-"),FIXED(ROUND(IF(EXC.RATE.SWITCH=1,C549/EXC.RATE_2,C549*EXC.RATE_2),CURRENCY.FORMAT_2),CURRENCY.FORMAT_2,0)),'DICTIONARY-5'!$A$2))</f>
        <v/>
      </c>
      <c r="L549" s="670" t="str">
        <f>IFERROR(IF(CURRENCY.FORMAT_1=0,CONCATENATE(TEXT(FIXED(ROUND((C549*(1-I549)*(1-ADD.DISCOUNT)*(1+MAT.SURCHARGE)/EXC.RATE_1),CURRENCY.FORMAT_1),CURRENCY.FORMAT_1,1),"# ##0;-# ##0"),",-"),FIXED(ROUND((C549*(1-I549)*(1-ADD.DISCOUNT)*(1+MAT.SURCHARGE)/EXC.RATE_1),CURRENCY.FORMAT_1),CURRENCY.FORMAT_1,0)),'DICTIONARY-5'!$A$2)</f>
        <v>296,-</v>
      </c>
      <c r="M549" s="670" t="str">
        <f>IF(EXC.RATE_2=0,"",IFERROR(IF(CURRENCY.FORMAT_2=0,CONCATENATE(TEXT(FIXED(ROUND(IF(EXC.RATE.SWITCH=1,C549*(1-I549)*(1-ADD.DISCOUNT)*(1+MAT.SURCHARGE)/EXC.RATE_2,C549*(1-I549)*(1-ADD.DISCOUNT)*(1+MAT.SURCHARGE)*EXC.RATE_2),CURRENCY.FORMAT_2),CURRENCY.FORMAT_2,1),"# ##0;-# ##0"),",-"),FIXED(ROUND(IF(EXC.RATE.SWITCH=1,C549*(1-I549)*(1-ADD.DISCOUNT)*(1+MAT.SURCHARGE)/EXC.RATE_2,C549*(1-I549)*(1-ADD.DISCOUNT)*(1+MAT.SURCHARGE)*EXC.RATE_2),CURRENCY.FORMAT_2),CURRENCY.FORMAT_2,0)),'DICTIONARY-5'!$A$2))</f>
        <v/>
      </c>
      <c r="N549" s="544">
        <v>2</v>
      </c>
      <c r="O549" s="544"/>
      <c r="P549" s="731" t="str">
        <f>'DICTIONARY-3'!$A$11</f>
        <v>ZETA</v>
      </c>
      <c r="Q549" s="732" t="str">
        <f>'DICTIONARY-3'!$A$189</f>
        <v>Zasuwa nożowa</v>
      </c>
      <c r="R549" s="732" t="str">
        <f>CONCATENATE('DICTIONARY-3'!$A$11," ",'DICTIONARY-6'!$A$6," ",'DICTIONARY-5'!$A$35," ",'DICTIONARY-2'!$A$2,"50"," ",'DICTIONARY-2'!$A$3,"10"," ",'DICTIONARY-2'!$A$10,"10",'DICTIONARY-2'!$A$20,", ",'DICTIONARY-4'!$A$11)</f>
        <v>ZETA Zasuwa noż. A4 DN50 PN10 PS10bar, PNE</v>
      </c>
      <c r="S549" s="733" t="str">
        <f>'DICTIONARY-4'!$A$11</f>
        <v>PNE</v>
      </c>
      <c r="T549" s="732" t="str">
        <f>'DICTIONARY-4'!$A$27</f>
        <v>Przygotowane pod napęd elektryczny</v>
      </c>
      <c r="U549" s="734" t="s">
        <v>5748</v>
      </c>
      <c r="V549" s="735">
        <v>10</v>
      </c>
      <c r="W549" s="736"/>
      <c r="X549" s="737"/>
      <c r="Y549" s="738"/>
      <c r="Z549" s="739"/>
      <c r="AA549" s="739"/>
      <c r="AB549" s="740">
        <v>10</v>
      </c>
      <c r="AC549" s="741" t="str">
        <f>'DICTIONARY-5'!$A$11&amp;" 20"</f>
        <v>EN 558 szereg 20</v>
      </c>
      <c r="AD549" s="741" t="str">
        <f>'DICTIONARY-5'!$A$14</f>
        <v>ścieki</v>
      </c>
      <c r="AE549" s="742">
        <v>50</v>
      </c>
      <c r="AF549" s="743">
        <v>9.5</v>
      </c>
      <c r="AG549" s="741" t="str">
        <f>'DICTIONARY-5'!$A$23</f>
        <v>powłoka epoksydowa</v>
      </c>
    </row>
    <row r="550" spans="1:33" x14ac:dyDescent="0.25">
      <c r="A550" s="842" t="s">
        <v>547</v>
      </c>
      <c r="B550" s="842" t="s">
        <v>3186</v>
      </c>
      <c r="C550" s="836">
        <v>292</v>
      </c>
      <c r="D550" s="836"/>
      <c r="E550" s="836"/>
      <c r="F550" s="836"/>
      <c r="G550" s="496" t="s">
        <v>7796</v>
      </c>
      <c r="H550" s="797" t="str">
        <f>VLOOKUP(G550,SETTINGS!$B$7:$D$97,2,0)</f>
        <v>ZETA</v>
      </c>
      <c r="I550" s="796">
        <f>VLOOKUP(G550,SETTINGS!$B$7:$D$97,3,0)</f>
        <v>0</v>
      </c>
      <c r="J550" s="670" t="str">
        <f>IFERROR(IF(CURRENCY.FORMAT_1=0,CONCATENATE(TEXT(FIXED(ROUND((C550/EXC.RATE_1),CURRENCY.FORMAT_1),CURRENCY.FORMAT_1,1),"# ##0;-# ##0"),",-"),FIXED(ROUND((C550/EXC.RATE_1),CURRENCY.FORMAT_1),CURRENCY.FORMAT_1,0)),'DICTIONARY-5'!$A$2)</f>
        <v>292,-</v>
      </c>
      <c r="K550" s="670" t="str">
        <f>IF(EXC.RATE_2=0,"",IFERROR(IF(CURRENCY.FORMAT_2=0,CONCATENATE(TEXT(FIXED(ROUND(IF(EXC.RATE.SWITCH=1,C550/EXC.RATE_2,C550*EXC.RATE_2),CURRENCY.FORMAT_2),CURRENCY.FORMAT_2,1),"# ##0;-# ##0"),",-"),FIXED(ROUND(IF(EXC.RATE.SWITCH=1,C550/EXC.RATE_2,C550*EXC.RATE_2),CURRENCY.FORMAT_2),CURRENCY.FORMAT_2,0)),'DICTIONARY-5'!$A$2))</f>
        <v/>
      </c>
      <c r="L550" s="670" t="str">
        <f>IFERROR(IF(CURRENCY.FORMAT_1=0,CONCATENATE(TEXT(FIXED(ROUND((C550*(1-I550)*(1-ADD.DISCOUNT)*(1+MAT.SURCHARGE)/EXC.RATE_1),CURRENCY.FORMAT_1),CURRENCY.FORMAT_1,1),"# ##0;-# ##0"),",-"),FIXED(ROUND((C550*(1-I550)*(1-ADD.DISCOUNT)*(1+MAT.SURCHARGE)/EXC.RATE_1),CURRENCY.FORMAT_1),CURRENCY.FORMAT_1,0)),'DICTIONARY-5'!$A$2)</f>
        <v>303,-</v>
      </c>
      <c r="M550" s="670" t="str">
        <f>IF(EXC.RATE_2=0,"",IFERROR(IF(CURRENCY.FORMAT_2=0,CONCATENATE(TEXT(FIXED(ROUND(IF(EXC.RATE.SWITCH=1,C550*(1-I550)*(1-ADD.DISCOUNT)*(1+MAT.SURCHARGE)/EXC.RATE_2,C550*(1-I550)*(1-ADD.DISCOUNT)*(1+MAT.SURCHARGE)*EXC.RATE_2),CURRENCY.FORMAT_2),CURRENCY.FORMAT_2,1),"# ##0;-# ##0"),",-"),FIXED(ROUND(IF(EXC.RATE.SWITCH=1,C550*(1-I550)*(1-ADD.DISCOUNT)*(1+MAT.SURCHARGE)/EXC.RATE_2,C550*(1-I550)*(1-ADD.DISCOUNT)*(1+MAT.SURCHARGE)*EXC.RATE_2),CURRENCY.FORMAT_2),CURRENCY.FORMAT_2,0)),'DICTIONARY-5'!$A$2))</f>
        <v/>
      </c>
      <c r="N550" s="544">
        <v>2</v>
      </c>
      <c r="O550" s="544"/>
      <c r="P550" s="731" t="str">
        <f>'DICTIONARY-3'!$A$11</f>
        <v>ZETA</v>
      </c>
      <c r="Q550" s="732" t="str">
        <f>'DICTIONARY-3'!$A$189</f>
        <v>Zasuwa nożowa</v>
      </c>
      <c r="R550" s="732" t="str">
        <f>CONCATENATE('DICTIONARY-3'!$A$11," ",'DICTIONARY-6'!$A$6," ",'DICTIONARY-5'!$A$35," ",'DICTIONARY-2'!$A$2,"65"," ",'DICTIONARY-2'!$A$3,"10"," ",'DICTIONARY-2'!$A$10,"10",'DICTIONARY-2'!$A$20,", ",'DICTIONARY-4'!$A$11)</f>
        <v>ZETA Zasuwa noż. A4 DN65 PN10 PS10bar, PNE</v>
      </c>
      <c r="S550" s="733" t="str">
        <f>'DICTIONARY-4'!$A$11</f>
        <v>PNE</v>
      </c>
      <c r="T550" s="732" t="str">
        <f>'DICTIONARY-4'!$A$27</f>
        <v>Przygotowane pod napęd elektryczny</v>
      </c>
      <c r="U550" s="734" t="s">
        <v>5759</v>
      </c>
      <c r="V550" s="735">
        <v>10</v>
      </c>
      <c r="W550" s="736"/>
      <c r="X550" s="737"/>
      <c r="Y550" s="738"/>
      <c r="Z550" s="739"/>
      <c r="AA550" s="739"/>
      <c r="AB550" s="740">
        <v>10</v>
      </c>
      <c r="AC550" s="741" t="str">
        <f>'DICTIONARY-5'!$A$11&amp;" 20"</f>
        <v>EN 558 szereg 20</v>
      </c>
      <c r="AD550" s="741" t="str">
        <f>'DICTIONARY-5'!$A$14</f>
        <v>ścieki</v>
      </c>
      <c r="AE550" s="742">
        <v>50</v>
      </c>
      <c r="AF550" s="743">
        <v>10.5</v>
      </c>
      <c r="AG550" s="741" t="str">
        <f>'DICTIONARY-5'!$A$23</f>
        <v>powłoka epoksydowa</v>
      </c>
    </row>
    <row r="551" spans="1:33" x14ac:dyDescent="0.25">
      <c r="A551" s="842" t="s">
        <v>548</v>
      </c>
      <c r="B551" s="842" t="s">
        <v>3187</v>
      </c>
      <c r="C551" s="836">
        <v>330</v>
      </c>
      <c r="D551" s="836"/>
      <c r="E551" s="836"/>
      <c r="F551" s="836"/>
      <c r="G551" s="496" t="s">
        <v>7796</v>
      </c>
      <c r="H551" s="797" t="str">
        <f>VLOOKUP(G551,SETTINGS!$B$7:$D$97,2,0)</f>
        <v>ZETA</v>
      </c>
      <c r="I551" s="796">
        <f>VLOOKUP(G551,SETTINGS!$B$7:$D$97,3,0)</f>
        <v>0</v>
      </c>
      <c r="J551" s="670" t="str">
        <f>IFERROR(IF(CURRENCY.FORMAT_1=0,CONCATENATE(TEXT(FIXED(ROUND((C551/EXC.RATE_1),CURRENCY.FORMAT_1),CURRENCY.FORMAT_1,1),"# ##0;-# ##0"),",-"),FIXED(ROUND((C551/EXC.RATE_1),CURRENCY.FORMAT_1),CURRENCY.FORMAT_1,0)),'DICTIONARY-5'!$A$2)</f>
        <v>330,-</v>
      </c>
      <c r="K551" s="670" t="str">
        <f>IF(EXC.RATE_2=0,"",IFERROR(IF(CURRENCY.FORMAT_2=0,CONCATENATE(TEXT(FIXED(ROUND(IF(EXC.RATE.SWITCH=1,C551/EXC.RATE_2,C551*EXC.RATE_2),CURRENCY.FORMAT_2),CURRENCY.FORMAT_2,1),"# ##0;-# ##0"),",-"),FIXED(ROUND(IF(EXC.RATE.SWITCH=1,C551/EXC.RATE_2,C551*EXC.RATE_2),CURRENCY.FORMAT_2),CURRENCY.FORMAT_2,0)),'DICTIONARY-5'!$A$2))</f>
        <v/>
      </c>
      <c r="L551" s="670" t="str">
        <f>IFERROR(IF(CURRENCY.FORMAT_1=0,CONCATENATE(TEXT(FIXED(ROUND((C551*(1-I551)*(1-ADD.DISCOUNT)*(1+MAT.SURCHARGE)/EXC.RATE_1),CURRENCY.FORMAT_1),CURRENCY.FORMAT_1,1),"# ##0;-# ##0"),",-"),FIXED(ROUND((C551*(1-I551)*(1-ADD.DISCOUNT)*(1+MAT.SURCHARGE)/EXC.RATE_1),CURRENCY.FORMAT_1),CURRENCY.FORMAT_1,0)),'DICTIONARY-5'!$A$2)</f>
        <v>343,-</v>
      </c>
      <c r="M551" s="670" t="str">
        <f>IF(EXC.RATE_2=0,"",IFERROR(IF(CURRENCY.FORMAT_2=0,CONCATENATE(TEXT(FIXED(ROUND(IF(EXC.RATE.SWITCH=1,C551*(1-I551)*(1-ADD.DISCOUNT)*(1+MAT.SURCHARGE)/EXC.RATE_2,C551*(1-I551)*(1-ADD.DISCOUNT)*(1+MAT.SURCHARGE)*EXC.RATE_2),CURRENCY.FORMAT_2),CURRENCY.FORMAT_2,1),"# ##0;-# ##0"),",-"),FIXED(ROUND(IF(EXC.RATE.SWITCH=1,C551*(1-I551)*(1-ADD.DISCOUNT)*(1+MAT.SURCHARGE)/EXC.RATE_2,C551*(1-I551)*(1-ADD.DISCOUNT)*(1+MAT.SURCHARGE)*EXC.RATE_2),CURRENCY.FORMAT_2),CURRENCY.FORMAT_2,0)),'DICTIONARY-5'!$A$2))</f>
        <v/>
      </c>
      <c r="N551" s="544">
        <v>2</v>
      </c>
      <c r="O551" s="544"/>
      <c r="P551" s="731" t="str">
        <f>'DICTIONARY-3'!$A$11</f>
        <v>ZETA</v>
      </c>
      <c r="Q551" s="732" t="str">
        <f>'DICTIONARY-3'!$A$189</f>
        <v>Zasuwa nożowa</v>
      </c>
      <c r="R551" s="732" t="str">
        <f>CONCATENATE('DICTIONARY-3'!$A$11," ",'DICTIONARY-6'!$A$6," ",'DICTIONARY-5'!$A$35," ",'DICTIONARY-2'!$A$2,"80"," ",'DICTIONARY-2'!$A$3,"10"," ",'DICTIONARY-2'!$A$10,"10",'DICTIONARY-2'!$A$20,", ",'DICTIONARY-4'!$A$11)</f>
        <v>ZETA Zasuwa noż. A4 DN80 PN10 PS10bar, PNE</v>
      </c>
      <c r="S551" s="733" t="str">
        <f>'DICTIONARY-4'!$A$11</f>
        <v>PNE</v>
      </c>
      <c r="T551" s="732" t="str">
        <f>'DICTIONARY-4'!$A$27</f>
        <v>Przygotowane pod napęd elektryczny</v>
      </c>
      <c r="U551" s="734" t="s">
        <v>5760</v>
      </c>
      <c r="V551" s="735">
        <v>10</v>
      </c>
      <c r="W551" s="736"/>
      <c r="X551" s="737"/>
      <c r="Y551" s="738"/>
      <c r="Z551" s="739"/>
      <c r="AA551" s="739"/>
      <c r="AB551" s="740">
        <v>10</v>
      </c>
      <c r="AC551" s="741" t="str">
        <f>'DICTIONARY-5'!$A$11&amp;" 20"</f>
        <v>EN 558 szereg 20</v>
      </c>
      <c r="AD551" s="741" t="str">
        <f>'DICTIONARY-5'!$A$14</f>
        <v>ścieki</v>
      </c>
      <c r="AE551" s="742">
        <v>50</v>
      </c>
      <c r="AF551" s="743">
        <v>12.5</v>
      </c>
      <c r="AG551" s="741" t="str">
        <f>'DICTIONARY-5'!$A$23</f>
        <v>powłoka epoksydowa</v>
      </c>
    </row>
    <row r="552" spans="1:33" x14ac:dyDescent="0.25">
      <c r="A552" s="842" t="s">
        <v>549</v>
      </c>
      <c r="B552" s="842" t="s">
        <v>3188</v>
      </c>
      <c r="C552" s="836">
        <v>364</v>
      </c>
      <c r="D552" s="836"/>
      <c r="E552" s="836"/>
      <c r="F552" s="836"/>
      <c r="G552" s="496" t="s">
        <v>7796</v>
      </c>
      <c r="H552" s="797" t="str">
        <f>VLOOKUP(G552,SETTINGS!$B$7:$D$97,2,0)</f>
        <v>ZETA</v>
      </c>
      <c r="I552" s="796">
        <f>VLOOKUP(G552,SETTINGS!$B$7:$D$97,3,0)</f>
        <v>0</v>
      </c>
      <c r="J552" s="670" t="str">
        <f>IFERROR(IF(CURRENCY.FORMAT_1=0,CONCATENATE(TEXT(FIXED(ROUND((C552/EXC.RATE_1),CURRENCY.FORMAT_1),CURRENCY.FORMAT_1,1),"# ##0;-# ##0"),",-"),FIXED(ROUND((C552/EXC.RATE_1),CURRENCY.FORMAT_1),CURRENCY.FORMAT_1,0)),'DICTIONARY-5'!$A$2)</f>
        <v>364,-</v>
      </c>
      <c r="K552" s="670" t="str">
        <f>IF(EXC.RATE_2=0,"",IFERROR(IF(CURRENCY.FORMAT_2=0,CONCATENATE(TEXT(FIXED(ROUND(IF(EXC.RATE.SWITCH=1,C552/EXC.RATE_2,C552*EXC.RATE_2),CURRENCY.FORMAT_2),CURRENCY.FORMAT_2,1),"# ##0;-# ##0"),",-"),FIXED(ROUND(IF(EXC.RATE.SWITCH=1,C552/EXC.RATE_2,C552*EXC.RATE_2),CURRENCY.FORMAT_2),CURRENCY.FORMAT_2,0)),'DICTIONARY-5'!$A$2))</f>
        <v/>
      </c>
      <c r="L552" s="670" t="str">
        <f>IFERROR(IF(CURRENCY.FORMAT_1=0,CONCATENATE(TEXT(FIXED(ROUND((C552*(1-I552)*(1-ADD.DISCOUNT)*(1+MAT.SURCHARGE)/EXC.RATE_1),CURRENCY.FORMAT_1),CURRENCY.FORMAT_1,1),"# ##0;-# ##0"),",-"),FIXED(ROUND((C552*(1-I552)*(1-ADD.DISCOUNT)*(1+MAT.SURCHARGE)/EXC.RATE_1),CURRENCY.FORMAT_1),CURRENCY.FORMAT_1,0)),'DICTIONARY-5'!$A$2)</f>
        <v>378,-</v>
      </c>
      <c r="M552" s="670" t="str">
        <f>IF(EXC.RATE_2=0,"",IFERROR(IF(CURRENCY.FORMAT_2=0,CONCATENATE(TEXT(FIXED(ROUND(IF(EXC.RATE.SWITCH=1,C552*(1-I552)*(1-ADD.DISCOUNT)*(1+MAT.SURCHARGE)/EXC.RATE_2,C552*(1-I552)*(1-ADD.DISCOUNT)*(1+MAT.SURCHARGE)*EXC.RATE_2),CURRENCY.FORMAT_2),CURRENCY.FORMAT_2,1),"# ##0;-# ##0"),",-"),FIXED(ROUND(IF(EXC.RATE.SWITCH=1,C552*(1-I552)*(1-ADD.DISCOUNT)*(1+MAT.SURCHARGE)/EXC.RATE_2,C552*(1-I552)*(1-ADD.DISCOUNT)*(1+MAT.SURCHARGE)*EXC.RATE_2),CURRENCY.FORMAT_2),CURRENCY.FORMAT_2,0)),'DICTIONARY-5'!$A$2))</f>
        <v/>
      </c>
      <c r="N552" s="544">
        <v>2</v>
      </c>
      <c r="O552" s="544"/>
      <c r="P552" s="731" t="str">
        <f>'DICTIONARY-3'!$A$11</f>
        <v>ZETA</v>
      </c>
      <c r="Q552" s="732" t="str">
        <f>'DICTIONARY-3'!$A$189</f>
        <v>Zasuwa nożowa</v>
      </c>
      <c r="R552" s="732" t="str">
        <f>CONCATENATE('DICTIONARY-3'!$A$11," ",'DICTIONARY-6'!$A$6," ",'DICTIONARY-5'!$A$35," ",'DICTIONARY-2'!$A$2,"100"," ",'DICTIONARY-2'!$A$3,"10"," ",'DICTIONARY-2'!$A$10,"10",'DICTIONARY-2'!$A$20,", ",'DICTIONARY-4'!$A$11)</f>
        <v>ZETA Zasuwa noż. A4 DN100 PN10 PS10bar, PNE</v>
      </c>
      <c r="S552" s="733" t="str">
        <f>'DICTIONARY-4'!$A$11</f>
        <v>PNE</v>
      </c>
      <c r="T552" s="732" t="str">
        <f>'DICTIONARY-4'!$A$27</f>
        <v>Przygotowane pod napęd elektryczny</v>
      </c>
      <c r="U552" s="734" t="s">
        <v>5749</v>
      </c>
      <c r="V552" s="735">
        <v>10</v>
      </c>
      <c r="W552" s="736"/>
      <c r="X552" s="737"/>
      <c r="Y552" s="738"/>
      <c r="Z552" s="739"/>
      <c r="AA552" s="739"/>
      <c r="AB552" s="740">
        <v>10</v>
      </c>
      <c r="AC552" s="741" t="str">
        <f>'DICTIONARY-5'!$A$11&amp;" 20"</f>
        <v>EN 558 szereg 20</v>
      </c>
      <c r="AD552" s="741" t="str">
        <f>'DICTIONARY-5'!$A$14</f>
        <v>ścieki</v>
      </c>
      <c r="AE552" s="742">
        <v>50</v>
      </c>
      <c r="AF552" s="743">
        <v>14.5</v>
      </c>
      <c r="AG552" s="741" t="str">
        <f>'DICTIONARY-5'!$A$23</f>
        <v>powłoka epoksydowa</v>
      </c>
    </row>
    <row r="553" spans="1:33" x14ac:dyDescent="0.25">
      <c r="A553" s="842" t="s">
        <v>550</v>
      </c>
      <c r="B553" s="842" t="s">
        <v>3189</v>
      </c>
      <c r="C553" s="836">
        <v>406</v>
      </c>
      <c r="D553" s="836"/>
      <c r="E553" s="836"/>
      <c r="F553" s="836"/>
      <c r="G553" s="496" t="s">
        <v>7796</v>
      </c>
      <c r="H553" s="797" t="str">
        <f>VLOOKUP(G553,SETTINGS!$B$7:$D$97,2,0)</f>
        <v>ZETA</v>
      </c>
      <c r="I553" s="796">
        <f>VLOOKUP(G553,SETTINGS!$B$7:$D$97,3,0)</f>
        <v>0</v>
      </c>
      <c r="J553" s="670" t="str">
        <f>IFERROR(IF(CURRENCY.FORMAT_1=0,CONCATENATE(TEXT(FIXED(ROUND((C553/EXC.RATE_1),CURRENCY.FORMAT_1),CURRENCY.FORMAT_1,1),"# ##0;-# ##0"),",-"),FIXED(ROUND((C553/EXC.RATE_1),CURRENCY.FORMAT_1),CURRENCY.FORMAT_1,0)),'DICTIONARY-5'!$A$2)</f>
        <v>406,-</v>
      </c>
      <c r="K553" s="670" t="str">
        <f>IF(EXC.RATE_2=0,"",IFERROR(IF(CURRENCY.FORMAT_2=0,CONCATENATE(TEXT(FIXED(ROUND(IF(EXC.RATE.SWITCH=1,C553/EXC.RATE_2,C553*EXC.RATE_2),CURRENCY.FORMAT_2),CURRENCY.FORMAT_2,1),"# ##0;-# ##0"),",-"),FIXED(ROUND(IF(EXC.RATE.SWITCH=1,C553/EXC.RATE_2,C553*EXC.RATE_2),CURRENCY.FORMAT_2),CURRENCY.FORMAT_2,0)),'DICTIONARY-5'!$A$2))</f>
        <v/>
      </c>
      <c r="L553" s="670" t="str">
        <f>IFERROR(IF(CURRENCY.FORMAT_1=0,CONCATENATE(TEXT(FIXED(ROUND((C553*(1-I553)*(1-ADD.DISCOUNT)*(1+MAT.SURCHARGE)/EXC.RATE_1),CURRENCY.FORMAT_1),CURRENCY.FORMAT_1,1),"# ##0;-# ##0"),",-"),FIXED(ROUND((C553*(1-I553)*(1-ADD.DISCOUNT)*(1+MAT.SURCHARGE)/EXC.RATE_1),CURRENCY.FORMAT_1),CURRENCY.FORMAT_1,0)),'DICTIONARY-5'!$A$2)</f>
        <v>422,-</v>
      </c>
      <c r="M553" s="670" t="str">
        <f>IF(EXC.RATE_2=0,"",IFERROR(IF(CURRENCY.FORMAT_2=0,CONCATENATE(TEXT(FIXED(ROUND(IF(EXC.RATE.SWITCH=1,C553*(1-I553)*(1-ADD.DISCOUNT)*(1+MAT.SURCHARGE)/EXC.RATE_2,C553*(1-I553)*(1-ADD.DISCOUNT)*(1+MAT.SURCHARGE)*EXC.RATE_2),CURRENCY.FORMAT_2),CURRENCY.FORMAT_2,1),"# ##0;-# ##0"),",-"),FIXED(ROUND(IF(EXC.RATE.SWITCH=1,C553*(1-I553)*(1-ADD.DISCOUNT)*(1+MAT.SURCHARGE)/EXC.RATE_2,C553*(1-I553)*(1-ADD.DISCOUNT)*(1+MAT.SURCHARGE)*EXC.RATE_2),CURRENCY.FORMAT_2),CURRENCY.FORMAT_2,0)),'DICTIONARY-5'!$A$2))</f>
        <v/>
      </c>
      <c r="N553" s="544">
        <v>2</v>
      </c>
      <c r="O553" s="544"/>
      <c r="P553" s="731" t="str">
        <f>'DICTIONARY-3'!$A$11</f>
        <v>ZETA</v>
      </c>
      <c r="Q553" s="732" t="str">
        <f>'DICTIONARY-3'!$A$189</f>
        <v>Zasuwa nożowa</v>
      </c>
      <c r="R553" s="732" t="str">
        <f>CONCATENATE('DICTIONARY-3'!$A$11," ",'DICTIONARY-6'!$A$6," ",'DICTIONARY-5'!$A$35," ",'DICTIONARY-2'!$A$2,"125"," ",'DICTIONARY-2'!$A$3,"10"," ",'DICTIONARY-2'!$A$10,"10",'DICTIONARY-2'!$A$20,", ",'DICTIONARY-4'!$A$11)</f>
        <v>ZETA Zasuwa noż. A4 DN125 PN10 PS10bar, PNE</v>
      </c>
      <c r="S553" s="733" t="str">
        <f>'DICTIONARY-4'!$A$11</f>
        <v>PNE</v>
      </c>
      <c r="T553" s="732" t="str">
        <f>'DICTIONARY-4'!$A$27</f>
        <v>Przygotowane pod napęd elektryczny</v>
      </c>
      <c r="U553" s="734" t="s">
        <v>5761</v>
      </c>
      <c r="V553" s="735">
        <v>10</v>
      </c>
      <c r="W553" s="736"/>
      <c r="X553" s="737"/>
      <c r="Y553" s="738"/>
      <c r="Z553" s="739"/>
      <c r="AA553" s="739"/>
      <c r="AB553" s="740">
        <v>10</v>
      </c>
      <c r="AC553" s="741" t="str">
        <f>'DICTIONARY-5'!$A$11&amp;" 20"</f>
        <v>EN 558 szereg 20</v>
      </c>
      <c r="AD553" s="741" t="str">
        <f>'DICTIONARY-5'!$A$14</f>
        <v>ścieki</v>
      </c>
      <c r="AE553" s="742">
        <v>50</v>
      </c>
      <c r="AF553" s="743">
        <v>20</v>
      </c>
      <c r="AG553" s="741" t="str">
        <f>'DICTIONARY-5'!$A$23</f>
        <v>powłoka epoksydowa</v>
      </c>
    </row>
    <row r="554" spans="1:33" x14ac:dyDescent="0.25">
      <c r="A554" s="842" t="s">
        <v>551</v>
      </c>
      <c r="B554" s="842" t="s">
        <v>3190</v>
      </c>
      <c r="C554" s="836">
        <v>519</v>
      </c>
      <c r="D554" s="836"/>
      <c r="E554" s="836"/>
      <c r="F554" s="836"/>
      <c r="G554" s="496" t="s">
        <v>7796</v>
      </c>
      <c r="H554" s="797" t="str">
        <f>VLOOKUP(G554,SETTINGS!$B$7:$D$97,2,0)</f>
        <v>ZETA</v>
      </c>
      <c r="I554" s="796">
        <f>VLOOKUP(G554,SETTINGS!$B$7:$D$97,3,0)</f>
        <v>0</v>
      </c>
      <c r="J554" s="670" t="str">
        <f>IFERROR(IF(CURRENCY.FORMAT_1=0,CONCATENATE(TEXT(FIXED(ROUND((C554/EXC.RATE_1),CURRENCY.FORMAT_1),CURRENCY.FORMAT_1,1),"# ##0;-# ##0"),",-"),FIXED(ROUND((C554/EXC.RATE_1),CURRENCY.FORMAT_1),CURRENCY.FORMAT_1,0)),'DICTIONARY-5'!$A$2)</f>
        <v>519,-</v>
      </c>
      <c r="K554" s="670" t="str">
        <f>IF(EXC.RATE_2=0,"",IFERROR(IF(CURRENCY.FORMAT_2=0,CONCATENATE(TEXT(FIXED(ROUND(IF(EXC.RATE.SWITCH=1,C554/EXC.RATE_2,C554*EXC.RATE_2),CURRENCY.FORMAT_2),CURRENCY.FORMAT_2,1),"# ##0;-# ##0"),",-"),FIXED(ROUND(IF(EXC.RATE.SWITCH=1,C554/EXC.RATE_2,C554*EXC.RATE_2),CURRENCY.FORMAT_2),CURRENCY.FORMAT_2,0)),'DICTIONARY-5'!$A$2))</f>
        <v/>
      </c>
      <c r="L554" s="670" t="str">
        <f>IFERROR(IF(CURRENCY.FORMAT_1=0,CONCATENATE(TEXT(FIXED(ROUND((C554*(1-I554)*(1-ADD.DISCOUNT)*(1+MAT.SURCHARGE)/EXC.RATE_1),CURRENCY.FORMAT_1),CURRENCY.FORMAT_1,1),"# ##0;-# ##0"),",-"),FIXED(ROUND((C554*(1-I554)*(1-ADD.DISCOUNT)*(1+MAT.SURCHARGE)/EXC.RATE_1),CURRENCY.FORMAT_1),CURRENCY.FORMAT_1,0)),'DICTIONARY-5'!$A$2)</f>
        <v>539,-</v>
      </c>
      <c r="M554" s="670" t="str">
        <f>IF(EXC.RATE_2=0,"",IFERROR(IF(CURRENCY.FORMAT_2=0,CONCATENATE(TEXT(FIXED(ROUND(IF(EXC.RATE.SWITCH=1,C554*(1-I554)*(1-ADD.DISCOUNT)*(1+MAT.SURCHARGE)/EXC.RATE_2,C554*(1-I554)*(1-ADD.DISCOUNT)*(1+MAT.SURCHARGE)*EXC.RATE_2),CURRENCY.FORMAT_2),CURRENCY.FORMAT_2,1),"# ##0;-# ##0"),",-"),FIXED(ROUND(IF(EXC.RATE.SWITCH=1,C554*(1-I554)*(1-ADD.DISCOUNT)*(1+MAT.SURCHARGE)/EXC.RATE_2,C554*(1-I554)*(1-ADD.DISCOUNT)*(1+MAT.SURCHARGE)*EXC.RATE_2),CURRENCY.FORMAT_2),CURRENCY.FORMAT_2,0)),'DICTIONARY-5'!$A$2))</f>
        <v/>
      </c>
      <c r="N554" s="544">
        <v>2</v>
      </c>
      <c r="O554" s="544"/>
      <c r="P554" s="731" t="str">
        <f>'DICTIONARY-3'!$A$11</f>
        <v>ZETA</v>
      </c>
      <c r="Q554" s="732" t="str">
        <f>'DICTIONARY-3'!$A$189</f>
        <v>Zasuwa nożowa</v>
      </c>
      <c r="R554" s="732" t="str">
        <f>CONCATENATE('DICTIONARY-3'!$A$11," ",'DICTIONARY-6'!$A$6," ",'DICTIONARY-5'!$A$35," ",'DICTIONARY-2'!$A$2,"150"," ",'DICTIONARY-2'!$A$3,"10"," ",'DICTIONARY-2'!$A$10,"10",'DICTIONARY-2'!$A$20,", ",'DICTIONARY-4'!$A$11)</f>
        <v>ZETA Zasuwa noż. A4 DN150 PN10 PS10bar, PNE</v>
      </c>
      <c r="S554" s="733" t="str">
        <f>'DICTIONARY-4'!$A$11</f>
        <v>PNE</v>
      </c>
      <c r="T554" s="732" t="str">
        <f>'DICTIONARY-4'!$A$27</f>
        <v>Przygotowane pod napęd elektryczny</v>
      </c>
      <c r="U554" s="734" t="s">
        <v>5572</v>
      </c>
      <c r="V554" s="735">
        <v>10</v>
      </c>
      <c r="W554" s="736"/>
      <c r="X554" s="737"/>
      <c r="Y554" s="738"/>
      <c r="Z554" s="739"/>
      <c r="AA554" s="739"/>
      <c r="AB554" s="740">
        <v>10</v>
      </c>
      <c r="AC554" s="741" t="str">
        <f>'DICTIONARY-5'!$A$11&amp;" 20"</f>
        <v>EN 558 szereg 20</v>
      </c>
      <c r="AD554" s="741" t="str">
        <f>'DICTIONARY-5'!$A$14</f>
        <v>ścieki</v>
      </c>
      <c r="AE554" s="742">
        <v>50</v>
      </c>
      <c r="AF554" s="743">
        <v>24</v>
      </c>
      <c r="AG554" s="741" t="str">
        <f>'DICTIONARY-5'!$A$23</f>
        <v>powłoka epoksydowa</v>
      </c>
    </row>
    <row r="555" spans="1:33" x14ac:dyDescent="0.25">
      <c r="A555" s="842" t="s">
        <v>552</v>
      </c>
      <c r="B555" s="842" t="s">
        <v>3172</v>
      </c>
      <c r="C555" s="836">
        <v>659</v>
      </c>
      <c r="D555" s="836"/>
      <c r="E555" s="836"/>
      <c r="F555" s="836"/>
      <c r="G555" s="496" t="s">
        <v>7796</v>
      </c>
      <c r="H555" s="797" t="str">
        <f>VLOOKUP(G555,SETTINGS!$B$7:$D$97,2,0)</f>
        <v>ZETA</v>
      </c>
      <c r="I555" s="796">
        <f>VLOOKUP(G555,SETTINGS!$B$7:$D$97,3,0)</f>
        <v>0</v>
      </c>
      <c r="J555" s="670" t="str">
        <f>IFERROR(IF(CURRENCY.FORMAT_1=0,CONCATENATE(TEXT(FIXED(ROUND((C555/EXC.RATE_1),CURRENCY.FORMAT_1),CURRENCY.FORMAT_1,1),"# ##0;-# ##0"),",-"),FIXED(ROUND((C555/EXC.RATE_1),CURRENCY.FORMAT_1),CURRENCY.FORMAT_1,0)),'DICTIONARY-5'!$A$2)</f>
        <v>659,-</v>
      </c>
      <c r="K555" s="670" t="str">
        <f>IF(EXC.RATE_2=0,"",IFERROR(IF(CURRENCY.FORMAT_2=0,CONCATENATE(TEXT(FIXED(ROUND(IF(EXC.RATE.SWITCH=1,C555/EXC.RATE_2,C555*EXC.RATE_2),CURRENCY.FORMAT_2),CURRENCY.FORMAT_2,1),"# ##0;-# ##0"),",-"),FIXED(ROUND(IF(EXC.RATE.SWITCH=1,C555/EXC.RATE_2,C555*EXC.RATE_2),CURRENCY.FORMAT_2),CURRENCY.FORMAT_2,0)),'DICTIONARY-5'!$A$2))</f>
        <v/>
      </c>
      <c r="L555" s="670" t="str">
        <f>IFERROR(IF(CURRENCY.FORMAT_1=0,CONCATENATE(TEXT(FIXED(ROUND((C555*(1-I555)*(1-ADD.DISCOUNT)*(1+MAT.SURCHARGE)/EXC.RATE_1),CURRENCY.FORMAT_1),CURRENCY.FORMAT_1,1),"# ##0;-# ##0"),",-"),FIXED(ROUND((C555*(1-I555)*(1-ADD.DISCOUNT)*(1+MAT.SURCHARGE)/EXC.RATE_1),CURRENCY.FORMAT_1),CURRENCY.FORMAT_1,0)),'DICTIONARY-5'!$A$2)</f>
        <v>685,-</v>
      </c>
      <c r="M555" s="670" t="str">
        <f>IF(EXC.RATE_2=0,"",IFERROR(IF(CURRENCY.FORMAT_2=0,CONCATENATE(TEXT(FIXED(ROUND(IF(EXC.RATE.SWITCH=1,C555*(1-I555)*(1-ADD.DISCOUNT)*(1+MAT.SURCHARGE)/EXC.RATE_2,C555*(1-I555)*(1-ADD.DISCOUNT)*(1+MAT.SURCHARGE)*EXC.RATE_2),CURRENCY.FORMAT_2),CURRENCY.FORMAT_2,1),"# ##0;-# ##0"),",-"),FIXED(ROUND(IF(EXC.RATE.SWITCH=1,C555*(1-I555)*(1-ADD.DISCOUNT)*(1+MAT.SURCHARGE)/EXC.RATE_2,C555*(1-I555)*(1-ADD.DISCOUNT)*(1+MAT.SURCHARGE)*EXC.RATE_2),CURRENCY.FORMAT_2),CURRENCY.FORMAT_2,0)),'DICTIONARY-5'!$A$2))</f>
        <v/>
      </c>
      <c r="N555" s="544">
        <v>2</v>
      </c>
      <c r="O555" s="544"/>
      <c r="P555" s="731" t="str">
        <f>'DICTIONARY-3'!$A$11</f>
        <v>ZETA</v>
      </c>
      <c r="Q555" s="732" t="str">
        <f>'DICTIONARY-3'!$A$189</f>
        <v>Zasuwa nożowa</v>
      </c>
      <c r="R555" s="732" t="str">
        <f>CONCATENATE('DICTIONARY-3'!$A$11," ",'DICTIONARY-6'!$A$6," ",'DICTIONARY-5'!$A$34," ",'DICTIONARY-2'!$A$2,"200"," ",'DICTIONARY-2'!$A$3,"10"," ",'DICTIONARY-2'!$A$10,"10",'DICTIONARY-2'!$A$20,", ",'DICTIONARY-4'!$A$11)</f>
        <v>ZETA Zasuwa noż. A2 DN200 PN10 PS10bar, PNE</v>
      </c>
      <c r="S555" s="733" t="str">
        <f>'DICTIONARY-4'!$A$11</f>
        <v>PNE</v>
      </c>
      <c r="T555" s="732" t="str">
        <f>'DICTIONARY-4'!$A$27</f>
        <v>Przygotowane pod napęd elektryczny</v>
      </c>
      <c r="U555" s="734" t="s">
        <v>5750</v>
      </c>
      <c r="V555" s="735">
        <v>10</v>
      </c>
      <c r="W555" s="736"/>
      <c r="X555" s="737"/>
      <c r="Y555" s="738"/>
      <c r="Z555" s="739"/>
      <c r="AA555" s="739"/>
      <c r="AB555" s="740">
        <v>10</v>
      </c>
      <c r="AC555" s="741" t="str">
        <f>'DICTIONARY-5'!$A$11&amp;" 20"</f>
        <v>EN 558 szereg 20</v>
      </c>
      <c r="AD555" s="741" t="str">
        <f>'DICTIONARY-5'!$A$14</f>
        <v>ścieki</v>
      </c>
      <c r="AE555" s="742">
        <v>50</v>
      </c>
      <c r="AF555" s="743">
        <v>34.5</v>
      </c>
      <c r="AG555" s="741" t="str">
        <f>'DICTIONARY-5'!$A$23</f>
        <v>powłoka epoksydowa</v>
      </c>
    </row>
    <row r="556" spans="1:33" x14ac:dyDescent="0.25">
      <c r="A556" s="842" t="s">
        <v>553</v>
      </c>
      <c r="B556" s="842" t="s">
        <v>3173</v>
      </c>
      <c r="C556" s="836">
        <v>1012</v>
      </c>
      <c r="D556" s="836"/>
      <c r="E556" s="836"/>
      <c r="F556" s="836"/>
      <c r="G556" s="496" t="s">
        <v>7796</v>
      </c>
      <c r="H556" s="797" t="str">
        <f>VLOOKUP(G556,SETTINGS!$B$7:$D$97,2,0)</f>
        <v>ZETA</v>
      </c>
      <c r="I556" s="796">
        <f>VLOOKUP(G556,SETTINGS!$B$7:$D$97,3,0)</f>
        <v>0</v>
      </c>
      <c r="J556" s="670" t="str">
        <f>IFERROR(IF(CURRENCY.FORMAT_1=0,CONCATENATE(TEXT(FIXED(ROUND((C556/EXC.RATE_1),CURRENCY.FORMAT_1),CURRENCY.FORMAT_1,1),"# ##0;-# ##0"),",-"),FIXED(ROUND((C556/EXC.RATE_1),CURRENCY.FORMAT_1),CURRENCY.FORMAT_1,0)),'DICTIONARY-5'!$A$2)</f>
        <v>1 012,-</v>
      </c>
      <c r="K556" s="670" t="str">
        <f>IF(EXC.RATE_2=0,"",IFERROR(IF(CURRENCY.FORMAT_2=0,CONCATENATE(TEXT(FIXED(ROUND(IF(EXC.RATE.SWITCH=1,C556/EXC.RATE_2,C556*EXC.RATE_2),CURRENCY.FORMAT_2),CURRENCY.FORMAT_2,1),"# ##0;-# ##0"),",-"),FIXED(ROUND(IF(EXC.RATE.SWITCH=1,C556/EXC.RATE_2,C556*EXC.RATE_2),CURRENCY.FORMAT_2),CURRENCY.FORMAT_2,0)),'DICTIONARY-5'!$A$2))</f>
        <v/>
      </c>
      <c r="L556" s="670" t="str">
        <f>IFERROR(IF(CURRENCY.FORMAT_1=0,CONCATENATE(TEXT(FIXED(ROUND((C556*(1-I556)*(1-ADD.DISCOUNT)*(1+MAT.SURCHARGE)/EXC.RATE_1),CURRENCY.FORMAT_1),CURRENCY.FORMAT_1,1),"# ##0;-# ##0"),",-"),FIXED(ROUND((C556*(1-I556)*(1-ADD.DISCOUNT)*(1+MAT.SURCHARGE)/EXC.RATE_1),CURRENCY.FORMAT_1),CURRENCY.FORMAT_1,0)),'DICTIONARY-5'!$A$2)</f>
        <v>1 051,-</v>
      </c>
      <c r="M556" s="670" t="str">
        <f>IF(EXC.RATE_2=0,"",IFERROR(IF(CURRENCY.FORMAT_2=0,CONCATENATE(TEXT(FIXED(ROUND(IF(EXC.RATE.SWITCH=1,C556*(1-I556)*(1-ADD.DISCOUNT)*(1+MAT.SURCHARGE)/EXC.RATE_2,C556*(1-I556)*(1-ADD.DISCOUNT)*(1+MAT.SURCHARGE)*EXC.RATE_2),CURRENCY.FORMAT_2),CURRENCY.FORMAT_2,1),"# ##0;-# ##0"),",-"),FIXED(ROUND(IF(EXC.RATE.SWITCH=1,C556*(1-I556)*(1-ADD.DISCOUNT)*(1+MAT.SURCHARGE)/EXC.RATE_2,C556*(1-I556)*(1-ADD.DISCOUNT)*(1+MAT.SURCHARGE)*EXC.RATE_2),CURRENCY.FORMAT_2),CURRENCY.FORMAT_2,0)),'DICTIONARY-5'!$A$2))</f>
        <v/>
      </c>
      <c r="N556" s="544">
        <v>2</v>
      </c>
      <c r="O556" s="544"/>
      <c r="P556" s="731" t="str">
        <f>'DICTIONARY-3'!$A$11</f>
        <v>ZETA</v>
      </c>
      <c r="Q556" s="732" t="str">
        <f>'DICTIONARY-3'!$A$189</f>
        <v>Zasuwa nożowa</v>
      </c>
      <c r="R556" s="732" t="str">
        <f>CONCATENATE('DICTIONARY-3'!$A$11," ",'DICTIONARY-6'!$A$6," ",'DICTIONARY-5'!$A$34," ",'DICTIONARY-2'!$A$2,"250"," ",'DICTIONARY-2'!$A$3,"10"," ",'DICTIONARY-2'!$A$10,"10",'DICTIONARY-2'!$A$20,", ",'DICTIONARY-4'!$A$11)</f>
        <v>ZETA Zasuwa noż. A2 DN250 PN10 PS10bar, PNE</v>
      </c>
      <c r="S556" s="733" t="str">
        <f>'DICTIONARY-4'!$A$11</f>
        <v>PNE</v>
      </c>
      <c r="T556" s="732" t="str">
        <f>'DICTIONARY-4'!$A$27</f>
        <v>Przygotowane pod napęd elektryczny</v>
      </c>
      <c r="U556" s="734" t="s">
        <v>5751</v>
      </c>
      <c r="V556" s="735">
        <v>10</v>
      </c>
      <c r="W556" s="736"/>
      <c r="X556" s="737"/>
      <c r="Y556" s="738"/>
      <c r="Z556" s="739"/>
      <c r="AA556" s="739"/>
      <c r="AB556" s="740">
        <v>10</v>
      </c>
      <c r="AC556" s="741" t="str">
        <f>'DICTIONARY-5'!$A$11&amp;" 20"</f>
        <v>EN 558 szereg 20</v>
      </c>
      <c r="AD556" s="741" t="str">
        <f>'DICTIONARY-5'!$A$14</f>
        <v>ścieki</v>
      </c>
      <c r="AE556" s="742">
        <v>50</v>
      </c>
      <c r="AF556" s="743">
        <v>61</v>
      </c>
      <c r="AG556" s="741" t="str">
        <f>'DICTIONARY-5'!$A$23</f>
        <v>powłoka epoksydowa</v>
      </c>
    </row>
    <row r="557" spans="1:33" x14ac:dyDescent="0.25">
      <c r="A557" s="842" t="s">
        <v>554</v>
      </c>
      <c r="B557" s="842" t="s">
        <v>3174</v>
      </c>
      <c r="C557" s="836">
        <v>1198</v>
      </c>
      <c r="D557" s="836"/>
      <c r="E557" s="836"/>
      <c r="F557" s="836"/>
      <c r="G557" s="496" t="s">
        <v>7796</v>
      </c>
      <c r="H557" s="797" t="str">
        <f>VLOOKUP(G557,SETTINGS!$B$7:$D$97,2,0)</f>
        <v>ZETA</v>
      </c>
      <c r="I557" s="796">
        <f>VLOOKUP(G557,SETTINGS!$B$7:$D$97,3,0)</f>
        <v>0</v>
      </c>
      <c r="J557" s="670" t="str">
        <f>IFERROR(IF(CURRENCY.FORMAT_1=0,CONCATENATE(TEXT(FIXED(ROUND((C557/EXC.RATE_1),CURRENCY.FORMAT_1),CURRENCY.FORMAT_1,1),"# ##0;-# ##0"),",-"),FIXED(ROUND((C557/EXC.RATE_1),CURRENCY.FORMAT_1),CURRENCY.FORMAT_1,0)),'DICTIONARY-5'!$A$2)</f>
        <v>1 198,-</v>
      </c>
      <c r="K557" s="670" t="str">
        <f>IF(EXC.RATE_2=0,"",IFERROR(IF(CURRENCY.FORMAT_2=0,CONCATENATE(TEXT(FIXED(ROUND(IF(EXC.RATE.SWITCH=1,C557/EXC.RATE_2,C557*EXC.RATE_2),CURRENCY.FORMAT_2),CURRENCY.FORMAT_2,1),"# ##0;-# ##0"),",-"),FIXED(ROUND(IF(EXC.RATE.SWITCH=1,C557/EXC.RATE_2,C557*EXC.RATE_2),CURRENCY.FORMAT_2),CURRENCY.FORMAT_2,0)),'DICTIONARY-5'!$A$2))</f>
        <v/>
      </c>
      <c r="L557" s="670" t="str">
        <f>IFERROR(IF(CURRENCY.FORMAT_1=0,CONCATENATE(TEXT(FIXED(ROUND((C557*(1-I557)*(1-ADD.DISCOUNT)*(1+MAT.SURCHARGE)/EXC.RATE_1),CURRENCY.FORMAT_1),CURRENCY.FORMAT_1,1),"# ##0;-# ##0"),",-"),FIXED(ROUND((C557*(1-I557)*(1-ADD.DISCOUNT)*(1+MAT.SURCHARGE)/EXC.RATE_1),CURRENCY.FORMAT_1),CURRENCY.FORMAT_1,0)),'DICTIONARY-5'!$A$2)</f>
        <v>1 245,-</v>
      </c>
      <c r="M557" s="670" t="str">
        <f>IF(EXC.RATE_2=0,"",IFERROR(IF(CURRENCY.FORMAT_2=0,CONCATENATE(TEXT(FIXED(ROUND(IF(EXC.RATE.SWITCH=1,C557*(1-I557)*(1-ADD.DISCOUNT)*(1+MAT.SURCHARGE)/EXC.RATE_2,C557*(1-I557)*(1-ADD.DISCOUNT)*(1+MAT.SURCHARGE)*EXC.RATE_2),CURRENCY.FORMAT_2),CURRENCY.FORMAT_2,1),"# ##0;-# ##0"),",-"),FIXED(ROUND(IF(EXC.RATE.SWITCH=1,C557*(1-I557)*(1-ADD.DISCOUNT)*(1+MAT.SURCHARGE)/EXC.RATE_2,C557*(1-I557)*(1-ADD.DISCOUNT)*(1+MAT.SURCHARGE)*EXC.RATE_2),CURRENCY.FORMAT_2),CURRENCY.FORMAT_2,0)),'DICTIONARY-5'!$A$2))</f>
        <v/>
      </c>
      <c r="N557" s="544">
        <v>2</v>
      </c>
      <c r="O557" s="544"/>
      <c r="P557" s="731" t="str">
        <f>'DICTIONARY-3'!$A$11</f>
        <v>ZETA</v>
      </c>
      <c r="Q557" s="732" t="str">
        <f>'DICTIONARY-3'!$A$189</f>
        <v>Zasuwa nożowa</v>
      </c>
      <c r="R557" s="732" t="str">
        <f>CONCATENATE('DICTIONARY-3'!$A$11," ",'DICTIONARY-6'!$A$6," ",'DICTIONARY-5'!$A$34," ",'DICTIONARY-2'!$A$2,"300"," ",'DICTIONARY-2'!$A$3,"10"," ",'DICTIONARY-2'!$A$10,"10",'DICTIONARY-2'!$A$20,", ",'DICTIONARY-4'!$A$11)</f>
        <v>ZETA Zasuwa noż. A2 DN300 PN10 PS10bar, PNE</v>
      </c>
      <c r="S557" s="733" t="str">
        <f>'DICTIONARY-4'!$A$11</f>
        <v>PNE</v>
      </c>
      <c r="T557" s="732" t="str">
        <f>'DICTIONARY-4'!$A$27</f>
        <v>Przygotowane pod napęd elektryczny</v>
      </c>
      <c r="U557" s="734" t="s">
        <v>5752</v>
      </c>
      <c r="V557" s="735">
        <v>10</v>
      </c>
      <c r="W557" s="736"/>
      <c r="X557" s="737"/>
      <c r="Y557" s="738"/>
      <c r="Z557" s="739"/>
      <c r="AA557" s="739"/>
      <c r="AB557" s="740">
        <v>10</v>
      </c>
      <c r="AC557" s="741" t="str">
        <f>'DICTIONARY-5'!$A$11&amp;" 20"</f>
        <v>EN 558 szereg 20</v>
      </c>
      <c r="AD557" s="741" t="str">
        <f>'DICTIONARY-5'!$A$14</f>
        <v>ścieki</v>
      </c>
      <c r="AE557" s="742">
        <v>50</v>
      </c>
      <c r="AF557" s="743">
        <v>86</v>
      </c>
      <c r="AG557" s="741" t="str">
        <f>'DICTIONARY-5'!$A$23</f>
        <v>powłoka epoksydowa</v>
      </c>
    </row>
    <row r="558" spans="1:33" x14ac:dyDescent="0.25">
      <c r="A558" s="842" t="s">
        <v>555</v>
      </c>
      <c r="B558" s="842" t="s">
        <v>3175</v>
      </c>
      <c r="C558" s="836">
        <v>1595</v>
      </c>
      <c r="D558" s="836"/>
      <c r="E558" s="836"/>
      <c r="F558" s="836"/>
      <c r="G558" s="496" t="s">
        <v>7796</v>
      </c>
      <c r="H558" s="797" t="str">
        <f>VLOOKUP(G558,SETTINGS!$B$7:$D$97,2,0)</f>
        <v>ZETA</v>
      </c>
      <c r="I558" s="796">
        <f>VLOOKUP(G558,SETTINGS!$B$7:$D$97,3,0)</f>
        <v>0</v>
      </c>
      <c r="J558" s="670" t="str">
        <f>IFERROR(IF(CURRENCY.FORMAT_1=0,CONCATENATE(TEXT(FIXED(ROUND((C558/EXC.RATE_1),CURRENCY.FORMAT_1),CURRENCY.FORMAT_1,1),"# ##0;-# ##0"),",-"),FIXED(ROUND((C558/EXC.RATE_1),CURRENCY.FORMAT_1),CURRENCY.FORMAT_1,0)),'DICTIONARY-5'!$A$2)</f>
        <v>1 595,-</v>
      </c>
      <c r="K558" s="670" t="str">
        <f>IF(EXC.RATE_2=0,"",IFERROR(IF(CURRENCY.FORMAT_2=0,CONCATENATE(TEXT(FIXED(ROUND(IF(EXC.RATE.SWITCH=1,C558/EXC.RATE_2,C558*EXC.RATE_2),CURRENCY.FORMAT_2),CURRENCY.FORMAT_2,1),"# ##0;-# ##0"),",-"),FIXED(ROUND(IF(EXC.RATE.SWITCH=1,C558/EXC.RATE_2,C558*EXC.RATE_2),CURRENCY.FORMAT_2),CURRENCY.FORMAT_2,0)),'DICTIONARY-5'!$A$2))</f>
        <v/>
      </c>
      <c r="L558" s="670" t="str">
        <f>IFERROR(IF(CURRENCY.FORMAT_1=0,CONCATENATE(TEXT(FIXED(ROUND((C558*(1-I558)*(1-ADD.DISCOUNT)*(1+MAT.SURCHARGE)/EXC.RATE_1),CURRENCY.FORMAT_1),CURRENCY.FORMAT_1,1),"# ##0;-# ##0"),",-"),FIXED(ROUND((C558*(1-I558)*(1-ADD.DISCOUNT)*(1+MAT.SURCHARGE)/EXC.RATE_1),CURRENCY.FORMAT_1),CURRENCY.FORMAT_1,0)),'DICTIONARY-5'!$A$2)</f>
        <v>1 657,-</v>
      </c>
      <c r="M558" s="670" t="str">
        <f>IF(EXC.RATE_2=0,"",IFERROR(IF(CURRENCY.FORMAT_2=0,CONCATENATE(TEXT(FIXED(ROUND(IF(EXC.RATE.SWITCH=1,C558*(1-I558)*(1-ADD.DISCOUNT)*(1+MAT.SURCHARGE)/EXC.RATE_2,C558*(1-I558)*(1-ADD.DISCOUNT)*(1+MAT.SURCHARGE)*EXC.RATE_2),CURRENCY.FORMAT_2),CURRENCY.FORMAT_2,1),"# ##0;-# ##0"),",-"),FIXED(ROUND(IF(EXC.RATE.SWITCH=1,C558*(1-I558)*(1-ADD.DISCOUNT)*(1+MAT.SURCHARGE)/EXC.RATE_2,C558*(1-I558)*(1-ADD.DISCOUNT)*(1+MAT.SURCHARGE)*EXC.RATE_2),CURRENCY.FORMAT_2),CURRENCY.FORMAT_2,0)),'DICTIONARY-5'!$A$2))</f>
        <v/>
      </c>
      <c r="N558" s="544">
        <v>2</v>
      </c>
      <c r="O558" s="544"/>
      <c r="P558" s="731" t="str">
        <f>'DICTIONARY-3'!$A$11</f>
        <v>ZETA</v>
      </c>
      <c r="Q558" s="732" t="str">
        <f>'DICTIONARY-3'!$A$189</f>
        <v>Zasuwa nożowa</v>
      </c>
      <c r="R558" s="732" t="str">
        <f>CONCATENATE('DICTIONARY-3'!$A$11," ",'DICTIONARY-6'!$A$6," ",'DICTIONARY-5'!$A$34," ",'DICTIONARY-2'!$A$2,"350"," ",'DICTIONARY-2'!$A$3,"10"," ",'DICTIONARY-2'!$A$10,"8",'DICTIONARY-2'!$A$20,", ",'DICTIONARY-4'!$A$11)</f>
        <v>ZETA Zasuwa noż. A2 DN350 PN10 PS8bar, PNE</v>
      </c>
      <c r="S558" s="733" t="str">
        <f>'DICTIONARY-4'!$A$11</f>
        <v>PNE</v>
      </c>
      <c r="T558" s="732" t="str">
        <f>'DICTIONARY-4'!$A$27</f>
        <v>Przygotowane pod napęd elektryczny</v>
      </c>
      <c r="U558" s="734" t="s">
        <v>5753</v>
      </c>
      <c r="V558" s="735">
        <v>10</v>
      </c>
      <c r="W558" s="736"/>
      <c r="X558" s="737"/>
      <c r="Y558" s="738"/>
      <c r="Z558" s="739"/>
      <c r="AA558" s="739"/>
      <c r="AB558" s="740">
        <v>8</v>
      </c>
      <c r="AC558" s="741" t="str">
        <f>'DICTIONARY-5'!$A$11&amp;" 20"</f>
        <v>EN 558 szereg 20</v>
      </c>
      <c r="AD558" s="741" t="str">
        <f>'DICTIONARY-5'!$A$14</f>
        <v>ścieki</v>
      </c>
      <c r="AE558" s="742">
        <v>50</v>
      </c>
      <c r="AF558" s="743">
        <v>112</v>
      </c>
      <c r="AG558" s="741" t="str">
        <f>'DICTIONARY-5'!$A$23</f>
        <v>powłoka epoksydowa</v>
      </c>
    </row>
    <row r="559" spans="1:33" x14ac:dyDescent="0.25">
      <c r="A559" s="842" t="s">
        <v>556</v>
      </c>
      <c r="B559" s="842" t="s">
        <v>3176</v>
      </c>
      <c r="C559" s="836">
        <v>2231</v>
      </c>
      <c r="D559" s="836"/>
      <c r="E559" s="836"/>
      <c r="F559" s="836"/>
      <c r="G559" s="496" t="s">
        <v>7796</v>
      </c>
      <c r="H559" s="797" t="str">
        <f>VLOOKUP(G559,SETTINGS!$B$7:$D$97,2,0)</f>
        <v>ZETA</v>
      </c>
      <c r="I559" s="796">
        <f>VLOOKUP(G559,SETTINGS!$B$7:$D$97,3,0)</f>
        <v>0</v>
      </c>
      <c r="J559" s="670" t="str">
        <f>IFERROR(IF(CURRENCY.FORMAT_1=0,CONCATENATE(TEXT(FIXED(ROUND((C559/EXC.RATE_1),CURRENCY.FORMAT_1),CURRENCY.FORMAT_1,1),"# ##0;-# ##0"),",-"),FIXED(ROUND((C559/EXC.RATE_1),CURRENCY.FORMAT_1),CURRENCY.FORMAT_1,0)),'DICTIONARY-5'!$A$2)</f>
        <v>2 231,-</v>
      </c>
      <c r="K559" s="670" t="str">
        <f>IF(EXC.RATE_2=0,"",IFERROR(IF(CURRENCY.FORMAT_2=0,CONCATENATE(TEXT(FIXED(ROUND(IF(EXC.RATE.SWITCH=1,C559/EXC.RATE_2,C559*EXC.RATE_2),CURRENCY.FORMAT_2),CURRENCY.FORMAT_2,1),"# ##0;-# ##0"),",-"),FIXED(ROUND(IF(EXC.RATE.SWITCH=1,C559/EXC.RATE_2,C559*EXC.RATE_2),CURRENCY.FORMAT_2),CURRENCY.FORMAT_2,0)),'DICTIONARY-5'!$A$2))</f>
        <v/>
      </c>
      <c r="L559" s="670" t="str">
        <f>IFERROR(IF(CURRENCY.FORMAT_1=0,CONCATENATE(TEXT(FIXED(ROUND((C559*(1-I559)*(1-ADD.DISCOUNT)*(1+MAT.SURCHARGE)/EXC.RATE_1),CURRENCY.FORMAT_1),CURRENCY.FORMAT_1,1),"# ##0;-# ##0"),",-"),FIXED(ROUND((C559*(1-I559)*(1-ADD.DISCOUNT)*(1+MAT.SURCHARGE)/EXC.RATE_1),CURRENCY.FORMAT_1),CURRENCY.FORMAT_1,0)),'DICTIONARY-5'!$A$2)</f>
        <v>2 318,-</v>
      </c>
      <c r="M559" s="670" t="str">
        <f>IF(EXC.RATE_2=0,"",IFERROR(IF(CURRENCY.FORMAT_2=0,CONCATENATE(TEXT(FIXED(ROUND(IF(EXC.RATE.SWITCH=1,C559*(1-I559)*(1-ADD.DISCOUNT)*(1+MAT.SURCHARGE)/EXC.RATE_2,C559*(1-I559)*(1-ADD.DISCOUNT)*(1+MAT.SURCHARGE)*EXC.RATE_2),CURRENCY.FORMAT_2),CURRENCY.FORMAT_2,1),"# ##0;-# ##0"),",-"),FIXED(ROUND(IF(EXC.RATE.SWITCH=1,C559*(1-I559)*(1-ADD.DISCOUNT)*(1+MAT.SURCHARGE)/EXC.RATE_2,C559*(1-I559)*(1-ADD.DISCOUNT)*(1+MAT.SURCHARGE)*EXC.RATE_2),CURRENCY.FORMAT_2),CURRENCY.FORMAT_2,0)),'DICTIONARY-5'!$A$2))</f>
        <v/>
      </c>
      <c r="N559" s="544">
        <v>2</v>
      </c>
      <c r="O559" s="544"/>
      <c r="P559" s="731" t="str">
        <f>'DICTIONARY-3'!$A$11</f>
        <v>ZETA</v>
      </c>
      <c r="Q559" s="732" t="str">
        <f>'DICTIONARY-3'!$A$189</f>
        <v>Zasuwa nożowa</v>
      </c>
      <c r="R559" s="732" t="str">
        <f>CONCATENATE('DICTIONARY-3'!$A$11," ",'DICTIONARY-6'!$A$6," ",'DICTIONARY-5'!$A$34," ",'DICTIONARY-2'!$A$2,"400"," ",'DICTIONARY-2'!$A$3,"10"," ",'DICTIONARY-2'!$A$10,"8",'DICTIONARY-2'!$A$20,", ",'DICTIONARY-4'!$A$11)</f>
        <v>ZETA Zasuwa noż. A2 DN400 PN10 PS8bar, PNE</v>
      </c>
      <c r="S559" s="733" t="str">
        <f>'DICTIONARY-4'!$A$11</f>
        <v>PNE</v>
      </c>
      <c r="T559" s="732" t="str">
        <f>'DICTIONARY-4'!$A$27</f>
        <v>Przygotowane pod napęd elektryczny</v>
      </c>
      <c r="U559" s="734" t="s">
        <v>5754</v>
      </c>
      <c r="V559" s="735">
        <v>10</v>
      </c>
      <c r="W559" s="736"/>
      <c r="X559" s="737"/>
      <c r="Y559" s="738"/>
      <c r="Z559" s="739"/>
      <c r="AA559" s="739"/>
      <c r="AB559" s="740">
        <v>8</v>
      </c>
      <c r="AC559" s="741" t="str">
        <f>'DICTIONARY-5'!$A$11&amp;" 20"</f>
        <v>EN 558 szereg 20</v>
      </c>
      <c r="AD559" s="741" t="str">
        <f>'DICTIONARY-5'!$A$14</f>
        <v>ścieki</v>
      </c>
      <c r="AE559" s="742">
        <v>50</v>
      </c>
      <c r="AF559" s="743">
        <v>155</v>
      </c>
      <c r="AG559" s="741" t="str">
        <f>'DICTIONARY-5'!$A$23</f>
        <v>powłoka epoksydowa</v>
      </c>
    </row>
    <row r="560" spans="1:33" x14ac:dyDescent="0.25">
      <c r="A560" s="842" t="s">
        <v>557</v>
      </c>
      <c r="B560" s="842" t="s">
        <v>3177</v>
      </c>
      <c r="C560" s="836">
        <v>4303</v>
      </c>
      <c r="D560" s="836"/>
      <c r="E560" s="836"/>
      <c r="F560" s="836"/>
      <c r="G560" s="496" t="s">
        <v>7796</v>
      </c>
      <c r="H560" s="797" t="str">
        <f>VLOOKUP(G560,SETTINGS!$B$7:$D$97,2,0)</f>
        <v>ZETA</v>
      </c>
      <c r="I560" s="796">
        <f>VLOOKUP(G560,SETTINGS!$B$7:$D$97,3,0)</f>
        <v>0</v>
      </c>
      <c r="J560" s="670" t="str">
        <f>IFERROR(IF(CURRENCY.FORMAT_1=0,CONCATENATE(TEXT(FIXED(ROUND((C560/EXC.RATE_1),CURRENCY.FORMAT_1),CURRENCY.FORMAT_1,1),"# ##0;-# ##0"),",-"),FIXED(ROUND((C560/EXC.RATE_1),CURRENCY.FORMAT_1),CURRENCY.FORMAT_1,0)),'DICTIONARY-5'!$A$2)</f>
        <v>4 303,-</v>
      </c>
      <c r="K560" s="670" t="str">
        <f>IF(EXC.RATE_2=0,"",IFERROR(IF(CURRENCY.FORMAT_2=0,CONCATENATE(TEXT(FIXED(ROUND(IF(EXC.RATE.SWITCH=1,C560/EXC.RATE_2,C560*EXC.RATE_2),CURRENCY.FORMAT_2),CURRENCY.FORMAT_2,1),"# ##0;-# ##0"),",-"),FIXED(ROUND(IF(EXC.RATE.SWITCH=1,C560/EXC.RATE_2,C560*EXC.RATE_2),CURRENCY.FORMAT_2),CURRENCY.FORMAT_2,0)),'DICTIONARY-5'!$A$2))</f>
        <v/>
      </c>
      <c r="L560" s="670" t="str">
        <f>IFERROR(IF(CURRENCY.FORMAT_1=0,CONCATENATE(TEXT(FIXED(ROUND((C560*(1-I560)*(1-ADD.DISCOUNT)*(1+MAT.SURCHARGE)/EXC.RATE_1),CURRENCY.FORMAT_1),CURRENCY.FORMAT_1,1),"# ##0;-# ##0"),",-"),FIXED(ROUND((C560*(1-I560)*(1-ADD.DISCOUNT)*(1+MAT.SURCHARGE)/EXC.RATE_1),CURRENCY.FORMAT_1),CURRENCY.FORMAT_1,0)),'DICTIONARY-5'!$A$2)</f>
        <v>4 471,-</v>
      </c>
      <c r="M560" s="670" t="str">
        <f>IF(EXC.RATE_2=0,"",IFERROR(IF(CURRENCY.FORMAT_2=0,CONCATENATE(TEXT(FIXED(ROUND(IF(EXC.RATE.SWITCH=1,C560*(1-I560)*(1-ADD.DISCOUNT)*(1+MAT.SURCHARGE)/EXC.RATE_2,C560*(1-I560)*(1-ADD.DISCOUNT)*(1+MAT.SURCHARGE)*EXC.RATE_2),CURRENCY.FORMAT_2),CURRENCY.FORMAT_2,1),"# ##0;-# ##0"),",-"),FIXED(ROUND(IF(EXC.RATE.SWITCH=1,C560*(1-I560)*(1-ADD.DISCOUNT)*(1+MAT.SURCHARGE)/EXC.RATE_2,C560*(1-I560)*(1-ADD.DISCOUNT)*(1+MAT.SURCHARGE)*EXC.RATE_2),CURRENCY.FORMAT_2),CURRENCY.FORMAT_2,0)),'DICTIONARY-5'!$A$2))</f>
        <v/>
      </c>
      <c r="N560" s="544">
        <v>2</v>
      </c>
      <c r="O560" s="544"/>
      <c r="P560" s="731" t="str">
        <f>'DICTIONARY-3'!$A$11</f>
        <v>ZETA</v>
      </c>
      <c r="Q560" s="732" t="str">
        <f>'DICTIONARY-3'!$A$189</f>
        <v>Zasuwa nożowa</v>
      </c>
      <c r="R560" s="732" t="str">
        <f>CONCATENATE('DICTIONARY-3'!$A$11," ",'DICTIONARY-6'!$A$6," ",'DICTIONARY-5'!$A$34," ",'DICTIONARY-2'!$A$2,"500"," ",'DICTIONARY-2'!$A$3,"10"," ",'DICTIONARY-2'!$A$10,"6",'DICTIONARY-2'!$A$20,", ",'DICTIONARY-4'!$A$11)</f>
        <v>ZETA Zasuwa noż. A2 DN500 PN10 PS6bar, PNE</v>
      </c>
      <c r="S560" s="733" t="str">
        <f>'DICTIONARY-4'!$A$11</f>
        <v>PNE</v>
      </c>
      <c r="T560" s="732" t="str">
        <f>'DICTIONARY-4'!$A$27</f>
        <v>Przygotowane pod napęd elektryczny</v>
      </c>
      <c r="U560" s="734" t="s">
        <v>5756</v>
      </c>
      <c r="V560" s="735">
        <v>10</v>
      </c>
      <c r="W560" s="736"/>
      <c r="X560" s="737"/>
      <c r="Y560" s="738"/>
      <c r="Z560" s="739"/>
      <c r="AA560" s="739"/>
      <c r="AB560" s="740">
        <v>6</v>
      </c>
      <c r="AC560" s="741" t="str">
        <f>'DICTIONARY-5'!$A$11&amp;" 20"</f>
        <v>EN 558 szereg 20</v>
      </c>
      <c r="AD560" s="741" t="str">
        <f>'DICTIONARY-5'!$A$14</f>
        <v>ścieki</v>
      </c>
      <c r="AE560" s="742">
        <v>50</v>
      </c>
      <c r="AF560" s="743">
        <v>271</v>
      </c>
      <c r="AG560" s="741" t="str">
        <f>'DICTIONARY-5'!$A$23</f>
        <v>powłoka epoksydowa</v>
      </c>
    </row>
    <row r="561" spans="1:33" x14ac:dyDescent="0.25">
      <c r="A561" s="842" t="s">
        <v>558</v>
      </c>
      <c r="B561" s="842" t="s">
        <v>3178</v>
      </c>
      <c r="C561" s="836">
        <v>6057</v>
      </c>
      <c r="D561" s="836"/>
      <c r="E561" s="836"/>
      <c r="F561" s="836"/>
      <c r="G561" s="496" t="s">
        <v>7796</v>
      </c>
      <c r="H561" s="797" t="str">
        <f>VLOOKUP(G561,SETTINGS!$B$7:$D$97,2,0)</f>
        <v>ZETA</v>
      </c>
      <c r="I561" s="796">
        <f>VLOOKUP(G561,SETTINGS!$B$7:$D$97,3,0)</f>
        <v>0</v>
      </c>
      <c r="J561" s="670" t="str">
        <f>IFERROR(IF(CURRENCY.FORMAT_1=0,CONCATENATE(TEXT(FIXED(ROUND((C561/EXC.RATE_1),CURRENCY.FORMAT_1),CURRENCY.FORMAT_1,1),"# ##0;-# ##0"),",-"),FIXED(ROUND((C561/EXC.RATE_1),CURRENCY.FORMAT_1),CURRENCY.FORMAT_1,0)),'DICTIONARY-5'!$A$2)</f>
        <v>6 057,-</v>
      </c>
      <c r="K561" s="670" t="str">
        <f>IF(EXC.RATE_2=0,"",IFERROR(IF(CURRENCY.FORMAT_2=0,CONCATENATE(TEXT(FIXED(ROUND(IF(EXC.RATE.SWITCH=1,C561/EXC.RATE_2,C561*EXC.RATE_2),CURRENCY.FORMAT_2),CURRENCY.FORMAT_2,1),"# ##0;-# ##0"),",-"),FIXED(ROUND(IF(EXC.RATE.SWITCH=1,C561/EXC.RATE_2,C561*EXC.RATE_2),CURRENCY.FORMAT_2),CURRENCY.FORMAT_2,0)),'DICTIONARY-5'!$A$2))</f>
        <v/>
      </c>
      <c r="L561" s="670" t="str">
        <f>IFERROR(IF(CURRENCY.FORMAT_1=0,CONCATENATE(TEXT(FIXED(ROUND((C561*(1-I561)*(1-ADD.DISCOUNT)*(1+MAT.SURCHARGE)/EXC.RATE_1),CURRENCY.FORMAT_1),CURRENCY.FORMAT_1,1),"# ##0;-# ##0"),",-"),FIXED(ROUND((C561*(1-I561)*(1-ADD.DISCOUNT)*(1+MAT.SURCHARGE)/EXC.RATE_1),CURRENCY.FORMAT_1),CURRENCY.FORMAT_1,0)),'DICTIONARY-5'!$A$2)</f>
        <v>6 293,-</v>
      </c>
      <c r="M561" s="670" t="str">
        <f>IF(EXC.RATE_2=0,"",IFERROR(IF(CURRENCY.FORMAT_2=0,CONCATENATE(TEXT(FIXED(ROUND(IF(EXC.RATE.SWITCH=1,C561*(1-I561)*(1-ADD.DISCOUNT)*(1+MAT.SURCHARGE)/EXC.RATE_2,C561*(1-I561)*(1-ADD.DISCOUNT)*(1+MAT.SURCHARGE)*EXC.RATE_2),CURRENCY.FORMAT_2),CURRENCY.FORMAT_2,1),"# ##0;-# ##0"),",-"),FIXED(ROUND(IF(EXC.RATE.SWITCH=1,C561*(1-I561)*(1-ADD.DISCOUNT)*(1+MAT.SURCHARGE)/EXC.RATE_2,C561*(1-I561)*(1-ADD.DISCOUNT)*(1+MAT.SURCHARGE)*EXC.RATE_2),CURRENCY.FORMAT_2),CURRENCY.FORMAT_2,0)),'DICTIONARY-5'!$A$2))</f>
        <v/>
      </c>
      <c r="N561" s="544">
        <v>2</v>
      </c>
      <c r="O561" s="544"/>
      <c r="P561" s="731" t="str">
        <f>'DICTIONARY-3'!$A$11</f>
        <v>ZETA</v>
      </c>
      <c r="Q561" s="732" t="str">
        <f>'DICTIONARY-3'!$A$189</f>
        <v>Zasuwa nożowa</v>
      </c>
      <c r="R561" s="732" t="str">
        <f>CONCATENATE('DICTIONARY-3'!$A$11," ",'DICTIONARY-6'!$A$6," ",'DICTIONARY-5'!$A$34," ",'DICTIONARY-2'!$A$2,"600"," ",'DICTIONARY-2'!$A$3,"10"," ",'DICTIONARY-2'!$A$10,"6",'DICTIONARY-2'!$A$20,", ",'DICTIONARY-4'!$A$11)</f>
        <v>ZETA Zasuwa noż. A2 DN600 PN10 PS6bar, PNE</v>
      </c>
      <c r="S561" s="733" t="str">
        <f>'DICTIONARY-4'!$A$11</f>
        <v>PNE</v>
      </c>
      <c r="T561" s="732" t="str">
        <f>'DICTIONARY-4'!$A$27</f>
        <v>Przygotowane pod napęd elektryczny</v>
      </c>
      <c r="U561" s="734" t="s">
        <v>5757</v>
      </c>
      <c r="V561" s="735">
        <v>10</v>
      </c>
      <c r="W561" s="736"/>
      <c r="X561" s="737"/>
      <c r="Y561" s="738"/>
      <c r="Z561" s="739"/>
      <c r="AA561" s="739"/>
      <c r="AB561" s="740">
        <v>6</v>
      </c>
      <c r="AC561" s="741" t="str">
        <f>'DICTIONARY-5'!$A$11&amp;" 20"</f>
        <v>EN 558 szereg 20</v>
      </c>
      <c r="AD561" s="741" t="str">
        <f>'DICTIONARY-5'!$A$14</f>
        <v>ścieki</v>
      </c>
      <c r="AE561" s="742">
        <v>50</v>
      </c>
      <c r="AF561" s="743">
        <v>370</v>
      </c>
      <c r="AG561" s="741" t="str">
        <f>'DICTIONARY-5'!$A$23</f>
        <v>powłoka epoksydowa</v>
      </c>
    </row>
    <row r="562" spans="1:33" x14ac:dyDescent="0.25">
      <c r="A562" s="842" t="s">
        <v>559</v>
      </c>
      <c r="B562" s="842" t="s">
        <v>3191</v>
      </c>
      <c r="C562" s="836">
        <v>683</v>
      </c>
      <c r="D562" s="836"/>
      <c r="E562" s="836"/>
      <c r="F562" s="836"/>
      <c r="G562" s="496" t="s">
        <v>7796</v>
      </c>
      <c r="H562" s="797" t="str">
        <f>VLOOKUP(G562,SETTINGS!$B$7:$D$97,2,0)</f>
        <v>ZETA</v>
      </c>
      <c r="I562" s="796">
        <f>VLOOKUP(G562,SETTINGS!$B$7:$D$97,3,0)</f>
        <v>0</v>
      </c>
      <c r="J562" s="670" t="str">
        <f>IFERROR(IF(CURRENCY.FORMAT_1=0,CONCATENATE(TEXT(FIXED(ROUND((C562/EXC.RATE_1),CURRENCY.FORMAT_1),CURRENCY.FORMAT_1,1),"# ##0;-# ##0"),",-"),FIXED(ROUND((C562/EXC.RATE_1),CURRENCY.FORMAT_1),CURRENCY.FORMAT_1,0)),'DICTIONARY-5'!$A$2)</f>
        <v>683,-</v>
      </c>
      <c r="K562" s="670" t="str">
        <f>IF(EXC.RATE_2=0,"",IFERROR(IF(CURRENCY.FORMAT_2=0,CONCATENATE(TEXT(FIXED(ROUND(IF(EXC.RATE.SWITCH=1,C562/EXC.RATE_2,C562*EXC.RATE_2),CURRENCY.FORMAT_2),CURRENCY.FORMAT_2,1),"# ##0;-# ##0"),",-"),FIXED(ROUND(IF(EXC.RATE.SWITCH=1,C562/EXC.RATE_2,C562*EXC.RATE_2),CURRENCY.FORMAT_2),CURRENCY.FORMAT_2,0)),'DICTIONARY-5'!$A$2))</f>
        <v/>
      </c>
      <c r="L562" s="670" t="str">
        <f>IFERROR(IF(CURRENCY.FORMAT_1=0,CONCATENATE(TEXT(FIXED(ROUND((C562*(1-I562)*(1-ADD.DISCOUNT)*(1+MAT.SURCHARGE)/EXC.RATE_1),CURRENCY.FORMAT_1),CURRENCY.FORMAT_1,1),"# ##0;-# ##0"),",-"),FIXED(ROUND((C562*(1-I562)*(1-ADD.DISCOUNT)*(1+MAT.SURCHARGE)/EXC.RATE_1),CURRENCY.FORMAT_1),CURRENCY.FORMAT_1,0)),'DICTIONARY-5'!$A$2)</f>
        <v>710,-</v>
      </c>
      <c r="M562" s="670" t="str">
        <f>IF(EXC.RATE_2=0,"",IFERROR(IF(CURRENCY.FORMAT_2=0,CONCATENATE(TEXT(FIXED(ROUND(IF(EXC.RATE.SWITCH=1,C562*(1-I562)*(1-ADD.DISCOUNT)*(1+MAT.SURCHARGE)/EXC.RATE_2,C562*(1-I562)*(1-ADD.DISCOUNT)*(1+MAT.SURCHARGE)*EXC.RATE_2),CURRENCY.FORMAT_2),CURRENCY.FORMAT_2,1),"# ##0;-# ##0"),",-"),FIXED(ROUND(IF(EXC.RATE.SWITCH=1,C562*(1-I562)*(1-ADD.DISCOUNT)*(1+MAT.SURCHARGE)/EXC.RATE_2,C562*(1-I562)*(1-ADD.DISCOUNT)*(1+MAT.SURCHARGE)*EXC.RATE_2),CURRENCY.FORMAT_2),CURRENCY.FORMAT_2,0)),'DICTIONARY-5'!$A$2))</f>
        <v/>
      </c>
      <c r="N562" s="544">
        <v>2</v>
      </c>
      <c r="O562" s="544"/>
      <c r="P562" s="731" t="str">
        <f>'DICTIONARY-3'!$A$11</f>
        <v>ZETA</v>
      </c>
      <c r="Q562" s="732" t="str">
        <f>'DICTIONARY-3'!$A$189</f>
        <v>Zasuwa nożowa</v>
      </c>
      <c r="R562" s="732" t="str">
        <f>CONCATENATE('DICTIONARY-3'!$A$11," ",'DICTIONARY-6'!$A$6," ",'DICTIONARY-5'!$A$35," ",'DICTIONARY-2'!$A$2,"200"," ",'DICTIONARY-2'!$A$3,"10"," ",'DICTIONARY-2'!$A$10,"10",'DICTIONARY-2'!$A$20,", ",'DICTIONARY-4'!$A$11)</f>
        <v>ZETA Zasuwa noż. A4 DN200 PN10 PS10bar, PNE</v>
      </c>
      <c r="S562" s="733" t="str">
        <f>'DICTIONARY-4'!$A$11</f>
        <v>PNE</v>
      </c>
      <c r="T562" s="732" t="str">
        <f>'DICTIONARY-4'!$A$27</f>
        <v>Przygotowane pod napęd elektryczny</v>
      </c>
      <c r="U562" s="734" t="s">
        <v>5750</v>
      </c>
      <c r="V562" s="735">
        <v>10</v>
      </c>
      <c r="W562" s="736"/>
      <c r="X562" s="737"/>
      <c r="Y562" s="738"/>
      <c r="Z562" s="739"/>
      <c r="AA562" s="739"/>
      <c r="AB562" s="740">
        <v>10</v>
      </c>
      <c r="AC562" s="741" t="str">
        <f>'DICTIONARY-5'!$A$11&amp;" 20"</f>
        <v>EN 558 szereg 20</v>
      </c>
      <c r="AD562" s="741" t="str">
        <f>'DICTIONARY-5'!$A$14</f>
        <v>ścieki</v>
      </c>
      <c r="AE562" s="742">
        <v>50</v>
      </c>
      <c r="AF562" s="743">
        <v>36.5</v>
      </c>
      <c r="AG562" s="741" t="str">
        <f>'DICTIONARY-5'!$A$23</f>
        <v>powłoka epoksydowa</v>
      </c>
    </row>
    <row r="563" spans="1:33" x14ac:dyDescent="0.25">
      <c r="A563" s="842" t="s">
        <v>560</v>
      </c>
      <c r="B563" s="842" t="s">
        <v>3192</v>
      </c>
      <c r="C563" s="836">
        <v>1081</v>
      </c>
      <c r="D563" s="836"/>
      <c r="E563" s="836"/>
      <c r="F563" s="836"/>
      <c r="G563" s="496" t="s">
        <v>7796</v>
      </c>
      <c r="H563" s="797" t="str">
        <f>VLOOKUP(G563,SETTINGS!$B$7:$D$97,2,0)</f>
        <v>ZETA</v>
      </c>
      <c r="I563" s="796">
        <f>VLOOKUP(G563,SETTINGS!$B$7:$D$97,3,0)</f>
        <v>0</v>
      </c>
      <c r="J563" s="670" t="str">
        <f>IFERROR(IF(CURRENCY.FORMAT_1=0,CONCATENATE(TEXT(FIXED(ROUND((C563/EXC.RATE_1),CURRENCY.FORMAT_1),CURRENCY.FORMAT_1,1),"# ##0;-# ##0"),",-"),FIXED(ROUND((C563/EXC.RATE_1),CURRENCY.FORMAT_1),CURRENCY.FORMAT_1,0)),'DICTIONARY-5'!$A$2)</f>
        <v>1 081,-</v>
      </c>
      <c r="K563" s="670" t="str">
        <f>IF(EXC.RATE_2=0,"",IFERROR(IF(CURRENCY.FORMAT_2=0,CONCATENATE(TEXT(FIXED(ROUND(IF(EXC.RATE.SWITCH=1,C563/EXC.RATE_2,C563*EXC.RATE_2),CURRENCY.FORMAT_2),CURRENCY.FORMAT_2,1),"# ##0;-# ##0"),",-"),FIXED(ROUND(IF(EXC.RATE.SWITCH=1,C563/EXC.RATE_2,C563*EXC.RATE_2),CURRENCY.FORMAT_2),CURRENCY.FORMAT_2,0)),'DICTIONARY-5'!$A$2))</f>
        <v/>
      </c>
      <c r="L563" s="670" t="str">
        <f>IFERROR(IF(CURRENCY.FORMAT_1=0,CONCATENATE(TEXT(FIXED(ROUND((C563*(1-I563)*(1-ADD.DISCOUNT)*(1+MAT.SURCHARGE)/EXC.RATE_1),CURRENCY.FORMAT_1),CURRENCY.FORMAT_1,1),"# ##0;-# ##0"),",-"),FIXED(ROUND((C563*(1-I563)*(1-ADD.DISCOUNT)*(1+MAT.SURCHARGE)/EXC.RATE_1),CURRENCY.FORMAT_1),CURRENCY.FORMAT_1,0)),'DICTIONARY-5'!$A$2)</f>
        <v>1 123,-</v>
      </c>
      <c r="M563" s="670" t="str">
        <f>IF(EXC.RATE_2=0,"",IFERROR(IF(CURRENCY.FORMAT_2=0,CONCATENATE(TEXT(FIXED(ROUND(IF(EXC.RATE.SWITCH=1,C563*(1-I563)*(1-ADD.DISCOUNT)*(1+MAT.SURCHARGE)/EXC.RATE_2,C563*(1-I563)*(1-ADD.DISCOUNT)*(1+MAT.SURCHARGE)*EXC.RATE_2),CURRENCY.FORMAT_2),CURRENCY.FORMAT_2,1),"# ##0;-# ##0"),",-"),FIXED(ROUND(IF(EXC.RATE.SWITCH=1,C563*(1-I563)*(1-ADD.DISCOUNT)*(1+MAT.SURCHARGE)/EXC.RATE_2,C563*(1-I563)*(1-ADD.DISCOUNT)*(1+MAT.SURCHARGE)*EXC.RATE_2),CURRENCY.FORMAT_2),CURRENCY.FORMAT_2,0)),'DICTIONARY-5'!$A$2))</f>
        <v/>
      </c>
      <c r="N563" s="544">
        <v>2</v>
      </c>
      <c r="O563" s="544"/>
      <c r="P563" s="731" t="str">
        <f>'DICTIONARY-3'!$A$11</f>
        <v>ZETA</v>
      </c>
      <c r="Q563" s="732" t="str">
        <f>'DICTIONARY-3'!$A$189</f>
        <v>Zasuwa nożowa</v>
      </c>
      <c r="R563" s="732" t="str">
        <f>CONCATENATE('DICTIONARY-3'!$A$11," ",'DICTIONARY-6'!$A$6," ",'DICTIONARY-5'!$A$35," ",'DICTIONARY-2'!$A$2,"250"," ",'DICTIONARY-2'!$A$3,"10"," ",'DICTIONARY-2'!$A$10,"10",'DICTIONARY-2'!$A$20,", ",'DICTIONARY-4'!$A$11)</f>
        <v>ZETA Zasuwa noż. A4 DN250 PN10 PS10bar, PNE</v>
      </c>
      <c r="S563" s="733" t="str">
        <f>'DICTIONARY-4'!$A$11</f>
        <v>PNE</v>
      </c>
      <c r="T563" s="732" t="str">
        <f>'DICTIONARY-4'!$A$27</f>
        <v>Przygotowane pod napęd elektryczny</v>
      </c>
      <c r="U563" s="734" t="s">
        <v>5751</v>
      </c>
      <c r="V563" s="735">
        <v>10</v>
      </c>
      <c r="W563" s="736"/>
      <c r="X563" s="737"/>
      <c r="Y563" s="738"/>
      <c r="Z563" s="739"/>
      <c r="AA563" s="739"/>
      <c r="AB563" s="740">
        <v>10</v>
      </c>
      <c r="AC563" s="741" t="str">
        <f>'DICTIONARY-5'!$A$11&amp;" 20"</f>
        <v>EN 558 szereg 20</v>
      </c>
      <c r="AD563" s="741" t="str">
        <f>'DICTIONARY-5'!$A$14</f>
        <v>ścieki</v>
      </c>
      <c r="AE563" s="742">
        <v>50</v>
      </c>
      <c r="AF563" s="743">
        <v>61</v>
      </c>
      <c r="AG563" s="741" t="str">
        <f>'DICTIONARY-5'!$A$23</f>
        <v>powłoka epoksydowa</v>
      </c>
    </row>
    <row r="564" spans="1:33" x14ac:dyDescent="0.25">
      <c r="A564" s="842" t="s">
        <v>561</v>
      </c>
      <c r="B564" s="842" t="s">
        <v>3193</v>
      </c>
      <c r="C564" s="836">
        <v>1296</v>
      </c>
      <c r="D564" s="836"/>
      <c r="E564" s="836"/>
      <c r="F564" s="836"/>
      <c r="G564" s="496" t="s">
        <v>7796</v>
      </c>
      <c r="H564" s="797" t="str">
        <f>VLOOKUP(G564,SETTINGS!$B$7:$D$97,2,0)</f>
        <v>ZETA</v>
      </c>
      <c r="I564" s="796">
        <f>VLOOKUP(G564,SETTINGS!$B$7:$D$97,3,0)</f>
        <v>0</v>
      </c>
      <c r="J564" s="670" t="str">
        <f>IFERROR(IF(CURRENCY.FORMAT_1=0,CONCATENATE(TEXT(FIXED(ROUND((C564/EXC.RATE_1),CURRENCY.FORMAT_1),CURRENCY.FORMAT_1,1),"# ##0;-# ##0"),",-"),FIXED(ROUND((C564/EXC.RATE_1),CURRENCY.FORMAT_1),CURRENCY.FORMAT_1,0)),'DICTIONARY-5'!$A$2)</f>
        <v>1 296,-</v>
      </c>
      <c r="K564" s="670" t="str">
        <f>IF(EXC.RATE_2=0,"",IFERROR(IF(CURRENCY.FORMAT_2=0,CONCATENATE(TEXT(FIXED(ROUND(IF(EXC.RATE.SWITCH=1,C564/EXC.RATE_2,C564*EXC.RATE_2),CURRENCY.FORMAT_2),CURRENCY.FORMAT_2,1),"# ##0;-# ##0"),",-"),FIXED(ROUND(IF(EXC.RATE.SWITCH=1,C564/EXC.RATE_2,C564*EXC.RATE_2),CURRENCY.FORMAT_2),CURRENCY.FORMAT_2,0)),'DICTIONARY-5'!$A$2))</f>
        <v/>
      </c>
      <c r="L564" s="670" t="str">
        <f>IFERROR(IF(CURRENCY.FORMAT_1=0,CONCATENATE(TEXT(FIXED(ROUND((C564*(1-I564)*(1-ADD.DISCOUNT)*(1+MAT.SURCHARGE)/EXC.RATE_1),CURRENCY.FORMAT_1),CURRENCY.FORMAT_1,1),"# ##0;-# ##0"),",-"),FIXED(ROUND((C564*(1-I564)*(1-ADD.DISCOUNT)*(1+MAT.SURCHARGE)/EXC.RATE_1),CURRENCY.FORMAT_1),CURRENCY.FORMAT_1,0)),'DICTIONARY-5'!$A$2)</f>
        <v>1 347,-</v>
      </c>
      <c r="M564" s="670" t="str">
        <f>IF(EXC.RATE_2=0,"",IFERROR(IF(CURRENCY.FORMAT_2=0,CONCATENATE(TEXT(FIXED(ROUND(IF(EXC.RATE.SWITCH=1,C564*(1-I564)*(1-ADD.DISCOUNT)*(1+MAT.SURCHARGE)/EXC.RATE_2,C564*(1-I564)*(1-ADD.DISCOUNT)*(1+MAT.SURCHARGE)*EXC.RATE_2),CURRENCY.FORMAT_2),CURRENCY.FORMAT_2,1),"# ##0;-# ##0"),",-"),FIXED(ROUND(IF(EXC.RATE.SWITCH=1,C564*(1-I564)*(1-ADD.DISCOUNT)*(1+MAT.SURCHARGE)/EXC.RATE_2,C564*(1-I564)*(1-ADD.DISCOUNT)*(1+MAT.SURCHARGE)*EXC.RATE_2),CURRENCY.FORMAT_2),CURRENCY.FORMAT_2,0)),'DICTIONARY-5'!$A$2))</f>
        <v/>
      </c>
      <c r="N564" s="544">
        <v>2</v>
      </c>
      <c r="O564" s="544"/>
      <c r="P564" s="731" t="str">
        <f>'DICTIONARY-3'!$A$11</f>
        <v>ZETA</v>
      </c>
      <c r="Q564" s="732" t="str">
        <f>'DICTIONARY-3'!$A$189</f>
        <v>Zasuwa nożowa</v>
      </c>
      <c r="R564" s="732" t="str">
        <f>CONCATENATE('DICTIONARY-3'!$A$11," ",'DICTIONARY-6'!$A$6," ",'DICTIONARY-5'!$A$35," ",'DICTIONARY-2'!$A$2,"300"," ",'DICTIONARY-2'!$A$3,"10"," ",'DICTIONARY-2'!$A$10,"10",'DICTIONARY-2'!$A$20,", ",'DICTIONARY-4'!$A$11)</f>
        <v>ZETA Zasuwa noż. A4 DN300 PN10 PS10bar, PNE</v>
      </c>
      <c r="S564" s="733" t="str">
        <f>'DICTIONARY-4'!$A$11</f>
        <v>PNE</v>
      </c>
      <c r="T564" s="732" t="str">
        <f>'DICTIONARY-4'!$A$27</f>
        <v>Przygotowane pod napęd elektryczny</v>
      </c>
      <c r="U564" s="734" t="s">
        <v>5752</v>
      </c>
      <c r="V564" s="735">
        <v>10</v>
      </c>
      <c r="W564" s="736"/>
      <c r="X564" s="737"/>
      <c r="Y564" s="738"/>
      <c r="Z564" s="739"/>
      <c r="AA564" s="739"/>
      <c r="AB564" s="740">
        <v>10</v>
      </c>
      <c r="AC564" s="741" t="str">
        <f>'DICTIONARY-5'!$A$11&amp;" 20"</f>
        <v>EN 558 szereg 20</v>
      </c>
      <c r="AD564" s="741" t="str">
        <f>'DICTIONARY-5'!$A$14</f>
        <v>ścieki</v>
      </c>
      <c r="AE564" s="742">
        <v>50</v>
      </c>
      <c r="AF564" s="743">
        <v>86</v>
      </c>
      <c r="AG564" s="741" t="str">
        <f>'DICTIONARY-5'!$A$23</f>
        <v>powłoka epoksydowa</v>
      </c>
    </row>
    <row r="565" spans="1:33" x14ac:dyDescent="0.25">
      <c r="A565" s="842" t="s">
        <v>562</v>
      </c>
      <c r="B565" s="842" t="s">
        <v>3194</v>
      </c>
      <c r="C565" s="836">
        <v>1827</v>
      </c>
      <c r="D565" s="836"/>
      <c r="E565" s="836"/>
      <c r="F565" s="836"/>
      <c r="G565" s="496" t="s">
        <v>7796</v>
      </c>
      <c r="H565" s="797" t="str">
        <f>VLOOKUP(G565,SETTINGS!$B$7:$D$97,2,0)</f>
        <v>ZETA</v>
      </c>
      <c r="I565" s="796">
        <f>VLOOKUP(G565,SETTINGS!$B$7:$D$97,3,0)</f>
        <v>0</v>
      </c>
      <c r="J565" s="670" t="str">
        <f>IFERROR(IF(CURRENCY.FORMAT_1=0,CONCATENATE(TEXT(FIXED(ROUND((C565/EXC.RATE_1),CURRENCY.FORMAT_1),CURRENCY.FORMAT_1,1),"# ##0;-# ##0"),",-"),FIXED(ROUND((C565/EXC.RATE_1),CURRENCY.FORMAT_1),CURRENCY.FORMAT_1,0)),'DICTIONARY-5'!$A$2)</f>
        <v>1 827,-</v>
      </c>
      <c r="K565" s="670" t="str">
        <f>IF(EXC.RATE_2=0,"",IFERROR(IF(CURRENCY.FORMAT_2=0,CONCATENATE(TEXT(FIXED(ROUND(IF(EXC.RATE.SWITCH=1,C565/EXC.RATE_2,C565*EXC.RATE_2),CURRENCY.FORMAT_2),CURRENCY.FORMAT_2,1),"# ##0;-# ##0"),",-"),FIXED(ROUND(IF(EXC.RATE.SWITCH=1,C565/EXC.RATE_2,C565*EXC.RATE_2),CURRENCY.FORMAT_2),CURRENCY.FORMAT_2,0)),'DICTIONARY-5'!$A$2))</f>
        <v/>
      </c>
      <c r="L565" s="670" t="str">
        <f>IFERROR(IF(CURRENCY.FORMAT_1=0,CONCATENATE(TEXT(FIXED(ROUND((C565*(1-I565)*(1-ADD.DISCOUNT)*(1+MAT.SURCHARGE)/EXC.RATE_1),CURRENCY.FORMAT_1),CURRENCY.FORMAT_1,1),"# ##0;-# ##0"),",-"),FIXED(ROUND((C565*(1-I565)*(1-ADD.DISCOUNT)*(1+MAT.SURCHARGE)/EXC.RATE_1),CURRENCY.FORMAT_1),CURRENCY.FORMAT_1,0)),'DICTIONARY-5'!$A$2)</f>
        <v>1 898,-</v>
      </c>
      <c r="M565" s="670" t="str">
        <f>IF(EXC.RATE_2=0,"",IFERROR(IF(CURRENCY.FORMAT_2=0,CONCATENATE(TEXT(FIXED(ROUND(IF(EXC.RATE.SWITCH=1,C565*(1-I565)*(1-ADD.DISCOUNT)*(1+MAT.SURCHARGE)/EXC.RATE_2,C565*(1-I565)*(1-ADD.DISCOUNT)*(1+MAT.SURCHARGE)*EXC.RATE_2),CURRENCY.FORMAT_2),CURRENCY.FORMAT_2,1),"# ##0;-# ##0"),",-"),FIXED(ROUND(IF(EXC.RATE.SWITCH=1,C565*(1-I565)*(1-ADD.DISCOUNT)*(1+MAT.SURCHARGE)/EXC.RATE_2,C565*(1-I565)*(1-ADD.DISCOUNT)*(1+MAT.SURCHARGE)*EXC.RATE_2),CURRENCY.FORMAT_2),CURRENCY.FORMAT_2,0)),'DICTIONARY-5'!$A$2))</f>
        <v/>
      </c>
      <c r="N565" s="544">
        <v>2</v>
      </c>
      <c r="O565" s="544"/>
      <c r="P565" s="731" t="str">
        <f>'DICTIONARY-3'!$A$11</f>
        <v>ZETA</v>
      </c>
      <c r="Q565" s="732" t="str">
        <f>'DICTIONARY-3'!$A$189</f>
        <v>Zasuwa nożowa</v>
      </c>
      <c r="R565" s="732" t="str">
        <f>CONCATENATE('DICTIONARY-3'!$A$11," ",'DICTIONARY-6'!$A$6," ",'DICTIONARY-5'!$A$35," ",'DICTIONARY-2'!$A$2,"350"," ",'DICTIONARY-2'!$A$3,"10"," ",'DICTIONARY-2'!$A$10,"8",'DICTIONARY-2'!$A$20,", ",'DICTIONARY-4'!$A$11)</f>
        <v>ZETA Zasuwa noż. A4 DN350 PN10 PS8bar, PNE</v>
      </c>
      <c r="S565" s="733" t="str">
        <f>'DICTIONARY-4'!$A$11</f>
        <v>PNE</v>
      </c>
      <c r="T565" s="732" t="str">
        <f>'DICTIONARY-4'!$A$27</f>
        <v>Przygotowane pod napęd elektryczny</v>
      </c>
      <c r="U565" s="734" t="s">
        <v>5753</v>
      </c>
      <c r="V565" s="735">
        <v>10</v>
      </c>
      <c r="W565" s="736"/>
      <c r="X565" s="737"/>
      <c r="Y565" s="738"/>
      <c r="Z565" s="739"/>
      <c r="AA565" s="739"/>
      <c r="AB565" s="740">
        <v>8</v>
      </c>
      <c r="AC565" s="741" t="str">
        <f>'DICTIONARY-5'!$A$11&amp;" 20"</f>
        <v>EN 558 szereg 20</v>
      </c>
      <c r="AD565" s="741" t="str">
        <f>'DICTIONARY-5'!$A$14</f>
        <v>ścieki</v>
      </c>
      <c r="AE565" s="742">
        <v>50</v>
      </c>
      <c r="AF565" s="743">
        <v>112</v>
      </c>
      <c r="AG565" s="741" t="str">
        <f>'DICTIONARY-5'!$A$23</f>
        <v>powłoka epoksydowa</v>
      </c>
    </row>
    <row r="566" spans="1:33" x14ac:dyDescent="0.25">
      <c r="A566" s="842" t="s">
        <v>563</v>
      </c>
      <c r="B566" s="842" t="s">
        <v>3195</v>
      </c>
      <c r="C566" s="836">
        <v>2514</v>
      </c>
      <c r="D566" s="836"/>
      <c r="E566" s="836"/>
      <c r="F566" s="836"/>
      <c r="G566" s="496" t="s">
        <v>7796</v>
      </c>
      <c r="H566" s="797" t="str">
        <f>VLOOKUP(G566,SETTINGS!$B$7:$D$97,2,0)</f>
        <v>ZETA</v>
      </c>
      <c r="I566" s="796">
        <f>VLOOKUP(G566,SETTINGS!$B$7:$D$97,3,0)</f>
        <v>0</v>
      </c>
      <c r="J566" s="670" t="str">
        <f>IFERROR(IF(CURRENCY.FORMAT_1=0,CONCATENATE(TEXT(FIXED(ROUND((C566/EXC.RATE_1),CURRENCY.FORMAT_1),CURRENCY.FORMAT_1,1),"# ##0;-# ##0"),",-"),FIXED(ROUND((C566/EXC.RATE_1),CURRENCY.FORMAT_1),CURRENCY.FORMAT_1,0)),'DICTIONARY-5'!$A$2)</f>
        <v>2 514,-</v>
      </c>
      <c r="K566" s="670" t="str">
        <f>IF(EXC.RATE_2=0,"",IFERROR(IF(CURRENCY.FORMAT_2=0,CONCATENATE(TEXT(FIXED(ROUND(IF(EXC.RATE.SWITCH=1,C566/EXC.RATE_2,C566*EXC.RATE_2),CURRENCY.FORMAT_2),CURRENCY.FORMAT_2,1),"# ##0;-# ##0"),",-"),FIXED(ROUND(IF(EXC.RATE.SWITCH=1,C566/EXC.RATE_2,C566*EXC.RATE_2),CURRENCY.FORMAT_2),CURRENCY.FORMAT_2,0)),'DICTIONARY-5'!$A$2))</f>
        <v/>
      </c>
      <c r="L566" s="670" t="str">
        <f>IFERROR(IF(CURRENCY.FORMAT_1=0,CONCATENATE(TEXT(FIXED(ROUND((C566*(1-I566)*(1-ADD.DISCOUNT)*(1+MAT.SURCHARGE)/EXC.RATE_1),CURRENCY.FORMAT_1),CURRENCY.FORMAT_1,1),"# ##0;-# ##0"),",-"),FIXED(ROUND((C566*(1-I566)*(1-ADD.DISCOUNT)*(1+MAT.SURCHARGE)/EXC.RATE_1),CURRENCY.FORMAT_1),CURRENCY.FORMAT_1,0)),'DICTIONARY-5'!$A$2)</f>
        <v>2 612,-</v>
      </c>
      <c r="M566" s="670" t="str">
        <f>IF(EXC.RATE_2=0,"",IFERROR(IF(CURRENCY.FORMAT_2=0,CONCATENATE(TEXT(FIXED(ROUND(IF(EXC.RATE.SWITCH=1,C566*(1-I566)*(1-ADD.DISCOUNT)*(1+MAT.SURCHARGE)/EXC.RATE_2,C566*(1-I566)*(1-ADD.DISCOUNT)*(1+MAT.SURCHARGE)*EXC.RATE_2),CURRENCY.FORMAT_2),CURRENCY.FORMAT_2,1),"# ##0;-# ##0"),",-"),FIXED(ROUND(IF(EXC.RATE.SWITCH=1,C566*(1-I566)*(1-ADD.DISCOUNT)*(1+MAT.SURCHARGE)/EXC.RATE_2,C566*(1-I566)*(1-ADD.DISCOUNT)*(1+MAT.SURCHARGE)*EXC.RATE_2),CURRENCY.FORMAT_2),CURRENCY.FORMAT_2,0)),'DICTIONARY-5'!$A$2))</f>
        <v/>
      </c>
      <c r="N566" s="544">
        <v>2</v>
      </c>
      <c r="O566" s="544"/>
      <c r="P566" s="731" t="str">
        <f>'DICTIONARY-3'!$A$11</f>
        <v>ZETA</v>
      </c>
      <c r="Q566" s="732" t="str">
        <f>'DICTIONARY-3'!$A$189</f>
        <v>Zasuwa nożowa</v>
      </c>
      <c r="R566" s="732" t="str">
        <f>CONCATENATE('DICTIONARY-3'!$A$11," ",'DICTIONARY-6'!$A$6," ",'DICTIONARY-5'!$A$35," ",'DICTIONARY-2'!$A$2,"400"," ",'DICTIONARY-2'!$A$3,"10"," ",'DICTIONARY-2'!$A$10,"8",'DICTIONARY-2'!$A$20,", ",'DICTIONARY-4'!$A$11)</f>
        <v>ZETA Zasuwa noż. A4 DN400 PN10 PS8bar, PNE</v>
      </c>
      <c r="S566" s="733" t="str">
        <f>'DICTIONARY-4'!$A$11</f>
        <v>PNE</v>
      </c>
      <c r="T566" s="732" t="str">
        <f>'DICTIONARY-4'!$A$27</f>
        <v>Przygotowane pod napęd elektryczny</v>
      </c>
      <c r="U566" s="734" t="s">
        <v>5754</v>
      </c>
      <c r="V566" s="735">
        <v>10</v>
      </c>
      <c r="W566" s="736"/>
      <c r="X566" s="737"/>
      <c r="Y566" s="738"/>
      <c r="Z566" s="739"/>
      <c r="AA566" s="739"/>
      <c r="AB566" s="740">
        <v>8</v>
      </c>
      <c r="AC566" s="741" t="str">
        <f>'DICTIONARY-5'!$A$11&amp;" 20"</f>
        <v>EN 558 szereg 20</v>
      </c>
      <c r="AD566" s="741" t="str">
        <f>'DICTIONARY-5'!$A$14</f>
        <v>ścieki</v>
      </c>
      <c r="AE566" s="742">
        <v>50</v>
      </c>
      <c r="AF566" s="743">
        <v>157</v>
      </c>
      <c r="AG566" s="741" t="str">
        <f>'DICTIONARY-5'!$A$23</f>
        <v>powłoka epoksydowa</v>
      </c>
    </row>
    <row r="567" spans="1:33" x14ac:dyDescent="0.25">
      <c r="A567" s="842" t="s">
        <v>564</v>
      </c>
      <c r="B567" s="842" t="s">
        <v>3196</v>
      </c>
      <c r="C567" s="836">
        <v>4970</v>
      </c>
      <c r="D567" s="836"/>
      <c r="E567" s="836"/>
      <c r="F567" s="836"/>
      <c r="G567" s="496" t="s">
        <v>7796</v>
      </c>
      <c r="H567" s="797" t="str">
        <f>VLOOKUP(G567,SETTINGS!$B$7:$D$97,2,0)</f>
        <v>ZETA</v>
      </c>
      <c r="I567" s="796">
        <f>VLOOKUP(G567,SETTINGS!$B$7:$D$97,3,0)</f>
        <v>0</v>
      </c>
      <c r="J567" s="670" t="str">
        <f>IFERROR(IF(CURRENCY.FORMAT_1=0,CONCATENATE(TEXT(FIXED(ROUND((C567/EXC.RATE_1),CURRENCY.FORMAT_1),CURRENCY.FORMAT_1,1),"# ##0;-# ##0"),",-"),FIXED(ROUND((C567/EXC.RATE_1),CURRENCY.FORMAT_1),CURRENCY.FORMAT_1,0)),'DICTIONARY-5'!$A$2)</f>
        <v>4 970,-</v>
      </c>
      <c r="K567" s="670" t="str">
        <f>IF(EXC.RATE_2=0,"",IFERROR(IF(CURRENCY.FORMAT_2=0,CONCATENATE(TEXT(FIXED(ROUND(IF(EXC.RATE.SWITCH=1,C567/EXC.RATE_2,C567*EXC.RATE_2),CURRENCY.FORMAT_2),CURRENCY.FORMAT_2,1),"# ##0;-# ##0"),",-"),FIXED(ROUND(IF(EXC.RATE.SWITCH=1,C567/EXC.RATE_2,C567*EXC.RATE_2),CURRENCY.FORMAT_2),CURRENCY.FORMAT_2,0)),'DICTIONARY-5'!$A$2))</f>
        <v/>
      </c>
      <c r="L567" s="670" t="str">
        <f>IFERROR(IF(CURRENCY.FORMAT_1=0,CONCATENATE(TEXT(FIXED(ROUND((C567*(1-I567)*(1-ADD.DISCOUNT)*(1+MAT.SURCHARGE)/EXC.RATE_1),CURRENCY.FORMAT_1),CURRENCY.FORMAT_1,1),"# ##0;-# ##0"),",-"),FIXED(ROUND((C567*(1-I567)*(1-ADD.DISCOUNT)*(1+MAT.SURCHARGE)/EXC.RATE_1),CURRENCY.FORMAT_1),CURRENCY.FORMAT_1,0)),'DICTIONARY-5'!$A$2)</f>
        <v>5 164,-</v>
      </c>
      <c r="M567" s="670" t="str">
        <f>IF(EXC.RATE_2=0,"",IFERROR(IF(CURRENCY.FORMAT_2=0,CONCATENATE(TEXT(FIXED(ROUND(IF(EXC.RATE.SWITCH=1,C567*(1-I567)*(1-ADD.DISCOUNT)*(1+MAT.SURCHARGE)/EXC.RATE_2,C567*(1-I567)*(1-ADD.DISCOUNT)*(1+MAT.SURCHARGE)*EXC.RATE_2),CURRENCY.FORMAT_2),CURRENCY.FORMAT_2,1),"# ##0;-# ##0"),",-"),FIXED(ROUND(IF(EXC.RATE.SWITCH=1,C567*(1-I567)*(1-ADD.DISCOUNT)*(1+MAT.SURCHARGE)/EXC.RATE_2,C567*(1-I567)*(1-ADD.DISCOUNT)*(1+MAT.SURCHARGE)*EXC.RATE_2),CURRENCY.FORMAT_2),CURRENCY.FORMAT_2,0)),'DICTIONARY-5'!$A$2))</f>
        <v/>
      </c>
      <c r="N567" s="544">
        <v>2</v>
      </c>
      <c r="O567" s="544"/>
      <c r="P567" s="731" t="str">
        <f>'DICTIONARY-3'!$A$11</f>
        <v>ZETA</v>
      </c>
      <c r="Q567" s="732" t="str">
        <f>'DICTIONARY-3'!$A$189</f>
        <v>Zasuwa nożowa</v>
      </c>
      <c r="R567" s="732" t="str">
        <f>CONCATENATE('DICTIONARY-3'!$A$11," ",'DICTIONARY-6'!$A$6," ",'DICTIONARY-5'!$A$35," ",'DICTIONARY-2'!$A$2,"500"," ",'DICTIONARY-2'!$A$3,"10"," ",'DICTIONARY-2'!$A$10,"6",'DICTIONARY-2'!$A$20,", ",'DICTIONARY-4'!$A$11)</f>
        <v>ZETA Zasuwa noż. A4 DN500 PN10 PS6bar, PNE</v>
      </c>
      <c r="S567" s="733" t="str">
        <f>'DICTIONARY-4'!$A$11</f>
        <v>PNE</v>
      </c>
      <c r="T567" s="732" t="str">
        <f>'DICTIONARY-4'!$A$27</f>
        <v>Przygotowane pod napęd elektryczny</v>
      </c>
      <c r="U567" s="734" t="s">
        <v>5756</v>
      </c>
      <c r="V567" s="735">
        <v>10</v>
      </c>
      <c r="W567" s="736"/>
      <c r="X567" s="737"/>
      <c r="Y567" s="738"/>
      <c r="Z567" s="739"/>
      <c r="AA567" s="739"/>
      <c r="AB567" s="740">
        <v>6</v>
      </c>
      <c r="AC567" s="741" t="str">
        <f>'DICTIONARY-5'!$A$11&amp;" 20"</f>
        <v>EN 558 szereg 20</v>
      </c>
      <c r="AD567" s="741" t="str">
        <f>'DICTIONARY-5'!$A$14</f>
        <v>ścieki</v>
      </c>
      <c r="AE567" s="742">
        <v>50</v>
      </c>
      <c r="AF567" s="743">
        <v>281</v>
      </c>
      <c r="AG567" s="741" t="str">
        <f>'DICTIONARY-5'!$A$23</f>
        <v>powłoka epoksydowa</v>
      </c>
    </row>
    <row r="568" spans="1:33" x14ac:dyDescent="0.25">
      <c r="A568" s="842" t="s">
        <v>565</v>
      </c>
      <c r="B568" s="842" t="s">
        <v>3197</v>
      </c>
      <c r="C568" s="836">
        <v>6748</v>
      </c>
      <c r="D568" s="836"/>
      <c r="E568" s="836"/>
      <c r="F568" s="836"/>
      <c r="G568" s="496" t="s">
        <v>7796</v>
      </c>
      <c r="H568" s="797" t="str">
        <f>VLOOKUP(G568,SETTINGS!$B$7:$D$97,2,0)</f>
        <v>ZETA</v>
      </c>
      <c r="I568" s="796">
        <f>VLOOKUP(G568,SETTINGS!$B$7:$D$97,3,0)</f>
        <v>0</v>
      </c>
      <c r="J568" s="670" t="str">
        <f>IFERROR(IF(CURRENCY.FORMAT_1=0,CONCATENATE(TEXT(FIXED(ROUND((C568/EXC.RATE_1),CURRENCY.FORMAT_1),CURRENCY.FORMAT_1,1),"# ##0;-# ##0"),",-"),FIXED(ROUND((C568/EXC.RATE_1),CURRENCY.FORMAT_1),CURRENCY.FORMAT_1,0)),'DICTIONARY-5'!$A$2)</f>
        <v>6 748,-</v>
      </c>
      <c r="K568" s="670" t="str">
        <f>IF(EXC.RATE_2=0,"",IFERROR(IF(CURRENCY.FORMAT_2=0,CONCATENATE(TEXT(FIXED(ROUND(IF(EXC.RATE.SWITCH=1,C568/EXC.RATE_2,C568*EXC.RATE_2),CURRENCY.FORMAT_2),CURRENCY.FORMAT_2,1),"# ##0;-# ##0"),",-"),FIXED(ROUND(IF(EXC.RATE.SWITCH=1,C568/EXC.RATE_2,C568*EXC.RATE_2),CURRENCY.FORMAT_2),CURRENCY.FORMAT_2,0)),'DICTIONARY-5'!$A$2))</f>
        <v/>
      </c>
      <c r="L568" s="670" t="str">
        <f>IFERROR(IF(CURRENCY.FORMAT_1=0,CONCATENATE(TEXT(FIXED(ROUND((C568*(1-I568)*(1-ADD.DISCOUNT)*(1+MAT.SURCHARGE)/EXC.RATE_1),CURRENCY.FORMAT_1),CURRENCY.FORMAT_1,1),"# ##0;-# ##0"),",-"),FIXED(ROUND((C568*(1-I568)*(1-ADD.DISCOUNT)*(1+MAT.SURCHARGE)/EXC.RATE_1),CURRENCY.FORMAT_1),CURRENCY.FORMAT_1,0)),'DICTIONARY-5'!$A$2)</f>
        <v>7 011,-</v>
      </c>
      <c r="M568" s="670" t="str">
        <f>IF(EXC.RATE_2=0,"",IFERROR(IF(CURRENCY.FORMAT_2=0,CONCATENATE(TEXT(FIXED(ROUND(IF(EXC.RATE.SWITCH=1,C568*(1-I568)*(1-ADD.DISCOUNT)*(1+MAT.SURCHARGE)/EXC.RATE_2,C568*(1-I568)*(1-ADD.DISCOUNT)*(1+MAT.SURCHARGE)*EXC.RATE_2),CURRENCY.FORMAT_2),CURRENCY.FORMAT_2,1),"# ##0;-# ##0"),",-"),FIXED(ROUND(IF(EXC.RATE.SWITCH=1,C568*(1-I568)*(1-ADD.DISCOUNT)*(1+MAT.SURCHARGE)/EXC.RATE_2,C568*(1-I568)*(1-ADD.DISCOUNT)*(1+MAT.SURCHARGE)*EXC.RATE_2),CURRENCY.FORMAT_2),CURRENCY.FORMAT_2,0)),'DICTIONARY-5'!$A$2))</f>
        <v/>
      </c>
      <c r="N568" s="544">
        <v>2</v>
      </c>
      <c r="O568" s="544"/>
      <c r="P568" s="731" t="str">
        <f>'DICTIONARY-3'!$A$11</f>
        <v>ZETA</v>
      </c>
      <c r="Q568" s="732" t="str">
        <f>'DICTIONARY-3'!$A$189</f>
        <v>Zasuwa nożowa</v>
      </c>
      <c r="R568" s="732" t="str">
        <f>CONCATENATE('DICTIONARY-3'!$A$11," ",'DICTIONARY-6'!$A$6," ",'DICTIONARY-5'!$A$35," ",'DICTIONARY-2'!$A$2,"600"," ",'DICTIONARY-2'!$A$3,"10"," ",'DICTIONARY-2'!$A$10,"6",'DICTIONARY-2'!$A$20,", ",'DICTIONARY-4'!$A$11)</f>
        <v>ZETA Zasuwa noż. A4 DN600 PN10 PS6bar, PNE</v>
      </c>
      <c r="S568" s="733" t="str">
        <f>'DICTIONARY-4'!$A$11</f>
        <v>PNE</v>
      </c>
      <c r="T568" s="732" t="str">
        <f>'DICTIONARY-4'!$A$27</f>
        <v>Przygotowane pod napęd elektryczny</v>
      </c>
      <c r="U568" s="734" t="s">
        <v>5757</v>
      </c>
      <c r="V568" s="735">
        <v>10</v>
      </c>
      <c r="W568" s="736"/>
      <c r="X568" s="737"/>
      <c r="Y568" s="738"/>
      <c r="Z568" s="739"/>
      <c r="AA568" s="739"/>
      <c r="AB568" s="740">
        <v>6</v>
      </c>
      <c r="AC568" s="741" t="str">
        <f>'DICTIONARY-5'!$A$11&amp;" 20"</f>
        <v>EN 558 szereg 20</v>
      </c>
      <c r="AD568" s="741" t="str">
        <f>'DICTIONARY-5'!$A$14</f>
        <v>ścieki</v>
      </c>
      <c r="AE568" s="742">
        <v>50</v>
      </c>
      <c r="AF568" s="743">
        <v>371</v>
      </c>
      <c r="AG568" s="741" t="str">
        <f>'DICTIONARY-5'!$A$23</f>
        <v>powłoka epoksydowa</v>
      </c>
    </row>
    <row r="569" spans="1:33" x14ac:dyDescent="0.25">
      <c r="A569" s="846" t="s">
        <v>5057</v>
      </c>
      <c r="B569" s="846" t="s">
        <v>5037</v>
      </c>
      <c r="C569" s="836">
        <v>2553</v>
      </c>
      <c r="D569" s="836"/>
      <c r="E569" s="836"/>
      <c r="F569" s="836"/>
      <c r="G569" s="496" t="s">
        <v>7797</v>
      </c>
      <c r="H569" s="797" t="str">
        <f>VLOOKUP(G569,SETTINGS!$B$7:$D$97,2,0)</f>
        <v>ZETA (with E-Actuator)</v>
      </c>
      <c r="I569" s="796">
        <f>VLOOKUP(G569,SETTINGS!$B$7:$D$97,3,0)</f>
        <v>0</v>
      </c>
      <c r="J569" s="670" t="str">
        <f>IFERROR(IF(CURRENCY.FORMAT_1=0,CONCATENATE(TEXT(FIXED(ROUND((C569/EXC.RATE_1),CURRENCY.FORMAT_1),CURRENCY.FORMAT_1,1),"# ##0;-# ##0"),",-"),FIXED(ROUND((C569/EXC.RATE_1),CURRENCY.FORMAT_1),CURRENCY.FORMAT_1,0)),'DICTIONARY-5'!$A$2)</f>
        <v>2 553,-</v>
      </c>
      <c r="K569" s="670" t="str">
        <f>IF(EXC.RATE_2=0,"",IFERROR(IF(CURRENCY.FORMAT_2=0,CONCATENATE(TEXT(FIXED(ROUND(IF(EXC.RATE.SWITCH=1,C569/EXC.RATE_2,C569*EXC.RATE_2),CURRENCY.FORMAT_2),CURRENCY.FORMAT_2,1),"# ##0;-# ##0"),",-"),FIXED(ROUND(IF(EXC.RATE.SWITCH=1,C569/EXC.RATE_2,C569*EXC.RATE_2),CURRENCY.FORMAT_2),CURRENCY.FORMAT_2,0)),'DICTIONARY-5'!$A$2))</f>
        <v/>
      </c>
      <c r="L569" s="670" t="str">
        <f>IFERROR(IF(CURRENCY.FORMAT_1=0,CONCATENATE(TEXT(FIXED(ROUND((C569*(1-I569)*(1-ADD.DISCOUNT)*(1+MAT.SURCHARGE)/EXC.RATE_1),CURRENCY.FORMAT_1),CURRENCY.FORMAT_1,1),"# ##0;-# ##0"),",-"),FIXED(ROUND((C569*(1-I569)*(1-ADD.DISCOUNT)*(1+MAT.SURCHARGE)/EXC.RATE_1),CURRENCY.FORMAT_1),CURRENCY.FORMAT_1,0)),'DICTIONARY-5'!$A$2)</f>
        <v>2 653,-</v>
      </c>
      <c r="M569" s="670" t="str">
        <f>IF(EXC.RATE_2=0,"",IFERROR(IF(CURRENCY.FORMAT_2=0,CONCATENATE(TEXT(FIXED(ROUND(IF(EXC.RATE.SWITCH=1,C569*(1-I569)*(1-ADD.DISCOUNT)*(1+MAT.SURCHARGE)/EXC.RATE_2,C569*(1-I569)*(1-ADD.DISCOUNT)*(1+MAT.SURCHARGE)*EXC.RATE_2),CURRENCY.FORMAT_2),CURRENCY.FORMAT_2,1),"# ##0;-# ##0"),",-"),FIXED(ROUND(IF(EXC.RATE.SWITCH=1,C569*(1-I569)*(1-ADD.DISCOUNT)*(1+MAT.SURCHARGE)/EXC.RATE_2,C569*(1-I569)*(1-ADD.DISCOUNT)*(1+MAT.SURCHARGE)*EXC.RATE_2),CURRENCY.FORMAT_2),CURRENCY.FORMAT_2,0)),'DICTIONARY-5'!$A$2))</f>
        <v/>
      </c>
      <c r="N569" s="496">
        <v>2</v>
      </c>
      <c r="O569" s="496"/>
      <c r="P569" s="731" t="str">
        <f>'DICTIONARY-3'!$A$11</f>
        <v>ZETA</v>
      </c>
      <c r="Q569" s="732" t="str">
        <f>'DICTIONARY-3'!$A$189</f>
        <v>Zasuwa nożowa</v>
      </c>
      <c r="R569" s="732" t="str">
        <f>CONCATENATE('DICTIONARY-3'!$A$11," ",'DICTIONARY-6'!$A$6," ",'DICTIONARY-5'!$A$35," ",'DICTIONARY-2'!$A$2,"50"," ",'DICTIONARY-2'!$A$3,"10"," ",'DICTIONARY-2'!$A$10,"10",'DICTIONARY-2'!$A$20,", ",'DICTIONARY-4'!$A$4," SA07.6")</f>
        <v>ZETA Zasuwa noż. A4 DN50 PN10 PS10bar, NE SA07.6</v>
      </c>
      <c r="S569" s="733" t="str">
        <f>'DICTIONARY-4'!$A$4</f>
        <v>NE</v>
      </c>
      <c r="T569" s="732" t="str">
        <f>'DICTIONARY-4'!$A$20</f>
        <v>Napęd elektryczny</v>
      </c>
      <c r="U569" s="734" t="s">
        <v>5748</v>
      </c>
      <c r="V569" s="735">
        <v>10</v>
      </c>
      <c r="W569" s="736"/>
      <c r="X569" s="737"/>
      <c r="Y569" s="738"/>
      <c r="Z569" s="739"/>
      <c r="AA569" s="739"/>
      <c r="AB569" s="740">
        <v>10</v>
      </c>
      <c r="AC569" s="741" t="str">
        <f>'DICTIONARY-5'!$A$11&amp;" 20"</f>
        <v>EN 558 szereg 20</v>
      </c>
      <c r="AD569" s="741" t="str">
        <f>'DICTIONARY-5'!$A$14</f>
        <v>ścieki</v>
      </c>
      <c r="AE569" s="742">
        <v>50</v>
      </c>
      <c r="AF569" s="743">
        <v>35</v>
      </c>
      <c r="AG569" s="741" t="str">
        <f>'DICTIONARY-5'!$A$23</f>
        <v>powłoka epoksydowa</v>
      </c>
    </row>
    <row r="570" spans="1:33" x14ac:dyDescent="0.25">
      <c r="A570" s="846" t="s">
        <v>5058</v>
      </c>
      <c r="B570" s="846" t="s">
        <v>5038</v>
      </c>
      <c r="C570" s="836">
        <v>2560</v>
      </c>
      <c r="D570" s="836"/>
      <c r="E570" s="836"/>
      <c r="F570" s="836"/>
      <c r="G570" s="496" t="s">
        <v>7797</v>
      </c>
      <c r="H570" s="797" t="str">
        <f>VLOOKUP(G570,SETTINGS!$B$7:$D$97,2,0)</f>
        <v>ZETA (with E-Actuator)</v>
      </c>
      <c r="I570" s="796">
        <f>VLOOKUP(G570,SETTINGS!$B$7:$D$97,3,0)</f>
        <v>0</v>
      </c>
      <c r="J570" s="670" t="str">
        <f>IFERROR(IF(CURRENCY.FORMAT_1=0,CONCATENATE(TEXT(FIXED(ROUND((C570/EXC.RATE_1),CURRENCY.FORMAT_1),CURRENCY.FORMAT_1,1),"# ##0;-# ##0"),",-"),FIXED(ROUND((C570/EXC.RATE_1),CURRENCY.FORMAT_1),CURRENCY.FORMAT_1,0)),'DICTIONARY-5'!$A$2)</f>
        <v>2 560,-</v>
      </c>
      <c r="K570" s="670" t="str">
        <f>IF(EXC.RATE_2=0,"",IFERROR(IF(CURRENCY.FORMAT_2=0,CONCATENATE(TEXT(FIXED(ROUND(IF(EXC.RATE.SWITCH=1,C570/EXC.RATE_2,C570*EXC.RATE_2),CURRENCY.FORMAT_2),CURRENCY.FORMAT_2,1),"# ##0;-# ##0"),",-"),FIXED(ROUND(IF(EXC.RATE.SWITCH=1,C570/EXC.RATE_2,C570*EXC.RATE_2),CURRENCY.FORMAT_2),CURRENCY.FORMAT_2,0)),'DICTIONARY-5'!$A$2))</f>
        <v/>
      </c>
      <c r="L570" s="670" t="str">
        <f>IFERROR(IF(CURRENCY.FORMAT_1=0,CONCATENATE(TEXT(FIXED(ROUND((C570*(1-I570)*(1-ADD.DISCOUNT)*(1+MAT.SURCHARGE)/EXC.RATE_1),CURRENCY.FORMAT_1),CURRENCY.FORMAT_1,1),"# ##0;-# ##0"),",-"),FIXED(ROUND((C570*(1-I570)*(1-ADD.DISCOUNT)*(1+MAT.SURCHARGE)/EXC.RATE_1),CURRENCY.FORMAT_1),CURRENCY.FORMAT_1,0)),'DICTIONARY-5'!$A$2)</f>
        <v>2 660,-</v>
      </c>
      <c r="M570" s="670" t="str">
        <f>IF(EXC.RATE_2=0,"",IFERROR(IF(CURRENCY.FORMAT_2=0,CONCATENATE(TEXT(FIXED(ROUND(IF(EXC.RATE.SWITCH=1,C570*(1-I570)*(1-ADD.DISCOUNT)*(1+MAT.SURCHARGE)/EXC.RATE_2,C570*(1-I570)*(1-ADD.DISCOUNT)*(1+MAT.SURCHARGE)*EXC.RATE_2),CURRENCY.FORMAT_2),CURRENCY.FORMAT_2,1),"# ##0;-# ##0"),",-"),FIXED(ROUND(IF(EXC.RATE.SWITCH=1,C570*(1-I570)*(1-ADD.DISCOUNT)*(1+MAT.SURCHARGE)/EXC.RATE_2,C570*(1-I570)*(1-ADD.DISCOUNT)*(1+MAT.SURCHARGE)*EXC.RATE_2),CURRENCY.FORMAT_2),CURRENCY.FORMAT_2,0)),'DICTIONARY-5'!$A$2))</f>
        <v/>
      </c>
      <c r="N570" s="496">
        <v>2</v>
      </c>
      <c r="O570" s="496"/>
      <c r="P570" s="731" t="str">
        <f>'DICTIONARY-3'!$A$11</f>
        <v>ZETA</v>
      </c>
      <c r="Q570" s="732" t="str">
        <f>'DICTIONARY-3'!$A$189</f>
        <v>Zasuwa nożowa</v>
      </c>
      <c r="R570" s="732" t="str">
        <f>CONCATENATE('DICTIONARY-3'!$A$11," ",'DICTIONARY-6'!$A$6," ",'DICTIONARY-5'!$A$35," ",'DICTIONARY-2'!$A$2,"65"," ",'DICTIONARY-2'!$A$3,"10"," ",'DICTIONARY-2'!$A$10,"10",'DICTIONARY-2'!$A$20,", ",'DICTIONARY-4'!$A$4," SA07.6")</f>
        <v>ZETA Zasuwa noż. A4 DN65 PN10 PS10bar, NE SA07.6</v>
      </c>
      <c r="S570" s="733" t="str">
        <f>'DICTIONARY-4'!$A$4</f>
        <v>NE</v>
      </c>
      <c r="T570" s="732" t="str">
        <f>'DICTIONARY-4'!$A$20</f>
        <v>Napęd elektryczny</v>
      </c>
      <c r="U570" s="734" t="s">
        <v>5759</v>
      </c>
      <c r="V570" s="735">
        <v>10</v>
      </c>
      <c r="W570" s="736"/>
      <c r="X570" s="737"/>
      <c r="Y570" s="738"/>
      <c r="Z570" s="739"/>
      <c r="AA570" s="739"/>
      <c r="AB570" s="740">
        <v>10</v>
      </c>
      <c r="AC570" s="741" t="str">
        <f>'DICTIONARY-5'!$A$11&amp;" 20"</f>
        <v>EN 558 szereg 20</v>
      </c>
      <c r="AD570" s="741" t="str">
        <f>'DICTIONARY-5'!$A$14</f>
        <v>ścieki</v>
      </c>
      <c r="AE570" s="742">
        <v>50</v>
      </c>
      <c r="AF570" s="743">
        <v>34</v>
      </c>
      <c r="AG570" s="741" t="str">
        <f>'DICTIONARY-5'!$A$23</f>
        <v>powłoka epoksydowa</v>
      </c>
    </row>
    <row r="571" spans="1:33" x14ac:dyDescent="0.25">
      <c r="A571" s="846" t="s">
        <v>5059</v>
      </c>
      <c r="B571" s="846" t="s">
        <v>5039</v>
      </c>
      <c r="C571" s="836">
        <v>2600</v>
      </c>
      <c r="D571" s="836"/>
      <c r="E571" s="836"/>
      <c r="F571" s="836"/>
      <c r="G571" s="496" t="s">
        <v>7797</v>
      </c>
      <c r="H571" s="797" t="str">
        <f>VLOOKUP(G571,SETTINGS!$B$7:$D$97,2,0)</f>
        <v>ZETA (with E-Actuator)</v>
      </c>
      <c r="I571" s="796">
        <f>VLOOKUP(G571,SETTINGS!$B$7:$D$97,3,0)</f>
        <v>0</v>
      </c>
      <c r="J571" s="670" t="str">
        <f>IFERROR(IF(CURRENCY.FORMAT_1=0,CONCATENATE(TEXT(FIXED(ROUND((C571/EXC.RATE_1),CURRENCY.FORMAT_1),CURRENCY.FORMAT_1,1),"# ##0;-# ##0"),",-"),FIXED(ROUND((C571/EXC.RATE_1),CURRENCY.FORMAT_1),CURRENCY.FORMAT_1,0)),'DICTIONARY-5'!$A$2)</f>
        <v>2 600,-</v>
      </c>
      <c r="K571" s="670" t="str">
        <f>IF(EXC.RATE_2=0,"",IFERROR(IF(CURRENCY.FORMAT_2=0,CONCATENATE(TEXT(FIXED(ROUND(IF(EXC.RATE.SWITCH=1,C571/EXC.RATE_2,C571*EXC.RATE_2),CURRENCY.FORMAT_2),CURRENCY.FORMAT_2,1),"# ##0;-# ##0"),",-"),FIXED(ROUND(IF(EXC.RATE.SWITCH=1,C571/EXC.RATE_2,C571*EXC.RATE_2),CURRENCY.FORMAT_2),CURRENCY.FORMAT_2,0)),'DICTIONARY-5'!$A$2))</f>
        <v/>
      </c>
      <c r="L571" s="670" t="str">
        <f>IFERROR(IF(CURRENCY.FORMAT_1=0,CONCATENATE(TEXT(FIXED(ROUND((C571*(1-I571)*(1-ADD.DISCOUNT)*(1+MAT.SURCHARGE)/EXC.RATE_1),CURRENCY.FORMAT_1),CURRENCY.FORMAT_1,1),"# ##0;-# ##0"),",-"),FIXED(ROUND((C571*(1-I571)*(1-ADD.DISCOUNT)*(1+MAT.SURCHARGE)/EXC.RATE_1),CURRENCY.FORMAT_1),CURRENCY.FORMAT_1,0)),'DICTIONARY-5'!$A$2)</f>
        <v>2 701,-</v>
      </c>
      <c r="M571" s="670" t="str">
        <f>IF(EXC.RATE_2=0,"",IFERROR(IF(CURRENCY.FORMAT_2=0,CONCATENATE(TEXT(FIXED(ROUND(IF(EXC.RATE.SWITCH=1,C571*(1-I571)*(1-ADD.DISCOUNT)*(1+MAT.SURCHARGE)/EXC.RATE_2,C571*(1-I571)*(1-ADD.DISCOUNT)*(1+MAT.SURCHARGE)*EXC.RATE_2),CURRENCY.FORMAT_2),CURRENCY.FORMAT_2,1),"# ##0;-# ##0"),",-"),FIXED(ROUND(IF(EXC.RATE.SWITCH=1,C571*(1-I571)*(1-ADD.DISCOUNT)*(1+MAT.SURCHARGE)/EXC.RATE_2,C571*(1-I571)*(1-ADD.DISCOUNT)*(1+MAT.SURCHARGE)*EXC.RATE_2),CURRENCY.FORMAT_2),CURRENCY.FORMAT_2,0)),'DICTIONARY-5'!$A$2))</f>
        <v/>
      </c>
      <c r="N571" s="496">
        <v>2</v>
      </c>
      <c r="O571" s="496"/>
      <c r="P571" s="731" t="str">
        <f>'DICTIONARY-3'!$A$11</f>
        <v>ZETA</v>
      </c>
      <c r="Q571" s="732" t="str">
        <f>'DICTIONARY-3'!$A$189</f>
        <v>Zasuwa nożowa</v>
      </c>
      <c r="R571" s="732" t="str">
        <f>CONCATENATE('DICTIONARY-3'!$A$11," ",'DICTIONARY-6'!$A$6," ",'DICTIONARY-5'!$A$35," ",'DICTIONARY-2'!$A$2,"80"," ",'DICTIONARY-2'!$A$3,"10"," ",'DICTIONARY-2'!$A$10,"10",'DICTIONARY-2'!$A$20,", ",'DICTIONARY-4'!$A$4," SA07.6")</f>
        <v>ZETA Zasuwa noż. A4 DN80 PN10 PS10bar, NE SA07.6</v>
      </c>
      <c r="S571" s="733" t="str">
        <f>'DICTIONARY-4'!$A$4</f>
        <v>NE</v>
      </c>
      <c r="T571" s="732" t="str">
        <f>'DICTIONARY-4'!$A$20</f>
        <v>Napęd elektryczny</v>
      </c>
      <c r="U571" s="734" t="s">
        <v>5760</v>
      </c>
      <c r="V571" s="735">
        <v>10</v>
      </c>
      <c r="W571" s="736"/>
      <c r="X571" s="737"/>
      <c r="Y571" s="738"/>
      <c r="Z571" s="739"/>
      <c r="AA571" s="739"/>
      <c r="AB571" s="740">
        <v>10</v>
      </c>
      <c r="AC571" s="741" t="str">
        <f>'DICTIONARY-5'!$A$11&amp;" 20"</f>
        <v>EN 558 szereg 20</v>
      </c>
      <c r="AD571" s="741" t="str">
        <f>'DICTIONARY-5'!$A$14</f>
        <v>ścieki</v>
      </c>
      <c r="AE571" s="742">
        <v>50</v>
      </c>
      <c r="AF571" s="743">
        <v>37</v>
      </c>
      <c r="AG571" s="741" t="str">
        <f>'DICTIONARY-5'!$A$23</f>
        <v>powłoka epoksydowa</v>
      </c>
    </row>
    <row r="572" spans="1:33" x14ac:dyDescent="0.25">
      <c r="A572" s="846" t="s">
        <v>5060</v>
      </c>
      <c r="B572" s="846" t="s">
        <v>5040</v>
      </c>
      <c r="C572" s="836">
        <v>2618</v>
      </c>
      <c r="D572" s="836"/>
      <c r="E572" s="836"/>
      <c r="F572" s="836"/>
      <c r="G572" s="496" t="s">
        <v>7797</v>
      </c>
      <c r="H572" s="797" t="str">
        <f>VLOOKUP(G572,SETTINGS!$B$7:$D$97,2,0)</f>
        <v>ZETA (with E-Actuator)</v>
      </c>
      <c r="I572" s="796">
        <f>VLOOKUP(G572,SETTINGS!$B$7:$D$97,3,0)</f>
        <v>0</v>
      </c>
      <c r="J572" s="670" t="str">
        <f>IFERROR(IF(CURRENCY.FORMAT_1=0,CONCATENATE(TEXT(FIXED(ROUND((C572/EXC.RATE_1),CURRENCY.FORMAT_1),CURRENCY.FORMAT_1,1),"# ##0;-# ##0"),",-"),FIXED(ROUND((C572/EXC.RATE_1),CURRENCY.FORMAT_1),CURRENCY.FORMAT_1,0)),'DICTIONARY-5'!$A$2)</f>
        <v>2 618,-</v>
      </c>
      <c r="K572" s="670" t="str">
        <f>IF(EXC.RATE_2=0,"",IFERROR(IF(CURRENCY.FORMAT_2=0,CONCATENATE(TEXT(FIXED(ROUND(IF(EXC.RATE.SWITCH=1,C572/EXC.RATE_2,C572*EXC.RATE_2),CURRENCY.FORMAT_2),CURRENCY.FORMAT_2,1),"# ##0;-# ##0"),",-"),FIXED(ROUND(IF(EXC.RATE.SWITCH=1,C572/EXC.RATE_2,C572*EXC.RATE_2),CURRENCY.FORMAT_2),CURRENCY.FORMAT_2,0)),'DICTIONARY-5'!$A$2))</f>
        <v/>
      </c>
      <c r="L572" s="670" t="str">
        <f>IFERROR(IF(CURRENCY.FORMAT_1=0,CONCATENATE(TEXT(FIXED(ROUND((C572*(1-I572)*(1-ADD.DISCOUNT)*(1+MAT.SURCHARGE)/EXC.RATE_1),CURRENCY.FORMAT_1),CURRENCY.FORMAT_1,1),"# ##0;-# ##0"),",-"),FIXED(ROUND((C572*(1-I572)*(1-ADD.DISCOUNT)*(1+MAT.SURCHARGE)/EXC.RATE_1),CURRENCY.FORMAT_1),CURRENCY.FORMAT_1,0)),'DICTIONARY-5'!$A$2)</f>
        <v>2 720,-</v>
      </c>
      <c r="M572" s="670" t="str">
        <f>IF(EXC.RATE_2=0,"",IFERROR(IF(CURRENCY.FORMAT_2=0,CONCATENATE(TEXT(FIXED(ROUND(IF(EXC.RATE.SWITCH=1,C572*(1-I572)*(1-ADD.DISCOUNT)*(1+MAT.SURCHARGE)/EXC.RATE_2,C572*(1-I572)*(1-ADD.DISCOUNT)*(1+MAT.SURCHARGE)*EXC.RATE_2),CURRENCY.FORMAT_2),CURRENCY.FORMAT_2,1),"# ##0;-# ##0"),",-"),FIXED(ROUND(IF(EXC.RATE.SWITCH=1,C572*(1-I572)*(1-ADD.DISCOUNT)*(1+MAT.SURCHARGE)/EXC.RATE_2,C572*(1-I572)*(1-ADD.DISCOUNT)*(1+MAT.SURCHARGE)*EXC.RATE_2),CURRENCY.FORMAT_2),CURRENCY.FORMAT_2,0)),'DICTIONARY-5'!$A$2))</f>
        <v/>
      </c>
      <c r="N572" s="496">
        <v>2</v>
      </c>
      <c r="O572" s="496"/>
      <c r="P572" s="731" t="str">
        <f>'DICTIONARY-3'!$A$11</f>
        <v>ZETA</v>
      </c>
      <c r="Q572" s="732" t="str">
        <f>'DICTIONARY-3'!$A$189</f>
        <v>Zasuwa nożowa</v>
      </c>
      <c r="R572" s="732" t="str">
        <f>CONCATENATE('DICTIONARY-3'!$A$11," ",'DICTIONARY-6'!$A$6," ",'DICTIONARY-5'!$A$35," ",'DICTIONARY-2'!$A$2,"100"," ",'DICTIONARY-2'!$A$3,"10"," ",'DICTIONARY-2'!$A$10,"10",'DICTIONARY-2'!$A$20,", ",'DICTIONARY-4'!$A$4," SA07.6")</f>
        <v>ZETA Zasuwa noż. A4 DN100 PN10 PS10bar, NE SA07.6</v>
      </c>
      <c r="S572" s="733" t="str">
        <f>'DICTIONARY-4'!$A$4</f>
        <v>NE</v>
      </c>
      <c r="T572" s="732" t="str">
        <f>'DICTIONARY-4'!$A$20</f>
        <v>Napęd elektryczny</v>
      </c>
      <c r="U572" s="734" t="s">
        <v>5749</v>
      </c>
      <c r="V572" s="735">
        <v>10</v>
      </c>
      <c r="W572" s="736"/>
      <c r="X572" s="737"/>
      <c r="Y572" s="738"/>
      <c r="Z572" s="739"/>
      <c r="AA572" s="739"/>
      <c r="AB572" s="740">
        <v>10</v>
      </c>
      <c r="AC572" s="741" t="str">
        <f>'DICTIONARY-5'!$A$11&amp;" 20"</f>
        <v>EN 558 szereg 20</v>
      </c>
      <c r="AD572" s="741" t="str">
        <f>'DICTIONARY-5'!$A$14</f>
        <v>ścieki</v>
      </c>
      <c r="AE572" s="742">
        <v>50</v>
      </c>
      <c r="AF572" s="743">
        <v>38</v>
      </c>
      <c r="AG572" s="741" t="str">
        <f>'DICTIONARY-5'!$A$23</f>
        <v>powłoka epoksydowa</v>
      </c>
    </row>
    <row r="573" spans="1:33" x14ac:dyDescent="0.25">
      <c r="A573" s="846" t="s">
        <v>5061</v>
      </c>
      <c r="B573" s="846" t="s">
        <v>5041</v>
      </c>
      <c r="C573" s="836">
        <v>2690</v>
      </c>
      <c r="D573" s="836"/>
      <c r="E573" s="836"/>
      <c r="F573" s="836"/>
      <c r="G573" s="496" t="s">
        <v>7797</v>
      </c>
      <c r="H573" s="797" t="str">
        <f>VLOOKUP(G573,SETTINGS!$B$7:$D$97,2,0)</f>
        <v>ZETA (with E-Actuator)</v>
      </c>
      <c r="I573" s="796">
        <f>VLOOKUP(G573,SETTINGS!$B$7:$D$97,3,0)</f>
        <v>0</v>
      </c>
      <c r="J573" s="670" t="str">
        <f>IFERROR(IF(CURRENCY.FORMAT_1=0,CONCATENATE(TEXT(FIXED(ROUND((C573/EXC.RATE_1),CURRENCY.FORMAT_1),CURRENCY.FORMAT_1,1),"# ##0;-# ##0"),",-"),FIXED(ROUND((C573/EXC.RATE_1),CURRENCY.FORMAT_1),CURRENCY.FORMAT_1,0)),'DICTIONARY-5'!$A$2)</f>
        <v>2 690,-</v>
      </c>
      <c r="K573" s="670" t="str">
        <f>IF(EXC.RATE_2=0,"",IFERROR(IF(CURRENCY.FORMAT_2=0,CONCATENATE(TEXT(FIXED(ROUND(IF(EXC.RATE.SWITCH=1,C573/EXC.RATE_2,C573*EXC.RATE_2),CURRENCY.FORMAT_2),CURRENCY.FORMAT_2,1),"# ##0;-# ##0"),",-"),FIXED(ROUND(IF(EXC.RATE.SWITCH=1,C573/EXC.RATE_2,C573*EXC.RATE_2),CURRENCY.FORMAT_2),CURRENCY.FORMAT_2,0)),'DICTIONARY-5'!$A$2))</f>
        <v/>
      </c>
      <c r="L573" s="670" t="str">
        <f>IFERROR(IF(CURRENCY.FORMAT_1=0,CONCATENATE(TEXT(FIXED(ROUND((C573*(1-I573)*(1-ADD.DISCOUNT)*(1+MAT.SURCHARGE)/EXC.RATE_1),CURRENCY.FORMAT_1),CURRENCY.FORMAT_1,1),"# ##0;-# ##0"),",-"),FIXED(ROUND((C573*(1-I573)*(1-ADD.DISCOUNT)*(1+MAT.SURCHARGE)/EXC.RATE_1),CURRENCY.FORMAT_1),CURRENCY.FORMAT_1,0)),'DICTIONARY-5'!$A$2)</f>
        <v>2 795,-</v>
      </c>
      <c r="M573" s="670" t="str">
        <f>IF(EXC.RATE_2=0,"",IFERROR(IF(CURRENCY.FORMAT_2=0,CONCATENATE(TEXT(FIXED(ROUND(IF(EXC.RATE.SWITCH=1,C573*(1-I573)*(1-ADD.DISCOUNT)*(1+MAT.SURCHARGE)/EXC.RATE_2,C573*(1-I573)*(1-ADD.DISCOUNT)*(1+MAT.SURCHARGE)*EXC.RATE_2),CURRENCY.FORMAT_2),CURRENCY.FORMAT_2,1),"# ##0;-# ##0"),",-"),FIXED(ROUND(IF(EXC.RATE.SWITCH=1,C573*(1-I573)*(1-ADD.DISCOUNT)*(1+MAT.SURCHARGE)/EXC.RATE_2,C573*(1-I573)*(1-ADD.DISCOUNT)*(1+MAT.SURCHARGE)*EXC.RATE_2),CURRENCY.FORMAT_2),CURRENCY.FORMAT_2,0)),'DICTIONARY-5'!$A$2))</f>
        <v/>
      </c>
      <c r="N573" s="496">
        <v>2</v>
      </c>
      <c r="O573" s="496"/>
      <c r="P573" s="731" t="str">
        <f>'DICTIONARY-3'!$A$11</f>
        <v>ZETA</v>
      </c>
      <c r="Q573" s="732" t="str">
        <f>'DICTIONARY-3'!$A$189</f>
        <v>Zasuwa nożowa</v>
      </c>
      <c r="R573" s="732" t="str">
        <f>CONCATENATE('DICTIONARY-3'!$A$11," ",'DICTIONARY-6'!$A$6," ",'DICTIONARY-5'!$A$35," ",'DICTIONARY-2'!$A$2,"125"," ",'DICTIONARY-2'!$A$3,"10"," ",'DICTIONARY-2'!$A$10,"10",'DICTIONARY-2'!$A$20,", ",'DICTIONARY-4'!$A$4," SA07.6")</f>
        <v>ZETA Zasuwa noż. A4 DN125 PN10 PS10bar, NE SA07.6</v>
      </c>
      <c r="S573" s="733" t="str">
        <f>'DICTIONARY-4'!$A$4</f>
        <v>NE</v>
      </c>
      <c r="T573" s="732" t="str">
        <f>'DICTIONARY-4'!$A$20</f>
        <v>Napęd elektryczny</v>
      </c>
      <c r="U573" s="734" t="s">
        <v>5761</v>
      </c>
      <c r="V573" s="735">
        <v>10</v>
      </c>
      <c r="W573" s="736"/>
      <c r="X573" s="737"/>
      <c r="Y573" s="738"/>
      <c r="Z573" s="739"/>
      <c r="AA573" s="739"/>
      <c r="AB573" s="740">
        <v>10</v>
      </c>
      <c r="AC573" s="741" t="str">
        <f>'DICTIONARY-5'!$A$11&amp;" 20"</f>
        <v>EN 558 szereg 20</v>
      </c>
      <c r="AD573" s="741" t="str">
        <f>'DICTIONARY-5'!$A$14</f>
        <v>ścieki</v>
      </c>
      <c r="AE573" s="742">
        <v>50</v>
      </c>
      <c r="AF573" s="743">
        <v>54</v>
      </c>
      <c r="AG573" s="741" t="str">
        <f>'DICTIONARY-5'!$A$23</f>
        <v>powłoka epoksydowa</v>
      </c>
    </row>
    <row r="574" spans="1:33" x14ac:dyDescent="0.25">
      <c r="A574" s="846" t="s">
        <v>5062</v>
      </c>
      <c r="B574" s="846" t="s">
        <v>5042</v>
      </c>
      <c r="C574" s="836">
        <v>2781</v>
      </c>
      <c r="D574" s="836"/>
      <c r="E574" s="836"/>
      <c r="F574" s="836"/>
      <c r="G574" s="496" t="s">
        <v>7797</v>
      </c>
      <c r="H574" s="797" t="str">
        <f>VLOOKUP(G574,SETTINGS!$B$7:$D$97,2,0)</f>
        <v>ZETA (with E-Actuator)</v>
      </c>
      <c r="I574" s="796">
        <f>VLOOKUP(G574,SETTINGS!$B$7:$D$97,3,0)</f>
        <v>0</v>
      </c>
      <c r="J574" s="670" t="str">
        <f>IFERROR(IF(CURRENCY.FORMAT_1=0,CONCATENATE(TEXT(FIXED(ROUND((C574/EXC.RATE_1),CURRENCY.FORMAT_1),CURRENCY.FORMAT_1,1),"# ##0;-# ##0"),",-"),FIXED(ROUND((C574/EXC.RATE_1),CURRENCY.FORMAT_1),CURRENCY.FORMAT_1,0)),'DICTIONARY-5'!$A$2)</f>
        <v>2 781,-</v>
      </c>
      <c r="K574" s="670" t="str">
        <f>IF(EXC.RATE_2=0,"",IFERROR(IF(CURRENCY.FORMAT_2=0,CONCATENATE(TEXT(FIXED(ROUND(IF(EXC.RATE.SWITCH=1,C574/EXC.RATE_2,C574*EXC.RATE_2),CURRENCY.FORMAT_2),CURRENCY.FORMAT_2,1),"# ##0;-# ##0"),",-"),FIXED(ROUND(IF(EXC.RATE.SWITCH=1,C574/EXC.RATE_2,C574*EXC.RATE_2),CURRENCY.FORMAT_2),CURRENCY.FORMAT_2,0)),'DICTIONARY-5'!$A$2))</f>
        <v/>
      </c>
      <c r="L574" s="670" t="str">
        <f>IFERROR(IF(CURRENCY.FORMAT_1=0,CONCATENATE(TEXT(FIXED(ROUND((C574*(1-I574)*(1-ADD.DISCOUNT)*(1+MAT.SURCHARGE)/EXC.RATE_1),CURRENCY.FORMAT_1),CURRENCY.FORMAT_1,1),"# ##0;-# ##0"),",-"),FIXED(ROUND((C574*(1-I574)*(1-ADD.DISCOUNT)*(1+MAT.SURCHARGE)/EXC.RATE_1),CURRENCY.FORMAT_1),CURRENCY.FORMAT_1,0)),'DICTIONARY-5'!$A$2)</f>
        <v>2 889,-</v>
      </c>
      <c r="M574" s="670" t="str">
        <f>IF(EXC.RATE_2=0,"",IFERROR(IF(CURRENCY.FORMAT_2=0,CONCATENATE(TEXT(FIXED(ROUND(IF(EXC.RATE.SWITCH=1,C574*(1-I574)*(1-ADD.DISCOUNT)*(1+MAT.SURCHARGE)/EXC.RATE_2,C574*(1-I574)*(1-ADD.DISCOUNT)*(1+MAT.SURCHARGE)*EXC.RATE_2),CURRENCY.FORMAT_2),CURRENCY.FORMAT_2,1),"# ##0;-# ##0"),",-"),FIXED(ROUND(IF(EXC.RATE.SWITCH=1,C574*(1-I574)*(1-ADD.DISCOUNT)*(1+MAT.SURCHARGE)/EXC.RATE_2,C574*(1-I574)*(1-ADD.DISCOUNT)*(1+MAT.SURCHARGE)*EXC.RATE_2),CURRENCY.FORMAT_2),CURRENCY.FORMAT_2,0)),'DICTIONARY-5'!$A$2))</f>
        <v/>
      </c>
      <c r="N574" s="496">
        <v>2</v>
      </c>
      <c r="O574" s="496"/>
      <c r="P574" s="731" t="str">
        <f>'DICTIONARY-3'!$A$11</f>
        <v>ZETA</v>
      </c>
      <c r="Q574" s="732" t="str">
        <f>'DICTIONARY-3'!$A$189</f>
        <v>Zasuwa nożowa</v>
      </c>
      <c r="R574" s="732" t="str">
        <f>CONCATENATE('DICTIONARY-3'!$A$11," ",'DICTIONARY-6'!$A$6," ",'DICTIONARY-5'!$A$35," ",'DICTIONARY-2'!$A$2,"150"," ",'DICTIONARY-2'!$A$3,"10"," ",'DICTIONARY-2'!$A$10,"10",'DICTIONARY-2'!$A$20,", ",'DICTIONARY-4'!$A$4," SA07.6")</f>
        <v>ZETA Zasuwa noż. A4 DN150 PN10 PS10bar, NE SA07.6</v>
      </c>
      <c r="S574" s="733" t="str">
        <f>'DICTIONARY-4'!$A$4</f>
        <v>NE</v>
      </c>
      <c r="T574" s="732" t="str">
        <f>'DICTIONARY-4'!$A$20</f>
        <v>Napęd elektryczny</v>
      </c>
      <c r="U574" s="734" t="s">
        <v>5572</v>
      </c>
      <c r="V574" s="735">
        <v>10</v>
      </c>
      <c r="W574" s="736"/>
      <c r="X574" s="737"/>
      <c r="Y574" s="738"/>
      <c r="Z574" s="739"/>
      <c r="AA574" s="739"/>
      <c r="AB574" s="740">
        <v>10</v>
      </c>
      <c r="AC574" s="741" t="str">
        <f>'DICTIONARY-5'!$A$11&amp;" 20"</f>
        <v>EN 558 szereg 20</v>
      </c>
      <c r="AD574" s="741" t="str">
        <f>'DICTIONARY-5'!$A$14</f>
        <v>ścieki</v>
      </c>
      <c r="AE574" s="742">
        <v>50</v>
      </c>
      <c r="AF574" s="743">
        <v>48</v>
      </c>
      <c r="AG574" s="741" t="str">
        <f>'DICTIONARY-5'!$A$23</f>
        <v>powłoka epoksydowa</v>
      </c>
    </row>
    <row r="575" spans="1:33" x14ac:dyDescent="0.25">
      <c r="A575" s="846" t="s">
        <v>5063</v>
      </c>
      <c r="B575" s="846" t="s">
        <v>5050</v>
      </c>
      <c r="C575" s="836">
        <v>2916</v>
      </c>
      <c r="D575" s="836"/>
      <c r="E575" s="836"/>
      <c r="F575" s="836"/>
      <c r="G575" s="496" t="s">
        <v>7797</v>
      </c>
      <c r="H575" s="797" t="str">
        <f>VLOOKUP(G575,SETTINGS!$B$7:$D$97,2,0)</f>
        <v>ZETA (with E-Actuator)</v>
      </c>
      <c r="I575" s="796">
        <f>VLOOKUP(G575,SETTINGS!$B$7:$D$97,3,0)</f>
        <v>0</v>
      </c>
      <c r="J575" s="670" t="str">
        <f>IFERROR(IF(CURRENCY.FORMAT_1=0,CONCATENATE(TEXT(FIXED(ROUND((C575/EXC.RATE_1),CURRENCY.FORMAT_1),CURRENCY.FORMAT_1,1),"# ##0;-# ##0"),",-"),FIXED(ROUND((C575/EXC.RATE_1),CURRENCY.FORMAT_1),CURRENCY.FORMAT_1,0)),'DICTIONARY-5'!$A$2)</f>
        <v>2 916,-</v>
      </c>
      <c r="K575" s="670" t="str">
        <f>IF(EXC.RATE_2=0,"",IFERROR(IF(CURRENCY.FORMAT_2=0,CONCATENATE(TEXT(FIXED(ROUND(IF(EXC.RATE.SWITCH=1,C575/EXC.RATE_2,C575*EXC.RATE_2),CURRENCY.FORMAT_2),CURRENCY.FORMAT_2,1),"# ##0;-# ##0"),",-"),FIXED(ROUND(IF(EXC.RATE.SWITCH=1,C575/EXC.RATE_2,C575*EXC.RATE_2),CURRENCY.FORMAT_2),CURRENCY.FORMAT_2,0)),'DICTIONARY-5'!$A$2))</f>
        <v/>
      </c>
      <c r="L575" s="670" t="str">
        <f>IFERROR(IF(CURRENCY.FORMAT_1=0,CONCATENATE(TEXT(FIXED(ROUND((C575*(1-I575)*(1-ADD.DISCOUNT)*(1+MAT.SURCHARGE)/EXC.RATE_1),CURRENCY.FORMAT_1),CURRENCY.FORMAT_1,1),"# ##0;-# ##0"),",-"),FIXED(ROUND((C575*(1-I575)*(1-ADD.DISCOUNT)*(1+MAT.SURCHARGE)/EXC.RATE_1),CURRENCY.FORMAT_1),CURRENCY.FORMAT_1,0)),'DICTIONARY-5'!$A$2)</f>
        <v>3 030,-</v>
      </c>
      <c r="M575" s="670" t="str">
        <f>IF(EXC.RATE_2=0,"",IFERROR(IF(CURRENCY.FORMAT_2=0,CONCATENATE(TEXT(FIXED(ROUND(IF(EXC.RATE.SWITCH=1,C575*(1-I575)*(1-ADD.DISCOUNT)*(1+MAT.SURCHARGE)/EXC.RATE_2,C575*(1-I575)*(1-ADD.DISCOUNT)*(1+MAT.SURCHARGE)*EXC.RATE_2),CURRENCY.FORMAT_2),CURRENCY.FORMAT_2,1),"# ##0;-# ##0"),",-"),FIXED(ROUND(IF(EXC.RATE.SWITCH=1,C575*(1-I575)*(1-ADD.DISCOUNT)*(1+MAT.SURCHARGE)/EXC.RATE_2,C575*(1-I575)*(1-ADD.DISCOUNT)*(1+MAT.SURCHARGE)*EXC.RATE_2),CURRENCY.FORMAT_2),CURRENCY.FORMAT_2,0)),'DICTIONARY-5'!$A$2))</f>
        <v/>
      </c>
      <c r="N575" s="496">
        <v>2</v>
      </c>
      <c r="O575" s="496"/>
      <c r="P575" s="731" t="str">
        <f>'DICTIONARY-3'!$A$11</f>
        <v>ZETA</v>
      </c>
      <c r="Q575" s="732" t="str">
        <f>'DICTIONARY-3'!$A$189</f>
        <v>Zasuwa nożowa</v>
      </c>
      <c r="R575" s="732" t="str">
        <f>CONCATENATE('DICTIONARY-3'!$A$11," ",'DICTIONARY-6'!$A$6," ",'DICTIONARY-5'!$A$34," ",'DICTIONARY-2'!$A$2,"200"," ",'DICTIONARY-2'!$A$3,"10"," ",'DICTIONARY-2'!$A$10,"10",'DICTIONARY-2'!$A$20,", ",'DICTIONARY-4'!$A$4," SA07.6")</f>
        <v>ZETA Zasuwa noż. A2 DN200 PN10 PS10bar, NE SA07.6</v>
      </c>
      <c r="S575" s="733" t="str">
        <f>'DICTIONARY-4'!$A$4</f>
        <v>NE</v>
      </c>
      <c r="T575" s="732" t="str">
        <f>'DICTIONARY-4'!$A$20</f>
        <v>Napęd elektryczny</v>
      </c>
      <c r="U575" s="734" t="s">
        <v>5750</v>
      </c>
      <c r="V575" s="735">
        <v>10</v>
      </c>
      <c r="W575" s="736"/>
      <c r="X575" s="737"/>
      <c r="Y575" s="738"/>
      <c r="Z575" s="739"/>
      <c r="AA575" s="739"/>
      <c r="AB575" s="740">
        <v>10</v>
      </c>
      <c r="AC575" s="741" t="str">
        <f>'DICTIONARY-5'!$A$11&amp;" 20"</f>
        <v>EN 558 szereg 20</v>
      </c>
      <c r="AD575" s="741" t="str">
        <f>'DICTIONARY-5'!$A$14</f>
        <v>ścieki</v>
      </c>
      <c r="AE575" s="742">
        <v>50</v>
      </c>
      <c r="AF575" s="743">
        <v>58</v>
      </c>
      <c r="AG575" s="741" t="str">
        <f>'DICTIONARY-5'!$A$23</f>
        <v>powłoka epoksydowa</v>
      </c>
    </row>
    <row r="576" spans="1:33" x14ac:dyDescent="0.25">
      <c r="A576" s="846" t="s">
        <v>5065</v>
      </c>
      <c r="B576" s="846" t="s">
        <v>5051</v>
      </c>
      <c r="C576" s="836">
        <v>3294</v>
      </c>
      <c r="D576" s="836"/>
      <c r="E576" s="836"/>
      <c r="F576" s="836"/>
      <c r="G576" s="496" t="s">
        <v>7797</v>
      </c>
      <c r="H576" s="797" t="str">
        <f>VLOOKUP(G576,SETTINGS!$B$7:$D$97,2,0)</f>
        <v>ZETA (with E-Actuator)</v>
      </c>
      <c r="I576" s="796">
        <f>VLOOKUP(G576,SETTINGS!$B$7:$D$97,3,0)</f>
        <v>0</v>
      </c>
      <c r="J576" s="670" t="str">
        <f>IFERROR(IF(CURRENCY.FORMAT_1=0,CONCATENATE(TEXT(FIXED(ROUND((C576/EXC.RATE_1),CURRENCY.FORMAT_1),CURRENCY.FORMAT_1,1),"# ##0;-# ##0"),",-"),FIXED(ROUND((C576/EXC.RATE_1),CURRENCY.FORMAT_1),CURRENCY.FORMAT_1,0)),'DICTIONARY-5'!$A$2)</f>
        <v>3 294,-</v>
      </c>
      <c r="K576" s="670" t="str">
        <f>IF(EXC.RATE_2=0,"",IFERROR(IF(CURRENCY.FORMAT_2=0,CONCATENATE(TEXT(FIXED(ROUND(IF(EXC.RATE.SWITCH=1,C576/EXC.RATE_2,C576*EXC.RATE_2),CURRENCY.FORMAT_2),CURRENCY.FORMAT_2,1),"# ##0;-# ##0"),",-"),FIXED(ROUND(IF(EXC.RATE.SWITCH=1,C576/EXC.RATE_2,C576*EXC.RATE_2),CURRENCY.FORMAT_2),CURRENCY.FORMAT_2,0)),'DICTIONARY-5'!$A$2))</f>
        <v/>
      </c>
      <c r="L576" s="670" t="str">
        <f>IFERROR(IF(CURRENCY.FORMAT_1=0,CONCATENATE(TEXT(FIXED(ROUND((C576*(1-I576)*(1-ADD.DISCOUNT)*(1+MAT.SURCHARGE)/EXC.RATE_1),CURRENCY.FORMAT_1),CURRENCY.FORMAT_1,1),"# ##0;-# ##0"),",-"),FIXED(ROUND((C576*(1-I576)*(1-ADD.DISCOUNT)*(1+MAT.SURCHARGE)/EXC.RATE_1),CURRENCY.FORMAT_1),CURRENCY.FORMAT_1,0)),'DICTIONARY-5'!$A$2)</f>
        <v>3 422,-</v>
      </c>
      <c r="M576" s="670" t="str">
        <f>IF(EXC.RATE_2=0,"",IFERROR(IF(CURRENCY.FORMAT_2=0,CONCATENATE(TEXT(FIXED(ROUND(IF(EXC.RATE.SWITCH=1,C576*(1-I576)*(1-ADD.DISCOUNT)*(1+MAT.SURCHARGE)/EXC.RATE_2,C576*(1-I576)*(1-ADD.DISCOUNT)*(1+MAT.SURCHARGE)*EXC.RATE_2),CURRENCY.FORMAT_2),CURRENCY.FORMAT_2,1),"# ##0;-# ##0"),",-"),FIXED(ROUND(IF(EXC.RATE.SWITCH=1,C576*(1-I576)*(1-ADD.DISCOUNT)*(1+MAT.SURCHARGE)/EXC.RATE_2,C576*(1-I576)*(1-ADD.DISCOUNT)*(1+MAT.SURCHARGE)*EXC.RATE_2),CURRENCY.FORMAT_2),CURRENCY.FORMAT_2,0)),'DICTIONARY-5'!$A$2))</f>
        <v/>
      </c>
      <c r="N576" s="496">
        <v>2</v>
      </c>
      <c r="O576" s="496"/>
      <c r="P576" s="731" t="str">
        <f>'DICTIONARY-3'!$A$11</f>
        <v>ZETA</v>
      </c>
      <c r="Q576" s="732" t="str">
        <f>'DICTIONARY-3'!$A$189</f>
        <v>Zasuwa nożowa</v>
      </c>
      <c r="R576" s="732" t="str">
        <f>CONCATENATE('DICTIONARY-3'!$A$11," ",'DICTIONARY-6'!$A$6," ",'DICTIONARY-5'!$A$34," ",'DICTIONARY-2'!$A$2,"250"," ",'DICTIONARY-2'!$A$3,"10"," ",'DICTIONARY-2'!$A$10,"10",'DICTIONARY-2'!$A$20,", ",'DICTIONARY-4'!$A$4," SA07.6")</f>
        <v>ZETA Zasuwa noż. A2 DN250 PN10 PS10bar, NE SA07.6</v>
      </c>
      <c r="S576" s="733" t="str">
        <f>'DICTIONARY-4'!$A$4</f>
        <v>NE</v>
      </c>
      <c r="T576" s="732" t="str">
        <f>'DICTIONARY-4'!$A$20</f>
        <v>Napęd elektryczny</v>
      </c>
      <c r="U576" s="734" t="s">
        <v>5751</v>
      </c>
      <c r="V576" s="735">
        <v>10</v>
      </c>
      <c r="W576" s="736"/>
      <c r="X576" s="737"/>
      <c r="Y576" s="738"/>
      <c r="Z576" s="739"/>
      <c r="AA576" s="739"/>
      <c r="AB576" s="740">
        <v>10</v>
      </c>
      <c r="AC576" s="741" t="str">
        <f>'DICTIONARY-5'!$A$11&amp;" 20"</f>
        <v>EN 558 szereg 20</v>
      </c>
      <c r="AD576" s="741" t="str">
        <f>'DICTIONARY-5'!$A$14</f>
        <v>ścieki</v>
      </c>
      <c r="AE576" s="742">
        <v>50</v>
      </c>
      <c r="AF576" s="743">
        <v>86</v>
      </c>
      <c r="AG576" s="741" t="str">
        <f>'DICTIONARY-5'!$A$23</f>
        <v>powłoka epoksydowa</v>
      </c>
    </row>
    <row r="577" spans="1:33" x14ac:dyDescent="0.25">
      <c r="A577" s="846" t="s">
        <v>5067</v>
      </c>
      <c r="B577" s="846" t="s">
        <v>5052</v>
      </c>
      <c r="C577" s="836">
        <v>3489</v>
      </c>
      <c r="D577" s="836"/>
      <c r="E577" s="836"/>
      <c r="F577" s="836"/>
      <c r="G577" s="496" t="s">
        <v>7797</v>
      </c>
      <c r="H577" s="797" t="str">
        <f>VLOOKUP(G577,SETTINGS!$B$7:$D$97,2,0)</f>
        <v>ZETA (with E-Actuator)</v>
      </c>
      <c r="I577" s="796">
        <f>VLOOKUP(G577,SETTINGS!$B$7:$D$97,3,0)</f>
        <v>0</v>
      </c>
      <c r="J577" s="670" t="str">
        <f>IFERROR(IF(CURRENCY.FORMAT_1=0,CONCATENATE(TEXT(FIXED(ROUND((C577/EXC.RATE_1),CURRENCY.FORMAT_1),CURRENCY.FORMAT_1,1),"# ##0;-# ##0"),",-"),FIXED(ROUND((C577/EXC.RATE_1),CURRENCY.FORMAT_1),CURRENCY.FORMAT_1,0)),'DICTIONARY-5'!$A$2)</f>
        <v>3 489,-</v>
      </c>
      <c r="K577" s="670" t="str">
        <f>IF(EXC.RATE_2=0,"",IFERROR(IF(CURRENCY.FORMAT_2=0,CONCATENATE(TEXT(FIXED(ROUND(IF(EXC.RATE.SWITCH=1,C577/EXC.RATE_2,C577*EXC.RATE_2),CURRENCY.FORMAT_2),CURRENCY.FORMAT_2,1),"# ##0;-# ##0"),",-"),FIXED(ROUND(IF(EXC.RATE.SWITCH=1,C577/EXC.RATE_2,C577*EXC.RATE_2),CURRENCY.FORMAT_2),CURRENCY.FORMAT_2,0)),'DICTIONARY-5'!$A$2))</f>
        <v/>
      </c>
      <c r="L577" s="670" t="str">
        <f>IFERROR(IF(CURRENCY.FORMAT_1=0,CONCATENATE(TEXT(FIXED(ROUND((C577*(1-I577)*(1-ADD.DISCOUNT)*(1+MAT.SURCHARGE)/EXC.RATE_1),CURRENCY.FORMAT_1),CURRENCY.FORMAT_1,1),"# ##0;-# ##0"),",-"),FIXED(ROUND((C577*(1-I577)*(1-ADD.DISCOUNT)*(1+MAT.SURCHARGE)/EXC.RATE_1),CURRENCY.FORMAT_1),CURRENCY.FORMAT_1,0)),'DICTIONARY-5'!$A$2)</f>
        <v>3 625,-</v>
      </c>
      <c r="M577" s="670" t="str">
        <f>IF(EXC.RATE_2=0,"",IFERROR(IF(CURRENCY.FORMAT_2=0,CONCATENATE(TEXT(FIXED(ROUND(IF(EXC.RATE.SWITCH=1,C577*(1-I577)*(1-ADD.DISCOUNT)*(1+MAT.SURCHARGE)/EXC.RATE_2,C577*(1-I577)*(1-ADD.DISCOUNT)*(1+MAT.SURCHARGE)*EXC.RATE_2),CURRENCY.FORMAT_2),CURRENCY.FORMAT_2,1),"# ##0;-# ##0"),",-"),FIXED(ROUND(IF(EXC.RATE.SWITCH=1,C577*(1-I577)*(1-ADD.DISCOUNT)*(1+MAT.SURCHARGE)/EXC.RATE_2,C577*(1-I577)*(1-ADD.DISCOUNT)*(1+MAT.SURCHARGE)*EXC.RATE_2),CURRENCY.FORMAT_2),CURRENCY.FORMAT_2,0)),'DICTIONARY-5'!$A$2))</f>
        <v/>
      </c>
      <c r="N577" s="496">
        <v>2</v>
      </c>
      <c r="O577" s="496"/>
      <c r="P577" s="731" t="str">
        <f>'DICTIONARY-3'!$A$11</f>
        <v>ZETA</v>
      </c>
      <c r="Q577" s="732" t="str">
        <f>'DICTIONARY-3'!$A$189</f>
        <v>Zasuwa nożowa</v>
      </c>
      <c r="R577" s="732" t="str">
        <f>CONCATENATE('DICTIONARY-3'!$A$11," ",'DICTIONARY-6'!$A$6," ",'DICTIONARY-5'!$A$34," ",'DICTIONARY-2'!$A$2,"300"," ",'DICTIONARY-2'!$A$3,"10"," ",'DICTIONARY-2'!$A$10,"10",'DICTIONARY-2'!$A$20,", ",'DICTIONARY-4'!$A$4," SA07.6")</f>
        <v>ZETA Zasuwa noż. A2 DN300 PN10 PS10bar, NE SA07.6</v>
      </c>
      <c r="S577" s="733" t="str">
        <f>'DICTIONARY-4'!$A$4</f>
        <v>NE</v>
      </c>
      <c r="T577" s="732" t="str">
        <f>'DICTIONARY-4'!$A$20</f>
        <v>Napęd elektryczny</v>
      </c>
      <c r="U577" s="734" t="s">
        <v>5752</v>
      </c>
      <c r="V577" s="735">
        <v>10</v>
      </c>
      <c r="W577" s="736"/>
      <c r="X577" s="737"/>
      <c r="Y577" s="738"/>
      <c r="Z577" s="739"/>
      <c r="AA577" s="739"/>
      <c r="AB577" s="740">
        <v>10</v>
      </c>
      <c r="AC577" s="741" t="str">
        <f>'DICTIONARY-5'!$A$11&amp;" 20"</f>
        <v>EN 558 szereg 20</v>
      </c>
      <c r="AD577" s="741" t="str">
        <f>'DICTIONARY-5'!$A$14</f>
        <v>ścieki</v>
      </c>
      <c r="AE577" s="742">
        <v>50</v>
      </c>
      <c r="AF577" s="743">
        <v>110</v>
      </c>
      <c r="AG577" s="741" t="str">
        <f>'DICTIONARY-5'!$A$23</f>
        <v>powłoka epoksydowa</v>
      </c>
    </row>
    <row r="578" spans="1:33" x14ac:dyDescent="0.25">
      <c r="A578" s="846" t="s">
        <v>5069</v>
      </c>
      <c r="B578" s="846" t="s">
        <v>5053</v>
      </c>
      <c r="C578" s="836">
        <v>5515</v>
      </c>
      <c r="D578" s="836"/>
      <c r="E578" s="836"/>
      <c r="F578" s="836"/>
      <c r="G578" s="496" t="s">
        <v>7797</v>
      </c>
      <c r="H578" s="797" t="str">
        <f>VLOOKUP(G578,SETTINGS!$B$7:$D$97,2,0)</f>
        <v>ZETA (with E-Actuator)</v>
      </c>
      <c r="I578" s="796">
        <f>VLOOKUP(G578,SETTINGS!$B$7:$D$97,3,0)</f>
        <v>0</v>
      </c>
      <c r="J578" s="670" t="str">
        <f>IFERROR(IF(CURRENCY.FORMAT_1=0,CONCATENATE(TEXT(FIXED(ROUND((C578/EXC.RATE_1),CURRENCY.FORMAT_1),CURRENCY.FORMAT_1,1),"# ##0;-# ##0"),",-"),FIXED(ROUND((C578/EXC.RATE_1),CURRENCY.FORMAT_1),CURRENCY.FORMAT_1,0)),'DICTIONARY-5'!$A$2)</f>
        <v>5 515,-</v>
      </c>
      <c r="K578" s="670" t="str">
        <f>IF(EXC.RATE_2=0,"",IFERROR(IF(CURRENCY.FORMAT_2=0,CONCATENATE(TEXT(FIXED(ROUND(IF(EXC.RATE.SWITCH=1,C578/EXC.RATE_2,C578*EXC.RATE_2),CURRENCY.FORMAT_2),CURRENCY.FORMAT_2,1),"# ##0;-# ##0"),",-"),FIXED(ROUND(IF(EXC.RATE.SWITCH=1,C578/EXC.RATE_2,C578*EXC.RATE_2),CURRENCY.FORMAT_2),CURRENCY.FORMAT_2,0)),'DICTIONARY-5'!$A$2))</f>
        <v/>
      </c>
      <c r="L578" s="670" t="str">
        <f>IFERROR(IF(CURRENCY.FORMAT_1=0,CONCATENATE(TEXT(FIXED(ROUND((C578*(1-I578)*(1-ADD.DISCOUNT)*(1+MAT.SURCHARGE)/EXC.RATE_1),CURRENCY.FORMAT_1),CURRENCY.FORMAT_1,1),"# ##0;-# ##0"),",-"),FIXED(ROUND((C578*(1-I578)*(1-ADD.DISCOUNT)*(1+MAT.SURCHARGE)/EXC.RATE_1),CURRENCY.FORMAT_1),CURRENCY.FORMAT_1,0)),'DICTIONARY-5'!$A$2)</f>
        <v>5 730,-</v>
      </c>
      <c r="M578" s="670" t="str">
        <f>IF(EXC.RATE_2=0,"",IFERROR(IF(CURRENCY.FORMAT_2=0,CONCATENATE(TEXT(FIXED(ROUND(IF(EXC.RATE.SWITCH=1,C578*(1-I578)*(1-ADD.DISCOUNT)*(1+MAT.SURCHARGE)/EXC.RATE_2,C578*(1-I578)*(1-ADD.DISCOUNT)*(1+MAT.SURCHARGE)*EXC.RATE_2),CURRENCY.FORMAT_2),CURRENCY.FORMAT_2,1),"# ##0;-# ##0"),",-"),FIXED(ROUND(IF(EXC.RATE.SWITCH=1,C578*(1-I578)*(1-ADD.DISCOUNT)*(1+MAT.SURCHARGE)/EXC.RATE_2,C578*(1-I578)*(1-ADD.DISCOUNT)*(1+MAT.SURCHARGE)*EXC.RATE_2),CURRENCY.FORMAT_2),CURRENCY.FORMAT_2,0)),'DICTIONARY-5'!$A$2))</f>
        <v/>
      </c>
      <c r="N578" s="496">
        <v>2</v>
      </c>
      <c r="O578" s="496"/>
      <c r="P578" s="731" t="str">
        <f>'DICTIONARY-3'!$A$11</f>
        <v>ZETA</v>
      </c>
      <c r="Q578" s="732" t="str">
        <f>'DICTIONARY-3'!$A$189</f>
        <v>Zasuwa nożowa</v>
      </c>
      <c r="R578" s="732" t="str">
        <f>CONCATENATE('DICTIONARY-3'!$A$11," ",'DICTIONARY-6'!$A$6," ",'DICTIONARY-5'!$A$34," ",'DICTIONARY-2'!$A$2,"350"," ",'DICTIONARY-2'!$A$3,"10"," ",'DICTIONARY-2'!$A$10,"8",'DICTIONARY-2'!$A$20,", ",'DICTIONARY-4'!$A$4," SA10.2")</f>
        <v>ZETA Zasuwa noż. A2 DN350 PN10 PS8bar, NE SA10.2</v>
      </c>
      <c r="S578" s="733" t="str">
        <f>'DICTIONARY-4'!$A$4</f>
        <v>NE</v>
      </c>
      <c r="T578" s="732" t="str">
        <f>'DICTIONARY-4'!$A$20</f>
        <v>Napęd elektryczny</v>
      </c>
      <c r="U578" s="734" t="s">
        <v>5753</v>
      </c>
      <c r="V578" s="735">
        <v>10</v>
      </c>
      <c r="W578" s="736"/>
      <c r="X578" s="737"/>
      <c r="Y578" s="738"/>
      <c r="Z578" s="739"/>
      <c r="AA578" s="739"/>
      <c r="AB578" s="740">
        <v>8</v>
      </c>
      <c r="AC578" s="741" t="str">
        <f>'DICTIONARY-5'!$A$11&amp;" 20"</f>
        <v>EN 558 szereg 20</v>
      </c>
      <c r="AD578" s="741" t="str">
        <f>'DICTIONARY-5'!$A$14</f>
        <v>ścieki</v>
      </c>
      <c r="AE578" s="742">
        <v>50</v>
      </c>
      <c r="AF578" s="743">
        <v>137</v>
      </c>
      <c r="AG578" s="741" t="str">
        <f>'DICTIONARY-5'!$A$23</f>
        <v>powłoka epoksydowa</v>
      </c>
    </row>
    <row r="579" spans="1:33" x14ac:dyDescent="0.25">
      <c r="A579" s="846" t="s">
        <v>5071</v>
      </c>
      <c r="B579" s="846" t="s">
        <v>5054</v>
      </c>
      <c r="C579" s="836">
        <v>6116</v>
      </c>
      <c r="D579" s="836"/>
      <c r="E579" s="836"/>
      <c r="F579" s="836"/>
      <c r="G579" s="496" t="s">
        <v>7797</v>
      </c>
      <c r="H579" s="797" t="str">
        <f>VLOOKUP(G579,SETTINGS!$B$7:$D$97,2,0)</f>
        <v>ZETA (with E-Actuator)</v>
      </c>
      <c r="I579" s="796">
        <f>VLOOKUP(G579,SETTINGS!$B$7:$D$97,3,0)</f>
        <v>0</v>
      </c>
      <c r="J579" s="670" t="str">
        <f>IFERROR(IF(CURRENCY.FORMAT_1=0,CONCATENATE(TEXT(FIXED(ROUND((C579/EXC.RATE_1),CURRENCY.FORMAT_1),CURRENCY.FORMAT_1,1),"# ##0;-# ##0"),",-"),FIXED(ROUND((C579/EXC.RATE_1),CURRENCY.FORMAT_1),CURRENCY.FORMAT_1,0)),'DICTIONARY-5'!$A$2)</f>
        <v>6 116,-</v>
      </c>
      <c r="K579" s="670" t="str">
        <f>IF(EXC.RATE_2=0,"",IFERROR(IF(CURRENCY.FORMAT_2=0,CONCATENATE(TEXT(FIXED(ROUND(IF(EXC.RATE.SWITCH=1,C579/EXC.RATE_2,C579*EXC.RATE_2),CURRENCY.FORMAT_2),CURRENCY.FORMAT_2,1),"# ##0;-# ##0"),",-"),FIXED(ROUND(IF(EXC.RATE.SWITCH=1,C579/EXC.RATE_2,C579*EXC.RATE_2),CURRENCY.FORMAT_2),CURRENCY.FORMAT_2,0)),'DICTIONARY-5'!$A$2))</f>
        <v/>
      </c>
      <c r="L579" s="670" t="str">
        <f>IFERROR(IF(CURRENCY.FORMAT_1=0,CONCATENATE(TEXT(FIXED(ROUND((C579*(1-I579)*(1-ADD.DISCOUNT)*(1+MAT.SURCHARGE)/EXC.RATE_1),CURRENCY.FORMAT_1),CURRENCY.FORMAT_1,1),"# ##0;-# ##0"),",-"),FIXED(ROUND((C579*(1-I579)*(1-ADD.DISCOUNT)*(1+MAT.SURCHARGE)/EXC.RATE_1),CURRENCY.FORMAT_1),CURRENCY.FORMAT_1,0)),'DICTIONARY-5'!$A$2)</f>
        <v>6 355,-</v>
      </c>
      <c r="M579" s="670" t="str">
        <f>IF(EXC.RATE_2=0,"",IFERROR(IF(CURRENCY.FORMAT_2=0,CONCATENATE(TEXT(FIXED(ROUND(IF(EXC.RATE.SWITCH=1,C579*(1-I579)*(1-ADD.DISCOUNT)*(1+MAT.SURCHARGE)/EXC.RATE_2,C579*(1-I579)*(1-ADD.DISCOUNT)*(1+MAT.SURCHARGE)*EXC.RATE_2),CURRENCY.FORMAT_2),CURRENCY.FORMAT_2,1),"# ##0;-# ##0"),",-"),FIXED(ROUND(IF(EXC.RATE.SWITCH=1,C579*(1-I579)*(1-ADD.DISCOUNT)*(1+MAT.SURCHARGE)/EXC.RATE_2,C579*(1-I579)*(1-ADD.DISCOUNT)*(1+MAT.SURCHARGE)*EXC.RATE_2),CURRENCY.FORMAT_2),CURRENCY.FORMAT_2,0)),'DICTIONARY-5'!$A$2))</f>
        <v/>
      </c>
      <c r="N579" s="496">
        <v>2</v>
      </c>
      <c r="O579" s="496"/>
      <c r="P579" s="731" t="str">
        <f>'DICTIONARY-3'!$A$11</f>
        <v>ZETA</v>
      </c>
      <c r="Q579" s="732" t="str">
        <f>'DICTIONARY-3'!$A$189</f>
        <v>Zasuwa nożowa</v>
      </c>
      <c r="R579" s="732" t="str">
        <f>CONCATENATE('DICTIONARY-3'!$A$11," ",'DICTIONARY-6'!$A$6," ",'DICTIONARY-5'!$A$34," ",'DICTIONARY-2'!$A$2,"400"," ",'DICTIONARY-2'!$A$3,"10"," ",'DICTIONARY-2'!$A$10,"8",'DICTIONARY-2'!$A$20,", ",'DICTIONARY-4'!$A$4," SA10.2")</f>
        <v>ZETA Zasuwa noż. A2 DN400 PN10 PS8bar, NE SA10.2</v>
      </c>
      <c r="S579" s="733" t="str">
        <f>'DICTIONARY-4'!$A$4</f>
        <v>NE</v>
      </c>
      <c r="T579" s="732" t="str">
        <f>'DICTIONARY-4'!$A$20</f>
        <v>Napęd elektryczny</v>
      </c>
      <c r="U579" s="734" t="s">
        <v>5754</v>
      </c>
      <c r="V579" s="735">
        <v>10</v>
      </c>
      <c r="W579" s="736"/>
      <c r="X579" s="737"/>
      <c r="Y579" s="738"/>
      <c r="Z579" s="739"/>
      <c r="AA579" s="739"/>
      <c r="AB579" s="740">
        <v>8</v>
      </c>
      <c r="AC579" s="741" t="str">
        <f>'DICTIONARY-5'!$A$11&amp;" 20"</f>
        <v>EN 558 szereg 20</v>
      </c>
      <c r="AD579" s="741" t="str">
        <f>'DICTIONARY-5'!$A$14</f>
        <v>ścieki</v>
      </c>
      <c r="AE579" s="742">
        <v>50</v>
      </c>
      <c r="AF579" s="743">
        <v>186</v>
      </c>
      <c r="AG579" s="741" t="str">
        <f>'DICTIONARY-5'!$A$23</f>
        <v>powłoka epoksydowa</v>
      </c>
    </row>
    <row r="580" spans="1:33" x14ac:dyDescent="0.25">
      <c r="A580" s="846" t="s">
        <v>5073</v>
      </c>
      <c r="B580" s="846" t="s">
        <v>5055</v>
      </c>
      <c r="C580" s="836">
        <v>8237</v>
      </c>
      <c r="D580" s="836"/>
      <c r="E580" s="836"/>
      <c r="F580" s="836"/>
      <c r="G580" s="496" t="s">
        <v>7797</v>
      </c>
      <c r="H580" s="797" t="str">
        <f>VLOOKUP(G580,SETTINGS!$B$7:$D$97,2,0)</f>
        <v>ZETA (with E-Actuator)</v>
      </c>
      <c r="I580" s="796">
        <f>VLOOKUP(G580,SETTINGS!$B$7:$D$97,3,0)</f>
        <v>0</v>
      </c>
      <c r="J580" s="670" t="str">
        <f>IFERROR(IF(CURRENCY.FORMAT_1=0,CONCATENATE(TEXT(FIXED(ROUND((C580/EXC.RATE_1),CURRENCY.FORMAT_1),CURRENCY.FORMAT_1,1),"# ##0;-# ##0"),",-"),FIXED(ROUND((C580/EXC.RATE_1),CURRENCY.FORMAT_1),CURRENCY.FORMAT_1,0)),'DICTIONARY-5'!$A$2)</f>
        <v>8 237,-</v>
      </c>
      <c r="K580" s="670" t="str">
        <f>IF(EXC.RATE_2=0,"",IFERROR(IF(CURRENCY.FORMAT_2=0,CONCATENATE(TEXT(FIXED(ROUND(IF(EXC.RATE.SWITCH=1,C580/EXC.RATE_2,C580*EXC.RATE_2),CURRENCY.FORMAT_2),CURRENCY.FORMAT_2,1),"# ##0;-# ##0"),",-"),FIXED(ROUND(IF(EXC.RATE.SWITCH=1,C580/EXC.RATE_2,C580*EXC.RATE_2),CURRENCY.FORMAT_2),CURRENCY.FORMAT_2,0)),'DICTIONARY-5'!$A$2))</f>
        <v/>
      </c>
      <c r="L580" s="670" t="str">
        <f>IFERROR(IF(CURRENCY.FORMAT_1=0,CONCATENATE(TEXT(FIXED(ROUND((C580*(1-I580)*(1-ADD.DISCOUNT)*(1+MAT.SURCHARGE)/EXC.RATE_1),CURRENCY.FORMAT_1),CURRENCY.FORMAT_1,1),"# ##0;-# ##0"),",-"),FIXED(ROUND((C580*(1-I580)*(1-ADD.DISCOUNT)*(1+MAT.SURCHARGE)/EXC.RATE_1),CURRENCY.FORMAT_1),CURRENCY.FORMAT_1,0)),'DICTIONARY-5'!$A$2)</f>
        <v>8 558,-</v>
      </c>
      <c r="M580" s="670" t="str">
        <f>IF(EXC.RATE_2=0,"",IFERROR(IF(CURRENCY.FORMAT_2=0,CONCATENATE(TEXT(FIXED(ROUND(IF(EXC.RATE.SWITCH=1,C580*(1-I580)*(1-ADD.DISCOUNT)*(1+MAT.SURCHARGE)/EXC.RATE_2,C580*(1-I580)*(1-ADD.DISCOUNT)*(1+MAT.SURCHARGE)*EXC.RATE_2),CURRENCY.FORMAT_2),CURRENCY.FORMAT_2,1),"# ##0;-# ##0"),",-"),FIXED(ROUND(IF(EXC.RATE.SWITCH=1,C580*(1-I580)*(1-ADD.DISCOUNT)*(1+MAT.SURCHARGE)/EXC.RATE_2,C580*(1-I580)*(1-ADD.DISCOUNT)*(1+MAT.SURCHARGE)*EXC.RATE_2),CURRENCY.FORMAT_2),CURRENCY.FORMAT_2,0)),'DICTIONARY-5'!$A$2))</f>
        <v/>
      </c>
      <c r="N580" s="496">
        <v>2</v>
      </c>
      <c r="O580" s="496"/>
      <c r="P580" s="731" t="str">
        <f>'DICTIONARY-3'!$A$11</f>
        <v>ZETA</v>
      </c>
      <c r="Q580" s="732" t="str">
        <f>'DICTIONARY-3'!$A$189</f>
        <v>Zasuwa nożowa</v>
      </c>
      <c r="R580" s="732" t="str">
        <f>CONCATENATE('DICTIONARY-3'!$A$11," ",'DICTIONARY-6'!$A$6," ",'DICTIONARY-5'!$A$34," ",'DICTIONARY-2'!$A$2,"500"," ",'DICTIONARY-2'!$A$3,"10"," ",'DICTIONARY-2'!$A$10,"6",'DICTIONARY-2'!$A$20,", ",'DICTIONARY-4'!$A$4," SA10.2")</f>
        <v>ZETA Zasuwa noż. A2 DN500 PN10 PS6bar, NE SA10.2</v>
      </c>
      <c r="S580" s="733" t="str">
        <f>'DICTIONARY-4'!$A$4</f>
        <v>NE</v>
      </c>
      <c r="T580" s="732" t="str">
        <f>'DICTIONARY-4'!$A$20</f>
        <v>Napęd elektryczny</v>
      </c>
      <c r="U580" s="734" t="s">
        <v>5756</v>
      </c>
      <c r="V580" s="735">
        <v>10</v>
      </c>
      <c r="W580" s="736"/>
      <c r="X580" s="737"/>
      <c r="Y580" s="738"/>
      <c r="Z580" s="739"/>
      <c r="AA580" s="739"/>
      <c r="AB580" s="740">
        <v>6</v>
      </c>
      <c r="AC580" s="741" t="str">
        <f>'DICTIONARY-5'!$A$11&amp;" 20"</f>
        <v>EN 558 szereg 20</v>
      </c>
      <c r="AD580" s="741" t="str">
        <f>'DICTIONARY-5'!$A$14</f>
        <v>ścieki</v>
      </c>
      <c r="AE580" s="742">
        <v>50</v>
      </c>
      <c r="AF580" s="743">
        <v>307</v>
      </c>
      <c r="AG580" s="741" t="str">
        <f>'DICTIONARY-5'!$A$23</f>
        <v>powłoka epoksydowa</v>
      </c>
    </row>
    <row r="581" spans="1:33" x14ac:dyDescent="0.25">
      <c r="A581" s="846" t="s">
        <v>5075</v>
      </c>
      <c r="B581" s="846" t="s">
        <v>5056</v>
      </c>
      <c r="C581" s="836">
        <v>10400</v>
      </c>
      <c r="D581" s="836"/>
      <c r="E581" s="836"/>
      <c r="F581" s="836"/>
      <c r="G581" s="496" t="s">
        <v>7797</v>
      </c>
      <c r="H581" s="797" t="str">
        <f>VLOOKUP(G581,SETTINGS!$B$7:$D$97,2,0)</f>
        <v>ZETA (with E-Actuator)</v>
      </c>
      <c r="I581" s="796">
        <f>VLOOKUP(G581,SETTINGS!$B$7:$D$97,3,0)</f>
        <v>0</v>
      </c>
      <c r="J581" s="670" t="str">
        <f>IFERROR(IF(CURRENCY.FORMAT_1=0,CONCATENATE(TEXT(FIXED(ROUND((C581/EXC.RATE_1),CURRENCY.FORMAT_1),CURRENCY.FORMAT_1,1),"# ##0;-# ##0"),",-"),FIXED(ROUND((C581/EXC.RATE_1),CURRENCY.FORMAT_1),CURRENCY.FORMAT_1,0)),'DICTIONARY-5'!$A$2)</f>
        <v>10 400,-</v>
      </c>
      <c r="K581" s="670" t="str">
        <f>IF(EXC.RATE_2=0,"",IFERROR(IF(CURRENCY.FORMAT_2=0,CONCATENATE(TEXT(FIXED(ROUND(IF(EXC.RATE.SWITCH=1,C581/EXC.RATE_2,C581*EXC.RATE_2),CURRENCY.FORMAT_2),CURRENCY.FORMAT_2,1),"# ##0;-# ##0"),",-"),FIXED(ROUND(IF(EXC.RATE.SWITCH=1,C581/EXC.RATE_2,C581*EXC.RATE_2),CURRENCY.FORMAT_2),CURRENCY.FORMAT_2,0)),'DICTIONARY-5'!$A$2))</f>
        <v/>
      </c>
      <c r="L581" s="670" t="str">
        <f>IFERROR(IF(CURRENCY.FORMAT_1=0,CONCATENATE(TEXT(FIXED(ROUND((C581*(1-I581)*(1-ADD.DISCOUNT)*(1+MAT.SURCHARGE)/EXC.RATE_1),CURRENCY.FORMAT_1),CURRENCY.FORMAT_1,1),"# ##0;-# ##0"),",-"),FIXED(ROUND((C581*(1-I581)*(1-ADD.DISCOUNT)*(1+MAT.SURCHARGE)/EXC.RATE_1),CURRENCY.FORMAT_1),CURRENCY.FORMAT_1,0)),'DICTIONARY-5'!$A$2)</f>
        <v>10 806,-</v>
      </c>
      <c r="M581" s="670" t="str">
        <f>IF(EXC.RATE_2=0,"",IFERROR(IF(CURRENCY.FORMAT_2=0,CONCATENATE(TEXT(FIXED(ROUND(IF(EXC.RATE.SWITCH=1,C581*(1-I581)*(1-ADD.DISCOUNT)*(1+MAT.SURCHARGE)/EXC.RATE_2,C581*(1-I581)*(1-ADD.DISCOUNT)*(1+MAT.SURCHARGE)*EXC.RATE_2),CURRENCY.FORMAT_2),CURRENCY.FORMAT_2,1),"# ##0;-# ##0"),",-"),FIXED(ROUND(IF(EXC.RATE.SWITCH=1,C581*(1-I581)*(1-ADD.DISCOUNT)*(1+MAT.SURCHARGE)/EXC.RATE_2,C581*(1-I581)*(1-ADD.DISCOUNT)*(1+MAT.SURCHARGE)*EXC.RATE_2),CURRENCY.FORMAT_2),CURRENCY.FORMAT_2,0)),'DICTIONARY-5'!$A$2))</f>
        <v/>
      </c>
      <c r="N581" s="496">
        <v>2</v>
      </c>
      <c r="O581" s="496"/>
      <c r="P581" s="731" t="str">
        <f>'DICTIONARY-3'!$A$11</f>
        <v>ZETA</v>
      </c>
      <c r="Q581" s="732" t="str">
        <f>'DICTIONARY-3'!$A$189</f>
        <v>Zasuwa nożowa</v>
      </c>
      <c r="R581" s="732" t="str">
        <f>CONCATENATE('DICTIONARY-3'!$A$11," ",'DICTIONARY-6'!$A$6," ",'DICTIONARY-5'!$A$34," ",'DICTIONARY-2'!$A$2,"600"," ",'DICTIONARY-2'!$A$3,"10"," ",'DICTIONARY-2'!$A$10,"6",'DICTIONARY-2'!$A$20,", ",'DICTIONARY-4'!$A$4," SA14.1")</f>
        <v>ZETA Zasuwa noż. A2 DN600 PN10 PS6bar, NE SA14.1</v>
      </c>
      <c r="S581" s="733" t="str">
        <f>'DICTIONARY-4'!$A$4</f>
        <v>NE</v>
      </c>
      <c r="T581" s="732" t="str">
        <f>'DICTIONARY-4'!$A$20</f>
        <v>Napęd elektryczny</v>
      </c>
      <c r="U581" s="734" t="s">
        <v>5757</v>
      </c>
      <c r="V581" s="735">
        <v>10</v>
      </c>
      <c r="W581" s="736"/>
      <c r="X581" s="737"/>
      <c r="Y581" s="738"/>
      <c r="Z581" s="739"/>
      <c r="AA581" s="739"/>
      <c r="AB581" s="740">
        <v>6</v>
      </c>
      <c r="AC581" s="741" t="str">
        <f>'DICTIONARY-5'!$A$11&amp;" 20"</f>
        <v>EN 558 szereg 20</v>
      </c>
      <c r="AD581" s="741" t="str">
        <f>'DICTIONARY-5'!$A$14</f>
        <v>ścieki</v>
      </c>
      <c r="AE581" s="742">
        <v>50</v>
      </c>
      <c r="AF581" s="743">
        <v>430</v>
      </c>
      <c r="AG581" s="741" t="str">
        <f>'DICTIONARY-5'!$A$23</f>
        <v>powłoka epoksydowa</v>
      </c>
    </row>
    <row r="582" spans="1:33" x14ac:dyDescent="0.25">
      <c r="A582" s="846" t="s">
        <v>5064</v>
      </c>
      <c r="B582" s="846" t="s">
        <v>5043</v>
      </c>
      <c r="C582" s="836">
        <v>2939</v>
      </c>
      <c r="D582" s="836"/>
      <c r="E582" s="836"/>
      <c r="F582" s="836"/>
      <c r="G582" s="496" t="s">
        <v>7797</v>
      </c>
      <c r="H582" s="797" t="str">
        <f>VLOOKUP(G582,SETTINGS!$B$7:$D$97,2,0)</f>
        <v>ZETA (with E-Actuator)</v>
      </c>
      <c r="I582" s="796">
        <f>VLOOKUP(G582,SETTINGS!$B$7:$D$97,3,0)</f>
        <v>0</v>
      </c>
      <c r="J582" s="670" t="str">
        <f>IFERROR(IF(CURRENCY.FORMAT_1=0,CONCATENATE(TEXT(FIXED(ROUND((C582/EXC.RATE_1),CURRENCY.FORMAT_1),CURRENCY.FORMAT_1,1),"# ##0;-# ##0"),",-"),FIXED(ROUND((C582/EXC.RATE_1),CURRENCY.FORMAT_1),CURRENCY.FORMAT_1,0)),'DICTIONARY-5'!$A$2)</f>
        <v>2 939,-</v>
      </c>
      <c r="K582" s="670" t="str">
        <f>IF(EXC.RATE_2=0,"",IFERROR(IF(CURRENCY.FORMAT_2=0,CONCATENATE(TEXT(FIXED(ROUND(IF(EXC.RATE.SWITCH=1,C582/EXC.RATE_2,C582*EXC.RATE_2),CURRENCY.FORMAT_2),CURRENCY.FORMAT_2,1),"# ##0;-# ##0"),",-"),FIXED(ROUND(IF(EXC.RATE.SWITCH=1,C582/EXC.RATE_2,C582*EXC.RATE_2),CURRENCY.FORMAT_2),CURRENCY.FORMAT_2,0)),'DICTIONARY-5'!$A$2))</f>
        <v/>
      </c>
      <c r="L582" s="670" t="str">
        <f>IFERROR(IF(CURRENCY.FORMAT_1=0,CONCATENATE(TEXT(FIXED(ROUND((C582*(1-I582)*(1-ADD.DISCOUNT)*(1+MAT.SURCHARGE)/EXC.RATE_1),CURRENCY.FORMAT_1),CURRENCY.FORMAT_1,1),"# ##0;-# ##0"),",-"),FIXED(ROUND((C582*(1-I582)*(1-ADD.DISCOUNT)*(1+MAT.SURCHARGE)/EXC.RATE_1),CURRENCY.FORMAT_1),CURRENCY.FORMAT_1,0)),'DICTIONARY-5'!$A$2)</f>
        <v>3 054,-</v>
      </c>
      <c r="M582" s="670" t="str">
        <f>IF(EXC.RATE_2=0,"",IFERROR(IF(CURRENCY.FORMAT_2=0,CONCATENATE(TEXT(FIXED(ROUND(IF(EXC.RATE.SWITCH=1,C582*(1-I582)*(1-ADD.DISCOUNT)*(1+MAT.SURCHARGE)/EXC.RATE_2,C582*(1-I582)*(1-ADD.DISCOUNT)*(1+MAT.SURCHARGE)*EXC.RATE_2),CURRENCY.FORMAT_2),CURRENCY.FORMAT_2,1),"# ##0;-# ##0"),",-"),FIXED(ROUND(IF(EXC.RATE.SWITCH=1,C582*(1-I582)*(1-ADD.DISCOUNT)*(1+MAT.SURCHARGE)/EXC.RATE_2,C582*(1-I582)*(1-ADD.DISCOUNT)*(1+MAT.SURCHARGE)*EXC.RATE_2),CURRENCY.FORMAT_2),CURRENCY.FORMAT_2,0)),'DICTIONARY-5'!$A$2))</f>
        <v/>
      </c>
      <c r="N582" s="496">
        <v>2</v>
      </c>
      <c r="O582" s="496"/>
      <c r="P582" s="731" t="str">
        <f>'DICTIONARY-3'!$A$11</f>
        <v>ZETA</v>
      </c>
      <c r="Q582" s="732" t="str">
        <f>'DICTIONARY-3'!$A$189</f>
        <v>Zasuwa nożowa</v>
      </c>
      <c r="R582" s="732" t="str">
        <f>CONCATENATE('DICTIONARY-3'!$A$11," ",'DICTIONARY-6'!$A$6," ",'DICTIONARY-5'!$A$35," ",'DICTIONARY-2'!$A$2,"200"," ",'DICTIONARY-2'!$A$3,"10"," ",'DICTIONARY-2'!$A$10,"10",'DICTIONARY-2'!$A$20,", ",'DICTIONARY-4'!$A$4," SA07.6")</f>
        <v>ZETA Zasuwa noż. A4 DN200 PN10 PS10bar, NE SA07.6</v>
      </c>
      <c r="S582" s="733" t="str">
        <f>'DICTIONARY-4'!$A$4</f>
        <v>NE</v>
      </c>
      <c r="T582" s="732" t="str">
        <f>'DICTIONARY-4'!$A$20</f>
        <v>Napęd elektryczny</v>
      </c>
      <c r="U582" s="734" t="s">
        <v>5750</v>
      </c>
      <c r="V582" s="735">
        <v>10</v>
      </c>
      <c r="W582" s="736"/>
      <c r="X582" s="737"/>
      <c r="Y582" s="738"/>
      <c r="Z582" s="739"/>
      <c r="AA582" s="739"/>
      <c r="AB582" s="740">
        <v>10</v>
      </c>
      <c r="AC582" s="741" t="str">
        <f>'DICTIONARY-5'!$A$11&amp;" 20"</f>
        <v>EN 558 szereg 20</v>
      </c>
      <c r="AD582" s="741" t="str">
        <f>'DICTIONARY-5'!$A$14</f>
        <v>ścieki</v>
      </c>
      <c r="AE582" s="742">
        <v>50</v>
      </c>
      <c r="AF582" s="743">
        <v>60</v>
      </c>
      <c r="AG582" s="741" t="str">
        <f>'DICTIONARY-5'!$A$23</f>
        <v>powłoka epoksydowa</v>
      </c>
    </row>
    <row r="583" spans="1:33" x14ac:dyDescent="0.25">
      <c r="A583" s="846" t="s">
        <v>5066</v>
      </c>
      <c r="B583" s="846" t="s">
        <v>5044</v>
      </c>
      <c r="C583" s="836">
        <v>3324</v>
      </c>
      <c r="D583" s="836"/>
      <c r="E583" s="836"/>
      <c r="F583" s="836"/>
      <c r="G583" s="496" t="s">
        <v>7797</v>
      </c>
      <c r="H583" s="797" t="str">
        <f>VLOOKUP(G583,SETTINGS!$B$7:$D$97,2,0)</f>
        <v>ZETA (with E-Actuator)</v>
      </c>
      <c r="I583" s="796">
        <f>VLOOKUP(G583,SETTINGS!$B$7:$D$97,3,0)</f>
        <v>0</v>
      </c>
      <c r="J583" s="670" t="str">
        <f>IFERROR(IF(CURRENCY.FORMAT_1=0,CONCATENATE(TEXT(FIXED(ROUND((C583/EXC.RATE_1),CURRENCY.FORMAT_1),CURRENCY.FORMAT_1,1),"# ##0;-# ##0"),",-"),FIXED(ROUND((C583/EXC.RATE_1),CURRENCY.FORMAT_1),CURRENCY.FORMAT_1,0)),'DICTIONARY-5'!$A$2)</f>
        <v>3 324,-</v>
      </c>
      <c r="K583" s="670" t="str">
        <f>IF(EXC.RATE_2=0,"",IFERROR(IF(CURRENCY.FORMAT_2=0,CONCATENATE(TEXT(FIXED(ROUND(IF(EXC.RATE.SWITCH=1,C583/EXC.RATE_2,C583*EXC.RATE_2),CURRENCY.FORMAT_2),CURRENCY.FORMAT_2,1),"# ##0;-# ##0"),",-"),FIXED(ROUND(IF(EXC.RATE.SWITCH=1,C583/EXC.RATE_2,C583*EXC.RATE_2),CURRENCY.FORMAT_2),CURRENCY.FORMAT_2,0)),'DICTIONARY-5'!$A$2))</f>
        <v/>
      </c>
      <c r="L583" s="670" t="str">
        <f>IFERROR(IF(CURRENCY.FORMAT_1=0,CONCATENATE(TEXT(FIXED(ROUND((C583*(1-I583)*(1-ADD.DISCOUNT)*(1+MAT.SURCHARGE)/EXC.RATE_1),CURRENCY.FORMAT_1),CURRENCY.FORMAT_1,1),"# ##0;-# ##0"),",-"),FIXED(ROUND((C583*(1-I583)*(1-ADD.DISCOUNT)*(1+MAT.SURCHARGE)/EXC.RATE_1),CURRENCY.FORMAT_1),CURRENCY.FORMAT_1,0)),'DICTIONARY-5'!$A$2)</f>
        <v>3 454,-</v>
      </c>
      <c r="M583" s="670" t="str">
        <f>IF(EXC.RATE_2=0,"",IFERROR(IF(CURRENCY.FORMAT_2=0,CONCATENATE(TEXT(FIXED(ROUND(IF(EXC.RATE.SWITCH=1,C583*(1-I583)*(1-ADD.DISCOUNT)*(1+MAT.SURCHARGE)/EXC.RATE_2,C583*(1-I583)*(1-ADD.DISCOUNT)*(1+MAT.SURCHARGE)*EXC.RATE_2),CURRENCY.FORMAT_2),CURRENCY.FORMAT_2,1),"# ##0;-# ##0"),",-"),FIXED(ROUND(IF(EXC.RATE.SWITCH=1,C583*(1-I583)*(1-ADD.DISCOUNT)*(1+MAT.SURCHARGE)/EXC.RATE_2,C583*(1-I583)*(1-ADD.DISCOUNT)*(1+MAT.SURCHARGE)*EXC.RATE_2),CURRENCY.FORMAT_2),CURRENCY.FORMAT_2,0)),'DICTIONARY-5'!$A$2))</f>
        <v/>
      </c>
      <c r="N583" s="496">
        <v>2</v>
      </c>
      <c r="O583" s="496"/>
      <c r="P583" s="731" t="str">
        <f>'DICTIONARY-3'!$A$11</f>
        <v>ZETA</v>
      </c>
      <c r="Q583" s="732" t="str">
        <f>'DICTIONARY-3'!$A$189</f>
        <v>Zasuwa nożowa</v>
      </c>
      <c r="R583" s="732" t="str">
        <f>CONCATENATE('DICTIONARY-3'!$A$11," ",'DICTIONARY-6'!$A$6," ",'DICTIONARY-5'!$A$35," ",'DICTIONARY-2'!$A$2,"250"," ",'DICTIONARY-2'!$A$3,"10"," ",'DICTIONARY-2'!$A$10,"10",'DICTIONARY-2'!$A$20,", ",'DICTIONARY-4'!$A$4," SA07.6")</f>
        <v>ZETA Zasuwa noż. A4 DN250 PN10 PS10bar, NE SA07.6</v>
      </c>
      <c r="S583" s="733" t="str">
        <f>'DICTIONARY-4'!$A$4</f>
        <v>NE</v>
      </c>
      <c r="T583" s="732" t="str">
        <f>'DICTIONARY-4'!$A$20</f>
        <v>Napęd elektryczny</v>
      </c>
      <c r="U583" s="734" t="s">
        <v>5751</v>
      </c>
      <c r="V583" s="735">
        <v>10</v>
      </c>
      <c r="W583" s="736"/>
      <c r="X583" s="737"/>
      <c r="Y583" s="738"/>
      <c r="Z583" s="739"/>
      <c r="AA583" s="739"/>
      <c r="AB583" s="740">
        <v>10</v>
      </c>
      <c r="AC583" s="741" t="str">
        <f>'DICTIONARY-5'!$A$11&amp;" 20"</f>
        <v>EN 558 szereg 20</v>
      </c>
      <c r="AD583" s="741" t="str">
        <f>'DICTIONARY-5'!$A$14</f>
        <v>ścieki</v>
      </c>
      <c r="AE583" s="742">
        <v>50</v>
      </c>
      <c r="AF583" s="743">
        <v>87</v>
      </c>
      <c r="AG583" s="741" t="str">
        <f>'DICTIONARY-5'!$A$23</f>
        <v>powłoka epoksydowa</v>
      </c>
    </row>
    <row r="584" spans="1:33" x14ac:dyDescent="0.25">
      <c r="A584" s="846" t="s">
        <v>5068</v>
      </c>
      <c r="B584" s="846" t="s">
        <v>5045</v>
      </c>
      <c r="C584" s="836">
        <v>3543</v>
      </c>
      <c r="D584" s="836"/>
      <c r="E584" s="836"/>
      <c r="F584" s="836"/>
      <c r="G584" s="496" t="s">
        <v>7797</v>
      </c>
      <c r="H584" s="797" t="str">
        <f>VLOOKUP(G584,SETTINGS!$B$7:$D$97,2,0)</f>
        <v>ZETA (with E-Actuator)</v>
      </c>
      <c r="I584" s="796">
        <f>VLOOKUP(G584,SETTINGS!$B$7:$D$97,3,0)</f>
        <v>0</v>
      </c>
      <c r="J584" s="670" t="str">
        <f>IFERROR(IF(CURRENCY.FORMAT_1=0,CONCATENATE(TEXT(FIXED(ROUND((C584/EXC.RATE_1),CURRENCY.FORMAT_1),CURRENCY.FORMAT_1,1),"# ##0;-# ##0"),",-"),FIXED(ROUND((C584/EXC.RATE_1),CURRENCY.FORMAT_1),CURRENCY.FORMAT_1,0)),'DICTIONARY-5'!$A$2)</f>
        <v>3 543,-</v>
      </c>
      <c r="K584" s="670" t="str">
        <f>IF(EXC.RATE_2=0,"",IFERROR(IF(CURRENCY.FORMAT_2=0,CONCATENATE(TEXT(FIXED(ROUND(IF(EXC.RATE.SWITCH=1,C584/EXC.RATE_2,C584*EXC.RATE_2),CURRENCY.FORMAT_2),CURRENCY.FORMAT_2,1),"# ##0;-# ##0"),",-"),FIXED(ROUND(IF(EXC.RATE.SWITCH=1,C584/EXC.RATE_2,C584*EXC.RATE_2),CURRENCY.FORMAT_2),CURRENCY.FORMAT_2,0)),'DICTIONARY-5'!$A$2))</f>
        <v/>
      </c>
      <c r="L584" s="670" t="str">
        <f>IFERROR(IF(CURRENCY.FORMAT_1=0,CONCATENATE(TEXT(FIXED(ROUND((C584*(1-I584)*(1-ADD.DISCOUNT)*(1+MAT.SURCHARGE)/EXC.RATE_1),CURRENCY.FORMAT_1),CURRENCY.FORMAT_1,1),"# ##0;-# ##0"),",-"),FIXED(ROUND((C584*(1-I584)*(1-ADD.DISCOUNT)*(1+MAT.SURCHARGE)/EXC.RATE_1),CURRENCY.FORMAT_1),CURRENCY.FORMAT_1,0)),'DICTIONARY-5'!$A$2)</f>
        <v>3 681,-</v>
      </c>
      <c r="M584" s="670" t="str">
        <f>IF(EXC.RATE_2=0,"",IFERROR(IF(CURRENCY.FORMAT_2=0,CONCATENATE(TEXT(FIXED(ROUND(IF(EXC.RATE.SWITCH=1,C584*(1-I584)*(1-ADD.DISCOUNT)*(1+MAT.SURCHARGE)/EXC.RATE_2,C584*(1-I584)*(1-ADD.DISCOUNT)*(1+MAT.SURCHARGE)*EXC.RATE_2),CURRENCY.FORMAT_2),CURRENCY.FORMAT_2,1),"# ##0;-# ##0"),",-"),FIXED(ROUND(IF(EXC.RATE.SWITCH=1,C584*(1-I584)*(1-ADD.DISCOUNT)*(1+MAT.SURCHARGE)/EXC.RATE_2,C584*(1-I584)*(1-ADD.DISCOUNT)*(1+MAT.SURCHARGE)*EXC.RATE_2),CURRENCY.FORMAT_2),CURRENCY.FORMAT_2,0)),'DICTIONARY-5'!$A$2))</f>
        <v/>
      </c>
      <c r="N584" s="496">
        <v>2</v>
      </c>
      <c r="O584" s="496"/>
      <c r="P584" s="731" t="str">
        <f>'DICTIONARY-3'!$A$11</f>
        <v>ZETA</v>
      </c>
      <c r="Q584" s="732" t="str">
        <f>'DICTIONARY-3'!$A$189</f>
        <v>Zasuwa nożowa</v>
      </c>
      <c r="R584" s="732" t="str">
        <f>CONCATENATE('DICTIONARY-3'!$A$11," ",'DICTIONARY-6'!$A$6," ",'DICTIONARY-5'!$A$35," ",'DICTIONARY-2'!$A$2,"300"," ",'DICTIONARY-2'!$A$3,"10"," ",'DICTIONARY-2'!$A$10,"10",'DICTIONARY-2'!$A$20,", ",'DICTIONARY-4'!$A$4," SA07.6")</f>
        <v>ZETA Zasuwa noż. A4 DN300 PN10 PS10bar, NE SA07.6</v>
      </c>
      <c r="S584" s="733" t="str">
        <f>'DICTIONARY-4'!$A$4</f>
        <v>NE</v>
      </c>
      <c r="T584" s="732" t="str">
        <f>'DICTIONARY-4'!$A$20</f>
        <v>Napęd elektryczny</v>
      </c>
      <c r="U584" s="734" t="s">
        <v>5752</v>
      </c>
      <c r="V584" s="735">
        <v>10</v>
      </c>
      <c r="W584" s="736"/>
      <c r="X584" s="737"/>
      <c r="Y584" s="738"/>
      <c r="Z584" s="739"/>
      <c r="AA584" s="739"/>
      <c r="AB584" s="740">
        <v>10</v>
      </c>
      <c r="AC584" s="741" t="str">
        <f>'DICTIONARY-5'!$A$11&amp;" 20"</f>
        <v>EN 558 szereg 20</v>
      </c>
      <c r="AD584" s="741" t="str">
        <f>'DICTIONARY-5'!$A$14</f>
        <v>ścieki</v>
      </c>
      <c r="AE584" s="742">
        <v>50</v>
      </c>
      <c r="AF584" s="743">
        <v>113</v>
      </c>
      <c r="AG584" s="741" t="str">
        <f>'DICTIONARY-5'!$A$23</f>
        <v>powłoka epoksydowa</v>
      </c>
    </row>
    <row r="585" spans="1:33" x14ac:dyDescent="0.25">
      <c r="A585" s="846" t="s">
        <v>5070</v>
      </c>
      <c r="B585" s="846" t="s">
        <v>5046</v>
      </c>
      <c r="C585" s="836">
        <v>5711</v>
      </c>
      <c r="D585" s="836"/>
      <c r="E585" s="836"/>
      <c r="F585" s="836"/>
      <c r="G585" s="496" t="s">
        <v>7797</v>
      </c>
      <c r="H585" s="797" t="str">
        <f>VLOOKUP(G585,SETTINGS!$B$7:$D$97,2,0)</f>
        <v>ZETA (with E-Actuator)</v>
      </c>
      <c r="I585" s="796">
        <f>VLOOKUP(G585,SETTINGS!$B$7:$D$97,3,0)</f>
        <v>0</v>
      </c>
      <c r="J585" s="670" t="str">
        <f>IFERROR(IF(CURRENCY.FORMAT_1=0,CONCATENATE(TEXT(FIXED(ROUND((C585/EXC.RATE_1),CURRENCY.FORMAT_1),CURRENCY.FORMAT_1,1),"# ##0;-# ##0"),",-"),FIXED(ROUND((C585/EXC.RATE_1),CURRENCY.FORMAT_1),CURRENCY.FORMAT_1,0)),'DICTIONARY-5'!$A$2)</f>
        <v>5 711,-</v>
      </c>
      <c r="K585" s="670" t="str">
        <f>IF(EXC.RATE_2=0,"",IFERROR(IF(CURRENCY.FORMAT_2=0,CONCATENATE(TEXT(FIXED(ROUND(IF(EXC.RATE.SWITCH=1,C585/EXC.RATE_2,C585*EXC.RATE_2),CURRENCY.FORMAT_2),CURRENCY.FORMAT_2,1),"# ##0;-# ##0"),",-"),FIXED(ROUND(IF(EXC.RATE.SWITCH=1,C585/EXC.RATE_2,C585*EXC.RATE_2),CURRENCY.FORMAT_2),CURRENCY.FORMAT_2,0)),'DICTIONARY-5'!$A$2))</f>
        <v/>
      </c>
      <c r="L585" s="670" t="str">
        <f>IFERROR(IF(CURRENCY.FORMAT_1=0,CONCATENATE(TEXT(FIXED(ROUND((C585*(1-I585)*(1-ADD.DISCOUNT)*(1+MAT.SURCHARGE)/EXC.RATE_1),CURRENCY.FORMAT_1),CURRENCY.FORMAT_1,1),"# ##0;-# ##0"),",-"),FIXED(ROUND((C585*(1-I585)*(1-ADD.DISCOUNT)*(1+MAT.SURCHARGE)/EXC.RATE_1),CURRENCY.FORMAT_1),CURRENCY.FORMAT_1,0)),'DICTIONARY-5'!$A$2)</f>
        <v>5 934,-</v>
      </c>
      <c r="M585" s="670" t="str">
        <f>IF(EXC.RATE_2=0,"",IFERROR(IF(CURRENCY.FORMAT_2=0,CONCATENATE(TEXT(FIXED(ROUND(IF(EXC.RATE.SWITCH=1,C585*(1-I585)*(1-ADD.DISCOUNT)*(1+MAT.SURCHARGE)/EXC.RATE_2,C585*(1-I585)*(1-ADD.DISCOUNT)*(1+MAT.SURCHARGE)*EXC.RATE_2),CURRENCY.FORMAT_2),CURRENCY.FORMAT_2,1),"# ##0;-# ##0"),",-"),FIXED(ROUND(IF(EXC.RATE.SWITCH=1,C585*(1-I585)*(1-ADD.DISCOUNT)*(1+MAT.SURCHARGE)/EXC.RATE_2,C585*(1-I585)*(1-ADD.DISCOUNT)*(1+MAT.SURCHARGE)*EXC.RATE_2),CURRENCY.FORMAT_2),CURRENCY.FORMAT_2,0)),'DICTIONARY-5'!$A$2))</f>
        <v/>
      </c>
      <c r="N585" s="496">
        <v>2</v>
      </c>
      <c r="O585" s="496"/>
      <c r="P585" s="731" t="str">
        <f>'DICTIONARY-3'!$A$11</f>
        <v>ZETA</v>
      </c>
      <c r="Q585" s="732" t="str">
        <f>'DICTIONARY-3'!$A$189</f>
        <v>Zasuwa nożowa</v>
      </c>
      <c r="R585" s="732" t="str">
        <f>CONCATENATE('DICTIONARY-3'!$A$11," ",'DICTIONARY-6'!$A$6," ",'DICTIONARY-5'!$A$35," ",'DICTIONARY-2'!$A$2,"350"," ",'DICTIONARY-2'!$A$3,"10"," ",'DICTIONARY-2'!$A$10,"8",'DICTIONARY-2'!$A$20,", ",'DICTIONARY-4'!$A$4," SA10.2")</f>
        <v>ZETA Zasuwa noż. A4 DN350 PN10 PS8bar, NE SA10.2</v>
      </c>
      <c r="S585" s="733" t="str">
        <f>'DICTIONARY-4'!$A$4</f>
        <v>NE</v>
      </c>
      <c r="T585" s="732" t="str">
        <f>'DICTIONARY-4'!$A$20</f>
        <v>Napęd elektryczny</v>
      </c>
      <c r="U585" s="734" t="s">
        <v>5753</v>
      </c>
      <c r="V585" s="735">
        <v>10</v>
      </c>
      <c r="W585" s="736"/>
      <c r="X585" s="737"/>
      <c r="Y585" s="738"/>
      <c r="Z585" s="739"/>
      <c r="AA585" s="739"/>
      <c r="AB585" s="740">
        <v>8</v>
      </c>
      <c r="AC585" s="741" t="str">
        <f>'DICTIONARY-5'!$A$11&amp;" 20"</f>
        <v>EN 558 szereg 20</v>
      </c>
      <c r="AD585" s="741" t="str">
        <f>'DICTIONARY-5'!$A$14</f>
        <v>ścieki</v>
      </c>
      <c r="AE585" s="742">
        <v>50</v>
      </c>
      <c r="AF585" s="743">
        <v>137</v>
      </c>
      <c r="AG585" s="741" t="str">
        <f>'DICTIONARY-5'!$A$23</f>
        <v>powłoka epoksydowa</v>
      </c>
    </row>
    <row r="586" spans="1:33" x14ac:dyDescent="0.25">
      <c r="A586" s="846" t="s">
        <v>5072</v>
      </c>
      <c r="B586" s="846" t="s">
        <v>5047</v>
      </c>
      <c r="C586" s="836">
        <v>6377</v>
      </c>
      <c r="D586" s="836"/>
      <c r="E586" s="836"/>
      <c r="F586" s="836"/>
      <c r="G586" s="496" t="s">
        <v>7797</v>
      </c>
      <c r="H586" s="797" t="str">
        <f>VLOOKUP(G586,SETTINGS!$B$7:$D$97,2,0)</f>
        <v>ZETA (with E-Actuator)</v>
      </c>
      <c r="I586" s="796">
        <f>VLOOKUP(G586,SETTINGS!$B$7:$D$97,3,0)</f>
        <v>0</v>
      </c>
      <c r="J586" s="670" t="str">
        <f>IFERROR(IF(CURRENCY.FORMAT_1=0,CONCATENATE(TEXT(FIXED(ROUND((C586/EXC.RATE_1),CURRENCY.FORMAT_1),CURRENCY.FORMAT_1,1),"# ##0;-# ##0"),",-"),FIXED(ROUND((C586/EXC.RATE_1),CURRENCY.FORMAT_1),CURRENCY.FORMAT_1,0)),'DICTIONARY-5'!$A$2)</f>
        <v>6 377,-</v>
      </c>
      <c r="K586" s="670" t="str">
        <f>IF(EXC.RATE_2=0,"",IFERROR(IF(CURRENCY.FORMAT_2=0,CONCATENATE(TEXT(FIXED(ROUND(IF(EXC.RATE.SWITCH=1,C586/EXC.RATE_2,C586*EXC.RATE_2),CURRENCY.FORMAT_2),CURRENCY.FORMAT_2,1),"# ##0;-# ##0"),",-"),FIXED(ROUND(IF(EXC.RATE.SWITCH=1,C586/EXC.RATE_2,C586*EXC.RATE_2),CURRENCY.FORMAT_2),CURRENCY.FORMAT_2,0)),'DICTIONARY-5'!$A$2))</f>
        <v/>
      </c>
      <c r="L586" s="670" t="str">
        <f>IFERROR(IF(CURRENCY.FORMAT_1=0,CONCATENATE(TEXT(FIXED(ROUND((C586*(1-I586)*(1-ADD.DISCOUNT)*(1+MAT.SURCHARGE)/EXC.RATE_1),CURRENCY.FORMAT_1),CURRENCY.FORMAT_1,1),"# ##0;-# ##0"),",-"),FIXED(ROUND((C586*(1-I586)*(1-ADD.DISCOUNT)*(1+MAT.SURCHARGE)/EXC.RATE_1),CURRENCY.FORMAT_1),CURRENCY.FORMAT_1,0)),'DICTIONARY-5'!$A$2)</f>
        <v>6 626,-</v>
      </c>
      <c r="M586" s="670" t="str">
        <f>IF(EXC.RATE_2=0,"",IFERROR(IF(CURRENCY.FORMAT_2=0,CONCATENATE(TEXT(FIXED(ROUND(IF(EXC.RATE.SWITCH=1,C586*(1-I586)*(1-ADD.DISCOUNT)*(1+MAT.SURCHARGE)/EXC.RATE_2,C586*(1-I586)*(1-ADD.DISCOUNT)*(1+MAT.SURCHARGE)*EXC.RATE_2),CURRENCY.FORMAT_2),CURRENCY.FORMAT_2,1),"# ##0;-# ##0"),",-"),FIXED(ROUND(IF(EXC.RATE.SWITCH=1,C586*(1-I586)*(1-ADD.DISCOUNT)*(1+MAT.SURCHARGE)/EXC.RATE_2,C586*(1-I586)*(1-ADD.DISCOUNT)*(1+MAT.SURCHARGE)*EXC.RATE_2),CURRENCY.FORMAT_2),CURRENCY.FORMAT_2,0)),'DICTIONARY-5'!$A$2))</f>
        <v/>
      </c>
      <c r="N586" s="496">
        <v>2</v>
      </c>
      <c r="O586" s="496"/>
      <c r="P586" s="731" t="str">
        <f>'DICTIONARY-3'!$A$11</f>
        <v>ZETA</v>
      </c>
      <c r="Q586" s="732" t="str">
        <f>'DICTIONARY-3'!$A$189</f>
        <v>Zasuwa nożowa</v>
      </c>
      <c r="R586" s="732" t="str">
        <f>CONCATENATE('DICTIONARY-3'!$A$11," ",'DICTIONARY-6'!$A$6," ",'DICTIONARY-5'!$A$35," ",'DICTIONARY-2'!$A$2,"400"," ",'DICTIONARY-2'!$A$3,"10"," ",'DICTIONARY-2'!$A$10,"8",'DICTIONARY-2'!$A$20,", ",'DICTIONARY-4'!$A$4," SA10.2")</f>
        <v>ZETA Zasuwa noż. A4 DN400 PN10 PS8bar, NE SA10.2</v>
      </c>
      <c r="S586" s="733" t="str">
        <f>'DICTIONARY-4'!$A$4</f>
        <v>NE</v>
      </c>
      <c r="T586" s="732" t="str">
        <f>'DICTIONARY-4'!$A$20</f>
        <v>Napęd elektryczny</v>
      </c>
      <c r="U586" s="734" t="s">
        <v>5754</v>
      </c>
      <c r="V586" s="735">
        <v>10</v>
      </c>
      <c r="W586" s="736"/>
      <c r="X586" s="737"/>
      <c r="Y586" s="738"/>
      <c r="Z586" s="739"/>
      <c r="AA586" s="739"/>
      <c r="AB586" s="740">
        <v>8</v>
      </c>
      <c r="AC586" s="741" t="str">
        <f>'DICTIONARY-5'!$A$11&amp;" 20"</f>
        <v>EN 558 szereg 20</v>
      </c>
      <c r="AD586" s="741" t="str">
        <f>'DICTIONARY-5'!$A$14</f>
        <v>ścieki</v>
      </c>
      <c r="AE586" s="742">
        <v>50</v>
      </c>
      <c r="AF586" s="743">
        <v>195</v>
      </c>
      <c r="AG586" s="741" t="str">
        <f>'DICTIONARY-5'!$A$23</f>
        <v>powłoka epoksydowa</v>
      </c>
    </row>
    <row r="587" spans="1:33" x14ac:dyDescent="0.25">
      <c r="A587" s="846" t="s">
        <v>5074</v>
      </c>
      <c r="B587" s="846" t="s">
        <v>5048</v>
      </c>
      <c r="C587" s="836">
        <v>8892</v>
      </c>
      <c r="D587" s="836"/>
      <c r="E587" s="836"/>
      <c r="F587" s="836"/>
      <c r="G587" s="496" t="s">
        <v>7797</v>
      </c>
      <c r="H587" s="797" t="str">
        <f>VLOOKUP(G587,SETTINGS!$B$7:$D$97,2,0)</f>
        <v>ZETA (with E-Actuator)</v>
      </c>
      <c r="I587" s="796">
        <f>VLOOKUP(G587,SETTINGS!$B$7:$D$97,3,0)</f>
        <v>0</v>
      </c>
      <c r="J587" s="670" t="str">
        <f>IFERROR(IF(CURRENCY.FORMAT_1=0,CONCATENATE(TEXT(FIXED(ROUND((C587/EXC.RATE_1),CURRENCY.FORMAT_1),CURRENCY.FORMAT_1,1),"# ##0;-# ##0"),",-"),FIXED(ROUND((C587/EXC.RATE_1),CURRENCY.FORMAT_1),CURRENCY.FORMAT_1,0)),'DICTIONARY-5'!$A$2)</f>
        <v>8 892,-</v>
      </c>
      <c r="K587" s="670" t="str">
        <f>IF(EXC.RATE_2=0,"",IFERROR(IF(CURRENCY.FORMAT_2=0,CONCATENATE(TEXT(FIXED(ROUND(IF(EXC.RATE.SWITCH=1,C587/EXC.RATE_2,C587*EXC.RATE_2),CURRENCY.FORMAT_2),CURRENCY.FORMAT_2,1),"# ##0;-# ##0"),",-"),FIXED(ROUND(IF(EXC.RATE.SWITCH=1,C587/EXC.RATE_2,C587*EXC.RATE_2),CURRENCY.FORMAT_2),CURRENCY.FORMAT_2,0)),'DICTIONARY-5'!$A$2))</f>
        <v/>
      </c>
      <c r="L587" s="670" t="str">
        <f>IFERROR(IF(CURRENCY.FORMAT_1=0,CONCATENATE(TEXT(FIXED(ROUND((C587*(1-I587)*(1-ADD.DISCOUNT)*(1+MAT.SURCHARGE)/EXC.RATE_1),CURRENCY.FORMAT_1),CURRENCY.FORMAT_1,1),"# ##0;-# ##0"),",-"),FIXED(ROUND((C587*(1-I587)*(1-ADD.DISCOUNT)*(1+MAT.SURCHARGE)/EXC.RATE_1),CURRENCY.FORMAT_1),CURRENCY.FORMAT_1,0)),'DICTIONARY-5'!$A$2)</f>
        <v>9 239,-</v>
      </c>
      <c r="M587" s="670" t="str">
        <f>IF(EXC.RATE_2=0,"",IFERROR(IF(CURRENCY.FORMAT_2=0,CONCATENATE(TEXT(FIXED(ROUND(IF(EXC.RATE.SWITCH=1,C587*(1-I587)*(1-ADD.DISCOUNT)*(1+MAT.SURCHARGE)/EXC.RATE_2,C587*(1-I587)*(1-ADD.DISCOUNT)*(1+MAT.SURCHARGE)*EXC.RATE_2),CURRENCY.FORMAT_2),CURRENCY.FORMAT_2,1),"# ##0;-# ##0"),",-"),FIXED(ROUND(IF(EXC.RATE.SWITCH=1,C587*(1-I587)*(1-ADD.DISCOUNT)*(1+MAT.SURCHARGE)/EXC.RATE_2,C587*(1-I587)*(1-ADD.DISCOUNT)*(1+MAT.SURCHARGE)*EXC.RATE_2),CURRENCY.FORMAT_2),CURRENCY.FORMAT_2,0)),'DICTIONARY-5'!$A$2))</f>
        <v/>
      </c>
      <c r="N587" s="496">
        <v>2</v>
      </c>
      <c r="O587" s="496"/>
      <c r="P587" s="731" t="str">
        <f>'DICTIONARY-3'!$A$11</f>
        <v>ZETA</v>
      </c>
      <c r="Q587" s="732" t="str">
        <f>'DICTIONARY-3'!$A$189</f>
        <v>Zasuwa nożowa</v>
      </c>
      <c r="R587" s="732" t="str">
        <f>CONCATENATE('DICTIONARY-3'!$A$11," ",'DICTIONARY-6'!$A$6," ",'DICTIONARY-5'!$A$35," ",'DICTIONARY-2'!$A$2,"500"," ",'DICTIONARY-2'!$A$3,"10"," ",'DICTIONARY-2'!$A$10,"6",'DICTIONARY-2'!$A$20,", ",'DICTIONARY-4'!$A$4," SA10.2")</f>
        <v>ZETA Zasuwa noż. A4 DN500 PN10 PS6bar, NE SA10.2</v>
      </c>
      <c r="S587" s="733" t="str">
        <f>'DICTIONARY-4'!$A$4</f>
        <v>NE</v>
      </c>
      <c r="T587" s="732" t="str">
        <f>'DICTIONARY-4'!$A$20</f>
        <v>Napęd elektryczny</v>
      </c>
      <c r="U587" s="734" t="s">
        <v>5756</v>
      </c>
      <c r="V587" s="735">
        <v>10</v>
      </c>
      <c r="W587" s="736"/>
      <c r="X587" s="737"/>
      <c r="Y587" s="738"/>
      <c r="Z587" s="739"/>
      <c r="AA587" s="739"/>
      <c r="AB587" s="740">
        <v>6</v>
      </c>
      <c r="AC587" s="741" t="str">
        <f>'DICTIONARY-5'!$A$11&amp;" 20"</f>
        <v>EN 558 szereg 20</v>
      </c>
      <c r="AD587" s="741" t="str">
        <f>'DICTIONARY-5'!$A$14</f>
        <v>ścieki</v>
      </c>
      <c r="AE587" s="742">
        <v>50</v>
      </c>
      <c r="AF587" s="743">
        <v>309</v>
      </c>
      <c r="AG587" s="741" t="str">
        <f>'DICTIONARY-5'!$A$23</f>
        <v>powłoka epoksydowa</v>
      </c>
    </row>
    <row r="588" spans="1:33" x14ac:dyDescent="0.25">
      <c r="A588" s="846" t="s">
        <v>5076</v>
      </c>
      <c r="B588" s="846" t="s">
        <v>5049</v>
      </c>
      <c r="C588" s="836">
        <v>11057</v>
      </c>
      <c r="D588" s="836"/>
      <c r="E588" s="836"/>
      <c r="F588" s="836"/>
      <c r="G588" s="496" t="s">
        <v>7797</v>
      </c>
      <c r="H588" s="797" t="str">
        <f>VLOOKUP(G588,SETTINGS!$B$7:$D$97,2,0)</f>
        <v>ZETA (with E-Actuator)</v>
      </c>
      <c r="I588" s="796">
        <f>VLOOKUP(G588,SETTINGS!$B$7:$D$97,3,0)</f>
        <v>0</v>
      </c>
      <c r="J588" s="670" t="str">
        <f>IFERROR(IF(CURRENCY.FORMAT_1=0,CONCATENATE(TEXT(FIXED(ROUND((C588/EXC.RATE_1),CURRENCY.FORMAT_1),CURRENCY.FORMAT_1,1),"# ##0;-# ##0"),",-"),FIXED(ROUND((C588/EXC.RATE_1),CURRENCY.FORMAT_1),CURRENCY.FORMAT_1,0)),'DICTIONARY-5'!$A$2)</f>
        <v>11 057,-</v>
      </c>
      <c r="K588" s="670" t="str">
        <f>IF(EXC.RATE_2=0,"",IFERROR(IF(CURRENCY.FORMAT_2=0,CONCATENATE(TEXT(FIXED(ROUND(IF(EXC.RATE.SWITCH=1,C588/EXC.RATE_2,C588*EXC.RATE_2),CURRENCY.FORMAT_2),CURRENCY.FORMAT_2,1),"# ##0;-# ##0"),",-"),FIXED(ROUND(IF(EXC.RATE.SWITCH=1,C588/EXC.RATE_2,C588*EXC.RATE_2),CURRENCY.FORMAT_2),CURRENCY.FORMAT_2,0)),'DICTIONARY-5'!$A$2))</f>
        <v/>
      </c>
      <c r="L588" s="670" t="str">
        <f>IFERROR(IF(CURRENCY.FORMAT_1=0,CONCATENATE(TEXT(FIXED(ROUND((C588*(1-I588)*(1-ADD.DISCOUNT)*(1+MAT.SURCHARGE)/EXC.RATE_1),CURRENCY.FORMAT_1),CURRENCY.FORMAT_1,1),"# ##0;-# ##0"),",-"),FIXED(ROUND((C588*(1-I588)*(1-ADD.DISCOUNT)*(1+MAT.SURCHARGE)/EXC.RATE_1),CURRENCY.FORMAT_1),CURRENCY.FORMAT_1,0)),'DICTIONARY-5'!$A$2)</f>
        <v>11 488,-</v>
      </c>
      <c r="M588" s="670" t="str">
        <f>IF(EXC.RATE_2=0,"",IFERROR(IF(CURRENCY.FORMAT_2=0,CONCATENATE(TEXT(FIXED(ROUND(IF(EXC.RATE.SWITCH=1,C588*(1-I588)*(1-ADD.DISCOUNT)*(1+MAT.SURCHARGE)/EXC.RATE_2,C588*(1-I588)*(1-ADD.DISCOUNT)*(1+MAT.SURCHARGE)*EXC.RATE_2),CURRENCY.FORMAT_2),CURRENCY.FORMAT_2,1),"# ##0;-# ##0"),",-"),FIXED(ROUND(IF(EXC.RATE.SWITCH=1,C588*(1-I588)*(1-ADD.DISCOUNT)*(1+MAT.SURCHARGE)/EXC.RATE_2,C588*(1-I588)*(1-ADD.DISCOUNT)*(1+MAT.SURCHARGE)*EXC.RATE_2),CURRENCY.FORMAT_2),CURRENCY.FORMAT_2,0)),'DICTIONARY-5'!$A$2))</f>
        <v/>
      </c>
      <c r="N588" s="496">
        <v>2</v>
      </c>
      <c r="O588" s="496"/>
      <c r="P588" s="731" t="str">
        <f>'DICTIONARY-3'!$A$11</f>
        <v>ZETA</v>
      </c>
      <c r="Q588" s="732" t="str">
        <f>'DICTIONARY-3'!$A$189</f>
        <v>Zasuwa nożowa</v>
      </c>
      <c r="R588" s="732" t="str">
        <f>CONCATENATE('DICTIONARY-3'!$A$11," ",'DICTIONARY-6'!$A$6," ",'DICTIONARY-5'!$A$35," ",'DICTIONARY-2'!$A$2,"600"," ",'DICTIONARY-2'!$A$3,"10"," ",'DICTIONARY-2'!$A$10,"6",'DICTIONARY-2'!$A$20,", ",'DICTIONARY-4'!$A$4," SA14.1")</f>
        <v>ZETA Zasuwa noż. A4 DN600 PN10 PS6bar, NE SA14.1</v>
      </c>
      <c r="S588" s="733" t="str">
        <f>'DICTIONARY-4'!$A$4</f>
        <v>NE</v>
      </c>
      <c r="T588" s="732" t="str">
        <f>'DICTIONARY-4'!$A$20</f>
        <v>Napęd elektryczny</v>
      </c>
      <c r="U588" s="734" t="s">
        <v>5757</v>
      </c>
      <c r="V588" s="735">
        <v>10</v>
      </c>
      <c r="W588" s="736"/>
      <c r="X588" s="737"/>
      <c r="Y588" s="738"/>
      <c r="Z588" s="739"/>
      <c r="AA588" s="739"/>
      <c r="AB588" s="740">
        <v>6</v>
      </c>
      <c r="AC588" s="741" t="str">
        <f>'DICTIONARY-5'!$A$11&amp;" 20"</f>
        <v>EN 558 szereg 20</v>
      </c>
      <c r="AD588" s="741" t="str">
        <f>'DICTIONARY-5'!$A$14</f>
        <v>ścieki</v>
      </c>
      <c r="AE588" s="742">
        <v>50</v>
      </c>
      <c r="AF588" s="743">
        <v>430</v>
      </c>
      <c r="AG588" s="741" t="str">
        <f>'DICTIONARY-5'!$A$23</f>
        <v>powłoka epoksydowa</v>
      </c>
    </row>
    <row r="589" spans="1:33" x14ac:dyDescent="0.25">
      <c r="A589" s="842" t="s">
        <v>566</v>
      </c>
      <c r="B589" s="842" t="s">
        <v>3230</v>
      </c>
      <c r="C589" s="836">
        <v>298</v>
      </c>
      <c r="D589" s="836"/>
      <c r="E589" s="836"/>
      <c r="F589" s="836"/>
      <c r="G589" s="496" t="s">
        <v>7796</v>
      </c>
      <c r="H589" s="797" t="str">
        <f>VLOOKUP(G589,SETTINGS!$B$7:$D$97,2,0)</f>
        <v>ZETA</v>
      </c>
      <c r="I589" s="796">
        <f>VLOOKUP(G589,SETTINGS!$B$7:$D$97,3,0)</f>
        <v>0</v>
      </c>
      <c r="J589" s="670" t="str">
        <f>IFERROR(IF(CURRENCY.FORMAT_1=0,CONCATENATE(TEXT(FIXED(ROUND((C589/EXC.RATE_1),CURRENCY.FORMAT_1),CURRENCY.FORMAT_1,1),"# ##0;-# ##0"),",-"),FIXED(ROUND((C589/EXC.RATE_1),CURRENCY.FORMAT_1),CURRENCY.FORMAT_1,0)),'DICTIONARY-5'!$A$2)</f>
        <v>298,-</v>
      </c>
      <c r="K589" s="670" t="str">
        <f>IF(EXC.RATE_2=0,"",IFERROR(IF(CURRENCY.FORMAT_2=0,CONCATENATE(TEXT(FIXED(ROUND(IF(EXC.RATE.SWITCH=1,C589/EXC.RATE_2,C589*EXC.RATE_2),CURRENCY.FORMAT_2),CURRENCY.FORMAT_2,1),"# ##0;-# ##0"),",-"),FIXED(ROUND(IF(EXC.RATE.SWITCH=1,C589/EXC.RATE_2,C589*EXC.RATE_2),CURRENCY.FORMAT_2),CURRENCY.FORMAT_2,0)),'DICTIONARY-5'!$A$2))</f>
        <v/>
      </c>
      <c r="L589" s="670" t="str">
        <f>IFERROR(IF(CURRENCY.FORMAT_1=0,CONCATENATE(TEXT(FIXED(ROUND((C589*(1-I589)*(1-ADD.DISCOUNT)*(1+MAT.SURCHARGE)/EXC.RATE_1),CURRENCY.FORMAT_1),CURRENCY.FORMAT_1,1),"# ##0;-# ##0"),",-"),FIXED(ROUND((C589*(1-I589)*(1-ADD.DISCOUNT)*(1+MAT.SURCHARGE)/EXC.RATE_1),CURRENCY.FORMAT_1),CURRENCY.FORMAT_1,0)),'DICTIONARY-5'!$A$2)</f>
        <v>310,-</v>
      </c>
      <c r="M589" s="670" t="str">
        <f>IF(EXC.RATE_2=0,"",IFERROR(IF(CURRENCY.FORMAT_2=0,CONCATENATE(TEXT(FIXED(ROUND(IF(EXC.RATE.SWITCH=1,C589*(1-I589)*(1-ADD.DISCOUNT)*(1+MAT.SURCHARGE)/EXC.RATE_2,C589*(1-I589)*(1-ADD.DISCOUNT)*(1+MAT.SURCHARGE)*EXC.RATE_2),CURRENCY.FORMAT_2),CURRENCY.FORMAT_2,1),"# ##0;-# ##0"),",-"),FIXED(ROUND(IF(EXC.RATE.SWITCH=1,C589*(1-I589)*(1-ADD.DISCOUNT)*(1+MAT.SURCHARGE)/EXC.RATE_2,C589*(1-I589)*(1-ADD.DISCOUNT)*(1+MAT.SURCHARGE)*EXC.RATE_2),CURRENCY.FORMAT_2),CURRENCY.FORMAT_2,0)),'DICTIONARY-5'!$A$2))</f>
        <v/>
      </c>
      <c r="N589" s="544">
        <v>2</v>
      </c>
      <c r="O589" s="544"/>
      <c r="P589" s="731" t="str">
        <f>'DICTIONARY-3'!$A$11</f>
        <v>ZETA</v>
      </c>
      <c r="Q589" s="732" t="str">
        <f>'DICTIONARY-3'!$A$189</f>
        <v>Zasuwa nożowa</v>
      </c>
      <c r="R589" s="732" t="str">
        <f>CONCATENATE('DICTIONARY-3'!$A$11," ",'DICTIONARY-6'!$A$6," ",'DICTIONARY-5'!$A$35," ",'DICTIONARY-2'!$A$2,"50"," ",'DICTIONARY-2'!$A$3,"10"," ",'DICTIONARY-2'!$A$10,"10",'DICTIONARY-2'!$A$20,", ",'DICTIONARY-4'!$A$12)</f>
        <v>ZETA Zasuwa noż. A4 DN50 PN10 PS10bar, PNP</v>
      </c>
      <c r="S589" s="733" t="str">
        <f>'DICTIONARY-4'!$A$12</f>
        <v>PNP</v>
      </c>
      <c r="T589" s="732" t="str">
        <f>'DICTIONARY-4'!$A$28</f>
        <v>Przygotowane pod napęd pneumatyczny</v>
      </c>
      <c r="U589" s="734" t="s">
        <v>5748</v>
      </c>
      <c r="V589" s="735">
        <v>10</v>
      </c>
      <c r="W589" s="736"/>
      <c r="X589" s="737"/>
      <c r="Y589" s="738"/>
      <c r="Z589" s="739"/>
      <c r="AA589" s="739"/>
      <c r="AB589" s="740">
        <v>10</v>
      </c>
      <c r="AC589" s="741" t="str">
        <f>'DICTIONARY-5'!$A$11&amp;" 20"</f>
        <v>EN 558 szereg 20</v>
      </c>
      <c r="AD589" s="741" t="str">
        <f>'DICTIONARY-5'!$A$14</f>
        <v>ścieki</v>
      </c>
      <c r="AE589" s="742">
        <v>50</v>
      </c>
      <c r="AF589" s="743">
        <v>9</v>
      </c>
      <c r="AG589" s="741" t="str">
        <f>'DICTIONARY-5'!$A$23</f>
        <v>powłoka epoksydowa</v>
      </c>
    </row>
    <row r="590" spans="1:33" x14ac:dyDescent="0.25">
      <c r="A590" s="842" t="s">
        <v>567</v>
      </c>
      <c r="B590" s="842" t="s">
        <v>3234</v>
      </c>
      <c r="C590" s="836">
        <v>305</v>
      </c>
      <c r="D590" s="836"/>
      <c r="E590" s="836"/>
      <c r="F590" s="836"/>
      <c r="G590" s="496" t="s">
        <v>7796</v>
      </c>
      <c r="H590" s="797" t="str">
        <f>VLOOKUP(G590,SETTINGS!$B$7:$D$97,2,0)</f>
        <v>ZETA</v>
      </c>
      <c r="I590" s="796">
        <f>VLOOKUP(G590,SETTINGS!$B$7:$D$97,3,0)</f>
        <v>0</v>
      </c>
      <c r="J590" s="670" t="str">
        <f>IFERROR(IF(CURRENCY.FORMAT_1=0,CONCATENATE(TEXT(FIXED(ROUND((C590/EXC.RATE_1),CURRENCY.FORMAT_1),CURRENCY.FORMAT_1,1),"# ##0;-# ##0"),",-"),FIXED(ROUND((C590/EXC.RATE_1),CURRENCY.FORMAT_1),CURRENCY.FORMAT_1,0)),'DICTIONARY-5'!$A$2)</f>
        <v>305,-</v>
      </c>
      <c r="K590" s="670" t="str">
        <f>IF(EXC.RATE_2=0,"",IFERROR(IF(CURRENCY.FORMAT_2=0,CONCATENATE(TEXT(FIXED(ROUND(IF(EXC.RATE.SWITCH=1,C590/EXC.RATE_2,C590*EXC.RATE_2),CURRENCY.FORMAT_2),CURRENCY.FORMAT_2,1),"# ##0;-# ##0"),",-"),FIXED(ROUND(IF(EXC.RATE.SWITCH=1,C590/EXC.RATE_2,C590*EXC.RATE_2),CURRENCY.FORMAT_2),CURRENCY.FORMAT_2,0)),'DICTIONARY-5'!$A$2))</f>
        <v/>
      </c>
      <c r="L590" s="670" t="str">
        <f>IFERROR(IF(CURRENCY.FORMAT_1=0,CONCATENATE(TEXT(FIXED(ROUND((C590*(1-I590)*(1-ADD.DISCOUNT)*(1+MAT.SURCHARGE)/EXC.RATE_1),CURRENCY.FORMAT_1),CURRENCY.FORMAT_1,1),"# ##0;-# ##0"),",-"),FIXED(ROUND((C590*(1-I590)*(1-ADD.DISCOUNT)*(1+MAT.SURCHARGE)/EXC.RATE_1),CURRENCY.FORMAT_1),CURRENCY.FORMAT_1,0)),'DICTIONARY-5'!$A$2)</f>
        <v>317,-</v>
      </c>
      <c r="M590" s="670" t="str">
        <f>IF(EXC.RATE_2=0,"",IFERROR(IF(CURRENCY.FORMAT_2=0,CONCATENATE(TEXT(FIXED(ROUND(IF(EXC.RATE.SWITCH=1,C590*(1-I590)*(1-ADD.DISCOUNT)*(1+MAT.SURCHARGE)/EXC.RATE_2,C590*(1-I590)*(1-ADD.DISCOUNT)*(1+MAT.SURCHARGE)*EXC.RATE_2),CURRENCY.FORMAT_2),CURRENCY.FORMAT_2,1),"# ##0;-# ##0"),",-"),FIXED(ROUND(IF(EXC.RATE.SWITCH=1,C590*(1-I590)*(1-ADD.DISCOUNT)*(1+MAT.SURCHARGE)/EXC.RATE_2,C590*(1-I590)*(1-ADD.DISCOUNT)*(1+MAT.SURCHARGE)*EXC.RATE_2),CURRENCY.FORMAT_2),CURRENCY.FORMAT_2,0)),'DICTIONARY-5'!$A$2))</f>
        <v/>
      </c>
      <c r="N590" s="544">
        <v>2</v>
      </c>
      <c r="O590" s="544"/>
      <c r="P590" s="731" t="str">
        <f>'DICTIONARY-3'!$A$11</f>
        <v>ZETA</v>
      </c>
      <c r="Q590" s="732" t="str">
        <f>'DICTIONARY-3'!$A$189</f>
        <v>Zasuwa nożowa</v>
      </c>
      <c r="R590" s="732" t="str">
        <f>CONCATENATE('DICTIONARY-3'!$A$11," ",'DICTIONARY-6'!$A$6," ",'DICTIONARY-5'!$A$35," ",'DICTIONARY-2'!$A$2,"65"," ",'DICTIONARY-2'!$A$3,"10"," ",'DICTIONARY-2'!$A$10,"10",'DICTIONARY-2'!$A$20,", ",'DICTIONARY-4'!$A$12)</f>
        <v>ZETA Zasuwa noż. A4 DN65 PN10 PS10bar, PNP</v>
      </c>
      <c r="S590" s="733" t="str">
        <f>'DICTIONARY-4'!$A$12</f>
        <v>PNP</v>
      </c>
      <c r="T590" s="732" t="str">
        <f>'DICTIONARY-4'!$A$28</f>
        <v>Przygotowane pod napęd pneumatyczny</v>
      </c>
      <c r="U590" s="734" t="s">
        <v>5759</v>
      </c>
      <c r="V590" s="735">
        <v>10</v>
      </c>
      <c r="W590" s="736"/>
      <c r="X590" s="737"/>
      <c r="Y590" s="738"/>
      <c r="Z590" s="739"/>
      <c r="AA590" s="739"/>
      <c r="AB590" s="740">
        <v>10</v>
      </c>
      <c r="AC590" s="741" t="str">
        <f>'DICTIONARY-5'!$A$11&amp;" 20"</f>
        <v>EN 558 szereg 20</v>
      </c>
      <c r="AD590" s="741" t="str">
        <f>'DICTIONARY-5'!$A$14</f>
        <v>ścieki</v>
      </c>
      <c r="AE590" s="742">
        <v>50</v>
      </c>
      <c r="AF590" s="743">
        <v>9</v>
      </c>
      <c r="AG590" s="741" t="str">
        <f>'DICTIONARY-5'!$A$23</f>
        <v>powłoka epoksydowa</v>
      </c>
    </row>
    <row r="591" spans="1:33" x14ac:dyDescent="0.25">
      <c r="A591" s="842" t="s">
        <v>568</v>
      </c>
      <c r="B591" s="842" t="s">
        <v>3238</v>
      </c>
      <c r="C591" s="836">
        <v>345</v>
      </c>
      <c r="D591" s="836"/>
      <c r="E591" s="836"/>
      <c r="F591" s="836"/>
      <c r="G591" s="496" t="s">
        <v>7796</v>
      </c>
      <c r="H591" s="797" t="str">
        <f>VLOOKUP(G591,SETTINGS!$B$7:$D$97,2,0)</f>
        <v>ZETA</v>
      </c>
      <c r="I591" s="796">
        <f>VLOOKUP(G591,SETTINGS!$B$7:$D$97,3,0)</f>
        <v>0</v>
      </c>
      <c r="J591" s="670" t="str">
        <f>IFERROR(IF(CURRENCY.FORMAT_1=0,CONCATENATE(TEXT(FIXED(ROUND((C591/EXC.RATE_1),CURRENCY.FORMAT_1),CURRENCY.FORMAT_1,1),"# ##0;-# ##0"),",-"),FIXED(ROUND((C591/EXC.RATE_1),CURRENCY.FORMAT_1),CURRENCY.FORMAT_1,0)),'DICTIONARY-5'!$A$2)</f>
        <v>345,-</v>
      </c>
      <c r="K591" s="670" t="str">
        <f>IF(EXC.RATE_2=0,"",IFERROR(IF(CURRENCY.FORMAT_2=0,CONCATENATE(TEXT(FIXED(ROUND(IF(EXC.RATE.SWITCH=1,C591/EXC.RATE_2,C591*EXC.RATE_2),CURRENCY.FORMAT_2),CURRENCY.FORMAT_2,1),"# ##0;-# ##0"),",-"),FIXED(ROUND(IF(EXC.RATE.SWITCH=1,C591/EXC.RATE_2,C591*EXC.RATE_2),CURRENCY.FORMAT_2),CURRENCY.FORMAT_2,0)),'DICTIONARY-5'!$A$2))</f>
        <v/>
      </c>
      <c r="L591" s="670" t="str">
        <f>IFERROR(IF(CURRENCY.FORMAT_1=0,CONCATENATE(TEXT(FIXED(ROUND((C591*(1-I591)*(1-ADD.DISCOUNT)*(1+MAT.SURCHARGE)/EXC.RATE_1),CURRENCY.FORMAT_1),CURRENCY.FORMAT_1,1),"# ##0;-# ##0"),",-"),FIXED(ROUND((C591*(1-I591)*(1-ADD.DISCOUNT)*(1+MAT.SURCHARGE)/EXC.RATE_1),CURRENCY.FORMAT_1),CURRENCY.FORMAT_1,0)),'DICTIONARY-5'!$A$2)</f>
        <v>358,-</v>
      </c>
      <c r="M591" s="670" t="str">
        <f>IF(EXC.RATE_2=0,"",IFERROR(IF(CURRENCY.FORMAT_2=0,CONCATENATE(TEXT(FIXED(ROUND(IF(EXC.RATE.SWITCH=1,C591*(1-I591)*(1-ADD.DISCOUNT)*(1+MAT.SURCHARGE)/EXC.RATE_2,C591*(1-I591)*(1-ADD.DISCOUNT)*(1+MAT.SURCHARGE)*EXC.RATE_2),CURRENCY.FORMAT_2),CURRENCY.FORMAT_2,1),"# ##0;-# ##0"),",-"),FIXED(ROUND(IF(EXC.RATE.SWITCH=1,C591*(1-I591)*(1-ADD.DISCOUNT)*(1+MAT.SURCHARGE)/EXC.RATE_2,C591*(1-I591)*(1-ADD.DISCOUNT)*(1+MAT.SURCHARGE)*EXC.RATE_2),CURRENCY.FORMAT_2),CURRENCY.FORMAT_2,0)),'DICTIONARY-5'!$A$2))</f>
        <v/>
      </c>
      <c r="N591" s="544">
        <v>2</v>
      </c>
      <c r="O591" s="544"/>
      <c r="P591" s="731" t="str">
        <f>'DICTIONARY-3'!$A$11</f>
        <v>ZETA</v>
      </c>
      <c r="Q591" s="732" t="str">
        <f>'DICTIONARY-3'!$A$189</f>
        <v>Zasuwa nożowa</v>
      </c>
      <c r="R591" s="732" t="str">
        <f>CONCATENATE('DICTIONARY-3'!$A$11," ",'DICTIONARY-6'!$A$6," ",'DICTIONARY-5'!$A$35," ",'DICTIONARY-2'!$A$2,"80"," ",'DICTIONARY-2'!$A$3,"10"," ",'DICTIONARY-2'!$A$10,"10",'DICTIONARY-2'!$A$20,", ",'DICTIONARY-4'!$A$12)</f>
        <v>ZETA Zasuwa noż. A4 DN80 PN10 PS10bar, PNP</v>
      </c>
      <c r="S591" s="733" t="str">
        <f>'DICTIONARY-4'!$A$12</f>
        <v>PNP</v>
      </c>
      <c r="T591" s="732" t="str">
        <f>'DICTIONARY-4'!$A$28</f>
        <v>Przygotowane pod napęd pneumatyczny</v>
      </c>
      <c r="U591" s="734" t="s">
        <v>5760</v>
      </c>
      <c r="V591" s="735">
        <v>10</v>
      </c>
      <c r="W591" s="736"/>
      <c r="X591" s="737"/>
      <c r="Y591" s="738"/>
      <c r="Z591" s="739"/>
      <c r="AA591" s="739"/>
      <c r="AB591" s="740">
        <v>10</v>
      </c>
      <c r="AC591" s="741" t="str">
        <f>'DICTIONARY-5'!$A$11&amp;" 20"</f>
        <v>EN 558 szereg 20</v>
      </c>
      <c r="AD591" s="741" t="str">
        <f>'DICTIONARY-5'!$A$14</f>
        <v>ścieki</v>
      </c>
      <c r="AE591" s="742">
        <v>50</v>
      </c>
      <c r="AF591" s="743">
        <v>11</v>
      </c>
      <c r="AG591" s="741" t="str">
        <f>'DICTIONARY-5'!$A$23</f>
        <v>powłoka epoksydowa</v>
      </c>
    </row>
    <row r="592" spans="1:33" x14ac:dyDescent="0.25">
      <c r="A592" s="842" t="s">
        <v>569</v>
      </c>
      <c r="B592" s="842" t="s">
        <v>3242</v>
      </c>
      <c r="C592" s="836">
        <v>378</v>
      </c>
      <c r="D592" s="836"/>
      <c r="E592" s="836"/>
      <c r="F592" s="836"/>
      <c r="G592" s="496" t="s">
        <v>7796</v>
      </c>
      <c r="H592" s="797" t="str">
        <f>VLOOKUP(G592,SETTINGS!$B$7:$D$97,2,0)</f>
        <v>ZETA</v>
      </c>
      <c r="I592" s="796">
        <f>VLOOKUP(G592,SETTINGS!$B$7:$D$97,3,0)</f>
        <v>0</v>
      </c>
      <c r="J592" s="670" t="str">
        <f>IFERROR(IF(CURRENCY.FORMAT_1=0,CONCATENATE(TEXT(FIXED(ROUND((C592/EXC.RATE_1),CURRENCY.FORMAT_1),CURRENCY.FORMAT_1,1),"# ##0;-# ##0"),",-"),FIXED(ROUND((C592/EXC.RATE_1),CURRENCY.FORMAT_1),CURRENCY.FORMAT_1,0)),'DICTIONARY-5'!$A$2)</f>
        <v>378,-</v>
      </c>
      <c r="K592" s="670" t="str">
        <f>IF(EXC.RATE_2=0,"",IFERROR(IF(CURRENCY.FORMAT_2=0,CONCATENATE(TEXT(FIXED(ROUND(IF(EXC.RATE.SWITCH=1,C592/EXC.RATE_2,C592*EXC.RATE_2),CURRENCY.FORMAT_2),CURRENCY.FORMAT_2,1),"# ##0;-# ##0"),",-"),FIXED(ROUND(IF(EXC.RATE.SWITCH=1,C592/EXC.RATE_2,C592*EXC.RATE_2),CURRENCY.FORMAT_2),CURRENCY.FORMAT_2,0)),'DICTIONARY-5'!$A$2))</f>
        <v/>
      </c>
      <c r="L592" s="670" t="str">
        <f>IFERROR(IF(CURRENCY.FORMAT_1=0,CONCATENATE(TEXT(FIXED(ROUND((C592*(1-I592)*(1-ADD.DISCOUNT)*(1+MAT.SURCHARGE)/EXC.RATE_1),CURRENCY.FORMAT_1),CURRENCY.FORMAT_1,1),"# ##0;-# ##0"),",-"),FIXED(ROUND((C592*(1-I592)*(1-ADD.DISCOUNT)*(1+MAT.SURCHARGE)/EXC.RATE_1),CURRENCY.FORMAT_1),CURRENCY.FORMAT_1,0)),'DICTIONARY-5'!$A$2)</f>
        <v>393,-</v>
      </c>
      <c r="M592" s="670" t="str">
        <f>IF(EXC.RATE_2=0,"",IFERROR(IF(CURRENCY.FORMAT_2=0,CONCATENATE(TEXT(FIXED(ROUND(IF(EXC.RATE.SWITCH=1,C592*(1-I592)*(1-ADD.DISCOUNT)*(1+MAT.SURCHARGE)/EXC.RATE_2,C592*(1-I592)*(1-ADD.DISCOUNT)*(1+MAT.SURCHARGE)*EXC.RATE_2),CURRENCY.FORMAT_2),CURRENCY.FORMAT_2,1),"# ##0;-# ##0"),",-"),FIXED(ROUND(IF(EXC.RATE.SWITCH=1,C592*(1-I592)*(1-ADD.DISCOUNT)*(1+MAT.SURCHARGE)/EXC.RATE_2,C592*(1-I592)*(1-ADD.DISCOUNT)*(1+MAT.SURCHARGE)*EXC.RATE_2),CURRENCY.FORMAT_2),CURRENCY.FORMAT_2,0)),'DICTIONARY-5'!$A$2))</f>
        <v/>
      </c>
      <c r="N592" s="544">
        <v>2</v>
      </c>
      <c r="O592" s="544"/>
      <c r="P592" s="731" t="str">
        <f>'DICTIONARY-3'!$A$11</f>
        <v>ZETA</v>
      </c>
      <c r="Q592" s="732" t="str">
        <f>'DICTIONARY-3'!$A$189</f>
        <v>Zasuwa nożowa</v>
      </c>
      <c r="R592" s="732" t="str">
        <f>CONCATENATE('DICTIONARY-3'!$A$11," ",'DICTIONARY-6'!$A$6," ",'DICTIONARY-5'!$A$35," ",'DICTIONARY-2'!$A$2,"100"," ",'DICTIONARY-2'!$A$3,"10"," ",'DICTIONARY-2'!$A$10,"10",'DICTIONARY-2'!$A$20,", ",'DICTIONARY-4'!$A$12)</f>
        <v>ZETA Zasuwa noż. A4 DN100 PN10 PS10bar, PNP</v>
      </c>
      <c r="S592" s="733" t="str">
        <f>'DICTIONARY-4'!$A$12</f>
        <v>PNP</v>
      </c>
      <c r="T592" s="732" t="str">
        <f>'DICTIONARY-4'!$A$28</f>
        <v>Przygotowane pod napęd pneumatyczny</v>
      </c>
      <c r="U592" s="734" t="s">
        <v>5749</v>
      </c>
      <c r="V592" s="735">
        <v>10</v>
      </c>
      <c r="W592" s="736"/>
      <c r="X592" s="737"/>
      <c r="Y592" s="738"/>
      <c r="Z592" s="739"/>
      <c r="AA592" s="739"/>
      <c r="AB592" s="740">
        <v>10</v>
      </c>
      <c r="AC592" s="741" t="str">
        <f>'DICTIONARY-5'!$A$11&amp;" 20"</f>
        <v>EN 558 szereg 20</v>
      </c>
      <c r="AD592" s="741" t="str">
        <f>'DICTIONARY-5'!$A$14</f>
        <v>ścieki</v>
      </c>
      <c r="AE592" s="742">
        <v>50</v>
      </c>
      <c r="AF592" s="743">
        <v>14</v>
      </c>
      <c r="AG592" s="741" t="str">
        <f>'DICTIONARY-5'!$A$23</f>
        <v>powłoka epoksydowa</v>
      </c>
    </row>
    <row r="593" spans="1:33" x14ac:dyDescent="0.25">
      <c r="A593" s="842" t="s">
        <v>570</v>
      </c>
      <c r="B593" s="842" t="s">
        <v>3246</v>
      </c>
      <c r="C593" s="836">
        <v>445</v>
      </c>
      <c r="D593" s="836"/>
      <c r="E593" s="836"/>
      <c r="F593" s="836"/>
      <c r="G593" s="496" t="s">
        <v>7796</v>
      </c>
      <c r="H593" s="797" t="str">
        <f>VLOOKUP(G593,SETTINGS!$B$7:$D$97,2,0)</f>
        <v>ZETA</v>
      </c>
      <c r="I593" s="796">
        <f>VLOOKUP(G593,SETTINGS!$B$7:$D$97,3,0)</f>
        <v>0</v>
      </c>
      <c r="J593" s="670" t="str">
        <f>IFERROR(IF(CURRENCY.FORMAT_1=0,CONCATENATE(TEXT(FIXED(ROUND((C593/EXC.RATE_1),CURRENCY.FORMAT_1),CURRENCY.FORMAT_1,1),"# ##0;-# ##0"),",-"),FIXED(ROUND((C593/EXC.RATE_1),CURRENCY.FORMAT_1),CURRENCY.FORMAT_1,0)),'DICTIONARY-5'!$A$2)</f>
        <v>445,-</v>
      </c>
      <c r="K593" s="670" t="str">
        <f>IF(EXC.RATE_2=0,"",IFERROR(IF(CURRENCY.FORMAT_2=0,CONCATENATE(TEXT(FIXED(ROUND(IF(EXC.RATE.SWITCH=1,C593/EXC.RATE_2,C593*EXC.RATE_2),CURRENCY.FORMAT_2),CURRENCY.FORMAT_2,1),"# ##0;-# ##0"),",-"),FIXED(ROUND(IF(EXC.RATE.SWITCH=1,C593/EXC.RATE_2,C593*EXC.RATE_2),CURRENCY.FORMAT_2),CURRENCY.FORMAT_2,0)),'DICTIONARY-5'!$A$2))</f>
        <v/>
      </c>
      <c r="L593" s="670" t="str">
        <f>IFERROR(IF(CURRENCY.FORMAT_1=0,CONCATENATE(TEXT(FIXED(ROUND((C593*(1-I593)*(1-ADD.DISCOUNT)*(1+MAT.SURCHARGE)/EXC.RATE_1),CURRENCY.FORMAT_1),CURRENCY.FORMAT_1,1),"# ##0;-# ##0"),",-"),FIXED(ROUND((C593*(1-I593)*(1-ADD.DISCOUNT)*(1+MAT.SURCHARGE)/EXC.RATE_1),CURRENCY.FORMAT_1),CURRENCY.FORMAT_1,0)),'DICTIONARY-5'!$A$2)</f>
        <v>462,-</v>
      </c>
      <c r="M593" s="670" t="str">
        <f>IF(EXC.RATE_2=0,"",IFERROR(IF(CURRENCY.FORMAT_2=0,CONCATENATE(TEXT(FIXED(ROUND(IF(EXC.RATE.SWITCH=1,C593*(1-I593)*(1-ADD.DISCOUNT)*(1+MAT.SURCHARGE)/EXC.RATE_2,C593*(1-I593)*(1-ADD.DISCOUNT)*(1+MAT.SURCHARGE)*EXC.RATE_2),CURRENCY.FORMAT_2),CURRENCY.FORMAT_2,1),"# ##0;-# ##0"),",-"),FIXED(ROUND(IF(EXC.RATE.SWITCH=1,C593*(1-I593)*(1-ADD.DISCOUNT)*(1+MAT.SURCHARGE)/EXC.RATE_2,C593*(1-I593)*(1-ADD.DISCOUNT)*(1+MAT.SURCHARGE)*EXC.RATE_2),CURRENCY.FORMAT_2),CURRENCY.FORMAT_2,0)),'DICTIONARY-5'!$A$2))</f>
        <v/>
      </c>
      <c r="N593" s="544">
        <v>2</v>
      </c>
      <c r="O593" s="544"/>
      <c r="P593" s="731" t="str">
        <f>'DICTIONARY-3'!$A$11</f>
        <v>ZETA</v>
      </c>
      <c r="Q593" s="732" t="str">
        <f>'DICTIONARY-3'!$A$189</f>
        <v>Zasuwa nożowa</v>
      </c>
      <c r="R593" s="732" t="str">
        <f>CONCATENATE('DICTIONARY-3'!$A$11," ",'DICTIONARY-6'!$A$6," ",'DICTIONARY-5'!$A$35," ",'DICTIONARY-2'!$A$2,"125"," ",'DICTIONARY-2'!$A$3,"10"," ",'DICTIONARY-2'!$A$10,"10",'DICTIONARY-2'!$A$20,", ",'DICTIONARY-4'!$A$12)</f>
        <v>ZETA Zasuwa noż. A4 DN125 PN10 PS10bar, PNP</v>
      </c>
      <c r="S593" s="733" t="str">
        <f>'DICTIONARY-4'!$A$12</f>
        <v>PNP</v>
      </c>
      <c r="T593" s="732" t="str">
        <f>'DICTIONARY-4'!$A$28</f>
        <v>Przygotowane pod napęd pneumatyczny</v>
      </c>
      <c r="U593" s="734" t="s">
        <v>5761</v>
      </c>
      <c r="V593" s="735">
        <v>10</v>
      </c>
      <c r="W593" s="736"/>
      <c r="X593" s="737"/>
      <c r="Y593" s="738"/>
      <c r="Z593" s="739"/>
      <c r="AA593" s="739"/>
      <c r="AB593" s="740">
        <v>10</v>
      </c>
      <c r="AC593" s="741" t="str">
        <f>'DICTIONARY-5'!$A$11&amp;" 20"</f>
        <v>EN 558 szereg 20</v>
      </c>
      <c r="AD593" s="741" t="str">
        <f>'DICTIONARY-5'!$A$14</f>
        <v>ścieki</v>
      </c>
      <c r="AE593" s="742">
        <v>50</v>
      </c>
      <c r="AF593" s="743">
        <v>22</v>
      </c>
      <c r="AG593" s="741" t="str">
        <f>'DICTIONARY-5'!$A$23</f>
        <v>powłoka epoksydowa</v>
      </c>
    </row>
    <row r="594" spans="1:33" x14ac:dyDescent="0.25">
      <c r="A594" s="842" t="s">
        <v>571</v>
      </c>
      <c r="B594" s="842" t="s">
        <v>3250</v>
      </c>
      <c r="C594" s="836">
        <v>553</v>
      </c>
      <c r="D594" s="836"/>
      <c r="E594" s="836"/>
      <c r="F594" s="836"/>
      <c r="G594" s="496" t="s">
        <v>7796</v>
      </c>
      <c r="H594" s="797" t="str">
        <f>VLOOKUP(G594,SETTINGS!$B$7:$D$97,2,0)</f>
        <v>ZETA</v>
      </c>
      <c r="I594" s="796">
        <f>VLOOKUP(G594,SETTINGS!$B$7:$D$97,3,0)</f>
        <v>0</v>
      </c>
      <c r="J594" s="670" t="str">
        <f>IFERROR(IF(CURRENCY.FORMAT_1=0,CONCATENATE(TEXT(FIXED(ROUND((C594/EXC.RATE_1),CURRENCY.FORMAT_1),CURRENCY.FORMAT_1,1),"# ##0;-# ##0"),",-"),FIXED(ROUND((C594/EXC.RATE_1),CURRENCY.FORMAT_1),CURRENCY.FORMAT_1,0)),'DICTIONARY-5'!$A$2)</f>
        <v>553,-</v>
      </c>
      <c r="K594" s="670" t="str">
        <f>IF(EXC.RATE_2=0,"",IFERROR(IF(CURRENCY.FORMAT_2=0,CONCATENATE(TEXT(FIXED(ROUND(IF(EXC.RATE.SWITCH=1,C594/EXC.RATE_2,C594*EXC.RATE_2),CURRENCY.FORMAT_2),CURRENCY.FORMAT_2,1),"# ##0;-# ##0"),",-"),FIXED(ROUND(IF(EXC.RATE.SWITCH=1,C594/EXC.RATE_2,C594*EXC.RATE_2),CURRENCY.FORMAT_2),CURRENCY.FORMAT_2,0)),'DICTIONARY-5'!$A$2))</f>
        <v/>
      </c>
      <c r="L594" s="670" t="str">
        <f>IFERROR(IF(CURRENCY.FORMAT_1=0,CONCATENATE(TEXT(FIXED(ROUND((C594*(1-I594)*(1-ADD.DISCOUNT)*(1+MAT.SURCHARGE)/EXC.RATE_1),CURRENCY.FORMAT_1),CURRENCY.FORMAT_1,1),"# ##0;-# ##0"),",-"),FIXED(ROUND((C594*(1-I594)*(1-ADD.DISCOUNT)*(1+MAT.SURCHARGE)/EXC.RATE_1),CURRENCY.FORMAT_1),CURRENCY.FORMAT_1,0)),'DICTIONARY-5'!$A$2)</f>
        <v>575,-</v>
      </c>
      <c r="M594" s="670" t="str">
        <f>IF(EXC.RATE_2=0,"",IFERROR(IF(CURRENCY.FORMAT_2=0,CONCATENATE(TEXT(FIXED(ROUND(IF(EXC.RATE.SWITCH=1,C594*(1-I594)*(1-ADD.DISCOUNT)*(1+MAT.SURCHARGE)/EXC.RATE_2,C594*(1-I594)*(1-ADD.DISCOUNT)*(1+MAT.SURCHARGE)*EXC.RATE_2),CURRENCY.FORMAT_2),CURRENCY.FORMAT_2,1),"# ##0;-# ##0"),",-"),FIXED(ROUND(IF(EXC.RATE.SWITCH=1,C594*(1-I594)*(1-ADD.DISCOUNT)*(1+MAT.SURCHARGE)/EXC.RATE_2,C594*(1-I594)*(1-ADD.DISCOUNT)*(1+MAT.SURCHARGE)*EXC.RATE_2),CURRENCY.FORMAT_2),CURRENCY.FORMAT_2,0)),'DICTIONARY-5'!$A$2))</f>
        <v/>
      </c>
      <c r="N594" s="544">
        <v>2</v>
      </c>
      <c r="O594" s="544"/>
      <c r="P594" s="731" t="str">
        <f>'DICTIONARY-3'!$A$11</f>
        <v>ZETA</v>
      </c>
      <c r="Q594" s="732" t="str">
        <f>'DICTIONARY-3'!$A$189</f>
        <v>Zasuwa nożowa</v>
      </c>
      <c r="R594" s="732" t="str">
        <f>CONCATENATE('DICTIONARY-3'!$A$11," ",'DICTIONARY-6'!$A$6," ",'DICTIONARY-5'!$A$35," ",'DICTIONARY-2'!$A$2,"150"," ",'DICTIONARY-2'!$A$3,"10"," ",'DICTIONARY-2'!$A$10,"10",'DICTIONARY-2'!$A$20,", ",'DICTIONARY-4'!$A$12)</f>
        <v>ZETA Zasuwa noż. A4 DN150 PN10 PS10bar, PNP</v>
      </c>
      <c r="S594" s="733" t="str">
        <f>'DICTIONARY-4'!$A$12</f>
        <v>PNP</v>
      </c>
      <c r="T594" s="732" t="str">
        <f>'DICTIONARY-4'!$A$28</f>
        <v>Przygotowane pod napęd pneumatyczny</v>
      </c>
      <c r="U594" s="734" t="s">
        <v>5572</v>
      </c>
      <c r="V594" s="735">
        <v>10</v>
      </c>
      <c r="W594" s="736"/>
      <c r="X594" s="737"/>
      <c r="Y594" s="738"/>
      <c r="Z594" s="739"/>
      <c r="AA594" s="739"/>
      <c r="AB594" s="740">
        <v>10</v>
      </c>
      <c r="AC594" s="741" t="str">
        <f>'DICTIONARY-5'!$A$11&amp;" 20"</f>
        <v>EN 558 szereg 20</v>
      </c>
      <c r="AD594" s="741" t="str">
        <f>'DICTIONARY-5'!$A$14</f>
        <v>ścieki</v>
      </c>
      <c r="AE594" s="742">
        <v>50</v>
      </c>
      <c r="AF594" s="743">
        <v>19</v>
      </c>
      <c r="AG594" s="741" t="str">
        <f>'DICTIONARY-5'!$A$23</f>
        <v>powłoka epoksydowa</v>
      </c>
    </row>
    <row r="595" spans="1:33" x14ac:dyDescent="0.25">
      <c r="A595" s="842" t="s">
        <v>572</v>
      </c>
      <c r="B595" s="842" t="s">
        <v>3202</v>
      </c>
      <c r="C595" s="836">
        <v>692</v>
      </c>
      <c r="D595" s="836"/>
      <c r="E595" s="836"/>
      <c r="F595" s="836"/>
      <c r="G595" s="496" t="s">
        <v>7796</v>
      </c>
      <c r="H595" s="797" t="str">
        <f>VLOOKUP(G595,SETTINGS!$B$7:$D$97,2,0)</f>
        <v>ZETA</v>
      </c>
      <c r="I595" s="796">
        <f>VLOOKUP(G595,SETTINGS!$B$7:$D$97,3,0)</f>
        <v>0</v>
      </c>
      <c r="J595" s="670" t="str">
        <f>IFERROR(IF(CURRENCY.FORMAT_1=0,CONCATENATE(TEXT(FIXED(ROUND((C595/EXC.RATE_1),CURRENCY.FORMAT_1),CURRENCY.FORMAT_1,1),"# ##0;-# ##0"),",-"),FIXED(ROUND((C595/EXC.RATE_1),CURRENCY.FORMAT_1),CURRENCY.FORMAT_1,0)),'DICTIONARY-5'!$A$2)</f>
        <v>692,-</v>
      </c>
      <c r="K595" s="670" t="str">
        <f>IF(EXC.RATE_2=0,"",IFERROR(IF(CURRENCY.FORMAT_2=0,CONCATENATE(TEXT(FIXED(ROUND(IF(EXC.RATE.SWITCH=1,C595/EXC.RATE_2,C595*EXC.RATE_2),CURRENCY.FORMAT_2),CURRENCY.FORMAT_2,1),"# ##0;-# ##0"),",-"),FIXED(ROUND(IF(EXC.RATE.SWITCH=1,C595/EXC.RATE_2,C595*EXC.RATE_2),CURRENCY.FORMAT_2),CURRENCY.FORMAT_2,0)),'DICTIONARY-5'!$A$2))</f>
        <v/>
      </c>
      <c r="L595" s="670" t="str">
        <f>IFERROR(IF(CURRENCY.FORMAT_1=0,CONCATENATE(TEXT(FIXED(ROUND((C595*(1-I595)*(1-ADD.DISCOUNT)*(1+MAT.SURCHARGE)/EXC.RATE_1),CURRENCY.FORMAT_1),CURRENCY.FORMAT_1,1),"# ##0;-# ##0"),",-"),FIXED(ROUND((C595*(1-I595)*(1-ADD.DISCOUNT)*(1+MAT.SURCHARGE)/EXC.RATE_1),CURRENCY.FORMAT_1),CURRENCY.FORMAT_1,0)),'DICTIONARY-5'!$A$2)</f>
        <v>719,-</v>
      </c>
      <c r="M595" s="670" t="str">
        <f>IF(EXC.RATE_2=0,"",IFERROR(IF(CURRENCY.FORMAT_2=0,CONCATENATE(TEXT(FIXED(ROUND(IF(EXC.RATE.SWITCH=1,C595*(1-I595)*(1-ADD.DISCOUNT)*(1+MAT.SURCHARGE)/EXC.RATE_2,C595*(1-I595)*(1-ADD.DISCOUNT)*(1+MAT.SURCHARGE)*EXC.RATE_2),CURRENCY.FORMAT_2),CURRENCY.FORMAT_2,1),"# ##0;-# ##0"),",-"),FIXED(ROUND(IF(EXC.RATE.SWITCH=1,C595*(1-I595)*(1-ADD.DISCOUNT)*(1+MAT.SURCHARGE)/EXC.RATE_2,C595*(1-I595)*(1-ADD.DISCOUNT)*(1+MAT.SURCHARGE)*EXC.RATE_2),CURRENCY.FORMAT_2),CURRENCY.FORMAT_2,0)),'DICTIONARY-5'!$A$2))</f>
        <v/>
      </c>
      <c r="N595" s="544">
        <v>2</v>
      </c>
      <c r="O595" s="544"/>
      <c r="P595" s="731" t="str">
        <f>'DICTIONARY-3'!$A$11</f>
        <v>ZETA</v>
      </c>
      <c r="Q595" s="732" t="str">
        <f>'DICTIONARY-3'!$A$189</f>
        <v>Zasuwa nożowa</v>
      </c>
      <c r="R595" s="732" t="str">
        <f>CONCATENATE('DICTIONARY-3'!$A$11," ",'DICTIONARY-6'!$A$6," ",'DICTIONARY-5'!$A$34," ",'DICTIONARY-2'!$A$2,"200"," ",'DICTIONARY-2'!$A$3,"10"," ",'DICTIONARY-2'!$A$10,"10",'DICTIONARY-2'!$A$20,", ",'DICTIONARY-4'!$A$12)</f>
        <v>ZETA Zasuwa noż. A2 DN200 PN10 PS10bar, PNP</v>
      </c>
      <c r="S595" s="733" t="str">
        <f>'DICTIONARY-4'!$A$12</f>
        <v>PNP</v>
      </c>
      <c r="T595" s="732" t="str">
        <f>'DICTIONARY-4'!$A$28</f>
        <v>Przygotowane pod napęd pneumatyczny</v>
      </c>
      <c r="U595" s="734" t="s">
        <v>5750</v>
      </c>
      <c r="V595" s="735">
        <v>10</v>
      </c>
      <c r="W595" s="736"/>
      <c r="X595" s="737"/>
      <c r="Y595" s="738"/>
      <c r="Z595" s="739"/>
      <c r="AA595" s="739"/>
      <c r="AB595" s="740">
        <v>10</v>
      </c>
      <c r="AC595" s="741" t="str">
        <f>'DICTIONARY-5'!$A$11&amp;" 20"</f>
        <v>EN 558 szereg 20</v>
      </c>
      <c r="AD595" s="741" t="str">
        <f>'DICTIONARY-5'!$A$14</f>
        <v>ścieki</v>
      </c>
      <c r="AE595" s="742">
        <v>50</v>
      </c>
      <c r="AF595" s="743">
        <v>34</v>
      </c>
      <c r="AG595" s="741" t="str">
        <f>'DICTIONARY-5'!$A$23</f>
        <v>powłoka epoksydowa</v>
      </c>
    </row>
    <row r="596" spans="1:33" x14ac:dyDescent="0.25">
      <c r="A596" s="842" t="s">
        <v>573</v>
      </c>
      <c r="B596" s="842" t="s">
        <v>3206</v>
      </c>
      <c r="C596" s="836">
        <v>1032</v>
      </c>
      <c r="D596" s="836"/>
      <c r="E596" s="836"/>
      <c r="F596" s="836"/>
      <c r="G596" s="496" t="s">
        <v>7796</v>
      </c>
      <c r="H596" s="797" t="str">
        <f>VLOOKUP(G596,SETTINGS!$B$7:$D$97,2,0)</f>
        <v>ZETA</v>
      </c>
      <c r="I596" s="796">
        <f>VLOOKUP(G596,SETTINGS!$B$7:$D$97,3,0)</f>
        <v>0</v>
      </c>
      <c r="J596" s="670" t="str">
        <f>IFERROR(IF(CURRENCY.FORMAT_1=0,CONCATENATE(TEXT(FIXED(ROUND((C596/EXC.RATE_1),CURRENCY.FORMAT_1),CURRENCY.FORMAT_1,1),"# ##0;-# ##0"),",-"),FIXED(ROUND((C596/EXC.RATE_1),CURRENCY.FORMAT_1),CURRENCY.FORMAT_1,0)),'DICTIONARY-5'!$A$2)</f>
        <v>1 032,-</v>
      </c>
      <c r="K596" s="670" t="str">
        <f>IF(EXC.RATE_2=0,"",IFERROR(IF(CURRENCY.FORMAT_2=0,CONCATENATE(TEXT(FIXED(ROUND(IF(EXC.RATE.SWITCH=1,C596/EXC.RATE_2,C596*EXC.RATE_2),CURRENCY.FORMAT_2),CURRENCY.FORMAT_2,1),"# ##0;-# ##0"),",-"),FIXED(ROUND(IF(EXC.RATE.SWITCH=1,C596/EXC.RATE_2,C596*EXC.RATE_2),CURRENCY.FORMAT_2),CURRENCY.FORMAT_2,0)),'DICTIONARY-5'!$A$2))</f>
        <v/>
      </c>
      <c r="L596" s="670" t="str">
        <f>IFERROR(IF(CURRENCY.FORMAT_1=0,CONCATENATE(TEXT(FIXED(ROUND((C596*(1-I596)*(1-ADD.DISCOUNT)*(1+MAT.SURCHARGE)/EXC.RATE_1),CURRENCY.FORMAT_1),CURRENCY.FORMAT_1,1),"# ##0;-# ##0"),",-"),FIXED(ROUND((C596*(1-I596)*(1-ADD.DISCOUNT)*(1+MAT.SURCHARGE)/EXC.RATE_1),CURRENCY.FORMAT_1),CURRENCY.FORMAT_1,0)),'DICTIONARY-5'!$A$2)</f>
        <v>1 072,-</v>
      </c>
      <c r="M596" s="670" t="str">
        <f>IF(EXC.RATE_2=0,"",IFERROR(IF(CURRENCY.FORMAT_2=0,CONCATENATE(TEXT(FIXED(ROUND(IF(EXC.RATE.SWITCH=1,C596*(1-I596)*(1-ADD.DISCOUNT)*(1+MAT.SURCHARGE)/EXC.RATE_2,C596*(1-I596)*(1-ADD.DISCOUNT)*(1+MAT.SURCHARGE)*EXC.RATE_2),CURRENCY.FORMAT_2),CURRENCY.FORMAT_2,1),"# ##0;-# ##0"),",-"),FIXED(ROUND(IF(EXC.RATE.SWITCH=1,C596*(1-I596)*(1-ADD.DISCOUNT)*(1+MAT.SURCHARGE)/EXC.RATE_2,C596*(1-I596)*(1-ADD.DISCOUNT)*(1+MAT.SURCHARGE)*EXC.RATE_2),CURRENCY.FORMAT_2),CURRENCY.FORMAT_2,0)),'DICTIONARY-5'!$A$2))</f>
        <v/>
      </c>
      <c r="N596" s="544">
        <v>2</v>
      </c>
      <c r="O596" s="544"/>
      <c r="P596" s="731" t="str">
        <f>'DICTIONARY-3'!$A$11</f>
        <v>ZETA</v>
      </c>
      <c r="Q596" s="732" t="str">
        <f>'DICTIONARY-3'!$A$189</f>
        <v>Zasuwa nożowa</v>
      </c>
      <c r="R596" s="732" t="str">
        <f>CONCATENATE('DICTIONARY-3'!$A$11," ",'DICTIONARY-6'!$A$6," ",'DICTIONARY-5'!$A$34," ",'DICTIONARY-2'!$A$2,"250"," ",'DICTIONARY-2'!$A$3,"10"," ",'DICTIONARY-2'!$A$10,"10",'DICTIONARY-2'!$A$20,", ",'DICTIONARY-4'!$A$12)</f>
        <v>ZETA Zasuwa noż. A2 DN250 PN10 PS10bar, PNP</v>
      </c>
      <c r="S596" s="733" t="str">
        <f>'DICTIONARY-4'!$A$12</f>
        <v>PNP</v>
      </c>
      <c r="T596" s="732" t="str">
        <f>'DICTIONARY-4'!$A$28</f>
        <v>Przygotowane pod napęd pneumatyczny</v>
      </c>
      <c r="U596" s="734" t="s">
        <v>5751</v>
      </c>
      <c r="V596" s="735">
        <v>10</v>
      </c>
      <c r="W596" s="736"/>
      <c r="X596" s="737"/>
      <c r="Y596" s="738"/>
      <c r="Z596" s="739"/>
      <c r="AA596" s="739"/>
      <c r="AB596" s="740">
        <v>10</v>
      </c>
      <c r="AC596" s="741" t="str">
        <f>'DICTIONARY-5'!$A$11&amp;" 20"</f>
        <v>EN 558 szereg 20</v>
      </c>
      <c r="AD596" s="741" t="str">
        <f>'DICTIONARY-5'!$A$14</f>
        <v>ścieki</v>
      </c>
      <c r="AE596" s="742">
        <v>50</v>
      </c>
      <c r="AF596" s="743">
        <v>60</v>
      </c>
      <c r="AG596" s="741" t="str">
        <f>'DICTIONARY-5'!$A$23</f>
        <v>powłoka epoksydowa</v>
      </c>
    </row>
    <row r="597" spans="1:33" x14ac:dyDescent="0.25">
      <c r="A597" s="842" t="s">
        <v>574</v>
      </c>
      <c r="B597" s="842" t="s">
        <v>3210</v>
      </c>
      <c r="C597" s="836">
        <v>1231</v>
      </c>
      <c r="D597" s="836"/>
      <c r="E597" s="836"/>
      <c r="F597" s="836"/>
      <c r="G597" s="496" t="s">
        <v>7796</v>
      </c>
      <c r="H597" s="797" t="str">
        <f>VLOOKUP(G597,SETTINGS!$B$7:$D$97,2,0)</f>
        <v>ZETA</v>
      </c>
      <c r="I597" s="796">
        <f>VLOOKUP(G597,SETTINGS!$B$7:$D$97,3,0)</f>
        <v>0</v>
      </c>
      <c r="J597" s="670" t="str">
        <f>IFERROR(IF(CURRENCY.FORMAT_1=0,CONCATENATE(TEXT(FIXED(ROUND((C597/EXC.RATE_1),CURRENCY.FORMAT_1),CURRENCY.FORMAT_1,1),"# ##0;-# ##0"),",-"),FIXED(ROUND((C597/EXC.RATE_1),CURRENCY.FORMAT_1),CURRENCY.FORMAT_1,0)),'DICTIONARY-5'!$A$2)</f>
        <v>1 231,-</v>
      </c>
      <c r="K597" s="670" t="str">
        <f>IF(EXC.RATE_2=0,"",IFERROR(IF(CURRENCY.FORMAT_2=0,CONCATENATE(TEXT(FIXED(ROUND(IF(EXC.RATE.SWITCH=1,C597/EXC.RATE_2,C597*EXC.RATE_2),CURRENCY.FORMAT_2),CURRENCY.FORMAT_2,1),"# ##0;-# ##0"),",-"),FIXED(ROUND(IF(EXC.RATE.SWITCH=1,C597/EXC.RATE_2,C597*EXC.RATE_2),CURRENCY.FORMAT_2),CURRENCY.FORMAT_2,0)),'DICTIONARY-5'!$A$2))</f>
        <v/>
      </c>
      <c r="L597" s="670" t="str">
        <f>IFERROR(IF(CURRENCY.FORMAT_1=0,CONCATENATE(TEXT(FIXED(ROUND((C597*(1-I597)*(1-ADD.DISCOUNT)*(1+MAT.SURCHARGE)/EXC.RATE_1),CURRENCY.FORMAT_1),CURRENCY.FORMAT_1,1),"# ##0;-# ##0"),",-"),FIXED(ROUND((C597*(1-I597)*(1-ADD.DISCOUNT)*(1+MAT.SURCHARGE)/EXC.RATE_1),CURRENCY.FORMAT_1),CURRENCY.FORMAT_1,0)),'DICTIONARY-5'!$A$2)</f>
        <v>1 279,-</v>
      </c>
      <c r="M597" s="670" t="str">
        <f>IF(EXC.RATE_2=0,"",IFERROR(IF(CURRENCY.FORMAT_2=0,CONCATENATE(TEXT(FIXED(ROUND(IF(EXC.RATE.SWITCH=1,C597*(1-I597)*(1-ADD.DISCOUNT)*(1+MAT.SURCHARGE)/EXC.RATE_2,C597*(1-I597)*(1-ADD.DISCOUNT)*(1+MAT.SURCHARGE)*EXC.RATE_2),CURRENCY.FORMAT_2),CURRENCY.FORMAT_2,1),"# ##0;-# ##0"),",-"),FIXED(ROUND(IF(EXC.RATE.SWITCH=1,C597*(1-I597)*(1-ADD.DISCOUNT)*(1+MAT.SURCHARGE)/EXC.RATE_2,C597*(1-I597)*(1-ADD.DISCOUNT)*(1+MAT.SURCHARGE)*EXC.RATE_2),CURRENCY.FORMAT_2),CURRENCY.FORMAT_2,0)),'DICTIONARY-5'!$A$2))</f>
        <v/>
      </c>
      <c r="N597" s="544">
        <v>2</v>
      </c>
      <c r="O597" s="544"/>
      <c r="P597" s="731" t="str">
        <f>'DICTIONARY-3'!$A$11</f>
        <v>ZETA</v>
      </c>
      <c r="Q597" s="732" t="str">
        <f>'DICTIONARY-3'!$A$189</f>
        <v>Zasuwa nożowa</v>
      </c>
      <c r="R597" s="732" t="str">
        <f>CONCATENATE('DICTIONARY-3'!$A$11," ",'DICTIONARY-6'!$A$6," ",'DICTIONARY-5'!$A$34," ",'DICTIONARY-2'!$A$2,"300"," ",'DICTIONARY-2'!$A$3,"10"," ",'DICTIONARY-2'!$A$10,"10",'DICTIONARY-2'!$A$20,", ",'DICTIONARY-4'!$A$12)</f>
        <v>ZETA Zasuwa noż. A2 DN300 PN10 PS10bar, PNP</v>
      </c>
      <c r="S597" s="733" t="str">
        <f>'DICTIONARY-4'!$A$12</f>
        <v>PNP</v>
      </c>
      <c r="T597" s="732" t="str">
        <f>'DICTIONARY-4'!$A$28</f>
        <v>Przygotowane pod napęd pneumatyczny</v>
      </c>
      <c r="U597" s="734" t="s">
        <v>5752</v>
      </c>
      <c r="V597" s="735">
        <v>10</v>
      </c>
      <c r="W597" s="736"/>
      <c r="X597" s="737"/>
      <c r="Y597" s="738"/>
      <c r="Z597" s="739"/>
      <c r="AA597" s="739"/>
      <c r="AB597" s="740">
        <v>10</v>
      </c>
      <c r="AC597" s="741" t="str">
        <f>'DICTIONARY-5'!$A$11&amp;" 20"</f>
        <v>EN 558 szereg 20</v>
      </c>
      <c r="AD597" s="741" t="str">
        <f>'DICTIONARY-5'!$A$14</f>
        <v>ścieki</v>
      </c>
      <c r="AE597" s="742">
        <v>50</v>
      </c>
      <c r="AF597" s="743">
        <v>83</v>
      </c>
      <c r="AG597" s="741" t="str">
        <f>'DICTIONARY-5'!$A$23</f>
        <v>powłoka epoksydowa</v>
      </c>
    </row>
    <row r="598" spans="1:33" x14ac:dyDescent="0.25">
      <c r="A598" s="842" t="s">
        <v>575</v>
      </c>
      <c r="B598" s="842" t="s">
        <v>3214</v>
      </c>
      <c r="C598" s="836">
        <v>1569</v>
      </c>
      <c r="D598" s="836"/>
      <c r="E598" s="836"/>
      <c r="F598" s="836"/>
      <c r="G598" s="496" t="s">
        <v>7796</v>
      </c>
      <c r="H598" s="797" t="str">
        <f>VLOOKUP(G598,SETTINGS!$B$7:$D$97,2,0)</f>
        <v>ZETA</v>
      </c>
      <c r="I598" s="796">
        <f>VLOOKUP(G598,SETTINGS!$B$7:$D$97,3,0)</f>
        <v>0</v>
      </c>
      <c r="J598" s="670" t="str">
        <f>IFERROR(IF(CURRENCY.FORMAT_1=0,CONCATENATE(TEXT(FIXED(ROUND((C598/EXC.RATE_1),CURRENCY.FORMAT_1),CURRENCY.FORMAT_1,1),"# ##0;-# ##0"),",-"),FIXED(ROUND((C598/EXC.RATE_1),CURRENCY.FORMAT_1),CURRENCY.FORMAT_1,0)),'DICTIONARY-5'!$A$2)</f>
        <v>1 569,-</v>
      </c>
      <c r="K598" s="670" t="str">
        <f>IF(EXC.RATE_2=0,"",IFERROR(IF(CURRENCY.FORMAT_2=0,CONCATENATE(TEXT(FIXED(ROUND(IF(EXC.RATE.SWITCH=1,C598/EXC.RATE_2,C598*EXC.RATE_2),CURRENCY.FORMAT_2),CURRENCY.FORMAT_2,1),"# ##0;-# ##0"),",-"),FIXED(ROUND(IF(EXC.RATE.SWITCH=1,C598/EXC.RATE_2,C598*EXC.RATE_2),CURRENCY.FORMAT_2),CURRENCY.FORMAT_2,0)),'DICTIONARY-5'!$A$2))</f>
        <v/>
      </c>
      <c r="L598" s="670" t="str">
        <f>IFERROR(IF(CURRENCY.FORMAT_1=0,CONCATENATE(TEXT(FIXED(ROUND((C598*(1-I598)*(1-ADD.DISCOUNT)*(1+MAT.SURCHARGE)/EXC.RATE_1),CURRENCY.FORMAT_1),CURRENCY.FORMAT_1,1),"# ##0;-# ##0"),",-"),FIXED(ROUND((C598*(1-I598)*(1-ADD.DISCOUNT)*(1+MAT.SURCHARGE)/EXC.RATE_1),CURRENCY.FORMAT_1),CURRENCY.FORMAT_1,0)),'DICTIONARY-5'!$A$2)</f>
        <v>1 630,-</v>
      </c>
      <c r="M598" s="670" t="str">
        <f>IF(EXC.RATE_2=0,"",IFERROR(IF(CURRENCY.FORMAT_2=0,CONCATENATE(TEXT(FIXED(ROUND(IF(EXC.RATE.SWITCH=1,C598*(1-I598)*(1-ADD.DISCOUNT)*(1+MAT.SURCHARGE)/EXC.RATE_2,C598*(1-I598)*(1-ADD.DISCOUNT)*(1+MAT.SURCHARGE)*EXC.RATE_2),CURRENCY.FORMAT_2),CURRENCY.FORMAT_2,1),"# ##0;-# ##0"),",-"),FIXED(ROUND(IF(EXC.RATE.SWITCH=1,C598*(1-I598)*(1-ADD.DISCOUNT)*(1+MAT.SURCHARGE)/EXC.RATE_2,C598*(1-I598)*(1-ADD.DISCOUNT)*(1+MAT.SURCHARGE)*EXC.RATE_2),CURRENCY.FORMAT_2),CURRENCY.FORMAT_2,0)),'DICTIONARY-5'!$A$2))</f>
        <v/>
      </c>
      <c r="N598" s="544">
        <v>2</v>
      </c>
      <c r="O598" s="544"/>
      <c r="P598" s="731" t="str">
        <f>'DICTIONARY-3'!$A$11</f>
        <v>ZETA</v>
      </c>
      <c r="Q598" s="732" t="str">
        <f>'DICTIONARY-3'!$A$189</f>
        <v>Zasuwa nożowa</v>
      </c>
      <c r="R598" s="732" t="str">
        <f>CONCATENATE('DICTIONARY-3'!$A$11," ",'DICTIONARY-6'!$A$6," ",'DICTIONARY-5'!$A$34," ",'DICTIONARY-2'!$A$2,"350"," ",'DICTIONARY-2'!$A$3,"10"," ",'DICTIONARY-2'!$A$10,"8",'DICTIONARY-2'!$A$20,", ",'DICTIONARY-4'!$A$12)</f>
        <v>ZETA Zasuwa noż. A2 DN350 PN10 PS8bar, PNP</v>
      </c>
      <c r="S598" s="733" t="str">
        <f>'DICTIONARY-4'!$A$12</f>
        <v>PNP</v>
      </c>
      <c r="T598" s="732" t="str">
        <f>'DICTIONARY-4'!$A$28</f>
        <v>Przygotowane pod napęd pneumatyczny</v>
      </c>
      <c r="U598" s="734" t="s">
        <v>5753</v>
      </c>
      <c r="V598" s="735">
        <v>10</v>
      </c>
      <c r="W598" s="736"/>
      <c r="X598" s="737"/>
      <c r="Y598" s="738"/>
      <c r="Z598" s="739"/>
      <c r="AA598" s="739"/>
      <c r="AB598" s="740">
        <v>8</v>
      </c>
      <c r="AC598" s="741" t="str">
        <f>'DICTIONARY-5'!$A$11&amp;" 20"</f>
        <v>EN 558 szereg 20</v>
      </c>
      <c r="AD598" s="741" t="str">
        <f>'DICTIONARY-5'!$A$14</f>
        <v>ścieki</v>
      </c>
      <c r="AE598" s="742">
        <v>50</v>
      </c>
      <c r="AF598" s="743">
        <v>108</v>
      </c>
      <c r="AG598" s="741" t="str">
        <f>'DICTIONARY-5'!$A$23</f>
        <v>powłoka epoksydowa</v>
      </c>
    </row>
    <row r="599" spans="1:33" x14ac:dyDescent="0.25">
      <c r="A599" s="842" t="s">
        <v>576</v>
      </c>
      <c r="B599" s="842" t="s">
        <v>3218</v>
      </c>
      <c r="C599" s="836">
        <v>2211</v>
      </c>
      <c r="D599" s="836"/>
      <c r="E599" s="836"/>
      <c r="F599" s="836"/>
      <c r="G599" s="496" t="s">
        <v>7796</v>
      </c>
      <c r="H599" s="797" t="str">
        <f>VLOOKUP(G599,SETTINGS!$B$7:$D$97,2,0)</f>
        <v>ZETA</v>
      </c>
      <c r="I599" s="796">
        <f>VLOOKUP(G599,SETTINGS!$B$7:$D$97,3,0)</f>
        <v>0</v>
      </c>
      <c r="J599" s="670" t="str">
        <f>IFERROR(IF(CURRENCY.FORMAT_1=0,CONCATENATE(TEXT(FIXED(ROUND((C599/EXC.RATE_1),CURRENCY.FORMAT_1),CURRENCY.FORMAT_1,1),"# ##0;-# ##0"),",-"),FIXED(ROUND((C599/EXC.RATE_1),CURRENCY.FORMAT_1),CURRENCY.FORMAT_1,0)),'DICTIONARY-5'!$A$2)</f>
        <v>2 211,-</v>
      </c>
      <c r="K599" s="670" t="str">
        <f>IF(EXC.RATE_2=0,"",IFERROR(IF(CURRENCY.FORMAT_2=0,CONCATENATE(TEXT(FIXED(ROUND(IF(EXC.RATE.SWITCH=1,C599/EXC.RATE_2,C599*EXC.RATE_2),CURRENCY.FORMAT_2),CURRENCY.FORMAT_2,1),"# ##0;-# ##0"),",-"),FIXED(ROUND(IF(EXC.RATE.SWITCH=1,C599/EXC.RATE_2,C599*EXC.RATE_2),CURRENCY.FORMAT_2),CURRENCY.FORMAT_2,0)),'DICTIONARY-5'!$A$2))</f>
        <v/>
      </c>
      <c r="L599" s="670" t="str">
        <f>IFERROR(IF(CURRENCY.FORMAT_1=0,CONCATENATE(TEXT(FIXED(ROUND((C599*(1-I599)*(1-ADD.DISCOUNT)*(1+MAT.SURCHARGE)/EXC.RATE_1),CURRENCY.FORMAT_1),CURRENCY.FORMAT_1,1),"# ##0;-# ##0"),",-"),FIXED(ROUND((C599*(1-I599)*(1-ADD.DISCOUNT)*(1+MAT.SURCHARGE)/EXC.RATE_1),CURRENCY.FORMAT_1),CURRENCY.FORMAT_1,0)),'DICTIONARY-5'!$A$2)</f>
        <v>2 297,-</v>
      </c>
      <c r="M599" s="670" t="str">
        <f>IF(EXC.RATE_2=0,"",IFERROR(IF(CURRENCY.FORMAT_2=0,CONCATENATE(TEXT(FIXED(ROUND(IF(EXC.RATE.SWITCH=1,C599*(1-I599)*(1-ADD.DISCOUNT)*(1+MAT.SURCHARGE)/EXC.RATE_2,C599*(1-I599)*(1-ADD.DISCOUNT)*(1+MAT.SURCHARGE)*EXC.RATE_2),CURRENCY.FORMAT_2),CURRENCY.FORMAT_2,1),"# ##0;-# ##0"),",-"),FIXED(ROUND(IF(EXC.RATE.SWITCH=1,C599*(1-I599)*(1-ADD.DISCOUNT)*(1+MAT.SURCHARGE)/EXC.RATE_2,C599*(1-I599)*(1-ADD.DISCOUNT)*(1+MAT.SURCHARGE)*EXC.RATE_2),CURRENCY.FORMAT_2),CURRENCY.FORMAT_2,0)),'DICTIONARY-5'!$A$2))</f>
        <v/>
      </c>
      <c r="N599" s="544">
        <v>2</v>
      </c>
      <c r="O599" s="544"/>
      <c r="P599" s="731" t="str">
        <f>'DICTIONARY-3'!$A$11</f>
        <v>ZETA</v>
      </c>
      <c r="Q599" s="732" t="str">
        <f>'DICTIONARY-3'!$A$189</f>
        <v>Zasuwa nożowa</v>
      </c>
      <c r="R599" s="732" t="str">
        <f>CONCATENATE('DICTIONARY-3'!$A$11," ",'DICTIONARY-6'!$A$6," ",'DICTIONARY-5'!$A$34," ",'DICTIONARY-2'!$A$2,"400"," ",'DICTIONARY-2'!$A$3,"10"," ",'DICTIONARY-2'!$A$10,"8",'DICTIONARY-2'!$A$20,", ",'DICTIONARY-4'!$A$12)</f>
        <v>ZETA Zasuwa noż. A2 DN400 PN10 PS8bar, PNP</v>
      </c>
      <c r="S599" s="733" t="str">
        <f>'DICTIONARY-4'!$A$12</f>
        <v>PNP</v>
      </c>
      <c r="T599" s="732" t="str">
        <f>'DICTIONARY-4'!$A$28</f>
        <v>Przygotowane pod napęd pneumatyczny</v>
      </c>
      <c r="U599" s="734" t="s">
        <v>5754</v>
      </c>
      <c r="V599" s="735">
        <v>10</v>
      </c>
      <c r="W599" s="736"/>
      <c r="X599" s="737"/>
      <c r="Y599" s="738"/>
      <c r="Z599" s="739"/>
      <c r="AA599" s="739"/>
      <c r="AB599" s="740">
        <v>8</v>
      </c>
      <c r="AC599" s="741" t="str">
        <f>'DICTIONARY-5'!$A$11&amp;" 20"</f>
        <v>EN 558 szereg 20</v>
      </c>
      <c r="AD599" s="741" t="str">
        <f>'DICTIONARY-5'!$A$14</f>
        <v>ścieki</v>
      </c>
      <c r="AE599" s="742">
        <v>50</v>
      </c>
      <c r="AF599" s="743">
        <v>164</v>
      </c>
      <c r="AG599" s="741" t="str">
        <f>'DICTIONARY-5'!$A$23</f>
        <v>powłoka epoksydowa</v>
      </c>
    </row>
    <row r="600" spans="1:33" x14ac:dyDescent="0.25">
      <c r="A600" s="842" t="s">
        <v>577</v>
      </c>
      <c r="B600" s="842" t="s">
        <v>3222</v>
      </c>
      <c r="C600" s="836">
        <v>4148</v>
      </c>
      <c r="D600" s="836"/>
      <c r="E600" s="836"/>
      <c r="F600" s="836"/>
      <c r="G600" s="496" t="s">
        <v>7796</v>
      </c>
      <c r="H600" s="797" t="str">
        <f>VLOOKUP(G600,SETTINGS!$B$7:$D$97,2,0)</f>
        <v>ZETA</v>
      </c>
      <c r="I600" s="796">
        <f>VLOOKUP(G600,SETTINGS!$B$7:$D$97,3,0)</f>
        <v>0</v>
      </c>
      <c r="J600" s="670" t="str">
        <f>IFERROR(IF(CURRENCY.FORMAT_1=0,CONCATENATE(TEXT(FIXED(ROUND((C600/EXC.RATE_1),CURRENCY.FORMAT_1),CURRENCY.FORMAT_1,1),"# ##0;-# ##0"),",-"),FIXED(ROUND((C600/EXC.RATE_1),CURRENCY.FORMAT_1),CURRENCY.FORMAT_1,0)),'DICTIONARY-5'!$A$2)</f>
        <v>4 148,-</v>
      </c>
      <c r="K600" s="670" t="str">
        <f>IF(EXC.RATE_2=0,"",IFERROR(IF(CURRENCY.FORMAT_2=0,CONCATENATE(TEXT(FIXED(ROUND(IF(EXC.RATE.SWITCH=1,C600/EXC.RATE_2,C600*EXC.RATE_2),CURRENCY.FORMAT_2),CURRENCY.FORMAT_2,1),"# ##0;-# ##0"),",-"),FIXED(ROUND(IF(EXC.RATE.SWITCH=1,C600/EXC.RATE_2,C600*EXC.RATE_2),CURRENCY.FORMAT_2),CURRENCY.FORMAT_2,0)),'DICTIONARY-5'!$A$2))</f>
        <v/>
      </c>
      <c r="L600" s="670" t="str">
        <f>IFERROR(IF(CURRENCY.FORMAT_1=0,CONCATENATE(TEXT(FIXED(ROUND((C600*(1-I600)*(1-ADD.DISCOUNT)*(1+MAT.SURCHARGE)/EXC.RATE_1),CURRENCY.FORMAT_1),CURRENCY.FORMAT_1,1),"# ##0;-# ##0"),",-"),FIXED(ROUND((C600*(1-I600)*(1-ADD.DISCOUNT)*(1+MAT.SURCHARGE)/EXC.RATE_1),CURRENCY.FORMAT_1),CURRENCY.FORMAT_1,0)),'DICTIONARY-5'!$A$2)</f>
        <v>4 310,-</v>
      </c>
      <c r="M600" s="670" t="str">
        <f>IF(EXC.RATE_2=0,"",IFERROR(IF(CURRENCY.FORMAT_2=0,CONCATENATE(TEXT(FIXED(ROUND(IF(EXC.RATE.SWITCH=1,C600*(1-I600)*(1-ADD.DISCOUNT)*(1+MAT.SURCHARGE)/EXC.RATE_2,C600*(1-I600)*(1-ADD.DISCOUNT)*(1+MAT.SURCHARGE)*EXC.RATE_2),CURRENCY.FORMAT_2),CURRENCY.FORMAT_2,1),"# ##0;-# ##0"),",-"),FIXED(ROUND(IF(EXC.RATE.SWITCH=1,C600*(1-I600)*(1-ADD.DISCOUNT)*(1+MAT.SURCHARGE)/EXC.RATE_2,C600*(1-I600)*(1-ADD.DISCOUNT)*(1+MAT.SURCHARGE)*EXC.RATE_2),CURRENCY.FORMAT_2),CURRENCY.FORMAT_2,0)),'DICTIONARY-5'!$A$2))</f>
        <v/>
      </c>
      <c r="N600" s="544">
        <v>2</v>
      </c>
      <c r="O600" s="544"/>
      <c r="P600" s="731" t="str">
        <f>'DICTIONARY-3'!$A$11</f>
        <v>ZETA</v>
      </c>
      <c r="Q600" s="732" t="str">
        <f>'DICTIONARY-3'!$A$189</f>
        <v>Zasuwa nożowa</v>
      </c>
      <c r="R600" s="732" t="str">
        <f>CONCATENATE('DICTIONARY-3'!$A$11," ",'DICTIONARY-6'!$A$6," ",'DICTIONARY-5'!$A$34," ",'DICTIONARY-2'!$A$2,"500"," ",'DICTIONARY-2'!$A$3,"10"," ",'DICTIONARY-2'!$A$10,"6",'DICTIONARY-2'!$A$20,", ",'DICTIONARY-4'!$A$12)</f>
        <v>ZETA Zasuwa noż. A2 DN500 PN10 PS6bar, PNP</v>
      </c>
      <c r="S600" s="733" t="str">
        <f>'DICTIONARY-4'!$A$12</f>
        <v>PNP</v>
      </c>
      <c r="T600" s="732" t="str">
        <f>'DICTIONARY-4'!$A$28</f>
        <v>Przygotowane pod napęd pneumatyczny</v>
      </c>
      <c r="U600" s="734" t="s">
        <v>5756</v>
      </c>
      <c r="V600" s="735">
        <v>10</v>
      </c>
      <c r="W600" s="736"/>
      <c r="X600" s="737"/>
      <c r="Y600" s="738"/>
      <c r="Z600" s="739"/>
      <c r="AA600" s="739"/>
      <c r="AB600" s="740">
        <v>6</v>
      </c>
      <c r="AC600" s="741" t="str">
        <f>'DICTIONARY-5'!$A$11&amp;" 20"</f>
        <v>EN 558 szereg 20</v>
      </c>
      <c r="AD600" s="741" t="str">
        <f>'DICTIONARY-5'!$A$14</f>
        <v>ścieki</v>
      </c>
      <c r="AE600" s="742">
        <v>50</v>
      </c>
      <c r="AF600" s="743">
        <v>281</v>
      </c>
      <c r="AG600" s="741" t="str">
        <f>'DICTIONARY-5'!$A$23</f>
        <v>powłoka epoksydowa</v>
      </c>
    </row>
    <row r="601" spans="1:33" x14ac:dyDescent="0.25">
      <c r="A601" s="842" t="s">
        <v>578</v>
      </c>
      <c r="B601" s="842" t="s">
        <v>3226</v>
      </c>
      <c r="C601" s="836">
        <v>5859</v>
      </c>
      <c r="D601" s="836"/>
      <c r="E601" s="836"/>
      <c r="F601" s="836"/>
      <c r="G601" s="496" t="s">
        <v>7796</v>
      </c>
      <c r="H601" s="797" t="str">
        <f>VLOOKUP(G601,SETTINGS!$B$7:$D$97,2,0)</f>
        <v>ZETA</v>
      </c>
      <c r="I601" s="796">
        <f>VLOOKUP(G601,SETTINGS!$B$7:$D$97,3,0)</f>
        <v>0</v>
      </c>
      <c r="J601" s="670" t="str">
        <f>IFERROR(IF(CURRENCY.FORMAT_1=0,CONCATENATE(TEXT(FIXED(ROUND((C601/EXC.RATE_1),CURRENCY.FORMAT_1),CURRENCY.FORMAT_1,1),"# ##0;-# ##0"),",-"),FIXED(ROUND((C601/EXC.RATE_1),CURRENCY.FORMAT_1),CURRENCY.FORMAT_1,0)),'DICTIONARY-5'!$A$2)</f>
        <v>5 859,-</v>
      </c>
      <c r="K601" s="670" t="str">
        <f>IF(EXC.RATE_2=0,"",IFERROR(IF(CURRENCY.FORMAT_2=0,CONCATENATE(TEXT(FIXED(ROUND(IF(EXC.RATE.SWITCH=1,C601/EXC.RATE_2,C601*EXC.RATE_2),CURRENCY.FORMAT_2),CURRENCY.FORMAT_2,1),"# ##0;-# ##0"),",-"),FIXED(ROUND(IF(EXC.RATE.SWITCH=1,C601/EXC.RATE_2,C601*EXC.RATE_2),CURRENCY.FORMAT_2),CURRENCY.FORMAT_2,0)),'DICTIONARY-5'!$A$2))</f>
        <v/>
      </c>
      <c r="L601" s="670" t="str">
        <f>IFERROR(IF(CURRENCY.FORMAT_1=0,CONCATENATE(TEXT(FIXED(ROUND((C601*(1-I601)*(1-ADD.DISCOUNT)*(1+MAT.SURCHARGE)/EXC.RATE_1),CURRENCY.FORMAT_1),CURRENCY.FORMAT_1,1),"# ##0;-# ##0"),",-"),FIXED(ROUND((C601*(1-I601)*(1-ADD.DISCOUNT)*(1+MAT.SURCHARGE)/EXC.RATE_1),CURRENCY.FORMAT_1),CURRENCY.FORMAT_1,0)),'DICTIONARY-5'!$A$2)</f>
        <v>6 088,-</v>
      </c>
      <c r="M601" s="670" t="str">
        <f>IF(EXC.RATE_2=0,"",IFERROR(IF(CURRENCY.FORMAT_2=0,CONCATENATE(TEXT(FIXED(ROUND(IF(EXC.RATE.SWITCH=1,C601*(1-I601)*(1-ADD.DISCOUNT)*(1+MAT.SURCHARGE)/EXC.RATE_2,C601*(1-I601)*(1-ADD.DISCOUNT)*(1+MAT.SURCHARGE)*EXC.RATE_2),CURRENCY.FORMAT_2),CURRENCY.FORMAT_2,1),"# ##0;-# ##0"),",-"),FIXED(ROUND(IF(EXC.RATE.SWITCH=1,C601*(1-I601)*(1-ADD.DISCOUNT)*(1+MAT.SURCHARGE)/EXC.RATE_2,C601*(1-I601)*(1-ADD.DISCOUNT)*(1+MAT.SURCHARGE)*EXC.RATE_2),CURRENCY.FORMAT_2),CURRENCY.FORMAT_2,0)),'DICTIONARY-5'!$A$2))</f>
        <v/>
      </c>
      <c r="N601" s="544">
        <v>2</v>
      </c>
      <c r="O601" s="544"/>
      <c r="P601" s="731" t="str">
        <f>'DICTIONARY-3'!$A$11</f>
        <v>ZETA</v>
      </c>
      <c r="Q601" s="732" t="str">
        <f>'DICTIONARY-3'!$A$189</f>
        <v>Zasuwa nożowa</v>
      </c>
      <c r="R601" s="732" t="str">
        <f>CONCATENATE('DICTIONARY-3'!$A$11," ",'DICTIONARY-6'!$A$6," ",'DICTIONARY-5'!$A$34," ",'DICTIONARY-2'!$A$2,"600"," ",'DICTIONARY-2'!$A$3,"10"," ",'DICTIONARY-2'!$A$10,"6",'DICTIONARY-2'!$A$20,", ",'DICTIONARY-4'!$A$12)</f>
        <v>ZETA Zasuwa noż. A2 DN600 PN10 PS6bar, PNP</v>
      </c>
      <c r="S601" s="733" t="str">
        <f>'DICTIONARY-4'!$A$12</f>
        <v>PNP</v>
      </c>
      <c r="T601" s="732" t="str">
        <f>'DICTIONARY-4'!$A$28</f>
        <v>Przygotowane pod napęd pneumatyczny</v>
      </c>
      <c r="U601" s="734" t="s">
        <v>5757</v>
      </c>
      <c r="V601" s="735">
        <v>10</v>
      </c>
      <c r="W601" s="736"/>
      <c r="X601" s="737"/>
      <c r="Y601" s="738"/>
      <c r="Z601" s="739"/>
      <c r="AA601" s="739"/>
      <c r="AB601" s="740">
        <v>6</v>
      </c>
      <c r="AC601" s="741" t="str">
        <f>'DICTIONARY-5'!$A$11&amp;" 20"</f>
        <v>EN 558 szereg 20</v>
      </c>
      <c r="AD601" s="741" t="str">
        <f>'DICTIONARY-5'!$A$14</f>
        <v>ścieki</v>
      </c>
      <c r="AE601" s="742">
        <v>50</v>
      </c>
      <c r="AF601" s="743">
        <v>372</v>
      </c>
      <c r="AG601" s="741" t="str">
        <f>'DICTIONARY-5'!$A$23</f>
        <v>powłoka epoksydowa</v>
      </c>
    </row>
    <row r="602" spans="1:33" x14ac:dyDescent="0.25">
      <c r="A602" s="842" t="s">
        <v>579</v>
      </c>
      <c r="B602" s="842" t="s">
        <v>3254</v>
      </c>
      <c r="C602" s="836">
        <v>712</v>
      </c>
      <c r="D602" s="836"/>
      <c r="E602" s="836"/>
      <c r="F602" s="836"/>
      <c r="G602" s="496" t="s">
        <v>7796</v>
      </c>
      <c r="H602" s="797" t="str">
        <f>VLOOKUP(G602,SETTINGS!$B$7:$D$97,2,0)</f>
        <v>ZETA</v>
      </c>
      <c r="I602" s="796">
        <f>VLOOKUP(G602,SETTINGS!$B$7:$D$97,3,0)</f>
        <v>0</v>
      </c>
      <c r="J602" s="670" t="str">
        <f>IFERROR(IF(CURRENCY.FORMAT_1=0,CONCATENATE(TEXT(FIXED(ROUND((C602/EXC.RATE_1),CURRENCY.FORMAT_1),CURRENCY.FORMAT_1,1),"# ##0;-# ##0"),",-"),FIXED(ROUND((C602/EXC.RATE_1),CURRENCY.FORMAT_1),CURRENCY.FORMAT_1,0)),'DICTIONARY-5'!$A$2)</f>
        <v>712,-</v>
      </c>
      <c r="K602" s="670" t="str">
        <f>IF(EXC.RATE_2=0,"",IFERROR(IF(CURRENCY.FORMAT_2=0,CONCATENATE(TEXT(FIXED(ROUND(IF(EXC.RATE.SWITCH=1,C602/EXC.RATE_2,C602*EXC.RATE_2),CURRENCY.FORMAT_2),CURRENCY.FORMAT_2,1),"# ##0;-# ##0"),",-"),FIXED(ROUND(IF(EXC.RATE.SWITCH=1,C602/EXC.RATE_2,C602*EXC.RATE_2),CURRENCY.FORMAT_2),CURRENCY.FORMAT_2,0)),'DICTIONARY-5'!$A$2))</f>
        <v/>
      </c>
      <c r="L602" s="670" t="str">
        <f>IFERROR(IF(CURRENCY.FORMAT_1=0,CONCATENATE(TEXT(FIXED(ROUND((C602*(1-I602)*(1-ADD.DISCOUNT)*(1+MAT.SURCHARGE)/EXC.RATE_1),CURRENCY.FORMAT_1),CURRENCY.FORMAT_1,1),"# ##0;-# ##0"),",-"),FIXED(ROUND((C602*(1-I602)*(1-ADD.DISCOUNT)*(1+MAT.SURCHARGE)/EXC.RATE_1),CURRENCY.FORMAT_1),CURRENCY.FORMAT_1,0)),'DICTIONARY-5'!$A$2)</f>
        <v>740,-</v>
      </c>
      <c r="M602" s="670" t="str">
        <f>IF(EXC.RATE_2=0,"",IFERROR(IF(CURRENCY.FORMAT_2=0,CONCATENATE(TEXT(FIXED(ROUND(IF(EXC.RATE.SWITCH=1,C602*(1-I602)*(1-ADD.DISCOUNT)*(1+MAT.SURCHARGE)/EXC.RATE_2,C602*(1-I602)*(1-ADD.DISCOUNT)*(1+MAT.SURCHARGE)*EXC.RATE_2),CURRENCY.FORMAT_2),CURRENCY.FORMAT_2,1),"# ##0;-# ##0"),",-"),FIXED(ROUND(IF(EXC.RATE.SWITCH=1,C602*(1-I602)*(1-ADD.DISCOUNT)*(1+MAT.SURCHARGE)/EXC.RATE_2,C602*(1-I602)*(1-ADD.DISCOUNT)*(1+MAT.SURCHARGE)*EXC.RATE_2),CURRENCY.FORMAT_2),CURRENCY.FORMAT_2,0)),'DICTIONARY-5'!$A$2))</f>
        <v/>
      </c>
      <c r="N602" s="544">
        <v>2</v>
      </c>
      <c r="O602" s="544"/>
      <c r="P602" s="731" t="str">
        <f>'DICTIONARY-3'!$A$11</f>
        <v>ZETA</v>
      </c>
      <c r="Q602" s="732" t="str">
        <f>'DICTIONARY-3'!$A$189</f>
        <v>Zasuwa nożowa</v>
      </c>
      <c r="R602" s="732" t="str">
        <f>CONCATENATE('DICTIONARY-3'!$A$11," ",'DICTIONARY-6'!$A$6," ",'DICTIONARY-5'!$A$35," ",'DICTIONARY-2'!$A$2,"200"," ",'DICTIONARY-2'!$A$3,"10"," ",'DICTIONARY-2'!$A$10,"10",'DICTIONARY-2'!$A$20,", ",'DICTIONARY-4'!$A$12)</f>
        <v>ZETA Zasuwa noż. A4 DN200 PN10 PS10bar, PNP</v>
      </c>
      <c r="S602" s="733" t="str">
        <f>'DICTIONARY-4'!$A$12</f>
        <v>PNP</v>
      </c>
      <c r="T602" s="732" t="str">
        <f>'DICTIONARY-4'!$A$28</f>
        <v>Przygotowane pod napęd pneumatyczny</v>
      </c>
      <c r="U602" s="734" t="s">
        <v>5750</v>
      </c>
      <c r="V602" s="735">
        <v>10</v>
      </c>
      <c r="W602" s="736"/>
      <c r="X602" s="737"/>
      <c r="Y602" s="738"/>
      <c r="Z602" s="739"/>
      <c r="AA602" s="739"/>
      <c r="AB602" s="740">
        <v>10</v>
      </c>
      <c r="AC602" s="741" t="str">
        <f>'DICTIONARY-5'!$A$11&amp;" 20"</f>
        <v>EN 558 szereg 20</v>
      </c>
      <c r="AD602" s="741" t="str">
        <f>'DICTIONARY-5'!$A$14</f>
        <v>ścieki</v>
      </c>
      <c r="AE602" s="742">
        <v>50</v>
      </c>
      <c r="AF602" s="743">
        <v>34</v>
      </c>
      <c r="AG602" s="741" t="str">
        <f>'DICTIONARY-5'!$A$23</f>
        <v>powłoka epoksydowa</v>
      </c>
    </row>
    <row r="603" spans="1:33" x14ac:dyDescent="0.25">
      <c r="A603" s="842" t="s">
        <v>580</v>
      </c>
      <c r="B603" s="842" t="s">
        <v>3258</v>
      </c>
      <c r="C603" s="836">
        <v>1094</v>
      </c>
      <c r="D603" s="836"/>
      <c r="E603" s="836"/>
      <c r="F603" s="836"/>
      <c r="G603" s="496" t="s">
        <v>7796</v>
      </c>
      <c r="H603" s="797" t="str">
        <f>VLOOKUP(G603,SETTINGS!$B$7:$D$97,2,0)</f>
        <v>ZETA</v>
      </c>
      <c r="I603" s="796">
        <f>VLOOKUP(G603,SETTINGS!$B$7:$D$97,3,0)</f>
        <v>0</v>
      </c>
      <c r="J603" s="670" t="str">
        <f>IFERROR(IF(CURRENCY.FORMAT_1=0,CONCATENATE(TEXT(FIXED(ROUND((C603/EXC.RATE_1),CURRENCY.FORMAT_1),CURRENCY.FORMAT_1,1),"# ##0;-# ##0"),",-"),FIXED(ROUND((C603/EXC.RATE_1),CURRENCY.FORMAT_1),CURRENCY.FORMAT_1,0)),'DICTIONARY-5'!$A$2)</f>
        <v>1 094,-</v>
      </c>
      <c r="K603" s="670" t="str">
        <f>IF(EXC.RATE_2=0,"",IFERROR(IF(CURRENCY.FORMAT_2=0,CONCATENATE(TEXT(FIXED(ROUND(IF(EXC.RATE.SWITCH=1,C603/EXC.RATE_2,C603*EXC.RATE_2),CURRENCY.FORMAT_2),CURRENCY.FORMAT_2,1),"# ##0;-# ##0"),",-"),FIXED(ROUND(IF(EXC.RATE.SWITCH=1,C603/EXC.RATE_2,C603*EXC.RATE_2),CURRENCY.FORMAT_2),CURRENCY.FORMAT_2,0)),'DICTIONARY-5'!$A$2))</f>
        <v/>
      </c>
      <c r="L603" s="670" t="str">
        <f>IFERROR(IF(CURRENCY.FORMAT_1=0,CONCATENATE(TEXT(FIXED(ROUND((C603*(1-I603)*(1-ADD.DISCOUNT)*(1+MAT.SURCHARGE)/EXC.RATE_1),CURRENCY.FORMAT_1),CURRENCY.FORMAT_1,1),"# ##0;-# ##0"),",-"),FIXED(ROUND((C603*(1-I603)*(1-ADD.DISCOUNT)*(1+MAT.SURCHARGE)/EXC.RATE_1),CURRENCY.FORMAT_1),CURRENCY.FORMAT_1,0)),'DICTIONARY-5'!$A$2)</f>
        <v>1 137,-</v>
      </c>
      <c r="M603" s="670" t="str">
        <f>IF(EXC.RATE_2=0,"",IFERROR(IF(CURRENCY.FORMAT_2=0,CONCATENATE(TEXT(FIXED(ROUND(IF(EXC.RATE.SWITCH=1,C603*(1-I603)*(1-ADD.DISCOUNT)*(1+MAT.SURCHARGE)/EXC.RATE_2,C603*(1-I603)*(1-ADD.DISCOUNT)*(1+MAT.SURCHARGE)*EXC.RATE_2),CURRENCY.FORMAT_2),CURRENCY.FORMAT_2,1),"# ##0;-# ##0"),",-"),FIXED(ROUND(IF(EXC.RATE.SWITCH=1,C603*(1-I603)*(1-ADD.DISCOUNT)*(1+MAT.SURCHARGE)/EXC.RATE_2,C603*(1-I603)*(1-ADD.DISCOUNT)*(1+MAT.SURCHARGE)*EXC.RATE_2),CURRENCY.FORMAT_2),CURRENCY.FORMAT_2,0)),'DICTIONARY-5'!$A$2))</f>
        <v/>
      </c>
      <c r="N603" s="544">
        <v>2</v>
      </c>
      <c r="O603" s="544"/>
      <c r="P603" s="731" t="str">
        <f>'DICTIONARY-3'!$A$11</f>
        <v>ZETA</v>
      </c>
      <c r="Q603" s="732" t="str">
        <f>'DICTIONARY-3'!$A$189</f>
        <v>Zasuwa nożowa</v>
      </c>
      <c r="R603" s="732" t="str">
        <f>CONCATENATE('DICTIONARY-3'!$A$11," ",'DICTIONARY-6'!$A$6," ",'DICTIONARY-5'!$A$35," ",'DICTIONARY-2'!$A$2,"250"," ",'DICTIONARY-2'!$A$3,"10"," ",'DICTIONARY-2'!$A$10,"10",'DICTIONARY-2'!$A$20,", ",'DICTIONARY-4'!$A$12)</f>
        <v>ZETA Zasuwa noż. A4 DN250 PN10 PS10bar, PNP</v>
      </c>
      <c r="S603" s="733" t="str">
        <f>'DICTIONARY-4'!$A$12</f>
        <v>PNP</v>
      </c>
      <c r="T603" s="732" t="str">
        <f>'DICTIONARY-4'!$A$28</f>
        <v>Przygotowane pod napęd pneumatyczny</v>
      </c>
      <c r="U603" s="734" t="s">
        <v>5751</v>
      </c>
      <c r="V603" s="735">
        <v>10</v>
      </c>
      <c r="W603" s="736"/>
      <c r="X603" s="737"/>
      <c r="Y603" s="738"/>
      <c r="Z603" s="739"/>
      <c r="AA603" s="739"/>
      <c r="AB603" s="740">
        <v>10</v>
      </c>
      <c r="AC603" s="741" t="str">
        <f>'DICTIONARY-5'!$A$11&amp;" 20"</f>
        <v>EN 558 szereg 20</v>
      </c>
      <c r="AD603" s="741" t="str">
        <f>'DICTIONARY-5'!$A$14</f>
        <v>ścieki</v>
      </c>
      <c r="AE603" s="742">
        <v>50</v>
      </c>
      <c r="AF603" s="743">
        <v>69.5</v>
      </c>
      <c r="AG603" s="741" t="str">
        <f>'DICTIONARY-5'!$A$23</f>
        <v>powłoka epoksydowa</v>
      </c>
    </row>
    <row r="604" spans="1:33" x14ac:dyDescent="0.25">
      <c r="A604" s="842" t="s">
        <v>581</v>
      </c>
      <c r="B604" s="842" t="s">
        <v>3262</v>
      </c>
      <c r="C604" s="836">
        <v>1316</v>
      </c>
      <c r="D604" s="836"/>
      <c r="E604" s="836"/>
      <c r="F604" s="836"/>
      <c r="G604" s="496" t="s">
        <v>7796</v>
      </c>
      <c r="H604" s="797" t="str">
        <f>VLOOKUP(G604,SETTINGS!$B$7:$D$97,2,0)</f>
        <v>ZETA</v>
      </c>
      <c r="I604" s="796">
        <f>VLOOKUP(G604,SETTINGS!$B$7:$D$97,3,0)</f>
        <v>0</v>
      </c>
      <c r="J604" s="670" t="str">
        <f>IFERROR(IF(CURRENCY.FORMAT_1=0,CONCATENATE(TEXT(FIXED(ROUND((C604/EXC.RATE_1),CURRENCY.FORMAT_1),CURRENCY.FORMAT_1,1),"# ##0;-# ##0"),",-"),FIXED(ROUND((C604/EXC.RATE_1),CURRENCY.FORMAT_1),CURRENCY.FORMAT_1,0)),'DICTIONARY-5'!$A$2)</f>
        <v>1 316,-</v>
      </c>
      <c r="K604" s="670" t="str">
        <f>IF(EXC.RATE_2=0,"",IFERROR(IF(CURRENCY.FORMAT_2=0,CONCATENATE(TEXT(FIXED(ROUND(IF(EXC.RATE.SWITCH=1,C604/EXC.RATE_2,C604*EXC.RATE_2),CURRENCY.FORMAT_2),CURRENCY.FORMAT_2,1),"# ##0;-# ##0"),",-"),FIXED(ROUND(IF(EXC.RATE.SWITCH=1,C604/EXC.RATE_2,C604*EXC.RATE_2),CURRENCY.FORMAT_2),CURRENCY.FORMAT_2,0)),'DICTIONARY-5'!$A$2))</f>
        <v/>
      </c>
      <c r="L604" s="670" t="str">
        <f>IFERROR(IF(CURRENCY.FORMAT_1=0,CONCATENATE(TEXT(FIXED(ROUND((C604*(1-I604)*(1-ADD.DISCOUNT)*(1+MAT.SURCHARGE)/EXC.RATE_1),CURRENCY.FORMAT_1),CURRENCY.FORMAT_1,1),"# ##0;-# ##0"),",-"),FIXED(ROUND((C604*(1-I604)*(1-ADD.DISCOUNT)*(1+MAT.SURCHARGE)/EXC.RATE_1),CURRENCY.FORMAT_1),CURRENCY.FORMAT_1,0)),'DICTIONARY-5'!$A$2)</f>
        <v>1 367,-</v>
      </c>
      <c r="M604" s="670" t="str">
        <f>IF(EXC.RATE_2=0,"",IFERROR(IF(CURRENCY.FORMAT_2=0,CONCATENATE(TEXT(FIXED(ROUND(IF(EXC.RATE.SWITCH=1,C604*(1-I604)*(1-ADD.DISCOUNT)*(1+MAT.SURCHARGE)/EXC.RATE_2,C604*(1-I604)*(1-ADD.DISCOUNT)*(1+MAT.SURCHARGE)*EXC.RATE_2),CURRENCY.FORMAT_2),CURRENCY.FORMAT_2,1),"# ##0;-# ##0"),",-"),FIXED(ROUND(IF(EXC.RATE.SWITCH=1,C604*(1-I604)*(1-ADD.DISCOUNT)*(1+MAT.SURCHARGE)/EXC.RATE_2,C604*(1-I604)*(1-ADD.DISCOUNT)*(1+MAT.SURCHARGE)*EXC.RATE_2),CURRENCY.FORMAT_2),CURRENCY.FORMAT_2,0)),'DICTIONARY-5'!$A$2))</f>
        <v/>
      </c>
      <c r="N604" s="544">
        <v>2</v>
      </c>
      <c r="O604" s="544"/>
      <c r="P604" s="731" t="str">
        <f>'DICTIONARY-3'!$A$11</f>
        <v>ZETA</v>
      </c>
      <c r="Q604" s="732" t="str">
        <f>'DICTIONARY-3'!$A$189</f>
        <v>Zasuwa nożowa</v>
      </c>
      <c r="R604" s="732" t="str">
        <f>CONCATENATE('DICTIONARY-3'!$A$11," ",'DICTIONARY-6'!$A$6," ",'DICTIONARY-5'!$A$35," ",'DICTIONARY-2'!$A$2,"300"," ",'DICTIONARY-2'!$A$3,"10"," ",'DICTIONARY-2'!$A$10,"10",'DICTIONARY-2'!$A$20,", ",'DICTIONARY-4'!$A$12)</f>
        <v>ZETA Zasuwa noż. A4 DN300 PN10 PS10bar, PNP</v>
      </c>
      <c r="S604" s="733" t="str">
        <f>'DICTIONARY-4'!$A$12</f>
        <v>PNP</v>
      </c>
      <c r="T604" s="732" t="str">
        <f>'DICTIONARY-4'!$A$28</f>
        <v>Przygotowane pod napęd pneumatyczny</v>
      </c>
      <c r="U604" s="734" t="s">
        <v>5752</v>
      </c>
      <c r="V604" s="735">
        <v>10</v>
      </c>
      <c r="W604" s="736"/>
      <c r="X604" s="737"/>
      <c r="Y604" s="738"/>
      <c r="Z604" s="739"/>
      <c r="AA604" s="739"/>
      <c r="AB604" s="740">
        <v>10</v>
      </c>
      <c r="AC604" s="741" t="str">
        <f>'DICTIONARY-5'!$A$11&amp;" 20"</f>
        <v>EN 558 szereg 20</v>
      </c>
      <c r="AD604" s="741" t="str">
        <f>'DICTIONARY-5'!$A$14</f>
        <v>ścieki</v>
      </c>
      <c r="AE604" s="742">
        <v>50</v>
      </c>
      <c r="AF604" s="743">
        <v>92</v>
      </c>
      <c r="AG604" s="741" t="str">
        <f>'DICTIONARY-5'!$A$23</f>
        <v>powłoka epoksydowa</v>
      </c>
    </row>
    <row r="605" spans="1:33" x14ac:dyDescent="0.25">
      <c r="A605" s="842" t="s">
        <v>582</v>
      </c>
      <c r="B605" s="842" t="s">
        <v>3266</v>
      </c>
      <c r="C605" s="836">
        <v>1754</v>
      </c>
      <c r="D605" s="836"/>
      <c r="E605" s="836"/>
      <c r="F605" s="836"/>
      <c r="G605" s="496" t="s">
        <v>7796</v>
      </c>
      <c r="H605" s="797" t="str">
        <f>VLOOKUP(G605,SETTINGS!$B$7:$D$97,2,0)</f>
        <v>ZETA</v>
      </c>
      <c r="I605" s="796">
        <f>VLOOKUP(G605,SETTINGS!$B$7:$D$97,3,0)</f>
        <v>0</v>
      </c>
      <c r="J605" s="670" t="str">
        <f>IFERROR(IF(CURRENCY.FORMAT_1=0,CONCATENATE(TEXT(FIXED(ROUND((C605/EXC.RATE_1),CURRENCY.FORMAT_1),CURRENCY.FORMAT_1,1),"# ##0;-# ##0"),",-"),FIXED(ROUND((C605/EXC.RATE_1),CURRENCY.FORMAT_1),CURRENCY.FORMAT_1,0)),'DICTIONARY-5'!$A$2)</f>
        <v>1 754,-</v>
      </c>
      <c r="K605" s="670" t="str">
        <f>IF(EXC.RATE_2=0,"",IFERROR(IF(CURRENCY.FORMAT_2=0,CONCATENATE(TEXT(FIXED(ROUND(IF(EXC.RATE.SWITCH=1,C605/EXC.RATE_2,C605*EXC.RATE_2),CURRENCY.FORMAT_2),CURRENCY.FORMAT_2,1),"# ##0;-# ##0"),",-"),FIXED(ROUND(IF(EXC.RATE.SWITCH=1,C605/EXC.RATE_2,C605*EXC.RATE_2),CURRENCY.FORMAT_2),CURRENCY.FORMAT_2,0)),'DICTIONARY-5'!$A$2))</f>
        <v/>
      </c>
      <c r="L605" s="670" t="str">
        <f>IFERROR(IF(CURRENCY.FORMAT_1=0,CONCATENATE(TEXT(FIXED(ROUND((C605*(1-I605)*(1-ADD.DISCOUNT)*(1+MAT.SURCHARGE)/EXC.RATE_1),CURRENCY.FORMAT_1),CURRENCY.FORMAT_1,1),"# ##0;-# ##0"),",-"),FIXED(ROUND((C605*(1-I605)*(1-ADD.DISCOUNT)*(1+MAT.SURCHARGE)/EXC.RATE_1),CURRENCY.FORMAT_1),CURRENCY.FORMAT_1,0)),'DICTIONARY-5'!$A$2)</f>
        <v>1 822,-</v>
      </c>
      <c r="M605" s="670" t="str">
        <f>IF(EXC.RATE_2=0,"",IFERROR(IF(CURRENCY.FORMAT_2=0,CONCATENATE(TEXT(FIXED(ROUND(IF(EXC.RATE.SWITCH=1,C605*(1-I605)*(1-ADD.DISCOUNT)*(1+MAT.SURCHARGE)/EXC.RATE_2,C605*(1-I605)*(1-ADD.DISCOUNT)*(1+MAT.SURCHARGE)*EXC.RATE_2),CURRENCY.FORMAT_2),CURRENCY.FORMAT_2,1),"# ##0;-# ##0"),",-"),FIXED(ROUND(IF(EXC.RATE.SWITCH=1,C605*(1-I605)*(1-ADD.DISCOUNT)*(1+MAT.SURCHARGE)/EXC.RATE_2,C605*(1-I605)*(1-ADD.DISCOUNT)*(1+MAT.SURCHARGE)*EXC.RATE_2),CURRENCY.FORMAT_2),CURRENCY.FORMAT_2,0)),'DICTIONARY-5'!$A$2))</f>
        <v/>
      </c>
      <c r="N605" s="544">
        <v>2</v>
      </c>
      <c r="O605" s="544"/>
      <c r="P605" s="731" t="str">
        <f>'DICTIONARY-3'!$A$11</f>
        <v>ZETA</v>
      </c>
      <c r="Q605" s="732" t="str">
        <f>'DICTIONARY-3'!$A$189</f>
        <v>Zasuwa nożowa</v>
      </c>
      <c r="R605" s="732" t="str">
        <f>CONCATENATE('DICTIONARY-3'!$A$11," ",'DICTIONARY-6'!$A$6," ",'DICTIONARY-5'!$A$35," ",'DICTIONARY-2'!$A$2,"350"," ",'DICTIONARY-2'!$A$3,"10"," ",'DICTIONARY-2'!$A$10,"8",'DICTIONARY-2'!$A$20,", ",'DICTIONARY-4'!$A$12)</f>
        <v>ZETA Zasuwa noż. A4 DN350 PN10 PS8bar, PNP</v>
      </c>
      <c r="S605" s="733" t="str">
        <f>'DICTIONARY-4'!$A$12</f>
        <v>PNP</v>
      </c>
      <c r="T605" s="732" t="str">
        <f>'DICTIONARY-4'!$A$28</f>
        <v>Przygotowane pod napęd pneumatyczny</v>
      </c>
      <c r="U605" s="734" t="s">
        <v>5753</v>
      </c>
      <c r="V605" s="735">
        <v>10</v>
      </c>
      <c r="W605" s="736"/>
      <c r="X605" s="737"/>
      <c r="Y605" s="738"/>
      <c r="Z605" s="739"/>
      <c r="AA605" s="739"/>
      <c r="AB605" s="740">
        <v>8</v>
      </c>
      <c r="AC605" s="741" t="str">
        <f>'DICTIONARY-5'!$A$11&amp;" 20"</f>
        <v>EN 558 szereg 20</v>
      </c>
      <c r="AD605" s="741" t="str">
        <f>'DICTIONARY-5'!$A$14</f>
        <v>ścieki</v>
      </c>
      <c r="AE605" s="742">
        <v>50</v>
      </c>
      <c r="AF605" s="743">
        <v>108</v>
      </c>
      <c r="AG605" s="741" t="str">
        <f>'DICTIONARY-5'!$A$23</f>
        <v>powłoka epoksydowa</v>
      </c>
    </row>
    <row r="606" spans="1:33" x14ac:dyDescent="0.25">
      <c r="A606" s="842" t="s">
        <v>583</v>
      </c>
      <c r="B606" s="842" t="s">
        <v>3270</v>
      </c>
      <c r="C606" s="836">
        <v>2405</v>
      </c>
      <c r="D606" s="836"/>
      <c r="E606" s="836"/>
      <c r="F606" s="836"/>
      <c r="G606" s="496" t="s">
        <v>7796</v>
      </c>
      <c r="H606" s="797" t="str">
        <f>VLOOKUP(G606,SETTINGS!$B$7:$D$97,2,0)</f>
        <v>ZETA</v>
      </c>
      <c r="I606" s="796">
        <f>VLOOKUP(G606,SETTINGS!$B$7:$D$97,3,0)</f>
        <v>0</v>
      </c>
      <c r="J606" s="670" t="str">
        <f>IFERROR(IF(CURRENCY.FORMAT_1=0,CONCATENATE(TEXT(FIXED(ROUND((C606/EXC.RATE_1),CURRENCY.FORMAT_1),CURRENCY.FORMAT_1,1),"# ##0;-# ##0"),",-"),FIXED(ROUND((C606/EXC.RATE_1),CURRENCY.FORMAT_1),CURRENCY.FORMAT_1,0)),'DICTIONARY-5'!$A$2)</f>
        <v>2 405,-</v>
      </c>
      <c r="K606" s="670" t="str">
        <f>IF(EXC.RATE_2=0,"",IFERROR(IF(CURRENCY.FORMAT_2=0,CONCATENATE(TEXT(FIXED(ROUND(IF(EXC.RATE.SWITCH=1,C606/EXC.RATE_2,C606*EXC.RATE_2),CURRENCY.FORMAT_2),CURRENCY.FORMAT_2,1),"# ##0;-# ##0"),",-"),FIXED(ROUND(IF(EXC.RATE.SWITCH=1,C606/EXC.RATE_2,C606*EXC.RATE_2),CURRENCY.FORMAT_2),CURRENCY.FORMAT_2,0)),'DICTIONARY-5'!$A$2))</f>
        <v/>
      </c>
      <c r="L606" s="670" t="str">
        <f>IFERROR(IF(CURRENCY.FORMAT_1=0,CONCATENATE(TEXT(FIXED(ROUND((C606*(1-I606)*(1-ADD.DISCOUNT)*(1+MAT.SURCHARGE)/EXC.RATE_1),CURRENCY.FORMAT_1),CURRENCY.FORMAT_1,1),"# ##0;-# ##0"),",-"),FIXED(ROUND((C606*(1-I606)*(1-ADD.DISCOUNT)*(1+MAT.SURCHARGE)/EXC.RATE_1),CURRENCY.FORMAT_1),CURRENCY.FORMAT_1,0)),'DICTIONARY-5'!$A$2)</f>
        <v>2 499,-</v>
      </c>
      <c r="M606" s="670" t="str">
        <f>IF(EXC.RATE_2=0,"",IFERROR(IF(CURRENCY.FORMAT_2=0,CONCATENATE(TEXT(FIXED(ROUND(IF(EXC.RATE.SWITCH=1,C606*(1-I606)*(1-ADD.DISCOUNT)*(1+MAT.SURCHARGE)/EXC.RATE_2,C606*(1-I606)*(1-ADD.DISCOUNT)*(1+MAT.SURCHARGE)*EXC.RATE_2),CURRENCY.FORMAT_2),CURRENCY.FORMAT_2,1),"# ##0;-# ##0"),",-"),FIXED(ROUND(IF(EXC.RATE.SWITCH=1,C606*(1-I606)*(1-ADD.DISCOUNT)*(1+MAT.SURCHARGE)/EXC.RATE_2,C606*(1-I606)*(1-ADD.DISCOUNT)*(1+MAT.SURCHARGE)*EXC.RATE_2),CURRENCY.FORMAT_2),CURRENCY.FORMAT_2,0)),'DICTIONARY-5'!$A$2))</f>
        <v/>
      </c>
      <c r="N606" s="544">
        <v>2</v>
      </c>
      <c r="O606" s="544"/>
      <c r="P606" s="731" t="str">
        <f>'DICTIONARY-3'!$A$11</f>
        <v>ZETA</v>
      </c>
      <c r="Q606" s="732" t="str">
        <f>'DICTIONARY-3'!$A$189</f>
        <v>Zasuwa nożowa</v>
      </c>
      <c r="R606" s="732" t="str">
        <f>CONCATENATE('DICTIONARY-3'!$A$11," ",'DICTIONARY-6'!$A$6," ",'DICTIONARY-5'!$A$35," ",'DICTIONARY-2'!$A$2,"400"," ",'DICTIONARY-2'!$A$3,"10"," ",'DICTIONARY-2'!$A$10,"8",'DICTIONARY-2'!$A$20,", ",'DICTIONARY-4'!$A$12)</f>
        <v>ZETA Zasuwa noż. A4 DN400 PN10 PS8bar, PNP</v>
      </c>
      <c r="S606" s="733" t="str">
        <f>'DICTIONARY-4'!$A$12</f>
        <v>PNP</v>
      </c>
      <c r="T606" s="732" t="str">
        <f>'DICTIONARY-4'!$A$28</f>
        <v>Przygotowane pod napęd pneumatyczny</v>
      </c>
      <c r="U606" s="734" t="s">
        <v>5754</v>
      </c>
      <c r="V606" s="735">
        <v>10</v>
      </c>
      <c r="W606" s="736"/>
      <c r="X606" s="737"/>
      <c r="Y606" s="738"/>
      <c r="Z606" s="739"/>
      <c r="AA606" s="739"/>
      <c r="AB606" s="740">
        <v>8</v>
      </c>
      <c r="AC606" s="741" t="str">
        <f>'DICTIONARY-5'!$A$11&amp;" 20"</f>
        <v>EN 558 szereg 20</v>
      </c>
      <c r="AD606" s="741" t="str">
        <f>'DICTIONARY-5'!$A$14</f>
        <v>ścieki</v>
      </c>
      <c r="AE606" s="742">
        <v>50</v>
      </c>
      <c r="AF606" s="743">
        <v>164</v>
      </c>
      <c r="AG606" s="741" t="str">
        <f>'DICTIONARY-5'!$A$23</f>
        <v>powłoka epoksydowa</v>
      </c>
    </row>
    <row r="607" spans="1:33" x14ac:dyDescent="0.25">
      <c r="A607" s="842" t="s">
        <v>584</v>
      </c>
      <c r="B607" s="842" t="s">
        <v>3274</v>
      </c>
      <c r="C607" s="836">
        <v>4788</v>
      </c>
      <c r="D607" s="836"/>
      <c r="E607" s="836"/>
      <c r="F607" s="836"/>
      <c r="G607" s="496" t="s">
        <v>7796</v>
      </c>
      <c r="H607" s="797" t="str">
        <f>VLOOKUP(G607,SETTINGS!$B$7:$D$97,2,0)</f>
        <v>ZETA</v>
      </c>
      <c r="I607" s="796">
        <f>VLOOKUP(G607,SETTINGS!$B$7:$D$97,3,0)</f>
        <v>0</v>
      </c>
      <c r="J607" s="670" t="str">
        <f>IFERROR(IF(CURRENCY.FORMAT_1=0,CONCATENATE(TEXT(FIXED(ROUND((C607/EXC.RATE_1),CURRENCY.FORMAT_1),CURRENCY.FORMAT_1,1),"# ##0;-# ##0"),",-"),FIXED(ROUND((C607/EXC.RATE_1),CURRENCY.FORMAT_1),CURRENCY.FORMAT_1,0)),'DICTIONARY-5'!$A$2)</f>
        <v>4 788,-</v>
      </c>
      <c r="K607" s="670" t="str">
        <f>IF(EXC.RATE_2=0,"",IFERROR(IF(CURRENCY.FORMAT_2=0,CONCATENATE(TEXT(FIXED(ROUND(IF(EXC.RATE.SWITCH=1,C607/EXC.RATE_2,C607*EXC.RATE_2),CURRENCY.FORMAT_2),CURRENCY.FORMAT_2,1),"# ##0;-# ##0"),",-"),FIXED(ROUND(IF(EXC.RATE.SWITCH=1,C607/EXC.RATE_2,C607*EXC.RATE_2),CURRENCY.FORMAT_2),CURRENCY.FORMAT_2,0)),'DICTIONARY-5'!$A$2))</f>
        <v/>
      </c>
      <c r="L607" s="670" t="str">
        <f>IFERROR(IF(CURRENCY.FORMAT_1=0,CONCATENATE(TEXT(FIXED(ROUND((C607*(1-I607)*(1-ADD.DISCOUNT)*(1+MAT.SURCHARGE)/EXC.RATE_1),CURRENCY.FORMAT_1),CURRENCY.FORMAT_1,1),"# ##0;-# ##0"),",-"),FIXED(ROUND((C607*(1-I607)*(1-ADD.DISCOUNT)*(1+MAT.SURCHARGE)/EXC.RATE_1),CURRENCY.FORMAT_1),CURRENCY.FORMAT_1,0)),'DICTIONARY-5'!$A$2)</f>
        <v>4 975,-</v>
      </c>
      <c r="M607" s="670" t="str">
        <f>IF(EXC.RATE_2=0,"",IFERROR(IF(CURRENCY.FORMAT_2=0,CONCATENATE(TEXT(FIXED(ROUND(IF(EXC.RATE.SWITCH=1,C607*(1-I607)*(1-ADD.DISCOUNT)*(1+MAT.SURCHARGE)/EXC.RATE_2,C607*(1-I607)*(1-ADD.DISCOUNT)*(1+MAT.SURCHARGE)*EXC.RATE_2),CURRENCY.FORMAT_2),CURRENCY.FORMAT_2,1),"# ##0;-# ##0"),",-"),FIXED(ROUND(IF(EXC.RATE.SWITCH=1,C607*(1-I607)*(1-ADD.DISCOUNT)*(1+MAT.SURCHARGE)/EXC.RATE_2,C607*(1-I607)*(1-ADD.DISCOUNT)*(1+MAT.SURCHARGE)*EXC.RATE_2),CURRENCY.FORMAT_2),CURRENCY.FORMAT_2,0)),'DICTIONARY-5'!$A$2))</f>
        <v/>
      </c>
      <c r="N607" s="544">
        <v>2</v>
      </c>
      <c r="O607" s="544"/>
      <c r="P607" s="731" t="str">
        <f>'DICTIONARY-3'!$A$11</f>
        <v>ZETA</v>
      </c>
      <c r="Q607" s="732" t="str">
        <f>'DICTIONARY-3'!$A$189</f>
        <v>Zasuwa nożowa</v>
      </c>
      <c r="R607" s="732" t="str">
        <f>CONCATENATE('DICTIONARY-3'!$A$11," ",'DICTIONARY-6'!$A$6," ",'DICTIONARY-5'!$A$35," ",'DICTIONARY-2'!$A$2,"500"," ",'DICTIONARY-2'!$A$3,"10"," ",'DICTIONARY-2'!$A$10,"6",'DICTIONARY-2'!$A$20,", ",'DICTIONARY-4'!$A$12)</f>
        <v>ZETA Zasuwa noż. A4 DN500 PN10 PS6bar, PNP</v>
      </c>
      <c r="S607" s="733" t="str">
        <f>'DICTIONARY-4'!$A$12</f>
        <v>PNP</v>
      </c>
      <c r="T607" s="732" t="str">
        <f>'DICTIONARY-4'!$A$28</f>
        <v>Przygotowane pod napęd pneumatyczny</v>
      </c>
      <c r="U607" s="734" t="s">
        <v>5756</v>
      </c>
      <c r="V607" s="735">
        <v>10</v>
      </c>
      <c r="W607" s="736"/>
      <c r="X607" s="737"/>
      <c r="Y607" s="738"/>
      <c r="Z607" s="739"/>
      <c r="AA607" s="739"/>
      <c r="AB607" s="740">
        <v>6</v>
      </c>
      <c r="AC607" s="741" t="str">
        <f>'DICTIONARY-5'!$A$11&amp;" 20"</f>
        <v>EN 558 szereg 20</v>
      </c>
      <c r="AD607" s="741" t="str">
        <f>'DICTIONARY-5'!$A$14</f>
        <v>ścieki</v>
      </c>
      <c r="AE607" s="742">
        <v>50</v>
      </c>
      <c r="AF607" s="743">
        <v>281</v>
      </c>
      <c r="AG607" s="741" t="str">
        <f>'DICTIONARY-5'!$A$23</f>
        <v>powłoka epoksydowa</v>
      </c>
    </row>
    <row r="608" spans="1:33" x14ac:dyDescent="0.25">
      <c r="A608" s="842" t="s">
        <v>585</v>
      </c>
      <c r="B608" s="842" t="s">
        <v>3278</v>
      </c>
      <c r="C608" s="836">
        <v>6506</v>
      </c>
      <c r="D608" s="836"/>
      <c r="E608" s="836"/>
      <c r="F608" s="836"/>
      <c r="G608" s="496" t="s">
        <v>7796</v>
      </c>
      <c r="H608" s="797" t="str">
        <f>VLOOKUP(G608,SETTINGS!$B$7:$D$97,2,0)</f>
        <v>ZETA</v>
      </c>
      <c r="I608" s="796">
        <f>VLOOKUP(G608,SETTINGS!$B$7:$D$97,3,0)</f>
        <v>0</v>
      </c>
      <c r="J608" s="670" t="str">
        <f>IFERROR(IF(CURRENCY.FORMAT_1=0,CONCATENATE(TEXT(FIXED(ROUND((C608/EXC.RATE_1),CURRENCY.FORMAT_1),CURRENCY.FORMAT_1,1),"# ##0;-# ##0"),",-"),FIXED(ROUND((C608/EXC.RATE_1),CURRENCY.FORMAT_1),CURRENCY.FORMAT_1,0)),'DICTIONARY-5'!$A$2)</f>
        <v>6 506,-</v>
      </c>
      <c r="K608" s="670" t="str">
        <f>IF(EXC.RATE_2=0,"",IFERROR(IF(CURRENCY.FORMAT_2=0,CONCATENATE(TEXT(FIXED(ROUND(IF(EXC.RATE.SWITCH=1,C608/EXC.RATE_2,C608*EXC.RATE_2),CURRENCY.FORMAT_2),CURRENCY.FORMAT_2,1),"# ##0;-# ##0"),",-"),FIXED(ROUND(IF(EXC.RATE.SWITCH=1,C608/EXC.RATE_2,C608*EXC.RATE_2),CURRENCY.FORMAT_2),CURRENCY.FORMAT_2,0)),'DICTIONARY-5'!$A$2))</f>
        <v/>
      </c>
      <c r="L608" s="670" t="str">
        <f>IFERROR(IF(CURRENCY.FORMAT_1=0,CONCATENATE(TEXT(FIXED(ROUND((C608*(1-I608)*(1-ADD.DISCOUNT)*(1+MAT.SURCHARGE)/EXC.RATE_1),CURRENCY.FORMAT_1),CURRENCY.FORMAT_1,1),"# ##0;-# ##0"),",-"),FIXED(ROUND((C608*(1-I608)*(1-ADD.DISCOUNT)*(1+MAT.SURCHARGE)/EXC.RATE_1),CURRENCY.FORMAT_1),CURRENCY.FORMAT_1,0)),'DICTIONARY-5'!$A$2)</f>
        <v>6 760,-</v>
      </c>
      <c r="M608" s="670" t="str">
        <f>IF(EXC.RATE_2=0,"",IFERROR(IF(CURRENCY.FORMAT_2=0,CONCATENATE(TEXT(FIXED(ROUND(IF(EXC.RATE.SWITCH=1,C608*(1-I608)*(1-ADD.DISCOUNT)*(1+MAT.SURCHARGE)/EXC.RATE_2,C608*(1-I608)*(1-ADD.DISCOUNT)*(1+MAT.SURCHARGE)*EXC.RATE_2),CURRENCY.FORMAT_2),CURRENCY.FORMAT_2,1),"# ##0;-# ##0"),",-"),FIXED(ROUND(IF(EXC.RATE.SWITCH=1,C608*(1-I608)*(1-ADD.DISCOUNT)*(1+MAT.SURCHARGE)/EXC.RATE_2,C608*(1-I608)*(1-ADD.DISCOUNT)*(1+MAT.SURCHARGE)*EXC.RATE_2),CURRENCY.FORMAT_2),CURRENCY.FORMAT_2,0)),'DICTIONARY-5'!$A$2))</f>
        <v/>
      </c>
      <c r="N608" s="544">
        <v>2</v>
      </c>
      <c r="O608" s="544"/>
      <c r="P608" s="731" t="str">
        <f>'DICTIONARY-3'!$A$11</f>
        <v>ZETA</v>
      </c>
      <c r="Q608" s="732" t="str">
        <f>'DICTIONARY-3'!$A$189</f>
        <v>Zasuwa nożowa</v>
      </c>
      <c r="R608" s="732" t="str">
        <f>CONCATENATE('DICTIONARY-3'!$A$11," ",'DICTIONARY-6'!$A$6," ",'DICTIONARY-5'!$A$35," ",'DICTIONARY-2'!$A$2,"600"," ",'DICTIONARY-2'!$A$3,"10"," ",'DICTIONARY-2'!$A$10,"6",'DICTIONARY-2'!$A$20,", ",'DICTIONARY-4'!$A$12)</f>
        <v>ZETA Zasuwa noż. A4 DN600 PN10 PS6bar, PNP</v>
      </c>
      <c r="S608" s="733" t="str">
        <f>'DICTIONARY-4'!$A$12</f>
        <v>PNP</v>
      </c>
      <c r="T608" s="732" t="str">
        <f>'DICTIONARY-4'!$A$28</f>
        <v>Przygotowane pod napęd pneumatyczny</v>
      </c>
      <c r="U608" s="734" t="s">
        <v>5757</v>
      </c>
      <c r="V608" s="735">
        <v>10</v>
      </c>
      <c r="W608" s="736"/>
      <c r="X608" s="737"/>
      <c r="Y608" s="738"/>
      <c r="Z608" s="739"/>
      <c r="AA608" s="739"/>
      <c r="AB608" s="740">
        <v>6</v>
      </c>
      <c r="AC608" s="741" t="str">
        <f>'DICTIONARY-5'!$A$11&amp;" 20"</f>
        <v>EN 558 szereg 20</v>
      </c>
      <c r="AD608" s="741" t="str">
        <f>'DICTIONARY-5'!$A$14</f>
        <v>ścieki</v>
      </c>
      <c r="AE608" s="742">
        <v>50</v>
      </c>
      <c r="AF608" s="743">
        <v>370</v>
      </c>
      <c r="AG608" s="741" t="str">
        <f>'DICTIONARY-5'!$A$23</f>
        <v>powłoka epoksydowa</v>
      </c>
    </row>
    <row r="609" spans="1:33" x14ac:dyDescent="0.25">
      <c r="A609" s="842" t="s">
        <v>586</v>
      </c>
      <c r="B609" s="842" t="s">
        <v>3231</v>
      </c>
      <c r="C609" s="836">
        <v>676</v>
      </c>
      <c r="D609" s="836"/>
      <c r="E609" s="836"/>
      <c r="F609" s="836"/>
      <c r="G609" s="496" t="s">
        <v>7798</v>
      </c>
      <c r="H609" s="797" t="str">
        <f>VLOOKUP(G609,SETTINGS!$B$7:$D$97,2,0)</f>
        <v>ZETA (with Pneumatic Actuator)</v>
      </c>
      <c r="I609" s="796">
        <f>VLOOKUP(G609,SETTINGS!$B$7:$D$97,3,0)</f>
        <v>0</v>
      </c>
      <c r="J609" s="670" t="str">
        <f>IFERROR(IF(CURRENCY.FORMAT_1=0,CONCATENATE(TEXT(FIXED(ROUND((C609/EXC.RATE_1),CURRENCY.FORMAT_1),CURRENCY.FORMAT_1,1),"# ##0;-# ##0"),",-"),FIXED(ROUND((C609/EXC.RATE_1),CURRENCY.FORMAT_1),CURRENCY.FORMAT_1,0)),'DICTIONARY-5'!$A$2)</f>
        <v>676,-</v>
      </c>
      <c r="K609" s="670" t="str">
        <f>IF(EXC.RATE_2=0,"",IFERROR(IF(CURRENCY.FORMAT_2=0,CONCATENATE(TEXT(FIXED(ROUND(IF(EXC.RATE.SWITCH=1,C609/EXC.RATE_2,C609*EXC.RATE_2),CURRENCY.FORMAT_2),CURRENCY.FORMAT_2,1),"# ##0;-# ##0"),",-"),FIXED(ROUND(IF(EXC.RATE.SWITCH=1,C609/EXC.RATE_2,C609*EXC.RATE_2),CURRENCY.FORMAT_2),CURRENCY.FORMAT_2,0)),'DICTIONARY-5'!$A$2))</f>
        <v/>
      </c>
      <c r="L609" s="670" t="str">
        <f>IFERROR(IF(CURRENCY.FORMAT_1=0,CONCATENATE(TEXT(FIXED(ROUND((C609*(1-I609)*(1-ADD.DISCOUNT)*(1+MAT.SURCHARGE)/EXC.RATE_1),CURRENCY.FORMAT_1),CURRENCY.FORMAT_1,1),"# ##0;-# ##0"),",-"),FIXED(ROUND((C609*(1-I609)*(1-ADD.DISCOUNT)*(1+MAT.SURCHARGE)/EXC.RATE_1),CURRENCY.FORMAT_1),CURRENCY.FORMAT_1,0)),'DICTIONARY-5'!$A$2)</f>
        <v>702,-</v>
      </c>
      <c r="M609" s="670" t="str">
        <f>IF(EXC.RATE_2=0,"",IFERROR(IF(CURRENCY.FORMAT_2=0,CONCATENATE(TEXT(FIXED(ROUND(IF(EXC.RATE.SWITCH=1,C609*(1-I609)*(1-ADD.DISCOUNT)*(1+MAT.SURCHARGE)/EXC.RATE_2,C609*(1-I609)*(1-ADD.DISCOUNT)*(1+MAT.SURCHARGE)*EXC.RATE_2),CURRENCY.FORMAT_2),CURRENCY.FORMAT_2,1),"# ##0;-# ##0"),",-"),FIXED(ROUND(IF(EXC.RATE.SWITCH=1,C609*(1-I609)*(1-ADD.DISCOUNT)*(1+MAT.SURCHARGE)/EXC.RATE_2,C609*(1-I609)*(1-ADD.DISCOUNT)*(1+MAT.SURCHARGE)*EXC.RATE_2),CURRENCY.FORMAT_2),CURRENCY.FORMAT_2,0)),'DICTIONARY-5'!$A$2))</f>
        <v/>
      </c>
      <c r="N609" s="544">
        <v>2</v>
      </c>
      <c r="O609" s="544"/>
      <c r="P609" s="731" t="str">
        <f>'DICTIONARY-3'!$A$11</f>
        <v>ZETA</v>
      </c>
      <c r="Q609" s="732" t="str">
        <f>'DICTIONARY-3'!$A$189</f>
        <v>Zasuwa nożowa</v>
      </c>
      <c r="R609" s="732" t="str">
        <f>CONCATENATE('DICTIONARY-3'!$A$11," ",'DICTIONARY-6'!$A$6," ",'DICTIONARY-5'!$A$35," ",'DICTIONARY-2'!$A$2,"50"," ",'DICTIONARY-2'!$A$3,"10"," ",'DICTIONARY-2'!$A$10,"10",'DICTIONARY-2'!$A$20,", ","FESTO"," ",'DICTIONARY-6'!$A$51,"1")</f>
        <v>ZETA Zasuwa noż. A4 DN50 PN10 PS10bar, FESTO St.1</v>
      </c>
      <c r="S609" s="733" t="str">
        <f>'DICTIONARY-4'!$A$5</f>
        <v>NP</v>
      </c>
      <c r="T609" s="732" t="str">
        <f>'DICTIONARY-4'!$A$21</f>
        <v>Napęd pneumatyczny</v>
      </c>
      <c r="U609" s="734" t="s">
        <v>5748</v>
      </c>
      <c r="V609" s="735">
        <v>10</v>
      </c>
      <c r="W609" s="736"/>
      <c r="X609" s="737"/>
      <c r="Y609" s="738"/>
      <c r="Z609" s="739"/>
      <c r="AA609" s="739"/>
      <c r="AB609" s="740">
        <v>10</v>
      </c>
      <c r="AC609" s="741" t="str">
        <f>'DICTIONARY-5'!$A$11&amp;" 20"</f>
        <v>EN 558 szereg 20</v>
      </c>
      <c r="AD609" s="741" t="str">
        <f>'DICTIONARY-5'!$A$14</f>
        <v>ścieki</v>
      </c>
      <c r="AE609" s="742">
        <v>50</v>
      </c>
      <c r="AF609" s="743">
        <v>12</v>
      </c>
      <c r="AG609" s="741" t="str">
        <f>'DICTIONARY-5'!$A$23</f>
        <v>powłoka epoksydowa</v>
      </c>
    </row>
    <row r="610" spans="1:33" x14ac:dyDescent="0.25">
      <c r="A610" s="842" t="s">
        <v>589</v>
      </c>
      <c r="B610" s="842" t="s">
        <v>3235</v>
      </c>
      <c r="C610" s="836">
        <v>674</v>
      </c>
      <c r="D610" s="836"/>
      <c r="E610" s="836"/>
      <c r="F610" s="836"/>
      <c r="G610" s="496" t="s">
        <v>7798</v>
      </c>
      <c r="H610" s="797" t="str">
        <f>VLOOKUP(G610,SETTINGS!$B$7:$D$97,2,0)</f>
        <v>ZETA (with Pneumatic Actuator)</v>
      </c>
      <c r="I610" s="796">
        <f>VLOOKUP(G610,SETTINGS!$B$7:$D$97,3,0)</f>
        <v>0</v>
      </c>
      <c r="J610" s="670" t="str">
        <f>IFERROR(IF(CURRENCY.FORMAT_1=0,CONCATENATE(TEXT(FIXED(ROUND((C610/EXC.RATE_1),CURRENCY.FORMAT_1),CURRENCY.FORMAT_1,1),"# ##0;-# ##0"),",-"),FIXED(ROUND((C610/EXC.RATE_1),CURRENCY.FORMAT_1),CURRENCY.FORMAT_1,0)),'DICTIONARY-5'!$A$2)</f>
        <v>674,-</v>
      </c>
      <c r="K610" s="670" t="str">
        <f>IF(EXC.RATE_2=0,"",IFERROR(IF(CURRENCY.FORMAT_2=0,CONCATENATE(TEXT(FIXED(ROUND(IF(EXC.RATE.SWITCH=1,C610/EXC.RATE_2,C610*EXC.RATE_2),CURRENCY.FORMAT_2),CURRENCY.FORMAT_2,1),"# ##0;-# ##0"),",-"),FIXED(ROUND(IF(EXC.RATE.SWITCH=1,C610/EXC.RATE_2,C610*EXC.RATE_2),CURRENCY.FORMAT_2),CURRENCY.FORMAT_2,0)),'DICTIONARY-5'!$A$2))</f>
        <v/>
      </c>
      <c r="L610" s="670" t="str">
        <f>IFERROR(IF(CURRENCY.FORMAT_1=0,CONCATENATE(TEXT(FIXED(ROUND((C610*(1-I610)*(1-ADD.DISCOUNT)*(1+MAT.SURCHARGE)/EXC.RATE_1),CURRENCY.FORMAT_1),CURRENCY.FORMAT_1,1),"# ##0;-# ##0"),",-"),FIXED(ROUND((C610*(1-I610)*(1-ADD.DISCOUNT)*(1+MAT.SURCHARGE)/EXC.RATE_1),CURRENCY.FORMAT_1),CURRENCY.FORMAT_1,0)),'DICTIONARY-5'!$A$2)</f>
        <v>700,-</v>
      </c>
      <c r="M610" s="670" t="str">
        <f>IF(EXC.RATE_2=0,"",IFERROR(IF(CURRENCY.FORMAT_2=0,CONCATENATE(TEXT(FIXED(ROUND(IF(EXC.RATE.SWITCH=1,C610*(1-I610)*(1-ADD.DISCOUNT)*(1+MAT.SURCHARGE)/EXC.RATE_2,C610*(1-I610)*(1-ADD.DISCOUNT)*(1+MAT.SURCHARGE)*EXC.RATE_2),CURRENCY.FORMAT_2),CURRENCY.FORMAT_2,1),"# ##0;-# ##0"),",-"),FIXED(ROUND(IF(EXC.RATE.SWITCH=1,C610*(1-I610)*(1-ADD.DISCOUNT)*(1+MAT.SURCHARGE)/EXC.RATE_2,C610*(1-I610)*(1-ADD.DISCOUNT)*(1+MAT.SURCHARGE)*EXC.RATE_2),CURRENCY.FORMAT_2),CURRENCY.FORMAT_2,0)),'DICTIONARY-5'!$A$2))</f>
        <v/>
      </c>
      <c r="N610" s="544">
        <v>2</v>
      </c>
      <c r="O610" s="544"/>
      <c r="P610" s="731" t="str">
        <f>'DICTIONARY-3'!$A$11</f>
        <v>ZETA</v>
      </c>
      <c r="Q610" s="732" t="str">
        <f>'DICTIONARY-3'!$A$189</f>
        <v>Zasuwa nożowa</v>
      </c>
      <c r="R610" s="732" t="str">
        <f>CONCATENATE('DICTIONARY-3'!$A$11," ",'DICTIONARY-6'!$A$6," ",'DICTIONARY-5'!$A$35," ",'DICTIONARY-2'!$A$2,"65"," ",'DICTIONARY-2'!$A$3,"10"," ",'DICTIONARY-2'!$A$10,"10",'DICTIONARY-2'!$A$20,", ","FESTO"," ",'DICTIONARY-6'!$A$51,"1")</f>
        <v>ZETA Zasuwa noż. A4 DN65 PN10 PS10bar, FESTO St.1</v>
      </c>
      <c r="S610" s="733" t="str">
        <f>'DICTIONARY-4'!$A$5</f>
        <v>NP</v>
      </c>
      <c r="T610" s="732" t="str">
        <f>'DICTIONARY-4'!$A$21</f>
        <v>Napęd pneumatyczny</v>
      </c>
      <c r="U610" s="734" t="s">
        <v>5759</v>
      </c>
      <c r="V610" s="735">
        <v>10</v>
      </c>
      <c r="W610" s="736"/>
      <c r="X610" s="737"/>
      <c r="Y610" s="738"/>
      <c r="Z610" s="739"/>
      <c r="AA610" s="739"/>
      <c r="AB610" s="740">
        <v>10</v>
      </c>
      <c r="AC610" s="741" t="str">
        <f>'DICTIONARY-5'!$A$11&amp;" 20"</f>
        <v>EN 558 szereg 20</v>
      </c>
      <c r="AD610" s="741" t="str">
        <f>'DICTIONARY-5'!$A$14</f>
        <v>ścieki</v>
      </c>
      <c r="AE610" s="742">
        <v>50</v>
      </c>
      <c r="AF610" s="743">
        <v>10</v>
      </c>
      <c r="AG610" s="741" t="str">
        <f>'DICTIONARY-5'!$A$23</f>
        <v>powłoka epoksydowa</v>
      </c>
    </row>
    <row r="611" spans="1:33" x14ac:dyDescent="0.25">
      <c r="A611" s="842" t="s">
        <v>592</v>
      </c>
      <c r="B611" s="842" t="s">
        <v>3239</v>
      </c>
      <c r="C611" s="836">
        <v>719</v>
      </c>
      <c r="D611" s="836"/>
      <c r="E611" s="836"/>
      <c r="F611" s="836"/>
      <c r="G611" s="496" t="s">
        <v>7798</v>
      </c>
      <c r="H611" s="797" t="str">
        <f>VLOOKUP(G611,SETTINGS!$B$7:$D$97,2,0)</f>
        <v>ZETA (with Pneumatic Actuator)</v>
      </c>
      <c r="I611" s="796">
        <f>VLOOKUP(G611,SETTINGS!$B$7:$D$97,3,0)</f>
        <v>0</v>
      </c>
      <c r="J611" s="670" t="str">
        <f>IFERROR(IF(CURRENCY.FORMAT_1=0,CONCATENATE(TEXT(FIXED(ROUND((C611/EXC.RATE_1),CURRENCY.FORMAT_1),CURRENCY.FORMAT_1,1),"# ##0;-# ##0"),",-"),FIXED(ROUND((C611/EXC.RATE_1),CURRENCY.FORMAT_1),CURRENCY.FORMAT_1,0)),'DICTIONARY-5'!$A$2)</f>
        <v>719,-</v>
      </c>
      <c r="K611" s="670" t="str">
        <f>IF(EXC.RATE_2=0,"",IFERROR(IF(CURRENCY.FORMAT_2=0,CONCATENATE(TEXT(FIXED(ROUND(IF(EXC.RATE.SWITCH=1,C611/EXC.RATE_2,C611*EXC.RATE_2),CURRENCY.FORMAT_2),CURRENCY.FORMAT_2,1),"# ##0;-# ##0"),",-"),FIXED(ROUND(IF(EXC.RATE.SWITCH=1,C611/EXC.RATE_2,C611*EXC.RATE_2),CURRENCY.FORMAT_2),CURRENCY.FORMAT_2,0)),'DICTIONARY-5'!$A$2))</f>
        <v/>
      </c>
      <c r="L611" s="670" t="str">
        <f>IFERROR(IF(CURRENCY.FORMAT_1=0,CONCATENATE(TEXT(FIXED(ROUND((C611*(1-I611)*(1-ADD.DISCOUNT)*(1+MAT.SURCHARGE)/EXC.RATE_1),CURRENCY.FORMAT_1),CURRENCY.FORMAT_1,1),"# ##0;-# ##0"),",-"),FIXED(ROUND((C611*(1-I611)*(1-ADD.DISCOUNT)*(1+MAT.SURCHARGE)/EXC.RATE_1),CURRENCY.FORMAT_1),CURRENCY.FORMAT_1,0)),'DICTIONARY-5'!$A$2)</f>
        <v>747,-</v>
      </c>
      <c r="M611" s="670" t="str">
        <f>IF(EXC.RATE_2=0,"",IFERROR(IF(CURRENCY.FORMAT_2=0,CONCATENATE(TEXT(FIXED(ROUND(IF(EXC.RATE.SWITCH=1,C611*(1-I611)*(1-ADD.DISCOUNT)*(1+MAT.SURCHARGE)/EXC.RATE_2,C611*(1-I611)*(1-ADD.DISCOUNT)*(1+MAT.SURCHARGE)*EXC.RATE_2),CURRENCY.FORMAT_2),CURRENCY.FORMAT_2,1),"# ##0;-# ##0"),",-"),FIXED(ROUND(IF(EXC.RATE.SWITCH=1,C611*(1-I611)*(1-ADD.DISCOUNT)*(1+MAT.SURCHARGE)/EXC.RATE_2,C611*(1-I611)*(1-ADD.DISCOUNT)*(1+MAT.SURCHARGE)*EXC.RATE_2),CURRENCY.FORMAT_2),CURRENCY.FORMAT_2,0)),'DICTIONARY-5'!$A$2))</f>
        <v/>
      </c>
      <c r="N611" s="544">
        <v>2</v>
      </c>
      <c r="O611" s="544"/>
      <c r="P611" s="731" t="str">
        <f>'DICTIONARY-3'!$A$11</f>
        <v>ZETA</v>
      </c>
      <c r="Q611" s="732" t="str">
        <f>'DICTIONARY-3'!$A$189</f>
        <v>Zasuwa nożowa</v>
      </c>
      <c r="R611" s="732" t="str">
        <f>CONCATENATE('DICTIONARY-3'!$A$11," ",'DICTIONARY-6'!$A$6," ",'DICTIONARY-5'!$A$35," ",'DICTIONARY-2'!$A$2,"80"," ",'DICTIONARY-2'!$A$3,"10"," ",'DICTIONARY-2'!$A$10,"10",'DICTIONARY-2'!$A$20,", ","FESTO"," ",'DICTIONARY-6'!$A$51,"1")</f>
        <v>ZETA Zasuwa noż. A4 DN80 PN10 PS10bar, FESTO St.1</v>
      </c>
      <c r="S611" s="733" t="str">
        <f>'DICTIONARY-4'!$A$5</f>
        <v>NP</v>
      </c>
      <c r="T611" s="732" t="str">
        <f>'DICTIONARY-4'!$A$21</f>
        <v>Napęd pneumatyczny</v>
      </c>
      <c r="U611" s="734" t="s">
        <v>5760</v>
      </c>
      <c r="V611" s="735">
        <v>10</v>
      </c>
      <c r="W611" s="736"/>
      <c r="X611" s="737"/>
      <c r="Y611" s="738"/>
      <c r="Z611" s="739"/>
      <c r="AA611" s="739"/>
      <c r="AB611" s="740">
        <v>10</v>
      </c>
      <c r="AC611" s="741" t="str">
        <f>'DICTIONARY-5'!$A$11&amp;" 20"</f>
        <v>EN 558 szereg 20</v>
      </c>
      <c r="AD611" s="741" t="str">
        <f>'DICTIONARY-5'!$A$14</f>
        <v>ścieki</v>
      </c>
      <c r="AE611" s="742">
        <v>50</v>
      </c>
      <c r="AF611" s="743">
        <v>15</v>
      </c>
      <c r="AG611" s="741" t="str">
        <f>'DICTIONARY-5'!$A$23</f>
        <v>powłoka epoksydowa</v>
      </c>
    </row>
    <row r="612" spans="1:33" x14ac:dyDescent="0.25">
      <c r="A612" s="842" t="s">
        <v>595</v>
      </c>
      <c r="B612" s="842" t="s">
        <v>3243</v>
      </c>
      <c r="C612" s="836">
        <v>816</v>
      </c>
      <c r="D612" s="836"/>
      <c r="E612" s="836"/>
      <c r="F612" s="836"/>
      <c r="G612" s="496" t="s">
        <v>7798</v>
      </c>
      <c r="H612" s="797" t="str">
        <f>VLOOKUP(G612,SETTINGS!$B$7:$D$97,2,0)</f>
        <v>ZETA (with Pneumatic Actuator)</v>
      </c>
      <c r="I612" s="796">
        <f>VLOOKUP(G612,SETTINGS!$B$7:$D$97,3,0)</f>
        <v>0</v>
      </c>
      <c r="J612" s="670" t="str">
        <f>IFERROR(IF(CURRENCY.FORMAT_1=0,CONCATENATE(TEXT(FIXED(ROUND((C612/EXC.RATE_1),CURRENCY.FORMAT_1),CURRENCY.FORMAT_1,1),"# ##0;-# ##0"),",-"),FIXED(ROUND((C612/EXC.RATE_1),CURRENCY.FORMAT_1),CURRENCY.FORMAT_1,0)),'DICTIONARY-5'!$A$2)</f>
        <v>816,-</v>
      </c>
      <c r="K612" s="670" t="str">
        <f>IF(EXC.RATE_2=0,"",IFERROR(IF(CURRENCY.FORMAT_2=0,CONCATENATE(TEXT(FIXED(ROUND(IF(EXC.RATE.SWITCH=1,C612/EXC.RATE_2,C612*EXC.RATE_2),CURRENCY.FORMAT_2),CURRENCY.FORMAT_2,1),"# ##0;-# ##0"),",-"),FIXED(ROUND(IF(EXC.RATE.SWITCH=1,C612/EXC.RATE_2,C612*EXC.RATE_2),CURRENCY.FORMAT_2),CURRENCY.FORMAT_2,0)),'DICTIONARY-5'!$A$2))</f>
        <v/>
      </c>
      <c r="L612" s="670" t="str">
        <f>IFERROR(IF(CURRENCY.FORMAT_1=0,CONCATENATE(TEXT(FIXED(ROUND((C612*(1-I612)*(1-ADD.DISCOUNT)*(1+MAT.SURCHARGE)/EXC.RATE_1),CURRENCY.FORMAT_1),CURRENCY.FORMAT_1,1),"# ##0;-# ##0"),",-"),FIXED(ROUND((C612*(1-I612)*(1-ADD.DISCOUNT)*(1+MAT.SURCHARGE)/EXC.RATE_1),CURRENCY.FORMAT_1),CURRENCY.FORMAT_1,0)),'DICTIONARY-5'!$A$2)</f>
        <v>848,-</v>
      </c>
      <c r="M612" s="670" t="str">
        <f>IF(EXC.RATE_2=0,"",IFERROR(IF(CURRENCY.FORMAT_2=0,CONCATENATE(TEXT(FIXED(ROUND(IF(EXC.RATE.SWITCH=1,C612*(1-I612)*(1-ADD.DISCOUNT)*(1+MAT.SURCHARGE)/EXC.RATE_2,C612*(1-I612)*(1-ADD.DISCOUNT)*(1+MAT.SURCHARGE)*EXC.RATE_2),CURRENCY.FORMAT_2),CURRENCY.FORMAT_2,1),"# ##0;-# ##0"),",-"),FIXED(ROUND(IF(EXC.RATE.SWITCH=1,C612*(1-I612)*(1-ADD.DISCOUNT)*(1+MAT.SURCHARGE)/EXC.RATE_2,C612*(1-I612)*(1-ADD.DISCOUNT)*(1+MAT.SURCHARGE)*EXC.RATE_2),CURRENCY.FORMAT_2),CURRENCY.FORMAT_2,0)),'DICTIONARY-5'!$A$2))</f>
        <v/>
      </c>
      <c r="N612" s="544">
        <v>2</v>
      </c>
      <c r="O612" s="544"/>
      <c r="P612" s="731" t="str">
        <f>'DICTIONARY-3'!$A$11</f>
        <v>ZETA</v>
      </c>
      <c r="Q612" s="732" t="str">
        <f>'DICTIONARY-3'!$A$189</f>
        <v>Zasuwa nożowa</v>
      </c>
      <c r="R612" s="732" t="str">
        <f>CONCATENATE('DICTIONARY-3'!$A$11," ",'DICTIONARY-6'!$A$6," ",'DICTIONARY-5'!$A$35," ",'DICTIONARY-2'!$A$2,"100"," ",'DICTIONARY-2'!$A$3,"10"," ",'DICTIONARY-2'!$A$10,"10",'DICTIONARY-2'!$A$20,", ","FESTO"," ",'DICTIONARY-6'!$A$51,"1")</f>
        <v>ZETA Zasuwa noż. A4 DN100 PN10 PS10bar, FESTO St.1</v>
      </c>
      <c r="S612" s="733" t="str">
        <f>'DICTIONARY-4'!$A$5</f>
        <v>NP</v>
      </c>
      <c r="T612" s="732" t="str">
        <f>'DICTIONARY-4'!$A$21</f>
        <v>Napęd pneumatyczny</v>
      </c>
      <c r="U612" s="734" t="s">
        <v>5749</v>
      </c>
      <c r="V612" s="735">
        <v>10</v>
      </c>
      <c r="W612" s="736"/>
      <c r="X612" s="737"/>
      <c r="Y612" s="738"/>
      <c r="Z612" s="739"/>
      <c r="AA612" s="739"/>
      <c r="AB612" s="740">
        <v>10</v>
      </c>
      <c r="AC612" s="741" t="str">
        <f>'DICTIONARY-5'!$A$11&amp;" 20"</f>
        <v>EN 558 szereg 20</v>
      </c>
      <c r="AD612" s="741" t="str">
        <f>'DICTIONARY-5'!$A$14</f>
        <v>ścieki</v>
      </c>
      <c r="AE612" s="742">
        <v>50</v>
      </c>
      <c r="AF612" s="743">
        <v>18</v>
      </c>
      <c r="AG612" s="741" t="str">
        <f>'DICTIONARY-5'!$A$23</f>
        <v>powłoka epoksydowa</v>
      </c>
    </row>
    <row r="613" spans="1:33" x14ac:dyDescent="0.25">
      <c r="A613" s="842" t="s">
        <v>598</v>
      </c>
      <c r="B613" s="842" t="s">
        <v>3247</v>
      </c>
      <c r="C613" s="836">
        <v>1152</v>
      </c>
      <c r="D613" s="836"/>
      <c r="E613" s="836"/>
      <c r="F613" s="836"/>
      <c r="G613" s="496" t="s">
        <v>7798</v>
      </c>
      <c r="H613" s="797" t="str">
        <f>VLOOKUP(G613,SETTINGS!$B$7:$D$97,2,0)</f>
        <v>ZETA (with Pneumatic Actuator)</v>
      </c>
      <c r="I613" s="796">
        <f>VLOOKUP(G613,SETTINGS!$B$7:$D$97,3,0)</f>
        <v>0</v>
      </c>
      <c r="J613" s="670" t="str">
        <f>IFERROR(IF(CURRENCY.FORMAT_1=0,CONCATENATE(TEXT(FIXED(ROUND((C613/EXC.RATE_1),CURRENCY.FORMAT_1),CURRENCY.FORMAT_1,1),"# ##0;-# ##0"),",-"),FIXED(ROUND((C613/EXC.RATE_1),CURRENCY.FORMAT_1),CURRENCY.FORMAT_1,0)),'DICTIONARY-5'!$A$2)</f>
        <v>1 152,-</v>
      </c>
      <c r="K613" s="670" t="str">
        <f>IF(EXC.RATE_2=0,"",IFERROR(IF(CURRENCY.FORMAT_2=0,CONCATENATE(TEXT(FIXED(ROUND(IF(EXC.RATE.SWITCH=1,C613/EXC.RATE_2,C613*EXC.RATE_2),CURRENCY.FORMAT_2),CURRENCY.FORMAT_2,1),"# ##0;-# ##0"),",-"),FIXED(ROUND(IF(EXC.RATE.SWITCH=1,C613/EXC.RATE_2,C613*EXC.RATE_2),CURRENCY.FORMAT_2),CURRENCY.FORMAT_2,0)),'DICTIONARY-5'!$A$2))</f>
        <v/>
      </c>
      <c r="L613" s="670" t="str">
        <f>IFERROR(IF(CURRENCY.FORMAT_1=0,CONCATENATE(TEXT(FIXED(ROUND((C613*(1-I613)*(1-ADD.DISCOUNT)*(1+MAT.SURCHARGE)/EXC.RATE_1),CURRENCY.FORMAT_1),CURRENCY.FORMAT_1,1),"# ##0;-# ##0"),",-"),FIXED(ROUND((C613*(1-I613)*(1-ADD.DISCOUNT)*(1+MAT.SURCHARGE)/EXC.RATE_1),CURRENCY.FORMAT_1),CURRENCY.FORMAT_1,0)),'DICTIONARY-5'!$A$2)</f>
        <v>1 197,-</v>
      </c>
      <c r="M613" s="670" t="str">
        <f>IF(EXC.RATE_2=0,"",IFERROR(IF(CURRENCY.FORMAT_2=0,CONCATENATE(TEXT(FIXED(ROUND(IF(EXC.RATE.SWITCH=1,C613*(1-I613)*(1-ADD.DISCOUNT)*(1+MAT.SURCHARGE)/EXC.RATE_2,C613*(1-I613)*(1-ADD.DISCOUNT)*(1+MAT.SURCHARGE)*EXC.RATE_2),CURRENCY.FORMAT_2),CURRENCY.FORMAT_2,1),"# ##0;-# ##0"),",-"),FIXED(ROUND(IF(EXC.RATE.SWITCH=1,C613*(1-I613)*(1-ADD.DISCOUNT)*(1+MAT.SURCHARGE)/EXC.RATE_2,C613*(1-I613)*(1-ADD.DISCOUNT)*(1+MAT.SURCHARGE)*EXC.RATE_2),CURRENCY.FORMAT_2),CURRENCY.FORMAT_2,0)),'DICTIONARY-5'!$A$2))</f>
        <v/>
      </c>
      <c r="N613" s="544">
        <v>2</v>
      </c>
      <c r="O613" s="544"/>
      <c r="P613" s="731" t="str">
        <f>'DICTIONARY-3'!$A$11</f>
        <v>ZETA</v>
      </c>
      <c r="Q613" s="732" t="str">
        <f>'DICTIONARY-3'!$A$189</f>
        <v>Zasuwa nożowa</v>
      </c>
      <c r="R613" s="732" t="str">
        <f>CONCATENATE('DICTIONARY-3'!$A$11," ",'DICTIONARY-6'!$A$6," ",'DICTIONARY-5'!$A$35," ",'DICTIONARY-2'!$A$2,"125"," ",'DICTIONARY-2'!$A$3,"10"," ",'DICTIONARY-2'!$A$10,"10",'DICTIONARY-2'!$A$20,", ","FESTO"," ",'DICTIONARY-6'!$A$51,"1")</f>
        <v>ZETA Zasuwa noż. A4 DN125 PN10 PS10bar, FESTO St.1</v>
      </c>
      <c r="S613" s="733" t="str">
        <f>'DICTIONARY-4'!$A$5</f>
        <v>NP</v>
      </c>
      <c r="T613" s="732" t="str">
        <f>'DICTIONARY-4'!$A$21</f>
        <v>Napęd pneumatyczny</v>
      </c>
      <c r="U613" s="734" t="s">
        <v>5761</v>
      </c>
      <c r="V613" s="735">
        <v>10</v>
      </c>
      <c r="W613" s="736"/>
      <c r="X613" s="737"/>
      <c r="Y613" s="738"/>
      <c r="Z613" s="739"/>
      <c r="AA613" s="739"/>
      <c r="AB613" s="740">
        <v>10</v>
      </c>
      <c r="AC613" s="741" t="str">
        <f>'DICTIONARY-5'!$A$11&amp;" 20"</f>
        <v>EN 558 szereg 20</v>
      </c>
      <c r="AD613" s="741" t="str">
        <f>'DICTIONARY-5'!$A$14</f>
        <v>ścieki</v>
      </c>
      <c r="AE613" s="742">
        <v>50</v>
      </c>
      <c r="AF613" s="743">
        <v>27</v>
      </c>
      <c r="AG613" s="741" t="str">
        <f>'DICTIONARY-5'!$A$23</f>
        <v>powłoka epoksydowa</v>
      </c>
    </row>
    <row r="614" spans="1:33" x14ac:dyDescent="0.25">
      <c r="A614" s="842" t="s">
        <v>601</v>
      </c>
      <c r="B614" s="842" t="s">
        <v>3251</v>
      </c>
      <c r="C614" s="836">
        <v>1413</v>
      </c>
      <c r="D614" s="836"/>
      <c r="E614" s="836"/>
      <c r="F614" s="836"/>
      <c r="G614" s="496" t="s">
        <v>7798</v>
      </c>
      <c r="H614" s="797" t="str">
        <f>VLOOKUP(G614,SETTINGS!$B$7:$D$97,2,0)</f>
        <v>ZETA (with Pneumatic Actuator)</v>
      </c>
      <c r="I614" s="796">
        <f>VLOOKUP(G614,SETTINGS!$B$7:$D$97,3,0)</f>
        <v>0</v>
      </c>
      <c r="J614" s="670" t="str">
        <f>IFERROR(IF(CURRENCY.FORMAT_1=0,CONCATENATE(TEXT(FIXED(ROUND((C614/EXC.RATE_1),CURRENCY.FORMAT_1),CURRENCY.FORMAT_1,1),"# ##0;-# ##0"),",-"),FIXED(ROUND((C614/EXC.RATE_1),CURRENCY.FORMAT_1),CURRENCY.FORMAT_1,0)),'DICTIONARY-5'!$A$2)</f>
        <v>1 413,-</v>
      </c>
      <c r="K614" s="670" t="str">
        <f>IF(EXC.RATE_2=0,"",IFERROR(IF(CURRENCY.FORMAT_2=0,CONCATENATE(TEXT(FIXED(ROUND(IF(EXC.RATE.SWITCH=1,C614/EXC.RATE_2,C614*EXC.RATE_2),CURRENCY.FORMAT_2),CURRENCY.FORMAT_2,1),"# ##0;-# ##0"),",-"),FIXED(ROUND(IF(EXC.RATE.SWITCH=1,C614/EXC.RATE_2,C614*EXC.RATE_2),CURRENCY.FORMAT_2),CURRENCY.FORMAT_2,0)),'DICTIONARY-5'!$A$2))</f>
        <v/>
      </c>
      <c r="L614" s="670" t="str">
        <f>IFERROR(IF(CURRENCY.FORMAT_1=0,CONCATENATE(TEXT(FIXED(ROUND((C614*(1-I614)*(1-ADD.DISCOUNT)*(1+MAT.SURCHARGE)/EXC.RATE_1),CURRENCY.FORMAT_1),CURRENCY.FORMAT_1,1),"# ##0;-# ##0"),",-"),FIXED(ROUND((C614*(1-I614)*(1-ADD.DISCOUNT)*(1+MAT.SURCHARGE)/EXC.RATE_1),CURRENCY.FORMAT_1),CURRENCY.FORMAT_1,0)),'DICTIONARY-5'!$A$2)</f>
        <v>1 468,-</v>
      </c>
      <c r="M614" s="670" t="str">
        <f>IF(EXC.RATE_2=0,"",IFERROR(IF(CURRENCY.FORMAT_2=0,CONCATENATE(TEXT(FIXED(ROUND(IF(EXC.RATE.SWITCH=1,C614*(1-I614)*(1-ADD.DISCOUNT)*(1+MAT.SURCHARGE)/EXC.RATE_2,C614*(1-I614)*(1-ADD.DISCOUNT)*(1+MAT.SURCHARGE)*EXC.RATE_2),CURRENCY.FORMAT_2),CURRENCY.FORMAT_2,1),"# ##0;-# ##0"),",-"),FIXED(ROUND(IF(EXC.RATE.SWITCH=1,C614*(1-I614)*(1-ADD.DISCOUNT)*(1+MAT.SURCHARGE)/EXC.RATE_2,C614*(1-I614)*(1-ADD.DISCOUNT)*(1+MAT.SURCHARGE)*EXC.RATE_2),CURRENCY.FORMAT_2),CURRENCY.FORMAT_2,0)),'DICTIONARY-5'!$A$2))</f>
        <v/>
      </c>
      <c r="N614" s="544">
        <v>2</v>
      </c>
      <c r="O614" s="544"/>
      <c r="P614" s="731" t="str">
        <f>'DICTIONARY-3'!$A$11</f>
        <v>ZETA</v>
      </c>
      <c r="Q614" s="732" t="str">
        <f>'DICTIONARY-3'!$A$189</f>
        <v>Zasuwa nożowa</v>
      </c>
      <c r="R614" s="732" t="str">
        <f>CONCATENATE('DICTIONARY-3'!$A$11," ",'DICTIONARY-6'!$A$6," ",'DICTIONARY-5'!$A$35," ",'DICTIONARY-2'!$A$2,"150"," ",'DICTIONARY-2'!$A$3,"10"," ",'DICTIONARY-2'!$A$10,"10",'DICTIONARY-2'!$A$20,", ","FESTO"," ",'DICTIONARY-6'!$A$51,"1")</f>
        <v>ZETA Zasuwa noż. A4 DN150 PN10 PS10bar, FESTO St.1</v>
      </c>
      <c r="S614" s="733" t="str">
        <f>'DICTIONARY-4'!$A$5</f>
        <v>NP</v>
      </c>
      <c r="T614" s="732" t="str">
        <f>'DICTIONARY-4'!$A$21</f>
        <v>Napęd pneumatyczny</v>
      </c>
      <c r="U614" s="734" t="s">
        <v>5572</v>
      </c>
      <c r="V614" s="735">
        <v>10</v>
      </c>
      <c r="W614" s="736"/>
      <c r="X614" s="737"/>
      <c r="Y614" s="738"/>
      <c r="Z614" s="739"/>
      <c r="AA614" s="739"/>
      <c r="AB614" s="740">
        <v>10</v>
      </c>
      <c r="AC614" s="741" t="str">
        <f>'DICTIONARY-5'!$A$11&amp;" 20"</f>
        <v>EN 558 szereg 20</v>
      </c>
      <c r="AD614" s="741" t="str">
        <f>'DICTIONARY-5'!$A$14</f>
        <v>ścieki</v>
      </c>
      <c r="AE614" s="742">
        <v>50</v>
      </c>
      <c r="AF614" s="743">
        <v>32</v>
      </c>
      <c r="AG614" s="741" t="str">
        <f>'DICTIONARY-5'!$A$23</f>
        <v>powłoka epoksydowa</v>
      </c>
    </row>
    <row r="615" spans="1:33" x14ac:dyDescent="0.25">
      <c r="A615" s="842" t="s">
        <v>604</v>
      </c>
      <c r="B615" s="842" t="s">
        <v>3203</v>
      </c>
      <c r="C615" s="836">
        <v>1532</v>
      </c>
      <c r="D615" s="836"/>
      <c r="E615" s="836"/>
      <c r="F615" s="836"/>
      <c r="G615" s="496" t="s">
        <v>7798</v>
      </c>
      <c r="H615" s="797" t="str">
        <f>VLOOKUP(G615,SETTINGS!$B$7:$D$97,2,0)</f>
        <v>ZETA (with Pneumatic Actuator)</v>
      </c>
      <c r="I615" s="796">
        <f>VLOOKUP(G615,SETTINGS!$B$7:$D$97,3,0)</f>
        <v>0</v>
      </c>
      <c r="J615" s="670" t="str">
        <f>IFERROR(IF(CURRENCY.FORMAT_1=0,CONCATENATE(TEXT(FIXED(ROUND((C615/EXC.RATE_1),CURRENCY.FORMAT_1),CURRENCY.FORMAT_1,1),"# ##0;-# ##0"),",-"),FIXED(ROUND((C615/EXC.RATE_1),CURRENCY.FORMAT_1),CURRENCY.FORMAT_1,0)),'DICTIONARY-5'!$A$2)</f>
        <v>1 532,-</v>
      </c>
      <c r="K615" s="670" t="str">
        <f>IF(EXC.RATE_2=0,"",IFERROR(IF(CURRENCY.FORMAT_2=0,CONCATENATE(TEXT(FIXED(ROUND(IF(EXC.RATE.SWITCH=1,C615/EXC.RATE_2,C615*EXC.RATE_2),CURRENCY.FORMAT_2),CURRENCY.FORMAT_2,1),"# ##0;-# ##0"),",-"),FIXED(ROUND(IF(EXC.RATE.SWITCH=1,C615/EXC.RATE_2,C615*EXC.RATE_2),CURRENCY.FORMAT_2),CURRENCY.FORMAT_2,0)),'DICTIONARY-5'!$A$2))</f>
        <v/>
      </c>
      <c r="L615" s="670" t="str">
        <f>IFERROR(IF(CURRENCY.FORMAT_1=0,CONCATENATE(TEXT(FIXED(ROUND((C615*(1-I615)*(1-ADD.DISCOUNT)*(1+MAT.SURCHARGE)/EXC.RATE_1),CURRENCY.FORMAT_1),CURRENCY.FORMAT_1,1),"# ##0;-# ##0"),",-"),FIXED(ROUND((C615*(1-I615)*(1-ADD.DISCOUNT)*(1+MAT.SURCHARGE)/EXC.RATE_1),CURRENCY.FORMAT_1),CURRENCY.FORMAT_1,0)),'DICTIONARY-5'!$A$2)</f>
        <v>1 592,-</v>
      </c>
      <c r="M615" s="670" t="str">
        <f>IF(EXC.RATE_2=0,"",IFERROR(IF(CURRENCY.FORMAT_2=0,CONCATENATE(TEXT(FIXED(ROUND(IF(EXC.RATE.SWITCH=1,C615*(1-I615)*(1-ADD.DISCOUNT)*(1+MAT.SURCHARGE)/EXC.RATE_2,C615*(1-I615)*(1-ADD.DISCOUNT)*(1+MAT.SURCHARGE)*EXC.RATE_2),CURRENCY.FORMAT_2),CURRENCY.FORMAT_2,1),"# ##0;-# ##0"),",-"),FIXED(ROUND(IF(EXC.RATE.SWITCH=1,C615*(1-I615)*(1-ADD.DISCOUNT)*(1+MAT.SURCHARGE)/EXC.RATE_2,C615*(1-I615)*(1-ADD.DISCOUNT)*(1+MAT.SURCHARGE)*EXC.RATE_2),CURRENCY.FORMAT_2),CURRENCY.FORMAT_2,0)),'DICTIONARY-5'!$A$2))</f>
        <v/>
      </c>
      <c r="N615" s="544">
        <v>2</v>
      </c>
      <c r="O615" s="544"/>
      <c r="P615" s="731" t="str">
        <f>'DICTIONARY-3'!$A$11</f>
        <v>ZETA</v>
      </c>
      <c r="Q615" s="732" t="str">
        <f>'DICTIONARY-3'!$A$189</f>
        <v>Zasuwa nożowa</v>
      </c>
      <c r="R615" s="732" t="str">
        <f>CONCATENATE('DICTIONARY-3'!$A$11," ",'DICTIONARY-6'!$A$6," ",'DICTIONARY-5'!$A$34," ",'DICTIONARY-2'!$A$2,"200"," ",'DICTIONARY-2'!$A$3,"10"," ",'DICTIONARY-2'!$A$10,"10",'DICTIONARY-2'!$A$20,", ","FESTO"," ",'DICTIONARY-6'!$A$51,"1")</f>
        <v>ZETA Zasuwa noż. A2 DN200 PN10 PS10bar, FESTO St.1</v>
      </c>
      <c r="S615" s="733" t="str">
        <f>'DICTIONARY-4'!$A$5</f>
        <v>NP</v>
      </c>
      <c r="T615" s="732" t="str">
        <f>'DICTIONARY-4'!$A$21</f>
        <v>Napęd pneumatyczny</v>
      </c>
      <c r="U615" s="734" t="s">
        <v>5750</v>
      </c>
      <c r="V615" s="735">
        <v>10</v>
      </c>
      <c r="W615" s="736"/>
      <c r="X615" s="737"/>
      <c r="Y615" s="738"/>
      <c r="Z615" s="739"/>
      <c r="AA615" s="739"/>
      <c r="AB615" s="740">
        <v>10</v>
      </c>
      <c r="AC615" s="741" t="str">
        <f>'DICTIONARY-5'!$A$11&amp;" 20"</f>
        <v>EN 558 szereg 20</v>
      </c>
      <c r="AD615" s="741" t="str">
        <f>'DICTIONARY-5'!$A$14</f>
        <v>ścieki</v>
      </c>
      <c r="AE615" s="742">
        <v>50</v>
      </c>
      <c r="AF615" s="743">
        <v>43</v>
      </c>
      <c r="AG615" s="741" t="str">
        <f>'DICTIONARY-5'!$A$23</f>
        <v>powłoka epoksydowa</v>
      </c>
    </row>
    <row r="616" spans="1:33" x14ac:dyDescent="0.25">
      <c r="A616" s="842" t="s">
        <v>607</v>
      </c>
      <c r="B616" s="842" t="s">
        <v>3207</v>
      </c>
      <c r="C616" s="836">
        <v>1936</v>
      </c>
      <c r="D616" s="836"/>
      <c r="E616" s="836"/>
      <c r="F616" s="836"/>
      <c r="G616" s="496" t="s">
        <v>7798</v>
      </c>
      <c r="H616" s="797" t="str">
        <f>VLOOKUP(G616,SETTINGS!$B$7:$D$97,2,0)</f>
        <v>ZETA (with Pneumatic Actuator)</v>
      </c>
      <c r="I616" s="796">
        <f>VLOOKUP(G616,SETTINGS!$B$7:$D$97,3,0)</f>
        <v>0</v>
      </c>
      <c r="J616" s="670" t="str">
        <f>IFERROR(IF(CURRENCY.FORMAT_1=0,CONCATENATE(TEXT(FIXED(ROUND((C616/EXC.RATE_1),CURRENCY.FORMAT_1),CURRENCY.FORMAT_1,1),"# ##0;-# ##0"),",-"),FIXED(ROUND((C616/EXC.RATE_1),CURRENCY.FORMAT_1),CURRENCY.FORMAT_1,0)),'DICTIONARY-5'!$A$2)</f>
        <v>1 936,-</v>
      </c>
      <c r="K616" s="670" t="str">
        <f>IF(EXC.RATE_2=0,"",IFERROR(IF(CURRENCY.FORMAT_2=0,CONCATENATE(TEXT(FIXED(ROUND(IF(EXC.RATE.SWITCH=1,C616/EXC.RATE_2,C616*EXC.RATE_2),CURRENCY.FORMAT_2),CURRENCY.FORMAT_2,1),"# ##0;-# ##0"),",-"),FIXED(ROUND(IF(EXC.RATE.SWITCH=1,C616/EXC.RATE_2,C616*EXC.RATE_2),CURRENCY.FORMAT_2),CURRENCY.FORMAT_2,0)),'DICTIONARY-5'!$A$2))</f>
        <v/>
      </c>
      <c r="L616" s="670" t="str">
        <f>IFERROR(IF(CURRENCY.FORMAT_1=0,CONCATENATE(TEXT(FIXED(ROUND((C616*(1-I616)*(1-ADD.DISCOUNT)*(1+MAT.SURCHARGE)/EXC.RATE_1),CURRENCY.FORMAT_1),CURRENCY.FORMAT_1,1),"# ##0;-# ##0"),",-"),FIXED(ROUND((C616*(1-I616)*(1-ADD.DISCOUNT)*(1+MAT.SURCHARGE)/EXC.RATE_1),CURRENCY.FORMAT_1),CURRENCY.FORMAT_1,0)),'DICTIONARY-5'!$A$2)</f>
        <v>2 012,-</v>
      </c>
      <c r="M616" s="670" t="str">
        <f>IF(EXC.RATE_2=0,"",IFERROR(IF(CURRENCY.FORMAT_2=0,CONCATENATE(TEXT(FIXED(ROUND(IF(EXC.RATE.SWITCH=1,C616*(1-I616)*(1-ADD.DISCOUNT)*(1+MAT.SURCHARGE)/EXC.RATE_2,C616*(1-I616)*(1-ADD.DISCOUNT)*(1+MAT.SURCHARGE)*EXC.RATE_2),CURRENCY.FORMAT_2),CURRENCY.FORMAT_2,1),"# ##0;-# ##0"),",-"),FIXED(ROUND(IF(EXC.RATE.SWITCH=1,C616*(1-I616)*(1-ADD.DISCOUNT)*(1+MAT.SURCHARGE)/EXC.RATE_2,C616*(1-I616)*(1-ADD.DISCOUNT)*(1+MAT.SURCHARGE)*EXC.RATE_2),CURRENCY.FORMAT_2),CURRENCY.FORMAT_2,0)),'DICTIONARY-5'!$A$2))</f>
        <v/>
      </c>
      <c r="N616" s="544">
        <v>2</v>
      </c>
      <c r="O616" s="544"/>
      <c r="P616" s="731" t="str">
        <f>'DICTIONARY-3'!$A$11</f>
        <v>ZETA</v>
      </c>
      <c r="Q616" s="732" t="str">
        <f>'DICTIONARY-3'!$A$189</f>
        <v>Zasuwa nożowa</v>
      </c>
      <c r="R616" s="732" t="str">
        <f>CONCATENATE('DICTIONARY-3'!$A$11," ",'DICTIONARY-6'!$A$6," ",'DICTIONARY-5'!$A$34," ",'DICTIONARY-2'!$A$2,"250"," ",'DICTIONARY-2'!$A$3,"10"," ",'DICTIONARY-2'!$A$10,"10",'DICTIONARY-2'!$A$20,", ","FESTO"," ",'DICTIONARY-6'!$A$51,"1")</f>
        <v>ZETA Zasuwa noż. A2 DN250 PN10 PS10bar, FESTO St.1</v>
      </c>
      <c r="S616" s="733" t="str">
        <f>'DICTIONARY-4'!$A$5</f>
        <v>NP</v>
      </c>
      <c r="T616" s="732" t="str">
        <f>'DICTIONARY-4'!$A$21</f>
        <v>Napęd pneumatyczny</v>
      </c>
      <c r="U616" s="734" t="s">
        <v>5751</v>
      </c>
      <c r="V616" s="735">
        <v>10</v>
      </c>
      <c r="W616" s="736"/>
      <c r="X616" s="737"/>
      <c r="Y616" s="738"/>
      <c r="Z616" s="739"/>
      <c r="AA616" s="739"/>
      <c r="AB616" s="740">
        <v>10</v>
      </c>
      <c r="AC616" s="741" t="str">
        <f>'DICTIONARY-5'!$A$11&amp;" 20"</f>
        <v>EN 558 szereg 20</v>
      </c>
      <c r="AD616" s="741" t="str">
        <f>'DICTIONARY-5'!$A$14</f>
        <v>ścieki</v>
      </c>
      <c r="AE616" s="742">
        <v>50</v>
      </c>
      <c r="AF616" s="743">
        <v>71</v>
      </c>
      <c r="AG616" s="741" t="str">
        <f>'DICTIONARY-5'!$A$23</f>
        <v>powłoka epoksydowa</v>
      </c>
    </row>
    <row r="617" spans="1:33" x14ac:dyDescent="0.25">
      <c r="A617" s="842" t="s">
        <v>610</v>
      </c>
      <c r="B617" s="842" t="s">
        <v>3211</v>
      </c>
      <c r="C617" s="836">
        <v>3007</v>
      </c>
      <c r="D617" s="836"/>
      <c r="E617" s="836"/>
      <c r="F617" s="836"/>
      <c r="G617" s="496" t="s">
        <v>7798</v>
      </c>
      <c r="H617" s="797" t="str">
        <f>VLOOKUP(G617,SETTINGS!$B$7:$D$97,2,0)</f>
        <v>ZETA (with Pneumatic Actuator)</v>
      </c>
      <c r="I617" s="796">
        <f>VLOOKUP(G617,SETTINGS!$B$7:$D$97,3,0)</f>
        <v>0</v>
      </c>
      <c r="J617" s="670" t="str">
        <f>IFERROR(IF(CURRENCY.FORMAT_1=0,CONCATENATE(TEXT(FIXED(ROUND((C617/EXC.RATE_1),CURRENCY.FORMAT_1),CURRENCY.FORMAT_1,1),"# ##0;-# ##0"),",-"),FIXED(ROUND((C617/EXC.RATE_1),CURRENCY.FORMAT_1),CURRENCY.FORMAT_1,0)),'DICTIONARY-5'!$A$2)</f>
        <v>3 007,-</v>
      </c>
      <c r="K617" s="670" t="str">
        <f>IF(EXC.RATE_2=0,"",IFERROR(IF(CURRENCY.FORMAT_2=0,CONCATENATE(TEXT(FIXED(ROUND(IF(EXC.RATE.SWITCH=1,C617/EXC.RATE_2,C617*EXC.RATE_2),CURRENCY.FORMAT_2),CURRENCY.FORMAT_2,1),"# ##0;-# ##0"),",-"),FIXED(ROUND(IF(EXC.RATE.SWITCH=1,C617/EXC.RATE_2,C617*EXC.RATE_2),CURRENCY.FORMAT_2),CURRENCY.FORMAT_2,0)),'DICTIONARY-5'!$A$2))</f>
        <v/>
      </c>
      <c r="L617" s="670" t="str">
        <f>IFERROR(IF(CURRENCY.FORMAT_1=0,CONCATENATE(TEXT(FIXED(ROUND((C617*(1-I617)*(1-ADD.DISCOUNT)*(1+MAT.SURCHARGE)/EXC.RATE_1),CURRENCY.FORMAT_1),CURRENCY.FORMAT_1,1),"# ##0;-# ##0"),",-"),FIXED(ROUND((C617*(1-I617)*(1-ADD.DISCOUNT)*(1+MAT.SURCHARGE)/EXC.RATE_1),CURRENCY.FORMAT_1),CURRENCY.FORMAT_1,0)),'DICTIONARY-5'!$A$2)</f>
        <v>3 124,-</v>
      </c>
      <c r="M617" s="670" t="str">
        <f>IF(EXC.RATE_2=0,"",IFERROR(IF(CURRENCY.FORMAT_2=0,CONCATENATE(TEXT(FIXED(ROUND(IF(EXC.RATE.SWITCH=1,C617*(1-I617)*(1-ADD.DISCOUNT)*(1+MAT.SURCHARGE)/EXC.RATE_2,C617*(1-I617)*(1-ADD.DISCOUNT)*(1+MAT.SURCHARGE)*EXC.RATE_2),CURRENCY.FORMAT_2),CURRENCY.FORMAT_2,1),"# ##0;-# ##0"),",-"),FIXED(ROUND(IF(EXC.RATE.SWITCH=1,C617*(1-I617)*(1-ADD.DISCOUNT)*(1+MAT.SURCHARGE)/EXC.RATE_2,C617*(1-I617)*(1-ADD.DISCOUNT)*(1+MAT.SURCHARGE)*EXC.RATE_2),CURRENCY.FORMAT_2),CURRENCY.FORMAT_2,0)),'DICTIONARY-5'!$A$2))</f>
        <v/>
      </c>
      <c r="N617" s="544">
        <v>2</v>
      </c>
      <c r="O617" s="544"/>
      <c r="P617" s="731" t="str">
        <f>'DICTIONARY-3'!$A$11</f>
        <v>ZETA</v>
      </c>
      <c r="Q617" s="732" t="str">
        <f>'DICTIONARY-3'!$A$189</f>
        <v>Zasuwa nożowa</v>
      </c>
      <c r="R617" s="732" t="str">
        <f>CONCATENATE('DICTIONARY-3'!$A$11," ",'DICTIONARY-6'!$A$6," ",'DICTIONARY-5'!$A$34," ",'DICTIONARY-2'!$A$2,"300"," ",'DICTIONARY-2'!$A$3,"10"," ",'DICTIONARY-2'!$A$10,"10",'DICTIONARY-2'!$A$20,", ","FESTO"," ",'DICTIONARY-6'!$A$51,"1")</f>
        <v>ZETA Zasuwa noż. A2 DN300 PN10 PS10bar, FESTO St.1</v>
      </c>
      <c r="S617" s="733" t="str">
        <f>'DICTIONARY-4'!$A$5</f>
        <v>NP</v>
      </c>
      <c r="T617" s="732" t="str">
        <f>'DICTIONARY-4'!$A$21</f>
        <v>Napęd pneumatyczny</v>
      </c>
      <c r="U617" s="734" t="s">
        <v>5752</v>
      </c>
      <c r="V617" s="735">
        <v>10</v>
      </c>
      <c r="W617" s="736"/>
      <c r="X617" s="737"/>
      <c r="Y617" s="738"/>
      <c r="Z617" s="739"/>
      <c r="AA617" s="739"/>
      <c r="AB617" s="740">
        <v>10</v>
      </c>
      <c r="AC617" s="741" t="str">
        <f>'DICTIONARY-5'!$A$11&amp;" 20"</f>
        <v>EN 558 szereg 20</v>
      </c>
      <c r="AD617" s="741" t="str">
        <f>'DICTIONARY-5'!$A$14</f>
        <v>ścieki</v>
      </c>
      <c r="AE617" s="742">
        <v>50</v>
      </c>
      <c r="AF617" s="743">
        <v>109</v>
      </c>
      <c r="AG617" s="741" t="str">
        <f>'DICTIONARY-5'!$A$23</f>
        <v>powłoka epoksydowa</v>
      </c>
    </row>
    <row r="618" spans="1:33" x14ac:dyDescent="0.25">
      <c r="A618" s="842" t="s">
        <v>613</v>
      </c>
      <c r="B618" s="842" t="s">
        <v>3215</v>
      </c>
      <c r="C618" s="836">
        <v>3405</v>
      </c>
      <c r="D618" s="836"/>
      <c r="E618" s="836"/>
      <c r="F618" s="836"/>
      <c r="G618" s="496" t="s">
        <v>7798</v>
      </c>
      <c r="H618" s="797" t="str">
        <f>VLOOKUP(G618,SETTINGS!$B$7:$D$97,2,0)</f>
        <v>ZETA (with Pneumatic Actuator)</v>
      </c>
      <c r="I618" s="796">
        <f>VLOOKUP(G618,SETTINGS!$B$7:$D$97,3,0)</f>
        <v>0</v>
      </c>
      <c r="J618" s="670" t="str">
        <f>IFERROR(IF(CURRENCY.FORMAT_1=0,CONCATENATE(TEXT(FIXED(ROUND((C618/EXC.RATE_1),CURRENCY.FORMAT_1),CURRENCY.FORMAT_1,1),"# ##0;-# ##0"),",-"),FIXED(ROUND((C618/EXC.RATE_1),CURRENCY.FORMAT_1),CURRENCY.FORMAT_1,0)),'DICTIONARY-5'!$A$2)</f>
        <v>3 405,-</v>
      </c>
      <c r="K618" s="670" t="str">
        <f>IF(EXC.RATE_2=0,"",IFERROR(IF(CURRENCY.FORMAT_2=0,CONCATENATE(TEXT(FIXED(ROUND(IF(EXC.RATE.SWITCH=1,C618/EXC.RATE_2,C618*EXC.RATE_2),CURRENCY.FORMAT_2),CURRENCY.FORMAT_2,1),"# ##0;-# ##0"),",-"),FIXED(ROUND(IF(EXC.RATE.SWITCH=1,C618/EXC.RATE_2,C618*EXC.RATE_2),CURRENCY.FORMAT_2),CURRENCY.FORMAT_2,0)),'DICTIONARY-5'!$A$2))</f>
        <v/>
      </c>
      <c r="L618" s="670" t="str">
        <f>IFERROR(IF(CURRENCY.FORMAT_1=0,CONCATENATE(TEXT(FIXED(ROUND((C618*(1-I618)*(1-ADD.DISCOUNT)*(1+MAT.SURCHARGE)/EXC.RATE_1),CURRENCY.FORMAT_1),CURRENCY.FORMAT_1,1),"# ##0;-# ##0"),",-"),FIXED(ROUND((C618*(1-I618)*(1-ADD.DISCOUNT)*(1+MAT.SURCHARGE)/EXC.RATE_1),CURRENCY.FORMAT_1),CURRENCY.FORMAT_1,0)),'DICTIONARY-5'!$A$2)</f>
        <v>3 538,-</v>
      </c>
      <c r="M618" s="670" t="str">
        <f>IF(EXC.RATE_2=0,"",IFERROR(IF(CURRENCY.FORMAT_2=0,CONCATENATE(TEXT(FIXED(ROUND(IF(EXC.RATE.SWITCH=1,C618*(1-I618)*(1-ADD.DISCOUNT)*(1+MAT.SURCHARGE)/EXC.RATE_2,C618*(1-I618)*(1-ADD.DISCOUNT)*(1+MAT.SURCHARGE)*EXC.RATE_2),CURRENCY.FORMAT_2),CURRENCY.FORMAT_2,1),"# ##0;-# ##0"),",-"),FIXED(ROUND(IF(EXC.RATE.SWITCH=1,C618*(1-I618)*(1-ADD.DISCOUNT)*(1+MAT.SURCHARGE)/EXC.RATE_2,C618*(1-I618)*(1-ADD.DISCOUNT)*(1+MAT.SURCHARGE)*EXC.RATE_2),CURRENCY.FORMAT_2),CURRENCY.FORMAT_2,0)),'DICTIONARY-5'!$A$2))</f>
        <v/>
      </c>
      <c r="N618" s="544">
        <v>2</v>
      </c>
      <c r="O618" s="544"/>
      <c r="P618" s="731" t="str">
        <f>'DICTIONARY-3'!$A$11</f>
        <v>ZETA</v>
      </c>
      <c r="Q618" s="732" t="str">
        <f>'DICTIONARY-3'!$A$189</f>
        <v>Zasuwa nożowa</v>
      </c>
      <c r="R618" s="732" t="str">
        <f>CONCATENATE('DICTIONARY-3'!$A$11," ",'DICTIONARY-6'!$A$6," ",'DICTIONARY-5'!$A$34," ",'DICTIONARY-2'!$A$2,"350"," ",'DICTIONARY-2'!$A$3,"10"," ",'DICTIONARY-2'!$A$10,"8",'DICTIONARY-2'!$A$20,", ","FESTO"," ",'DICTIONARY-6'!$A$51,"1")</f>
        <v>ZETA Zasuwa noż. A2 DN350 PN10 PS8bar, FESTO St.1</v>
      </c>
      <c r="S618" s="733" t="str">
        <f>'DICTIONARY-4'!$A$5</f>
        <v>NP</v>
      </c>
      <c r="T618" s="732" t="str">
        <f>'DICTIONARY-4'!$A$21</f>
        <v>Napęd pneumatyczny</v>
      </c>
      <c r="U618" s="734" t="s">
        <v>5753</v>
      </c>
      <c r="V618" s="735">
        <v>10</v>
      </c>
      <c r="W618" s="736"/>
      <c r="X618" s="737"/>
      <c r="Y618" s="738"/>
      <c r="Z618" s="739"/>
      <c r="AA618" s="739"/>
      <c r="AB618" s="740">
        <v>8</v>
      </c>
      <c r="AC618" s="741" t="str">
        <f>'DICTIONARY-5'!$A$11&amp;" 20"</f>
        <v>EN 558 szereg 20</v>
      </c>
      <c r="AD618" s="741" t="str">
        <f>'DICTIONARY-5'!$A$14</f>
        <v>ścieki</v>
      </c>
      <c r="AE618" s="742">
        <v>50</v>
      </c>
      <c r="AF618" s="743">
        <v>136</v>
      </c>
      <c r="AG618" s="741" t="str">
        <f>'DICTIONARY-5'!$A$23</f>
        <v>powłoka epoksydowa</v>
      </c>
    </row>
    <row r="619" spans="1:33" x14ac:dyDescent="0.25">
      <c r="A619" s="842" t="s">
        <v>616</v>
      </c>
      <c r="B619" s="842" t="s">
        <v>3219</v>
      </c>
      <c r="C619" s="836">
        <v>4084</v>
      </c>
      <c r="D619" s="836"/>
      <c r="E619" s="836"/>
      <c r="F619" s="836"/>
      <c r="G619" s="496" t="s">
        <v>7798</v>
      </c>
      <c r="H619" s="797" t="str">
        <f>VLOOKUP(G619,SETTINGS!$B$7:$D$97,2,0)</f>
        <v>ZETA (with Pneumatic Actuator)</v>
      </c>
      <c r="I619" s="796">
        <f>VLOOKUP(G619,SETTINGS!$B$7:$D$97,3,0)</f>
        <v>0</v>
      </c>
      <c r="J619" s="670" t="str">
        <f>IFERROR(IF(CURRENCY.FORMAT_1=0,CONCATENATE(TEXT(FIXED(ROUND((C619/EXC.RATE_1),CURRENCY.FORMAT_1),CURRENCY.FORMAT_1,1),"# ##0;-# ##0"),",-"),FIXED(ROUND((C619/EXC.RATE_1),CURRENCY.FORMAT_1),CURRENCY.FORMAT_1,0)),'DICTIONARY-5'!$A$2)</f>
        <v>4 084,-</v>
      </c>
      <c r="K619" s="670" t="str">
        <f>IF(EXC.RATE_2=0,"",IFERROR(IF(CURRENCY.FORMAT_2=0,CONCATENATE(TEXT(FIXED(ROUND(IF(EXC.RATE.SWITCH=1,C619/EXC.RATE_2,C619*EXC.RATE_2),CURRENCY.FORMAT_2),CURRENCY.FORMAT_2,1),"# ##0;-# ##0"),",-"),FIXED(ROUND(IF(EXC.RATE.SWITCH=1,C619/EXC.RATE_2,C619*EXC.RATE_2),CURRENCY.FORMAT_2),CURRENCY.FORMAT_2,0)),'DICTIONARY-5'!$A$2))</f>
        <v/>
      </c>
      <c r="L619" s="670" t="str">
        <f>IFERROR(IF(CURRENCY.FORMAT_1=0,CONCATENATE(TEXT(FIXED(ROUND((C619*(1-I619)*(1-ADD.DISCOUNT)*(1+MAT.SURCHARGE)/EXC.RATE_1),CURRENCY.FORMAT_1),CURRENCY.FORMAT_1,1),"# ##0;-# ##0"),",-"),FIXED(ROUND((C619*(1-I619)*(1-ADD.DISCOUNT)*(1+MAT.SURCHARGE)/EXC.RATE_1),CURRENCY.FORMAT_1),CURRENCY.FORMAT_1,0)),'DICTIONARY-5'!$A$2)</f>
        <v>4 243,-</v>
      </c>
      <c r="M619" s="670" t="str">
        <f>IF(EXC.RATE_2=0,"",IFERROR(IF(CURRENCY.FORMAT_2=0,CONCATENATE(TEXT(FIXED(ROUND(IF(EXC.RATE.SWITCH=1,C619*(1-I619)*(1-ADD.DISCOUNT)*(1+MAT.SURCHARGE)/EXC.RATE_2,C619*(1-I619)*(1-ADD.DISCOUNT)*(1+MAT.SURCHARGE)*EXC.RATE_2),CURRENCY.FORMAT_2),CURRENCY.FORMAT_2,1),"# ##0;-# ##0"),",-"),FIXED(ROUND(IF(EXC.RATE.SWITCH=1,C619*(1-I619)*(1-ADD.DISCOUNT)*(1+MAT.SURCHARGE)/EXC.RATE_2,C619*(1-I619)*(1-ADD.DISCOUNT)*(1+MAT.SURCHARGE)*EXC.RATE_2),CURRENCY.FORMAT_2),CURRENCY.FORMAT_2,0)),'DICTIONARY-5'!$A$2))</f>
        <v/>
      </c>
      <c r="N619" s="544">
        <v>2</v>
      </c>
      <c r="O619" s="544"/>
      <c r="P619" s="731" t="str">
        <f>'DICTIONARY-3'!$A$11</f>
        <v>ZETA</v>
      </c>
      <c r="Q619" s="732" t="str">
        <f>'DICTIONARY-3'!$A$189</f>
        <v>Zasuwa nożowa</v>
      </c>
      <c r="R619" s="732" t="str">
        <f>CONCATENATE('DICTIONARY-3'!$A$11," ",'DICTIONARY-6'!$A$6," ",'DICTIONARY-5'!$A$34," ",'DICTIONARY-2'!$A$2,"400"," ",'DICTIONARY-2'!$A$3,"10"," ",'DICTIONARY-2'!$A$10,"8",'DICTIONARY-2'!$A$20,", ","FESTO"," ",'DICTIONARY-6'!$A$51,"1")</f>
        <v>ZETA Zasuwa noż. A2 DN400 PN10 PS8bar, FESTO St.1</v>
      </c>
      <c r="S619" s="733" t="str">
        <f>'DICTIONARY-4'!$A$5</f>
        <v>NP</v>
      </c>
      <c r="T619" s="732" t="str">
        <f>'DICTIONARY-4'!$A$21</f>
        <v>Napęd pneumatyczny</v>
      </c>
      <c r="U619" s="734" t="s">
        <v>5754</v>
      </c>
      <c r="V619" s="735">
        <v>10</v>
      </c>
      <c r="W619" s="736"/>
      <c r="X619" s="737"/>
      <c r="Y619" s="738"/>
      <c r="Z619" s="739"/>
      <c r="AA619" s="739"/>
      <c r="AB619" s="740">
        <v>8</v>
      </c>
      <c r="AC619" s="741" t="str">
        <f>'DICTIONARY-5'!$A$11&amp;" 20"</f>
        <v>EN 558 szereg 20</v>
      </c>
      <c r="AD619" s="741" t="str">
        <f>'DICTIONARY-5'!$A$14</f>
        <v>ścieki</v>
      </c>
      <c r="AE619" s="742">
        <v>50</v>
      </c>
      <c r="AF619" s="743">
        <v>194</v>
      </c>
      <c r="AG619" s="741" t="str">
        <f>'DICTIONARY-5'!$A$23</f>
        <v>powłoka epoksydowa</v>
      </c>
    </row>
    <row r="620" spans="1:33" x14ac:dyDescent="0.25">
      <c r="A620" s="842" t="s">
        <v>619</v>
      </c>
      <c r="B620" s="842" t="s">
        <v>3223</v>
      </c>
      <c r="C620" s="836">
        <v>7075</v>
      </c>
      <c r="D620" s="836"/>
      <c r="E620" s="836"/>
      <c r="F620" s="836"/>
      <c r="G620" s="496" t="s">
        <v>7798</v>
      </c>
      <c r="H620" s="797" t="str">
        <f>VLOOKUP(G620,SETTINGS!$B$7:$D$97,2,0)</f>
        <v>ZETA (with Pneumatic Actuator)</v>
      </c>
      <c r="I620" s="796">
        <f>VLOOKUP(G620,SETTINGS!$B$7:$D$97,3,0)</f>
        <v>0</v>
      </c>
      <c r="J620" s="670" t="str">
        <f>IFERROR(IF(CURRENCY.FORMAT_1=0,CONCATENATE(TEXT(FIXED(ROUND((C620/EXC.RATE_1),CURRENCY.FORMAT_1),CURRENCY.FORMAT_1,1),"# ##0;-# ##0"),",-"),FIXED(ROUND((C620/EXC.RATE_1),CURRENCY.FORMAT_1),CURRENCY.FORMAT_1,0)),'DICTIONARY-5'!$A$2)</f>
        <v>7 075,-</v>
      </c>
      <c r="K620" s="670" t="str">
        <f>IF(EXC.RATE_2=0,"",IFERROR(IF(CURRENCY.FORMAT_2=0,CONCATENATE(TEXT(FIXED(ROUND(IF(EXC.RATE.SWITCH=1,C620/EXC.RATE_2,C620*EXC.RATE_2),CURRENCY.FORMAT_2),CURRENCY.FORMAT_2,1),"# ##0;-# ##0"),",-"),FIXED(ROUND(IF(EXC.RATE.SWITCH=1,C620/EXC.RATE_2,C620*EXC.RATE_2),CURRENCY.FORMAT_2),CURRENCY.FORMAT_2,0)),'DICTIONARY-5'!$A$2))</f>
        <v/>
      </c>
      <c r="L620" s="670" t="str">
        <f>IFERROR(IF(CURRENCY.FORMAT_1=0,CONCATENATE(TEXT(FIXED(ROUND((C620*(1-I620)*(1-ADD.DISCOUNT)*(1+MAT.SURCHARGE)/EXC.RATE_1),CURRENCY.FORMAT_1),CURRENCY.FORMAT_1,1),"# ##0;-# ##0"),",-"),FIXED(ROUND((C620*(1-I620)*(1-ADD.DISCOUNT)*(1+MAT.SURCHARGE)/EXC.RATE_1),CURRENCY.FORMAT_1),CURRENCY.FORMAT_1,0)),'DICTIONARY-5'!$A$2)</f>
        <v>7 351,-</v>
      </c>
      <c r="M620" s="670" t="str">
        <f>IF(EXC.RATE_2=0,"",IFERROR(IF(CURRENCY.FORMAT_2=0,CONCATENATE(TEXT(FIXED(ROUND(IF(EXC.RATE.SWITCH=1,C620*(1-I620)*(1-ADD.DISCOUNT)*(1+MAT.SURCHARGE)/EXC.RATE_2,C620*(1-I620)*(1-ADD.DISCOUNT)*(1+MAT.SURCHARGE)*EXC.RATE_2),CURRENCY.FORMAT_2),CURRENCY.FORMAT_2,1),"# ##0;-# ##0"),",-"),FIXED(ROUND(IF(EXC.RATE.SWITCH=1,C620*(1-I620)*(1-ADD.DISCOUNT)*(1+MAT.SURCHARGE)/EXC.RATE_2,C620*(1-I620)*(1-ADD.DISCOUNT)*(1+MAT.SURCHARGE)*EXC.RATE_2),CURRENCY.FORMAT_2),CURRENCY.FORMAT_2,0)),'DICTIONARY-5'!$A$2))</f>
        <v/>
      </c>
      <c r="N620" s="544">
        <v>2</v>
      </c>
      <c r="O620" s="544"/>
      <c r="P620" s="731" t="str">
        <f>'DICTIONARY-3'!$A$11</f>
        <v>ZETA</v>
      </c>
      <c r="Q620" s="732" t="str">
        <f>'DICTIONARY-3'!$A$189</f>
        <v>Zasuwa nożowa</v>
      </c>
      <c r="R620" s="732" t="str">
        <f>CONCATENATE('DICTIONARY-3'!$A$11," ",'DICTIONARY-6'!$A$6," ",'DICTIONARY-5'!$A$34," ",'DICTIONARY-2'!$A$2,"500"," ",'DICTIONARY-2'!$A$3,"10"," ",'DICTIONARY-2'!$A$10,"6",'DICTIONARY-2'!$A$20,", ","FESTO"," ",'DICTIONARY-6'!$A$51,"1")</f>
        <v>ZETA Zasuwa noż. A2 DN500 PN10 PS6bar, FESTO St.1</v>
      </c>
      <c r="S620" s="733" t="str">
        <f>'DICTIONARY-4'!$A$5</f>
        <v>NP</v>
      </c>
      <c r="T620" s="732" t="str">
        <f>'DICTIONARY-4'!$A$21</f>
        <v>Napęd pneumatyczny</v>
      </c>
      <c r="U620" s="734" t="s">
        <v>5756</v>
      </c>
      <c r="V620" s="735">
        <v>10</v>
      </c>
      <c r="W620" s="736"/>
      <c r="X620" s="737"/>
      <c r="Y620" s="738"/>
      <c r="Z620" s="739"/>
      <c r="AA620" s="739"/>
      <c r="AB620" s="740">
        <v>6</v>
      </c>
      <c r="AC620" s="741" t="str">
        <f>'DICTIONARY-5'!$A$11&amp;" 20"</f>
        <v>EN 558 szereg 20</v>
      </c>
      <c r="AD620" s="741" t="str">
        <f>'DICTIONARY-5'!$A$14</f>
        <v>ścieki</v>
      </c>
      <c r="AE620" s="742">
        <v>50</v>
      </c>
      <c r="AF620" s="743">
        <v>317</v>
      </c>
      <c r="AG620" s="741" t="str">
        <f>'DICTIONARY-5'!$A$23</f>
        <v>powłoka epoksydowa</v>
      </c>
    </row>
    <row r="621" spans="1:33" x14ac:dyDescent="0.25">
      <c r="A621" s="842" t="s">
        <v>622</v>
      </c>
      <c r="B621" s="842" t="s">
        <v>3227</v>
      </c>
      <c r="C621" s="836">
        <v>11656</v>
      </c>
      <c r="D621" s="836"/>
      <c r="E621" s="836"/>
      <c r="F621" s="836"/>
      <c r="G621" s="496" t="s">
        <v>7798</v>
      </c>
      <c r="H621" s="797" t="str">
        <f>VLOOKUP(G621,SETTINGS!$B$7:$D$97,2,0)</f>
        <v>ZETA (with Pneumatic Actuator)</v>
      </c>
      <c r="I621" s="796">
        <f>VLOOKUP(G621,SETTINGS!$B$7:$D$97,3,0)</f>
        <v>0</v>
      </c>
      <c r="J621" s="670" t="str">
        <f>IFERROR(IF(CURRENCY.FORMAT_1=0,CONCATENATE(TEXT(FIXED(ROUND((C621/EXC.RATE_1),CURRENCY.FORMAT_1),CURRENCY.FORMAT_1,1),"# ##0;-# ##0"),",-"),FIXED(ROUND((C621/EXC.RATE_1),CURRENCY.FORMAT_1),CURRENCY.FORMAT_1,0)),'DICTIONARY-5'!$A$2)</f>
        <v>11 656,-</v>
      </c>
      <c r="K621" s="670" t="str">
        <f>IF(EXC.RATE_2=0,"",IFERROR(IF(CURRENCY.FORMAT_2=0,CONCATENATE(TEXT(FIXED(ROUND(IF(EXC.RATE.SWITCH=1,C621/EXC.RATE_2,C621*EXC.RATE_2),CURRENCY.FORMAT_2),CURRENCY.FORMAT_2,1),"# ##0;-# ##0"),",-"),FIXED(ROUND(IF(EXC.RATE.SWITCH=1,C621/EXC.RATE_2,C621*EXC.RATE_2),CURRENCY.FORMAT_2),CURRENCY.FORMAT_2,0)),'DICTIONARY-5'!$A$2))</f>
        <v/>
      </c>
      <c r="L621" s="670" t="str">
        <f>IFERROR(IF(CURRENCY.FORMAT_1=0,CONCATENATE(TEXT(FIXED(ROUND((C621*(1-I621)*(1-ADD.DISCOUNT)*(1+MAT.SURCHARGE)/EXC.RATE_1),CURRENCY.FORMAT_1),CURRENCY.FORMAT_1,1),"# ##0;-# ##0"),",-"),FIXED(ROUND((C621*(1-I621)*(1-ADD.DISCOUNT)*(1+MAT.SURCHARGE)/EXC.RATE_1),CURRENCY.FORMAT_1),CURRENCY.FORMAT_1,0)),'DICTIONARY-5'!$A$2)</f>
        <v>12 111,-</v>
      </c>
      <c r="M621" s="670" t="str">
        <f>IF(EXC.RATE_2=0,"",IFERROR(IF(CURRENCY.FORMAT_2=0,CONCATENATE(TEXT(FIXED(ROUND(IF(EXC.RATE.SWITCH=1,C621*(1-I621)*(1-ADD.DISCOUNT)*(1+MAT.SURCHARGE)/EXC.RATE_2,C621*(1-I621)*(1-ADD.DISCOUNT)*(1+MAT.SURCHARGE)*EXC.RATE_2),CURRENCY.FORMAT_2),CURRENCY.FORMAT_2,1),"# ##0;-# ##0"),",-"),FIXED(ROUND(IF(EXC.RATE.SWITCH=1,C621*(1-I621)*(1-ADD.DISCOUNT)*(1+MAT.SURCHARGE)/EXC.RATE_2,C621*(1-I621)*(1-ADD.DISCOUNT)*(1+MAT.SURCHARGE)*EXC.RATE_2),CURRENCY.FORMAT_2),CURRENCY.FORMAT_2,0)),'DICTIONARY-5'!$A$2))</f>
        <v/>
      </c>
      <c r="N621" s="544">
        <v>2</v>
      </c>
      <c r="O621" s="544"/>
      <c r="P621" s="731" t="str">
        <f>'DICTIONARY-3'!$A$11</f>
        <v>ZETA</v>
      </c>
      <c r="Q621" s="732" t="str">
        <f>'DICTIONARY-3'!$A$189</f>
        <v>Zasuwa nożowa</v>
      </c>
      <c r="R621" s="732" t="str">
        <f>CONCATENATE('DICTIONARY-3'!$A$11," ",'DICTIONARY-6'!$A$6," ",'DICTIONARY-5'!$A$34," ",'DICTIONARY-2'!$A$2,"600"," ",'DICTIONARY-2'!$A$3,"10"," ",'DICTIONARY-2'!$A$10,"6",'DICTIONARY-2'!$A$20,", ","FESTO"," ",'DICTIONARY-6'!$A$51,"1")</f>
        <v>ZETA Zasuwa noż. A2 DN600 PN10 PS6bar, FESTO St.1</v>
      </c>
      <c r="S621" s="733" t="str">
        <f>'DICTIONARY-4'!$A$5</f>
        <v>NP</v>
      </c>
      <c r="T621" s="732" t="str">
        <f>'DICTIONARY-4'!$A$21</f>
        <v>Napęd pneumatyczny</v>
      </c>
      <c r="U621" s="734" t="s">
        <v>5757</v>
      </c>
      <c r="V621" s="735">
        <v>10</v>
      </c>
      <c r="W621" s="736"/>
      <c r="X621" s="737"/>
      <c r="Y621" s="738"/>
      <c r="Z621" s="739"/>
      <c r="AA621" s="739"/>
      <c r="AB621" s="740">
        <v>6</v>
      </c>
      <c r="AC621" s="741" t="str">
        <f>'DICTIONARY-5'!$A$11&amp;" 20"</f>
        <v>EN 558 szereg 20</v>
      </c>
      <c r="AD621" s="741" t="str">
        <f>'DICTIONARY-5'!$A$14</f>
        <v>ścieki</v>
      </c>
      <c r="AE621" s="742">
        <v>50</v>
      </c>
      <c r="AF621" s="743">
        <v>430</v>
      </c>
      <c r="AG621" s="741" t="str">
        <f>'DICTIONARY-5'!$A$23</f>
        <v>powłoka epoksydowa</v>
      </c>
    </row>
    <row r="622" spans="1:33" x14ac:dyDescent="0.25">
      <c r="A622" s="842" t="s">
        <v>587</v>
      </c>
      <c r="B622" s="842" t="s">
        <v>3232</v>
      </c>
      <c r="C622" s="836">
        <v>878</v>
      </c>
      <c r="D622" s="836"/>
      <c r="E622" s="836"/>
      <c r="F622" s="836"/>
      <c r="G622" s="496" t="s">
        <v>7798</v>
      </c>
      <c r="H622" s="797" t="str">
        <f>VLOOKUP(G622,SETTINGS!$B$7:$D$97,2,0)</f>
        <v>ZETA (with Pneumatic Actuator)</v>
      </c>
      <c r="I622" s="796">
        <f>VLOOKUP(G622,SETTINGS!$B$7:$D$97,3,0)</f>
        <v>0</v>
      </c>
      <c r="J622" s="670" t="str">
        <f>IFERROR(IF(CURRENCY.FORMAT_1=0,CONCATENATE(TEXT(FIXED(ROUND((C622/EXC.RATE_1),CURRENCY.FORMAT_1),CURRENCY.FORMAT_1,1),"# ##0;-# ##0"),",-"),FIXED(ROUND((C622/EXC.RATE_1),CURRENCY.FORMAT_1),CURRENCY.FORMAT_1,0)),'DICTIONARY-5'!$A$2)</f>
        <v>878,-</v>
      </c>
      <c r="K622" s="670" t="str">
        <f>IF(EXC.RATE_2=0,"",IFERROR(IF(CURRENCY.FORMAT_2=0,CONCATENATE(TEXT(FIXED(ROUND(IF(EXC.RATE.SWITCH=1,C622/EXC.RATE_2,C622*EXC.RATE_2),CURRENCY.FORMAT_2),CURRENCY.FORMAT_2,1),"# ##0;-# ##0"),",-"),FIXED(ROUND(IF(EXC.RATE.SWITCH=1,C622/EXC.RATE_2,C622*EXC.RATE_2),CURRENCY.FORMAT_2),CURRENCY.FORMAT_2,0)),'DICTIONARY-5'!$A$2))</f>
        <v/>
      </c>
      <c r="L622" s="670" t="str">
        <f>IFERROR(IF(CURRENCY.FORMAT_1=0,CONCATENATE(TEXT(FIXED(ROUND((C622*(1-I622)*(1-ADD.DISCOUNT)*(1+MAT.SURCHARGE)/EXC.RATE_1),CURRENCY.FORMAT_1),CURRENCY.FORMAT_1,1),"# ##0;-# ##0"),",-"),FIXED(ROUND((C622*(1-I622)*(1-ADD.DISCOUNT)*(1+MAT.SURCHARGE)/EXC.RATE_1),CURRENCY.FORMAT_1),CURRENCY.FORMAT_1,0)),'DICTIONARY-5'!$A$2)</f>
        <v>912,-</v>
      </c>
      <c r="M622" s="670" t="str">
        <f>IF(EXC.RATE_2=0,"",IFERROR(IF(CURRENCY.FORMAT_2=0,CONCATENATE(TEXT(FIXED(ROUND(IF(EXC.RATE.SWITCH=1,C622*(1-I622)*(1-ADD.DISCOUNT)*(1+MAT.SURCHARGE)/EXC.RATE_2,C622*(1-I622)*(1-ADD.DISCOUNT)*(1+MAT.SURCHARGE)*EXC.RATE_2),CURRENCY.FORMAT_2),CURRENCY.FORMAT_2,1),"# ##0;-# ##0"),",-"),FIXED(ROUND(IF(EXC.RATE.SWITCH=1,C622*(1-I622)*(1-ADD.DISCOUNT)*(1+MAT.SURCHARGE)/EXC.RATE_2,C622*(1-I622)*(1-ADD.DISCOUNT)*(1+MAT.SURCHARGE)*EXC.RATE_2),CURRENCY.FORMAT_2),CURRENCY.FORMAT_2,0)),'DICTIONARY-5'!$A$2))</f>
        <v/>
      </c>
      <c r="N622" s="544">
        <v>2</v>
      </c>
      <c r="O622" s="544"/>
      <c r="P622" s="731" t="str">
        <f>'DICTIONARY-3'!$A$11</f>
        <v>ZETA</v>
      </c>
      <c r="Q622" s="732" t="str">
        <f>'DICTIONARY-3'!$A$189</f>
        <v>Zasuwa nożowa</v>
      </c>
      <c r="R622" s="732" t="str">
        <f>CONCATENATE('DICTIONARY-3'!$A$11," ",'DICTIONARY-6'!$A$6," ",'DICTIONARY-5'!$A$35," ",'DICTIONARY-2'!$A$2,"50"," ",'DICTIONARY-2'!$A$3,"10"," ",'DICTIONARY-2'!$A$10,"10",'DICTIONARY-2'!$A$20,", ","FESTO"," ",'DICTIONARY-6'!$A$51,"2")</f>
        <v>ZETA Zasuwa noż. A4 DN50 PN10 PS10bar, FESTO St.2</v>
      </c>
      <c r="S622" s="733" t="str">
        <f>'DICTIONARY-4'!$A$5</f>
        <v>NP</v>
      </c>
      <c r="T622" s="732" t="str">
        <f>'DICTIONARY-4'!$A$21</f>
        <v>Napęd pneumatyczny</v>
      </c>
      <c r="U622" s="734" t="s">
        <v>5748</v>
      </c>
      <c r="V622" s="735">
        <v>10</v>
      </c>
      <c r="W622" s="736"/>
      <c r="X622" s="737"/>
      <c r="Y622" s="738"/>
      <c r="Z622" s="739"/>
      <c r="AA622" s="739"/>
      <c r="AB622" s="740">
        <v>10</v>
      </c>
      <c r="AC622" s="741" t="str">
        <f>'DICTIONARY-5'!$A$11&amp;" 20"</f>
        <v>EN 558 szereg 20</v>
      </c>
      <c r="AD622" s="741" t="str">
        <f>'DICTIONARY-5'!$A$14</f>
        <v>ścieki</v>
      </c>
      <c r="AE622" s="742">
        <v>50</v>
      </c>
      <c r="AF622" s="743">
        <v>12.2</v>
      </c>
      <c r="AG622" s="741" t="str">
        <f>'DICTIONARY-5'!$A$23</f>
        <v>powłoka epoksydowa</v>
      </c>
    </row>
    <row r="623" spans="1:33" x14ac:dyDescent="0.25">
      <c r="A623" s="842" t="s">
        <v>590</v>
      </c>
      <c r="B623" s="842" t="s">
        <v>3236</v>
      </c>
      <c r="C623" s="836">
        <v>877</v>
      </c>
      <c r="D623" s="836"/>
      <c r="E623" s="836"/>
      <c r="F623" s="836"/>
      <c r="G623" s="496" t="s">
        <v>7798</v>
      </c>
      <c r="H623" s="797" t="str">
        <f>VLOOKUP(G623,SETTINGS!$B$7:$D$97,2,0)</f>
        <v>ZETA (with Pneumatic Actuator)</v>
      </c>
      <c r="I623" s="796">
        <f>VLOOKUP(G623,SETTINGS!$B$7:$D$97,3,0)</f>
        <v>0</v>
      </c>
      <c r="J623" s="670" t="str">
        <f>IFERROR(IF(CURRENCY.FORMAT_1=0,CONCATENATE(TEXT(FIXED(ROUND((C623/EXC.RATE_1),CURRENCY.FORMAT_1),CURRENCY.FORMAT_1,1),"# ##0;-# ##0"),",-"),FIXED(ROUND((C623/EXC.RATE_1),CURRENCY.FORMAT_1),CURRENCY.FORMAT_1,0)),'DICTIONARY-5'!$A$2)</f>
        <v>877,-</v>
      </c>
      <c r="K623" s="670" t="str">
        <f>IF(EXC.RATE_2=0,"",IFERROR(IF(CURRENCY.FORMAT_2=0,CONCATENATE(TEXT(FIXED(ROUND(IF(EXC.RATE.SWITCH=1,C623/EXC.RATE_2,C623*EXC.RATE_2),CURRENCY.FORMAT_2),CURRENCY.FORMAT_2,1),"# ##0;-# ##0"),",-"),FIXED(ROUND(IF(EXC.RATE.SWITCH=1,C623/EXC.RATE_2,C623*EXC.RATE_2),CURRENCY.FORMAT_2),CURRENCY.FORMAT_2,0)),'DICTIONARY-5'!$A$2))</f>
        <v/>
      </c>
      <c r="L623" s="670" t="str">
        <f>IFERROR(IF(CURRENCY.FORMAT_1=0,CONCATENATE(TEXT(FIXED(ROUND((C623*(1-I623)*(1-ADD.DISCOUNT)*(1+MAT.SURCHARGE)/EXC.RATE_1),CURRENCY.FORMAT_1),CURRENCY.FORMAT_1,1),"# ##0;-# ##0"),",-"),FIXED(ROUND((C623*(1-I623)*(1-ADD.DISCOUNT)*(1+MAT.SURCHARGE)/EXC.RATE_1),CURRENCY.FORMAT_1),CURRENCY.FORMAT_1,0)),'DICTIONARY-5'!$A$2)</f>
        <v>911,-</v>
      </c>
      <c r="M623" s="670" t="str">
        <f>IF(EXC.RATE_2=0,"",IFERROR(IF(CURRENCY.FORMAT_2=0,CONCATENATE(TEXT(FIXED(ROUND(IF(EXC.RATE.SWITCH=1,C623*(1-I623)*(1-ADD.DISCOUNT)*(1+MAT.SURCHARGE)/EXC.RATE_2,C623*(1-I623)*(1-ADD.DISCOUNT)*(1+MAT.SURCHARGE)*EXC.RATE_2),CURRENCY.FORMAT_2),CURRENCY.FORMAT_2,1),"# ##0;-# ##0"),",-"),FIXED(ROUND(IF(EXC.RATE.SWITCH=1,C623*(1-I623)*(1-ADD.DISCOUNT)*(1+MAT.SURCHARGE)/EXC.RATE_2,C623*(1-I623)*(1-ADD.DISCOUNT)*(1+MAT.SURCHARGE)*EXC.RATE_2),CURRENCY.FORMAT_2),CURRENCY.FORMAT_2,0)),'DICTIONARY-5'!$A$2))</f>
        <v/>
      </c>
      <c r="N623" s="544">
        <v>2</v>
      </c>
      <c r="O623" s="544"/>
      <c r="P623" s="731" t="str">
        <f>'DICTIONARY-3'!$A$11</f>
        <v>ZETA</v>
      </c>
      <c r="Q623" s="732" t="str">
        <f>'DICTIONARY-3'!$A$189</f>
        <v>Zasuwa nożowa</v>
      </c>
      <c r="R623" s="732" t="str">
        <f>CONCATENATE('DICTIONARY-3'!$A$11," ",'DICTIONARY-6'!$A$6," ",'DICTIONARY-5'!$A$35," ",'DICTIONARY-2'!$A$2,"65"," ",'DICTIONARY-2'!$A$3,"10"," ",'DICTIONARY-2'!$A$10,"10",'DICTIONARY-2'!$A$20,", ","FESTO"," ",'DICTIONARY-6'!$A$51,"2")</f>
        <v>ZETA Zasuwa noż. A4 DN65 PN10 PS10bar, FESTO St.2</v>
      </c>
      <c r="S623" s="733" t="str">
        <f>'DICTIONARY-4'!$A$5</f>
        <v>NP</v>
      </c>
      <c r="T623" s="732" t="str">
        <f>'DICTIONARY-4'!$A$21</f>
        <v>Napęd pneumatyczny</v>
      </c>
      <c r="U623" s="734" t="s">
        <v>5759</v>
      </c>
      <c r="V623" s="735">
        <v>10</v>
      </c>
      <c r="W623" s="736"/>
      <c r="X623" s="737"/>
      <c r="Y623" s="738"/>
      <c r="Z623" s="739"/>
      <c r="AA623" s="739"/>
      <c r="AB623" s="740">
        <v>10</v>
      </c>
      <c r="AC623" s="741" t="str">
        <f>'DICTIONARY-5'!$A$11&amp;" 20"</f>
        <v>EN 558 szereg 20</v>
      </c>
      <c r="AD623" s="741" t="str">
        <f>'DICTIONARY-5'!$A$14</f>
        <v>ścieki</v>
      </c>
      <c r="AE623" s="742">
        <v>50</v>
      </c>
      <c r="AF623" s="743">
        <v>14.2</v>
      </c>
      <c r="AG623" s="741" t="str">
        <f>'DICTIONARY-5'!$A$23</f>
        <v>powłoka epoksydowa</v>
      </c>
    </row>
    <row r="624" spans="1:33" x14ac:dyDescent="0.25">
      <c r="A624" s="842" t="s">
        <v>593</v>
      </c>
      <c r="B624" s="842" t="s">
        <v>3240</v>
      </c>
      <c r="C624" s="836">
        <v>924</v>
      </c>
      <c r="D624" s="836"/>
      <c r="E624" s="836"/>
      <c r="F624" s="836"/>
      <c r="G624" s="496" t="s">
        <v>7798</v>
      </c>
      <c r="H624" s="797" t="str">
        <f>VLOOKUP(G624,SETTINGS!$B$7:$D$97,2,0)</f>
        <v>ZETA (with Pneumatic Actuator)</v>
      </c>
      <c r="I624" s="796">
        <f>VLOOKUP(G624,SETTINGS!$B$7:$D$97,3,0)</f>
        <v>0</v>
      </c>
      <c r="J624" s="670" t="str">
        <f>IFERROR(IF(CURRENCY.FORMAT_1=0,CONCATENATE(TEXT(FIXED(ROUND((C624/EXC.RATE_1),CURRENCY.FORMAT_1),CURRENCY.FORMAT_1,1),"# ##0;-# ##0"),",-"),FIXED(ROUND((C624/EXC.RATE_1),CURRENCY.FORMAT_1),CURRENCY.FORMAT_1,0)),'DICTIONARY-5'!$A$2)</f>
        <v>924,-</v>
      </c>
      <c r="K624" s="670" t="str">
        <f>IF(EXC.RATE_2=0,"",IFERROR(IF(CURRENCY.FORMAT_2=0,CONCATENATE(TEXT(FIXED(ROUND(IF(EXC.RATE.SWITCH=1,C624/EXC.RATE_2,C624*EXC.RATE_2),CURRENCY.FORMAT_2),CURRENCY.FORMAT_2,1),"# ##0;-# ##0"),",-"),FIXED(ROUND(IF(EXC.RATE.SWITCH=1,C624/EXC.RATE_2,C624*EXC.RATE_2),CURRENCY.FORMAT_2),CURRENCY.FORMAT_2,0)),'DICTIONARY-5'!$A$2))</f>
        <v/>
      </c>
      <c r="L624" s="670" t="str">
        <f>IFERROR(IF(CURRENCY.FORMAT_1=0,CONCATENATE(TEXT(FIXED(ROUND((C624*(1-I624)*(1-ADD.DISCOUNT)*(1+MAT.SURCHARGE)/EXC.RATE_1),CURRENCY.FORMAT_1),CURRENCY.FORMAT_1,1),"# ##0;-# ##0"),",-"),FIXED(ROUND((C624*(1-I624)*(1-ADD.DISCOUNT)*(1+MAT.SURCHARGE)/EXC.RATE_1),CURRENCY.FORMAT_1),CURRENCY.FORMAT_1,0)),'DICTIONARY-5'!$A$2)</f>
        <v>960,-</v>
      </c>
      <c r="M624" s="670" t="str">
        <f>IF(EXC.RATE_2=0,"",IFERROR(IF(CURRENCY.FORMAT_2=0,CONCATENATE(TEXT(FIXED(ROUND(IF(EXC.RATE.SWITCH=1,C624*(1-I624)*(1-ADD.DISCOUNT)*(1+MAT.SURCHARGE)/EXC.RATE_2,C624*(1-I624)*(1-ADD.DISCOUNT)*(1+MAT.SURCHARGE)*EXC.RATE_2),CURRENCY.FORMAT_2),CURRENCY.FORMAT_2,1),"# ##0;-# ##0"),",-"),FIXED(ROUND(IF(EXC.RATE.SWITCH=1,C624*(1-I624)*(1-ADD.DISCOUNT)*(1+MAT.SURCHARGE)/EXC.RATE_2,C624*(1-I624)*(1-ADD.DISCOUNT)*(1+MAT.SURCHARGE)*EXC.RATE_2),CURRENCY.FORMAT_2),CURRENCY.FORMAT_2,0)),'DICTIONARY-5'!$A$2))</f>
        <v/>
      </c>
      <c r="N624" s="544">
        <v>2</v>
      </c>
      <c r="O624" s="544"/>
      <c r="P624" s="731" t="str">
        <f>'DICTIONARY-3'!$A$11</f>
        <v>ZETA</v>
      </c>
      <c r="Q624" s="732" t="str">
        <f>'DICTIONARY-3'!$A$189</f>
        <v>Zasuwa nożowa</v>
      </c>
      <c r="R624" s="732" t="str">
        <f>CONCATENATE('DICTIONARY-3'!$A$11," ",'DICTIONARY-6'!$A$6," ",'DICTIONARY-5'!$A$35," ",'DICTIONARY-2'!$A$2,"80"," ",'DICTIONARY-2'!$A$3,"10"," ",'DICTIONARY-2'!$A$10,"10",'DICTIONARY-2'!$A$20,", ","FESTO"," ",'DICTIONARY-6'!$A$51,"2")</f>
        <v>ZETA Zasuwa noż. A4 DN80 PN10 PS10bar, FESTO St.2</v>
      </c>
      <c r="S624" s="733" t="str">
        <f>'DICTIONARY-4'!$A$5</f>
        <v>NP</v>
      </c>
      <c r="T624" s="732" t="str">
        <f>'DICTIONARY-4'!$A$21</f>
        <v>Napęd pneumatyczny</v>
      </c>
      <c r="U624" s="734" t="s">
        <v>5760</v>
      </c>
      <c r="V624" s="735">
        <v>10</v>
      </c>
      <c r="W624" s="736"/>
      <c r="X624" s="737"/>
      <c r="Y624" s="738"/>
      <c r="Z624" s="739"/>
      <c r="AA624" s="739"/>
      <c r="AB624" s="740">
        <v>10</v>
      </c>
      <c r="AC624" s="741" t="str">
        <f>'DICTIONARY-5'!$A$11&amp;" 20"</f>
        <v>EN 558 szereg 20</v>
      </c>
      <c r="AD624" s="741" t="str">
        <f>'DICTIONARY-5'!$A$14</f>
        <v>ścieki</v>
      </c>
      <c r="AE624" s="742">
        <v>50</v>
      </c>
      <c r="AF624" s="743">
        <v>12</v>
      </c>
      <c r="AG624" s="741" t="str">
        <f>'DICTIONARY-5'!$A$23</f>
        <v>powłoka epoksydowa</v>
      </c>
    </row>
    <row r="625" spans="1:33" x14ac:dyDescent="0.25">
      <c r="A625" s="842" t="s">
        <v>596</v>
      </c>
      <c r="B625" s="842" t="s">
        <v>3244</v>
      </c>
      <c r="C625" s="836">
        <v>1026</v>
      </c>
      <c r="D625" s="836"/>
      <c r="E625" s="836"/>
      <c r="F625" s="836"/>
      <c r="G625" s="496" t="s">
        <v>7798</v>
      </c>
      <c r="H625" s="797" t="str">
        <f>VLOOKUP(G625,SETTINGS!$B$7:$D$97,2,0)</f>
        <v>ZETA (with Pneumatic Actuator)</v>
      </c>
      <c r="I625" s="796">
        <f>VLOOKUP(G625,SETTINGS!$B$7:$D$97,3,0)</f>
        <v>0</v>
      </c>
      <c r="J625" s="670" t="str">
        <f>IFERROR(IF(CURRENCY.FORMAT_1=0,CONCATENATE(TEXT(FIXED(ROUND((C625/EXC.RATE_1),CURRENCY.FORMAT_1),CURRENCY.FORMAT_1,1),"# ##0;-# ##0"),",-"),FIXED(ROUND((C625/EXC.RATE_1),CURRENCY.FORMAT_1),CURRENCY.FORMAT_1,0)),'DICTIONARY-5'!$A$2)</f>
        <v>1 026,-</v>
      </c>
      <c r="K625" s="670" t="str">
        <f>IF(EXC.RATE_2=0,"",IFERROR(IF(CURRENCY.FORMAT_2=0,CONCATENATE(TEXT(FIXED(ROUND(IF(EXC.RATE.SWITCH=1,C625/EXC.RATE_2,C625*EXC.RATE_2),CURRENCY.FORMAT_2),CURRENCY.FORMAT_2,1),"# ##0;-# ##0"),",-"),FIXED(ROUND(IF(EXC.RATE.SWITCH=1,C625/EXC.RATE_2,C625*EXC.RATE_2),CURRENCY.FORMAT_2),CURRENCY.FORMAT_2,0)),'DICTIONARY-5'!$A$2))</f>
        <v/>
      </c>
      <c r="L625" s="670" t="str">
        <f>IFERROR(IF(CURRENCY.FORMAT_1=0,CONCATENATE(TEXT(FIXED(ROUND((C625*(1-I625)*(1-ADD.DISCOUNT)*(1+MAT.SURCHARGE)/EXC.RATE_1),CURRENCY.FORMAT_1),CURRENCY.FORMAT_1,1),"# ##0;-# ##0"),",-"),FIXED(ROUND((C625*(1-I625)*(1-ADD.DISCOUNT)*(1+MAT.SURCHARGE)/EXC.RATE_1),CURRENCY.FORMAT_1),CURRENCY.FORMAT_1,0)),'DICTIONARY-5'!$A$2)</f>
        <v>1 066,-</v>
      </c>
      <c r="M625" s="670" t="str">
        <f>IF(EXC.RATE_2=0,"",IFERROR(IF(CURRENCY.FORMAT_2=0,CONCATENATE(TEXT(FIXED(ROUND(IF(EXC.RATE.SWITCH=1,C625*(1-I625)*(1-ADD.DISCOUNT)*(1+MAT.SURCHARGE)/EXC.RATE_2,C625*(1-I625)*(1-ADD.DISCOUNT)*(1+MAT.SURCHARGE)*EXC.RATE_2),CURRENCY.FORMAT_2),CURRENCY.FORMAT_2,1),"# ##0;-# ##0"),",-"),FIXED(ROUND(IF(EXC.RATE.SWITCH=1,C625*(1-I625)*(1-ADD.DISCOUNT)*(1+MAT.SURCHARGE)/EXC.RATE_2,C625*(1-I625)*(1-ADD.DISCOUNT)*(1+MAT.SURCHARGE)*EXC.RATE_2),CURRENCY.FORMAT_2),CURRENCY.FORMAT_2,0)),'DICTIONARY-5'!$A$2))</f>
        <v/>
      </c>
      <c r="N625" s="544">
        <v>2</v>
      </c>
      <c r="O625" s="544"/>
      <c r="P625" s="731" t="str">
        <f>'DICTIONARY-3'!$A$11</f>
        <v>ZETA</v>
      </c>
      <c r="Q625" s="732" t="str">
        <f>'DICTIONARY-3'!$A$189</f>
        <v>Zasuwa nożowa</v>
      </c>
      <c r="R625" s="732" t="str">
        <f>CONCATENATE('DICTIONARY-3'!$A$11," ",'DICTIONARY-6'!$A$6," ",'DICTIONARY-5'!$A$35," ",'DICTIONARY-2'!$A$2,"100"," ",'DICTIONARY-2'!$A$3,"10"," ",'DICTIONARY-2'!$A$10,"10",'DICTIONARY-2'!$A$20,", ","FESTO"," ",'DICTIONARY-6'!$A$51,"2")</f>
        <v>ZETA Zasuwa noż. A4 DN100 PN10 PS10bar, FESTO St.2</v>
      </c>
      <c r="S625" s="733" t="str">
        <f>'DICTIONARY-4'!$A$5</f>
        <v>NP</v>
      </c>
      <c r="T625" s="732" t="str">
        <f>'DICTIONARY-4'!$A$21</f>
        <v>Napęd pneumatyczny</v>
      </c>
      <c r="U625" s="734" t="s">
        <v>5749</v>
      </c>
      <c r="V625" s="735">
        <v>10</v>
      </c>
      <c r="W625" s="736"/>
      <c r="X625" s="737"/>
      <c r="Y625" s="738"/>
      <c r="Z625" s="739"/>
      <c r="AA625" s="739"/>
      <c r="AB625" s="740">
        <v>10</v>
      </c>
      <c r="AC625" s="741" t="str">
        <f>'DICTIONARY-5'!$A$11&amp;" 20"</f>
        <v>EN 558 szereg 20</v>
      </c>
      <c r="AD625" s="741" t="str">
        <f>'DICTIONARY-5'!$A$14</f>
        <v>ścieki</v>
      </c>
      <c r="AE625" s="742">
        <v>50</v>
      </c>
      <c r="AF625" s="743">
        <v>17</v>
      </c>
      <c r="AG625" s="741" t="str">
        <f>'DICTIONARY-5'!$A$23</f>
        <v>powłoka epoksydowa</v>
      </c>
    </row>
    <row r="626" spans="1:33" x14ac:dyDescent="0.25">
      <c r="A626" s="842" t="s">
        <v>599</v>
      </c>
      <c r="B626" s="842" t="s">
        <v>3248</v>
      </c>
      <c r="C626" s="836">
        <v>1359</v>
      </c>
      <c r="D626" s="836"/>
      <c r="E626" s="836"/>
      <c r="F626" s="836"/>
      <c r="G626" s="496" t="s">
        <v>7798</v>
      </c>
      <c r="H626" s="797" t="str">
        <f>VLOOKUP(G626,SETTINGS!$B$7:$D$97,2,0)</f>
        <v>ZETA (with Pneumatic Actuator)</v>
      </c>
      <c r="I626" s="796">
        <f>VLOOKUP(G626,SETTINGS!$B$7:$D$97,3,0)</f>
        <v>0</v>
      </c>
      <c r="J626" s="670" t="str">
        <f>IFERROR(IF(CURRENCY.FORMAT_1=0,CONCATENATE(TEXT(FIXED(ROUND((C626/EXC.RATE_1),CURRENCY.FORMAT_1),CURRENCY.FORMAT_1,1),"# ##0;-# ##0"),",-"),FIXED(ROUND((C626/EXC.RATE_1),CURRENCY.FORMAT_1),CURRENCY.FORMAT_1,0)),'DICTIONARY-5'!$A$2)</f>
        <v>1 359,-</v>
      </c>
      <c r="K626" s="670" t="str">
        <f>IF(EXC.RATE_2=0,"",IFERROR(IF(CURRENCY.FORMAT_2=0,CONCATENATE(TEXT(FIXED(ROUND(IF(EXC.RATE.SWITCH=1,C626/EXC.RATE_2,C626*EXC.RATE_2),CURRENCY.FORMAT_2),CURRENCY.FORMAT_2,1),"# ##0;-# ##0"),",-"),FIXED(ROUND(IF(EXC.RATE.SWITCH=1,C626/EXC.RATE_2,C626*EXC.RATE_2),CURRENCY.FORMAT_2),CURRENCY.FORMAT_2,0)),'DICTIONARY-5'!$A$2))</f>
        <v/>
      </c>
      <c r="L626" s="670" t="str">
        <f>IFERROR(IF(CURRENCY.FORMAT_1=0,CONCATENATE(TEXT(FIXED(ROUND((C626*(1-I626)*(1-ADD.DISCOUNT)*(1+MAT.SURCHARGE)/EXC.RATE_1),CURRENCY.FORMAT_1),CURRENCY.FORMAT_1,1),"# ##0;-# ##0"),",-"),FIXED(ROUND((C626*(1-I626)*(1-ADD.DISCOUNT)*(1+MAT.SURCHARGE)/EXC.RATE_1),CURRENCY.FORMAT_1),CURRENCY.FORMAT_1,0)),'DICTIONARY-5'!$A$2)</f>
        <v>1 412,-</v>
      </c>
      <c r="M626" s="670" t="str">
        <f>IF(EXC.RATE_2=0,"",IFERROR(IF(CURRENCY.FORMAT_2=0,CONCATENATE(TEXT(FIXED(ROUND(IF(EXC.RATE.SWITCH=1,C626*(1-I626)*(1-ADD.DISCOUNT)*(1+MAT.SURCHARGE)/EXC.RATE_2,C626*(1-I626)*(1-ADD.DISCOUNT)*(1+MAT.SURCHARGE)*EXC.RATE_2),CURRENCY.FORMAT_2),CURRENCY.FORMAT_2,1),"# ##0;-# ##0"),",-"),FIXED(ROUND(IF(EXC.RATE.SWITCH=1,C626*(1-I626)*(1-ADD.DISCOUNT)*(1+MAT.SURCHARGE)/EXC.RATE_2,C626*(1-I626)*(1-ADD.DISCOUNT)*(1+MAT.SURCHARGE)*EXC.RATE_2),CURRENCY.FORMAT_2),CURRENCY.FORMAT_2,0)),'DICTIONARY-5'!$A$2))</f>
        <v/>
      </c>
      <c r="N626" s="544">
        <v>2</v>
      </c>
      <c r="O626" s="544"/>
      <c r="P626" s="731" t="str">
        <f>'DICTIONARY-3'!$A$11</f>
        <v>ZETA</v>
      </c>
      <c r="Q626" s="732" t="str">
        <f>'DICTIONARY-3'!$A$189</f>
        <v>Zasuwa nożowa</v>
      </c>
      <c r="R626" s="732" t="str">
        <f>CONCATENATE('DICTIONARY-3'!$A$11," ",'DICTIONARY-6'!$A$6," ",'DICTIONARY-5'!$A$35," ",'DICTIONARY-2'!$A$2,"125"," ",'DICTIONARY-2'!$A$3,"10"," ",'DICTIONARY-2'!$A$10,"10",'DICTIONARY-2'!$A$20,", ","FESTO"," ",'DICTIONARY-6'!$A$51,"2")</f>
        <v>ZETA Zasuwa noż. A4 DN125 PN10 PS10bar, FESTO St.2</v>
      </c>
      <c r="S626" s="733" t="str">
        <f>'DICTIONARY-4'!$A$5</f>
        <v>NP</v>
      </c>
      <c r="T626" s="732" t="str">
        <f>'DICTIONARY-4'!$A$21</f>
        <v>Napęd pneumatyczny</v>
      </c>
      <c r="U626" s="734" t="s">
        <v>5761</v>
      </c>
      <c r="V626" s="735">
        <v>10</v>
      </c>
      <c r="W626" s="736"/>
      <c r="X626" s="737"/>
      <c r="Y626" s="738"/>
      <c r="Z626" s="739"/>
      <c r="AA626" s="739"/>
      <c r="AB626" s="740">
        <v>10</v>
      </c>
      <c r="AC626" s="741" t="str">
        <f>'DICTIONARY-5'!$A$11&amp;" 20"</f>
        <v>EN 558 szereg 20</v>
      </c>
      <c r="AD626" s="741" t="str">
        <f>'DICTIONARY-5'!$A$14</f>
        <v>ścieki</v>
      </c>
      <c r="AE626" s="742">
        <v>50</v>
      </c>
      <c r="AF626" s="743">
        <v>27</v>
      </c>
      <c r="AG626" s="741" t="str">
        <f>'DICTIONARY-5'!$A$23</f>
        <v>powłoka epoksydowa</v>
      </c>
    </row>
    <row r="627" spans="1:33" x14ac:dyDescent="0.25">
      <c r="A627" s="842" t="s">
        <v>602</v>
      </c>
      <c r="B627" s="842" t="s">
        <v>3252</v>
      </c>
      <c r="C627" s="836">
        <v>1575</v>
      </c>
      <c r="D627" s="836"/>
      <c r="E627" s="836"/>
      <c r="F627" s="836"/>
      <c r="G627" s="496" t="s">
        <v>7798</v>
      </c>
      <c r="H627" s="797" t="str">
        <f>VLOOKUP(G627,SETTINGS!$B$7:$D$97,2,0)</f>
        <v>ZETA (with Pneumatic Actuator)</v>
      </c>
      <c r="I627" s="796">
        <f>VLOOKUP(G627,SETTINGS!$B$7:$D$97,3,0)</f>
        <v>0</v>
      </c>
      <c r="J627" s="670" t="str">
        <f>IFERROR(IF(CURRENCY.FORMAT_1=0,CONCATENATE(TEXT(FIXED(ROUND((C627/EXC.RATE_1),CURRENCY.FORMAT_1),CURRENCY.FORMAT_1,1),"# ##0;-# ##0"),",-"),FIXED(ROUND((C627/EXC.RATE_1),CURRENCY.FORMAT_1),CURRENCY.FORMAT_1,0)),'DICTIONARY-5'!$A$2)</f>
        <v>1 575,-</v>
      </c>
      <c r="K627" s="670" t="str">
        <f>IF(EXC.RATE_2=0,"",IFERROR(IF(CURRENCY.FORMAT_2=0,CONCATENATE(TEXT(FIXED(ROUND(IF(EXC.RATE.SWITCH=1,C627/EXC.RATE_2,C627*EXC.RATE_2),CURRENCY.FORMAT_2),CURRENCY.FORMAT_2,1),"# ##0;-# ##0"),",-"),FIXED(ROUND(IF(EXC.RATE.SWITCH=1,C627/EXC.RATE_2,C627*EXC.RATE_2),CURRENCY.FORMAT_2),CURRENCY.FORMAT_2,0)),'DICTIONARY-5'!$A$2))</f>
        <v/>
      </c>
      <c r="L627" s="670" t="str">
        <f>IFERROR(IF(CURRENCY.FORMAT_1=0,CONCATENATE(TEXT(FIXED(ROUND((C627*(1-I627)*(1-ADD.DISCOUNT)*(1+MAT.SURCHARGE)/EXC.RATE_1),CURRENCY.FORMAT_1),CURRENCY.FORMAT_1,1),"# ##0;-# ##0"),",-"),FIXED(ROUND((C627*(1-I627)*(1-ADD.DISCOUNT)*(1+MAT.SURCHARGE)/EXC.RATE_1),CURRENCY.FORMAT_1),CURRENCY.FORMAT_1,0)),'DICTIONARY-5'!$A$2)</f>
        <v>1 636,-</v>
      </c>
      <c r="M627" s="670" t="str">
        <f>IF(EXC.RATE_2=0,"",IFERROR(IF(CURRENCY.FORMAT_2=0,CONCATENATE(TEXT(FIXED(ROUND(IF(EXC.RATE.SWITCH=1,C627*(1-I627)*(1-ADD.DISCOUNT)*(1+MAT.SURCHARGE)/EXC.RATE_2,C627*(1-I627)*(1-ADD.DISCOUNT)*(1+MAT.SURCHARGE)*EXC.RATE_2),CURRENCY.FORMAT_2),CURRENCY.FORMAT_2,1),"# ##0;-# ##0"),",-"),FIXED(ROUND(IF(EXC.RATE.SWITCH=1,C627*(1-I627)*(1-ADD.DISCOUNT)*(1+MAT.SURCHARGE)/EXC.RATE_2,C627*(1-I627)*(1-ADD.DISCOUNT)*(1+MAT.SURCHARGE)*EXC.RATE_2),CURRENCY.FORMAT_2),CURRENCY.FORMAT_2,0)),'DICTIONARY-5'!$A$2))</f>
        <v/>
      </c>
      <c r="N627" s="544">
        <v>2</v>
      </c>
      <c r="O627" s="544"/>
      <c r="P627" s="731" t="str">
        <f>'DICTIONARY-3'!$A$11</f>
        <v>ZETA</v>
      </c>
      <c r="Q627" s="732" t="str">
        <f>'DICTIONARY-3'!$A$189</f>
        <v>Zasuwa nożowa</v>
      </c>
      <c r="R627" s="732" t="str">
        <f>CONCATENATE('DICTIONARY-3'!$A$11," ",'DICTIONARY-6'!$A$6," ",'DICTIONARY-5'!$A$35," ",'DICTIONARY-2'!$A$2,"150"," ",'DICTIONARY-2'!$A$3,"10"," ",'DICTIONARY-2'!$A$10,"10",'DICTIONARY-2'!$A$20,", ","FESTO"," ",'DICTIONARY-6'!$A$51,"2")</f>
        <v>ZETA Zasuwa noż. A4 DN150 PN10 PS10bar, FESTO St.2</v>
      </c>
      <c r="S627" s="733" t="str">
        <f>'DICTIONARY-4'!$A$5</f>
        <v>NP</v>
      </c>
      <c r="T627" s="732" t="str">
        <f>'DICTIONARY-4'!$A$21</f>
        <v>Napęd pneumatyczny</v>
      </c>
      <c r="U627" s="734" t="s">
        <v>5572</v>
      </c>
      <c r="V627" s="735">
        <v>10</v>
      </c>
      <c r="W627" s="736"/>
      <c r="X627" s="737"/>
      <c r="Y627" s="738"/>
      <c r="Z627" s="739"/>
      <c r="AA627" s="739"/>
      <c r="AB627" s="740">
        <v>10</v>
      </c>
      <c r="AC627" s="741" t="str">
        <f>'DICTIONARY-5'!$A$11&amp;" 20"</f>
        <v>EN 558 szereg 20</v>
      </c>
      <c r="AD627" s="741" t="str">
        <f>'DICTIONARY-5'!$A$14</f>
        <v>ścieki</v>
      </c>
      <c r="AE627" s="742">
        <v>50</v>
      </c>
      <c r="AF627" s="743">
        <v>32</v>
      </c>
      <c r="AG627" s="741" t="str">
        <f>'DICTIONARY-5'!$A$23</f>
        <v>powłoka epoksydowa</v>
      </c>
    </row>
    <row r="628" spans="1:33" x14ac:dyDescent="0.25">
      <c r="A628" s="842" t="s">
        <v>605</v>
      </c>
      <c r="B628" s="842" t="s">
        <v>3204</v>
      </c>
      <c r="C628" s="836">
        <v>1739</v>
      </c>
      <c r="D628" s="836"/>
      <c r="E628" s="836"/>
      <c r="F628" s="836"/>
      <c r="G628" s="496" t="s">
        <v>7798</v>
      </c>
      <c r="H628" s="797" t="str">
        <f>VLOOKUP(G628,SETTINGS!$B$7:$D$97,2,0)</f>
        <v>ZETA (with Pneumatic Actuator)</v>
      </c>
      <c r="I628" s="796">
        <f>VLOOKUP(G628,SETTINGS!$B$7:$D$97,3,0)</f>
        <v>0</v>
      </c>
      <c r="J628" s="670" t="str">
        <f>IFERROR(IF(CURRENCY.FORMAT_1=0,CONCATENATE(TEXT(FIXED(ROUND((C628/EXC.RATE_1),CURRENCY.FORMAT_1),CURRENCY.FORMAT_1,1),"# ##0;-# ##0"),",-"),FIXED(ROUND((C628/EXC.RATE_1),CURRENCY.FORMAT_1),CURRENCY.FORMAT_1,0)),'DICTIONARY-5'!$A$2)</f>
        <v>1 739,-</v>
      </c>
      <c r="K628" s="670" t="str">
        <f>IF(EXC.RATE_2=0,"",IFERROR(IF(CURRENCY.FORMAT_2=0,CONCATENATE(TEXT(FIXED(ROUND(IF(EXC.RATE.SWITCH=1,C628/EXC.RATE_2,C628*EXC.RATE_2),CURRENCY.FORMAT_2),CURRENCY.FORMAT_2,1),"# ##0;-# ##0"),",-"),FIXED(ROUND(IF(EXC.RATE.SWITCH=1,C628/EXC.RATE_2,C628*EXC.RATE_2),CURRENCY.FORMAT_2),CURRENCY.FORMAT_2,0)),'DICTIONARY-5'!$A$2))</f>
        <v/>
      </c>
      <c r="L628" s="670" t="str">
        <f>IFERROR(IF(CURRENCY.FORMAT_1=0,CONCATENATE(TEXT(FIXED(ROUND((C628*(1-I628)*(1-ADD.DISCOUNT)*(1+MAT.SURCHARGE)/EXC.RATE_1),CURRENCY.FORMAT_1),CURRENCY.FORMAT_1,1),"# ##0;-# ##0"),",-"),FIXED(ROUND((C628*(1-I628)*(1-ADD.DISCOUNT)*(1+MAT.SURCHARGE)/EXC.RATE_1),CURRENCY.FORMAT_1),CURRENCY.FORMAT_1,0)),'DICTIONARY-5'!$A$2)</f>
        <v>1 807,-</v>
      </c>
      <c r="M628" s="670" t="str">
        <f>IF(EXC.RATE_2=0,"",IFERROR(IF(CURRENCY.FORMAT_2=0,CONCATENATE(TEXT(FIXED(ROUND(IF(EXC.RATE.SWITCH=1,C628*(1-I628)*(1-ADD.DISCOUNT)*(1+MAT.SURCHARGE)/EXC.RATE_2,C628*(1-I628)*(1-ADD.DISCOUNT)*(1+MAT.SURCHARGE)*EXC.RATE_2),CURRENCY.FORMAT_2),CURRENCY.FORMAT_2,1),"# ##0;-# ##0"),",-"),FIXED(ROUND(IF(EXC.RATE.SWITCH=1,C628*(1-I628)*(1-ADD.DISCOUNT)*(1+MAT.SURCHARGE)/EXC.RATE_2,C628*(1-I628)*(1-ADD.DISCOUNT)*(1+MAT.SURCHARGE)*EXC.RATE_2),CURRENCY.FORMAT_2),CURRENCY.FORMAT_2,0)),'DICTIONARY-5'!$A$2))</f>
        <v/>
      </c>
      <c r="N628" s="544">
        <v>2</v>
      </c>
      <c r="O628" s="544"/>
      <c r="P628" s="731" t="str">
        <f>'DICTIONARY-3'!$A$11</f>
        <v>ZETA</v>
      </c>
      <c r="Q628" s="732" t="str">
        <f>'DICTIONARY-3'!$A$189</f>
        <v>Zasuwa nożowa</v>
      </c>
      <c r="R628" s="732" t="str">
        <f>CONCATENATE('DICTIONARY-3'!$A$11," ",'DICTIONARY-6'!$A$6," ",'DICTIONARY-5'!$A$34," ",'DICTIONARY-2'!$A$2,"200"," ",'DICTIONARY-2'!$A$3,"10"," ",'DICTIONARY-2'!$A$10,"10",'DICTIONARY-2'!$A$20,", ","FESTO"," ",'DICTIONARY-6'!$A$51,"2")</f>
        <v>ZETA Zasuwa noż. A2 DN200 PN10 PS10bar, FESTO St.2</v>
      </c>
      <c r="S628" s="733" t="str">
        <f>'DICTIONARY-4'!$A$5</f>
        <v>NP</v>
      </c>
      <c r="T628" s="732" t="str">
        <f>'DICTIONARY-4'!$A$21</f>
        <v>Napęd pneumatyczny</v>
      </c>
      <c r="U628" s="734" t="s">
        <v>5750</v>
      </c>
      <c r="V628" s="735">
        <v>10</v>
      </c>
      <c r="W628" s="736"/>
      <c r="X628" s="737"/>
      <c r="Y628" s="738"/>
      <c r="Z628" s="739"/>
      <c r="AA628" s="739"/>
      <c r="AB628" s="740">
        <v>10</v>
      </c>
      <c r="AC628" s="741" t="str">
        <f>'DICTIONARY-5'!$A$11&amp;" 20"</f>
        <v>EN 558 szereg 20</v>
      </c>
      <c r="AD628" s="741" t="str">
        <f>'DICTIONARY-5'!$A$14</f>
        <v>ścieki</v>
      </c>
      <c r="AE628" s="742">
        <v>50</v>
      </c>
      <c r="AF628" s="743">
        <v>42</v>
      </c>
      <c r="AG628" s="741" t="str">
        <f>'DICTIONARY-5'!$A$23</f>
        <v>powłoka epoksydowa</v>
      </c>
    </row>
    <row r="629" spans="1:33" x14ac:dyDescent="0.25">
      <c r="A629" s="842" t="s">
        <v>608</v>
      </c>
      <c r="B629" s="842" t="s">
        <v>3208</v>
      </c>
      <c r="C629" s="836">
        <v>2145</v>
      </c>
      <c r="D629" s="836"/>
      <c r="E629" s="836"/>
      <c r="F629" s="836"/>
      <c r="G629" s="496" t="s">
        <v>7798</v>
      </c>
      <c r="H629" s="797" t="str">
        <f>VLOOKUP(G629,SETTINGS!$B$7:$D$97,2,0)</f>
        <v>ZETA (with Pneumatic Actuator)</v>
      </c>
      <c r="I629" s="796">
        <f>VLOOKUP(G629,SETTINGS!$B$7:$D$97,3,0)</f>
        <v>0</v>
      </c>
      <c r="J629" s="670" t="str">
        <f>IFERROR(IF(CURRENCY.FORMAT_1=0,CONCATENATE(TEXT(FIXED(ROUND((C629/EXC.RATE_1),CURRENCY.FORMAT_1),CURRENCY.FORMAT_1,1),"# ##0;-# ##0"),",-"),FIXED(ROUND((C629/EXC.RATE_1),CURRENCY.FORMAT_1),CURRENCY.FORMAT_1,0)),'DICTIONARY-5'!$A$2)</f>
        <v>2 145,-</v>
      </c>
      <c r="K629" s="670" t="str">
        <f>IF(EXC.RATE_2=0,"",IFERROR(IF(CURRENCY.FORMAT_2=0,CONCATENATE(TEXT(FIXED(ROUND(IF(EXC.RATE.SWITCH=1,C629/EXC.RATE_2,C629*EXC.RATE_2),CURRENCY.FORMAT_2),CURRENCY.FORMAT_2,1),"# ##0;-# ##0"),",-"),FIXED(ROUND(IF(EXC.RATE.SWITCH=1,C629/EXC.RATE_2,C629*EXC.RATE_2),CURRENCY.FORMAT_2),CURRENCY.FORMAT_2,0)),'DICTIONARY-5'!$A$2))</f>
        <v/>
      </c>
      <c r="L629" s="670" t="str">
        <f>IFERROR(IF(CURRENCY.FORMAT_1=0,CONCATENATE(TEXT(FIXED(ROUND((C629*(1-I629)*(1-ADD.DISCOUNT)*(1+MAT.SURCHARGE)/EXC.RATE_1),CURRENCY.FORMAT_1),CURRENCY.FORMAT_1,1),"# ##0;-# ##0"),",-"),FIXED(ROUND((C629*(1-I629)*(1-ADD.DISCOUNT)*(1+MAT.SURCHARGE)/EXC.RATE_1),CURRENCY.FORMAT_1),CURRENCY.FORMAT_1,0)),'DICTIONARY-5'!$A$2)</f>
        <v>2 229,-</v>
      </c>
      <c r="M629" s="670" t="str">
        <f>IF(EXC.RATE_2=0,"",IFERROR(IF(CURRENCY.FORMAT_2=0,CONCATENATE(TEXT(FIXED(ROUND(IF(EXC.RATE.SWITCH=1,C629*(1-I629)*(1-ADD.DISCOUNT)*(1+MAT.SURCHARGE)/EXC.RATE_2,C629*(1-I629)*(1-ADD.DISCOUNT)*(1+MAT.SURCHARGE)*EXC.RATE_2),CURRENCY.FORMAT_2),CURRENCY.FORMAT_2,1),"# ##0;-# ##0"),",-"),FIXED(ROUND(IF(EXC.RATE.SWITCH=1,C629*(1-I629)*(1-ADD.DISCOUNT)*(1+MAT.SURCHARGE)/EXC.RATE_2,C629*(1-I629)*(1-ADD.DISCOUNT)*(1+MAT.SURCHARGE)*EXC.RATE_2),CURRENCY.FORMAT_2),CURRENCY.FORMAT_2,0)),'DICTIONARY-5'!$A$2))</f>
        <v/>
      </c>
      <c r="N629" s="544">
        <v>2</v>
      </c>
      <c r="O629" s="544"/>
      <c r="P629" s="731" t="str">
        <f>'DICTIONARY-3'!$A$11</f>
        <v>ZETA</v>
      </c>
      <c r="Q629" s="732" t="str">
        <f>'DICTIONARY-3'!$A$189</f>
        <v>Zasuwa nożowa</v>
      </c>
      <c r="R629" s="732" t="str">
        <f>CONCATENATE('DICTIONARY-3'!$A$11," ",'DICTIONARY-6'!$A$6," ",'DICTIONARY-5'!$A$34," ",'DICTIONARY-2'!$A$2,"250"," ",'DICTIONARY-2'!$A$3,"10"," ",'DICTIONARY-2'!$A$10,"10",'DICTIONARY-2'!$A$20,", ","FESTO"," ",'DICTIONARY-6'!$A$51,"2")</f>
        <v>ZETA Zasuwa noż. A2 DN250 PN10 PS10bar, FESTO St.2</v>
      </c>
      <c r="S629" s="733" t="str">
        <f>'DICTIONARY-4'!$A$5</f>
        <v>NP</v>
      </c>
      <c r="T629" s="732" t="str">
        <f>'DICTIONARY-4'!$A$21</f>
        <v>Napęd pneumatyczny</v>
      </c>
      <c r="U629" s="734" t="s">
        <v>5751</v>
      </c>
      <c r="V629" s="735">
        <v>10</v>
      </c>
      <c r="W629" s="736"/>
      <c r="X629" s="737"/>
      <c r="Y629" s="738"/>
      <c r="Z629" s="739"/>
      <c r="AA629" s="739"/>
      <c r="AB629" s="740">
        <v>10</v>
      </c>
      <c r="AC629" s="741" t="str">
        <f>'DICTIONARY-5'!$A$11&amp;" 20"</f>
        <v>EN 558 szereg 20</v>
      </c>
      <c r="AD629" s="741" t="str">
        <f>'DICTIONARY-5'!$A$14</f>
        <v>ścieki</v>
      </c>
      <c r="AE629" s="742">
        <v>50</v>
      </c>
      <c r="AF629" s="743">
        <v>70</v>
      </c>
      <c r="AG629" s="741" t="str">
        <f>'DICTIONARY-5'!$A$23</f>
        <v>powłoka epoksydowa</v>
      </c>
    </row>
    <row r="630" spans="1:33" x14ac:dyDescent="0.25">
      <c r="A630" s="842" t="s">
        <v>611</v>
      </c>
      <c r="B630" s="842" t="s">
        <v>3212</v>
      </c>
      <c r="C630" s="836">
        <v>3213</v>
      </c>
      <c r="D630" s="836"/>
      <c r="E630" s="836"/>
      <c r="F630" s="836"/>
      <c r="G630" s="496" t="s">
        <v>7798</v>
      </c>
      <c r="H630" s="797" t="str">
        <f>VLOOKUP(G630,SETTINGS!$B$7:$D$97,2,0)</f>
        <v>ZETA (with Pneumatic Actuator)</v>
      </c>
      <c r="I630" s="796">
        <f>VLOOKUP(G630,SETTINGS!$B$7:$D$97,3,0)</f>
        <v>0</v>
      </c>
      <c r="J630" s="670" t="str">
        <f>IFERROR(IF(CURRENCY.FORMAT_1=0,CONCATENATE(TEXT(FIXED(ROUND((C630/EXC.RATE_1),CURRENCY.FORMAT_1),CURRENCY.FORMAT_1,1),"# ##0;-# ##0"),",-"),FIXED(ROUND((C630/EXC.RATE_1),CURRENCY.FORMAT_1),CURRENCY.FORMAT_1,0)),'DICTIONARY-5'!$A$2)</f>
        <v>3 213,-</v>
      </c>
      <c r="K630" s="670" t="str">
        <f>IF(EXC.RATE_2=0,"",IFERROR(IF(CURRENCY.FORMAT_2=0,CONCATENATE(TEXT(FIXED(ROUND(IF(EXC.RATE.SWITCH=1,C630/EXC.RATE_2,C630*EXC.RATE_2),CURRENCY.FORMAT_2),CURRENCY.FORMAT_2,1),"# ##0;-# ##0"),",-"),FIXED(ROUND(IF(EXC.RATE.SWITCH=1,C630/EXC.RATE_2,C630*EXC.RATE_2),CURRENCY.FORMAT_2),CURRENCY.FORMAT_2,0)),'DICTIONARY-5'!$A$2))</f>
        <v/>
      </c>
      <c r="L630" s="670" t="str">
        <f>IFERROR(IF(CURRENCY.FORMAT_1=0,CONCATENATE(TEXT(FIXED(ROUND((C630*(1-I630)*(1-ADD.DISCOUNT)*(1+MAT.SURCHARGE)/EXC.RATE_1),CURRENCY.FORMAT_1),CURRENCY.FORMAT_1,1),"# ##0;-# ##0"),",-"),FIXED(ROUND((C630*(1-I630)*(1-ADD.DISCOUNT)*(1+MAT.SURCHARGE)/EXC.RATE_1),CURRENCY.FORMAT_1),CURRENCY.FORMAT_1,0)),'DICTIONARY-5'!$A$2)</f>
        <v>3 338,-</v>
      </c>
      <c r="M630" s="670" t="str">
        <f>IF(EXC.RATE_2=0,"",IFERROR(IF(CURRENCY.FORMAT_2=0,CONCATENATE(TEXT(FIXED(ROUND(IF(EXC.RATE.SWITCH=1,C630*(1-I630)*(1-ADD.DISCOUNT)*(1+MAT.SURCHARGE)/EXC.RATE_2,C630*(1-I630)*(1-ADD.DISCOUNT)*(1+MAT.SURCHARGE)*EXC.RATE_2),CURRENCY.FORMAT_2),CURRENCY.FORMAT_2,1),"# ##0;-# ##0"),",-"),FIXED(ROUND(IF(EXC.RATE.SWITCH=1,C630*(1-I630)*(1-ADD.DISCOUNT)*(1+MAT.SURCHARGE)/EXC.RATE_2,C630*(1-I630)*(1-ADD.DISCOUNT)*(1+MAT.SURCHARGE)*EXC.RATE_2),CURRENCY.FORMAT_2),CURRENCY.FORMAT_2,0)),'DICTIONARY-5'!$A$2))</f>
        <v/>
      </c>
      <c r="N630" s="544">
        <v>2</v>
      </c>
      <c r="O630" s="544"/>
      <c r="P630" s="731" t="str">
        <f>'DICTIONARY-3'!$A$11</f>
        <v>ZETA</v>
      </c>
      <c r="Q630" s="732" t="str">
        <f>'DICTIONARY-3'!$A$189</f>
        <v>Zasuwa nożowa</v>
      </c>
      <c r="R630" s="732" t="str">
        <f>CONCATENATE('DICTIONARY-3'!$A$11," ",'DICTIONARY-6'!$A$6," ",'DICTIONARY-5'!$A$34," ",'DICTIONARY-2'!$A$2,"300"," ",'DICTIONARY-2'!$A$3,"10"," ",'DICTIONARY-2'!$A$10,"10",'DICTIONARY-2'!$A$20,", ","FESTO"," ",'DICTIONARY-6'!$A$51,"2")</f>
        <v>ZETA Zasuwa noż. A2 DN300 PN10 PS10bar, FESTO St.2</v>
      </c>
      <c r="S630" s="733" t="str">
        <f>'DICTIONARY-4'!$A$5</f>
        <v>NP</v>
      </c>
      <c r="T630" s="732" t="str">
        <f>'DICTIONARY-4'!$A$21</f>
        <v>Napęd pneumatyczny</v>
      </c>
      <c r="U630" s="734" t="s">
        <v>5752</v>
      </c>
      <c r="V630" s="735">
        <v>10</v>
      </c>
      <c r="W630" s="736"/>
      <c r="X630" s="737"/>
      <c r="Y630" s="738"/>
      <c r="Z630" s="739"/>
      <c r="AA630" s="739"/>
      <c r="AB630" s="740">
        <v>10</v>
      </c>
      <c r="AC630" s="741" t="str">
        <f>'DICTIONARY-5'!$A$11&amp;" 20"</f>
        <v>EN 558 szereg 20</v>
      </c>
      <c r="AD630" s="741" t="str">
        <f>'DICTIONARY-5'!$A$14</f>
        <v>ścieki</v>
      </c>
      <c r="AE630" s="742">
        <v>50</v>
      </c>
      <c r="AF630" s="743">
        <v>105</v>
      </c>
      <c r="AG630" s="741" t="str">
        <f>'DICTIONARY-5'!$A$23</f>
        <v>powłoka epoksydowa</v>
      </c>
    </row>
    <row r="631" spans="1:33" x14ac:dyDescent="0.25">
      <c r="A631" s="842" t="s">
        <v>614</v>
      </c>
      <c r="B631" s="842" t="s">
        <v>3216</v>
      </c>
      <c r="C631" s="836">
        <v>3611</v>
      </c>
      <c r="D631" s="836"/>
      <c r="E631" s="836"/>
      <c r="F631" s="836"/>
      <c r="G631" s="496" t="s">
        <v>7798</v>
      </c>
      <c r="H631" s="797" t="str">
        <f>VLOOKUP(G631,SETTINGS!$B$7:$D$97,2,0)</f>
        <v>ZETA (with Pneumatic Actuator)</v>
      </c>
      <c r="I631" s="796">
        <f>VLOOKUP(G631,SETTINGS!$B$7:$D$97,3,0)</f>
        <v>0</v>
      </c>
      <c r="J631" s="670" t="str">
        <f>IFERROR(IF(CURRENCY.FORMAT_1=0,CONCATENATE(TEXT(FIXED(ROUND((C631/EXC.RATE_1),CURRENCY.FORMAT_1),CURRENCY.FORMAT_1,1),"# ##0;-# ##0"),",-"),FIXED(ROUND((C631/EXC.RATE_1),CURRENCY.FORMAT_1),CURRENCY.FORMAT_1,0)),'DICTIONARY-5'!$A$2)</f>
        <v>3 611,-</v>
      </c>
      <c r="K631" s="670" t="str">
        <f>IF(EXC.RATE_2=0,"",IFERROR(IF(CURRENCY.FORMAT_2=0,CONCATENATE(TEXT(FIXED(ROUND(IF(EXC.RATE.SWITCH=1,C631/EXC.RATE_2,C631*EXC.RATE_2),CURRENCY.FORMAT_2),CURRENCY.FORMAT_2,1),"# ##0;-# ##0"),",-"),FIXED(ROUND(IF(EXC.RATE.SWITCH=1,C631/EXC.RATE_2,C631*EXC.RATE_2),CURRENCY.FORMAT_2),CURRENCY.FORMAT_2,0)),'DICTIONARY-5'!$A$2))</f>
        <v/>
      </c>
      <c r="L631" s="670" t="str">
        <f>IFERROR(IF(CURRENCY.FORMAT_1=0,CONCATENATE(TEXT(FIXED(ROUND((C631*(1-I631)*(1-ADD.DISCOUNT)*(1+MAT.SURCHARGE)/EXC.RATE_1),CURRENCY.FORMAT_1),CURRENCY.FORMAT_1,1),"# ##0;-# ##0"),",-"),FIXED(ROUND((C631*(1-I631)*(1-ADD.DISCOUNT)*(1+MAT.SURCHARGE)/EXC.RATE_1),CURRENCY.FORMAT_1),CURRENCY.FORMAT_1,0)),'DICTIONARY-5'!$A$2)</f>
        <v>3 752,-</v>
      </c>
      <c r="M631" s="670" t="str">
        <f>IF(EXC.RATE_2=0,"",IFERROR(IF(CURRENCY.FORMAT_2=0,CONCATENATE(TEXT(FIXED(ROUND(IF(EXC.RATE.SWITCH=1,C631*(1-I631)*(1-ADD.DISCOUNT)*(1+MAT.SURCHARGE)/EXC.RATE_2,C631*(1-I631)*(1-ADD.DISCOUNT)*(1+MAT.SURCHARGE)*EXC.RATE_2),CURRENCY.FORMAT_2),CURRENCY.FORMAT_2,1),"# ##0;-# ##0"),",-"),FIXED(ROUND(IF(EXC.RATE.SWITCH=1,C631*(1-I631)*(1-ADD.DISCOUNT)*(1+MAT.SURCHARGE)/EXC.RATE_2,C631*(1-I631)*(1-ADD.DISCOUNT)*(1+MAT.SURCHARGE)*EXC.RATE_2),CURRENCY.FORMAT_2),CURRENCY.FORMAT_2,0)),'DICTIONARY-5'!$A$2))</f>
        <v/>
      </c>
      <c r="N631" s="544">
        <v>2</v>
      </c>
      <c r="O631" s="544"/>
      <c r="P631" s="731" t="str">
        <f>'DICTIONARY-3'!$A$11</f>
        <v>ZETA</v>
      </c>
      <c r="Q631" s="732" t="str">
        <f>'DICTIONARY-3'!$A$189</f>
        <v>Zasuwa nożowa</v>
      </c>
      <c r="R631" s="732" t="str">
        <f>CONCATENATE('DICTIONARY-3'!$A$11," ",'DICTIONARY-6'!$A$6," ",'DICTIONARY-5'!$A$34," ",'DICTIONARY-2'!$A$2,"350"," ",'DICTIONARY-2'!$A$3,"10"," ",'DICTIONARY-2'!$A$10,"8",'DICTIONARY-2'!$A$20,", ","FESTO"," ",'DICTIONARY-6'!$A$51,"2")</f>
        <v>ZETA Zasuwa noż. A2 DN350 PN10 PS8bar, FESTO St.2</v>
      </c>
      <c r="S631" s="733" t="str">
        <f>'DICTIONARY-4'!$A$5</f>
        <v>NP</v>
      </c>
      <c r="T631" s="732" t="str">
        <f>'DICTIONARY-4'!$A$21</f>
        <v>Napęd pneumatyczny</v>
      </c>
      <c r="U631" s="734" t="s">
        <v>5753</v>
      </c>
      <c r="V631" s="735">
        <v>10</v>
      </c>
      <c r="W631" s="736"/>
      <c r="X631" s="737"/>
      <c r="Y631" s="738"/>
      <c r="Z631" s="739"/>
      <c r="AA631" s="739"/>
      <c r="AB631" s="740">
        <v>8</v>
      </c>
      <c r="AC631" s="741" t="str">
        <f>'DICTIONARY-5'!$A$11&amp;" 20"</f>
        <v>EN 558 szereg 20</v>
      </c>
      <c r="AD631" s="741" t="str">
        <f>'DICTIONARY-5'!$A$14</f>
        <v>ścieki</v>
      </c>
      <c r="AE631" s="742">
        <v>50</v>
      </c>
      <c r="AF631" s="743">
        <v>132</v>
      </c>
      <c r="AG631" s="741" t="str">
        <f>'DICTIONARY-5'!$A$23</f>
        <v>powłoka epoksydowa</v>
      </c>
    </row>
    <row r="632" spans="1:33" x14ac:dyDescent="0.25">
      <c r="A632" s="842" t="s">
        <v>617</v>
      </c>
      <c r="B632" s="842" t="s">
        <v>3220</v>
      </c>
      <c r="C632" s="836">
        <v>4288</v>
      </c>
      <c r="D632" s="836"/>
      <c r="E632" s="836"/>
      <c r="F632" s="836"/>
      <c r="G632" s="496" t="s">
        <v>7798</v>
      </c>
      <c r="H632" s="797" t="str">
        <f>VLOOKUP(G632,SETTINGS!$B$7:$D$97,2,0)</f>
        <v>ZETA (with Pneumatic Actuator)</v>
      </c>
      <c r="I632" s="796">
        <f>VLOOKUP(G632,SETTINGS!$B$7:$D$97,3,0)</f>
        <v>0</v>
      </c>
      <c r="J632" s="670" t="str">
        <f>IFERROR(IF(CURRENCY.FORMAT_1=0,CONCATENATE(TEXT(FIXED(ROUND((C632/EXC.RATE_1),CURRENCY.FORMAT_1),CURRENCY.FORMAT_1,1),"# ##0;-# ##0"),",-"),FIXED(ROUND((C632/EXC.RATE_1),CURRENCY.FORMAT_1),CURRENCY.FORMAT_1,0)),'DICTIONARY-5'!$A$2)</f>
        <v>4 288,-</v>
      </c>
      <c r="K632" s="670" t="str">
        <f>IF(EXC.RATE_2=0,"",IFERROR(IF(CURRENCY.FORMAT_2=0,CONCATENATE(TEXT(FIXED(ROUND(IF(EXC.RATE.SWITCH=1,C632/EXC.RATE_2,C632*EXC.RATE_2),CURRENCY.FORMAT_2),CURRENCY.FORMAT_2,1),"# ##0;-# ##0"),",-"),FIXED(ROUND(IF(EXC.RATE.SWITCH=1,C632/EXC.RATE_2,C632*EXC.RATE_2),CURRENCY.FORMAT_2),CURRENCY.FORMAT_2,0)),'DICTIONARY-5'!$A$2))</f>
        <v/>
      </c>
      <c r="L632" s="670" t="str">
        <f>IFERROR(IF(CURRENCY.FORMAT_1=0,CONCATENATE(TEXT(FIXED(ROUND((C632*(1-I632)*(1-ADD.DISCOUNT)*(1+MAT.SURCHARGE)/EXC.RATE_1),CURRENCY.FORMAT_1),CURRENCY.FORMAT_1,1),"# ##0;-# ##0"),",-"),FIXED(ROUND((C632*(1-I632)*(1-ADD.DISCOUNT)*(1+MAT.SURCHARGE)/EXC.RATE_1),CURRENCY.FORMAT_1),CURRENCY.FORMAT_1,0)),'DICTIONARY-5'!$A$2)</f>
        <v>4 455,-</v>
      </c>
      <c r="M632" s="670" t="str">
        <f>IF(EXC.RATE_2=0,"",IFERROR(IF(CURRENCY.FORMAT_2=0,CONCATENATE(TEXT(FIXED(ROUND(IF(EXC.RATE.SWITCH=1,C632*(1-I632)*(1-ADD.DISCOUNT)*(1+MAT.SURCHARGE)/EXC.RATE_2,C632*(1-I632)*(1-ADD.DISCOUNT)*(1+MAT.SURCHARGE)*EXC.RATE_2),CURRENCY.FORMAT_2),CURRENCY.FORMAT_2,1),"# ##0;-# ##0"),",-"),FIXED(ROUND(IF(EXC.RATE.SWITCH=1,C632*(1-I632)*(1-ADD.DISCOUNT)*(1+MAT.SURCHARGE)/EXC.RATE_2,C632*(1-I632)*(1-ADD.DISCOUNT)*(1+MAT.SURCHARGE)*EXC.RATE_2),CURRENCY.FORMAT_2),CURRENCY.FORMAT_2,0)),'DICTIONARY-5'!$A$2))</f>
        <v/>
      </c>
      <c r="N632" s="544">
        <v>2</v>
      </c>
      <c r="O632" s="544"/>
      <c r="P632" s="731" t="str">
        <f>'DICTIONARY-3'!$A$11</f>
        <v>ZETA</v>
      </c>
      <c r="Q632" s="732" t="str">
        <f>'DICTIONARY-3'!$A$189</f>
        <v>Zasuwa nożowa</v>
      </c>
      <c r="R632" s="732" t="str">
        <f>CONCATENATE('DICTIONARY-3'!$A$11," ",'DICTIONARY-6'!$A$6," ",'DICTIONARY-5'!$A$34," ",'DICTIONARY-2'!$A$2,"400"," ",'DICTIONARY-2'!$A$3,"10"," ",'DICTIONARY-2'!$A$10,"8",'DICTIONARY-2'!$A$20,", ","FESTO"," ",'DICTIONARY-6'!$A$51,"2")</f>
        <v>ZETA Zasuwa noż. A2 DN400 PN10 PS8bar, FESTO St.2</v>
      </c>
      <c r="S632" s="733" t="str">
        <f>'DICTIONARY-4'!$A$5</f>
        <v>NP</v>
      </c>
      <c r="T632" s="732" t="str">
        <f>'DICTIONARY-4'!$A$21</f>
        <v>Napęd pneumatyczny</v>
      </c>
      <c r="U632" s="734" t="s">
        <v>5754</v>
      </c>
      <c r="V632" s="735">
        <v>10</v>
      </c>
      <c r="W632" s="736"/>
      <c r="X632" s="737"/>
      <c r="Y632" s="738"/>
      <c r="Z632" s="739"/>
      <c r="AA632" s="739"/>
      <c r="AB632" s="740">
        <v>8</v>
      </c>
      <c r="AC632" s="741" t="str">
        <f>'DICTIONARY-5'!$A$11&amp;" 20"</f>
        <v>EN 558 szereg 20</v>
      </c>
      <c r="AD632" s="741" t="str">
        <f>'DICTIONARY-5'!$A$14</f>
        <v>ścieki</v>
      </c>
      <c r="AE632" s="742">
        <v>50</v>
      </c>
      <c r="AF632" s="743">
        <v>189</v>
      </c>
      <c r="AG632" s="741" t="str">
        <f>'DICTIONARY-5'!$A$23</f>
        <v>powłoka epoksydowa</v>
      </c>
    </row>
    <row r="633" spans="1:33" x14ac:dyDescent="0.25">
      <c r="A633" s="842" t="s">
        <v>620</v>
      </c>
      <c r="B633" s="842" t="s">
        <v>3224</v>
      </c>
      <c r="C633" s="836">
        <v>7275</v>
      </c>
      <c r="D633" s="836"/>
      <c r="E633" s="836"/>
      <c r="F633" s="836"/>
      <c r="G633" s="496" t="s">
        <v>7798</v>
      </c>
      <c r="H633" s="797" t="str">
        <f>VLOOKUP(G633,SETTINGS!$B$7:$D$97,2,0)</f>
        <v>ZETA (with Pneumatic Actuator)</v>
      </c>
      <c r="I633" s="796">
        <f>VLOOKUP(G633,SETTINGS!$B$7:$D$97,3,0)</f>
        <v>0</v>
      </c>
      <c r="J633" s="670" t="str">
        <f>IFERROR(IF(CURRENCY.FORMAT_1=0,CONCATENATE(TEXT(FIXED(ROUND((C633/EXC.RATE_1),CURRENCY.FORMAT_1),CURRENCY.FORMAT_1,1),"# ##0;-# ##0"),",-"),FIXED(ROUND((C633/EXC.RATE_1),CURRENCY.FORMAT_1),CURRENCY.FORMAT_1,0)),'DICTIONARY-5'!$A$2)</f>
        <v>7 275,-</v>
      </c>
      <c r="K633" s="670" t="str">
        <f>IF(EXC.RATE_2=0,"",IFERROR(IF(CURRENCY.FORMAT_2=0,CONCATENATE(TEXT(FIXED(ROUND(IF(EXC.RATE.SWITCH=1,C633/EXC.RATE_2,C633*EXC.RATE_2),CURRENCY.FORMAT_2),CURRENCY.FORMAT_2,1),"# ##0;-# ##0"),",-"),FIXED(ROUND(IF(EXC.RATE.SWITCH=1,C633/EXC.RATE_2,C633*EXC.RATE_2),CURRENCY.FORMAT_2),CURRENCY.FORMAT_2,0)),'DICTIONARY-5'!$A$2))</f>
        <v/>
      </c>
      <c r="L633" s="670" t="str">
        <f>IFERROR(IF(CURRENCY.FORMAT_1=0,CONCATENATE(TEXT(FIXED(ROUND((C633*(1-I633)*(1-ADD.DISCOUNT)*(1+MAT.SURCHARGE)/EXC.RATE_1),CURRENCY.FORMAT_1),CURRENCY.FORMAT_1,1),"# ##0;-# ##0"),",-"),FIXED(ROUND((C633*(1-I633)*(1-ADD.DISCOUNT)*(1+MAT.SURCHARGE)/EXC.RATE_1),CURRENCY.FORMAT_1),CURRENCY.FORMAT_1,0)),'DICTIONARY-5'!$A$2)</f>
        <v>7 559,-</v>
      </c>
      <c r="M633" s="670" t="str">
        <f>IF(EXC.RATE_2=0,"",IFERROR(IF(CURRENCY.FORMAT_2=0,CONCATENATE(TEXT(FIXED(ROUND(IF(EXC.RATE.SWITCH=1,C633*(1-I633)*(1-ADD.DISCOUNT)*(1+MAT.SURCHARGE)/EXC.RATE_2,C633*(1-I633)*(1-ADD.DISCOUNT)*(1+MAT.SURCHARGE)*EXC.RATE_2),CURRENCY.FORMAT_2),CURRENCY.FORMAT_2,1),"# ##0;-# ##0"),",-"),FIXED(ROUND(IF(EXC.RATE.SWITCH=1,C633*(1-I633)*(1-ADD.DISCOUNT)*(1+MAT.SURCHARGE)/EXC.RATE_2,C633*(1-I633)*(1-ADD.DISCOUNT)*(1+MAT.SURCHARGE)*EXC.RATE_2),CURRENCY.FORMAT_2),CURRENCY.FORMAT_2,0)),'DICTIONARY-5'!$A$2))</f>
        <v/>
      </c>
      <c r="N633" s="544">
        <v>2</v>
      </c>
      <c r="O633" s="544"/>
      <c r="P633" s="731" t="str">
        <f>'DICTIONARY-3'!$A$11</f>
        <v>ZETA</v>
      </c>
      <c r="Q633" s="732" t="str">
        <f>'DICTIONARY-3'!$A$189</f>
        <v>Zasuwa nożowa</v>
      </c>
      <c r="R633" s="732" t="str">
        <f>CONCATENATE('DICTIONARY-3'!$A$11," ",'DICTIONARY-6'!$A$6," ",'DICTIONARY-5'!$A$34," ",'DICTIONARY-2'!$A$2,"500"," ",'DICTIONARY-2'!$A$3,"10"," ",'DICTIONARY-2'!$A$10,"6",'DICTIONARY-2'!$A$20,", ","FESTO"," ",'DICTIONARY-6'!$A$51,"2")</f>
        <v>ZETA Zasuwa noż. A2 DN500 PN10 PS6bar, FESTO St.2</v>
      </c>
      <c r="S633" s="733" t="str">
        <f>'DICTIONARY-4'!$A$5</f>
        <v>NP</v>
      </c>
      <c r="T633" s="732" t="str">
        <f>'DICTIONARY-4'!$A$21</f>
        <v>Napęd pneumatyczny</v>
      </c>
      <c r="U633" s="734" t="s">
        <v>5756</v>
      </c>
      <c r="V633" s="735">
        <v>10</v>
      </c>
      <c r="W633" s="736"/>
      <c r="X633" s="737"/>
      <c r="Y633" s="738"/>
      <c r="Z633" s="739"/>
      <c r="AA633" s="739"/>
      <c r="AB633" s="740">
        <v>6</v>
      </c>
      <c r="AC633" s="741" t="str">
        <f>'DICTIONARY-5'!$A$11&amp;" 20"</f>
        <v>EN 558 szereg 20</v>
      </c>
      <c r="AD633" s="741" t="str">
        <f>'DICTIONARY-5'!$A$14</f>
        <v>ścieki</v>
      </c>
      <c r="AE633" s="742">
        <v>50</v>
      </c>
      <c r="AF633" s="743">
        <v>317.2</v>
      </c>
      <c r="AG633" s="741" t="str">
        <f>'DICTIONARY-5'!$A$23</f>
        <v>powłoka epoksydowa</v>
      </c>
    </row>
    <row r="634" spans="1:33" x14ac:dyDescent="0.25">
      <c r="A634" s="842" t="s">
        <v>623</v>
      </c>
      <c r="B634" s="842" t="s">
        <v>3228</v>
      </c>
      <c r="C634" s="836">
        <v>11852</v>
      </c>
      <c r="D634" s="836"/>
      <c r="E634" s="836"/>
      <c r="F634" s="836"/>
      <c r="G634" s="496" t="s">
        <v>7798</v>
      </c>
      <c r="H634" s="797" t="str">
        <f>VLOOKUP(G634,SETTINGS!$B$7:$D$97,2,0)</f>
        <v>ZETA (with Pneumatic Actuator)</v>
      </c>
      <c r="I634" s="796">
        <f>VLOOKUP(G634,SETTINGS!$B$7:$D$97,3,0)</f>
        <v>0</v>
      </c>
      <c r="J634" s="670" t="str">
        <f>IFERROR(IF(CURRENCY.FORMAT_1=0,CONCATENATE(TEXT(FIXED(ROUND((C634/EXC.RATE_1),CURRENCY.FORMAT_1),CURRENCY.FORMAT_1,1),"# ##0;-# ##0"),",-"),FIXED(ROUND((C634/EXC.RATE_1),CURRENCY.FORMAT_1),CURRENCY.FORMAT_1,0)),'DICTIONARY-5'!$A$2)</f>
        <v>11 852,-</v>
      </c>
      <c r="K634" s="670" t="str">
        <f>IF(EXC.RATE_2=0,"",IFERROR(IF(CURRENCY.FORMAT_2=0,CONCATENATE(TEXT(FIXED(ROUND(IF(EXC.RATE.SWITCH=1,C634/EXC.RATE_2,C634*EXC.RATE_2),CURRENCY.FORMAT_2),CURRENCY.FORMAT_2,1),"# ##0;-# ##0"),",-"),FIXED(ROUND(IF(EXC.RATE.SWITCH=1,C634/EXC.RATE_2,C634*EXC.RATE_2),CURRENCY.FORMAT_2),CURRENCY.FORMAT_2,0)),'DICTIONARY-5'!$A$2))</f>
        <v/>
      </c>
      <c r="L634" s="670" t="str">
        <f>IFERROR(IF(CURRENCY.FORMAT_1=0,CONCATENATE(TEXT(FIXED(ROUND((C634*(1-I634)*(1-ADD.DISCOUNT)*(1+MAT.SURCHARGE)/EXC.RATE_1),CURRENCY.FORMAT_1),CURRENCY.FORMAT_1,1),"# ##0;-# ##0"),",-"),FIXED(ROUND((C634*(1-I634)*(1-ADD.DISCOUNT)*(1+MAT.SURCHARGE)/EXC.RATE_1),CURRENCY.FORMAT_1),CURRENCY.FORMAT_1,0)),'DICTIONARY-5'!$A$2)</f>
        <v>12 314,-</v>
      </c>
      <c r="M634" s="670" t="str">
        <f>IF(EXC.RATE_2=0,"",IFERROR(IF(CURRENCY.FORMAT_2=0,CONCATENATE(TEXT(FIXED(ROUND(IF(EXC.RATE.SWITCH=1,C634*(1-I634)*(1-ADD.DISCOUNT)*(1+MAT.SURCHARGE)/EXC.RATE_2,C634*(1-I634)*(1-ADD.DISCOUNT)*(1+MAT.SURCHARGE)*EXC.RATE_2),CURRENCY.FORMAT_2),CURRENCY.FORMAT_2,1),"# ##0;-# ##0"),",-"),FIXED(ROUND(IF(EXC.RATE.SWITCH=1,C634*(1-I634)*(1-ADD.DISCOUNT)*(1+MAT.SURCHARGE)/EXC.RATE_2,C634*(1-I634)*(1-ADD.DISCOUNT)*(1+MAT.SURCHARGE)*EXC.RATE_2),CURRENCY.FORMAT_2),CURRENCY.FORMAT_2,0)),'DICTIONARY-5'!$A$2))</f>
        <v/>
      </c>
      <c r="N634" s="544">
        <v>2</v>
      </c>
      <c r="O634" s="544"/>
      <c r="P634" s="731" t="str">
        <f>'DICTIONARY-3'!$A$11</f>
        <v>ZETA</v>
      </c>
      <c r="Q634" s="732" t="str">
        <f>'DICTIONARY-3'!$A$189</f>
        <v>Zasuwa nożowa</v>
      </c>
      <c r="R634" s="732" t="str">
        <f>CONCATENATE('DICTIONARY-3'!$A$11," ",'DICTIONARY-6'!$A$6," ",'DICTIONARY-5'!$A$34," ",'DICTIONARY-2'!$A$2,"600"," ",'DICTIONARY-2'!$A$3,"10"," ",'DICTIONARY-2'!$A$10,"6",'DICTIONARY-2'!$A$20,", ","FESTO"," ",'DICTIONARY-6'!$A$51,"2")</f>
        <v>ZETA Zasuwa noż. A2 DN600 PN10 PS6bar, FESTO St.2</v>
      </c>
      <c r="S634" s="733" t="str">
        <f>'DICTIONARY-4'!$A$5</f>
        <v>NP</v>
      </c>
      <c r="T634" s="732" t="str">
        <f>'DICTIONARY-4'!$A$21</f>
        <v>Napęd pneumatyczny</v>
      </c>
      <c r="U634" s="734" t="s">
        <v>5757</v>
      </c>
      <c r="V634" s="735">
        <v>10</v>
      </c>
      <c r="W634" s="736"/>
      <c r="X634" s="737"/>
      <c r="Y634" s="738"/>
      <c r="Z634" s="739"/>
      <c r="AA634" s="739"/>
      <c r="AB634" s="740">
        <v>6</v>
      </c>
      <c r="AC634" s="741" t="str">
        <f>'DICTIONARY-5'!$A$11&amp;" 20"</f>
        <v>EN 558 szereg 20</v>
      </c>
      <c r="AD634" s="741" t="str">
        <f>'DICTIONARY-5'!$A$14</f>
        <v>ścieki</v>
      </c>
      <c r="AE634" s="742">
        <v>50</v>
      </c>
      <c r="AF634" s="743">
        <v>430.2</v>
      </c>
      <c r="AG634" s="741" t="str">
        <f>'DICTIONARY-5'!$A$23</f>
        <v>powłoka epoksydowa</v>
      </c>
    </row>
    <row r="635" spans="1:33" x14ac:dyDescent="0.25">
      <c r="A635" s="842" t="s">
        <v>588</v>
      </c>
      <c r="B635" s="842" t="s">
        <v>3233</v>
      </c>
      <c r="C635" s="836">
        <v>993</v>
      </c>
      <c r="D635" s="836"/>
      <c r="E635" s="836"/>
      <c r="F635" s="836"/>
      <c r="G635" s="496" t="s">
        <v>7798</v>
      </c>
      <c r="H635" s="797" t="str">
        <f>VLOOKUP(G635,SETTINGS!$B$7:$D$97,2,0)</f>
        <v>ZETA (with Pneumatic Actuator)</v>
      </c>
      <c r="I635" s="796">
        <f>VLOOKUP(G635,SETTINGS!$B$7:$D$97,3,0)</f>
        <v>0</v>
      </c>
      <c r="J635" s="670" t="str">
        <f>IFERROR(IF(CURRENCY.FORMAT_1=0,CONCATENATE(TEXT(FIXED(ROUND((C635/EXC.RATE_1),CURRENCY.FORMAT_1),CURRENCY.FORMAT_1,1),"# ##0;-# ##0"),",-"),FIXED(ROUND((C635/EXC.RATE_1),CURRENCY.FORMAT_1),CURRENCY.FORMAT_1,0)),'DICTIONARY-5'!$A$2)</f>
        <v>993,-</v>
      </c>
      <c r="K635" s="670" t="str">
        <f>IF(EXC.RATE_2=0,"",IFERROR(IF(CURRENCY.FORMAT_2=0,CONCATENATE(TEXT(FIXED(ROUND(IF(EXC.RATE.SWITCH=1,C635/EXC.RATE_2,C635*EXC.RATE_2),CURRENCY.FORMAT_2),CURRENCY.FORMAT_2,1),"# ##0;-# ##0"),",-"),FIXED(ROUND(IF(EXC.RATE.SWITCH=1,C635/EXC.RATE_2,C635*EXC.RATE_2),CURRENCY.FORMAT_2),CURRENCY.FORMAT_2,0)),'DICTIONARY-5'!$A$2))</f>
        <v/>
      </c>
      <c r="L635" s="670" t="str">
        <f>IFERROR(IF(CURRENCY.FORMAT_1=0,CONCATENATE(TEXT(FIXED(ROUND((C635*(1-I635)*(1-ADD.DISCOUNT)*(1+MAT.SURCHARGE)/EXC.RATE_1),CURRENCY.FORMAT_1),CURRENCY.FORMAT_1,1),"# ##0;-# ##0"),",-"),FIXED(ROUND((C635*(1-I635)*(1-ADD.DISCOUNT)*(1+MAT.SURCHARGE)/EXC.RATE_1),CURRENCY.FORMAT_1),CURRENCY.FORMAT_1,0)),'DICTIONARY-5'!$A$2)</f>
        <v>1 032,-</v>
      </c>
      <c r="M635" s="670" t="str">
        <f>IF(EXC.RATE_2=0,"",IFERROR(IF(CURRENCY.FORMAT_2=0,CONCATENATE(TEXT(FIXED(ROUND(IF(EXC.RATE.SWITCH=1,C635*(1-I635)*(1-ADD.DISCOUNT)*(1+MAT.SURCHARGE)/EXC.RATE_2,C635*(1-I635)*(1-ADD.DISCOUNT)*(1+MAT.SURCHARGE)*EXC.RATE_2),CURRENCY.FORMAT_2),CURRENCY.FORMAT_2,1),"# ##0;-# ##0"),",-"),FIXED(ROUND(IF(EXC.RATE.SWITCH=1,C635*(1-I635)*(1-ADD.DISCOUNT)*(1+MAT.SURCHARGE)/EXC.RATE_2,C635*(1-I635)*(1-ADD.DISCOUNT)*(1+MAT.SURCHARGE)*EXC.RATE_2),CURRENCY.FORMAT_2),CURRENCY.FORMAT_2,0)),'DICTIONARY-5'!$A$2))</f>
        <v/>
      </c>
      <c r="N635" s="544">
        <v>2</v>
      </c>
      <c r="O635" s="544"/>
      <c r="P635" s="731" t="str">
        <f>'DICTIONARY-3'!$A$11</f>
        <v>ZETA</v>
      </c>
      <c r="Q635" s="732" t="str">
        <f>'DICTIONARY-3'!$A$189</f>
        <v>Zasuwa nożowa</v>
      </c>
      <c r="R635" s="732" t="str">
        <f>CONCATENATE('DICTIONARY-3'!$A$11," ",'DICTIONARY-6'!$A$6," ",'DICTIONARY-5'!$A$35," ",'DICTIONARY-2'!$A$2,"50"," ",'DICTIONARY-2'!$A$3,"10"," ",'DICTIONARY-2'!$A$10,"10",'DICTIONARY-2'!$A$20,", ","FESTO"," ",'DICTIONARY-6'!$A$51,"3")</f>
        <v>ZETA Zasuwa noż. A4 DN50 PN10 PS10bar, FESTO St.3</v>
      </c>
      <c r="S635" s="733" t="str">
        <f>'DICTIONARY-4'!$A$5</f>
        <v>NP</v>
      </c>
      <c r="T635" s="732" t="str">
        <f>'DICTIONARY-4'!$A$21</f>
        <v>Napęd pneumatyczny</v>
      </c>
      <c r="U635" s="734" t="s">
        <v>5748</v>
      </c>
      <c r="V635" s="735">
        <v>10</v>
      </c>
      <c r="W635" s="736"/>
      <c r="X635" s="737"/>
      <c r="Y635" s="738"/>
      <c r="Z635" s="739"/>
      <c r="AA635" s="739"/>
      <c r="AB635" s="740">
        <v>10</v>
      </c>
      <c r="AC635" s="741" t="str">
        <f>'DICTIONARY-5'!$A$11&amp;" 20"</f>
        <v>EN 558 szereg 20</v>
      </c>
      <c r="AD635" s="741" t="str">
        <f>'DICTIONARY-5'!$A$14</f>
        <v>ścieki</v>
      </c>
      <c r="AE635" s="742">
        <v>50</v>
      </c>
      <c r="AF635" s="743">
        <v>11.5</v>
      </c>
      <c r="AG635" s="741" t="str">
        <f>'DICTIONARY-5'!$A$23</f>
        <v>powłoka epoksydowa</v>
      </c>
    </row>
    <row r="636" spans="1:33" x14ac:dyDescent="0.25">
      <c r="A636" s="842" t="s">
        <v>591</v>
      </c>
      <c r="B636" s="842" t="s">
        <v>3237</v>
      </c>
      <c r="C636" s="836">
        <v>991</v>
      </c>
      <c r="D636" s="836"/>
      <c r="E636" s="836"/>
      <c r="F636" s="836"/>
      <c r="G636" s="496" t="s">
        <v>7798</v>
      </c>
      <c r="H636" s="797" t="str">
        <f>VLOOKUP(G636,SETTINGS!$B$7:$D$97,2,0)</f>
        <v>ZETA (with Pneumatic Actuator)</v>
      </c>
      <c r="I636" s="796">
        <f>VLOOKUP(G636,SETTINGS!$B$7:$D$97,3,0)</f>
        <v>0</v>
      </c>
      <c r="J636" s="670" t="str">
        <f>IFERROR(IF(CURRENCY.FORMAT_1=0,CONCATENATE(TEXT(FIXED(ROUND((C636/EXC.RATE_1),CURRENCY.FORMAT_1),CURRENCY.FORMAT_1,1),"# ##0;-# ##0"),",-"),FIXED(ROUND((C636/EXC.RATE_1),CURRENCY.FORMAT_1),CURRENCY.FORMAT_1,0)),'DICTIONARY-5'!$A$2)</f>
        <v>991,-</v>
      </c>
      <c r="K636" s="670" t="str">
        <f>IF(EXC.RATE_2=0,"",IFERROR(IF(CURRENCY.FORMAT_2=0,CONCATENATE(TEXT(FIXED(ROUND(IF(EXC.RATE.SWITCH=1,C636/EXC.RATE_2,C636*EXC.RATE_2),CURRENCY.FORMAT_2),CURRENCY.FORMAT_2,1),"# ##0;-# ##0"),",-"),FIXED(ROUND(IF(EXC.RATE.SWITCH=1,C636/EXC.RATE_2,C636*EXC.RATE_2),CURRENCY.FORMAT_2),CURRENCY.FORMAT_2,0)),'DICTIONARY-5'!$A$2))</f>
        <v/>
      </c>
      <c r="L636" s="670" t="str">
        <f>IFERROR(IF(CURRENCY.FORMAT_1=0,CONCATENATE(TEXT(FIXED(ROUND((C636*(1-I636)*(1-ADD.DISCOUNT)*(1+MAT.SURCHARGE)/EXC.RATE_1),CURRENCY.FORMAT_1),CURRENCY.FORMAT_1,1),"# ##0;-# ##0"),",-"),FIXED(ROUND((C636*(1-I636)*(1-ADD.DISCOUNT)*(1+MAT.SURCHARGE)/EXC.RATE_1),CURRENCY.FORMAT_1),CURRENCY.FORMAT_1,0)),'DICTIONARY-5'!$A$2)</f>
        <v>1 030,-</v>
      </c>
      <c r="M636" s="670" t="str">
        <f>IF(EXC.RATE_2=0,"",IFERROR(IF(CURRENCY.FORMAT_2=0,CONCATENATE(TEXT(FIXED(ROUND(IF(EXC.RATE.SWITCH=1,C636*(1-I636)*(1-ADD.DISCOUNT)*(1+MAT.SURCHARGE)/EXC.RATE_2,C636*(1-I636)*(1-ADD.DISCOUNT)*(1+MAT.SURCHARGE)*EXC.RATE_2),CURRENCY.FORMAT_2),CURRENCY.FORMAT_2,1),"# ##0;-# ##0"),",-"),FIXED(ROUND(IF(EXC.RATE.SWITCH=1,C636*(1-I636)*(1-ADD.DISCOUNT)*(1+MAT.SURCHARGE)/EXC.RATE_2,C636*(1-I636)*(1-ADD.DISCOUNT)*(1+MAT.SURCHARGE)*EXC.RATE_2),CURRENCY.FORMAT_2),CURRENCY.FORMAT_2,0)),'DICTIONARY-5'!$A$2))</f>
        <v/>
      </c>
      <c r="N636" s="544">
        <v>2</v>
      </c>
      <c r="O636" s="544"/>
      <c r="P636" s="731" t="str">
        <f>'DICTIONARY-3'!$A$11</f>
        <v>ZETA</v>
      </c>
      <c r="Q636" s="732" t="str">
        <f>'DICTIONARY-3'!$A$189</f>
        <v>Zasuwa nożowa</v>
      </c>
      <c r="R636" s="732" t="str">
        <f>CONCATENATE('DICTIONARY-3'!$A$11," ",'DICTIONARY-6'!$A$6," ",'DICTIONARY-5'!$A$35," ",'DICTIONARY-2'!$A$2,"65"," ",'DICTIONARY-2'!$A$3,"10"," ",'DICTIONARY-2'!$A$10,"10",'DICTIONARY-2'!$A$20,", ","FESTO"," ",'DICTIONARY-6'!$A$51,"3")</f>
        <v>ZETA Zasuwa noż. A4 DN65 PN10 PS10bar, FESTO St.3</v>
      </c>
      <c r="S636" s="733" t="str">
        <f>'DICTIONARY-4'!$A$5</f>
        <v>NP</v>
      </c>
      <c r="T636" s="732" t="str">
        <f>'DICTIONARY-4'!$A$21</f>
        <v>Napęd pneumatyczny</v>
      </c>
      <c r="U636" s="734" t="s">
        <v>5759</v>
      </c>
      <c r="V636" s="735">
        <v>10</v>
      </c>
      <c r="W636" s="736"/>
      <c r="X636" s="737"/>
      <c r="Y636" s="738"/>
      <c r="Z636" s="739"/>
      <c r="AA636" s="739"/>
      <c r="AB636" s="740">
        <v>10</v>
      </c>
      <c r="AC636" s="741" t="str">
        <f>'DICTIONARY-5'!$A$11&amp;" 20"</f>
        <v>EN 558 szereg 20</v>
      </c>
      <c r="AD636" s="741" t="str">
        <f>'DICTIONARY-5'!$A$14</f>
        <v>ścieki</v>
      </c>
      <c r="AE636" s="742">
        <v>50</v>
      </c>
      <c r="AF636" s="743">
        <v>15</v>
      </c>
      <c r="AG636" s="741" t="str">
        <f>'DICTIONARY-5'!$A$23</f>
        <v>powłoka epoksydowa</v>
      </c>
    </row>
    <row r="637" spans="1:33" x14ac:dyDescent="0.25">
      <c r="A637" s="842" t="s">
        <v>594</v>
      </c>
      <c r="B637" s="842" t="s">
        <v>3241</v>
      </c>
      <c r="C637" s="836">
        <v>1038</v>
      </c>
      <c r="D637" s="836"/>
      <c r="E637" s="836"/>
      <c r="F637" s="836"/>
      <c r="G637" s="496" t="s">
        <v>7798</v>
      </c>
      <c r="H637" s="797" t="str">
        <f>VLOOKUP(G637,SETTINGS!$B$7:$D$97,2,0)</f>
        <v>ZETA (with Pneumatic Actuator)</v>
      </c>
      <c r="I637" s="796">
        <f>VLOOKUP(G637,SETTINGS!$B$7:$D$97,3,0)</f>
        <v>0</v>
      </c>
      <c r="J637" s="670" t="str">
        <f>IFERROR(IF(CURRENCY.FORMAT_1=0,CONCATENATE(TEXT(FIXED(ROUND((C637/EXC.RATE_1),CURRENCY.FORMAT_1),CURRENCY.FORMAT_1,1),"# ##0;-# ##0"),",-"),FIXED(ROUND((C637/EXC.RATE_1),CURRENCY.FORMAT_1),CURRENCY.FORMAT_1,0)),'DICTIONARY-5'!$A$2)</f>
        <v>1 038,-</v>
      </c>
      <c r="K637" s="670" t="str">
        <f>IF(EXC.RATE_2=0,"",IFERROR(IF(CURRENCY.FORMAT_2=0,CONCATENATE(TEXT(FIXED(ROUND(IF(EXC.RATE.SWITCH=1,C637/EXC.RATE_2,C637*EXC.RATE_2),CURRENCY.FORMAT_2),CURRENCY.FORMAT_2,1),"# ##0;-# ##0"),",-"),FIXED(ROUND(IF(EXC.RATE.SWITCH=1,C637/EXC.RATE_2,C637*EXC.RATE_2),CURRENCY.FORMAT_2),CURRENCY.FORMAT_2,0)),'DICTIONARY-5'!$A$2))</f>
        <v/>
      </c>
      <c r="L637" s="670" t="str">
        <f>IFERROR(IF(CURRENCY.FORMAT_1=0,CONCATENATE(TEXT(FIXED(ROUND((C637*(1-I637)*(1-ADD.DISCOUNT)*(1+MAT.SURCHARGE)/EXC.RATE_1),CURRENCY.FORMAT_1),CURRENCY.FORMAT_1,1),"# ##0;-# ##0"),",-"),FIXED(ROUND((C637*(1-I637)*(1-ADD.DISCOUNT)*(1+MAT.SURCHARGE)/EXC.RATE_1),CURRENCY.FORMAT_1),CURRENCY.FORMAT_1,0)),'DICTIONARY-5'!$A$2)</f>
        <v>1 078,-</v>
      </c>
      <c r="M637" s="670" t="str">
        <f>IF(EXC.RATE_2=0,"",IFERROR(IF(CURRENCY.FORMAT_2=0,CONCATENATE(TEXT(FIXED(ROUND(IF(EXC.RATE.SWITCH=1,C637*(1-I637)*(1-ADD.DISCOUNT)*(1+MAT.SURCHARGE)/EXC.RATE_2,C637*(1-I637)*(1-ADD.DISCOUNT)*(1+MAT.SURCHARGE)*EXC.RATE_2),CURRENCY.FORMAT_2),CURRENCY.FORMAT_2,1),"# ##0;-# ##0"),",-"),FIXED(ROUND(IF(EXC.RATE.SWITCH=1,C637*(1-I637)*(1-ADD.DISCOUNT)*(1+MAT.SURCHARGE)/EXC.RATE_2,C637*(1-I637)*(1-ADD.DISCOUNT)*(1+MAT.SURCHARGE)*EXC.RATE_2),CURRENCY.FORMAT_2),CURRENCY.FORMAT_2,0)),'DICTIONARY-5'!$A$2))</f>
        <v/>
      </c>
      <c r="N637" s="544">
        <v>2</v>
      </c>
      <c r="O637" s="544"/>
      <c r="P637" s="731" t="str">
        <f>'DICTIONARY-3'!$A$11</f>
        <v>ZETA</v>
      </c>
      <c r="Q637" s="732" t="str">
        <f>'DICTIONARY-3'!$A$189</f>
        <v>Zasuwa nożowa</v>
      </c>
      <c r="R637" s="732" t="str">
        <f>CONCATENATE('DICTIONARY-3'!$A$11," ",'DICTIONARY-6'!$A$6," ",'DICTIONARY-5'!$A$35," ",'DICTIONARY-2'!$A$2,"80"," ",'DICTIONARY-2'!$A$3,"10"," ",'DICTIONARY-2'!$A$10,"10",'DICTIONARY-2'!$A$20,", ","FESTO"," ",'DICTIONARY-6'!$A$51,"3")</f>
        <v>ZETA Zasuwa noż. A4 DN80 PN10 PS10bar, FESTO St.3</v>
      </c>
      <c r="S637" s="733" t="str">
        <f>'DICTIONARY-4'!$A$5</f>
        <v>NP</v>
      </c>
      <c r="T637" s="732" t="str">
        <f>'DICTIONARY-4'!$A$21</f>
        <v>Napęd pneumatyczny</v>
      </c>
      <c r="U637" s="734" t="s">
        <v>5760</v>
      </c>
      <c r="V637" s="735">
        <v>10</v>
      </c>
      <c r="W637" s="736"/>
      <c r="X637" s="737"/>
      <c r="Y637" s="738"/>
      <c r="Z637" s="739"/>
      <c r="AA637" s="739"/>
      <c r="AB637" s="740">
        <v>10</v>
      </c>
      <c r="AC637" s="741" t="str">
        <f>'DICTIONARY-5'!$A$11&amp;" 20"</f>
        <v>EN 558 szereg 20</v>
      </c>
      <c r="AD637" s="741" t="str">
        <f>'DICTIONARY-5'!$A$14</f>
        <v>ścieki</v>
      </c>
      <c r="AE637" s="742">
        <v>50</v>
      </c>
      <c r="AF637" s="743">
        <v>14</v>
      </c>
      <c r="AG637" s="741" t="str">
        <f>'DICTIONARY-5'!$A$23</f>
        <v>powłoka epoksydowa</v>
      </c>
    </row>
    <row r="638" spans="1:33" x14ac:dyDescent="0.25">
      <c r="A638" s="842" t="s">
        <v>597</v>
      </c>
      <c r="B638" s="842" t="s">
        <v>3245</v>
      </c>
      <c r="C638" s="836">
        <v>1141</v>
      </c>
      <c r="D638" s="836"/>
      <c r="E638" s="836"/>
      <c r="F638" s="836"/>
      <c r="G638" s="496" t="s">
        <v>7798</v>
      </c>
      <c r="H638" s="797" t="str">
        <f>VLOOKUP(G638,SETTINGS!$B$7:$D$97,2,0)</f>
        <v>ZETA (with Pneumatic Actuator)</v>
      </c>
      <c r="I638" s="796">
        <f>VLOOKUP(G638,SETTINGS!$B$7:$D$97,3,0)</f>
        <v>0</v>
      </c>
      <c r="J638" s="670" t="str">
        <f>IFERROR(IF(CURRENCY.FORMAT_1=0,CONCATENATE(TEXT(FIXED(ROUND((C638/EXC.RATE_1),CURRENCY.FORMAT_1),CURRENCY.FORMAT_1,1),"# ##0;-# ##0"),",-"),FIXED(ROUND((C638/EXC.RATE_1),CURRENCY.FORMAT_1),CURRENCY.FORMAT_1,0)),'DICTIONARY-5'!$A$2)</f>
        <v>1 141,-</v>
      </c>
      <c r="K638" s="670" t="str">
        <f>IF(EXC.RATE_2=0,"",IFERROR(IF(CURRENCY.FORMAT_2=0,CONCATENATE(TEXT(FIXED(ROUND(IF(EXC.RATE.SWITCH=1,C638/EXC.RATE_2,C638*EXC.RATE_2),CURRENCY.FORMAT_2),CURRENCY.FORMAT_2,1),"# ##0;-# ##0"),",-"),FIXED(ROUND(IF(EXC.RATE.SWITCH=1,C638/EXC.RATE_2,C638*EXC.RATE_2),CURRENCY.FORMAT_2),CURRENCY.FORMAT_2,0)),'DICTIONARY-5'!$A$2))</f>
        <v/>
      </c>
      <c r="L638" s="670" t="str">
        <f>IFERROR(IF(CURRENCY.FORMAT_1=0,CONCATENATE(TEXT(FIXED(ROUND((C638*(1-I638)*(1-ADD.DISCOUNT)*(1+MAT.SURCHARGE)/EXC.RATE_1),CURRENCY.FORMAT_1),CURRENCY.FORMAT_1,1),"# ##0;-# ##0"),",-"),FIXED(ROUND((C638*(1-I638)*(1-ADD.DISCOUNT)*(1+MAT.SURCHARGE)/EXC.RATE_1),CURRENCY.FORMAT_1),CURRENCY.FORMAT_1,0)),'DICTIONARY-5'!$A$2)</f>
        <v>1 185,-</v>
      </c>
      <c r="M638" s="670" t="str">
        <f>IF(EXC.RATE_2=0,"",IFERROR(IF(CURRENCY.FORMAT_2=0,CONCATENATE(TEXT(FIXED(ROUND(IF(EXC.RATE.SWITCH=1,C638*(1-I638)*(1-ADD.DISCOUNT)*(1+MAT.SURCHARGE)/EXC.RATE_2,C638*(1-I638)*(1-ADD.DISCOUNT)*(1+MAT.SURCHARGE)*EXC.RATE_2),CURRENCY.FORMAT_2),CURRENCY.FORMAT_2,1),"# ##0;-# ##0"),",-"),FIXED(ROUND(IF(EXC.RATE.SWITCH=1,C638*(1-I638)*(1-ADD.DISCOUNT)*(1+MAT.SURCHARGE)/EXC.RATE_2,C638*(1-I638)*(1-ADD.DISCOUNT)*(1+MAT.SURCHARGE)*EXC.RATE_2),CURRENCY.FORMAT_2),CURRENCY.FORMAT_2,0)),'DICTIONARY-5'!$A$2))</f>
        <v/>
      </c>
      <c r="N638" s="544">
        <v>2</v>
      </c>
      <c r="O638" s="544"/>
      <c r="P638" s="731" t="str">
        <f>'DICTIONARY-3'!$A$11</f>
        <v>ZETA</v>
      </c>
      <c r="Q638" s="732" t="str">
        <f>'DICTIONARY-3'!$A$189</f>
        <v>Zasuwa nożowa</v>
      </c>
      <c r="R638" s="732" t="str">
        <f>CONCATENATE('DICTIONARY-3'!$A$11," ",'DICTIONARY-6'!$A$6," ",'DICTIONARY-5'!$A$35," ",'DICTIONARY-2'!$A$2,"100"," ",'DICTIONARY-2'!$A$3,"10"," ",'DICTIONARY-2'!$A$10,"10",'DICTIONARY-2'!$A$20,", ","FESTO"," ",'DICTIONARY-6'!$A$51,"3")</f>
        <v>ZETA Zasuwa noż. A4 DN100 PN10 PS10bar, FESTO St.3</v>
      </c>
      <c r="S638" s="733" t="str">
        <f>'DICTIONARY-4'!$A$5</f>
        <v>NP</v>
      </c>
      <c r="T638" s="732" t="str">
        <f>'DICTIONARY-4'!$A$21</f>
        <v>Napęd pneumatyczny</v>
      </c>
      <c r="U638" s="734" t="s">
        <v>5749</v>
      </c>
      <c r="V638" s="735">
        <v>10</v>
      </c>
      <c r="W638" s="736"/>
      <c r="X638" s="737"/>
      <c r="Y638" s="738"/>
      <c r="Z638" s="739"/>
      <c r="AA638" s="739"/>
      <c r="AB638" s="740">
        <v>10</v>
      </c>
      <c r="AC638" s="741" t="str">
        <f>'DICTIONARY-5'!$A$11&amp;" 20"</f>
        <v>EN 558 szereg 20</v>
      </c>
      <c r="AD638" s="741" t="str">
        <f>'DICTIONARY-5'!$A$14</f>
        <v>ścieki</v>
      </c>
      <c r="AE638" s="742">
        <v>50</v>
      </c>
      <c r="AF638" s="743">
        <v>15</v>
      </c>
      <c r="AG638" s="741" t="str">
        <f>'DICTIONARY-5'!$A$23</f>
        <v>powłoka epoksydowa</v>
      </c>
    </row>
    <row r="639" spans="1:33" x14ac:dyDescent="0.25">
      <c r="A639" s="842" t="s">
        <v>600</v>
      </c>
      <c r="B639" s="842" t="s">
        <v>3249</v>
      </c>
      <c r="C639" s="836">
        <v>1474</v>
      </c>
      <c r="D639" s="836"/>
      <c r="E639" s="836"/>
      <c r="F639" s="836"/>
      <c r="G639" s="496" t="s">
        <v>7798</v>
      </c>
      <c r="H639" s="797" t="str">
        <f>VLOOKUP(G639,SETTINGS!$B$7:$D$97,2,0)</f>
        <v>ZETA (with Pneumatic Actuator)</v>
      </c>
      <c r="I639" s="796">
        <f>VLOOKUP(G639,SETTINGS!$B$7:$D$97,3,0)</f>
        <v>0</v>
      </c>
      <c r="J639" s="670" t="str">
        <f>IFERROR(IF(CURRENCY.FORMAT_1=0,CONCATENATE(TEXT(FIXED(ROUND((C639/EXC.RATE_1),CURRENCY.FORMAT_1),CURRENCY.FORMAT_1,1),"# ##0;-# ##0"),",-"),FIXED(ROUND((C639/EXC.RATE_1),CURRENCY.FORMAT_1),CURRENCY.FORMAT_1,0)),'DICTIONARY-5'!$A$2)</f>
        <v>1 474,-</v>
      </c>
      <c r="K639" s="670" t="str">
        <f>IF(EXC.RATE_2=0,"",IFERROR(IF(CURRENCY.FORMAT_2=0,CONCATENATE(TEXT(FIXED(ROUND(IF(EXC.RATE.SWITCH=1,C639/EXC.RATE_2,C639*EXC.RATE_2),CURRENCY.FORMAT_2),CURRENCY.FORMAT_2,1),"# ##0;-# ##0"),",-"),FIXED(ROUND(IF(EXC.RATE.SWITCH=1,C639/EXC.RATE_2,C639*EXC.RATE_2),CURRENCY.FORMAT_2),CURRENCY.FORMAT_2,0)),'DICTIONARY-5'!$A$2))</f>
        <v/>
      </c>
      <c r="L639" s="670" t="str">
        <f>IFERROR(IF(CURRENCY.FORMAT_1=0,CONCATENATE(TEXT(FIXED(ROUND((C639*(1-I639)*(1-ADD.DISCOUNT)*(1+MAT.SURCHARGE)/EXC.RATE_1),CURRENCY.FORMAT_1),CURRENCY.FORMAT_1,1),"# ##0;-# ##0"),",-"),FIXED(ROUND((C639*(1-I639)*(1-ADD.DISCOUNT)*(1+MAT.SURCHARGE)/EXC.RATE_1),CURRENCY.FORMAT_1),CURRENCY.FORMAT_1,0)),'DICTIONARY-5'!$A$2)</f>
        <v>1 531,-</v>
      </c>
      <c r="M639" s="670" t="str">
        <f>IF(EXC.RATE_2=0,"",IFERROR(IF(CURRENCY.FORMAT_2=0,CONCATENATE(TEXT(FIXED(ROUND(IF(EXC.RATE.SWITCH=1,C639*(1-I639)*(1-ADD.DISCOUNT)*(1+MAT.SURCHARGE)/EXC.RATE_2,C639*(1-I639)*(1-ADD.DISCOUNT)*(1+MAT.SURCHARGE)*EXC.RATE_2),CURRENCY.FORMAT_2),CURRENCY.FORMAT_2,1),"# ##0;-# ##0"),",-"),FIXED(ROUND(IF(EXC.RATE.SWITCH=1,C639*(1-I639)*(1-ADD.DISCOUNT)*(1+MAT.SURCHARGE)/EXC.RATE_2,C639*(1-I639)*(1-ADD.DISCOUNT)*(1+MAT.SURCHARGE)*EXC.RATE_2),CURRENCY.FORMAT_2),CURRENCY.FORMAT_2,0)),'DICTIONARY-5'!$A$2))</f>
        <v/>
      </c>
      <c r="N639" s="544">
        <v>2</v>
      </c>
      <c r="O639" s="544"/>
      <c r="P639" s="731" t="str">
        <f>'DICTIONARY-3'!$A$11</f>
        <v>ZETA</v>
      </c>
      <c r="Q639" s="732" t="str">
        <f>'DICTIONARY-3'!$A$189</f>
        <v>Zasuwa nożowa</v>
      </c>
      <c r="R639" s="732" t="str">
        <f>CONCATENATE('DICTIONARY-3'!$A$11," ",'DICTIONARY-6'!$A$6," ",'DICTIONARY-5'!$A$35," ",'DICTIONARY-2'!$A$2,"125"," ",'DICTIONARY-2'!$A$3,"10"," ",'DICTIONARY-2'!$A$10,"10",'DICTIONARY-2'!$A$20,", ","FESTO"," ",'DICTIONARY-6'!$A$51,"3")</f>
        <v>ZETA Zasuwa noż. A4 DN125 PN10 PS10bar, FESTO St.3</v>
      </c>
      <c r="S639" s="733" t="str">
        <f>'DICTIONARY-4'!$A$5</f>
        <v>NP</v>
      </c>
      <c r="T639" s="732" t="str">
        <f>'DICTIONARY-4'!$A$21</f>
        <v>Napęd pneumatyczny</v>
      </c>
      <c r="U639" s="734" t="s">
        <v>5761</v>
      </c>
      <c r="V639" s="735">
        <v>10</v>
      </c>
      <c r="W639" s="736"/>
      <c r="X639" s="737"/>
      <c r="Y639" s="738"/>
      <c r="Z639" s="739"/>
      <c r="AA639" s="739"/>
      <c r="AB639" s="740">
        <v>10</v>
      </c>
      <c r="AC639" s="741" t="str">
        <f>'DICTIONARY-5'!$A$11&amp;" 20"</f>
        <v>EN 558 szereg 20</v>
      </c>
      <c r="AD639" s="741" t="str">
        <f>'DICTIONARY-5'!$A$14</f>
        <v>ścieki</v>
      </c>
      <c r="AE639" s="742">
        <v>50</v>
      </c>
      <c r="AF639" s="743">
        <v>27</v>
      </c>
      <c r="AG639" s="741" t="str">
        <f>'DICTIONARY-5'!$A$23</f>
        <v>powłoka epoksydowa</v>
      </c>
    </row>
    <row r="640" spans="1:33" x14ac:dyDescent="0.25">
      <c r="A640" s="842" t="s">
        <v>603</v>
      </c>
      <c r="B640" s="842" t="s">
        <v>3253</v>
      </c>
      <c r="C640" s="836">
        <v>1689</v>
      </c>
      <c r="D640" s="836"/>
      <c r="E640" s="836"/>
      <c r="F640" s="836"/>
      <c r="G640" s="496" t="s">
        <v>7798</v>
      </c>
      <c r="H640" s="797" t="str">
        <f>VLOOKUP(G640,SETTINGS!$B$7:$D$97,2,0)</f>
        <v>ZETA (with Pneumatic Actuator)</v>
      </c>
      <c r="I640" s="796">
        <f>VLOOKUP(G640,SETTINGS!$B$7:$D$97,3,0)</f>
        <v>0</v>
      </c>
      <c r="J640" s="670" t="str">
        <f>IFERROR(IF(CURRENCY.FORMAT_1=0,CONCATENATE(TEXT(FIXED(ROUND((C640/EXC.RATE_1),CURRENCY.FORMAT_1),CURRENCY.FORMAT_1,1),"# ##0;-# ##0"),",-"),FIXED(ROUND((C640/EXC.RATE_1),CURRENCY.FORMAT_1),CURRENCY.FORMAT_1,0)),'DICTIONARY-5'!$A$2)</f>
        <v>1 689,-</v>
      </c>
      <c r="K640" s="670" t="str">
        <f>IF(EXC.RATE_2=0,"",IFERROR(IF(CURRENCY.FORMAT_2=0,CONCATENATE(TEXT(FIXED(ROUND(IF(EXC.RATE.SWITCH=1,C640/EXC.RATE_2,C640*EXC.RATE_2),CURRENCY.FORMAT_2),CURRENCY.FORMAT_2,1),"# ##0;-# ##0"),",-"),FIXED(ROUND(IF(EXC.RATE.SWITCH=1,C640/EXC.RATE_2,C640*EXC.RATE_2),CURRENCY.FORMAT_2),CURRENCY.FORMAT_2,0)),'DICTIONARY-5'!$A$2))</f>
        <v/>
      </c>
      <c r="L640" s="670" t="str">
        <f>IFERROR(IF(CURRENCY.FORMAT_1=0,CONCATENATE(TEXT(FIXED(ROUND((C640*(1-I640)*(1-ADD.DISCOUNT)*(1+MAT.SURCHARGE)/EXC.RATE_1),CURRENCY.FORMAT_1),CURRENCY.FORMAT_1,1),"# ##0;-# ##0"),",-"),FIXED(ROUND((C640*(1-I640)*(1-ADD.DISCOUNT)*(1+MAT.SURCHARGE)/EXC.RATE_1),CURRENCY.FORMAT_1),CURRENCY.FORMAT_1,0)),'DICTIONARY-5'!$A$2)</f>
        <v>1 755,-</v>
      </c>
      <c r="M640" s="670" t="str">
        <f>IF(EXC.RATE_2=0,"",IFERROR(IF(CURRENCY.FORMAT_2=0,CONCATENATE(TEXT(FIXED(ROUND(IF(EXC.RATE.SWITCH=1,C640*(1-I640)*(1-ADD.DISCOUNT)*(1+MAT.SURCHARGE)/EXC.RATE_2,C640*(1-I640)*(1-ADD.DISCOUNT)*(1+MAT.SURCHARGE)*EXC.RATE_2),CURRENCY.FORMAT_2),CURRENCY.FORMAT_2,1),"# ##0;-# ##0"),",-"),FIXED(ROUND(IF(EXC.RATE.SWITCH=1,C640*(1-I640)*(1-ADD.DISCOUNT)*(1+MAT.SURCHARGE)/EXC.RATE_2,C640*(1-I640)*(1-ADD.DISCOUNT)*(1+MAT.SURCHARGE)*EXC.RATE_2),CURRENCY.FORMAT_2),CURRENCY.FORMAT_2,0)),'DICTIONARY-5'!$A$2))</f>
        <v/>
      </c>
      <c r="N640" s="544">
        <v>2</v>
      </c>
      <c r="O640" s="544"/>
      <c r="P640" s="731" t="str">
        <f>'DICTIONARY-3'!$A$11</f>
        <v>ZETA</v>
      </c>
      <c r="Q640" s="732" t="str">
        <f>'DICTIONARY-3'!$A$189</f>
        <v>Zasuwa nożowa</v>
      </c>
      <c r="R640" s="732" t="str">
        <f>CONCATENATE('DICTIONARY-3'!$A$11," ",'DICTIONARY-6'!$A$6," ",'DICTIONARY-5'!$A$35," ",'DICTIONARY-2'!$A$2,"150"," ",'DICTIONARY-2'!$A$3,"10"," ",'DICTIONARY-2'!$A$10,"10",'DICTIONARY-2'!$A$20,", ","FESTO"," ",'DICTIONARY-6'!$A$51,"3")</f>
        <v>ZETA Zasuwa noż. A4 DN150 PN10 PS10bar, FESTO St.3</v>
      </c>
      <c r="S640" s="733" t="str">
        <f>'DICTIONARY-4'!$A$5</f>
        <v>NP</v>
      </c>
      <c r="T640" s="732" t="str">
        <f>'DICTIONARY-4'!$A$21</f>
        <v>Napęd pneumatyczny</v>
      </c>
      <c r="U640" s="734" t="s">
        <v>5572</v>
      </c>
      <c r="V640" s="735">
        <v>10</v>
      </c>
      <c r="W640" s="736"/>
      <c r="X640" s="737"/>
      <c r="Y640" s="738"/>
      <c r="Z640" s="739"/>
      <c r="AA640" s="739"/>
      <c r="AB640" s="740">
        <v>10</v>
      </c>
      <c r="AC640" s="741" t="str">
        <f>'DICTIONARY-5'!$A$11&amp;" 20"</f>
        <v>EN 558 szereg 20</v>
      </c>
      <c r="AD640" s="741" t="str">
        <f>'DICTIONARY-5'!$A$14</f>
        <v>ścieki</v>
      </c>
      <c r="AE640" s="742">
        <v>50</v>
      </c>
      <c r="AF640" s="743">
        <v>32</v>
      </c>
      <c r="AG640" s="741" t="str">
        <f>'DICTIONARY-5'!$A$23</f>
        <v>powłoka epoksydowa</v>
      </c>
    </row>
    <row r="641" spans="1:33" x14ac:dyDescent="0.25">
      <c r="A641" s="842" t="s">
        <v>606</v>
      </c>
      <c r="B641" s="842" t="s">
        <v>3205</v>
      </c>
      <c r="C641" s="836">
        <v>1853</v>
      </c>
      <c r="D641" s="836"/>
      <c r="E641" s="836"/>
      <c r="F641" s="836"/>
      <c r="G641" s="496" t="s">
        <v>7798</v>
      </c>
      <c r="H641" s="797" t="str">
        <f>VLOOKUP(G641,SETTINGS!$B$7:$D$97,2,0)</f>
        <v>ZETA (with Pneumatic Actuator)</v>
      </c>
      <c r="I641" s="796">
        <f>VLOOKUP(G641,SETTINGS!$B$7:$D$97,3,0)</f>
        <v>0</v>
      </c>
      <c r="J641" s="670" t="str">
        <f>IFERROR(IF(CURRENCY.FORMAT_1=0,CONCATENATE(TEXT(FIXED(ROUND((C641/EXC.RATE_1),CURRENCY.FORMAT_1),CURRENCY.FORMAT_1,1),"# ##0;-# ##0"),",-"),FIXED(ROUND((C641/EXC.RATE_1),CURRENCY.FORMAT_1),CURRENCY.FORMAT_1,0)),'DICTIONARY-5'!$A$2)</f>
        <v>1 853,-</v>
      </c>
      <c r="K641" s="670" t="str">
        <f>IF(EXC.RATE_2=0,"",IFERROR(IF(CURRENCY.FORMAT_2=0,CONCATENATE(TEXT(FIXED(ROUND(IF(EXC.RATE.SWITCH=1,C641/EXC.RATE_2,C641*EXC.RATE_2),CURRENCY.FORMAT_2),CURRENCY.FORMAT_2,1),"# ##0;-# ##0"),",-"),FIXED(ROUND(IF(EXC.RATE.SWITCH=1,C641/EXC.RATE_2,C641*EXC.RATE_2),CURRENCY.FORMAT_2),CURRENCY.FORMAT_2,0)),'DICTIONARY-5'!$A$2))</f>
        <v/>
      </c>
      <c r="L641" s="670" t="str">
        <f>IFERROR(IF(CURRENCY.FORMAT_1=0,CONCATENATE(TEXT(FIXED(ROUND((C641*(1-I641)*(1-ADD.DISCOUNT)*(1+MAT.SURCHARGE)/EXC.RATE_1),CURRENCY.FORMAT_1),CURRENCY.FORMAT_1,1),"# ##0;-# ##0"),",-"),FIXED(ROUND((C641*(1-I641)*(1-ADD.DISCOUNT)*(1+MAT.SURCHARGE)/EXC.RATE_1),CURRENCY.FORMAT_1),CURRENCY.FORMAT_1,0)),'DICTIONARY-5'!$A$2)</f>
        <v>1 925,-</v>
      </c>
      <c r="M641" s="670" t="str">
        <f>IF(EXC.RATE_2=0,"",IFERROR(IF(CURRENCY.FORMAT_2=0,CONCATENATE(TEXT(FIXED(ROUND(IF(EXC.RATE.SWITCH=1,C641*(1-I641)*(1-ADD.DISCOUNT)*(1+MAT.SURCHARGE)/EXC.RATE_2,C641*(1-I641)*(1-ADD.DISCOUNT)*(1+MAT.SURCHARGE)*EXC.RATE_2),CURRENCY.FORMAT_2),CURRENCY.FORMAT_2,1),"# ##0;-# ##0"),",-"),FIXED(ROUND(IF(EXC.RATE.SWITCH=1,C641*(1-I641)*(1-ADD.DISCOUNT)*(1+MAT.SURCHARGE)/EXC.RATE_2,C641*(1-I641)*(1-ADD.DISCOUNT)*(1+MAT.SURCHARGE)*EXC.RATE_2),CURRENCY.FORMAT_2),CURRENCY.FORMAT_2,0)),'DICTIONARY-5'!$A$2))</f>
        <v/>
      </c>
      <c r="N641" s="544">
        <v>2</v>
      </c>
      <c r="O641" s="544"/>
      <c r="P641" s="731" t="str">
        <f>'DICTIONARY-3'!$A$11</f>
        <v>ZETA</v>
      </c>
      <c r="Q641" s="732" t="str">
        <f>'DICTIONARY-3'!$A$189</f>
        <v>Zasuwa nożowa</v>
      </c>
      <c r="R641" s="732" t="str">
        <f>CONCATENATE('DICTIONARY-3'!$A$11," ",'DICTIONARY-6'!$A$6," ",'DICTIONARY-5'!$A$34," ",'DICTIONARY-2'!$A$2,"200"," ",'DICTIONARY-2'!$A$3,"10"," ",'DICTIONARY-2'!$A$10,"10",'DICTIONARY-2'!$A$20,", ","FESTO"," ",'DICTIONARY-6'!$A$51,"3")</f>
        <v>ZETA Zasuwa noż. A2 DN200 PN10 PS10bar, FESTO St.3</v>
      </c>
      <c r="S641" s="733" t="str">
        <f>'DICTIONARY-4'!$A$5</f>
        <v>NP</v>
      </c>
      <c r="T641" s="732" t="str">
        <f>'DICTIONARY-4'!$A$21</f>
        <v>Napęd pneumatyczny</v>
      </c>
      <c r="U641" s="734" t="s">
        <v>5750</v>
      </c>
      <c r="V641" s="735">
        <v>10</v>
      </c>
      <c r="W641" s="736"/>
      <c r="X641" s="737"/>
      <c r="Y641" s="738"/>
      <c r="Z641" s="739"/>
      <c r="AA641" s="739"/>
      <c r="AB641" s="740">
        <v>10</v>
      </c>
      <c r="AC641" s="741" t="str">
        <f>'DICTIONARY-5'!$A$11&amp;" 20"</f>
        <v>EN 558 szereg 20</v>
      </c>
      <c r="AD641" s="741" t="str">
        <f>'DICTIONARY-5'!$A$14</f>
        <v>ścieki</v>
      </c>
      <c r="AE641" s="742">
        <v>50</v>
      </c>
      <c r="AF641" s="743">
        <v>43</v>
      </c>
      <c r="AG641" s="741" t="str">
        <f>'DICTIONARY-5'!$A$23</f>
        <v>powłoka epoksydowa</v>
      </c>
    </row>
    <row r="642" spans="1:33" x14ac:dyDescent="0.25">
      <c r="A642" s="842" t="s">
        <v>609</v>
      </c>
      <c r="B642" s="842" t="s">
        <v>3209</v>
      </c>
      <c r="C642" s="836">
        <v>2259</v>
      </c>
      <c r="D642" s="836"/>
      <c r="E642" s="836"/>
      <c r="F642" s="836"/>
      <c r="G642" s="496" t="s">
        <v>7798</v>
      </c>
      <c r="H642" s="797" t="str">
        <f>VLOOKUP(G642,SETTINGS!$B$7:$D$97,2,0)</f>
        <v>ZETA (with Pneumatic Actuator)</v>
      </c>
      <c r="I642" s="796">
        <f>VLOOKUP(G642,SETTINGS!$B$7:$D$97,3,0)</f>
        <v>0</v>
      </c>
      <c r="J642" s="670" t="str">
        <f>IFERROR(IF(CURRENCY.FORMAT_1=0,CONCATENATE(TEXT(FIXED(ROUND((C642/EXC.RATE_1),CURRENCY.FORMAT_1),CURRENCY.FORMAT_1,1),"# ##0;-# ##0"),",-"),FIXED(ROUND((C642/EXC.RATE_1),CURRENCY.FORMAT_1),CURRENCY.FORMAT_1,0)),'DICTIONARY-5'!$A$2)</f>
        <v>2 259,-</v>
      </c>
      <c r="K642" s="670" t="str">
        <f>IF(EXC.RATE_2=0,"",IFERROR(IF(CURRENCY.FORMAT_2=0,CONCATENATE(TEXT(FIXED(ROUND(IF(EXC.RATE.SWITCH=1,C642/EXC.RATE_2,C642*EXC.RATE_2),CURRENCY.FORMAT_2),CURRENCY.FORMAT_2,1),"# ##0;-# ##0"),",-"),FIXED(ROUND(IF(EXC.RATE.SWITCH=1,C642/EXC.RATE_2,C642*EXC.RATE_2),CURRENCY.FORMAT_2),CURRENCY.FORMAT_2,0)),'DICTIONARY-5'!$A$2))</f>
        <v/>
      </c>
      <c r="L642" s="670" t="str">
        <f>IFERROR(IF(CURRENCY.FORMAT_1=0,CONCATENATE(TEXT(FIXED(ROUND((C642*(1-I642)*(1-ADD.DISCOUNT)*(1+MAT.SURCHARGE)/EXC.RATE_1),CURRENCY.FORMAT_1),CURRENCY.FORMAT_1,1),"# ##0;-# ##0"),",-"),FIXED(ROUND((C642*(1-I642)*(1-ADD.DISCOUNT)*(1+MAT.SURCHARGE)/EXC.RATE_1),CURRENCY.FORMAT_1),CURRENCY.FORMAT_1,0)),'DICTIONARY-5'!$A$2)</f>
        <v>2 347,-</v>
      </c>
      <c r="M642" s="670" t="str">
        <f>IF(EXC.RATE_2=0,"",IFERROR(IF(CURRENCY.FORMAT_2=0,CONCATENATE(TEXT(FIXED(ROUND(IF(EXC.RATE.SWITCH=1,C642*(1-I642)*(1-ADD.DISCOUNT)*(1+MAT.SURCHARGE)/EXC.RATE_2,C642*(1-I642)*(1-ADD.DISCOUNT)*(1+MAT.SURCHARGE)*EXC.RATE_2),CURRENCY.FORMAT_2),CURRENCY.FORMAT_2,1),"# ##0;-# ##0"),",-"),FIXED(ROUND(IF(EXC.RATE.SWITCH=1,C642*(1-I642)*(1-ADD.DISCOUNT)*(1+MAT.SURCHARGE)/EXC.RATE_2,C642*(1-I642)*(1-ADD.DISCOUNT)*(1+MAT.SURCHARGE)*EXC.RATE_2),CURRENCY.FORMAT_2),CURRENCY.FORMAT_2,0)),'DICTIONARY-5'!$A$2))</f>
        <v/>
      </c>
      <c r="N642" s="544">
        <v>2</v>
      </c>
      <c r="O642" s="544"/>
      <c r="P642" s="731" t="str">
        <f>'DICTIONARY-3'!$A$11</f>
        <v>ZETA</v>
      </c>
      <c r="Q642" s="732" t="str">
        <f>'DICTIONARY-3'!$A$189</f>
        <v>Zasuwa nożowa</v>
      </c>
      <c r="R642" s="732" t="str">
        <f>CONCATENATE('DICTIONARY-3'!$A$11," ",'DICTIONARY-6'!$A$6," ",'DICTIONARY-5'!$A$34," ",'DICTIONARY-2'!$A$2,"250"," ",'DICTIONARY-2'!$A$3,"10"," ",'DICTIONARY-2'!$A$10,"10",'DICTIONARY-2'!$A$20,", ","FESTO"," ",'DICTIONARY-6'!$A$51,"3")</f>
        <v>ZETA Zasuwa noż. A2 DN250 PN10 PS10bar, FESTO St.3</v>
      </c>
      <c r="S642" s="733" t="str">
        <f>'DICTIONARY-4'!$A$5</f>
        <v>NP</v>
      </c>
      <c r="T642" s="732" t="str">
        <f>'DICTIONARY-4'!$A$21</f>
        <v>Napęd pneumatyczny</v>
      </c>
      <c r="U642" s="734" t="s">
        <v>5751</v>
      </c>
      <c r="V642" s="735">
        <v>10</v>
      </c>
      <c r="W642" s="736"/>
      <c r="X642" s="737"/>
      <c r="Y642" s="738"/>
      <c r="Z642" s="739"/>
      <c r="AA642" s="739"/>
      <c r="AB642" s="740">
        <v>10</v>
      </c>
      <c r="AC642" s="741" t="str">
        <f>'DICTIONARY-5'!$A$11&amp;" 20"</f>
        <v>EN 558 szereg 20</v>
      </c>
      <c r="AD642" s="741" t="str">
        <f>'DICTIONARY-5'!$A$14</f>
        <v>ścieki</v>
      </c>
      <c r="AE642" s="742">
        <v>50</v>
      </c>
      <c r="AF642" s="743">
        <v>70</v>
      </c>
      <c r="AG642" s="741" t="str">
        <f>'DICTIONARY-5'!$A$23</f>
        <v>powłoka epoksydowa</v>
      </c>
    </row>
    <row r="643" spans="1:33" x14ac:dyDescent="0.25">
      <c r="A643" s="842" t="s">
        <v>612</v>
      </c>
      <c r="B643" s="842" t="s">
        <v>3213</v>
      </c>
      <c r="C643" s="836">
        <v>3328</v>
      </c>
      <c r="D643" s="836"/>
      <c r="E643" s="836"/>
      <c r="F643" s="836"/>
      <c r="G643" s="496" t="s">
        <v>7798</v>
      </c>
      <c r="H643" s="797" t="str">
        <f>VLOOKUP(G643,SETTINGS!$B$7:$D$97,2,0)</f>
        <v>ZETA (with Pneumatic Actuator)</v>
      </c>
      <c r="I643" s="796">
        <f>VLOOKUP(G643,SETTINGS!$B$7:$D$97,3,0)</f>
        <v>0</v>
      </c>
      <c r="J643" s="670" t="str">
        <f>IFERROR(IF(CURRENCY.FORMAT_1=0,CONCATENATE(TEXT(FIXED(ROUND((C643/EXC.RATE_1),CURRENCY.FORMAT_1),CURRENCY.FORMAT_1,1),"# ##0;-# ##0"),",-"),FIXED(ROUND((C643/EXC.RATE_1),CURRENCY.FORMAT_1),CURRENCY.FORMAT_1,0)),'DICTIONARY-5'!$A$2)</f>
        <v>3 328,-</v>
      </c>
      <c r="K643" s="670" t="str">
        <f>IF(EXC.RATE_2=0,"",IFERROR(IF(CURRENCY.FORMAT_2=0,CONCATENATE(TEXT(FIXED(ROUND(IF(EXC.RATE.SWITCH=1,C643/EXC.RATE_2,C643*EXC.RATE_2),CURRENCY.FORMAT_2),CURRENCY.FORMAT_2,1),"# ##0;-# ##0"),",-"),FIXED(ROUND(IF(EXC.RATE.SWITCH=1,C643/EXC.RATE_2,C643*EXC.RATE_2),CURRENCY.FORMAT_2),CURRENCY.FORMAT_2,0)),'DICTIONARY-5'!$A$2))</f>
        <v/>
      </c>
      <c r="L643" s="670" t="str">
        <f>IFERROR(IF(CURRENCY.FORMAT_1=0,CONCATENATE(TEXT(FIXED(ROUND((C643*(1-I643)*(1-ADD.DISCOUNT)*(1+MAT.SURCHARGE)/EXC.RATE_1),CURRENCY.FORMAT_1),CURRENCY.FORMAT_1,1),"# ##0;-# ##0"),",-"),FIXED(ROUND((C643*(1-I643)*(1-ADD.DISCOUNT)*(1+MAT.SURCHARGE)/EXC.RATE_1),CURRENCY.FORMAT_1),CURRENCY.FORMAT_1,0)),'DICTIONARY-5'!$A$2)</f>
        <v>3 458,-</v>
      </c>
      <c r="M643" s="670" t="str">
        <f>IF(EXC.RATE_2=0,"",IFERROR(IF(CURRENCY.FORMAT_2=0,CONCATENATE(TEXT(FIXED(ROUND(IF(EXC.RATE.SWITCH=1,C643*(1-I643)*(1-ADD.DISCOUNT)*(1+MAT.SURCHARGE)/EXC.RATE_2,C643*(1-I643)*(1-ADD.DISCOUNT)*(1+MAT.SURCHARGE)*EXC.RATE_2),CURRENCY.FORMAT_2),CURRENCY.FORMAT_2,1),"# ##0;-# ##0"),",-"),FIXED(ROUND(IF(EXC.RATE.SWITCH=1,C643*(1-I643)*(1-ADD.DISCOUNT)*(1+MAT.SURCHARGE)/EXC.RATE_2,C643*(1-I643)*(1-ADD.DISCOUNT)*(1+MAT.SURCHARGE)*EXC.RATE_2),CURRENCY.FORMAT_2),CURRENCY.FORMAT_2,0)),'DICTIONARY-5'!$A$2))</f>
        <v/>
      </c>
      <c r="N643" s="544">
        <v>2</v>
      </c>
      <c r="O643" s="544"/>
      <c r="P643" s="731" t="str">
        <f>'DICTIONARY-3'!$A$11</f>
        <v>ZETA</v>
      </c>
      <c r="Q643" s="732" t="str">
        <f>'DICTIONARY-3'!$A$189</f>
        <v>Zasuwa nożowa</v>
      </c>
      <c r="R643" s="732" t="str">
        <f>CONCATENATE('DICTIONARY-3'!$A$11," ",'DICTIONARY-6'!$A$6," ",'DICTIONARY-5'!$A$34," ",'DICTIONARY-2'!$A$2,"300"," ",'DICTIONARY-2'!$A$3,"10"," ",'DICTIONARY-2'!$A$10,"10",'DICTIONARY-2'!$A$20,", ","FESTO"," ",'DICTIONARY-6'!$A$51,"3")</f>
        <v>ZETA Zasuwa noż. A2 DN300 PN10 PS10bar, FESTO St.3</v>
      </c>
      <c r="S643" s="733" t="str">
        <f>'DICTIONARY-4'!$A$5</f>
        <v>NP</v>
      </c>
      <c r="T643" s="732" t="str">
        <f>'DICTIONARY-4'!$A$21</f>
        <v>Napęd pneumatyczny</v>
      </c>
      <c r="U643" s="734" t="s">
        <v>5752</v>
      </c>
      <c r="V643" s="735">
        <v>10</v>
      </c>
      <c r="W643" s="736"/>
      <c r="X643" s="737"/>
      <c r="Y643" s="738"/>
      <c r="Z643" s="739"/>
      <c r="AA643" s="739"/>
      <c r="AB643" s="740">
        <v>10</v>
      </c>
      <c r="AC643" s="741" t="str">
        <f>'DICTIONARY-5'!$A$11&amp;" 20"</f>
        <v>EN 558 szereg 20</v>
      </c>
      <c r="AD643" s="741" t="str">
        <f>'DICTIONARY-5'!$A$14</f>
        <v>ścieki</v>
      </c>
      <c r="AE643" s="742">
        <v>50</v>
      </c>
      <c r="AF643" s="743">
        <v>106</v>
      </c>
      <c r="AG643" s="741" t="str">
        <f>'DICTIONARY-5'!$A$23</f>
        <v>powłoka epoksydowa</v>
      </c>
    </row>
    <row r="644" spans="1:33" x14ac:dyDescent="0.25">
      <c r="A644" s="842" t="s">
        <v>615</v>
      </c>
      <c r="B644" s="842" t="s">
        <v>3217</v>
      </c>
      <c r="C644" s="836">
        <v>3725</v>
      </c>
      <c r="D644" s="836"/>
      <c r="E644" s="836"/>
      <c r="F644" s="836"/>
      <c r="G644" s="496" t="s">
        <v>7798</v>
      </c>
      <c r="H644" s="797" t="str">
        <f>VLOOKUP(G644,SETTINGS!$B$7:$D$97,2,0)</f>
        <v>ZETA (with Pneumatic Actuator)</v>
      </c>
      <c r="I644" s="796">
        <f>VLOOKUP(G644,SETTINGS!$B$7:$D$97,3,0)</f>
        <v>0</v>
      </c>
      <c r="J644" s="670" t="str">
        <f>IFERROR(IF(CURRENCY.FORMAT_1=0,CONCATENATE(TEXT(FIXED(ROUND((C644/EXC.RATE_1),CURRENCY.FORMAT_1),CURRENCY.FORMAT_1,1),"# ##0;-# ##0"),",-"),FIXED(ROUND((C644/EXC.RATE_1),CURRENCY.FORMAT_1),CURRENCY.FORMAT_1,0)),'DICTIONARY-5'!$A$2)</f>
        <v>3 725,-</v>
      </c>
      <c r="K644" s="670" t="str">
        <f>IF(EXC.RATE_2=0,"",IFERROR(IF(CURRENCY.FORMAT_2=0,CONCATENATE(TEXT(FIXED(ROUND(IF(EXC.RATE.SWITCH=1,C644/EXC.RATE_2,C644*EXC.RATE_2),CURRENCY.FORMAT_2),CURRENCY.FORMAT_2,1),"# ##0;-# ##0"),",-"),FIXED(ROUND(IF(EXC.RATE.SWITCH=1,C644/EXC.RATE_2,C644*EXC.RATE_2),CURRENCY.FORMAT_2),CURRENCY.FORMAT_2,0)),'DICTIONARY-5'!$A$2))</f>
        <v/>
      </c>
      <c r="L644" s="670" t="str">
        <f>IFERROR(IF(CURRENCY.FORMAT_1=0,CONCATENATE(TEXT(FIXED(ROUND((C644*(1-I644)*(1-ADD.DISCOUNT)*(1+MAT.SURCHARGE)/EXC.RATE_1),CURRENCY.FORMAT_1),CURRENCY.FORMAT_1,1),"# ##0;-# ##0"),",-"),FIXED(ROUND((C644*(1-I644)*(1-ADD.DISCOUNT)*(1+MAT.SURCHARGE)/EXC.RATE_1),CURRENCY.FORMAT_1),CURRENCY.FORMAT_1,0)),'DICTIONARY-5'!$A$2)</f>
        <v>3 870,-</v>
      </c>
      <c r="M644" s="670" t="str">
        <f>IF(EXC.RATE_2=0,"",IFERROR(IF(CURRENCY.FORMAT_2=0,CONCATENATE(TEXT(FIXED(ROUND(IF(EXC.RATE.SWITCH=1,C644*(1-I644)*(1-ADD.DISCOUNT)*(1+MAT.SURCHARGE)/EXC.RATE_2,C644*(1-I644)*(1-ADD.DISCOUNT)*(1+MAT.SURCHARGE)*EXC.RATE_2),CURRENCY.FORMAT_2),CURRENCY.FORMAT_2,1),"# ##0;-# ##0"),",-"),FIXED(ROUND(IF(EXC.RATE.SWITCH=1,C644*(1-I644)*(1-ADD.DISCOUNT)*(1+MAT.SURCHARGE)/EXC.RATE_2,C644*(1-I644)*(1-ADD.DISCOUNT)*(1+MAT.SURCHARGE)*EXC.RATE_2),CURRENCY.FORMAT_2),CURRENCY.FORMAT_2,0)),'DICTIONARY-5'!$A$2))</f>
        <v/>
      </c>
      <c r="N644" s="544">
        <v>2</v>
      </c>
      <c r="O644" s="544"/>
      <c r="P644" s="731" t="str">
        <f>'DICTIONARY-3'!$A$11</f>
        <v>ZETA</v>
      </c>
      <c r="Q644" s="732" t="str">
        <f>'DICTIONARY-3'!$A$189</f>
        <v>Zasuwa nożowa</v>
      </c>
      <c r="R644" s="732" t="str">
        <f>CONCATENATE('DICTIONARY-3'!$A$11," ",'DICTIONARY-6'!$A$6," ",'DICTIONARY-5'!$A$34," ",'DICTIONARY-2'!$A$2,"350"," ",'DICTIONARY-2'!$A$3,"10"," ",'DICTIONARY-2'!$A$10,"8",'DICTIONARY-2'!$A$20,", ","FESTO"," ",'DICTIONARY-6'!$A$51,"3")</f>
        <v>ZETA Zasuwa noż. A2 DN350 PN10 PS8bar, FESTO St.3</v>
      </c>
      <c r="S644" s="733" t="str">
        <f>'DICTIONARY-4'!$A$5</f>
        <v>NP</v>
      </c>
      <c r="T644" s="732" t="str">
        <f>'DICTIONARY-4'!$A$21</f>
        <v>Napęd pneumatyczny</v>
      </c>
      <c r="U644" s="734" t="s">
        <v>5753</v>
      </c>
      <c r="V644" s="735">
        <v>10</v>
      </c>
      <c r="W644" s="736"/>
      <c r="X644" s="737"/>
      <c r="Y644" s="738"/>
      <c r="Z644" s="739"/>
      <c r="AA644" s="739"/>
      <c r="AB644" s="740">
        <v>8</v>
      </c>
      <c r="AC644" s="741" t="str">
        <f>'DICTIONARY-5'!$A$11&amp;" 20"</f>
        <v>EN 558 szereg 20</v>
      </c>
      <c r="AD644" s="741" t="str">
        <f>'DICTIONARY-5'!$A$14</f>
        <v>ścieki</v>
      </c>
      <c r="AE644" s="742">
        <v>50</v>
      </c>
      <c r="AF644" s="743">
        <v>130</v>
      </c>
      <c r="AG644" s="741" t="str">
        <f>'DICTIONARY-5'!$A$23</f>
        <v>powłoka epoksydowa</v>
      </c>
    </row>
    <row r="645" spans="1:33" x14ac:dyDescent="0.25">
      <c r="A645" s="842" t="s">
        <v>618</v>
      </c>
      <c r="B645" s="842" t="s">
        <v>3221</v>
      </c>
      <c r="C645" s="836">
        <v>4401</v>
      </c>
      <c r="D645" s="836"/>
      <c r="E645" s="836"/>
      <c r="F645" s="836"/>
      <c r="G645" s="496" t="s">
        <v>7798</v>
      </c>
      <c r="H645" s="797" t="str">
        <f>VLOOKUP(G645,SETTINGS!$B$7:$D$97,2,0)</f>
        <v>ZETA (with Pneumatic Actuator)</v>
      </c>
      <c r="I645" s="796">
        <f>VLOOKUP(G645,SETTINGS!$B$7:$D$97,3,0)</f>
        <v>0</v>
      </c>
      <c r="J645" s="670" t="str">
        <f>IFERROR(IF(CURRENCY.FORMAT_1=0,CONCATENATE(TEXT(FIXED(ROUND((C645/EXC.RATE_1),CURRENCY.FORMAT_1),CURRENCY.FORMAT_1,1),"# ##0;-# ##0"),",-"),FIXED(ROUND((C645/EXC.RATE_1),CURRENCY.FORMAT_1),CURRENCY.FORMAT_1,0)),'DICTIONARY-5'!$A$2)</f>
        <v>4 401,-</v>
      </c>
      <c r="K645" s="670" t="str">
        <f>IF(EXC.RATE_2=0,"",IFERROR(IF(CURRENCY.FORMAT_2=0,CONCATENATE(TEXT(FIXED(ROUND(IF(EXC.RATE.SWITCH=1,C645/EXC.RATE_2,C645*EXC.RATE_2),CURRENCY.FORMAT_2),CURRENCY.FORMAT_2,1),"# ##0;-# ##0"),",-"),FIXED(ROUND(IF(EXC.RATE.SWITCH=1,C645/EXC.RATE_2,C645*EXC.RATE_2),CURRENCY.FORMAT_2),CURRENCY.FORMAT_2,0)),'DICTIONARY-5'!$A$2))</f>
        <v/>
      </c>
      <c r="L645" s="670" t="str">
        <f>IFERROR(IF(CURRENCY.FORMAT_1=0,CONCATENATE(TEXT(FIXED(ROUND((C645*(1-I645)*(1-ADD.DISCOUNT)*(1+MAT.SURCHARGE)/EXC.RATE_1),CURRENCY.FORMAT_1),CURRENCY.FORMAT_1,1),"# ##0;-# ##0"),",-"),FIXED(ROUND((C645*(1-I645)*(1-ADD.DISCOUNT)*(1+MAT.SURCHARGE)/EXC.RATE_1),CURRENCY.FORMAT_1),CURRENCY.FORMAT_1,0)),'DICTIONARY-5'!$A$2)</f>
        <v>4 573,-</v>
      </c>
      <c r="M645" s="670" t="str">
        <f>IF(EXC.RATE_2=0,"",IFERROR(IF(CURRENCY.FORMAT_2=0,CONCATENATE(TEXT(FIXED(ROUND(IF(EXC.RATE.SWITCH=1,C645*(1-I645)*(1-ADD.DISCOUNT)*(1+MAT.SURCHARGE)/EXC.RATE_2,C645*(1-I645)*(1-ADD.DISCOUNT)*(1+MAT.SURCHARGE)*EXC.RATE_2),CURRENCY.FORMAT_2),CURRENCY.FORMAT_2,1),"# ##0;-# ##0"),",-"),FIXED(ROUND(IF(EXC.RATE.SWITCH=1,C645*(1-I645)*(1-ADD.DISCOUNT)*(1+MAT.SURCHARGE)/EXC.RATE_2,C645*(1-I645)*(1-ADD.DISCOUNT)*(1+MAT.SURCHARGE)*EXC.RATE_2),CURRENCY.FORMAT_2),CURRENCY.FORMAT_2,0)),'DICTIONARY-5'!$A$2))</f>
        <v/>
      </c>
      <c r="N645" s="544">
        <v>2</v>
      </c>
      <c r="O645" s="544"/>
      <c r="P645" s="731" t="str">
        <f>'DICTIONARY-3'!$A$11</f>
        <v>ZETA</v>
      </c>
      <c r="Q645" s="732" t="str">
        <f>'DICTIONARY-3'!$A$189</f>
        <v>Zasuwa nożowa</v>
      </c>
      <c r="R645" s="732" t="str">
        <f>CONCATENATE('DICTIONARY-3'!$A$11," ",'DICTIONARY-6'!$A$6," ",'DICTIONARY-5'!$A$34," ",'DICTIONARY-2'!$A$2,"400"," ",'DICTIONARY-2'!$A$3,"10"," ",'DICTIONARY-2'!$A$10,"8",'DICTIONARY-2'!$A$20,", ","FESTO"," ",'DICTIONARY-6'!$A$51,"3")</f>
        <v>ZETA Zasuwa noż. A2 DN400 PN10 PS8bar, FESTO St.3</v>
      </c>
      <c r="S645" s="733" t="str">
        <f>'DICTIONARY-4'!$A$5</f>
        <v>NP</v>
      </c>
      <c r="T645" s="732" t="str">
        <f>'DICTIONARY-4'!$A$21</f>
        <v>Napęd pneumatyczny</v>
      </c>
      <c r="U645" s="734" t="s">
        <v>5754</v>
      </c>
      <c r="V645" s="735">
        <v>10</v>
      </c>
      <c r="W645" s="736"/>
      <c r="X645" s="737"/>
      <c r="Y645" s="738"/>
      <c r="Z645" s="739"/>
      <c r="AA645" s="739"/>
      <c r="AB645" s="740">
        <v>8</v>
      </c>
      <c r="AC645" s="741" t="str">
        <f>'DICTIONARY-5'!$A$11&amp;" 20"</f>
        <v>EN 558 szereg 20</v>
      </c>
      <c r="AD645" s="741" t="str">
        <f>'DICTIONARY-5'!$A$14</f>
        <v>ścieki</v>
      </c>
      <c r="AE645" s="742">
        <v>50</v>
      </c>
      <c r="AF645" s="743">
        <v>180</v>
      </c>
      <c r="AG645" s="741" t="str">
        <f>'DICTIONARY-5'!$A$23</f>
        <v>powłoka epoksydowa</v>
      </c>
    </row>
    <row r="646" spans="1:33" x14ac:dyDescent="0.25">
      <c r="A646" s="842" t="s">
        <v>621</v>
      </c>
      <c r="B646" s="842" t="s">
        <v>3225</v>
      </c>
      <c r="C646" s="836">
        <v>7390</v>
      </c>
      <c r="D646" s="836"/>
      <c r="E646" s="836"/>
      <c r="F646" s="836"/>
      <c r="G646" s="496" t="s">
        <v>7798</v>
      </c>
      <c r="H646" s="797" t="str">
        <f>VLOOKUP(G646,SETTINGS!$B$7:$D$97,2,0)</f>
        <v>ZETA (with Pneumatic Actuator)</v>
      </c>
      <c r="I646" s="796">
        <f>VLOOKUP(G646,SETTINGS!$B$7:$D$97,3,0)</f>
        <v>0</v>
      </c>
      <c r="J646" s="670" t="str">
        <f>IFERROR(IF(CURRENCY.FORMAT_1=0,CONCATENATE(TEXT(FIXED(ROUND((C646/EXC.RATE_1),CURRENCY.FORMAT_1),CURRENCY.FORMAT_1,1),"# ##0;-# ##0"),",-"),FIXED(ROUND((C646/EXC.RATE_1),CURRENCY.FORMAT_1),CURRENCY.FORMAT_1,0)),'DICTIONARY-5'!$A$2)</f>
        <v>7 390,-</v>
      </c>
      <c r="K646" s="670" t="str">
        <f>IF(EXC.RATE_2=0,"",IFERROR(IF(CURRENCY.FORMAT_2=0,CONCATENATE(TEXT(FIXED(ROUND(IF(EXC.RATE.SWITCH=1,C646/EXC.RATE_2,C646*EXC.RATE_2),CURRENCY.FORMAT_2),CURRENCY.FORMAT_2,1),"# ##0;-# ##0"),",-"),FIXED(ROUND(IF(EXC.RATE.SWITCH=1,C646/EXC.RATE_2,C646*EXC.RATE_2),CURRENCY.FORMAT_2),CURRENCY.FORMAT_2,0)),'DICTIONARY-5'!$A$2))</f>
        <v/>
      </c>
      <c r="L646" s="670" t="str">
        <f>IFERROR(IF(CURRENCY.FORMAT_1=0,CONCATENATE(TEXT(FIXED(ROUND((C646*(1-I646)*(1-ADD.DISCOUNT)*(1+MAT.SURCHARGE)/EXC.RATE_1),CURRENCY.FORMAT_1),CURRENCY.FORMAT_1,1),"# ##0;-# ##0"),",-"),FIXED(ROUND((C646*(1-I646)*(1-ADD.DISCOUNT)*(1+MAT.SURCHARGE)/EXC.RATE_1),CURRENCY.FORMAT_1),CURRENCY.FORMAT_1,0)),'DICTIONARY-5'!$A$2)</f>
        <v>7 678,-</v>
      </c>
      <c r="M646" s="670" t="str">
        <f>IF(EXC.RATE_2=0,"",IFERROR(IF(CURRENCY.FORMAT_2=0,CONCATENATE(TEXT(FIXED(ROUND(IF(EXC.RATE.SWITCH=1,C646*(1-I646)*(1-ADD.DISCOUNT)*(1+MAT.SURCHARGE)/EXC.RATE_2,C646*(1-I646)*(1-ADD.DISCOUNT)*(1+MAT.SURCHARGE)*EXC.RATE_2),CURRENCY.FORMAT_2),CURRENCY.FORMAT_2,1),"# ##0;-# ##0"),",-"),FIXED(ROUND(IF(EXC.RATE.SWITCH=1,C646*(1-I646)*(1-ADD.DISCOUNT)*(1+MAT.SURCHARGE)/EXC.RATE_2,C646*(1-I646)*(1-ADD.DISCOUNT)*(1+MAT.SURCHARGE)*EXC.RATE_2),CURRENCY.FORMAT_2),CURRENCY.FORMAT_2,0)),'DICTIONARY-5'!$A$2))</f>
        <v/>
      </c>
      <c r="N646" s="544">
        <v>2</v>
      </c>
      <c r="O646" s="544"/>
      <c r="P646" s="731" t="str">
        <f>'DICTIONARY-3'!$A$11</f>
        <v>ZETA</v>
      </c>
      <c r="Q646" s="732" t="str">
        <f>'DICTIONARY-3'!$A$189</f>
        <v>Zasuwa nożowa</v>
      </c>
      <c r="R646" s="732" t="str">
        <f>CONCATENATE('DICTIONARY-3'!$A$11," ",'DICTIONARY-6'!$A$6," ",'DICTIONARY-5'!$A$34," ",'DICTIONARY-2'!$A$2,"500"," ",'DICTIONARY-2'!$A$3,"10"," ",'DICTIONARY-2'!$A$10,"6",'DICTIONARY-2'!$A$20,", ","FESTO"," ",'DICTIONARY-6'!$A$51,"3")</f>
        <v>ZETA Zasuwa noż. A2 DN500 PN10 PS6bar, FESTO St.3</v>
      </c>
      <c r="S646" s="733" t="str">
        <f>'DICTIONARY-4'!$A$5</f>
        <v>NP</v>
      </c>
      <c r="T646" s="732" t="str">
        <f>'DICTIONARY-4'!$A$21</f>
        <v>Napęd pneumatyczny</v>
      </c>
      <c r="U646" s="734" t="s">
        <v>5756</v>
      </c>
      <c r="V646" s="735">
        <v>10</v>
      </c>
      <c r="W646" s="736"/>
      <c r="X646" s="737"/>
      <c r="Y646" s="738"/>
      <c r="Z646" s="739"/>
      <c r="AA646" s="739"/>
      <c r="AB646" s="740">
        <v>6</v>
      </c>
      <c r="AC646" s="741" t="str">
        <f>'DICTIONARY-5'!$A$11&amp;" 20"</f>
        <v>EN 558 szereg 20</v>
      </c>
      <c r="AD646" s="741" t="str">
        <f>'DICTIONARY-5'!$A$14</f>
        <v>ścieki</v>
      </c>
      <c r="AE646" s="742">
        <v>50</v>
      </c>
      <c r="AF646" s="743">
        <v>313</v>
      </c>
      <c r="AG646" s="741" t="str">
        <f>'DICTIONARY-5'!$A$23</f>
        <v>powłoka epoksydowa</v>
      </c>
    </row>
    <row r="647" spans="1:33" x14ac:dyDescent="0.25">
      <c r="A647" s="842" t="s">
        <v>624</v>
      </c>
      <c r="B647" s="842" t="s">
        <v>3229</v>
      </c>
      <c r="C647" s="836">
        <v>11968</v>
      </c>
      <c r="D647" s="836"/>
      <c r="E647" s="836"/>
      <c r="F647" s="836"/>
      <c r="G647" s="496" t="s">
        <v>7798</v>
      </c>
      <c r="H647" s="797" t="str">
        <f>VLOOKUP(G647,SETTINGS!$B$7:$D$97,2,0)</f>
        <v>ZETA (with Pneumatic Actuator)</v>
      </c>
      <c r="I647" s="796">
        <f>VLOOKUP(G647,SETTINGS!$B$7:$D$97,3,0)</f>
        <v>0</v>
      </c>
      <c r="J647" s="670" t="str">
        <f>IFERROR(IF(CURRENCY.FORMAT_1=0,CONCATENATE(TEXT(FIXED(ROUND((C647/EXC.RATE_1),CURRENCY.FORMAT_1),CURRENCY.FORMAT_1,1),"# ##0;-# ##0"),",-"),FIXED(ROUND((C647/EXC.RATE_1),CURRENCY.FORMAT_1),CURRENCY.FORMAT_1,0)),'DICTIONARY-5'!$A$2)</f>
        <v>11 968,-</v>
      </c>
      <c r="K647" s="670" t="str">
        <f>IF(EXC.RATE_2=0,"",IFERROR(IF(CURRENCY.FORMAT_2=0,CONCATENATE(TEXT(FIXED(ROUND(IF(EXC.RATE.SWITCH=1,C647/EXC.RATE_2,C647*EXC.RATE_2),CURRENCY.FORMAT_2),CURRENCY.FORMAT_2,1),"# ##0;-# ##0"),",-"),FIXED(ROUND(IF(EXC.RATE.SWITCH=1,C647/EXC.RATE_2,C647*EXC.RATE_2),CURRENCY.FORMAT_2),CURRENCY.FORMAT_2,0)),'DICTIONARY-5'!$A$2))</f>
        <v/>
      </c>
      <c r="L647" s="670" t="str">
        <f>IFERROR(IF(CURRENCY.FORMAT_1=0,CONCATENATE(TEXT(FIXED(ROUND((C647*(1-I647)*(1-ADD.DISCOUNT)*(1+MAT.SURCHARGE)/EXC.RATE_1),CURRENCY.FORMAT_1),CURRENCY.FORMAT_1,1),"# ##0;-# ##0"),",-"),FIXED(ROUND((C647*(1-I647)*(1-ADD.DISCOUNT)*(1+MAT.SURCHARGE)/EXC.RATE_1),CURRENCY.FORMAT_1),CURRENCY.FORMAT_1,0)),'DICTIONARY-5'!$A$2)</f>
        <v>12 435,-</v>
      </c>
      <c r="M647" s="670" t="str">
        <f>IF(EXC.RATE_2=0,"",IFERROR(IF(CURRENCY.FORMAT_2=0,CONCATENATE(TEXT(FIXED(ROUND(IF(EXC.RATE.SWITCH=1,C647*(1-I647)*(1-ADD.DISCOUNT)*(1+MAT.SURCHARGE)/EXC.RATE_2,C647*(1-I647)*(1-ADD.DISCOUNT)*(1+MAT.SURCHARGE)*EXC.RATE_2),CURRENCY.FORMAT_2),CURRENCY.FORMAT_2,1),"# ##0;-# ##0"),",-"),FIXED(ROUND(IF(EXC.RATE.SWITCH=1,C647*(1-I647)*(1-ADD.DISCOUNT)*(1+MAT.SURCHARGE)/EXC.RATE_2,C647*(1-I647)*(1-ADD.DISCOUNT)*(1+MAT.SURCHARGE)*EXC.RATE_2),CURRENCY.FORMAT_2),CURRENCY.FORMAT_2,0)),'DICTIONARY-5'!$A$2))</f>
        <v/>
      </c>
      <c r="N647" s="544">
        <v>2</v>
      </c>
      <c r="O647" s="544"/>
      <c r="P647" s="731" t="str">
        <f>'DICTIONARY-3'!$A$11</f>
        <v>ZETA</v>
      </c>
      <c r="Q647" s="732" t="str">
        <f>'DICTIONARY-3'!$A$189</f>
        <v>Zasuwa nożowa</v>
      </c>
      <c r="R647" s="732" t="str">
        <f>CONCATENATE('DICTIONARY-3'!$A$11," ",'DICTIONARY-6'!$A$6," ",'DICTIONARY-5'!$A$34," ",'DICTIONARY-2'!$A$2,"600"," ",'DICTIONARY-2'!$A$3,"10"," ",'DICTIONARY-2'!$A$10,"6",'DICTIONARY-2'!$A$20,", ","FESTO"," ",'DICTIONARY-6'!$A$51,"3")</f>
        <v>ZETA Zasuwa noż. A2 DN600 PN10 PS6bar, FESTO St.3</v>
      </c>
      <c r="S647" s="733" t="str">
        <f>'DICTIONARY-4'!$A$5</f>
        <v>NP</v>
      </c>
      <c r="T647" s="732" t="str">
        <f>'DICTIONARY-4'!$A$21</f>
        <v>Napęd pneumatyczny</v>
      </c>
      <c r="U647" s="734" t="s">
        <v>5757</v>
      </c>
      <c r="V647" s="735">
        <v>10</v>
      </c>
      <c r="W647" s="736"/>
      <c r="X647" s="737"/>
      <c r="Y647" s="738"/>
      <c r="Z647" s="739"/>
      <c r="AA647" s="739"/>
      <c r="AB647" s="740">
        <v>6</v>
      </c>
      <c r="AC647" s="741" t="str">
        <f>'DICTIONARY-5'!$A$11&amp;" 20"</f>
        <v>EN 558 szereg 20</v>
      </c>
      <c r="AD647" s="741" t="str">
        <f>'DICTIONARY-5'!$A$14</f>
        <v>ścieki</v>
      </c>
      <c r="AE647" s="742">
        <v>50</v>
      </c>
      <c r="AF647" s="743">
        <v>431</v>
      </c>
      <c r="AG647" s="741" t="str">
        <f>'DICTIONARY-5'!$A$23</f>
        <v>powłoka epoksydowa</v>
      </c>
    </row>
    <row r="648" spans="1:33" x14ac:dyDescent="0.25">
      <c r="A648" s="842" t="s">
        <v>625</v>
      </c>
      <c r="B648" s="842" t="s">
        <v>3255</v>
      </c>
      <c r="C648" s="836">
        <v>1600</v>
      </c>
      <c r="D648" s="836"/>
      <c r="E648" s="836"/>
      <c r="F648" s="836"/>
      <c r="G648" s="496" t="s">
        <v>7798</v>
      </c>
      <c r="H648" s="797" t="str">
        <f>VLOOKUP(G648,SETTINGS!$B$7:$D$97,2,0)</f>
        <v>ZETA (with Pneumatic Actuator)</v>
      </c>
      <c r="I648" s="796">
        <f>VLOOKUP(G648,SETTINGS!$B$7:$D$97,3,0)</f>
        <v>0</v>
      </c>
      <c r="J648" s="670" t="str">
        <f>IFERROR(IF(CURRENCY.FORMAT_1=0,CONCATENATE(TEXT(FIXED(ROUND((C648/EXC.RATE_1),CURRENCY.FORMAT_1),CURRENCY.FORMAT_1,1),"# ##0;-# ##0"),",-"),FIXED(ROUND((C648/EXC.RATE_1),CURRENCY.FORMAT_1),CURRENCY.FORMAT_1,0)),'DICTIONARY-5'!$A$2)</f>
        <v>1 600,-</v>
      </c>
      <c r="K648" s="670" t="str">
        <f>IF(EXC.RATE_2=0,"",IFERROR(IF(CURRENCY.FORMAT_2=0,CONCATENATE(TEXT(FIXED(ROUND(IF(EXC.RATE.SWITCH=1,C648/EXC.RATE_2,C648*EXC.RATE_2),CURRENCY.FORMAT_2),CURRENCY.FORMAT_2,1),"# ##0;-# ##0"),",-"),FIXED(ROUND(IF(EXC.RATE.SWITCH=1,C648/EXC.RATE_2,C648*EXC.RATE_2),CURRENCY.FORMAT_2),CURRENCY.FORMAT_2,0)),'DICTIONARY-5'!$A$2))</f>
        <v/>
      </c>
      <c r="L648" s="670" t="str">
        <f>IFERROR(IF(CURRENCY.FORMAT_1=0,CONCATENATE(TEXT(FIXED(ROUND((C648*(1-I648)*(1-ADD.DISCOUNT)*(1+MAT.SURCHARGE)/EXC.RATE_1),CURRENCY.FORMAT_1),CURRENCY.FORMAT_1,1),"# ##0;-# ##0"),",-"),FIXED(ROUND((C648*(1-I648)*(1-ADD.DISCOUNT)*(1+MAT.SURCHARGE)/EXC.RATE_1),CURRENCY.FORMAT_1),CURRENCY.FORMAT_1,0)),'DICTIONARY-5'!$A$2)</f>
        <v>1 662,-</v>
      </c>
      <c r="M648" s="670" t="str">
        <f>IF(EXC.RATE_2=0,"",IFERROR(IF(CURRENCY.FORMAT_2=0,CONCATENATE(TEXT(FIXED(ROUND(IF(EXC.RATE.SWITCH=1,C648*(1-I648)*(1-ADD.DISCOUNT)*(1+MAT.SURCHARGE)/EXC.RATE_2,C648*(1-I648)*(1-ADD.DISCOUNT)*(1+MAT.SURCHARGE)*EXC.RATE_2),CURRENCY.FORMAT_2),CURRENCY.FORMAT_2,1),"# ##0;-# ##0"),",-"),FIXED(ROUND(IF(EXC.RATE.SWITCH=1,C648*(1-I648)*(1-ADD.DISCOUNT)*(1+MAT.SURCHARGE)/EXC.RATE_2,C648*(1-I648)*(1-ADD.DISCOUNT)*(1+MAT.SURCHARGE)*EXC.RATE_2),CURRENCY.FORMAT_2),CURRENCY.FORMAT_2,0)),'DICTIONARY-5'!$A$2))</f>
        <v/>
      </c>
      <c r="N648" s="544">
        <v>2</v>
      </c>
      <c r="O648" s="544"/>
      <c r="P648" s="731" t="str">
        <f>'DICTIONARY-3'!$A$11</f>
        <v>ZETA</v>
      </c>
      <c r="Q648" s="732" t="str">
        <f>'DICTIONARY-3'!$A$189</f>
        <v>Zasuwa nożowa</v>
      </c>
      <c r="R648" s="732" t="str">
        <f>CONCATENATE('DICTIONARY-3'!$A$11," ",'DICTIONARY-6'!$A$6," ",'DICTIONARY-5'!$A$35," ",'DICTIONARY-2'!$A$2,"200"," ",'DICTIONARY-2'!$A$3,"10"," ",'DICTIONARY-2'!$A$10,"10",'DICTIONARY-2'!$A$20,", ","FESTO"," ",'DICTIONARY-6'!$A$51,"1")</f>
        <v>ZETA Zasuwa noż. A4 DN200 PN10 PS10bar, FESTO St.1</v>
      </c>
      <c r="S648" s="733" t="str">
        <f>'DICTIONARY-4'!$A$5</f>
        <v>NP</v>
      </c>
      <c r="T648" s="732" t="str">
        <f>'DICTIONARY-4'!$A$21</f>
        <v>Napęd pneumatyczny</v>
      </c>
      <c r="U648" s="734" t="s">
        <v>5750</v>
      </c>
      <c r="V648" s="735">
        <v>10</v>
      </c>
      <c r="W648" s="736"/>
      <c r="X648" s="737"/>
      <c r="Y648" s="738"/>
      <c r="Z648" s="739"/>
      <c r="AA648" s="739"/>
      <c r="AB648" s="740">
        <v>10</v>
      </c>
      <c r="AC648" s="741" t="str">
        <f>'DICTIONARY-5'!$A$11&amp;" 20"</f>
        <v>EN 558 szereg 20</v>
      </c>
      <c r="AD648" s="741" t="str">
        <f>'DICTIONARY-5'!$A$14</f>
        <v>ścieki</v>
      </c>
      <c r="AE648" s="742">
        <v>50</v>
      </c>
      <c r="AF648" s="743">
        <v>41</v>
      </c>
      <c r="AG648" s="741" t="str">
        <f>'DICTIONARY-5'!$A$23</f>
        <v>powłoka epoksydowa</v>
      </c>
    </row>
    <row r="649" spans="1:33" x14ac:dyDescent="0.25">
      <c r="A649" s="842" t="s">
        <v>628</v>
      </c>
      <c r="B649" s="842" t="s">
        <v>3259</v>
      </c>
      <c r="C649" s="836">
        <v>1962</v>
      </c>
      <c r="D649" s="836"/>
      <c r="E649" s="836"/>
      <c r="F649" s="836"/>
      <c r="G649" s="496" t="s">
        <v>7798</v>
      </c>
      <c r="H649" s="797" t="str">
        <f>VLOOKUP(G649,SETTINGS!$B$7:$D$97,2,0)</f>
        <v>ZETA (with Pneumatic Actuator)</v>
      </c>
      <c r="I649" s="796">
        <f>VLOOKUP(G649,SETTINGS!$B$7:$D$97,3,0)</f>
        <v>0</v>
      </c>
      <c r="J649" s="670" t="str">
        <f>IFERROR(IF(CURRENCY.FORMAT_1=0,CONCATENATE(TEXT(FIXED(ROUND((C649/EXC.RATE_1),CURRENCY.FORMAT_1),CURRENCY.FORMAT_1,1),"# ##0;-# ##0"),",-"),FIXED(ROUND((C649/EXC.RATE_1),CURRENCY.FORMAT_1),CURRENCY.FORMAT_1,0)),'DICTIONARY-5'!$A$2)</f>
        <v>1 962,-</v>
      </c>
      <c r="K649" s="670" t="str">
        <f>IF(EXC.RATE_2=0,"",IFERROR(IF(CURRENCY.FORMAT_2=0,CONCATENATE(TEXT(FIXED(ROUND(IF(EXC.RATE.SWITCH=1,C649/EXC.RATE_2,C649*EXC.RATE_2),CURRENCY.FORMAT_2),CURRENCY.FORMAT_2,1),"# ##0;-# ##0"),",-"),FIXED(ROUND(IF(EXC.RATE.SWITCH=1,C649/EXC.RATE_2,C649*EXC.RATE_2),CURRENCY.FORMAT_2),CURRENCY.FORMAT_2,0)),'DICTIONARY-5'!$A$2))</f>
        <v/>
      </c>
      <c r="L649" s="670" t="str">
        <f>IFERROR(IF(CURRENCY.FORMAT_1=0,CONCATENATE(TEXT(FIXED(ROUND((C649*(1-I649)*(1-ADD.DISCOUNT)*(1+MAT.SURCHARGE)/EXC.RATE_1),CURRENCY.FORMAT_1),CURRENCY.FORMAT_1,1),"# ##0;-# ##0"),",-"),FIXED(ROUND((C649*(1-I649)*(1-ADD.DISCOUNT)*(1+MAT.SURCHARGE)/EXC.RATE_1),CURRENCY.FORMAT_1),CURRENCY.FORMAT_1,0)),'DICTIONARY-5'!$A$2)</f>
        <v>2 039,-</v>
      </c>
      <c r="M649" s="670" t="str">
        <f>IF(EXC.RATE_2=0,"",IFERROR(IF(CURRENCY.FORMAT_2=0,CONCATENATE(TEXT(FIXED(ROUND(IF(EXC.RATE.SWITCH=1,C649*(1-I649)*(1-ADD.DISCOUNT)*(1+MAT.SURCHARGE)/EXC.RATE_2,C649*(1-I649)*(1-ADD.DISCOUNT)*(1+MAT.SURCHARGE)*EXC.RATE_2),CURRENCY.FORMAT_2),CURRENCY.FORMAT_2,1),"# ##0;-# ##0"),",-"),FIXED(ROUND(IF(EXC.RATE.SWITCH=1,C649*(1-I649)*(1-ADD.DISCOUNT)*(1+MAT.SURCHARGE)/EXC.RATE_2,C649*(1-I649)*(1-ADD.DISCOUNT)*(1+MAT.SURCHARGE)*EXC.RATE_2),CURRENCY.FORMAT_2),CURRENCY.FORMAT_2,0)),'DICTIONARY-5'!$A$2))</f>
        <v/>
      </c>
      <c r="N649" s="544">
        <v>2</v>
      </c>
      <c r="O649" s="544"/>
      <c r="P649" s="731" t="str">
        <f>'DICTIONARY-3'!$A$11</f>
        <v>ZETA</v>
      </c>
      <c r="Q649" s="732" t="str">
        <f>'DICTIONARY-3'!$A$189</f>
        <v>Zasuwa nożowa</v>
      </c>
      <c r="R649" s="732" t="str">
        <f>CONCATENATE('DICTIONARY-3'!$A$11," ",'DICTIONARY-6'!$A$6," ",'DICTIONARY-5'!$A$35," ",'DICTIONARY-2'!$A$2,"250"," ",'DICTIONARY-2'!$A$3,"10"," ",'DICTIONARY-2'!$A$10,"10",'DICTIONARY-2'!$A$20,", ","FESTO"," ",'DICTIONARY-6'!$A$51,"1")</f>
        <v>ZETA Zasuwa noż. A4 DN250 PN10 PS10bar, FESTO St.1</v>
      </c>
      <c r="S649" s="733" t="str">
        <f>'DICTIONARY-4'!$A$5</f>
        <v>NP</v>
      </c>
      <c r="T649" s="732" t="str">
        <f>'DICTIONARY-4'!$A$21</f>
        <v>Napęd pneumatyczny</v>
      </c>
      <c r="U649" s="734" t="s">
        <v>5751</v>
      </c>
      <c r="V649" s="735">
        <v>10</v>
      </c>
      <c r="W649" s="736"/>
      <c r="X649" s="737"/>
      <c r="Y649" s="738"/>
      <c r="Z649" s="739"/>
      <c r="AA649" s="739"/>
      <c r="AB649" s="740">
        <v>10</v>
      </c>
      <c r="AC649" s="741" t="str">
        <f>'DICTIONARY-5'!$A$11&amp;" 20"</f>
        <v>EN 558 szereg 20</v>
      </c>
      <c r="AD649" s="741" t="str">
        <f>'DICTIONARY-5'!$A$14</f>
        <v>ścieki</v>
      </c>
      <c r="AE649" s="742">
        <v>50</v>
      </c>
      <c r="AF649" s="743">
        <v>70</v>
      </c>
      <c r="AG649" s="741" t="str">
        <f>'DICTIONARY-5'!$A$23</f>
        <v>powłoka epoksydowa</v>
      </c>
    </row>
    <row r="650" spans="1:33" x14ac:dyDescent="0.25">
      <c r="A650" s="842" t="s">
        <v>631</v>
      </c>
      <c r="B650" s="842" t="s">
        <v>3263</v>
      </c>
      <c r="C650" s="836">
        <v>3079</v>
      </c>
      <c r="D650" s="836"/>
      <c r="E650" s="836"/>
      <c r="F650" s="836"/>
      <c r="G650" s="496" t="s">
        <v>7798</v>
      </c>
      <c r="H650" s="797" t="str">
        <f>VLOOKUP(G650,SETTINGS!$B$7:$D$97,2,0)</f>
        <v>ZETA (with Pneumatic Actuator)</v>
      </c>
      <c r="I650" s="796">
        <f>VLOOKUP(G650,SETTINGS!$B$7:$D$97,3,0)</f>
        <v>0</v>
      </c>
      <c r="J650" s="670" t="str">
        <f>IFERROR(IF(CURRENCY.FORMAT_1=0,CONCATENATE(TEXT(FIXED(ROUND((C650/EXC.RATE_1),CURRENCY.FORMAT_1),CURRENCY.FORMAT_1,1),"# ##0;-# ##0"),",-"),FIXED(ROUND((C650/EXC.RATE_1),CURRENCY.FORMAT_1),CURRENCY.FORMAT_1,0)),'DICTIONARY-5'!$A$2)</f>
        <v>3 079,-</v>
      </c>
      <c r="K650" s="670" t="str">
        <f>IF(EXC.RATE_2=0,"",IFERROR(IF(CURRENCY.FORMAT_2=0,CONCATENATE(TEXT(FIXED(ROUND(IF(EXC.RATE.SWITCH=1,C650/EXC.RATE_2,C650*EXC.RATE_2),CURRENCY.FORMAT_2),CURRENCY.FORMAT_2,1),"# ##0;-# ##0"),",-"),FIXED(ROUND(IF(EXC.RATE.SWITCH=1,C650/EXC.RATE_2,C650*EXC.RATE_2),CURRENCY.FORMAT_2),CURRENCY.FORMAT_2,0)),'DICTIONARY-5'!$A$2))</f>
        <v/>
      </c>
      <c r="L650" s="670" t="str">
        <f>IFERROR(IF(CURRENCY.FORMAT_1=0,CONCATENATE(TEXT(FIXED(ROUND((C650*(1-I650)*(1-ADD.DISCOUNT)*(1+MAT.SURCHARGE)/EXC.RATE_1),CURRENCY.FORMAT_1),CURRENCY.FORMAT_1,1),"# ##0;-# ##0"),",-"),FIXED(ROUND((C650*(1-I650)*(1-ADD.DISCOUNT)*(1+MAT.SURCHARGE)/EXC.RATE_1),CURRENCY.FORMAT_1),CURRENCY.FORMAT_1,0)),'DICTIONARY-5'!$A$2)</f>
        <v>3 199,-</v>
      </c>
      <c r="M650" s="670" t="str">
        <f>IF(EXC.RATE_2=0,"",IFERROR(IF(CURRENCY.FORMAT_2=0,CONCATENATE(TEXT(FIXED(ROUND(IF(EXC.RATE.SWITCH=1,C650*(1-I650)*(1-ADD.DISCOUNT)*(1+MAT.SURCHARGE)/EXC.RATE_2,C650*(1-I650)*(1-ADD.DISCOUNT)*(1+MAT.SURCHARGE)*EXC.RATE_2),CURRENCY.FORMAT_2),CURRENCY.FORMAT_2,1),"# ##0;-# ##0"),",-"),FIXED(ROUND(IF(EXC.RATE.SWITCH=1,C650*(1-I650)*(1-ADD.DISCOUNT)*(1+MAT.SURCHARGE)/EXC.RATE_2,C650*(1-I650)*(1-ADD.DISCOUNT)*(1+MAT.SURCHARGE)*EXC.RATE_2),CURRENCY.FORMAT_2),CURRENCY.FORMAT_2,0)),'DICTIONARY-5'!$A$2))</f>
        <v/>
      </c>
      <c r="N650" s="544">
        <v>2</v>
      </c>
      <c r="O650" s="544"/>
      <c r="P650" s="731" t="str">
        <f>'DICTIONARY-3'!$A$11</f>
        <v>ZETA</v>
      </c>
      <c r="Q650" s="732" t="str">
        <f>'DICTIONARY-3'!$A$189</f>
        <v>Zasuwa nożowa</v>
      </c>
      <c r="R650" s="732" t="str">
        <f>CONCATENATE('DICTIONARY-3'!$A$11," ",'DICTIONARY-6'!$A$6," ",'DICTIONARY-5'!$A$35," ",'DICTIONARY-2'!$A$2,"300"," ",'DICTIONARY-2'!$A$3,"10"," ",'DICTIONARY-2'!$A$10,"10",'DICTIONARY-2'!$A$20,", ","FESTO"," ",'DICTIONARY-6'!$A$51,"1")</f>
        <v>ZETA Zasuwa noż. A4 DN300 PN10 PS10bar, FESTO St.1</v>
      </c>
      <c r="S650" s="733" t="str">
        <f>'DICTIONARY-4'!$A$5</f>
        <v>NP</v>
      </c>
      <c r="T650" s="732" t="str">
        <f>'DICTIONARY-4'!$A$21</f>
        <v>Napęd pneumatyczny</v>
      </c>
      <c r="U650" s="734" t="s">
        <v>5752</v>
      </c>
      <c r="V650" s="735">
        <v>10</v>
      </c>
      <c r="W650" s="736"/>
      <c r="X650" s="737"/>
      <c r="Y650" s="738"/>
      <c r="Z650" s="739"/>
      <c r="AA650" s="739"/>
      <c r="AB650" s="740">
        <v>10</v>
      </c>
      <c r="AC650" s="741" t="str">
        <f>'DICTIONARY-5'!$A$11&amp;" 20"</f>
        <v>EN 558 szereg 20</v>
      </c>
      <c r="AD650" s="741" t="str">
        <f>'DICTIONARY-5'!$A$14</f>
        <v>ścieki</v>
      </c>
      <c r="AE650" s="742">
        <v>50</v>
      </c>
      <c r="AF650" s="743">
        <v>119</v>
      </c>
      <c r="AG650" s="741" t="str">
        <f>'DICTIONARY-5'!$A$23</f>
        <v>powłoka epoksydowa</v>
      </c>
    </row>
    <row r="651" spans="1:33" x14ac:dyDescent="0.25">
      <c r="A651" s="842" t="s">
        <v>634</v>
      </c>
      <c r="B651" s="842" t="s">
        <v>3267</v>
      </c>
      <c r="C651" s="836">
        <v>3591</v>
      </c>
      <c r="D651" s="836"/>
      <c r="E651" s="836"/>
      <c r="F651" s="836"/>
      <c r="G651" s="496" t="s">
        <v>7798</v>
      </c>
      <c r="H651" s="797" t="str">
        <f>VLOOKUP(G651,SETTINGS!$B$7:$D$97,2,0)</f>
        <v>ZETA (with Pneumatic Actuator)</v>
      </c>
      <c r="I651" s="796">
        <f>VLOOKUP(G651,SETTINGS!$B$7:$D$97,3,0)</f>
        <v>0</v>
      </c>
      <c r="J651" s="670" t="str">
        <f>IFERROR(IF(CURRENCY.FORMAT_1=0,CONCATENATE(TEXT(FIXED(ROUND((C651/EXC.RATE_1),CURRENCY.FORMAT_1),CURRENCY.FORMAT_1,1),"# ##0;-# ##0"),",-"),FIXED(ROUND((C651/EXC.RATE_1),CURRENCY.FORMAT_1),CURRENCY.FORMAT_1,0)),'DICTIONARY-5'!$A$2)</f>
        <v>3 591,-</v>
      </c>
      <c r="K651" s="670" t="str">
        <f>IF(EXC.RATE_2=0,"",IFERROR(IF(CURRENCY.FORMAT_2=0,CONCATENATE(TEXT(FIXED(ROUND(IF(EXC.RATE.SWITCH=1,C651/EXC.RATE_2,C651*EXC.RATE_2),CURRENCY.FORMAT_2),CURRENCY.FORMAT_2,1),"# ##0;-# ##0"),",-"),FIXED(ROUND(IF(EXC.RATE.SWITCH=1,C651/EXC.RATE_2,C651*EXC.RATE_2),CURRENCY.FORMAT_2),CURRENCY.FORMAT_2,0)),'DICTIONARY-5'!$A$2))</f>
        <v/>
      </c>
      <c r="L651" s="670" t="str">
        <f>IFERROR(IF(CURRENCY.FORMAT_1=0,CONCATENATE(TEXT(FIXED(ROUND((C651*(1-I651)*(1-ADD.DISCOUNT)*(1+MAT.SURCHARGE)/EXC.RATE_1),CURRENCY.FORMAT_1),CURRENCY.FORMAT_1,1),"# ##0;-# ##0"),",-"),FIXED(ROUND((C651*(1-I651)*(1-ADD.DISCOUNT)*(1+MAT.SURCHARGE)/EXC.RATE_1),CURRENCY.FORMAT_1),CURRENCY.FORMAT_1,0)),'DICTIONARY-5'!$A$2)</f>
        <v>3 731,-</v>
      </c>
      <c r="M651" s="670" t="str">
        <f>IF(EXC.RATE_2=0,"",IFERROR(IF(CURRENCY.FORMAT_2=0,CONCATENATE(TEXT(FIXED(ROUND(IF(EXC.RATE.SWITCH=1,C651*(1-I651)*(1-ADD.DISCOUNT)*(1+MAT.SURCHARGE)/EXC.RATE_2,C651*(1-I651)*(1-ADD.DISCOUNT)*(1+MAT.SURCHARGE)*EXC.RATE_2),CURRENCY.FORMAT_2),CURRENCY.FORMAT_2,1),"# ##0;-# ##0"),",-"),FIXED(ROUND(IF(EXC.RATE.SWITCH=1,C651*(1-I651)*(1-ADD.DISCOUNT)*(1+MAT.SURCHARGE)/EXC.RATE_2,C651*(1-I651)*(1-ADD.DISCOUNT)*(1+MAT.SURCHARGE)*EXC.RATE_2),CURRENCY.FORMAT_2),CURRENCY.FORMAT_2,0)),'DICTIONARY-5'!$A$2))</f>
        <v/>
      </c>
      <c r="N651" s="544">
        <v>2</v>
      </c>
      <c r="O651" s="544"/>
      <c r="P651" s="731" t="str">
        <f>'DICTIONARY-3'!$A$11</f>
        <v>ZETA</v>
      </c>
      <c r="Q651" s="732" t="str">
        <f>'DICTIONARY-3'!$A$189</f>
        <v>Zasuwa nożowa</v>
      </c>
      <c r="R651" s="732" t="str">
        <f>CONCATENATE('DICTIONARY-3'!$A$11," ",'DICTIONARY-6'!$A$6," ",'DICTIONARY-5'!$A$35," ",'DICTIONARY-2'!$A$2,"350"," ",'DICTIONARY-2'!$A$3,"10"," ",'DICTIONARY-2'!$A$10,"8",'DICTIONARY-2'!$A$20,", ","FESTO"," ",'DICTIONARY-6'!$A$51,"1")</f>
        <v>ZETA Zasuwa noż. A4 DN350 PN10 PS8bar, FESTO St.1</v>
      </c>
      <c r="S651" s="733" t="str">
        <f>'DICTIONARY-4'!$A$5</f>
        <v>NP</v>
      </c>
      <c r="T651" s="732" t="str">
        <f>'DICTIONARY-4'!$A$21</f>
        <v>Napęd pneumatyczny</v>
      </c>
      <c r="U651" s="734" t="s">
        <v>5753</v>
      </c>
      <c r="V651" s="735">
        <v>10</v>
      </c>
      <c r="W651" s="736"/>
      <c r="X651" s="737"/>
      <c r="Y651" s="738"/>
      <c r="Z651" s="739"/>
      <c r="AA651" s="739"/>
      <c r="AB651" s="740">
        <v>8</v>
      </c>
      <c r="AC651" s="741" t="str">
        <f>'DICTIONARY-5'!$A$11&amp;" 20"</f>
        <v>EN 558 szereg 20</v>
      </c>
      <c r="AD651" s="741" t="str">
        <f>'DICTIONARY-5'!$A$14</f>
        <v>ścieki</v>
      </c>
      <c r="AE651" s="742">
        <v>50</v>
      </c>
      <c r="AF651" s="743">
        <v>136</v>
      </c>
      <c r="AG651" s="741" t="str">
        <f>'DICTIONARY-5'!$A$23</f>
        <v>powłoka epoksydowa</v>
      </c>
    </row>
    <row r="652" spans="1:33" x14ac:dyDescent="0.25">
      <c r="A652" s="842" t="s">
        <v>637</v>
      </c>
      <c r="B652" s="842" t="s">
        <v>3271</v>
      </c>
      <c r="C652" s="836">
        <v>4278</v>
      </c>
      <c r="D652" s="836"/>
      <c r="E652" s="836"/>
      <c r="F652" s="836"/>
      <c r="G652" s="496" t="s">
        <v>7798</v>
      </c>
      <c r="H652" s="797" t="str">
        <f>VLOOKUP(G652,SETTINGS!$B$7:$D$97,2,0)</f>
        <v>ZETA (with Pneumatic Actuator)</v>
      </c>
      <c r="I652" s="796">
        <f>VLOOKUP(G652,SETTINGS!$B$7:$D$97,3,0)</f>
        <v>0</v>
      </c>
      <c r="J652" s="670" t="str">
        <f>IFERROR(IF(CURRENCY.FORMAT_1=0,CONCATENATE(TEXT(FIXED(ROUND((C652/EXC.RATE_1),CURRENCY.FORMAT_1),CURRENCY.FORMAT_1,1),"# ##0;-# ##0"),",-"),FIXED(ROUND((C652/EXC.RATE_1),CURRENCY.FORMAT_1),CURRENCY.FORMAT_1,0)),'DICTIONARY-5'!$A$2)</f>
        <v>4 278,-</v>
      </c>
      <c r="K652" s="670" t="str">
        <f>IF(EXC.RATE_2=0,"",IFERROR(IF(CURRENCY.FORMAT_2=0,CONCATENATE(TEXT(FIXED(ROUND(IF(EXC.RATE.SWITCH=1,C652/EXC.RATE_2,C652*EXC.RATE_2),CURRENCY.FORMAT_2),CURRENCY.FORMAT_2,1),"# ##0;-# ##0"),",-"),FIXED(ROUND(IF(EXC.RATE.SWITCH=1,C652/EXC.RATE_2,C652*EXC.RATE_2),CURRENCY.FORMAT_2),CURRENCY.FORMAT_2,0)),'DICTIONARY-5'!$A$2))</f>
        <v/>
      </c>
      <c r="L652" s="670" t="str">
        <f>IFERROR(IF(CURRENCY.FORMAT_1=0,CONCATENATE(TEXT(FIXED(ROUND((C652*(1-I652)*(1-ADD.DISCOUNT)*(1+MAT.SURCHARGE)/EXC.RATE_1),CURRENCY.FORMAT_1),CURRENCY.FORMAT_1,1),"# ##0;-# ##0"),",-"),FIXED(ROUND((C652*(1-I652)*(1-ADD.DISCOUNT)*(1+MAT.SURCHARGE)/EXC.RATE_1),CURRENCY.FORMAT_1),CURRENCY.FORMAT_1,0)),'DICTIONARY-5'!$A$2)</f>
        <v>4 445,-</v>
      </c>
      <c r="M652" s="670" t="str">
        <f>IF(EXC.RATE_2=0,"",IFERROR(IF(CURRENCY.FORMAT_2=0,CONCATENATE(TEXT(FIXED(ROUND(IF(EXC.RATE.SWITCH=1,C652*(1-I652)*(1-ADD.DISCOUNT)*(1+MAT.SURCHARGE)/EXC.RATE_2,C652*(1-I652)*(1-ADD.DISCOUNT)*(1+MAT.SURCHARGE)*EXC.RATE_2),CURRENCY.FORMAT_2),CURRENCY.FORMAT_2,1),"# ##0;-# ##0"),",-"),FIXED(ROUND(IF(EXC.RATE.SWITCH=1,C652*(1-I652)*(1-ADD.DISCOUNT)*(1+MAT.SURCHARGE)/EXC.RATE_2,C652*(1-I652)*(1-ADD.DISCOUNT)*(1+MAT.SURCHARGE)*EXC.RATE_2),CURRENCY.FORMAT_2),CURRENCY.FORMAT_2,0)),'DICTIONARY-5'!$A$2))</f>
        <v/>
      </c>
      <c r="N652" s="544">
        <v>2</v>
      </c>
      <c r="O652" s="544"/>
      <c r="P652" s="731" t="str">
        <f>'DICTIONARY-3'!$A$11</f>
        <v>ZETA</v>
      </c>
      <c r="Q652" s="732" t="str">
        <f>'DICTIONARY-3'!$A$189</f>
        <v>Zasuwa nożowa</v>
      </c>
      <c r="R652" s="732" t="str">
        <f>CONCATENATE('DICTIONARY-3'!$A$11," ",'DICTIONARY-6'!$A$6," ",'DICTIONARY-5'!$A$35," ",'DICTIONARY-2'!$A$2,"400"," ",'DICTIONARY-2'!$A$3,"10"," ",'DICTIONARY-2'!$A$10,"8",'DICTIONARY-2'!$A$20,", ","FESTO"," ",'DICTIONARY-6'!$A$51,"1")</f>
        <v>ZETA Zasuwa noż. A4 DN400 PN10 PS8bar, FESTO St.1</v>
      </c>
      <c r="S652" s="733" t="str">
        <f>'DICTIONARY-4'!$A$5</f>
        <v>NP</v>
      </c>
      <c r="T652" s="732" t="str">
        <f>'DICTIONARY-4'!$A$21</f>
        <v>Napęd pneumatyczny</v>
      </c>
      <c r="U652" s="734" t="s">
        <v>5754</v>
      </c>
      <c r="V652" s="735">
        <v>10</v>
      </c>
      <c r="W652" s="736"/>
      <c r="X652" s="737"/>
      <c r="Y652" s="738"/>
      <c r="Z652" s="739"/>
      <c r="AA652" s="739"/>
      <c r="AB652" s="740">
        <v>8</v>
      </c>
      <c r="AC652" s="741" t="str">
        <f>'DICTIONARY-5'!$A$11&amp;" 20"</f>
        <v>EN 558 szereg 20</v>
      </c>
      <c r="AD652" s="741" t="str">
        <f>'DICTIONARY-5'!$A$14</f>
        <v>ścieki</v>
      </c>
      <c r="AE652" s="742">
        <v>50</v>
      </c>
      <c r="AF652" s="743">
        <v>194</v>
      </c>
      <c r="AG652" s="741" t="str">
        <f>'DICTIONARY-5'!$A$23</f>
        <v>powłoka epoksydowa</v>
      </c>
    </row>
    <row r="653" spans="1:33" x14ac:dyDescent="0.25">
      <c r="A653" s="842" t="s">
        <v>640</v>
      </c>
      <c r="B653" s="842" t="s">
        <v>3275</v>
      </c>
      <c r="C653" s="836">
        <v>7715</v>
      </c>
      <c r="D653" s="836"/>
      <c r="E653" s="836"/>
      <c r="F653" s="836"/>
      <c r="G653" s="496" t="s">
        <v>7798</v>
      </c>
      <c r="H653" s="797" t="str">
        <f>VLOOKUP(G653,SETTINGS!$B$7:$D$97,2,0)</f>
        <v>ZETA (with Pneumatic Actuator)</v>
      </c>
      <c r="I653" s="796">
        <f>VLOOKUP(G653,SETTINGS!$B$7:$D$97,3,0)</f>
        <v>0</v>
      </c>
      <c r="J653" s="670" t="str">
        <f>IFERROR(IF(CURRENCY.FORMAT_1=0,CONCATENATE(TEXT(FIXED(ROUND((C653/EXC.RATE_1),CURRENCY.FORMAT_1),CURRENCY.FORMAT_1,1),"# ##0;-# ##0"),",-"),FIXED(ROUND((C653/EXC.RATE_1),CURRENCY.FORMAT_1),CURRENCY.FORMAT_1,0)),'DICTIONARY-5'!$A$2)</f>
        <v>7 715,-</v>
      </c>
      <c r="K653" s="670" t="str">
        <f>IF(EXC.RATE_2=0,"",IFERROR(IF(CURRENCY.FORMAT_2=0,CONCATENATE(TEXT(FIXED(ROUND(IF(EXC.RATE.SWITCH=1,C653/EXC.RATE_2,C653*EXC.RATE_2),CURRENCY.FORMAT_2),CURRENCY.FORMAT_2,1),"# ##0;-# ##0"),",-"),FIXED(ROUND(IF(EXC.RATE.SWITCH=1,C653/EXC.RATE_2,C653*EXC.RATE_2),CURRENCY.FORMAT_2),CURRENCY.FORMAT_2,0)),'DICTIONARY-5'!$A$2))</f>
        <v/>
      </c>
      <c r="L653" s="670" t="str">
        <f>IFERROR(IF(CURRENCY.FORMAT_1=0,CONCATENATE(TEXT(FIXED(ROUND((C653*(1-I653)*(1-ADD.DISCOUNT)*(1+MAT.SURCHARGE)/EXC.RATE_1),CURRENCY.FORMAT_1),CURRENCY.FORMAT_1,1),"# ##0;-# ##0"),",-"),FIXED(ROUND((C653*(1-I653)*(1-ADD.DISCOUNT)*(1+MAT.SURCHARGE)/EXC.RATE_1),CURRENCY.FORMAT_1),CURRENCY.FORMAT_1,0)),'DICTIONARY-5'!$A$2)</f>
        <v>8 016,-</v>
      </c>
      <c r="M653" s="670" t="str">
        <f>IF(EXC.RATE_2=0,"",IFERROR(IF(CURRENCY.FORMAT_2=0,CONCATENATE(TEXT(FIXED(ROUND(IF(EXC.RATE.SWITCH=1,C653*(1-I653)*(1-ADD.DISCOUNT)*(1+MAT.SURCHARGE)/EXC.RATE_2,C653*(1-I653)*(1-ADD.DISCOUNT)*(1+MAT.SURCHARGE)*EXC.RATE_2),CURRENCY.FORMAT_2),CURRENCY.FORMAT_2,1),"# ##0;-# ##0"),",-"),FIXED(ROUND(IF(EXC.RATE.SWITCH=1,C653*(1-I653)*(1-ADD.DISCOUNT)*(1+MAT.SURCHARGE)/EXC.RATE_2,C653*(1-I653)*(1-ADD.DISCOUNT)*(1+MAT.SURCHARGE)*EXC.RATE_2),CURRENCY.FORMAT_2),CURRENCY.FORMAT_2,0)),'DICTIONARY-5'!$A$2))</f>
        <v/>
      </c>
      <c r="N653" s="544">
        <v>2</v>
      </c>
      <c r="O653" s="544"/>
      <c r="P653" s="731" t="str">
        <f>'DICTIONARY-3'!$A$11</f>
        <v>ZETA</v>
      </c>
      <c r="Q653" s="732" t="str">
        <f>'DICTIONARY-3'!$A$189</f>
        <v>Zasuwa nożowa</v>
      </c>
      <c r="R653" s="732" t="str">
        <f>CONCATENATE('DICTIONARY-3'!$A$11," ",'DICTIONARY-6'!$A$6," ",'DICTIONARY-5'!$A$35," ",'DICTIONARY-2'!$A$2,"500"," ",'DICTIONARY-2'!$A$3,"10"," ",'DICTIONARY-2'!$A$10,"6",'DICTIONARY-2'!$A$20,", ","FESTO"," ",'DICTIONARY-6'!$A$51,"1")</f>
        <v>ZETA Zasuwa noż. A4 DN500 PN10 PS6bar, FESTO St.1</v>
      </c>
      <c r="S653" s="733" t="str">
        <f>'DICTIONARY-4'!$A$5</f>
        <v>NP</v>
      </c>
      <c r="T653" s="732" t="str">
        <f>'DICTIONARY-4'!$A$21</f>
        <v>Napęd pneumatyczny</v>
      </c>
      <c r="U653" s="734" t="s">
        <v>5756</v>
      </c>
      <c r="V653" s="735">
        <v>10</v>
      </c>
      <c r="W653" s="736"/>
      <c r="X653" s="737"/>
      <c r="Y653" s="738"/>
      <c r="Z653" s="739"/>
      <c r="AA653" s="739"/>
      <c r="AB653" s="740">
        <v>6</v>
      </c>
      <c r="AC653" s="741" t="str">
        <f>'DICTIONARY-5'!$A$11&amp;" 20"</f>
        <v>EN 558 szereg 20</v>
      </c>
      <c r="AD653" s="741" t="str">
        <f>'DICTIONARY-5'!$A$14</f>
        <v>ścieki</v>
      </c>
      <c r="AE653" s="742">
        <v>50</v>
      </c>
      <c r="AF653" s="743">
        <v>317</v>
      </c>
      <c r="AG653" s="741" t="str">
        <f>'DICTIONARY-5'!$A$23</f>
        <v>powłoka epoksydowa</v>
      </c>
    </row>
    <row r="654" spans="1:33" x14ac:dyDescent="0.25">
      <c r="A654" s="842" t="s">
        <v>643</v>
      </c>
      <c r="B654" s="842" t="s">
        <v>3279</v>
      </c>
      <c r="C654" s="836">
        <v>12316</v>
      </c>
      <c r="D654" s="836"/>
      <c r="E654" s="836"/>
      <c r="F654" s="836"/>
      <c r="G654" s="496" t="s">
        <v>7798</v>
      </c>
      <c r="H654" s="797" t="str">
        <f>VLOOKUP(G654,SETTINGS!$B$7:$D$97,2,0)</f>
        <v>ZETA (with Pneumatic Actuator)</v>
      </c>
      <c r="I654" s="796">
        <f>VLOOKUP(G654,SETTINGS!$B$7:$D$97,3,0)</f>
        <v>0</v>
      </c>
      <c r="J654" s="670" t="str">
        <f>IFERROR(IF(CURRENCY.FORMAT_1=0,CONCATENATE(TEXT(FIXED(ROUND((C654/EXC.RATE_1),CURRENCY.FORMAT_1),CURRENCY.FORMAT_1,1),"# ##0;-# ##0"),",-"),FIXED(ROUND((C654/EXC.RATE_1),CURRENCY.FORMAT_1),CURRENCY.FORMAT_1,0)),'DICTIONARY-5'!$A$2)</f>
        <v>12 316,-</v>
      </c>
      <c r="K654" s="670" t="str">
        <f>IF(EXC.RATE_2=0,"",IFERROR(IF(CURRENCY.FORMAT_2=0,CONCATENATE(TEXT(FIXED(ROUND(IF(EXC.RATE.SWITCH=1,C654/EXC.RATE_2,C654*EXC.RATE_2),CURRENCY.FORMAT_2),CURRENCY.FORMAT_2,1),"# ##0;-# ##0"),",-"),FIXED(ROUND(IF(EXC.RATE.SWITCH=1,C654/EXC.RATE_2,C654*EXC.RATE_2),CURRENCY.FORMAT_2),CURRENCY.FORMAT_2,0)),'DICTIONARY-5'!$A$2))</f>
        <v/>
      </c>
      <c r="L654" s="670" t="str">
        <f>IFERROR(IF(CURRENCY.FORMAT_1=0,CONCATENATE(TEXT(FIXED(ROUND((C654*(1-I654)*(1-ADD.DISCOUNT)*(1+MAT.SURCHARGE)/EXC.RATE_1),CURRENCY.FORMAT_1),CURRENCY.FORMAT_1,1),"# ##0;-# ##0"),",-"),FIXED(ROUND((C654*(1-I654)*(1-ADD.DISCOUNT)*(1+MAT.SURCHARGE)/EXC.RATE_1),CURRENCY.FORMAT_1),CURRENCY.FORMAT_1,0)),'DICTIONARY-5'!$A$2)</f>
        <v>12 796,-</v>
      </c>
      <c r="M654" s="670" t="str">
        <f>IF(EXC.RATE_2=0,"",IFERROR(IF(CURRENCY.FORMAT_2=0,CONCATENATE(TEXT(FIXED(ROUND(IF(EXC.RATE.SWITCH=1,C654*(1-I654)*(1-ADD.DISCOUNT)*(1+MAT.SURCHARGE)/EXC.RATE_2,C654*(1-I654)*(1-ADD.DISCOUNT)*(1+MAT.SURCHARGE)*EXC.RATE_2),CURRENCY.FORMAT_2),CURRENCY.FORMAT_2,1),"# ##0;-# ##0"),",-"),FIXED(ROUND(IF(EXC.RATE.SWITCH=1,C654*(1-I654)*(1-ADD.DISCOUNT)*(1+MAT.SURCHARGE)/EXC.RATE_2,C654*(1-I654)*(1-ADD.DISCOUNT)*(1+MAT.SURCHARGE)*EXC.RATE_2),CURRENCY.FORMAT_2),CURRENCY.FORMAT_2,0)),'DICTIONARY-5'!$A$2))</f>
        <v/>
      </c>
      <c r="N654" s="544">
        <v>2</v>
      </c>
      <c r="O654" s="544"/>
      <c r="P654" s="731" t="str">
        <f>'DICTIONARY-3'!$A$11</f>
        <v>ZETA</v>
      </c>
      <c r="Q654" s="732" t="str">
        <f>'DICTIONARY-3'!$A$189</f>
        <v>Zasuwa nożowa</v>
      </c>
      <c r="R654" s="732" t="str">
        <f>CONCATENATE('DICTIONARY-3'!$A$11," ",'DICTIONARY-6'!$A$6," ",'DICTIONARY-5'!$A$35," ",'DICTIONARY-2'!$A$2,"600"," ",'DICTIONARY-2'!$A$3,"10"," ",'DICTIONARY-2'!$A$10,"6",'DICTIONARY-2'!$A$20,", ","FESTO"," ",'DICTIONARY-6'!$A$51,"1")</f>
        <v>ZETA Zasuwa noż. A4 DN600 PN10 PS6bar, FESTO St.1</v>
      </c>
      <c r="S654" s="733" t="str">
        <f>'DICTIONARY-4'!$A$5</f>
        <v>NP</v>
      </c>
      <c r="T654" s="732" t="str">
        <f>'DICTIONARY-4'!$A$21</f>
        <v>Napęd pneumatyczny</v>
      </c>
      <c r="U654" s="734" t="s">
        <v>5757</v>
      </c>
      <c r="V654" s="735">
        <v>10</v>
      </c>
      <c r="W654" s="736"/>
      <c r="X654" s="737"/>
      <c r="Y654" s="738"/>
      <c r="Z654" s="739"/>
      <c r="AA654" s="739"/>
      <c r="AB654" s="740">
        <v>6</v>
      </c>
      <c r="AC654" s="741" t="str">
        <f>'DICTIONARY-5'!$A$11&amp;" 20"</f>
        <v>EN 558 szereg 20</v>
      </c>
      <c r="AD654" s="741" t="str">
        <f>'DICTIONARY-5'!$A$14</f>
        <v>ścieki</v>
      </c>
      <c r="AE654" s="742">
        <v>50</v>
      </c>
      <c r="AF654" s="743">
        <v>430</v>
      </c>
      <c r="AG654" s="741" t="str">
        <f>'DICTIONARY-5'!$A$23</f>
        <v>powłoka epoksydowa</v>
      </c>
    </row>
    <row r="655" spans="1:33" x14ac:dyDescent="0.25">
      <c r="A655" s="842" t="s">
        <v>626</v>
      </c>
      <c r="B655" s="842" t="s">
        <v>3256</v>
      </c>
      <c r="C655" s="836">
        <v>1759</v>
      </c>
      <c r="D655" s="836"/>
      <c r="E655" s="836"/>
      <c r="F655" s="836"/>
      <c r="G655" s="496" t="s">
        <v>7798</v>
      </c>
      <c r="H655" s="797" t="str">
        <f>VLOOKUP(G655,SETTINGS!$B$7:$D$97,2,0)</f>
        <v>ZETA (with Pneumatic Actuator)</v>
      </c>
      <c r="I655" s="796">
        <f>VLOOKUP(G655,SETTINGS!$B$7:$D$97,3,0)</f>
        <v>0</v>
      </c>
      <c r="J655" s="670" t="str">
        <f>IFERROR(IF(CURRENCY.FORMAT_1=0,CONCATENATE(TEXT(FIXED(ROUND((C655/EXC.RATE_1),CURRENCY.FORMAT_1),CURRENCY.FORMAT_1,1),"# ##0;-# ##0"),",-"),FIXED(ROUND((C655/EXC.RATE_1),CURRENCY.FORMAT_1),CURRENCY.FORMAT_1,0)),'DICTIONARY-5'!$A$2)</f>
        <v>1 759,-</v>
      </c>
      <c r="K655" s="670" t="str">
        <f>IF(EXC.RATE_2=0,"",IFERROR(IF(CURRENCY.FORMAT_2=0,CONCATENATE(TEXT(FIXED(ROUND(IF(EXC.RATE.SWITCH=1,C655/EXC.RATE_2,C655*EXC.RATE_2),CURRENCY.FORMAT_2),CURRENCY.FORMAT_2,1),"# ##0;-# ##0"),",-"),FIXED(ROUND(IF(EXC.RATE.SWITCH=1,C655/EXC.RATE_2,C655*EXC.RATE_2),CURRENCY.FORMAT_2),CURRENCY.FORMAT_2,0)),'DICTIONARY-5'!$A$2))</f>
        <v/>
      </c>
      <c r="L655" s="670" t="str">
        <f>IFERROR(IF(CURRENCY.FORMAT_1=0,CONCATENATE(TEXT(FIXED(ROUND((C655*(1-I655)*(1-ADD.DISCOUNT)*(1+MAT.SURCHARGE)/EXC.RATE_1),CURRENCY.FORMAT_1),CURRENCY.FORMAT_1,1),"# ##0;-# ##0"),",-"),FIXED(ROUND((C655*(1-I655)*(1-ADD.DISCOUNT)*(1+MAT.SURCHARGE)/EXC.RATE_1),CURRENCY.FORMAT_1),CURRENCY.FORMAT_1,0)),'DICTIONARY-5'!$A$2)</f>
        <v>1 828,-</v>
      </c>
      <c r="M655" s="670" t="str">
        <f>IF(EXC.RATE_2=0,"",IFERROR(IF(CURRENCY.FORMAT_2=0,CONCATENATE(TEXT(FIXED(ROUND(IF(EXC.RATE.SWITCH=1,C655*(1-I655)*(1-ADD.DISCOUNT)*(1+MAT.SURCHARGE)/EXC.RATE_2,C655*(1-I655)*(1-ADD.DISCOUNT)*(1+MAT.SURCHARGE)*EXC.RATE_2),CURRENCY.FORMAT_2),CURRENCY.FORMAT_2,1),"# ##0;-# ##0"),",-"),FIXED(ROUND(IF(EXC.RATE.SWITCH=1,C655*(1-I655)*(1-ADD.DISCOUNT)*(1+MAT.SURCHARGE)/EXC.RATE_2,C655*(1-I655)*(1-ADD.DISCOUNT)*(1+MAT.SURCHARGE)*EXC.RATE_2),CURRENCY.FORMAT_2),CURRENCY.FORMAT_2,0)),'DICTIONARY-5'!$A$2))</f>
        <v/>
      </c>
      <c r="N655" s="544">
        <v>2</v>
      </c>
      <c r="O655" s="544"/>
      <c r="P655" s="731" t="str">
        <f>'DICTIONARY-3'!$A$11</f>
        <v>ZETA</v>
      </c>
      <c r="Q655" s="732" t="str">
        <f>'DICTIONARY-3'!$A$189</f>
        <v>Zasuwa nożowa</v>
      </c>
      <c r="R655" s="732" t="str">
        <f>CONCATENATE('DICTIONARY-3'!$A$11," ",'DICTIONARY-6'!$A$6," ",'DICTIONARY-5'!$A$35," ",'DICTIONARY-2'!$A$2,"200"," ",'DICTIONARY-2'!$A$3,"10"," ",'DICTIONARY-2'!$A$10,"10",'DICTIONARY-2'!$A$20,", ","FESTO"," ",'DICTIONARY-6'!$A$51,"2")</f>
        <v>ZETA Zasuwa noż. A4 DN200 PN10 PS10bar, FESTO St.2</v>
      </c>
      <c r="S655" s="733" t="str">
        <f>'DICTIONARY-4'!$A$5</f>
        <v>NP</v>
      </c>
      <c r="T655" s="732" t="str">
        <f>'DICTIONARY-4'!$A$21</f>
        <v>Napęd pneumatyczny</v>
      </c>
      <c r="U655" s="734" t="s">
        <v>5750</v>
      </c>
      <c r="V655" s="735">
        <v>10</v>
      </c>
      <c r="W655" s="736"/>
      <c r="X655" s="737"/>
      <c r="Y655" s="738"/>
      <c r="Z655" s="739"/>
      <c r="AA655" s="739"/>
      <c r="AB655" s="740">
        <v>10</v>
      </c>
      <c r="AC655" s="741" t="str">
        <f>'DICTIONARY-5'!$A$11&amp;" 20"</f>
        <v>EN 558 szereg 20</v>
      </c>
      <c r="AD655" s="741" t="str">
        <f>'DICTIONARY-5'!$A$14</f>
        <v>ścieki</v>
      </c>
      <c r="AE655" s="742">
        <v>50</v>
      </c>
      <c r="AF655" s="743">
        <v>42</v>
      </c>
      <c r="AG655" s="741" t="str">
        <f>'DICTIONARY-5'!$A$23</f>
        <v>powłoka epoksydowa</v>
      </c>
    </row>
    <row r="656" spans="1:33" x14ac:dyDescent="0.25">
      <c r="A656" s="842" t="s">
        <v>629</v>
      </c>
      <c r="B656" s="842" t="s">
        <v>3260</v>
      </c>
      <c r="C656" s="836">
        <v>2208</v>
      </c>
      <c r="D656" s="836"/>
      <c r="E656" s="836"/>
      <c r="F656" s="836"/>
      <c r="G656" s="496" t="s">
        <v>7798</v>
      </c>
      <c r="H656" s="797" t="str">
        <f>VLOOKUP(G656,SETTINGS!$B$7:$D$97,2,0)</f>
        <v>ZETA (with Pneumatic Actuator)</v>
      </c>
      <c r="I656" s="796">
        <f>VLOOKUP(G656,SETTINGS!$B$7:$D$97,3,0)</f>
        <v>0</v>
      </c>
      <c r="J656" s="670" t="str">
        <f>IFERROR(IF(CURRENCY.FORMAT_1=0,CONCATENATE(TEXT(FIXED(ROUND((C656/EXC.RATE_1),CURRENCY.FORMAT_1),CURRENCY.FORMAT_1,1),"# ##0;-# ##0"),",-"),FIXED(ROUND((C656/EXC.RATE_1),CURRENCY.FORMAT_1),CURRENCY.FORMAT_1,0)),'DICTIONARY-5'!$A$2)</f>
        <v>2 208,-</v>
      </c>
      <c r="K656" s="670" t="str">
        <f>IF(EXC.RATE_2=0,"",IFERROR(IF(CURRENCY.FORMAT_2=0,CONCATENATE(TEXT(FIXED(ROUND(IF(EXC.RATE.SWITCH=1,C656/EXC.RATE_2,C656*EXC.RATE_2),CURRENCY.FORMAT_2),CURRENCY.FORMAT_2,1),"# ##0;-# ##0"),",-"),FIXED(ROUND(IF(EXC.RATE.SWITCH=1,C656/EXC.RATE_2,C656*EXC.RATE_2),CURRENCY.FORMAT_2),CURRENCY.FORMAT_2,0)),'DICTIONARY-5'!$A$2))</f>
        <v/>
      </c>
      <c r="L656" s="670" t="str">
        <f>IFERROR(IF(CURRENCY.FORMAT_1=0,CONCATENATE(TEXT(FIXED(ROUND((C656*(1-I656)*(1-ADD.DISCOUNT)*(1+MAT.SURCHARGE)/EXC.RATE_1),CURRENCY.FORMAT_1),CURRENCY.FORMAT_1,1),"# ##0;-# ##0"),",-"),FIXED(ROUND((C656*(1-I656)*(1-ADD.DISCOUNT)*(1+MAT.SURCHARGE)/EXC.RATE_1),CURRENCY.FORMAT_1),CURRENCY.FORMAT_1,0)),'DICTIONARY-5'!$A$2)</f>
        <v>2 294,-</v>
      </c>
      <c r="M656" s="670" t="str">
        <f>IF(EXC.RATE_2=0,"",IFERROR(IF(CURRENCY.FORMAT_2=0,CONCATENATE(TEXT(FIXED(ROUND(IF(EXC.RATE.SWITCH=1,C656*(1-I656)*(1-ADD.DISCOUNT)*(1+MAT.SURCHARGE)/EXC.RATE_2,C656*(1-I656)*(1-ADD.DISCOUNT)*(1+MAT.SURCHARGE)*EXC.RATE_2),CURRENCY.FORMAT_2),CURRENCY.FORMAT_2,1),"# ##0;-# ##0"),",-"),FIXED(ROUND(IF(EXC.RATE.SWITCH=1,C656*(1-I656)*(1-ADD.DISCOUNT)*(1+MAT.SURCHARGE)/EXC.RATE_2,C656*(1-I656)*(1-ADD.DISCOUNT)*(1+MAT.SURCHARGE)*EXC.RATE_2),CURRENCY.FORMAT_2),CURRENCY.FORMAT_2,0)),'DICTIONARY-5'!$A$2))</f>
        <v/>
      </c>
      <c r="N656" s="544">
        <v>2</v>
      </c>
      <c r="O656" s="544"/>
      <c r="P656" s="731" t="str">
        <f>'DICTIONARY-3'!$A$11</f>
        <v>ZETA</v>
      </c>
      <c r="Q656" s="732" t="str">
        <f>'DICTIONARY-3'!$A$189</f>
        <v>Zasuwa nożowa</v>
      </c>
      <c r="R656" s="732" t="str">
        <f>CONCATENATE('DICTIONARY-3'!$A$11," ",'DICTIONARY-6'!$A$6," ",'DICTIONARY-5'!$A$35," ",'DICTIONARY-2'!$A$2,"250"," ",'DICTIONARY-2'!$A$3,"10"," ",'DICTIONARY-2'!$A$10,"10",'DICTIONARY-2'!$A$20,", ","FESTO"," ",'DICTIONARY-6'!$A$51,"2")</f>
        <v>ZETA Zasuwa noż. A4 DN250 PN10 PS10bar, FESTO St.2</v>
      </c>
      <c r="S656" s="733" t="str">
        <f>'DICTIONARY-4'!$A$5</f>
        <v>NP</v>
      </c>
      <c r="T656" s="732" t="str">
        <f>'DICTIONARY-4'!$A$21</f>
        <v>Napęd pneumatyczny</v>
      </c>
      <c r="U656" s="734" t="s">
        <v>5751</v>
      </c>
      <c r="V656" s="735">
        <v>10</v>
      </c>
      <c r="W656" s="736"/>
      <c r="X656" s="737"/>
      <c r="Y656" s="738"/>
      <c r="Z656" s="739"/>
      <c r="AA656" s="739"/>
      <c r="AB656" s="740">
        <v>10</v>
      </c>
      <c r="AC656" s="741" t="str">
        <f>'DICTIONARY-5'!$A$11&amp;" 20"</f>
        <v>EN 558 szereg 20</v>
      </c>
      <c r="AD656" s="741" t="str">
        <f>'DICTIONARY-5'!$A$14</f>
        <v>ścieki</v>
      </c>
      <c r="AE656" s="742">
        <v>50</v>
      </c>
      <c r="AF656" s="743">
        <v>68</v>
      </c>
      <c r="AG656" s="741" t="str">
        <f>'DICTIONARY-5'!$A$23</f>
        <v>powłoka epoksydowa</v>
      </c>
    </row>
    <row r="657" spans="1:33" x14ac:dyDescent="0.25">
      <c r="A657" s="842" t="s">
        <v>632</v>
      </c>
      <c r="B657" s="842" t="s">
        <v>3264</v>
      </c>
      <c r="C657" s="836">
        <v>3297</v>
      </c>
      <c r="D657" s="836"/>
      <c r="E657" s="836"/>
      <c r="F657" s="836"/>
      <c r="G657" s="496" t="s">
        <v>7798</v>
      </c>
      <c r="H657" s="797" t="str">
        <f>VLOOKUP(G657,SETTINGS!$B$7:$D$97,2,0)</f>
        <v>ZETA (with Pneumatic Actuator)</v>
      </c>
      <c r="I657" s="796">
        <f>VLOOKUP(G657,SETTINGS!$B$7:$D$97,3,0)</f>
        <v>0</v>
      </c>
      <c r="J657" s="670" t="str">
        <f>IFERROR(IF(CURRENCY.FORMAT_1=0,CONCATENATE(TEXT(FIXED(ROUND((C657/EXC.RATE_1),CURRENCY.FORMAT_1),CURRENCY.FORMAT_1,1),"# ##0;-# ##0"),",-"),FIXED(ROUND((C657/EXC.RATE_1),CURRENCY.FORMAT_1),CURRENCY.FORMAT_1,0)),'DICTIONARY-5'!$A$2)</f>
        <v>3 297,-</v>
      </c>
      <c r="K657" s="670" t="str">
        <f>IF(EXC.RATE_2=0,"",IFERROR(IF(CURRENCY.FORMAT_2=0,CONCATENATE(TEXT(FIXED(ROUND(IF(EXC.RATE.SWITCH=1,C657/EXC.RATE_2,C657*EXC.RATE_2),CURRENCY.FORMAT_2),CURRENCY.FORMAT_2,1),"# ##0;-# ##0"),",-"),FIXED(ROUND(IF(EXC.RATE.SWITCH=1,C657/EXC.RATE_2,C657*EXC.RATE_2),CURRENCY.FORMAT_2),CURRENCY.FORMAT_2,0)),'DICTIONARY-5'!$A$2))</f>
        <v/>
      </c>
      <c r="L657" s="670" t="str">
        <f>IFERROR(IF(CURRENCY.FORMAT_1=0,CONCATENATE(TEXT(FIXED(ROUND((C657*(1-I657)*(1-ADD.DISCOUNT)*(1+MAT.SURCHARGE)/EXC.RATE_1),CURRENCY.FORMAT_1),CURRENCY.FORMAT_1,1),"# ##0;-# ##0"),",-"),FIXED(ROUND((C657*(1-I657)*(1-ADD.DISCOUNT)*(1+MAT.SURCHARGE)/EXC.RATE_1),CURRENCY.FORMAT_1),CURRENCY.FORMAT_1,0)),'DICTIONARY-5'!$A$2)</f>
        <v>3 426,-</v>
      </c>
      <c r="M657" s="670" t="str">
        <f>IF(EXC.RATE_2=0,"",IFERROR(IF(CURRENCY.FORMAT_2=0,CONCATENATE(TEXT(FIXED(ROUND(IF(EXC.RATE.SWITCH=1,C657*(1-I657)*(1-ADD.DISCOUNT)*(1+MAT.SURCHARGE)/EXC.RATE_2,C657*(1-I657)*(1-ADD.DISCOUNT)*(1+MAT.SURCHARGE)*EXC.RATE_2),CURRENCY.FORMAT_2),CURRENCY.FORMAT_2,1),"# ##0;-# ##0"),",-"),FIXED(ROUND(IF(EXC.RATE.SWITCH=1,C657*(1-I657)*(1-ADD.DISCOUNT)*(1+MAT.SURCHARGE)/EXC.RATE_2,C657*(1-I657)*(1-ADD.DISCOUNT)*(1+MAT.SURCHARGE)*EXC.RATE_2),CURRENCY.FORMAT_2),CURRENCY.FORMAT_2,0)),'DICTIONARY-5'!$A$2))</f>
        <v/>
      </c>
      <c r="N657" s="544">
        <v>2</v>
      </c>
      <c r="O657" s="544"/>
      <c r="P657" s="731" t="str">
        <f>'DICTIONARY-3'!$A$11</f>
        <v>ZETA</v>
      </c>
      <c r="Q657" s="732" t="str">
        <f>'DICTIONARY-3'!$A$189</f>
        <v>Zasuwa nożowa</v>
      </c>
      <c r="R657" s="732" t="str">
        <f>CONCATENATE('DICTIONARY-3'!$A$11," ",'DICTIONARY-6'!$A$6," ",'DICTIONARY-5'!$A$35," ",'DICTIONARY-2'!$A$2,"300"," ",'DICTIONARY-2'!$A$3,"10"," ",'DICTIONARY-2'!$A$10,"10",'DICTIONARY-2'!$A$20,", ","FESTO"," ",'DICTIONARY-6'!$A$51,"2")</f>
        <v>ZETA Zasuwa noż. A4 DN300 PN10 PS10bar, FESTO St.2</v>
      </c>
      <c r="S657" s="733" t="str">
        <f>'DICTIONARY-4'!$A$5</f>
        <v>NP</v>
      </c>
      <c r="T657" s="732" t="str">
        <f>'DICTIONARY-4'!$A$21</f>
        <v>Napęd pneumatyczny</v>
      </c>
      <c r="U657" s="734" t="s">
        <v>5752</v>
      </c>
      <c r="V657" s="735">
        <v>10</v>
      </c>
      <c r="W657" s="736"/>
      <c r="X657" s="737"/>
      <c r="Y657" s="738"/>
      <c r="Z657" s="739"/>
      <c r="AA657" s="739"/>
      <c r="AB657" s="740">
        <v>10</v>
      </c>
      <c r="AC657" s="741" t="str">
        <f>'DICTIONARY-5'!$A$11&amp;" 20"</f>
        <v>EN 558 szereg 20</v>
      </c>
      <c r="AD657" s="741" t="str">
        <f>'DICTIONARY-5'!$A$14</f>
        <v>ścieki</v>
      </c>
      <c r="AE657" s="742">
        <v>50</v>
      </c>
      <c r="AF657" s="743">
        <v>102</v>
      </c>
      <c r="AG657" s="741" t="str">
        <f>'DICTIONARY-5'!$A$23</f>
        <v>powłoka epoksydowa</v>
      </c>
    </row>
    <row r="658" spans="1:33" x14ac:dyDescent="0.25">
      <c r="A658" s="842" t="s">
        <v>635</v>
      </c>
      <c r="B658" s="842" t="s">
        <v>3268</v>
      </c>
      <c r="C658" s="836">
        <v>3794</v>
      </c>
      <c r="D658" s="836"/>
      <c r="E658" s="836"/>
      <c r="F658" s="836"/>
      <c r="G658" s="496" t="s">
        <v>7798</v>
      </c>
      <c r="H658" s="797" t="str">
        <f>VLOOKUP(G658,SETTINGS!$B$7:$D$97,2,0)</f>
        <v>ZETA (with Pneumatic Actuator)</v>
      </c>
      <c r="I658" s="796">
        <f>VLOOKUP(G658,SETTINGS!$B$7:$D$97,3,0)</f>
        <v>0</v>
      </c>
      <c r="J658" s="670" t="str">
        <f>IFERROR(IF(CURRENCY.FORMAT_1=0,CONCATENATE(TEXT(FIXED(ROUND((C658/EXC.RATE_1),CURRENCY.FORMAT_1),CURRENCY.FORMAT_1,1),"# ##0;-# ##0"),",-"),FIXED(ROUND((C658/EXC.RATE_1),CURRENCY.FORMAT_1),CURRENCY.FORMAT_1,0)),'DICTIONARY-5'!$A$2)</f>
        <v>3 794,-</v>
      </c>
      <c r="K658" s="670" t="str">
        <f>IF(EXC.RATE_2=0,"",IFERROR(IF(CURRENCY.FORMAT_2=0,CONCATENATE(TEXT(FIXED(ROUND(IF(EXC.RATE.SWITCH=1,C658/EXC.RATE_2,C658*EXC.RATE_2),CURRENCY.FORMAT_2),CURRENCY.FORMAT_2,1),"# ##0;-# ##0"),",-"),FIXED(ROUND(IF(EXC.RATE.SWITCH=1,C658/EXC.RATE_2,C658*EXC.RATE_2),CURRENCY.FORMAT_2),CURRENCY.FORMAT_2,0)),'DICTIONARY-5'!$A$2))</f>
        <v/>
      </c>
      <c r="L658" s="670" t="str">
        <f>IFERROR(IF(CURRENCY.FORMAT_1=0,CONCATENATE(TEXT(FIXED(ROUND((C658*(1-I658)*(1-ADD.DISCOUNT)*(1+MAT.SURCHARGE)/EXC.RATE_1),CURRENCY.FORMAT_1),CURRENCY.FORMAT_1,1),"# ##0;-# ##0"),",-"),FIXED(ROUND((C658*(1-I658)*(1-ADD.DISCOUNT)*(1+MAT.SURCHARGE)/EXC.RATE_1),CURRENCY.FORMAT_1),CURRENCY.FORMAT_1,0)),'DICTIONARY-5'!$A$2)</f>
        <v>3 942,-</v>
      </c>
      <c r="M658" s="670" t="str">
        <f>IF(EXC.RATE_2=0,"",IFERROR(IF(CURRENCY.FORMAT_2=0,CONCATENATE(TEXT(FIXED(ROUND(IF(EXC.RATE.SWITCH=1,C658*(1-I658)*(1-ADD.DISCOUNT)*(1+MAT.SURCHARGE)/EXC.RATE_2,C658*(1-I658)*(1-ADD.DISCOUNT)*(1+MAT.SURCHARGE)*EXC.RATE_2),CURRENCY.FORMAT_2),CURRENCY.FORMAT_2,1),"# ##0;-# ##0"),",-"),FIXED(ROUND(IF(EXC.RATE.SWITCH=1,C658*(1-I658)*(1-ADD.DISCOUNT)*(1+MAT.SURCHARGE)/EXC.RATE_2,C658*(1-I658)*(1-ADD.DISCOUNT)*(1+MAT.SURCHARGE)*EXC.RATE_2),CURRENCY.FORMAT_2),CURRENCY.FORMAT_2,0)),'DICTIONARY-5'!$A$2))</f>
        <v/>
      </c>
      <c r="N658" s="544">
        <v>2</v>
      </c>
      <c r="O658" s="544"/>
      <c r="P658" s="731" t="str">
        <f>'DICTIONARY-3'!$A$11</f>
        <v>ZETA</v>
      </c>
      <c r="Q658" s="732" t="str">
        <f>'DICTIONARY-3'!$A$189</f>
        <v>Zasuwa nożowa</v>
      </c>
      <c r="R658" s="732" t="str">
        <f>CONCATENATE('DICTIONARY-3'!$A$11," ",'DICTIONARY-6'!$A$6," ",'DICTIONARY-5'!$A$35," ",'DICTIONARY-2'!$A$2,"350"," ",'DICTIONARY-2'!$A$3,"10"," ",'DICTIONARY-2'!$A$10,"8",'DICTIONARY-2'!$A$20,", ","FESTO"," ",'DICTIONARY-6'!$A$51,"2")</f>
        <v>ZETA Zasuwa noż. A4 DN350 PN10 PS8bar, FESTO St.2</v>
      </c>
      <c r="S658" s="733" t="str">
        <f>'DICTIONARY-4'!$A$5</f>
        <v>NP</v>
      </c>
      <c r="T658" s="732" t="str">
        <f>'DICTIONARY-4'!$A$21</f>
        <v>Napęd pneumatyczny</v>
      </c>
      <c r="U658" s="734" t="s">
        <v>5753</v>
      </c>
      <c r="V658" s="735">
        <v>10</v>
      </c>
      <c r="W658" s="736"/>
      <c r="X658" s="737"/>
      <c r="Y658" s="738"/>
      <c r="Z658" s="739"/>
      <c r="AA658" s="739"/>
      <c r="AB658" s="740">
        <v>8</v>
      </c>
      <c r="AC658" s="741" t="str">
        <f>'DICTIONARY-5'!$A$11&amp;" 20"</f>
        <v>EN 558 szereg 20</v>
      </c>
      <c r="AD658" s="741" t="str">
        <f>'DICTIONARY-5'!$A$14</f>
        <v>ścieki</v>
      </c>
      <c r="AE658" s="742">
        <v>50</v>
      </c>
      <c r="AF658" s="743">
        <v>136.19999999999999</v>
      </c>
      <c r="AG658" s="741" t="str">
        <f>'DICTIONARY-5'!$A$23</f>
        <v>powłoka epoksydowa</v>
      </c>
    </row>
    <row r="659" spans="1:33" x14ac:dyDescent="0.25">
      <c r="A659" s="842" t="s">
        <v>638</v>
      </c>
      <c r="B659" s="842" t="s">
        <v>3272</v>
      </c>
      <c r="C659" s="836">
        <v>4480</v>
      </c>
      <c r="D659" s="836"/>
      <c r="E659" s="836"/>
      <c r="F659" s="836"/>
      <c r="G659" s="496" t="s">
        <v>7798</v>
      </c>
      <c r="H659" s="797" t="str">
        <f>VLOOKUP(G659,SETTINGS!$B$7:$D$97,2,0)</f>
        <v>ZETA (with Pneumatic Actuator)</v>
      </c>
      <c r="I659" s="796">
        <f>VLOOKUP(G659,SETTINGS!$B$7:$D$97,3,0)</f>
        <v>0</v>
      </c>
      <c r="J659" s="670" t="str">
        <f>IFERROR(IF(CURRENCY.FORMAT_1=0,CONCATENATE(TEXT(FIXED(ROUND((C659/EXC.RATE_1),CURRENCY.FORMAT_1),CURRENCY.FORMAT_1,1),"# ##0;-# ##0"),",-"),FIXED(ROUND((C659/EXC.RATE_1),CURRENCY.FORMAT_1),CURRENCY.FORMAT_1,0)),'DICTIONARY-5'!$A$2)</f>
        <v>4 480,-</v>
      </c>
      <c r="K659" s="670" t="str">
        <f>IF(EXC.RATE_2=0,"",IFERROR(IF(CURRENCY.FORMAT_2=0,CONCATENATE(TEXT(FIXED(ROUND(IF(EXC.RATE.SWITCH=1,C659/EXC.RATE_2,C659*EXC.RATE_2),CURRENCY.FORMAT_2),CURRENCY.FORMAT_2,1),"# ##0;-# ##0"),",-"),FIXED(ROUND(IF(EXC.RATE.SWITCH=1,C659/EXC.RATE_2,C659*EXC.RATE_2),CURRENCY.FORMAT_2),CURRENCY.FORMAT_2,0)),'DICTIONARY-5'!$A$2))</f>
        <v/>
      </c>
      <c r="L659" s="670" t="str">
        <f>IFERROR(IF(CURRENCY.FORMAT_1=0,CONCATENATE(TEXT(FIXED(ROUND((C659*(1-I659)*(1-ADD.DISCOUNT)*(1+MAT.SURCHARGE)/EXC.RATE_1),CURRENCY.FORMAT_1),CURRENCY.FORMAT_1,1),"# ##0;-# ##0"),",-"),FIXED(ROUND((C659*(1-I659)*(1-ADD.DISCOUNT)*(1+MAT.SURCHARGE)/EXC.RATE_1),CURRENCY.FORMAT_1),CURRENCY.FORMAT_1,0)),'DICTIONARY-5'!$A$2)</f>
        <v>4 655,-</v>
      </c>
      <c r="M659" s="670" t="str">
        <f>IF(EXC.RATE_2=0,"",IFERROR(IF(CURRENCY.FORMAT_2=0,CONCATENATE(TEXT(FIXED(ROUND(IF(EXC.RATE.SWITCH=1,C659*(1-I659)*(1-ADD.DISCOUNT)*(1+MAT.SURCHARGE)/EXC.RATE_2,C659*(1-I659)*(1-ADD.DISCOUNT)*(1+MAT.SURCHARGE)*EXC.RATE_2),CURRENCY.FORMAT_2),CURRENCY.FORMAT_2,1),"# ##0;-# ##0"),",-"),FIXED(ROUND(IF(EXC.RATE.SWITCH=1,C659*(1-I659)*(1-ADD.DISCOUNT)*(1+MAT.SURCHARGE)/EXC.RATE_2,C659*(1-I659)*(1-ADD.DISCOUNT)*(1+MAT.SURCHARGE)*EXC.RATE_2),CURRENCY.FORMAT_2),CURRENCY.FORMAT_2,0)),'DICTIONARY-5'!$A$2))</f>
        <v/>
      </c>
      <c r="N659" s="544">
        <v>2</v>
      </c>
      <c r="O659" s="544"/>
      <c r="P659" s="731" t="str">
        <f>'DICTIONARY-3'!$A$11</f>
        <v>ZETA</v>
      </c>
      <c r="Q659" s="732" t="str">
        <f>'DICTIONARY-3'!$A$189</f>
        <v>Zasuwa nożowa</v>
      </c>
      <c r="R659" s="732" t="str">
        <f>CONCATENATE('DICTIONARY-3'!$A$11," ",'DICTIONARY-6'!$A$6," ",'DICTIONARY-5'!$A$35," ",'DICTIONARY-2'!$A$2,"400"," ",'DICTIONARY-2'!$A$3,"10"," ",'DICTIONARY-2'!$A$10,"8",'DICTIONARY-2'!$A$20,", ","FESTO"," ",'DICTIONARY-6'!$A$51,"2")</f>
        <v>ZETA Zasuwa noż. A4 DN400 PN10 PS8bar, FESTO St.2</v>
      </c>
      <c r="S659" s="733" t="str">
        <f>'DICTIONARY-4'!$A$5</f>
        <v>NP</v>
      </c>
      <c r="T659" s="732" t="str">
        <f>'DICTIONARY-4'!$A$21</f>
        <v>Napęd pneumatyczny</v>
      </c>
      <c r="U659" s="734" t="s">
        <v>5754</v>
      </c>
      <c r="V659" s="735">
        <v>10</v>
      </c>
      <c r="W659" s="736"/>
      <c r="X659" s="737"/>
      <c r="Y659" s="738"/>
      <c r="Z659" s="739"/>
      <c r="AA659" s="739"/>
      <c r="AB659" s="740">
        <v>8</v>
      </c>
      <c r="AC659" s="741" t="str">
        <f>'DICTIONARY-5'!$A$11&amp;" 20"</f>
        <v>EN 558 szereg 20</v>
      </c>
      <c r="AD659" s="741" t="str">
        <f>'DICTIONARY-5'!$A$14</f>
        <v>ścieki</v>
      </c>
      <c r="AE659" s="742">
        <v>50</v>
      </c>
      <c r="AF659" s="743">
        <v>179.5</v>
      </c>
      <c r="AG659" s="741" t="str">
        <f>'DICTIONARY-5'!$A$23</f>
        <v>powłoka epoksydowa</v>
      </c>
    </row>
    <row r="660" spans="1:33" x14ac:dyDescent="0.25">
      <c r="A660" s="842" t="s">
        <v>641</v>
      </c>
      <c r="B660" s="842" t="s">
        <v>3276</v>
      </c>
      <c r="C660" s="836">
        <v>7915</v>
      </c>
      <c r="D660" s="836"/>
      <c r="E660" s="836"/>
      <c r="F660" s="836"/>
      <c r="G660" s="496" t="s">
        <v>7798</v>
      </c>
      <c r="H660" s="797" t="str">
        <f>VLOOKUP(G660,SETTINGS!$B$7:$D$97,2,0)</f>
        <v>ZETA (with Pneumatic Actuator)</v>
      </c>
      <c r="I660" s="796">
        <f>VLOOKUP(G660,SETTINGS!$B$7:$D$97,3,0)</f>
        <v>0</v>
      </c>
      <c r="J660" s="670" t="str">
        <f>IFERROR(IF(CURRENCY.FORMAT_1=0,CONCATENATE(TEXT(FIXED(ROUND((C660/EXC.RATE_1),CURRENCY.FORMAT_1),CURRENCY.FORMAT_1,1),"# ##0;-# ##0"),",-"),FIXED(ROUND((C660/EXC.RATE_1),CURRENCY.FORMAT_1),CURRENCY.FORMAT_1,0)),'DICTIONARY-5'!$A$2)</f>
        <v>7 915,-</v>
      </c>
      <c r="K660" s="670" t="str">
        <f>IF(EXC.RATE_2=0,"",IFERROR(IF(CURRENCY.FORMAT_2=0,CONCATENATE(TEXT(FIXED(ROUND(IF(EXC.RATE.SWITCH=1,C660/EXC.RATE_2,C660*EXC.RATE_2),CURRENCY.FORMAT_2),CURRENCY.FORMAT_2,1),"# ##0;-# ##0"),",-"),FIXED(ROUND(IF(EXC.RATE.SWITCH=1,C660/EXC.RATE_2,C660*EXC.RATE_2),CURRENCY.FORMAT_2),CURRENCY.FORMAT_2,0)),'DICTIONARY-5'!$A$2))</f>
        <v/>
      </c>
      <c r="L660" s="670" t="str">
        <f>IFERROR(IF(CURRENCY.FORMAT_1=0,CONCATENATE(TEXT(FIXED(ROUND((C660*(1-I660)*(1-ADD.DISCOUNT)*(1+MAT.SURCHARGE)/EXC.RATE_1),CURRENCY.FORMAT_1),CURRENCY.FORMAT_1,1),"# ##0;-# ##0"),",-"),FIXED(ROUND((C660*(1-I660)*(1-ADD.DISCOUNT)*(1+MAT.SURCHARGE)/EXC.RATE_1),CURRENCY.FORMAT_1),CURRENCY.FORMAT_1,0)),'DICTIONARY-5'!$A$2)</f>
        <v>8 224,-</v>
      </c>
      <c r="M660" s="670" t="str">
        <f>IF(EXC.RATE_2=0,"",IFERROR(IF(CURRENCY.FORMAT_2=0,CONCATENATE(TEXT(FIXED(ROUND(IF(EXC.RATE.SWITCH=1,C660*(1-I660)*(1-ADD.DISCOUNT)*(1+MAT.SURCHARGE)/EXC.RATE_2,C660*(1-I660)*(1-ADD.DISCOUNT)*(1+MAT.SURCHARGE)*EXC.RATE_2),CURRENCY.FORMAT_2),CURRENCY.FORMAT_2,1),"# ##0;-# ##0"),",-"),FIXED(ROUND(IF(EXC.RATE.SWITCH=1,C660*(1-I660)*(1-ADD.DISCOUNT)*(1+MAT.SURCHARGE)/EXC.RATE_2,C660*(1-I660)*(1-ADD.DISCOUNT)*(1+MAT.SURCHARGE)*EXC.RATE_2),CURRENCY.FORMAT_2),CURRENCY.FORMAT_2,0)),'DICTIONARY-5'!$A$2))</f>
        <v/>
      </c>
      <c r="N660" s="544">
        <v>2</v>
      </c>
      <c r="O660" s="544"/>
      <c r="P660" s="731" t="str">
        <f>'DICTIONARY-3'!$A$11</f>
        <v>ZETA</v>
      </c>
      <c r="Q660" s="732" t="str">
        <f>'DICTIONARY-3'!$A$189</f>
        <v>Zasuwa nożowa</v>
      </c>
      <c r="R660" s="732" t="str">
        <f>CONCATENATE('DICTIONARY-3'!$A$11," ",'DICTIONARY-6'!$A$6," ",'DICTIONARY-5'!$A$35," ",'DICTIONARY-2'!$A$2,"500"," ",'DICTIONARY-2'!$A$3,"10"," ",'DICTIONARY-2'!$A$10,"6",'DICTIONARY-2'!$A$20,", ","FESTO"," ",'DICTIONARY-6'!$A$51,"2")</f>
        <v>ZETA Zasuwa noż. A4 DN500 PN10 PS6bar, FESTO St.2</v>
      </c>
      <c r="S660" s="733" t="str">
        <f>'DICTIONARY-4'!$A$5</f>
        <v>NP</v>
      </c>
      <c r="T660" s="732" t="str">
        <f>'DICTIONARY-4'!$A$21</f>
        <v>Napęd pneumatyczny</v>
      </c>
      <c r="U660" s="734" t="s">
        <v>5756</v>
      </c>
      <c r="V660" s="735">
        <v>10</v>
      </c>
      <c r="W660" s="736"/>
      <c r="X660" s="737"/>
      <c r="Y660" s="738"/>
      <c r="Z660" s="739"/>
      <c r="AA660" s="739"/>
      <c r="AB660" s="740">
        <v>6</v>
      </c>
      <c r="AC660" s="741" t="str">
        <f>'DICTIONARY-5'!$A$11&amp;" 20"</f>
        <v>EN 558 szereg 20</v>
      </c>
      <c r="AD660" s="741" t="str">
        <f>'DICTIONARY-5'!$A$14</f>
        <v>ścieki</v>
      </c>
      <c r="AE660" s="742">
        <v>50</v>
      </c>
      <c r="AF660" s="743">
        <v>317.2</v>
      </c>
      <c r="AG660" s="741" t="str">
        <f>'DICTIONARY-5'!$A$23</f>
        <v>powłoka epoksydowa</v>
      </c>
    </row>
    <row r="661" spans="1:33" x14ac:dyDescent="0.25">
      <c r="A661" s="842" t="s">
        <v>644</v>
      </c>
      <c r="B661" s="842" t="s">
        <v>3280</v>
      </c>
      <c r="C661" s="836">
        <v>12512</v>
      </c>
      <c r="D661" s="836"/>
      <c r="E661" s="836"/>
      <c r="F661" s="836"/>
      <c r="G661" s="496" t="s">
        <v>7798</v>
      </c>
      <c r="H661" s="797" t="str">
        <f>VLOOKUP(G661,SETTINGS!$B$7:$D$97,2,0)</f>
        <v>ZETA (with Pneumatic Actuator)</v>
      </c>
      <c r="I661" s="796">
        <f>VLOOKUP(G661,SETTINGS!$B$7:$D$97,3,0)</f>
        <v>0</v>
      </c>
      <c r="J661" s="670" t="str">
        <f>IFERROR(IF(CURRENCY.FORMAT_1=0,CONCATENATE(TEXT(FIXED(ROUND((C661/EXC.RATE_1),CURRENCY.FORMAT_1),CURRENCY.FORMAT_1,1),"# ##0;-# ##0"),",-"),FIXED(ROUND((C661/EXC.RATE_1),CURRENCY.FORMAT_1),CURRENCY.FORMAT_1,0)),'DICTIONARY-5'!$A$2)</f>
        <v>12 512,-</v>
      </c>
      <c r="K661" s="670" t="str">
        <f>IF(EXC.RATE_2=0,"",IFERROR(IF(CURRENCY.FORMAT_2=0,CONCATENATE(TEXT(FIXED(ROUND(IF(EXC.RATE.SWITCH=1,C661/EXC.RATE_2,C661*EXC.RATE_2),CURRENCY.FORMAT_2),CURRENCY.FORMAT_2,1),"# ##0;-# ##0"),",-"),FIXED(ROUND(IF(EXC.RATE.SWITCH=1,C661/EXC.RATE_2,C661*EXC.RATE_2),CURRENCY.FORMAT_2),CURRENCY.FORMAT_2,0)),'DICTIONARY-5'!$A$2))</f>
        <v/>
      </c>
      <c r="L661" s="670" t="str">
        <f>IFERROR(IF(CURRENCY.FORMAT_1=0,CONCATENATE(TEXT(FIXED(ROUND((C661*(1-I661)*(1-ADD.DISCOUNT)*(1+MAT.SURCHARGE)/EXC.RATE_1),CURRENCY.FORMAT_1),CURRENCY.FORMAT_1,1),"# ##0;-# ##0"),",-"),FIXED(ROUND((C661*(1-I661)*(1-ADD.DISCOUNT)*(1+MAT.SURCHARGE)/EXC.RATE_1),CURRENCY.FORMAT_1),CURRENCY.FORMAT_1,0)),'DICTIONARY-5'!$A$2)</f>
        <v>13 000,-</v>
      </c>
      <c r="M661" s="670" t="str">
        <f>IF(EXC.RATE_2=0,"",IFERROR(IF(CURRENCY.FORMAT_2=0,CONCATENATE(TEXT(FIXED(ROUND(IF(EXC.RATE.SWITCH=1,C661*(1-I661)*(1-ADD.DISCOUNT)*(1+MAT.SURCHARGE)/EXC.RATE_2,C661*(1-I661)*(1-ADD.DISCOUNT)*(1+MAT.SURCHARGE)*EXC.RATE_2),CURRENCY.FORMAT_2),CURRENCY.FORMAT_2,1),"# ##0;-# ##0"),",-"),FIXED(ROUND(IF(EXC.RATE.SWITCH=1,C661*(1-I661)*(1-ADD.DISCOUNT)*(1+MAT.SURCHARGE)/EXC.RATE_2,C661*(1-I661)*(1-ADD.DISCOUNT)*(1+MAT.SURCHARGE)*EXC.RATE_2),CURRENCY.FORMAT_2),CURRENCY.FORMAT_2,0)),'DICTIONARY-5'!$A$2))</f>
        <v/>
      </c>
      <c r="N661" s="544">
        <v>2</v>
      </c>
      <c r="O661" s="544"/>
      <c r="P661" s="731" t="str">
        <f>'DICTIONARY-3'!$A$11</f>
        <v>ZETA</v>
      </c>
      <c r="Q661" s="732" t="str">
        <f>'DICTIONARY-3'!$A$189</f>
        <v>Zasuwa nożowa</v>
      </c>
      <c r="R661" s="732" t="str">
        <f>CONCATENATE('DICTIONARY-3'!$A$11," ",'DICTIONARY-6'!$A$6," ",'DICTIONARY-5'!$A$35," ",'DICTIONARY-2'!$A$2,"600"," ",'DICTIONARY-2'!$A$3,"10"," ",'DICTIONARY-2'!$A$10,"6",'DICTIONARY-2'!$A$20,", ","FESTO"," ",'DICTIONARY-6'!$A$51,"2")</f>
        <v>ZETA Zasuwa noż. A4 DN600 PN10 PS6bar, FESTO St.2</v>
      </c>
      <c r="S661" s="733" t="str">
        <f>'DICTIONARY-4'!$A$5</f>
        <v>NP</v>
      </c>
      <c r="T661" s="732" t="str">
        <f>'DICTIONARY-4'!$A$21</f>
        <v>Napęd pneumatyczny</v>
      </c>
      <c r="U661" s="734" t="s">
        <v>5757</v>
      </c>
      <c r="V661" s="735">
        <v>10</v>
      </c>
      <c r="W661" s="736"/>
      <c r="X661" s="737"/>
      <c r="Y661" s="738"/>
      <c r="Z661" s="739"/>
      <c r="AA661" s="739"/>
      <c r="AB661" s="740">
        <v>6</v>
      </c>
      <c r="AC661" s="741" t="str">
        <f>'DICTIONARY-5'!$A$11&amp;" 20"</f>
        <v>EN 558 szereg 20</v>
      </c>
      <c r="AD661" s="741" t="str">
        <f>'DICTIONARY-5'!$A$14</f>
        <v>ścieki</v>
      </c>
      <c r="AE661" s="742">
        <v>50</v>
      </c>
      <c r="AF661" s="743">
        <v>431</v>
      </c>
      <c r="AG661" s="741" t="str">
        <f>'DICTIONARY-5'!$A$23</f>
        <v>powłoka epoksydowa</v>
      </c>
    </row>
    <row r="662" spans="1:33" x14ac:dyDescent="0.25">
      <c r="A662" s="842" t="s">
        <v>627</v>
      </c>
      <c r="B662" s="842" t="s">
        <v>3257</v>
      </c>
      <c r="C662" s="836">
        <v>1874</v>
      </c>
      <c r="D662" s="836"/>
      <c r="E662" s="836"/>
      <c r="F662" s="836"/>
      <c r="G662" s="496" t="s">
        <v>7798</v>
      </c>
      <c r="H662" s="797" t="str">
        <f>VLOOKUP(G662,SETTINGS!$B$7:$D$97,2,0)</f>
        <v>ZETA (with Pneumatic Actuator)</v>
      </c>
      <c r="I662" s="796">
        <f>VLOOKUP(G662,SETTINGS!$B$7:$D$97,3,0)</f>
        <v>0</v>
      </c>
      <c r="J662" s="670" t="str">
        <f>IFERROR(IF(CURRENCY.FORMAT_1=0,CONCATENATE(TEXT(FIXED(ROUND((C662/EXC.RATE_1),CURRENCY.FORMAT_1),CURRENCY.FORMAT_1,1),"# ##0;-# ##0"),",-"),FIXED(ROUND((C662/EXC.RATE_1),CURRENCY.FORMAT_1),CURRENCY.FORMAT_1,0)),'DICTIONARY-5'!$A$2)</f>
        <v>1 874,-</v>
      </c>
      <c r="K662" s="670" t="str">
        <f>IF(EXC.RATE_2=0,"",IFERROR(IF(CURRENCY.FORMAT_2=0,CONCATENATE(TEXT(FIXED(ROUND(IF(EXC.RATE.SWITCH=1,C662/EXC.RATE_2,C662*EXC.RATE_2),CURRENCY.FORMAT_2),CURRENCY.FORMAT_2,1),"# ##0;-# ##0"),",-"),FIXED(ROUND(IF(EXC.RATE.SWITCH=1,C662/EXC.RATE_2,C662*EXC.RATE_2),CURRENCY.FORMAT_2),CURRENCY.FORMAT_2,0)),'DICTIONARY-5'!$A$2))</f>
        <v/>
      </c>
      <c r="L662" s="670" t="str">
        <f>IFERROR(IF(CURRENCY.FORMAT_1=0,CONCATENATE(TEXT(FIXED(ROUND((C662*(1-I662)*(1-ADD.DISCOUNT)*(1+MAT.SURCHARGE)/EXC.RATE_1),CURRENCY.FORMAT_1),CURRENCY.FORMAT_1,1),"# ##0;-# ##0"),",-"),FIXED(ROUND((C662*(1-I662)*(1-ADD.DISCOUNT)*(1+MAT.SURCHARGE)/EXC.RATE_1),CURRENCY.FORMAT_1),CURRENCY.FORMAT_1,0)),'DICTIONARY-5'!$A$2)</f>
        <v>1 947,-</v>
      </c>
      <c r="M662" s="670" t="str">
        <f>IF(EXC.RATE_2=0,"",IFERROR(IF(CURRENCY.FORMAT_2=0,CONCATENATE(TEXT(FIXED(ROUND(IF(EXC.RATE.SWITCH=1,C662*(1-I662)*(1-ADD.DISCOUNT)*(1+MAT.SURCHARGE)/EXC.RATE_2,C662*(1-I662)*(1-ADD.DISCOUNT)*(1+MAT.SURCHARGE)*EXC.RATE_2),CURRENCY.FORMAT_2),CURRENCY.FORMAT_2,1),"# ##0;-# ##0"),",-"),FIXED(ROUND(IF(EXC.RATE.SWITCH=1,C662*(1-I662)*(1-ADD.DISCOUNT)*(1+MAT.SURCHARGE)/EXC.RATE_2,C662*(1-I662)*(1-ADD.DISCOUNT)*(1+MAT.SURCHARGE)*EXC.RATE_2),CURRENCY.FORMAT_2),CURRENCY.FORMAT_2,0)),'DICTIONARY-5'!$A$2))</f>
        <v/>
      </c>
      <c r="N662" s="544">
        <v>2</v>
      </c>
      <c r="O662" s="544"/>
      <c r="P662" s="731" t="str">
        <f>'DICTIONARY-3'!$A$11</f>
        <v>ZETA</v>
      </c>
      <c r="Q662" s="732" t="str">
        <f>'DICTIONARY-3'!$A$189</f>
        <v>Zasuwa nożowa</v>
      </c>
      <c r="R662" s="732" t="str">
        <f>CONCATENATE('DICTIONARY-3'!$A$11," ",'DICTIONARY-6'!$A$6," ",'DICTIONARY-5'!$A$35," ",'DICTIONARY-2'!$A$2,"200"," ",'DICTIONARY-2'!$A$3,"10"," ",'DICTIONARY-2'!$A$10,"10",'DICTIONARY-2'!$A$20,", ","FESTO"," ",'DICTIONARY-6'!$A$51,"3")</f>
        <v>ZETA Zasuwa noż. A4 DN200 PN10 PS10bar, FESTO St.3</v>
      </c>
      <c r="S662" s="733" t="str">
        <f>'DICTIONARY-4'!$A$5</f>
        <v>NP</v>
      </c>
      <c r="T662" s="732" t="str">
        <f>'DICTIONARY-4'!$A$21</f>
        <v>Napęd pneumatyczny</v>
      </c>
      <c r="U662" s="734" t="s">
        <v>5750</v>
      </c>
      <c r="V662" s="735">
        <v>10</v>
      </c>
      <c r="W662" s="736"/>
      <c r="X662" s="737"/>
      <c r="Y662" s="738"/>
      <c r="Z662" s="739"/>
      <c r="AA662" s="739"/>
      <c r="AB662" s="740">
        <v>10</v>
      </c>
      <c r="AC662" s="741" t="str">
        <f>'DICTIONARY-5'!$A$11&amp;" 20"</f>
        <v>EN 558 szereg 20</v>
      </c>
      <c r="AD662" s="741" t="str">
        <f>'DICTIONARY-5'!$A$14</f>
        <v>ścieki</v>
      </c>
      <c r="AE662" s="742">
        <v>50</v>
      </c>
      <c r="AF662" s="743">
        <v>44</v>
      </c>
      <c r="AG662" s="741" t="str">
        <f>'DICTIONARY-5'!$A$23</f>
        <v>powłoka epoksydowa</v>
      </c>
    </row>
    <row r="663" spans="1:33" x14ac:dyDescent="0.25">
      <c r="A663" s="842" t="s">
        <v>630</v>
      </c>
      <c r="B663" s="842" t="s">
        <v>3261</v>
      </c>
      <c r="C663" s="836">
        <v>2321</v>
      </c>
      <c r="D663" s="836"/>
      <c r="E663" s="836"/>
      <c r="F663" s="836"/>
      <c r="G663" s="496" t="s">
        <v>7798</v>
      </c>
      <c r="H663" s="797" t="str">
        <f>VLOOKUP(G663,SETTINGS!$B$7:$D$97,2,0)</f>
        <v>ZETA (with Pneumatic Actuator)</v>
      </c>
      <c r="I663" s="796">
        <f>VLOOKUP(G663,SETTINGS!$B$7:$D$97,3,0)</f>
        <v>0</v>
      </c>
      <c r="J663" s="670" t="str">
        <f>IFERROR(IF(CURRENCY.FORMAT_1=0,CONCATENATE(TEXT(FIXED(ROUND((C663/EXC.RATE_1),CURRENCY.FORMAT_1),CURRENCY.FORMAT_1,1),"# ##0;-# ##0"),",-"),FIXED(ROUND((C663/EXC.RATE_1),CURRENCY.FORMAT_1),CURRENCY.FORMAT_1,0)),'DICTIONARY-5'!$A$2)</f>
        <v>2 321,-</v>
      </c>
      <c r="K663" s="670" t="str">
        <f>IF(EXC.RATE_2=0,"",IFERROR(IF(CURRENCY.FORMAT_2=0,CONCATENATE(TEXT(FIXED(ROUND(IF(EXC.RATE.SWITCH=1,C663/EXC.RATE_2,C663*EXC.RATE_2),CURRENCY.FORMAT_2),CURRENCY.FORMAT_2,1),"# ##0;-# ##0"),",-"),FIXED(ROUND(IF(EXC.RATE.SWITCH=1,C663/EXC.RATE_2,C663*EXC.RATE_2),CURRENCY.FORMAT_2),CURRENCY.FORMAT_2,0)),'DICTIONARY-5'!$A$2))</f>
        <v/>
      </c>
      <c r="L663" s="670" t="str">
        <f>IFERROR(IF(CURRENCY.FORMAT_1=0,CONCATENATE(TEXT(FIXED(ROUND((C663*(1-I663)*(1-ADD.DISCOUNT)*(1+MAT.SURCHARGE)/EXC.RATE_1),CURRENCY.FORMAT_1),CURRENCY.FORMAT_1,1),"# ##0;-# ##0"),",-"),FIXED(ROUND((C663*(1-I663)*(1-ADD.DISCOUNT)*(1+MAT.SURCHARGE)/EXC.RATE_1),CURRENCY.FORMAT_1),CURRENCY.FORMAT_1,0)),'DICTIONARY-5'!$A$2)</f>
        <v>2 412,-</v>
      </c>
      <c r="M663" s="670" t="str">
        <f>IF(EXC.RATE_2=0,"",IFERROR(IF(CURRENCY.FORMAT_2=0,CONCATENATE(TEXT(FIXED(ROUND(IF(EXC.RATE.SWITCH=1,C663*(1-I663)*(1-ADD.DISCOUNT)*(1+MAT.SURCHARGE)/EXC.RATE_2,C663*(1-I663)*(1-ADD.DISCOUNT)*(1+MAT.SURCHARGE)*EXC.RATE_2),CURRENCY.FORMAT_2),CURRENCY.FORMAT_2,1),"# ##0;-# ##0"),",-"),FIXED(ROUND(IF(EXC.RATE.SWITCH=1,C663*(1-I663)*(1-ADD.DISCOUNT)*(1+MAT.SURCHARGE)/EXC.RATE_2,C663*(1-I663)*(1-ADD.DISCOUNT)*(1+MAT.SURCHARGE)*EXC.RATE_2),CURRENCY.FORMAT_2),CURRENCY.FORMAT_2,0)),'DICTIONARY-5'!$A$2))</f>
        <v/>
      </c>
      <c r="N663" s="544">
        <v>2</v>
      </c>
      <c r="O663" s="544"/>
      <c r="P663" s="731" t="str">
        <f>'DICTIONARY-3'!$A$11</f>
        <v>ZETA</v>
      </c>
      <c r="Q663" s="732" t="str">
        <f>'DICTIONARY-3'!$A$189</f>
        <v>Zasuwa nożowa</v>
      </c>
      <c r="R663" s="732" t="str">
        <f>CONCATENATE('DICTIONARY-3'!$A$11," ",'DICTIONARY-6'!$A$6," ",'DICTIONARY-5'!$A$35," ",'DICTIONARY-2'!$A$2,"250"," ",'DICTIONARY-2'!$A$3,"10"," ",'DICTIONARY-2'!$A$10,"10",'DICTIONARY-2'!$A$20,", ","FESTO"," ",'DICTIONARY-6'!$A$51,"3")</f>
        <v>ZETA Zasuwa noż. A4 DN250 PN10 PS10bar, FESTO St.3</v>
      </c>
      <c r="S663" s="733" t="str">
        <f>'DICTIONARY-4'!$A$5</f>
        <v>NP</v>
      </c>
      <c r="T663" s="732" t="str">
        <f>'DICTIONARY-4'!$A$21</f>
        <v>Napęd pneumatyczny</v>
      </c>
      <c r="U663" s="734" t="s">
        <v>5751</v>
      </c>
      <c r="V663" s="735">
        <v>10</v>
      </c>
      <c r="W663" s="736"/>
      <c r="X663" s="737"/>
      <c r="Y663" s="738"/>
      <c r="Z663" s="739"/>
      <c r="AA663" s="739"/>
      <c r="AB663" s="740">
        <v>10</v>
      </c>
      <c r="AC663" s="741" t="str">
        <f>'DICTIONARY-5'!$A$11&amp;" 20"</f>
        <v>EN 558 szereg 20</v>
      </c>
      <c r="AD663" s="741" t="str">
        <f>'DICTIONARY-5'!$A$14</f>
        <v>ścieki</v>
      </c>
      <c r="AE663" s="742">
        <v>50</v>
      </c>
      <c r="AF663" s="743">
        <v>71</v>
      </c>
      <c r="AG663" s="741" t="str">
        <f>'DICTIONARY-5'!$A$23</f>
        <v>powłoka epoksydowa</v>
      </c>
    </row>
    <row r="664" spans="1:33" x14ac:dyDescent="0.25">
      <c r="A664" s="842" t="s">
        <v>633</v>
      </c>
      <c r="B664" s="842" t="s">
        <v>3265</v>
      </c>
      <c r="C664" s="836">
        <v>3412</v>
      </c>
      <c r="D664" s="836"/>
      <c r="E664" s="836"/>
      <c r="F664" s="836"/>
      <c r="G664" s="496" t="s">
        <v>7798</v>
      </c>
      <c r="H664" s="797" t="str">
        <f>VLOOKUP(G664,SETTINGS!$B$7:$D$97,2,0)</f>
        <v>ZETA (with Pneumatic Actuator)</v>
      </c>
      <c r="I664" s="796">
        <f>VLOOKUP(G664,SETTINGS!$B$7:$D$97,3,0)</f>
        <v>0</v>
      </c>
      <c r="J664" s="670" t="str">
        <f>IFERROR(IF(CURRENCY.FORMAT_1=0,CONCATENATE(TEXT(FIXED(ROUND((C664/EXC.RATE_1),CURRENCY.FORMAT_1),CURRENCY.FORMAT_1,1),"# ##0;-# ##0"),",-"),FIXED(ROUND((C664/EXC.RATE_1),CURRENCY.FORMAT_1),CURRENCY.FORMAT_1,0)),'DICTIONARY-5'!$A$2)</f>
        <v>3 412,-</v>
      </c>
      <c r="K664" s="670" t="str">
        <f>IF(EXC.RATE_2=0,"",IFERROR(IF(CURRENCY.FORMAT_2=0,CONCATENATE(TEXT(FIXED(ROUND(IF(EXC.RATE.SWITCH=1,C664/EXC.RATE_2,C664*EXC.RATE_2),CURRENCY.FORMAT_2),CURRENCY.FORMAT_2,1),"# ##0;-# ##0"),",-"),FIXED(ROUND(IF(EXC.RATE.SWITCH=1,C664/EXC.RATE_2,C664*EXC.RATE_2),CURRENCY.FORMAT_2),CURRENCY.FORMAT_2,0)),'DICTIONARY-5'!$A$2))</f>
        <v/>
      </c>
      <c r="L664" s="670" t="str">
        <f>IFERROR(IF(CURRENCY.FORMAT_1=0,CONCATENATE(TEXT(FIXED(ROUND((C664*(1-I664)*(1-ADD.DISCOUNT)*(1+MAT.SURCHARGE)/EXC.RATE_1),CURRENCY.FORMAT_1),CURRENCY.FORMAT_1,1),"# ##0;-# ##0"),",-"),FIXED(ROUND((C664*(1-I664)*(1-ADD.DISCOUNT)*(1+MAT.SURCHARGE)/EXC.RATE_1),CURRENCY.FORMAT_1),CURRENCY.FORMAT_1,0)),'DICTIONARY-5'!$A$2)</f>
        <v>3 545,-</v>
      </c>
      <c r="M664" s="670" t="str">
        <f>IF(EXC.RATE_2=0,"",IFERROR(IF(CURRENCY.FORMAT_2=0,CONCATENATE(TEXT(FIXED(ROUND(IF(EXC.RATE.SWITCH=1,C664*(1-I664)*(1-ADD.DISCOUNT)*(1+MAT.SURCHARGE)/EXC.RATE_2,C664*(1-I664)*(1-ADD.DISCOUNT)*(1+MAT.SURCHARGE)*EXC.RATE_2),CURRENCY.FORMAT_2),CURRENCY.FORMAT_2,1),"# ##0;-# ##0"),",-"),FIXED(ROUND(IF(EXC.RATE.SWITCH=1,C664*(1-I664)*(1-ADD.DISCOUNT)*(1+MAT.SURCHARGE)/EXC.RATE_2,C664*(1-I664)*(1-ADD.DISCOUNT)*(1+MAT.SURCHARGE)*EXC.RATE_2),CURRENCY.FORMAT_2),CURRENCY.FORMAT_2,0)),'DICTIONARY-5'!$A$2))</f>
        <v/>
      </c>
      <c r="N664" s="544">
        <v>2</v>
      </c>
      <c r="O664" s="544"/>
      <c r="P664" s="731" t="str">
        <f>'DICTIONARY-3'!$A$11</f>
        <v>ZETA</v>
      </c>
      <c r="Q664" s="732" t="str">
        <f>'DICTIONARY-3'!$A$189</f>
        <v>Zasuwa nożowa</v>
      </c>
      <c r="R664" s="732" t="str">
        <f>CONCATENATE('DICTIONARY-3'!$A$11," ",'DICTIONARY-6'!$A$6," ",'DICTIONARY-5'!$A$35," ",'DICTIONARY-2'!$A$2,"300"," ",'DICTIONARY-2'!$A$3,"10"," ",'DICTIONARY-2'!$A$10,"10",'DICTIONARY-2'!$A$20,", ","FESTO"," ",'DICTIONARY-6'!$A$51,"3")</f>
        <v>ZETA Zasuwa noż. A4 DN300 PN10 PS10bar, FESTO St.3</v>
      </c>
      <c r="S664" s="733" t="str">
        <f>'DICTIONARY-4'!$A$5</f>
        <v>NP</v>
      </c>
      <c r="T664" s="732" t="str">
        <f>'DICTIONARY-4'!$A$21</f>
        <v>Napęd pneumatyczny</v>
      </c>
      <c r="U664" s="734" t="s">
        <v>5752</v>
      </c>
      <c r="V664" s="735">
        <v>10</v>
      </c>
      <c r="W664" s="736"/>
      <c r="X664" s="737"/>
      <c r="Y664" s="738"/>
      <c r="Z664" s="739"/>
      <c r="AA664" s="739"/>
      <c r="AB664" s="740">
        <v>10</v>
      </c>
      <c r="AC664" s="741" t="str">
        <f>'DICTIONARY-5'!$A$11&amp;" 20"</f>
        <v>EN 558 szereg 20</v>
      </c>
      <c r="AD664" s="741" t="str">
        <f>'DICTIONARY-5'!$A$14</f>
        <v>ścieki</v>
      </c>
      <c r="AE664" s="742">
        <v>50</v>
      </c>
      <c r="AF664" s="743">
        <v>105</v>
      </c>
      <c r="AG664" s="741" t="str">
        <f>'DICTIONARY-5'!$A$23</f>
        <v>powłoka epoksydowa</v>
      </c>
    </row>
    <row r="665" spans="1:33" x14ac:dyDescent="0.25">
      <c r="A665" s="842" t="s">
        <v>636</v>
      </c>
      <c r="B665" s="842" t="s">
        <v>3269</v>
      </c>
      <c r="C665" s="836">
        <v>3909</v>
      </c>
      <c r="D665" s="836"/>
      <c r="E665" s="836"/>
      <c r="F665" s="836"/>
      <c r="G665" s="496" t="s">
        <v>7798</v>
      </c>
      <c r="H665" s="797" t="str">
        <f>VLOOKUP(G665,SETTINGS!$B$7:$D$97,2,0)</f>
        <v>ZETA (with Pneumatic Actuator)</v>
      </c>
      <c r="I665" s="796">
        <f>VLOOKUP(G665,SETTINGS!$B$7:$D$97,3,0)</f>
        <v>0</v>
      </c>
      <c r="J665" s="670" t="str">
        <f>IFERROR(IF(CURRENCY.FORMAT_1=0,CONCATENATE(TEXT(FIXED(ROUND((C665/EXC.RATE_1),CURRENCY.FORMAT_1),CURRENCY.FORMAT_1,1),"# ##0;-# ##0"),",-"),FIXED(ROUND((C665/EXC.RATE_1),CURRENCY.FORMAT_1),CURRENCY.FORMAT_1,0)),'DICTIONARY-5'!$A$2)</f>
        <v>3 909,-</v>
      </c>
      <c r="K665" s="670" t="str">
        <f>IF(EXC.RATE_2=0,"",IFERROR(IF(CURRENCY.FORMAT_2=0,CONCATENATE(TEXT(FIXED(ROUND(IF(EXC.RATE.SWITCH=1,C665/EXC.RATE_2,C665*EXC.RATE_2),CURRENCY.FORMAT_2),CURRENCY.FORMAT_2,1),"# ##0;-# ##0"),",-"),FIXED(ROUND(IF(EXC.RATE.SWITCH=1,C665/EXC.RATE_2,C665*EXC.RATE_2),CURRENCY.FORMAT_2),CURRENCY.FORMAT_2,0)),'DICTIONARY-5'!$A$2))</f>
        <v/>
      </c>
      <c r="L665" s="670" t="str">
        <f>IFERROR(IF(CURRENCY.FORMAT_1=0,CONCATENATE(TEXT(FIXED(ROUND((C665*(1-I665)*(1-ADD.DISCOUNT)*(1+MAT.SURCHARGE)/EXC.RATE_1),CURRENCY.FORMAT_1),CURRENCY.FORMAT_1,1),"# ##0;-# ##0"),",-"),FIXED(ROUND((C665*(1-I665)*(1-ADD.DISCOUNT)*(1+MAT.SURCHARGE)/EXC.RATE_1),CURRENCY.FORMAT_1),CURRENCY.FORMAT_1,0)),'DICTIONARY-5'!$A$2)</f>
        <v>4 061,-</v>
      </c>
      <c r="M665" s="670" t="str">
        <f>IF(EXC.RATE_2=0,"",IFERROR(IF(CURRENCY.FORMAT_2=0,CONCATENATE(TEXT(FIXED(ROUND(IF(EXC.RATE.SWITCH=1,C665*(1-I665)*(1-ADD.DISCOUNT)*(1+MAT.SURCHARGE)/EXC.RATE_2,C665*(1-I665)*(1-ADD.DISCOUNT)*(1+MAT.SURCHARGE)*EXC.RATE_2),CURRENCY.FORMAT_2),CURRENCY.FORMAT_2,1),"# ##0;-# ##0"),",-"),FIXED(ROUND(IF(EXC.RATE.SWITCH=1,C665*(1-I665)*(1-ADD.DISCOUNT)*(1+MAT.SURCHARGE)/EXC.RATE_2,C665*(1-I665)*(1-ADD.DISCOUNT)*(1+MAT.SURCHARGE)*EXC.RATE_2),CURRENCY.FORMAT_2),CURRENCY.FORMAT_2,0)),'DICTIONARY-5'!$A$2))</f>
        <v/>
      </c>
      <c r="N665" s="544">
        <v>2</v>
      </c>
      <c r="O665" s="544"/>
      <c r="P665" s="731" t="str">
        <f>'DICTIONARY-3'!$A$11</f>
        <v>ZETA</v>
      </c>
      <c r="Q665" s="732" t="str">
        <f>'DICTIONARY-3'!$A$189</f>
        <v>Zasuwa nożowa</v>
      </c>
      <c r="R665" s="732" t="str">
        <f>CONCATENATE('DICTIONARY-3'!$A$11," ",'DICTIONARY-6'!$A$6," ",'DICTIONARY-5'!$A$35," ",'DICTIONARY-2'!$A$2,"350"," ",'DICTIONARY-2'!$A$3,"10"," ",'DICTIONARY-2'!$A$10,"8",'DICTIONARY-2'!$A$20,", ","FESTO"," ",'DICTIONARY-6'!$A$51,"3")</f>
        <v>ZETA Zasuwa noż. A4 DN350 PN10 PS8bar, FESTO St.3</v>
      </c>
      <c r="S665" s="733" t="str">
        <f>'DICTIONARY-4'!$A$5</f>
        <v>NP</v>
      </c>
      <c r="T665" s="732" t="str">
        <f>'DICTIONARY-4'!$A$21</f>
        <v>Napęd pneumatyczny</v>
      </c>
      <c r="U665" s="734" t="s">
        <v>5753</v>
      </c>
      <c r="V665" s="735">
        <v>10</v>
      </c>
      <c r="W665" s="736"/>
      <c r="X665" s="737"/>
      <c r="Y665" s="738"/>
      <c r="Z665" s="739"/>
      <c r="AA665" s="739"/>
      <c r="AB665" s="740">
        <v>8</v>
      </c>
      <c r="AC665" s="741" t="str">
        <f>'DICTIONARY-5'!$A$11&amp;" 20"</f>
        <v>EN 558 szereg 20</v>
      </c>
      <c r="AD665" s="741" t="str">
        <f>'DICTIONARY-5'!$A$14</f>
        <v>ścieki</v>
      </c>
      <c r="AE665" s="742">
        <v>50</v>
      </c>
      <c r="AF665" s="743">
        <v>137</v>
      </c>
      <c r="AG665" s="741" t="str">
        <f>'DICTIONARY-5'!$A$23</f>
        <v>powłoka epoksydowa</v>
      </c>
    </row>
    <row r="666" spans="1:33" x14ac:dyDescent="0.25">
      <c r="A666" s="842" t="s">
        <v>639</v>
      </c>
      <c r="B666" s="842" t="s">
        <v>3273</v>
      </c>
      <c r="C666" s="836">
        <v>4597</v>
      </c>
      <c r="D666" s="836"/>
      <c r="E666" s="836"/>
      <c r="F666" s="836"/>
      <c r="G666" s="496" t="s">
        <v>7798</v>
      </c>
      <c r="H666" s="797" t="str">
        <f>VLOOKUP(G666,SETTINGS!$B$7:$D$97,2,0)</f>
        <v>ZETA (with Pneumatic Actuator)</v>
      </c>
      <c r="I666" s="796">
        <f>VLOOKUP(G666,SETTINGS!$B$7:$D$97,3,0)</f>
        <v>0</v>
      </c>
      <c r="J666" s="670" t="str">
        <f>IFERROR(IF(CURRENCY.FORMAT_1=0,CONCATENATE(TEXT(FIXED(ROUND((C666/EXC.RATE_1),CURRENCY.FORMAT_1),CURRENCY.FORMAT_1,1),"# ##0;-# ##0"),",-"),FIXED(ROUND((C666/EXC.RATE_1),CURRENCY.FORMAT_1),CURRENCY.FORMAT_1,0)),'DICTIONARY-5'!$A$2)</f>
        <v>4 597,-</v>
      </c>
      <c r="K666" s="670" t="str">
        <f>IF(EXC.RATE_2=0,"",IFERROR(IF(CURRENCY.FORMAT_2=0,CONCATENATE(TEXT(FIXED(ROUND(IF(EXC.RATE.SWITCH=1,C666/EXC.RATE_2,C666*EXC.RATE_2),CURRENCY.FORMAT_2),CURRENCY.FORMAT_2,1),"# ##0;-# ##0"),",-"),FIXED(ROUND(IF(EXC.RATE.SWITCH=1,C666/EXC.RATE_2,C666*EXC.RATE_2),CURRENCY.FORMAT_2),CURRENCY.FORMAT_2,0)),'DICTIONARY-5'!$A$2))</f>
        <v/>
      </c>
      <c r="L666" s="670" t="str">
        <f>IFERROR(IF(CURRENCY.FORMAT_1=0,CONCATENATE(TEXT(FIXED(ROUND((C666*(1-I666)*(1-ADD.DISCOUNT)*(1+MAT.SURCHARGE)/EXC.RATE_1),CURRENCY.FORMAT_1),CURRENCY.FORMAT_1,1),"# ##0;-# ##0"),",-"),FIXED(ROUND((C666*(1-I666)*(1-ADD.DISCOUNT)*(1+MAT.SURCHARGE)/EXC.RATE_1),CURRENCY.FORMAT_1),CURRENCY.FORMAT_1,0)),'DICTIONARY-5'!$A$2)</f>
        <v>4 776,-</v>
      </c>
      <c r="M666" s="670" t="str">
        <f>IF(EXC.RATE_2=0,"",IFERROR(IF(CURRENCY.FORMAT_2=0,CONCATENATE(TEXT(FIXED(ROUND(IF(EXC.RATE.SWITCH=1,C666*(1-I666)*(1-ADD.DISCOUNT)*(1+MAT.SURCHARGE)/EXC.RATE_2,C666*(1-I666)*(1-ADD.DISCOUNT)*(1+MAT.SURCHARGE)*EXC.RATE_2),CURRENCY.FORMAT_2),CURRENCY.FORMAT_2,1),"# ##0;-# ##0"),",-"),FIXED(ROUND(IF(EXC.RATE.SWITCH=1,C666*(1-I666)*(1-ADD.DISCOUNT)*(1+MAT.SURCHARGE)/EXC.RATE_2,C666*(1-I666)*(1-ADD.DISCOUNT)*(1+MAT.SURCHARGE)*EXC.RATE_2),CURRENCY.FORMAT_2),CURRENCY.FORMAT_2,0)),'DICTIONARY-5'!$A$2))</f>
        <v/>
      </c>
      <c r="N666" s="544">
        <v>2</v>
      </c>
      <c r="O666" s="544"/>
      <c r="P666" s="731" t="str">
        <f>'DICTIONARY-3'!$A$11</f>
        <v>ZETA</v>
      </c>
      <c r="Q666" s="732" t="str">
        <f>'DICTIONARY-3'!$A$189</f>
        <v>Zasuwa nożowa</v>
      </c>
      <c r="R666" s="732" t="str">
        <f>CONCATENATE('DICTIONARY-3'!$A$11," ",'DICTIONARY-6'!$A$6," ",'DICTIONARY-5'!$A$35," ",'DICTIONARY-2'!$A$2,"400"," ",'DICTIONARY-2'!$A$3,"10"," ",'DICTIONARY-2'!$A$10,"8",'DICTIONARY-2'!$A$20,", ","FESTO"," ",'DICTIONARY-6'!$A$51,"3")</f>
        <v>ZETA Zasuwa noż. A4 DN400 PN10 PS8bar, FESTO St.3</v>
      </c>
      <c r="S666" s="733" t="str">
        <f>'DICTIONARY-4'!$A$5</f>
        <v>NP</v>
      </c>
      <c r="T666" s="732" t="str">
        <f>'DICTIONARY-4'!$A$21</f>
        <v>Napęd pneumatyczny</v>
      </c>
      <c r="U666" s="734" t="s">
        <v>5754</v>
      </c>
      <c r="V666" s="735">
        <v>10</v>
      </c>
      <c r="W666" s="736"/>
      <c r="X666" s="737"/>
      <c r="Y666" s="738"/>
      <c r="Z666" s="739"/>
      <c r="AA666" s="739"/>
      <c r="AB666" s="740">
        <v>8</v>
      </c>
      <c r="AC666" s="741" t="str">
        <f>'DICTIONARY-5'!$A$11&amp;" 20"</f>
        <v>EN 558 szereg 20</v>
      </c>
      <c r="AD666" s="741" t="str">
        <f>'DICTIONARY-5'!$A$14</f>
        <v>ścieki</v>
      </c>
      <c r="AE666" s="742">
        <v>50</v>
      </c>
      <c r="AF666" s="743">
        <v>180</v>
      </c>
      <c r="AG666" s="741" t="str">
        <f>'DICTIONARY-5'!$A$23</f>
        <v>powłoka epoksydowa</v>
      </c>
    </row>
    <row r="667" spans="1:33" x14ac:dyDescent="0.25">
      <c r="A667" s="842" t="s">
        <v>642</v>
      </c>
      <c r="B667" s="842" t="s">
        <v>3277</v>
      </c>
      <c r="C667" s="836">
        <v>8030</v>
      </c>
      <c r="D667" s="836"/>
      <c r="E667" s="836"/>
      <c r="F667" s="836"/>
      <c r="G667" s="496" t="s">
        <v>7798</v>
      </c>
      <c r="H667" s="797" t="str">
        <f>VLOOKUP(G667,SETTINGS!$B$7:$D$97,2,0)</f>
        <v>ZETA (with Pneumatic Actuator)</v>
      </c>
      <c r="I667" s="796">
        <f>VLOOKUP(G667,SETTINGS!$B$7:$D$97,3,0)</f>
        <v>0</v>
      </c>
      <c r="J667" s="670" t="str">
        <f>IFERROR(IF(CURRENCY.FORMAT_1=0,CONCATENATE(TEXT(FIXED(ROUND((C667/EXC.RATE_1),CURRENCY.FORMAT_1),CURRENCY.FORMAT_1,1),"# ##0;-# ##0"),",-"),FIXED(ROUND((C667/EXC.RATE_1),CURRENCY.FORMAT_1),CURRENCY.FORMAT_1,0)),'DICTIONARY-5'!$A$2)</f>
        <v>8 030,-</v>
      </c>
      <c r="K667" s="670" t="str">
        <f>IF(EXC.RATE_2=0,"",IFERROR(IF(CURRENCY.FORMAT_2=0,CONCATENATE(TEXT(FIXED(ROUND(IF(EXC.RATE.SWITCH=1,C667/EXC.RATE_2,C667*EXC.RATE_2),CURRENCY.FORMAT_2),CURRENCY.FORMAT_2,1),"# ##0;-# ##0"),",-"),FIXED(ROUND(IF(EXC.RATE.SWITCH=1,C667/EXC.RATE_2,C667*EXC.RATE_2),CURRENCY.FORMAT_2),CURRENCY.FORMAT_2,0)),'DICTIONARY-5'!$A$2))</f>
        <v/>
      </c>
      <c r="L667" s="670" t="str">
        <f>IFERROR(IF(CURRENCY.FORMAT_1=0,CONCATENATE(TEXT(FIXED(ROUND((C667*(1-I667)*(1-ADD.DISCOUNT)*(1+MAT.SURCHARGE)/EXC.RATE_1),CURRENCY.FORMAT_1),CURRENCY.FORMAT_1,1),"# ##0;-# ##0"),",-"),FIXED(ROUND((C667*(1-I667)*(1-ADD.DISCOUNT)*(1+MAT.SURCHARGE)/EXC.RATE_1),CURRENCY.FORMAT_1),CURRENCY.FORMAT_1,0)),'DICTIONARY-5'!$A$2)</f>
        <v>8 343,-</v>
      </c>
      <c r="M667" s="670" t="str">
        <f>IF(EXC.RATE_2=0,"",IFERROR(IF(CURRENCY.FORMAT_2=0,CONCATENATE(TEXT(FIXED(ROUND(IF(EXC.RATE.SWITCH=1,C667*(1-I667)*(1-ADD.DISCOUNT)*(1+MAT.SURCHARGE)/EXC.RATE_2,C667*(1-I667)*(1-ADD.DISCOUNT)*(1+MAT.SURCHARGE)*EXC.RATE_2),CURRENCY.FORMAT_2),CURRENCY.FORMAT_2,1),"# ##0;-# ##0"),",-"),FIXED(ROUND(IF(EXC.RATE.SWITCH=1,C667*(1-I667)*(1-ADD.DISCOUNT)*(1+MAT.SURCHARGE)/EXC.RATE_2,C667*(1-I667)*(1-ADD.DISCOUNT)*(1+MAT.SURCHARGE)*EXC.RATE_2),CURRENCY.FORMAT_2),CURRENCY.FORMAT_2,0)),'DICTIONARY-5'!$A$2))</f>
        <v/>
      </c>
      <c r="N667" s="544">
        <v>2</v>
      </c>
      <c r="O667" s="544"/>
      <c r="P667" s="731" t="str">
        <f>'DICTIONARY-3'!$A$11</f>
        <v>ZETA</v>
      </c>
      <c r="Q667" s="732" t="str">
        <f>'DICTIONARY-3'!$A$189</f>
        <v>Zasuwa nożowa</v>
      </c>
      <c r="R667" s="732" t="str">
        <f>CONCATENATE('DICTIONARY-3'!$A$11," ",'DICTIONARY-6'!$A$6," ",'DICTIONARY-5'!$A$35," ",'DICTIONARY-2'!$A$2,"500"," ",'DICTIONARY-2'!$A$3,"10"," ",'DICTIONARY-2'!$A$10,"6",'DICTIONARY-2'!$A$20,", ","FESTO"," ",'DICTIONARY-6'!$A$51,"3")</f>
        <v>ZETA Zasuwa noż. A4 DN500 PN10 PS6bar, FESTO St.3</v>
      </c>
      <c r="S667" s="733" t="str">
        <f>'DICTIONARY-4'!$A$5</f>
        <v>NP</v>
      </c>
      <c r="T667" s="732" t="str">
        <f>'DICTIONARY-4'!$A$21</f>
        <v>Napęd pneumatyczny</v>
      </c>
      <c r="U667" s="734" t="s">
        <v>5756</v>
      </c>
      <c r="V667" s="735">
        <v>10</v>
      </c>
      <c r="W667" s="736"/>
      <c r="X667" s="737"/>
      <c r="Y667" s="738"/>
      <c r="Z667" s="739"/>
      <c r="AA667" s="739"/>
      <c r="AB667" s="740">
        <v>6</v>
      </c>
      <c r="AC667" s="741" t="str">
        <f>'DICTIONARY-5'!$A$11&amp;" 20"</f>
        <v>EN 558 szereg 20</v>
      </c>
      <c r="AD667" s="741" t="str">
        <f>'DICTIONARY-5'!$A$14</f>
        <v>ścieki</v>
      </c>
      <c r="AE667" s="742">
        <v>50</v>
      </c>
      <c r="AF667" s="743">
        <v>312</v>
      </c>
      <c r="AG667" s="741" t="str">
        <f>'DICTIONARY-5'!$A$23</f>
        <v>powłoka epoksydowa</v>
      </c>
    </row>
    <row r="668" spans="1:33" x14ac:dyDescent="0.25">
      <c r="A668" s="842" t="s">
        <v>645</v>
      </c>
      <c r="B668" s="842" t="s">
        <v>3281</v>
      </c>
      <c r="C668" s="836">
        <v>12627</v>
      </c>
      <c r="D668" s="836"/>
      <c r="E668" s="836"/>
      <c r="F668" s="836"/>
      <c r="G668" s="496" t="s">
        <v>7798</v>
      </c>
      <c r="H668" s="797" t="str">
        <f>VLOOKUP(G668,SETTINGS!$B$7:$D$97,2,0)</f>
        <v>ZETA (with Pneumatic Actuator)</v>
      </c>
      <c r="I668" s="796">
        <f>VLOOKUP(G668,SETTINGS!$B$7:$D$97,3,0)</f>
        <v>0</v>
      </c>
      <c r="J668" s="670" t="str">
        <f>IFERROR(IF(CURRENCY.FORMAT_1=0,CONCATENATE(TEXT(FIXED(ROUND((C668/EXC.RATE_1),CURRENCY.FORMAT_1),CURRENCY.FORMAT_1,1),"# ##0;-# ##0"),",-"),FIXED(ROUND((C668/EXC.RATE_1),CURRENCY.FORMAT_1),CURRENCY.FORMAT_1,0)),'DICTIONARY-5'!$A$2)</f>
        <v>12 627,-</v>
      </c>
      <c r="K668" s="670" t="str">
        <f>IF(EXC.RATE_2=0,"",IFERROR(IF(CURRENCY.FORMAT_2=0,CONCATENATE(TEXT(FIXED(ROUND(IF(EXC.RATE.SWITCH=1,C668/EXC.RATE_2,C668*EXC.RATE_2),CURRENCY.FORMAT_2),CURRENCY.FORMAT_2,1),"# ##0;-# ##0"),",-"),FIXED(ROUND(IF(EXC.RATE.SWITCH=1,C668/EXC.RATE_2,C668*EXC.RATE_2),CURRENCY.FORMAT_2),CURRENCY.FORMAT_2,0)),'DICTIONARY-5'!$A$2))</f>
        <v/>
      </c>
      <c r="L668" s="670" t="str">
        <f>IFERROR(IF(CURRENCY.FORMAT_1=0,CONCATENATE(TEXT(FIXED(ROUND((C668*(1-I668)*(1-ADD.DISCOUNT)*(1+MAT.SURCHARGE)/EXC.RATE_1),CURRENCY.FORMAT_1),CURRENCY.FORMAT_1,1),"# ##0;-# ##0"),",-"),FIXED(ROUND((C668*(1-I668)*(1-ADD.DISCOUNT)*(1+MAT.SURCHARGE)/EXC.RATE_1),CURRENCY.FORMAT_1),CURRENCY.FORMAT_1,0)),'DICTIONARY-5'!$A$2)</f>
        <v>13 119,-</v>
      </c>
      <c r="M668" s="670" t="str">
        <f>IF(EXC.RATE_2=0,"",IFERROR(IF(CURRENCY.FORMAT_2=0,CONCATENATE(TEXT(FIXED(ROUND(IF(EXC.RATE.SWITCH=1,C668*(1-I668)*(1-ADD.DISCOUNT)*(1+MAT.SURCHARGE)/EXC.RATE_2,C668*(1-I668)*(1-ADD.DISCOUNT)*(1+MAT.SURCHARGE)*EXC.RATE_2),CURRENCY.FORMAT_2),CURRENCY.FORMAT_2,1),"# ##0;-# ##0"),",-"),FIXED(ROUND(IF(EXC.RATE.SWITCH=1,C668*(1-I668)*(1-ADD.DISCOUNT)*(1+MAT.SURCHARGE)/EXC.RATE_2,C668*(1-I668)*(1-ADD.DISCOUNT)*(1+MAT.SURCHARGE)*EXC.RATE_2),CURRENCY.FORMAT_2),CURRENCY.FORMAT_2,0)),'DICTIONARY-5'!$A$2))</f>
        <v/>
      </c>
      <c r="N668" s="544">
        <v>2</v>
      </c>
      <c r="O668" s="544"/>
      <c r="P668" s="731" t="str">
        <f>'DICTIONARY-3'!$A$11</f>
        <v>ZETA</v>
      </c>
      <c r="Q668" s="732" t="str">
        <f>'DICTIONARY-3'!$A$189</f>
        <v>Zasuwa nożowa</v>
      </c>
      <c r="R668" s="732" t="str">
        <f>CONCATENATE('DICTIONARY-3'!$A$11," ",'DICTIONARY-6'!$A$6," ",'DICTIONARY-5'!$A$35," ",'DICTIONARY-2'!$A$2,"600"," ",'DICTIONARY-2'!$A$3,"10"," ",'DICTIONARY-2'!$A$10,"6",'DICTIONARY-2'!$A$20,", ","FESTO"," ",'DICTIONARY-6'!$A$51,"3")</f>
        <v>ZETA Zasuwa noż. A4 DN600 PN10 PS6bar, FESTO St.3</v>
      </c>
      <c r="S668" s="733" t="str">
        <f>'DICTIONARY-4'!$A$5</f>
        <v>NP</v>
      </c>
      <c r="T668" s="732" t="str">
        <f>'DICTIONARY-4'!$A$21</f>
        <v>Napęd pneumatyczny</v>
      </c>
      <c r="U668" s="734" t="s">
        <v>5757</v>
      </c>
      <c r="V668" s="735">
        <v>10</v>
      </c>
      <c r="W668" s="736"/>
      <c r="X668" s="737"/>
      <c r="Y668" s="738"/>
      <c r="Z668" s="739"/>
      <c r="AA668" s="739"/>
      <c r="AB668" s="740">
        <v>6</v>
      </c>
      <c r="AC668" s="741" t="str">
        <f>'DICTIONARY-5'!$A$11&amp;" 20"</f>
        <v>EN 558 szereg 20</v>
      </c>
      <c r="AD668" s="741" t="str">
        <f>'DICTIONARY-5'!$A$14</f>
        <v>ścieki</v>
      </c>
      <c r="AE668" s="742">
        <v>50</v>
      </c>
      <c r="AF668" s="743">
        <v>417</v>
      </c>
      <c r="AG668" s="741" t="str">
        <f>'DICTIONARY-5'!$A$23</f>
        <v>powłoka epoksydowa</v>
      </c>
    </row>
    <row r="669" spans="1:33" x14ac:dyDescent="0.25">
      <c r="A669" s="847" t="s">
        <v>646</v>
      </c>
      <c r="B669" s="847" t="s">
        <v>3153</v>
      </c>
      <c r="C669" s="836">
        <v>434</v>
      </c>
      <c r="D669" s="836"/>
      <c r="E669" s="836"/>
      <c r="F669" s="836"/>
      <c r="G669" s="496" t="s">
        <v>7796</v>
      </c>
      <c r="H669" s="797" t="str">
        <f>VLOOKUP(G669,SETTINGS!$B$7:$D$97,2,0)</f>
        <v>ZETA</v>
      </c>
      <c r="I669" s="796">
        <f>VLOOKUP(G669,SETTINGS!$B$7:$D$97,3,0)</f>
        <v>0</v>
      </c>
      <c r="J669" s="670" t="str">
        <f>IFERROR(IF(CURRENCY.FORMAT_1=0,CONCATENATE(TEXT(FIXED(ROUND((C669/EXC.RATE_1),CURRENCY.FORMAT_1),CURRENCY.FORMAT_1,1),"# ##0;-# ##0"),",-"),FIXED(ROUND((C669/EXC.RATE_1),CURRENCY.FORMAT_1),CURRENCY.FORMAT_1,0)),'DICTIONARY-5'!$A$2)</f>
        <v>434,-</v>
      </c>
      <c r="K669" s="670" t="str">
        <f>IF(EXC.RATE_2=0,"",IFERROR(IF(CURRENCY.FORMAT_2=0,CONCATENATE(TEXT(FIXED(ROUND(IF(EXC.RATE.SWITCH=1,C669/EXC.RATE_2,C669*EXC.RATE_2),CURRENCY.FORMAT_2),CURRENCY.FORMAT_2,1),"# ##0;-# ##0"),",-"),FIXED(ROUND(IF(EXC.RATE.SWITCH=1,C669/EXC.RATE_2,C669*EXC.RATE_2),CURRENCY.FORMAT_2),CURRENCY.FORMAT_2,0)),'DICTIONARY-5'!$A$2))</f>
        <v/>
      </c>
      <c r="L669" s="670" t="str">
        <f>IFERROR(IF(CURRENCY.FORMAT_1=0,CONCATENATE(TEXT(FIXED(ROUND((C669*(1-I669)*(1-ADD.DISCOUNT)*(1+MAT.SURCHARGE)/EXC.RATE_1),CURRENCY.FORMAT_1),CURRENCY.FORMAT_1,1),"# ##0;-# ##0"),",-"),FIXED(ROUND((C669*(1-I669)*(1-ADD.DISCOUNT)*(1+MAT.SURCHARGE)/EXC.RATE_1),CURRENCY.FORMAT_1),CURRENCY.FORMAT_1,0)),'DICTIONARY-5'!$A$2)</f>
        <v>451,-</v>
      </c>
      <c r="M669" s="670" t="str">
        <f>IF(EXC.RATE_2=0,"",IFERROR(IF(CURRENCY.FORMAT_2=0,CONCATENATE(TEXT(FIXED(ROUND(IF(EXC.RATE.SWITCH=1,C669*(1-I669)*(1-ADD.DISCOUNT)*(1+MAT.SURCHARGE)/EXC.RATE_2,C669*(1-I669)*(1-ADD.DISCOUNT)*(1+MAT.SURCHARGE)*EXC.RATE_2),CURRENCY.FORMAT_2),CURRENCY.FORMAT_2,1),"# ##0;-# ##0"),",-"),FIXED(ROUND(IF(EXC.RATE.SWITCH=1,C669*(1-I669)*(1-ADD.DISCOUNT)*(1+MAT.SURCHARGE)/EXC.RATE_2,C669*(1-I669)*(1-ADD.DISCOUNT)*(1+MAT.SURCHARGE)*EXC.RATE_2),CURRENCY.FORMAT_2),CURRENCY.FORMAT_2,0)),'DICTIONARY-5'!$A$2))</f>
        <v/>
      </c>
      <c r="N669" s="544">
        <v>2</v>
      </c>
      <c r="O669" s="544"/>
      <c r="P669" s="732" t="str">
        <f>'DICTIONARY-3'!$A$12</f>
        <v>ZETAcontrol</v>
      </c>
      <c r="Q669" s="732" t="str">
        <f>'DICTIONARY-3'!$A$189</f>
        <v>Zasuwa nożowa</v>
      </c>
      <c r="R669" s="732" t="str">
        <f>CONCATENATE('DICTIONARY-3'!$A$12," ",'DICTIONARY-6'!$A$6," ",'DICTIONARY-5'!$A$35," ",'DICTIONARY-2'!$A$2,"100"," ",'DICTIONARY-2'!$A$3,"10"," ",'DICTIONARY-2'!$A$10,"10",'DICTIONARY-2'!$A$20,", ",'DICTIONARY-4'!$A$7)</f>
        <v>ZETAcontrol Zasuwa noż. A4 DN100 PN10 PS10bar, KR</v>
      </c>
      <c r="S669" s="733" t="str">
        <f>'DICTIONARY-4'!$A$7</f>
        <v>KR</v>
      </c>
      <c r="T669" s="732" t="str">
        <f>'DICTIONARY-4'!$A$23</f>
        <v>Kółko ręczne</v>
      </c>
      <c r="U669" s="734" t="s">
        <v>5749</v>
      </c>
      <c r="V669" s="735">
        <v>10</v>
      </c>
      <c r="W669" s="736"/>
      <c r="X669" s="737"/>
      <c r="Y669" s="738"/>
      <c r="Z669" s="739"/>
      <c r="AA669" s="739"/>
      <c r="AB669" s="740">
        <v>10</v>
      </c>
      <c r="AC669" s="741" t="str">
        <f>'DICTIONARY-5'!$A$11&amp;" 20"</f>
        <v>EN 558 szereg 20</v>
      </c>
      <c r="AD669" s="741" t="str">
        <f>'DICTIONARY-5'!$A$14</f>
        <v>ścieki</v>
      </c>
      <c r="AE669" s="742">
        <v>50</v>
      </c>
      <c r="AF669" s="743">
        <v>15</v>
      </c>
      <c r="AG669" s="741" t="str">
        <f>'DICTIONARY-5'!$A$23</f>
        <v>powłoka epoksydowa</v>
      </c>
    </row>
    <row r="670" spans="1:33" x14ac:dyDescent="0.25">
      <c r="A670" s="847" t="s">
        <v>647</v>
      </c>
      <c r="B670" s="847" t="s">
        <v>3155</v>
      </c>
      <c r="C670" s="836">
        <v>483</v>
      </c>
      <c r="D670" s="836"/>
      <c r="E670" s="836"/>
      <c r="F670" s="836"/>
      <c r="G670" s="496" t="s">
        <v>7796</v>
      </c>
      <c r="H670" s="797" t="str">
        <f>VLOOKUP(G670,SETTINGS!$B$7:$D$97,2,0)</f>
        <v>ZETA</v>
      </c>
      <c r="I670" s="796">
        <f>VLOOKUP(G670,SETTINGS!$B$7:$D$97,3,0)</f>
        <v>0</v>
      </c>
      <c r="J670" s="670" t="str">
        <f>IFERROR(IF(CURRENCY.FORMAT_1=0,CONCATENATE(TEXT(FIXED(ROUND((C670/EXC.RATE_1),CURRENCY.FORMAT_1),CURRENCY.FORMAT_1,1),"# ##0;-# ##0"),",-"),FIXED(ROUND((C670/EXC.RATE_1),CURRENCY.FORMAT_1),CURRENCY.FORMAT_1,0)),'DICTIONARY-5'!$A$2)</f>
        <v>483,-</v>
      </c>
      <c r="K670" s="670" t="str">
        <f>IF(EXC.RATE_2=0,"",IFERROR(IF(CURRENCY.FORMAT_2=0,CONCATENATE(TEXT(FIXED(ROUND(IF(EXC.RATE.SWITCH=1,C670/EXC.RATE_2,C670*EXC.RATE_2),CURRENCY.FORMAT_2),CURRENCY.FORMAT_2,1),"# ##0;-# ##0"),",-"),FIXED(ROUND(IF(EXC.RATE.SWITCH=1,C670/EXC.RATE_2,C670*EXC.RATE_2),CURRENCY.FORMAT_2),CURRENCY.FORMAT_2,0)),'DICTIONARY-5'!$A$2))</f>
        <v/>
      </c>
      <c r="L670" s="670" t="str">
        <f>IFERROR(IF(CURRENCY.FORMAT_1=0,CONCATENATE(TEXT(FIXED(ROUND((C670*(1-I670)*(1-ADD.DISCOUNT)*(1+MAT.SURCHARGE)/EXC.RATE_1),CURRENCY.FORMAT_1),CURRENCY.FORMAT_1,1),"# ##0;-# ##0"),",-"),FIXED(ROUND((C670*(1-I670)*(1-ADD.DISCOUNT)*(1+MAT.SURCHARGE)/EXC.RATE_1),CURRENCY.FORMAT_1),CURRENCY.FORMAT_1,0)),'DICTIONARY-5'!$A$2)</f>
        <v>502,-</v>
      </c>
      <c r="M670" s="670" t="str">
        <f>IF(EXC.RATE_2=0,"",IFERROR(IF(CURRENCY.FORMAT_2=0,CONCATENATE(TEXT(FIXED(ROUND(IF(EXC.RATE.SWITCH=1,C670*(1-I670)*(1-ADD.DISCOUNT)*(1+MAT.SURCHARGE)/EXC.RATE_2,C670*(1-I670)*(1-ADD.DISCOUNT)*(1+MAT.SURCHARGE)*EXC.RATE_2),CURRENCY.FORMAT_2),CURRENCY.FORMAT_2,1),"# ##0;-# ##0"),",-"),FIXED(ROUND(IF(EXC.RATE.SWITCH=1,C670*(1-I670)*(1-ADD.DISCOUNT)*(1+MAT.SURCHARGE)/EXC.RATE_2,C670*(1-I670)*(1-ADD.DISCOUNT)*(1+MAT.SURCHARGE)*EXC.RATE_2),CURRENCY.FORMAT_2),CURRENCY.FORMAT_2,0)),'DICTIONARY-5'!$A$2))</f>
        <v/>
      </c>
      <c r="N670" s="544">
        <v>2</v>
      </c>
      <c r="O670" s="544"/>
      <c r="P670" s="732" t="str">
        <f>'DICTIONARY-3'!$A$12</f>
        <v>ZETAcontrol</v>
      </c>
      <c r="Q670" s="732" t="str">
        <f>'DICTIONARY-3'!$A$189</f>
        <v>Zasuwa nożowa</v>
      </c>
      <c r="R670" s="732" t="str">
        <f>CONCATENATE('DICTIONARY-3'!$A$12," ",'DICTIONARY-6'!$A$6," ",'DICTIONARY-5'!$A$35," ",'DICTIONARY-2'!$A$2,"125"," ",'DICTIONARY-2'!$A$3,"10"," ",'DICTIONARY-2'!$A$10,"10",'DICTIONARY-2'!$A$20,", ",'DICTIONARY-4'!$A$7)</f>
        <v>ZETAcontrol Zasuwa noż. A4 DN125 PN10 PS10bar, KR</v>
      </c>
      <c r="S670" s="733" t="str">
        <f>'DICTIONARY-4'!$A$7</f>
        <v>KR</v>
      </c>
      <c r="T670" s="732" t="str">
        <f>'DICTIONARY-4'!$A$23</f>
        <v>Kółko ręczne</v>
      </c>
      <c r="U670" s="734" t="s">
        <v>5761</v>
      </c>
      <c r="V670" s="735">
        <v>10</v>
      </c>
      <c r="W670" s="736"/>
      <c r="X670" s="737"/>
      <c r="Y670" s="738"/>
      <c r="Z670" s="739"/>
      <c r="AA670" s="739"/>
      <c r="AB670" s="740">
        <v>10</v>
      </c>
      <c r="AC670" s="741" t="str">
        <f>'DICTIONARY-5'!$A$11&amp;" 20"</f>
        <v>EN 558 szereg 20</v>
      </c>
      <c r="AD670" s="741" t="str">
        <f>'DICTIONARY-5'!$A$14</f>
        <v>ścieki</v>
      </c>
      <c r="AE670" s="742">
        <v>50</v>
      </c>
      <c r="AF670" s="743">
        <v>20</v>
      </c>
      <c r="AG670" s="741" t="str">
        <f>'DICTIONARY-5'!$A$23</f>
        <v>powłoka epoksydowa</v>
      </c>
    </row>
    <row r="671" spans="1:33" x14ac:dyDescent="0.25">
      <c r="A671" s="847" t="s">
        <v>648</v>
      </c>
      <c r="B671" s="847" t="s">
        <v>3157</v>
      </c>
      <c r="C671" s="836">
        <v>607</v>
      </c>
      <c r="D671" s="836"/>
      <c r="E671" s="836"/>
      <c r="F671" s="836"/>
      <c r="G671" s="496" t="s">
        <v>7796</v>
      </c>
      <c r="H671" s="797" t="str">
        <f>VLOOKUP(G671,SETTINGS!$B$7:$D$97,2,0)</f>
        <v>ZETA</v>
      </c>
      <c r="I671" s="796">
        <f>VLOOKUP(G671,SETTINGS!$B$7:$D$97,3,0)</f>
        <v>0</v>
      </c>
      <c r="J671" s="670" t="str">
        <f>IFERROR(IF(CURRENCY.FORMAT_1=0,CONCATENATE(TEXT(FIXED(ROUND((C671/EXC.RATE_1),CURRENCY.FORMAT_1),CURRENCY.FORMAT_1,1),"# ##0;-# ##0"),",-"),FIXED(ROUND((C671/EXC.RATE_1),CURRENCY.FORMAT_1),CURRENCY.FORMAT_1,0)),'DICTIONARY-5'!$A$2)</f>
        <v>607,-</v>
      </c>
      <c r="K671" s="670" t="str">
        <f>IF(EXC.RATE_2=0,"",IFERROR(IF(CURRENCY.FORMAT_2=0,CONCATENATE(TEXT(FIXED(ROUND(IF(EXC.RATE.SWITCH=1,C671/EXC.RATE_2,C671*EXC.RATE_2),CURRENCY.FORMAT_2),CURRENCY.FORMAT_2,1),"# ##0;-# ##0"),",-"),FIXED(ROUND(IF(EXC.RATE.SWITCH=1,C671/EXC.RATE_2,C671*EXC.RATE_2),CURRENCY.FORMAT_2),CURRENCY.FORMAT_2,0)),'DICTIONARY-5'!$A$2))</f>
        <v/>
      </c>
      <c r="L671" s="670" t="str">
        <f>IFERROR(IF(CURRENCY.FORMAT_1=0,CONCATENATE(TEXT(FIXED(ROUND((C671*(1-I671)*(1-ADD.DISCOUNT)*(1+MAT.SURCHARGE)/EXC.RATE_1),CURRENCY.FORMAT_1),CURRENCY.FORMAT_1,1),"# ##0;-# ##0"),",-"),FIXED(ROUND((C671*(1-I671)*(1-ADD.DISCOUNT)*(1+MAT.SURCHARGE)/EXC.RATE_1),CURRENCY.FORMAT_1),CURRENCY.FORMAT_1,0)),'DICTIONARY-5'!$A$2)</f>
        <v>631,-</v>
      </c>
      <c r="M671" s="670" t="str">
        <f>IF(EXC.RATE_2=0,"",IFERROR(IF(CURRENCY.FORMAT_2=0,CONCATENATE(TEXT(FIXED(ROUND(IF(EXC.RATE.SWITCH=1,C671*(1-I671)*(1-ADD.DISCOUNT)*(1+MAT.SURCHARGE)/EXC.RATE_2,C671*(1-I671)*(1-ADD.DISCOUNT)*(1+MAT.SURCHARGE)*EXC.RATE_2),CURRENCY.FORMAT_2),CURRENCY.FORMAT_2,1),"# ##0;-# ##0"),",-"),FIXED(ROUND(IF(EXC.RATE.SWITCH=1,C671*(1-I671)*(1-ADD.DISCOUNT)*(1+MAT.SURCHARGE)/EXC.RATE_2,C671*(1-I671)*(1-ADD.DISCOUNT)*(1+MAT.SURCHARGE)*EXC.RATE_2),CURRENCY.FORMAT_2),CURRENCY.FORMAT_2,0)),'DICTIONARY-5'!$A$2))</f>
        <v/>
      </c>
      <c r="N671" s="544">
        <v>2</v>
      </c>
      <c r="O671" s="544"/>
      <c r="P671" s="732" t="str">
        <f>'DICTIONARY-3'!$A$12</f>
        <v>ZETAcontrol</v>
      </c>
      <c r="Q671" s="732" t="str">
        <f>'DICTIONARY-3'!$A$189</f>
        <v>Zasuwa nożowa</v>
      </c>
      <c r="R671" s="732" t="str">
        <f>CONCATENATE('DICTIONARY-3'!$A$12," ",'DICTIONARY-6'!$A$6," ",'DICTIONARY-5'!$A$35," ",'DICTIONARY-2'!$A$2,"150"," ",'DICTIONARY-2'!$A$3,"10"," ",'DICTIONARY-2'!$A$10,"10",'DICTIONARY-2'!$A$20,", ",'DICTIONARY-4'!$A$7)</f>
        <v>ZETAcontrol Zasuwa noż. A4 DN150 PN10 PS10bar, KR</v>
      </c>
      <c r="S671" s="733" t="str">
        <f>'DICTIONARY-4'!$A$7</f>
        <v>KR</v>
      </c>
      <c r="T671" s="732" t="str">
        <f>'DICTIONARY-4'!$A$23</f>
        <v>Kółko ręczne</v>
      </c>
      <c r="U671" s="734" t="s">
        <v>5572</v>
      </c>
      <c r="V671" s="735">
        <v>10</v>
      </c>
      <c r="W671" s="736"/>
      <c r="X671" s="737"/>
      <c r="Y671" s="738"/>
      <c r="Z671" s="739"/>
      <c r="AA671" s="739"/>
      <c r="AB671" s="740">
        <v>10</v>
      </c>
      <c r="AC671" s="741" t="str">
        <f>'DICTIONARY-5'!$A$11&amp;" 20"</f>
        <v>EN 558 szereg 20</v>
      </c>
      <c r="AD671" s="741" t="str">
        <f>'DICTIONARY-5'!$A$14</f>
        <v>ścieki</v>
      </c>
      <c r="AE671" s="742">
        <v>50</v>
      </c>
      <c r="AF671" s="743">
        <v>25</v>
      </c>
      <c r="AG671" s="741" t="str">
        <f>'DICTIONARY-5'!$A$23</f>
        <v>powłoka epoksydowa</v>
      </c>
    </row>
    <row r="672" spans="1:33" x14ac:dyDescent="0.25">
      <c r="A672" s="847" t="s">
        <v>649</v>
      </c>
      <c r="B672" s="847" t="s">
        <v>3159</v>
      </c>
      <c r="C672" s="836">
        <v>814</v>
      </c>
      <c r="D672" s="836"/>
      <c r="E672" s="836"/>
      <c r="F672" s="836"/>
      <c r="G672" s="496" t="s">
        <v>7796</v>
      </c>
      <c r="H672" s="797" t="str">
        <f>VLOOKUP(G672,SETTINGS!$B$7:$D$97,2,0)</f>
        <v>ZETA</v>
      </c>
      <c r="I672" s="796">
        <f>VLOOKUP(G672,SETTINGS!$B$7:$D$97,3,0)</f>
        <v>0</v>
      </c>
      <c r="J672" s="670" t="str">
        <f>IFERROR(IF(CURRENCY.FORMAT_1=0,CONCATENATE(TEXT(FIXED(ROUND((C672/EXC.RATE_1),CURRENCY.FORMAT_1),CURRENCY.FORMAT_1,1),"# ##0;-# ##0"),",-"),FIXED(ROUND((C672/EXC.RATE_1),CURRENCY.FORMAT_1),CURRENCY.FORMAT_1,0)),'DICTIONARY-5'!$A$2)</f>
        <v>814,-</v>
      </c>
      <c r="K672" s="670" t="str">
        <f>IF(EXC.RATE_2=0,"",IFERROR(IF(CURRENCY.FORMAT_2=0,CONCATENATE(TEXT(FIXED(ROUND(IF(EXC.RATE.SWITCH=1,C672/EXC.RATE_2,C672*EXC.RATE_2),CURRENCY.FORMAT_2),CURRENCY.FORMAT_2,1),"# ##0;-# ##0"),",-"),FIXED(ROUND(IF(EXC.RATE.SWITCH=1,C672/EXC.RATE_2,C672*EXC.RATE_2),CURRENCY.FORMAT_2),CURRENCY.FORMAT_2,0)),'DICTIONARY-5'!$A$2))</f>
        <v/>
      </c>
      <c r="L672" s="670" t="str">
        <f>IFERROR(IF(CURRENCY.FORMAT_1=0,CONCATENATE(TEXT(FIXED(ROUND((C672*(1-I672)*(1-ADD.DISCOUNT)*(1+MAT.SURCHARGE)/EXC.RATE_1),CURRENCY.FORMAT_1),CURRENCY.FORMAT_1,1),"# ##0;-# ##0"),",-"),FIXED(ROUND((C672*(1-I672)*(1-ADD.DISCOUNT)*(1+MAT.SURCHARGE)/EXC.RATE_1),CURRENCY.FORMAT_1),CURRENCY.FORMAT_1,0)),'DICTIONARY-5'!$A$2)</f>
        <v>846,-</v>
      </c>
      <c r="M672" s="670" t="str">
        <f>IF(EXC.RATE_2=0,"",IFERROR(IF(CURRENCY.FORMAT_2=0,CONCATENATE(TEXT(FIXED(ROUND(IF(EXC.RATE.SWITCH=1,C672*(1-I672)*(1-ADD.DISCOUNT)*(1+MAT.SURCHARGE)/EXC.RATE_2,C672*(1-I672)*(1-ADD.DISCOUNT)*(1+MAT.SURCHARGE)*EXC.RATE_2),CURRENCY.FORMAT_2),CURRENCY.FORMAT_2,1),"# ##0;-# ##0"),",-"),FIXED(ROUND(IF(EXC.RATE.SWITCH=1,C672*(1-I672)*(1-ADD.DISCOUNT)*(1+MAT.SURCHARGE)/EXC.RATE_2,C672*(1-I672)*(1-ADD.DISCOUNT)*(1+MAT.SURCHARGE)*EXC.RATE_2),CURRENCY.FORMAT_2),CURRENCY.FORMAT_2,0)),'DICTIONARY-5'!$A$2))</f>
        <v/>
      </c>
      <c r="N672" s="544">
        <v>2</v>
      </c>
      <c r="O672" s="544"/>
      <c r="P672" s="732" t="str">
        <f>'DICTIONARY-3'!$A$12</f>
        <v>ZETAcontrol</v>
      </c>
      <c r="Q672" s="732" t="str">
        <f>'DICTIONARY-3'!$A$189</f>
        <v>Zasuwa nożowa</v>
      </c>
      <c r="R672" s="732" t="str">
        <f>CONCATENATE('DICTIONARY-3'!$A$12," ",'DICTIONARY-6'!$A$6," ",'DICTIONARY-5'!$A$35," ",'DICTIONARY-2'!$A$2,"200"," ",'DICTIONARY-2'!$A$3,"10"," ",'DICTIONARY-2'!$A$10,"10",'DICTIONARY-2'!$A$20,", ",'DICTIONARY-4'!$A$7)</f>
        <v>ZETAcontrol Zasuwa noż. A4 DN200 PN10 PS10bar, KR</v>
      </c>
      <c r="S672" s="733" t="str">
        <f>'DICTIONARY-4'!$A$7</f>
        <v>KR</v>
      </c>
      <c r="T672" s="732" t="str">
        <f>'DICTIONARY-4'!$A$23</f>
        <v>Kółko ręczne</v>
      </c>
      <c r="U672" s="734" t="s">
        <v>5750</v>
      </c>
      <c r="V672" s="735">
        <v>10</v>
      </c>
      <c r="W672" s="736"/>
      <c r="X672" s="737"/>
      <c r="Y672" s="738"/>
      <c r="Z672" s="739"/>
      <c r="AA672" s="739"/>
      <c r="AB672" s="740">
        <v>10</v>
      </c>
      <c r="AC672" s="741" t="str">
        <f>'DICTIONARY-5'!$A$11&amp;" 20"</f>
        <v>EN 558 szereg 20</v>
      </c>
      <c r="AD672" s="741" t="str">
        <f>'DICTIONARY-5'!$A$17</f>
        <v>woda przemysłowa</v>
      </c>
      <c r="AE672" s="742">
        <v>50</v>
      </c>
      <c r="AF672" s="743">
        <v>36</v>
      </c>
      <c r="AG672" s="741" t="str">
        <f>'DICTIONARY-5'!$A$23</f>
        <v>powłoka epoksydowa</v>
      </c>
    </row>
    <row r="673" spans="1:33" x14ac:dyDescent="0.25">
      <c r="A673" s="847" t="s">
        <v>650</v>
      </c>
      <c r="B673" s="847" t="s">
        <v>3161</v>
      </c>
      <c r="C673" s="836">
        <v>1286</v>
      </c>
      <c r="D673" s="836"/>
      <c r="E673" s="836"/>
      <c r="F673" s="836"/>
      <c r="G673" s="496" t="s">
        <v>7796</v>
      </c>
      <c r="H673" s="797" t="str">
        <f>VLOOKUP(G673,SETTINGS!$B$7:$D$97,2,0)</f>
        <v>ZETA</v>
      </c>
      <c r="I673" s="796">
        <f>VLOOKUP(G673,SETTINGS!$B$7:$D$97,3,0)</f>
        <v>0</v>
      </c>
      <c r="J673" s="670" t="str">
        <f>IFERROR(IF(CURRENCY.FORMAT_1=0,CONCATENATE(TEXT(FIXED(ROUND((C673/EXC.RATE_1),CURRENCY.FORMAT_1),CURRENCY.FORMAT_1,1),"# ##0;-# ##0"),",-"),FIXED(ROUND((C673/EXC.RATE_1),CURRENCY.FORMAT_1),CURRENCY.FORMAT_1,0)),'DICTIONARY-5'!$A$2)</f>
        <v>1 286,-</v>
      </c>
      <c r="K673" s="670" t="str">
        <f>IF(EXC.RATE_2=0,"",IFERROR(IF(CURRENCY.FORMAT_2=0,CONCATENATE(TEXT(FIXED(ROUND(IF(EXC.RATE.SWITCH=1,C673/EXC.RATE_2,C673*EXC.RATE_2),CURRENCY.FORMAT_2),CURRENCY.FORMAT_2,1),"# ##0;-# ##0"),",-"),FIXED(ROUND(IF(EXC.RATE.SWITCH=1,C673/EXC.RATE_2,C673*EXC.RATE_2),CURRENCY.FORMAT_2),CURRENCY.FORMAT_2,0)),'DICTIONARY-5'!$A$2))</f>
        <v/>
      </c>
      <c r="L673" s="670" t="str">
        <f>IFERROR(IF(CURRENCY.FORMAT_1=0,CONCATENATE(TEXT(FIXED(ROUND((C673*(1-I673)*(1-ADD.DISCOUNT)*(1+MAT.SURCHARGE)/EXC.RATE_1),CURRENCY.FORMAT_1),CURRENCY.FORMAT_1,1),"# ##0;-# ##0"),",-"),FIXED(ROUND((C673*(1-I673)*(1-ADD.DISCOUNT)*(1+MAT.SURCHARGE)/EXC.RATE_1),CURRENCY.FORMAT_1),CURRENCY.FORMAT_1,0)),'DICTIONARY-5'!$A$2)</f>
        <v>1 336,-</v>
      </c>
      <c r="M673" s="670" t="str">
        <f>IF(EXC.RATE_2=0,"",IFERROR(IF(CURRENCY.FORMAT_2=0,CONCATENATE(TEXT(FIXED(ROUND(IF(EXC.RATE.SWITCH=1,C673*(1-I673)*(1-ADD.DISCOUNT)*(1+MAT.SURCHARGE)/EXC.RATE_2,C673*(1-I673)*(1-ADD.DISCOUNT)*(1+MAT.SURCHARGE)*EXC.RATE_2),CURRENCY.FORMAT_2),CURRENCY.FORMAT_2,1),"# ##0;-# ##0"),",-"),FIXED(ROUND(IF(EXC.RATE.SWITCH=1,C673*(1-I673)*(1-ADD.DISCOUNT)*(1+MAT.SURCHARGE)/EXC.RATE_2,C673*(1-I673)*(1-ADD.DISCOUNT)*(1+MAT.SURCHARGE)*EXC.RATE_2),CURRENCY.FORMAT_2),CURRENCY.FORMAT_2,0)),'DICTIONARY-5'!$A$2))</f>
        <v/>
      </c>
      <c r="N673" s="544">
        <v>2</v>
      </c>
      <c r="O673" s="544"/>
      <c r="P673" s="732" t="str">
        <f>'DICTIONARY-3'!$A$12</f>
        <v>ZETAcontrol</v>
      </c>
      <c r="Q673" s="732" t="str">
        <f>'DICTIONARY-3'!$A$189</f>
        <v>Zasuwa nożowa</v>
      </c>
      <c r="R673" s="732" t="str">
        <f>CONCATENATE('DICTIONARY-3'!$A$12," ",'DICTIONARY-6'!$A$6," ",'DICTIONARY-5'!$A$35," ",'DICTIONARY-2'!$A$2,"250"," ",'DICTIONARY-2'!$A$3,"10"," ",'DICTIONARY-2'!$A$10,"10",'DICTIONARY-2'!$A$20,", ",'DICTIONARY-4'!$A$7)</f>
        <v>ZETAcontrol Zasuwa noż. A4 DN250 PN10 PS10bar, KR</v>
      </c>
      <c r="S673" s="733" t="str">
        <f>'DICTIONARY-4'!$A$7</f>
        <v>KR</v>
      </c>
      <c r="T673" s="732" t="str">
        <f>'DICTIONARY-4'!$A$23</f>
        <v>Kółko ręczne</v>
      </c>
      <c r="U673" s="734" t="s">
        <v>5751</v>
      </c>
      <c r="V673" s="735">
        <v>10</v>
      </c>
      <c r="W673" s="736"/>
      <c r="X673" s="737"/>
      <c r="Y673" s="738"/>
      <c r="Z673" s="739"/>
      <c r="AA673" s="739"/>
      <c r="AB673" s="740">
        <v>10</v>
      </c>
      <c r="AC673" s="741" t="str">
        <f>'DICTIONARY-5'!$A$11&amp;" 20"</f>
        <v>EN 558 szereg 20</v>
      </c>
      <c r="AD673" s="741" t="str">
        <f>'DICTIONARY-5'!$A$14</f>
        <v>ścieki</v>
      </c>
      <c r="AE673" s="742">
        <v>50</v>
      </c>
      <c r="AF673" s="743">
        <v>66</v>
      </c>
      <c r="AG673" s="741" t="str">
        <f>'DICTIONARY-5'!$A$23</f>
        <v>powłoka epoksydowa</v>
      </c>
    </row>
    <row r="674" spans="1:33" x14ac:dyDescent="0.25">
      <c r="A674" s="847" t="s">
        <v>651</v>
      </c>
      <c r="B674" s="847" t="s">
        <v>3163</v>
      </c>
      <c r="C674" s="836">
        <v>1573</v>
      </c>
      <c r="D674" s="836"/>
      <c r="E674" s="836"/>
      <c r="F674" s="836"/>
      <c r="G674" s="496" t="s">
        <v>7796</v>
      </c>
      <c r="H674" s="797" t="str">
        <f>VLOOKUP(G674,SETTINGS!$B$7:$D$97,2,0)</f>
        <v>ZETA</v>
      </c>
      <c r="I674" s="796">
        <f>VLOOKUP(G674,SETTINGS!$B$7:$D$97,3,0)</f>
        <v>0</v>
      </c>
      <c r="J674" s="670" t="str">
        <f>IFERROR(IF(CURRENCY.FORMAT_1=0,CONCATENATE(TEXT(FIXED(ROUND((C674/EXC.RATE_1),CURRENCY.FORMAT_1),CURRENCY.FORMAT_1,1),"# ##0;-# ##0"),",-"),FIXED(ROUND((C674/EXC.RATE_1),CURRENCY.FORMAT_1),CURRENCY.FORMAT_1,0)),'DICTIONARY-5'!$A$2)</f>
        <v>1 573,-</v>
      </c>
      <c r="K674" s="670" t="str">
        <f>IF(EXC.RATE_2=0,"",IFERROR(IF(CURRENCY.FORMAT_2=0,CONCATENATE(TEXT(FIXED(ROUND(IF(EXC.RATE.SWITCH=1,C674/EXC.RATE_2,C674*EXC.RATE_2),CURRENCY.FORMAT_2),CURRENCY.FORMAT_2,1),"# ##0;-# ##0"),",-"),FIXED(ROUND(IF(EXC.RATE.SWITCH=1,C674/EXC.RATE_2,C674*EXC.RATE_2),CURRENCY.FORMAT_2),CURRENCY.FORMAT_2,0)),'DICTIONARY-5'!$A$2))</f>
        <v/>
      </c>
      <c r="L674" s="670" t="str">
        <f>IFERROR(IF(CURRENCY.FORMAT_1=0,CONCATENATE(TEXT(FIXED(ROUND((C674*(1-I674)*(1-ADD.DISCOUNT)*(1+MAT.SURCHARGE)/EXC.RATE_1),CURRENCY.FORMAT_1),CURRENCY.FORMAT_1,1),"# ##0;-# ##0"),",-"),FIXED(ROUND((C674*(1-I674)*(1-ADD.DISCOUNT)*(1+MAT.SURCHARGE)/EXC.RATE_1),CURRENCY.FORMAT_1),CURRENCY.FORMAT_1,0)),'DICTIONARY-5'!$A$2)</f>
        <v>1 634,-</v>
      </c>
      <c r="M674" s="670" t="str">
        <f>IF(EXC.RATE_2=0,"",IFERROR(IF(CURRENCY.FORMAT_2=0,CONCATENATE(TEXT(FIXED(ROUND(IF(EXC.RATE.SWITCH=1,C674*(1-I674)*(1-ADD.DISCOUNT)*(1+MAT.SURCHARGE)/EXC.RATE_2,C674*(1-I674)*(1-ADD.DISCOUNT)*(1+MAT.SURCHARGE)*EXC.RATE_2),CURRENCY.FORMAT_2),CURRENCY.FORMAT_2,1),"# ##0;-# ##0"),",-"),FIXED(ROUND(IF(EXC.RATE.SWITCH=1,C674*(1-I674)*(1-ADD.DISCOUNT)*(1+MAT.SURCHARGE)/EXC.RATE_2,C674*(1-I674)*(1-ADD.DISCOUNT)*(1+MAT.SURCHARGE)*EXC.RATE_2),CURRENCY.FORMAT_2),CURRENCY.FORMAT_2,0)),'DICTIONARY-5'!$A$2))</f>
        <v/>
      </c>
      <c r="N674" s="544">
        <v>2</v>
      </c>
      <c r="O674" s="544"/>
      <c r="P674" s="732" t="str">
        <f>'DICTIONARY-3'!$A$12</f>
        <v>ZETAcontrol</v>
      </c>
      <c r="Q674" s="732" t="str">
        <f>'DICTIONARY-3'!$A$189</f>
        <v>Zasuwa nożowa</v>
      </c>
      <c r="R674" s="732" t="str">
        <f>CONCATENATE('DICTIONARY-3'!$A$12," ",'DICTIONARY-6'!$A$6," ",'DICTIONARY-5'!$A$35," ",'DICTIONARY-2'!$A$2,"300"," ",'DICTIONARY-2'!$A$3,"10"," ",'DICTIONARY-2'!$A$10,"10",'DICTIONARY-2'!$A$20,", ",'DICTIONARY-4'!$A$7)</f>
        <v>ZETAcontrol Zasuwa noż. A4 DN300 PN10 PS10bar, KR</v>
      </c>
      <c r="S674" s="733" t="str">
        <f>'DICTIONARY-4'!$A$7</f>
        <v>KR</v>
      </c>
      <c r="T674" s="732" t="str">
        <f>'DICTIONARY-4'!$A$23</f>
        <v>Kółko ręczne</v>
      </c>
      <c r="U674" s="734" t="s">
        <v>5752</v>
      </c>
      <c r="V674" s="735">
        <v>10</v>
      </c>
      <c r="W674" s="736"/>
      <c r="X674" s="737"/>
      <c r="Y674" s="738"/>
      <c r="Z674" s="739"/>
      <c r="AA674" s="739"/>
      <c r="AB674" s="740">
        <v>10</v>
      </c>
      <c r="AC674" s="741" t="str">
        <f>'DICTIONARY-5'!$A$11&amp;" 20"</f>
        <v>EN 558 szereg 20</v>
      </c>
      <c r="AD674" s="741" t="str">
        <f>'DICTIONARY-5'!$A$14</f>
        <v>ścieki</v>
      </c>
      <c r="AE674" s="742">
        <v>50</v>
      </c>
      <c r="AF674" s="743">
        <v>86.5</v>
      </c>
      <c r="AG674" s="741" t="str">
        <f>'DICTIONARY-5'!$A$23</f>
        <v>powłoka epoksydowa</v>
      </c>
    </row>
    <row r="675" spans="1:33" x14ac:dyDescent="0.25">
      <c r="A675" s="847" t="s">
        <v>652</v>
      </c>
      <c r="B675" s="847" t="s">
        <v>3165</v>
      </c>
      <c r="C675" s="836">
        <v>1936</v>
      </c>
      <c r="D675" s="836"/>
      <c r="E675" s="836"/>
      <c r="F675" s="836"/>
      <c r="G675" s="496" t="s">
        <v>7796</v>
      </c>
      <c r="H675" s="797" t="str">
        <f>VLOOKUP(G675,SETTINGS!$B$7:$D$97,2,0)</f>
        <v>ZETA</v>
      </c>
      <c r="I675" s="796">
        <f>VLOOKUP(G675,SETTINGS!$B$7:$D$97,3,0)</f>
        <v>0</v>
      </c>
      <c r="J675" s="670" t="str">
        <f>IFERROR(IF(CURRENCY.FORMAT_1=0,CONCATENATE(TEXT(FIXED(ROUND((C675/EXC.RATE_1),CURRENCY.FORMAT_1),CURRENCY.FORMAT_1,1),"# ##0;-# ##0"),",-"),FIXED(ROUND((C675/EXC.RATE_1),CURRENCY.FORMAT_1),CURRENCY.FORMAT_1,0)),'DICTIONARY-5'!$A$2)</f>
        <v>1 936,-</v>
      </c>
      <c r="K675" s="670" t="str">
        <f>IF(EXC.RATE_2=0,"",IFERROR(IF(CURRENCY.FORMAT_2=0,CONCATENATE(TEXT(FIXED(ROUND(IF(EXC.RATE.SWITCH=1,C675/EXC.RATE_2,C675*EXC.RATE_2),CURRENCY.FORMAT_2),CURRENCY.FORMAT_2,1),"# ##0;-# ##0"),",-"),FIXED(ROUND(IF(EXC.RATE.SWITCH=1,C675/EXC.RATE_2,C675*EXC.RATE_2),CURRENCY.FORMAT_2),CURRENCY.FORMAT_2,0)),'DICTIONARY-5'!$A$2))</f>
        <v/>
      </c>
      <c r="L675" s="670" t="str">
        <f>IFERROR(IF(CURRENCY.FORMAT_1=0,CONCATENATE(TEXT(FIXED(ROUND((C675*(1-I675)*(1-ADD.DISCOUNT)*(1+MAT.SURCHARGE)/EXC.RATE_1),CURRENCY.FORMAT_1),CURRENCY.FORMAT_1,1),"# ##0;-# ##0"),",-"),FIXED(ROUND((C675*(1-I675)*(1-ADD.DISCOUNT)*(1+MAT.SURCHARGE)/EXC.RATE_1),CURRENCY.FORMAT_1),CURRENCY.FORMAT_1,0)),'DICTIONARY-5'!$A$2)</f>
        <v>2 012,-</v>
      </c>
      <c r="M675" s="670" t="str">
        <f>IF(EXC.RATE_2=0,"",IFERROR(IF(CURRENCY.FORMAT_2=0,CONCATENATE(TEXT(FIXED(ROUND(IF(EXC.RATE.SWITCH=1,C675*(1-I675)*(1-ADD.DISCOUNT)*(1+MAT.SURCHARGE)/EXC.RATE_2,C675*(1-I675)*(1-ADD.DISCOUNT)*(1+MAT.SURCHARGE)*EXC.RATE_2),CURRENCY.FORMAT_2),CURRENCY.FORMAT_2,1),"# ##0;-# ##0"),",-"),FIXED(ROUND(IF(EXC.RATE.SWITCH=1,C675*(1-I675)*(1-ADD.DISCOUNT)*(1+MAT.SURCHARGE)/EXC.RATE_2,C675*(1-I675)*(1-ADD.DISCOUNT)*(1+MAT.SURCHARGE)*EXC.RATE_2),CURRENCY.FORMAT_2),CURRENCY.FORMAT_2,0)),'DICTIONARY-5'!$A$2))</f>
        <v/>
      </c>
      <c r="N675" s="544">
        <v>2</v>
      </c>
      <c r="O675" s="544"/>
      <c r="P675" s="732" t="str">
        <f>'DICTIONARY-3'!$A$12</f>
        <v>ZETAcontrol</v>
      </c>
      <c r="Q675" s="732" t="str">
        <f>'DICTIONARY-3'!$A$189</f>
        <v>Zasuwa nożowa</v>
      </c>
      <c r="R675" s="732" t="str">
        <f>CONCATENATE('DICTIONARY-3'!$A$12," ",'DICTIONARY-6'!$A$6," ",'DICTIONARY-5'!$A$35," ",'DICTIONARY-2'!$A$2,"350"," ",'DICTIONARY-2'!$A$3,"10"," ",'DICTIONARY-2'!$A$10,"8",'DICTIONARY-2'!$A$20,", ",'DICTIONARY-4'!$A$7)</f>
        <v>ZETAcontrol Zasuwa noż. A4 DN350 PN10 PS8bar, KR</v>
      </c>
      <c r="S675" s="733" t="str">
        <f>'DICTIONARY-4'!$A$7</f>
        <v>KR</v>
      </c>
      <c r="T675" s="732" t="str">
        <f>'DICTIONARY-4'!$A$23</f>
        <v>Kółko ręczne</v>
      </c>
      <c r="U675" s="734" t="s">
        <v>5753</v>
      </c>
      <c r="V675" s="735">
        <v>10</v>
      </c>
      <c r="W675" s="736"/>
      <c r="X675" s="737"/>
      <c r="Y675" s="738"/>
      <c r="Z675" s="739"/>
      <c r="AA675" s="739"/>
      <c r="AB675" s="740">
        <v>8</v>
      </c>
      <c r="AC675" s="741" t="str">
        <f>'DICTIONARY-5'!$A$11&amp;" 20"</f>
        <v>EN 558 szereg 20</v>
      </c>
      <c r="AD675" s="741" t="str">
        <f>'DICTIONARY-5'!$A$14</f>
        <v>ścieki</v>
      </c>
      <c r="AE675" s="742">
        <v>50</v>
      </c>
      <c r="AF675" s="743">
        <v>113.5</v>
      </c>
      <c r="AG675" s="741" t="str">
        <f>'DICTIONARY-5'!$A$23</f>
        <v>powłoka epoksydowa</v>
      </c>
    </row>
    <row r="676" spans="1:33" x14ac:dyDescent="0.25">
      <c r="A676" s="847" t="s">
        <v>653</v>
      </c>
      <c r="B676" s="847" t="s">
        <v>3167</v>
      </c>
      <c r="C676" s="836">
        <v>2694</v>
      </c>
      <c r="D676" s="836"/>
      <c r="E676" s="836"/>
      <c r="F676" s="836"/>
      <c r="G676" s="496" t="s">
        <v>7796</v>
      </c>
      <c r="H676" s="797" t="str">
        <f>VLOOKUP(G676,SETTINGS!$B$7:$D$97,2,0)</f>
        <v>ZETA</v>
      </c>
      <c r="I676" s="796">
        <f>VLOOKUP(G676,SETTINGS!$B$7:$D$97,3,0)</f>
        <v>0</v>
      </c>
      <c r="J676" s="670" t="str">
        <f>IFERROR(IF(CURRENCY.FORMAT_1=0,CONCATENATE(TEXT(FIXED(ROUND((C676/EXC.RATE_1),CURRENCY.FORMAT_1),CURRENCY.FORMAT_1,1),"# ##0;-# ##0"),",-"),FIXED(ROUND((C676/EXC.RATE_1),CURRENCY.FORMAT_1),CURRENCY.FORMAT_1,0)),'DICTIONARY-5'!$A$2)</f>
        <v>2 694,-</v>
      </c>
      <c r="K676" s="670" t="str">
        <f>IF(EXC.RATE_2=0,"",IFERROR(IF(CURRENCY.FORMAT_2=0,CONCATENATE(TEXT(FIXED(ROUND(IF(EXC.RATE.SWITCH=1,C676/EXC.RATE_2,C676*EXC.RATE_2),CURRENCY.FORMAT_2),CURRENCY.FORMAT_2,1),"# ##0;-# ##0"),",-"),FIXED(ROUND(IF(EXC.RATE.SWITCH=1,C676/EXC.RATE_2,C676*EXC.RATE_2),CURRENCY.FORMAT_2),CURRENCY.FORMAT_2,0)),'DICTIONARY-5'!$A$2))</f>
        <v/>
      </c>
      <c r="L676" s="670" t="str">
        <f>IFERROR(IF(CURRENCY.FORMAT_1=0,CONCATENATE(TEXT(FIXED(ROUND((C676*(1-I676)*(1-ADD.DISCOUNT)*(1+MAT.SURCHARGE)/EXC.RATE_1),CURRENCY.FORMAT_1),CURRENCY.FORMAT_1,1),"# ##0;-# ##0"),",-"),FIXED(ROUND((C676*(1-I676)*(1-ADD.DISCOUNT)*(1+MAT.SURCHARGE)/EXC.RATE_1),CURRENCY.FORMAT_1),CURRENCY.FORMAT_1,0)),'DICTIONARY-5'!$A$2)</f>
        <v>2 799,-</v>
      </c>
      <c r="M676" s="670" t="str">
        <f>IF(EXC.RATE_2=0,"",IFERROR(IF(CURRENCY.FORMAT_2=0,CONCATENATE(TEXT(FIXED(ROUND(IF(EXC.RATE.SWITCH=1,C676*(1-I676)*(1-ADD.DISCOUNT)*(1+MAT.SURCHARGE)/EXC.RATE_2,C676*(1-I676)*(1-ADD.DISCOUNT)*(1+MAT.SURCHARGE)*EXC.RATE_2),CURRENCY.FORMAT_2),CURRENCY.FORMAT_2,1),"# ##0;-# ##0"),",-"),FIXED(ROUND(IF(EXC.RATE.SWITCH=1,C676*(1-I676)*(1-ADD.DISCOUNT)*(1+MAT.SURCHARGE)/EXC.RATE_2,C676*(1-I676)*(1-ADD.DISCOUNT)*(1+MAT.SURCHARGE)*EXC.RATE_2),CURRENCY.FORMAT_2),CURRENCY.FORMAT_2,0)),'DICTIONARY-5'!$A$2))</f>
        <v/>
      </c>
      <c r="N676" s="544">
        <v>2</v>
      </c>
      <c r="O676" s="544"/>
      <c r="P676" s="732" t="str">
        <f>'DICTIONARY-3'!$A$12</f>
        <v>ZETAcontrol</v>
      </c>
      <c r="Q676" s="732" t="str">
        <f>'DICTIONARY-3'!$A$189</f>
        <v>Zasuwa nożowa</v>
      </c>
      <c r="R676" s="732" t="str">
        <f>CONCATENATE('DICTIONARY-3'!$A$12," ",'DICTIONARY-6'!$A$6," ",'DICTIONARY-5'!$A$35," ",'DICTIONARY-2'!$A$2,"400"," ",'DICTIONARY-2'!$A$3,"10"," ",'DICTIONARY-2'!$A$10,"8",'DICTIONARY-2'!$A$20,", ",'DICTIONARY-4'!$A$7)</f>
        <v>ZETAcontrol Zasuwa noż. A4 DN400 PN10 PS8bar, KR</v>
      </c>
      <c r="S676" s="733" t="str">
        <f>'DICTIONARY-4'!$A$7</f>
        <v>KR</v>
      </c>
      <c r="T676" s="732" t="str">
        <f>'DICTIONARY-4'!$A$23</f>
        <v>Kółko ręczne</v>
      </c>
      <c r="U676" s="734" t="s">
        <v>5754</v>
      </c>
      <c r="V676" s="735">
        <v>10</v>
      </c>
      <c r="W676" s="736"/>
      <c r="X676" s="737"/>
      <c r="Y676" s="738"/>
      <c r="Z676" s="739"/>
      <c r="AA676" s="739"/>
      <c r="AB676" s="740">
        <v>8</v>
      </c>
      <c r="AC676" s="741" t="str">
        <f>'DICTIONARY-5'!$A$11&amp;" 20"</f>
        <v>EN 558 szereg 20</v>
      </c>
      <c r="AD676" s="741" t="str">
        <f>'DICTIONARY-5'!$A$14</f>
        <v>ścieki</v>
      </c>
      <c r="AE676" s="742">
        <v>50</v>
      </c>
      <c r="AF676" s="743">
        <v>160</v>
      </c>
      <c r="AG676" s="741" t="str">
        <f>'DICTIONARY-5'!$A$23</f>
        <v>powłoka epoksydowa</v>
      </c>
    </row>
    <row r="677" spans="1:33" x14ac:dyDescent="0.25">
      <c r="A677" s="847" t="s">
        <v>654</v>
      </c>
      <c r="B677" s="847" t="s">
        <v>3169</v>
      </c>
      <c r="C677" s="836">
        <v>5374</v>
      </c>
      <c r="D677" s="836"/>
      <c r="E677" s="836"/>
      <c r="F677" s="836"/>
      <c r="G677" s="496" t="s">
        <v>7796</v>
      </c>
      <c r="H677" s="797" t="str">
        <f>VLOOKUP(G677,SETTINGS!$B$7:$D$97,2,0)</f>
        <v>ZETA</v>
      </c>
      <c r="I677" s="796">
        <f>VLOOKUP(G677,SETTINGS!$B$7:$D$97,3,0)</f>
        <v>0</v>
      </c>
      <c r="J677" s="670" t="str">
        <f>IFERROR(IF(CURRENCY.FORMAT_1=0,CONCATENATE(TEXT(FIXED(ROUND((C677/EXC.RATE_1),CURRENCY.FORMAT_1),CURRENCY.FORMAT_1,1),"# ##0;-# ##0"),",-"),FIXED(ROUND((C677/EXC.RATE_1),CURRENCY.FORMAT_1),CURRENCY.FORMAT_1,0)),'DICTIONARY-5'!$A$2)</f>
        <v>5 374,-</v>
      </c>
      <c r="K677" s="670" t="str">
        <f>IF(EXC.RATE_2=0,"",IFERROR(IF(CURRENCY.FORMAT_2=0,CONCATENATE(TEXT(FIXED(ROUND(IF(EXC.RATE.SWITCH=1,C677/EXC.RATE_2,C677*EXC.RATE_2),CURRENCY.FORMAT_2),CURRENCY.FORMAT_2,1),"# ##0;-# ##0"),",-"),FIXED(ROUND(IF(EXC.RATE.SWITCH=1,C677/EXC.RATE_2,C677*EXC.RATE_2),CURRENCY.FORMAT_2),CURRENCY.FORMAT_2,0)),'DICTIONARY-5'!$A$2))</f>
        <v/>
      </c>
      <c r="L677" s="670" t="str">
        <f>IFERROR(IF(CURRENCY.FORMAT_1=0,CONCATENATE(TEXT(FIXED(ROUND((C677*(1-I677)*(1-ADD.DISCOUNT)*(1+MAT.SURCHARGE)/EXC.RATE_1),CURRENCY.FORMAT_1),CURRENCY.FORMAT_1,1),"# ##0;-# ##0"),",-"),FIXED(ROUND((C677*(1-I677)*(1-ADD.DISCOUNT)*(1+MAT.SURCHARGE)/EXC.RATE_1),CURRENCY.FORMAT_1),CURRENCY.FORMAT_1,0)),'DICTIONARY-5'!$A$2)</f>
        <v>5 584,-</v>
      </c>
      <c r="M677" s="670" t="str">
        <f>IF(EXC.RATE_2=0,"",IFERROR(IF(CURRENCY.FORMAT_2=0,CONCATENATE(TEXT(FIXED(ROUND(IF(EXC.RATE.SWITCH=1,C677*(1-I677)*(1-ADD.DISCOUNT)*(1+MAT.SURCHARGE)/EXC.RATE_2,C677*(1-I677)*(1-ADD.DISCOUNT)*(1+MAT.SURCHARGE)*EXC.RATE_2),CURRENCY.FORMAT_2),CURRENCY.FORMAT_2,1),"# ##0;-# ##0"),",-"),FIXED(ROUND(IF(EXC.RATE.SWITCH=1,C677*(1-I677)*(1-ADD.DISCOUNT)*(1+MAT.SURCHARGE)/EXC.RATE_2,C677*(1-I677)*(1-ADD.DISCOUNT)*(1+MAT.SURCHARGE)*EXC.RATE_2),CURRENCY.FORMAT_2),CURRENCY.FORMAT_2,0)),'DICTIONARY-5'!$A$2))</f>
        <v/>
      </c>
      <c r="N677" s="544">
        <v>2</v>
      </c>
      <c r="O677" s="544"/>
      <c r="P677" s="732" t="str">
        <f>'DICTIONARY-3'!$A$12</f>
        <v>ZETAcontrol</v>
      </c>
      <c r="Q677" s="732" t="str">
        <f>'DICTIONARY-3'!$A$189</f>
        <v>Zasuwa nożowa</v>
      </c>
      <c r="R677" s="732" t="str">
        <f>CONCATENATE('DICTIONARY-3'!$A$12," ",'DICTIONARY-6'!$A$6," ",'DICTIONARY-5'!$A$35," ",'DICTIONARY-2'!$A$2,"500"," ",'DICTIONARY-2'!$A$3,"10"," ",'DICTIONARY-2'!$A$10,"6",'DICTIONARY-2'!$A$20,", ",'DICTIONARY-4'!$A$7)</f>
        <v>ZETAcontrol Zasuwa noż. A4 DN500 PN10 PS6bar, KR</v>
      </c>
      <c r="S677" s="733" t="str">
        <f>'DICTIONARY-4'!$A$7</f>
        <v>KR</v>
      </c>
      <c r="T677" s="732" t="str">
        <f>'DICTIONARY-4'!$A$23</f>
        <v>Kółko ręczne</v>
      </c>
      <c r="U677" s="734" t="s">
        <v>5756</v>
      </c>
      <c r="V677" s="735">
        <v>10</v>
      </c>
      <c r="W677" s="736"/>
      <c r="X677" s="737"/>
      <c r="Y677" s="738"/>
      <c r="Z677" s="739"/>
      <c r="AA677" s="739"/>
      <c r="AB677" s="740">
        <v>6</v>
      </c>
      <c r="AC677" s="741" t="str">
        <f>'DICTIONARY-5'!$A$11&amp;" 20"</f>
        <v>EN 558 szereg 20</v>
      </c>
      <c r="AD677" s="741" t="str">
        <f>'DICTIONARY-5'!$A$14</f>
        <v>ścieki</v>
      </c>
      <c r="AE677" s="742">
        <v>50</v>
      </c>
      <c r="AF677" s="743">
        <v>281.55</v>
      </c>
      <c r="AG677" s="741" t="str">
        <f>'DICTIONARY-5'!$A$23</f>
        <v>powłoka epoksydowa</v>
      </c>
    </row>
    <row r="678" spans="1:33" x14ac:dyDescent="0.25">
      <c r="A678" s="847" t="s">
        <v>655</v>
      </c>
      <c r="B678" s="847" t="s">
        <v>3171</v>
      </c>
      <c r="C678" s="836">
        <v>7230</v>
      </c>
      <c r="D678" s="836"/>
      <c r="E678" s="836"/>
      <c r="F678" s="836"/>
      <c r="G678" s="496" t="s">
        <v>7796</v>
      </c>
      <c r="H678" s="797" t="str">
        <f>VLOOKUP(G678,SETTINGS!$B$7:$D$97,2,0)</f>
        <v>ZETA</v>
      </c>
      <c r="I678" s="796">
        <f>VLOOKUP(G678,SETTINGS!$B$7:$D$97,3,0)</f>
        <v>0</v>
      </c>
      <c r="J678" s="670" t="str">
        <f>IFERROR(IF(CURRENCY.FORMAT_1=0,CONCATENATE(TEXT(FIXED(ROUND((C678/EXC.RATE_1),CURRENCY.FORMAT_1),CURRENCY.FORMAT_1,1),"# ##0;-# ##0"),",-"),FIXED(ROUND((C678/EXC.RATE_1),CURRENCY.FORMAT_1),CURRENCY.FORMAT_1,0)),'DICTIONARY-5'!$A$2)</f>
        <v>7 230,-</v>
      </c>
      <c r="K678" s="670" t="str">
        <f>IF(EXC.RATE_2=0,"",IFERROR(IF(CURRENCY.FORMAT_2=0,CONCATENATE(TEXT(FIXED(ROUND(IF(EXC.RATE.SWITCH=1,C678/EXC.RATE_2,C678*EXC.RATE_2),CURRENCY.FORMAT_2),CURRENCY.FORMAT_2,1),"# ##0;-# ##0"),",-"),FIXED(ROUND(IF(EXC.RATE.SWITCH=1,C678/EXC.RATE_2,C678*EXC.RATE_2),CURRENCY.FORMAT_2),CURRENCY.FORMAT_2,0)),'DICTIONARY-5'!$A$2))</f>
        <v/>
      </c>
      <c r="L678" s="670" t="str">
        <f>IFERROR(IF(CURRENCY.FORMAT_1=0,CONCATENATE(TEXT(FIXED(ROUND((C678*(1-I678)*(1-ADD.DISCOUNT)*(1+MAT.SURCHARGE)/EXC.RATE_1),CURRENCY.FORMAT_1),CURRENCY.FORMAT_1,1),"# ##0;-# ##0"),",-"),FIXED(ROUND((C678*(1-I678)*(1-ADD.DISCOUNT)*(1+MAT.SURCHARGE)/EXC.RATE_1),CURRENCY.FORMAT_1),CURRENCY.FORMAT_1,0)),'DICTIONARY-5'!$A$2)</f>
        <v>7 512,-</v>
      </c>
      <c r="M678" s="670" t="str">
        <f>IF(EXC.RATE_2=0,"",IFERROR(IF(CURRENCY.FORMAT_2=0,CONCATENATE(TEXT(FIXED(ROUND(IF(EXC.RATE.SWITCH=1,C678*(1-I678)*(1-ADD.DISCOUNT)*(1+MAT.SURCHARGE)/EXC.RATE_2,C678*(1-I678)*(1-ADD.DISCOUNT)*(1+MAT.SURCHARGE)*EXC.RATE_2),CURRENCY.FORMAT_2),CURRENCY.FORMAT_2,1),"# ##0;-# ##0"),",-"),FIXED(ROUND(IF(EXC.RATE.SWITCH=1,C678*(1-I678)*(1-ADD.DISCOUNT)*(1+MAT.SURCHARGE)/EXC.RATE_2,C678*(1-I678)*(1-ADD.DISCOUNT)*(1+MAT.SURCHARGE)*EXC.RATE_2),CURRENCY.FORMAT_2),CURRENCY.FORMAT_2,0)),'DICTIONARY-5'!$A$2))</f>
        <v/>
      </c>
      <c r="N678" s="544">
        <v>2</v>
      </c>
      <c r="O678" s="544"/>
      <c r="P678" s="732" t="str">
        <f>'DICTIONARY-3'!$A$12</f>
        <v>ZETAcontrol</v>
      </c>
      <c r="Q678" s="732" t="str">
        <f>'DICTIONARY-3'!$A$189</f>
        <v>Zasuwa nożowa</v>
      </c>
      <c r="R678" s="732" t="str">
        <f>CONCATENATE('DICTIONARY-3'!$A$12," ",'DICTIONARY-6'!$A$6," ",'DICTIONARY-5'!$A$35," ",'DICTIONARY-2'!$A$2,"600"," ",'DICTIONARY-2'!$A$3,"10"," ",'DICTIONARY-2'!$A$10,"6",'DICTIONARY-2'!$A$20,", ",'DICTIONARY-4'!$A$7)</f>
        <v>ZETAcontrol Zasuwa noż. A4 DN600 PN10 PS6bar, KR</v>
      </c>
      <c r="S678" s="733" t="str">
        <f>'DICTIONARY-4'!$A$7</f>
        <v>KR</v>
      </c>
      <c r="T678" s="732" t="str">
        <f>'DICTIONARY-4'!$A$23</f>
        <v>Kółko ręczne</v>
      </c>
      <c r="U678" s="734" t="s">
        <v>5757</v>
      </c>
      <c r="V678" s="735">
        <v>10</v>
      </c>
      <c r="W678" s="736"/>
      <c r="X678" s="737"/>
      <c r="Y678" s="738"/>
      <c r="Z678" s="739"/>
      <c r="AA678" s="739"/>
      <c r="AB678" s="740">
        <v>6</v>
      </c>
      <c r="AC678" s="741" t="str">
        <f>'DICTIONARY-5'!$A$11&amp;" 20"</f>
        <v>EN 558 szereg 20</v>
      </c>
      <c r="AD678" s="741" t="str">
        <f>'DICTIONARY-5'!$A$14</f>
        <v>ścieki</v>
      </c>
      <c r="AE678" s="742">
        <v>50</v>
      </c>
      <c r="AF678" s="743">
        <v>387</v>
      </c>
      <c r="AG678" s="741" t="str">
        <f>'DICTIONARY-5'!$A$23</f>
        <v>powłoka epoksydowa</v>
      </c>
    </row>
    <row r="679" spans="1:33" x14ac:dyDescent="0.25">
      <c r="A679" s="842" t="s">
        <v>707</v>
      </c>
      <c r="B679" s="842" t="s">
        <v>3314</v>
      </c>
      <c r="C679" s="836">
        <v>1024</v>
      </c>
      <c r="D679" s="836"/>
      <c r="E679" s="836"/>
      <c r="F679" s="836"/>
      <c r="G679" s="496" t="s">
        <v>7799</v>
      </c>
      <c r="H679" s="797" t="str">
        <f>VLOOKUP(G679,SETTINGS!$B$7:$D$97,2,0)</f>
        <v>ERIplus</v>
      </c>
      <c r="I679" s="796">
        <f>VLOOKUP(G679,SETTINGS!$B$7:$D$97,3,0)</f>
        <v>0</v>
      </c>
      <c r="J679" s="670" t="str">
        <f>IFERROR(IF(CURRENCY.FORMAT_1=0,CONCATENATE(TEXT(FIXED(ROUND((C679/EXC.RATE_1),CURRENCY.FORMAT_1),CURRENCY.FORMAT_1,1),"# ##0;-# ##0"),",-"),FIXED(ROUND((C679/EXC.RATE_1),CURRENCY.FORMAT_1),CURRENCY.FORMAT_1,0)),'DICTIONARY-5'!$A$2)</f>
        <v>1 024,-</v>
      </c>
      <c r="K679" s="670" t="str">
        <f>IF(EXC.RATE_2=0,"",IFERROR(IF(CURRENCY.FORMAT_2=0,CONCATENATE(TEXT(FIXED(ROUND(IF(EXC.RATE.SWITCH=1,C679/EXC.RATE_2,C679*EXC.RATE_2),CURRENCY.FORMAT_2),CURRENCY.FORMAT_2,1),"# ##0;-# ##0"),",-"),FIXED(ROUND(IF(EXC.RATE.SWITCH=1,C679/EXC.RATE_2,C679*EXC.RATE_2),CURRENCY.FORMAT_2),CURRENCY.FORMAT_2,0)),'DICTIONARY-5'!$A$2))</f>
        <v/>
      </c>
      <c r="L679" s="670" t="str">
        <f>IFERROR(IF(CURRENCY.FORMAT_1=0,CONCATENATE(TEXT(FIXED(ROUND((C679*(1-I679)*(1-ADD.DISCOUNT)*(1+MAT.SURCHARGE)/EXC.RATE_1),CURRENCY.FORMAT_1),CURRENCY.FORMAT_1,1),"# ##0;-# ##0"),",-"),FIXED(ROUND((C679*(1-I679)*(1-ADD.DISCOUNT)*(1+MAT.SURCHARGE)/EXC.RATE_1),CURRENCY.FORMAT_1),CURRENCY.FORMAT_1,0)),'DICTIONARY-5'!$A$2)</f>
        <v>1 064,-</v>
      </c>
      <c r="M679" s="670" t="str">
        <f>IF(EXC.RATE_2=0,"",IFERROR(IF(CURRENCY.FORMAT_2=0,CONCATENATE(TEXT(FIXED(ROUND(IF(EXC.RATE.SWITCH=1,C679*(1-I679)*(1-ADD.DISCOUNT)*(1+MAT.SURCHARGE)/EXC.RATE_2,C679*(1-I679)*(1-ADD.DISCOUNT)*(1+MAT.SURCHARGE)*EXC.RATE_2),CURRENCY.FORMAT_2),CURRENCY.FORMAT_2,1),"# ##0;-# ##0"),",-"),FIXED(ROUND(IF(EXC.RATE.SWITCH=1,C679*(1-I679)*(1-ADD.DISCOUNT)*(1+MAT.SURCHARGE)/EXC.RATE_2,C679*(1-I679)*(1-ADD.DISCOUNT)*(1+MAT.SURCHARGE)*EXC.RATE_2),CURRENCY.FORMAT_2),CURRENCY.FORMAT_2,0)),'DICTIONARY-5'!$A$2))</f>
        <v/>
      </c>
      <c r="N679" s="544">
        <v>2</v>
      </c>
      <c r="O679" s="544"/>
      <c r="P679" s="731" t="str">
        <f>'DICTIONARY-3'!$A$15</f>
        <v>ERIplus</v>
      </c>
      <c r="Q679" s="732" t="str">
        <f>'DICTIONARY-3'!$A$190</f>
        <v>Zasuwa wrzecionowa</v>
      </c>
      <c r="R679" s="732" t="str">
        <f>CONCATENATE('DICTIONARY-3'!$A$15," ",'DICTIONARY-6'!$A$5," ",'DICTIONARY-2'!$A$2,"150",", ",'DICTIONARY-4'!$A$2,", max.10",'DICTIONARY-2'!$A$41,", ",'DICTIONARY-4'!$A$2)</f>
        <v>ERIplus Zasuwa wrzec. DN150, WW, max.10mSW, WW</v>
      </c>
      <c r="S679" s="733" t="str">
        <f>'DICTIONARY-4'!$A$2</f>
        <v>WW</v>
      </c>
      <c r="T679" s="732" t="str">
        <f>'DICTIONARY-4'!$A$18</f>
        <v>Wolny wałek</v>
      </c>
      <c r="U679" s="734" t="s">
        <v>5572</v>
      </c>
      <c r="V679" s="735"/>
      <c r="W679" s="736"/>
      <c r="X679" s="737"/>
      <c r="Y679" s="738"/>
      <c r="Z679" s="739">
        <v>596</v>
      </c>
      <c r="AA679" s="739"/>
      <c r="AB679" s="746">
        <v>1</v>
      </c>
      <c r="AC679" s="741"/>
      <c r="AD679" s="741" t="str">
        <f>'DICTIONARY-5'!$A$14</f>
        <v>ścieki</v>
      </c>
      <c r="AE679" s="742">
        <v>50</v>
      </c>
      <c r="AF679" s="743">
        <v>15.5</v>
      </c>
      <c r="AG679" s="733" t="str">
        <f>'DICTIONARY-5'!$A$27</f>
        <v>pasywacja</v>
      </c>
    </row>
    <row r="680" spans="1:33" x14ac:dyDescent="0.25">
      <c r="A680" s="842" t="s">
        <v>710</v>
      </c>
      <c r="B680" s="842" t="s">
        <v>3315</v>
      </c>
      <c r="C680" s="836">
        <v>1148</v>
      </c>
      <c r="D680" s="836"/>
      <c r="E680" s="836"/>
      <c r="F680" s="836"/>
      <c r="G680" s="496" t="s">
        <v>7799</v>
      </c>
      <c r="H680" s="797" t="str">
        <f>VLOOKUP(G680,SETTINGS!$B$7:$D$97,2,0)</f>
        <v>ERIplus</v>
      </c>
      <c r="I680" s="796">
        <f>VLOOKUP(G680,SETTINGS!$B$7:$D$97,3,0)</f>
        <v>0</v>
      </c>
      <c r="J680" s="670" t="str">
        <f>IFERROR(IF(CURRENCY.FORMAT_1=0,CONCATENATE(TEXT(FIXED(ROUND((C680/EXC.RATE_1),CURRENCY.FORMAT_1),CURRENCY.FORMAT_1,1),"# ##0;-# ##0"),",-"),FIXED(ROUND((C680/EXC.RATE_1),CURRENCY.FORMAT_1),CURRENCY.FORMAT_1,0)),'DICTIONARY-5'!$A$2)</f>
        <v>1 148,-</v>
      </c>
      <c r="K680" s="670" t="str">
        <f>IF(EXC.RATE_2=0,"",IFERROR(IF(CURRENCY.FORMAT_2=0,CONCATENATE(TEXT(FIXED(ROUND(IF(EXC.RATE.SWITCH=1,C680/EXC.RATE_2,C680*EXC.RATE_2),CURRENCY.FORMAT_2),CURRENCY.FORMAT_2,1),"# ##0;-# ##0"),",-"),FIXED(ROUND(IF(EXC.RATE.SWITCH=1,C680/EXC.RATE_2,C680*EXC.RATE_2),CURRENCY.FORMAT_2),CURRENCY.FORMAT_2,0)),'DICTIONARY-5'!$A$2))</f>
        <v/>
      </c>
      <c r="L680" s="670" t="str">
        <f>IFERROR(IF(CURRENCY.FORMAT_1=0,CONCATENATE(TEXT(FIXED(ROUND((C680*(1-I680)*(1-ADD.DISCOUNT)*(1+MAT.SURCHARGE)/EXC.RATE_1),CURRENCY.FORMAT_1),CURRENCY.FORMAT_1,1),"# ##0;-# ##0"),",-"),FIXED(ROUND((C680*(1-I680)*(1-ADD.DISCOUNT)*(1+MAT.SURCHARGE)/EXC.RATE_1),CURRENCY.FORMAT_1),CURRENCY.FORMAT_1,0)),'DICTIONARY-5'!$A$2)</f>
        <v>1 193,-</v>
      </c>
      <c r="M680" s="670" t="str">
        <f>IF(EXC.RATE_2=0,"",IFERROR(IF(CURRENCY.FORMAT_2=0,CONCATENATE(TEXT(FIXED(ROUND(IF(EXC.RATE.SWITCH=1,C680*(1-I680)*(1-ADD.DISCOUNT)*(1+MAT.SURCHARGE)/EXC.RATE_2,C680*(1-I680)*(1-ADD.DISCOUNT)*(1+MAT.SURCHARGE)*EXC.RATE_2),CURRENCY.FORMAT_2),CURRENCY.FORMAT_2,1),"# ##0;-# ##0"),",-"),FIXED(ROUND(IF(EXC.RATE.SWITCH=1,C680*(1-I680)*(1-ADD.DISCOUNT)*(1+MAT.SURCHARGE)/EXC.RATE_2,C680*(1-I680)*(1-ADD.DISCOUNT)*(1+MAT.SURCHARGE)*EXC.RATE_2),CURRENCY.FORMAT_2),CURRENCY.FORMAT_2,0)),'DICTIONARY-5'!$A$2))</f>
        <v/>
      </c>
      <c r="N680" s="544">
        <v>2</v>
      </c>
      <c r="O680" s="544"/>
      <c r="P680" s="731" t="str">
        <f>'DICTIONARY-3'!$A$15</f>
        <v>ERIplus</v>
      </c>
      <c r="Q680" s="732" t="str">
        <f>'DICTIONARY-3'!$A$190</f>
        <v>Zasuwa wrzecionowa</v>
      </c>
      <c r="R680" s="732" t="str">
        <f>CONCATENATE('DICTIONARY-3'!$A$15," ",'DICTIONARY-6'!$A$5," ",'DICTIONARY-2'!$A$2,"200",", ",'DICTIONARY-4'!$A$2,", max.10",'DICTIONARY-2'!$A$41,", ",'DICTIONARY-4'!$A$2)</f>
        <v>ERIplus Zasuwa wrzec. DN200, WW, max.10mSW, WW</v>
      </c>
      <c r="S680" s="733" t="str">
        <f>'DICTIONARY-4'!$A$2</f>
        <v>WW</v>
      </c>
      <c r="T680" s="732" t="str">
        <f>'DICTIONARY-4'!$A$18</f>
        <v>Wolny wałek</v>
      </c>
      <c r="U680" s="734" t="s">
        <v>5750</v>
      </c>
      <c r="V680" s="735"/>
      <c r="W680" s="736"/>
      <c r="X680" s="737"/>
      <c r="Y680" s="738"/>
      <c r="Z680" s="739">
        <v>696</v>
      </c>
      <c r="AA680" s="739"/>
      <c r="AB680" s="746">
        <v>1</v>
      </c>
      <c r="AC680" s="741"/>
      <c r="AD680" s="741" t="str">
        <f>'DICTIONARY-5'!$A$14</f>
        <v>ścieki</v>
      </c>
      <c r="AE680" s="742">
        <v>50</v>
      </c>
      <c r="AF680" s="743">
        <v>20</v>
      </c>
      <c r="AG680" s="733" t="str">
        <f>'DICTIONARY-5'!$A$27</f>
        <v>pasywacja</v>
      </c>
    </row>
    <row r="681" spans="1:33" x14ac:dyDescent="0.25">
      <c r="A681" s="842" t="s">
        <v>713</v>
      </c>
      <c r="B681" s="842" t="s">
        <v>3316</v>
      </c>
      <c r="C681" s="836">
        <v>1306</v>
      </c>
      <c r="D681" s="836"/>
      <c r="E681" s="836"/>
      <c r="F681" s="836"/>
      <c r="G681" s="496" t="s">
        <v>7799</v>
      </c>
      <c r="H681" s="797" t="str">
        <f>VLOOKUP(G681,SETTINGS!$B$7:$D$97,2,0)</f>
        <v>ERIplus</v>
      </c>
      <c r="I681" s="796">
        <f>VLOOKUP(G681,SETTINGS!$B$7:$D$97,3,0)</f>
        <v>0</v>
      </c>
      <c r="J681" s="670" t="str">
        <f>IFERROR(IF(CURRENCY.FORMAT_1=0,CONCATENATE(TEXT(FIXED(ROUND((C681/EXC.RATE_1),CURRENCY.FORMAT_1),CURRENCY.FORMAT_1,1),"# ##0;-# ##0"),",-"),FIXED(ROUND((C681/EXC.RATE_1),CURRENCY.FORMAT_1),CURRENCY.FORMAT_1,0)),'DICTIONARY-5'!$A$2)</f>
        <v>1 306,-</v>
      </c>
      <c r="K681" s="670" t="str">
        <f>IF(EXC.RATE_2=0,"",IFERROR(IF(CURRENCY.FORMAT_2=0,CONCATENATE(TEXT(FIXED(ROUND(IF(EXC.RATE.SWITCH=1,C681/EXC.RATE_2,C681*EXC.RATE_2),CURRENCY.FORMAT_2),CURRENCY.FORMAT_2,1),"# ##0;-# ##0"),",-"),FIXED(ROUND(IF(EXC.RATE.SWITCH=1,C681/EXC.RATE_2,C681*EXC.RATE_2),CURRENCY.FORMAT_2),CURRENCY.FORMAT_2,0)),'DICTIONARY-5'!$A$2))</f>
        <v/>
      </c>
      <c r="L681" s="670" t="str">
        <f>IFERROR(IF(CURRENCY.FORMAT_1=0,CONCATENATE(TEXT(FIXED(ROUND((C681*(1-I681)*(1-ADD.DISCOUNT)*(1+MAT.SURCHARGE)/EXC.RATE_1),CURRENCY.FORMAT_1),CURRENCY.FORMAT_1,1),"# ##0;-# ##0"),",-"),FIXED(ROUND((C681*(1-I681)*(1-ADD.DISCOUNT)*(1+MAT.SURCHARGE)/EXC.RATE_1),CURRENCY.FORMAT_1),CURRENCY.FORMAT_1,0)),'DICTIONARY-5'!$A$2)</f>
        <v>1 357,-</v>
      </c>
      <c r="M681" s="670" t="str">
        <f>IF(EXC.RATE_2=0,"",IFERROR(IF(CURRENCY.FORMAT_2=0,CONCATENATE(TEXT(FIXED(ROUND(IF(EXC.RATE.SWITCH=1,C681*(1-I681)*(1-ADD.DISCOUNT)*(1+MAT.SURCHARGE)/EXC.RATE_2,C681*(1-I681)*(1-ADD.DISCOUNT)*(1+MAT.SURCHARGE)*EXC.RATE_2),CURRENCY.FORMAT_2),CURRENCY.FORMAT_2,1),"# ##0;-# ##0"),",-"),FIXED(ROUND(IF(EXC.RATE.SWITCH=1,C681*(1-I681)*(1-ADD.DISCOUNT)*(1+MAT.SURCHARGE)/EXC.RATE_2,C681*(1-I681)*(1-ADD.DISCOUNT)*(1+MAT.SURCHARGE)*EXC.RATE_2),CURRENCY.FORMAT_2),CURRENCY.FORMAT_2,0)),'DICTIONARY-5'!$A$2))</f>
        <v/>
      </c>
      <c r="N681" s="544">
        <v>2</v>
      </c>
      <c r="O681" s="544"/>
      <c r="P681" s="731" t="str">
        <f>'DICTIONARY-3'!$A$15</f>
        <v>ERIplus</v>
      </c>
      <c r="Q681" s="732" t="str">
        <f>'DICTIONARY-3'!$A$190</f>
        <v>Zasuwa wrzecionowa</v>
      </c>
      <c r="R681" s="732" t="str">
        <f>CONCATENATE('DICTIONARY-3'!$A$15," ",'DICTIONARY-6'!$A$5," ",'DICTIONARY-2'!$A$2,"250",", ",'DICTIONARY-4'!$A$2,", max.8",'DICTIONARY-2'!$A$41,", ",'DICTIONARY-4'!$A$2)</f>
        <v>ERIplus Zasuwa wrzec. DN250, WW, max.8mSW, WW</v>
      </c>
      <c r="S681" s="733" t="str">
        <f>'DICTIONARY-4'!$A$2</f>
        <v>WW</v>
      </c>
      <c r="T681" s="732" t="str">
        <f>'DICTIONARY-4'!$A$18</f>
        <v>Wolny wałek</v>
      </c>
      <c r="U681" s="734" t="s">
        <v>5751</v>
      </c>
      <c r="V681" s="735"/>
      <c r="W681" s="736"/>
      <c r="X681" s="737"/>
      <c r="Y681" s="738"/>
      <c r="Z681" s="739">
        <v>796</v>
      </c>
      <c r="AA681" s="739"/>
      <c r="AB681" s="746">
        <v>0.8</v>
      </c>
      <c r="AC681" s="741"/>
      <c r="AD681" s="741" t="str">
        <f>'DICTIONARY-5'!$A$14</f>
        <v>ścieki</v>
      </c>
      <c r="AE681" s="742">
        <v>50</v>
      </c>
      <c r="AF681" s="743">
        <v>21.6</v>
      </c>
      <c r="AG681" s="733" t="str">
        <f>'DICTIONARY-5'!$A$27</f>
        <v>pasywacja</v>
      </c>
    </row>
    <row r="682" spans="1:33" x14ac:dyDescent="0.25">
      <c r="A682" s="842" t="s">
        <v>716</v>
      </c>
      <c r="B682" s="842" t="s">
        <v>3317</v>
      </c>
      <c r="C682" s="836">
        <v>1451</v>
      </c>
      <c r="D682" s="836"/>
      <c r="E682" s="836"/>
      <c r="F682" s="836"/>
      <c r="G682" s="496" t="s">
        <v>7799</v>
      </c>
      <c r="H682" s="797" t="str">
        <f>VLOOKUP(G682,SETTINGS!$B$7:$D$97,2,0)</f>
        <v>ERIplus</v>
      </c>
      <c r="I682" s="796">
        <f>VLOOKUP(G682,SETTINGS!$B$7:$D$97,3,0)</f>
        <v>0</v>
      </c>
      <c r="J682" s="670" t="str">
        <f>IFERROR(IF(CURRENCY.FORMAT_1=0,CONCATENATE(TEXT(FIXED(ROUND((C682/EXC.RATE_1),CURRENCY.FORMAT_1),CURRENCY.FORMAT_1,1),"# ##0;-# ##0"),",-"),FIXED(ROUND((C682/EXC.RATE_1),CURRENCY.FORMAT_1),CURRENCY.FORMAT_1,0)),'DICTIONARY-5'!$A$2)</f>
        <v>1 451,-</v>
      </c>
      <c r="K682" s="670" t="str">
        <f>IF(EXC.RATE_2=0,"",IFERROR(IF(CURRENCY.FORMAT_2=0,CONCATENATE(TEXT(FIXED(ROUND(IF(EXC.RATE.SWITCH=1,C682/EXC.RATE_2,C682*EXC.RATE_2),CURRENCY.FORMAT_2),CURRENCY.FORMAT_2,1),"# ##0;-# ##0"),",-"),FIXED(ROUND(IF(EXC.RATE.SWITCH=1,C682/EXC.RATE_2,C682*EXC.RATE_2),CURRENCY.FORMAT_2),CURRENCY.FORMAT_2,0)),'DICTIONARY-5'!$A$2))</f>
        <v/>
      </c>
      <c r="L682" s="670" t="str">
        <f>IFERROR(IF(CURRENCY.FORMAT_1=0,CONCATENATE(TEXT(FIXED(ROUND((C682*(1-I682)*(1-ADD.DISCOUNT)*(1+MAT.SURCHARGE)/EXC.RATE_1),CURRENCY.FORMAT_1),CURRENCY.FORMAT_1,1),"# ##0;-# ##0"),",-"),FIXED(ROUND((C682*(1-I682)*(1-ADD.DISCOUNT)*(1+MAT.SURCHARGE)/EXC.RATE_1),CURRENCY.FORMAT_1),CURRENCY.FORMAT_1,0)),'DICTIONARY-5'!$A$2)</f>
        <v>1 508,-</v>
      </c>
      <c r="M682" s="670" t="str">
        <f>IF(EXC.RATE_2=0,"",IFERROR(IF(CURRENCY.FORMAT_2=0,CONCATENATE(TEXT(FIXED(ROUND(IF(EXC.RATE.SWITCH=1,C682*(1-I682)*(1-ADD.DISCOUNT)*(1+MAT.SURCHARGE)/EXC.RATE_2,C682*(1-I682)*(1-ADD.DISCOUNT)*(1+MAT.SURCHARGE)*EXC.RATE_2),CURRENCY.FORMAT_2),CURRENCY.FORMAT_2,1),"# ##0;-# ##0"),",-"),FIXED(ROUND(IF(EXC.RATE.SWITCH=1,C682*(1-I682)*(1-ADD.DISCOUNT)*(1+MAT.SURCHARGE)/EXC.RATE_2,C682*(1-I682)*(1-ADD.DISCOUNT)*(1+MAT.SURCHARGE)*EXC.RATE_2),CURRENCY.FORMAT_2),CURRENCY.FORMAT_2,0)),'DICTIONARY-5'!$A$2))</f>
        <v/>
      </c>
      <c r="N682" s="544">
        <v>2</v>
      </c>
      <c r="O682" s="544"/>
      <c r="P682" s="731" t="str">
        <f>'DICTIONARY-3'!$A$15</f>
        <v>ERIplus</v>
      </c>
      <c r="Q682" s="732" t="str">
        <f>'DICTIONARY-3'!$A$190</f>
        <v>Zasuwa wrzecionowa</v>
      </c>
      <c r="R682" s="732" t="str">
        <f>CONCATENATE('DICTIONARY-3'!$A$15," ",'DICTIONARY-6'!$A$5," ",'DICTIONARY-2'!$A$2,"300",", ",'DICTIONARY-4'!$A$2,", max.8",'DICTIONARY-2'!$A$41,", ",'DICTIONARY-4'!$A$2)</f>
        <v>ERIplus Zasuwa wrzec. DN300, WW, max.8mSW, WW</v>
      </c>
      <c r="S682" s="733" t="str">
        <f>'DICTIONARY-4'!$A$2</f>
        <v>WW</v>
      </c>
      <c r="T682" s="732" t="str">
        <f>'DICTIONARY-4'!$A$18</f>
        <v>Wolny wałek</v>
      </c>
      <c r="U682" s="734" t="s">
        <v>5752</v>
      </c>
      <c r="V682" s="735"/>
      <c r="W682" s="736"/>
      <c r="X682" s="737"/>
      <c r="Y682" s="738"/>
      <c r="Z682" s="739">
        <v>896</v>
      </c>
      <c r="AA682" s="739"/>
      <c r="AB682" s="746">
        <v>0.8</v>
      </c>
      <c r="AC682" s="741"/>
      <c r="AD682" s="741" t="str">
        <f>'DICTIONARY-5'!$A$14</f>
        <v>ścieki</v>
      </c>
      <c r="AE682" s="742">
        <v>50</v>
      </c>
      <c r="AF682" s="743">
        <v>25.3</v>
      </c>
      <c r="AG682" s="733" t="str">
        <f>'DICTIONARY-5'!$A$27</f>
        <v>pasywacja</v>
      </c>
    </row>
    <row r="683" spans="1:33" x14ac:dyDescent="0.25">
      <c r="A683" s="842" t="s">
        <v>718</v>
      </c>
      <c r="B683" s="842" t="s">
        <v>3318</v>
      </c>
      <c r="C683" s="836">
        <v>1909</v>
      </c>
      <c r="D683" s="836"/>
      <c r="E683" s="836"/>
      <c r="F683" s="836"/>
      <c r="G683" s="496" t="s">
        <v>7799</v>
      </c>
      <c r="H683" s="797" t="str">
        <f>VLOOKUP(G683,SETTINGS!$B$7:$D$97,2,0)</f>
        <v>ERIplus</v>
      </c>
      <c r="I683" s="796">
        <f>VLOOKUP(G683,SETTINGS!$B$7:$D$97,3,0)</f>
        <v>0</v>
      </c>
      <c r="J683" s="670" t="str">
        <f>IFERROR(IF(CURRENCY.FORMAT_1=0,CONCATENATE(TEXT(FIXED(ROUND((C683/EXC.RATE_1),CURRENCY.FORMAT_1),CURRENCY.FORMAT_1,1),"# ##0;-# ##0"),",-"),FIXED(ROUND((C683/EXC.RATE_1),CURRENCY.FORMAT_1),CURRENCY.FORMAT_1,0)),'DICTIONARY-5'!$A$2)</f>
        <v>1 909,-</v>
      </c>
      <c r="K683" s="670" t="str">
        <f>IF(EXC.RATE_2=0,"",IFERROR(IF(CURRENCY.FORMAT_2=0,CONCATENATE(TEXT(FIXED(ROUND(IF(EXC.RATE.SWITCH=1,C683/EXC.RATE_2,C683*EXC.RATE_2),CURRENCY.FORMAT_2),CURRENCY.FORMAT_2,1),"# ##0;-# ##0"),",-"),FIXED(ROUND(IF(EXC.RATE.SWITCH=1,C683/EXC.RATE_2,C683*EXC.RATE_2),CURRENCY.FORMAT_2),CURRENCY.FORMAT_2,0)),'DICTIONARY-5'!$A$2))</f>
        <v/>
      </c>
      <c r="L683" s="670" t="str">
        <f>IFERROR(IF(CURRENCY.FORMAT_1=0,CONCATENATE(TEXT(FIXED(ROUND((C683*(1-I683)*(1-ADD.DISCOUNT)*(1+MAT.SURCHARGE)/EXC.RATE_1),CURRENCY.FORMAT_1),CURRENCY.FORMAT_1,1),"# ##0;-# ##0"),",-"),FIXED(ROUND((C683*(1-I683)*(1-ADD.DISCOUNT)*(1+MAT.SURCHARGE)/EXC.RATE_1),CURRENCY.FORMAT_1),CURRENCY.FORMAT_1,0)),'DICTIONARY-5'!$A$2)</f>
        <v>1 983,-</v>
      </c>
      <c r="M683" s="670" t="str">
        <f>IF(EXC.RATE_2=0,"",IFERROR(IF(CURRENCY.FORMAT_2=0,CONCATENATE(TEXT(FIXED(ROUND(IF(EXC.RATE.SWITCH=1,C683*(1-I683)*(1-ADD.DISCOUNT)*(1+MAT.SURCHARGE)/EXC.RATE_2,C683*(1-I683)*(1-ADD.DISCOUNT)*(1+MAT.SURCHARGE)*EXC.RATE_2),CURRENCY.FORMAT_2),CURRENCY.FORMAT_2,1),"# ##0;-# ##0"),",-"),FIXED(ROUND(IF(EXC.RATE.SWITCH=1,C683*(1-I683)*(1-ADD.DISCOUNT)*(1+MAT.SURCHARGE)/EXC.RATE_2,C683*(1-I683)*(1-ADD.DISCOUNT)*(1+MAT.SURCHARGE)*EXC.RATE_2),CURRENCY.FORMAT_2),CURRENCY.FORMAT_2,0)),'DICTIONARY-5'!$A$2))</f>
        <v/>
      </c>
      <c r="N683" s="544">
        <v>2</v>
      </c>
      <c r="O683" s="544"/>
      <c r="P683" s="731" t="str">
        <f>'DICTIONARY-3'!$A$15</f>
        <v>ERIplus</v>
      </c>
      <c r="Q683" s="732" t="str">
        <f>'DICTIONARY-3'!$A$190</f>
        <v>Zasuwa wrzecionowa</v>
      </c>
      <c r="R683" s="732" t="str">
        <f>CONCATENATE('DICTIONARY-3'!$A$15," ",'DICTIONARY-6'!$A$5," ",'DICTIONARY-2'!$A$2,"400",", ",'DICTIONARY-4'!$A$2,", max.6",'DICTIONARY-2'!$A$41,", ",'DICTIONARY-4'!$A$2)</f>
        <v>ERIplus Zasuwa wrzec. DN400, WW, max.6mSW, WW</v>
      </c>
      <c r="S683" s="733" t="str">
        <f>'DICTIONARY-4'!$A$2</f>
        <v>WW</v>
      </c>
      <c r="T683" s="732" t="str">
        <f>'DICTIONARY-4'!$A$18</f>
        <v>Wolny wałek</v>
      </c>
      <c r="U683" s="734" t="s">
        <v>5754</v>
      </c>
      <c r="V683" s="735"/>
      <c r="W683" s="736"/>
      <c r="X683" s="737"/>
      <c r="Y683" s="738"/>
      <c r="Z683" s="739">
        <v>1096</v>
      </c>
      <c r="AA683" s="739"/>
      <c r="AB683" s="746">
        <v>0.6</v>
      </c>
      <c r="AC683" s="741"/>
      <c r="AD683" s="741" t="str">
        <f>'DICTIONARY-5'!$A$14</f>
        <v>ścieki</v>
      </c>
      <c r="AE683" s="742">
        <v>50</v>
      </c>
      <c r="AF683" s="743">
        <v>37</v>
      </c>
      <c r="AG683" s="733" t="str">
        <f>'DICTIONARY-5'!$A$27</f>
        <v>pasywacja</v>
      </c>
    </row>
    <row r="684" spans="1:33" x14ac:dyDescent="0.25">
      <c r="A684" s="842" t="s">
        <v>720</v>
      </c>
      <c r="B684" s="842" t="s">
        <v>3319</v>
      </c>
      <c r="C684" s="836">
        <v>2406</v>
      </c>
      <c r="D684" s="836"/>
      <c r="E684" s="836"/>
      <c r="F684" s="836"/>
      <c r="G684" s="496" t="s">
        <v>7799</v>
      </c>
      <c r="H684" s="797" t="str">
        <f>VLOOKUP(G684,SETTINGS!$B$7:$D$97,2,0)</f>
        <v>ERIplus</v>
      </c>
      <c r="I684" s="796">
        <f>VLOOKUP(G684,SETTINGS!$B$7:$D$97,3,0)</f>
        <v>0</v>
      </c>
      <c r="J684" s="670" t="str">
        <f>IFERROR(IF(CURRENCY.FORMAT_1=0,CONCATENATE(TEXT(FIXED(ROUND((C684/EXC.RATE_1),CURRENCY.FORMAT_1),CURRENCY.FORMAT_1,1),"# ##0;-# ##0"),",-"),FIXED(ROUND((C684/EXC.RATE_1),CURRENCY.FORMAT_1),CURRENCY.FORMAT_1,0)),'DICTIONARY-5'!$A$2)</f>
        <v>2 406,-</v>
      </c>
      <c r="K684" s="670" t="str">
        <f>IF(EXC.RATE_2=0,"",IFERROR(IF(CURRENCY.FORMAT_2=0,CONCATENATE(TEXT(FIXED(ROUND(IF(EXC.RATE.SWITCH=1,C684/EXC.RATE_2,C684*EXC.RATE_2),CURRENCY.FORMAT_2),CURRENCY.FORMAT_2,1),"# ##0;-# ##0"),",-"),FIXED(ROUND(IF(EXC.RATE.SWITCH=1,C684/EXC.RATE_2,C684*EXC.RATE_2),CURRENCY.FORMAT_2),CURRENCY.FORMAT_2,0)),'DICTIONARY-5'!$A$2))</f>
        <v/>
      </c>
      <c r="L684" s="670" t="str">
        <f>IFERROR(IF(CURRENCY.FORMAT_1=0,CONCATENATE(TEXT(FIXED(ROUND((C684*(1-I684)*(1-ADD.DISCOUNT)*(1+MAT.SURCHARGE)/EXC.RATE_1),CURRENCY.FORMAT_1),CURRENCY.FORMAT_1,1),"# ##0;-# ##0"),",-"),FIXED(ROUND((C684*(1-I684)*(1-ADD.DISCOUNT)*(1+MAT.SURCHARGE)/EXC.RATE_1),CURRENCY.FORMAT_1),CURRENCY.FORMAT_1,0)),'DICTIONARY-5'!$A$2)</f>
        <v>2 500,-</v>
      </c>
      <c r="M684" s="670" t="str">
        <f>IF(EXC.RATE_2=0,"",IFERROR(IF(CURRENCY.FORMAT_2=0,CONCATENATE(TEXT(FIXED(ROUND(IF(EXC.RATE.SWITCH=1,C684*(1-I684)*(1-ADD.DISCOUNT)*(1+MAT.SURCHARGE)/EXC.RATE_2,C684*(1-I684)*(1-ADD.DISCOUNT)*(1+MAT.SURCHARGE)*EXC.RATE_2),CURRENCY.FORMAT_2),CURRENCY.FORMAT_2,1),"# ##0;-# ##0"),",-"),FIXED(ROUND(IF(EXC.RATE.SWITCH=1,C684*(1-I684)*(1-ADD.DISCOUNT)*(1+MAT.SURCHARGE)/EXC.RATE_2,C684*(1-I684)*(1-ADD.DISCOUNT)*(1+MAT.SURCHARGE)*EXC.RATE_2),CURRENCY.FORMAT_2),CURRENCY.FORMAT_2,0)),'DICTIONARY-5'!$A$2))</f>
        <v/>
      </c>
      <c r="N684" s="544">
        <v>2</v>
      </c>
      <c r="O684" s="544"/>
      <c r="P684" s="731" t="str">
        <f>'DICTIONARY-3'!$A$15</f>
        <v>ERIplus</v>
      </c>
      <c r="Q684" s="732" t="str">
        <f>'DICTIONARY-3'!$A$190</f>
        <v>Zasuwa wrzecionowa</v>
      </c>
      <c r="R684" s="732" t="str">
        <f>CONCATENATE('DICTIONARY-3'!$A$15," ",'DICTIONARY-6'!$A$5," ",'DICTIONARY-2'!$A$2,"500",", ",'DICTIONARY-4'!$A$2,", max.6",'DICTIONARY-2'!$A$41,", ",'DICTIONARY-4'!$A$2)</f>
        <v>ERIplus Zasuwa wrzec. DN500, WW, max.6mSW, WW</v>
      </c>
      <c r="S684" s="733" t="str">
        <f>'DICTIONARY-4'!$A$2</f>
        <v>WW</v>
      </c>
      <c r="T684" s="732" t="str">
        <f>'DICTIONARY-4'!$A$18</f>
        <v>Wolny wałek</v>
      </c>
      <c r="U684" s="734" t="s">
        <v>5756</v>
      </c>
      <c r="V684" s="735"/>
      <c r="W684" s="736"/>
      <c r="X684" s="737"/>
      <c r="Y684" s="738"/>
      <c r="Z684" s="739">
        <v>1291</v>
      </c>
      <c r="AA684" s="739"/>
      <c r="AB684" s="746">
        <v>0.6</v>
      </c>
      <c r="AC684" s="741"/>
      <c r="AD684" s="741" t="str">
        <f>'DICTIONARY-5'!$A$14</f>
        <v>ścieki</v>
      </c>
      <c r="AE684" s="742">
        <v>50</v>
      </c>
      <c r="AF684" s="743">
        <v>54</v>
      </c>
      <c r="AG684" s="733" t="str">
        <f>'DICTIONARY-5'!$A$27</f>
        <v>pasywacja</v>
      </c>
    </row>
    <row r="685" spans="1:33" x14ac:dyDescent="0.25">
      <c r="A685" s="842" t="s">
        <v>722</v>
      </c>
      <c r="B685" s="842" t="s">
        <v>3320</v>
      </c>
      <c r="C685" s="836">
        <v>2750</v>
      </c>
      <c r="D685" s="836"/>
      <c r="E685" s="836"/>
      <c r="F685" s="836"/>
      <c r="G685" s="496" t="s">
        <v>7799</v>
      </c>
      <c r="H685" s="797" t="str">
        <f>VLOOKUP(G685,SETTINGS!$B$7:$D$97,2,0)</f>
        <v>ERIplus</v>
      </c>
      <c r="I685" s="796">
        <f>VLOOKUP(G685,SETTINGS!$B$7:$D$97,3,0)</f>
        <v>0</v>
      </c>
      <c r="J685" s="670" t="str">
        <f>IFERROR(IF(CURRENCY.FORMAT_1=0,CONCATENATE(TEXT(FIXED(ROUND((C685/EXC.RATE_1),CURRENCY.FORMAT_1),CURRENCY.FORMAT_1,1),"# ##0;-# ##0"),",-"),FIXED(ROUND((C685/EXC.RATE_1),CURRENCY.FORMAT_1),CURRENCY.FORMAT_1,0)),'DICTIONARY-5'!$A$2)</f>
        <v>2 750,-</v>
      </c>
      <c r="K685" s="670" t="str">
        <f>IF(EXC.RATE_2=0,"",IFERROR(IF(CURRENCY.FORMAT_2=0,CONCATENATE(TEXT(FIXED(ROUND(IF(EXC.RATE.SWITCH=1,C685/EXC.RATE_2,C685*EXC.RATE_2),CURRENCY.FORMAT_2),CURRENCY.FORMAT_2,1),"# ##0;-# ##0"),",-"),FIXED(ROUND(IF(EXC.RATE.SWITCH=1,C685/EXC.RATE_2,C685*EXC.RATE_2),CURRENCY.FORMAT_2),CURRENCY.FORMAT_2,0)),'DICTIONARY-5'!$A$2))</f>
        <v/>
      </c>
      <c r="L685" s="670" t="str">
        <f>IFERROR(IF(CURRENCY.FORMAT_1=0,CONCATENATE(TEXT(FIXED(ROUND((C685*(1-I685)*(1-ADD.DISCOUNT)*(1+MAT.SURCHARGE)/EXC.RATE_1),CURRENCY.FORMAT_1),CURRENCY.FORMAT_1,1),"# ##0;-# ##0"),",-"),FIXED(ROUND((C685*(1-I685)*(1-ADD.DISCOUNT)*(1+MAT.SURCHARGE)/EXC.RATE_1),CURRENCY.FORMAT_1),CURRENCY.FORMAT_1,0)),'DICTIONARY-5'!$A$2)</f>
        <v>2 857,-</v>
      </c>
      <c r="M685" s="670" t="str">
        <f>IF(EXC.RATE_2=0,"",IFERROR(IF(CURRENCY.FORMAT_2=0,CONCATENATE(TEXT(FIXED(ROUND(IF(EXC.RATE.SWITCH=1,C685*(1-I685)*(1-ADD.DISCOUNT)*(1+MAT.SURCHARGE)/EXC.RATE_2,C685*(1-I685)*(1-ADD.DISCOUNT)*(1+MAT.SURCHARGE)*EXC.RATE_2),CURRENCY.FORMAT_2),CURRENCY.FORMAT_2,1),"# ##0;-# ##0"),",-"),FIXED(ROUND(IF(EXC.RATE.SWITCH=1,C685*(1-I685)*(1-ADD.DISCOUNT)*(1+MAT.SURCHARGE)/EXC.RATE_2,C685*(1-I685)*(1-ADD.DISCOUNT)*(1+MAT.SURCHARGE)*EXC.RATE_2),CURRENCY.FORMAT_2),CURRENCY.FORMAT_2,0)),'DICTIONARY-5'!$A$2))</f>
        <v/>
      </c>
      <c r="N685" s="544">
        <v>2</v>
      </c>
      <c r="O685" s="544"/>
      <c r="P685" s="731" t="str">
        <f>'DICTIONARY-3'!$A$15</f>
        <v>ERIplus</v>
      </c>
      <c r="Q685" s="732" t="str">
        <f>'DICTIONARY-3'!$A$190</f>
        <v>Zasuwa wrzecionowa</v>
      </c>
      <c r="R685" s="732" t="str">
        <f>CONCATENATE('DICTIONARY-3'!$A$15," ",'DICTIONARY-6'!$A$5," ",'DICTIONARY-2'!$A$2,"600",", ",'DICTIONARY-4'!$A$2,", max.6",'DICTIONARY-2'!$A$41,", ",'DICTIONARY-4'!$A$2)</f>
        <v>ERIplus Zasuwa wrzec. DN600, WW, max.6mSW, WW</v>
      </c>
      <c r="S685" s="733" t="str">
        <f>'DICTIONARY-4'!$A$2</f>
        <v>WW</v>
      </c>
      <c r="T685" s="732" t="str">
        <f>'DICTIONARY-4'!$A$18</f>
        <v>Wolny wałek</v>
      </c>
      <c r="U685" s="734" t="s">
        <v>5757</v>
      </c>
      <c r="V685" s="735"/>
      <c r="W685" s="736"/>
      <c r="X685" s="737"/>
      <c r="Y685" s="738"/>
      <c r="Z685" s="739">
        <v>1486</v>
      </c>
      <c r="AA685" s="739"/>
      <c r="AB685" s="746">
        <v>0.6</v>
      </c>
      <c r="AC685" s="741"/>
      <c r="AD685" s="741" t="str">
        <f>'DICTIONARY-5'!$A$14</f>
        <v>ścieki</v>
      </c>
      <c r="AE685" s="742">
        <v>50</v>
      </c>
      <c r="AF685" s="743">
        <v>55.5</v>
      </c>
      <c r="AG685" s="733" t="str">
        <f>'DICTIONARY-5'!$A$27</f>
        <v>pasywacja</v>
      </c>
    </row>
    <row r="686" spans="1:33" x14ac:dyDescent="0.25">
      <c r="A686" s="842" t="s">
        <v>724</v>
      </c>
      <c r="B686" s="842" t="s">
        <v>3321</v>
      </c>
      <c r="C686" s="836">
        <v>3619</v>
      </c>
      <c r="D686" s="836"/>
      <c r="E686" s="836"/>
      <c r="F686" s="836"/>
      <c r="G686" s="496" t="s">
        <v>7799</v>
      </c>
      <c r="H686" s="797" t="str">
        <f>VLOOKUP(G686,SETTINGS!$B$7:$D$97,2,0)</f>
        <v>ERIplus</v>
      </c>
      <c r="I686" s="796">
        <f>VLOOKUP(G686,SETTINGS!$B$7:$D$97,3,0)</f>
        <v>0</v>
      </c>
      <c r="J686" s="670" t="str">
        <f>IFERROR(IF(CURRENCY.FORMAT_1=0,CONCATENATE(TEXT(FIXED(ROUND((C686/EXC.RATE_1),CURRENCY.FORMAT_1),CURRENCY.FORMAT_1,1),"# ##0;-# ##0"),",-"),FIXED(ROUND((C686/EXC.RATE_1),CURRENCY.FORMAT_1),CURRENCY.FORMAT_1,0)),'DICTIONARY-5'!$A$2)</f>
        <v>3 619,-</v>
      </c>
      <c r="K686" s="670" t="str">
        <f>IF(EXC.RATE_2=0,"",IFERROR(IF(CURRENCY.FORMAT_2=0,CONCATENATE(TEXT(FIXED(ROUND(IF(EXC.RATE.SWITCH=1,C686/EXC.RATE_2,C686*EXC.RATE_2),CURRENCY.FORMAT_2),CURRENCY.FORMAT_2,1),"# ##0;-# ##0"),",-"),FIXED(ROUND(IF(EXC.RATE.SWITCH=1,C686/EXC.RATE_2,C686*EXC.RATE_2),CURRENCY.FORMAT_2),CURRENCY.FORMAT_2,0)),'DICTIONARY-5'!$A$2))</f>
        <v/>
      </c>
      <c r="L686" s="670" t="str">
        <f>IFERROR(IF(CURRENCY.FORMAT_1=0,CONCATENATE(TEXT(FIXED(ROUND((C686*(1-I686)*(1-ADD.DISCOUNT)*(1+MAT.SURCHARGE)/EXC.RATE_1),CURRENCY.FORMAT_1),CURRENCY.FORMAT_1,1),"# ##0;-# ##0"),",-"),FIXED(ROUND((C686*(1-I686)*(1-ADD.DISCOUNT)*(1+MAT.SURCHARGE)/EXC.RATE_1),CURRENCY.FORMAT_1),CURRENCY.FORMAT_1,0)),'DICTIONARY-5'!$A$2)</f>
        <v>3 760,-</v>
      </c>
      <c r="M686" s="670" t="str">
        <f>IF(EXC.RATE_2=0,"",IFERROR(IF(CURRENCY.FORMAT_2=0,CONCATENATE(TEXT(FIXED(ROUND(IF(EXC.RATE.SWITCH=1,C686*(1-I686)*(1-ADD.DISCOUNT)*(1+MAT.SURCHARGE)/EXC.RATE_2,C686*(1-I686)*(1-ADD.DISCOUNT)*(1+MAT.SURCHARGE)*EXC.RATE_2),CURRENCY.FORMAT_2),CURRENCY.FORMAT_2,1),"# ##0;-# ##0"),",-"),FIXED(ROUND(IF(EXC.RATE.SWITCH=1,C686*(1-I686)*(1-ADD.DISCOUNT)*(1+MAT.SURCHARGE)/EXC.RATE_2,C686*(1-I686)*(1-ADD.DISCOUNT)*(1+MAT.SURCHARGE)*EXC.RATE_2),CURRENCY.FORMAT_2),CURRENCY.FORMAT_2,0)),'DICTIONARY-5'!$A$2))</f>
        <v/>
      </c>
      <c r="N686" s="544">
        <v>2</v>
      </c>
      <c r="O686" s="544"/>
      <c r="P686" s="731" t="str">
        <f>'DICTIONARY-3'!$A$15</f>
        <v>ERIplus</v>
      </c>
      <c r="Q686" s="732" t="str">
        <f>'DICTIONARY-3'!$A$190</f>
        <v>Zasuwa wrzecionowa</v>
      </c>
      <c r="R686" s="732" t="str">
        <f>CONCATENATE('DICTIONARY-3'!$A$15," ",'DICTIONARY-6'!$A$5," ",'DICTIONARY-2'!$A$2,"700",", ",'DICTIONARY-4'!$A$2,", max.6",'DICTIONARY-2'!$A$41,", ",'DICTIONARY-4'!$A$2)</f>
        <v>ERIplus Zasuwa wrzec. DN700, WW, max.6mSW, WW</v>
      </c>
      <c r="S686" s="733" t="str">
        <f>'DICTIONARY-4'!$A$2</f>
        <v>WW</v>
      </c>
      <c r="T686" s="732" t="str">
        <f>'DICTIONARY-4'!$A$18</f>
        <v>Wolny wałek</v>
      </c>
      <c r="U686" s="734" t="s">
        <v>5834</v>
      </c>
      <c r="V686" s="735"/>
      <c r="W686" s="736"/>
      <c r="X686" s="737"/>
      <c r="Y686" s="738"/>
      <c r="Z686" s="739">
        <v>1720</v>
      </c>
      <c r="AA686" s="739"/>
      <c r="AB686" s="746">
        <v>0.6</v>
      </c>
      <c r="AC686" s="741"/>
      <c r="AD686" s="741" t="str">
        <f>'DICTIONARY-5'!$A$14</f>
        <v>ścieki</v>
      </c>
      <c r="AE686" s="742">
        <v>50</v>
      </c>
      <c r="AF686" s="743">
        <v>88</v>
      </c>
      <c r="AG686" s="733" t="str">
        <f>'DICTIONARY-5'!$A$27</f>
        <v>pasywacja</v>
      </c>
    </row>
    <row r="687" spans="1:33" x14ac:dyDescent="0.25">
      <c r="A687" s="842" t="s">
        <v>726</v>
      </c>
      <c r="B687" s="842" t="s">
        <v>3322</v>
      </c>
      <c r="C687" s="836">
        <v>4058</v>
      </c>
      <c r="D687" s="836"/>
      <c r="E687" s="836"/>
      <c r="F687" s="836"/>
      <c r="G687" s="496" t="s">
        <v>7799</v>
      </c>
      <c r="H687" s="797" t="str">
        <f>VLOOKUP(G687,SETTINGS!$B$7:$D$97,2,0)</f>
        <v>ERIplus</v>
      </c>
      <c r="I687" s="796">
        <f>VLOOKUP(G687,SETTINGS!$B$7:$D$97,3,0)</f>
        <v>0</v>
      </c>
      <c r="J687" s="670" t="str">
        <f>IFERROR(IF(CURRENCY.FORMAT_1=0,CONCATENATE(TEXT(FIXED(ROUND((C687/EXC.RATE_1),CURRENCY.FORMAT_1),CURRENCY.FORMAT_1,1),"# ##0;-# ##0"),",-"),FIXED(ROUND((C687/EXC.RATE_1),CURRENCY.FORMAT_1),CURRENCY.FORMAT_1,0)),'DICTIONARY-5'!$A$2)</f>
        <v>4 058,-</v>
      </c>
      <c r="K687" s="670" t="str">
        <f>IF(EXC.RATE_2=0,"",IFERROR(IF(CURRENCY.FORMAT_2=0,CONCATENATE(TEXT(FIXED(ROUND(IF(EXC.RATE.SWITCH=1,C687/EXC.RATE_2,C687*EXC.RATE_2),CURRENCY.FORMAT_2),CURRENCY.FORMAT_2,1),"# ##0;-# ##0"),",-"),FIXED(ROUND(IF(EXC.RATE.SWITCH=1,C687/EXC.RATE_2,C687*EXC.RATE_2),CURRENCY.FORMAT_2),CURRENCY.FORMAT_2,0)),'DICTIONARY-5'!$A$2))</f>
        <v/>
      </c>
      <c r="L687" s="670" t="str">
        <f>IFERROR(IF(CURRENCY.FORMAT_1=0,CONCATENATE(TEXT(FIXED(ROUND((C687*(1-I687)*(1-ADD.DISCOUNT)*(1+MAT.SURCHARGE)/EXC.RATE_1),CURRENCY.FORMAT_1),CURRENCY.FORMAT_1,1),"# ##0;-# ##0"),",-"),FIXED(ROUND((C687*(1-I687)*(1-ADD.DISCOUNT)*(1+MAT.SURCHARGE)/EXC.RATE_1),CURRENCY.FORMAT_1),CURRENCY.FORMAT_1,0)),'DICTIONARY-5'!$A$2)</f>
        <v>4 216,-</v>
      </c>
      <c r="M687" s="670" t="str">
        <f>IF(EXC.RATE_2=0,"",IFERROR(IF(CURRENCY.FORMAT_2=0,CONCATENATE(TEXT(FIXED(ROUND(IF(EXC.RATE.SWITCH=1,C687*(1-I687)*(1-ADD.DISCOUNT)*(1+MAT.SURCHARGE)/EXC.RATE_2,C687*(1-I687)*(1-ADD.DISCOUNT)*(1+MAT.SURCHARGE)*EXC.RATE_2),CURRENCY.FORMAT_2),CURRENCY.FORMAT_2,1),"# ##0;-# ##0"),",-"),FIXED(ROUND(IF(EXC.RATE.SWITCH=1,C687*(1-I687)*(1-ADD.DISCOUNT)*(1+MAT.SURCHARGE)/EXC.RATE_2,C687*(1-I687)*(1-ADD.DISCOUNT)*(1+MAT.SURCHARGE)*EXC.RATE_2),CURRENCY.FORMAT_2),CURRENCY.FORMAT_2,0)),'DICTIONARY-5'!$A$2))</f>
        <v/>
      </c>
      <c r="N687" s="544">
        <v>2</v>
      </c>
      <c r="O687" s="544"/>
      <c r="P687" s="731" t="str">
        <f>'DICTIONARY-3'!$A$15</f>
        <v>ERIplus</v>
      </c>
      <c r="Q687" s="732" t="str">
        <f>'DICTIONARY-3'!$A$190</f>
        <v>Zasuwa wrzecionowa</v>
      </c>
      <c r="R687" s="732" t="str">
        <f>CONCATENATE('DICTIONARY-3'!$A$15," ",'DICTIONARY-6'!$A$5," ",'DICTIONARY-2'!$A$2,"800",", ",'DICTIONARY-4'!$A$2,", max.6",'DICTIONARY-2'!$A$41,", ",'DICTIONARY-4'!$A$2)</f>
        <v>ERIplus Zasuwa wrzec. DN800, WW, max.6mSW, WW</v>
      </c>
      <c r="S687" s="733" t="str">
        <f>'DICTIONARY-4'!$A$2</f>
        <v>WW</v>
      </c>
      <c r="T687" s="732" t="str">
        <f>'DICTIONARY-4'!$A$18</f>
        <v>Wolny wałek</v>
      </c>
      <c r="U687" s="734" t="s">
        <v>5835</v>
      </c>
      <c r="V687" s="735"/>
      <c r="W687" s="736"/>
      <c r="X687" s="737"/>
      <c r="Y687" s="738"/>
      <c r="Z687" s="739">
        <v>1920</v>
      </c>
      <c r="AA687" s="739"/>
      <c r="AB687" s="746">
        <v>0.6</v>
      </c>
      <c r="AC687" s="741"/>
      <c r="AD687" s="741" t="str">
        <f>'DICTIONARY-5'!$A$14</f>
        <v>ścieki</v>
      </c>
      <c r="AE687" s="742">
        <v>50</v>
      </c>
      <c r="AF687" s="743">
        <v>108</v>
      </c>
      <c r="AG687" s="733" t="str">
        <f>'DICTIONARY-5'!$A$27</f>
        <v>pasywacja</v>
      </c>
    </row>
    <row r="688" spans="1:33" x14ac:dyDescent="0.25">
      <c r="A688" s="842" t="s">
        <v>728</v>
      </c>
      <c r="B688" s="842" t="s">
        <v>3323</v>
      </c>
      <c r="C688" s="836">
        <v>4312</v>
      </c>
      <c r="D688" s="836"/>
      <c r="E688" s="836"/>
      <c r="F688" s="836"/>
      <c r="G688" s="496" t="s">
        <v>7799</v>
      </c>
      <c r="H688" s="797" t="str">
        <f>VLOOKUP(G688,SETTINGS!$B$7:$D$97,2,0)</f>
        <v>ERIplus</v>
      </c>
      <c r="I688" s="796">
        <f>VLOOKUP(G688,SETTINGS!$B$7:$D$97,3,0)</f>
        <v>0</v>
      </c>
      <c r="J688" s="670" t="str">
        <f>IFERROR(IF(CURRENCY.FORMAT_1=0,CONCATENATE(TEXT(FIXED(ROUND((C688/EXC.RATE_1),CURRENCY.FORMAT_1),CURRENCY.FORMAT_1,1),"# ##0;-# ##0"),",-"),FIXED(ROUND((C688/EXC.RATE_1),CURRENCY.FORMAT_1),CURRENCY.FORMAT_1,0)),'DICTIONARY-5'!$A$2)</f>
        <v>4 312,-</v>
      </c>
      <c r="K688" s="670" t="str">
        <f>IF(EXC.RATE_2=0,"",IFERROR(IF(CURRENCY.FORMAT_2=0,CONCATENATE(TEXT(FIXED(ROUND(IF(EXC.RATE.SWITCH=1,C688/EXC.RATE_2,C688*EXC.RATE_2),CURRENCY.FORMAT_2),CURRENCY.FORMAT_2,1),"# ##0;-# ##0"),",-"),FIXED(ROUND(IF(EXC.RATE.SWITCH=1,C688/EXC.RATE_2,C688*EXC.RATE_2),CURRENCY.FORMAT_2),CURRENCY.FORMAT_2,0)),'DICTIONARY-5'!$A$2))</f>
        <v/>
      </c>
      <c r="L688" s="670" t="str">
        <f>IFERROR(IF(CURRENCY.FORMAT_1=0,CONCATENATE(TEXT(FIXED(ROUND((C688*(1-I688)*(1-ADD.DISCOUNT)*(1+MAT.SURCHARGE)/EXC.RATE_1),CURRENCY.FORMAT_1),CURRENCY.FORMAT_1,1),"# ##0;-# ##0"),",-"),FIXED(ROUND((C688*(1-I688)*(1-ADD.DISCOUNT)*(1+MAT.SURCHARGE)/EXC.RATE_1),CURRENCY.FORMAT_1),CURRENCY.FORMAT_1,0)),'DICTIONARY-5'!$A$2)</f>
        <v>4 480,-</v>
      </c>
      <c r="M688" s="670" t="str">
        <f>IF(EXC.RATE_2=0,"",IFERROR(IF(CURRENCY.FORMAT_2=0,CONCATENATE(TEXT(FIXED(ROUND(IF(EXC.RATE.SWITCH=1,C688*(1-I688)*(1-ADD.DISCOUNT)*(1+MAT.SURCHARGE)/EXC.RATE_2,C688*(1-I688)*(1-ADD.DISCOUNT)*(1+MAT.SURCHARGE)*EXC.RATE_2),CURRENCY.FORMAT_2),CURRENCY.FORMAT_2,1),"# ##0;-# ##0"),",-"),FIXED(ROUND(IF(EXC.RATE.SWITCH=1,C688*(1-I688)*(1-ADD.DISCOUNT)*(1+MAT.SURCHARGE)/EXC.RATE_2,C688*(1-I688)*(1-ADD.DISCOUNT)*(1+MAT.SURCHARGE)*EXC.RATE_2),CURRENCY.FORMAT_2),CURRENCY.FORMAT_2,0)),'DICTIONARY-5'!$A$2))</f>
        <v/>
      </c>
      <c r="N688" s="544">
        <v>2</v>
      </c>
      <c r="O688" s="544"/>
      <c r="P688" s="731" t="str">
        <f>'DICTIONARY-3'!$A$15</f>
        <v>ERIplus</v>
      </c>
      <c r="Q688" s="732" t="str">
        <f>'DICTIONARY-3'!$A$190</f>
        <v>Zasuwa wrzecionowa</v>
      </c>
      <c r="R688" s="732" t="str">
        <f>CONCATENATE('DICTIONARY-3'!$A$15," ",'DICTIONARY-6'!$A$5," ",'DICTIONARY-2'!$A$2,"900",", ",'DICTIONARY-4'!$A$2,", max.4",'DICTIONARY-2'!$A$41,", ",'DICTIONARY-4'!$A$2)</f>
        <v>ERIplus Zasuwa wrzec. DN900, WW, max.4mSW, WW</v>
      </c>
      <c r="S688" s="733" t="str">
        <f>'DICTIONARY-4'!$A$2</f>
        <v>WW</v>
      </c>
      <c r="T688" s="732" t="str">
        <f>'DICTIONARY-4'!$A$18</f>
        <v>Wolny wałek</v>
      </c>
      <c r="U688" s="734" t="s">
        <v>5837</v>
      </c>
      <c r="V688" s="735"/>
      <c r="W688" s="736"/>
      <c r="X688" s="737"/>
      <c r="Y688" s="738"/>
      <c r="Z688" s="739">
        <v>2120</v>
      </c>
      <c r="AA688" s="739"/>
      <c r="AB688" s="746">
        <v>0.4</v>
      </c>
      <c r="AC688" s="741"/>
      <c r="AD688" s="741" t="str">
        <f>'DICTIONARY-5'!$A$14</f>
        <v>ścieki</v>
      </c>
      <c r="AE688" s="742">
        <v>50</v>
      </c>
      <c r="AF688" s="743">
        <v>125</v>
      </c>
      <c r="AG688" s="733" t="str">
        <f>'DICTIONARY-5'!$A$27</f>
        <v>pasywacja</v>
      </c>
    </row>
    <row r="689" spans="1:33" x14ac:dyDescent="0.25">
      <c r="A689" s="842" t="s">
        <v>730</v>
      </c>
      <c r="B689" s="842" t="s">
        <v>3324</v>
      </c>
      <c r="C689" s="836">
        <v>5309</v>
      </c>
      <c r="D689" s="836"/>
      <c r="E689" s="836"/>
      <c r="F689" s="836"/>
      <c r="G689" s="496" t="s">
        <v>7799</v>
      </c>
      <c r="H689" s="797" t="str">
        <f>VLOOKUP(G689,SETTINGS!$B$7:$D$97,2,0)</f>
        <v>ERIplus</v>
      </c>
      <c r="I689" s="796">
        <f>VLOOKUP(G689,SETTINGS!$B$7:$D$97,3,0)</f>
        <v>0</v>
      </c>
      <c r="J689" s="670" t="str">
        <f>IFERROR(IF(CURRENCY.FORMAT_1=0,CONCATENATE(TEXT(FIXED(ROUND((C689/EXC.RATE_1),CURRENCY.FORMAT_1),CURRENCY.FORMAT_1,1),"# ##0;-# ##0"),",-"),FIXED(ROUND((C689/EXC.RATE_1),CURRENCY.FORMAT_1),CURRENCY.FORMAT_1,0)),'DICTIONARY-5'!$A$2)</f>
        <v>5 309,-</v>
      </c>
      <c r="K689" s="670" t="str">
        <f>IF(EXC.RATE_2=0,"",IFERROR(IF(CURRENCY.FORMAT_2=0,CONCATENATE(TEXT(FIXED(ROUND(IF(EXC.RATE.SWITCH=1,C689/EXC.RATE_2,C689*EXC.RATE_2),CURRENCY.FORMAT_2),CURRENCY.FORMAT_2,1),"# ##0;-# ##0"),",-"),FIXED(ROUND(IF(EXC.RATE.SWITCH=1,C689/EXC.RATE_2,C689*EXC.RATE_2),CURRENCY.FORMAT_2),CURRENCY.FORMAT_2,0)),'DICTIONARY-5'!$A$2))</f>
        <v/>
      </c>
      <c r="L689" s="670" t="str">
        <f>IFERROR(IF(CURRENCY.FORMAT_1=0,CONCATENATE(TEXT(FIXED(ROUND((C689*(1-I689)*(1-ADD.DISCOUNT)*(1+MAT.SURCHARGE)/EXC.RATE_1),CURRENCY.FORMAT_1),CURRENCY.FORMAT_1,1),"# ##0;-# ##0"),",-"),FIXED(ROUND((C689*(1-I689)*(1-ADD.DISCOUNT)*(1+MAT.SURCHARGE)/EXC.RATE_1),CURRENCY.FORMAT_1),CURRENCY.FORMAT_1,0)),'DICTIONARY-5'!$A$2)</f>
        <v>5 516,-</v>
      </c>
      <c r="M689" s="670" t="str">
        <f>IF(EXC.RATE_2=0,"",IFERROR(IF(CURRENCY.FORMAT_2=0,CONCATENATE(TEXT(FIXED(ROUND(IF(EXC.RATE.SWITCH=1,C689*(1-I689)*(1-ADD.DISCOUNT)*(1+MAT.SURCHARGE)/EXC.RATE_2,C689*(1-I689)*(1-ADD.DISCOUNT)*(1+MAT.SURCHARGE)*EXC.RATE_2),CURRENCY.FORMAT_2),CURRENCY.FORMAT_2,1),"# ##0;-# ##0"),",-"),FIXED(ROUND(IF(EXC.RATE.SWITCH=1,C689*(1-I689)*(1-ADD.DISCOUNT)*(1+MAT.SURCHARGE)/EXC.RATE_2,C689*(1-I689)*(1-ADD.DISCOUNT)*(1+MAT.SURCHARGE)*EXC.RATE_2),CURRENCY.FORMAT_2),CURRENCY.FORMAT_2,0)),'DICTIONARY-5'!$A$2))</f>
        <v/>
      </c>
      <c r="N689" s="544">
        <v>2</v>
      </c>
      <c r="O689" s="544"/>
      <c r="P689" s="731" t="str">
        <f>'DICTIONARY-3'!$A$15</f>
        <v>ERIplus</v>
      </c>
      <c r="Q689" s="732" t="str">
        <f>'DICTIONARY-3'!$A$190</f>
        <v>Zasuwa wrzecionowa</v>
      </c>
      <c r="R689" s="732" t="str">
        <f>CONCATENATE('DICTIONARY-3'!$A$15," ",'DICTIONARY-6'!$A$5," ",'DICTIONARY-2'!$A$2,"1000",", ",'DICTIONARY-4'!$A$2,", max.4",'DICTIONARY-2'!$A$41,", ",'DICTIONARY-4'!$A$2)</f>
        <v>ERIplus Zasuwa wrzec. DN1000, WW, max.4mSW, WW</v>
      </c>
      <c r="S689" s="733" t="str">
        <f>'DICTIONARY-4'!$A$2</f>
        <v>WW</v>
      </c>
      <c r="T689" s="732" t="str">
        <f>'DICTIONARY-4'!$A$18</f>
        <v>Wolny wałek</v>
      </c>
      <c r="U689" s="734" t="s">
        <v>5836</v>
      </c>
      <c r="V689" s="735"/>
      <c r="W689" s="736"/>
      <c r="X689" s="737"/>
      <c r="Y689" s="738"/>
      <c r="Z689" s="739">
        <v>2320</v>
      </c>
      <c r="AA689" s="739"/>
      <c r="AB689" s="746">
        <v>0.4</v>
      </c>
      <c r="AC689" s="741"/>
      <c r="AD689" s="741" t="str">
        <f>'DICTIONARY-5'!$A$14</f>
        <v>ścieki</v>
      </c>
      <c r="AE689" s="742">
        <v>50</v>
      </c>
      <c r="AF689" s="743">
        <v>144.6</v>
      </c>
      <c r="AG689" s="733" t="str">
        <f>'DICTIONARY-5'!$A$27</f>
        <v>pasywacja</v>
      </c>
    </row>
    <row r="690" spans="1:33" x14ac:dyDescent="0.25">
      <c r="A690" s="842" t="s">
        <v>708</v>
      </c>
      <c r="B690" s="842" t="str">
        <f>'DICTIONARY-5'!$A$2</f>
        <v>na zapytanie</v>
      </c>
      <c r="C690" s="836" t="s">
        <v>5967</v>
      </c>
      <c r="D690" s="836"/>
      <c r="E690" s="836"/>
      <c r="F690" s="836"/>
      <c r="G690" s="496" t="s">
        <v>7799</v>
      </c>
      <c r="H690" s="797" t="str">
        <f>VLOOKUP(G690,SETTINGS!$B$7:$D$97,2,0)</f>
        <v>ERIplus</v>
      </c>
      <c r="I690" s="796">
        <f>VLOOKUP(G690,SETTINGS!$B$7:$D$97,3,0)</f>
        <v>0</v>
      </c>
      <c r="J690" s="670" t="str">
        <f>IFERROR(IF(CURRENCY.FORMAT_1=0,CONCATENATE(TEXT(FIXED(ROUND((C690/EXC.RATE_1),CURRENCY.FORMAT_1),CURRENCY.FORMAT_1,1),"# ##0;-# ##0"),",-"),FIXED(ROUND((C690/EXC.RATE_1),CURRENCY.FORMAT_1),CURRENCY.FORMAT_1,0)),'DICTIONARY-5'!$A$2)</f>
        <v>na zapytanie</v>
      </c>
      <c r="K690" s="670" t="str">
        <f>IF(EXC.RATE_2=0,"",IFERROR(IF(CURRENCY.FORMAT_2=0,CONCATENATE(TEXT(FIXED(ROUND(IF(EXC.RATE.SWITCH=1,C690/EXC.RATE_2,C690*EXC.RATE_2),CURRENCY.FORMAT_2),CURRENCY.FORMAT_2,1),"# ##0;-# ##0"),",-"),FIXED(ROUND(IF(EXC.RATE.SWITCH=1,C690/EXC.RATE_2,C690*EXC.RATE_2),CURRENCY.FORMAT_2),CURRENCY.FORMAT_2,0)),'DICTIONARY-5'!$A$2))</f>
        <v/>
      </c>
      <c r="L690" s="670" t="str">
        <f>IFERROR(IF(CURRENCY.FORMAT_1=0,CONCATENATE(TEXT(FIXED(ROUND((C690*(1-I690)*(1-ADD.DISCOUNT)*(1+MAT.SURCHARGE)/EXC.RATE_1),CURRENCY.FORMAT_1),CURRENCY.FORMAT_1,1),"# ##0;-# ##0"),",-"),FIXED(ROUND((C690*(1-I690)*(1-ADD.DISCOUNT)*(1+MAT.SURCHARGE)/EXC.RATE_1),CURRENCY.FORMAT_1),CURRENCY.FORMAT_1,0)),'DICTIONARY-5'!$A$2)</f>
        <v>na zapytanie</v>
      </c>
      <c r="M690" s="670" t="str">
        <f>IF(EXC.RATE_2=0,"",IFERROR(IF(CURRENCY.FORMAT_2=0,CONCATENATE(TEXT(FIXED(ROUND(IF(EXC.RATE.SWITCH=1,C690*(1-I690)*(1-ADD.DISCOUNT)*(1+MAT.SURCHARGE)/EXC.RATE_2,C690*(1-I690)*(1-ADD.DISCOUNT)*(1+MAT.SURCHARGE)*EXC.RATE_2),CURRENCY.FORMAT_2),CURRENCY.FORMAT_2,1),"# ##0;-# ##0"),",-"),FIXED(ROUND(IF(EXC.RATE.SWITCH=1,C690*(1-I690)*(1-ADD.DISCOUNT)*(1+MAT.SURCHARGE)/EXC.RATE_2,C690*(1-I690)*(1-ADD.DISCOUNT)*(1+MAT.SURCHARGE)*EXC.RATE_2),CURRENCY.FORMAT_2),CURRENCY.FORMAT_2,0)),'DICTIONARY-5'!$A$2))</f>
        <v/>
      </c>
      <c r="N690" s="544">
        <v>2</v>
      </c>
      <c r="O690" s="544"/>
      <c r="P690" s="731" t="str">
        <f>'DICTIONARY-3'!$A$15</f>
        <v>ERIplus</v>
      </c>
      <c r="Q690" s="732" t="str">
        <f>'DICTIONARY-3'!$A$190</f>
        <v>Zasuwa wrzecionowa</v>
      </c>
      <c r="R690" s="732" t="str">
        <f>CONCATENATE('DICTIONARY-3'!$A$15," ",'DICTIONARY-6'!$A$5," ",'DICTIONARY-2'!$A$2,"150"," ",'DICTIONARY-6'!$A$53,", ",'DICTIONARY-4'!$A$2,", max.10",'DICTIONARY-2'!$A$41,", ",'DICTIONARY-4'!$A$2)</f>
        <v>ERIplus Zasuwa wrzec. DN150 do koryta, WW, max.10mSW, WW</v>
      </c>
      <c r="S690" s="733" t="str">
        <f>'DICTIONARY-4'!$A$2</f>
        <v>WW</v>
      </c>
      <c r="T690" s="732" t="str">
        <f>'DICTIONARY-4'!$A$18</f>
        <v>Wolny wałek</v>
      </c>
      <c r="U690" s="734" t="s">
        <v>5572</v>
      </c>
      <c r="V690" s="735"/>
      <c r="W690" s="736"/>
      <c r="X690" s="737"/>
      <c r="Y690" s="738"/>
      <c r="Z690" s="739">
        <v>596</v>
      </c>
      <c r="AA690" s="739"/>
      <c r="AB690" s="746">
        <v>1</v>
      </c>
      <c r="AC690" s="741"/>
      <c r="AD690" s="741" t="str">
        <f>'DICTIONARY-5'!$A$14</f>
        <v>ścieki</v>
      </c>
      <c r="AE690" s="742">
        <v>50</v>
      </c>
      <c r="AF690" s="743"/>
      <c r="AG690" s="733" t="str">
        <f>'DICTIONARY-5'!$A$27</f>
        <v>pasywacja</v>
      </c>
    </row>
    <row r="691" spans="1:33" x14ac:dyDescent="0.25">
      <c r="A691" s="842" t="s">
        <v>711</v>
      </c>
      <c r="B691" s="842" t="str">
        <f>'DICTIONARY-5'!$A$2</f>
        <v>na zapytanie</v>
      </c>
      <c r="C691" s="836" t="s">
        <v>5967</v>
      </c>
      <c r="D691" s="836"/>
      <c r="E691" s="836"/>
      <c r="F691" s="836"/>
      <c r="G691" s="496" t="s">
        <v>7799</v>
      </c>
      <c r="H691" s="797" t="str">
        <f>VLOOKUP(G691,SETTINGS!$B$7:$D$97,2,0)</f>
        <v>ERIplus</v>
      </c>
      <c r="I691" s="796">
        <f>VLOOKUP(G691,SETTINGS!$B$7:$D$97,3,0)</f>
        <v>0</v>
      </c>
      <c r="J691" s="670" t="str">
        <f>IFERROR(IF(CURRENCY.FORMAT_1=0,CONCATENATE(TEXT(FIXED(ROUND((C691/EXC.RATE_1),CURRENCY.FORMAT_1),CURRENCY.FORMAT_1,1),"# ##0;-# ##0"),",-"),FIXED(ROUND((C691/EXC.RATE_1),CURRENCY.FORMAT_1),CURRENCY.FORMAT_1,0)),'DICTIONARY-5'!$A$2)</f>
        <v>na zapytanie</v>
      </c>
      <c r="K691" s="670" t="str">
        <f>IF(EXC.RATE_2=0,"",IFERROR(IF(CURRENCY.FORMAT_2=0,CONCATENATE(TEXT(FIXED(ROUND(IF(EXC.RATE.SWITCH=1,C691/EXC.RATE_2,C691*EXC.RATE_2),CURRENCY.FORMAT_2),CURRENCY.FORMAT_2,1),"# ##0;-# ##0"),",-"),FIXED(ROUND(IF(EXC.RATE.SWITCH=1,C691/EXC.RATE_2,C691*EXC.RATE_2),CURRENCY.FORMAT_2),CURRENCY.FORMAT_2,0)),'DICTIONARY-5'!$A$2))</f>
        <v/>
      </c>
      <c r="L691" s="670" t="str">
        <f>IFERROR(IF(CURRENCY.FORMAT_1=0,CONCATENATE(TEXT(FIXED(ROUND((C691*(1-I691)*(1-ADD.DISCOUNT)*(1+MAT.SURCHARGE)/EXC.RATE_1),CURRENCY.FORMAT_1),CURRENCY.FORMAT_1,1),"# ##0;-# ##0"),",-"),FIXED(ROUND((C691*(1-I691)*(1-ADD.DISCOUNT)*(1+MAT.SURCHARGE)/EXC.RATE_1),CURRENCY.FORMAT_1),CURRENCY.FORMAT_1,0)),'DICTIONARY-5'!$A$2)</f>
        <v>na zapytanie</v>
      </c>
      <c r="M691" s="670" t="str">
        <f>IF(EXC.RATE_2=0,"",IFERROR(IF(CURRENCY.FORMAT_2=0,CONCATENATE(TEXT(FIXED(ROUND(IF(EXC.RATE.SWITCH=1,C691*(1-I691)*(1-ADD.DISCOUNT)*(1+MAT.SURCHARGE)/EXC.RATE_2,C691*(1-I691)*(1-ADD.DISCOUNT)*(1+MAT.SURCHARGE)*EXC.RATE_2),CURRENCY.FORMAT_2),CURRENCY.FORMAT_2,1),"# ##0;-# ##0"),",-"),FIXED(ROUND(IF(EXC.RATE.SWITCH=1,C691*(1-I691)*(1-ADD.DISCOUNT)*(1+MAT.SURCHARGE)/EXC.RATE_2,C691*(1-I691)*(1-ADD.DISCOUNT)*(1+MAT.SURCHARGE)*EXC.RATE_2),CURRENCY.FORMAT_2),CURRENCY.FORMAT_2,0)),'DICTIONARY-5'!$A$2))</f>
        <v/>
      </c>
      <c r="N691" s="544">
        <v>2</v>
      </c>
      <c r="O691" s="544"/>
      <c r="P691" s="731" t="str">
        <f>'DICTIONARY-3'!$A$15</f>
        <v>ERIplus</v>
      </c>
      <c r="Q691" s="732" t="str">
        <f>'DICTIONARY-3'!$A$190</f>
        <v>Zasuwa wrzecionowa</v>
      </c>
      <c r="R691" s="732" t="str">
        <f>CONCATENATE('DICTIONARY-3'!$A$15," ",'DICTIONARY-6'!$A$5," ",'DICTIONARY-2'!$A$2,"200"," ",'DICTIONARY-6'!$A$53,", ",'DICTIONARY-4'!$A$2,", max.10",'DICTIONARY-2'!$A$41,", ",'DICTIONARY-4'!$A$2)</f>
        <v>ERIplus Zasuwa wrzec. DN200 do koryta, WW, max.10mSW, WW</v>
      </c>
      <c r="S691" s="733" t="str">
        <f>'DICTIONARY-4'!$A$2</f>
        <v>WW</v>
      </c>
      <c r="T691" s="732" t="str">
        <f>'DICTIONARY-4'!$A$18</f>
        <v>Wolny wałek</v>
      </c>
      <c r="U691" s="734" t="s">
        <v>5750</v>
      </c>
      <c r="V691" s="735"/>
      <c r="W691" s="736"/>
      <c r="X691" s="737"/>
      <c r="Y691" s="738"/>
      <c r="Z691" s="739">
        <v>696</v>
      </c>
      <c r="AA691" s="739"/>
      <c r="AB691" s="746">
        <v>1</v>
      </c>
      <c r="AC691" s="741"/>
      <c r="AD691" s="741" t="str">
        <f>'DICTIONARY-5'!$A$14</f>
        <v>ścieki</v>
      </c>
      <c r="AE691" s="742">
        <v>50</v>
      </c>
      <c r="AF691" s="743"/>
      <c r="AG691" s="733" t="str">
        <f>'DICTIONARY-5'!$A$27</f>
        <v>pasywacja</v>
      </c>
    </row>
    <row r="692" spans="1:33" x14ac:dyDescent="0.25">
      <c r="A692" s="842" t="s">
        <v>714</v>
      </c>
      <c r="B692" s="842" t="str">
        <f>'DICTIONARY-5'!$A$2</f>
        <v>na zapytanie</v>
      </c>
      <c r="C692" s="836" t="s">
        <v>5967</v>
      </c>
      <c r="D692" s="836"/>
      <c r="E692" s="836"/>
      <c r="F692" s="836"/>
      <c r="G692" s="496" t="s">
        <v>7799</v>
      </c>
      <c r="H692" s="797" t="str">
        <f>VLOOKUP(G692,SETTINGS!$B$7:$D$97,2,0)</f>
        <v>ERIplus</v>
      </c>
      <c r="I692" s="796">
        <f>VLOOKUP(G692,SETTINGS!$B$7:$D$97,3,0)</f>
        <v>0</v>
      </c>
      <c r="J692" s="670" t="str">
        <f>IFERROR(IF(CURRENCY.FORMAT_1=0,CONCATENATE(TEXT(FIXED(ROUND((C692/EXC.RATE_1),CURRENCY.FORMAT_1),CURRENCY.FORMAT_1,1),"# ##0;-# ##0"),",-"),FIXED(ROUND((C692/EXC.RATE_1),CURRENCY.FORMAT_1),CURRENCY.FORMAT_1,0)),'DICTIONARY-5'!$A$2)</f>
        <v>na zapytanie</v>
      </c>
      <c r="K692" s="670" t="str">
        <f>IF(EXC.RATE_2=0,"",IFERROR(IF(CURRENCY.FORMAT_2=0,CONCATENATE(TEXT(FIXED(ROUND(IF(EXC.RATE.SWITCH=1,C692/EXC.RATE_2,C692*EXC.RATE_2),CURRENCY.FORMAT_2),CURRENCY.FORMAT_2,1),"# ##0;-# ##0"),",-"),FIXED(ROUND(IF(EXC.RATE.SWITCH=1,C692/EXC.RATE_2,C692*EXC.RATE_2),CURRENCY.FORMAT_2),CURRENCY.FORMAT_2,0)),'DICTIONARY-5'!$A$2))</f>
        <v/>
      </c>
      <c r="L692" s="670" t="str">
        <f>IFERROR(IF(CURRENCY.FORMAT_1=0,CONCATENATE(TEXT(FIXED(ROUND((C692*(1-I692)*(1-ADD.DISCOUNT)*(1+MAT.SURCHARGE)/EXC.RATE_1),CURRENCY.FORMAT_1),CURRENCY.FORMAT_1,1),"# ##0;-# ##0"),",-"),FIXED(ROUND((C692*(1-I692)*(1-ADD.DISCOUNT)*(1+MAT.SURCHARGE)/EXC.RATE_1),CURRENCY.FORMAT_1),CURRENCY.FORMAT_1,0)),'DICTIONARY-5'!$A$2)</f>
        <v>na zapytanie</v>
      </c>
      <c r="M692" s="670" t="str">
        <f>IF(EXC.RATE_2=0,"",IFERROR(IF(CURRENCY.FORMAT_2=0,CONCATENATE(TEXT(FIXED(ROUND(IF(EXC.RATE.SWITCH=1,C692*(1-I692)*(1-ADD.DISCOUNT)*(1+MAT.SURCHARGE)/EXC.RATE_2,C692*(1-I692)*(1-ADD.DISCOUNT)*(1+MAT.SURCHARGE)*EXC.RATE_2),CURRENCY.FORMAT_2),CURRENCY.FORMAT_2,1),"# ##0;-# ##0"),",-"),FIXED(ROUND(IF(EXC.RATE.SWITCH=1,C692*(1-I692)*(1-ADD.DISCOUNT)*(1+MAT.SURCHARGE)/EXC.RATE_2,C692*(1-I692)*(1-ADD.DISCOUNT)*(1+MAT.SURCHARGE)*EXC.RATE_2),CURRENCY.FORMAT_2),CURRENCY.FORMAT_2,0)),'DICTIONARY-5'!$A$2))</f>
        <v/>
      </c>
      <c r="N692" s="544">
        <v>2</v>
      </c>
      <c r="O692" s="544"/>
      <c r="P692" s="731" t="str">
        <f>'DICTIONARY-3'!$A$15</f>
        <v>ERIplus</v>
      </c>
      <c r="Q692" s="732" t="str">
        <f>'DICTIONARY-3'!$A$190</f>
        <v>Zasuwa wrzecionowa</v>
      </c>
      <c r="R692" s="732" t="str">
        <f>CONCATENATE('DICTIONARY-3'!$A$15," ",'DICTIONARY-6'!$A$5," ",'DICTIONARY-2'!$A$2,"250"," ",'DICTIONARY-6'!$A$53,", ",'DICTIONARY-4'!$A$2,", max.8",'DICTIONARY-2'!$A$41,", ",'DICTIONARY-4'!$A$2)</f>
        <v>ERIplus Zasuwa wrzec. DN250 do koryta, WW, max.8mSW, WW</v>
      </c>
      <c r="S692" s="733" t="str">
        <f>'DICTIONARY-4'!$A$2</f>
        <v>WW</v>
      </c>
      <c r="T692" s="732" t="str">
        <f>'DICTIONARY-4'!$A$18</f>
        <v>Wolny wałek</v>
      </c>
      <c r="U692" s="734" t="s">
        <v>5751</v>
      </c>
      <c r="V692" s="735"/>
      <c r="W692" s="736"/>
      <c r="X692" s="737"/>
      <c r="Y692" s="738"/>
      <c r="Z692" s="739">
        <v>796</v>
      </c>
      <c r="AA692" s="739"/>
      <c r="AB692" s="746">
        <v>0.8</v>
      </c>
      <c r="AC692" s="741"/>
      <c r="AD692" s="741" t="str">
        <f>'DICTIONARY-5'!$A$14</f>
        <v>ścieki</v>
      </c>
      <c r="AE692" s="742">
        <v>50</v>
      </c>
      <c r="AF692" s="743"/>
      <c r="AG692" s="733" t="str">
        <f>'DICTIONARY-5'!$A$27</f>
        <v>pasywacja</v>
      </c>
    </row>
    <row r="693" spans="1:33" x14ac:dyDescent="0.25">
      <c r="A693" s="842" t="s">
        <v>717</v>
      </c>
      <c r="B693" s="842" t="str">
        <f>'DICTIONARY-5'!$A$2</f>
        <v>na zapytanie</v>
      </c>
      <c r="C693" s="836" t="s">
        <v>5967</v>
      </c>
      <c r="D693" s="836"/>
      <c r="E693" s="836"/>
      <c r="F693" s="836"/>
      <c r="G693" s="496" t="s">
        <v>7799</v>
      </c>
      <c r="H693" s="797" t="str">
        <f>VLOOKUP(G693,SETTINGS!$B$7:$D$97,2,0)</f>
        <v>ERIplus</v>
      </c>
      <c r="I693" s="796">
        <f>VLOOKUP(G693,SETTINGS!$B$7:$D$97,3,0)</f>
        <v>0</v>
      </c>
      <c r="J693" s="670" t="str">
        <f>IFERROR(IF(CURRENCY.FORMAT_1=0,CONCATENATE(TEXT(FIXED(ROUND((C693/EXC.RATE_1),CURRENCY.FORMAT_1),CURRENCY.FORMAT_1,1),"# ##0;-# ##0"),",-"),FIXED(ROUND((C693/EXC.RATE_1),CURRENCY.FORMAT_1),CURRENCY.FORMAT_1,0)),'DICTIONARY-5'!$A$2)</f>
        <v>na zapytanie</v>
      </c>
      <c r="K693" s="670" t="str">
        <f>IF(EXC.RATE_2=0,"",IFERROR(IF(CURRENCY.FORMAT_2=0,CONCATENATE(TEXT(FIXED(ROUND(IF(EXC.RATE.SWITCH=1,C693/EXC.RATE_2,C693*EXC.RATE_2),CURRENCY.FORMAT_2),CURRENCY.FORMAT_2,1),"# ##0;-# ##0"),",-"),FIXED(ROUND(IF(EXC.RATE.SWITCH=1,C693/EXC.RATE_2,C693*EXC.RATE_2),CURRENCY.FORMAT_2),CURRENCY.FORMAT_2,0)),'DICTIONARY-5'!$A$2))</f>
        <v/>
      </c>
      <c r="L693" s="670" t="str">
        <f>IFERROR(IF(CURRENCY.FORMAT_1=0,CONCATENATE(TEXT(FIXED(ROUND((C693*(1-I693)*(1-ADD.DISCOUNT)*(1+MAT.SURCHARGE)/EXC.RATE_1),CURRENCY.FORMAT_1),CURRENCY.FORMAT_1,1),"# ##0;-# ##0"),",-"),FIXED(ROUND((C693*(1-I693)*(1-ADD.DISCOUNT)*(1+MAT.SURCHARGE)/EXC.RATE_1),CURRENCY.FORMAT_1),CURRENCY.FORMAT_1,0)),'DICTIONARY-5'!$A$2)</f>
        <v>na zapytanie</v>
      </c>
      <c r="M693" s="670" t="str">
        <f>IF(EXC.RATE_2=0,"",IFERROR(IF(CURRENCY.FORMAT_2=0,CONCATENATE(TEXT(FIXED(ROUND(IF(EXC.RATE.SWITCH=1,C693*(1-I693)*(1-ADD.DISCOUNT)*(1+MAT.SURCHARGE)/EXC.RATE_2,C693*(1-I693)*(1-ADD.DISCOUNT)*(1+MAT.SURCHARGE)*EXC.RATE_2),CURRENCY.FORMAT_2),CURRENCY.FORMAT_2,1),"# ##0;-# ##0"),",-"),FIXED(ROUND(IF(EXC.RATE.SWITCH=1,C693*(1-I693)*(1-ADD.DISCOUNT)*(1+MAT.SURCHARGE)/EXC.RATE_2,C693*(1-I693)*(1-ADD.DISCOUNT)*(1+MAT.SURCHARGE)*EXC.RATE_2),CURRENCY.FORMAT_2),CURRENCY.FORMAT_2,0)),'DICTIONARY-5'!$A$2))</f>
        <v/>
      </c>
      <c r="N693" s="544">
        <v>2</v>
      </c>
      <c r="O693" s="544"/>
      <c r="P693" s="731" t="str">
        <f>'DICTIONARY-3'!$A$15</f>
        <v>ERIplus</v>
      </c>
      <c r="Q693" s="732" t="str">
        <f>'DICTIONARY-3'!$A$190</f>
        <v>Zasuwa wrzecionowa</v>
      </c>
      <c r="R693" s="732" t="str">
        <f>CONCATENATE('DICTIONARY-3'!$A$15," ",'DICTIONARY-6'!$A$5," ",'DICTIONARY-2'!$A$2,"300"," ",'DICTIONARY-6'!$A$53,", ",'DICTIONARY-4'!$A$2,", max.8",'DICTIONARY-2'!$A$41,", ",'DICTIONARY-4'!$A$2)</f>
        <v>ERIplus Zasuwa wrzec. DN300 do koryta, WW, max.8mSW, WW</v>
      </c>
      <c r="S693" s="733" t="str">
        <f>'DICTIONARY-4'!$A$2</f>
        <v>WW</v>
      </c>
      <c r="T693" s="732" t="str">
        <f>'DICTIONARY-4'!$A$18</f>
        <v>Wolny wałek</v>
      </c>
      <c r="U693" s="734" t="s">
        <v>5752</v>
      </c>
      <c r="V693" s="735"/>
      <c r="W693" s="736"/>
      <c r="X693" s="737"/>
      <c r="Y693" s="738"/>
      <c r="Z693" s="739">
        <v>896</v>
      </c>
      <c r="AA693" s="739"/>
      <c r="AB693" s="746">
        <v>0.8</v>
      </c>
      <c r="AC693" s="741"/>
      <c r="AD693" s="741" t="str">
        <f>'DICTIONARY-5'!$A$14</f>
        <v>ścieki</v>
      </c>
      <c r="AE693" s="742">
        <v>50</v>
      </c>
      <c r="AF693" s="743"/>
      <c r="AG693" s="733" t="str">
        <f>'DICTIONARY-5'!$A$27</f>
        <v>pasywacja</v>
      </c>
    </row>
    <row r="694" spans="1:33" x14ac:dyDescent="0.25">
      <c r="A694" s="842" t="s">
        <v>719</v>
      </c>
      <c r="B694" s="842" t="str">
        <f>'DICTIONARY-5'!$A$2</f>
        <v>na zapytanie</v>
      </c>
      <c r="C694" s="836" t="s">
        <v>5967</v>
      </c>
      <c r="D694" s="836"/>
      <c r="E694" s="836"/>
      <c r="F694" s="836"/>
      <c r="G694" s="496" t="s">
        <v>7799</v>
      </c>
      <c r="H694" s="797" t="str">
        <f>VLOOKUP(G694,SETTINGS!$B$7:$D$97,2,0)</f>
        <v>ERIplus</v>
      </c>
      <c r="I694" s="796">
        <f>VLOOKUP(G694,SETTINGS!$B$7:$D$97,3,0)</f>
        <v>0</v>
      </c>
      <c r="J694" s="670" t="str">
        <f>IFERROR(IF(CURRENCY.FORMAT_1=0,CONCATENATE(TEXT(FIXED(ROUND((C694/EXC.RATE_1),CURRENCY.FORMAT_1),CURRENCY.FORMAT_1,1),"# ##0;-# ##0"),",-"),FIXED(ROUND((C694/EXC.RATE_1),CURRENCY.FORMAT_1),CURRENCY.FORMAT_1,0)),'DICTIONARY-5'!$A$2)</f>
        <v>na zapytanie</v>
      </c>
      <c r="K694" s="670" t="str">
        <f>IF(EXC.RATE_2=0,"",IFERROR(IF(CURRENCY.FORMAT_2=0,CONCATENATE(TEXT(FIXED(ROUND(IF(EXC.RATE.SWITCH=1,C694/EXC.RATE_2,C694*EXC.RATE_2),CURRENCY.FORMAT_2),CURRENCY.FORMAT_2,1),"# ##0;-# ##0"),",-"),FIXED(ROUND(IF(EXC.RATE.SWITCH=1,C694/EXC.RATE_2,C694*EXC.RATE_2),CURRENCY.FORMAT_2),CURRENCY.FORMAT_2,0)),'DICTIONARY-5'!$A$2))</f>
        <v/>
      </c>
      <c r="L694" s="670" t="str">
        <f>IFERROR(IF(CURRENCY.FORMAT_1=0,CONCATENATE(TEXT(FIXED(ROUND((C694*(1-I694)*(1-ADD.DISCOUNT)*(1+MAT.SURCHARGE)/EXC.RATE_1),CURRENCY.FORMAT_1),CURRENCY.FORMAT_1,1),"# ##0;-# ##0"),",-"),FIXED(ROUND((C694*(1-I694)*(1-ADD.DISCOUNT)*(1+MAT.SURCHARGE)/EXC.RATE_1),CURRENCY.FORMAT_1),CURRENCY.FORMAT_1,0)),'DICTIONARY-5'!$A$2)</f>
        <v>na zapytanie</v>
      </c>
      <c r="M694" s="670" t="str">
        <f>IF(EXC.RATE_2=0,"",IFERROR(IF(CURRENCY.FORMAT_2=0,CONCATENATE(TEXT(FIXED(ROUND(IF(EXC.RATE.SWITCH=1,C694*(1-I694)*(1-ADD.DISCOUNT)*(1+MAT.SURCHARGE)/EXC.RATE_2,C694*(1-I694)*(1-ADD.DISCOUNT)*(1+MAT.SURCHARGE)*EXC.RATE_2),CURRENCY.FORMAT_2),CURRENCY.FORMAT_2,1),"# ##0;-# ##0"),",-"),FIXED(ROUND(IF(EXC.RATE.SWITCH=1,C694*(1-I694)*(1-ADD.DISCOUNT)*(1+MAT.SURCHARGE)/EXC.RATE_2,C694*(1-I694)*(1-ADD.DISCOUNT)*(1+MAT.SURCHARGE)*EXC.RATE_2),CURRENCY.FORMAT_2),CURRENCY.FORMAT_2,0)),'DICTIONARY-5'!$A$2))</f>
        <v/>
      </c>
      <c r="N694" s="544">
        <v>2</v>
      </c>
      <c r="O694" s="544"/>
      <c r="P694" s="731" t="str">
        <f>'DICTIONARY-3'!$A$15</f>
        <v>ERIplus</v>
      </c>
      <c r="Q694" s="732" t="str">
        <f>'DICTIONARY-3'!$A$190</f>
        <v>Zasuwa wrzecionowa</v>
      </c>
      <c r="R694" s="732" t="str">
        <f>CONCATENATE('DICTIONARY-3'!$A$15," ",'DICTIONARY-6'!$A$5," ",'DICTIONARY-2'!$A$2,"400"," ",'DICTIONARY-6'!$A$53,", ",'DICTIONARY-4'!$A$2,", max.6",'DICTIONARY-2'!$A$41,", ",'DICTIONARY-4'!$A$2)</f>
        <v>ERIplus Zasuwa wrzec. DN400 do koryta, WW, max.6mSW, WW</v>
      </c>
      <c r="S694" s="733" t="str">
        <f>'DICTIONARY-4'!$A$2</f>
        <v>WW</v>
      </c>
      <c r="T694" s="732" t="str">
        <f>'DICTIONARY-4'!$A$18</f>
        <v>Wolny wałek</v>
      </c>
      <c r="U694" s="734" t="s">
        <v>5754</v>
      </c>
      <c r="V694" s="735"/>
      <c r="W694" s="736"/>
      <c r="X694" s="737"/>
      <c r="Y694" s="738"/>
      <c r="Z694" s="739">
        <v>1096</v>
      </c>
      <c r="AA694" s="739"/>
      <c r="AB694" s="746">
        <v>0.6</v>
      </c>
      <c r="AC694" s="741"/>
      <c r="AD694" s="741" t="str">
        <f>'DICTIONARY-5'!$A$14</f>
        <v>ścieki</v>
      </c>
      <c r="AE694" s="742">
        <v>50</v>
      </c>
      <c r="AF694" s="743"/>
      <c r="AG694" s="733" t="str">
        <f>'DICTIONARY-5'!$A$27</f>
        <v>pasywacja</v>
      </c>
    </row>
    <row r="695" spans="1:33" x14ac:dyDescent="0.25">
      <c r="A695" s="842" t="s">
        <v>721</v>
      </c>
      <c r="B695" s="842" t="s">
        <v>3325</v>
      </c>
      <c r="C695" s="836">
        <v>2901</v>
      </c>
      <c r="D695" s="836"/>
      <c r="E695" s="836"/>
      <c r="F695" s="836"/>
      <c r="G695" s="496" t="s">
        <v>7799</v>
      </c>
      <c r="H695" s="797" t="str">
        <f>VLOOKUP(G695,SETTINGS!$B$7:$D$97,2,0)</f>
        <v>ERIplus</v>
      </c>
      <c r="I695" s="796">
        <f>VLOOKUP(G695,SETTINGS!$B$7:$D$97,3,0)</f>
        <v>0</v>
      </c>
      <c r="J695" s="670" t="str">
        <f>IFERROR(IF(CURRENCY.FORMAT_1=0,CONCATENATE(TEXT(FIXED(ROUND((C695/EXC.RATE_1),CURRENCY.FORMAT_1),CURRENCY.FORMAT_1,1),"# ##0;-# ##0"),",-"),FIXED(ROUND((C695/EXC.RATE_1),CURRENCY.FORMAT_1),CURRENCY.FORMAT_1,0)),'DICTIONARY-5'!$A$2)</f>
        <v>2 901,-</v>
      </c>
      <c r="K695" s="670" t="str">
        <f>IF(EXC.RATE_2=0,"",IFERROR(IF(CURRENCY.FORMAT_2=0,CONCATENATE(TEXT(FIXED(ROUND(IF(EXC.RATE.SWITCH=1,C695/EXC.RATE_2,C695*EXC.RATE_2),CURRENCY.FORMAT_2),CURRENCY.FORMAT_2,1),"# ##0;-# ##0"),",-"),FIXED(ROUND(IF(EXC.RATE.SWITCH=1,C695/EXC.RATE_2,C695*EXC.RATE_2),CURRENCY.FORMAT_2),CURRENCY.FORMAT_2,0)),'DICTIONARY-5'!$A$2))</f>
        <v/>
      </c>
      <c r="L695" s="670" t="str">
        <f>IFERROR(IF(CURRENCY.FORMAT_1=0,CONCATENATE(TEXT(FIXED(ROUND((C695*(1-I695)*(1-ADD.DISCOUNT)*(1+MAT.SURCHARGE)/EXC.RATE_1),CURRENCY.FORMAT_1),CURRENCY.FORMAT_1,1),"# ##0;-# ##0"),",-"),FIXED(ROUND((C695*(1-I695)*(1-ADD.DISCOUNT)*(1+MAT.SURCHARGE)/EXC.RATE_1),CURRENCY.FORMAT_1),CURRENCY.FORMAT_1,0)),'DICTIONARY-5'!$A$2)</f>
        <v>3 014,-</v>
      </c>
      <c r="M695" s="670" t="str">
        <f>IF(EXC.RATE_2=0,"",IFERROR(IF(CURRENCY.FORMAT_2=0,CONCATENATE(TEXT(FIXED(ROUND(IF(EXC.RATE.SWITCH=1,C695*(1-I695)*(1-ADD.DISCOUNT)*(1+MAT.SURCHARGE)/EXC.RATE_2,C695*(1-I695)*(1-ADD.DISCOUNT)*(1+MAT.SURCHARGE)*EXC.RATE_2),CURRENCY.FORMAT_2),CURRENCY.FORMAT_2,1),"# ##0;-# ##0"),",-"),FIXED(ROUND(IF(EXC.RATE.SWITCH=1,C695*(1-I695)*(1-ADD.DISCOUNT)*(1+MAT.SURCHARGE)/EXC.RATE_2,C695*(1-I695)*(1-ADD.DISCOUNT)*(1+MAT.SURCHARGE)*EXC.RATE_2),CURRENCY.FORMAT_2),CURRENCY.FORMAT_2,0)),'DICTIONARY-5'!$A$2))</f>
        <v/>
      </c>
      <c r="N695" s="544">
        <v>2</v>
      </c>
      <c r="O695" s="544"/>
      <c r="P695" s="731" t="str">
        <f>'DICTIONARY-3'!$A$15</f>
        <v>ERIplus</v>
      </c>
      <c r="Q695" s="732" t="str">
        <f>'DICTIONARY-3'!$A$190</f>
        <v>Zasuwa wrzecionowa</v>
      </c>
      <c r="R695" s="732" t="str">
        <f>CONCATENATE('DICTIONARY-3'!$A$15," ",'DICTIONARY-6'!$A$5," ",'DICTIONARY-2'!$A$2,"500"," ",'DICTIONARY-6'!$A$53,", ",'DICTIONARY-4'!$A$2,", max.6",'DICTIONARY-2'!$A$41,", ",'DICTIONARY-4'!$A$2)</f>
        <v>ERIplus Zasuwa wrzec. DN500 do koryta, WW, max.6mSW, WW</v>
      </c>
      <c r="S695" s="733" t="str">
        <f>'DICTIONARY-4'!$A$2</f>
        <v>WW</v>
      </c>
      <c r="T695" s="732" t="str">
        <f>'DICTIONARY-4'!$A$18</f>
        <v>Wolny wałek</v>
      </c>
      <c r="U695" s="734" t="s">
        <v>5756</v>
      </c>
      <c r="V695" s="735"/>
      <c r="W695" s="736"/>
      <c r="X695" s="737"/>
      <c r="Y695" s="738"/>
      <c r="Z695" s="739">
        <v>1291</v>
      </c>
      <c r="AA695" s="739"/>
      <c r="AB695" s="746">
        <v>0.6</v>
      </c>
      <c r="AC695" s="741"/>
      <c r="AD695" s="741" t="str">
        <f>'DICTIONARY-5'!$A$14</f>
        <v>ścieki</v>
      </c>
      <c r="AE695" s="742">
        <v>50</v>
      </c>
      <c r="AF695" s="743">
        <v>52</v>
      </c>
      <c r="AG695" s="733" t="str">
        <f>'DICTIONARY-5'!$A$27</f>
        <v>pasywacja</v>
      </c>
    </row>
    <row r="696" spans="1:33" x14ac:dyDescent="0.25">
      <c r="A696" s="842" t="s">
        <v>723</v>
      </c>
      <c r="B696" s="842" t="str">
        <f>'DICTIONARY-5'!$A$2</f>
        <v>na zapytanie</v>
      </c>
      <c r="C696" s="836" t="s">
        <v>5967</v>
      </c>
      <c r="D696" s="836"/>
      <c r="E696" s="836"/>
      <c r="F696" s="836"/>
      <c r="G696" s="496" t="s">
        <v>7799</v>
      </c>
      <c r="H696" s="797" t="str">
        <f>VLOOKUP(G696,SETTINGS!$B$7:$D$97,2,0)</f>
        <v>ERIplus</v>
      </c>
      <c r="I696" s="796">
        <f>VLOOKUP(G696,SETTINGS!$B$7:$D$97,3,0)</f>
        <v>0</v>
      </c>
      <c r="J696" s="670" t="str">
        <f>IFERROR(IF(CURRENCY.FORMAT_1=0,CONCATENATE(TEXT(FIXED(ROUND((C696/EXC.RATE_1),CURRENCY.FORMAT_1),CURRENCY.FORMAT_1,1),"# ##0;-# ##0"),",-"),FIXED(ROUND((C696/EXC.RATE_1),CURRENCY.FORMAT_1),CURRENCY.FORMAT_1,0)),'DICTIONARY-5'!$A$2)</f>
        <v>na zapytanie</v>
      </c>
      <c r="K696" s="670" t="str">
        <f>IF(EXC.RATE_2=0,"",IFERROR(IF(CURRENCY.FORMAT_2=0,CONCATENATE(TEXT(FIXED(ROUND(IF(EXC.RATE.SWITCH=1,C696/EXC.RATE_2,C696*EXC.RATE_2),CURRENCY.FORMAT_2),CURRENCY.FORMAT_2,1),"# ##0;-# ##0"),",-"),FIXED(ROUND(IF(EXC.RATE.SWITCH=1,C696/EXC.RATE_2,C696*EXC.RATE_2),CURRENCY.FORMAT_2),CURRENCY.FORMAT_2,0)),'DICTIONARY-5'!$A$2))</f>
        <v/>
      </c>
      <c r="L696" s="670" t="str">
        <f>IFERROR(IF(CURRENCY.FORMAT_1=0,CONCATENATE(TEXT(FIXED(ROUND((C696*(1-I696)*(1-ADD.DISCOUNT)*(1+MAT.SURCHARGE)/EXC.RATE_1),CURRENCY.FORMAT_1),CURRENCY.FORMAT_1,1),"# ##0;-# ##0"),",-"),FIXED(ROUND((C696*(1-I696)*(1-ADD.DISCOUNT)*(1+MAT.SURCHARGE)/EXC.RATE_1),CURRENCY.FORMAT_1),CURRENCY.FORMAT_1,0)),'DICTIONARY-5'!$A$2)</f>
        <v>na zapytanie</v>
      </c>
      <c r="M696" s="670" t="str">
        <f>IF(EXC.RATE_2=0,"",IFERROR(IF(CURRENCY.FORMAT_2=0,CONCATENATE(TEXT(FIXED(ROUND(IF(EXC.RATE.SWITCH=1,C696*(1-I696)*(1-ADD.DISCOUNT)*(1+MAT.SURCHARGE)/EXC.RATE_2,C696*(1-I696)*(1-ADD.DISCOUNT)*(1+MAT.SURCHARGE)*EXC.RATE_2),CURRENCY.FORMAT_2),CURRENCY.FORMAT_2,1),"# ##0;-# ##0"),",-"),FIXED(ROUND(IF(EXC.RATE.SWITCH=1,C696*(1-I696)*(1-ADD.DISCOUNT)*(1+MAT.SURCHARGE)/EXC.RATE_2,C696*(1-I696)*(1-ADD.DISCOUNT)*(1+MAT.SURCHARGE)*EXC.RATE_2),CURRENCY.FORMAT_2),CURRENCY.FORMAT_2,0)),'DICTIONARY-5'!$A$2))</f>
        <v/>
      </c>
      <c r="N696" s="544">
        <v>2</v>
      </c>
      <c r="O696" s="544"/>
      <c r="P696" s="731" t="str">
        <f>'DICTIONARY-3'!$A$15</f>
        <v>ERIplus</v>
      </c>
      <c r="Q696" s="732" t="str">
        <f>'DICTIONARY-3'!$A$190</f>
        <v>Zasuwa wrzecionowa</v>
      </c>
      <c r="R696" s="732" t="str">
        <f>CONCATENATE('DICTIONARY-3'!$A$15," ",'DICTIONARY-6'!$A$5," ",'DICTIONARY-2'!$A$2,"600"," ",'DICTIONARY-6'!$A$53,", ",'DICTIONARY-4'!$A$2,", max.6",'DICTIONARY-2'!$A$41,", ",'DICTIONARY-4'!$A$2)</f>
        <v>ERIplus Zasuwa wrzec. DN600 do koryta, WW, max.6mSW, WW</v>
      </c>
      <c r="S696" s="733" t="str">
        <f>'DICTIONARY-4'!$A$2</f>
        <v>WW</v>
      </c>
      <c r="T696" s="732" t="str">
        <f>'DICTIONARY-4'!$A$18</f>
        <v>Wolny wałek</v>
      </c>
      <c r="U696" s="734" t="s">
        <v>5757</v>
      </c>
      <c r="V696" s="735"/>
      <c r="W696" s="736"/>
      <c r="X696" s="737"/>
      <c r="Y696" s="738"/>
      <c r="Z696" s="739">
        <v>1486</v>
      </c>
      <c r="AA696" s="739"/>
      <c r="AB696" s="746">
        <v>0.6</v>
      </c>
      <c r="AC696" s="741"/>
      <c r="AD696" s="741" t="str">
        <f>'DICTIONARY-5'!$A$14</f>
        <v>ścieki</v>
      </c>
      <c r="AE696" s="742">
        <v>50</v>
      </c>
      <c r="AF696" s="743"/>
      <c r="AG696" s="733" t="str">
        <f>'DICTIONARY-5'!$A$27</f>
        <v>pasywacja</v>
      </c>
    </row>
    <row r="697" spans="1:33" x14ac:dyDescent="0.25">
      <c r="A697" s="842" t="s">
        <v>725</v>
      </c>
      <c r="B697" s="842" t="str">
        <f>'DICTIONARY-5'!$A$2</f>
        <v>na zapytanie</v>
      </c>
      <c r="C697" s="836" t="s">
        <v>5967</v>
      </c>
      <c r="D697" s="836"/>
      <c r="E697" s="836"/>
      <c r="F697" s="836"/>
      <c r="G697" s="496" t="s">
        <v>7799</v>
      </c>
      <c r="H697" s="797" t="str">
        <f>VLOOKUP(G697,SETTINGS!$B$7:$D$97,2,0)</f>
        <v>ERIplus</v>
      </c>
      <c r="I697" s="796">
        <f>VLOOKUP(G697,SETTINGS!$B$7:$D$97,3,0)</f>
        <v>0</v>
      </c>
      <c r="J697" s="670" t="str">
        <f>IFERROR(IF(CURRENCY.FORMAT_1=0,CONCATENATE(TEXT(FIXED(ROUND((C697/EXC.RATE_1),CURRENCY.FORMAT_1),CURRENCY.FORMAT_1,1),"# ##0;-# ##0"),",-"),FIXED(ROUND((C697/EXC.RATE_1),CURRENCY.FORMAT_1),CURRENCY.FORMAT_1,0)),'DICTIONARY-5'!$A$2)</f>
        <v>na zapytanie</v>
      </c>
      <c r="K697" s="670" t="str">
        <f>IF(EXC.RATE_2=0,"",IFERROR(IF(CURRENCY.FORMAT_2=0,CONCATENATE(TEXT(FIXED(ROUND(IF(EXC.RATE.SWITCH=1,C697/EXC.RATE_2,C697*EXC.RATE_2),CURRENCY.FORMAT_2),CURRENCY.FORMAT_2,1),"# ##0;-# ##0"),",-"),FIXED(ROUND(IF(EXC.RATE.SWITCH=1,C697/EXC.RATE_2,C697*EXC.RATE_2),CURRENCY.FORMAT_2),CURRENCY.FORMAT_2,0)),'DICTIONARY-5'!$A$2))</f>
        <v/>
      </c>
      <c r="L697" s="670" t="str">
        <f>IFERROR(IF(CURRENCY.FORMAT_1=0,CONCATENATE(TEXT(FIXED(ROUND((C697*(1-I697)*(1-ADD.DISCOUNT)*(1+MAT.SURCHARGE)/EXC.RATE_1),CURRENCY.FORMAT_1),CURRENCY.FORMAT_1,1),"# ##0;-# ##0"),",-"),FIXED(ROUND((C697*(1-I697)*(1-ADD.DISCOUNT)*(1+MAT.SURCHARGE)/EXC.RATE_1),CURRENCY.FORMAT_1),CURRENCY.FORMAT_1,0)),'DICTIONARY-5'!$A$2)</f>
        <v>na zapytanie</v>
      </c>
      <c r="M697" s="670" t="str">
        <f>IF(EXC.RATE_2=0,"",IFERROR(IF(CURRENCY.FORMAT_2=0,CONCATENATE(TEXT(FIXED(ROUND(IF(EXC.RATE.SWITCH=1,C697*(1-I697)*(1-ADD.DISCOUNT)*(1+MAT.SURCHARGE)/EXC.RATE_2,C697*(1-I697)*(1-ADD.DISCOUNT)*(1+MAT.SURCHARGE)*EXC.RATE_2),CURRENCY.FORMAT_2),CURRENCY.FORMAT_2,1),"# ##0;-# ##0"),",-"),FIXED(ROUND(IF(EXC.RATE.SWITCH=1,C697*(1-I697)*(1-ADD.DISCOUNT)*(1+MAT.SURCHARGE)/EXC.RATE_2,C697*(1-I697)*(1-ADD.DISCOUNT)*(1+MAT.SURCHARGE)*EXC.RATE_2),CURRENCY.FORMAT_2),CURRENCY.FORMAT_2,0)),'DICTIONARY-5'!$A$2))</f>
        <v/>
      </c>
      <c r="N697" s="544">
        <v>2</v>
      </c>
      <c r="O697" s="544"/>
      <c r="P697" s="731" t="str">
        <f>'DICTIONARY-3'!$A$15</f>
        <v>ERIplus</v>
      </c>
      <c r="Q697" s="732" t="str">
        <f>'DICTIONARY-3'!$A$190</f>
        <v>Zasuwa wrzecionowa</v>
      </c>
      <c r="R697" s="732" t="str">
        <f>CONCATENATE('DICTIONARY-3'!$A$15," ",'DICTIONARY-6'!$A$5," ",'DICTIONARY-2'!$A$2,"700"," ",'DICTIONARY-6'!$A$53,", ",'DICTIONARY-4'!$A$2,", max.6",'DICTIONARY-2'!$A$41,", ",'DICTIONARY-4'!$A$2)</f>
        <v>ERIplus Zasuwa wrzec. DN700 do koryta, WW, max.6mSW, WW</v>
      </c>
      <c r="S697" s="733" t="str">
        <f>'DICTIONARY-4'!$A$2</f>
        <v>WW</v>
      </c>
      <c r="T697" s="732" t="str">
        <f>'DICTIONARY-4'!$A$18</f>
        <v>Wolny wałek</v>
      </c>
      <c r="U697" s="734" t="s">
        <v>5834</v>
      </c>
      <c r="V697" s="735"/>
      <c r="W697" s="736"/>
      <c r="X697" s="737"/>
      <c r="Y697" s="738"/>
      <c r="Z697" s="739">
        <v>1720</v>
      </c>
      <c r="AA697" s="739"/>
      <c r="AB697" s="746">
        <v>0.6</v>
      </c>
      <c r="AC697" s="741"/>
      <c r="AD697" s="741" t="str">
        <f>'DICTIONARY-5'!$A$14</f>
        <v>ścieki</v>
      </c>
      <c r="AE697" s="742">
        <v>50</v>
      </c>
      <c r="AF697" s="743"/>
      <c r="AG697" s="733" t="str">
        <f>'DICTIONARY-5'!$A$27</f>
        <v>pasywacja</v>
      </c>
    </row>
    <row r="698" spans="1:33" x14ac:dyDescent="0.25">
      <c r="A698" s="842" t="s">
        <v>727</v>
      </c>
      <c r="B698" s="842" t="str">
        <f>'DICTIONARY-5'!$A$2</f>
        <v>na zapytanie</v>
      </c>
      <c r="C698" s="836" t="s">
        <v>5967</v>
      </c>
      <c r="D698" s="836"/>
      <c r="E698" s="836"/>
      <c r="F698" s="836"/>
      <c r="G698" s="496" t="s">
        <v>7799</v>
      </c>
      <c r="H698" s="797" t="str">
        <f>VLOOKUP(G698,SETTINGS!$B$7:$D$97,2,0)</f>
        <v>ERIplus</v>
      </c>
      <c r="I698" s="796">
        <f>VLOOKUP(G698,SETTINGS!$B$7:$D$97,3,0)</f>
        <v>0</v>
      </c>
      <c r="J698" s="670" t="str">
        <f>IFERROR(IF(CURRENCY.FORMAT_1=0,CONCATENATE(TEXT(FIXED(ROUND((C698/EXC.RATE_1),CURRENCY.FORMAT_1),CURRENCY.FORMAT_1,1),"# ##0;-# ##0"),",-"),FIXED(ROUND((C698/EXC.RATE_1),CURRENCY.FORMAT_1),CURRENCY.FORMAT_1,0)),'DICTIONARY-5'!$A$2)</f>
        <v>na zapytanie</v>
      </c>
      <c r="K698" s="670" t="str">
        <f>IF(EXC.RATE_2=0,"",IFERROR(IF(CURRENCY.FORMAT_2=0,CONCATENATE(TEXT(FIXED(ROUND(IF(EXC.RATE.SWITCH=1,C698/EXC.RATE_2,C698*EXC.RATE_2),CURRENCY.FORMAT_2),CURRENCY.FORMAT_2,1),"# ##0;-# ##0"),",-"),FIXED(ROUND(IF(EXC.RATE.SWITCH=1,C698/EXC.RATE_2,C698*EXC.RATE_2),CURRENCY.FORMAT_2),CURRENCY.FORMAT_2,0)),'DICTIONARY-5'!$A$2))</f>
        <v/>
      </c>
      <c r="L698" s="670" t="str">
        <f>IFERROR(IF(CURRENCY.FORMAT_1=0,CONCATENATE(TEXT(FIXED(ROUND((C698*(1-I698)*(1-ADD.DISCOUNT)*(1+MAT.SURCHARGE)/EXC.RATE_1),CURRENCY.FORMAT_1),CURRENCY.FORMAT_1,1),"# ##0;-# ##0"),",-"),FIXED(ROUND((C698*(1-I698)*(1-ADD.DISCOUNT)*(1+MAT.SURCHARGE)/EXC.RATE_1),CURRENCY.FORMAT_1),CURRENCY.FORMAT_1,0)),'DICTIONARY-5'!$A$2)</f>
        <v>na zapytanie</v>
      </c>
      <c r="M698" s="670" t="str">
        <f>IF(EXC.RATE_2=0,"",IFERROR(IF(CURRENCY.FORMAT_2=0,CONCATENATE(TEXT(FIXED(ROUND(IF(EXC.RATE.SWITCH=1,C698*(1-I698)*(1-ADD.DISCOUNT)*(1+MAT.SURCHARGE)/EXC.RATE_2,C698*(1-I698)*(1-ADD.DISCOUNT)*(1+MAT.SURCHARGE)*EXC.RATE_2),CURRENCY.FORMAT_2),CURRENCY.FORMAT_2,1),"# ##0;-# ##0"),",-"),FIXED(ROUND(IF(EXC.RATE.SWITCH=1,C698*(1-I698)*(1-ADD.DISCOUNT)*(1+MAT.SURCHARGE)/EXC.RATE_2,C698*(1-I698)*(1-ADD.DISCOUNT)*(1+MAT.SURCHARGE)*EXC.RATE_2),CURRENCY.FORMAT_2),CURRENCY.FORMAT_2,0)),'DICTIONARY-5'!$A$2))</f>
        <v/>
      </c>
      <c r="N698" s="544">
        <v>2</v>
      </c>
      <c r="O698" s="544"/>
      <c r="P698" s="731" t="str">
        <f>'DICTIONARY-3'!$A$15</f>
        <v>ERIplus</v>
      </c>
      <c r="Q698" s="732" t="str">
        <f>'DICTIONARY-3'!$A$190</f>
        <v>Zasuwa wrzecionowa</v>
      </c>
      <c r="R698" s="732" t="str">
        <f>CONCATENATE('DICTIONARY-3'!$A$15," ",'DICTIONARY-6'!$A$5," ",'DICTIONARY-2'!$A$2,"800"," ",'DICTIONARY-6'!$A$53,", ",'DICTIONARY-4'!$A$2,", max.6",'DICTIONARY-2'!$A$41,", ",'DICTIONARY-4'!$A$2)</f>
        <v>ERIplus Zasuwa wrzec. DN800 do koryta, WW, max.6mSW, WW</v>
      </c>
      <c r="S698" s="733" t="str">
        <f>'DICTIONARY-4'!$A$2</f>
        <v>WW</v>
      </c>
      <c r="T698" s="732" t="str">
        <f>'DICTIONARY-4'!$A$18</f>
        <v>Wolny wałek</v>
      </c>
      <c r="U698" s="734" t="s">
        <v>5835</v>
      </c>
      <c r="V698" s="735"/>
      <c r="W698" s="736"/>
      <c r="X698" s="737"/>
      <c r="Y698" s="738"/>
      <c r="Z698" s="739">
        <v>1920</v>
      </c>
      <c r="AA698" s="739"/>
      <c r="AB698" s="746">
        <v>0.6</v>
      </c>
      <c r="AC698" s="741"/>
      <c r="AD698" s="741" t="str">
        <f>'DICTIONARY-5'!$A$14</f>
        <v>ścieki</v>
      </c>
      <c r="AE698" s="742">
        <v>50</v>
      </c>
      <c r="AF698" s="743"/>
      <c r="AG698" s="733" t="str">
        <f>'DICTIONARY-5'!$A$27</f>
        <v>pasywacja</v>
      </c>
    </row>
    <row r="699" spans="1:33" x14ac:dyDescent="0.25">
      <c r="A699" s="842" t="s">
        <v>729</v>
      </c>
      <c r="B699" s="842" t="str">
        <f>'DICTIONARY-5'!$A$2</f>
        <v>na zapytanie</v>
      </c>
      <c r="C699" s="836" t="s">
        <v>5967</v>
      </c>
      <c r="D699" s="836"/>
      <c r="E699" s="836"/>
      <c r="F699" s="836"/>
      <c r="G699" s="496" t="s">
        <v>7799</v>
      </c>
      <c r="H699" s="797" t="str">
        <f>VLOOKUP(G699,SETTINGS!$B$7:$D$97,2,0)</f>
        <v>ERIplus</v>
      </c>
      <c r="I699" s="796">
        <f>VLOOKUP(G699,SETTINGS!$B$7:$D$97,3,0)</f>
        <v>0</v>
      </c>
      <c r="J699" s="670" t="str">
        <f>IFERROR(IF(CURRENCY.FORMAT_1=0,CONCATENATE(TEXT(FIXED(ROUND((C699/EXC.RATE_1),CURRENCY.FORMAT_1),CURRENCY.FORMAT_1,1),"# ##0;-# ##0"),",-"),FIXED(ROUND((C699/EXC.RATE_1),CURRENCY.FORMAT_1),CURRENCY.FORMAT_1,0)),'DICTIONARY-5'!$A$2)</f>
        <v>na zapytanie</v>
      </c>
      <c r="K699" s="670" t="str">
        <f>IF(EXC.RATE_2=0,"",IFERROR(IF(CURRENCY.FORMAT_2=0,CONCATENATE(TEXT(FIXED(ROUND(IF(EXC.RATE.SWITCH=1,C699/EXC.RATE_2,C699*EXC.RATE_2),CURRENCY.FORMAT_2),CURRENCY.FORMAT_2,1),"# ##0;-# ##0"),",-"),FIXED(ROUND(IF(EXC.RATE.SWITCH=1,C699/EXC.RATE_2,C699*EXC.RATE_2),CURRENCY.FORMAT_2),CURRENCY.FORMAT_2,0)),'DICTIONARY-5'!$A$2))</f>
        <v/>
      </c>
      <c r="L699" s="670" t="str">
        <f>IFERROR(IF(CURRENCY.FORMAT_1=0,CONCATENATE(TEXT(FIXED(ROUND((C699*(1-I699)*(1-ADD.DISCOUNT)*(1+MAT.SURCHARGE)/EXC.RATE_1),CURRENCY.FORMAT_1),CURRENCY.FORMAT_1,1),"# ##0;-# ##0"),",-"),FIXED(ROUND((C699*(1-I699)*(1-ADD.DISCOUNT)*(1+MAT.SURCHARGE)/EXC.RATE_1),CURRENCY.FORMAT_1),CURRENCY.FORMAT_1,0)),'DICTIONARY-5'!$A$2)</f>
        <v>na zapytanie</v>
      </c>
      <c r="M699" s="670" t="str">
        <f>IF(EXC.RATE_2=0,"",IFERROR(IF(CURRENCY.FORMAT_2=0,CONCATENATE(TEXT(FIXED(ROUND(IF(EXC.RATE.SWITCH=1,C699*(1-I699)*(1-ADD.DISCOUNT)*(1+MAT.SURCHARGE)/EXC.RATE_2,C699*(1-I699)*(1-ADD.DISCOUNT)*(1+MAT.SURCHARGE)*EXC.RATE_2),CURRENCY.FORMAT_2),CURRENCY.FORMAT_2,1),"# ##0;-# ##0"),",-"),FIXED(ROUND(IF(EXC.RATE.SWITCH=1,C699*(1-I699)*(1-ADD.DISCOUNT)*(1+MAT.SURCHARGE)/EXC.RATE_2,C699*(1-I699)*(1-ADD.DISCOUNT)*(1+MAT.SURCHARGE)*EXC.RATE_2),CURRENCY.FORMAT_2),CURRENCY.FORMAT_2,0)),'DICTIONARY-5'!$A$2))</f>
        <v/>
      </c>
      <c r="N699" s="544">
        <v>2</v>
      </c>
      <c r="O699" s="544"/>
      <c r="P699" s="731" t="str">
        <f>'DICTIONARY-3'!$A$15</f>
        <v>ERIplus</v>
      </c>
      <c r="Q699" s="732" t="str">
        <f>'DICTIONARY-3'!$A$190</f>
        <v>Zasuwa wrzecionowa</v>
      </c>
      <c r="R699" s="732" t="str">
        <f>CONCATENATE('DICTIONARY-3'!$A$15," ",'DICTIONARY-6'!$A$5," ",'DICTIONARY-2'!$A$2,"900"," ",'DICTIONARY-6'!$A$53,", ",'DICTIONARY-4'!$A$2,", max.4",'DICTIONARY-2'!$A$41,", ",'DICTIONARY-4'!$A$2)</f>
        <v>ERIplus Zasuwa wrzec. DN900 do koryta, WW, max.4mSW, WW</v>
      </c>
      <c r="S699" s="733" t="str">
        <f>'DICTIONARY-4'!$A$2</f>
        <v>WW</v>
      </c>
      <c r="T699" s="732" t="str">
        <f>'DICTIONARY-4'!$A$18</f>
        <v>Wolny wałek</v>
      </c>
      <c r="U699" s="734" t="s">
        <v>5837</v>
      </c>
      <c r="V699" s="735"/>
      <c r="W699" s="736"/>
      <c r="X699" s="737"/>
      <c r="Y699" s="738"/>
      <c r="Z699" s="739">
        <v>2120</v>
      </c>
      <c r="AA699" s="739"/>
      <c r="AB699" s="746">
        <v>0.4</v>
      </c>
      <c r="AC699" s="741"/>
      <c r="AD699" s="741" t="str">
        <f>'DICTIONARY-5'!$A$14</f>
        <v>ścieki</v>
      </c>
      <c r="AE699" s="742">
        <v>50</v>
      </c>
      <c r="AF699" s="743"/>
      <c r="AG699" s="733" t="str">
        <f>'DICTIONARY-5'!$A$27</f>
        <v>pasywacja</v>
      </c>
    </row>
    <row r="700" spans="1:33" x14ac:dyDescent="0.25">
      <c r="A700" s="842" t="s">
        <v>731</v>
      </c>
      <c r="B700" s="842" t="str">
        <f>'DICTIONARY-5'!$A$2</f>
        <v>na zapytanie</v>
      </c>
      <c r="C700" s="836" t="s">
        <v>5967</v>
      </c>
      <c r="D700" s="836"/>
      <c r="E700" s="836"/>
      <c r="F700" s="836"/>
      <c r="G700" s="496" t="s">
        <v>7799</v>
      </c>
      <c r="H700" s="797" t="str">
        <f>VLOOKUP(G700,SETTINGS!$B$7:$D$97,2,0)</f>
        <v>ERIplus</v>
      </c>
      <c r="I700" s="796">
        <f>VLOOKUP(G700,SETTINGS!$B$7:$D$97,3,0)</f>
        <v>0</v>
      </c>
      <c r="J700" s="670" t="str">
        <f>IFERROR(IF(CURRENCY.FORMAT_1=0,CONCATENATE(TEXT(FIXED(ROUND((C700/EXC.RATE_1),CURRENCY.FORMAT_1),CURRENCY.FORMAT_1,1),"# ##0;-# ##0"),",-"),FIXED(ROUND((C700/EXC.RATE_1),CURRENCY.FORMAT_1),CURRENCY.FORMAT_1,0)),'DICTIONARY-5'!$A$2)</f>
        <v>na zapytanie</v>
      </c>
      <c r="K700" s="670" t="str">
        <f>IF(EXC.RATE_2=0,"",IFERROR(IF(CURRENCY.FORMAT_2=0,CONCATENATE(TEXT(FIXED(ROUND(IF(EXC.RATE.SWITCH=1,C700/EXC.RATE_2,C700*EXC.RATE_2),CURRENCY.FORMAT_2),CURRENCY.FORMAT_2,1),"# ##0;-# ##0"),",-"),FIXED(ROUND(IF(EXC.RATE.SWITCH=1,C700/EXC.RATE_2,C700*EXC.RATE_2),CURRENCY.FORMAT_2),CURRENCY.FORMAT_2,0)),'DICTIONARY-5'!$A$2))</f>
        <v/>
      </c>
      <c r="L700" s="670" t="str">
        <f>IFERROR(IF(CURRENCY.FORMAT_1=0,CONCATENATE(TEXT(FIXED(ROUND((C700*(1-I700)*(1-ADD.DISCOUNT)*(1+MAT.SURCHARGE)/EXC.RATE_1),CURRENCY.FORMAT_1),CURRENCY.FORMAT_1,1),"# ##0;-# ##0"),",-"),FIXED(ROUND((C700*(1-I700)*(1-ADD.DISCOUNT)*(1+MAT.SURCHARGE)/EXC.RATE_1),CURRENCY.FORMAT_1),CURRENCY.FORMAT_1,0)),'DICTIONARY-5'!$A$2)</f>
        <v>na zapytanie</v>
      </c>
      <c r="M700" s="670" t="str">
        <f>IF(EXC.RATE_2=0,"",IFERROR(IF(CURRENCY.FORMAT_2=0,CONCATENATE(TEXT(FIXED(ROUND(IF(EXC.RATE.SWITCH=1,C700*(1-I700)*(1-ADD.DISCOUNT)*(1+MAT.SURCHARGE)/EXC.RATE_2,C700*(1-I700)*(1-ADD.DISCOUNT)*(1+MAT.SURCHARGE)*EXC.RATE_2),CURRENCY.FORMAT_2),CURRENCY.FORMAT_2,1),"# ##0;-# ##0"),",-"),FIXED(ROUND(IF(EXC.RATE.SWITCH=1,C700*(1-I700)*(1-ADD.DISCOUNT)*(1+MAT.SURCHARGE)/EXC.RATE_2,C700*(1-I700)*(1-ADD.DISCOUNT)*(1+MAT.SURCHARGE)*EXC.RATE_2),CURRENCY.FORMAT_2),CURRENCY.FORMAT_2,0)),'DICTIONARY-5'!$A$2))</f>
        <v/>
      </c>
      <c r="N700" s="544">
        <v>2</v>
      </c>
      <c r="O700" s="544"/>
      <c r="P700" s="731" t="str">
        <f>'DICTIONARY-3'!$A$15</f>
        <v>ERIplus</v>
      </c>
      <c r="Q700" s="732" t="str">
        <f>'DICTIONARY-3'!$A$190</f>
        <v>Zasuwa wrzecionowa</v>
      </c>
      <c r="R700" s="732" t="str">
        <f>CONCATENATE('DICTIONARY-3'!$A$15," ",'DICTIONARY-6'!$A$5," ",'DICTIONARY-2'!$A$2,"1000"," ",'DICTIONARY-6'!$A$53,", ",'DICTIONARY-4'!$A$2,", max.4",'DICTIONARY-2'!$A$41,", ",'DICTIONARY-4'!$A$2)</f>
        <v>ERIplus Zasuwa wrzec. DN1000 do koryta, WW, max.4mSW, WW</v>
      </c>
      <c r="S700" s="733" t="str">
        <f>'DICTIONARY-4'!$A$2</f>
        <v>WW</v>
      </c>
      <c r="T700" s="732" t="str">
        <f>'DICTIONARY-4'!$A$18</f>
        <v>Wolny wałek</v>
      </c>
      <c r="U700" s="734" t="s">
        <v>5836</v>
      </c>
      <c r="V700" s="735"/>
      <c r="W700" s="736"/>
      <c r="X700" s="737"/>
      <c r="Y700" s="738"/>
      <c r="Z700" s="739">
        <v>2320</v>
      </c>
      <c r="AA700" s="739"/>
      <c r="AB700" s="746">
        <v>0.4</v>
      </c>
      <c r="AC700" s="741"/>
      <c r="AD700" s="741" t="str">
        <f>'DICTIONARY-5'!$A$14</f>
        <v>ścieki</v>
      </c>
      <c r="AE700" s="742">
        <v>50</v>
      </c>
      <c r="AF700" s="743"/>
      <c r="AG700" s="733" t="str">
        <f>'DICTIONARY-5'!$A$27</f>
        <v>pasywacja</v>
      </c>
    </row>
    <row r="701" spans="1:33" x14ac:dyDescent="0.25">
      <c r="A701" s="842" t="s">
        <v>659</v>
      </c>
      <c r="B701" s="842" t="s">
        <v>3298</v>
      </c>
      <c r="C701" s="836">
        <v>984</v>
      </c>
      <c r="D701" s="836"/>
      <c r="E701" s="836"/>
      <c r="F701" s="836"/>
      <c r="G701" s="496" t="s">
        <v>7800</v>
      </c>
      <c r="H701" s="797" t="str">
        <f>VLOOKUP(G701,SETTINGS!$B$7:$D$97,2,0)</f>
        <v>EROXplus</v>
      </c>
      <c r="I701" s="796">
        <f>VLOOKUP(G701,SETTINGS!$B$7:$D$97,3,0)</f>
        <v>0</v>
      </c>
      <c r="J701" s="670" t="str">
        <f>IFERROR(IF(CURRENCY.FORMAT_1=0,CONCATENATE(TEXT(FIXED(ROUND((C701/EXC.RATE_1),CURRENCY.FORMAT_1),CURRENCY.FORMAT_1,1),"# ##0;-# ##0"),",-"),FIXED(ROUND((C701/EXC.RATE_1),CURRENCY.FORMAT_1),CURRENCY.FORMAT_1,0)),'DICTIONARY-5'!$A$2)</f>
        <v>984,-</v>
      </c>
      <c r="K701" s="670" t="str">
        <f>IF(EXC.RATE_2=0,"",IFERROR(IF(CURRENCY.FORMAT_2=0,CONCATENATE(TEXT(FIXED(ROUND(IF(EXC.RATE.SWITCH=1,C701/EXC.RATE_2,C701*EXC.RATE_2),CURRENCY.FORMAT_2),CURRENCY.FORMAT_2,1),"# ##0;-# ##0"),",-"),FIXED(ROUND(IF(EXC.RATE.SWITCH=1,C701/EXC.RATE_2,C701*EXC.RATE_2),CURRENCY.FORMAT_2),CURRENCY.FORMAT_2,0)),'DICTIONARY-5'!$A$2))</f>
        <v/>
      </c>
      <c r="L701" s="670" t="str">
        <f>IFERROR(IF(CURRENCY.FORMAT_1=0,CONCATENATE(TEXT(FIXED(ROUND((C701*(1-I701)*(1-ADD.DISCOUNT)*(1+MAT.SURCHARGE)/EXC.RATE_1),CURRENCY.FORMAT_1),CURRENCY.FORMAT_1,1),"# ##0;-# ##0"),",-"),FIXED(ROUND((C701*(1-I701)*(1-ADD.DISCOUNT)*(1+MAT.SURCHARGE)/EXC.RATE_1),CURRENCY.FORMAT_1),CURRENCY.FORMAT_1,0)),'DICTIONARY-5'!$A$2)</f>
        <v>1 022,-</v>
      </c>
      <c r="M701" s="670" t="str">
        <f>IF(EXC.RATE_2=0,"",IFERROR(IF(CURRENCY.FORMAT_2=0,CONCATENATE(TEXT(FIXED(ROUND(IF(EXC.RATE.SWITCH=1,C701*(1-I701)*(1-ADD.DISCOUNT)*(1+MAT.SURCHARGE)/EXC.RATE_2,C701*(1-I701)*(1-ADD.DISCOUNT)*(1+MAT.SURCHARGE)*EXC.RATE_2),CURRENCY.FORMAT_2),CURRENCY.FORMAT_2,1),"# ##0;-# ##0"),",-"),FIXED(ROUND(IF(EXC.RATE.SWITCH=1,C701*(1-I701)*(1-ADD.DISCOUNT)*(1+MAT.SURCHARGE)/EXC.RATE_2,C701*(1-I701)*(1-ADD.DISCOUNT)*(1+MAT.SURCHARGE)*EXC.RATE_2),CURRENCY.FORMAT_2),CURRENCY.FORMAT_2,0)),'DICTIONARY-5'!$A$2))</f>
        <v/>
      </c>
      <c r="N701" s="544">
        <v>2</v>
      </c>
      <c r="O701" s="544"/>
      <c r="P701" s="731" t="str">
        <f>'DICTIONARY-3'!$A$13</f>
        <v>EROXplus</v>
      </c>
      <c r="Q701" s="732" t="str">
        <f>'DICTIONARY-3'!$A$190</f>
        <v>Zasuwa wrzecionowa</v>
      </c>
      <c r="R701" s="732" t="str">
        <f>CONCATENATE('DICTIONARY-3'!$A$13," ",'DICTIONARY-6'!$A$5," ",'DICTIONARY-2'!$A$2,"150",", ",'DICTIONARY-4'!$A$2,", max.10",'DICTIONARY-2'!$A$41,", ",'DICTIONARY-4'!$A$2)</f>
        <v>EROXplus Zasuwa wrzec. DN150, WW, max.10mSW, WW</v>
      </c>
      <c r="S701" s="733" t="str">
        <f>'DICTIONARY-4'!$A$2</f>
        <v>WW</v>
      </c>
      <c r="T701" s="732" t="str">
        <f>'DICTIONARY-4'!$A$18</f>
        <v>Wolny wałek</v>
      </c>
      <c r="U701" s="734" t="s">
        <v>5572</v>
      </c>
      <c r="V701" s="735"/>
      <c r="W701" s="736"/>
      <c r="X701" s="737"/>
      <c r="Y701" s="738"/>
      <c r="Z701" s="739">
        <v>596</v>
      </c>
      <c r="AA701" s="739"/>
      <c r="AB701" s="746">
        <v>1</v>
      </c>
      <c r="AC701" s="741"/>
      <c r="AD701" s="741" t="str">
        <f>'DICTIONARY-5'!$A$14</f>
        <v>ścieki</v>
      </c>
      <c r="AE701" s="742">
        <v>50</v>
      </c>
      <c r="AF701" s="743">
        <v>16.8</v>
      </c>
      <c r="AG701" s="733" t="str">
        <f>'DICTIONARY-5'!$A$27</f>
        <v>pasywacja</v>
      </c>
    </row>
    <row r="702" spans="1:33" x14ac:dyDescent="0.25">
      <c r="A702" s="842" t="s">
        <v>661</v>
      </c>
      <c r="B702" s="842" t="s">
        <v>3299</v>
      </c>
      <c r="C702" s="836">
        <v>1050</v>
      </c>
      <c r="D702" s="836"/>
      <c r="E702" s="836"/>
      <c r="F702" s="836"/>
      <c r="G702" s="496" t="s">
        <v>7800</v>
      </c>
      <c r="H702" s="797" t="str">
        <f>VLOOKUP(G702,SETTINGS!$B$7:$D$97,2,0)</f>
        <v>EROXplus</v>
      </c>
      <c r="I702" s="796">
        <f>VLOOKUP(G702,SETTINGS!$B$7:$D$97,3,0)</f>
        <v>0</v>
      </c>
      <c r="J702" s="670" t="str">
        <f>IFERROR(IF(CURRENCY.FORMAT_1=0,CONCATENATE(TEXT(FIXED(ROUND((C702/EXC.RATE_1),CURRENCY.FORMAT_1),CURRENCY.FORMAT_1,1),"# ##0;-# ##0"),",-"),FIXED(ROUND((C702/EXC.RATE_1),CURRENCY.FORMAT_1),CURRENCY.FORMAT_1,0)),'DICTIONARY-5'!$A$2)</f>
        <v>1 050,-</v>
      </c>
      <c r="K702" s="670" t="str">
        <f>IF(EXC.RATE_2=0,"",IFERROR(IF(CURRENCY.FORMAT_2=0,CONCATENATE(TEXT(FIXED(ROUND(IF(EXC.RATE.SWITCH=1,C702/EXC.RATE_2,C702*EXC.RATE_2),CURRENCY.FORMAT_2),CURRENCY.FORMAT_2,1),"# ##0;-# ##0"),",-"),FIXED(ROUND(IF(EXC.RATE.SWITCH=1,C702/EXC.RATE_2,C702*EXC.RATE_2),CURRENCY.FORMAT_2),CURRENCY.FORMAT_2,0)),'DICTIONARY-5'!$A$2))</f>
        <v/>
      </c>
      <c r="L702" s="670" t="str">
        <f>IFERROR(IF(CURRENCY.FORMAT_1=0,CONCATENATE(TEXT(FIXED(ROUND((C702*(1-I702)*(1-ADD.DISCOUNT)*(1+MAT.SURCHARGE)/EXC.RATE_1),CURRENCY.FORMAT_1),CURRENCY.FORMAT_1,1),"# ##0;-# ##0"),",-"),FIXED(ROUND((C702*(1-I702)*(1-ADD.DISCOUNT)*(1+MAT.SURCHARGE)/EXC.RATE_1),CURRENCY.FORMAT_1),CURRENCY.FORMAT_1,0)),'DICTIONARY-5'!$A$2)</f>
        <v>1 091,-</v>
      </c>
      <c r="M702" s="670" t="str">
        <f>IF(EXC.RATE_2=0,"",IFERROR(IF(CURRENCY.FORMAT_2=0,CONCATENATE(TEXT(FIXED(ROUND(IF(EXC.RATE.SWITCH=1,C702*(1-I702)*(1-ADD.DISCOUNT)*(1+MAT.SURCHARGE)/EXC.RATE_2,C702*(1-I702)*(1-ADD.DISCOUNT)*(1+MAT.SURCHARGE)*EXC.RATE_2),CURRENCY.FORMAT_2),CURRENCY.FORMAT_2,1),"# ##0;-# ##0"),",-"),FIXED(ROUND(IF(EXC.RATE.SWITCH=1,C702*(1-I702)*(1-ADD.DISCOUNT)*(1+MAT.SURCHARGE)/EXC.RATE_2,C702*(1-I702)*(1-ADD.DISCOUNT)*(1+MAT.SURCHARGE)*EXC.RATE_2),CURRENCY.FORMAT_2),CURRENCY.FORMAT_2,0)),'DICTIONARY-5'!$A$2))</f>
        <v/>
      </c>
      <c r="N702" s="544">
        <v>2</v>
      </c>
      <c r="O702" s="544"/>
      <c r="P702" s="731" t="str">
        <f>'DICTIONARY-3'!$A$13</f>
        <v>EROXplus</v>
      </c>
      <c r="Q702" s="732" t="str">
        <f>'DICTIONARY-3'!$A$190</f>
        <v>Zasuwa wrzecionowa</v>
      </c>
      <c r="R702" s="732" t="str">
        <f>CONCATENATE('DICTIONARY-3'!$A$13," ",'DICTIONARY-6'!$A$5," ",'DICTIONARY-2'!$A$2,"200",", ",'DICTIONARY-4'!$A$2,", max.10",'DICTIONARY-2'!$A$41,", ",'DICTIONARY-4'!$A$2)</f>
        <v>EROXplus Zasuwa wrzec. DN200, WW, max.10mSW, WW</v>
      </c>
      <c r="S702" s="733" t="str">
        <f>'DICTIONARY-4'!$A$2</f>
        <v>WW</v>
      </c>
      <c r="T702" s="732" t="str">
        <f>'DICTIONARY-4'!$A$18</f>
        <v>Wolny wałek</v>
      </c>
      <c r="U702" s="734" t="s">
        <v>5750</v>
      </c>
      <c r="V702" s="735"/>
      <c r="W702" s="736"/>
      <c r="X702" s="737"/>
      <c r="Y702" s="738"/>
      <c r="Z702" s="739">
        <v>696</v>
      </c>
      <c r="AA702" s="739"/>
      <c r="AB702" s="746">
        <v>1</v>
      </c>
      <c r="AC702" s="741"/>
      <c r="AD702" s="741" t="str">
        <f>'DICTIONARY-5'!$A$14</f>
        <v>ścieki</v>
      </c>
      <c r="AE702" s="742">
        <v>50</v>
      </c>
      <c r="AF702" s="743">
        <v>20</v>
      </c>
      <c r="AG702" s="733" t="str">
        <f>'DICTIONARY-5'!$A$27</f>
        <v>pasywacja</v>
      </c>
    </row>
    <row r="703" spans="1:33" x14ac:dyDescent="0.25">
      <c r="A703" s="842" t="s">
        <v>663</v>
      </c>
      <c r="B703" s="842" t="s">
        <v>3300</v>
      </c>
      <c r="C703" s="836">
        <v>1485</v>
      </c>
      <c r="D703" s="836"/>
      <c r="E703" s="836"/>
      <c r="F703" s="836"/>
      <c r="G703" s="496" t="s">
        <v>7800</v>
      </c>
      <c r="H703" s="797" t="str">
        <f>VLOOKUP(G703,SETTINGS!$B$7:$D$97,2,0)</f>
        <v>EROXplus</v>
      </c>
      <c r="I703" s="796">
        <f>VLOOKUP(G703,SETTINGS!$B$7:$D$97,3,0)</f>
        <v>0</v>
      </c>
      <c r="J703" s="670" t="str">
        <f>IFERROR(IF(CURRENCY.FORMAT_1=0,CONCATENATE(TEXT(FIXED(ROUND((C703/EXC.RATE_1),CURRENCY.FORMAT_1),CURRENCY.FORMAT_1,1),"# ##0;-# ##0"),",-"),FIXED(ROUND((C703/EXC.RATE_1),CURRENCY.FORMAT_1),CURRENCY.FORMAT_1,0)),'DICTIONARY-5'!$A$2)</f>
        <v>1 485,-</v>
      </c>
      <c r="K703" s="670" t="str">
        <f>IF(EXC.RATE_2=0,"",IFERROR(IF(CURRENCY.FORMAT_2=0,CONCATENATE(TEXT(FIXED(ROUND(IF(EXC.RATE.SWITCH=1,C703/EXC.RATE_2,C703*EXC.RATE_2),CURRENCY.FORMAT_2),CURRENCY.FORMAT_2,1),"# ##0;-# ##0"),",-"),FIXED(ROUND(IF(EXC.RATE.SWITCH=1,C703/EXC.RATE_2,C703*EXC.RATE_2),CURRENCY.FORMAT_2),CURRENCY.FORMAT_2,0)),'DICTIONARY-5'!$A$2))</f>
        <v/>
      </c>
      <c r="L703" s="670" t="str">
        <f>IFERROR(IF(CURRENCY.FORMAT_1=0,CONCATENATE(TEXT(FIXED(ROUND((C703*(1-I703)*(1-ADD.DISCOUNT)*(1+MAT.SURCHARGE)/EXC.RATE_1),CURRENCY.FORMAT_1),CURRENCY.FORMAT_1,1),"# ##0;-# ##0"),",-"),FIXED(ROUND((C703*(1-I703)*(1-ADD.DISCOUNT)*(1+MAT.SURCHARGE)/EXC.RATE_1),CURRENCY.FORMAT_1),CURRENCY.FORMAT_1,0)),'DICTIONARY-5'!$A$2)</f>
        <v>1 543,-</v>
      </c>
      <c r="M703" s="670" t="str">
        <f>IF(EXC.RATE_2=0,"",IFERROR(IF(CURRENCY.FORMAT_2=0,CONCATENATE(TEXT(FIXED(ROUND(IF(EXC.RATE.SWITCH=1,C703*(1-I703)*(1-ADD.DISCOUNT)*(1+MAT.SURCHARGE)/EXC.RATE_2,C703*(1-I703)*(1-ADD.DISCOUNT)*(1+MAT.SURCHARGE)*EXC.RATE_2),CURRENCY.FORMAT_2),CURRENCY.FORMAT_2,1),"# ##0;-# ##0"),",-"),FIXED(ROUND(IF(EXC.RATE.SWITCH=1,C703*(1-I703)*(1-ADD.DISCOUNT)*(1+MAT.SURCHARGE)/EXC.RATE_2,C703*(1-I703)*(1-ADD.DISCOUNT)*(1+MAT.SURCHARGE)*EXC.RATE_2),CURRENCY.FORMAT_2),CURRENCY.FORMAT_2,0)),'DICTIONARY-5'!$A$2))</f>
        <v/>
      </c>
      <c r="N703" s="544">
        <v>2</v>
      </c>
      <c r="O703" s="544"/>
      <c r="P703" s="731" t="str">
        <f>'DICTIONARY-3'!$A$13</f>
        <v>EROXplus</v>
      </c>
      <c r="Q703" s="732" t="str">
        <f>'DICTIONARY-3'!$A$190</f>
        <v>Zasuwa wrzecionowa</v>
      </c>
      <c r="R703" s="732" t="str">
        <f>CONCATENATE('DICTIONARY-3'!$A$13," ",'DICTIONARY-6'!$A$5," ",'DICTIONARY-2'!$A$2,"300",", ",'DICTIONARY-4'!$A$2,", max.10",'DICTIONARY-2'!$A$41,", ",'DICTIONARY-4'!$A$2)</f>
        <v>EROXplus Zasuwa wrzec. DN300, WW, max.10mSW, WW</v>
      </c>
      <c r="S703" s="733" t="str">
        <f>'DICTIONARY-4'!$A$2</f>
        <v>WW</v>
      </c>
      <c r="T703" s="732" t="str">
        <f>'DICTIONARY-4'!$A$18</f>
        <v>Wolny wałek</v>
      </c>
      <c r="U703" s="734" t="s">
        <v>5752</v>
      </c>
      <c r="V703" s="735"/>
      <c r="W703" s="736"/>
      <c r="X703" s="737"/>
      <c r="Y703" s="738"/>
      <c r="Z703" s="739">
        <v>896</v>
      </c>
      <c r="AA703" s="739"/>
      <c r="AB703" s="746">
        <v>1</v>
      </c>
      <c r="AC703" s="741"/>
      <c r="AD703" s="741" t="str">
        <f>'DICTIONARY-5'!$A$14</f>
        <v>ścieki</v>
      </c>
      <c r="AE703" s="742">
        <v>50</v>
      </c>
      <c r="AF703" s="743">
        <v>29</v>
      </c>
      <c r="AG703" s="733" t="str">
        <f>'DICTIONARY-5'!$A$27</f>
        <v>pasywacja</v>
      </c>
    </row>
    <row r="704" spans="1:33" x14ac:dyDescent="0.25">
      <c r="A704" s="842" t="s">
        <v>665</v>
      </c>
      <c r="B704" s="842" t="s">
        <v>3301</v>
      </c>
      <c r="C704" s="836">
        <v>2341</v>
      </c>
      <c r="D704" s="836"/>
      <c r="E704" s="836"/>
      <c r="F704" s="836"/>
      <c r="G704" s="496" t="s">
        <v>7800</v>
      </c>
      <c r="H704" s="797" t="str">
        <f>VLOOKUP(G704,SETTINGS!$B$7:$D$97,2,0)</f>
        <v>EROXplus</v>
      </c>
      <c r="I704" s="796">
        <f>VLOOKUP(G704,SETTINGS!$B$7:$D$97,3,0)</f>
        <v>0</v>
      </c>
      <c r="J704" s="670" t="str">
        <f>IFERROR(IF(CURRENCY.FORMAT_1=0,CONCATENATE(TEXT(FIXED(ROUND((C704/EXC.RATE_1),CURRENCY.FORMAT_1),CURRENCY.FORMAT_1,1),"# ##0;-# ##0"),",-"),FIXED(ROUND((C704/EXC.RATE_1),CURRENCY.FORMAT_1),CURRENCY.FORMAT_1,0)),'DICTIONARY-5'!$A$2)</f>
        <v>2 341,-</v>
      </c>
      <c r="K704" s="670" t="str">
        <f>IF(EXC.RATE_2=0,"",IFERROR(IF(CURRENCY.FORMAT_2=0,CONCATENATE(TEXT(FIXED(ROUND(IF(EXC.RATE.SWITCH=1,C704/EXC.RATE_2,C704*EXC.RATE_2),CURRENCY.FORMAT_2),CURRENCY.FORMAT_2,1),"# ##0;-# ##0"),",-"),FIXED(ROUND(IF(EXC.RATE.SWITCH=1,C704/EXC.RATE_2,C704*EXC.RATE_2),CURRENCY.FORMAT_2),CURRENCY.FORMAT_2,0)),'DICTIONARY-5'!$A$2))</f>
        <v/>
      </c>
      <c r="L704" s="670" t="str">
        <f>IFERROR(IF(CURRENCY.FORMAT_1=0,CONCATENATE(TEXT(FIXED(ROUND((C704*(1-I704)*(1-ADD.DISCOUNT)*(1+MAT.SURCHARGE)/EXC.RATE_1),CURRENCY.FORMAT_1),CURRENCY.FORMAT_1,1),"# ##0;-# ##0"),",-"),FIXED(ROUND((C704*(1-I704)*(1-ADD.DISCOUNT)*(1+MAT.SURCHARGE)/EXC.RATE_1),CURRENCY.FORMAT_1),CURRENCY.FORMAT_1,0)),'DICTIONARY-5'!$A$2)</f>
        <v>2 432,-</v>
      </c>
      <c r="M704" s="670" t="str">
        <f>IF(EXC.RATE_2=0,"",IFERROR(IF(CURRENCY.FORMAT_2=0,CONCATENATE(TEXT(FIXED(ROUND(IF(EXC.RATE.SWITCH=1,C704*(1-I704)*(1-ADD.DISCOUNT)*(1+MAT.SURCHARGE)/EXC.RATE_2,C704*(1-I704)*(1-ADD.DISCOUNT)*(1+MAT.SURCHARGE)*EXC.RATE_2),CURRENCY.FORMAT_2),CURRENCY.FORMAT_2,1),"# ##0;-# ##0"),",-"),FIXED(ROUND(IF(EXC.RATE.SWITCH=1,C704*(1-I704)*(1-ADD.DISCOUNT)*(1+MAT.SURCHARGE)/EXC.RATE_2,C704*(1-I704)*(1-ADD.DISCOUNT)*(1+MAT.SURCHARGE)*EXC.RATE_2),CURRENCY.FORMAT_2),CURRENCY.FORMAT_2,0)),'DICTIONARY-5'!$A$2))</f>
        <v/>
      </c>
      <c r="N704" s="544">
        <v>2</v>
      </c>
      <c r="O704" s="544"/>
      <c r="P704" s="731" t="str">
        <f>'DICTIONARY-3'!$A$13</f>
        <v>EROXplus</v>
      </c>
      <c r="Q704" s="732" t="str">
        <f>'DICTIONARY-3'!$A$190</f>
        <v>Zasuwa wrzecionowa</v>
      </c>
      <c r="R704" s="732" t="str">
        <f>CONCATENATE('DICTIONARY-3'!$A$13," ",'DICTIONARY-6'!$A$5," ",'DICTIONARY-2'!$A$2,"400",", ",'DICTIONARY-4'!$A$2,", max.8",'DICTIONARY-2'!$A$41,", ",'DICTIONARY-4'!$A$2)</f>
        <v>EROXplus Zasuwa wrzec. DN400, WW, max.8mSW, WW</v>
      </c>
      <c r="S704" s="733" t="str">
        <f>'DICTIONARY-4'!$A$2</f>
        <v>WW</v>
      </c>
      <c r="T704" s="732" t="str">
        <f>'DICTIONARY-4'!$A$18</f>
        <v>Wolny wałek</v>
      </c>
      <c r="U704" s="734" t="s">
        <v>5754</v>
      </c>
      <c r="V704" s="735"/>
      <c r="W704" s="736"/>
      <c r="X704" s="737"/>
      <c r="Y704" s="738"/>
      <c r="Z704" s="739">
        <v>1096</v>
      </c>
      <c r="AA704" s="739"/>
      <c r="AB704" s="746">
        <v>0.8</v>
      </c>
      <c r="AC704" s="741"/>
      <c r="AD704" s="741" t="str">
        <f>'DICTIONARY-5'!$A$14</f>
        <v>ścieki</v>
      </c>
      <c r="AE704" s="742">
        <v>50</v>
      </c>
      <c r="AF704" s="743">
        <v>32</v>
      </c>
      <c r="AG704" s="733" t="str">
        <f>'DICTIONARY-5'!$A$27</f>
        <v>pasywacja</v>
      </c>
    </row>
    <row r="705" spans="1:33" x14ac:dyDescent="0.25">
      <c r="A705" s="842" t="s">
        <v>667</v>
      </c>
      <c r="B705" s="842" t="s">
        <v>3302</v>
      </c>
      <c r="C705" s="836">
        <v>3075</v>
      </c>
      <c r="D705" s="836"/>
      <c r="E705" s="836"/>
      <c r="F705" s="836"/>
      <c r="G705" s="496" t="s">
        <v>7800</v>
      </c>
      <c r="H705" s="797" t="str">
        <f>VLOOKUP(G705,SETTINGS!$B$7:$D$97,2,0)</f>
        <v>EROXplus</v>
      </c>
      <c r="I705" s="796">
        <f>VLOOKUP(G705,SETTINGS!$B$7:$D$97,3,0)</f>
        <v>0</v>
      </c>
      <c r="J705" s="670" t="str">
        <f>IFERROR(IF(CURRENCY.FORMAT_1=0,CONCATENATE(TEXT(FIXED(ROUND((C705/EXC.RATE_1),CURRENCY.FORMAT_1),CURRENCY.FORMAT_1,1),"# ##0;-# ##0"),",-"),FIXED(ROUND((C705/EXC.RATE_1),CURRENCY.FORMAT_1),CURRENCY.FORMAT_1,0)),'DICTIONARY-5'!$A$2)</f>
        <v>3 075,-</v>
      </c>
      <c r="K705" s="670" t="str">
        <f>IF(EXC.RATE_2=0,"",IFERROR(IF(CURRENCY.FORMAT_2=0,CONCATENATE(TEXT(FIXED(ROUND(IF(EXC.RATE.SWITCH=1,C705/EXC.RATE_2,C705*EXC.RATE_2),CURRENCY.FORMAT_2),CURRENCY.FORMAT_2,1),"# ##0;-# ##0"),",-"),FIXED(ROUND(IF(EXC.RATE.SWITCH=1,C705/EXC.RATE_2,C705*EXC.RATE_2),CURRENCY.FORMAT_2),CURRENCY.FORMAT_2,0)),'DICTIONARY-5'!$A$2))</f>
        <v/>
      </c>
      <c r="L705" s="670" t="str">
        <f>IFERROR(IF(CURRENCY.FORMAT_1=0,CONCATENATE(TEXT(FIXED(ROUND((C705*(1-I705)*(1-ADD.DISCOUNT)*(1+MAT.SURCHARGE)/EXC.RATE_1),CURRENCY.FORMAT_1),CURRENCY.FORMAT_1,1),"# ##0;-# ##0"),",-"),FIXED(ROUND((C705*(1-I705)*(1-ADD.DISCOUNT)*(1+MAT.SURCHARGE)/EXC.RATE_1),CURRENCY.FORMAT_1),CURRENCY.FORMAT_1,0)),'DICTIONARY-5'!$A$2)</f>
        <v>3 195,-</v>
      </c>
      <c r="M705" s="670" t="str">
        <f>IF(EXC.RATE_2=0,"",IFERROR(IF(CURRENCY.FORMAT_2=0,CONCATENATE(TEXT(FIXED(ROUND(IF(EXC.RATE.SWITCH=1,C705*(1-I705)*(1-ADD.DISCOUNT)*(1+MAT.SURCHARGE)/EXC.RATE_2,C705*(1-I705)*(1-ADD.DISCOUNT)*(1+MAT.SURCHARGE)*EXC.RATE_2),CURRENCY.FORMAT_2),CURRENCY.FORMAT_2,1),"# ##0;-# ##0"),",-"),FIXED(ROUND(IF(EXC.RATE.SWITCH=1,C705*(1-I705)*(1-ADD.DISCOUNT)*(1+MAT.SURCHARGE)/EXC.RATE_2,C705*(1-I705)*(1-ADD.DISCOUNT)*(1+MAT.SURCHARGE)*EXC.RATE_2),CURRENCY.FORMAT_2),CURRENCY.FORMAT_2,0)),'DICTIONARY-5'!$A$2))</f>
        <v/>
      </c>
      <c r="N705" s="544">
        <v>2</v>
      </c>
      <c r="O705" s="544"/>
      <c r="P705" s="731" t="str">
        <f>'DICTIONARY-3'!$A$13</f>
        <v>EROXplus</v>
      </c>
      <c r="Q705" s="732" t="str">
        <f>'DICTIONARY-3'!$A$190</f>
        <v>Zasuwa wrzecionowa</v>
      </c>
      <c r="R705" s="732" t="str">
        <f>CONCATENATE('DICTIONARY-3'!$A$13," ",'DICTIONARY-6'!$A$5," ",'DICTIONARY-2'!$A$2,"500",", ",'DICTIONARY-4'!$A$2,", max.8",'DICTIONARY-2'!$A$41,", ",'DICTIONARY-4'!$A$2)</f>
        <v>EROXplus Zasuwa wrzec. DN500, WW, max.8mSW, WW</v>
      </c>
      <c r="S705" s="733" t="str">
        <f>'DICTIONARY-4'!$A$2</f>
        <v>WW</v>
      </c>
      <c r="T705" s="732" t="str">
        <f>'DICTIONARY-4'!$A$18</f>
        <v>Wolny wałek</v>
      </c>
      <c r="U705" s="734" t="s">
        <v>5756</v>
      </c>
      <c r="V705" s="735"/>
      <c r="W705" s="736"/>
      <c r="X705" s="737"/>
      <c r="Y705" s="738"/>
      <c r="Z705" s="739">
        <v>1291</v>
      </c>
      <c r="AA705" s="739"/>
      <c r="AB705" s="746">
        <v>0.8</v>
      </c>
      <c r="AC705" s="741"/>
      <c r="AD705" s="741" t="str">
        <f>'DICTIONARY-5'!$A$14</f>
        <v>ścieki</v>
      </c>
      <c r="AE705" s="742">
        <v>50</v>
      </c>
      <c r="AF705" s="743">
        <v>47</v>
      </c>
      <c r="AG705" s="733" t="str">
        <f>'DICTIONARY-5'!$A$27</f>
        <v>pasywacja</v>
      </c>
    </row>
    <row r="706" spans="1:33" x14ac:dyDescent="0.25">
      <c r="A706" s="842" t="s">
        <v>669</v>
      </c>
      <c r="B706" s="842" t="s">
        <v>3303</v>
      </c>
      <c r="C706" s="836">
        <v>3258</v>
      </c>
      <c r="D706" s="836"/>
      <c r="E706" s="836"/>
      <c r="F706" s="836"/>
      <c r="G706" s="496" t="s">
        <v>7800</v>
      </c>
      <c r="H706" s="797" t="str">
        <f>VLOOKUP(G706,SETTINGS!$B$7:$D$97,2,0)</f>
        <v>EROXplus</v>
      </c>
      <c r="I706" s="796">
        <f>VLOOKUP(G706,SETTINGS!$B$7:$D$97,3,0)</f>
        <v>0</v>
      </c>
      <c r="J706" s="670" t="str">
        <f>IFERROR(IF(CURRENCY.FORMAT_1=0,CONCATENATE(TEXT(FIXED(ROUND((C706/EXC.RATE_1),CURRENCY.FORMAT_1),CURRENCY.FORMAT_1,1),"# ##0;-# ##0"),",-"),FIXED(ROUND((C706/EXC.RATE_1),CURRENCY.FORMAT_1),CURRENCY.FORMAT_1,0)),'DICTIONARY-5'!$A$2)</f>
        <v>3 258,-</v>
      </c>
      <c r="K706" s="670" t="str">
        <f>IF(EXC.RATE_2=0,"",IFERROR(IF(CURRENCY.FORMAT_2=0,CONCATENATE(TEXT(FIXED(ROUND(IF(EXC.RATE.SWITCH=1,C706/EXC.RATE_2,C706*EXC.RATE_2),CURRENCY.FORMAT_2),CURRENCY.FORMAT_2,1),"# ##0;-# ##0"),",-"),FIXED(ROUND(IF(EXC.RATE.SWITCH=1,C706/EXC.RATE_2,C706*EXC.RATE_2),CURRENCY.FORMAT_2),CURRENCY.FORMAT_2,0)),'DICTIONARY-5'!$A$2))</f>
        <v/>
      </c>
      <c r="L706" s="670" t="str">
        <f>IFERROR(IF(CURRENCY.FORMAT_1=0,CONCATENATE(TEXT(FIXED(ROUND((C706*(1-I706)*(1-ADD.DISCOUNT)*(1+MAT.SURCHARGE)/EXC.RATE_1),CURRENCY.FORMAT_1),CURRENCY.FORMAT_1,1),"# ##0;-# ##0"),",-"),FIXED(ROUND((C706*(1-I706)*(1-ADD.DISCOUNT)*(1+MAT.SURCHARGE)/EXC.RATE_1),CURRENCY.FORMAT_1),CURRENCY.FORMAT_1,0)),'DICTIONARY-5'!$A$2)</f>
        <v>3 385,-</v>
      </c>
      <c r="M706" s="670" t="str">
        <f>IF(EXC.RATE_2=0,"",IFERROR(IF(CURRENCY.FORMAT_2=0,CONCATENATE(TEXT(FIXED(ROUND(IF(EXC.RATE.SWITCH=1,C706*(1-I706)*(1-ADD.DISCOUNT)*(1+MAT.SURCHARGE)/EXC.RATE_2,C706*(1-I706)*(1-ADD.DISCOUNT)*(1+MAT.SURCHARGE)*EXC.RATE_2),CURRENCY.FORMAT_2),CURRENCY.FORMAT_2,1),"# ##0;-# ##0"),",-"),FIXED(ROUND(IF(EXC.RATE.SWITCH=1,C706*(1-I706)*(1-ADD.DISCOUNT)*(1+MAT.SURCHARGE)/EXC.RATE_2,C706*(1-I706)*(1-ADD.DISCOUNT)*(1+MAT.SURCHARGE)*EXC.RATE_2),CURRENCY.FORMAT_2),CURRENCY.FORMAT_2,0)),'DICTIONARY-5'!$A$2))</f>
        <v/>
      </c>
      <c r="N706" s="544">
        <v>2</v>
      </c>
      <c r="O706" s="544"/>
      <c r="P706" s="731" t="str">
        <f>'DICTIONARY-3'!$A$13</f>
        <v>EROXplus</v>
      </c>
      <c r="Q706" s="732" t="str">
        <f>'DICTIONARY-3'!$A$190</f>
        <v>Zasuwa wrzecionowa</v>
      </c>
      <c r="R706" s="732" t="str">
        <f>CONCATENATE('DICTIONARY-3'!$A$13," ",'DICTIONARY-6'!$A$5," ",'DICTIONARY-2'!$A$2,"600",", ",'DICTIONARY-4'!$A$2,", max.8",'DICTIONARY-2'!$A$41,", ",'DICTIONARY-4'!$A$2)</f>
        <v>EROXplus Zasuwa wrzec. DN600, WW, max.8mSW, WW</v>
      </c>
      <c r="S706" s="733" t="str">
        <f>'DICTIONARY-4'!$A$2</f>
        <v>WW</v>
      </c>
      <c r="T706" s="732" t="str">
        <f>'DICTIONARY-4'!$A$18</f>
        <v>Wolny wałek</v>
      </c>
      <c r="U706" s="734" t="s">
        <v>5757</v>
      </c>
      <c r="V706" s="735"/>
      <c r="W706" s="736"/>
      <c r="X706" s="737"/>
      <c r="Y706" s="738"/>
      <c r="Z706" s="739">
        <v>1486</v>
      </c>
      <c r="AA706" s="739"/>
      <c r="AB706" s="746">
        <v>0.8</v>
      </c>
      <c r="AC706" s="741"/>
      <c r="AD706" s="741" t="str">
        <f>'DICTIONARY-5'!$A$14</f>
        <v>ścieki</v>
      </c>
      <c r="AE706" s="742">
        <v>50</v>
      </c>
      <c r="AF706" s="743">
        <v>46</v>
      </c>
      <c r="AG706" s="733" t="str">
        <f>'DICTIONARY-5'!$A$27</f>
        <v>pasywacja</v>
      </c>
    </row>
    <row r="707" spans="1:33" x14ac:dyDescent="0.25">
      <c r="A707" s="842" t="s">
        <v>671</v>
      </c>
      <c r="B707" s="842" t="s">
        <v>3304</v>
      </c>
      <c r="C707" s="836">
        <v>4726</v>
      </c>
      <c r="D707" s="836"/>
      <c r="E707" s="836"/>
      <c r="F707" s="836"/>
      <c r="G707" s="496" t="s">
        <v>7800</v>
      </c>
      <c r="H707" s="797" t="str">
        <f>VLOOKUP(G707,SETTINGS!$B$7:$D$97,2,0)</f>
        <v>EROXplus</v>
      </c>
      <c r="I707" s="796">
        <f>VLOOKUP(G707,SETTINGS!$B$7:$D$97,3,0)</f>
        <v>0</v>
      </c>
      <c r="J707" s="670" t="str">
        <f>IFERROR(IF(CURRENCY.FORMAT_1=0,CONCATENATE(TEXT(FIXED(ROUND((C707/EXC.RATE_1),CURRENCY.FORMAT_1),CURRENCY.FORMAT_1,1),"# ##0;-# ##0"),",-"),FIXED(ROUND((C707/EXC.RATE_1),CURRENCY.FORMAT_1),CURRENCY.FORMAT_1,0)),'DICTIONARY-5'!$A$2)</f>
        <v>4 726,-</v>
      </c>
      <c r="K707" s="670" t="str">
        <f>IF(EXC.RATE_2=0,"",IFERROR(IF(CURRENCY.FORMAT_2=0,CONCATENATE(TEXT(FIXED(ROUND(IF(EXC.RATE.SWITCH=1,C707/EXC.RATE_2,C707*EXC.RATE_2),CURRENCY.FORMAT_2),CURRENCY.FORMAT_2,1),"# ##0;-# ##0"),",-"),FIXED(ROUND(IF(EXC.RATE.SWITCH=1,C707/EXC.RATE_2,C707*EXC.RATE_2),CURRENCY.FORMAT_2),CURRENCY.FORMAT_2,0)),'DICTIONARY-5'!$A$2))</f>
        <v/>
      </c>
      <c r="L707" s="670" t="str">
        <f>IFERROR(IF(CURRENCY.FORMAT_1=0,CONCATENATE(TEXT(FIXED(ROUND((C707*(1-I707)*(1-ADD.DISCOUNT)*(1+MAT.SURCHARGE)/EXC.RATE_1),CURRENCY.FORMAT_1),CURRENCY.FORMAT_1,1),"# ##0;-# ##0"),",-"),FIXED(ROUND((C707*(1-I707)*(1-ADD.DISCOUNT)*(1+MAT.SURCHARGE)/EXC.RATE_1),CURRENCY.FORMAT_1),CURRENCY.FORMAT_1,0)),'DICTIONARY-5'!$A$2)</f>
        <v>4 910,-</v>
      </c>
      <c r="M707" s="670" t="str">
        <f>IF(EXC.RATE_2=0,"",IFERROR(IF(CURRENCY.FORMAT_2=0,CONCATENATE(TEXT(FIXED(ROUND(IF(EXC.RATE.SWITCH=1,C707*(1-I707)*(1-ADD.DISCOUNT)*(1+MAT.SURCHARGE)/EXC.RATE_2,C707*(1-I707)*(1-ADD.DISCOUNT)*(1+MAT.SURCHARGE)*EXC.RATE_2),CURRENCY.FORMAT_2),CURRENCY.FORMAT_2,1),"# ##0;-# ##0"),",-"),FIXED(ROUND(IF(EXC.RATE.SWITCH=1,C707*(1-I707)*(1-ADD.DISCOUNT)*(1+MAT.SURCHARGE)/EXC.RATE_2,C707*(1-I707)*(1-ADD.DISCOUNT)*(1+MAT.SURCHARGE)*EXC.RATE_2),CURRENCY.FORMAT_2),CURRENCY.FORMAT_2,0)),'DICTIONARY-5'!$A$2))</f>
        <v/>
      </c>
      <c r="N707" s="544">
        <v>2</v>
      </c>
      <c r="O707" s="544"/>
      <c r="P707" s="731" t="str">
        <f>'DICTIONARY-3'!$A$13</f>
        <v>EROXplus</v>
      </c>
      <c r="Q707" s="732" t="str">
        <f>'DICTIONARY-3'!$A$190</f>
        <v>Zasuwa wrzecionowa</v>
      </c>
      <c r="R707" s="732" t="str">
        <f>CONCATENATE('DICTIONARY-3'!$A$13," ",'DICTIONARY-6'!$A$5," ",'DICTIONARY-2'!$A$2,"700",", ",'DICTIONARY-4'!$A$2,", max.8",'DICTIONARY-2'!$A$41,", ",'DICTIONARY-4'!$A$2)</f>
        <v>EROXplus Zasuwa wrzec. DN700, WW, max.8mSW, WW</v>
      </c>
      <c r="S707" s="733" t="str">
        <f>'DICTIONARY-4'!$A$2</f>
        <v>WW</v>
      </c>
      <c r="T707" s="732" t="str">
        <f>'DICTIONARY-4'!$A$18</f>
        <v>Wolny wałek</v>
      </c>
      <c r="U707" s="734" t="s">
        <v>5834</v>
      </c>
      <c r="V707" s="735"/>
      <c r="W707" s="736"/>
      <c r="X707" s="737"/>
      <c r="Y707" s="738"/>
      <c r="Z707" s="739">
        <v>1720</v>
      </c>
      <c r="AA707" s="739"/>
      <c r="AB707" s="746">
        <v>0.8</v>
      </c>
      <c r="AC707" s="741"/>
      <c r="AD707" s="741" t="str">
        <f>'DICTIONARY-5'!$A$14</f>
        <v>ścieki</v>
      </c>
      <c r="AE707" s="742">
        <v>50</v>
      </c>
      <c r="AF707" s="743">
        <v>113</v>
      </c>
      <c r="AG707" s="733" t="str">
        <f>'DICTIONARY-5'!$A$27</f>
        <v>pasywacja</v>
      </c>
    </row>
    <row r="708" spans="1:33" x14ac:dyDescent="0.25">
      <c r="A708" s="842" t="s">
        <v>673</v>
      </c>
      <c r="B708" s="842" t="s">
        <v>3305</v>
      </c>
      <c r="C708" s="836">
        <v>5512</v>
      </c>
      <c r="D708" s="836"/>
      <c r="E708" s="836"/>
      <c r="F708" s="836"/>
      <c r="G708" s="496" t="s">
        <v>7800</v>
      </c>
      <c r="H708" s="797" t="str">
        <f>VLOOKUP(G708,SETTINGS!$B$7:$D$97,2,0)</f>
        <v>EROXplus</v>
      </c>
      <c r="I708" s="796">
        <f>VLOOKUP(G708,SETTINGS!$B$7:$D$97,3,0)</f>
        <v>0</v>
      </c>
      <c r="J708" s="670" t="str">
        <f>IFERROR(IF(CURRENCY.FORMAT_1=0,CONCATENATE(TEXT(FIXED(ROUND((C708/EXC.RATE_1),CURRENCY.FORMAT_1),CURRENCY.FORMAT_1,1),"# ##0;-# ##0"),",-"),FIXED(ROUND((C708/EXC.RATE_1),CURRENCY.FORMAT_1),CURRENCY.FORMAT_1,0)),'DICTIONARY-5'!$A$2)</f>
        <v>5 512,-</v>
      </c>
      <c r="K708" s="670" t="str">
        <f>IF(EXC.RATE_2=0,"",IFERROR(IF(CURRENCY.FORMAT_2=0,CONCATENATE(TEXT(FIXED(ROUND(IF(EXC.RATE.SWITCH=1,C708/EXC.RATE_2,C708*EXC.RATE_2),CURRENCY.FORMAT_2),CURRENCY.FORMAT_2,1),"# ##0;-# ##0"),",-"),FIXED(ROUND(IF(EXC.RATE.SWITCH=1,C708/EXC.RATE_2,C708*EXC.RATE_2),CURRENCY.FORMAT_2),CURRENCY.FORMAT_2,0)),'DICTIONARY-5'!$A$2))</f>
        <v/>
      </c>
      <c r="L708" s="670" t="str">
        <f>IFERROR(IF(CURRENCY.FORMAT_1=0,CONCATENATE(TEXT(FIXED(ROUND((C708*(1-I708)*(1-ADD.DISCOUNT)*(1+MAT.SURCHARGE)/EXC.RATE_1),CURRENCY.FORMAT_1),CURRENCY.FORMAT_1,1),"# ##0;-# ##0"),",-"),FIXED(ROUND((C708*(1-I708)*(1-ADD.DISCOUNT)*(1+MAT.SURCHARGE)/EXC.RATE_1),CURRENCY.FORMAT_1),CURRENCY.FORMAT_1,0)),'DICTIONARY-5'!$A$2)</f>
        <v>5 727,-</v>
      </c>
      <c r="M708" s="670" t="str">
        <f>IF(EXC.RATE_2=0,"",IFERROR(IF(CURRENCY.FORMAT_2=0,CONCATENATE(TEXT(FIXED(ROUND(IF(EXC.RATE.SWITCH=1,C708*(1-I708)*(1-ADD.DISCOUNT)*(1+MAT.SURCHARGE)/EXC.RATE_2,C708*(1-I708)*(1-ADD.DISCOUNT)*(1+MAT.SURCHARGE)*EXC.RATE_2),CURRENCY.FORMAT_2),CURRENCY.FORMAT_2,1),"# ##0;-# ##0"),",-"),FIXED(ROUND(IF(EXC.RATE.SWITCH=1,C708*(1-I708)*(1-ADD.DISCOUNT)*(1+MAT.SURCHARGE)/EXC.RATE_2,C708*(1-I708)*(1-ADD.DISCOUNT)*(1+MAT.SURCHARGE)*EXC.RATE_2),CURRENCY.FORMAT_2),CURRENCY.FORMAT_2,0)),'DICTIONARY-5'!$A$2))</f>
        <v/>
      </c>
      <c r="N708" s="544">
        <v>2</v>
      </c>
      <c r="O708" s="544"/>
      <c r="P708" s="731" t="str">
        <f>'DICTIONARY-3'!$A$13</f>
        <v>EROXplus</v>
      </c>
      <c r="Q708" s="732" t="str">
        <f>'DICTIONARY-3'!$A$190</f>
        <v>Zasuwa wrzecionowa</v>
      </c>
      <c r="R708" s="732" t="str">
        <f>CONCATENATE('DICTIONARY-3'!$A$13," ",'DICTIONARY-6'!$A$5," ",'DICTIONARY-2'!$A$2,"800",", ",'DICTIONARY-4'!$A$2,", max.8",'DICTIONARY-2'!$A$41,", ",'DICTIONARY-4'!$A$2)</f>
        <v>EROXplus Zasuwa wrzec. DN800, WW, max.8mSW, WW</v>
      </c>
      <c r="S708" s="733" t="str">
        <f>'DICTIONARY-4'!$A$2</f>
        <v>WW</v>
      </c>
      <c r="T708" s="732" t="str">
        <f>'DICTIONARY-4'!$A$18</f>
        <v>Wolny wałek</v>
      </c>
      <c r="U708" s="734" t="s">
        <v>5835</v>
      </c>
      <c r="V708" s="735"/>
      <c r="W708" s="736"/>
      <c r="X708" s="737"/>
      <c r="Y708" s="738"/>
      <c r="Z708" s="739">
        <v>1920</v>
      </c>
      <c r="AA708" s="739"/>
      <c r="AB708" s="746">
        <v>0.8</v>
      </c>
      <c r="AC708" s="741"/>
      <c r="AD708" s="741" t="str">
        <f>'DICTIONARY-5'!$A$14</f>
        <v>ścieki</v>
      </c>
      <c r="AE708" s="742">
        <v>50</v>
      </c>
      <c r="AF708" s="743">
        <v>136</v>
      </c>
      <c r="AG708" s="733" t="str">
        <f>'DICTIONARY-5'!$A$27</f>
        <v>pasywacja</v>
      </c>
    </row>
    <row r="709" spans="1:33" x14ac:dyDescent="0.25">
      <c r="A709" s="842" t="s">
        <v>675</v>
      </c>
      <c r="B709" s="842" t="s">
        <v>3306</v>
      </c>
      <c r="C709" s="836">
        <v>6050</v>
      </c>
      <c r="D709" s="836"/>
      <c r="E709" s="836"/>
      <c r="F709" s="836"/>
      <c r="G709" s="496" t="s">
        <v>7800</v>
      </c>
      <c r="H709" s="797" t="str">
        <f>VLOOKUP(G709,SETTINGS!$B$7:$D$97,2,0)</f>
        <v>EROXplus</v>
      </c>
      <c r="I709" s="796">
        <f>VLOOKUP(G709,SETTINGS!$B$7:$D$97,3,0)</f>
        <v>0</v>
      </c>
      <c r="J709" s="670" t="str">
        <f>IFERROR(IF(CURRENCY.FORMAT_1=0,CONCATENATE(TEXT(FIXED(ROUND((C709/EXC.RATE_1),CURRENCY.FORMAT_1),CURRENCY.FORMAT_1,1),"# ##0;-# ##0"),",-"),FIXED(ROUND((C709/EXC.RATE_1),CURRENCY.FORMAT_1),CURRENCY.FORMAT_1,0)),'DICTIONARY-5'!$A$2)</f>
        <v>6 050,-</v>
      </c>
      <c r="K709" s="670" t="str">
        <f>IF(EXC.RATE_2=0,"",IFERROR(IF(CURRENCY.FORMAT_2=0,CONCATENATE(TEXT(FIXED(ROUND(IF(EXC.RATE.SWITCH=1,C709/EXC.RATE_2,C709*EXC.RATE_2),CURRENCY.FORMAT_2),CURRENCY.FORMAT_2,1),"# ##0;-# ##0"),",-"),FIXED(ROUND(IF(EXC.RATE.SWITCH=1,C709/EXC.RATE_2,C709*EXC.RATE_2),CURRENCY.FORMAT_2),CURRENCY.FORMAT_2,0)),'DICTIONARY-5'!$A$2))</f>
        <v/>
      </c>
      <c r="L709" s="670" t="str">
        <f>IFERROR(IF(CURRENCY.FORMAT_1=0,CONCATENATE(TEXT(FIXED(ROUND((C709*(1-I709)*(1-ADD.DISCOUNT)*(1+MAT.SURCHARGE)/EXC.RATE_1),CURRENCY.FORMAT_1),CURRENCY.FORMAT_1,1),"# ##0;-# ##0"),",-"),FIXED(ROUND((C709*(1-I709)*(1-ADD.DISCOUNT)*(1+MAT.SURCHARGE)/EXC.RATE_1),CURRENCY.FORMAT_1),CURRENCY.FORMAT_1,0)),'DICTIONARY-5'!$A$2)</f>
        <v>6 286,-</v>
      </c>
      <c r="M709" s="670" t="str">
        <f>IF(EXC.RATE_2=0,"",IFERROR(IF(CURRENCY.FORMAT_2=0,CONCATENATE(TEXT(FIXED(ROUND(IF(EXC.RATE.SWITCH=1,C709*(1-I709)*(1-ADD.DISCOUNT)*(1+MAT.SURCHARGE)/EXC.RATE_2,C709*(1-I709)*(1-ADD.DISCOUNT)*(1+MAT.SURCHARGE)*EXC.RATE_2),CURRENCY.FORMAT_2),CURRENCY.FORMAT_2,1),"# ##0;-# ##0"),",-"),FIXED(ROUND(IF(EXC.RATE.SWITCH=1,C709*(1-I709)*(1-ADD.DISCOUNT)*(1+MAT.SURCHARGE)/EXC.RATE_2,C709*(1-I709)*(1-ADD.DISCOUNT)*(1+MAT.SURCHARGE)*EXC.RATE_2),CURRENCY.FORMAT_2),CURRENCY.FORMAT_2,0)),'DICTIONARY-5'!$A$2))</f>
        <v/>
      </c>
      <c r="N709" s="544">
        <v>2</v>
      </c>
      <c r="O709" s="544"/>
      <c r="P709" s="731" t="str">
        <f>'DICTIONARY-3'!$A$13</f>
        <v>EROXplus</v>
      </c>
      <c r="Q709" s="732" t="str">
        <f>'DICTIONARY-3'!$A$190</f>
        <v>Zasuwa wrzecionowa</v>
      </c>
      <c r="R709" s="732" t="str">
        <f>CONCATENATE('DICTIONARY-3'!$A$13," ",'DICTIONARY-6'!$A$5," ",'DICTIONARY-2'!$A$2,"900",", ",'DICTIONARY-4'!$A$2,", max.6",'DICTIONARY-2'!$A$41,", ",'DICTIONARY-4'!$A$2)</f>
        <v>EROXplus Zasuwa wrzec. DN900, WW, max.6mSW, WW</v>
      </c>
      <c r="S709" s="733" t="str">
        <f>'DICTIONARY-4'!$A$2</f>
        <v>WW</v>
      </c>
      <c r="T709" s="732" t="str">
        <f>'DICTIONARY-4'!$A$18</f>
        <v>Wolny wałek</v>
      </c>
      <c r="U709" s="734" t="s">
        <v>5837</v>
      </c>
      <c r="V709" s="735"/>
      <c r="W709" s="736"/>
      <c r="X709" s="737"/>
      <c r="Y709" s="738"/>
      <c r="Z709" s="739">
        <v>2120</v>
      </c>
      <c r="AA709" s="739"/>
      <c r="AB709" s="746">
        <v>0.6</v>
      </c>
      <c r="AC709" s="741"/>
      <c r="AD709" s="741" t="str">
        <f>'DICTIONARY-5'!$A$14</f>
        <v>ścieki</v>
      </c>
      <c r="AE709" s="742">
        <v>50</v>
      </c>
      <c r="AF709" s="743">
        <v>162</v>
      </c>
      <c r="AG709" s="733" t="str">
        <f>'DICTIONARY-5'!$A$27</f>
        <v>pasywacja</v>
      </c>
    </row>
    <row r="710" spans="1:33" x14ac:dyDescent="0.25">
      <c r="A710" s="842" t="s">
        <v>677</v>
      </c>
      <c r="B710" s="842" t="s">
        <v>3307</v>
      </c>
      <c r="C710" s="836">
        <v>6426</v>
      </c>
      <c r="D710" s="836"/>
      <c r="E710" s="836"/>
      <c r="F710" s="836"/>
      <c r="G710" s="496" t="s">
        <v>7800</v>
      </c>
      <c r="H710" s="797" t="str">
        <f>VLOOKUP(G710,SETTINGS!$B$7:$D$97,2,0)</f>
        <v>EROXplus</v>
      </c>
      <c r="I710" s="796">
        <f>VLOOKUP(G710,SETTINGS!$B$7:$D$97,3,0)</f>
        <v>0</v>
      </c>
      <c r="J710" s="670" t="str">
        <f>IFERROR(IF(CURRENCY.FORMAT_1=0,CONCATENATE(TEXT(FIXED(ROUND((C710/EXC.RATE_1),CURRENCY.FORMAT_1),CURRENCY.FORMAT_1,1),"# ##0;-# ##0"),",-"),FIXED(ROUND((C710/EXC.RATE_1),CURRENCY.FORMAT_1),CURRENCY.FORMAT_1,0)),'DICTIONARY-5'!$A$2)</f>
        <v>6 426,-</v>
      </c>
      <c r="K710" s="670" t="str">
        <f>IF(EXC.RATE_2=0,"",IFERROR(IF(CURRENCY.FORMAT_2=0,CONCATENATE(TEXT(FIXED(ROUND(IF(EXC.RATE.SWITCH=1,C710/EXC.RATE_2,C710*EXC.RATE_2),CURRENCY.FORMAT_2),CURRENCY.FORMAT_2,1),"# ##0;-# ##0"),",-"),FIXED(ROUND(IF(EXC.RATE.SWITCH=1,C710/EXC.RATE_2,C710*EXC.RATE_2),CURRENCY.FORMAT_2),CURRENCY.FORMAT_2,0)),'DICTIONARY-5'!$A$2))</f>
        <v/>
      </c>
      <c r="L710" s="670" t="str">
        <f>IFERROR(IF(CURRENCY.FORMAT_1=0,CONCATENATE(TEXT(FIXED(ROUND((C710*(1-I710)*(1-ADD.DISCOUNT)*(1+MAT.SURCHARGE)/EXC.RATE_1),CURRENCY.FORMAT_1),CURRENCY.FORMAT_1,1),"# ##0;-# ##0"),",-"),FIXED(ROUND((C710*(1-I710)*(1-ADD.DISCOUNT)*(1+MAT.SURCHARGE)/EXC.RATE_1),CURRENCY.FORMAT_1),CURRENCY.FORMAT_1,0)),'DICTIONARY-5'!$A$2)</f>
        <v>6 677,-</v>
      </c>
      <c r="M710" s="670" t="str">
        <f>IF(EXC.RATE_2=0,"",IFERROR(IF(CURRENCY.FORMAT_2=0,CONCATENATE(TEXT(FIXED(ROUND(IF(EXC.RATE.SWITCH=1,C710*(1-I710)*(1-ADD.DISCOUNT)*(1+MAT.SURCHARGE)/EXC.RATE_2,C710*(1-I710)*(1-ADD.DISCOUNT)*(1+MAT.SURCHARGE)*EXC.RATE_2),CURRENCY.FORMAT_2),CURRENCY.FORMAT_2,1),"# ##0;-# ##0"),",-"),FIXED(ROUND(IF(EXC.RATE.SWITCH=1,C710*(1-I710)*(1-ADD.DISCOUNT)*(1+MAT.SURCHARGE)/EXC.RATE_2,C710*(1-I710)*(1-ADD.DISCOUNT)*(1+MAT.SURCHARGE)*EXC.RATE_2),CURRENCY.FORMAT_2),CURRENCY.FORMAT_2,0)),'DICTIONARY-5'!$A$2))</f>
        <v/>
      </c>
      <c r="N710" s="544">
        <v>2</v>
      </c>
      <c r="O710" s="544"/>
      <c r="P710" s="731" t="str">
        <f>'DICTIONARY-3'!$A$13</f>
        <v>EROXplus</v>
      </c>
      <c r="Q710" s="732" t="str">
        <f>'DICTIONARY-3'!$A$190</f>
        <v>Zasuwa wrzecionowa</v>
      </c>
      <c r="R710" s="732" t="str">
        <f>CONCATENATE('DICTIONARY-3'!$A$13," ",'DICTIONARY-6'!$A$5," ",'DICTIONARY-2'!$A$2,"1000",", ",'DICTIONARY-4'!$A$2,", max.6",'DICTIONARY-2'!$A$41,", ",'DICTIONARY-4'!$A$2)</f>
        <v>EROXplus Zasuwa wrzec. DN1000, WW, max.6mSW, WW</v>
      </c>
      <c r="S710" s="733" t="str">
        <f>'DICTIONARY-4'!$A$2</f>
        <v>WW</v>
      </c>
      <c r="T710" s="732" t="str">
        <f>'DICTIONARY-4'!$A$18</f>
        <v>Wolny wałek</v>
      </c>
      <c r="U710" s="734" t="s">
        <v>5836</v>
      </c>
      <c r="V710" s="735"/>
      <c r="W710" s="736"/>
      <c r="X710" s="737"/>
      <c r="Y710" s="738"/>
      <c r="Z710" s="739">
        <v>2320</v>
      </c>
      <c r="AA710" s="739"/>
      <c r="AB710" s="746">
        <v>0.6</v>
      </c>
      <c r="AC710" s="741"/>
      <c r="AD710" s="741" t="str">
        <f>'DICTIONARY-5'!$A$14</f>
        <v>ścieki</v>
      </c>
      <c r="AE710" s="742">
        <v>50</v>
      </c>
      <c r="AF710" s="743">
        <v>180</v>
      </c>
      <c r="AG710" s="733" t="str">
        <f>'DICTIONARY-5'!$A$27</f>
        <v>pasywacja</v>
      </c>
    </row>
    <row r="711" spans="1:33" x14ac:dyDescent="0.25">
      <c r="A711" s="842" t="s">
        <v>679</v>
      </c>
      <c r="B711" s="842" t="s">
        <v>3308</v>
      </c>
      <c r="C711" s="836">
        <v>7955</v>
      </c>
      <c r="D711" s="836"/>
      <c r="E711" s="836"/>
      <c r="F711" s="836"/>
      <c r="G711" s="496" t="s">
        <v>7800</v>
      </c>
      <c r="H711" s="797" t="str">
        <f>VLOOKUP(G711,SETTINGS!$B$7:$D$97,2,0)</f>
        <v>EROXplus</v>
      </c>
      <c r="I711" s="796">
        <f>VLOOKUP(G711,SETTINGS!$B$7:$D$97,3,0)</f>
        <v>0</v>
      </c>
      <c r="J711" s="670" t="str">
        <f>IFERROR(IF(CURRENCY.FORMAT_1=0,CONCATENATE(TEXT(FIXED(ROUND((C711/EXC.RATE_1),CURRENCY.FORMAT_1),CURRENCY.FORMAT_1,1),"# ##0;-# ##0"),",-"),FIXED(ROUND((C711/EXC.RATE_1),CURRENCY.FORMAT_1),CURRENCY.FORMAT_1,0)),'DICTIONARY-5'!$A$2)</f>
        <v>7 955,-</v>
      </c>
      <c r="K711" s="670" t="str">
        <f>IF(EXC.RATE_2=0,"",IFERROR(IF(CURRENCY.FORMAT_2=0,CONCATENATE(TEXT(FIXED(ROUND(IF(EXC.RATE.SWITCH=1,C711/EXC.RATE_2,C711*EXC.RATE_2),CURRENCY.FORMAT_2),CURRENCY.FORMAT_2,1),"# ##0;-# ##0"),",-"),FIXED(ROUND(IF(EXC.RATE.SWITCH=1,C711/EXC.RATE_2,C711*EXC.RATE_2),CURRENCY.FORMAT_2),CURRENCY.FORMAT_2,0)),'DICTIONARY-5'!$A$2))</f>
        <v/>
      </c>
      <c r="L711" s="670" t="str">
        <f>IFERROR(IF(CURRENCY.FORMAT_1=0,CONCATENATE(TEXT(FIXED(ROUND((C711*(1-I711)*(1-ADD.DISCOUNT)*(1+MAT.SURCHARGE)/EXC.RATE_1),CURRENCY.FORMAT_1),CURRENCY.FORMAT_1,1),"# ##0;-# ##0"),",-"),FIXED(ROUND((C711*(1-I711)*(1-ADD.DISCOUNT)*(1+MAT.SURCHARGE)/EXC.RATE_1),CURRENCY.FORMAT_1),CURRENCY.FORMAT_1,0)),'DICTIONARY-5'!$A$2)</f>
        <v>8 265,-</v>
      </c>
      <c r="M711" s="670" t="str">
        <f>IF(EXC.RATE_2=0,"",IFERROR(IF(CURRENCY.FORMAT_2=0,CONCATENATE(TEXT(FIXED(ROUND(IF(EXC.RATE.SWITCH=1,C711*(1-I711)*(1-ADD.DISCOUNT)*(1+MAT.SURCHARGE)/EXC.RATE_2,C711*(1-I711)*(1-ADD.DISCOUNT)*(1+MAT.SURCHARGE)*EXC.RATE_2),CURRENCY.FORMAT_2),CURRENCY.FORMAT_2,1),"# ##0;-# ##0"),",-"),FIXED(ROUND(IF(EXC.RATE.SWITCH=1,C711*(1-I711)*(1-ADD.DISCOUNT)*(1+MAT.SURCHARGE)/EXC.RATE_2,C711*(1-I711)*(1-ADD.DISCOUNT)*(1+MAT.SURCHARGE)*EXC.RATE_2),CURRENCY.FORMAT_2),CURRENCY.FORMAT_2,0)),'DICTIONARY-5'!$A$2))</f>
        <v/>
      </c>
      <c r="N711" s="544">
        <v>2</v>
      </c>
      <c r="O711" s="544"/>
      <c r="P711" s="731" t="str">
        <f>'DICTIONARY-3'!$A$13</f>
        <v>EROXplus</v>
      </c>
      <c r="Q711" s="732" t="str">
        <f>'DICTIONARY-3'!$A$190</f>
        <v>Zasuwa wrzecionowa</v>
      </c>
      <c r="R711" s="732" t="str">
        <f>CONCATENATE('DICTIONARY-3'!$A$13," ",'DICTIONARY-6'!$A$5," ",'DICTIONARY-2'!$A$2,"1200",", ",'DICTIONARY-4'!$A$2,", max.6",'DICTIONARY-2'!$A$41,", ",'DICTIONARY-4'!$A$2)</f>
        <v>EROXplus Zasuwa wrzec. DN1200, WW, max.6mSW, WW</v>
      </c>
      <c r="S711" s="733" t="str">
        <f>'DICTIONARY-4'!$A$2</f>
        <v>WW</v>
      </c>
      <c r="T711" s="732" t="str">
        <f>'DICTIONARY-4'!$A$18</f>
        <v>Wolny wałek</v>
      </c>
      <c r="U711" s="734" t="s">
        <v>5838</v>
      </c>
      <c r="V711" s="735"/>
      <c r="W711" s="736"/>
      <c r="X711" s="737"/>
      <c r="Y711" s="738"/>
      <c r="Z711" s="739">
        <v>2720</v>
      </c>
      <c r="AA711" s="739"/>
      <c r="AB711" s="746">
        <v>0.6</v>
      </c>
      <c r="AC711" s="741"/>
      <c r="AD711" s="741" t="str">
        <f>'DICTIONARY-5'!$A$14</f>
        <v>ścieki</v>
      </c>
      <c r="AE711" s="742">
        <v>50</v>
      </c>
      <c r="AF711" s="743">
        <v>230</v>
      </c>
      <c r="AG711" s="733" t="str">
        <f>'DICTIONARY-5'!$A$27</f>
        <v>pasywacja</v>
      </c>
    </row>
    <row r="712" spans="1:33" x14ac:dyDescent="0.25">
      <c r="A712" s="842" t="s">
        <v>681</v>
      </c>
      <c r="B712" s="842" t="s">
        <v>3309</v>
      </c>
      <c r="C712" s="836" t="s">
        <v>5967</v>
      </c>
      <c r="D712" s="836"/>
      <c r="E712" s="836"/>
      <c r="F712" s="836"/>
      <c r="G712" s="496" t="s">
        <v>7800</v>
      </c>
      <c r="H712" s="797" t="str">
        <f>VLOOKUP(G712,SETTINGS!$B$7:$D$97,2,0)</f>
        <v>EROXplus</v>
      </c>
      <c r="I712" s="796">
        <f>VLOOKUP(G712,SETTINGS!$B$7:$D$97,3,0)</f>
        <v>0</v>
      </c>
      <c r="J712" s="670" t="str">
        <f>IFERROR(IF(CURRENCY.FORMAT_1=0,CONCATENATE(TEXT(FIXED(ROUND((C712/EXC.RATE_1),CURRENCY.FORMAT_1),CURRENCY.FORMAT_1,1),"# ##0;-# ##0"),",-"),FIXED(ROUND((C712/EXC.RATE_1),CURRENCY.FORMAT_1),CURRENCY.FORMAT_1,0)),'DICTIONARY-5'!$A$2)</f>
        <v>na zapytanie</v>
      </c>
      <c r="K712" s="670" t="str">
        <f>IF(EXC.RATE_2=0,"",IFERROR(IF(CURRENCY.FORMAT_2=0,CONCATENATE(TEXT(FIXED(ROUND(IF(EXC.RATE.SWITCH=1,C712/EXC.RATE_2,C712*EXC.RATE_2),CURRENCY.FORMAT_2),CURRENCY.FORMAT_2,1),"# ##0;-# ##0"),",-"),FIXED(ROUND(IF(EXC.RATE.SWITCH=1,C712/EXC.RATE_2,C712*EXC.RATE_2),CURRENCY.FORMAT_2),CURRENCY.FORMAT_2,0)),'DICTIONARY-5'!$A$2))</f>
        <v/>
      </c>
      <c r="L712" s="670" t="str">
        <f>IFERROR(IF(CURRENCY.FORMAT_1=0,CONCATENATE(TEXT(FIXED(ROUND((C712*(1-I712)*(1-ADD.DISCOUNT)*(1+MAT.SURCHARGE)/EXC.RATE_1),CURRENCY.FORMAT_1),CURRENCY.FORMAT_1,1),"# ##0;-# ##0"),",-"),FIXED(ROUND((C712*(1-I712)*(1-ADD.DISCOUNT)*(1+MAT.SURCHARGE)/EXC.RATE_1),CURRENCY.FORMAT_1),CURRENCY.FORMAT_1,0)),'DICTIONARY-5'!$A$2)</f>
        <v>na zapytanie</v>
      </c>
      <c r="M712" s="670" t="str">
        <f>IF(EXC.RATE_2=0,"",IFERROR(IF(CURRENCY.FORMAT_2=0,CONCATENATE(TEXT(FIXED(ROUND(IF(EXC.RATE.SWITCH=1,C712*(1-I712)*(1-ADD.DISCOUNT)*(1+MAT.SURCHARGE)/EXC.RATE_2,C712*(1-I712)*(1-ADD.DISCOUNT)*(1+MAT.SURCHARGE)*EXC.RATE_2),CURRENCY.FORMAT_2),CURRENCY.FORMAT_2,1),"# ##0;-# ##0"),",-"),FIXED(ROUND(IF(EXC.RATE.SWITCH=1,C712*(1-I712)*(1-ADD.DISCOUNT)*(1+MAT.SURCHARGE)/EXC.RATE_2,C712*(1-I712)*(1-ADD.DISCOUNT)*(1+MAT.SURCHARGE)*EXC.RATE_2),CURRENCY.FORMAT_2),CURRENCY.FORMAT_2,0)),'DICTIONARY-5'!$A$2))</f>
        <v/>
      </c>
      <c r="N712" s="544">
        <v>2</v>
      </c>
      <c r="O712" s="544"/>
      <c r="P712" s="731" t="str">
        <f>'DICTIONARY-3'!$A$13</f>
        <v>EROXplus</v>
      </c>
      <c r="Q712" s="732" t="str">
        <f>'DICTIONARY-3'!$A$190</f>
        <v>Zasuwa wrzecionowa</v>
      </c>
      <c r="R712" s="732" t="str">
        <f>CONCATENATE('DICTIONARY-3'!$A$13," ",'DICTIONARY-6'!$A$5," ",'DICTIONARY-2'!$A$2,"1400",", ",'DICTIONARY-4'!$A$2,", max.6",'DICTIONARY-2'!$A$41,", ",'DICTIONARY-4'!$A$2)</f>
        <v>EROXplus Zasuwa wrzec. DN1400, WW, max.6mSW, WW</v>
      </c>
      <c r="S712" s="733" t="str">
        <f>'DICTIONARY-4'!$A$2</f>
        <v>WW</v>
      </c>
      <c r="T712" s="732" t="str">
        <f>'DICTIONARY-4'!$A$18</f>
        <v>Wolny wałek</v>
      </c>
      <c r="U712" s="734" t="s">
        <v>5839</v>
      </c>
      <c r="V712" s="735"/>
      <c r="W712" s="736"/>
      <c r="X712" s="737"/>
      <c r="Y712" s="738"/>
      <c r="Z712" s="739">
        <v>3280</v>
      </c>
      <c r="AA712" s="739"/>
      <c r="AB712" s="746">
        <v>0.6</v>
      </c>
      <c r="AC712" s="741"/>
      <c r="AD712" s="741" t="str">
        <f>'DICTIONARY-5'!$A$14</f>
        <v>ścieki</v>
      </c>
      <c r="AE712" s="742">
        <v>50</v>
      </c>
      <c r="AF712" s="743">
        <v>352.3</v>
      </c>
      <c r="AG712" s="733" t="str">
        <f>'DICTIONARY-5'!$A$27</f>
        <v>pasywacja</v>
      </c>
    </row>
    <row r="713" spans="1:33" x14ac:dyDescent="0.25">
      <c r="A713" s="842" t="s">
        <v>683</v>
      </c>
      <c r="B713" s="842" t="s">
        <v>3310</v>
      </c>
      <c r="C713" s="836" t="s">
        <v>5967</v>
      </c>
      <c r="D713" s="836"/>
      <c r="E713" s="836"/>
      <c r="F713" s="836"/>
      <c r="G713" s="496" t="s">
        <v>7800</v>
      </c>
      <c r="H713" s="797" t="str">
        <f>VLOOKUP(G713,SETTINGS!$B$7:$D$97,2,0)</f>
        <v>EROXplus</v>
      </c>
      <c r="I713" s="796">
        <f>VLOOKUP(G713,SETTINGS!$B$7:$D$97,3,0)</f>
        <v>0</v>
      </c>
      <c r="J713" s="670" t="str">
        <f>IFERROR(IF(CURRENCY.FORMAT_1=0,CONCATENATE(TEXT(FIXED(ROUND((C713/EXC.RATE_1),CURRENCY.FORMAT_1),CURRENCY.FORMAT_1,1),"# ##0;-# ##0"),",-"),FIXED(ROUND((C713/EXC.RATE_1),CURRENCY.FORMAT_1),CURRENCY.FORMAT_1,0)),'DICTIONARY-5'!$A$2)</f>
        <v>na zapytanie</v>
      </c>
      <c r="K713" s="670" t="str">
        <f>IF(EXC.RATE_2=0,"",IFERROR(IF(CURRENCY.FORMAT_2=0,CONCATENATE(TEXT(FIXED(ROUND(IF(EXC.RATE.SWITCH=1,C713/EXC.RATE_2,C713*EXC.RATE_2),CURRENCY.FORMAT_2),CURRENCY.FORMAT_2,1),"# ##0;-# ##0"),",-"),FIXED(ROUND(IF(EXC.RATE.SWITCH=1,C713/EXC.RATE_2,C713*EXC.RATE_2),CURRENCY.FORMAT_2),CURRENCY.FORMAT_2,0)),'DICTIONARY-5'!$A$2))</f>
        <v/>
      </c>
      <c r="L713" s="670" t="str">
        <f>IFERROR(IF(CURRENCY.FORMAT_1=0,CONCATENATE(TEXT(FIXED(ROUND((C713*(1-I713)*(1-ADD.DISCOUNT)*(1+MAT.SURCHARGE)/EXC.RATE_1),CURRENCY.FORMAT_1),CURRENCY.FORMAT_1,1),"# ##0;-# ##0"),",-"),FIXED(ROUND((C713*(1-I713)*(1-ADD.DISCOUNT)*(1+MAT.SURCHARGE)/EXC.RATE_1),CURRENCY.FORMAT_1),CURRENCY.FORMAT_1,0)),'DICTIONARY-5'!$A$2)</f>
        <v>na zapytanie</v>
      </c>
      <c r="M713" s="670" t="str">
        <f>IF(EXC.RATE_2=0,"",IFERROR(IF(CURRENCY.FORMAT_2=0,CONCATENATE(TEXT(FIXED(ROUND(IF(EXC.RATE.SWITCH=1,C713*(1-I713)*(1-ADD.DISCOUNT)*(1+MAT.SURCHARGE)/EXC.RATE_2,C713*(1-I713)*(1-ADD.DISCOUNT)*(1+MAT.SURCHARGE)*EXC.RATE_2),CURRENCY.FORMAT_2),CURRENCY.FORMAT_2,1),"# ##0;-# ##0"),",-"),FIXED(ROUND(IF(EXC.RATE.SWITCH=1,C713*(1-I713)*(1-ADD.DISCOUNT)*(1+MAT.SURCHARGE)/EXC.RATE_2,C713*(1-I713)*(1-ADD.DISCOUNT)*(1+MAT.SURCHARGE)*EXC.RATE_2),CURRENCY.FORMAT_2),CURRENCY.FORMAT_2,0)),'DICTIONARY-5'!$A$2))</f>
        <v/>
      </c>
      <c r="N713" s="544">
        <v>2</v>
      </c>
      <c r="O713" s="544"/>
      <c r="P713" s="731" t="str">
        <f>'DICTIONARY-3'!$A$13</f>
        <v>EROXplus</v>
      </c>
      <c r="Q713" s="732" t="str">
        <f>'DICTIONARY-3'!$A$190</f>
        <v>Zasuwa wrzecionowa</v>
      </c>
      <c r="R713" s="732" t="str">
        <f>CONCATENATE('DICTIONARY-3'!$A$13," ",'DICTIONARY-6'!$A$5," ",'DICTIONARY-2'!$A$2,"1500",", ",'DICTIONARY-4'!$A$2,", max.6",'DICTIONARY-2'!$A$41,", ",'DICTIONARY-4'!$A$2)</f>
        <v>EROXplus Zasuwa wrzec. DN1500, WW, max.6mSW, WW</v>
      </c>
      <c r="S713" s="733" t="str">
        <f>'DICTIONARY-4'!$A$2</f>
        <v>WW</v>
      </c>
      <c r="T713" s="732" t="str">
        <f>'DICTIONARY-4'!$A$18</f>
        <v>Wolny wałek</v>
      </c>
      <c r="U713" s="734" t="s">
        <v>5845</v>
      </c>
      <c r="V713" s="735"/>
      <c r="W713" s="736"/>
      <c r="X713" s="737"/>
      <c r="Y713" s="738"/>
      <c r="Z713" s="739">
        <v>3480</v>
      </c>
      <c r="AA713" s="739"/>
      <c r="AB713" s="746">
        <v>0.6</v>
      </c>
      <c r="AC713" s="741"/>
      <c r="AD713" s="741" t="str">
        <f>'DICTIONARY-5'!$A$14</f>
        <v>ścieki</v>
      </c>
      <c r="AE713" s="742">
        <v>50</v>
      </c>
      <c r="AF713" s="743">
        <v>400</v>
      </c>
      <c r="AG713" s="733" t="str">
        <f>'DICTIONARY-5'!$A$27</f>
        <v>pasywacja</v>
      </c>
    </row>
    <row r="714" spans="1:33" x14ac:dyDescent="0.25">
      <c r="A714" s="842" t="s">
        <v>685</v>
      </c>
      <c r="B714" s="842" t="s">
        <v>3311</v>
      </c>
      <c r="C714" s="836" t="s">
        <v>5967</v>
      </c>
      <c r="D714" s="836"/>
      <c r="E714" s="836"/>
      <c r="F714" s="836"/>
      <c r="G714" s="496" t="s">
        <v>7800</v>
      </c>
      <c r="H714" s="797" t="str">
        <f>VLOOKUP(G714,SETTINGS!$B$7:$D$97,2,0)</f>
        <v>EROXplus</v>
      </c>
      <c r="I714" s="796">
        <f>VLOOKUP(G714,SETTINGS!$B$7:$D$97,3,0)</f>
        <v>0</v>
      </c>
      <c r="J714" s="670" t="str">
        <f>IFERROR(IF(CURRENCY.FORMAT_1=0,CONCATENATE(TEXT(FIXED(ROUND((C714/EXC.RATE_1),CURRENCY.FORMAT_1),CURRENCY.FORMAT_1,1),"# ##0;-# ##0"),",-"),FIXED(ROUND((C714/EXC.RATE_1),CURRENCY.FORMAT_1),CURRENCY.FORMAT_1,0)),'DICTIONARY-5'!$A$2)</f>
        <v>na zapytanie</v>
      </c>
      <c r="K714" s="670" t="str">
        <f>IF(EXC.RATE_2=0,"",IFERROR(IF(CURRENCY.FORMAT_2=0,CONCATENATE(TEXT(FIXED(ROUND(IF(EXC.RATE.SWITCH=1,C714/EXC.RATE_2,C714*EXC.RATE_2),CURRENCY.FORMAT_2),CURRENCY.FORMAT_2,1),"# ##0;-# ##0"),",-"),FIXED(ROUND(IF(EXC.RATE.SWITCH=1,C714/EXC.RATE_2,C714*EXC.RATE_2),CURRENCY.FORMAT_2),CURRENCY.FORMAT_2,0)),'DICTIONARY-5'!$A$2))</f>
        <v/>
      </c>
      <c r="L714" s="670" t="str">
        <f>IFERROR(IF(CURRENCY.FORMAT_1=0,CONCATENATE(TEXT(FIXED(ROUND((C714*(1-I714)*(1-ADD.DISCOUNT)*(1+MAT.SURCHARGE)/EXC.RATE_1),CURRENCY.FORMAT_1),CURRENCY.FORMAT_1,1),"# ##0;-# ##0"),",-"),FIXED(ROUND((C714*(1-I714)*(1-ADD.DISCOUNT)*(1+MAT.SURCHARGE)/EXC.RATE_1),CURRENCY.FORMAT_1),CURRENCY.FORMAT_1,0)),'DICTIONARY-5'!$A$2)</f>
        <v>na zapytanie</v>
      </c>
      <c r="M714" s="670" t="str">
        <f>IF(EXC.RATE_2=0,"",IFERROR(IF(CURRENCY.FORMAT_2=0,CONCATENATE(TEXT(FIXED(ROUND(IF(EXC.RATE.SWITCH=1,C714*(1-I714)*(1-ADD.DISCOUNT)*(1+MAT.SURCHARGE)/EXC.RATE_2,C714*(1-I714)*(1-ADD.DISCOUNT)*(1+MAT.SURCHARGE)*EXC.RATE_2),CURRENCY.FORMAT_2),CURRENCY.FORMAT_2,1),"# ##0;-# ##0"),",-"),FIXED(ROUND(IF(EXC.RATE.SWITCH=1,C714*(1-I714)*(1-ADD.DISCOUNT)*(1+MAT.SURCHARGE)/EXC.RATE_2,C714*(1-I714)*(1-ADD.DISCOUNT)*(1+MAT.SURCHARGE)*EXC.RATE_2),CURRENCY.FORMAT_2),CURRENCY.FORMAT_2,0)),'DICTIONARY-5'!$A$2))</f>
        <v/>
      </c>
      <c r="N714" s="544">
        <v>2</v>
      </c>
      <c r="O714" s="544"/>
      <c r="P714" s="731" t="str">
        <f>'DICTIONARY-3'!$A$13</f>
        <v>EROXplus</v>
      </c>
      <c r="Q714" s="732" t="str">
        <f>'DICTIONARY-3'!$A$190</f>
        <v>Zasuwa wrzecionowa</v>
      </c>
      <c r="R714" s="732" t="str">
        <f>CONCATENATE('DICTIONARY-3'!$A$13," ",'DICTIONARY-6'!$A$5," ",'DICTIONARY-2'!$A$2,"1600",", ",'DICTIONARY-4'!$A$2,", max.6",'DICTIONARY-2'!$A$41,", ",'DICTIONARY-4'!$A$2)</f>
        <v>EROXplus Zasuwa wrzec. DN1600, WW, max.6mSW, WW</v>
      </c>
      <c r="S714" s="733" t="str">
        <f>'DICTIONARY-4'!$A$2</f>
        <v>WW</v>
      </c>
      <c r="T714" s="732" t="str">
        <f>'DICTIONARY-4'!$A$18</f>
        <v>Wolny wałek</v>
      </c>
      <c r="U714" s="734" t="s">
        <v>5840</v>
      </c>
      <c r="V714" s="735"/>
      <c r="W714" s="736"/>
      <c r="X714" s="737"/>
      <c r="Y714" s="738"/>
      <c r="Z714" s="739">
        <v>3680</v>
      </c>
      <c r="AA714" s="739"/>
      <c r="AB714" s="746">
        <v>0.6</v>
      </c>
      <c r="AC714" s="741"/>
      <c r="AD714" s="741" t="str">
        <f>'DICTIONARY-5'!$A$14</f>
        <v>ścieki</v>
      </c>
      <c r="AE714" s="742">
        <v>50</v>
      </c>
      <c r="AF714" s="743">
        <v>430</v>
      </c>
      <c r="AG714" s="733" t="str">
        <f>'DICTIONARY-5'!$A$27</f>
        <v>pasywacja</v>
      </c>
    </row>
    <row r="715" spans="1:33" x14ac:dyDescent="0.25">
      <c r="A715" s="842" t="s">
        <v>687</v>
      </c>
      <c r="B715" s="842" t="s">
        <v>3312</v>
      </c>
      <c r="C715" s="836" t="s">
        <v>5967</v>
      </c>
      <c r="D715" s="836"/>
      <c r="E715" s="836"/>
      <c r="F715" s="836"/>
      <c r="G715" s="496" t="s">
        <v>7800</v>
      </c>
      <c r="H715" s="797" t="str">
        <f>VLOOKUP(G715,SETTINGS!$B$7:$D$97,2,0)</f>
        <v>EROXplus</v>
      </c>
      <c r="I715" s="796">
        <f>VLOOKUP(G715,SETTINGS!$B$7:$D$97,3,0)</f>
        <v>0</v>
      </c>
      <c r="J715" s="670" t="str">
        <f>IFERROR(IF(CURRENCY.FORMAT_1=0,CONCATENATE(TEXT(FIXED(ROUND((C715/EXC.RATE_1),CURRENCY.FORMAT_1),CURRENCY.FORMAT_1,1),"# ##0;-# ##0"),",-"),FIXED(ROUND((C715/EXC.RATE_1),CURRENCY.FORMAT_1),CURRENCY.FORMAT_1,0)),'DICTIONARY-5'!$A$2)</f>
        <v>na zapytanie</v>
      </c>
      <c r="K715" s="670" t="str">
        <f>IF(EXC.RATE_2=0,"",IFERROR(IF(CURRENCY.FORMAT_2=0,CONCATENATE(TEXT(FIXED(ROUND(IF(EXC.RATE.SWITCH=1,C715/EXC.RATE_2,C715*EXC.RATE_2),CURRENCY.FORMAT_2),CURRENCY.FORMAT_2,1),"# ##0;-# ##0"),",-"),FIXED(ROUND(IF(EXC.RATE.SWITCH=1,C715/EXC.RATE_2,C715*EXC.RATE_2),CURRENCY.FORMAT_2),CURRENCY.FORMAT_2,0)),'DICTIONARY-5'!$A$2))</f>
        <v/>
      </c>
      <c r="L715" s="670" t="str">
        <f>IFERROR(IF(CURRENCY.FORMAT_1=0,CONCATENATE(TEXT(FIXED(ROUND((C715*(1-I715)*(1-ADD.DISCOUNT)*(1+MAT.SURCHARGE)/EXC.RATE_1),CURRENCY.FORMAT_1),CURRENCY.FORMAT_1,1),"# ##0;-# ##0"),",-"),FIXED(ROUND((C715*(1-I715)*(1-ADD.DISCOUNT)*(1+MAT.SURCHARGE)/EXC.RATE_1),CURRENCY.FORMAT_1),CURRENCY.FORMAT_1,0)),'DICTIONARY-5'!$A$2)</f>
        <v>na zapytanie</v>
      </c>
      <c r="M715" s="670" t="str">
        <f>IF(EXC.RATE_2=0,"",IFERROR(IF(CURRENCY.FORMAT_2=0,CONCATENATE(TEXT(FIXED(ROUND(IF(EXC.RATE.SWITCH=1,C715*(1-I715)*(1-ADD.DISCOUNT)*(1+MAT.SURCHARGE)/EXC.RATE_2,C715*(1-I715)*(1-ADD.DISCOUNT)*(1+MAT.SURCHARGE)*EXC.RATE_2),CURRENCY.FORMAT_2),CURRENCY.FORMAT_2,1),"# ##0;-# ##0"),",-"),FIXED(ROUND(IF(EXC.RATE.SWITCH=1,C715*(1-I715)*(1-ADD.DISCOUNT)*(1+MAT.SURCHARGE)/EXC.RATE_2,C715*(1-I715)*(1-ADD.DISCOUNT)*(1+MAT.SURCHARGE)*EXC.RATE_2),CURRENCY.FORMAT_2),CURRENCY.FORMAT_2,0)),'DICTIONARY-5'!$A$2))</f>
        <v/>
      </c>
      <c r="N715" s="544">
        <v>2</v>
      </c>
      <c r="O715" s="544"/>
      <c r="P715" s="731" t="str">
        <f>'DICTIONARY-3'!$A$13</f>
        <v>EROXplus</v>
      </c>
      <c r="Q715" s="732" t="str">
        <f>'DICTIONARY-3'!$A$190</f>
        <v>Zasuwa wrzecionowa</v>
      </c>
      <c r="R715" s="732" t="str">
        <f>CONCATENATE('DICTIONARY-3'!$A$13," ",'DICTIONARY-6'!$A$5," ",'DICTIONARY-2'!$A$2,"1700",", ",'DICTIONARY-4'!$A$2,", max.6",'DICTIONARY-2'!$A$41,", ",'DICTIONARY-4'!$A$2)</f>
        <v>EROXplus Zasuwa wrzec. DN1700, WW, max.6mSW, WW</v>
      </c>
      <c r="S715" s="733" t="str">
        <f>'DICTIONARY-4'!$A$2</f>
        <v>WW</v>
      </c>
      <c r="T715" s="732" t="str">
        <f>'DICTIONARY-4'!$A$18</f>
        <v>Wolny wałek</v>
      </c>
      <c r="U715" s="734" t="s">
        <v>5848</v>
      </c>
      <c r="V715" s="735"/>
      <c r="W715" s="736"/>
      <c r="X715" s="737"/>
      <c r="Y715" s="738"/>
      <c r="Z715" s="739">
        <v>3880</v>
      </c>
      <c r="AA715" s="739"/>
      <c r="AB715" s="746">
        <v>0.6</v>
      </c>
      <c r="AC715" s="741"/>
      <c r="AD715" s="741" t="str">
        <f>'DICTIONARY-5'!$A$14</f>
        <v>ścieki</v>
      </c>
      <c r="AE715" s="742">
        <v>50</v>
      </c>
      <c r="AF715" s="743">
        <v>460</v>
      </c>
      <c r="AG715" s="733" t="str">
        <f>'DICTIONARY-5'!$A$27</f>
        <v>pasywacja</v>
      </c>
    </row>
    <row r="716" spans="1:33" x14ac:dyDescent="0.25">
      <c r="A716" s="842" t="s">
        <v>689</v>
      </c>
      <c r="B716" s="842" t="s">
        <v>3313</v>
      </c>
      <c r="C716" s="836" t="s">
        <v>5967</v>
      </c>
      <c r="D716" s="836"/>
      <c r="E716" s="836"/>
      <c r="F716" s="836"/>
      <c r="G716" s="496" t="s">
        <v>7800</v>
      </c>
      <c r="H716" s="797" t="str">
        <f>VLOOKUP(G716,SETTINGS!$B$7:$D$97,2,0)</f>
        <v>EROXplus</v>
      </c>
      <c r="I716" s="796">
        <f>VLOOKUP(G716,SETTINGS!$B$7:$D$97,3,0)</f>
        <v>0</v>
      </c>
      <c r="J716" s="670" t="str">
        <f>IFERROR(IF(CURRENCY.FORMAT_1=0,CONCATENATE(TEXT(FIXED(ROUND((C716/EXC.RATE_1),CURRENCY.FORMAT_1),CURRENCY.FORMAT_1,1),"# ##0;-# ##0"),",-"),FIXED(ROUND((C716/EXC.RATE_1),CURRENCY.FORMAT_1),CURRENCY.FORMAT_1,0)),'DICTIONARY-5'!$A$2)</f>
        <v>na zapytanie</v>
      </c>
      <c r="K716" s="670" t="str">
        <f>IF(EXC.RATE_2=0,"",IFERROR(IF(CURRENCY.FORMAT_2=0,CONCATENATE(TEXT(FIXED(ROUND(IF(EXC.RATE.SWITCH=1,C716/EXC.RATE_2,C716*EXC.RATE_2),CURRENCY.FORMAT_2),CURRENCY.FORMAT_2,1),"# ##0;-# ##0"),",-"),FIXED(ROUND(IF(EXC.RATE.SWITCH=1,C716/EXC.RATE_2,C716*EXC.RATE_2),CURRENCY.FORMAT_2),CURRENCY.FORMAT_2,0)),'DICTIONARY-5'!$A$2))</f>
        <v/>
      </c>
      <c r="L716" s="670" t="str">
        <f>IFERROR(IF(CURRENCY.FORMAT_1=0,CONCATENATE(TEXT(FIXED(ROUND((C716*(1-I716)*(1-ADD.DISCOUNT)*(1+MAT.SURCHARGE)/EXC.RATE_1),CURRENCY.FORMAT_1),CURRENCY.FORMAT_1,1),"# ##0;-# ##0"),",-"),FIXED(ROUND((C716*(1-I716)*(1-ADD.DISCOUNT)*(1+MAT.SURCHARGE)/EXC.RATE_1),CURRENCY.FORMAT_1),CURRENCY.FORMAT_1,0)),'DICTIONARY-5'!$A$2)</f>
        <v>na zapytanie</v>
      </c>
      <c r="M716" s="670" t="str">
        <f>IF(EXC.RATE_2=0,"",IFERROR(IF(CURRENCY.FORMAT_2=0,CONCATENATE(TEXT(FIXED(ROUND(IF(EXC.RATE.SWITCH=1,C716*(1-I716)*(1-ADD.DISCOUNT)*(1+MAT.SURCHARGE)/EXC.RATE_2,C716*(1-I716)*(1-ADD.DISCOUNT)*(1+MAT.SURCHARGE)*EXC.RATE_2),CURRENCY.FORMAT_2),CURRENCY.FORMAT_2,1),"# ##0;-# ##0"),",-"),FIXED(ROUND(IF(EXC.RATE.SWITCH=1,C716*(1-I716)*(1-ADD.DISCOUNT)*(1+MAT.SURCHARGE)/EXC.RATE_2,C716*(1-I716)*(1-ADD.DISCOUNT)*(1+MAT.SURCHARGE)*EXC.RATE_2),CURRENCY.FORMAT_2),CURRENCY.FORMAT_2,0)),'DICTIONARY-5'!$A$2))</f>
        <v/>
      </c>
      <c r="N716" s="544">
        <v>2</v>
      </c>
      <c r="O716" s="544"/>
      <c r="P716" s="731" t="str">
        <f>'DICTIONARY-3'!$A$13</f>
        <v>EROXplus</v>
      </c>
      <c r="Q716" s="732" t="str">
        <f>'DICTIONARY-3'!$A$190</f>
        <v>Zasuwa wrzecionowa</v>
      </c>
      <c r="R716" s="732" t="str">
        <f>CONCATENATE('DICTIONARY-3'!$A$13," ",'DICTIONARY-6'!$A$5," ",'DICTIONARY-2'!$A$2,"1800",", ",'DICTIONARY-4'!$A$2,", max.6",'DICTIONARY-2'!$A$41,", ",'DICTIONARY-4'!$A$2)</f>
        <v>EROXplus Zasuwa wrzec. DN1800, WW, max.6mSW, WW</v>
      </c>
      <c r="S716" s="733" t="str">
        <f>'DICTIONARY-4'!$A$2</f>
        <v>WW</v>
      </c>
      <c r="T716" s="732" t="str">
        <f>'DICTIONARY-4'!$A$18</f>
        <v>Wolny wałek</v>
      </c>
      <c r="U716" s="734" t="s">
        <v>5841</v>
      </c>
      <c r="V716" s="735"/>
      <c r="W716" s="736"/>
      <c r="X716" s="737"/>
      <c r="Y716" s="738"/>
      <c r="Z716" s="739">
        <v>4080</v>
      </c>
      <c r="AA716" s="739"/>
      <c r="AB716" s="746">
        <v>0.6</v>
      </c>
      <c r="AC716" s="741"/>
      <c r="AD716" s="741" t="str">
        <f>'DICTIONARY-5'!$A$14</f>
        <v>ścieki</v>
      </c>
      <c r="AE716" s="742">
        <v>50</v>
      </c>
      <c r="AF716" s="743">
        <v>525</v>
      </c>
      <c r="AG716" s="733" t="str">
        <f>'DICTIONARY-5'!$A$27</f>
        <v>pasywacja</v>
      </c>
    </row>
    <row r="717" spans="1:33" x14ac:dyDescent="0.25">
      <c r="A717" s="842" t="s">
        <v>690</v>
      </c>
      <c r="B717" s="842" t="s">
        <v>3282</v>
      </c>
      <c r="C717" s="836">
        <v>686</v>
      </c>
      <c r="D717" s="836"/>
      <c r="E717" s="836"/>
      <c r="F717" s="836"/>
      <c r="G717" s="496" t="s">
        <v>7800</v>
      </c>
      <c r="H717" s="797" t="str">
        <f>VLOOKUP(G717,SETTINGS!$B$7:$D$97,2,0)</f>
        <v>EROXplus</v>
      </c>
      <c r="I717" s="796">
        <f>VLOOKUP(G717,SETTINGS!$B$7:$D$97,3,0)</f>
        <v>0</v>
      </c>
      <c r="J717" s="670" t="str">
        <f>IFERROR(IF(CURRENCY.FORMAT_1=0,CONCATENATE(TEXT(FIXED(ROUND((C717/EXC.RATE_1),CURRENCY.FORMAT_1),CURRENCY.FORMAT_1,1),"# ##0;-# ##0"),",-"),FIXED(ROUND((C717/EXC.RATE_1),CURRENCY.FORMAT_1),CURRENCY.FORMAT_1,0)),'DICTIONARY-5'!$A$2)</f>
        <v>686,-</v>
      </c>
      <c r="K717" s="670" t="str">
        <f>IF(EXC.RATE_2=0,"",IFERROR(IF(CURRENCY.FORMAT_2=0,CONCATENATE(TEXT(FIXED(ROUND(IF(EXC.RATE.SWITCH=1,C717/EXC.RATE_2,C717*EXC.RATE_2),CURRENCY.FORMAT_2),CURRENCY.FORMAT_2,1),"# ##0;-# ##0"),",-"),FIXED(ROUND(IF(EXC.RATE.SWITCH=1,C717/EXC.RATE_2,C717*EXC.RATE_2),CURRENCY.FORMAT_2),CURRENCY.FORMAT_2,0)),'DICTIONARY-5'!$A$2))</f>
        <v/>
      </c>
      <c r="L717" s="670" t="str">
        <f>IFERROR(IF(CURRENCY.FORMAT_1=0,CONCATENATE(TEXT(FIXED(ROUND((C717*(1-I717)*(1-ADD.DISCOUNT)*(1+MAT.SURCHARGE)/EXC.RATE_1),CURRENCY.FORMAT_1),CURRENCY.FORMAT_1,1),"# ##0;-# ##0"),",-"),FIXED(ROUND((C717*(1-I717)*(1-ADD.DISCOUNT)*(1+MAT.SURCHARGE)/EXC.RATE_1),CURRENCY.FORMAT_1),CURRENCY.FORMAT_1,0)),'DICTIONARY-5'!$A$2)</f>
        <v>713,-</v>
      </c>
      <c r="M717" s="670" t="str">
        <f>IF(EXC.RATE_2=0,"",IFERROR(IF(CURRENCY.FORMAT_2=0,CONCATENATE(TEXT(FIXED(ROUND(IF(EXC.RATE.SWITCH=1,C717*(1-I717)*(1-ADD.DISCOUNT)*(1+MAT.SURCHARGE)/EXC.RATE_2,C717*(1-I717)*(1-ADD.DISCOUNT)*(1+MAT.SURCHARGE)*EXC.RATE_2),CURRENCY.FORMAT_2),CURRENCY.FORMAT_2,1),"# ##0;-# ##0"),",-"),FIXED(ROUND(IF(EXC.RATE.SWITCH=1,C717*(1-I717)*(1-ADD.DISCOUNT)*(1+MAT.SURCHARGE)/EXC.RATE_2,C717*(1-I717)*(1-ADD.DISCOUNT)*(1+MAT.SURCHARGE)*EXC.RATE_2),CURRENCY.FORMAT_2),CURRENCY.FORMAT_2,0)),'DICTIONARY-5'!$A$2))</f>
        <v/>
      </c>
      <c r="N717" s="544">
        <v>2</v>
      </c>
      <c r="O717" s="544"/>
      <c r="P717" s="731" t="str">
        <f>'DICTIONARY-3'!$A$13</f>
        <v>EROXplus</v>
      </c>
      <c r="Q717" s="732" t="str">
        <f>'DICTIONARY-3'!$A$190</f>
        <v>Zasuwa wrzecionowa</v>
      </c>
      <c r="R717" s="732" t="str">
        <f>CONCATENATE('DICTIONARY-3'!$A$14," ",'DICTIONARY-6'!$A$5," ",'DICTIONARY-2'!$A$2,"150",", ",'DICTIONARY-4'!$A$2,", max.10",'DICTIONARY-2'!$A$41,", ",'DICTIONARY-4'!$A$2)</f>
        <v>EROXplus-O Zasuwa wrzec. DN150, WW, max.10mSW, WW</v>
      </c>
      <c r="S717" s="733" t="str">
        <f>'DICTIONARY-4'!$A$2</f>
        <v>WW</v>
      </c>
      <c r="T717" s="732" t="str">
        <f>'DICTIONARY-4'!$A$18</f>
        <v>Wolny wałek</v>
      </c>
      <c r="U717" s="734" t="s">
        <v>5572</v>
      </c>
      <c r="V717" s="735"/>
      <c r="W717" s="736"/>
      <c r="X717" s="737"/>
      <c r="Y717" s="738"/>
      <c r="Z717" s="739">
        <v>596</v>
      </c>
      <c r="AA717" s="739"/>
      <c r="AB717" s="746">
        <v>1</v>
      </c>
      <c r="AC717" s="741"/>
      <c r="AD717" s="741" t="str">
        <f>'DICTIONARY-5'!$A$14</f>
        <v>ścieki</v>
      </c>
      <c r="AE717" s="742">
        <v>50</v>
      </c>
      <c r="AF717" s="743">
        <v>10.75</v>
      </c>
      <c r="AG717" s="733" t="str">
        <f>'DICTIONARY-5'!$A$27</f>
        <v>pasywacja</v>
      </c>
    </row>
    <row r="718" spans="1:33" x14ac:dyDescent="0.25">
      <c r="A718" s="842" t="s">
        <v>691</v>
      </c>
      <c r="B718" s="842" t="s">
        <v>3283</v>
      </c>
      <c r="C718" s="836">
        <v>732</v>
      </c>
      <c r="D718" s="836"/>
      <c r="E718" s="836"/>
      <c r="F718" s="836"/>
      <c r="G718" s="496" t="s">
        <v>7800</v>
      </c>
      <c r="H718" s="797" t="str">
        <f>VLOOKUP(G718,SETTINGS!$B$7:$D$97,2,0)</f>
        <v>EROXplus</v>
      </c>
      <c r="I718" s="796">
        <f>VLOOKUP(G718,SETTINGS!$B$7:$D$97,3,0)</f>
        <v>0</v>
      </c>
      <c r="J718" s="670" t="str">
        <f>IFERROR(IF(CURRENCY.FORMAT_1=0,CONCATENATE(TEXT(FIXED(ROUND((C718/EXC.RATE_1),CURRENCY.FORMAT_1),CURRENCY.FORMAT_1,1),"# ##0;-# ##0"),",-"),FIXED(ROUND((C718/EXC.RATE_1),CURRENCY.FORMAT_1),CURRENCY.FORMAT_1,0)),'DICTIONARY-5'!$A$2)</f>
        <v>732,-</v>
      </c>
      <c r="K718" s="670" t="str">
        <f>IF(EXC.RATE_2=0,"",IFERROR(IF(CURRENCY.FORMAT_2=0,CONCATENATE(TEXT(FIXED(ROUND(IF(EXC.RATE.SWITCH=1,C718/EXC.RATE_2,C718*EXC.RATE_2),CURRENCY.FORMAT_2),CURRENCY.FORMAT_2,1),"# ##0;-# ##0"),",-"),FIXED(ROUND(IF(EXC.RATE.SWITCH=1,C718/EXC.RATE_2,C718*EXC.RATE_2),CURRENCY.FORMAT_2),CURRENCY.FORMAT_2,0)),'DICTIONARY-5'!$A$2))</f>
        <v/>
      </c>
      <c r="L718" s="670" t="str">
        <f>IFERROR(IF(CURRENCY.FORMAT_1=0,CONCATENATE(TEXT(FIXED(ROUND((C718*(1-I718)*(1-ADD.DISCOUNT)*(1+MAT.SURCHARGE)/EXC.RATE_1),CURRENCY.FORMAT_1),CURRENCY.FORMAT_1,1),"# ##0;-# ##0"),",-"),FIXED(ROUND((C718*(1-I718)*(1-ADD.DISCOUNT)*(1+MAT.SURCHARGE)/EXC.RATE_1),CURRENCY.FORMAT_1),CURRENCY.FORMAT_1,0)),'DICTIONARY-5'!$A$2)</f>
        <v>761,-</v>
      </c>
      <c r="M718" s="670" t="str">
        <f>IF(EXC.RATE_2=0,"",IFERROR(IF(CURRENCY.FORMAT_2=0,CONCATENATE(TEXT(FIXED(ROUND(IF(EXC.RATE.SWITCH=1,C718*(1-I718)*(1-ADD.DISCOUNT)*(1+MAT.SURCHARGE)/EXC.RATE_2,C718*(1-I718)*(1-ADD.DISCOUNT)*(1+MAT.SURCHARGE)*EXC.RATE_2),CURRENCY.FORMAT_2),CURRENCY.FORMAT_2,1),"# ##0;-# ##0"),",-"),FIXED(ROUND(IF(EXC.RATE.SWITCH=1,C718*(1-I718)*(1-ADD.DISCOUNT)*(1+MAT.SURCHARGE)/EXC.RATE_2,C718*(1-I718)*(1-ADD.DISCOUNT)*(1+MAT.SURCHARGE)*EXC.RATE_2),CURRENCY.FORMAT_2),CURRENCY.FORMAT_2,0)),'DICTIONARY-5'!$A$2))</f>
        <v/>
      </c>
      <c r="N718" s="544">
        <v>2</v>
      </c>
      <c r="O718" s="544"/>
      <c r="P718" s="731" t="str">
        <f>'DICTIONARY-3'!$A$13</f>
        <v>EROXplus</v>
      </c>
      <c r="Q718" s="732" t="str">
        <f>'DICTIONARY-3'!$A$190</f>
        <v>Zasuwa wrzecionowa</v>
      </c>
      <c r="R718" s="732" t="str">
        <f>CONCATENATE('DICTIONARY-3'!$A$14," ",'DICTIONARY-6'!$A$5," ",'DICTIONARY-2'!$A$2,"200",", ",'DICTIONARY-4'!$A$2,", max.10",'DICTIONARY-2'!$A$41,", ",'DICTIONARY-4'!$A$2)</f>
        <v>EROXplus-O Zasuwa wrzec. DN200, WW, max.10mSW, WW</v>
      </c>
      <c r="S718" s="733" t="str">
        <f>'DICTIONARY-4'!$A$2</f>
        <v>WW</v>
      </c>
      <c r="T718" s="732" t="str">
        <f>'DICTIONARY-4'!$A$18</f>
        <v>Wolny wałek</v>
      </c>
      <c r="U718" s="734" t="s">
        <v>5750</v>
      </c>
      <c r="V718" s="735"/>
      <c r="W718" s="736"/>
      <c r="X718" s="737"/>
      <c r="Y718" s="738"/>
      <c r="Z718" s="739">
        <v>696</v>
      </c>
      <c r="AA718" s="739"/>
      <c r="AB718" s="746">
        <v>1</v>
      </c>
      <c r="AC718" s="741"/>
      <c r="AD718" s="741" t="str">
        <f>'DICTIONARY-5'!$A$14</f>
        <v>ścieki</v>
      </c>
      <c r="AE718" s="742">
        <v>50</v>
      </c>
      <c r="AF718" s="743">
        <v>13.55</v>
      </c>
      <c r="AG718" s="733" t="str">
        <f>'DICTIONARY-5'!$A$27</f>
        <v>pasywacja</v>
      </c>
    </row>
    <row r="719" spans="1:33" x14ac:dyDescent="0.25">
      <c r="A719" s="842" t="s">
        <v>692</v>
      </c>
      <c r="B719" s="842" t="s">
        <v>3284</v>
      </c>
      <c r="C719" s="836">
        <v>1135</v>
      </c>
      <c r="D719" s="836"/>
      <c r="E719" s="836"/>
      <c r="F719" s="836"/>
      <c r="G719" s="496" t="s">
        <v>7800</v>
      </c>
      <c r="H719" s="797" t="str">
        <f>VLOOKUP(G719,SETTINGS!$B$7:$D$97,2,0)</f>
        <v>EROXplus</v>
      </c>
      <c r="I719" s="796">
        <f>VLOOKUP(G719,SETTINGS!$B$7:$D$97,3,0)</f>
        <v>0</v>
      </c>
      <c r="J719" s="670" t="str">
        <f>IFERROR(IF(CURRENCY.FORMAT_1=0,CONCATENATE(TEXT(FIXED(ROUND((C719/EXC.RATE_1),CURRENCY.FORMAT_1),CURRENCY.FORMAT_1,1),"# ##0;-# ##0"),",-"),FIXED(ROUND((C719/EXC.RATE_1),CURRENCY.FORMAT_1),CURRENCY.FORMAT_1,0)),'DICTIONARY-5'!$A$2)</f>
        <v>1 135,-</v>
      </c>
      <c r="K719" s="670" t="str">
        <f>IF(EXC.RATE_2=0,"",IFERROR(IF(CURRENCY.FORMAT_2=0,CONCATENATE(TEXT(FIXED(ROUND(IF(EXC.RATE.SWITCH=1,C719/EXC.RATE_2,C719*EXC.RATE_2),CURRENCY.FORMAT_2),CURRENCY.FORMAT_2,1),"# ##0;-# ##0"),",-"),FIXED(ROUND(IF(EXC.RATE.SWITCH=1,C719/EXC.RATE_2,C719*EXC.RATE_2),CURRENCY.FORMAT_2),CURRENCY.FORMAT_2,0)),'DICTIONARY-5'!$A$2))</f>
        <v/>
      </c>
      <c r="L719" s="670" t="str">
        <f>IFERROR(IF(CURRENCY.FORMAT_1=0,CONCATENATE(TEXT(FIXED(ROUND((C719*(1-I719)*(1-ADD.DISCOUNT)*(1+MAT.SURCHARGE)/EXC.RATE_1),CURRENCY.FORMAT_1),CURRENCY.FORMAT_1,1),"# ##0;-# ##0"),",-"),FIXED(ROUND((C719*(1-I719)*(1-ADD.DISCOUNT)*(1+MAT.SURCHARGE)/EXC.RATE_1),CURRENCY.FORMAT_1),CURRENCY.FORMAT_1,0)),'DICTIONARY-5'!$A$2)</f>
        <v>1 179,-</v>
      </c>
      <c r="M719" s="670" t="str">
        <f>IF(EXC.RATE_2=0,"",IFERROR(IF(CURRENCY.FORMAT_2=0,CONCATENATE(TEXT(FIXED(ROUND(IF(EXC.RATE.SWITCH=1,C719*(1-I719)*(1-ADD.DISCOUNT)*(1+MAT.SURCHARGE)/EXC.RATE_2,C719*(1-I719)*(1-ADD.DISCOUNT)*(1+MAT.SURCHARGE)*EXC.RATE_2),CURRENCY.FORMAT_2),CURRENCY.FORMAT_2,1),"# ##0;-# ##0"),",-"),FIXED(ROUND(IF(EXC.RATE.SWITCH=1,C719*(1-I719)*(1-ADD.DISCOUNT)*(1+MAT.SURCHARGE)/EXC.RATE_2,C719*(1-I719)*(1-ADD.DISCOUNT)*(1+MAT.SURCHARGE)*EXC.RATE_2),CURRENCY.FORMAT_2),CURRENCY.FORMAT_2,0)),'DICTIONARY-5'!$A$2))</f>
        <v/>
      </c>
      <c r="N719" s="544">
        <v>2</v>
      </c>
      <c r="O719" s="544"/>
      <c r="P719" s="731" t="str">
        <f>'DICTIONARY-3'!$A$13</f>
        <v>EROXplus</v>
      </c>
      <c r="Q719" s="732" t="str">
        <f>'DICTIONARY-3'!$A$190</f>
        <v>Zasuwa wrzecionowa</v>
      </c>
      <c r="R719" s="732" t="str">
        <f>CONCATENATE('DICTIONARY-3'!$A$14," ",'DICTIONARY-6'!$A$5," ",'DICTIONARY-2'!$A$2,"300",", ",'DICTIONARY-4'!$A$2,", max.10",'DICTIONARY-2'!$A$41,", ",'DICTIONARY-4'!$A$2)</f>
        <v>EROXplus-O Zasuwa wrzec. DN300, WW, max.10mSW, WW</v>
      </c>
      <c r="S719" s="733" t="str">
        <f>'DICTIONARY-4'!$A$2</f>
        <v>WW</v>
      </c>
      <c r="T719" s="732" t="str">
        <f>'DICTIONARY-4'!$A$18</f>
        <v>Wolny wałek</v>
      </c>
      <c r="U719" s="734" t="s">
        <v>5752</v>
      </c>
      <c r="V719" s="735"/>
      <c r="W719" s="736"/>
      <c r="X719" s="737"/>
      <c r="Y719" s="738"/>
      <c r="Z719" s="739">
        <v>896</v>
      </c>
      <c r="AA719" s="739"/>
      <c r="AB719" s="746">
        <v>1</v>
      </c>
      <c r="AC719" s="741"/>
      <c r="AD719" s="741" t="str">
        <f>'DICTIONARY-5'!$A$14</f>
        <v>ścieki</v>
      </c>
      <c r="AE719" s="742">
        <v>50</v>
      </c>
      <c r="AF719" s="743">
        <v>20.7</v>
      </c>
      <c r="AG719" s="733" t="str">
        <f>'DICTIONARY-5'!$A$27</f>
        <v>pasywacja</v>
      </c>
    </row>
    <row r="720" spans="1:33" x14ac:dyDescent="0.25">
      <c r="A720" s="842" t="s">
        <v>693</v>
      </c>
      <c r="B720" s="842" t="s">
        <v>3285</v>
      </c>
      <c r="C720" s="836">
        <v>1937</v>
      </c>
      <c r="D720" s="836"/>
      <c r="E720" s="836"/>
      <c r="F720" s="836"/>
      <c r="G720" s="496" t="s">
        <v>7800</v>
      </c>
      <c r="H720" s="797" t="str">
        <f>VLOOKUP(G720,SETTINGS!$B$7:$D$97,2,0)</f>
        <v>EROXplus</v>
      </c>
      <c r="I720" s="796">
        <f>VLOOKUP(G720,SETTINGS!$B$7:$D$97,3,0)</f>
        <v>0</v>
      </c>
      <c r="J720" s="670" t="str">
        <f>IFERROR(IF(CURRENCY.FORMAT_1=0,CONCATENATE(TEXT(FIXED(ROUND((C720/EXC.RATE_1),CURRENCY.FORMAT_1),CURRENCY.FORMAT_1,1),"# ##0;-# ##0"),",-"),FIXED(ROUND((C720/EXC.RATE_1),CURRENCY.FORMAT_1),CURRENCY.FORMAT_1,0)),'DICTIONARY-5'!$A$2)</f>
        <v>1 937,-</v>
      </c>
      <c r="K720" s="670" t="str">
        <f>IF(EXC.RATE_2=0,"",IFERROR(IF(CURRENCY.FORMAT_2=0,CONCATENATE(TEXT(FIXED(ROUND(IF(EXC.RATE.SWITCH=1,C720/EXC.RATE_2,C720*EXC.RATE_2),CURRENCY.FORMAT_2),CURRENCY.FORMAT_2,1),"# ##0;-# ##0"),",-"),FIXED(ROUND(IF(EXC.RATE.SWITCH=1,C720/EXC.RATE_2,C720*EXC.RATE_2),CURRENCY.FORMAT_2),CURRENCY.FORMAT_2,0)),'DICTIONARY-5'!$A$2))</f>
        <v/>
      </c>
      <c r="L720" s="670" t="str">
        <f>IFERROR(IF(CURRENCY.FORMAT_1=0,CONCATENATE(TEXT(FIXED(ROUND((C720*(1-I720)*(1-ADD.DISCOUNT)*(1+MAT.SURCHARGE)/EXC.RATE_1),CURRENCY.FORMAT_1),CURRENCY.FORMAT_1,1),"# ##0;-# ##0"),",-"),FIXED(ROUND((C720*(1-I720)*(1-ADD.DISCOUNT)*(1+MAT.SURCHARGE)/EXC.RATE_1),CURRENCY.FORMAT_1),CURRENCY.FORMAT_1,0)),'DICTIONARY-5'!$A$2)</f>
        <v>2 013,-</v>
      </c>
      <c r="M720" s="670" t="str">
        <f>IF(EXC.RATE_2=0,"",IFERROR(IF(CURRENCY.FORMAT_2=0,CONCATENATE(TEXT(FIXED(ROUND(IF(EXC.RATE.SWITCH=1,C720*(1-I720)*(1-ADD.DISCOUNT)*(1+MAT.SURCHARGE)/EXC.RATE_2,C720*(1-I720)*(1-ADD.DISCOUNT)*(1+MAT.SURCHARGE)*EXC.RATE_2),CURRENCY.FORMAT_2),CURRENCY.FORMAT_2,1),"# ##0;-# ##0"),",-"),FIXED(ROUND(IF(EXC.RATE.SWITCH=1,C720*(1-I720)*(1-ADD.DISCOUNT)*(1+MAT.SURCHARGE)/EXC.RATE_2,C720*(1-I720)*(1-ADD.DISCOUNT)*(1+MAT.SURCHARGE)*EXC.RATE_2),CURRENCY.FORMAT_2),CURRENCY.FORMAT_2,0)),'DICTIONARY-5'!$A$2))</f>
        <v/>
      </c>
      <c r="N720" s="544">
        <v>2</v>
      </c>
      <c r="O720" s="544"/>
      <c r="P720" s="731" t="str">
        <f>'DICTIONARY-3'!$A$13</f>
        <v>EROXplus</v>
      </c>
      <c r="Q720" s="732" t="str">
        <f>'DICTIONARY-3'!$A$190</f>
        <v>Zasuwa wrzecionowa</v>
      </c>
      <c r="R720" s="732" t="str">
        <f>CONCATENATE('DICTIONARY-3'!$A$14," ",'DICTIONARY-6'!$A$5," ",'DICTIONARY-2'!$A$2,"400",", ",'DICTIONARY-4'!$A$2,", max.8",'DICTIONARY-2'!$A$41,", ",'DICTIONARY-4'!$A$2)</f>
        <v>EROXplus-O Zasuwa wrzec. DN400, WW, max.8mSW, WW</v>
      </c>
      <c r="S720" s="733" t="str">
        <f>'DICTIONARY-4'!$A$2</f>
        <v>WW</v>
      </c>
      <c r="T720" s="732" t="str">
        <f>'DICTIONARY-4'!$A$18</f>
        <v>Wolny wałek</v>
      </c>
      <c r="U720" s="734" t="s">
        <v>5754</v>
      </c>
      <c r="V720" s="735"/>
      <c r="W720" s="736"/>
      <c r="X720" s="737"/>
      <c r="Y720" s="738"/>
      <c r="Z720" s="739">
        <v>1096</v>
      </c>
      <c r="AA720" s="739"/>
      <c r="AB720" s="746">
        <v>0.8</v>
      </c>
      <c r="AC720" s="741"/>
      <c r="AD720" s="741" t="str">
        <f>'DICTIONARY-5'!$A$14</f>
        <v>ścieki</v>
      </c>
      <c r="AE720" s="742">
        <v>50</v>
      </c>
      <c r="AF720" s="743">
        <v>32.880000000000003</v>
      </c>
      <c r="AG720" s="733" t="str">
        <f>'DICTIONARY-5'!$A$27</f>
        <v>pasywacja</v>
      </c>
    </row>
    <row r="721" spans="1:33" x14ac:dyDescent="0.25">
      <c r="A721" s="842" t="s">
        <v>694</v>
      </c>
      <c r="B721" s="842" t="s">
        <v>3286</v>
      </c>
      <c r="C721" s="836">
        <v>2655</v>
      </c>
      <c r="D721" s="836"/>
      <c r="E721" s="836"/>
      <c r="F721" s="836"/>
      <c r="G721" s="496" t="s">
        <v>7800</v>
      </c>
      <c r="H721" s="797" t="str">
        <f>VLOOKUP(G721,SETTINGS!$B$7:$D$97,2,0)</f>
        <v>EROXplus</v>
      </c>
      <c r="I721" s="796">
        <f>VLOOKUP(G721,SETTINGS!$B$7:$D$97,3,0)</f>
        <v>0</v>
      </c>
      <c r="J721" s="670" t="str">
        <f>IFERROR(IF(CURRENCY.FORMAT_1=0,CONCATENATE(TEXT(FIXED(ROUND((C721/EXC.RATE_1),CURRENCY.FORMAT_1),CURRENCY.FORMAT_1,1),"# ##0;-# ##0"),",-"),FIXED(ROUND((C721/EXC.RATE_1),CURRENCY.FORMAT_1),CURRENCY.FORMAT_1,0)),'DICTIONARY-5'!$A$2)</f>
        <v>2 655,-</v>
      </c>
      <c r="K721" s="670" t="str">
        <f>IF(EXC.RATE_2=0,"",IFERROR(IF(CURRENCY.FORMAT_2=0,CONCATENATE(TEXT(FIXED(ROUND(IF(EXC.RATE.SWITCH=1,C721/EXC.RATE_2,C721*EXC.RATE_2),CURRENCY.FORMAT_2),CURRENCY.FORMAT_2,1),"# ##0;-# ##0"),",-"),FIXED(ROUND(IF(EXC.RATE.SWITCH=1,C721/EXC.RATE_2,C721*EXC.RATE_2),CURRENCY.FORMAT_2),CURRENCY.FORMAT_2,0)),'DICTIONARY-5'!$A$2))</f>
        <v/>
      </c>
      <c r="L721" s="670" t="str">
        <f>IFERROR(IF(CURRENCY.FORMAT_1=0,CONCATENATE(TEXT(FIXED(ROUND((C721*(1-I721)*(1-ADD.DISCOUNT)*(1+MAT.SURCHARGE)/EXC.RATE_1),CURRENCY.FORMAT_1),CURRENCY.FORMAT_1,1),"# ##0;-# ##0"),",-"),FIXED(ROUND((C721*(1-I721)*(1-ADD.DISCOUNT)*(1+MAT.SURCHARGE)/EXC.RATE_1),CURRENCY.FORMAT_1),CURRENCY.FORMAT_1,0)),'DICTIONARY-5'!$A$2)</f>
        <v>2 759,-</v>
      </c>
      <c r="M721" s="670" t="str">
        <f>IF(EXC.RATE_2=0,"",IFERROR(IF(CURRENCY.FORMAT_2=0,CONCATENATE(TEXT(FIXED(ROUND(IF(EXC.RATE.SWITCH=1,C721*(1-I721)*(1-ADD.DISCOUNT)*(1+MAT.SURCHARGE)/EXC.RATE_2,C721*(1-I721)*(1-ADD.DISCOUNT)*(1+MAT.SURCHARGE)*EXC.RATE_2),CURRENCY.FORMAT_2),CURRENCY.FORMAT_2,1),"# ##0;-# ##0"),",-"),FIXED(ROUND(IF(EXC.RATE.SWITCH=1,C721*(1-I721)*(1-ADD.DISCOUNT)*(1+MAT.SURCHARGE)/EXC.RATE_2,C721*(1-I721)*(1-ADD.DISCOUNT)*(1+MAT.SURCHARGE)*EXC.RATE_2),CURRENCY.FORMAT_2),CURRENCY.FORMAT_2,0)),'DICTIONARY-5'!$A$2))</f>
        <v/>
      </c>
      <c r="N721" s="544">
        <v>2</v>
      </c>
      <c r="O721" s="544"/>
      <c r="P721" s="731" t="str">
        <f>'DICTIONARY-3'!$A$13</f>
        <v>EROXplus</v>
      </c>
      <c r="Q721" s="732" t="str">
        <f>'DICTIONARY-3'!$A$190</f>
        <v>Zasuwa wrzecionowa</v>
      </c>
      <c r="R721" s="732" t="str">
        <f>CONCATENATE('DICTIONARY-3'!$A$14," ",'DICTIONARY-6'!$A$5," ",'DICTIONARY-2'!$A$2,"500",", ",'DICTIONARY-4'!$A$2,", max.8",'DICTIONARY-2'!$A$41,", ",'DICTIONARY-4'!$A$2)</f>
        <v>EROXplus-O Zasuwa wrzec. DN500, WW, max.8mSW, WW</v>
      </c>
      <c r="S721" s="733" t="str">
        <f>'DICTIONARY-4'!$A$2</f>
        <v>WW</v>
      </c>
      <c r="T721" s="732" t="str">
        <f>'DICTIONARY-4'!$A$18</f>
        <v>Wolny wałek</v>
      </c>
      <c r="U721" s="734" t="s">
        <v>5756</v>
      </c>
      <c r="V721" s="735"/>
      <c r="W721" s="736"/>
      <c r="X721" s="737"/>
      <c r="Y721" s="738"/>
      <c r="Z721" s="739">
        <v>1291</v>
      </c>
      <c r="AA721" s="739"/>
      <c r="AB721" s="746">
        <v>0.8</v>
      </c>
      <c r="AC721" s="741"/>
      <c r="AD721" s="741" t="str">
        <f>'DICTIONARY-5'!$A$14</f>
        <v>ścieki</v>
      </c>
      <c r="AE721" s="742">
        <v>50</v>
      </c>
      <c r="AF721" s="743">
        <v>46</v>
      </c>
      <c r="AG721" s="733" t="str">
        <f>'DICTIONARY-5'!$A$27</f>
        <v>pasywacja</v>
      </c>
    </row>
    <row r="722" spans="1:33" x14ac:dyDescent="0.25">
      <c r="A722" s="842" t="s">
        <v>695</v>
      </c>
      <c r="B722" s="842" t="s">
        <v>3287</v>
      </c>
      <c r="C722" s="836">
        <v>2641</v>
      </c>
      <c r="D722" s="836"/>
      <c r="E722" s="836"/>
      <c r="F722" s="836"/>
      <c r="G722" s="496" t="s">
        <v>7800</v>
      </c>
      <c r="H722" s="797" t="str">
        <f>VLOOKUP(G722,SETTINGS!$B$7:$D$97,2,0)</f>
        <v>EROXplus</v>
      </c>
      <c r="I722" s="796">
        <f>VLOOKUP(G722,SETTINGS!$B$7:$D$97,3,0)</f>
        <v>0</v>
      </c>
      <c r="J722" s="670" t="str">
        <f>IFERROR(IF(CURRENCY.FORMAT_1=0,CONCATENATE(TEXT(FIXED(ROUND((C722/EXC.RATE_1),CURRENCY.FORMAT_1),CURRENCY.FORMAT_1,1),"# ##0;-# ##0"),",-"),FIXED(ROUND((C722/EXC.RATE_1),CURRENCY.FORMAT_1),CURRENCY.FORMAT_1,0)),'DICTIONARY-5'!$A$2)</f>
        <v>2 641,-</v>
      </c>
      <c r="K722" s="670" t="str">
        <f>IF(EXC.RATE_2=0,"",IFERROR(IF(CURRENCY.FORMAT_2=0,CONCATENATE(TEXT(FIXED(ROUND(IF(EXC.RATE.SWITCH=1,C722/EXC.RATE_2,C722*EXC.RATE_2),CURRENCY.FORMAT_2),CURRENCY.FORMAT_2,1),"# ##0;-# ##0"),",-"),FIXED(ROUND(IF(EXC.RATE.SWITCH=1,C722/EXC.RATE_2,C722*EXC.RATE_2),CURRENCY.FORMAT_2),CURRENCY.FORMAT_2,0)),'DICTIONARY-5'!$A$2))</f>
        <v/>
      </c>
      <c r="L722" s="670" t="str">
        <f>IFERROR(IF(CURRENCY.FORMAT_1=0,CONCATENATE(TEXT(FIXED(ROUND((C722*(1-I722)*(1-ADD.DISCOUNT)*(1+MAT.SURCHARGE)/EXC.RATE_1),CURRENCY.FORMAT_1),CURRENCY.FORMAT_1,1),"# ##0;-# ##0"),",-"),FIXED(ROUND((C722*(1-I722)*(1-ADD.DISCOUNT)*(1+MAT.SURCHARGE)/EXC.RATE_1),CURRENCY.FORMAT_1),CURRENCY.FORMAT_1,0)),'DICTIONARY-5'!$A$2)</f>
        <v>2 744,-</v>
      </c>
      <c r="M722" s="670" t="str">
        <f>IF(EXC.RATE_2=0,"",IFERROR(IF(CURRENCY.FORMAT_2=0,CONCATENATE(TEXT(FIXED(ROUND(IF(EXC.RATE.SWITCH=1,C722*(1-I722)*(1-ADD.DISCOUNT)*(1+MAT.SURCHARGE)/EXC.RATE_2,C722*(1-I722)*(1-ADD.DISCOUNT)*(1+MAT.SURCHARGE)*EXC.RATE_2),CURRENCY.FORMAT_2),CURRENCY.FORMAT_2,1),"# ##0;-# ##0"),",-"),FIXED(ROUND(IF(EXC.RATE.SWITCH=1,C722*(1-I722)*(1-ADD.DISCOUNT)*(1+MAT.SURCHARGE)/EXC.RATE_2,C722*(1-I722)*(1-ADD.DISCOUNT)*(1+MAT.SURCHARGE)*EXC.RATE_2),CURRENCY.FORMAT_2),CURRENCY.FORMAT_2,0)),'DICTIONARY-5'!$A$2))</f>
        <v/>
      </c>
      <c r="N722" s="544">
        <v>2</v>
      </c>
      <c r="O722" s="544"/>
      <c r="P722" s="731" t="str">
        <f>'DICTIONARY-3'!$A$13</f>
        <v>EROXplus</v>
      </c>
      <c r="Q722" s="732" t="str">
        <f>'DICTIONARY-3'!$A$190</f>
        <v>Zasuwa wrzecionowa</v>
      </c>
      <c r="R722" s="732" t="str">
        <f>CONCATENATE('DICTIONARY-3'!$A$14," ",'DICTIONARY-6'!$A$5," ",'DICTIONARY-2'!$A$2,"600",", ",'DICTIONARY-4'!$A$2,", max.8",'DICTIONARY-2'!$A$41,", ",'DICTIONARY-4'!$A$2)</f>
        <v>EROXplus-O Zasuwa wrzec. DN600, WW, max.8mSW, WW</v>
      </c>
      <c r="S722" s="733" t="str">
        <f>'DICTIONARY-4'!$A$2</f>
        <v>WW</v>
      </c>
      <c r="T722" s="732" t="str">
        <f>'DICTIONARY-4'!$A$18</f>
        <v>Wolny wałek</v>
      </c>
      <c r="U722" s="734" t="s">
        <v>5757</v>
      </c>
      <c r="V722" s="735"/>
      <c r="W722" s="736"/>
      <c r="X722" s="737"/>
      <c r="Y722" s="738"/>
      <c r="Z722" s="739">
        <v>1486</v>
      </c>
      <c r="AA722" s="739"/>
      <c r="AB722" s="746">
        <v>0.8</v>
      </c>
      <c r="AC722" s="741"/>
      <c r="AD722" s="741" t="str">
        <f>'DICTIONARY-5'!$A$14</f>
        <v>ścieki</v>
      </c>
      <c r="AE722" s="742">
        <v>50</v>
      </c>
      <c r="AF722" s="743">
        <v>55</v>
      </c>
      <c r="AG722" s="733" t="str">
        <f>'DICTIONARY-5'!$A$27</f>
        <v>pasywacja</v>
      </c>
    </row>
    <row r="723" spans="1:33" x14ac:dyDescent="0.25">
      <c r="A723" s="842" t="s">
        <v>696</v>
      </c>
      <c r="B723" s="842" t="s">
        <v>3288</v>
      </c>
      <c r="C723" s="836">
        <v>3943</v>
      </c>
      <c r="D723" s="836"/>
      <c r="E723" s="836"/>
      <c r="F723" s="836"/>
      <c r="G723" s="496" t="s">
        <v>7800</v>
      </c>
      <c r="H723" s="797" t="str">
        <f>VLOOKUP(G723,SETTINGS!$B$7:$D$97,2,0)</f>
        <v>EROXplus</v>
      </c>
      <c r="I723" s="796">
        <f>VLOOKUP(G723,SETTINGS!$B$7:$D$97,3,0)</f>
        <v>0</v>
      </c>
      <c r="J723" s="670" t="str">
        <f>IFERROR(IF(CURRENCY.FORMAT_1=0,CONCATENATE(TEXT(FIXED(ROUND((C723/EXC.RATE_1),CURRENCY.FORMAT_1),CURRENCY.FORMAT_1,1),"# ##0;-# ##0"),",-"),FIXED(ROUND((C723/EXC.RATE_1),CURRENCY.FORMAT_1),CURRENCY.FORMAT_1,0)),'DICTIONARY-5'!$A$2)</f>
        <v>3 943,-</v>
      </c>
      <c r="K723" s="670" t="str">
        <f>IF(EXC.RATE_2=0,"",IFERROR(IF(CURRENCY.FORMAT_2=0,CONCATENATE(TEXT(FIXED(ROUND(IF(EXC.RATE.SWITCH=1,C723/EXC.RATE_2,C723*EXC.RATE_2),CURRENCY.FORMAT_2),CURRENCY.FORMAT_2,1),"# ##0;-# ##0"),",-"),FIXED(ROUND(IF(EXC.RATE.SWITCH=1,C723/EXC.RATE_2,C723*EXC.RATE_2),CURRENCY.FORMAT_2),CURRENCY.FORMAT_2,0)),'DICTIONARY-5'!$A$2))</f>
        <v/>
      </c>
      <c r="L723" s="670" t="str">
        <f>IFERROR(IF(CURRENCY.FORMAT_1=0,CONCATENATE(TEXT(FIXED(ROUND((C723*(1-I723)*(1-ADD.DISCOUNT)*(1+MAT.SURCHARGE)/EXC.RATE_1),CURRENCY.FORMAT_1),CURRENCY.FORMAT_1,1),"# ##0;-# ##0"),",-"),FIXED(ROUND((C723*(1-I723)*(1-ADD.DISCOUNT)*(1+MAT.SURCHARGE)/EXC.RATE_1),CURRENCY.FORMAT_1),CURRENCY.FORMAT_1,0)),'DICTIONARY-5'!$A$2)</f>
        <v>4 097,-</v>
      </c>
      <c r="M723" s="670" t="str">
        <f>IF(EXC.RATE_2=0,"",IFERROR(IF(CURRENCY.FORMAT_2=0,CONCATENATE(TEXT(FIXED(ROUND(IF(EXC.RATE.SWITCH=1,C723*(1-I723)*(1-ADD.DISCOUNT)*(1+MAT.SURCHARGE)/EXC.RATE_2,C723*(1-I723)*(1-ADD.DISCOUNT)*(1+MAT.SURCHARGE)*EXC.RATE_2),CURRENCY.FORMAT_2),CURRENCY.FORMAT_2,1),"# ##0;-# ##0"),",-"),FIXED(ROUND(IF(EXC.RATE.SWITCH=1,C723*(1-I723)*(1-ADD.DISCOUNT)*(1+MAT.SURCHARGE)/EXC.RATE_2,C723*(1-I723)*(1-ADD.DISCOUNT)*(1+MAT.SURCHARGE)*EXC.RATE_2),CURRENCY.FORMAT_2),CURRENCY.FORMAT_2,0)),'DICTIONARY-5'!$A$2))</f>
        <v/>
      </c>
      <c r="N723" s="544">
        <v>2</v>
      </c>
      <c r="O723" s="544"/>
      <c r="P723" s="731" t="str">
        <f>'DICTIONARY-3'!$A$13</f>
        <v>EROXplus</v>
      </c>
      <c r="Q723" s="732" t="str">
        <f>'DICTIONARY-3'!$A$190</f>
        <v>Zasuwa wrzecionowa</v>
      </c>
      <c r="R723" s="732" t="str">
        <f>CONCATENATE('DICTIONARY-3'!$A$14," ",'DICTIONARY-6'!$A$5," ",'DICTIONARY-2'!$A$2,"700",", ",'DICTIONARY-4'!$A$2,", max.8",'DICTIONARY-2'!$A$41,", ",'DICTIONARY-4'!$A$2)</f>
        <v>EROXplus-O Zasuwa wrzec. DN700, WW, max.8mSW, WW</v>
      </c>
      <c r="S723" s="733" t="str">
        <f>'DICTIONARY-4'!$A$2</f>
        <v>WW</v>
      </c>
      <c r="T723" s="732" t="str">
        <f>'DICTIONARY-4'!$A$18</f>
        <v>Wolny wałek</v>
      </c>
      <c r="U723" s="734" t="s">
        <v>5834</v>
      </c>
      <c r="V723" s="735"/>
      <c r="W723" s="736"/>
      <c r="X723" s="737"/>
      <c r="Y723" s="738"/>
      <c r="Z723" s="739">
        <v>1720</v>
      </c>
      <c r="AA723" s="739"/>
      <c r="AB723" s="746">
        <v>0.8</v>
      </c>
      <c r="AC723" s="741"/>
      <c r="AD723" s="741" t="str">
        <f>'DICTIONARY-5'!$A$14</f>
        <v>ścieki</v>
      </c>
      <c r="AE723" s="742">
        <v>50</v>
      </c>
      <c r="AF723" s="743">
        <v>89.68</v>
      </c>
      <c r="AG723" s="733" t="str">
        <f>'DICTIONARY-5'!$A$27</f>
        <v>pasywacja</v>
      </c>
    </row>
    <row r="724" spans="1:33" x14ac:dyDescent="0.25">
      <c r="A724" s="842" t="s">
        <v>697</v>
      </c>
      <c r="B724" s="842" t="s">
        <v>3289</v>
      </c>
      <c r="C724" s="836">
        <v>4624</v>
      </c>
      <c r="D724" s="836"/>
      <c r="E724" s="836"/>
      <c r="F724" s="836"/>
      <c r="G724" s="496" t="s">
        <v>7800</v>
      </c>
      <c r="H724" s="797" t="str">
        <f>VLOOKUP(G724,SETTINGS!$B$7:$D$97,2,0)</f>
        <v>EROXplus</v>
      </c>
      <c r="I724" s="796">
        <f>VLOOKUP(G724,SETTINGS!$B$7:$D$97,3,0)</f>
        <v>0</v>
      </c>
      <c r="J724" s="670" t="str">
        <f>IFERROR(IF(CURRENCY.FORMAT_1=0,CONCATENATE(TEXT(FIXED(ROUND((C724/EXC.RATE_1),CURRENCY.FORMAT_1),CURRENCY.FORMAT_1,1),"# ##0;-# ##0"),",-"),FIXED(ROUND((C724/EXC.RATE_1),CURRENCY.FORMAT_1),CURRENCY.FORMAT_1,0)),'DICTIONARY-5'!$A$2)</f>
        <v>4 624,-</v>
      </c>
      <c r="K724" s="670" t="str">
        <f>IF(EXC.RATE_2=0,"",IFERROR(IF(CURRENCY.FORMAT_2=0,CONCATENATE(TEXT(FIXED(ROUND(IF(EXC.RATE.SWITCH=1,C724/EXC.RATE_2,C724*EXC.RATE_2),CURRENCY.FORMAT_2),CURRENCY.FORMAT_2,1),"# ##0;-# ##0"),",-"),FIXED(ROUND(IF(EXC.RATE.SWITCH=1,C724/EXC.RATE_2,C724*EXC.RATE_2),CURRENCY.FORMAT_2),CURRENCY.FORMAT_2,0)),'DICTIONARY-5'!$A$2))</f>
        <v/>
      </c>
      <c r="L724" s="670" t="str">
        <f>IFERROR(IF(CURRENCY.FORMAT_1=0,CONCATENATE(TEXT(FIXED(ROUND((C724*(1-I724)*(1-ADD.DISCOUNT)*(1+MAT.SURCHARGE)/EXC.RATE_1),CURRENCY.FORMAT_1),CURRENCY.FORMAT_1,1),"# ##0;-# ##0"),",-"),FIXED(ROUND((C724*(1-I724)*(1-ADD.DISCOUNT)*(1+MAT.SURCHARGE)/EXC.RATE_1),CURRENCY.FORMAT_1),CURRENCY.FORMAT_1,0)),'DICTIONARY-5'!$A$2)</f>
        <v>4 804,-</v>
      </c>
      <c r="M724" s="670" t="str">
        <f>IF(EXC.RATE_2=0,"",IFERROR(IF(CURRENCY.FORMAT_2=0,CONCATENATE(TEXT(FIXED(ROUND(IF(EXC.RATE.SWITCH=1,C724*(1-I724)*(1-ADD.DISCOUNT)*(1+MAT.SURCHARGE)/EXC.RATE_2,C724*(1-I724)*(1-ADD.DISCOUNT)*(1+MAT.SURCHARGE)*EXC.RATE_2),CURRENCY.FORMAT_2),CURRENCY.FORMAT_2,1),"# ##0;-# ##0"),",-"),FIXED(ROUND(IF(EXC.RATE.SWITCH=1,C724*(1-I724)*(1-ADD.DISCOUNT)*(1+MAT.SURCHARGE)/EXC.RATE_2,C724*(1-I724)*(1-ADD.DISCOUNT)*(1+MAT.SURCHARGE)*EXC.RATE_2),CURRENCY.FORMAT_2),CURRENCY.FORMAT_2,0)),'DICTIONARY-5'!$A$2))</f>
        <v/>
      </c>
      <c r="N724" s="544">
        <v>2</v>
      </c>
      <c r="O724" s="544"/>
      <c r="P724" s="731" t="str">
        <f>'DICTIONARY-3'!$A$13</f>
        <v>EROXplus</v>
      </c>
      <c r="Q724" s="732" t="str">
        <f>'DICTIONARY-3'!$A$190</f>
        <v>Zasuwa wrzecionowa</v>
      </c>
      <c r="R724" s="732" t="str">
        <f>CONCATENATE('DICTIONARY-3'!$A$14," ",'DICTIONARY-6'!$A$5," ",'DICTIONARY-2'!$A$2,"800",", ",'DICTIONARY-4'!$A$2,", max.8",'DICTIONARY-2'!$A$41,", ",'DICTIONARY-4'!$A$2)</f>
        <v>EROXplus-O Zasuwa wrzec. DN800, WW, max.8mSW, WW</v>
      </c>
      <c r="S724" s="733" t="str">
        <f>'DICTIONARY-4'!$A$2</f>
        <v>WW</v>
      </c>
      <c r="T724" s="732" t="str">
        <f>'DICTIONARY-4'!$A$18</f>
        <v>Wolny wałek</v>
      </c>
      <c r="U724" s="734" t="s">
        <v>5835</v>
      </c>
      <c r="V724" s="735"/>
      <c r="W724" s="736"/>
      <c r="X724" s="737"/>
      <c r="Y724" s="738"/>
      <c r="Z724" s="739">
        <v>1920</v>
      </c>
      <c r="AA724" s="739"/>
      <c r="AB724" s="746">
        <v>0.8</v>
      </c>
      <c r="AC724" s="741"/>
      <c r="AD724" s="741" t="str">
        <f>'DICTIONARY-5'!$A$14</f>
        <v>ścieki</v>
      </c>
      <c r="AE724" s="742">
        <v>50</v>
      </c>
      <c r="AF724" s="743">
        <v>106.7</v>
      </c>
      <c r="AG724" s="733" t="str">
        <f>'DICTIONARY-5'!$A$27</f>
        <v>pasywacja</v>
      </c>
    </row>
    <row r="725" spans="1:33" x14ac:dyDescent="0.25">
      <c r="A725" s="842" t="s">
        <v>698</v>
      </c>
      <c r="B725" s="842" t="s">
        <v>3290</v>
      </c>
      <c r="C725" s="836">
        <v>5080</v>
      </c>
      <c r="D725" s="836"/>
      <c r="E725" s="836"/>
      <c r="F725" s="836"/>
      <c r="G725" s="496" t="s">
        <v>7800</v>
      </c>
      <c r="H725" s="797" t="str">
        <f>VLOOKUP(G725,SETTINGS!$B$7:$D$97,2,0)</f>
        <v>EROXplus</v>
      </c>
      <c r="I725" s="796">
        <f>VLOOKUP(G725,SETTINGS!$B$7:$D$97,3,0)</f>
        <v>0</v>
      </c>
      <c r="J725" s="670" t="str">
        <f>IFERROR(IF(CURRENCY.FORMAT_1=0,CONCATENATE(TEXT(FIXED(ROUND((C725/EXC.RATE_1),CURRENCY.FORMAT_1),CURRENCY.FORMAT_1,1),"# ##0;-# ##0"),",-"),FIXED(ROUND((C725/EXC.RATE_1),CURRENCY.FORMAT_1),CURRENCY.FORMAT_1,0)),'DICTIONARY-5'!$A$2)</f>
        <v>5 080,-</v>
      </c>
      <c r="K725" s="670" t="str">
        <f>IF(EXC.RATE_2=0,"",IFERROR(IF(CURRENCY.FORMAT_2=0,CONCATENATE(TEXT(FIXED(ROUND(IF(EXC.RATE.SWITCH=1,C725/EXC.RATE_2,C725*EXC.RATE_2),CURRENCY.FORMAT_2),CURRENCY.FORMAT_2,1),"# ##0;-# ##0"),",-"),FIXED(ROUND(IF(EXC.RATE.SWITCH=1,C725/EXC.RATE_2,C725*EXC.RATE_2),CURRENCY.FORMAT_2),CURRENCY.FORMAT_2,0)),'DICTIONARY-5'!$A$2))</f>
        <v/>
      </c>
      <c r="L725" s="670" t="str">
        <f>IFERROR(IF(CURRENCY.FORMAT_1=0,CONCATENATE(TEXT(FIXED(ROUND((C725*(1-I725)*(1-ADD.DISCOUNT)*(1+MAT.SURCHARGE)/EXC.RATE_1),CURRENCY.FORMAT_1),CURRENCY.FORMAT_1,1),"# ##0;-# ##0"),",-"),FIXED(ROUND((C725*(1-I725)*(1-ADD.DISCOUNT)*(1+MAT.SURCHARGE)/EXC.RATE_1),CURRENCY.FORMAT_1),CURRENCY.FORMAT_1,0)),'DICTIONARY-5'!$A$2)</f>
        <v>5 278,-</v>
      </c>
      <c r="M725" s="670" t="str">
        <f>IF(EXC.RATE_2=0,"",IFERROR(IF(CURRENCY.FORMAT_2=0,CONCATENATE(TEXT(FIXED(ROUND(IF(EXC.RATE.SWITCH=1,C725*(1-I725)*(1-ADD.DISCOUNT)*(1+MAT.SURCHARGE)/EXC.RATE_2,C725*(1-I725)*(1-ADD.DISCOUNT)*(1+MAT.SURCHARGE)*EXC.RATE_2),CURRENCY.FORMAT_2),CURRENCY.FORMAT_2,1),"# ##0;-# ##0"),",-"),FIXED(ROUND(IF(EXC.RATE.SWITCH=1,C725*(1-I725)*(1-ADD.DISCOUNT)*(1+MAT.SURCHARGE)/EXC.RATE_2,C725*(1-I725)*(1-ADD.DISCOUNT)*(1+MAT.SURCHARGE)*EXC.RATE_2),CURRENCY.FORMAT_2),CURRENCY.FORMAT_2,0)),'DICTIONARY-5'!$A$2))</f>
        <v/>
      </c>
      <c r="N725" s="544">
        <v>2</v>
      </c>
      <c r="O725" s="544"/>
      <c r="P725" s="731" t="str">
        <f>'DICTIONARY-3'!$A$13</f>
        <v>EROXplus</v>
      </c>
      <c r="Q725" s="732" t="str">
        <f>'DICTIONARY-3'!$A$190</f>
        <v>Zasuwa wrzecionowa</v>
      </c>
      <c r="R725" s="732" t="str">
        <f>CONCATENATE('DICTIONARY-3'!$A$14," ",'DICTIONARY-6'!$A$5," ",'DICTIONARY-2'!$A$2,"900",", ",'DICTIONARY-4'!$A$2,", max.6",'DICTIONARY-2'!$A$41,", ",'DICTIONARY-4'!$A$2)</f>
        <v>EROXplus-O Zasuwa wrzec. DN900, WW, max.6mSW, WW</v>
      </c>
      <c r="S725" s="733" t="str">
        <f>'DICTIONARY-4'!$A$2</f>
        <v>WW</v>
      </c>
      <c r="T725" s="732" t="str">
        <f>'DICTIONARY-4'!$A$18</f>
        <v>Wolny wałek</v>
      </c>
      <c r="U725" s="734" t="s">
        <v>5837</v>
      </c>
      <c r="V725" s="735"/>
      <c r="W725" s="736"/>
      <c r="X725" s="737"/>
      <c r="Y725" s="738"/>
      <c r="Z725" s="739">
        <v>2120</v>
      </c>
      <c r="AA725" s="739"/>
      <c r="AB725" s="746">
        <v>0.6</v>
      </c>
      <c r="AC725" s="741"/>
      <c r="AD725" s="741" t="str">
        <f>'DICTIONARY-5'!$A$14</f>
        <v>ścieki</v>
      </c>
      <c r="AE725" s="742">
        <v>50</v>
      </c>
      <c r="AF725" s="743">
        <v>129.28</v>
      </c>
      <c r="AG725" s="733" t="str">
        <f>'DICTIONARY-5'!$A$27</f>
        <v>pasywacja</v>
      </c>
    </row>
    <row r="726" spans="1:33" x14ac:dyDescent="0.25">
      <c r="A726" s="842" t="s">
        <v>699</v>
      </c>
      <c r="B726" s="842" t="s">
        <v>3291</v>
      </c>
      <c r="C726" s="836">
        <v>5357</v>
      </c>
      <c r="D726" s="836"/>
      <c r="E726" s="836"/>
      <c r="F726" s="836"/>
      <c r="G726" s="496" t="s">
        <v>7800</v>
      </c>
      <c r="H726" s="797" t="str">
        <f>VLOOKUP(G726,SETTINGS!$B$7:$D$97,2,0)</f>
        <v>EROXplus</v>
      </c>
      <c r="I726" s="796">
        <f>VLOOKUP(G726,SETTINGS!$B$7:$D$97,3,0)</f>
        <v>0</v>
      </c>
      <c r="J726" s="670" t="str">
        <f>IFERROR(IF(CURRENCY.FORMAT_1=0,CONCATENATE(TEXT(FIXED(ROUND((C726/EXC.RATE_1),CURRENCY.FORMAT_1),CURRENCY.FORMAT_1,1),"# ##0;-# ##0"),",-"),FIXED(ROUND((C726/EXC.RATE_1),CURRENCY.FORMAT_1),CURRENCY.FORMAT_1,0)),'DICTIONARY-5'!$A$2)</f>
        <v>5 357,-</v>
      </c>
      <c r="K726" s="670" t="str">
        <f>IF(EXC.RATE_2=0,"",IFERROR(IF(CURRENCY.FORMAT_2=0,CONCATENATE(TEXT(FIXED(ROUND(IF(EXC.RATE.SWITCH=1,C726/EXC.RATE_2,C726*EXC.RATE_2),CURRENCY.FORMAT_2),CURRENCY.FORMAT_2,1),"# ##0;-# ##0"),",-"),FIXED(ROUND(IF(EXC.RATE.SWITCH=1,C726/EXC.RATE_2,C726*EXC.RATE_2),CURRENCY.FORMAT_2),CURRENCY.FORMAT_2,0)),'DICTIONARY-5'!$A$2))</f>
        <v/>
      </c>
      <c r="L726" s="670" t="str">
        <f>IFERROR(IF(CURRENCY.FORMAT_1=0,CONCATENATE(TEXT(FIXED(ROUND((C726*(1-I726)*(1-ADD.DISCOUNT)*(1+MAT.SURCHARGE)/EXC.RATE_1),CURRENCY.FORMAT_1),CURRENCY.FORMAT_1,1),"# ##0;-# ##0"),",-"),FIXED(ROUND((C726*(1-I726)*(1-ADD.DISCOUNT)*(1+MAT.SURCHARGE)/EXC.RATE_1),CURRENCY.FORMAT_1),CURRENCY.FORMAT_1,0)),'DICTIONARY-5'!$A$2)</f>
        <v>5 566,-</v>
      </c>
      <c r="M726" s="670" t="str">
        <f>IF(EXC.RATE_2=0,"",IFERROR(IF(CURRENCY.FORMAT_2=0,CONCATENATE(TEXT(FIXED(ROUND(IF(EXC.RATE.SWITCH=1,C726*(1-I726)*(1-ADD.DISCOUNT)*(1+MAT.SURCHARGE)/EXC.RATE_2,C726*(1-I726)*(1-ADD.DISCOUNT)*(1+MAT.SURCHARGE)*EXC.RATE_2),CURRENCY.FORMAT_2),CURRENCY.FORMAT_2,1),"# ##0;-# ##0"),",-"),FIXED(ROUND(IF(EXC.RATE.SWITCH=1,C726*(1-I726)*(1-ADD.DISCOUNT)*(1+MAT.SURCHARGE)/EXC.RATE_2,C726*(1-I726)*(1-ADD.DISCOUNT)*(1+MAT.SURCHARGE)*EXC.RATE_2),CURRENCY.FORMAT_2),CURRENCY.FORMAT_2,0)),'DICTIONARY-5'!$A$2))</f>
        <v/>
      </c>
      <c r="N726" s="544">
        <v>2</v>
      </c>
      <c r="O726" s="544"/>
      <c r="P726" s="731" t="str">
        <f>'DICTIONARY-3'!$A$13</f>
        <v>EROXplus</v>
      </c>
      <c r="Q726" s="732" t="str">
        <f>'DICTIONARY-3'!$A$190</f>
        <v>Zasuwa wrzecionowa</v>
      </c>
      <c r="R726" s="732" t="str">
        <f>CONCATENATE('DICTIONARY-3'!$A$14," ",'DICTIONARY-6'!$A$5," ",'DICTIONARY-2'!$A$2,"1000",", ",'DICTIONARY-4'!$A$2,", max.6",'DICTIONARY-2'!$A$41,", ",'DICTIONARY-4'!$A$2)</f>
        <v>EROXplus-O Zasuwa wrzec. DN1000, WW, max.6mSW, WW</v>
      </c>
      <c r="S726" s="733" t="str">
        <f>'DICTIONARY-4'!$A$2</f>
        <v>WW</v>
      </c>
      <c r="T726" s="732" t="str">
        <f>'DICTIONARY-4'!$A$18</f>
        <v>Wolny wałek</v>
      </c>
      <c r="U726" s="734" t="s">
        <v>5836</v>
      </c>
      <c r="V726" s="735"/>
      <c r="W726" s="736"/>
      <c r="X726" s="737"/>
      <c r="Y726" s="738"/>
      <c r="Z726" s="739">
        <v>2320</v>
      </c>
      <c r="AA726" s="739"/>
      <c r="AB726" s="746">
        <v>0.6</v>
      </c>
      <c r="AC726" s="741"/>
      <c r="AD726" s="741" t="str">
        <f>'DICTIONARY-5'!$A$14</f>
        <v>ścieki</v>
      </c>
      <c r="AE726" s="742">
        <v>50</v>
      </c>
      <c r="AF726" s="743">
        <v>141</v>
      </c>
      <c r="AG726" s="733" t="str">
        <f>'DICTIONARY-5'!$A$27</f>
        <v>pasywacja</v>
      </c>
    </row>
    <row r="727" spans="1:33" x14ac:dyDescent="0.25">
      <c r="A727" s="842" t="s">
        <v>700</v>
      </c>
      <c r="B727" s="842" t="s">
        <v>3292</v>
      </c>
      <c r="C727" s="836">
        <v>6809</v>
      </c>
      <c r="D727" s="836"/>
      <c r="E727" s="836"/>
      <c r="F727" s="836"/>
      <c r="G727" s="496" t="s">
        <v>7800</v>
      </c>
      <c r="H727" s="797" t="str">
        <f>VLOOKUP(G727,SETTINGS!$B$7:$D$97,2,0)</f>
        <v>EROXplus</v>
      </c>
      <c r="I727" s="796">
        <f>VLOOKUP(G727,SETTINGS!$B$7:$D$97,3,0)</f>
        <v>0</v>
      </c>
      <c r="J727" s="670" t="str">
        <f>IFERROR(IF(CURRENCY.FORMAT_1=0,CONCATENATE(TEXT(FIXED(ROUND((C727/EXC.RATE_1),CURRENCY.FORMAT_1),CURRENCY.FORMAT_1,1),"# ##0;-# ##0"),",-"),FIXED(ROUND((C727/EXC.RATE_1),CURRENCY.FORMAT_1),CURRENCY.FORMAT_1,0)),'DICTIONARY-5'!$A$2)</f>
        <v>6 809,-</v>
      </c>
      <c r="K727" s="670" t="str">
        <f>IF(EXC.RATE_2=0,"",IFERROR(IF(CURRENCY.FORMAT_2=0,CONCATENATE(TEXT(FIXED(ROUND(IF(EXC.RATE.SWITCH=1,C727/EXC.RATE_2,C727*EXC.RATE_2),CURRENCY.FORMAT_2),CURRENCY.FORMAT_2,1),"# ##0;-# ##0"),",-"),FIXED(ROUND(IF(EXC.RATE.SWITCH=1,C727/EXC.RATE_2,C727*EXC.RATE_2),CURRENCY.FORMAT_2),CURRENCY.FORMAT_2,0)),'DICTIONARY-5'!$A$2))</f>
        <v/>
      </c>
      <c r="L727" s="670" t="str">
        <f>IFERROR(IF(CURRENCY.FORMAT_1=0,CONCATENATE(TEXT(FIXED(ROUND((C727*(1-I727)*(1-ADD.DISCOUNT)*(1+MAT.SURCHARGE)/EXC.RATE_1),CURRENCY.FORMAT_1),CURRENCY.FORMAT_1,1),"# ##0;-# ##0"),",-"),FIXED(ROUND((C727*(1-I727)*(1-ADD.DISCOUNT)*(1+MAT.SURCHARGE)/EXC.RATE_1),CURRENCY.FORMAT_1),CURRENCY.FORMAT_1,0)),'DICTIONARY-5'!$A$2)</f>
        <v>7 075,-</v>
      </c>
      <c r="M727" s="670" t="str">
        <f>IF(EXC.RATE_2=0,"",IFERROR(IF(CURRENCY.FORMAT_2=0,CONCATENATE(TEXT(FIXED(ROUND(IF(EXC.RATE.SWITCH=1,C727*(1-I727)*(1-ADD.DISCOUNT)*(1+MAT.SURCHARGE)/EXC.RATE_2,C727*(1-I727)*(1-ADD.DISCOUNT)*(1+MAT.SURCHARGE)*EXC.RATE_2),CURRENCY.FORMAT_2),CURRENCY.FORMAT_2,1),"# ##0;-# ##0"),",-"),FIXED(ROUND(IF(EXC.RATE.SWITCH=1,C727*(1-I727)*(1-ADD.DISCOUNT)*(1+MAT.SURCHARGE)/EXC.RATE_2,C727*(1-I727)*(1-ADD.DISCOUNT)*(1+MAT.SURCHARGE)*EXC.RATE_2),CURRENCY.FORMAT_2),CURRENCY.FORMAT_2,0)),'DICTIONARY-5'!$A$2))</f>
        <v/>
      </c>
      <c r="N727" s="544">
        <v>2</v>
      </c>
      <c r="O727" s="544"/>
      <c r="P727" s="731" t="str">
        <f>'DICTIONARY-3'!$A$13</f>
        <v>EROXplus</v>
      </c>
      <c r="Q727" s="732" t="str">
        <f>'DICTIONARY-3'!$A$190</f>
        <v>Zasuwa wrzecionowa</v>
      </c>
      <c r="R727" s="732" t="str">
        <f>CONCATENATE('DICTIONARY-3'!$A$14," ",'DICTIONARY-6'!$A$5," ",'DICTIONARY-2'!$A$2,"1200",", ",'DICTIONARY-4'!$A$2,", max.6",'DICTIONARY-2'!$A$41,", ",'DICTIONARY-4'!$A$2)</f>
        <v>EROXplus-O Zasuwa wrzec. DN1200, WW, max.6mSW, WW</v>
      </c>
      <c r="S727" s="733" t="str">
        <f>'DICTIONARY-4'!$A$2</f>
        <v>WW</v>
      </c>
      <c r="T727" s="732" t="str">
        <f>'DICTIONARY-4'!$A$18</f>
        <v>Wolny wałek</v>
      </c>
      <c r="U727" s="734" t="s">
        <v>5838</v>
      </c>
      <c r="V727" s="735"/>
      <c r="W727" s="736"/>
      <c r="X727" s="737"/>
      <c r="Y727" s="738"/>
      <c r="Z727" s="739">
        <v>2720</v>
      </c>
      <c r="AA727" s="739"/>
      <c r="AB727" s="746">
        <v>0.6</v>
      </c>
      <c r="AC727" s="741"/>
      <c r="AD727" s="741" t="str">
        <f>'DICTIONARY-5'!$A$14</f>
        <v>ścieki</v>
      </c>
      <c r="AE727" s="742">
        <v>50</v>
      </c>
      <c r="AF727" s="743">
        <v>190.98</v>
      </c>
      <c r="AG727" s="733" t="str">
        <f>'DICTIONARY-5'!$A$27</f>
        <v>pasywacja</v>
      </c>
    </row>
    <row r="728" spans="1:33" x14ac:dyDescent="0.25">
      <c r="A728" s="842" t="s">
        <v>701</v>
      </c>
      <c r="B728" s="842" t="s">
        <v>3293</v>
      </c>
      <c r="C728" s="836" t="s">
        <v>5967</v>
      </c>
      <c r="D728" s="836"/>
      <c r="E728" s="836"/>
      <c r="F728" s="836"/>
      <c r="G728" s="496" t="s">
        <v>7800</v>
      </c>
      <c r="H728" s="797" t="str">
        <f>VLOOKUP(G728,SETTINGS!$B$7:$D$97,2,0)</f>
        <v>EROXplus</v>
      </c>
      <c r="I728" s="796">
        <f>VLOOKUP(G728,SETTINGS!$B$7:$D$97,3,0)</f>
        <v>0</v>
      </c>
      <c r="J728" s="670" t="str">
        <f>IFERROR(IF(CURRENCY.FORMAT_1=0,CONCATENATE(TEXT(FIXED(ROUND((C728/EXC.RATE_1),CURRENCY.FORMAT_1),CURRENCY.FORMAT_1,1),"# ##0;-# ##0"),",-"),FIXED(ROUND((C728/EXC.RATE_1),CURRENCY.FORMAT_1),CURRENCY.FORMAT_1,0)),'DICTIONARY-5'!$A$2)</f>
        <v>na zapytanie</v>
      </c>
      <c r="K728" s="670" t="str">
        <f>IF(EXC.RATE_2=0,"",IFERROR(IF(CURRENCY.FORMAT_2=0,CONCATENATE(TEXT(FIXED(ROUND(IF(EXC.RATE.SWITCH=1,C728/EXC.RATE_2,C728*EXC.RATE_2),CURRENCY.FORMAT_2),CURRENCY.FORMAT_2,1),"# ##0;-# ##0"),",-"),FIXED(ROUND(IF(EXC.RATE.SWITCH=1,C728/EXC.RATE_2,C728*EXC.RATE_2),CURRENCY.FORMAT_2),CURRENCY.FORMAT_2,0)),'DICTIONARY-5'!$A$2))</f>
        <v/>
      </c>
      <c r="L728" s="670" t="str">
        <f>IFERROR(IF(CURRENCY.FORMAT_1=0,CONCATENATE(TEXT(FIXED(ROUND((C728*(1-I728)*(1-ADD.DISCOUNT)*(1+MAT.SURCHARGE)/EXC.RATE_1),CURRENCY.FORMAT_1),CURRENCY.FORMAT_1,1),"# ##0;-# ##0"),",-"),FIXED(ROUND((C728*(1-I728)*(1-ADD.DISCOUNT)*(1+MAT.SURCHARGE)/EXC.RATE_1),CURRENCY.FORMAT_1),CURRENCY.FORMAT_1,0)),'DICTIONARY-5'!$A$2)</f>
        <v>na zapytanie</v>
      </c>
      <c r="M728" s="670" t="str">
        <f>IF(EXC.RATE_2=0,"",IFERROR(IF(CURRENCY.FORMAT_2=0,CONCATENATE(TEXT(FIXED(ROUND(IF(EXC.RATE.SWITCH=1,C728*(1-I728)*(1-ADD.DISCOUNT)*(1+MAT.SURCHARGE)/EXC.RATE_2,C728*(1-I728)*(1-ADD.DISCOUNT)*(1+MAT.SURCHARGE)*EXC.RATE_2),CURRENCY.FORMAT_2),CURRENCY.FORMAT_2,1),"# ##0;-# ##0"),",-"),FIXED(ROUND(IF(EXC.RATE.SWITCH=1,C728*(1-I728)*(1-ADD.DISCOUNT)*(1+MAT.SURCHARGE)/EXC.RATE_2,C728*(1-I728)*(1-ADD.DISCOUNT)*(1+MAT.SURCHARGE)*EXC.RATE_2),CURRENCY.FORMAT_2),CURRENCY.FORMAT_2,0)),'DICTIONARY-5'!$A$2))</f>
        <v/>
      </c>
      <c r="N728" s="544">
        <v>2</v>
      </c>
      <c r="O728" s="544"/>
      <c r="P728" s="731" t="str">
        <f>'DICTIONARY-3'!$A$13</f>
        <v>EROXplus</v>
      </c>
      <c r="Q728" s="732" t="str">
        <f>'DICTIONARY-3'!$A$190</f>
        <v>Zasuwa wrzecionowa</v>
      </c>
      <c r="R728" s="732" t="str">
        <f>CONCATENATE('DICTIONARY-3'!$A$14," ",'DICTIONARY-6'!$A$5," ",'DICTIONARY-2'!$A$2,"1400",", ",'DICTIONARY-4'!$A$2,", max.6",'DICTIONARY-2'!$A$41,", ",'DICTIONARY-4'!$A$2)</f>
        <v>EROXplus-O Zasuwa wrzec. DN1400, WW, max.6mSW, WW</v>
      </c>
      <c r="S728" s="733" t="str">
        <f>'DICTIONARY-4'!$A$2</f>
        <v>WW</v>
      </c>
      <c r="T728" s="732" t="str">
        <f>'DICTIONARY-4'!$A$18</f>
        <v>Wolny wałek</v>
      </c>
      <c r="U728" s="734" t="s">
        <v>5839</v>
      </c>
      <c r="V728" s="735"/>
      <c r="W728" s="736"/>
      <c r="X728" s="737"/>
      <c r="Y728" s="738"/>
      <c r="Z728" s="739">
        <v>3280</v>
      </c>
      <c r="AA728" s="739"/>
      <c r="AB728" s="746">
        <v>0.6</v>
      </c>
      <c r="AC728" s="741"/>
      <c r="AD728" s="741" t="str">
        <f>'DICTIONARY-5'!$A$14</f>
        <v>ścieki</v>
      </c>
      <c r="AE728" s="742">
        <v>50</v>
      </c>
      <c r="AF728" s="743">
        <v>320</v>
      </c>
      <c r="AG728" s="733" t="str">
        <f>'DICTIONARY-5'!$A$27</f>
        <v>pasywacja</v>
      </c>
    </row>
    <row r="729" spans="1:33" x14ac:dyDescent="0.25">
      <c r="A729" s="842" t="s">
        <v>702</v>
      </c>
      <c r="B729" s="842" t="s">
        <v>3294</v>
      </c>
      <c r="C729" s="836" t="s">
        <v>5967</v>
      </c>
      <c r="D729" s="836"/>
      <c r="E729" s="836"/>
      <c r="F729" s="836"/>
      <c r="G729" s="496" t="s">
        <v>7800</v>
      </c>
      <c r="H729" s="797" t="str">
        <f>VLOOKUP(G729,SETTINGS!$B$7:$D$97,2,0)</f>
        <v>EROXplus</v>
      </c>
      <c r="I729" s="796">
        <f>VLOOKUP(G729,SETTINGS!$B$7:$D$97,3,0)</f>
        <v>0</v>
      </c>
      <c r="J729" s="670" t="str">
        <f>IFERROR(IF(CURRENCY.FORMAT_1=0,CONCATENATE(TEXT(FIXED(ROUND((C729/EXC.RATE_1),CURRENCY.FORMAT_1),CURRENCY.FORMAT_1,1),"# ##0;-# ##0"),",-"),FIXED(ROUND((C729/EXC.RATE_1),CURRENCY.FORMAT_1),CURRENCY.FORMAT_1,0)),'DICTIONARY-5'!$A$2)</f>
        <v>na zapytanie</v>
      </c>
      <c r="K729" s="670" t="str">
        <f>IF(EXC.RATE_2=0,"",IFERROR(IF(CURRENCY.FORMAT_2=0,CONCATENATE(TEXT(FIXED(ROUND(IF(EXC.RATE.SWITCH=1,C729/EXC.RATE_2,C729*EXC.RATE_2),CURRENCY.FORMAT_2),CURRENCY.FORMAT_2,1),"# ##0;-# ##0"),",-"),FIXED(ROUND(IF(EXC.RATE.SWITCH=1,C729/EXC.RATE_2,C729*EXC.RATE_2),CURRENCY.FORMAT_2),CURRENCY.FORMAT_2,0)),'DICTIONARY-5'!$A$2))</f>
        <v/>
      </c>
      <c r="L729" s="670" t="str">
        <f>IFERROR(IF(CURRENCY.FORMAT_1=0,CONCATENATE(TEXT(FIXED(ROUND((C729*(1-I729)*(1-ADD.DISCOUNT)*(1+MAT.SURCHARGE)/EXC.RATE_1),CURRENCY.FORMAT_1),CURRENCY.FORMAT_1,1),"# ##0;-# ##0"),",-"),FIXED(ROUND((C729*(1-I729)*(1-ADD.DISCOUNT)*(1+MAT.SURCHARGE)/EXC.RATE_1),CURRENCY.FORMAT_1),CURRENCY.FORMAT_1,0)),'DICTIONARY-5'!$A$2)</f>
        <v>na zapytanie</v>
      </c>
      <c r="M729" s="670" t="str">
        <f>IF(EXC.RATE_2=0,"",IFERROR(IF(CURRENCY.FORMAT_2=0,CONCATENATE(TEXT(FIXED(ROUND(IF(EXC.RATE.SWITCH=1,C729*(1-I729)*(1-ADD.DISCOUNT)*(1+MAT.SURCHARGE)/EXC.RATE_2,C729*(1-I729)*(1-ADD.DISCOUNT)*(1+MAT.SURCHARGE)*EXC.RATE_2),CURRENCY.FORMAT_2),CURRENCY.FORMAT_2,1),"# ##0;-# ##0"),",-"),FIXED(ROUND(IF(EXC.RATE.SWITCH=1,C729*(1-I729)*(1-ADD.DISCOUNT)*(1+MAT.SURCHARGE)/EXC.RATE_2,C729*(1-I729)*(1-ADD.DISCOUNT)*(1+MAT.SURCHARGE)*EXC.RATE_2),CURRENCY.FORMAT_2),CURRENCY.FORMAT_2,0)),'DICTIONARY-5'!$A$2))</f>
        <v/>
      </c>
      <c r="N729" s="544">
        <v>2</v>
      </c>
      <c r="O729" s="544"/>
      <c r="P729" s="731" t="str">
        <f>'DICTIONARY-3'!$A$13</f>
        <v>EROXplus</v>
      </c>
      <c r="Q729" s="732" t="str">
        <f>'DICTIONARY-3'!$A$190</f>
        <v>Zasuwa wrzecionowa</v>
      </c>
      <c r="R729" s="732" t="str">
        <f>CONCATENATE('DICTIONARY-3'!$A$14," ",'DICTIONARY-6'!$A$5," ",'DICTIONARY-2'!$A$2,"1500",", ",'DICTIONARY-4'!$A$2,", max.6",'DICTIONARY-2'!$A$41,", ",'DICTIONARY-4'!$A$2)</f>
        <v>EROXplus-O Zasuwa wrzec. DN1500, WW, max.6mSW, WW</v>
      </c>
      <c r="S729" s="733" t="str">
        <f>'DICTIONARY-4'!$A$2</f>
        <v>WW</v>
      </c>
      <c r="T729" s="732" t="str">
        <f>'DICTIONARY-4'!$A$18</f>
        <v>Wolny wałek</v>
      </c>
      <c r="U729" s="734" t="s">
        <v>5845</v>
      </c>
      <c r="V729" s="735"/>
      <c r="W729" s="736"/>
      <c r="X729" s="737"/>
      <c r="Y729" s="738"/>
      <c r="Z729" s="739">
        <v>3480</v>
      </c>
      <c r="AA729" s="739"/>
      <c r="AB729" s="746">
        <v>0.6</v>
      </c>
      <c r="AC729" s="741"/>
      <c r="AD729" s="741" t="str">
        <f>'DICTIONARY-5'!$A$14</f>
        <v>ścieki</v>
      </c>
      <c r="AE729" s="742">
        <v>50</v>
      </c>
      <c r="AF729" s="743">
        <v>355</v>
      </c>
      <c r="AG729" s="733" t="str">
        <f>'DICTIONARY-5'!$A$27</f>
        <v>pasywacja</v>
      </c>
    </row>
    <row r="730" spans="1:33" x14ac:dyDescent="0.25">
      <c r="A730" s="842" t="s">
        <v>703</v>
      </c>
      <c r="B730" s="842" t="s">
        <v>3295</v>
      </c>
      <c r="C730" s="836" t="s">
        <v>5967</v>
      </c>
      <c r="D730" s="836"/>
      <c r="E730" s="836"/>
      <c r="F730" s="836"/>
      <c r="G730" s="496" t="s">
        <v>7800</v>
      </c>
      <c r="H730" s="797" t="str">
        <f>VLOOKUP(G730,SETTINGS!$B$7:$D$97,2,0)</f>
        <v>EROXplus</v>
      </c>
      <c r="I730" s="796">
        <f>VLOOKUP(G730,SETTINGS!$B$7:$D$97,3,0)</f>
        <v>0</v>
      </c>
      <c r="J730" s="670" t="str">
        <f>IFERROR(IF(CURRENCY.FORMAT_1=0,CONCATENATE(TEXT(FIXED(ROUND((C730/EXC.RATE_1),CURRENCY.FORMAT_1),CURRENCY.FORMAT_1,1),"# ##0;-# ##0"),",-"),FIXED(ROUND((C730/EXC.RATE_1),CURRENCY.FORMAT_1),CURRENCY.FORMAT_1,0)),'DICTIONARY-5'!$A$2)</f>
        <v>na zapytanie</v>
      </c>
      <c r="K730" s="670" t="str">
        <f>IF(EXC.RATE_2=0,"",IFERROR(IF(CURRENCY.FORMAT_2=0,CONCATENATE(TEXT(FIXED(ROUND(IF(EXC.RATE.SWITCH=1,C730/EXC.RATE_2,C730*EXC.RATE_2),CURRENCY.FORMAT_2),CURRENCY.FORMAT_2,1),"# ##0;-# ##0"),",-"),FIXED(ROUND(IF(EXC.RATE.SWITCH=1,C730/EXC.RATE_2,C730*EXC.RATE_2),CURRENCY.FORMAT_2),CURRENCY.FORMAT_2,0)),'DICTIONARY-5'!$A$2))</f>
        <v/>
      </c>
      <c r="L730" s="670" t="str">
        <f>IFERROR(IF(CURRENCY.FORMAT_1=0,CONCATENATE(TEXT(FIXED(ROUND((C730*(1-I730)*(1-ADD.DISCOUNT)*(1+MAT.SURCHARGE)/EXC.RATE_1),CURRENCY.FORMAT_1),CURRENCY.FORMAT_1,1),"# ##0;-# ##0"),",-"),FIXED(ROUND((C730*(1-I730)*(1-ADD.DISCOUNT)*(1+MAT.SURCHARGE)/EXC.RATE_1),CURRENCY.FORMAT_1),CURRENCY.FORMAT_1,0)),'DICTIONARY-5'!$A$2)</f>
        <v>na zapytanie</v>
      </c>
      <c r="M730" s="670" t="str">
        <f>IF(EXC.RATE_2=0,"",IFERROR(IF(CURRENCY.FORMAT_2=0,CONCATENATE(TEXT(FIXED(ROUND(IF(EXC.RATE.SWITCH=1,C730*(1-I730)*(1-ADD.DISCOUNT)*(1+MAT.SURCHARGE)/EXC.RATE_2,C730*(1-I730)*(1-ADD.DISCOUNT)*(1+MAT.SURCHARGE)*EXC.RATE_2),CURRENCY.FORMAT_2),CURRENCY.FORMAT_2,1),"# ##0;-# ##0"),",-"),FIXED(ROUND(IF(EXC.RATE.SWITCH=1,C730*(1-I730)*(1-ADD.DISCOUNT)*(1+MAT.SURCHARGE)/EXC.RATE_2,C730*(1-I730)*(1-ADD.DISCOUNT)*(1+MAT.SURCHARGE)*EXC.RATE_2),CURRENCY.FORMAT_2),CURRENCY.FORMAT_2,0)),'DICTIONARY-5'!$A$2))</f>
        <v/>
      </c>
      <c r="N730" s="544">
        <v>2</v>
      </c>
      <c r="O730" s="544"/>
      <c r="P730" s="731" t="str">
        <f>'DICTIONARY-3'!$A$13</f>
        <v>EROXplus</v>
      </c>
      <c r="Q730" s="732" t="str">
        <f>'DICTIONARY-3'!$A$190</f>
        <v>Zasuwa wrzecionowa</v>
      </c>
      <c r="R730" s="732" t="str">
        <f>CONCATENATE('DICTIONARY-3'!$A$14," ",'DICTIONARY-6'!$A$5," ",'DICTIONARY-2'!$A$2,"1600",", ",'DICTIONARY-4'!$A$2,", max.6",'DICTIONARY-2'!$A$41,", ",'DICTIONARY-4'!$A$2)</f>
        <v>EROXplus-O Zasuwa wrzec. DN1600, WW, max.6mSW, WW</v>
      </c>
      <c r="S730" s="733" t="str">
        <f>'DICTIONARY-4'!$A$2</f>
        <v>WW</v>
      </c>
      <c r="T730" s="732" t="str">
        <f>'DICTIONARY-4'!$A$18</f>
        <v>Wolny wałek</v>
      </c>
      <c r="U730" s="734" t="s">
        <v>5840</v>
      </c>
      <c r="V730" s="735"/>
      <c r="W730" s="736"/>
      <c r="X730" s="737"/>
      <c r="Y730" s="738"/>
      <c r="Z730" s="739">
        <v>3680</v>
      </c>
      <c r="AA730" s="739"/>
      <c r="AB730" s="746">
        <v>0.6</v>
      </c>
      <c r="AC730" s="741"/>
      <c r="AD730" s="741" t="str">
        <f>'DICTIONARY-5'!$A$14</f>
        <v>ścieki</v>
      </c>
      <c r="AE730" s="742">
        <v>50</v>
      </c>
      <c r="AF730" s="743">
        <v>380</v>
      </c>
      <c r="AG730" s="733" t="str">
        <f>'DICTIONARY-5'!$A$27</f>
        <v>pasywacja</v>
      </c>
    </row>
    <row r="731" spans="1:33" x14ac:dyDescent="0.25">
      <c r="A731" s="842" t="s">
        <v>704</v>
      </c>
      <c r="B731" s="842" t="s">
        <v>3296</v>
      </c>
      <c r="C731" s="836" t="s">
        <v>5967</v>
      </c>
      <c r="D731" s="836"/>
      <c r="E731" s="836"/>
      <c r="F731" s="836"/>
      <c r="G731" s="496" t="s">
        <v>7800</v>
      </c>
      <c r="H731" s="797" t="str">
        <f>VLOOKUP(G731,SETTINGS!$B$7:$D$97,2,0)</f>
        <v>EROXplus</v>
      </c>
      <c r="I731" s="796">
        <f>VLOOKUP(G731,SETTINGS!$B$7:$D$97,3,0)</f>
        <v>0</v>
      </c>
      <c r="J731" s="670" t="str">
        <f>IFERROR(IF(CURRENCY.FORMAT_1=0,CONCATENATE(TEXT(FIXED(ROUND((C731/EXC.RATE_1),CURRENCY.FORMAT_1),CURRENCY.FORMAT_1,1),"# ##0;-# ##0"),",-"),FIXED(ROUND((C731/EXC.RATE_1),CURRENCY.FORMAT_1),CURRENCY.FORMAT_1,0)),'DICTIONARY-5'!$A$2)</f>
        <v>na zapytanie</v>
      </c>
      <c r="K731" s="670" t="str">
        <f>IF(EXC.RATE_2=0,"",IFERROR(IF(CURRENCY.FORMAT_2=0,CONCATENATE(TEXT(FIXED(ROUND(IF(EXC.RATE.SWITCH=1,C731/EXC.RATE_2,C731*EXC.RATE_2),CURRENCY.FORMAT_2),CURRENCY.FORMAT_2,1),"# ##0;-# ##0"),",-"),FIXED(ROUND(IF(EXC.RATE.SWITCH=1,C731/EXC.RATE_2,C731*EXC.RATE_2),CURRENCY.FORMAT_2),CURRENCY.FORMAT_2,0)),'DICTIONARY-5'!$A$2))</f>
        <v/>
      </c>
      <c r="L731" s="670" t="str">
        <f>IFERROR(IF(CURRENCY.FORMAT_1=0,CONCATENATE(TEXT(FIXED(ROUND((C731*(1-I731)*(1-ADD.DISCOUNT)*(1+MAT.SURCHARGE)/EXC.RATE_1),CURRENCY.FORMAT_1),CURRENCY.FORMAT_1,1),"# ##0;-# ##0"),",-"),FIXED(ROUND((C731*(1-I731)*(1-ADD.DISCOUNT)*(1+MAT.SURCHARGE)/EXC.RATE_1),CURRENCY.FORMAT_1),CURRENCY.FORMAT_1,0)),'DICTIONARY-5'!$A$2)</f>
        <v>na zapytanie</v>
      </c>
      <c r="M731" s="670" t="str">
        <f>IF(EXC.RATE_2=0,"",IFERROR(IF(CURRENCY.FORMAT_2=0,CONCATENATE(TEXT(FIXED(ROUND(IF(EXC.RATE.SWITCH=1,C731*(1-I731)*(1-ADD.DISCOUNT)*(1+MAT.SURCHARGE)/EXC.RATE_2,C731*(1-I731)*(1-ADD.DISCOUNT)*(1+MAT.SURCHARGE)*EXC.RATE_2),CURRENCY.FORMAT_2),CURRENCY.FORMAT_2,1),"# ##0;-# ##0"),",-"),FIXED(ROUND(IF(EXC.RATE.SWITCH=1,C731*(1-I731)*(1-ADD.DISCOUNT)*(1+MAT.SURCHARGE)/EXC.RATE_2,C731*(1-I731)*(1-ADD.DISCOUNT)*(1+MAT.SURCHARGE)*EXC.RATE_2),CURRENCY.FORMAT_2),CURRENCY.FORMAT_2,0)),'DICTIONARY-5'!$A$2))</f>
        <v/>
      </c>
      <c r="N731" s="544">
        <v>2</v>
      </c>
      <c r="O731" s="544"/>
      <c r="P731" s="731" t="str">
        <f>'DICTIONARY-3'!$A$13</f>
        <v>EROXplus</v>
      </c>
      <c r="Q731" s="732" t="str">
        <f>'DICTIONARY-3'!$A$190</f>
        <v>Zasuwa wrzecionowa</v>
      </c>
      <c r="R731" s="732" t="str">
        <f>CONCATENATE('DICTIONARY-3'!$A$14," ",'DICTIONARY-6'!$A$5," ",'DICTIONARY-2'!$A$2,"1700",", ",'DICTIONARY-4'!$A$2,", max.6",'DICTIONARY-2'!$A$41,", ",'DICTIONARY-4'!$A$2)</f>
        <v>EROXplus-O Zasuwa wrzec. DN1700, WW, max.6mSW, WW</v>
      </c>
      <c r="S731" s="733" t="str">
        <f>'DICTIONARY-4'!$A$2</f>
        <v>WW</v>
      </c>
      <c r="T731" s="732" t="str">
        <f>'DICTIONARY-4'!$A$18</f>
        <v>Wolny wałek</v>
      </c>
      <c r="U731" s="734" t="s">
        <v>5848</v>
      </c>
      <c r="V731" s="735"/>
      <c r="W731" s="736"/>
      <c r="X731" s="737"/>
      <c r="Y731" s="738"/>
      <c r="Z731" s="739">
        <v>3880</v>
      </c>
      <c r="AA731" s="739"/>
      <c r="AB731" s="746">
        <v>0.6</v>
      </c>
      <c r="AC731" s="741"/>
      <c r="AD731" s="741" t="str">
        <f>'DICTIONARY-5'!$A$14</f>
        <v>ścieki</v>
      </c>
      <c r="AE731" s="742">
        <v>50</v>
      </c>
      <c r="AF731" s="743">
        <v>430</v>
      </c>
      <c r="AG731" s="733" t="str">
        <f>'DICTIONARY-5'!$A$27</f>
        <v>pasywacja</v>
      </c>
    </row>
    <row r="732" spans="1:33" x14ac:dyDescent="0.25">
      <c r="A732" s="842" t="s">
        <v>705</v>
      </c>
      <c r="B732" s="842" t="s">
        <v>3297</v>
      </c>
      <c r="C732" s="836" t="s">
        <v>5967</v>
      </c>
      <c r="D732" s="836"/>
      <c r="E732" s="836"/>
      <c r="F732" s="836"/>
      <c r="G732" s="496" t="s">
        <v>7800</v>
      </c>
      <c r="H732" s="797" t="str">
        <f>VLOOKUP(G732,SETTINGS!$B$7:$D$97,2,0)</f>
        <v>EROXplus</v>
      </c>
      <c r="I732" s="796">
        <f>VLOOKUP(G732,SETTINGS!$B$7:$D$97,3,0)</f>
        <v>0</v>
      </c>
      <c r="J732" s="670" t="str">
        <f>IFERROR(IF(CURRENCY.FORMAT_1=0,CONCATENATE(TEXT(FIXED(ROUND((C732/EXC.RATE_1),CURRENCY.FORMAT_1),CURRENCY.FORMAT_1,1),"# ##0;-# ##0"),",-"),FIXED(ROUND((C732/EXC.RATE_1),CURRENCY.FORMAT_1),CURRENCY.FORMAT_1,0)),'DICTIONARY-5'!$A$2)</f>
        <v>na zapytanie</v>
      </c>
      <c r="K732" s="670" t="str">
        <f>IF(EXC.RATE_2=0,"",IFERROR(IF(CURRENCY.FORMAT_2=0,CONCATENATE(TEXT(FIXED(ROUND(IF(EXC.RATE.SWITCH=1,C732/EXC.RATE_2,C732*EXC.RATE_2),CURRENCY.FORMAT_2),CURRENCY.FORMAT_2,1),"# ##0;-# ##0"),",-"),FIXED(ROUND(IF(EXC.RATE.SWITCH=1,C732/EXC.RATE_2,C732*EXC.RATE_2),CURRENCY.FORMAT_2),CURRENCY.FORMAT_2,0)),'DICTIONARY-5'!$A$2))</f>
        <v/>
      </c>
      <c r="L732" s="670" t="str">
        <f>IFERROR(IF(CURRENCY.FORMAT_1=0,CONCATENATE(TEXT(FIXED(ROUND((C732*(1-I732)*(1-ADD.DISCOUNT)*(1+MAT.SURCHARGE)/EXC.RATE_1),CURRENCY.FORMAT_1),CURRENCY.FORMAT_1,1),"# ##0;-# ##0"),",-"),FIXED(ROUND((C732*(1-I732)*(1-ADD.DISCOUNT)*(1+MAT.SURCHARGE)/EXC.RATE_1),CURRENCY.FORMAT_1),CURRENCY.FORMAT_1,0)),'DICTIONARY-5'!$A$2)</f>
        <v>na zapytanie</v>
      </c>
      <c r="M732" s="670" t="str">
        <f>IF(EXC.RATE_2=0,"",IFERROR(IF(CURRENCY.FORMAT_2=0,CONCATENATE(TEXT(FIXED(ROUND(IF(EXC.RATE.SWITCH=1,C732*(1-I732)*(1-ADD.DISCOUNT)*(1+MAT.SURCHARGE)/EXC.RATE_2,C732*(1-I732)*(1-ADD.DISCOUNT)*(1+MAT.SURCHARGE)*EXC.RATE_2),CURRENCY.FORMAT_2),CURRENCY.FORMAT_2,1),"# ##0;-# ##0"),",-"),FIXED(ROUND(IF(EXC.RATE.SWITCH=1,C732*(1-I732)*(1-ADD.DISCOUNT)*(1+MAT.SURCHARGE)/EXC.RATE_2,C732*(1-I732)*(1-ADD.DISCOUNT)*(1+MAT.SURCHARGE)*EXC.RATE_2),CURRENCY.FORMAT_2),CURRENCY.FORMAT_2,0)),'DICTIONARY-5'!$A$2))</f>
        <v/>
      </c>
      <c r="N732" s="544">
        <v>2</v>
      </c>
      <c r="O732" s="544"/>
      <c r="P732" s="731" t="str">
        <f>'DICTIONARY-3'!$A$13</f>
        <v>EROXplus</v>
      </c>
      <c r="Q732" s="732" t="str">
        <f>'DICTIONARY-3'!$A$190</f>
        <v>Zasuwa wrzecionowa</v>
      </c>
      <c r="R732" s="732" t="str">
        <f>CONCATENATE('DICTIONARY-3'!$A$14," ",'DICTIONARY-6'!$A$5," ",'DICTIONARY-2'!$A$2,"1800",", ",'DICTIONARY-4'!$A$2,", max.6",'DICTIONARY-2'!$A$41,", ",'DICTIONARY-4'!$A$2)</f>
        <v>EROXplus-O Zasuwa wrzec. DN1800, WW, max.6mSW, WW</v>
      </c>
      <c r="S732" s="733" t="str">
        <f>'DICTIONARY-4'!$A$2</f>
        <v>WW</v>
      </c>
      <c r="T732" s="732" t="str">
        <f>'DICTIONARY-4'!$A$18</f>
        <v>Wolny wałek</v>
      </c>
      <c r="U732" s="734" t="s">
        <v>5841</v>
      </c>
      <c r="V732" s="735"/>
      <c r="W732" s="736"/>
      <c r="X732" s="737"/>
      <c r="Y732" s="738"/>
      <c r="Z732" s="739">
        <v>4080</v>
      </c>
      <c r="AA732" s="739"/>
      <c r="AB732" s="746">
        <v>0.6</v>
      </c>
      <c r="AC732" s="741"/>
      <c r="AD732" s="741" t="str">
        <f>'DICTIONARY-5'!$A$14</f>
        <v>ścieki</v>
      </c>
      <c r="AE732" s="742">
        <v>50</v>
      </c>
      <c r="AF732" s="743">
        <v>484</v>
      </c>
      <c r="AG732" s="733" t="str">
        <f>'DICTIONARY-5'!$A$27</f>
        <v>pasywacja</v>
      </c>
    </row>
    <row r="733" spans="1:33" x14ac:dyDescent="0.25">
      <c r="A733" s="848"/>
      <c r="B733" s="848" t="str">
        <f>CONCATENATE('DICTIONARY-3'!$A$16,"-",'DICTIONARY-3'!$A$19,".",$U733)</f>
        <v>REMO-S1.150-600</v>
      </c>
      <c r="C733" s="836">
        <v>11</v>
      </c>
      <c r="D733" s="849"/>
      <c r="E733" s="836"/>
      <c r="F733" s="836"/>
      <c r="G733" s="850" t="s">
        <v>8211</v>
      </c>
      <c r="H733" s="797" t="str">
        <f>VLOOKUP(G733,SETTINGS!$B$7:$D$97,2,0)</f>
        <v>REMO</v>
      </c>
      <c r="I733" s="796">
        <f>VLOOKUP(G733,SETTINGS!$B$7:$D$97,3,0)</f>
        <v>0</v>
      </c>
      <c r="J733" s="670" t="str">
        <f>IFERROR(IF(CURRENCY.FORMAT_1=0,CONCATENATE(TEXT(FIXED(ROUND((C733/EXC.RATE_1),CURRENCY.FORMAT_1),CURRENCY.FORMAT_1,1),"# ##0;-# ##0"),",-"),FIXED(ROUND((C733/EXC.RATE_1),CURRENCY.FORMAT_1),CURRENCY.FORMAT_1,0)),'DICTIONARY-5'!$A$2)</f>
        <v>11,-</v>
      </c>
      <c r="K733" s="670" t="str">
        <f>IF(EXC.RATE_2=0,"",IFERROR(IF(CURRENCY.FORMAT_2=0,CONCATENATE(TEXT(FIXED(ROUND(IF(EXC.RATE.SWITCH=1,C733/EXC.RATE_2,C733*EXC.RATE_2),CURRENCY.FORMAT_2),CURRENCY.FORMAT_2,1),"# ##0;-# ##0"),",-"),FIXED(ROUND(IF(EXC.RATE.SWITCH=1,C733/EXC.RATE_2,C733*EXC.RATE_2),CURRENCY.FORMAT_2),CURRENCY.FORMAT_2,0)),'DICTIONARY-5'!$A$2))</f>
        <v/>
      </c>
      <c r="L733" s="670" t="str">
        <f>IFERROR(IF(CURRENCY.FORMAT_1=0,CONCATENATE(TEXT(FIXED(ROUND((C733*(1-I733)*(1-ADD.DISCOUNT)*(1+MAT.SURCHARGE)/EXC.RATE_1),CURRENCY.FORMAT_1),CURRENCY.FORMAT_1,1),"# ##0;-# ##0"),",-"),FIXED(ROUND((C733*(1-I733)*(1-ADD.DISCOUNT)*(1+MAT.SURCHARGE)/EXC.RATE_1),CURRENCY.FORMAT_1),CURRENCY.FORMAT_1,0)),'DICTIONARY-5'!$A$2)</f>
        <v>11,-</v>
      </c>
      <c r="M733" s="670" t="str">
        <f>IF(EXC.RATE_2=0,"",IFERROR(IF(CURRENCY.FORMAT_2=0,CONCATENATE(TEXT(FIXED(ROUND(IF(EXC.RATE.SWITCH=1,C733*(1-I733)*(1-ADD.DISCOUNT)*(1+MAT.SURCHARGE)/EXC.RATE_2,C733*(1-I733)*(1-ADD.DISCOUNT)*(1+MAT.SURCHARGE)*EXC.RATE_2),CURRENCY.FORMAT_2),CURRENCY.FORMAT_2,1),"# ##0;-# ##0"),",-"),FIXED(ROUND(IF(EXC.RATE.SWITCH=1,C733*(1-I733)*(1-ADD.DISCOUNT)*(1+MAT.SURCHARGE)/EXC.RATE_2,C733*(1-I733)*(1-ADD.DISCOUNT)*(1+MAT.SURCHARGE)*EXC.RATE_2),CURRENCY.FORMAT_2),CURRENCY.FORMAT_2,0)),'DICTIONARY-5'!$A$2))</f>
        <v/>
      </c>
      <c r="N733" s="544">
        <v>2</v>
      </c>
      <c r="O733" s="544"/>
      <c r="P733" s="732" t="str">
        <f>'DICTIONARY-3'!$A$16&amp;" "&amp;'DICTIONARY-3'!$A$19</f>
        <v>REMO S1</v>
      </c>
      <c r="Q733" s="732" t="str">
        <f>'DICTIONARY-3'!$A$191</f>
        <v>Zestaw sterowania</v>
      </c>
      <c r="R733" s="732" t="str">
        <f>CONCATENATE('DICTIONARY-3'!$A$16," ",'DICTIONARY-3'!$A$19," ",'DICTIONARY-6'!$A$29," ",'DICTIONARY-3'!$A$13," ",'DICTIONARY-2'!$A$2,U733,", ",'DICTIONARY-3'!$A$238)</f>
        <v>REMO S1 Zest. sterow. EROXplus DN150-600, kwadrat pod klucz</v>
      </c>
      <c r="S733" s="733" t="str">
        <f>'DICTIONARY-4'!$A$13</f>
        <v>KK</v>
      </c>
      <c r="T733" s="732" t="str">
        <f>'DICTIONARY-4'!$A$29</f>
        <v>Końcówka kwadratowa, zamontowana</v>
      </c>
      <c r="U733" s="734" t="s">
        <v>7860</v>
      </c>
      <c r="V733" s="735"/>
      <c r="W733" s="736"/>
      <c r="X733" s="737"/>
      <c r="Y733" s="738"/>
      <c r="Z733" s="739">
        <v>593</v>
      </c>
      <c r="AA733" s="739"/>
      <c r="AB733" s="740"/>
      <c r="AC733" s="741"/>
      <c r="AD733" s="741"/>
      <c r="AE733" s="742"/>
      <c r="AF733" s="743"/>
      <c r="AG733" s="733" t="str">
        <f>'DICTIONARY-5'!$A$27</f>
        <v>pasywacja</v>
      </c>
    </row>
    <row r="734" spans="1:33" x14ac:dyDescent="0.25">
      <c r="A734" s="848"/>
      <c r="B734" s="848" t="str">
        <f>CONCATENATE('DICTIONARY-3'!$A$16,"-",'DICTIONARY-3'!$A$19,".",$U734)</f>
        <v>REMO-S1.700-1200</v>
      </c>
      <c r="C734" s="836">
        <v>49</v>
      </c>
      <c r="D734" s="849"/>
      <c r="E734" s="836"/>
      <c r="F734" s="836"/>
      <c r="G734" s="850" t="s">
        <v>8211</v>
      </c>
      <c r="H734" s="797" t="str">
        <f>VLOOKUP(G734,SETTINGS!$B$7:$D$97,2,0)</f>
        <v>REMO</v>
      </c>
      <c r="I734" s="796">
        <f>VLOOKUP(G734,SETTINGS!$B$7:$D$97,3,0)</f>
        <v>0</v>
      </c>
      <c r="J734" s="670" t="str">
        <f>IFERROR(IF(CURRENCY.FORMAT_1=0,CONCATENATE(TEXT(FIXED(ROUND((C734/EXC.RATE_1),CURRENCY.FORMAT_1),CURRENCY.FORMAT_1,1),"# ##0;-# ##0"),",-"),FIXED(ROUND((C734/EXC.RATE_1),CURRENCY.FORMAT_1),CURRENCY.FORMAT_1,0)),'DICTIONARY-5'!$A$2)</f>
        <v>49,-</v>
      </c>
      <c r="K734" s="670" t="str">
        <f>IF(EXC.RATE_2=0,"",IFERROR(IF(CURRENCY.FORMAT_2=0,CONCATENATE(TEXT(FIXED(ROUND(IF(EXC.RATE.SWITCH=1,C734/EXC.RATE_2,C734*EXC.RATE_2),CURRENCY.FORMAT_2),CURRENCY.FORMAT_2,1),"# ##0;-# ##0"),",-"),FIXED(ROUND(IF(EXC.RATE.SWITCH=1,C734/EXC.RATE_2,C734*EXC.RATE_2),CURRENCY.FORMAT_2),CURRENCY.FORMAT_2,0)),'DICTIONARY-5'!$A$2))</f>
        <v/>
      </c>
      <c r="L734" s="670" t="str">
        <f>IFERROR(IF(CURRENCY.FORMAT_1=0,CONCATENATE(TEXT(FIXED(ROUND((C734*(1-I734)*(1-ADD.DISCOUNT)*(1+MAT.SURCHARGE)/EXC.RATE_1),CURRENCY.FORMAT_1),CURRENCY.FORMAT_1,1),"# ##0;-# ##0"),",-"),FIXED(ROUND((C734*(1-I734)*(1-ADD.DISCOUNT)*(1+MAT.SURCHARGE)/EXC.RATE_1),CURRENCY.FORMAT_1),CURRENCY.FORMAT_1,0)),'DICTIONARY-5'!$A$2)</f>
        <v>51,-</v>
      </c>
      <c r="M734" s="670" t="str">
        <f>IF(EXC.RATE_2=0,"",IFERROR(IF(CURRENCY.FORMAT_2=0,CONCATENATE(TEXT(FIXED(ROUND(IF(EXC.RATE.SWITCH=1,C734*(1-I734)*(1-ADD.DISCOUNT)*(1+MAT.SURCHARGE)/EXC.RATE_2,C734*(1-I734)*(1-ADD.DISCOUNT)*(1+MAT.SURCHARGE)*EXC.RATE_2),CURRENCY.FORMAT_2),CURRENCY.FORMAT_2,1),"# ##0;-# ##0"),",-"),FIXED(ROUND(IF(EXC.RATE.SWITCH=1,C734*(1-I734)*(1-ADD.DISCOUNT)*(1+MAT.SURCHARGE)/EXC.RATE_2,C734*(1-I734)*(1-ADD.DISCOUNT)*(1+MAT.SURCHARGE)*EXC.RATE_2),CURRENCY.FORMAT_2),CURRENCY.FORMAT_2,0)),'DICTIONARY-5'!$A$2))</f>
        <v/>
      </c>
      <c r="N734" s="544">
        <v>2</v>
      </c>
      <c r="O734" s="544"/>
      <c r="P734" s="732" t="str">
        <f>'DICTIONARY-3'!$A$16&amp;" "&amp;'DICTIONARY-3'!$A$19</f>
        <v>REMO S1</v>
      </c>
      <c r="Q734" s="732" t="str">
        <f>'DICTIONARY-3'!$A$191</f>
        <v>Zestaw sterowania</v>
      </c>
      <c r="R734" s="732" t="str">
        <f>CONCATENATE('DICTIONARY-3'!$A$16," ",'DICTIONARY-3'!$A$19," ",'DICTIONARY-6'!$A$29," ",'DICTIONARY-3'!$A$13," ",'DICTIONARY-2'!$A$2,U734,", ",'DICTIONARY-3'!$A$238)</f>
        <v>REMO S1 Zest. sterow. EROXplus DN700-1200, kwadrat pod klucz</v>
      </c>
      <c r="S734" s="733" t="str">
        <f>'DICTIONARY-4'!$A$13</f>
        <v>KK</v>
      </c>
      <c r="T734" s="732" t="str">
        <f>'DICTIONARY-4'!$A$29</f>
        <v>Końcówka kwadratowa, zamontowana</v>
      </c>
      <c r="U734" s="734" t="s">
        <v>7861</v>
      </c>
      <c r="V734" s="735"/>
      <c r="W734" s="736"/>
      <c r="X734" s="737"/>
      <c r="Y734" s="738"/>
      <c r="Z734" s="739">
        <v>1714</v>
      </c>
      <c r="AA734" s="739"/>
      <c r="AB734" s="740"/>
      <c r="AC734" s="741"/>
      <c r="AD734" s="741"/>
      <c r="AE734" s="742"/>
      <c r="AF734" s="743"/>
      <c r="AG734" s="733" t="str">
        <f>'DICTIONARY-5'!$A$27</f>
        <v>pasywacja</v>
      </c>
    </row>
    <row r="735" spans="1:33" x14ac:dyDescent="0.25">
      <c r="A735" s="848"/>
      <c r="B735" s="848" t="str">
        <f>CONCATENATE('DICTIONARY-3'!$A$16,"-",'DICTIONARY-3'!$A$20,"-A.",$U735)</f>
        <v>REMO-S2-A.150-600</v>
      </c>
      <c r="C735" s="836">
        <v>265</v>
      </c>
      <c r="D735" s="849"/>
      <c r="E735" s="836"/>
      <c r="F735" s="836"/>
      <c r="G735" s="850" t="s">
        <v>8211</v>
      </c>
      <c r="H735" s="797" t="str">
        <f>VLOOKUP(G735,SETTINGS!$B$7:$D$97,2,0)</f>
        <v>REMO</v>
      </c>
      <c r="I735" s="796">
        <f>VLOOKUP(G735,SETTINGS!$B$7:$D$97,3,0)</f>
        <v>0</v>
      </c>
      <c r="J735" s="670" t="str">
        <f>IFERROR(IF(CURRENCY.FORMAT_1=0,CONCATENATE(TEXT(FIXED(ROUND((C735/EXC.RATE_1),CURRENCY.FORMAT_1),CURRENCY.FORMAT_1,1),"# ##0;-# ##0"),",-"),FIXED(ROUND((C735/EXC.RATE_1),CURRENCY.FORMAT_1),CURRENCY.FORMAT_1,0)),'DICTIONARY-5'!$A$2)</f>
        <v>265,-</v>
      </c>
      <c r="K735" s="670" t="str">
        <f>IF(EXC.RATE_2=0,"",IFERROR(IF(CURRENCY.FORMAT_2=0,CONCATENATE(TEXT(FIXED(ROUND(IF(EXC.RATE.SWITCH=1,C735/EXC.RATE_2,C735*EXC.RATE_2),CURRENCY.FORMAT_2),CURRENCY.FORMAT_2,1),"# ##0;-# ##0"),",-"),FIXED(ROUND(IF(EXC.RATE.SWITCH=1,C735/EXC.RATE_2,C735*EXC.RATE_2),CURRENCY.FORMAT_2),CURRENCY.FORMAT_2,0)),'DICTIONARY-5'!$A$2))</f>
        <v/>
      </c>
      <c r="L735" s="670" t="str">
        <f>IFERROR(IF(CURRENCY.FORMAT_1=0,CONCATENATE(TEXT(FIXED(ROUND((C735*(1-I735)*(1-ADD.DISCOUNT)*(1+MAT.SURCHARGE)/EXC.RATE_1),CURRENCY.FORMAT_1),CURRENCY.FORMAT_1,1),"# ##0;-# ##0"),",-"),FIXED(ROUND((C735*(1-I735)*(1-ADD.DISCOUNT)*(1+MAT.SURCHARGE)/EXC.RATE_1),CURRENCY.FORMAT_1),CURRENCY.FORMAT_1,0)),'DICTIONARY-5'!$A$2)</f>
        <v>275,-</v>
      </c>
      <c r="M735" s="670" t="str">
        <f>IF(EXC.RATE_2=0,"",IFERROR(IF(CURRENCY.FORMAT_2=0,CONCATENATE(TEXT(FIXED(ROUND(IF(EXC.RATE.SWITCH=1,C735*(1-I735)*(1-ADD.DISCOUNT)*(1+MAT.SURCHARGE)/EXC.RATE_2,C735*(1-I735)*(1-ADD.DISCOUNT)*(1+MAT.SURCHARGE)*EXC.RATE_2),CURRENCY.FORMAT_2),CURRENCY.FORMAT_2,1),"# ##0;-# ##0"),",-"),FIXED(ROUND(IF(EXC.RATE.SWITCH=1,C735*(1-I735)*(1-ADD.DISCOUNT)*(1+MAT.SURCHARGE)/EXC.RATE_2,C735*(1-I735)*(1-ADD.DISCOUNT)*(1+MAT.SURCHARGE)*EXC.RATE_2),CURRENCY.FORMAT_2),CURRENCY.FORMAT_2,0)),'DICTIONARY-5'!$A$2))</f>
        <v/>
      </c>
      <c r="N735" s="544">
        <v>2</v>
      </c>
      <c r="O735" s="544"/>
      <c r="P735" s="732" t="str">
        <f>'DICTIONARY-3'!$A$16&amp;" "&amp;'DICTIONARY-3'!$A$20</f>
        <v>REMO S2</v>
      </c>
      <c r="Q735" s="732" t="str">
        <f>'DICTIONARY-3'!$A$191</f>
        <v>Zestaw sterowania</v>
      </c>
      <c r="R735" s="732" t="str">
        <f>CONCATENATE('DICTIONARY-3'!$A$16," ",'DICTIONARY-3'!$A$20," ",'DICTIONARY-6'!$A$29," ",'DICTIONARY-3'!$A$13," ",'DICTIONARY-2'!$A$2,U735,", ",'DICTIONARY-6'!$A$54,"0,85-1,5m","+",'DICTIONARY-3'!$A$238)</f>
        <v>REMO S2 Zest. sterow. EROXplus DN150-600, przedłuż.0,85-1,5m+kwadrat pod klucz</v>
      </c>
      <c r="S735" s="733" t="str">
        <f>'DICTIONARY-4'!$A$13</f>
        <v>KK</v>
      </c>
      <c r="T735" s="732" t="str">
        <f>'DICTIONARY-4'!$A$29</f>
        <v>Końcówka kwadratowa, zamontowana</v>
      </c>
      <c r="U735" s="734" t="s">
        <v>7860</v>
      </c>
      <c r="V735" s="735"/>
      <c r="W735" s="736"/>
      <c r="X735" s="737"/>
      <c r="Y735" s="738"/>
      <c r="Z735" s="739"/>
      <c r="AA735" s="739">
        <v>2133</v>
      </c>
      <c r="AB735" s="740"/>
      <c r="AC735" s="741"/>
      <c r="AD735" s="741"/>
      <c r="AE735" s="742"/>
      <c r="AF735" s="743"/>
      <c r="AG735" s="733" t="str">
        <f>'DICTIONARY-5'!$A$27</f>
        <v>pasywacja</v>
      </c>
    </row>
    <row r="736" spans="1:33" x14ac:dyDescent="0.25">
      <c r="A736" s="848"/>
      <c r="B736" s="848" t="str">
        <f>CONCATENATE('DICTIONARY-3'!$A$16,"-",'DICTIONARY-3'!$A$20,"-A.",$U736)</f>
        <v>REMO-S2-A.700-1200</v>
      </c>
      <c r="C736" s="836">
        <v>272</v>
      </c>
      <c r="D736" s="849"/>
      <c r="E736" s="836"/>
      <c r="F736" s="836"/>
      <c r="G736" s="850" t="s">
        <v>8211</v>
      </c>
      <c r="H736" s="797" t="str">
        <f>VLOOKUP(G736,SETTINGS!$B$7:$D$97,2,0)</f>
        <v>REMO</v>
      </c>
      <c r="I736" s="796">
        <f>VLOOKUP(G736,SETTINGS!$B$7:$D$97,3,0)</f>
        <v>0</v>
      </c>
      <c r="J736" s="670" t="str">
        <f>IFERROR(IF(CURRENCY.FORMAT_1=0,CONCATENATE(TEXT(FIXED(ROUND((C736/EXC.RATE_1),CURRENCY.FORMAT_1),CURRENCY.FORMAT_1,1),"# ##0;-# ##0"),",-"),FIXED(ROUND((C736/EXC.RATE_1),CURRENCY.FORMAT_1),CURRENCY.FORMAT_1,0)),'DICTIONARY-5'!$A$2)</f>
        <v>272,-</v>
      </c>
      <c r="K736" s="670" t="str">
        <f>IF(EXC.RATE_2=0,"",IFERROR(IF(CURRENCY.FORMAT_2=0,CONCATENATE(TEXT(FIXED(ROUND(IF(EXC.RATE.SWITCH=1,C736/EXC.RATE_2,C736*EXC.RATE_2),CURRENCY.FORMAT_2),CURRENCY.FORMAT_2,1),"# ##0;-# ##0"),",-"),FIXED(ROUND(IF(EXC.RATE.SWITCH=1,C736/EXC.RATE_2,C736*EXC.RATE_2),CURRENCY.FORMAT_2),CURRENCY.FORMAT_2,0)),'DICTIONARY-5'!$A$2))</f>
        <v/>
      </c>
      <c r="L736" s="670" t="str">
        <f>IFERROR(IF(CURRENCY.FORMAT_1=0,CONCATENATE(TEXT(FIXED(ROUND((C736*(1-I736)*(1-ADD.DISCOUNT)*(1+MAT.SURCHARGE)/EXC.RATE_1),CURRENCY.FORMAT_1),CURRENCY.FORMAT_1,1),"# ##0;-# ##0"),",-"),FIXED(ROUND((C736*(1-I736)*(1-ADD.DISCOUNT)*(1+MAT.SURCHARGE)/EXC.RATE_1),CURRENCY.FORMAT_1),CURRENCY.FORMAT_1,0)),'DICTIONARY-5'!$A$2)</f>
        <v>283,-</v>
      </c>
      <c r="M736" s="670" t="str">
        <f>IF(EXC.RATE_2=0,"",IFERROR(IF(CURRENCY.FORMAT_2=0,CONCATENATE(TEXT(FIXED(ROUND(IF(EXC.RATE.SWITCH=1,C736*(1-I736)*(1-ADD.DISCOUNT)*(1+MAT.SURCHARGE)/EXC.RATE_2,C736*(1-I736)*(1-ADD.DISCOUNT)*(1+MAT.SURCHARGE)*EXC.RATE_2),CURRENCY.FORMAT_2),CURRENCY.FORMAT_2,1),"# ##0;-# ##0"),",-"),FIXED(ROUND(IF(EXC.RATE.SWITCH=1,C736*(1-I736)*(1-ADD.DISCOUNT)*(1+MAT.SURCHARGE)/EXC.RATE_2,C736*(1-I736)*(1-ADD.DISCOUNT)*(1+MAT.SURCHARGE)*EXC.RATE_2),CURRENCY.FORMAT_2),CURRENCY.FORMAT_2,0)),'DICTIONARY-5'!$A$2))</f>
        <v/>
      </c>
      <c r="N736" s="544">
        <v>2</v>
      </c>
      <c r="O736" s="544"/>
      <c r="P736" s="732" t="str">
        <f>'DICTIONARY-3'!$A$16&amp;" "&amp;'DICTIONARY-3'!$A$20</f>
        <v>REMO S2</v>
      </c>
      <c r="Q736" s="732" t="str">
        <f>'DICTIONARY-3'!$A$191</f>
        <v>Zestaw sterowania</v>
      </c>
      <c r="R736" s="732" t="str">
        <f>CONCATENATE('DICTIONARY-3'!$A$16," ",'DICTIONARY-3'!$A$20," ",'DICTIONARY-6'!$A$29," ",'DICTIONARY-3'!$A$13," ",'DICTIONARY-2'!$A$2,U736,", ",'DICTIONARY-6'!$A$54,"0,85-1,5m","+",'DICTIONARY-3'!$A$238)</f>
        <v>REMO S2 Zest. sterow. EROXplus DN700-1200, przedłuż.0,85-1,5m+kwadrat pod klucz</v>
      </c>
      <c r="S736" s="733" t="str">
        <f>'DICTIONARY-4'!$A$13</f>
        <v>KK</v>
      </c>
      <c r="T736" s="732" t="str">
        <f>'DICTIONARY-4'!$A$29</f>
        <v>Końcówka kwadratowa, zamontowana</v>
      </c>
      <c r="U736" s="734" t="s">
        <v>7861</v>
      </c>
      <c r="V736" s="735"/>
      <c r="W736" s="736"/>
      <c r="X736" s="737"/>
      <c r="Y736" s="738"/>
      <c r="Z736" s="739"/>
      <c r="AA736" s="739">
        <v>3254</v>
      </c>
      <c r="AB736" s="740"/>
      <c r="AC736" s="741"/>
      <c r="AD736" s="741"/>
      <c r="AE736" s="742"/>
      <c r="AF736" s="743"/>
      <c r="AG736" s="733" t="str">
        <f>'DICTIONARY-5'!$A$27</f>
        <v>pasywacja</v>
      </c>
    </row>
    <row r="737" spans="1:33" x14ac:dyDescent="0.25">
      <c r="A737" s="848"/>
      <c r="B737" s="848" t="str">
        <f>CONCATENATE('DICTIONARY-3'!$A$16,"-",'DICTIONARY-3'!$A$20,"-B.",$U737)</f>
        <v>REMO-S2-B.150-600</v>
      </c>
      <c r="C737" s="836">
        <v>576</v>
      </c>
      <c r="D737" s="849"/>
      <c r="E737" s="836"/>
      <c r="F737" s="836"/>
      <c r="G737" s="850" t="s">
        <v>8211</v>
      </c>
      <c r="H737" s="797" t="str">
        <f>VLOOKUP(G737,SETTINGS!$B$7:$D$97,2,0)</f>
        <v>REMO</v>
      </c>
      <c r="I737" s="796">
        <f>VLOOKUP(G737,SETTINGS!$B$7:$D$97,3,0)</f>
        <v>0</v>
      </c>
      <c r="J737" s="670" t="str">
        <f>IFERROR(IF(CURRENCY.FORMAT_1=0,CONCATENATE(TEXT(FIXED(ROUND((C737/EXC.RATE_1),CURRENCY.FORMAT_1),CURRENCY.FORMAT_1,1),"# ##0;-# ##0"),",-"),FIXED(ROUND((C737/EXC.RATE_1),CURRENCY.FORMAT_1),CURRENCY.FORMAT_1,0)),'DICTIONARY-5'!$A$2)</f>
        <v>576,-</v>
      </c>
      <c r="K737" s="670" t="str">
        <f>IF(EXC.RATE_2=0,"",IFERROR(IF(CURRENCY.FORMAT_2=0,CONCATENATE(TEXT(FIXED(ROUND(IF(EXC.RATE.SWITCH=1,C737/EXC.RATE_2,C737*EXC.RATE_2),CURRENCY.FORMAT_2),CURRENCY.FORMAT_2,1),"# ##0;-# ##0"),",-"),FIXED(ROUND(IF(EXC.RATE.SWITCH=1,C737/EXC.RATE_2,C737*EXC.RATE_2),CURRENCY.FORMAT_2),CURRENCY.FORMAT_2,0)),'DICTIONARY-5'!$A$2))</f>
        <v/>
      </c>
      <c r="L737" s="670" t="str">
        <f>IFERROR(IF(CURRENCY.FORMAT_1=0,CONCATENATE(TEXT(FIXED(ROUND((C737*(1-I737)*(1-ADD.DISCOUNT)*(1+MAT.SURCHARGE)/EXC.RATE_1),CURRENCY.FORMAT_1),CURRENCY.FORMAT_1,1),"# ##0;-# ##0"),",-"),FIXED(ROUND((C737*(1-I737)*(1-ADD.DISCOUNT)*(1+MAT.SURCHARGE)/EXC.RATE_1),CURRENCY.FORMAT_1),CURRENCY.FORMAT_1,0)),'DICTIONARY-5'!$A$2)</f>
        <v>598,-</v>
      </c>
      <c r="M737" s="670" t="str">
        <f>IF(EXC.RATE_2=0,"",IFERROR(IF(CURRENCY.FORMAT_2=0,CONCATENATE(TEXT(FIXED(ROUND(IF(EXC.RATE.SWITCH=1,C737*(1-I737)*(1-ADD.DISCOUNT)*(1+MAT.SURCHARGE)/EXC.RATE_2,C737*(1-I737)*(1-ADD.DISCOUNT)*(1+MAT.SURCHARGE)*EXC.RATE_2),CURRENCY.FORMAT_2),CURRENCY.FORMAT_2,1),"# ##0;-# ##0"),",-"),FIXED(ROUND(IF(EXC.RATE.SWITCH=1,C737*(1-I737)*(1-ADD.DISCOUNT)*(1+MAT.SURCHARGE)/EXC.RATE_2,C737*(1-I737)*(1-ADD.DISCOUNT)*(1+MAT.SURCHARGE)*EXC.RATE_2),CURRENCY.FORMAT_2),CURRENCY.FORMAT_2,0)),'DICTIONARY-5'!$A$2))</f>
        <v/>
      </c>
      <c r="N737" s="544">
        <v>2</v>
      </c>
      <c r="O737" s="544"/>
      <c r="P737" s="732" t="str">
        <f>'DICTIONARY-3'!$A$16&amp;" "&amp;'DICTIONARY-3'!$A$20</f>
        <v>REMO S2</v>
      </c>
      <c r="Q737" s="732" t="str">
        <f>'DICTIONARY-3'!$A$191</f>
        <v>Zestaw sterowania</v>
      </c>
      <c r="R737" s="732" t="str">
        <f>CONCATENATE('DICTIONARY-3'!$A$16," ",'DICTIONARY-3'!$A$20," ",'DICTIONARY-6'!$A$29," ",'DICTIONARY-3'!$A$13," ",'DICTIONARY-2'!$A$2,U737,", ",'DICTIONARY-6'!$A$54,"1,5-2,7m","+",'DICTIONARY-3'!$A$238)</f>
        <v>REMO S2 Zest. sterow. EROXplus DN150-600, przedłuż.1,5-2,7m+kwadrat pod klucz</v>
      </c>
      <c r="S737" s="733" t="str">
        <f>'DICTIONARY-4'!$A$13</f>
        <v>KK</v>
      </c>
      <c r="T737" s="732" t="str">
        <f>'DICTIONARY-4'!$A$29</f>
        <v>Końcówka kwadratowa, zamontowana</v>
      </c>
      <c r="U737" s="734" t="s">
        <v>7860</v>
      </c>
      <c r="V737" s="735"/>
      <c r="W737" s="736"/>
      <c r="X737" s="737"/>
      <c r="Y737" s="738"/>
      <c r="Z737" s="739"/>
      <c r="AA737" s="739">
        <v>3333</v>
      </c>
      <c r="AB737" s="740"/>
      <c r="AC737" s="741"/>
      <c r="AD737" s="741"/>
      <c r="AE737" s="742"/>
      <c r="AF737" s="743"/>
      <c r="AG737" s="733" t="str">
        <f>'DICTIONARY-5'!$A$27</f>
        <v>pasywacja</v>
      </c>
    </row>
    <row r="738" spans="1:33" x14ac:dyDescent="0.25">
      <c r="A738" s="848"/>
      <c r="B738" s="848" t="str">
        <f>CONCATENATE('DICTIONARY-3'!$A$16,"-",'DICTIONARY-3'!$A$20,"-B.",$U738)</f>
        <v>REMO-S2-B.700-1200</v>
      </c>
      <c r="C738" s="836">
        <v>608</v>
      </c>
      <c r="D738" s="849"/>
      <c r="E738" s="836"/>
      <c r="F738" s="836"/>
      <c r="G738" s="850" t="s">
        <v>8211</v>
      </c>
      <c r="H738" s="797" t="str">
        <f>VLOOKUP(G738,SETTINGS!$B$7:$D$97,2,0)</f>
        <v>REMO</v>
      </c>
      <c r="I738" s="796">
        <f>VLOOKUP(G738,SETTINGS!$B$7:$D$97,3,0)</f>
        <v>0</v>
      </c>
      <c r="J738" s="670" t="str">
        <f>IFERROR(IF(CURRENCY.FORMAT_1=0,CONCATENATE(TEXT(FIXED(ROUND((C738/EXC.RATE_1),CURRENCY.FORMAT_1),CURRENCY.FORMAT_1,1),"# ##0;-# ##0"),",-"),FIXED(ROUND((C738/EXC.RATE_1),CURRENCY.FORMAT_1),CURRENCY.FORMAT_1,0)),'DICTIONARY-5'!$A$2)</f>
        <v>608,-</v>
      </c>
      <c r="K738" s="670" t="str">
        <f>IF(EXC.RATE_2=0,"",IFERROR(IF(CURRENCY.FORMAT_2=0,CONCATENATE(TEXT(FIXED(ROUND(IF(EXC.RATE.SWITCH=1,C738/EXC.RATE_2,C738*EXC.RATE_2),CURRENCY.FORMAT_2),CURRENCY.FORMAT_2,1),"# ##0;-# ##0"),",-"),FIXED(ROUND(IF(EXC.RATE.SWITCH=1,C738/EXC.RATE_2,C738*EXC.RATE_2),CURRENCY.FORMAT_2),CURRENCY.FORMAT_2,0)),'DICTIONARY-5'!$A$2))</f>
        <v/>
      </c>
      <c r="L738" s="670" t="str">
        <f>IFERROR(IF(CURRENCY.FORMAT_1=0,CONCATENATE(TEXT(FIXED(ROUND((C738*(1-I738)*(1-ADD.DISCOUNT)*(1+MAT.SURCHARGE)/EXC.RATE_1),CURRENCY.FORMAT_1),CURRENCY.FORMAT_1,1),"# ##0;-# ##0"),",-"),FIXED(ROUND((C738*(1-I738)*(1-ADD.DISCOUNT)*(1+MAT.SURCHARGE)/EXC.RATE_1),CURRENCY.FORMAT_1),CURRENCY.FORMAT_1,0)),'DICTIONARY-5'!$A$2)</f>
        <v>632,-</v>
      </c>
      <c r="M738" s="670" t="str">
        <f>IF(EXC.RATE_2=0,"",IFERROR(IF(CURRENCY.FORMAT_2=0,CONCATENATE(TEXT(FIXED(ROUND(IF(EXC.RATE.SWITCH=1,C738*(1-I738)*(1-ADD.DISCOUNT)*(1+MAT.SURCHARGE)/EXC.RATE_2,C738*(1-I738)*(1-ADD.DISCOUNT)*(1+MAT.SURCHARGE)*EXC.RATE_2),CURRENCY.FORMAT_2),CURRENCY.FORMAT_2,1),"# ##0;-# ##0"),",-"),FIXED(ROUND(IF(EXC.RATE.SWITCH=1,C738*(1-I738)*(1-ADD.DISCOUNT)*(1+MAT.SURCHARGE)/EXC.RATE_2,C738*(1-I738)*(1-ADD.DISCOUNT)*(1+MAT.SURCHARGE)*EXC.RATE_2),CURRENCY.FORMAT_2),CURRENCY.FORMAT_2,0)),'DICTIONARY-5'!$A$2))</f>
        <v/>
      </c>
      <c r="N738" s="544">
        <v>2</v>
      </c>
      <c r="O738" s="544"/>
      <c r="P738" s="732" t="str">
        <f>'DICTIONARY-3'!$A$16&amp;" "&amp;'DICTIONARY-3'!$A$20</f>
        <v>REMO S2</v>
      </c>
      <c r="Q738" s="732" t="str">
        <f>'DICTIONARY-3'!$A$191</f>
        <v>Zestaw sterowania</v>
      </c>
      <c r="R738" s="732" t="str">
        <f>CONCATENATE('DICTIONARY-3'!$A$16," ",'DICTIONARY-3'!$A$20," ",'DICTIONARY-6'!$A$29," ",'DICTIONARY-3'!$A$13," ",'DICTIONARY-2'!$A$2,U738,", ",'DICTIONARY-6'!$A$54,"1,5-2,7m","+",'DICTIONARY-3'!$A$238)</f>
        <v>REMO S2 Zest. sterow. EROXplus DN700-1200, przedłuż.1,5-2,7m+kwadrat pod klucz</v>
      </c>
      <c r="S738" s="733" t="str">
        <f>'DICTIONARY-4'!$A$13</f>
        <v>KK</v>
      </c>
      <c r="T738" s="732" t="str">
        <f>'DICTIONARY-4'!$A$29</f>
        <v>Końcówka kwadratowa, zamontowana</v>
      </c>
      <c r="U738" s="734" t="s">
        <v>7861</v>
      </c>
      <c r="V738" s="735"/>
      <c r="W738" s="736"/>
      <c r="X738" s="737"/>
      <c r="Y738" s="738"/>
      <c r="Z738" s="739"/>
      <c r="AA738" s="739">
        <v>4454</v>
      </c>
      <c r="AB738" s="740"/>
      <c r="AC738" s="741"/>
      <c r="AD738" s="741"/>
      <c r="AE738" s="742"/>
      <c r="AF738" s="743"/>
      <c r="AG738" s="733" t="str">
        <f>'DICTIONARY-5'!$A$27</f>
        <v>pasywacja</v>
      </c>
    </row>
    <row r="739" spans="1:33" x14ac:dyDescent="0.25">
      <c r="A739" s="848"/>
      <c r="B739" s="848" t="str">
        <f>CONCATENATE('DICTIONARY-3'!$A$16,"-",'DICTIONARY-3'!$A$20,"-C.",$U739)</f>
        <v>REMO-S2-C.150-600</v>
      </c>
      <c r="C739" s="836">
        <v>957</v>
      </c>
      <c r="D739" s="849"/>
      <c r="E739" s="836"/>
      <c r="F739" s="836"/>
      <c r="G739" s="850" t="s">
        <v>8211</v>
      </c>
      <c r="H739" s="797" t="str">
        <f>VLOOKUP(G739,SETTINGS!$B$7:$D$97,2,0)</f>
        <v>REMO</v>
      </c>
      <c r="I739" s="796">
        <f>VLOOKUP(G739,SETTINGS!$B$7:$D$97,3,0)</f>
        <v>0</v>
      </c>
      <c r="J739" s="670" t="str">
        <f>IFERROR(IF(CURRENCY.FORMAT_1=0,CONCATENATE(TEXT(FIXED(ROUND((C739/EXC.RATE_1),CURRENCY.FORMAT_1),CURRENCY.FORMAT_1,1),"# ##0;-# ##0"),",-"),FIXED(ROUND((C739/EXC.RATE_1),CURRENCY.FORMAT_1),CURRENCY.FORMAT_1,0)),'DICTIONARY-5'!$A$2)</f>
        <v>957,-</v>
      </c>
      <c r="K739" s="670" t="str">
        <f>IF(EXC.RATE_2=0,"",IFERROR(IF(CURRENCY.FORMAT_2=0,CONCATENATE(TEXT(FIXED(ROUND(IF(EXC.RATE.SWITCH=1,C739/EXC.RATE_2,C739*EXC.RATE_2),CURRENCY.FORMAT_2),CURRENCY.FORMAT_2,1),"# ##0;-# ##0"),",-"),FIXED(ROUND(IF(EXC.RATE.SWITCH=1,C739/EXC.RATE_2,C739*EXC.RATE_2),CURRENCY.FORMAT_2),CURRENCY.FORMAT_2,0)),'DICTIONARY-5'!$A$2))</f>
        <v/>
      </c>
      <c r="L739" s="670" t="str">
        <f>IFERROR(IF(CURRENCY.FORMAT_1=0,CONCATENATE(TEXT(FIXED(ROUND((C739*(1-I739)*(1-ADD.DISCOUNT)*(1+MAT.SURCHARGE)/EXC.RATE_1),CURRENCY.FORMAT_1),CURRENCY.FORMAT_1,1),"# ##0;-# ##0"),",-"),FIXED(ROUND((C739*(1-I739)*(1-ADD.DISCOUNT)*(1+MAT.SURCHARGE)/EXC.RATE_1),CURRENCY.FORMAT_1),CURRENCY.FORMAT_1,0)),'DICTIONARY-5'!$A$2)</f>
        <v>994,-</v>
      </c>
      <c r="M739" s="670" t="str">
        <f>IF(EXC.RATE_2=0,"",IFERROR(IF(CURRENCY.FORMAT_2=0,CONCATENATE(TEXT(FIXED(ROUND(IF(EXC.RATE.SWITCH=1,C739*(1-I739)*(1-ADD.DISCOUNT)*(1+MAT.SURCHARGE)/EXC.RATE_2,C739*(1-I739)*(1-ADD.DISCOUNT)*(1+MAT.SURCHARGE)*EXC.RATE_2),CURRENCY.FORMAT_2),CURRENCY.FORMAT_2,1),"# ##0;-# ##0"),",-"),FIXED(ROUND(IF(EXC.RATE.SWITCH=1,C739*(1-I739)*(1-ADD.DISCOUNT)*(1+MAT.SURCHARGE)/EXC.RATE_2,C739*(1-I739)*(1-ADD.DISCOUNT)*(1+MAT.SURCHARGE)*EXC.RATE_2),CURRENCY.FORMAT_2),CURRENCY.FORMAT_2,0)),'DICTIONARY-5'!$A$2))</f>
        <v/>
      </c>
      <c r="N739" s="544">
        <v>2</v>
      </c>
      <c r="O739" s="544"/>
      <c r="P739" s="732" t="str">
        <f>'DICTIONARY-3'!$A$16&amp;" "&amp;'DICTIONARY-3'!$A$20</f>
        <v>REMO S2</v>
      </c>
      <c r="Q739" s="732" t="str">
        <f>'DICTIONARY-3'!$A$191</f>
        <v>Zestaw sterowania</v>
      </c>
      <c r="R739" s="732" t="str">
        <f>CONCATENATE('DICTIONARY-3'!$A$16," ",'DICTIONARY-3'!$A$20," ",'DICTIONARY-6'!$A$29," ",'DICTIONARY-3'!$A$13," ",'DICTIONARY-2'!$A$2,U739,", ",'DICTIONARY-6'!$A$54,"2,7-5,0m","+",'DICTIONARY-3'!$A$238)</f>
        <v>REMO S2 Zest. sterow. EROXplus DN150-600, przedłuż.2,7-5,0m+kwadrat pod klucz</v>
      </c>
      <c r="S739" s="733" t="str">
        <f>'DICTIONARY-4'!$A$13</f>
        <v>KK</v>
      </c>
      <c r="T739" s="732" t="str">
        <f>'DICTIONARY-4'!$A$29</f>
        <v>Końcówka kwadratowa, zamontowana</v>
      </c>
      <c r="U739" s="734" t="s">
        <v>7860</v>
      </c>
      <c r="V739" s="735"/>
      <c r="W739" s="736"/>
      <c r="X739" s="737"/>
      <c r="Y739" s="738"/>
      <c r="Z739" s="739"/>
      <c r="AA739" s="739">
        <v>5633</v>
      </c>
      <c r="AB739" s="740"/>
      <c r="AC739" s="741"/>
      <c r="AD739" s="741"/>
      <c r="AE739" s="742"/>
      <c r="AF739" s="743"/>
      <c r="AG739" s="733" t="str">
        <f>'DICTIONARY-5'!$A$27</f>
        <v>pasywacja</v>
      </c>
    </row>
    <row r="740" spans="1:33" x14ac:dyDescent="0.25">
      <c r="A740" s="848"/>
      <c r="B740" s="848" t="str">
        <f>CONCATENATE('DICTIONARY-3'!$A$16,"-",'DICTIONARY-3'!$A$20,"-C.",$U740)</f>
        <v>REMO-S2-C.700-1200</v>
      </c>
      <c r="C740" s="836">
        <v>1064</v>
      </c>
      <c r="D740" s="849"/>
      <c r="E740" s="836"/>
      <c r="F740" s="836"/>
      <c r="G740" s="850" t="s">
        <v>8211</v>
      </c>
      <c r="H740" s="797" t="str">
        <f>VLOOKUP(G740,SETTINGS!$B$7:$D$97,2,0)</f>
        <v>REMO</v>
      </c>
      <c r="I740" s="796">
        <f>VLOOKUP(G740,SETTINGS!$B$7:$D$97,3,0)</f>
        <v>0</v>
      </c>
      <c r="J740" s="670" t="str">
        <f>IFERROR(IF(CURRENCY.FORMAT_1=0,CONCATENATE(TEXT(FIXED(ROUND((C740/EXC.RATE_1),CURRENCY.FORMAT_1),CURRENCY.FORMAT_1,1),"# ##0;-# ##0"),",-"),FIXED(ROUND((C740/EXC.RATE_1),CURRENCY.FORMAT_1),CURRENCY.FORMAT_1,0)),'DICTIONARY-5'!$A$2)</f>
        <v>1 064,-</v>
      </c>
      <c r="K740" s="670" t="str">
        <f>IF(EXC.RATE_2=0,"",IFERROR(IF(CURRENCY.FORMAT_2=0,CONCATENATE(TEXT(FIXED(ROUND(IF(EXC.RATE.SWITCH=1,C740/EXC.RATE_2,C740*EXC.RATE_2),CURRENCY.FORMAT_2),CURRENCY.FORMAT_2,1),"# ##0;-# ##0"),",-"),FIXED(ROUND(IF(EXC.RATE.SWITCH=1,C740/EXC.RATE_2,C740*EXC.RATE_2),CURRENCY.FORMAT_2),CURRENCY.FORMAT_2,0)),'DICTIONARY-5'!$A$2))</f>
        <v/>
      </c>
      <c r="L740" s="670" t="str">
        <f>IFERROR(IF(CURRENCY.FORMAT_1=0,CONCATENATE(TEXT(FIXED(ROUND((C740*(1-I740)*(1-ADD.DISCOUNT)*(1+MAT.SURCHARGE)/EXC.RATE_1),CURRENCY.FORMAT_1),CURRENCY.FORMAT_1,1),"# ##0;-# ##0"),",-"),FIXED(ROUND((C740*(1-I740)*(1-ADD.DISCOUNT)*(1+MAT.SURCHARGE)/EXC.RATE_1),CURRENCY.FORMAT_1),CURRENCY.FORMAT_1,0)),'DICTIONARY-5'!$A$2)</f>
        <v>1 105,-</v>
      </c>
      <c r="M740" s="670" t="str">
        <f>IF(EXC.RATE_2=0,"",IFERROR(IF(CURRENCY.FORMAT_2=0,CONCATENATE(TEXT(FIXED(ROUND(IF(EXC.RATE.SWITCH=1,C740*(1-I740)*(1-ADD.DISCOUNT)*(1+MAT.SURCHARGE)/EXC.RATE_2,C740*(1-I740)*(1-ADD.DISCOUNT)*(1+MAT.SURCHARGE)*EXC.RATE_2),CURRENCY.FORMAT_2),CURRENCY.FORMAT_2,1),"# ##0;-# ##0"),",-"),FIXED(ROUND(IF(EXC.RATE.SWITCH=1,C740*(1-I740)*(1-ADD.DISCOUNT)*(1+MAT.SURCHARGE)/EXC.RATE_2,C740*(1-I740)*(1-ADD.DISCOUNT)*(1+MAT.SURCHARGE)*EXC.RATE_2),CURRENCY.FORMAT_2),CURRENCY.FORMAT_2,0)),'DICTIONARY-5'!$A$2))</f>
        <v/>
      </c>
      <c r="N740" s="544">
        <v>2</v>
      </c>
      <c r="O740" s="544"/>
      <c r="P740" s="732" t="str">
        <f>'DICTIONARY-3'!$A$16&amp;" "&amp;'DICTIONARY-3'!$A$20</f>
        <v>REMO S2</v>
      </c>
      <c r="Q740" s="732" t="str">
        <f>'DICTIONARY-3'!$A$191</f>
        <v>Zestaw sterowania</v>
      </c>
      <c r="R740" s="732" t="str">
        <f>CONCATENATE('DICTIONARY-3'!$A$16," ",'DICTIONARY-3'!$A$20," ",'DICTIONARY-6'!$A$29," ",'DICTIONARY-3'!$A$13," ",'DICTIONARY-2'!$A$2,U740,", ",'DICTIONARY-6'!$A$54,"2,7-5,0m","+",'DICTIONARY-3'!$A$238)</f>
        <v>REMO S2 Zest. sterow. EROXplus DN700-1200, przedłuż.2,7-5,0m+kwadrat pod klucz</v>
      </c>
      <c r="S740" s="733" t="str">
        <f>'DICTIONARY-4'!$A$13</f>
        <v>KK</v>
      </c>
      <c r="T740" s="732" t="str">
        <f>'DICTIONARY-4'!$A$29</f>
        <v>Końcówka kwadratowa, zamontowana</v>
      </c>
      <c r="U740" s="734" t="s">
        <v>7861</v>
      </c>
      <c r="V740" s="735"/>
      <c r="W740" s="736"/>
      <c r="X740" s="737"/>
      <c r="Y740" s="738"/>
      <c r="Z740" s="739"/>
      <c r="AA740" s="739">
        <v>6754</v>
      </c>
      <c r="AB740" s="740"/>
      <c r="AC740" s="741"/>
      <c r="AD740" s="741"/>
      <c r="AE740" s="742"/>
      <c r="AF740" s="743"/>
      <c r="AG740" s="733" t="str">
        <f>'DICTIONARY-5'!$A$27</f>
        <v>pasywacja</v>
      </c>
    </row>
    <row r="741" spans="1:33" x14ac:dyDescent="0.25">
      <c r="A741" s="848"/>
      <c r="B741" s="848" t="str">
        <f>CONCATENATE('DICTIONARY-3'!$A$16,"-",'DICTIONARY-3'!$A$21,"-A.",$U741)</f>
        <v>REMO-S3-A.150-600</v>
      </c>
      <c r="C741" s="836">
        <v>228</v>
      </c>
      <c r="D741" s="849"/>
      <c r="E741" s="836"/>
      <c r="F741" s="836"/>
      <c r="G741" s="850" t="s">
        <v>8211</v>
      </c>
      <c r="H741" s="797" t="str">
        <f>VLOOKUP(G741,SETTINGS!$B$7:$D$97,2,0)</f>
        <v>REMO</v>
      </c>
      <c r="I741" s="796">
        <f>VLOOKUP(G741,SETTINGS!$B$7:$D$97,3,0)</f>
        <v>0</v>
      </c>
      <c r="J741" s="670" t="str">
        <f>IFERROR(IF(CURRENCY.FORMAT_1=0,CONCATENATE(TEXT(FIXED(ROUND((C741/EXC.RATE_1),CURRENCY.FORMAT_1),CURRENCY.FORMAT_1,1),"# ##0;-# ##0"),",-"),FIXED(ROUND((C741/EXC.RATE_1),CURRENCY.FORMAT_1),CURRENCY.FORMAT_1,0)),'DICTIONARY-5'!$A$2)</f>
        <v>228,-</v>
      </c>
      <c r="K741" s="670" t="str">
        <f>IF(EXC.RATE_2=0,"",IFERROR(IF(CURRENCY.FORMAT_2=0,CONCATENATE(TEXT(FIXED(ROUND(IF(EXC.RATE.SWITCH=1,C741/EXC.RATE_2,C741*EXC.RATE_2),CURRENCY.FORMAT_2),CURRENCY.FORMAT_2,1),"# ##0;-# ##0"),",-"),FIXED(ROUND(IF(EXC.RATE.SWITCH=1,C741/EXC.RATE_2,C741*EXC.RATE_2),CURRENCY.FORMAT_2),CURRENCY.FORMAT_2,0)),'DICTIONARY-5'!$A$2))</f>
        <v/>
      </c>
      <c r="L741" s="670" t="str">
        <f>IFERROR(IF(CURRENCY.FORMAT_1=0,CONCATENATE(TEXT(FIXED(ROUND((C741*(1-I741)*(1-ADD.DISCOUNT)*(1+MAT.SURCHARGE)/EXC.RATE_1),CURRENCY.FORMAT_1),CURRENCY.FORMAT_1,1),"# ##0;-# ##0"),",-"),FIXED(ROUND((C741*(1-I741)*(1-ADD.DISCOUNT)*(1+MAT.SURCHARGE)/EXC.RATE_1),CURRENCY.FORMAT_1),CURRENCY.FORMAT_1,0)),'DICTIONARY-5'!$A$2)</f>
        <v>237,-</v>
      </c>
      <c r="M741" s="670" t="str">
        <f>IF(EXC.RATE_2=0,"",IFERROR(IF(CURRENCY.FORMAT_2=0,CONCATENATE(TEXT(FIXED(ROUND(IF(EXC.RATE.SWITCH=1,C741*(1-I741)*(1-ADD.DISCOUNT)*(1+MAT.SURCHARGE)/EXC.RATE_2,C741*(1-I741)*(1-ADD.DISCOUNT)*(1+MAT.SURCHARGE)*EXC.RATE_2),CURRENCY.FORMAT_2),CURRENCY.FORMAT_2,1),"# ##0;-# ##0"),",-"),FIXED(ROUND(IF(EXC.RATE.SWITCH=1,C741*(1-I741)*(1-ADD.DISCOUNT)*(1+MAT.SURCHARGE)/EXC.RATE_2,C741*(1-I741)*(1-ADD.DISCOUNT)*(1+MAT.SURCHARGE)*EXC.RATE_2),CURRENCY.FORMAT_2),CURRENCY.FORMAT_2,0)),'DICTIONARY-5'!$A$2))</f>
        <v/>
      </c>
      <c r="N741" s="544">
        <v>2</v>
      </c>
      <c r="O741" s="544"/>
      <c r="P741" s="732" t="str">
        <f>'DICTIONARY-3'!$A$16&amp;" "&amp;'DICTIONARY-3'!$A$21</f>
        <v>REMO S3</v>
      </c>
      <c r="Q741" s="732" t="str">
        <f>'DICTIONARY-3'!$A$191</f>
        <v>Zestaw sterowania</v>
      </c>
      <c r="R741" s="732" t="str">
        <f>CONCATENATE('DICTIONARY-3'!$A$16," ",'DICTIONARY-3'!$A$21," ",'DICTIONARY-6'!$A$29," ",'DICTIONARY-3'!$A$13," ",'DICTIONARY-2'!$A$2,U741,", ",'DICTIONARY-6'!$A$54,"0,85-1,5m","+",'DICTIONARY-6'!$A$55,)</f>
        <v>REMO S3 Zest. sterow. EROXplus DN150-600, przedłuż.0,85-1,5m+końc. kwadr.</v>
      </c>
      <c r="S741" s="733" t="str">
        <f>'DICTIONARY-4'!$A$13</f>
        <v>KK</v>
      </c>
      <c r="T741" s="732" t="str">
        <f>'DICTIONARY-4'!$A$29</f>
        <v>Końcówka kwadratowa, zamontowana</v>
      </c>
      <c r="U741" s="734" t="s">
        <v>7860</v>
      </c>
      <c r="V741" s="735"/>
      <c r="W741" s="736"/>
      <c r="X741" s="737"/>
      <c r="Y741" s="738"/>
      <c r="Z741" s="739"/>
      <c r="AA741" s="739">
        <v>2183</v>
      </c>
      <c r="AB741" s="740"/>
      <c r="AC741" s="741"/>
      <c r="AD741" s="741"/>
      <c r="AE741" s="742"/>
      <c r="AF741" s="743"/>
      <c r="AG741" s="733" t="str">
        <f>'DICTIONARY-5'!$A$27</f>
        <v>pasywacja</v>
      </c>
    </row>
    <row r="742" spans="1:33" x14ac:dyDescent="0.25">
      <c r="A742" s="848"/>
      <c r="B742" s="848" t="str">
        <f>CONCATENATE('DICTIONARY-3'!$A$16,"-",'DICTIONARY-3'!$A$21,"-A.",$U742)</f>
        <v>REMO-S3-A.700-1200</v>
      </c>
      <c r="C742" s="836">
        <v>231</v>
      </c>
      <c r="D742" s="849"/>
      <c r="E742" s="836"/>
      <c r="F742" s="836"/>
      <c r="G742" s="850" t="s">
        <v>8211</v>
      </c>
      <c r="H742" s="797" t="str">
        <f>VLOOKUP(G742,SETTINGS!$B$7:$D$97,2,0)</f>
        <v>REMO</v>
      </c>
      <c r="I742" s="796">
        <f>VLOOKUP(G742,SETTINGS!$B$7:$D$97,3,0)</f>
        <v>0</v>
      </c>
      <c r="J742" s="670" t="str">
        <f>IFERROR(IF(CURRENCY.FORMAT_1=0,CONCATENATE(TEXT(FIXED(ROUND((C742/EXC.RATE_1),CURRENCY.FORMAT_1),CURRENCY.FORMAT_1,1),"# ##0;-# ##0"),",-"),FIXED(ROUND((C742/EXC.RATE_1),CURRENCY.FORMAT_1),CURRENCY.FORMAT_1,0)),'DICTIONARY-5'!$A$2)</f>
        <v>231,-</v>
      </c>
      <c r="K742" s="670" t="str">
        <f>IF(EXC.RATE_2=0,"",IFERROR(IF(CURRENCY.FORMAT_2=0,CONCATENATE(TEXT(FIXED(ROUND(IF(EXC.RATE.SWITCH=1,C742/EXC.RATE_2,C742*EXC.RATE_2),CURRENCY.FORMAT_2),CURRENCY.FORMAT_2,1),"# ##0;-# ##0"),",-"),FIXED(ROUND(IF(EXC.RATE.SWITCH=1,C742/EXC.RATE_2,C742*EXC.RATE_2),CURRENCY.FORMAT_2),CURRENCY.FORMAT_2,0)),'DICTIONARY-5'!$A$2))</f>
        <v/>
      </c>
      <c r="L742" s="670" t="str">
        <f>IFERROR(IF(CURRENCY.FORMAT_1=0,CONCATENATE(TEXT(FIXED(ROUND((C742*(1-I742)*(1-ADD.DISCOUNT)*(1+MAT.SURCHARGE)/EXC.RATE_1),CURRENCY.FORMAT_1),CURRENCY.FORMAT_1,1),"# ##0;-# ##0"),",-"),FIXED(ROUND((C742*(1-I742)*(1-ADD.DISCOUNT)*(1+MAT.SURCHARGE)/EXC.RATE_1),CURRENCY.FORMAT_1),CURRENCY.FORMAT_1,0)),'DICTIONARY-5'!$A$2)</f>
        <v>240,-</v>
      </c>
      <c r="M742" s="670" t="str">
        <f>IF(EXC.RATE_2=0,"",IFERROR(IF(CURRENCY.FORMAT_2=0,CONCATENATE(TEXT(FIXED(ROUND(IF(EXC.RATE.SWITCH=1,C742*(1-I742)*(1-ADD.DISCOUNT)*(1+MAT.SURCHARGE)/EXC.RATE_2,C742*(1-I742)*(1-ADD.DISCOUNT)*(1+MAT.SURCHARGE)*EXC.RATE_2),CURRENCY.FORMAT_2),CURRENCY.FORMAT_2,1),"# ##0;-# ##0"),",-"),FIXED(ROUND(IF(EXC.RATE.SWITCH=1,C742*(1-I742)*(1-ADD.DISCOUNT)*(1+MAT.SURCHARGE)/EXC.RATE_2,C742*(1-I742)*(1-ADD.DISCOUNT)*(1+MAT.SURCHARGE)*EXC.RATE_2),CURRENCY.FORMAT_2),CURRENCY.FORMAT_2,0)),'DICTIONARY-5'!$A$2))</f>
        <v/>
      </c>
      <c r="N742" s="544">
        <v>2</v>
      </c>
      <c r="O742" s="544"/>
      <c r="P742" s="732" t="str">
        <f>'DICTIONARY-3'!$A$16&amp;" "&amp;'DICTIONARY-3'!$A$21</f>
        <v>REMO S3</v>
      </c>
      <c r="Q742" s="732" t="str">
        <f>'DICTIONARY-3'!$A$191</f>
        <v>Zestaw sterowania</v>
      </c>
      <c r="R742" s="732" t="str">
        <f>CONCATENATE('DICTIONARY-3'!$A$16," ",'DICTIONARY-3'!$A$21," ",'DICTIONARY-6'!$A$29," ",'DICTIONARY-3'!$A$13," ",'DICTIONARY-2'!$A$2,U742,", ",'DICTIONARY-6'!$A$54,"0,85-1,5m","+",'DICTIONARY-6'!$A$55,)</f>
        <v>REMO S3 Zest. sterow. EROXplus DN700-1200, przedłuż.0,85-1,5m+końc. kwadr.</v>
      </c>
      <c r="S742" s="733" t="str">
        <f>'DICTIONARY-4'!$A$13</f>
        <v>KK</v>
      </c>
      <c r="T742" s="732" t="str">
        <f>'DICTIONARY-4'!$A$29</f>
        <v>Końcówka kwadratowa, zamontowana</v>
      </c>
      <c r="U742" s="734" t="s">
        <v>7861</v>
      </c>
      <c r="V742" s="735"/>
      <c r="W742" s="736"/>
      <c r="X742" s="737"/>
      <c r="Y742" s="738"/>
      <c r="Z742" s="739"/>
      <c r="AA742" s="739">
        <v>3304</v>
      </c>
      <c r="AB742" s="740"/>
      <c r="AC742" s="741"/>
      <c r="AD742" s="741"/>
      <c r="AE742" s="742"/>
      <c r="AF742" s="743"/>
      <c r="AG742" s="733" t="str">
        <f>'DICTIONARY-5'!$A$27</f>
        <v>pasywacja</v>
      </c>
    </row>
    <row r="743" spans="1:33" x14ac:dyDescent="0.25">
      <c r="A743" s="848"/>
      <c r="B743" s="848" t="str">
        <f>CONCATENATE('DICTIONARY-3'!$A$16,"-",'DICTIONARY-3'!$A$21,"-B.",$U743)</f>
        <v>REMO-S3-B.150-600</v>
      </c>
      <c r="C743" s="836">
        <v>401</v>
      </c>
      <c r="D743" s="849"/>
      <c r="E743" s="836"/>
      <c r="F743" s="836"/>
      <c r="G743" s="850" t="s">
        <v>8211</v>
      </c>
      <c r="H743" s="797" t="str">
        <f>VLOOKUP(G743,SETTINGS!$B$7:$D$97,2,0)</f>
        <v>REMO</v>
      </c>
      <c r="I743" s="796">
        <f>VLOOKUP(G743,SETTINGS!$B$7:$D$97,3,0)</f>
        <v>0</v>
      </c>
      <c r="J743" s="670" t="str">
        <f>IFERROR(IF(CURRENCY.FORMAT_1=0,CONCATENATE(TEXT(FIXED(ROUND((C743/EXC.RATE_1),CURRENCY.FORMAT_1),CURRENCY.FORMAT_1,1),"# ##0;-# ##0"),",-"),FIXED(ROUND((C743/EXC.RATE_1),CURRENCY.FORMAT_1),CURRENCY.FORMAT_1,0)),'DICTIONARY-5'!$A$2)</f>
        <v>401,-</v>
      </c>
      <c r="K743" s="670" t="str">
        <f>IF(EXC.RATE_2=0,"",IFERROR(IF(CURRENCY.FORMAT_2=0,CONCATENATE(TEXT(FIXED(ROUND(IF(EXC.RATE.SWITCH=1,C743/EXC.RATE_2,C743*EXC.RATE_2),CURRENCY.FORMAT_2),CURRENCY.FORMAT_2,1),"# ##0;-# ##0"),",-"),FIXED(ROUND(IF(EXC.RATE.SWITCH=1,C743/EXC.RATE_2,C743*EXC.RATE_2),CURRENCY.FORMAT_2),CURRENCY.FORMAT_2,0)),'DICTIONARY-5'!$A$2))</f>
        <v/>
      </c>
      <c r="L743" s="670" t="str">
        <f>IFERROR(IF(CURRENCY.FORMAT_1=0,CONCATENATE(TEXT(FIXED(ROUND((C743*(1-I743)*(1-ADD.DISCOUNT)*(1+MAT.SURCHARGE)/EXC.RATE_1),CURRENCY.FORMAT_1),CURRENCY.FORMAT_1,1),"# ##0;-# ##0"),",-"),FIXED(ROUND((C743*(1-I743)*(1-ADD.DISCOUNT)*(1+MAT.SURCHARGE)/EXC.RATE_1),CURRENCY.FORMAT_1),CURRENCY.FORMAT_1,0)),'DICTIONARY-5'!$A$2)</f>
        <v>417,-</v>
      </c>
      <c r="M743" s="670" t="str">
        <f>IF(EXC.RATE_2=0,"",IFERROR(IF(CURRENCY.FORMAT_2=0,CONCATENATE(TEXT(FIXED(ROUND(IF(EXC.RATE.SWITCH=1,C743*(1-I743)*(1-ADD.DISCOUNT)*(1+MAT.SURCHARGE)/EXC.RATE_2,C743*(1-I743)*(1-ADD.DISCOUNT)*(1+MAT.SURCHARGE)*EXC.RATE_2),CURRENCY.FORMAT_2),CURRENCY.FORMAT_2,1),"# ##0;-# ##0"),",-"),FIXED(ROUND(IF(EXC.RATE.SWITCH=1,C743*(1-I743)*(1-ADD.DISCOUNT)*(1+MAT.SURCHARGE)/EXC.RATE_2,C743*(1-I743)*(1-ADD.DISCOUNT)*(1+MAT.SURCHARGE)*EXC.RATE_2),CURRENCY.FORMAT_2),CURRENCY.FORMAT_2,0)),'DICTIONARY-5'!$A$2))</f>
        <v/>
      </c>
      <c r="N743" s="544">
        <v>2</v>
      </c>
      <c r="O743" s="544"/>
      <c r="P743" s="732" t="str">
        <f>'DICTIONARY-3'!$A$16&amp;" "&amp;'DICTIONARY-3'!$A$21</f>
        <v>REMO S3</v>
      </c>
      <c r="Q743" s="732" t="str">
        <f>'DICTIONARY-3'!$A$191</f>
        <v>Zestaw sterowania</v>
      </c>
      <c r="R743" s="732" t="str">
        <f>CONCATENATE('DICTIONARY-3'!$A$16," ",'DICTIONARY-3'!$A$21," ",'DICTIONARY-6'!$A$29," ",'DICTIONARY-3'!$A$13," ",'DICTIONARY-2'!$A$2,U743,", ",'DICTIONARY-6'!$A$54,"1,5-2,7m","+",'DICTIONARY-6'!$A$55,)</f>
        <v>REMO S3 Zest. sterow. EROXplus DN150-600, przedłuż.1,5-2,7m+końc. kwadr.</v>
      </c>
      <c r="S743" s="733" t="str">
        <f>'DICTIONARY-4'!$A$13</f>
        <v>KK</v>
      </c>
      <c r="T743" s="732" t="str">
        <f>'DICTIONARY-4'!$A$29</f>
        <v>Końcówka kwadratowa, zamontowana</v>
      </c>
      <c r="U743" s="734" t="s">
        <v>7860</v>
      </c>
      <c r="V743" s="735"/>
      <c r="W743" s="736"/>
      <c r="X743" s="737"/>
      <c r="Y743" s="738"/>
      <c r="Z743" s="739"/>
      <c r="AA743" s="739">
        <v>3383</v>
      </c>
      <c r="AB743" s="740"/>
      <c r="AC743" s="741"/>
      <c r="AD743" s="741"/>
      <c r="AE743" s="742"/>
      <c r="AF743" s="743"/>
      <c r="AG743" s="733" t="str">
        <f>'DICTIONARY-5'!$A$27</f>
        <v>pasywacja</v>
      </c>
    </row>
    <row r="744" spans="1:33" x14ac:dyDescent="0.25">
      <c r="A744" s="848"/>
      <c r="B744" s="848" t="str">
        <f>CONCATENATE('DICTIONARY-3'!$A$16,"-",'DICTIONARY-3'!$A$21,"-B.",$U744)</f>
        <v>REMO-S3-B.700-1200</v>
      </c>
      <c r="C744" s="836">
        <v>418</v>
      </c>
      <c r="D744" s="849"/>
      <c r="E744" s="836"/>
      <c r="F744" s="836"/>
      <c r="G744" s="850" t="s">
        <v>8211</v>
      </c>
      <c r="H744" s="797" t="str">
        <f>VLOOKUP(G744,SETTINGS!$B$7:$D$97,2,0)</f>
        <v>REMO</v>
      </c>
      <c r="I744" s="796">
        <f>VLOOKUP(G744,SETTINGS!$B$7:$D$97,3,0)</f>
        <v>0</v>
      </c>
      <c r="J744" s="670" t="str">
        <f>IFERROR(IF(CURRENCY.FORMAT_1=0,CONCATENATE(TEXT(FIXED(ROUND((C744/EXC.RATE_1),CURRENCY.FORMAT_1),CURRENCY.FORMAT_1,1),"# ##0;-# ##0"),",-"),FIXED(ROUND((C744/EXC.RATE_1),CURRENCY.FORMAT_1),CURRENCY.FORMAT_1,0)),'DICTIONARY-5'!$A$2)</f>
        <v>418,-</v>
      </c>
      <c r="K744" s="670" t="str">
        <f>IF(EXC.RATE_2=0,"",IFERROR(IF(CURRENCY.FORMAT_2=0,CONCATENATE(TEXT(FIXED(ROUND(IF(EXC.RATE.SWITCH=1,C744/EXC.RATE_2,C744*EXC.RATE_2),CURRENCY.FORMAT_2),CURRENCY.FORMAT_2,1),"# ##0;-# ##0"),",-"),FIXED(ROUND(IF(EXC.RATE.SWITCH=1,C744/EXC.RATE_2,C744*EXC.RATE_2),CURRENCY.FORMAT_2),CURRENCY.FORMAT_2,0)),'DICTIONARY-5'!$A$2))</f>
        <v/>
      </c>
      <c r="L744" s="670" t="str">
        <f>IFERROR(IF(CURRENCY.FORMAT_1=0,CONCATENATE(TEXT(FIXED(ROUND((C744*(1-I744)*(1-ADD.DISCOUNT)*(1+MAT.SURCHARGE)/EXC.RATE_1),CURRENCY.FORMAT_1),CURRENCY.FORMAT_1,1),"# ##0;-# ##0"),",-"),FIXED(ROUND((C744*(1-I744)*(1-ADD.DISCOUNT)*(1+MAT.SURCHARGE)/EXC.RATE_1),CURRENCY.FORMAT_1),CURRENCY.FORMAT_1,0)),'DICTIONARY-5'!$A$2)</f>
        <v>434,-</v>
      </c>
      <c r="M744" s="670" t="str">
        <f>IF(EXC.RATE_2=0,"",IFERROR(IF(CURRENCY.FORMAT_2=0,CONCATENATE(TEXT(FIXED(ROUND(IF(EXC.RATE.SWITCH=1,C744*(1-I744)*(1-ADD.DISCOUNT)*(1+MAT.SURCHARGE)/EXC.RATE_2,C744*(1-I744)*(1-ADD.DISCOUNT)*(1+MAT.SURCHARGE)*EXC.RATE_2),CURRENCY.FORMAT_2),CURRENCY.FORMAT_2,1),"# ##0;-# ##0"),",-"),FIXED(ROUND(IF(EXC.RATE.SWITCH=1,C744*(1-I744)*(1-ADD.DISCOUNT)*(1+MAT.SURCHARGE)/EXC.RATE_2,C744*(1-I744)*(1-ADD.DISCOUNT)*(1+MAT.SURCHARGE)*EXC.RATE_2),CURRENCY.FORMAT_2),CURRENCY.FORMAT_2,0)),'DICTIONARY-5'!$A$2))</f>
        <v/>
      </c>
      <c r="N744" s="544">
        <v>2</v>
      </c>
      <c r="O744" s="544"/>
      <c r="P744" s="732" t="str">
        <f>'DICTIONARY-3'!$A$16&amp;" "&amp;'DICTIONARY-3'!$A$21</f>
        <v>REMO S3</v>
      </c>
      <c r="Q744" s="732" t="str">
        <f>'DICTIONARY-3'!$A$191</f>
        <v>Zestaw sterowania</v>
      </c>
      <c r="R744" s="732" t="str">
        <f>CONCATENATE('DICTIONARY-3'!$A$16," ",'DICTIONARY-3'!$A$21," ",'DICTIONARY-6'!$A$29," ",'DICTIONARY-3'!$A$13," ",'DICTIONARY-2'!$A$2,U744,", ",'DICTIONARY-6'!$A$54,"1,5-2,7m","+",'DICTIONARY-6'!$A$55,)</f>
        <v>REMO S3 Zest. sterow. EROXplus DN700-1200, przedłuż.1,5-2,7m+końc. kwadr.</v>
      </c>
      <c r="S744" s="733" t="str">
        <f>'DICTIONARY-4'!$A$13</f>
        <v>KK</v>
      </c>
      <c r="T744" s="732" t="str">
        <f>'DICTIONARY-4'!$A$29</f>
        <v>Końcówka kwadratowa, zamontowana</v>
      </c>
      <c r="U744" s="734" t="s">
        <v>7861</v>
      </c>
      <c r="V744" s="735"/>
      <c r="W744" s="736"/>
      <c r="X744" s="737"/>
      <c r="Y744" s="738"/>
      <c r="Z744" s="739"/>
      <c r="AA744" s="739">
        <v>4504</v>
      </c>
      <c r="AB744" s="740"/>
      <c r="AC744" s="741"/>
      <c r="AD744" s="741"/>
      <c r="AE744" s="742"/>
      <c r="AF744" s="743"/>
      <c r="AG744" s="733" t="str">
        <f>'DICTIONARY-5'!$A$27</f>
        <v>pasywacja</v>
      </c>
    </row>
    <row r="745" spans="1:33" x14ac:dyDescent="0.25">
      <c r="A745" s="848"/>
      <c r="B745" s="848" t="str">
        <f>CONCATENATE('DICTIONARY-3'!$A$16,"-",'DICTIONARY-3'!$A$21,"-C.",$U745)</f>
        <v>REMO-S3-C.150-600</v>
      </c>
      <c r="C745" s="836">
        <v>614</v>
      </c>
      <c r="D745" s="849"/>
      <c r="E745" s="836"/>
      <c r="F745" s="836"/>
      <c r="G745" s="850" t="s">
        <v>8211</v>
      </c>
      <c r="H745" s="797" t="str">
        <f>VLOOKUP(G745,SETTINGS!$B$7:$D$97,2,0)</f>
        <v>REMO</v>
      </c>
      <c r="I745" s="796">
        <f>VLOOKUP(G745,SETTINGS!$B$7:$D$97,3,0)</f>
        <v>0</v>
      </c>
      <c r="J745" s="670" t="str">
        <f>IFERROR(IF(CURRENCY.FORMAT_1=0,CONCATENATE(TEXT(FIXED(ROUND((C745/EXC.RATE_1),CURRENCY.FORMAT_1),CURRENCY.FORMAT_1,1),"# ##0;-# ##0"),",-"),FIXED(ROUND((C745/EXC.RATE_1),CURRENCY.FORMAT_1),CURRENCY.FORMAT_1,0)),'DICTIONARY-5'!$A$2)</f>
        <v>614,-</v>
      </c>
      <c r="K745" s="670" t="str">
        <f>IF(EXC.RATE_2=0,"",IFERROR(IF(CURRENCY.FORMAT_2=0,CONCATENATE(TEXT(FIXED(ROUND(IF(EXC.RATE.SWITCH=1,C745/EXC.RATE_2,C745*EXC.RATE_2),CURRENCY.FORMAT_2),CURRENCY.FORMAT_2,1),"# ##0;-# ##0"),",-"),FIXED(ROUND(IF(EXC.RATE.SWITCH=1,C745/EXC.RATE_2,C745*EXC.RATE_2),CURRENCY.FORMAT_2),CURRENCY.FORMAT_2,0)),'DICTIONARY-5'!$A$2))</f>
        <v/>
      </c>
      <c r="L745" s="670" t="str">
        <f>IFERROR(IF(CURRENCY.FORMAT_1=0,CONCATENATE(TEXT(FIXED(ROUND((C745*(1-I745)*(1-ADD.DISCOUNT)*(1+MAT.SURCHARGE)/EXC.RATE_1),CURRENCY.FORMAT_1),CURRENCY.FORMAT_1,1),"# ##0;-# ##0"),",-"),FIXED(ROUND((C745*(1-I745)*(1-ADD.DISCOUNT)*(1+MAT.SURCHARGE)/EXC.RATE_1),CURRENCY.FORMAT_1),CURRENCY.FORMAT_1,0)),'DICTIONARY-5'!$A$2)</f>
        <v>638,-</v>
      </c>
      <c r="M745" s="670" t="str">
        <f>IF(EXC.RATE_2=0,"",IFERROR(IF(CURRENCY.FORMAT_2=0,CONCATENATE(TEXT(FIXED(ROUND(IF(EXC.RATE.SWITCH=1,C745*(1-I745)*(1-ADD.DISCOUNT)*(1+MAT.SURCHARGE)/EXC.RATE_2,C745*(1-I745)*(1-ADD.DISCOUNT)*(1+MAT.SURCHARGE)*EXC.RATE_2),CURRENCY.FORMAT_2),CURRENCY.FORMAT_2,1),"# ##0;-# ##0"),",-"),FIXED(ROUND(IF(EXC.RATE.SWITCH=1,C745*(1-I745)*(1-ADD.DISCOUNT)*(1+MAT.SURCHARGE)/EXC.RATE_2,C745*(1-I745)*(1-ADD.DISCOUNT)*(1+MAT.SURCHARGE)*EXC.RATE_2),CURRENCY.FORMAT_2),CURRENCY.FORMAT_2,0)),'DICTIONARY-5'!$A$2))</f>
        <v/>
      </c>
      <c r="N745" s="544">
        <v>2</v>
      </c>
      <c r="O745" s="544"/>
      <c r="P745" s="732" t="str">
        <f>'DICTIONARY-3'!$A$16&amp;" "&amp;'DICTIONARY-3'!$A$21</f>
        <v>REMO S3</v>
      </c>
      <c r="Q745" s="732" t="str">
        <f>'DICTIONARY-3'!$A$191</f>
        <v>Zestaw sterowania</v>
      </c>
      <c r="R745" s="732" t="str">
        <f>CONCATENATE('DICTIONARY-3'!$A$16," ",'DICTIONARY-3'!$A$21," ",'DICTIONARY-6'!$A$29," ",'DICTIONARY-3'!$A$13," ",'DICTIONARY-2'!$A$2,U745,", ",'DICTIONARY-6'!$A$54,"2,7-5,0m","+",'DICTIONARY-6'!$A$55,)</f>
        <v>REMO S3 Zest. sterow. EROXplus DN150-600, przedłuż.2,7-5,0m+końc. kwadr.</v>
      </c>
      <c r="S745" s="733" t="str">
        <f>'DICTIONARY-4'!$A$13</f>
        <v>KK</v>
      </c>
      <c r="T745" s="732" t="str">
        <f>'DICTIONARY-4'!$A$29</f>
        <v>Końcówka kwadratowa, zamontowana</v>
      </c>
      <c r="U745" s="734" t="s">
        <v>7860</v>
      </c>
      <c r="V745" s="735"/>
      <c r="W745" s="736"/>
      <c r="X745" s="737"/>
      <c r="Y745" s="738"/>
      <c r="Z745" s="739"/>
      <c r="AA745" s="739">
        <v>5683</v>
      </c>
      <c r="AB745" s="740"/>
      <c r="AC745" s="741"/>
      <c r="AD745" s="741"/>
      <c r="AE745" s="742"/>
      <c r="AF745" s="743"/>
      <c r="AG745" s="733" t="str">
        <f>'DICTIONARY-5'!$A$27</f>
        <v>pasywacja</v>
      </c>
    </row>
    <row r="746" spans="1:33" x14ac:dyDescent="0.25">
      <c r="A746" s="848"/>
      <c r="B746" s="848" t="str">
        <f>CONCATENATE('DICTIONARY-3'!$A$16,"-",'DICTIONARY-3'!$A$21,"-C.",$U746)</f>
        <v>REMO-S3-C.700-1200</v>
      </c>
      <c r="C746" s="836">
        <v>672</v>
      </c>
      <c r="D746" s="849"/>
      <c r="E746" s="836"/>
      <c r="F746" s="836"/>
      <c r="G746" s="850" t="s">
        <v>8211</v>
      </c>
      <c r="H746" s="797" t="str">
        <f>VLOOKUP(G746,SETTINGS!$B$7:$D$97,2,0)</f>
        <v>REMO</v>
      </c>
      <c r="I746" s="796">
        <f>VLOOKUP(G746,SETTINGS!$B$7:$D$97,3,0)</f>
        <v>0</v>
      </c>
      <c r="J746" s="670" t="str">
        <f>IFERROR(IF(CURRENCY.FORMAT_1=0,CONCATENATE(TEXT(FIXED(ROUND((C746/EXC.RATE_1),CURRENCY.FORMAT_1),CURRENCY.FORMAT_1,1),"# ##0;-# ##0"),",-"),FIXED(ROUND((C746/EXC.RATE_1),CURRENCY.FORMAT_1),CURRENCY.FORMAT_1,0)),'DICTIONARY-5'!$A$2)</f>
        <v>672,-</v>
      </c>
      <c r="K746" s="670" t="str">
        <f>IF(EXC.RATE_2=0,"",IFERROR(IF(CURRENCY.FORMAT_2=0,CONCATENATE(TEXT(FIXED(ROUND(IF(EXC.RATE.SWITCH=1,C746/EXC.RATE_2,C746*EXC.RATE_2),CURRENCY.FORMAT_2),CURRENCY.FORMAT_2,1),"# ##0;-# ##0"),",-"),FIXED(ROUND(IF(EXC.RATE.SWITCH=1,C746/EXC.RATE_2,C746*EXC.RATE_2),CURRENCY.FORMAT_2),CURRENCY.FORMAT_2,0)),'DICTIONARY-5'!$A$2))</f>
        <v/>
      </c>
      <c r="L746" s="670" t="str">
        <f>IFERROR(IF(CURRENCY.FORMAT_1=0,CONCATENATE(TEXT(FIXED(ROUND((C746*(1-I746)*(1-ADD.DISCOUNT)*(1+MAT.SURCHARGE)/EXC.RATE_1),CURRENCY.FORMAT_1),CURRENCY.FORMAT_1,1),"# ##0;-# ##0"),",-"),FIXED(ROUND((C746*(1-I746)*(1-ADD.DISCOUNT)*(1+MAT.SURCHARGE)/EXC.RATE_1),CURRENCY.FORMAT_1),CURRENCY.FORMAT_1,0)),'DICTIONARY-5'!$A$2)</f>
        <v>698,-</v>
      </c>
      <c r="M746" s="670" t="str">
        <f>IF(EXC.RATE_2=0,"",IFERROR(IF(CURRENCY.FORMAT_2=0,CONCATENATE(TEXT(FIXED(ROUND(IF(EXC.RATE.SWITCH=1,C746*(1-I746)*(1-ADD.DISCOUNT)*(1+MAT.SURCHARGE)/EXC.RATE_2,C746*(1-I746)*(1-ADD.DISCOUNT)*(1+MAT.SURCHARGE)*EXC.RATE_2),CURRENCY.FORMAT_2),CURRENCY.FORMAT_2,1),"# ##0;-# ##0"),",-"),FIXED(ROUND(IF(EXC.RATE.SWITCH=1,C746*(1-I746)*(1-ADD.DISCOUNT)*(1+MAT.SURCHARGE)/EXC.RATE_2,C746*(1-I746)*(1-ADD.DISCOUNT)*(1+MAT.SURCHARGE)*EXC.RATE_2),CURRENCY.FORMAT_2),CURRENCY.FORMAT_2,0)),'DICTIONARY-5'!$A$2))</f>
        <v/>
      </c>
      <c r="N746" s="544">
        <v>2</v>
      </c>
      <c r="O746" s="544"/>
      <c r="P746" s="732" t="str">
        <f>'DICTIONARY-3'!$A$16&amp;" "&amp;'DICTIONARY-3'!$A$21</f>
        <v>REMO S3</v>
      </c>
      <c r="Q746" s="732" t="str">
        <f>'DICTIONARY-3'!$A$191</f>
        <v>Zestaw sterowania</v>
      </c>
      <c r="R746" s="732" t="str">
        <f>CONCATENATE('DICTIONARY-3'!$A$16," ",'DICTIONARY-3'!$A$21," ",'DICTIONARY-6'!$A$29," ",'DICTIONARY-3'!$A$13," ",'DICTIONARY-2'!$A$2,U746,", ",'DICTIONARY-6'!$A$54,"2,7-5,0m","+",'DICTIONARY-6'!$A$55,)</f>
        <v>REMO S3 Zest. sterow. EROXplus DN700-1200, przedłuż.2,7-5,0m+końc. kwadr.</v>
      </c>
      <c r="S746" s="733" t="str">
        <f>'DICTIONARY-4'!$A$13</f>
        <v>KK</v>
      </c>
      <c r="T746" s="732" t="str">
        <f>'DICTIONARY-4'!$A$29</f>
        <v>Końcówka kwadratowa, zamontowana</v>
      </c>
      <c r="U746" s="734" t="s">
        <v>7861</v>
      </c>
      <c r="V746" s="735"/>
      <c r="W746" s="736"/>
      <c r="X746" s="737"/>
      <c r="Y746" s="738"/>
      <c r="Z746" s="739"/>
      <c r="AA746" s="739">
        <v>6804</v>
      </c>
      <c r="AB746" s="740"/>
      <c r="AC746" s="741"/>
      <c r="AD746" s="741"/>
      <c r="AE746" s="742"/>
      <c r="AF746" s="743"/>
      <c r="AG746" s="733" t="str">
        <f>'DICTIONARY-5'!$A$27</f>
        <v>pasywacja</v>
      </c>
    </row>
    <row r="747" spans="1:33" x14ac:dyDescent="0.25">
      <c r="A747" s="848"/>
      <c r="B747" s="848" t="str">
        <f>CONCATENATE('DICTIONARY-3'!$A$16,"-",'DICTIONARY-3'!$A$22,"-A.",$U747)</f>
        <v>REMO-S4-A.150-600</v>
      </c>
      <c r="C747" s="836">
        <v>1159</v>
      </c>
      <c r="D747" s="849"/>
      <c r="E747" s="836"/>
      <c r="F747" s="836"/>
      <c r="G747" s="850" t="s">
        <v>8211</v>
      </c>
      <c r="H747" s="797" t="str">
        <f>VLOOKUP(G747,SETTINGS!$B$7:$D$97,2,0)</f>
        <v>REMO</v>
      </c>
      <c r="I747" s="796">
        <f>VLOOKUP(G747,SETTINGS!$B$7:$D$97,3,0)</f>
        <v>0</v>
      </c>
      <c r="J747" s="670" t="str">
        <f>IFERROR(IF(CURRENCY.FORMAT_1=0,CONCATENATE(TEXT(FIXED(ROUND((C747/EXC.RATE_1),CURRENCY.FORMAT_1),CURRENCY.FORMAT_1,1),"# ##0;-# ##0"),",-"),FIXED(ROUND((C747/EXC.RATE_1),CURRENCY.FORMAT_1),CURRENCY.FORMAT_1,0)),'DICTIONARY-5'!$A$2)</f>
        <v>1 159,-</v>
      </c>
      <c r="K747" s="670" t="str">
        <f>IF(EXC.RATE_2=0,"",IFERROR(IF(CURRENCY.FORMAT_2=0,CONCATENATE(TEXT(FIXED(ROUND(IF(EXC.RATE.SWITCH=1,C747/EXC.RATE_2,C747*EXC.RATE_2),CURRENCY.FORMAT_2),CURRENCY.FORMAT_2,1),"# ##0;-# ##0"),",-"),FIXED(ROUND(IF(EXC.RATE.SWITCH=1,C747/EXC.RATE_2,C747*EXC.RATE_2),CURRENCY.FORMAT_2),CURRENCY.FORMAT_2,0)),'DICTIONARY-5'!$A$2))</f>
        <v/>
      </c>
      <c r="L747" s="670" t="str">
        <f>IFERROR(IF(CURRENCY.FORMAT_1=0,CONCATENATE(TEXT(FIXED(ROUND((C747*(1-I747)*(1-ADD.DISCOUNT)*(1+MAT.SURCHARGE)/EXC.RATE_1),CURRENCY.FORMAT_1),CURRENCY.FORMAT_1,1),"# ##0;-# ##0"),",-"),FIXED(ROUND((C747*(1-I747)*(1-ADD.DISCOUNT)*(1+MAT.SURCHARGE)/EXC.RATE_1),CURRENCY.FORMAT_1),CURRENCY.FORMAT_1,0)),'DICTIONARY-5'!$A$2)</f>
        <v>1 204,-</v>
      </c>
      <c r="M747" s="670" t="str">
        <f>IF(EXC.RATE_2=0,"",IFERROR(IF(CURRENCY.FORMAT_2=0,CONCATENATE(TEXT(FIXED(ROUND(IF(EXC.RATE.SWITCH=1,C747*(1-I747)*(1-ADD.DISCOUNT)*(1+MAT.SURCHARGE)/EXC.RATE_2,C747*(1-I747)*(1-ADD.DISCOUNT)*(1+MAT.SURCHARGE)*EXC.RATE_2),CURRENCY.FORMAT_2),CURRENCY.FORMAT_2,1),"# ##0;-# ##0"),",-"),FIXED(ROUND(IF(EXC.RATE.SWITCH=1,C747*(1-I747)*(1-ADD.DISCOUNT)*(1+MAT.SURCHARGE)/EXC.RATE_2,C747*(1-I747)*(1-ADD.DISCOUNT)*(1+MAT.SURCHARGE)*EXC.RATE_2),CURRENCY.FORMAT_2),CURRENCY.FORMAT_2,0)),'DICTIONARY-5'!$A$2))</f>
        <v/>
      </c>
      <c r="N747" s="544">
        <v>2</v>
      </c>
      <c r="O747" s="544"/>
      <c r="P747" s="732" t="str">
        <f>'DICTIONARY-3'!$A$16&amp;" "&amp;'DICTIONARY-3'!$A$22</f>
        <v>REMO S4</v>
      </c>
      <c r="Q747" s="732" t="str">
        <f>'DICTIONARY-3'!$A$191</f>
        <v>Zestaw sterowania</v>
      </c>
      <c r="R747" s="732" t="str">
        <f>CONCATENATE('DICTIONARY-3'!$A$16," ",'DICTIONARY-3'!$A$22," ",'DICTIONARY-6'!$A$29," ",'DICTIONARY-3'!$A$13," ",'DICTIONARY-2'!$A$2,U747,", ",'DICTIONARY-6'!$A$54,"0,85-1,5m","+",'DICTIONARY-6'!$A$56,"+",'DICTIONARY-6'!$A$57,"+",'DICTIONARY-4'!$A$7)</f>
        <v>REMO S4 Zest. sterow. EROXplus DN150-600, przedłuż.0,85-1,5m+konsola+kolumienka+KR</v>
      </c>
      <c r="S747" s="733" t="str">
        <f>'DICTIONARY-4'!$A$7</f>
        <v>KR</v>
      </c>
      <c r="T747" s="732" t="str">
        <f>'DICTIONARY-4'!$A$23</f>
        <v>Kółko ręczne</v>
      </c>
      <c r="U747" s="734" t="s">
        <v>7860</v>
      </c>
      <c r="V747" s="735"/>
      <c r="W747" s="736"/>
      <c r="X747" s="737"/>
      <c r="Y747" s="738"/>
      <c r="Z747" s="739"/>
      <c r="AA747" s="739">
        <v>2157</v>
      </c>
      <c r="AB747" s="740"/>
      <c r="AC747" s="741"/>
      <c r="AD747" s="741"/>
      <c r="AE747" s="742"/>
      <c r="AF747" s="743"/>
      <c r="AG747" s="733" t="str">
        <f>'DICTIONARY-5'!$A$27</f>
        <v>pasywacja</v>
      </c>
    </row>
    <row r="748" spans="1:33" x14ac:dyDescent="0.25">
      <c r="A748" s="848"/>
      <c r="B748" s="848" t="str">
        <f>CONCATENATE('DICTIONARY-3'!$A$16,"-",'DICTIONARY-3'!$A$22,"-A.",$U748)</f>
        <v>REMO-S4-A.700-1200</v>
      </c>
      <c r="C748" s="836">
        <v>1252</v>
      </c>
      <c r="D748" s="849"/>
      <c r="E748" s="836"/>
      <c r="F748" s="836"/>
      <c r="G748" s="850" t="s">
        <v>8211</v>
      </c>
      <c r="H748" s="797" t="str">
        <f>VLOOKUP(G748,SETTINGS!$B$7:$D$97,2,0)</f>
        <v>REMO</v>
      </c>
      <c r="I748" s="796">
        <f>VLOOKUP(G748,SETTINGS!$B$7:$D$97,3,0)</f>
        <v>0</v>
      </c>
      <c r="J748" s="670" t="str">
        <f>IFERROR(IF(CURRENCY.FORMAT_1=0,CONCATENATE(TEXT(FIXED(ROUND((C748/EXC.RATE_1),CURRENCY.FORMAT_1),CURRENCY.FORMAT_1,1),"# ##0;-# ##0"),",-"),FIXED(ROUND((C748/EXC.RATE_1),CURRENCY.FORMAT_1),CURRENCY.FORMAT_1,0)),'DICTIONARY-5'!$A$2)</f>
        <v>1 252,-</v>
      </c>
      <c r="K748" s="670" t="str">
        <f>IF(EXC.RATE_2=0,"",IFERROR(IF(CURRENCY.FORMAT_2=0,CONCATENATE(TEXT(FIXED(ROUND(IF(EXC.RATE.SWITCH=1,C748/EXC.RATE_2,C748*EXC.RATE_2),CURRENCY.FORMAT_2),CURRENCY.FORMAT_2,1),"# ##0;-# ##0"),",-"),FIXED(ROUND(IF(EXC.RATE.SWITCH=1,C748/EXC.RATE_2,C748*EXC.RATE_2),CURRENCY.FORMAT_2),CURRENCY.FORMAT_2,0)),'DICTIONARY-5'!$A$2))</f>
        <v/>
      </c>
      <c r="L748" s="670" t="str">
        <f>IFERROR(IF(CURRENCY.FORMAT_1=0,CONCATENATE(TEXT(FIXED(ROUND((C748*(1-I748)*(1-ADD.DISCOUNT)*(1+MAT.SURCHARGE)/EXC.RATE_1),CURRENCY.FORMAT_1),CURRENCY.FORMAT_1,1),"# ##0;-# ##0"),",-"),FIXED(ROUND((C748*(1-I748)*(1-ADD.DISCOUNT)*(1+MAT.SURCHARGE)/EXC.RATE_1),CURRENCY.FORMAT_1),CURRENCY.FORMAT_1,0)),'DICTIONARY-5'!$A$2)</f>
        <v>1 301,-</v>
      </c>
      <c r="M748" s="670" t="str">
        <f>IF(EXC.RATE_2=0,"",IFERROR(IF(CURRENCY.FORMAT_2=0,CONCATENATE(TEXT(FIXED(ROUND(IF(EXC.RATE.SWITCH=1,C748*(1-I748)*(1-ADD.DISCOUNT)*(1+MAT.SURCHARGE)/EXC.RATE_2,C748*(1-I748)*(1-ADD.DISCOUNT)*(1+MAT.SURCHARGE)*EXC.RATE_2),CURRENCY.FORMAT_2),CURRENCY.FORMAT_2,1),"# ##0;-# ##0"),",-"),FIXED(ROUND(IF(EXC.RATE.SWITCH=1,C748*(1-I748)*(1-ADD.DISCOUNT)*(1+MAT.SURCHARGE)/EXC.RATE_2,C748*(1-I748)*(1-ADD.DISCOUNT)*(1+MAT.SURCHARGE)*EXC.RATE_2),CURRENCY.FORMAT_2),CURRENCY.FORMAT_2,0)),'DICTIONARY-5'!$A$2))</f>
        <v/>
      </c>
      <c r="N748" s="544">
        <v>2</v>
      </c>
      <c r="O748" s="544"/>
      <c r="P748" s="732" t="str">
        <f>'DICTIONARY-3'!$A$16&amp;" "&amp;'DICTIONARY-3'!$A$22</f>
        <v>REMO S4</v>
      </c>
      <c r="Q748" s="732" t="str">
        <f>'DICTIONARY-3'!$A$191</f>
        <v>Zestaw sterowania</v>
      </c>
      <c r="R748" s="732" t="str">
        <f>CONCATENATE('DICTIONARY-3'!$A$16," ",'DICTIONARY-3'!$A$22," ",'DICTIONARY-6'!$A$29," ",'DICTIONARY-3'!$A$13," ",'DICTIONARY-2'!$A$2,U748,", ",'DICTIONARY-6'!$A$54,"0,85-1,5m","+",'DICTIONARY-6'!$A$56,"+",'DICTIONARY-6'!$A$57,"+",'DICTIONARY-4'!$A$7)</f>
        <v>REMO S4 Zest. sterow. EROXplus DN700-1200, przedłuż.0,85-1,5m+konsola+kolumienka+KR</v>
      </c>
      <c r="S748" s="733" t="str">
        <f>'DICTIONARY-4'!$A$7</f>
        <v>KR</v>
      </c>
      <c r="T748" s="732" t="str">
        <f>'DICTIONARY-4'!$A$23</f>
        <v>Kółko ręczne</v>
      </c>
      <c r="U748" s="734" t="s">
        <v>7861</v>
      </c>
      <c r="V748" s="735"/>
      <c r="W748" s="736"/>
      <c r="X748" s="737"/>
      <c r="Y748" s="738"/>
      <c r="Z748" s="739"/>
      <c r="AA748" s="739">
        <v>3278</v>
      </c>
      <c r="AB748" s="740"/>
      <c r="AC748" s="741"/>
      <c r="AD748" s="741"/>
      <c r="AE748" s="742"/>
      <c r="AF748" s="743"/>
      <c r="AG748" s="733" t="str">
        <f>'DICTIONARY-5'!$A$27</f>
        <v>pasywacja</v>
      </c>
    </row>
    <row r="749" spans="1:33" x14ac:dyDescent="0.25">
      <c r="A749" s="848"/>
      <c r="B749" s="848" t="str">
        <f>CONCATENATE('DICTIONARY-3'!$A$16,"-",'DICTIONARY-3'!$A$22,"-B.",$U749)</f>
        <v>REMO-S4-B.150-600</v>
      </c>
      <c r="C749" s="836">
        <v>1470</v>
      </c>
      <c r="D749" s="849"/>
      <c r="E749" s="836"/>
      <c r="F749" s="836"/>
      <c r="G749" s="850" t="s">
        <v>8211</v>
      </c>
      <c r="H749" s="797" t="str">
        <f>VLOOKUP(G749,SETTINGS!$B$7:$D$97,2,0)</f>
        <v>REMO</v>
      </c>
      <c r="I749" s="796">
        <f>VLOOKUP(G749,SETTINGS!$B$7:$D$97,3,0)</f>
        <v>0</v>
      </c>
      <c r="J749" s="670" t="str">
        <f>IFERROR(IF(CURRENCY.FORMAT_1=0,CONCATENATE(TEXT(FIXED(ROUND((C749/EXC.RATE_1),CURRENCY.FORMAT_1),CURRENCY.FORMAT_1,1),"# ##0;-# ##0"),",-"),FIXED(ROUND((C749/EXC.RATE_1),CURRENCY.FORMAT_1),CURRENCY.FORMAT_1,0)),'DICTIONARY-5'!$A$2)</f>
        <v>1 470,-</v>
      </c>
      <c r="K749" s="670" t="str">
        <f>IF(EXC.RATE_2=0,"",IFERROR(IF(CURRENCY.FORMAT_2=0,CONCATENATE(TEXT(FIXED(ROUND(IF(EXC.RATE.SWITCH=1,C749/EXC.RATE_2,C749*EXC.RATE_2),CURRENCY.FORMAT_2),CURRENCY.FORMAT_2,1),"# ##0;-# ##0"),",-"),FIXED(ROUND(IF(EXC.RATE.SWITCH=1,C749/EXC.RATE_2,C749*EXC.RATE_2),CURRENCY.FORMAT_2),CURRENCY.FORMAT_2,0)),'DICTIONARY-5'!$A$2))</f>
        <v/>
      </c>
      <c r="L749" s="670" t="str">
        <f>IFERROR(IF(CURRENCY.FORMAT_1=0,CONCATENATE(TEXT(FIXED(ROUND((C749*(1-I749)*(1-ADD.DISCOUNT)*(1+MAT.SURCHARGE)/EXC.RATE_1),CURRENCY.FORMAT_1),CURRENCY.FORMAT_1,1),"# ##0;-# ##0"),",-"),FIXED(ROUND((C749*(1-I749)*(1-ADD.DISCOUNT)*(1+MAT.SURCHARGE)/EXC.RATE_1),CURRENCY.FORMAT_1),CURRENCY.FORMAT_1,0)),'DICTIONARY-5'!$A$2)</f>
        <v>1 527,-</v>
      </c>
      <c r="M749" s="670" t="str">
        <f>IF(EXC.RATE_2=0,"",IFERROR(IF(CURRENCY.FORMAT_2=0,CONCATENATE(TEXT(FIXED(ROUND(IF(EXC.RATE.SWITCH=1,C749*(1-I749)*(1-ADD.DISCOUNT)*(1+MAT.SURCHARGE)/EXC.RATE_2,C749*(1-I749)*(1-ADD.DISCOUNT)*(1+MAT.SURCHARGE)*EXC.RATE_2),CURRENCY.FORMAT_2),CURRENCY.FORMAT_2,1),"# ##0;-# ##0"),",-"),FIXED(ROUND(IF(EXC.RATE.SWITCH=1,C749*(1-I749)*(1-ADD.DISCOUNT)*(1+MAT.SURCHARGE)/EXC.RATE_2,C749*(1-I749)*(1-ADD.DISCOUNT)*(1+MAT.SURCHARGE)*EXC.RATE_2),CURRENCY.FORMAT_2),CURRENCY.FORMAT_2,0)),'DICTIONARY-5'!$A$2))</f>
        <v/>
      </c>
      <c r="N749" s="544">
        <v>2</v>
      </c>
      <c r="O749" s="544"/>
      <c r="P749" s="732" t="str">
        <f>'DICTIONARY-3'!$A$16&amp;" "&amp;'DICTIONARY-3'!$A$22</f>
        <v>REMO S4</v>
      </c>
      <c r="Q749" s="732" t="str">
        <f>'DICTIONARY-3'!$A$191</f>
        <v>Zestaw sterowania</v>
      </c>
      <c r="R749" s="732" t="str">
        <f>CONCATENATE('DICTIONARY-3'!$A$16," ",'DICTIONARY-3'!$A$22," ",'DICTIONARY-6'!$A$29," ",'DICTIONARY-3'!$A$13," ",'DICTIONARY-2'!$A$2,U749,", ",'DICTIONARY-6'!$A$54,"1,5-2,7m","+",'DICTIONARY-6'!$A$56,"+",'DICTIONARY-6'!$A$57,"+",'DICTIONARY-4'!$A$7)</f>
        <v>REMO S4 Zest. sterow. EROXplus DN150-600, przedłuż.1,5-2,7m+konsola+kolumienka+KR</v>
      </c>
      <c r="S749" s="733" t="str">
        <f>'DICTIONARY-4'!$A$7</f>
        <v>KR</v>
      </c>
      <c r="T749" s="732" t="str">
        <f>'DICTIONARY-4'!$A$23</f>
        <v>Kółko ręczne</v>
      </c>
      <c r="U749" s="734" t="s">
        <v>7860</v>
      </c>
      <c r="V749" s="735"/>
      <c r="W749" s="736"/>
      <c r="X749" s="737"/>
      <c r="Y749" s="738"/>
      <c r="Z749" s="739"/>
      <c r="AA749" s="739">
        <v>3357</v>
      </c>
      <c r="AB749" s="740"/>
      <c r="AC749" s="741"/>
      <c r="AD749" s="741"/>
      <c r="AE749" s="742"/>
      <c r="AF749" s="743"/>
      <c r="AG749" s="733" t="str">
        <f>'DICTIONARY-5'!$A$27</f>
        <v>pasywacja</v>
      </c>
    </row>
    <row r="750" spans="1:33" x14ac:dyDescent="0.25">
      <c r="A750" s="848"/>
      <c r="B750" s="848" t="str">
        <f>CONCATENATE('DICTIONARY-3'!$A$16,"-",'DICTIONARY-3'!$A$22,"-B.",$U750)</f>
        <v>REMO-S4-B.700-1200</v>
      </c>
      <c r="C750" s="836">
        <v>1588</v>
      </c>
      <c r="D750" s="849"/>
      <c r="E750" s="836"/>
      <c r="F750" s="836"/>
      <c r="G750" s="850" t="s">
        <v>8211</v>
      </c>
      <c r="H750" s="797" t="str">
        <f>VLOOKUP(G750,SETTINGS!$B$7:$D$97,2,0)</f>
        <v>REMO</v>
      </c>
      <c r="I750" s="796">
        <f>VLOOKUP(G750,SETTINGS!$B$7:$D$97,3,0)</f>
        <v>0</v>
      </c>
      <c r="J750" s="670" t="str">
        <f>IFERROR(IF(CURRENCY.FORMAT_1=0,CONCATENATE(TEXT(FIXED(ROUND((C750/EXC.RATE_1),CURRENCY.FORMAT_1),CURRENCY.FORMAT_1,1),"# ##0;-# ##0"),",-"),FIXED(ROUND((C750/EXC.RATE_1),CURRENCY.FORMAT_1),CURRENCY.FORMAT_1,0)),'DICTIONARY-5'!$A$2)</f>
        <v>1 588,-</v>
      </c>
      <c r="K750" s="670" t="str">
        <f>IF(EXC.RATE_2=0,"",IFERROR(IF(CURRENCY.FORMAT_2=0,CONCATENATE(TEXT(FIXED(ROUND(IF(EXC.RATE.SWITCH=1,C750/EXC.RATE_2,C750*EXC.RATE_2),CURRENCY.FORMAT_2),CURRENCY.FORMAT_2,1),"# ##0;-# ##0"),",-"),FIXED(ROUND(IF(EXC.RATE.SWITCH=1,C750/EXC.RATE_2,C750*EXC.RATE_2),CURRENCY.FORMAT_2),CURRENCY.FORMAT_2,0)),'DICTIONARY-5'!$A$2))</f>
        <v/>
      </c>
      <c r="L750" s="670" t="str">
        <f>IFERROR(IF(CURRENCY.FORMAT_1=0,CONCATENATE(TEXT(FIXED(ROUND((C750*(1-I750)*(1-ADD.DISCOUNT)*(1+MAT.SURCHARGE)/EXC.RATE_1),CURRENCY.FORMAT_1),CURRENCY.FORMAT_1,1),"# ##0;-# ##0"),",-"),FIXED(ROUND((C750*(1-I750)*(1-ADD.DISCOUNT)*(1+MAT.SURCHARGE)/EXC.RATE_1),CURRENCY.FORMAT_1),CURRENCY.FORMAT_1,0)),'DICTIONARY-5'!$A$2)</f>
        <v>1 650,-</v>
      </c>
      <c r="M750" s="670" t="str">
        <f>IF(EXC.RATE_2=0,"",IFERROR(IF(CURRENCY.FORMAT_2=0,CONCATENATE(TEXT(FIXED(ROUND(IF(EXC.RATE.SWITCH=1,C750*(1-I750)*(1-ADD.DISCOUNT)*(1+MAT.SURCHARGE)/EXC.RATE_2,C750*(1-I750)*(1-ADD.DISCOUNT)*(1+MAT.SURCHARGE)*EXC.RATE_2),CURRENCY.FORMAT_2),CURRENCY.FORMAT_2,1),"# ##0;-# ##0"),",-"),FIXED(ROUND(IF(EXC.RATE.SWITCH=1,C750*(1-I750)*(1-ADD.DISCOUNT)*(1+MAT.SURCHARGE)/EXC.RATE_2,C750*(1-I750)*(1-ADD.DISCOUNT)*(1+MAT.SURCHARGE)*EXC.RATE_2),CURRENCY.FORMAT_2),CURRENCY.FORMAT_2,0)),'DICTIONARY-5'!$A$2))</f>
        <v/>
      </c>
      <c r="N750" s="544">
        <v>2</v>
      </c>
      <c r="O750" s="544"/>
      <c r="P750" s="732" t="str">
        <f>'DICTIONARY-3'!$A$16&amp;" "&amp;'DICTIONARY-3'!$A$22</f>
        <v>REMO S4</v>
      </c>
      <c r="Q750" s="732" t="str">
        <f>'DICTIONARY-3'!$A$191</f>
        <v>Zestaw sterowania</v>
      </c>
      <c r="R750" s="732" t="str">
        <f>CONCATENATE('DICTIONARY-3'!$A$16," ",'DICTIONARY-3'!$A$22," ",'DICTIONARY-6'!$A$29," ",'DICTIONARY-3'!$A$13," ",'DICTIONARY-2'!$A$2,U750,", ",'DICTIONARY-6'!$A$54,"1,5-2,7m","+",'DICTIONARY-6'!$A$56,"+",'DICTIONARY-6'!$A$57,"+",'DICTIONARY-4'!$A$7)</f>
        <v>REMO S4 Zest. sterow. EROXplus DN700-1200, przedłuż.1,5-2,7m+konsola+kolumienka+KR</v>
      </c>
      <c r="S750" s="733" t="str">
        <f>'DICTIONARY-4'!$A$7</f>
        <v>KR</v>
      </c>
      <c r="T750" s="732" t="str">
        <f>'DICTIONARY-4'!$A$23</f>
        <v>Kółko ręczne</v>
      </c>
      <c r="U750" s="734" t="s">
        <v>7861</v>
      </c>
      <c r="V750" s="735"/>
      <c r="W750" s="736"/>
      <c r="X750" s="737"/>
      <c r="Y750" s="738"/>
      <c r="Z750" s="739"/>
      <c r="AA750" s="739">
        <v>4478</v>
      </c>
      <c r="AB750" s="740"/>
      <c r="AC750" s="741"/>
      <c r="AD750" s="741"/>
      <c r="AE750" s="742"/>
      <c r="AF750" s="743"/>
      <c r="AG750" s="733" t="str">
        <f>'DICTIONARY-5'!$A$27</f>
        <v>pasywacja</v>
      </c>
    </row>
    <row r="751" spans="1:33" x14ac:dyDescent="0.25">
      <c r="A751" s="848"/>
      <c r="B751" s="848" t="str">
        <f>CONCATENATE('DICTIONARY-3'!$A$16,"-",'DICTIONARY-3'!$A$22,"-C.",$U751)</f>
        <v>REMO-S4-C.150-600</v>
      </c>
      <c r="C751" s="836">
        <v>1851</v>
      </c>
      <c r="D751" s="849"/>
      <c r="E751" s="836"/>
      <c r="F751" s="836"/>
      <c r="G751" s="850" t="s">
        <v>8211</v>
      </c>
      <c r="H751" s="797" t="str">
        <f>VLOOKUP(G751,SETTINGS!$B$7:$D$97,2,0)</f>
        <v>REMO</v>
      </c>
      <c r="I751" s="796">
        <f>VLOOKUP(G751,SETTINGS!$B$7:$D$97,3,0)</f>
        <v>0</v>
      </c>
      <c r="J751" s="670" t="str">
        <f>IFERROR(IF(CURRENCY.FORMAT_1=0,CONCATENATE(TEXT(FIXED(ROUND((C751/EXC.RATE_1),CURRENCY.FORMAT_1),CURRENCY.FORMAT_1,1),"# ##0;-# ##0"),",-"),FIXED(ROUND((C751/EXC.RATE_1),CURRENCY.FORMAT_1),CURRENCY.FORMAT_1,0)),'DICTIONARY-5'!$A$2)</f>
        <v>1 851,-</v>
      </c>
      <c r="K751" s="670" t="str">
        <f>IF(EXC.RATE_2=0,"",IFERROR(IF(CURRENCY.FORMAT_2=0,CONCATENATE(TEXT(FIXED(ROUND(IF(EXC.RATE.SWITCH=1,C751/EXC.RATE_2,C751*EXC.RATE_2),CURRENCY.FORMAT_2),CURRENCY.FORMAT_2,1),"# ##0;-# ##0"),",-"),FIXED(ROUND(IF(EXC.RATE.SWITCH=1,C751/EXC.RATE_2,C751*EXC.RATE_2),CURRENCY.FORMAT_2),CURRENCY.FORMAT_2,0)),'DICTIONARY-5'!$A$2))</f>
        <v/>
      </c>
      <c r="L751" s="670" t="str">
        <f>IFERROR(IF(CURRENCY.FORMAT_1=0,CONCATENATE(TEXT(FIXED(ROUND((C751*(1-I751)*(1-ADD.DISCOUNT)*(1+MAT.SURCHARGE)/EXC.RATE_1),CURRENCY.FORMAT_1),CURRENCY.FORMAT_1,1),"# ##0;-# ##0"),",-"),FIXED(ROUND((C751*(1-I751)*(1-ADD.DISCOUNT)*(1+MAT.SURCHARGE)/EXC.RATE_1),CURRENCY.FORMAT_1),CURRENCY.FORMAT_1,0)),'DICTIONARY-5'!$A$2)</f>
        <v>1 923,-</v>
      </c>
      <c r="M751" s="670" t="str">
        <f>IF(EXC.RATE_2=0,"",IFERROR(IF(CURRENCY.FORMAT_2=0,CONCATENATE(TEXT(FIXED(ROUND(IF(EXC.RATE.SWITCH=1,C751*(1-I751)*(1-ADD.DISCOUNT)*(1+MAT.SURCHARGE)/EXC.RATE_2,C751*(1-I751)*(1-ADD.DISCOUNT)*(1+MAT.SURCHARGE)*EXC.RATE_2),CURRENCY.FORMAT_2),CURRENCY.FORMAT_2,1),"# ##0;-# ##0"),",-"),FIXED(ROUND(IF(EXC.RATE.SWITCH=1,C751*(1-I751)*(1-ADD.DISCOUNT)*(1+MAT.SURCHARGE)/EXC.RATE_2,C751*(1-I751)*(1-ADD.DISCOUNT)*(1+MAT.SURCHARGE)*EXC.RATE_2),CURRENCY.FORMAT_2),CURRENCY.FORMAT_2,0)),'DICTIONARY-5'!$A$2))</f>
        <v/>
      </c>
      <c r="N751" s="544">
        <v>2</v>
      </c>
      <c r="O751" s="544"/>
      <c r="P751" s="732" t="str">
        <f>'DICTIONARY-3'!$A$16&amp;" "&amp;'DICTIONARY-3'!$A$22</f>
        <v>REMO S4</v>
      </c>
      <c r="Q751" s="732" t="str">
        <f>'DICTIONARY-3'!$A$191</f>
        <v>Zestaw sterowania</v>
      </c>
      <c r="R751" s="732" t="str">
        <f>CONCATENATE('DICTIONARY-3'!$A$16," ",'DICTIONARY-3'!$A$22," ",'DICTIONARY-6'!$A$29," ",'DICTIONARY-3'!$A$13," ",'DICTIONARY-2'!$A$2,U751,", ",'DICTIONARY-6'!$A$54,"2,7-5,0m","+",'DICTIONARY-6'!$A$56,"+",'DICTIONARY-6'!$A$57,"+",'DICTIONARY-4'!$A$7)</f>
        <v>REMO S4 Zest. sterow. EROXplus DN150-600, przedłuż.2,7-5,0m+konsola+kolumienka+KR</v>
      </c>
      <c r="S751" s="733" t="str">
        <f>'DICTIONARY-4'!$A$7</f>
        <v>KR</v>
      </c>
      <c r="T751" s="732" t="str">
        <f>'DICTIONARY-4'!$A$23</f>
        <v>Kółko ręczne</v>
      </c>
      <c r="U751" s="734" t="s">
        <v>7860</v>
      </c>
      <c r="V751" s="735"/>
      <c r="W751" s="736"/>
      <c r="X751" s="737"/>
      <c r="Y751" s="738"/>
      <c r="Z751" s="739"/>
      <c r="AA751" s="739">
        <v>5657</v>
      </c>
      <c r="AB751" s="740"/>
      <c r="AC751" s="741"/>
      <c r="AD751" s="741"/>
      <c r="AE751" s="742"/>
      <c r="AF751" s="743"/>
      <c r="AG751" s="733" t="str">
        <f>'DICTIONARY-5'!$A$27</f>
        <v>pasywacja</v>
      </c>
    </row>
    <row r="752" spans="1:33" x14ac:dyDescent="0.25">
      <c r="A752" s="848"/>
      <c r="B752" s="848" t="str">
        <f>CONCATENATE('DICTIONARY-3'!$A$16,"-",'DICTIONARY-3'!$A$22,"-C.",$U752)</f>
        <v>REMO-S4-C.700-1200</v>
      </c>
      <c r="C752" s="836">
        <v>2044</v>
      </c>
      <c r="D752" s="849"/>
      <c r="E752" s="836"/>
      <c r="F752" s="836"/>
      <c r="G752" s="850" t="s">
        <v>8211</v>
      </c>
      <c r="H752" s="797" t="str">
        <f>VLOOKUP(G752,SETTINGS!$B$7:$D$97,2,0)</f>
        <v>REMO</v>
      </c>
      <c r="I752" s="796">
        <f>VLOOKUP(G752,SETTINGS!$B$7:$D$97,3,0)</f>
        <v>0</v>
      </c>
      <c r="J752" s="670" t="str">
        <f>IFERROR(IF(CURRENCY.FORMAT_1=0,CONCATENATE(TEXT(FIXED(ROUND((C752/EXC.RATE_1),CURRENCY.FORMAT_1),CURRENCY.FORMAT_1,1),"# ##0;-# ##0"),",-"),FIXED(ROUND((C752/EXC.RATE_1),CURRENCY.FORMAT_1),CURRENCY.FORMAT_1,0)),'DICTIONARY-5'!$A$2)</f>
        <v>2 044,-</v>
      </c>
      <c r="K752" s="670" t="str">
        <f>IF(EXC.RATE_2=0,"",IFERROR(IF(CURRENCY.FORMAT_2=0,CONCATENATE(TEXT(FIXED(ROUND(IF(EXC.RATE.SWITCH=1,C752/EXC.RATE_2,C752*EXC.RATE_2),CURRENCY.FORMAT_2),CURRENCY.FORMAT_2,1),"# ##0;-# ##0"),",-"),FIXED(ROUND(IF(EXC.RATE.SWITCH=1,C752/EXC.RATE_2,C752*EXC.RATE_2),CURRENCY.FORMAT_2),CURRENCY.FORMAT_2,0)),'DICTIONARY-5'!$A$2))</f>
        <v/>
      </c>
      <c r="L752" s="670" t="str">
        <f>IFERROR(IF(CURRENCY.FORMAT_1=0,CONCATENATE(TEXT(FIXED(ROUND((C752*(1-I752)*(1-ADD.DISCOUNT)*(1+MAT.SURCHARGE)/EXC.RATE_1),CURRENCY.FORMAT_1),CURRENCY.FORMAT_1,1),"# ##0;-# ##0"),",-"),FIXED(ROUND((C752*(1-I752)*(1-ADD.DISCOUNT)*(1+MAT.SURCHARGE)/EXC.RATE_1),CURRENCY.FORMAT_1),CURRENCY.FORMAT_1,0)),'DICTIONARY-5'!$A$2)</f>
        <v>2 124,-</v>
      </c>
      <c r="M752" s="670" t="str">
        <f>IF(EXC.RATE_2=0,"",IFERROR(IF(CURRENCY.FORMAT_2=0,CONCATENATE(TEXT(FIXED(ROUND(IF(EXC.RATE.SWITCH=1,C752*(1-I752)*(1-ADD.DISCOUNT)*(1+MAT.SURCHARGE)/EXC.RATE_2,C752*(1-I752)*(1-ADD.DISCOUNT)*(1+MAT.SURCHARGE)*EXC.RATE_2),CURRENCY.FORMAT_2),CURRENCY.FORMAT_2,1),"# ##0;-# ##0"),",-"),FIXED(ROUND(IF(EXC.RATE.SWITCH=1,C752*(1-I752)*(1-ADD.DISCOUNT)*(1+MAT.SURCHARGE)/EXC.RATE_2,C752*(1-I752)*(1-ADD.DISCOUNT)*(1+MAT.SURCHARGE)*EXC.RATE_2),CURRENCY.FORMAT_2),CURRENCY.FORMAT_2,0)),'DICTIONARY-5'!$A$2))</f>
        <v/>
      </c>
      <c r="N752" s="544">
        <v>2</v>
      </c>
      <c r="O752" s="544"/>
      <c r="P752" s="732" t="str">
        <f>'DICTIONARY-3'!$A$16&amp;" "&amp;'DICTIONARY-3'!$A$22</f>
        <v>REMO S4</v>
      </c>
      <c r="Q752" s="732" t="str">
        <f>'DICTIONARY-3'!$A$191</f>
        <v>Zestaw sterowania</v>
      </c>
      <c r="R752" s="732" t="str">
        <f>CONCATENATE('DICTIONARY-3'!$A$16," ",'DICTIONARY-3'!$A$22," ",'DICTIONARY-6'!$A$29," ",'DICTIONARY-3'!$A$13," ",'DICTIONARY-2'!$A$2,U752,", ",'DICTIONARY-6'!$A$54,"2,7-5,0m","+",'DICTIONARY-6'!$A$56,"+",'DICTIONARY-6'!$A$57,"+",'DICTIONARY-4'!$A$7)</f>
        <v>REMO S4 Zest. sterow. EROXplus DN700-1200, przedłuż.2,7-5,0m+konsola+kolumienka+KR</v>
      </c>
      <c r="S752" s="733" t="str">
        <f>'DICTIONARY-4'!$A$7</f>
        <v>KR</v>
      </c>
      <c r="T752" s="732" t="str">
        <f>'DICTIONARY-4'!$A$23</f>
        <v>Kółko ręczne</v>
      </c>
      <c r="U752" s="734" t="s">
        <v>7861</v>
      </c>
      <c r="V752" s="735"/>
      <c r="W752" s="736"/>
      <c r="X752" s="737"/>
      <c r="Y752" s="738"/>
      <c r="Z752" s="739"/>
      <c r="AA752" s="739">
        <v>6778</v>
      </c>
      <c r="AB752" s="740"/>
      <c r="AC752" s="741"/>
      <c r="AD752" s="741"/>
      <c r="AE752" s="742"/>
      <c r="AF752" s="743"/>
      <c r="AG752" s="733" t="str">
        <f>'DICTIONARY-5'!$A$27</f>
        <v>pasywacja</v>
      </c>
    </row>
    <row r="753" spans="1:33" x14ac:dyDescent="0.25">
      <c r="A753" s="848"/>
      <c r="B753" s="848" t="str">
        <f>CONCATENATE('DICTIONARY-3'!$A$16,"-",'DICTIONARY-3'!$A$23,"-A.",$U753)</f>
        <v>REMO-S5-A.150-600</v>
      </c>
      <c r="C753" s="836">
        <v>1146</v>
      </c>
      <c r="D753" s="849"/>
      <c r="E753" s="836"/>
      <c r="F753" s="836"/>
      <c r="G753" s="850" t="s">
        <v>8211</v>
      </c>
      <c r="H753" s="797" t="str">
        <f>VLOOKUP(G753,SETTINGS!$B$7:$D$97,2,0)</f>
        <v>REMO</v>
      </c>
      <c r="I753" s="796">
        <f>VLOOKUP(G753,SETTINGS!$B$7:$D$97,3,0)</f>
        <v>0</v>
      </c>
      <c r="J753" s="670" t="str">
        <f>IFERROR(IF(CURRENCY.FORMAT_1=0,CONCATENATE(TEXT(FIXED(ROUND((C753/EXC.RATE_1),CURRENCY.FORMAT_1),CURRENCY.FORMAT_1,1),"# ##0;-# ##0"),",-"),FIXED(ROUND((C753/EXC.RATE_1),CURRENCY.FORMAT_1),CURRENCY.FORMAT_1,0)),'DICTIONARY-5'!$A$2)</f>
        <v>1 146,-</v>
      </c>
      <c r="K753" s="670" t="str">
        <f>IF(EXC.RATE_2=0,"",IFERROR(IF(CURRENCY.FORMAT_2=0,CONCATENATE(TEXT(FIXED(ROUND(IF(EXC.RATE.SWITCH=1,C753/EXC.RATE_2,C753*EXC.RATE_2),CURRENCY.FORMAT_2),CURRENCY.FORMAT_2,1),"# ##0;-# ##0"),",-"),FIXED(ROUND(IF(EXC.RATE.SWITCH=1,C753/EXC.RATE_2,C753*EXC.RATE_2),CURRENCY.FORMAT_2),CURRENCY.FORMAT_2,0)),'DICTIONARY-5'!$A$2))</f>
        <v/>
      </c>
      <c r="L753" s="670" t="str">
        <f>IFERROR(IF(CURRENCY.FORMAT_1=0,CONCATENATE(TEXT(FIXED(ROUND((C753*(1-I753)*(1-ADD.DISCOUNT)*(1+MAT.SURCHARGE)/EXC.RATE_1),CURRENCY.FORMAT_1),CURRENCY.FORMAT_1,1),"# ##0;-# ##0"),",-"),FIXED(ROUND((C753*(1-I753)*(1-ADD.DISCOUNT)*(1+MAT.SURCHARGE)/EXC.RATE_1),CURRENCY.FORMAT_1),CURRENCY.FORMAT_1,0)),'DICTIONARY-5'!$A$2)</f>
        <v>1 191,-</v>
      </c>
      <c r="M753" s="670" t="str">
        <f>IF(EXC.RATE_2=0,"",IFERROR(IF(CURRENCY.FORMAT_2=0,CONCATENATE(TEXT(FIXED(ROUND(IF(EXC.RATE.SWITCH=1,C753*(1-I753)*(1-ADD.DISCOUNT)*(1+MAT.SURCHARGE)/EXC.RATE_2,C753*(1-I753)*(1-ADD.DISCOUNT)*(1+MAT.SURCHARGE)*EXC.RATE_2),CURRENCY.FORMAT_2),CURRENCY.FORMAT_2,1),"# ##0;-# ##0"),",-"),FIXED(ROUND(IF(EXC.RATE.SWITCH=1,C753*(1-I753)*(1-ADD.DISCOUNT)*(1+MAT.SURCHARGE)/EXC.RATE_2,C753*(1-I753)*(1-ADD.DISCOUNT)*(1+MAT.SURCHARGE)*EXC.RATE_2),CURRENCY.FORMAT_2),CURRENCY.FORMAT_2,0)),'DICTIONARY-5'!$A$2))</f>
        <v/>
      </c>
      <c r="N753" s="544">
        <v>2</v>
      </c>
      <c r="O753" s="544"/>
      <c r="P753" s="732" t="str">
        <f>'DICTIONARY-3'!$A$16&amp;" "&amp;'DICTIONARY-3'!$A$23</f>
        <v>REMO S5</v>
      </c>
      <c r="Q753" s="732" t="str">
        <f>'DICTIONARY-3'!$A$191</f>
        <v>Zestaw sterowania</v>
      </c>
      <c r="R753" s="732" t="str">
        <f>CONCATENATE('DICTIONARY-3'!$A$16," ",'DICTIONARY-3'!$A$23," ",'DICTIONARY-6'!$A$29," ",'DICTIONARY-3'!$A$13," ",'DICTIONARY-2'!$A$2,U753,", ",'DICTIONARY-6'!$A$54,"0,85-1,5m","+",'DICTIONARY-6'!$A$56,"+",'DICTIONARY-6'!$A$57," ",,'DICTIONARY-5'!$A$7," ",'DICTIONARY-4'!$A$4)</f>
        <v>REMO S5 Zest. sterow. EROXplus DN150-600, przedłuż.0,85-1,5m+konsola+kolumienka dla NE</v>
      </c>
      <c r="S753" s="733" t="str">
        <f>'DICTIONARY-4'!$A$11</f>
        <v>PNE</v>
      </c>
      <c r="T753" s="732" t="str">
        <f>'DICTIONARY-4'!$A$27</f>
        <v>Przygotowane pod napęd elektryczny</v>
      </c>
      <c r="U753" s="734" t="s">
        <v>7860</v>
      </c>
      <c r="V753" s="735"/>
      <c r="W753" s="736"/>
      <c r="X753" s="737"/>
      <c r="Y753" s="738"/>
      <c r="Z753" s="739"/>
      <c r="AA753" s="739">
        <v>2157</v>
      </c>
      <c r="AB753" s="740"/>
      <c r="AC753" s="741"/>
      <c r="AD753" s="741"/>
      <c r="AE753" s="742"/>
      <c r="AF753" s="743"/>
      <c r="AG753" s="733" t="str">
        <f>'DICTIONARY-5'!$A$27</f>
        <v>pasywacja</v>
      </c>
    </row>
    <row r="754" spans="1:33" x14ac:dyDescent="0.25">
      <c r="A754" s="848"/>
      <c r="B754" s="848" t="str">
        <f>CONCATENATE('DICTIONARY-3'!$A$16,"-",'DICTIONARY-3'!$A$23,"-A.",$U754)</f>
        <v>REMO-S5-A.700-900</v>
      </c>
      <c r="C754" s="836">
        <v>1150</v>
      </c>
      <c r="D754" s="849"/>
      <c r="E754" s="836"/>
      <c r="F754" s="836"/>
      <c r="G754" s="850" t="s">
        <v>8211</v>
      </c>
      <c r="H754" s="797" t="str">
        <f>VLOOKUP(G754,SETTINGS!$B$7:$D$97,2,0)</f>
        <v>REMO</v>
      </c>
      <c r="I754" s="796">
        <f>VLOOKUP(G754,SETTINGS!$B$7:$D$97,3,0)</f>
        <v>0</v>
      </c>
      <c r="J754" s="670" t="str">
        <f>IFERROR(IF(CURRENCY.FORMAT_1=0,CONCATENATE(TEXT(FIXED(ROUND((C754/EXC.RATE_1),CURRENCY.FORMAT_1),CURRENCY.FORMAT_1,1),"# ##0;-# ##0"),",-"),FIXED(ROUND((C754/EXC.RATE_1),CURRENCY.FORMAT_1),CURRENCY.FORMAT_1,0)),'DICTIONARY-5'!$A$2)</f>
        <v>1 150,-</v>
      </c>
      <c r="K754" s="670" t="str">
        <f>IF(EXC.RATE_2=0,"",IFERROR(IF(CURRENCY.FORMAT_2=0,CONCATENATE(TEXT(FIXED(ROUND(IF(EXC.RATE.SWITCH=1,C754/EXC.RATE_2,C754*EXC.RATE_2),CURRENCY.FORMAT_2),CURRENCY.FORMAT_2,1),"# ##0;-# ##0"),",-"),FIXED(ROUND(IF(EXC.RATE.SWITCH=1,C754/EXC.RATE_2,C754*EXC.RATE_2),CURRENCY.FORMAT_2),CURRENCY.FORMAT_2,0)),'DICTIONARY-5'!$A$2))</f>
        <v/>
      </c>
      <c r="L754" s="670" t="str">
        <f>IFERROR(IF(CURRENCY.FORMAT_1=0,CONCATENATE(TEXT(FIXED(ROUND((C754*(1-I754)*(1-ADD.DISCOUNT)*(1+MAT.SURCHARGE)/EXC.RATE_1),CURRENCY.FORMAT_1),CURRENCY.FORMAT_1,1),"# ##0;-# ##0"),",-"),FIXED(ROUND((C754*(1-I754)*(1-ADD.DISCOUNT)*(1+MAT.SURCHARGE)/EXC.RATE_1),CURRENCY.FORMAT_1),CURRENCY.FORMAT_1,0)),'DICTIONARY-5'!$A$2)</f>
        <v>1 195,-</v>
      </c>
      <c r="M754" s="670" t="str">
        <f>IF(EXC.RATE_2=0,"",IFERROR(IF(CURRENCY.FORMAT_2=0,CONCATENATE(TEXT(FIXED(ROUND(IF(EXC.RATE.SWITCH=1,C754*(1-I754)*(1-ADD.DISCOUNT)*(1+MAT.SURCHARGE)/EXC.RATE_2,C754*(1-I754)*(1-ADD.DISCOUNT)*(1+MAT.SURCHARGE)*EXC.RATE_2),CURRENCY.FORMAT_2),CURRENCY.FORMAT_2,1),"# ##0;-# ##0"),",-"),FIXED(ROUND(IF(EXC.RATE.SWITCH=1,C754*(1-I754)*(1-ADD.DISCOUNT)*(1+MAT.SURCHARGE)/EXC.RATE_2,C754*(1-I754)*(1-ADD.DISCOUNT)*(1+MAT.SURCHARGE)*EXC.RATE_2),CURRENCY.FORMAT_2),CURRENCY.FORMAT_2,0)),'DICTIONARY-5'!$A$2))</f>
        <v/>
      </c>
      <c r="N754" s="544">
        <v>2</v>
      </c>
      <c r="O754" s="544"/>
      <c r="P754" s="732" t="str">
        <f>'DICTIONARY-3'!$A$16&amp;" "&amp;'DICTIONARY-3'!$A$23</f>
        <v>REMO S5</v>
      </c>
      <c r="Q754" s="732" t="str">
        <f>'DICTIONARY-3'!$A$191</f>
        <v>Zestaw sterowania</v>
      </c>
      <c r="R754" s="732" t="str">
        <f>CONCATENATE('DICTIONARY-3'!$A$16," ",'DICTIONARY-3'!$A$23," ",'DICTIONARY-6'!$A$29," ",'DICTIONARY-3'!$A$13," ",'DICTIONARY-2'!$A$2,U754,", ",'DICTIONARY-6'!$A$54,"0,85-1,5m","+",'DICTIONARY-6'!$A$56,"+",'DICTIONARY-6'!$A$57," ",,'DICTIONARY-5'!$A$7," ",'DICTIONARY-4'!$A$4)</f>
        <v>REMO S5 Zest. sterow. EROXplus DN700-900, przedłuż.0,85-1,5m+konsola+kolumienka dla NE</v>
      </c>
      <c r="S754" s="733" t="str">
        <f>'DICTIONARY-4'!$A$11</f>
        <v>PNE</v>
      </c>
      <c r="T754" s="732" t="str">
        <f>'DICTIONARY-4'!$A$27</f>
        <v>Przygotowane pod napęd elektryczny</v>
      </c>
      <c r="U754" s="734" t="s">
        <v>7863</v>
      </c>
      <c r="V754" s="735"/>
      <c r="W754" s="736"/>
      <c r="X754" s="737"/>
      <c r="Y754" s="738"/>
      <c r="Z754" s="739"/>
      <c r="AA754" s="739">
        <v>3278</v>
      </c>
      <c r="AB754" s="740"/>
      <c r="AC754" s="741"/>
      <c r="AD754" s="741"/>
      <c r="AE754" s="742"/>
      <c r="AF754" s="743"/>
      <c r="AG754" s="733" t="str">
        <f>'DICTIONARY-5'!$A$27</f>
        <v>pasywacja</v>
      </c>
    </row>
    <row r="755" spans="1:33" x14ac:dyDescent="0.25">
      <c r="A755" s="848"/>
      <c r="B755" s="848" t="str">
        <f>CONCATENATE('DICTIONARY-3'!$A$16,"-",'DICTIONARY-3'!$A$23,"-A.",$U755)</f>
        <v>REMO-S5-A.1000-1200</v>
      </c>
      <c r="C755" s="836">
        <v>1286</v>
      </c>
      <c r="D755" s="849"/>
      <c r="E755" s="836"/>
      <c r="F755" s="836"/>
      <c r="G755" s="850" t="s">
        <v>8211</v>
      </c>
      <c r="H755" s="797" t="str">
        <f>VLOOKUP(G755,SETTINGS!$B$7:$D$97,2,0)</f>
        <v>REMO</v>
      </c>
      <c r="I755" s="796">
        <f>VLOOKUP(G755,SETTINGS!$B$7:$D$97,3,0)</f>
        <v>0</v>
      </c>
      <c r="J755" s="670" t="str">
        <f>IFERROR(IF(CURRENCY.FORMAT_1=0,CONCATENATE(TEXT(FIXED(ROUND((C755/EXC.RATE_1),CURRENCY.FORMAT_1),CURRENCY.FORMAT_1,1),"# ##0;-# ##0"),",-"),FIXED(ROUND((C755/EXC.RATE_1),CURRENCY.FORMAT_1),CURRENCY.FORMAT_1,0)),'DICTIONARY-5'!$A$2)</f>
        <v>1 286,-</v>
      </c>
      <c r="K755" s="670" t="str">
        <f>IF(EXC.RATE_2=0,"",IFERROR(IF(CURRENCY.FORMAT_2=0,CONCATENATE(TEXT(FIXED(ROUND(IF(EXC.RATE.SWITCH=1,C755/EXC.RATE_2,C755*EXC.RATE_2),CURRENCY.FORMAT_2),CURRENCY.FORMAT_2,1),"# ##0;-# ##0"),",-"),FIXED(ROUND(IF(EXC.RATE.SWITCH=1,C755/EXC.RATE_2,C755*EXC.RATE_2),CURRENCY.FORMAT_2),CURRENCY.FORMAT_2,0)),'DICTIONARY-5'!$A$2))</f>
        <v/>
      </c>
      <c r="L755" s="670" t="str">
        <f>IFERROR(IF(CURRENCY.FORMAT_1=0,CONCATENATE(TEXT(FIXED(ROUND((C755*(1-I755)*(1-ADD.DISCOUNT)*(1+MAT.SURCHARGE)/EXC.RATE_1),CURRENCY.FORMAT_1),CURRENCY.FORMAT_1,1),"# ##0;-# ##0"),",-"),FIXED(ROUND((C755*(1-I755)*(1-ADD.DISCOUNT)*(1+MAT.SURCHARGE)/EXC.RATE_1),CURRENCY.FORMAT_1),CURRENCY.FORMAT_1,0)),'DICTIONARY-5'!$A$2)</f>
        <v>1 336,-</v>
      </c>
      <c r="M755" s="670" t="str">
        <f>IF(EXC.RATE_2=0,"",IFERROR(IF(CURRENCY.FORMAT_2=0,CONCATENATE(TEXT(FIXED(ROUND(IF(EXC.RATE.SWITCH=1,C755*(1-I755)*(1-ADD.DISCOUNT)*(1+MAT.SURCHARGE)/EXC.RATE_2,C755*(1-I755)*(1-ADD.DISCOUNT)*(1+MAT.SURCHARGE)*EXC.RATE_2),CURRENCY.FORMAT_2),CURRENCY.FORMAT_2,1),"# ##0;-# ##0"),",-"),FIXED(ROUND(IF(EXC.RATE.SWITCH=1,C755*(1-I755)*(1-ADD.DISCOUNT)*(1+MAT.SURCHARGE)/EXC.RATE_2,C755*(1-I755)*(1-ADD.DISCOUNT)*(1+MAT.SURCHARGE)*EXC.RATE_2),CURRENCY.FORMAT_2),CURRENCY.FORMAT_2,0)),'DICTIONARY-5'!$A$2))</f>
        <v/>
      </c>
      <c r="N755" s="544">
        <v>2</v>
      </c>
      <c r="O755" s="544"/>
      <c r="P755" s="732" t="str">
        <f>'DICTIONARY-3'!$A$16&amp;" "&amp;'DICTIONARY-3'!$A$23</f>
        <v>REMO S5</v>
      </c>
      <c r="Q755" s="732" t="str">
        <f>'DICTIONARY-3'!$A$191</f>
        <v>Zestaw sterowania</v>
      </c>
      <c r="R755" s="732" t="str">
        <f>CONCATENATE('DICTIONARY-3'!$A$16," ",'DICTIONARY-3'!$A$23," ",'DICTIONARY-6'!$A$29," ",'DICTIONARY-3'!$A$13," ",'DICTIONARY-2'!$A$2,U755,", ",'DICTIONARY-6'!$A$54,"0,85-1,5m","+",'DICTIONARY-6'!$A$56,"+",'DICTIONARY-6'!$A$57," ",,'DICTIONARY-5'!$A$7," ",'DICTIONARY-4'!$A$4)</f>
        <v>REMO S5 Zest. sterow. EROXplus DN1000-1200, przedłuż.0,85-1,5m+konsola+kolumienka dla NE</v>
      </c>
      <c r="S755" s="733" t="str">
        <f>'DICTIONARY-4'!$A$11</f>
        <v>PNE</v>
      </c>
      <c r="T755" s="732" t="str">
        <f>'DICTIONARY-4'!$A$27</f>
        <v>Przygotowane pod napęd elektryczny</v>
      </c>
      <c r="U755" s="734" t="s">
        <v>7862</v>
      </c>
      <c r="V755" s="735"/>
      <c r="W755" s="736"/>
      <c r="X755" s="737"/>
      <c r="Y755" s="738"/>
      <c r="Z755" s="739"/>
      <c r="AA755" s="739">
        <v>3878</v>
      </c>
      <c r="AB755" s="740"/>
      <c r="AC755" s="741"/>
      <c r="AD755" s="741"/>
      <c r="AE755" s="742"/>
      <c r="AF755" s="743"/>
      <c r="AG755" s="733" t="str">
        <f>'DICTIONARY-5'!$A$27</f>
        <v>pasywacja</v>
      </c>
    </row>
    <row r="756" spans="1:33" x14ac:dyDescent="0.25">
      <c r="A756" s="848"/>
      <c r="B756" s="848" t="str">
        <f>CONCATENATE('DICTIONARY-3'!$A$16,"-",'DICTIONARY-3'!$A$23,"-B.",$U756)</f>
        <v>REMO-S5-B.150-600</v>
      </c>
      <c r="C756" s="836">
        <v>1457</v>
      </c>
      <c r="D756" s="849"/>
      <c r="E756" s="836"/>
      <c r="F756" s="836"/>
      <c r="G756" s="850" t="s">
        <v>8211</v>
      </c>
      <c r="H756" s="797" t="str">
        <f>VLOOKUP(G756,SETTINGS!$B$7:$D$97,2,0)</f>
        <v>REMO</v>
      </c>
      <c r="I756" s="796">
        <f>VLOOKUP(G756,SETTINGS!$B$7:$D$97,3,0)</f>
        <v>0</v>
      </c>
      <c r="J756" s="670" t="str">
        <f>IFERROR(IF(CURRENCY.FORMAT_1=0,CONCATENATE(TEXT(FIXED(ROUND((C756/EXC.RATE_1),CURRENCY.FORMAT_1),CURRENCY.FORMAT_1,1),"# ##0;-# ##0"),",-"),FIXED(ROUND((C756/EXC.RATE_1),CURRENCY.FORMAT_1),CURRENCY.FORMAT_1,0)),'DICTIONARY-5'!$A$2)</f>
        <v>1 457,-</v>
      </c>
      <c r="K756" s="670" t="str">
        <f>IF(EXC.RATE_2=0,"",IFERROR(IF(CURRENCY.FORMAT_2=0,CONCATENATE(TEXT(FIXED(ROUND(IF(EXC.RATE.SWITCH=1,C756/EXC.RATE_2,C756*EXC.RATE_2),CURRENCY.FORMAT_2),CURRENCY.FORMAT_2,1),"# ##0;-# ##0"),",-"),FIXED(ROUND(IF(EXC.RATE.SWITCH=1,C756/EXC.RATE_2,C756*EXC.RATE_2),CURRENCY.FORMAT_2),CURRENCY.FORMAT_2,0)),'DICTIONARY-5'!$A$2))</f>
        <v/>
      </c>
      <c r="L756" s="670" t="str">
        <f>IFERROR(IF(CURRENCY.FORMAT_1=0,CONCATENATE(TEXT(FIXED(ROUND((C756*(1-I756)*(1-ADD.DISCOUNT)*(1+MAT.SURCHARGE)/EXC.RATE_1),CURRENCY.FORMAT_1),CURRENCY.FORMAT_1,1),"# ##0;-# ##0"),",-"),FIXED(ROUND((C756*(1-I756)*(1-ADD.DISCOUNT)*(1+MAT.SURCHARGE)/EXC.RATE_1),CURRENCY.FORMAT_1),CURRENCY.FORMAT_1,0)),'DICTIONARY-5'!$A$2)</f>
        <v>1 514,-</v>
      </c>
      <c r="M756" s="670" t="str">
        <f>IF(EXC.RATE_2=0,"",IFERROR(IF(CURRENCY.FORMAT_2=0,CONCATENATE(TEXT(FIXED(ROUND(IF(EXC.RATE.SWITCH=1,C756*(1-I756)*(1-ADD.DISCOUNT)*(1+MAT.SURCHARGE)/EXC.RATE_2,C756*(1-I756)*(1-ADD.DISCOUNT)*(1+MAT.SURCHARGE)*EXC.RATE_2),CURRENCY.FORMAT_2),CURRENCY.FORMAT_2,1),"# ##0;-# ##0"),",-"),FIXED(ROUND(IF(EXC.RATE.SWITCH=1,C756*(1-I756)*(1-ADD.DISCOUNT)*(1+MAT.SURCHARGE)/EXC.RATE_2,C756*(1-I756)*(1-ADD.DISCOUNT)*(1+MAT.SURCHARGE)*EXC.RATE_2),CURRENCY.FORMAT_2),CURRENCY.FORMAT_2,0)),'DICTIONARY-5'!$A$2))</f>
        <v/>
      </c>
      <c r="N756" s="544">
        <v>2</v>
      </c>
      <c r="O756" s="544"/>
      <c r="P756" s="732" t="str">
        <f>'DICTIONARY-3'!$A$16&amp;" "&amp;'DICTIONARY-3'!$A$23</f>
        <v>REMO S5</v>
      </c>
      <c r="Q756" s="732" t="str">
        <f>'DICTIONARY-3'!$A$191</f>
        <v>Zestaw sterowania</v>
      </c>
      <c r="R756" s="732" t="str">
        <f>CONCATENATE('DICTIONARY-3'!$A$16," ",'DICTIONARY-3'!$A$23," ",'DICTIONARY-6'!$A$29," ",'DICTIONARY-3'!$A$13," ",'DICTIONARY-2'!$A$2,U756,", ",'DICTIONARY-6'!$A$54,"1,5-2,7m","+",'DICTIONARY-6'!$A$56,"+",'DICTIONARY-6'!$A$57," ",,'DICTIONARY-5'!$A$7," ",'DICTIONARY-4'!$A$4)</f>
        <v>REMO S5 Zest. sterow. EROXplus DN150-600, przedłuż.1,5-2,7m+konsola+kolumienka dla NE</v>
      </c>
      <c r="S756" s="733" t="str">
        <f>'DICTIONARY-4'!$A$11</f>
        <v>PNE</v>
      </c>
      <c r="T756" s="732" t="str">
        <f>'DICTIONARY-4'!$A$27</f>
        <v>Przygotowane pod napęd elektryczny</v>
      </c>
      <c r="U756" s="734" t="s">
        <v>7860</v>
      </c>
      <c r="V756" s="735"/>
      <c r="W756" s="736"/>
      <c r="X756" s="737"/>
      <c r="Y756" s="738"/>
      <c r="Z756" s="739"/>
      <c r="AA756" s="739">
        <v>3357</v>
      </c>
      <c r="AB756" s="740"/>
      <c r="AC756" s="741"/>
      <c r="AD756" s="741"/>
      <c r="AE756" s="742"/>
      <c r="AF756" s="743"/>
      <c r="AG756" s="733" t="str">
        <f>'DICTIONARY-5'!$A$27</f>
        <v>pasywacja</v>
      </c>
    </row>
    <row r="757" spans="1:33" x14ac:dyDescent="0.25">
      <c r="A757" s="848"/>
      <c r="B757" s="848" t="str">
        <f>CONCATENATE('DICTIONARY-3'!$A$16,"-",'DICTIONARY-3'!$A$23,"-B.",$U757)</f>
        <v>REMO-S5-B.700-900</v>
      </c>
      <c r="C757" s="836">
        <v>1486</v>
      </c>
      <c r="D757" s="849"/>
      <c r="E757" s="836"/>
      <c r="F757" s="836"/>
      <c r="G757" s="850" t="s">
        <v>8211</v>
      </c>
      <c r="H757" s="797" t="str">
        <f>VLOOKUP(G757,SETTINGS!$B$7:$D$97,2,0)</f>
        <v>REMO</v>
      </c>
      <c r="I757" s="796">
        <f>VLOOKUP(G757,SETTINGS!$B$7:$D$97,3,0)</f>
        <v>0</v>
      </c>
      <c r="J757" s="670" t="str">
        <f>IFERROR(IF(CURRENCY.FORMAT_1=0,CONCATENATE(TEXT(FIXED(ROUND((C757/EXC.RATE_1),CURRENCY.FORMAT_1),CURRENCY.FORMAT_1,1),"# ##0;-# ##0"),",-"),FIXED(ROUND((C757/EXC.RATE_1),CURRENCY.FORMAT_1),CURRENCY.FORMAT_1,0)),'DICTIONARY-5'!$A$2)</f>
        <v>1 486,-</v>
      </c>
      <c r="K757" s="670" t="str">
        <f>IF(EXC.RATE_2=0,"",IFERROR(IF(CURRENCY.FORMAT_2=0,CONCATENATE(TEXT(FIXED(ROUND(IF(EXC.RATE.SWITCH=1,C757/EXC.RATE_2,C757*EXC.RATE_2),CURRENCY.FORMAT_2),CURRENCY.FORMAT_2,1),"# ##0;-# ##0"),",-"),FIXED(ROUND(IF(EXC.RATE.SWITCH=1,C757/EXC.RATE_2,C757*EXC.RATE_2),CURRENCY.FORMAT_2),CURRENCY.FORMAT_2,0)),'DICTIONARY-5'!$A$2))</f>
        <v/>
      </c>
      <c r="L757" s="670" t="str">
        <f>IFERROR(IF(CURRENCY.FORMAT_1=0,CONCATENATE(TEXT(FIXED(ROUND((C757*(1-I757)*(1-ADD.DISCOUNT)*(1+MAT.SURCHARGE)/EXC.RATE_1),CURRENCY.FORMAT_1),CURRENCY.FORMAT_1,1),"# ##0;-# ##0"),",-"),FIXED(ROUND((C757*(1-I757)*(1-ADD.DISCOUNT)*(1+MAT.SURCHARGE)/EXC.RATE_1),CURRENCY.FORMAT_1),CURRENCY.FORMAT_1,0)),'DICTIONARY-5'!$A$2)</f>
        <v>1 544,-</v>
      </c>
      <c r="M757" s="670" t="str">
        <f>IF(EXC.RATE_2=0,"",IFERROR(IF(CURRENCY.FORMAT_2=0,CONCATENATE(TEXT(FIXED(ROUND(IF(EXC.RATE.SWITCH=1,C757*(1-I757)*(1-ADD.DISCOUNT)*(1+MAT.SURCHARGE)/EXC.RATE_2,C757*(1-I757)*(1-ADD.DISCOUNT)*(1+MAT.SURCHARGE)*EXC.RATE_2),CURRENCY.FORMAT_2),CURRENCY.FORMAT_2,1),"# ##0;-# ##0"),",-"),FIXED(ROUND(IF(EXC.RATE.SWITCH=1,C757*(1-I757)*(1-ADD.DISCOUNT)*(1+MAT.SURCHARGE)/EXC.RATE_2,C757*(1-I757)*(1-ADD.DISCOUNT)*(1+MAT.SURCHARGE)*EXC.RATE_2),CURRENCY.FORMAT_2),CURRENCY.FORMAT_2,0)),'DICTIONARY-5'!$A$2))</f>
        <v/>
      </c>
      <c r="N757" s="544">
        <v>2</v>
      </c>
      <c r="O757" s="544"/>
      <c r="P757" s="732" t="str">
        <f>'DICTIONARY-3'!$A$16&amp;" "&amp;'DICTIONARY-3'!$A$23</f>
        <v>REMO S5</v>
      </c>
      <c r="Q757" s="732" t="str">
        <f>'DICTIONARY-3'!$A$191</f>
        <v>Zestaw sterowania</v>
      </c>
      <c r="R757" s="732" t="str">
        <f>CONCATENATE('DICTIONARY-3'!$A$16," ",'DICTIONARY-3'!$A$23," ",'DICTIONARY-6'!$A$29," ",'DICTIONARY-3'!$A$13," ",'DICTIONARY-2'!$A$2,U757,", ",'DICTIONARY-6'!$A$54,"1,5-2,7m","+",'DICTIONARY-6'!$A$56,"+",'DICTIONARY-6'!$A$57," ",,'DICTIONARY-5'!$A$7," ",'DICTIONARY-4'!$A$4)</f>
        <v>REMO S5 Zest. sterow. EROXplus DN700-900, przedłuż.1,5-2,7m+konsola+kolumienka dla NE</v>
      </c>
      <c r="S757" s="733" t="str">
        <f>'DICTIONARY-4'!$A$11</f>
        <v>PNE</v>
      </c>
      <c r="T757" s="732" t="str">
        <f>'DICTIONARY-4'!$A$27</f>
        <v>Przygotowane pod napęd elektryczny</v>
      </c>
      <c r="U757" s="734" t="s">
        <v>7863</v>
      </c>
      <c r="V757" s="735"/>
      <c r="W757" s="736"/>
      <c r="X757" s="737"/>
      <c r="Y757" s="738"/>
      <c r="Z757" s="739"/>
      <c r="AA757" s="739">
        <v>4478</v>
      </c>
      <c r="AB757" s="740"/>
      <c r="AC757" s="741"/>
      <c r="AD757" s="741"/>
      <c r="AE757" s="742"/>
      <c r="AF757" s="743"/>
      <c r="AG757" s="733" t="str">
        <f>'DICTIONARY-5'!$A$27</f>
        <v>pasywacja</v>
      </c>
    </row>
    <row r="758" spans="1:33" x14ac:dyDescent="0.25">
      <c r="A758" s="848"/>
      <c r="B758" s="848" t="str">
        <f>CONCATENATE('DICTIONARY-3'!$A$16,"-",'DICTIONARY-3'!$A$23,"-B.",$U758)</f>
        <v>REMO-S5-B.1000-1200</v>
      </c>
      <c r="C758" s="836">
        <v>1623</v>
      </c>
      <c r="D758" s="849"/>
      <c r="E758" s="836"/>
      <c r="F758" s="836"/>
      <c r="G758" s="850" t="s">
        <v>8211</v>
      </c>
      <c r="H758" s="797" t="str">
        <f>VLOOKUP(G758,SETTINGS!$B$7:$D$97,2,0)</f>
        <v>REMO</v>
      </c>
      <c r="I758" s="796">
        <f>VLOOKUP(G758,SETTINGS!$B$7:$D$97,3,0)</f>
        <v>0</v>
      </c>
      <c r="J758" s="670" t="str">
        <f>IFERROR(IF(CURRENCY.FORMAT_1=0,CONCATENATE(TEXT(FIXED(ROUND((C758/EXC.RATE_1),CURRENCY.FORMAT_1),CURRENCY.FORMAT_1,1),"# ##0;-# ##0"),",-"),FIXED(ROUND((C758/EXC.RATE_1),CURRENCY.FORMAT_1),CURRENCY.FORMAT_1,0)),'DICTIONARY-5'!$A$2)</f>
        <v>1 623,-</v>
      </c>
      <c r="K758" s="670" t="str">
        <f>IF(EXC.RATE_2=0,"",IFERROR(IF(CURRENCY.FORMAT_2=0,CONCATENATE(TEXT(FIXED(ROUND(IF(EXC.RATE.SWITCH=1,C758/EXC.RATE_2,C758*EXC.RATE_2),CURRENCY.FORMAT_2),CURRENCY.FORMAT_2,1),"# ##0;-# ##0"),",-"),FIXED(ROUND(IF(EXC.RATE.SWITCH=1,C758/EXC.RATE_2,C758*EXC.RATE_2),CURRENCY.FORMAT_2),CURRENCY.FORMAT_2,0)),'DICTIONARY-5'!$A$2))</f>
        <v/>
      </c>
      <c r="L758" s="670" t="str">
        <f>IFERROR(IF(CURRENCY.FORMAT_1=0,CONCATENATE(TEXT(FIXED(ROUND((C758*(1-I758)*(1-ADD.DISCOUNT)*(1+MAT.SURCHARGE)/EXC.RATE_1),CURRENCY.FORMAT_1),CURRENCY.FORMAT_1,1),"# ##0;-# ##0"),",-"),FIXED(ROUND((C758*(1-I758)*(1-ADD.DISCOUNT)*(1+MAT.SURCHARGE)/EXC.RATE_1),CURRENCY.FORMAT_1),CURRENCY.FORMAT_1,0)),'DICTIONARY-5'!$A$2)</f>
        <v>1 686,-</v>
      </c>
      <c r="M758" s="670" t="str">
        <f>IF(EXC.RATE_2=0,"",IFERROR(IF(CURRENCY.FORMAT_2=0,CONCATENATE(TEXT(FIXED(ROUND(IF(EXC.RATE.SWITCH=1,C758*(1-I758)*(1-ADD.DISCOUNT)*(1+MAT.SURCHARGE)/EXC.RATE_2,C758*(1-I758)*(1-ADD.DISCOUNT)*(1+MAT.SURCHARGE)*EXC.RATE_2),CURRENCY.FORMAT_2),CURRENCY.FORMAT_2,1),"# ##0;-# ##0"),",-"),FIXED(ROUND(IF(EXC.RATE.SWITCH=1,C758*(1-I758)*(1-ADD.DISCOUNT)*(1+MAT.SURCHARGE)/EXC.RATE_2,C758*(1-I758)*(1-ADD.DISCOUNT)*(1+MAT.SURCHARGE)*EXC.RATE_2),CURRENCY.FORMAT_2),CURRENCY.FORMAT_2,0)),'DICTIONARY-5'!$A$2))</f>
        <v/>
      </c>
      <c r="N758" s="544">
        <v>2</v>
      </c>
      <c r="O758" s="544"/>
      <c r="P758" s="732" t="str">
        <f>'DICTIONARY-3'!$A$16&amp;" "&amp;'DICTIONARY-3'!$A$23</f>
        <v>REMO S5</v>
      </c>
      <c r="Q758" s="732" t="str">
        <f>'DICTIONARY-3'!$A$191</f>
        <v>Zestaw sterowania</v>
      </c>
      <c r="R758" s="732" t="str">
        <f>CONCATENATE('DICTIONARY-3'!$A$16," ",'DICTIONARY-3'!$A$23," ",'DICTIONARY-6'!$A$29," ",'DICTIONARY-3'!$A$13," ",'DICTIONARY-2'!$A$2,U758,", ",'DICTIONARY-6'!$A$54,"1,5-2,7m","+",'DICTIONARY-6'!$A$56,"+",'DICTIONARY-6'!$A$57," ",,'DICTIONARY-5'!$A$7," ",'DICTIONARY-4'!$A$4)</f>
        <v>REMO S5 Zest. sterow. EROXplus DN1000-1200, przedłuż.1,5-2,7m+konsola+kolumienka dla NE</v>
      </c>
      <c r="S758" s="733" t="str">
        <f>'DICTIONARY-4'!$A$11</f>
        <v>PNE</v>
      </c>
      <c r="T758" s="732" t="str">
        <f>'DICTIONARY-4'!$A$27</f>
        <v>Przygotowane pod napęd elektryczny</v>
      </c>
      <c r="U758" s="734" t="s">
        <v>7862</v>
      </c>
      <c r="V758" s="735"/>
      <c r="W758" s="736"/>
      <c r="X758" s="737"/>
      <c r="Y758" s="738"/>
      <c r="Z758" s="739"/>
      <c r="AA758" s="739">
        <v>5078</v>
      </c>
      <c r="AB758" s="740"/>
      <c r="AC758" s="741"/>
      <c r="AD758" s="741"/>
      <c r="AE758" s="742"/>
      <c r="AF758" s="743"/>
      <c r="AG758" s="733" t="str">
        <f>'DICTIONARY-5'!$A$27</f>
        <v>pasywacja</v>
      </c>
    </row>
    <row r="759" spans="1:33" x14ac:dyDescent="0.25">
      <c r="A759" s="848"/>
      <c r="B759" s="848" t="str">
        <f>CONCATENATE('DICTIONARY-3'!$A$16,"-",'DICTIONARY-3'!$A$23,"-C.",$U759)</f>
        <v>REMO-S5-C.150-600</v>
      </c>
      <c r="C759" s="836">
        <v>1838</v>
      </c>
      <c r="D759" s="849"/>
      <c r="E759" s="836"/>
      <c r="F759" s="836"/>
      <c r="G759" s="850" t="s">
        <v>8211</v>
      </c>
      <c r="H759" s="797" t="str">
        <f>VLOOKUP(G759,SETTINGS!$B$7:$D$97,2,0)</f>
        <v>REMO</v>
      </c>
      <c r="I759" s="796">
        <f>VLOOKUP(G759,SETTINGS!$B$7:$D$97,3,0)</f>
        <v>0</v>
      </c>
      <c r="J759" s="670" t="str">
        <f>IFERROR(IF(CURRENCY.FORMAT_1=0,CONCATENATE(TEXT(FIXED(ROUND((C759/EXC.RATE_1),CURRENCY.FORMAT_1),CURRENCY.FORMAT_1,1),"# ##0;-# ##0"),",-"),FIXED(ROUND((C759/EXC.RATE_1),CURRENCY.FORMAT_1),CURRENCY.FORMAT_1,0)),'DICTIONARY-5'!$A$2)</f>
        <v>1 838,-</v>
      </c>
      <c r="K759" s="670" t="str">
        <f>IF(EXC.RATE_2=0,"",IFERROR(IF(CURRENCY.FORMAT_2=0,CONCATENATE(TEXT(FIXED(ROUND(IF(EXC.RATE.SWITCH=1,C759/EXC.RATE_2,C759*EXC.RATE_2),CURRENCY.FORMAT_2),CURRENCY.FORMAT_2,1),"# ##0;-# ##0"),",-"),FIXED(ROUND(IF(EXC.RATE.SWITCH=1,C759/EXC.RATE_2,C759*EXC.RATE_2),CURRENCY.FORMAT_2),CURRENCY.FORMAT_2,0)),'DICTIONARY-5'!$A$2))</f>
        <v/>
      </c>
      <c r="L759" s="670" t="str">
        <f>IFERROR(IF(CURRENCY.FORMAT_1=0,CONCATENATE(TEXT(FIXED(ROUND((C759*(1-I759)*(1-ADD.DISCOUNT)*(1+MAT.SURCHARGE)/EXC.RATE_1),CURRENCY.FORMAT_1),CURRENCY.FORMAT_1,1),"# ##0;-# ##0"),",-"),FIXED(ROUND((C759*(1-I759)*(1-ADD.DISCOUNT)*(1+MAT.SURCHARGE)/EXC.RATE_1),CURRENCY.FORMAT_1),CURRENCY.FORMAT_1,0)),'DICTIONARY-5'!$A$2)</f>
        <v>1 910,-</v>
      </c>
      <c r="M759" s="670" t="str">
        <f>IF(EXC.RATE_2=0,"",IFERROR(IF(CURRENCY.FORMAT_2=0,CONCATENATE(TEXT(FIXED(ROUND(IF(EXC.RATE.SWITCH=1,C759*(1-I759)*(1-ADD.DISCOUNT)*(1+MAT.SURCHARGE)/EXC.RATE_2,C759*(1-I759)*(1-ADD.DISCOUNT)*(1+MAT.SURCHARGE)*EXC.RATE_2),CURRENCY.FORMAT_2),CURRENCY.FORMAT_2,1),"# ##0;-# ##0"),",-"),FIXED(ROUND(IF(EXC.RATE.SWITCH=1,C759*(1-I759)*(1-ADD.DISCOUNT)*(1+MAT.SURCHARGE)/EXC.RATE_2,C759*(1-I759)*(1-ADD.DISCOUNT)*(1+MAT.SURCHARGE)*EXC.RATE_2),CURRENCY.FORMAT_2),CURRENCY.FORMAT_2,0)),'DICTIONARY-5'!$A$2))</f>
        <v/>
      </c>
      <c r="N759" s="544">
        <v>2</v>
      </c>
      <c r="O759" s="544"/>
      <c r="P759" s="732" t="str">
        <f>'DICTIONARY-3'!$A$16&amp;" "&amp;'DICTIONARY-3'!$A$23</f>
        <v>REMO S5</v>
      </c>
      <c r="Q759" s="732" t="str">
        <f>'DICTIONARY-3'!$A$191</f>
        <v>Zestaw sterowania</v>
      </c>
      <c r="R759" s="732" t="str">
        <f>CONCATENATE('DICTIONARY-3'!$A$16," ",'DICTIONARY-3'!$A$23," ",'DICTIONARY-6'!$A$29," ",'DICTIONARY-3'!$A$13," ",'DICTIONARY-2'!$A$2,U759,", ",'DICTIONARY-6'!$A$54,"2,7-5,0m","+",'DICTIONARY-6'!$A$56,"+",'DICTIONARY-6'!$A$57," ",,'DICTIONARY-5'!$A$7," ",'DICTIONARY-4'!$A$4)</f>
        <v>REMO S5 Zest. sterow. EROXplus DN150-600, przedłuż.2,7-5,0m+konsola+kolumienka dla NE</v>
      </c>
      <c r="S759" s="733" t="str">
        <f>'DICTIONARY-4'!$A$11</f>
        <v>PNE</v>
      </c>
      <c r="T759" s="732" t="str">
        <f>'DICTIONARY-4'!$A$27</f>
        <v>Przygotowane pod napęd elektryczny</v>
      </c>
      <c r="U759" s="734" t="s">
        <v>7860</v>
      </c>
      <c r="V759" s="735"/>
      <c r="W759" s="736"/>
      <c r="X759" s="737"/>
      <c r="Y759" s="738"/>
      <c r="Z759" s="739"/>
      <c r="AA759" s="739">
        <v>5657</v>
      </c>
      <c r="AB759" s="740"/>
      <c r="AC759" s="741"/>
      <c r="AD759" s="741"/>
      <c r="AE759" s="742"/>
      <c r="AF759" s="743"/>
      <c r="AG759" s="733" t="str">
        <f>'DICTIONARY-5'!$A$27</f>
        <v>pasywacja</v>
      </c>
    </row>
    <row r="760" spans="1:33" x14ac:dyDescent="0.25">
      <c r="A760" s="848"/>
      <c r="B760" s="848" t="str">
        <f>CONCATENATE('DICTIONARY-3'!$A$16,"-",'DICTIONARY-3'!$A$23,"-C.",$U760)</f>
        <v>REMO-S5-C.700-900</v>
      </c>
      <c r="C760" s="836">
        <v>1942</v>
      </c>
      <c r="D760" s="849"/>
      <c r="E760" s="836"/>
      <c r="F760" s="836"/>
      <c r="G760" s="850" t="s">
        <v>8211</v>
      </c>
      <c r="H760" s="797" t="str">
        <f>VLOOKUP(G760,SETTINGS!$B$7:$D$97,2,0)</f>
        <v>REMO</v>
      </c>
      <c r="I760" s="796">
        <f>VLOOKUP(G760,SETTINGS!$B$7:$D$97,3,0)</f>
        <v>0</v>
      </c>
      <c r="J760" s="670" t="str">
        <f>IFERROR(IF(CURRENCY.FORMAT_1=0,CONCATENATE(TEXT(FIXED(ROUND((C760/EXC.RATE_1),CURRENCY.FORMAT_1),CURRENCY.FORMAT_1,1),"# ##0;-# ##0"),",-"),FIXED(ROUND((C760/EXC.RATE_1),CURRENCY.FORMAT_1),CURRENCY.FORMAT_1,0)),'DICTIONARY-5'!$A$2)</f>
        <v>1 942,-</v>
      </c>
      <c r="K760" s="670" t="str">
        <f>IF(EXC.RATE_2=0,"",IFERROR(IF(CURRENCY.FORMAT_2=0,CONCATENATE(TEXT(FIXED(ROUND(IF(EXC.RATE.SWITCH=1,C760/EXC.RATE_2,C760*EXC.RATE_2),CURRENCY.FORMAT_2),CURRENCY.FORMAT_2,1),"# ##0;-# ##0"),",-"),FIXED(ROUND(IF(EXC.RATE.SWITCH=1,C760/EXC.RATE_2,C760*EXC.RATE_2),CURRENCY.FORMAT_2),CURRENCY.FORMAT_2,0)),'DICTIONARY-5'!$A$2))</f>
        <v/>
      </c>
      <c r="L760" s="670" t="str">
        <f>IFERROR(IF(CURRENCY.FORMAT_1=0,CONCATENATE(TEXT(FIXED(ROUND((C760*(1-I760)*(1-ADD.DISCOUNT)*(1+MAT.SURCHARGE)/EXC.RATE_1),CURRENCY.FORMAT_1),CURRENCY.FORMAT_1,1),"# ##0;-# ##0"),",-"),FIXED(ROUND((C760*(1-I760)*(1-ADD.DISCOUNT)*(1+MAT.SURCHARGE)/EXC.RATE_1),CURRENCY.FORMAT_1),CURRENCY.FORMAT_1,0)),'DICTIONARY-5'!$A$2)</f>
        <v>2 018,-</v>
      </c>
      <c r="M760" s="670" t="str">
        <f>IF(EXC.RATE_2=0,"",IFERROR(IF(CURRENCY.FORMAT_2=0,CONCATENATE(TEXT(FIXED(ROUND(IF(EXC.RATE.SWITCH=1,C760*(1-I760)*(1-ADD.DISCOUNT)*(1+MAT.SURCHARGE)/EXC.RATE_2,C760*(1-I760)*(1-ADD.DISCOUNT)*(1+MAT.SURCHARGE)*EXC.RATE_2),CURRENCY.FORMAT_2),CURRENCY.FORMAT_2,1),"# ##0;-# ##0"),",-"),FIXED(ROUND(IF(EXC.RATE.SWITCH=1,C760*(1-I760)*(1-ADD.DISCOUNT)*(1+MAT.SURCHARGE)/EXC.RATE_2,C760*(1-I760)*(1-ADD.DISCOUNT)*(1+MAT.SURCHARGE)*EXC.RATE_2),CURRENCY.FORMAT_2),CURRENCY.FORMAT_2,0)),'DICTIONARY-5'!$A$2))</f>
        <v/>
      </c>
      <c r="N760" s="544">
        <v>2</v>
      </c>
      <c r="O760" s="544"/>
      <c r="P760" s="732" t="str">
        <f>'DICTIONARY-3'!$A$16&amp;" "&amp;'DICTIONARY-3'!$A$23</f>
        <v>REMO S5</v>
      </c>
      <c r="Q760" s="732" t="str">
        <f>'DICTIONARY-3'!$A$191</f>
        <v>Zestaw sterowania</v>
      </c>
      <c r="R760" s="732" t="str">
        <f>CONCATENATE('DICTIONARY-3'!$A$16," ",'DICTIONARY-3'!$A$23," ",'DICTIONARY-6'!$A$29," ",'DICTIONARY-3'!$A$13," ",'DICTIONARY-2'!$A$2,U760,", ",'DICTIONARY-6'!$A$54,"2,7-5,0m","+",'DICTIONARY-6'!$A$56,"+",'DICTIONARY-6'!$A$57," ",,'DICTIONARY-5'!$A$7," ",'DICTIONARY-4'!$A$4)</f>
        <v>REMO S5 Zest. sterow. EROXplus DN700-900, przedłuż.2,7-5,0m+konsola+kolumienka dla NE</v>
      </c>
      <c r="S760" s="733" t="str">
        <f>'DICTIONARY-4'!$A$11</f>
        <v>PNE</v>
      </c>
      <c r="T760" s="732" t="str">
        <f>'DICTIONARY-4'!$A$27</f>
        <v>Przygotowane pod napęd elektryczny</v>
      </c>
      <c r="U760" s="734" t="s">
        <v>7863</v>
      </c>
      <c r="V760" s="735"/>
      <c r="W760" s="736"/>
      <c r="X760" s="737"/>
      <c r="Y760" s="738"/>
      <c r="Z760" s="739"/>
      <c r="AA760" s="739">
        <v>6778</v>
      </c>
      <c r="AB760" s="740"/>
      <c r="AC760" s="741"/>
      <c r="AD760" s="741"/>
      <c r="AE760" s="742"/>
      <c r="AF760" s="743"/>
      <c r="AG760" s="733" t="str">
        <f>'DICTIONARY-5'!$A$27</f>
        <v>pasywacja</v>
      </c>
    </row>
    <row r="761" spans="1:33" x14ac:dyDescent="0.25">
      <c r="A761" s="848"/>
      <c r="B761" s="848" t="str">
        <f>CONCATENATE('DICTIONARY-3'!$A$16,"-",'DICTIONARY-3'!$A$23,"-C.",$U761)</f>
        <v>REMO-S5-C.1000-1200</v>
      </c>
      <c r="C761" s="836">
        <v>2079</v>
      </c>
      <c r="D761" s="849"/>
      <c r="E761" s="836"/>
      <c r="F761" s="836"/>
      <c r="G761" s="850" t="s">
        <v>8211</v>
      </c>
      <c r="H761" s="797" t="str">
        <f>VLOOKUP(G761,SETTINGS!$B$7:$D$97,2,0)</f>
        <v>REMO</v>
      </c>
      <c r="I761" s="796">
        <f>VLOOKUP(G761,SETTINGS!$B$7:$D$97,3,0)</f>
        <v>0</v>
      </c>
      <c r="J761" s="670" t="str">
        <f>IFERROR(IF(CURRENCY.FORMAT_1=0,CONCATENATE(TEXT(FIXED(ROUND((C761/EXC.RATE_1),CURRENCY.FORMAT_1),CURRENCY.FORMAT_1,1),"# ##0;-# ##0"),",-"),FIXED(ROUND((C761/EXC.RATE_1),CURRENCY.FORMAT_1),CURRENCY.FORMAT_1,0)),'DICTIONARY-5'!$A$2)</f>
        <v>2 079,-</v>
      </c>
      <c r="K761" s="670" t="str">
        <f>IF(EXC.RATE_2=0,"",IFERROR(IF(CURRENCY.FORMAT_2=0,CONCATENATE(TEXT(FIXED(ROUND(IF(EXC.RATE.SWITCH=1,C761/EXC.RATE_2,C761*EXC.RATE_2),CURRENCY.FORMAT_2),CURRENCY.FORMAT_2,1),"# ##0;-# ##0"),",-"),FIXED(ROUND(IF(EXC.RATE.SWITCH=1,C761/EXC.RATE_2,C761*EXC.RATE_2),CURRENCY.FORMAT_2),CURRENCY.FORMAT_2,0)),'DICTIONARY-5'!$A$2))</f>
        <v/>
      </c>
      <c r="L761" s="670" t="str">
        <f>IFERROR(IF(CURRENCY.FORMAT_1=0,CONCATENATE(TEXT(FIXED(ROUND((C761*(1-I761)*(1-ADD.DISCOUNT)*(1+MAT.SURCHARGE)/EXC.RATE_1),CURRENCY.FORMAT_1),CURRENCY.FORMAT_1,1),"# ##0;-# ##0"),",-"),FIXED(ROUND((C761*(1-I761)*(1-ADD.DISCOUNT)*(1+MAT.SURCHARGE)/EXC.RATE_1),CURRENCY.FORMAT_1),CURRENCY.FORMAT_1,0)),'DICTIONARY-5'!$A$2)</f>
        <v>2 160,-</v>
      </c>
      <c r="M761" s="670" t="str">
        <f>IF(EXC.RATE_2=0,"",IFERROR(IF(CURRENCY.FORMAT_2=0,CONCATENATE(TEXT(FIXED(ROUND(IF(EXC.RATE.SWITCH=1,C761*(1-I761)*(1-ADD.DISCOUNT)*(1+MAT.SURCHARGE)/EXC.RATE_2,C761*(1-I761)*(1-ADD.DISCOUNT)*(1+MAT.SURCHARGE)*EXC.RATE_2),CURRENCY.FORMAT_2),CURRENCY.FORMAT_2,1),"# ##0;-# ##0"),",-"),FIXED(ROUND(IF(EXC.RATE.SWITCH=1,C761*(1-I761)*(1-ADD.DISCOUNT)*(1+MAT.SURCHARGE)/EXC.RATE_2,C761*(1-I761)*(1-ADD.DISCOUNT)*(1+MAT.SURCHARGE)*EXC.RATE_2),CURRENCY.FORMAT_2),CURRENCY.FORMAT_2,0)),'DICTIONARY-5'!$A$2))</f>
        <v/>
      </c>
      <c r="N761" s="544">
        <v>2</v>
      </c>
      <c r="O761" s="544"/>
      <c r="P761" s="732" t="str">
        <f>'DICTIONARY-3'!$A$16&amp;" "&amp;'DICTIONARY-3'!$A$23</f>
        <v>REMO S5</v>
      </c>
      <c r="Q761" s="732" t="str">
        <f>'DICTIONARY-3'!$A$191</f>
        <v>Zestaw sterowania</v>
      </c>
      <c r="R761" s="732" t="str">
        <f>CONCATENATE('DICTIONARY-3'!$A$16," ",'DICTIONARY-3'!$A$23," ",'DICTIONARY-6'!$A$29," ",'DICTIONARY-3'!$A$13," ",'DICTIONARY-2'!$A$2,U761,", ",'DICTIONARY-6'!$A$54,"2,7-5,0m","+",'DICTIONARY-6'!$A$56,"+",'DICTIONARY-6'!$A$57," ",,'DICTIONARY-5'!$A$7," ",'DICTIONARY-4'!$A$4)</f>
        <v>REMO S5 Zest. sterow. EROXplus DN1000-1200, przedłuż.2,7-5,0m+konsola+kolumienka dla NE</v>
      </c>
      <c r="S761" s="733" t="str">
        <f>'DICTIONARY-4'!$A$11</f>
        <v>PNE</v>
      </c>
      <c r="T761" s="732" t="str">
        <f>'DICTIONARY-4'!$A$27</f>
        <v>Przygotowane pod napęd elektryczny</v>
      </c>
      <c r="U761" s="734" t="s">
        <v>7862</v>
      </c>
      <c r="V761" s="735"/>
      <c r="W761" s="736"/>
      <c r="X761" s="737"/>
      <c r="Y761" s="738"/>
      <c r="Z761" s="739"/>
      <c r="AA761" s="739">
        <v>7378</v>
      </c>
      <c r="AB761" s="740"/>
      <c r="AC761" s="741"/>
      <c r="AD761" s="741"/>
      <c r="AE761" s="742"/>
      <c r="AF761" s="743"/>
      <c r="AG761" s="733" t="str">
        <f>'DICTIONARY-5'!$A$27</f>
        <v>pasywacja</v>
      </c>
    </row>
    <row r="762" spans="1:33" x14ac:dyDescent="0.25">
      <c r="A762" s="848"/>
      <c r="B762" s="848" t="str">
        <f>CONCATENATE('DICTIONARY-3'!$A$16,"-",'DICTIONARY-3'!$A$24,"-A.",$U762)</f>
        <v>REMO-S6-A.150-600</v>
      </c>
      <c r="C762" s="836">
        <v>1449</v>
      </c>
      <c r="D762" s="849"/>
      <c r="E762" s="836"/>
      <c r="F762" s="836"/>
      <c r="G762" s="850" t="s">
        <v>8211</v>
      </c>
      <c r="H762" s="797" t="str">
        <f>VLOOKUP(G762,SETTINGS!$B$7:$D$97,2,0)</f>
        <v>REMO</v>
      </c>
      <c r="I762" s="796">
        <f>VLOOKUP(G762,SETTINGS!$B$7:$D$97,3,0)</f>
        <v>0</v>
      </c>
      <c r="J762" s="670" t="str">
        <f>IFERROR(IF(CURRENCY.FORMAT_1=0,CONCATENATE(TEXT(FIXED(ROUND((C762/EXC.RATE_1),CURRENCY.FORMAT_1),CURRENCY.FORMAT_1,1),"# ##0;-# ##0"),",-"),FIXED(ROUND((C762/EXC.RATE_1),CURRENCY.FORMAT_1),CURRENCY.FORMAT_1,0)),'DICTIONARY-5'!$A$2)</f>
        <v>1 449,-</v>
      </c>
      <c r="K762" s="670" t="str">
        <f>IF(EXC.RATE_2=0,"",IFERROR(IF(CURRENCY.FORMAT_2=0,CONCATENATE(TEXT(FIXED(ROUND(IF(EXC.RATE.SWITCH=1,C762/EXC.RATE_2,C762*EXC.RATE_2),CURRENCY.FORMAT_2),CURRENCY.FORMAT_2,1),"# ##0;-# ##0"),",-"),FIXED(ROUND(IF(EXC.RATE.SWITCH=1,C762/EXC.RATE_2,C762*EXC.RATE_2),CURRENCY.FORMAT_2),CURRENCY.FORMAT_2,0)),'DICTIONARY-5'!$A$2))</f>
        <v/>
      </c>
      <c r="L762" s="670" t="str">
        <f>IFERROR(IF(CURRENCY.FORMAT_1=0,CONCATENATE(TEXT(FIXED(ROUND((C762*(1-I762)*(1-ADD.DISCOUNT)*(1+MAT.SURCHARGE)/EXC.RATE_1),CURRENCY.FORMAT_1),CURRENCY.FORMAT_1,1),"# ##0;-# ##0"),",-"),FIXED(ROUND((C762*(1-I762)*(1-ADD.DISCOUNT)*(1+MAT.SURCHARGE)/EXC.RATE_1),CURRENCY.FORMAT_1),CURRENCY.FORMAT_1,0)),'DICTIONARY-5'!$A$2)</f>
        <v>1 506,-</v>
      </c>
      <c r="M762" s="670" t="str">
        <f>IF(EXC.RATE_2=0,"",IFERROR(IF(CURRENCY.FORMAT_2=0,CONCATENATE(TEXT(FIXED(ROUND(IF(EXC.RATE.SWITCH=1,C762*(1-I762)*(1-ADD.DISCOUNT)*(1+MAT.SURCHARGE)/EXC.RATE_2,C762*(1-I762)*(1-ADD.DISCOUNT)*(1+MAT.SURCHARGE)*EXC.RATE_2),CURRENCY.FORMAT_2),CURRENCY.FORMAT_2,1),"# ##0;-# ##0"),",-"),FIXED(ROUND(IF(EXC.RATE.SWITCH=1,C762*(1-I762)*(1-ADD.DISCOUNT)*(1+MAT.SURCHARGE)/EXC.RATE_2,C762*(1-I762)*(1-ADD.DISCOUNT)*(1+MAT.SURCHARGE)*EXC.RATE_2),CURRENCY.FORMAT_2),CURRENCY.FORMAT_2,0)),'DICTIONARY-5'!$A$2))</f>
        <v/>
      </c>
      <c r="N762" s="544">
        <v>2</v>
      </c>
      <c r="O762" s="544"/>
      <c r="P762" s="732" t="str">
        <f>'DICTIONARY-3'!$A$16&amp;" "&amp;'DICTIONARY-3'!$A$24</f>
        <v>REMO S6</v>
      </c>
      <c r="Q762" s="732" t="str">
        <f>'DICTIONARY-3'!$A$191</f>
        <v>Zestaw sterowania</v>
      </c>
      <c r="R762" s="732" t="str">
        <f>CONCATENATE('DICTIONARY-3'!$A$16," ",'DICTIONARY-3'!$A$24," ",'DICTIONARY-6'!$A$29," ",'DICTIONARY-3'!$A$13," ",'DICTIONARY-2'!$A$2,U762,", ",'DICTIONARY-6'!$A$54,"0,85-1,5m","+",'DICTIONARY-6'!$A$56," ",'DICTIONARY-5'!$A$7," ",'DICTIONARY-4'!$A$4)</f>
        <v>REMO S6 Zest. sterow. EROXplus DN150-600, przedłuż.0,85-1,5m+konsola dla NE</v>
      </c>
      <c r="S762" s="733" t="str">
        <f>'DICTIONARY-4'!$A$11</f>
        <v>PNE</v>
      </c>
      <c r="T762" s="732" t="str">
        <f>'DICTIONARY-4'!$A$27</f>
        <v>Przygotowane pod napęd elektryczny</v>
      </c>
      <c r="U762" s="734" t="s">
        <v>7860</v>
      </c>
      <c r="V762" s="735"/>
      <c r="W762" s="736"/>
      <c r="X762" s="737"/>
      <c r="Y762" s="738"/>
      <c r="Z762" s="739"/>
      <c r="AA762" s="739">
        <v>2599</v>
      </c>
      <c r="AB762" s="740"/>
      <c r="AC762" s="741"/>
      <c r="AD762" s="741"/>
      <c r="AE762" s="742"/>
      <c r="AF762" s="743"/>
      <c r="AG762" s="733" t="str">
        <f>'DICTIONARY-5'!$A$27</f>
        <v>pasywacja</v>
      </c>
    </row>
    <row r="763" spans="1:33" x14ac:dyDescent="0.25">
      <c r="A763" s="848"/>
      <c r="B763" s="848" t="str">
        <f>CONCATENATE('DICTIONARY-3'!$A$16,"-",'DICTIONARY-3'!$A$24,"-A.",$U763)</f>
        <v>REMO-S6-A.700-900</v>
      </c>
      <c r="C763" s="836">
        <v>1453</v>
      </c>
      <c r="D763" s="849"/>
      <c r="E763" s="836"/>
      <c r="F763" s="836"/>
      <c r="G763" s="850" t="s">
        <v>8211</v>
      </c>
      <c r="H763" s="797" t="str">
        <f>VLOOKUP(G763,SETTINGS!$B$7:$D$97,2,0)</f>
        <v>REMO</v>
      </c>
      <c r="I763" s="796">
        <f>VLOOKUP(G763,SETTINGS!$B$7:$D$97,3,0)</f>
        <v>0</v>
      </c>
      <c r="J763" s="670" t="str">
        <f>IFERROR(IF(CURRENCY.FORMAT_1=0,CONCATENATE(TEXT(FIXED(ROUND((C763/EXC.RATE_1),CURRENCY.FORMAT_1),CURRENCY.FORMAT_1,1),"# ##0;-# ##0"),",-"),FIXED(ROUND((C763/EXC.RATE_1),CURRENCY.FORMAT_1),CURRENCY.FORMAT_1,0)),'DICTIONARY-5'!$A$2)</f>
        <v>1 453,-</v>
      </c>
      <c r="K763" s="670" t="str">
        <f>IF(EXC.RATE_2=0,"",IFERROR(IF(CURRENCY.FORMAT_2=0,CONCATENATE(TEXT(FIXED(ROUND(IF(EXC.RATE.SWITCH=1,C763/EXC.RATE_2,C763*EXC.RATE_2),CURRENCY.FORMAT_2),CURRENCY.FORMAT_2,1),"# ##0;-# ##0"),",-"),FIXED(ROUND(IF(EXC.RATE.SWITCH=1,C763/EXC.RATE_2,C763*EXC.RATE_2),CURRENCY.FORMAT_2),CURRENCY.FORMAT_2,0)),'DICTIONARY-5'!$A$2))</f>
        <v/>
      </c>
      <c r="L763" s="670" t="str">
        <f>IFERROR(IF(CURRENCY.FORMAT_1=0,CONCATENATE(TEXT(FIXED(ROUND((C763*(1-I763)*(1-ADD.DISCOUNT)*(1+MAT.SURCHARGE)/EXC.RATE_1),CURRENCY.FORMAT_1),CURRENCY.FORMAT_1,1),"# ##0;-# ##0"),",-"),FIXED(ROUND((C763*(1-I763)*(1-ADD.DISCOUNT)*(1+MAT.SURCHARGE)/EXC.RATE_1),CURRENCY.FORMAT_1),CURRENCY.FORMAT_1,0)),'DICTIONARY-5'!$A$2)</f>
        <v>1 510,-</v>
      </c>
      <c r="M763" s="670" t="str">
        <f>IF(EXC.RATE_2=0,"",IFERROR(IF(CURRENCY.FORMAT_2=0,CONCATENATE(TEXT(FIXED(ROUND(IF(EXC.RATE.SWITCH=1,C763*(1-I763)*(1-ADD.DISCOUNT)*(1+MAT.SURCHARGE)/EXC.RATE_2,C763*(1-I763)*(1-ADD.DISCOUNT)*(1+MAT.SURCHARGE)*EXC.RATE_2),CURRENCY.FORMAT_2),CURRENCY.FORMAT_2,1),"# ##0;-# ##0"),",-"),FIXED(ROUND(IF(EXC.RATE.SWITCH=1,C763*(1-I763)*(1-ADD.DISCOUNT)*(1+MAT.SURCHARGE)/EXC.RATE_2,C763*(1-I763)*(1-ADD.DISCOUNT)*(1+MAT.SURCHARGE)*EXC.RATE_2),CURRENCY.FORMAT_2),CURRENCY.FORMAT_2,0)),'DICTIONARY-5'!$A$2))</f>
        <v/>
      </c>
      <c r="N763" s="544">
        <v>2</v>
      </c>
      <c r="O763" s="544"/>
      <c r="P763" s="732" t="str">
        <f>'DICTIONARY-3'!$A$16&amp;" "&amp;'DICTIONARY-3'!$A$24</f>
        <v>REMO S6</v>
      </c>
      <c r="Q763" s="732" t="str">
        <f>'DICTIONARY-3'!$A$191</f>
        <v>Zestaw sterowania</v>
      </c>
      <c r="R763" s="732" t="str">
        <f>CONCATENATE('DICTIONARY-3'!$A$16," ",'DICTIONARY-3'!$A$24," ",'DICTIONARY-6'!$A$29," ",'DICTIONARY-3'!$A$13," ",'DICTIONARY-2'!$A$2,U763,", ",'DICTIONARY-6'!$A$54,"0,85-1,5m","+",'DICTIONARY-6'!$A$56," ",'DICTIONARY-5'!$A$7," ",'DICTIONARY-4'!$A$4)</f>
        <v>REMO S6 Zest. sterow. EROXplus DN700-900, przedłuż.0,85-1,5m+konsola dla NE</v>
      </c>
      <c r="S763" s="733" t="str">
        <f>'DICTIONARY-4'!$A$11</f>
        <v>PNE</v>
      </c>
      <c r="T763" s="732" t="str">
        <f>'DICTIONARY-4'!$A$27</f>
        <v>Przygotowane pod napęd elektryczny</v>
      </c>
      <c r="U763" s="734" t="s">
        <v>7863</v>
      </c>
      <c r="V763" s="735"/>
      <c r="W763" s="736"/>
      <c r="X763" s="737"/>
      <c r="Y763" s="738"/>
      <c r="Z763" s="739"/>
      <c r="AA763" s="739">
        <v>3722</v>
      </c>
      <c r="AB763" s="740"/>
      <c r="AC763" s="741"/>
      <c r="AD763" s="741"/>
      <c r="AE763" s="742"/>
      <c r="AF763" s="743"/>
      <c r="AG763" s="733" t="str">
        <f>'DICTIONARY-5'!$A$27</f>
        <v>pasywacja</v>
      </c>
    </row>
    <row r="764" spans="1:33" x14ac:dyDescent="0.25">
      <c r="A764" s="848"/>
      <c r="B764" s="848" t="str">
        <f>CONCATENATE('DICTIONARY-3'!$A$16,"-",'DICTIONARY-3'!$A$24,"-A.",$U764)</f>
        <v>REMO-S6-A.1000-1200</v>
      </c>
      <c r="C764" s="836">
        <v>1589</v>
      </c>
      <c r="D764" s="849"/>
      <c r="E764" s="836"/>
      <c r="F764" s="836"/>
      <c r="G764" s="850" t="s">
        <v>8211</v>
      </c>
      <c r="H764" s="797" t="str">
        <f>VLOOKUP(G764,SETTINGS!$B$7:$D$97,2,0)</f>
        <v>REMO</v>
      </c>
      <c r="I764" s="796">
        <f>VLOOKUP(G764,SETTINGS!$B$7:$D$97,3,0)</f>
        <v>0</v>
      </c>
      <c r="J764" s="670" t="str">
        <f>IFERROR(IF(CURRENCY.FORMAT_1=0,CONCATENATE(TEXT(FIXED(ROUND((C764/EXC.RATE_1),CURRENCY.FORMAT_1),CURRENCY.FORMAT_1,1),"# ##0;-# ##0"),",-"),FIXED(ROUND((C764/EXC.RATE_1),CURRENCY.FORMAT_1),CURRENCY.FORMAT_1,0)),'DICTIONARY-5'!$A$2)</f>
        <v>1 589,-</v>
      </c>
      <c r="K764" s="670" t="str">
        <f>IF(EXC.RATE_2=0,"",IFERROR(IF(CURRENCY.FORMAT_2=0,CONCATENATE(TEXT(FIXED(ROUND(IF(EXC.RATE.SWITCH=1,C764/EXC.RATE_2,C764*EXC.RATE_2),CURRENCY.FORMAT_2),CURRENCY.FORMAT_2,1),"# ##0;-# ##0"),",-"),FIXED(ROUND(IF(EXC.RATE.SWITCH=1,C764/EXC.RATE_2,C764*EXC.RATE_2),CURRENCY.FORMAT_2),CURRENCY.FORMAT_2,0)),'DICTIONARY-5'!$A$2))</f>
        <v/>
      </c>
      <c r="L764" s="670" t="str">
        <f>IFERROR(IF(CURRENCY.FORMAT_1=0,CONCATENATE(TEXT(FIXED(ROUND((C764*(1-I764)*(1-ADD.DISCOUNT)*(1+MAT.SURCHARGE)/EXC.RATE_1),CURRENCY.FORMAT_1),CURRENCY.FORMAT_1,1),"# ##0;-# ##0"),",-"),FIXED(ROUND((C764*(1-I764)*(1-ADD.DISCOUNT)*(1+MAT.SURCHARGE)/EXC.RATE_1),CURRENCY.FORMAT_1),CURRENCY.FORMAT_1,0)),'DICTIONARY-5'!$A$2)</f>
        <v>1 651,-</v>
      </c>
      <c r="M764" s="670" t="str">
        <f>IF(EXC.RATE_2=0,"",IFERROR(IF(CURRENCY.FORMAT_2=0,CONCATENATE(TEXT(FIXED(ROUND(IF(EXC.RATE.SWITCH=1,C764*(1-I764)*(1-ADD.DISCOUNT)*(1+MAT.SURCHARGE)/EXC.RATE_2,C764*(1-I764)*(1-ADD.DISCOUNT)*(1+MAT.SURCHARGE)*EXC.RATE_2),CURRENCY.FORMAT_2),CURRENCY.FORMAT_2,1),"# ##0;-# ##0"),",-"),FIXED(ROUND(IF(EXC.RATE.SWITCH=1,C764*(1-I764)*(1-ADD.DISCOUNT)*(1+MAT.SURCHARGE)/EXC.RATE_2,C764*(1-I764)*(1-ADD.DISCOUNT)*(1+MAT.SURCHARGE)*EXC.RATE_2),CURRENCY.FORMAT_2),CURRENCY.FORMAT_2,0)),'DICTIONARY-5'!$A$2))</f>
        <v/>
      </c>
      <c r="N764" s="544">
        <v>2</v>
      </c>
      <c r="O764" s="544"/>
      <c r="P764" s="732" t="str">
        <f>'DICTIONARY-3'!$A$16&amp;" "&amp;'DICTIONARY-3'!$A$24</f>
        <v>REMO S6</v>
      </c>
      <c r="Q764" s="732" t="str">
        <f>'DICTIONARY-3'!$A$191</f>
        <v>Zestaw sterowania</v>
      </c>
      <c r="R764" s="732" t="str">
        <f>CONCATENATE('DICTIONARY-3'!$A$16," ",'DICTIONARY-3'!$A$24," ",'DICTIONARY-6'!$A$29," ",'DICTIONARY-3'!$A$13," ",'DICTIONARY-2'!$A$2,U764,", ",'DICTIONARY-6'!$A$54,"0,85-1,5m","+",'DICTIONARY-6'!$A$56," ",'DICTIONARY-5'!$A$7," ",'DICTIONARY-4'!$A$4)</f>
        <v>REMO S6 Zest. sterow. EROXplus DN1000-1200, przedłuż.0,85-1,5m+konsola dla NE</v>
      </c>
      <c r="S764" s="733" t="str">
        <f>'DICTIONARY-4'!$A$11</f>
        <v>PNE</v>
      </c>
      <c r="T764" s="732" t="str">
        <f>'DICTIONARY-4'!$A$27</f>
        <v>Przygotowane pod napęd elektryczny</v>
      </c>
      <c r="U764" s="734" t="s">
        <v>7862</v>
      </c>
      <c r="V764" s="735"/>
      <c r="W764" s="736"/>
      <c r="X764" s="737"/>
      <c r="Y764" s="738"/>
      <c r="Z764" s="739"/>
      <c r="AA764" s="739">
        <v>4348</v>
      </c>
      <c r="AB764" s="740"/>
      <c r="AC764" s="741"/>
      <c r="AD764" s="741"/>
      <c r="AE764" s="742"/>
      <c r="AF764" s="743"/>
      <c r="AG764" s="733" t="str">
        <f>'DICTIONARY-5'!$A$27</f>
        <v>pasywacja</v>
      </c>
    </row>
    <row r="765" spans="1:33" x14ac:dyDescent="0.25">
      <c r="A765" s="848"/>
      <c r="B765" s="848" t="str">
        <f>CONCATENATE('DICTIONARY-3'!$A$16,"-",'DICTIONARY-3'!$A$24,"-B.",$U765)</f>
        <v>REMO-S6-B.150-600</v>
      </c>
      <c r="C765" s="836">
        <v>1760</v>
      </c>
      <c r="D765" s="849"/>
      <c r="E765" s="836"/>
      <c r="F765" s="836"/>
      <c r="G765" s="850" t="s">
        <v>8211</v>
      </c>
      <c r="H765" s="797" t="str">
        <f>VLOOKUP(G765,SETTINGS!$B$7:$D$97,2,0)</f>
        <v>REMO</v>
      </c>
      <c r="I765" s="796">
        <f>VLOOKUP(G765,SETTINGS!$B$7:$D$97,3,0)</f>
        <v>0</v>
      </c>
      <c r="J765" s="670" t="str">
        <f>IFERROR(IF(CURRENCY.FORMAT_1=0,CONCATENATE(TEXT(FIXED(ROUND((C765/EXC.RATE_1),CURRENCY.FORMAT_1),CURRENCY.FORMAT_1,1),"# ##0;-# ##0"),",-"),FIXED(ROUND((C765/EXC.RATE_1),CURRENCY.FORMAT_1),CURRENCY.FORMAT_1,0)),'DICTIONARY-5'!$A$2)</f>
        <v>1 760,-</v>
      </c>
      <c r="K765" s="670" t="str">
        <f>IF(EXC.RATE_2=0,"",IFERROR(IF(CURRENCY.FORMAT_2=0,CONCATENATE(TEXT(FIXED(ROUND(IF(EXC.RATE.SWITCH=1,C765/EXC.RATE_2,C765*EXC.RATE_2),CURRENCY.FORMAT_2),CURRENCY.FORMAT_2,1),"# ##0;-# ##0"),",-"),FIXED(ROUND(IF(EXC.RATE.SWITCH=1,C765/EXC.RATE_2,C765*EXC.RATE_2),CURRENCY.FORMAT_2),CURRENCY.FORMAT_2,0)),'DICTIONARY-5'!$A$2))</f>
        <v/>
      </c>
      <c r="L765" s="670" t="str">
        <f>IFERROR(IF(CURRENCY.FORMAT_1=0,CONCATENATE(TEXT(FIXED(ROUND((C765*(1-I765)*(1-ADD.DISCOUNT)*(1+MAT.SURCHARGE)/EXC.RATE_1),CURRENCY.FORMAT_1),CURRENCY.FORMAT_1,1),"# ##0;-# ##0"),",-"),FIXED(ROUND((C765*(1-I765)*(1-ADD.DISCOUNT)*(1+MAT.SURCHARGE)/EXC.RATE_1),CURRENCY.FORMAT_1),CURRENCY.FORMAT_1,0)),'DICTIONARY-5'!$A$2)</f>
        <v>1 829,-</v>
      </c>
      <c r="M765" s="670" t="str">
        <f>IF(EXC.RATE_2=0,"",IFERROR(IF(CURRENCY.FORMAT_2=0,CONCATENATE(TEXT(FIXED(ROUND(IF(EXC.RATE.SWITCH=1,C765*(1-I765)*(1-ADD.DISCOUNT)*(1+MAT.SURCHARGE)/EXC.RATE_2,C765*(1-I765)*(1-ADD.DISCOUNT)*(1+MAT.SURCHARGE)*EXC.RATE_2),CURRENCY.FORMAT_2),CURRENCY.FORMAT_2,1),"# ##0;-# ##0"),",-"),FIXED(ROUND(IF(EXC.RATE.SWITCH=1,C765*(1-I765)*(1-ADD.DISCOUNT)*(1+MAT.SURCHARGE)/EXC.RATE_2,C765*(1-I765)*(1-ADD.DISCOUNT)*(1+MAT.SURCHARGE)*EXC.RATE_2),CURRENCY.FORMAT_2),CURRENCY.FORMAT_2,0)),'DICTIONARY-5'!$A$2))</f>
        <v/>
      </c>
      <c r="N765" s="544">
        <v>2</v>
      </c>
      <c r="O765" s="544"/>
      <c r="P765" s="732" t="str">
        <f>'DICTIONARY-3'!$A$16&amp;" "&amp;'DICTIONARY-3'!$A$24</f>
        <v>REMO S6</v>
      </c>
      <c r="Q765" s="732" t="str">
        <f>'DICTIONARY-3'!$A$191</f>
        <v>Zestaw sterowania</v>
      </c>
      <c r="R765" s="732" t="str">
        <f>CONCATENATE('DICTIONARY-3'!$A$16," ",'DICTIONARY-3'!$A$24," ",'DICTIONARY-6'!$A$29," ",'DICTIONARY-3'!$A$13," ",'DICTIONARY-2'!$A$2,U765,", ",'DICTIONARY-6'!$A$54,"1,5-2,7m","+",'DICTIONARY-6'!$A$56," ",'DICTIONARY-5'!$A$7," ",'DICTIONARY-4'!$A$4)</f>
        <v>REMO S6 Zest. sterow. EROXplus DN150-600, przedłuż.1,5-2,7m+konsola dla NE</v>
      </c>
      <c r="S765" s="733" t="str">
        <f>'DICTIONARY-4'!$A$11</f>
        <v>PNE</v>
      </c>
      <c r="T765" s="732" t="str">
        <f>'DICTIONARY-4'!$A$27</f>
        <v>Przygotowane pod napęd elektryczny</v>
      </c>
      <c r="U765" s="734" t="s">
        <v>7860</v>
      </c>
      <c r="V765" s="735"/>
      <c r="W765" s="736"/>
      <c r="X765" s="737"/>
      <c r="Y765" s="738"/>
      <c r="Z765" s="739"/>
      <c r="AA765" s="739">
        <v>3799</v>
      </c>
      <c r="AB765" s="740"/>
      <c r="AC765" s="741"/>
      <c r="AD765" s="741"/>
      <c r="AE765" s="742"/>
      <c r="AF765" s="743"/>
      <c r="AG765" s="733" t="str">
        <f>'DICTIONARY-5'!$A$27</f>
        <v>pasywacja</v>
      </c>
    </row>
    <row r="766" spans="1:33" x14ac:dyDescent="0.25">
      <c r="A766" s="848"/>
      <c r="B766" s="848" t="str">
        <f>CONCATENATE('DICTIONARY-3'!$A$16,"-",'DICTIONARY-3'!$A$24,"-B.",$U766)</f>
        <v>REMO-S6-B.700-900</v>
      </c>
      <c r="C766" s="836">
        <v>1789</v>
      </c>
      <c r="D766" s="849"/>
      <c r="E766" s="836"/>
      <c r="F766" s="836"/>
      <c r="G766" s="850" t="s">
        <v>8211</v>
      </c>
      <c r="H766" s="797" t="str">
        <f>VLOOKUP(G766,SETTINGS!$B$7:$D$97,2,0)</f>
        <v>REMO</v>
      </c>
      <c r="I766" s="796">
        <f>VLOOKUP(G766,SETTINGS!$B$7:$D$97,3,0)</f>
        <v>0</v>
      </c>
      <c r="J766" s="670" t="str">
        <f>IFERROR(IF(CURRENCY.FORMAT_1=0,CONCATENATE(TEXT(FIXED(ROUND((C766/EXC.RATE_1),CURRENCY.FORMAT_1),CURRENCY.FORMAT_1,1),"# ##0;-# ##0"),",-"),FIXED(ROUND((C766/EXC.RATE_1),CURRENCY.FORMAT_1),CURRENCY.FORMAT_1,0)),'DICTIONARY-5'!$A$2)</f>
        <v>1 789,-</v>
      </c>
      <c r="K766" s="670" t="str">
        <f>IF(EXC.RATE_2=0,"",IFERROR(IF(CURRENCY.FORMAT_2=0,CONCATENATE(TEXT(FIXED(ROUND(IF(EXC.RATE.SWITCH=1,C766/EXC.RATE_2,C766*EXC.RATE_2),CURRENCY.FORMAT_2),CURRENCY.FORMAT_2,1),"# ##0;-# ##0"),",-"),FIXED(ROUND(IF(EXC.RATE.SWITCH=1,C766/EXC.RATE_2,C766*EXC.RATE_2),CURRENCY.FORMAT_2),CURRENCY.FORMAT_2,0)),'DICTIONARY-5'!$A$2))</f>
        <v/>
      </c>
      <c r="L766" s="670" t="str">
        <f>IFERROR(IF(CURRENCY.FORMAT_1=0,CONCATENATE(TEXT(FIXED(ROUND((C766*(1-I766)*(1-ADD.DISCOUNT)*(1+MAT.SURCHARGE)/EXC.RATE_1),CURRENCY.FORMAT_1),CURRENCY.FORMAT_1,1),"# ##0;-# ##0"),",-"),FIXED(ROUND((C766*(1-I766)*(1-ADD.DISCOUNT)*(1+MAT.SURCHARGE)/EXC.RATE_1),CURRENCY.FORMAT_1),CURRENCY.FORMAT_1,0)),'DICTIONARY-5'!$A$2)</f>
        <v>1 859,-</v>
      </c>
      <c r="M766" s="670" t="str">
        <f>IF(EXC.RATE_2=0,"",IFERROR(IF(CURRENCY.FORMAT_2=0,CONCATENATE(TEXT(FIXED(ROUND(IF(EXC.RATE.SWITCH=1,C766*(1-I766)*(1-ADD.DISCOUNT)*(1+MAT.SURCHARGE)/EXC.RATE_2,C766*(1-I766)*(1-ADD.DISCOUNT)*(1+MAT.SURCHARGE)*EXC.RATE_2),CURRENCY.FORMAT_2),CURRENCY.FORMAT_2,1),"# ##0;-# ##0"),",-"),FIXED(ROUND(IF(EXC.RATE.SWITCH=1,C766*(1-I766)*(1-ADD.DISCOUNT)*(1+MAT.SURCHARGE)/EXC.RATE_2,C766*(1-I766)*(1-ADD.DISCOUNT)*(1+MAT.SURCHARGE)*EXC.RATE_2),CURRENCY.FORMAT_2),CURRENCY.FORMAT_2,0)),'DICTIONARY-5'!$A$2))</f>
        <v/>
      </c>
      <c r="N766" s="544">
        <v>2</v>
      </c>
      <c r="O766" s="544"/>
      <c r="P766" s="732" t="str">
        <f>'DICTIONARY-3'!$A$16&amp;" "&amp;'DICTIONARY-3'!$A$24</f>
        <v>REMO S6</v>
      </c>
      <c r="Q766" s="732" t="str">
        <f>'DICTIONARY-3'!$A$191</f>
        <v>Zestaw sterowania</v>
      </c>
      <c r="R766" s="732" t="str">
        <f>CONCATENATE('DICTIONARY-3'!$A$16," ",'DICTIONARY-3'!$A$24," ",'DICTIONARY-6'!$A$29," ",'DICTIONARY-3'!$A$13," ",'DICTIONARY-2'!$A$2,U766,", ",'DICTIONARY-6'!$A$54,"1,5-2,7m","+",'DICTIONARY-6'!$A$56," ",'DICTIONARY-5'!$A$7," ",'DICTIONARY-4'!$A$4)</f>
        <v>REMO S6 Zest. sterow. EROXplus DN700-900, przedłuż.1,5-2,7m+konsola dla NE</v>
      </c>
      <c r="S766" s="733" t="str">
        <f>'DICTIONARY-4'!$A$11</f>
        <v>PNE</v>
      </c>
      <c r="T766" s="732" t="str">
        <f>'DICTIONARY-4'!$A$27</f>
        <v>Przygotowane pod napęd elektryczny</v>
      </c>
      <c r="U766" s="734" t="s">
        <v>7863</v>
      </c>
      <c r="V766" s="735"/>
      <c r="W766" s="736"/>
      <c r="X766" s="737"/>
      <c r="Y766" s="738"/>
      <c r="Z766" s="739"/>
      <c r="AA766" s="739">
        <v>4922</v>
      </c>
      <c r="AB766" s="740"/>
      <c r="AC766" s="741"/>
      <c r="AD766" s="741"/>
      <c r="AE766" s="742"/>
      <c r="AF766" s="743"/>
      <c r="AG766" s="733" t="str">
        <f>'DICTIONARY-5'!$A$27</f>
        <v>pasywacja</v>
      </c>
    </row>
    <row r="767" spans="1:33" x14ac:dyDescent="0.25">
      <c r="A767" s="848"/>
      <c r="B767" s="848" t="str">
        <f>CONCATENATE('DICTIONARY-3'!$A$16,"-",'DICTIONARY-3'!$A$24,"-B.",$U767)</f>
        <v>REMO-S6-B.1000-1200</v>
      </c>
      <c r="C767" s="836">
        <v>1926</v>
      </c>
      <c r="D767" s="849"/>
      <c r="E767" s="836"/>
      <c r="F767" s="836"/>
      <c r="G767" s="850" t="s">
        <v>8211</v>
      </c>
      <c r="H767" s="797" t="str">
        <f>VLOOKUP(G767,SETTINGS!$B$7:$D$97,2,0)</f>
        <v>REMO</v>
      </c>
      <c r="I767" s="796">
        <f>VLOOKUP(G767,SETTINGS!$B$7:$D$97,3,0)</f>
        <v>0</v>
      </c>
      <c r="J767" s="670" t="str">
        <f>IFERROR(IF(CURRENCY.FORMAT_1=0,CONCATENATE(TEXT(FIXED(ROUND((C767/EXC.RATE_1),CURRENCY.FORMAT_1),CURRENCY.FORMAT_1,1),"# ##0;-# ##0"),",-"),FIXED(ROUND((C767/EXC.RATE_1),CURRENCY.FORMAT_1),CURRENCY.FORMAT_1,0)),'DICTIONARY-5'!$A$2)</f>
        <v>1 926,-</v>
      </c>
      <c r="K767" s="670" t="str">
        <f>IF(EXC.RATE_2=0,"",IFERROR(IF(CURRENCY.FORMAT_2=0,CONCATENATE(TEXT(FIXED(ROUND(IF(EXC.RATE.SWITCH=1,C767/EXC.RATE_2,C767*EXC.RATE_2),CURRENCY.FORMAT_2),CURRENCY.FORMAT_2,1),"# ##0;-# ##0"),",-"),FIXED(ROUND(IF(EXC.RATE.SWITCH=1,C767/EXC.RATE_2,C767*EXC.RATE_2),CURRENCY.FORMAT_2),CURRENCY.FORMAT_2,0)),'DICTIONARY-5'!$A$2))</f>
        <v/>
      </c>
      <c r="L767" s="670" t="str">
        <f>IFERROR(IF(CURRENCY.FORMAT_1=0,CONCATENATE(TEXT(FIXED(ROUND((C767*(1-I767)*(1-ADD.DISCOUNT)*(1+MAT.SURCHARGE)/EXC.RATE_1),CURRENCY.FORMAT_1),CURRENCY.FORMAT_1,1),"# ##0;-# ##0"),",-"),FIXED(ROUND((C767*(1-I767)*(1-ADD.DISCOUNT)*(1+MAT.SURCHARGE)/EXC.RATE_1),CURRENCY.FORMAT_1),CURRENCY.FORMAT_1,0)),'DICTIONARY-5'!$A$2)</f>
        <v>2 001,-</v>
      </c>
      <c r="M767" s="670" t="str">
        <f>IF(EXC.RATE_2=0,"",IFERROR(IF(CURRENCY.FORMAT_2=0,CONCATENATE(TEXT(FIXED(ROUND(IF(EXC.RATE.SWITCH=1,C767*(1-I767)*(1-ADD.DISCOUNT)*(1+MAT.SURCHARGE)/EXC.RATE_2,C767*(1-I767)*(1-ADD.DISCOUNT)*(1+MAT.SURCHARGE)*EXC.RATE_2),CURRENCY.FORMAT_2),CURRENCY.FORMAT_2,1),"# ##0;-# ##0"),",-"),FIXED(ROUND(IF(EXC.RATE.SWITCH=1,C767*(1-I767)*(1-ADD.DISCOUNT)*(1+MAT.SURCHARGE)/EXC.RATE_2,C767*(1-I767)*(1-ADD.DISCOUNT)*(1+MAT.SURCHARGE)*EXC.RATE_2),CURRENCY.FORMAT_2),CURRENCY.FORMAT_2,0)),'DICTIONARY-5'!$A$2))</f>
        <v/>
      </c>
      <c r="N767" s="544">
        <v>2</v>
      </c>
      <c r="O767" s="544"/>
      <c r="P767" s="732" t="str">
        <f>'DICTIONARY-3'!$A$16&amp;" "&amp;'DICTIONARY-3'!$A$24</f>
        <v>REMO S6</v>
      </c>
      <c r="Q767" s="732" t="str">
        <f>'DICTIONARY-3'!$A$191</f>
        <v>Zestaw sterowania</v>
      </c>
      <c r="R767" s="732" t="str">
        <f>CONCATENATE('DICTIONARY-3'!$A$16," ",'DICTIONARY-3'!$A$24," ",'DICTIONARY-6'!$A$29," ",'DICTIONARY-3'!$A$13," ",'DICTIONARY-2'!$A$2,U767,", ",'DICTIONARY-6'!$A$54,"1,5-2,7m","+",'DICTIONARY-6'!$A$56," ",'DICTIONARY-5'!$A$7," ",'DICTIONARY-4'!$A$4)</f>
        <v>REMO S6 Zest. sterow. EROXplus DN1000-1200, przedłuż.1,5-2,7m+konsola dla NE</v>
      </c>
      <c r="S767" s="733" t="str">
        <f>'DICTIONARY-4'!$A$11</f>
        <v>PNE</v>
      </c>
      <c r="T767" s="732" t="str">
        <f>'DICTIONARY-4'!$A$27</f>
        <v>Przygotowane pod napęd elektryczny</v>
      </c>
      <c r="U767" s="734" t="s">
        <v>7862</v>
      </c>
      <c r="V767" s="735"/>
      <c r="W767" s="736"/>
      <c r="X767" s="737"/>
      <c r="Y767" s="738"/>
      <c r="Z767" s="739"/>
      <c r="AA767" s="739">
        <v>5548</v>
      </c>
      <c r="AB767" s="740"/>
      <c r="AC767" s="741"/>
      <c r="AD767" s="741"/>
      <c r="AE767" s="742"/>
      <c r="AF767" s="743"/>
      <c r="AG767" s="733" t="str">
        <f>'DICTIONARY-5'!$A$27</f>
        <v>pasywacja</v>
      </c>
    </row>
    <row r="768" spans="1:33" x14ac:dyDescent="0.25">
      <c r="A768" s="848"/>
      <c r="B768" s="848" t="str">
        <f>CONCATENATE('DICTIONARY-3'!$A$16,"-",'DICTIONARY-3'!$A$24,"-C.",$U768)</f>
        <v>REMO-S6-C.150-600</v>
      </c>
      <c r="C768" s="836">
        <v>2141</v>
      </c>
      <c r="D768" s="849"/>
      <c r="E768" s="836"/>
      <c r="F768" s="836"/>
      <c r="G768" s="850" t="s">
        <v>8211</v>
      </c>
      <c r="H768" s="797" t="str">
        <f>VLOOKUP(G768,SETTINGS!$B$7:$D$97,2,0)</f>
        <v>REMO</v>
      </c>
      <c r="I768" s="796">
        <f>VLOOKUP(G768,SETTINGS!$B$7:$D$97,3,0)</f>
        <v>0</v>
      </c>
      <c r="J768" s="670" t="str">
        <f>IFERROR(IF(CURRENCY.FORMAT_1=0,CONCATENATE(TEXT(FIXED(ROUND((C768/EXC.RATE_1),CURRENCY.FORMAT_1),CURRENCY.FORMAT_1,1),"# ##0;-# ##0"),",-"),FIXED(ROUND((C768/EXC.RATE_1),CURRENCY.FORMAT_1),CURRENCY.FORMAT_1,0)),'DICTIONARY-5'!$A$2)</f>
        <v>2 141,-</v>
      </c>
      <c r="K768" s="670" t="str">
        <f>IF(EXC.RATE_2=0,"",IFERROR(IF(CURRENCY.FORMAT_2=0,CONCATENATE(TEXT(FIXED(ROUND(IF(EXC.RATE.SWITCH=1,C768/EXC.RATE_2,C768*EXC.RATE_2),CURRENCY.FORMAT_2),CURRENCY.FORMAT_2,1),"# ##0;-# ##0"),",-"),FIXED(ROUND(IF(EXC.RATE.SWITCH=1,C768/EXC.RATE_2,C768*EXC.RATE_2),CURRENCY.FORMAT_2),CURRENCY.FORMAT_2,0)),'DICTIONARY-5'!$A$2))</f>
        <v/>
      </c>
      <c r="L768" s="670" t="str">
        <f>IFERROR(IF(CURRENCY.FORMAT_1=0,CONCATENATE(TEXT(FIXED(ROUND((C768*(1-I768)*(1-ADD.DISCOUNT)*(1+MAT.SURCHARGE)/EXC.RATE_1),CURRENCY.FORMAT_1),CURRENCY.FORMAT_1,1),"# ##0;-# ##0"),",-"),FIXED(ROUND((C768*(1-I768)*(1-ADD.DISCOUNT)*(1+MAT.SURCHARGE)/EXC.RATE_1),CURRENCY.FORMAT_1),CURRENCY.FORMAT_1,0)),'DICTIONARY-5'!$A$2)</f>
        <v>2 224,-</v>
      </c>
      <c r="M768" s="670" t="str">
        <f>IF(EXC.RATE_2=0,"",IFERROR(IF(CURRENCY.FORMAT_2=0,CONCATENATE(TEXT(FIXED(ROUND(IF(EXC.RATE.SWITCH=1,C768*(1-I768)*(1-ADD.DISCOUNT)*(1+MAT.SURCHARGE)/EXC.RATE_2,C768*(1-I768)*(1-ADD.DISCOUNT)*(1+MAT.SURCHARGE)*EXC.RATE_2),CURRENCY.FORMAT_2),CURRENCY.FORMAT_2,1),"# ##0;-# ##0"),",-"),FIXED(ROUND(IF(EXC.RATE.SWITCH=1,C768*(1-I768)*(1-ADD.DISCOUNT)*(1+MAT.SURCHARGE)/EXC.RATE_2,C768*(1-I768)*(1-ADD.DISCOUNT)*(1+MAT.SURCHARGE)*EXC.RATE_2),CURRENCY.FORMAT_2),CURRENCY.FORMAT_2,0)),'DICTIONARY-5'!$A$2))</f>
        <v/>
      </c>
      <c r="N768" s="544">
        <v>2</v>
      </c>
      <c r="O768" s="544"/>
      <c r="P768" s="732" t="str">
        <f>'DICTIONARY-3'!$A$16&amp;" "&amp;'DICTIONARY-3'!$A$24</f>
        <v>REMO S6</v>
      </c>
      <c r="Q768" s="732" t="str">
        <f>'DICTIONARY-3'!$A$191</f>
        <v>Zestaw sterowania</v>
      </c>
      <c r="R768" s="732" t="str">
        <f>CONCATENATE('DICTIONARY-3'!$A$16," ",'DICTIONARY-3'!$A$24," ",'DICTIONARY-6'!$A$29," ",'DICTIONARY-3'!$A$13," ",'DICTIONARY-2'!$A$2,U768,", ",'DICTIONARY-6'!$A$54,"2,7-5,0m","+",'DICTIONARY-6'!$A$56," ",'DICTIONARY-5'!$A$7," ",'DICTIONARY-4'!$A$4)</f>
        <v>REMO S6 Zest. sterow. EROXplus DN150-600, przedłuż.2,7-5,0m+konsola dla NE</v>
      </c>
      <c r="S768" s="733" t="str">
        <f>'DICTIONARY-4'!$A$11</f>
        <v>PNE</v>
      </c>
      <c r="T768" s="732" t="str">
        <f>'DICTIONARY-4'!$A$27</f>
        <v>Przygotowane pod napęd elektryczny</v>
      </c>
      <c r="U768" s="734" t="s">
        <v>7860</v>
      </c>
      <c r="V768" s="735"/>
      <c r="W768" s="736"/>
      <c r="X768" s="737"/>
      <c r="Y768" s="738"/>
      <c r="Z768" s="739"/>
      <c r="AA768" s="739">
        <v>6099</v>
      </c>
      <c r="AB768" s="740"/>
      <c r="AC768" s="741"/>
      <c r="AD768" s="741"/>
      <c r="AE768" s="742"/>
      <c r="AF768" s="743"/>
      <c r="AG768" s="733" t="str">
        <f>'DICTIONARY-5'!$A$27</f>
        <v>pasywacja</v>
      </c>
    </row>
    <row r="769" spans="1:33" x14ac:dyDescent="0.25">
      <c r="A769" s="848"/>
      <c r="B769" s="848" t="str">
        <f>CONCATENATE('DICTIONARY-3'!$A$16,"-",'DICTIONARY-3'!$A$24,"-C.",$U769)</f>
        <v>REMO-S6-C.700-900</v>
      </c>
      <c r="C769" s="836">
        <v>2245</v>
      </c>
      <c r="D769" s="849"/>
      <c r="E769" s="836"/>
      <c r="F769" s="836"/>
      <c r="G769" s="850" t="s">
        <v>8211</v>
      </c>
      <c r="H769" s="797" t="str">
        <f>VLOOKUP(G769,SETTINGS!$B$7:$D$97,2,0)</f>
        <v>REMO</v>
      </c>
      <c r="I769" s="796">
        <f>VLOOKUP(G769,SETTINGS!$B$7:$D$97,3,0)</f>
        <v>0</v>
      </c>
      <c r="J769" s="670" t="str">
        <f>IFERROR(IF(CURRENCY.FORMAT_1=0,CONCATENATE(TEXT(FIXED(ROUND((C769/EXC.RATE_1),CURRENCY.FORMAT_1),CURRENCY.FORMAT_1,1),"# ##0;-# ##0"),",-"),FIXED(ROUND((C769/EXC.RATE_1),CURRENCY.FORMAT_1),CURRENCY.FORMAT_1,0)),'DICTIONARY-5'!$A$2)</f>
        <v>2 245,-</v>
      </c>
      <c r="K769" s="670" t="str">
        <f>IF(EXC.RATE_2=0,"",IFERROR(IF(CURRENCY.FORMAT_2=0,CONCATENATE(TEXT(FIXED(ROUND(IF(EXC.RATE.SWITCH=1,C769/EXC.RATE_2,C769*EXC.RATE_2),CURRENCY.FORMAT_2),CURRENCY.FORMAT_2,1),"# ##0;-# ##0"),",-"),FIXED(ROUND(IF(EXC.RATE.SWITCH=1,C769/EXC.RATE_2,C769*EXC.RATE_2),CURRENCY.FORMAT_2),CURRENCY.FORMAT_2,0)),'DICTIONARY-5'!$A$2))</f>
        <v/>
      </c>
      <c r="L769" s="670" t="str">
        <f>IFERROR(IF(CURRENCY.FORMAT_1=0,CONCATENATE(TEXT(FIXED(ROUND((C769*(1-I769)*(1-ADD.DISCOUNT)*(1+MAT.SURCHARGE)/EXC.RATE_1),CURRENCY.FORMAT_1),CURRENCY.FORMAT_1,1),"# ##0;-# ##0"),",-"),FIXED(ROUND((C769*(1-I769)*(1-ADD.DISCOUNT)*(1+MAT.SURCHARGE)/EXC.RATE_1),CURRENCY.FORMAT_1),CURRENCY.FORMAT_1,0)),'DICTIONARY-5'!$A$2)</f>
        <v>2 333,-</v>
      </c>
      <c r="M769" s="670" t="str">
        <f>IF(EXC.RATE_2=0,"",IFERROR(IF(CURRENCY.FORMAT_2=0,CONCATENATE(TEXT(FIXED(ROUND(IF(EXC.RATE.SWITCH=1,C769*(1-I769)*(1-ADD.DISCOUNT)*(1+MAT.SURCHARGE)/EXC.RATE_2,C769*(1-I769)*(1-ADD.DISCOUNT)*(1+MAT.SURCHARGE)*EXC.RATE_2),CURRENCY.FORMAT_2),CURRENCY.FORMAT_2,1),"# ##0;-# ##0"),",-"),FIXED(ROUND(IF(EXC.RATE.SWITCH=1,C769*(1-I769)*(1-ADD.DISCOUNT)*(1+MAT.SURCHARGE)/EXC.RATE_2,C769*(1-I769)*(1-ADD.DISCOUNT)*(1+MAT.SURCHARGE)*EXC.RATE_2),CURRENCY.FORMAT_2),CURRENCY.FORMAT_2,0)),'DICTIONARY-5'!$A$2))</f>
        <v/>
      </c>
      <c r="N769" s="544">
        <v>2</v>
      </c>
      <c r="O769" s="544"/>
      <c r="P769" s="732" t="str">
        <f>'DICTIONARY-3'!$A$16&amp;" "&amp;'DICTIONARY-3'!$A$24</f>
        <v>REMO S6</v>
      </c>
      <c r="Q769" s="732" t="str">
        <f>'DICTIONARY-3'!$A$191</f>
        <v>Zestaw sterowania</v>
      </c>
      <c r="R769" s="732" t="str">
        <f>CONCATENATE('DICTIONARY-3'!$A$16," ",'DICTIONARY-3'!$A$24," ",'DICTIONARY-6'!$A$29," ",'DICTIONARY-3'!$A$13," ",'DICTIONARY-2'!$A$2,U769,", ",'DICTIONARY-6'!$A$54,"2,7-5,0m","+",'DICTIONARY-6'!$A$56," ",'DICTIONARY-5'!$A$7," ",'DICTIONARY-4'!$A$4)</f>
        <v>REMO S6 Zest. sterow. EROXplus DN700-900, przedłuż.2,7-5,0m+konsola dla NE</v>
      </c>
      <c r="S769" s="733" t="str">
        <f>'DICTIONARY-4'!$A$11</f>
        <v>PNE</v>
      </c>
      <c r="T769" s="732" t="str">
        <f>'DICTIONARY-4'!$A$27</f>
        <v>Przygotowane pod napęd elektryczny</v>
      </c>
      <c r="U769" s="734" t="s">
        <v>7863</v>
      </c>
      <c r="V769" s="735"/>
      <c r="W769" s="736"/>
      <c r="X769" s="737"/>
      <c r="Y769" s="738"/>
      <c r="Z769" s="739"/>
      <c r="AA769" s="739">
        <v>7222</v>
      </c>
      <c r="AB769" s="740"/>
      <c r="AC769" s="741"/>
      <c r="AD769" s="741"/>
      <c r="AE769" s="742"/>
      <c r="AF769" s="743"/>
      <c r="AG769" s="733" t="str">
        <f>'DICTIONARY-5'!$A$27</f>
        <v>pasywacja</v>
      </c>
    </row>
    <row r="770" spans="1:33" x14ac:dyDescent="0.25">
      <c r="A770" s="848"/>
      <c r="B770" s="848" t="str">
        <f>CONCATENATE('DICTIONARY-3'!$A$16,"-",'DICTIONARY-3'!$A$24,"-C.",$U770)</f>
        <v>REMO-S6-C.1000-1200</v>
      </c>
      <c r="C770" s="836">
        <v>2382</v>
      </c>
      <c r="D770" s="849"/>
      <c r="E770" s="836"/>
      <c r="F770" s="836"/>
      <c r="G770" s="850" t="s">
        <v>8211</v>
      </c>
      <c r="H770" s="797" t="str">
        <f>VLOOKUP(G770,SETTINGS!$B$7:$D$97,2,0)</f>
        <v>REMO</v>
      </c>
      <c r="I770" s="796">
        <f>VLOOKUP(G770,SETTINGS!$B$7:$D$97,3,0)</f>
        <v>0</v>
      </c>
      <c r="J770" s="670" t="str">
        <f>IFERROR(IF(CURRENCY.FORMAT_1=0,CONCATENATE(TEXT(FIXED(ROUND((C770/EXC.RATE_1),CURRENCY.FORMAT_1),CURRENCY.FORMAT_1,1),"# ##0;-# ##0"),",-"),FIXED(ROUND((C770/EXC.RATE_1),CURRENCY.FORMAT_1),CURRENCY.FORMAT_1,0)),'DICTIONARY-5'!$A$2)</f>
        <v>2 382,-</v>
      </c>
      <c r="K770" s="670" t="str">
        <f>IF(EXC.RATE_2=0,"",IFERROR(IF(CURRENCY.FORMAT_2=0,CONCATENATE(TEXT(FIXED(ROUND(IF(EXC.RATE.SWITCH=1,C770/EXC.RATE_2,C770*EXC.RATE_2),CURRENCY.FORMAT_2),CURRENCY.FORMAT_2,1),"# ##0;-# ##0"),",-"),FIXED(ROUND(IF(EXC.RATE.SWITCH=1,C770/EXC.RATE_2,C770*EXC.RATE_2),CURRENCY.FORMAT_2),CURRENCY.FORMAT_2,0)),'DICTIONARY-5'!$A$2))</f>
        <v/>
      </c>
      <c r="L770" s="670" t="str">
        <f>IFERROR(IF(CURRENCY.FORMAT_1=0,CONCATENATE(TEXT(FIXED(ROUND((C770*(1-I770)*(1-ADD.DISCOUNT)*(1+MAT.SURCHARGE)/EXC.RATE_1),CURRENCY.FORMAT_1),CURRENCY.FORMAT_1,1),"# ##0;-# ##0"),",-"),FIXED(ROUND((C770*(1-I770)*(1-ADD.DISCOUNT)*(1+MAT.SURCHARGE)/EXC.RATE_1),CURRENCY.FORMAT_1),CURRENCY.FORMAT_1,0)),'DICTIONARY-5'!$A$2)</f>
        <v>2 475,-</v>
      </c>
      <c r="M770" s="670" t="str">
        <f>IF(EXC.RATE_2=0,"",IFERROR(IF(CURRENCY.FORMAT_2=0,CONCATENATE(TEXT(FIXED(ROUND(IF(EXC.RATE.SWITCH=1,C770*(1-I770)*(1-ADD.DISCOUNT)*(1+MAT.SURCHARGE)/EXC.RATE_2,C770*(1-I770)*(1-ADD.DISCOUNT)*(1+MAT.SURCHARGE)*EXC.RATE_2),CURRENCY.FORMAT_2),CURRENCY.FORMAT_2,1),"# ##0;-# ##0"),",-"),FIXED(ROUND(IF(EXC.RATE.SWITCH=1,C770*(1-I770)*(1-ADD.DISCOUNT)*(1+MAT.SURCHARGE)/EXC.RATE_2,C770*(1-I770)*(1-ADD.DISCOUNT)*(1+MAT.SURCHARGE)*EXC.RATE_2),CURRENCY.FORMAT_2),CURRENCY.FORMAT_2,0)),'DICTIONARY-5'!$A$2))</f>
        <v/>
      </c>
      <c r="N770" s="544">
        <v>2</v>
      </c>
      <c r="O770" s="544"/>
      <c r="P770" s="732" t="str">
        <f>'DICTIONARY-3'!$A$16&amp;" "&amp;'DICTIONARY-3'!$A$24</f>
        <v>REMO S6</v>
      </c>
      <c r="Q770" s="732" t="str">
        <f>'DICTIONARY-3'!$A$191</f>
        <v>Zestaw sterowania</v>
      </c>
      <c r="R770" s="732" t="str">
        <f>CONCATENATE('DICTIONARY-3'!$A$16," ",'DICTIONARY-3'!$A$24," ",'DICTIONARY-6'!$A$29," ",'DICTIONARY-3'!$A$13," ",'DICTIONARY-2'!$A$2,U770,", ",'DICTIONARY-6'!$A$54,"2,7-5,0m","+",'DICTIONARY-6'!$A$56," ",'DICTIONARY-5'!$A$7," ",'DICTIONARY-4'!$A$4)</f>
        <v>REMO S6 Zest. sterow. EROXplus DN1000-1200, przedłuż.2,7-5,0m+konsola dla NE</v>
      </c>
      <c r="S770" s="733" t="str">
        <f>'DICTIONARY-4'!$A$11</f>
        <v>PNE</v>
      </c>
      <c r="T770" s="732" t="str">
        <f>'DICTIONARY-4'!$A$27</f>
        <v>Przygotowane pod napęd elektryczny</v>
      </c>
      <c r="U770" s="734" t="s">
        <v>7862</v>
      </c>
      <c r="V770" s="735"/>
      <c r="W770" s="736"/>
      <c r="X770" s="737"/>
      <c r="Y770" s="738"/>
      <c r="Z770" s="739"/>
      <c r="AA770" s="739">
        <v>7848</v>
      </c>
      <c r="AB770" s="740"/>
      <c r="AC770" s="741"/>
      <c r="AD770" s="741"/>
      <c r="AE770" s="742"/>
      <c r="AF770" s="743"/>
      <c r="AG770" s="733" t="str">
        <f>'DICTIONARY-5'!$A$27</f>
        <v>pasywacja</v>
      </c>
    </row>
    <row r="771" spans="1:33" x14ac:dyDescent="0.25">
      <c r="A771" s="848"/>
      <c r="B771" s="848" t="str">
        <f>CONCATENATE('DICTIONARY-3'!$A$16,"-",'DICTIONARY-3'!$A$25,"-A.",$U771)</f>
        <v>REMO-S7-A.150-600</v>
      </c>
      <c r="C771" s="836">
        <v>834</v>
      </c>
      <c r="D771" s="849"/>
      <c r="E771" s="836"/>
      <c r="F771" s="836"/>
      <c r="G771" s="850" t="s">
        <v>8211</v>
      </c>
      <c r="H771" s="797" t="str">
        <f>VLOOKUP(G771,SETTINGS!$B$7:$D$97,2,0)</f>
        <v>REMO</v>
      </c>
      <c r="I771" s="796">
        <f>VLOOKUP(G771,SETTINGS!$B$7:$D$97,3,0)</f>
        <v>0</v>
      </c>
      <c r="J771" s="670" t="str">
        <f>IFERROR(IF(CURRENCY.FORMAT_1=0,CONCATENATE(TEXT(FIXED(ROUND((C771/EXC.RATE_1),CURRENCY.FORMAT_1),CURRENCY.FORMAT_1,1),"# ##0;-# ##0"),",-"),FIXED(ROUND((C771/EXC.RATE_1),CURRENCY.FORMAT_1),CURRENCY.FORMAT_1,0)),'DICTIONARY-5'!$A$2)</f>
        <v>834,-</v>
      </c>
      <c r="K771" s="670" t="str">
        <f>IF(EXC.RATE_2=0,"",IFERROR(IF(CURRENCY.FORMAT_2=0,CONCATENATE(TEXT(FIXED(ROUND(IF(EXC.RATE.SWITCH=1,C771/EXC.RATE_2,C771*EXC.RATE_2),CURRENCY.FORMAT_2),CURRENCY.FORMAT_2,1),"# ##0;-# ##0"),",-"),FIXED(ROUND(IF(EXC.RATE.SWITCH=1,C771/EXC.RATE_2,C771*EXC.RATE_2),CURRENCY.FORMAT_2),CURRENCY.FORMAT_2,0)),'DICTIONARY-5'!$A$2))</f>
        <v/>
      </c>
      <c r="L771" s="670" t="str">
        <f>IFERROR(IF(CURRENCY.FORMAT_1=0,CONCATENATE(TEXT(FIXED(ROUND((C771*(1-I771)*(1-ADD.DISCOUNT)*(1+MAT.SURCHARGE)/EXC.RATE_1),CURRENCY.FORMAT_1),CURRENCY.FORMAT_1,1),"# ##0;-# ##0"),",-"),FIXED(ROUND((C771*(1-I771)*(1-ADD.DISCOUNT)*(1+MAT.SURCHARGE)/EXC.RATE_1),CURRENCY.FORMAT_1),CURRENCY.FORMAT_1,0)),'DICTIONARY-5'!$A$2)</f>
        <v>867,-</v>
      </c>
      <c r="M771" s="670" t="str">
        <f>IF(EXC.RATE_2=0,"",IFERROR(IF(CURRENCY.FORMAT_2=0,CONCATENATE(TEXT(FIXED(ROUND(IF(EXC.RATE.SWITCH=1,C771*(1-I771)*(1-ADD.DISCOUNT)*(1+MAT.SURCHARGE)/EXC.RATE_2,C771*(1-I771)*(1-ADD.DISCOUNT)*(1+MAT.SURCHARGE)*EXC.RATE_2),CURRENCY.FORMAT_2),CURRENCY.FORMAT_2,1),"# ##0;-# ##0"),",-"),FIXED(ROUND(IF(EXC.RATE.SWITCH=1,C771*(1-I771)*(1-ADD.DISCOUNT)*(1+MAT.SURCHARGE)/EXC.RATE_2,C771*(1-I771)*(1-ADD.DISCOUNT)*(1+MAT.SURCHARGE)*EXC.RATE_2),CURRENCY.FORMAT_2),CURRENCY.FORMAT_2,0)),'DICTIONARY-5'!$A$2))</f>
        <v/>
      </c>
      <c r="N771" s="544">
        <v>2</v>
      </c>
      <c r="O771" s="544"/>
      <c r="P771" s="732" t="str">
        <f>'DICTIONARY-3'!$A$16&amp;" "&amp;'DICTIONARY-3'!$A$25</f>
        <v>REMO S7</v>
      </c>
      <c r="Q771" s="732" t="str">
        <f>'DICTIONARY-3'!$A$191</f>
        <v>Zestaw sterowania</v>
      </c>
      <c r="R771" s="732" t="str">
        <f>CONCATENATE('DICTIONARY-3'!$A$16," ",'DICTIONARY-3'!$A$25," ",'DICTIONARY-6'!$A$29," ",'DICTIONARY-3'!$A$13," ",'DICTIONARY-2'!$A$2,U771,", ",'DICTIONARY-6'!$A$54,"0,85-1,5m","+",'DICTIONARY-6'!$A$57,"+",'DICTIONARY-4'!$A$7)</f>
        <v>REMO S7 Zest. sterow. EROXplus DN150-600, przedłuż.0,85-1,5m+kolumienka+KR</v>
      </c>
      <c r="S771" s="733" t="str">
        <f>'DICTIONARY-4'!$A$7</f>
        <v>KR</v>
      </c>
      <c r="T771" s="732" t="str">
        <f>'DICTIONARY-4'!$A$23</f>
        <v>Kółko ręczne</v>
      </c>
      <c r="U771" s="734" t="s">
        <v>7860</v>
      </c>
      <c r="V771" s="735"/>
      <c r="W771" s="736"/>
      <c r="X771" s="737"/>
      <c r="Y771" s="738"/>
      <c r="Z771" s="739"/>
      <c r="AA771" s="739">
        <v>2157</v>
      </c>
      <c r="AB771" s="740"/>
      <c r="AC771" s="741"/>
      <c r="AD771" s="741"/>
      <c r="AE771" s="742"/>
      <c r="AF771" s="743"/>
      <c r="AG771" s="733" t="str">
        <f>'DICTIONARY-5'!$A$27</f>
        <v>pasywacja</v>
      </c>
    </row>
    <row r="772" spans="1:33" x14ac:dyDescent="0.25">
      <c r="A772" s="848"/>
      <c r="B772" s="848" t="str">
        <f>CONCATENATE('DICTIONARY-3'!$A$16,"-",'DICTIONARY-3'!$A$25,"-A.",$U772)</f>
        <v>REMO-S7-A.700-1200</v>
      </c>
      <c r="C772" s="836">
        <v>926</v>
      </c>
      <c r="D772" s="849"/>
      <c r="E772" s="836"/>
      <c r="F772" s="836"/>
      <c r="G772" s="850" t="s">
        <v>8211</v>
      </c>
      <c r="H772" s="797" t="str">
        <f>VLOOKUP(G772,SETTINGS!$B$7:$D$97,2,0)</f>
        <v>REMO</v>
      </c>
      <c r="I772" s="796">
        <f>VLOOKUP(G772,SETTINGS!$B$7:$D$97,3,0)</f>
        <v>0</v>
      </c>
      <c r="J772" s="670" t="str">
        <f>IFERROR(IF(CURRENCY.FORMAT_1=0,CONCATENATE(TEXT(FIXED(ROUND((C772/EXC.RATE_1),CURRENCY.FORMAT_1),CURRENCY.FORMAT_1,1),"# ##0;-# ##0"),",-"),FIXED(ROUND((C772/EXC.RATE_1),CURRENCY.FORMAT_1),CURRENCY.FORMAT_1,0)),'DICTIONARY-5'!$A$2)</f>
        <v>926,-</v>
      </c>
      <c r="K772" s="670" t="str">
        <f>IF(EXC.RATE_2=0,"",IFERROR(IF(CURRENCY.FORMAT_2=0,CONCATENATE(TEXT(FIXED(ROUND(IF(EXC.RATE.SWITCH=1,C772/EXC.RATE_2,C772*EXC.RATE_2),CURRENCY.FORMAT_2),CURRENCY.FORMAT_2,1),"# ##0;-# ##0"),",-"),FIXED(ROUND(IF(EXC.RATE.SWITCH=1,C772/EXC.RATE_2,C772*EXC.RATE_2),CURRENCY.FORMAT_2),CURRENCY.FORMAT_2,0)),'DICTIONARY-5'!$A$2))</f>
        <v/>
      </c>
      <c r="L772" s="670" t="str">
        <f>IFERROR(IF(CURRENCY.FORMAT_1=0,CONCATENATE(TEXT(FIXED(ROUND((C772*(1-I772)*(1-ADD.DISCOUNT)*(1+MAT.SURCHARGE)/EXC.RATE_1),CURRENCY.FORMAT_1),CURRENCY.FORMAT_1,1),"# ##0;-# ##0"),",-"),FIXED(ROUND((C772*(1-I772)*(1-ADD.DISCOUNT)*(1+MAT.SURCHARGE)/EXC.RATE_1),CURRENCY.FORMAT_1),CURRENCY.FORMAT_1,0)),'DICTIONARY-5'!$A$2)</f>
        <v>962,-</v>
      </c>
      <c r="M772" s="670" t="str">
        <f>IF(EXC.RATE_2=0,"",IFERROR(IF(CURRENCY.FORMAT_2=0,CONCATENATE(TEXT(FIXED(ROUND(IF(EXC.RATE.SWITCH=1,C772*(1-I772)*(1-ADD.DISCOUNT)*(1+MAT.SURCHARGE)/EXC.RATE_2,C772*(1-I772)*(1-ADD.DISCOUNT)*(1+MAT.SURCHARGE)*EXC.RATE_2),CURRENCY.FORMAT_2),CURRENCY.FORMAT_2,1),"# ##0;-# ##0"),",-"),FIXED(ROUND(IF(EXC.RATE.SWITCH=1,C772*(1-I772)*(1-ADD.DISCOUNT)*(1+MAT.SURCHARGE)/EXC.RATE_2,C772*(1-I772)*(1-ADD.DISCOUNT)*(1+MAT.SURCHARGE)*EXC.RATE_2),CURRENCY.FORMAT_2),CURRENCY.FORMAT_2,0)),'DICTIONARY-5'!$A$2))</f>
        <v/>
      </c>
      <c r="N772" s="544">
        <v>2</v>
      </c>
      <c r="O772" s="544"/>
      <c r="P772" s="732" t="str">
        <f>'DICTIONARY-3'!$A$16&amp;" "&amp;'DICTIONARY-3'!$A$25</f>
        <v>REMO S7</v>
      </c>
      <c r="Q772" s="732" t="str">
        <f>'DICTIONARY-3'!$A$191</f>
        <v>Zestaw sterowania</v>
      </c>
      <c r="R772" s="732" t="str">
        <f>CONCATENATE('DICTIONARY-3'!$A$16," ",'DICTIONARY-3'!$A$25," ",'DICTIONARY-6'!$A$29," ",'DICTIONARY-3'!$A$13," ",'DICTIONARY-2'!$A$2,U772,", ",'DICTIONARY-6'!$A$54,"0,85-1,5m","+",'DICTIONARY-6'!$A$57,"+",'DICTIONARY-4'!$A$7)</f>
        <v>REMO S7 Zest. sterow. EROXplus DN700-1200, przedłuż.0,85-1,5m+kolumienka+KR</v>
      </c>
      <c r="S772" s="733" t="str">
        <f>'DICTIONARY-4'!$A$7</f>
        <v>KR</v>
      </c>
      <c r="T772" s="732" t="str">
        <f>'DICTIONARY-4'!$A$23</f>
        <v>Kółko ręczne</v>
      </c>
      <c r="U772" s="734" t="s">
        <v>7861</v>
      </c>
      <c r="V772" s="735"/>
      <c r="W772" s="736"/>
      <c r="X772" s="737"/>
      <c r="Y772" s="738"/>
      <c r="Z772" s="739"/>
      <c r="AA772" s="739">
        <v>3278</v>
      </c>
      <c r="AB772" s="740"/>
      <c r="AC772" s="741"/>
      <c r="AD772" s="741"/>
      <c r="AE772" s="742"/>
      <c r="AF772" s="743"/>
      <c r="AG772" s="733" t="str">
        <f>'DICTIONARY-5'!$A$27</f>
        <v>pasywacja</v>
      </c>
    </row>
    <row r="773" spans="1:33" x14ac:dyDescent="0.25">
      <c r="A773" s="848"/>
      <c r="B773" s="848" t="str">
        <f>CONCATENATE('DICTIONARY-3'!$A$16,"-",'DICTIONARY-3'!$A$25,"-B.",$U773)</f>
        <v>REMO-S7-B.150-600</v>
      </c>
      <c r="C773" s="836">
        <v>1145</v>
      </c>
      <c r="D773" s="849"/>
      <c r="E773" s="836"/>
      <c r="F773" s="836"/>
      <c r="G773" s="850" t="s">
        <v>8211</v>
      </c>
      <c r="H773" s="797" t="str">
        <f>VLOOKUP(G773,SETTINGS!$B$7:$D$97,2,0)</f>
        <v>REMO</v>
      </c>
      <c r="I773" s="796">
        <f>VLOOKUP(G773,SETTINGS!$B$7:$D$97,3,0)</f>
        <v>0</v>
      </c>
      <c r="J773" s="670" t="str">
        <f>IFERROR(IF(CURRENCY.FORMAT_1=0,CONCATENATE(TEXT(FIXED(ROUND((C773/EXC.RATE_1),CURRENCY.FORMAT_1),CURRENCY.FORMAT_1,1),"# ##0;-# ##0"),",-"),FIXED(ROUND((C773/EXC.RATE_1),CURRENCY.FORMAT_1),CURRENCY.FORMAT_1,0)),'DICTIONARY-5'!$A$2)</f>
        <v>1 145,-</v>
      </c>
      <c r="K773" s="670" t="str">
        <f>IF(EXC.RATE_2=0,"",IFERROR(IF(CURRENCY.FORMAT_2=0,CONCATENATE(TEXT(FIXED(ROUND(IF(EXC.RATE.SWITCH=1,C773/EXC.RATE_2,C773*EXC.RATE_2),CURRENCY.FORMAT_2),CURRENCY.FORMAT_2,1),"# ##0;-# ##0"),",-"),FIXED(ROUND(IF(EXC.RATE.SWITCH=1,C773/EXC.RATE_2,C773*EXC.RATE_2),CURRENCY.FORMAT_2),CURRENCY.FORMAT_2,0)),'DICTIONARY-5'!$A$2))</f>
        <v/>
      </c>
      <c r="L773" s="670" t="str">
        <f>IFERROR(IF(CURRENCY.FORMAT_1=0,CONCATENATE(TEXT(FIXED(ROUND((C773*(1-I773)*(1-ADD.DISCOUNT)*(1+MAT.SURCHARGE)/EXC.RATE_1),CURRENCY.FORMAT_1),CURRENCY.FORMAT_1,1),"# ##0;-# ##0"),",-"),FIXED(ROUND((C773*(1-I773)*(1-ADD.DISCOUNT)*(1+MAT.SURCHARGE)/EXC.RATE_1),CURRENCY.FORMAT_1),CURRENCY.FORMAT_1,0)),'DICTIONARY-5'!$A$2)</f>
        <v>1 190,-</v>
      </c>
      <c r="M773" s="670" t="str">
        <f>IF(EXC.RATE_2=0,"",IFERROR(IF(CURRENCY.FORMAT_2=0,CONCATENATE(TEXT(FIXED(ROUND(IF(EXC.RATE.SWITCH=1,C773*(1-I773)*(1-ADD.DISCOUNT)*(1+MAT.SURCHARGE)/EXC.RATE_2,C773*(1-I773)*(1-ADD.DISCOUNT)*(1+MAT.SURCHARGE)*EXC.RATE_2),CURRENCY.FORMAT_2),CURRENCY.FORMAT_2,1),"# ##0;-# ##0"),",-"),FIXED(ROUND(IF(EXC.RATE.SWITCH=1,C773*(1-I773)*(1-ADD.DISCOUNT)*(1+MAT.SURCHARGE)/EXC.RATE_2,C773*(1-I773)*(1-ADD.DISCOUNT)*(1+MAT.SURCHARGE)*EXC.RATE_2),CURRENCY.FORMAT_2),CURRENCY.FORMAT_2,0)),'DICTIONARY-5'!$A$2))</f>
        <v/>
      </c>
      <c r="N773" s="544">
        <v>2</v>
      </c>
      <c r="O773" s="544"/>
      <c r="P773" s="732" t="str">
        <f>'DICTIONARY-3'!$A$16&amp;" "&amp;'DICTIONARY-3'!$A$25</f>
        <v>REMO S7</v>
      </c>
      <c r="Q773" s="732" t="str">
        <f>'DICTIONARY-3'!$A$191</f>
        <v>Zestaw sterowania</v>
      </c>
      <c r="R773" s="732" t="str">
        <f>CONCATENATE('DICTIONARY-3'!$A$16," ",'DICTIONARY-3'!$A$25," ",'DICTIONARY-6'!$A$29," ",'DICTIONARY-3'!$A$13," ",'DICTIONARY-2'!$A$2,U773,", ",'DICTIONARY-6'!$A$54,"1,5-2,7m","+",'DICTIONARY-6'!$A$57,"+",'DICTIONARY-4'!$A$7)</f>
        <v>REMO S7 Zest. sterow. EROXplus DN150-600, przedłuż.1,5-2,7m+kolumienka+KR</v>
      </c>
      <c r="S773" s="733" t="str">
        <f>'DICTIONARY-4'!$A$7</f>
        <v>KR</v>
      </c>
      <c r="T773" s="732" t="str">
        <f>'DICTIONARY-4'!$A$23</f>
        <v>Kółko ręczne</v>
      </c>
      <c r="U773" s="734" t="s">
        <v>7860</v>
      </c>
      <c r="V773" s="735"/>
      <c r="W773" s="736"/>
      <c r="X773" s="737"/>
      <c r="Y773" s="738"/>
      <c r="Z773" s="739"/>
      <c r="AA773" s="739">
        <v>3357</v>
      </c>
      <c r="AB773" s="740"/>
      <c r="AC773" s="741"/>
      <c r="AD773" s="741"/>
      <c r="AE773" s="742"/>
      <c r="AF773" s="743"/>
      <c r="AG773" s="733" t="str">
        <f>'DICTIONARY-5'!$A$27</f>
        <v>pasywacja</v>
      </c>
    </row>
    <row r="774" spans="1:33" x14ac:dyDescent="0.25">
      <c r="A774" s="848"/>
      <c r="B774" s="848" t="str">
        <f>CONCATENATE('DICTIONARY-3'!$A$16,"-",'DICTIONARY-3'!$A$25,"-B.",$U774)</f>
        <v>REMO-S7-B.700-1200</v>
      </c>
      <c r="C774" s="836">
        <v>1262</v>
      </c>
      <c r="D774" s="849"/>
      <c r="E774" s="836"/>
      <c r="F774" s="836"/>
      <c r="G774" s="850" t="s">
        <v>8211</v>
      </c>
      <c r="H774" s="797" t="str">
        <f>VLOOKUP(G774,SETTINGS!$B$7:$D$97,2,0)</f>
        <v>REMO</v>
      </c>
      <c r="I774" s="796">
        <f>VLOOKUP(G774,SETTINGS!$B$7:$D$97,3,0)</f>
        <v>0</v>
      </c>
      <c r="J774" s="670" t="str">
        <f>IFERROR(IF(CURRENCY.FORMAT_1=0,CONCATENATE(TEXT(FIXED(ROUND((C774/EXC.RATE_1),CURRENCY.FORMAT_1),CURRENCY.FORMAT_1,1),"# ##0;-# ##0"),",-"),FIXED(ROUND((C774/EXC.RATE_1),CURRENCY.FORMAT_1),CURRENCY.FORMAT_1,0)),'DICTIONARY-5'!$A$2)</f>
        <v>1 262,-</v>
      </c>
      <c r="K774" s="670" t="str">
        <f>IF(EXC.RATE_2=0,"",IFERROR(IF(CURRENCY.FORMAT_2=0,CONCATENATE(TEXT(FIXED(ROUND(IF(EXC.RATE.SWITCH=1,C774/EXC.RATE_2,C774*EXC.RATE_2),CURRENCY.FORMAT_2),CURRENCY.FORMAT_2,1),"# ##0;-# ##0"),",-"),FIXED(ROUND(IF(EXC.RATE.SWITCH=1,C774/EXC.RATE_2,C774*EXC.RATE_2),CURRENCY.FORMAT_2),CURRENCY.FORMAT_2,0)),'DICTIONARY-5'!$A$2))</f>
        <v/>
      </c>
      <c r="L774" s="670" t="str">
        <f>IFERROR(IF(CURRENCY.FORMAT_1=0,CONCATENATE(TEXT(FIXED(ROUND((C774*(1-I774)*(1-ADD.DISCOUNT)*(1+MAT.SURCHARGE)/EXC.RATE_1),CURRENCY.FORMAT_1),CURRENCY.FORMAT_1,1),"# ##0;-# ##0"),",-"),FIXED(ROUND((C774*(1-I774)*(1-ADD.DISCOUNT)*(1+MAT.SURCHARGE)/EXC.RATE_1),CURRENCY.FORMAT_1),CURRENCY.FORMAT_1,0)),'DICTIONARY-5'!$A$2)</f>
        <v>1 311,-</v>
      </c>
      <c r="M774" s="670" t="str">
        <f>IF(EXC.RATE_2=0,"",IFERROR(IF(CURRENCY.FORMAT_2=0,CONCATENATE(TEXT(FIXED(ROUND(IF(EXC.RATE.SWITCH=1,C774*(1-I774)*(1-ADD.DISCOUNT)*(1+MAT.SURCHARGE)/EXC.RATE_2,C774*(1-I774)*(1-ADD.DISCOUNT)*(1+MAT.SURCHARGE)*EXC.RATE_2),CURRENCY.FORMAT_2),CURRENCY.FORMAT_2,1),"# ##0;-# ##0"),",-"),FIXED(ROUND(IF(EXC.RATE.SWITCH=1,C774*(1-I774)*(1-ADD.DISCOUNT)*(1+MAT.SURCHARGE)/EXC.RATE_2,C774*(1-I774)*(1-ADD.DISCOUNT)*(1+MAT.SURCHARGE)*EXC.RATE_2),CURRENCY.FORMAT_2),CURRENCY.FORMAT_2,0)),'DICTIONARY-5'!$A$2))</f>
        <v/>
      </c>
      <c r="N774" s="544">
        <v>2</v>
      </c>
      <c r="O774" s="544"/>
      <c r="P774" s="732" t="str">
        <f>'DICTIONARY-3'!$A$16&amp;" "&amp;'DICTIONARY-3'!$A$25</f>
        <v>REMO S7</v>
      </c>
      <c r="Q774" s="732" t="str">
        <f>'DICTIONARY-3'!$A$191</f>
        <v>Zestaw sterowania</v>
      </c>
      <c r="R774" s="732" t="str">
        <f>CONCATENATE('DICTIONARY-3'!$A$16," ",'DICTIONARY-3'!$A$25," ",'DICTIONARY-6'!$A$29," ",'DICTIONARY-3'!$A$13," ",'DICTIONARY-2'!$A$2,U774,", ",'DICTIONARY-6'!$A$54,"1,5-2,7m","+",'DICTIONARY-6'!$A$57,"+",'DICTIONARY-4'!$A$7)</f>
        <v>REMO S7 Zest. sterow. EROXplus DN700-1200, przedłuż.1,5-2,7m+kolumienka+KR</v>
      </c>
      <c r="S774" s="733" t="str">
        <f>'DICTIONARY-4'!$A$7</f>
        <v>KR</v>
      </c>
      <c r="T774" s="732" t="str">
        <f>'DICTIONARY-4'!$A$23</f>
        <v>Kółko ręczne</v>
      </c>
      <c r="U774" s="734" t="s">
        <v>7861</v>
      </c>
      <c r="V774" s="735"/>
      <c r="W774" s="736"/>
      <c r="X774" s="737"/>
      <c r="Y774" s="738"/>
      <c r="Z774" s="739"/>
      <c r="AA774" s="739">
        <v>4478</v>
      </c>
      <c r="AB774" s="740"/>
      <c r="AC774" s="741"/>
      <c r="AD774" s="741"/>
      <c r="AE774" s="742"/>
      <c r="AF774" s="743"/>
      <c r="AG774" s="733" t="str">
        <f>'DICTIONARY-5'!$A$27</f>
        <v>pasywacja</v>
      </c>
    </row>
    <row r="775" spans="1:33" x14ac:dyDescent="0.25">
      <c r="A775" s="848"/>
      <c r="B775" s="848" t="str">
        <f>CONCATENATE('DICTIONARY-3'!$A$16,"-",'DICTIONARY-3'!$A$25,"-C.",$U775)</f>
        <v>REMO-S7-C.150-600</v>
      </c>
      <c r="C775" s="836">
        <v>1526</v>
      </c>
      <c r="D775" s="849"/>
      <c r="E775" s="836"/>
      <c r="F775" s="836"/>
      <c r="G775" s="850" t="s">
        <v>8211</v>
      </c>
      <c r="H775" s="797" t="str">
        <f>VLOOKUP(G775,SETTINGS!$B$7:$D$97,2,0)</f>
        <v>REMO</v>
      </c>
      <c r="I775" s="796">
        <f>VLOOKUP(G775,SETTINGS!$B$7:$D$97,3,0)</f>
        <v>0</v>
      </c>
      <c r="J775" s="670" t="str">
        <f>IFERROR(IF(CURRENCY.FORMAT_1=0,CONCATENATE(TEXT(FIXED(ROUND((C775/EXC.RATE_1),CURRENCY.FORMAT_1),CURRENCY.FORMAT_1,1),"# ##0;-# ##0"),",-"),FIXED(ROUND((C775/EXC.RATE_1),CURRENCY.FORMAT_1),CURRENCY.FORMAT_1,0)),'DICTIONARY-5'!$A$2)</f>
        <v>1 526,-</v>
      </c>
      <c r="K775" s="670" t="str">
        <f>IF(EXC.RATE_2=0,"",IFERROR(IF(CURRENCY.FORMAT_2=0,CONCATENATE(TEXT(FIXED(ROUND(IF(EXC.RATE.SWITCH=1,C775/EXC.RATE_2,C775*EXC.RATE_2),CURRENCY.FORMAT_2),CURRENCY.FORMAT_2,1),"# ##0;-# ##0"),",-"),FIXED(ROUND(IF(EXC.RATE.SWITCH=1,C775/EXC.RATE_2,C775*EXC.RATE_2),CURRENCY.FORMAT_2),CURRENCY.FORMAT_2,0)),'DICTIONARY-5'!$A$2))</f>
        <v/>
      </c>
      <c r="L775" s="670" t="str">
        <f>IFERROR(IF(CURRENCY.FORMAT_1=0,CONCATENATE(TEXT(FIXED(ROUND((C775*(1-I775)*(1-ADD.DISCOUNT)*(1+MAT.SURCHARGE)/EXC.RATE_1),CURRENCY.FORMAT_1),CURRENCY.FORMAT_1,1),"# ##0;-# ##0"),",-"),FIXED(ROUND((C775*(1-I775)*(1-ADD.DISCOUNT)*(1+MAT.SURCHARGE)/EXC.RATE_1),CURRENCY.FORMAT_1),CURRENCY.FORMAT_1,0)),'DICTIONARY-5'!$A$2)</f>
        <v>1 586,-</v>
      </c>
      <c r="M775" s="670" t="str">
        <f>IF(EXC.RATE_2=0,"",IFERROR(IF(CURRENCY.FORMAT_2=0,CONCATENATE(TEXT(FIXED(ROUND(IF(EXC.RATE.SWITCH=1,C775*(1-I775)*(1-ADD.DISCOUNT)*(1+MAT.SURCHARGE)/EXC.RATE_2,C775*(1-I775)*(1-ADD.DISCOUNT)*(1+MAT.SURCHARGE)*EXC.RATE_2),CURRENCY.FORMAT_2),CURRENCY.FORMAT_2,1),"# ##0;-# ##0"),",-"),FIXED(ROUND(IF(EXC.RATE.SWITCH=1,C775*(1-I775)*(1-ADD.DISCOUNT)*(1+MAT.SURCHARGE)/EXC.RATE_2,C775*(1-I775)*(1-ADD.DISCOUNT)*(1+MAT.SURCHARGE)*EXC.RATE_2),CURRENCY.FORMAT_2),CURRENCY.FORMAT_2,0)),'DICTIONARY-5'!$A$2))</f>
        <v/>
      </c>
      <c r="N775" s="544">
        <v>2</v>
      </c>
      <c r="O775" s="544"/>
      <c r="P775" s="732" t="str">
        <f>'DICTIONARY-3'!$A$16&amp;" "&amp;'DICTIONARY-3'!$A$25</f>
        <v>REMO S7</v>
      </c>
      <c r="Q775" s="732" t="str">
        <f>'DICTIONARY-3'!$A$191</f>
        <v>Zestaw sterowania</v>
      </c>
      <c r="R775" s="732" t="str">
        <f>CONCATENATE('DICTIONARY-3'!$A$16," ",'DICTIONARY-3'!$A$25," ",'DICTIONARY-6'!$A$29," ",'DICTIONARY-3'!$A$13," ",'DICTIONARY-2'!$A$2,U775,", ",'DICTIONARY-6'!$A$54,"2,7-5,0m","+",'DICTIONARY-6'!$A$57,"+",'DICTIONARY-4'!$A$7)</f>
        <v>REMO S7 Zest. sterow. EROXplus DN150-600, przedłuż.2,7-5,0m+kolumienka+KR</v>
      </c>
      <c r="S775" s="733" t="str">
        <f>'DICTIONARY-4'!$A$7</f>
        <v>KR</v>
      </c>
      <c r="T775" s="732" t="str">
        <f>'DICTIONARY-4'!$A$23</f>
        <v>Kółko ręczne</v>
      </c>
      <c r="U775" s="734" t="s">
        <v>7860</v>
      </c>
      <c r="V775" s="735"/>
      <c r="W775" s="736"/>
      <c r="X775" s="737"/>
      <c r="Y775" s="738"/>
      <c r="Z775" s="739"/>
      <c r="AA775" s="739">
        <v>5657</v>
      </c>
      <c r="AB775" s="740"/>
      <c r="AC775" s="741"/>
      <c r="AD775" s="741"/>
      <c r="AE775" s="742"/>
      <c r="AF775" s="743"/>
      <c r="AG775" s="733" t="str">
        <f>'DICTIONARY-5'!$A$27</f>
        <v>pasywacja</v>
      </c>
    </row>
    <row r="776" spans="1:33" x14ac:dyDescent="0.25">
      <c r="A776" s="848"/>
      <c r="B776" s="848" t="str">
        <f>CONCATENATE('DICTIONARY-3'!$A$16,"-",'DICTIONARY-3'!$A$25,"-C.",$U776)</f>
        <v>REMO-S7-C.700-1200</v>
      </c>
      <c r="C776" s="836">
        <v>1718</v>
      </c>
      <c r="D776" s="849"/>
      <c r="E776" s="836"/>
      <c r="F776" s="836"/>
      <c r="G776" s="850" t="s">
        <v>8211</v>
      </c>
      <c r="H776" s="797" t="str">
        <f>VLOOKUP(G776,SETTINGS!$B$7:$D$97,2,0)</f>
        <v>REMO</v>
      </c>
      <c r="I776" s="796">
        <f>VLOOKUP(G776,SETTINGS!$B$7:$D$97,3,0)</f>
        <v>0</v>
      </c>
      <c r="J776" s="670" t="str">
        <f>IFERROR(IF(CURRENCY.FORMAT_1=0,CONCATENATE(TEXT(FIXED(ROUND((C776/EXC.RATE_1),CURRENCY.FORMAT_1),CURRENCY.FORMAT_1,1),"# ##0;-# ##0"),",-"),FIXED(ROUND((C776/EXC.RATE_1),CURRENCY.FORMAT_1),CURRENCY.FORMAT_1,0)),'DICTIONARY-5'!$A$2)</f>
        <v>1 718,-</v>
      </c>
      <c r="K776" s="670" t="str">
        <f>IF(EXC.RATE_2=0,"",IFERROR(IF(CURRENCY.FORMAT_2=0,CONCATENATE(TEXT(FIXED(ROUND(IF(EXC.RATE.SWITCH=1,C776/EXC.RATE_2,C776*EXC.RATE_2),CURRENCY.FORMAT_2),CURRENCY.FORMAT_2,1),"# ##0;-# ##0"),",-"),FIXED(ROUND(IF(EXC.RATE.SWITCH=1,C776/EXC.RATE_2,C776*EXC.RATE_2),CURRENCY.FORMAT_2),CURRENCY.FORMAT_2,0)),'DICTIONARY-5'!$A$2))</f>
        <v/>
      </c>
      <c r="L776" s="670" t="str">
        <f>IFERROR(IF(CURRENCY.FORMAT_1=0,CONCATENATE(TEXT(FIXED(ROUND((C776*(1-I776)*(1-ADD.DISCOUNT)*(1+MAT.SURCHARGE)/EXC.RATE_1),CURRENCY.FORMAT_1),CURRENCY.FORMAT_1,1),"# ##0;-# ##0"),",-"),FIXED(ROUND((C776*(1-I776)*(1-ADD.DISCOUNT)*(1+MAT.SURCHARGE)/EXC.RATE_1),CURRENCY.FORMAT_1),CURRENCY.FORMAT_1,0)),'DICTIONARY-5'!$A$2)</f>
        <v>1 785,-</v>
      </c>
      <c r="M776" s="670" t="str">
        <f>IF(EXC.RATE_2=0,"",IFERROR(IF(CURRENCY.FORMAT_2=0,CONCATENATE(TEXT(FIXED(ROUND(IF(EXC.RATE.SWITCH=1,C776*(1-I776)*(1-ADD.DISCOUNT)*(1+MAT.SURCHARGE)/EXC.RATE_2,C776*(1-I776)*(1-ADD.DISCOUNT)*(1+MAT.SURCHARGE)*EXC.RATE_2),CURRENCY.FORMAT_2),CURRENCY.FORMAT_2,1),"# ##0;-# ##0"),",-"),FIXED(ROUND(IF(EXC.RATE.SWITCH=1,C776*(1-I776)*(1-ADD.DISCOUNT)*(1+MAT.SURCHARGE)/EXC.RATE_2,C776*(1-I776)*(1-ADD.DISCOUNT)*(1+MAT.SURCHARGE)*EXC.RATE_2),CURRENCY.FORMAT_2),CURRENCY.FORMAT_2,0)),'DICTIONARY-5'!$A$2))</f>
        <v/>
      </c>
      <c r="N776" s="544">
        <v>2</v>
      </c>
      <c r="O776" s="544"/>
      <c r="P776" s="732" t="str">
        <f>'DICTIONARY-3'!$A$16&amp;" "&amp;'DICTIONARY-3'!$A$25</f>
        <v>REMO S7</v>
      </c>
      <c r="Q776" s="732" t="str">
        <f>'DICTIONARY-3'!$A$191</f>
        <v>Zestaw sterowania</v>
      </c>
      <c r="R776" s="732" t="str">
        <f>CONCATENATE('DICTIONARY-3'!$A$16," ",'DICTIONARY-3'!$A$25," ",'DICTIONARY-6'!$A$29," ",'DICTIONARY-3'!$A$13," ",'DICTIONARY-2'!$A$2,U776,", ",'DICTIONARY-6'!$A$54,"2,7-5,0m","+",'DICTIONARY-6'!$A$57,"+",'DICTIONARY-4'!$A$7)</f>
        <v>REMO S7 Zest. sterow. EROXplus DN700-1200, przedłuż.2,7-5,0m+kolumienka+KR</v>
      </c>
      <c r="S776" s="733" t="str">
        <f>'DICTIONARY-4'!$A$7</f>
        <v>KR</v>
      </c>
      <c r="T776" s="732" t="str">
        <f>'DICTIONARY-4'!$A$23</f>
        <v>Kółko ręczne</v>
      </c>
      <c r="U776" s="734" t="s">
        <v>7861</v>
      </c>
      <c r="V776" s="735"/>
      <c r="W776" s="736"/>
      <c r="X776" s="737"/>
      <c r="Y776" s="738"/>
      <c r="Z776" s="739"/>
      <c r="AA776" s="739">
        <v>6778</v>
      </c>
      <c r="AB776" s="740"/>
      <c r="AC776" s="741"/>
      <c r="AD776" s="741"/>
      <c r="AE776" s="742"/>
      <c r="AF776" s="743"/>
      <c r="AG776" s="733" t="str">
        <f>'DICTIONARY-5'!$A$27</f>
        <v>pasywacja</v>
      </c>
    </row>
    <row r="777" spans="1:33" x14ac:dyDescent="0.25">
      <c r="A777" s="848"/>
      <c r="B777" s="848" t="str">
        <f>CONCATENATE('DICTIONARY-3'!$A$16,"-",'DICTIONARY-3'!$A$26,"-A.",$U777)</f>
        <v>REMO-S8-A.150-600</v>
      </c>
      <c r="C777" s="836">
        <v>820</v>
      </c>
      <c r="D777" s="849"/>
      <c r="E777" s="836"/>
      <c r="F777" s="836"/>
      <c r="G777" s="850" t="s">
        <v>8211</v>
      </c>
      <c r="H777" s="797" t="str">
        <f>VLOOKUP(G777,SETTINGS!$B$7:$D$97,2,0)</f>
        <v>REMO</v>
      </c>
      <c r="I777" s="796">
        <f>VLOOKUP(G777,SETTINGS!$B$7:$D$97,3,0)</f>
        <v>0</v>
      </c>
      <c r="J777" s="670" t="str">
        <f>IFERROR(IF(CURRENCY.FORMAT_1=0,CONCATENATE(TEXT(FIXED(ROUND((C777/EXC.RATE_1),CURRENCY.FORMAT_1),CURRENCY.FORMAT_1,1),"# ##0;-# ##0"),",-"),FIXED(ROUND((C777/EXC.RATE_1),CURRENCY.FORMAT_1),CURRENCY.FORMAT_1,0)),'DICTIONARY-5'!$A$2)</f>
        <v>820,-</v>
      </c>
      <c r="K777" s="670" t="str">
        <f>IF(EXC.RATE_2=0,"",IFERROR(IF(CURRENCY.FORMAT_2=0,CONCATENATE(TEXT(FIXED(ROUND(IF(EXC.RATE.SWITCH=1,C777/EXC.RATE_2,C777*EXC.RATE_2),CURRENCY.FORMAT_2),CURRENCY.FORMAT_2,1),"# ##0;-# ##0"),",-"),FIXED(ROUND(IF(EXC.RATE.SWITCH=1,C777/EXC.RATE_2,C777*EXC.RATE_2),CURRENCY.FORMAT_2),CURRENCY.FORMAT_2,0)),'DICTIONARY-5'!$A$2))</f>
        <v/>
      </c>
      <c r="L777" s="670" t="str">
        <f>IFERROR(IF(CURRENCY.FORMAT_1=0,CONCATENATE(TEXT(FIXED(ROUND((C777*(1-I777)*(1-ADD.DISCOUNT)*(1+MAT.SURCHARGE)/EXC.RATE_1),CURRENCY.FORMAT_1),CURRENCY.FORMAT_1,1),"# ##0;-# ##0"),",-"),FIXED(ROUND((C777*(1-I777)*(1-ADD.DISCOUNT)*(1+MAT.SURCHARGE)/EXC.RATE_1),CURRENCY.FORMAT_1),CURRENCY.FORMAT_1,0)),'DICTIONARY-5'!$A$2)</f>
        <v>852,-</v>
      </c>
      <c r="M777" s="670" t="str">
        <f>IF(EXC.RATE_2=0,"",IFERROR(IF(CURRENCY.FORMAT_2=0,CONCATENATE(TEXT(FIXED(ROUND(IF(EXC.RATE.SWITCH=1,C777*(1-I777)*(1-ADD.DISCOUNT)*(1+MAT.SURCHARGE)/EXC.RATE_2,C777*(1-I777)*(1-ADD.DISCOUNT)*(1+MAT.SURCHARGE)*EXC.RATE_2),CURRENCY.FORMAT_2),CURRENCY.FORMAT_2,1),"# ##0;-# ##0"),",-"),FIXED(ROUND(IF(EXC.RATE.SWITCH=1,C777*(1-I777)*(1-ADD.DISCOUNT)*(1+MAT.SURCHARGE)/EXC.RATE_2,C777*(1-I777)*(1-ADD.DISCOUNT)*(1+MAT.SURCHARGE)*EXC.RATE_2),CURRENCY.FORMAT_2),CURRENCY.FORMAT_2,0)),'DICTIONARY-5'!$A$2))</f>
        <v/>
      </c>
      <c r="N777" s="544">
        <v>2</v>
      </c>
      <c r="O777" s="544"/>
      <c r="P777" s="732" t="str">
        <f>'DICTIONARY-3'!$A$16&amp;" "&amp;'DICTIONARY-3'!$A$26</f>
        <v>REMO S8</v>
      </c>
      <c r="Q777" s="732" t="str">
        <f>'DICTIONARY-3'!$A$191</f>
        <v>Zestaw sterowania</v>
      </c>
      <c r="R777" s="732" t="str">
        <f>CONCATENATE('DICTIONARY-3'!$A$16," ",'DICTIONARY-3'!$A$26," ",'DICTIONARY-6'!$A$29," ",'DICTIONARY-3'!$A$13," ",'DICTIONARY-2'!$A$2,U777,", ",'DICTIONARY-6'!$A$54,"0,85-1,5m","+",'DICTIONARY-6'!$A$57," ",'DICTIONARY-5'!$A$7," ",'DICTIONARY-4'!$A$4)</f>
        <v>REMO S8 Zest. sterow. EROXplus DN150-600, przedłuż.0,85-1,5m+kolumienka dla NE</v>
      </c>
      <c r="S777" s="733" t="str">
        <f>'DICTIONARY-4'!$A$11</f>
        <v>PNE</v>
      </c>
      <c r="T777" s="732" t="str">
        <f>'DICTIONARY-4'!$A$27</f>
        <v>Przygotowane pod napęd elektryczny</v>
      </c>
      <c r="U777" s="734" t="s">
        <v>7860</v>
      </c>
      <c r="V777" s="735"/>
      <c r="W777" s="736"/>
      <c r="X777" s="737"/>
      <c r="Y777" s="738"/>
      <c r="Z777" s="739"/>
      <c r="AA777" s="739">
        <v>2157</v>
      </c>
      <c r="AB777" s="740"/>
      <c r="AC777" s="741"/>
      <c r="AD777" s="741"/>
      <c r="AE777" s="742"/>
      <c r="AF777" s="743"/>
      <c r="AG777" s="733" t="str">
        <f>'DICTIONARY-5'!$A$27</f>
        <v>pasywacja</v>
      </c>
    </row>
    <row r="778" spans="1:33" x14ac:dyDescent="0.25">
      <c r="A778" s="848"/>
      <c r="B778" s="848" t="str">
        <f>CONCATENATE('DICTIONARY-3'!$A$16,"-",'DICTIONARY-3'!$A$26,"-A.",$U778)</f>
        <v>REMO-S8-A.700-900</v>
      </c>
      <c r="C778" s="836">
        <v>825</v>
      </c>
      <c r="D778" s="849"/>
      <c r="E778" s="836"/>
      <c r="F778" s="836"/>
      <c r="G778" s="850" t="s">
        <v>8211</v>
      </c>
      <c r="H778" s="797" t="str">
        <f>VLOOKUP(G778,SETTINGS!$B$7:$D$97,2,0)</f>
        <v>REMO</v>
      </c>
      <c r="I778" s="796">
        <f>VLOOKUP(G778,SETTINGS!$B$7:$D$97,3,0)</f>
        <v>0</v>
      </c>
      <c r="J778" s="670" t="str">
        <f>IFERROR(IF(CURRENCY.FORMAT_1=0,CONCATENATE(TEXT(FIXED(ROUND((C778/EXC.RATE_1),CURRENCY.FORMAT_1),CURRENCY.FORMAT_1,1),"# ##0;-# ##0"),",-"),FIXED(ROUND((C778/EXC.RATE_1),CURRENCY.FORMAT_1),CURRENCY.FORMAT_1,0)),'DICTIONARY-5'!$A$2)</f>
        <v>825,-</v>
      </c>
      <c r="K778" s="670" t="str">
        <f>IF(EXC.RATE_2=0,"",IFERROR(IF(CURRENCY.FORMAT_2=0,CONCATENATE(TEXT(FIXED(ROUND(IF(EXC.RATE.SWITCH=1,C778/EXC.RATE_2,C778*EXC.RATE_2),CURRENCY.FORMAT_2),CURRENCY.FORMAT_2,1),"# ##0;-# ##0"),",-"),FIXED(ROUND(IF(EXC.RATE.SWITCH=1,C778/EXC.RATE_2,C778*EXC.RATE_2),CURRENCY.FORMAT_2),CURRENCY.FORMAT_2,0)),'DICTIONARY-5'!$A$2))</f>
        <v/>
      </c>
      <c r="L778" s="670" t="str">
        <f>IFERROR(IF(CURRENCY.FORMAT_1=0,CONCATENATE(TEXT(FIXED(ROUND((C778*(1-I778)*(1-ADD.DISCOUNT)*(1+MAT.SURCHARGE)/EXC.RATE_1),CURRENCY.FORMAT_1),CURRENCY.FORMAT_1,1),"# ##0;-# ##0"),",-"),FIXED(ROUND((C778*(1-I778)*(1-ADD.DISCOUNT)*(1+MAT.SURCHARGE)/EXC.RATE_1),CURRENCY.FORMAT_1),CURRENCY.FORMAT_1,0)),'DICTIONARY-5'!$A$2)</f>
        <v>857,-</v>
      </c>
      <c r="M778" s="670" t="str">
        <f>IF(EXC.RATE_2=0,"",IFERROR(IF(CURRENCY.FORMAT_2=0,CONCATENATE(TEXT(FIXED(ROUND(IF(EXC.RATE.SWITCH=1,C778*(1-I778)*(1-ADD.DISCOUNT)*(1+MAT.SURCHARGE)/EXC.RATE_2,C778*(1-I778)*(1-ADD.DISCOUNT)*(1+MAT.SURCHARGE)*EXC.RATE_2),CURRENCY.FORMAT_2),CURRENCY.FORMAT_2,1),"# ##0;-# ##0"),",-"),FIXED(ROUND(IF(EXC.RATE.SWITCH=1,C778*(1-I778)*(1-ADD.DISCOUNT)*(1+MAT.SURCHARGE)/EXC.RATE_2,C778*(1-I778)*(1-ADD.DISCOUNT)*(1+MAT.SURCHARGE)*EXC.RATE_2),CURRENCY.FORMAT_2),CURRENCY.FORMAT_2,0)),'DICTIONARY-5'!$A$2))</f>
        <v/>
      </c>
      <c r="N778" s="544">
        <v>2</v>
      </c>
      <c r="O778" s="544"/>
      <c r="P778" s="732" t="str">
        <f>'DICTIONARY-3'!$A$16&amp;" "&amp;'DICTIONARY-3'!$A$26</f>
        <v>REMO S8</v>
      </c>
      <c r="Q778" s="732" t="str">
        <f>'DICTIONARY-3'!$A$191</f>
        <v>Zestaw sterowania</v>
      </c>
      <c r="R778" s="732" t="str">
        <f>CONCATENATE('DICTIONARY-3'!$A$16," ",'DICTIONARY-3'!$A$26," ",'DICTIONARY-6'!$A$29," ",'DICTIONARY-3'!$A$13," ",'DICTIONARY-2'!$A$2,U778,", ",'DICTIONARY-6'!$A$54,"0,85-1,5m","+",'DICTIONARY-6'!$A$57," ",'DICTIONARY-5'!$A$7," ",'DICTIONARY-4'!$A$4)</f>
        <v>REMO S8 Zest. sterow. EROXplus DN700-900, przedłuż.0,85-1,5m+kolumienka dla NE</v>
      </c>
      <c r="S778" s="733" t="str">
        <f>'DICTIONARY-4'!$A$11</f>
        <v>PNE</v>
      </c>
      <c r="T778" s="732" t="str">
        <f>'DICTIONARY-4'!$A$27</f>
        <v>Przygotowane pod napęd elektryczny</v>
      </c>
      <c r="U778" s="734" t="s">
        <v>7863</v>
      </c>
      <c r="V778" s="735"/>
      <c r="W778" s="736"/>
      <c r="X778" s="737"/>
      <c r="Y778" s="738"/>
      <c r="Z778" s="739"/>
      <c r="AA778" s="739">
        <v>3278</v>
      </c>
      <c r="AB778" s="740"/>
      <c r="AC778" s="741"/>
      <c r="AD778" s="741"/>
      <c r="AE778" s="742"/>
      <c r="AF778" s="743"/>
      <c r="AG778" s="733" t="str">
        <f>'DICTIONARY-5'!$A$27</f>
        <v>pasywacja</v>
      </c>
    </row>
    <row r="779" spans="1:33" x14ac:dyDescent="0.25">
      <c r="A779" s="848"/>
      <c r="B779" s="848" t="str">
        <f>CONCATENATE('DICTIONARY-3'!$A$16,"-",'DICTIONARY-3'!$A$26,"-A.",$U779)</f>
        <v>REMO-S8-A.1000-1200</v>
      </c>
      <c r="C779" s="836">
        <v>961</v>
      </c>
      <c r="D779" s="849"/>
      <c r="E779" s="836"/>
      <c r="F779" s="836"/>
      <c r="G779" s="850" t="s">
        <v>8211</v>
      </c>
      <c r="H779" s="797" t="str">
        <f>VLOOKUP(G779,SETTINGS!$B$7:$D$97,2,0)</f>
        <v>REMO</v>
      </c>
      <c r="I779" s="796">
        <f>VLOOKUP(G779,SETTINGS!$B$7:$D$97,3,0)</f>
        <v>0</v>
      </c>
      <c r="J779" s="670" t="str">
        <f>IFERROR(IF(CURRENCY.FORMAT_1=0,CONCATENATE(TEXT(FIXED(ROUND((C779/EXC.RATE_1),CURRENCY.FORMAT_1),CURRENCY.FORMAT_1,1),"# ##0;-# ##0"),",-"),FIXED(ROUND((C779/EXC.RATE_1),CURRENCY.FORMAT_1),CURRENCY.FORMAT_1,0)),'DICTIONARY-5'!$A$2)</f>
        <v>961,-</v>
      </c>
      <c r="K779" s="670" t="str">
        <f>IF(EXC.RATE_2=0,"",IFERROR(IF(CURRENCY.FORMAT_2=0,CONCATENATE(TEXT(FIXED(ROUND(IF(EXC.RATE.SWITCH=1,C779/EXC.RATE_2,C779*EXC.RATE_2),CURRENCY.FORMAT_2),CURRENCY.FORMAT_2,1),"# ##0;-# ##0"),",-"),FIXED(ROUND(IF(EXC.RATE.SWITCH=1,C779/EXC.RATE_2,C779*EXC.RATE_2),CURRENCY.FORMAT_2),CURRENCY.FORMAT_2,0)),'DICTIONARY-5'!$A$2))</f>
        <v/>
      </c>
      <c r="L779" s="670" t="str">
        <f>IFERROR(IF(CURRENCY.FORMAT_1=0,CONCATENATE(TEXT(FIXED(ROUND((C779*(1-I779)*(1-ADD.DISCOUNT)*(1+MAT.SURCHARGE)/EXC.RATE_1),CURRENCY.FORMAT_1),CURRENCY.FORMAT_1,1),"# ##0;-# ##0"),",-"),FIXED(ROUND((C779*(1-I779)*(1-ADD.DISCOUNT)*(1+MAT.SURCHARGE)/EXC.RATE_1),CURRENCY.FORMAT_1),CURRENCY.FORMAT_1,0)),'DICTIONARY-5'!$A$2)</f>
        <v>998,-</v>
      </c>
      <c r="M779" s="670" t="str">
        <f>IF(EXC.RATE_2=0,"",IFERROR(IF(CURRENCY.FORMAT_2=0,CONCATENATE(TEXT(FIXED(ROUND(IF(EXC.RATE.SWITCH=1,C779*(1-I779)*(1-ADD.DISCOUNT)*(1+MAT.SURCHARGE)/EXC.RATE_2,C779*(1-I779)*(1-ADD.DISCOUNT)*(1+MAT.SURCHARGE)*EXC.RATE_2),CURRENCY.FORMAT_2),CURRENCY.FORMAT_2,1),"# ##0;-# ##0"),",-"),FIXED(ROUND(IF(EXC.RATE.SWITCH=1,C779*(1-I779)*(1-ADD.DISCOUNT)*(1+MAT.SURCHARGE)/EXC.RATE_2,C779*(1-I779)*(1-ADD.DISCOUNT)*(1+MAT.SURCHARGE)*EXC.RATE_2),CURRENCY.FORMAT_2),CURRENCY.FORMAT_2,0)),'DICTIONARY-5'!$A$2))</f>
        <v/>
      </c>
      <c r="N779" s="544">
        <v>2</v>
      </c>
      <c r="O779" s="544"/>
      <c r="P779" s="732" t="str">
        <f>'DICTIONARY-3'!$A$16&amp;" "&amp;'DICTIONARY-3'!$A$26</f>
        <v>REMO S8</v>
      </c>
      <c r="Q779" s="732" t="str">
        <f>'DICTIONARY-3'!$A$191</f>
        <v>Zestaw sterowania</v>
      </c>
      <c r="R779" s="732" t="str">
        <f>CONCATENATE('DICTIONARY-3'!$A$16," ",'DICTIONARY-3'!$A$26," ",'DICTIONARY-6'!$A$29," ",'DICTIONARY-3'!$A$13," ",'DICTIONARY-2'!$A$2,U779,", ",'DICTIONARY-6'!$A$54,"0,85-1,5m","+",'DICTIONARY-6'!$A$57," ",'DICTIONARY-5'!$A$7," ",'DICTIONARY-4'!$A$4)</f>
        <v>REMO S8 Zest. sterow. EROXplus DN1000-1200, przedłuż.0,85-1,5m+kolumienka dla NE</v>
      </c>
      <c r="S779" s="733" t="str">
        <f>'DICTIONARY-4'!$A$11</f>
        <v>PNE</v>
      </c>
      <c r="T779" s="732" t="str">
        <f>'DICTIONARY-4'!$A$27</f>
        <v>Przygotowane pod napęd elektryczny</v>
      </c>
      <c r="U779" s="734" t="s">
        <v>7862</v>
      </c>
      <c r="V779" s="735"/>
      <c r="W779" s="736"/>
      <c r="X779" s="737"/>
      <c r="Y779" s="738"/>
      <c r="Z779" s="739"/>
      <c r="AA779" s="739">
        <v>3878</v>
      </c>
      <c r="AB779" s="740"/>
      <c r="AC779" s="741"/>
      <c r="AD779" s="741"/>
      <c r="AE779" s="742"/>
      <c r="AF779" s="743"/>
      <c r="AG779" s="733" t="str">
        <f>'DICTIONARY-5'!$A$27</f>
        <v>pasywacja</v>
      </c>
    </row>
    <row r="780" spans="1:33" x14ac:dyDescent="0.25">
      <c r="A780" s="848"/>
      <c r="B780" s="848" t="str">
        <f>CONCATENATE('DICTIONARY-3'!$A$16,"-",'DICTIONARY-3'!$A$26,"-B.",$U780)</f>
        <v>REMO-S8-B.150-600</v>
      </c>
      <c r="C780" s="836">
        <v>1131</v>
      </c>
      <c r="D780" s="849"/>
      <c r="E780" s="836"/>
      <c r="F780" s="836"/>
      <c r="G780" s="850" t="s">
        <v>8211</v>
      </c>
      <c r="H780" s="797" t="str">
        <f>VLOOKUP(G780,SETTINGS!$B$7:$D$97,2,0)</f>
        <v>REMO</v>
      </c>
      <c r="I780" s="796">
        <f>VLOOKUP(G780,SETTINGS!$B$7:$D$97,3,0)</f>
        <v>0</v>
      </c>
      <c r="J780" s="670" t="str">
        <f>IFERROR(IF(CURRENCY.FORMAT_1=0,CONCATENATE(TEXT(FIXED(ROUND((C780/EXC.RATE_1),CURRENCY.FORMAT_1),CURRENCY.FORMAT_1,1),"# ##0;-# ##0"),",-"),FIXED(ROUND((C780/EXC.RATE_1),CURRENCY.FORMAT_1),CURRENCY.FORMAT_1,0)),'DICTIONARY-5'!$A$2)</f>
        <v>1 131,-</v>
      </c>
      <c r="K780" s="670" t="str">
        <f>IF(EXC.RATE_2=0,"",IFERROR(IF(CURRENCY.FORMAT_2=0,CONCATENATE(TEXT(FIXED(ROUND(IF(EXC.RATE.SWITCH=1,C780/EXC.RATE_2,C780*EXC.RATE_2),CURRENCY.FORMAT_2),CURRENCY.FORMAT_2,1),"# ##0;-# ##0"),",-"),FIXED(ROUND(IF(EXC.RATE.SWITCH=1,C780/EXC.RATE_2,C780*EXC.RATE_2),CURRENCY.FORMAT_2),CURRENCY.FORMAT_2,0)),'DICTIONARY-5'!$A$2))</f>
        <v/>
      </c>
      <c r="L780" s="670" t="str">
        <f>IFERROR(IF(CURRENCY.FORMAT_1=0,CONCATENATE(TEXT(FIXED(ROUND((C780*(1-I780)*(1-ADD.DISCOUNT)*(1+MAT.SURCHARGE)/EXC.RATE_1),CURRENCY.FORMAT_1),CURRENCY.FORMAT_1,1),"# ##0;-# ##0"),",-"),FIXED(ROUND((C780*(1-I780)*(1-ADD.DISCOUNT)*(1+MAT.SURCHARGE)/EXC.RATE_1),CURRENCY.FORMAT_1),CURRENCY.FORMAT_1,0)),'DICTIONARY-5'!$A$2)</f>
        <v>1 175,-</v>
      </c>
      <c r="M780" s="670" t="str">
        <f>IF(EXC.RATE_2=0,"",IFERROR(IF(CURRENCY.FORMAT_2=0,CONCATENATE(TEXT(FIXED(ROUND(IF(EXC.RATE.SWITCH=1,C780*(1-I780)*(1-ADD.DISCOUNT)*(1+MAT.SURCHARGE)/EXC.RATE_2,C780*(1-I780)*(1-ADD.DISCOUNT)*(1+MAT.SURCHARGE)*EXC.RATE_2),CURRENCY.FORMAT_2),CURRENCY.FORMAT_2,1),"# ##0;-# ##0"),",-"),FIXED(ROUND(IF(EXC.RATE.SWITCH=1,C780*(1-I780)*(1-ADD.DISCOUNT)*(1+MAT.SURCHARGE)/EXC.RATE_2,C780*(1-I780)*(1-ADD.DISCOUNT)*(1+MAT.SURCHARGE)*EXC.RATE_2),CURRENCY.FORMAT_2),CURRENCY.FORMAT_2,0)),'DICTIONARY-5'!$A$2))</f>
        <v/>
      </c>
      <c r="N780" s="544">
        <v>2</v>
      </c>
      <c r="O780" s="544"/>
      <c r="P780" s="732" t="str">
        <f>'DICTIONARY-3'!$A$16&amp;" "&amp;'DICTIONARY-3'!$A$26</f>
        <v>REMO S8</v>
      </c>
      <c r="Q780" s="732" t="str">
        <f>'DICTIONARY-3'!$A$191</f>
        <v>Zestaw sterowania</v>
      </c>
      <c r="R780" s="732" t="str">
        <f>CONCATENATE('DICTIONARY-3'!$A$16," ",'DICTIONARY-3'!$A$26," ",'DICTIONARY-6'!$A$29," ",'DICTIONARY-3'!$A$13," ",'DICTIONARY-2'!$A$2,U780,", ",'DICTIONARY-6'!$A$54,"1,5-2,7m","+",'DICTIONARY-6'!$A$57," ",'DICTIONARY-5'!$A$7," ",'DICTIONARY-4'!$A$4)</f>
        <v>REMO S8 Zest. sterow. EROXplus DN150-600, przedłuż.1,5-2,7m+kolumienka dla NE</v>
      </c>
      <c r="S780" s="733" t="str">
        <f>'DICTIONARY-4'!$A$11</f>
        <v>PNE</v>
      </c>
      <c r="T780" s="732" t="str">
        <f>'DICTIONARY-4'!$A$27</f>
        <v>Przygotowane pod napęd elektryczny</v>
      </c>
      <c r="U780" s="734" t="s">
        <v>7860</v>
      </c>
      <c r="V780" s="735"/>
      <c r="W780" s="736"/>
      <c r="X780" s="737"/>
      <c r="Y780" s="738"/>
      <c r="Z780" s="739"/>
      <c r="AA780" s="739">
        <v>3357</v>
      </c>
      <c r="AB780" s="740"/>
      <c r="AC780" s="741"/>
      <c r="AD780" s="741"/>
      <c r="AE780" s="742"/>
      <c r="AF780" s="743"/>
      <c r="AG780" s="733" t="str">
        <f>'DICTIONARY-5'!$A$27</f>
        <v>pasywacja</v>
      </c>
    </row>
    <row r="781" spans="1:33" x14ac:dyDescent="0.25">
      <c r="A781" s="848"/>
      <c r="B781" s="848" t="str">
        <f>CONCATENATE('DICTIONARY-3'!$A$16,"-",'DICTIONARY-3'!$A$26,"-B.",$U781)</f>
        <v>REMO-S8-B.700-900</v>
      </c>
      <c r="C781" s="836">
        <v>1161</v>
      </c>
      <c r="D781" s="849"/>
      <c r="E781" s="836"/>
      <c r="F781" s="836"/>
      <c r="G781" s="850" t="s">
        <v>8211</v>
      </c>
      <c r="H781" s="797" t="str">
        <f>VLOOKUP(G781,SETTINGS!$B$7:$D$97,2,0)</f>
        <v>REMO</v>
      </c>
      <c r="I781" s="796">
        <f>VLOOKUP(G781,SETTINGS!$B$7:$D$97,3,0)</f>
        <v>0</v>
      </c>
      <c r="J781" s="670" t="str">
        <f>IFERROR(IF(CURRENCY.FORMAT_1=0,CONCATENATE(TEXT(FIXED(ROUND((C781/EXC.RATE_1),CURRENCY.FORMAT_1),CURRENCY.FORMAT_1,1),"# ##0;-# ##0"),",-"),FIXED(ROUND((C781/EXC.RATE_1),CURRENCY.FORMAT_1),CURRENCY.FORMAT_1,0)),'DICTIONARY-5'!$A$2)</f>
        <v>1 161,-</v>
      </c>
      <c r="K781" s="670" t="str">
        <f>IF(EXC.RATE_2=0,"",IFERROR(IF(CURRENCY.FORMAT_2=0,CONCATENATE(TEXT(FIXED(ROUND(IF(EXC.RATE.SWITCH=1,C781/EXC.RATE_2,C781*EXC.RATE_2),CURRENCY.FORMAT_2),CURRENCY.FORMAT_2,1),"# ##0;-# ##0"),",-"),FIXED(ROUND(IF(EXC.RATE.SWITCH=1,C781/EXC.RATE_2,C781*EXC.RATE_2),CURRENCY.FORMAT_2),CURRENCY.FORMAT_2,0)),'DICTIONARY-5'!$A$2))</f>
        <v/>
      </c>
      <c r="L781" s="670" t="str">
        <f>IFERROR(IF(CURRENCY.FORMAT_1=0,CONCATENATE(TEXT(FIXED(ROUND((C781*(1-I781)*(1-ADD.DISCOUNT)*(1+MAT.SURCHARGE)/EXC.RATE_1),CURRENCY.FORMAT_1),CURRENCY.FORMAT_1,1),"# ##0;-# ##0"),",-"),FIXED(ROUND((C781*(1-I781)*(1-ADD.DISCOUNT)*(1+MAT.SURCHARGE)/EXC.RATE_1),CURRENCY.FORMAT_1),CURRENCY.FORMAT_1,0)),'DICTIONARY-5'!$A$2)</f>
        <v>1 206,-</v>
      </c>
      <c r="M781" s="670" t="str">
        <f>IF(EXC.RATE_2=0,"",IFERROR(IF(CURRENCY.FORMAT_2=0,CONCATENATE(TEXT(FIXED(ROUND(IF(EXC.RATE.SWITCH=1,C781*(1-I781)*(1-ADD.DISCOUNT)*(1+MAT.SURCHARGE)/EXC.RATE_2,C781*(1-I781)*(1-ADD.DISCOUNT)*(1+MAT.SURCHARGE)*EXC.RATE_2),CURRENCY.FORMAT_2),CURRENCY.FORMAT_2,1),"# ##0;-# ##0"),",-"),FIXED(ROUND(IF(EXC.RATE.SWITCH=1,C781*(1-I781)*(1-ADD.DISCOUNT)*(1+MAT.SURCHARGE)/EXC.RATE_2,C781*(1-I781)*(1-ADD.DISCOUNT)*(1+MAT.SURCHARGE)*EXC.RATE_2),CURRENCY.FORMAT_2),CURRENCY.FORMAT_2,0)),'DICTIONARY-5'!$A$2))</f>
        <v/>
      </c>
      <c r="N781" s="544">
        <v>2</v>
      </c>
      <c r="O781" s="544"/>
      <c r="P781" s="732" t="str">
        <f>'DICTIONARY-3'!$A$16&amp;" "&amp;'DICTIONARY-3'!$A$26</f>
        <v>REMO S8</v>
      </c>
      <c r="Q781" s="732" t="str">
        <f>'DICTIONARY-3'!$A$191</f>
        <v>Zestaw sterowania</v>
      </c>
      <c r="R781" s="732" t="str">
        <f>CONCATENATE('DICTIONARY-3'!$A$16," ",'DICTIONARY-3'!$A$26," ",'DICTIONARY-6'!$A$29," ",'DICTIONARY-3'!$A$13," ",'DICTIONARY-2'!$A$2,U781,", ",'DICTIONARY-6'!$A$54,"1,5-2,7m","+",'DICTIONARY-6'!$A$57," ",'DICTIONARY-5'!$A$7," ",'DICTIONARY-4'!$A$4)</f>
        <v>REMO S8 Zest. sterow. EROXplus DN700-900, przedłuż.1,5-2,7m+kolumienka dla NE</v>
      </c>
      <c r="S781" s="733" t="str">
        <f>'DICTIONARY-4'!$A$11</f>
        <v>PNE</v>
      </c>
      <c r="T781" s="732" t="str">
        <f>'DICTIONARY-4'!$A$27</f>
        <v>Przygotowane pod napęd elektryczny</v>
      </c>
      <c r="U781" s="734" t="s">
        <v>7863</v>
      </c>
      <c r="V781" s="735"/>
      <c r="W781" s="736"/>
      <c r="X781" s="737"/>
      <c r="Y781" s="738"/>
      <c r="Z781" s="739"/>
      <c r="AA781" s="739">
        <v>4478</v>
      </c>
      <c r="AB781" s="740"/>
      <c r="AC781" s="741"/>
      <c r="AD781" s="741"/>
      <c r="AE781" s="742"/>
      <c r="AF781" s="743"/>
      <c r="AG781" s="733" t="str">
        <f>'DICTIONARY-5'!$A$27</f>
        <v>pasywacja</v>
      </c>
    </row>
    <row r="782" spans="1:33" x14ac:dyDescent="0.25">
      <c r="A782" s="848"/>
      <c r="B782" s="848" t="str">
        <f>CONCATENATE('DICTIONARY-3'!$A$16,"-",'DICTIONARY-3'!$A$26,"-B.",$U782)</f>
        <v>REMO-S8-B.1000-1200</v>
      </c>
      <c r="C782" s="836">
        <v>1297</v>
      </c>
      <c r="D782" s="849"/>
      <c r="E782" s="836"/>
      <c r="F782" s="836"/>
      <c r="G782" s="850" t="s">
        <v>8211</v>
      </c>
      <c r="H782" s="797" t="str">
        <f>VLOOKUP(G782,SETTINGS!$B$7:$D$97,2,0)</f>
        <v>REMO</v>
      </c>
      <c r="I782" s="796">
        <f>VLOOKUP(G782,SETTINGS!$B$7:$D$97,3,0)</f>
        <v>0</v>
      </c>
      <c r="J782" s="670" t="str">
        <f>IFERROR(IF(CURRENCY.FORMAT_1=0,CONCATENATE(TEXT(FIXED(ROUND((C782/EXC.RATE_1),CURRENCY.FORMAT_1),CURRENCY.FORMAT_1,1),"# ##0;-# ##0"),",-"),FIXED(ROUND((C782/EXC.RATE_1),CURRENCY.FORMAT_1),CURRENCY.FORMAT_1,0)),'DICTIONARY-5'!$A$2)</f>
        <v>1 297,-</v>
      </c>
      <c r="K782" s="670" t="str">
        <f>IF(EXC.RATE_2=0,"",IFERROR(IF(CURRENCY.FORMAT_2=0,CONCATENATE(TEXT(FIXED(ROUND(IF(EXC.RATE.SWITCH=1,C782/EXC.RATE_2,C782*EXC.RATE_2),CURRENCY.FORMAT_2),CURRENCY.FORMAT_2,1),"# ##0;-# ##0"),",-"),FIXED(ROUND(IF(EXC.RATE.SWITCH=1,C782/EXC.RATE_2,C782*EXC.RATE_2),CURRENCY.FORMAT_2),CURRENCY.FORMAT_2,0)),'DICTIONARY-5'!$A$2))</f>
        <v/>
      </c>
      <c r="L782" s="670" t="str">
        <f>IFERROR(IF(CURRENCY.FORMAT_1=0,CONCATENATE(TEXT(FIXED(ROUND((C782*(1-I782)*(1-ADD.DISCOUNT)*(1+MAT.SURCHARGE)/EXC.RATE_1),CURRENCY.FORMAT_1),CURRENCY.FORMAT_1,1),"# ##0;-# ##0"),",-"),FIXED(ROUND((C782*(1-I782)*(1-ADD.DISCOUNT)*(1+MAT.SURCHARGE)/EXC.RATE_1),CURRENCY.FORMAT_1),CURRENCY.FORMAT_1,0)),'DICTIONARY-5'!$A$2)</f>
        <v>1 348,-</v>
      </c>
      <c r="M782" s="670" t="str">
        <f>IF(EXC.RATE_2=0,"",IFERROR(IF(CURRENCY.FORMAT_2=0,CONCATENATE(TEXT(FIXED(ROUND(IF(EXC.RATE.SWITCH=1,C782*(1-I782)*(1-ADD.DISCOUNT)*(1+MAT.SURCHARGE)/EXC.RATE_2,C782*(1-I782)*(1-ADD.DISCOUNT)*(1+MAT.SURCHARGE)*EXC.RATE_2),CURRENCY.FORMAT_2),CURRENCY.FORMAT_2,1),"# ##0;-# ##0"),",-"),FIXED(ROUND(IF(EXC.RATE.SWITCH=1,C782*(1-I782)*(1-ADD.DISCOUNT)*(1+MAT.SURCHARGE)/EXC.RATE_2,C782*(1-I782)*(1-ADD.DISCOUNT)*(1+MAT.SURCHARGE)*EXC.RATE_2),CURRENCY.FORMAT_2),CURRENCY.FORMAT_2,0)),'DICTIONARY-5'!$A$2))</f>
        <v/>
      </c>
      <c r="N782" s="544">
        <v>2</v>
      </c>
      <c r="O782" s="544"/>
      <c r="P782" s="732" t="str">
        <f>'DICTIONARY-3'!$A$16&amp;" "&amp;'DICTIONARY-3'!$A$26</f>
        <v>REMO S8</v>
      </c>
      <c r="Q782" s="732" t="str">
        <f>'DICTIONARY-3'!$A$191</f>
        <v>Zestaw sterowania</v>
      </c>
      <c r="R782" s="732" t="str">
        <f>CONCATENATE('DICTIONARY-3'!$A$16," ",'DICTIONARY-3'!$A$26," ",'DICTIONARY-6'!$A$29," ",'DICTIONARY-3'!$A$13," ",'DICTIONARY-2'!$A$2,U782,", ",'DICTIONARY-6'!$A$54,"1,5-2,7m","+",'DICTIONARY-6'!$A$57," ",'DICTIONARY-5'!$A$7," ",'DICTIONARY-4'!$A$4)</f>
        <v>REMO S8 Zest. sterow. EROXplus DN1000-1200, przedłuż.1,5-2,7m+kolumienka dla NE</v>
      </c>
      <c r="S782" s="733" t="str">
        <f>'DICTIONARY-4'!$A$11</f>
        <v>PNE</v>
      </c>
      <c r="T782" s="732" t="str">
        <f>'DICTIONARY-4'!$A$27</f>
        <v>Przygotowane pod napęd elektryczny</v>
      </c>
      <c r="U782" s="734" t="s">
        <v>7862</v>
      </c>
      <c r="V782" s="735"/>
      <c r="W782" s="736"/>
      <c r="X782" s="737"/>
      <c r="Y782" s="738"/>
      <c r="Z782" s="739"/>
      <c r="AA782" s="739">
        <v>5078</v>
      </c>
      <c r="AB782" s="740"/>
      <c r="AC782" s="741"/>
      <c r="AD782" s="741"/>
      <c r="AE782" s="742"/>
      <c r="AF782" s="743"/>
      <c r="AG782" s="733" t="str">
        <f>'DICTIONARY-5'!$A$27</f>
        <v>pasywacja</v>
      </c>
    </row>
    <row r="783" spans="1:33" x14ac:dyDescent="0.25">
      <c r="A783" s="848"/>
      <c r="B783" s="848" t="str">
        <f>CONCATENATE('DICTIONARY-3'!$A$16,"-",'DICTIONARY-3'!$A$26,"-C.",$U783)</f>
        <v>REMO-S8-C.150-600</v>
      </c>
      <c r="C783" s="836">
        <v>1512</v>
      </c>
      <c r="D783" s="849"/>
      <c r="E783" s="836"/>
      <c r="F783" s="836"/>
      <c r="G783" s="850" t="s">
        <v>8211</v>
      </c>
      <c r="H783" s="797" t="str">
        <f>VLOOKUP(G783,SETTINGS!$B$7:$D$97,2,0)</f>
        <v>REMO</v>
      </c>
      <c r="I783" s="796">
        <f>VLOOKUP(G783,SETTINGS!$B$7:$D$97,3,0)</f>
        <v>0</v>
      </c>
      <c r="J783" s="670" t="str">
        <f>IFERROR(IF(CURRENCY.FORMAT_1=0,CONCATENATE(TEXT(FIXED(ROUND((C783/EXC.RATE_1),CURRENCY.FORMAT_1),CURRENCY.FORMAT_1,1),"# ##0;-# ##0"),",-"),FIXED(ROUND((C783/EXC.RATE_1),CURRENCY.FORMAT_1),CURRENCY.FORMAT_1,0)),'DICTIONARY-5'!$A$2)</f>
        <v>1 512,-</v>
      </c>
      <c r="K783" s="670" t="str">
        <f>IF(EXC.RATE_2=0,"",IFERROR(IF(CURRENCY.FORMAT_2=0,CONCATENATE(TEXT(FIXED(ROUND(IF(EXC.RATE.SWITCH=1,C783/EXC.RATE_2,C783*EXC.RATE_2),CURRENCY.FORMAT_2),CURRENCY.FORMAT_2,1),"# ##0;-# ##0"),",-"),FIXED(ROUND(IF(EXC.RATE.SWITCH=1,C783/EXC.RATE_2,C783*EXC.RATE_2),CURRENCY.FORMAT_2),CURRENCY.FORMAT_2,0)),'DICTIONARY-5'!$A$2))</f>
        <v/>
      </c>
      <c r="L783" s="670" t="str">
        <f>IFERROR(IF(CURRENCY.FORMAT_1=0,CONCATENATE(TEXT(FIXED(ROUND((C783*(1-I783)*(1-ADD.DISCOUNT)*(1+MAT.SURCHARGE)/EXC.RATE_1),CURRENCY.FORMAT_1),CURRENCY.FORMAT_1,1),"# ##0;-# ##0"),",-"),FIXED(ROUND((C783*(1-I783)*(1-ADD.DISCOUNT)*(1+MAT.SURCHARGE)/EXC.RATE_1),CURRENCY.FORMAT_1),CURRENCY.FORMAT_1,0)),'DICTIONARY-5'!$A$2)</f>
        <v>1 571,-</v>
      </c>
      <c r="M783" s="670" t="str">
        <f>IF(EXC.RATE_2=0,"",IFERROR(IF(CURRENCY.FORMAT_2=0,CONCATENATE(TEXT(FIXED(ROUND(IF(EXC.RATE.SWITCH=1,C783*(1-I783)*(1-ADD.DISCOUNT)*(1+MAT.SURCHARGE)/EXC.RATE_2,C783*(1-I783)*(1-ADD.DISCOUNT)*(1+MAT.SURCHARGE)*EXC.RATE_2),CURRENCY.FORMAT_2),CURRENCY.FORMAT_2,1),"# ##0;-# ##0"),",-"),FIXED(ROUND(IF(EXC.RATE.SWITCH=1,C783*(1-I783)*(1-ADD.DISCOUNT)*(1+MAT.SURCHARGE)/EXC.RATE_2,C783*(1-I783)*(1-ADD.DISCOUNT)*(1+MAT.SURCHARGE)*EXC.RATE_2),CURRENCY.FORMAT_2),CURRENCY.FORMAT_2,0)),'DICTIONARY-5'!$A$2))</f>
        <v/>
      </c>
      <c r="N783" s="544">
        <v>2</v>
      </c>
      <c r="O783" s="544"/>
      <c r="P783" s="732" t="str">
        <f>'DICTIONARY-3'!$A$16&amp;" "&amp;'DICTIONARY-3'!$A$26</f>
        <v>REMO S8</v>
      </c>
      <c r="Q783" s="732" t="str">
        <f>'DICTIONARY-3'!$A$191</f>
        <v>Zestaw sterowania</v>
      </c>
      <c r="R783" s="732" t="str">
        <f>CONCATENATE('DICTIONARY-3'!$A$16," ",'DICTIONARY-3'!$A$26," ",'DICTIONARY-6'!$A$29," ",'DICTIONARY-3'!$A$13," ",'DICTIONARY-2'!$A$2,U783,", ",'DICTIONARY-6'!$A$54,"2,7-5,0m","+",'DICTIONARY-6'!$A$57," ",'DICTIONARY-5'!$A$7," ",'DICTIONARY-4'!$A$4)</f>
        <v>REMO S8 Zest. sterow. EROXplus DN150-600, przedłuż.2,7-5,0m+kolumienka dla NE</v>
      </c>
      <c r="S783" s="733" t="str">
        <f>'DICTIONARY-4'!$A$11</f>
        <v>PNE</v>
      </c>
      <c r="T783" s="732" t="str">
        <f>'DICTIONARY-4'!$A$27</f>
        <v>Przygotowane pod napęd elektryczny</v>
      </c>
      <c r="U783" s="734" t="s">
        <v>7860</v>
      </c>
      <c r="V783" s="735"/>
      <c r="W783" s="736"/>
      <c r="X783" s="737"/>
      <c r="Y783" s="738"/>
      <c r="Z783" s="739"/>
      <c r="AA783" s="739">
        <v>5657</v>
      </c>
      <c r="AB783" s="740"/>
      <c r="AC783" s="741"/>
      <c r="AD783" s="741"/>
      <c r="AE783" s="742"/>
      <c r="AF783" s="743"/>
      <c r="AG783" s="733" t="str">
        <f>'DICTIONARY-5'!$A$27</f>
        <v>pasywacja</v>
      </c>
    </row>
    <row r="784" spans="1:33" x14ac:dyDescent="0.25">
      <c r="A784" s="848"/>
      <c r="B784" s="848" t="str">
        <f>CONCATENATE('DICTIONARY-3'!$A$16,"-",'DICTIONARY-3'!$A$26,"-C.",$U784)</f>
        <v>REMO-S8-C.700-900</v>
      </c>
      <c r="C784" s="836">
        <v>1617</v>
      </c>
      <c r="D784" s="849"/>
      <c r="E784" s="836"/>
      <c r="F784" s="836"/>
      <c r="G784" s="850" t="s">
        <v>8211</v>
      </c>
      <c r="H784" s="797" t="str">
        <f>VLOOKUP(G784,SETTINGS!$B$7:$D$97,2,0)</f>
        <v>REMO</v>
      </c>
      <c r="I784" s="796">
        <f>VLOOKUP(G784,SETTINGS!$B$7:$D$97,3,0)</f>
        <v>0</v>
      </c>
      <c r="J784" s="670" t="str">
        <f>IFERROR(IF(CURRENCY.FORMAT_1=0,CONCATENATE(TEXT(FIXED(ROUND((C784/EXC.RATE_1),CURRENCY.FORMAT_1),CURRENCY.FORMAT_1,1),"# ##0;-# ##0"),",-"),FIXED(ROUND((C784/EXC.RATE_1),CURRENCY.FORMAT_1),CURRENCY.FORMAT_1,0)),'DICTIONARY-5'!$A$2)</f>
        <v>1 617,-</v>
      </c>
      <c r="K784" s="670" t="str">
        <f>IF(EXC.RATE_2=0,"",IFERROR(IF(CURRENCY.FORMAT_2=0,CONCATENATE(TEXT(FIXED(ROUND(IF(EXC.RATE.SWITCH=1,C784/EXC.RATE_2,C784*EXC.RATE_2),CURRENCY.FORMAT_2),CURRENCY.FORMAT_2,1),"# ##0;-# ##0"),",-"),FIXED(ROUND(IF(EXC.RATE.SWITCH=1,C784/EXC.RATE_2,C784*EXC.RATE_2),CURRENCY.FORMAT_2),CURRENCY.FORMAT_2,0)),'DICTIONARY-5'!$A$2))</f>
        <v/>
      </c>
      <c r="L784" s="670" t="str">
        <f>IFERROR(IF(CURRENCY.FORMAT_1=0,CONCATENATE(TEXT(FIXED(ROUND((C784*(1-I784)*(1-ADD.DISCOUNT)*(1+MAT.SURCHARGE)/EXC.RATE_1),CURRENCY.FORMAT_1),CURRENCY.FORMAT_1,1),"# ##0;-# ##0"),",-"),FIXED(ROUND((C784*(1-I784)*(1-ADD.DISCOUNT)*(1+MAT.SURCHARGE)/EXC.RATE_1),CURRENCY.FORMAT_1),CURRENCY.FORMAT_1,0)),'DICTIONARY-5'!$A$2)</f>
        <v>1 680,-</v>
      </c>
      <c r="M784" s="670" t="str">
        <f>IF(EXC.RATE_2=0,"",IFERROR(IF(CURRENCY.FORMAT_2=0,CONCATENATE(TEXT(FIXED(ROUND(IF(EXC.RATE.SWITCH=1,C784*(1-I784)*(1-ADD.DISCOUNT)*(1+MAT.SURCHARGE)/EXC.RATE_2,C784*(1-I784)*(1-ADD.DISCOUNT)*(1+MAT.SURCHARGE)*EXC.RATE_2),CURRENCY.FORMAT_2),CURRENCY.FORMAT_2,1),"# ##0;-# ##0"),",-"),FIXED(ROUND(IF(EXC.RATE.SWITCH=1,C784*(1-I784)*(1-ADD.DISCOUNT)*(1+MAT.SURCHARGE)/EXC.RATE_2,C784*(1-I784)*(1-ADD.DISCOUNT)*(1+MAT.SURCHARGE)*EXC.RATE_2),CURRENCY.FORMAT_2),CURRENCY.FORMAT_2,0)),'DICTIONARY-5'!$A$2))</f>
        <v/>
      </c>
      <c r="N784" s="544">
        <v>2</v>
      </c>
      <c r="O784" s="544"/>
      <c r="P784" s="732" t="str">
        <f>'DICTIONARY-3'!$A$16&amp;" "&amp;'DICTIONARY-3'!$A$26</f>
        <v>REMO S8</v>
      </c>
      <c r="Q784" s="732" t="str">
        <f>'DICTIONARY-3'!$A$191</f>
        <v>Zestaw sterowania</v>
      </c>
      <c r="R784" s="732" t="str">
        <f>CONCATENATE('DICTIONARY-3'!$A$16," ",'DICTIONARY-3'!$A$26," ",'DICTIONARY-6'!$A$29," ",'DICTIONARY-3'!$A$13," ",'DICTIONARY-2'!$A$2,U784,", ",'DICTIONARY-6'!$A$54,"2,7-5,0m","+",'DICTIONARY-6'!$A$57," ",'DICTIONARY-5'!$A$7," ",'DICTIONARY-4'!$A$4)</f>
        <v>REMO S8 Zest. sterow. EROXplus DN700-900, przedłuż.2,7-5,0m+kolumienka dla NE</v>
      </c>
      <c r="S784" s="733" t="str">
        <f>'DICTIONARY-4'!$A$11</f>
        <v>PNE</v>
      </c>
      <c r="T784" s="732" t="str">
        <f>'DICTIONARY-4'!$A$27</f>
        <v>Przygotowane pod napęd elektryczny</v>
      </c>
      <c r="U784" s="734" t="s">
        <v>7863</v>
      </c>
      <c r="V784" s="735"/>
      <c r="W784" s="736"/>
      <c r="X784" s="737"/>
      <c r="Y784" s="738"/>
      <c r="Z784" s="739"/>
      <c r="AA784" s="739">
        <v>6778</v>
      </c>
      <c r="AB784" s="740"/>
      <c r="AC784" s="741"/>
      <c r="AD784" s="741"/>
      <c r="AE784" s="742"/>
      <c r="AF784" s="743"/>
      <c r="AG784" s="733" t="str">
        <f>'DICTIONARY-5'!$A$27</f>
        <v>pasywacja</v>
      </c>
    </row>
    <row r="785" spans="1:33" x14ac:dyDescent="0.25">
      <c r="A785" s="848"/>
      <c r="B785" s="848" t="str">
        <f>CONCATENATE('DICTIONARY-3'!$A$16,"-",'DICTIONARY-3'!$A$26,"-C.",$U785)</f>
        <v>REMO-S8-C.1000-1200</v>
      </c>
      <c r="C785" s="836">
        <v>1753</v>
      </c>
      <c r="D785" s="849"/>
      <c r="E785" s="836"/>
      <c r="F785" s="836"/>
      <c r="G785" s="850" t="s">
        <v>8211</v>
      </c>
      <c r="H785" s="797" t="str">
        <f>VLOOKUP(G785,SETTINGS!$B$7:$D$97,2,0)</f>
        <v>REMO</v>
      </c>
      <c r="I785" s="796">
        <f>VLOOKUP(G785,SETTINGS!$B$7:$D$97,3,0)</f>
        <v>0</v>
      </c>
      <c r="J785" s="670" t="str">
        <f>IFERROR(IF(CURRENCY.FORMAT_1=0,CONCATENATE(TEXT(FIXED(ROUND((C785/EXC.RATE_1),CURRENCY.FORMAT_1),CURRENCY.FORMAT_1,1),"# ##0;-# ##0"),",-"),FIXED(ROUND((C785/EXC.RATE_1),CURRENCY.FORMAT_1),CURRENCY.FORMAT_1,0)),'DICTIONARY-5'!$A$2)</f>
        <v>1 753,-</v>
      </c>
      <c r="K785" s="670" t="str">
        <f>IF(EXC.RATE_2=0,"",IFERROR(IF(CURRENCY.FORMAT_2=0,CONCATENATE(TEXT(FIXED(ROUND(IF(EXC.RATE.SWITCH=1,C785/EXC.RATE_2,C785*EXC.RATE_2),CURRENCY.FORMAT_2),CURRENCY.FORMAT_2,1),"# ##0;-# ##0"),",-"),FIXED(ROUND(IF(EXC.RATE.SWITCH=1,C785/EXC.RATE_2,C785*EXC.RATE_2),CURRENCY.FORMAT_2),CURRENCY.FORMAT_2,0)),'DICTIONARY-5'!$A$2))</f>
        <v/>
      </c>
      <c r="L785" s="670" t="str">
        <f>IFERROR(IF(CURRENCY.FORMAT_1=0,CONCATENATE(TEXT(FIXED(ROUND((C785*(1-I785)*(1-ADD.DISCOUNT)*(1+MAT.SURCHARGE)/EXC.RATE_1),CURRENCY.FORMAT_1),CURRENCY.FORMAT_1,1),"# ##0;-# ##0"),",-"),FIXED(ROUND((C785*(1-I785)*(1-ADD.DISCOUNT)*(1+MAT.SURCHARGE)/EXC.RATE_1),CURRENCY.FORMAT_1),CURRENCY.FORMAT_1,0)),'DICTIONARY-5'!$A$2)</f>
        <v>1 821,-</v>
      </c>
      <c r="M785" s="670" t="str">
        <f>IF(EXC.RATE_2=0,"",IFERROR(IF(CURRENCY.FORMAT_2=0,CONCATENATE(TEXT(FIXED(ROUND(IF(EXC.RATE.SWITCH=1,C785*(1-I785)*(1-ADD.DISCOUNT)*(1+MAT.SURCHARGE)/EXC.RATE_2,C785*(1-I785)*(1-ADD.DISCOUNT)*(1+MAT.SURCHARGE)*EXC.RATE_2),CURRENCY.FORMAT_2),CURRENCY.FORMAT_2,1),"# ##0;-# ##0"),",-"),FIXED(ROUND(IF(EXC.RATE.SWITCH=1,C785*(1-I785)*(1-ADD.DISCOUNT)*(1+MAT.SURCHARGE)/EXC.RATE_2,C785*(1-I785)*(1-ADD.DISCOUNT)*(1+MAT.SURCHARGE)*EXC.RATE_2),CURRENCY.FORMAT_2),CURRENCY.FORMAT_2,0)),'DICTIONARY-5'!$A$2))</f>
        <v/>
      </c>
      <c r="N785" s="544">
        <v>2</v>
      </c>
      <c r="O785" s="544"/>
      <c r="P785" s="732" t="str">
        <f>'DICTIONARY-3'!$A$16&amp;" "&amp;'DICTIONARY-3'!$A$26</f>
        <v>REMO S8</v>
      </c>
      <c r="Q785" s="732" t="str">
        <f>'DICTIONARY-3'!$A$191</f>
        <v>Zestaw sterowania</v>
      </c>
      <c r="R785" s="732" t="str">
        <f>CONCATENATE('DICTIONARY-3'!$A$16," ",'DICTIONARY-3'!$A$26," ",'DICTIONARY-6'!$A$29," ",'DICTIONARY-3'!$A$13," ",'DICTIONARY-2'!$A$2,U785,", ",'DICTIONARY-6'!$A$54,"2,7-5,0m","+",'DICTIONARY-6'!$A$57," ",'DICTIONARY-5'!$A$7," ",'DICTIONARY-4'!$A$4)</f>
        <v>REMO S8 Zest. sterow. EROXplus DN1000-1200, przedłuż.2,7-5,0m+kolumienka dla NE</v>
      </c>
      <c r="S785" s="733" t="str">
        <f>'DICTIONARY-4'!$A$11</f>
        <v>PNE</v>
      </c>
      <c r="T785" s="732" t="str">
        <f>'DICTIONARY-4'!$A$27</f>
        <v>Przygotowane pod napęd elektryczny</v>
      </c>
      <c r="U785" s="734" t="s">
        <v>7862</v>
      </c>
      <c r="V785" s="735"/>
      <c r="W785" s="736"/>
      <c r="X785" s="737"/>
      <c r="Y785" s="738"/>
      <c r="Z785" s="739"/>
      <c r="AA785" s="739">
        <v>7378</v>
      </c>
      <c r="AB785" s="740"/>
      <c r="AC785" s="741"/>
      <c r="AD785" s="741"/>
      <c r="AE785" s="742"/>
      <c r="AF785" s="743"/>
      <c r="AG785" s="733" t="str">
        <f>'DICTIONARY-5'!$A$27</f>
        <v>pasywacja</v>
      </c>
    </row>
    <row r="786" spans="1:33" x14ac:dyDescent="0.25">
      <c r="A786" s="848" t="s">
        <v>7858</v>
      </c>
      <c r="B786" s="848" t="s">
        <v>7859</v>
      </c>
      <c r="C786" s="836">
        <v>73</v>
      </c>
      <c r="D786" s="836"/>
      <c r="E786" s="836"/>
      <c r="F786" s="836"/>
      <c r="G786" s="850" t="s">
        <v>8211</v>
      </c>
      <c r="H786" s="797" t="str">
        <f>VLOOKUP(G786,SETTINGS!$B$7:$D$97,2,0)</f>
        <v>REMO</v>
      </c>
      <c r="I786" s="796">
        <f>VLOOKUP(G786,SETTINGS!$B$7:$D$97,3,0)</f>
        <v>0</v>
      </c>
      <c r="J786" s="670" t="str">
        <f>IFERROR(IF(CURRENCY.FORMAT_1=0,CONCATENATE(TEXT(FIXED(ROUND((C786/EXC.RATE_1),CURRENCY.FORMAT_1),CURRENCY.FORMAT_1,1),"# ##0;-# ##0"),",-"),FIXED(ROUND((C786/EXC.RATE_1),CURRENCY.FORMAT_1),CURRENCY.FORMAT_1,0)),'DICTIONARY-5'!$A$2)</f>
        <v>73,-</v>
      </c>
      <c r="K786" s="670" t="str">
        <f>IF(EXC.RATE_2=0,"",IFERROR(IF(CURRENCY.FORMAT_2=0,CONCATENATE(TEXT(FIXED(ROUND(IF(EXC.RATE.SWITCH=1,C786/EXC.RATE_2,C786*EXC.RATE_2),CURRENCY.FORMAT_2),CURRENCY.FORMAT_2,1),"# ##0;-# ##0"),",-"),FIXED(ROUND(IF(EXC.RATE.SWITCH=1,C786/EXC.RATE_2,C786*EXC.RATE_2),CURRENCY.FORMAT_2),CURRENCY.FORMAT_2,0)),'DICTIONARY-5'!$A$2))</f>
        <v/>
      </c>
      <c r="L786" s="670" t="str">
        <f>IFERROR(IF(CURRENCY.FORMAT_1=0,CONCATENATE(TEXT(FIXED(ROUND((C786*(1-I786)*(1-ADD.DISCOUNT)*(1+MAT.SURCHARGE)/EXC.RATE_1),CURRENCY.FORMAT_1),CURRENCY.FORMAT_1,1),"# ##0;-# ##0"),",-"),FIXED(ROUND((C786*(1-I786)*(1-ADD.DISCOUNT)*(1+MAT.SURCHARGE)/EXC.RATE_1),CURRENCY.FORMAT_1),CURRENCY.FORMAT_1,0)),'DICTIONARY-5'!$A$2)</f>
        <v>76,-</v>
      </c>
      <c r="M786" s="670" t="str">
        <f>IF(EXC.RATE_2=0,"",IFERROR(IF(CURRENCY.FORMAT_2=0,CONCATENATE(TEXT(FIXED(ROUND(IF(EXC.RATE.SWITCH=1,C786*(1-I786)*(1-ADD.DISCOUNT)*(1+MAT.SURCHARGE)/EXC.RATE_2,C786*(1-I786)*(1-ADD.DISCOUNT)*(1+MAT.SURCHARGE)*EXC.RATE_2),CURRENCY.FORMAT_2),CURRENCY.FORMAT_2,1),"# ##0;-# ##0"),",-"),FIXED(ROUND(IF(EXC.RATE.SWITCH=1,C786*(1-I786)*(1-ADD.DISCOUNT)*(1+MAT.SURCHARGE)/EXC.RATE_2,C786*(1-I786)*(1-ADD.DISCOUNT)*(1+MAT.SURCHARGE)*EXC.RATE_2),CURRENCY.FORMAT_2),CURRENCY.FORMAT_2,0)),'DICTIONARY-5'!$A$2))</f>
        <v/>
      </c>
      <c r="N786" s="544">
        <v>2</v>
      </c>
      <c r="O786" s="544"/>
      <c r="P786" s="732" t="str">
        <f>'DICTIONARY-3'!$A$16&amp;" "&amp;'DICTIONARY-3'!$A$220</f>
        <v>REMO Skrzynka</v>
      </c>
      <c r="Q786" s="732" t="str">
        <f>'DICTIONARY-3'!$A$220</f>
        <v>Skrzynka</v>
      </c>
      <c r="R786" s="732" t="str">
        <f>CONCATENATE('DICTIONARY-3'!$A$16," ",'DICTIONARY-3'!$A$220,)</f>
        <v>REMO Skrzynka</v>
      </c>
      <c r="S786" s="733"/>
      <c r="T786" s="732"/>
      <c r="U786" s="734"/>
      <c r="V786" s="735"/>
      <c r="W786" s="736"/>
      <c r="X786" s="737"/>
      <c r="Y786" s="738"/>
      <c r="Z786" s="739"/>
      <c r="AA786" s="739"/>
      <c r="AB786" s="740"/>
      <c r="AC786" s="741"/>
      <c r="AD786" s="741"/>
      <c r="AE786" s="742"/>
      <c r="AF786" s="743">
        <v>15</v>
      </c>
      <c r="AG786" s="733"/>
    </row>
    <row r="787" spans="1:33" x14ac:dyDescent="0.25">
      <c r="A787" s="842" t="s">
        <v>739</v>
      </c>
      <c r="B787" s="842" t="s">
        <v>4490</v>
      </c>
      <c r="C787" s="836">
        <v>1465</v>
      </c>
      <c r="D787" s="836"/>
      <c r="E787" s="836"/>
      <c r="F787" s="836"/>
      <c r="G787" s="496" t="s">
        <v>7829</v>
      </c>
      <c r="H787" s="797" t="str">
        <f>VLOOKUP(G787,SETTINGS!$B$7:$D$97,2,0)</f>
        <v>HADE</v>
      </c>
      <c r="I787" s="796">
        <f>VLOOKUP(G787,SETTINGS!$B$7:$D$97,3,0)</f>
        <v>0</v>
      </c>
      <c r="J787" s="670" t="str">
        <f>IFERROR(IF(CURRENCY.FORMAT_1=0,CONCATENATE(TEXT(FIXED(ROUND((C787/EXC.RATE_1),CURRENCY.FORMAT_1),CURRENCY.FORMAT_1,1),"# ##0;-# ##0"),",-"),FIXED(ROUND((C787/EXC.RATE_1),CURRENCY.FORMAT_1),CURRENCY.FORMAT_1,0)),'DICTIONARY-5'!$A$2)</f>
        <v>1 465,-</v>
      </c>
      <c r="K787" s="670" t="str">
        <f>IF(EXC.RATE_2=0,"",IFERROR(IF(CURRENCY.FORMAT_2=0,CONCATENATE(TEXT(FIXED(ROUND(IF(EXC.RATE.SWITCH=1,C787/EXC.RATE_2,C787*EXC.RATE_2),CURRENCY.FORMAT_2),CURRENCY.FORMAT_2,1),"# ##0;-# ##0"),",-"),FIXED(ROUND(IF(EXC.RATE.SWITCH=1,C787/EXC.RATE_2,C787*EXC.RATE_2),CURRENCY.FORMAT_2),CURRENCY.FORMAT_2,0)),'DICTIONARY-5'!$A$2))</f>
        <v/>
      </c>
      <c r="L787" s="670" t="str">
        <f>IFERROR(IF(CURRENCY.FORMAT_1=0,CONCATENATE(TEXT(FIXED(ROUND((C787*(1-I787)*(1-ADD.DISCOUNT)*(1+MAT.SURCHARGE)/EXC.RATE_1),CURRENCY.FORMAT_1),CURRENCY.FORMAT_1,1),"# ##0;-# ##0"),",-"),FIXED(ROUND((C787*(1-I787)*(1-ADD.DISCOUNT)*(1+MAT.SURCHARGE)/EXC.RATE_1),CURRENCY.FORMAT_1),CURRENCY.FORMAT_1,0)),'DICTIONARY-5'!$A$2)</f>
        <v>1 522,-</v>
      </c>
      <c r="M787" s="670" t="str">
        <f>IF(EXC.RATE_2=0,"",IFERROR(IF(CURRENCY.FORMAT_2=0,CONCATENATE(TEXT(FIXED(ROUND(IF(EXC.RATE.SWITCH=1,C787*(1-I787)*(1-ADD.DISCOUNT)*(1+MAT.SURCHARGE)/EXC.RATE_2,C787*(1-I787)*(1-ADD.DISCOUNT)*(1+MAT.SURCHARGE)*EXC.RATE_2),CURRENCY.FORMAT_2),CURRENCY.FORMAT_2,1),"# ##0;-# ##0"),",-"),FIXED(ROUND(IF(EXC.RATE.SWITCH=1,C787*(1-I787)*(1-ADD.DISCOUNT)*(1+MAT.SURCHARGE)/EXC.RATE_2,C787*(1-I787)*(1-ADD.DISCOUNT)*(1+MAT.SURCHARGE)*EXC.RATE_2),CURRENCY.FORMAT_2),CURRENCY.FORMAT_2,0)),'DICTIONARY-5'!$A$2))</f>
        <v/>
      </c>
      <c r="N787" s="544">
        <v>3</v>
      </c>
      <c r="O787" s="544"/>
      <c r="P787" s="732" t="str">
        <f>'DICTIONARY-3'!$A$38</f>
        <v>HADE PRA-G</v>
      </c>
      <c r="Q787" s="732" t="str">
        <f>'DICTIONARY-3'!$A$190</f>
        <v>Zasuwa wrzecionowa</v>
      </c>
      <c r="R787" s="732" t="str">
        <f>CONCATENATE('DICTIONARY-3'!$A$38," ",'DICTIONARY-6'!$A$5," ",'DICTIONARY-2'!$A$2,"150"," ",'DICTIONARY-2'!$A$8,"825",'DICTIONARY-2'!$A$17,,", ",'DICTIONARY-4'!$A$2)</f>
        <v>HADE PRA-G Zasuwa wrzec. DN150 Tmin825mm, WW</v>
      </c>
      <c r="S787" s="733" t="str">
        <f>'DICTIONARY-4'!$A$2</f>
        <v>WW</v>
      </c>
      <c r="T787" s="732" t="str">
        <f>'DICTIONARY-4'!$A$18</f>
        <v>Wolny wałek</v>
      </c>
      <c r="U787" s="734" t="s">
        <v>5572</v>
      </c>
      <c r="V787" s="735" t="s">
        <v>5569</v>
      </c>
      <c r="W787" s="736"/>
      <c r="X787" s="737"/>
      <c r="Y787" s="738"/>
      <c r="Z787" s="739">
        <v>825</v>
      </c>
      <c r="AA787" s="739"/>
      <c r="AB787" s="740" t="s">
        <v>5569</v>
      </c>
      <c r="AC787" s="741" t="s">
        <v>5569</v>
      </c>
      <c r="AD787" s="741" t="s">
        <v>5569</v>
      </c>
      <c r="AE787" s="742" t="s">
        <v>5569</v>
      </c>
      <c r="AF787" s="743">
        <v>20</v>
      </c>
      <c r="AG787" s="741" t="s">
        <v>5569</v>
      </c>
    </row>
    <row r="788" spans="1:33" x14ac:dyDescent="0.25">
      <c r="A788" s="842" t="s">
        <v>741</v>
      </c>
      <c r="B788" s="842" t="s">
        <v>4500</v>
      </c>
      <c r="C788" s="836">
        <v>1576</v>
      </c>
      <c r="D788" s="836"/>
      <c r="E788" s="836"/>
      <c r="F788" s="836"/>
      <c r="G788" s="496" t="s">
        <v>7829</v>
      </c>
      <c r="H788" s="797" t="str">
        <f>VLOOKUP(G788,SETTINGS!$B$7:$D$97,2,0)</f>
        <v>HADE</v>
      </c>
      <c r="I788" s="796">
        <f>VLOOKUP(G788,SETTINGS!$B$7:$D$97,3,0)</f>
        <v>0</v>
      </c>
      <c r="J788" s="670" t="str">
        <f>IFERROR(IF(CURRENCY.FORMAT_1=0,CONCATENATE(TEXT(FIXED(ROUND((C788/EXC.RATE_1),CURRENCY.FORMAT_1),CURRENCY.FORMAT_1,1),"# ##0;-# ##0"),",-"),FIXED(ROUND((C788/EXC.RATE_1),CURRENCY.FORMAT_1),CURRENCY.FORMAT_1,0)),'DICTIONARY-5'!$A$2)</f>
        <v>1 576,-</v>
      </c>
      <c r="K788" s="670" t="str">
        <f>IF(EXC.RATE_2=0,"",IFERROR(IF(CURRENCY.FORMAT_2=0,CONCATENATE(TEXT(FIXED(ROUND(IF(EXC.RATE.SWITCH=1,C788/EXC.RATE_2,C788*EXC.RATE_2),CURRENCY.FORMAT_2),CURRENCY.FORMAT_2,1),"# ##0;-# ##0"),",-"),FIXED(ROUND(IF(EXC.RATE.SWITCH=1,C788/EXC.RATE_2,C788*EXC.RATE_2),CURRENCY.FORMAT_2),CURRENCY.FORMAT_2,0)),'DICTIONARY-5'!$A$2))</f>
        <v/>
      </c>
      <c r="L788" s="670" t="str">
        <f>IFERROR(IF(CURRENCY.FORMAT_1=0,CONCATENATE(TEXT(FIXED(ROUND((C788*(1-I788)*(1-ADD.DISCOUNT)*(1+MAT.SURCHARGE)/EXC.RATE_1),CURRENCY.FORMAT_1),CURRENCY.FORMAT_1,1),"# ##0;-# ##0"),",-"),FIXED(ROUND((C788*(1-I788)*(1-ADD.DISCOUNT)*(1+MAT.SURCHARGE)/EXC.RATE_1),CURRENCY.FORMAT_1),CURRENCY.FORMAT_1,0)),'DICTIONARY-5'!$A$2)</f>
        <v>1 637,-</v>
      </c>
      <c r="M788" s="670" t="str">
        <f>IF(EXC.RATE_2=0,"",IFERROR(IF(CURRENCY.FORMAT_2=0,CONCATENATE(TEXT(FIXED(ROUND(IF(EXC.RATE.SWITCH=1,C788*(1-I788)*(1-ADD.DISCOUNT)*(1+MAT.SURCHARGE)/EXC.RATE_2,C788*(1-I788)*(1-ADD.DISCOUNT)*(1+MAT.SURCHARGE)*EXC.RATE_2),CURRENCY.FORMAT_2),CURRENCY.FORMAT_2,1),"# ##0;-# ##0"),",-"),FIXED(ROUND(IF(EXC.RATE.SWITCH=1,C788*(1-I788)*(1-ADD.DISCOUNT)*(1+MAT.SURCHARGE)/EXC.RATE_2,C788*(1-I788)*(1-ADD.DISCOUNT)*(1+MAT.SURCHARGE)*EXC.RATE_2),CURRENCY.FORMAT_2),CURRENCY.FORMAT_2,0)),'DICTIONARY-5'!$A$2))</f>
        <v/>
      </c>
      <c r="N788" s="544">
        <v>3</v>
      </c>
      <c r="O788" s="544"/>
      <c r="P788" s="732" t="str">
        <f>'DICTIONARY-3'!$A$38</f>
        <v>HADE PRA-G</v>
      </c>
      <c r="Q788" s="732" t="str">
        <f>'DICTIONARY-3'!$A$190</f>
        <v>Zasuwa wrzecionowa</v>
      </c>
      <c r="R788" s="732" t="str">
        <f>CONCATENATE('DICTIONARY-3'!$A$38," ",'DICTIONARY-6'!$A$5," ",'DICTIONARY-2'!$A$2,"200"," ",'DICTIONARY-2'!$A$8,"850",'DICTIONARY-2'!$A$17,,", ",'DICTIONARY-4'!$A$2)</f>
        <v>HADE PRA-G Zasuwa wrzec. DN200 Tmin850mm, WW</v>
      </c>
      <c r="S788" s="733" t="str">
        <f>'DICTIONARY-4'!$A$2</f>
        <v>WW</v>
      </c>
      <c r="T788" s="732" t="str">
        <f>'DICTIONARY-4'!$A$18</f>
        <v>Wolny wałek</v>
      </c>
      <c r="U788" s="734" t="s">
        <v>5750</v>
      </c>
      <c r="V788" s="735" t="s">
        <v>5569</v>
      </c>
      <c r="W788" s="736"/>
      <c r="X788" s="737"/>
      <c r="Y788" s="738"/>
      <c r="Z788" s="739">
        <v>850</v>
      </c>
      <c r="AA788" s="739"/>
      <c r="AB788" s="740" t="s">
        <v>5569</v>
      </c>
      <c r="AC788" s="741" t="s">
        <v>5569</v>
      </c>
      <c r="AD788" s="741" t="s">
        <v>5569</v>
      </c>
      <c r="AE788" s="742" t="s">
        <v>5569</v>
      </c>
      <c r="AF788" s="743">
        <v>19</v>
      </c>
      <c r="AG788" s="741" t="s">
        <v>5569</v>
      </c>
    </row>
    <row r="789" spans="1:33" x14ac:dyDescent="0.25">
      <c r="A789" s="842" t="s">
        <v>742</v>
      </c>
      <c r="B789" s="842" t="s">
        <v>4506</v>
      </c>
      <c r="C789" s="836">
        <v>1751</v>
      </c>
      <c r="D789" s="836"/>
      <c r="E789" s="836"/>
      <c r="F789" s="836"/>
      <c r="G789" s="496" t="s">
        <v>7829</v>
      </c>
      <c r="H789" s="797" t="str">
        <f>VLOOKUP(G789,SETTINGS!$B$7:$D$97,2,0)</f>
        <v>HADE</v>
      </c>
      <c r="I789" s="796">
        <f>VLOOKUP(G789,SETTINGS!$B$7:$D$97,3,0)</f>
        <v>0</v>
      </c>
      <c r="J789" s="670" t="str">
        <f>IFERROR(IF(CURRENCY.FORMAT_1=0,CONCATENATE(TEXT(FIXED(ROUND((C789/EXC.RATE_1),CURRENCY.FORMAT_1),CURRENCY.FORMAT_1,1),"# ##0;-# ##0"),",-"),FIXED(ROUND((C789/EXC.RATE_1),CURRENCY.FORMAT_1),CURRENCY.FORMAT_1,0)),'DICTIONARY-5'!$A$2)</f>
        <v>1 751,-</v>
      </c>
      <c r="K789" s="670" t="str">
        <f>IF(EXC.RATE_2=0,"",IFERROR(IF(CURRENCY.FORMAT_2=0,CONCATENATE(TEXT(FIXED(ROUND(IF(EXC.RATE.SWITCH=1,C789/EXC.RATE_2,C789*EXC.RATE_2),CURRENCY.FORMAT_2),CURRENCY.FORMAT_2,1),"# ##0;-# ##0"),",-"),FIXED(ROUND(IF(EXC.RATE.SWITCH=1,C789/EXC.RATE_2,C789*EXC.RATE_2),CURRENCY.FORMAT_2),CURRENCY.FORMAT_2,0)),'DICTIONARY-5'!$A$2))</f>
        <v/>
      </c>
      <c r="L789" s="670" t="str">
        <f>IFERROR(IF(CURRENCY.FORMAT_1=0,CONCATENATE(TEXT(FIXED(ROUND((C789*(1-I789)*(1-ADD.DISCOUNT)*(1+MAT.SURCHARGE)/EXC.RATE_1),CURRENCY.FORMAT_1),CURRENCY.FORMAT_1,1),"# ##0;-# ##0"),",-"),FIXED(ROUND((C789*(1-I789)*(1-ADD.DISCOUNT)*(1+MAT.SURCHARGE)/EXC.RATE_1),CURRENCY.FORMAT_1),CURRENCY.FORMAT_1,0)),'DICTIONARY-5'!$A$2)</f>
        <v>1 819,-</v>
      </c>
      <c r="M789" s="670" t="str">
        <f>IF(EXC.RATE_2=0,"",IFERROR(IF(CURRENCY.FORMAT_2=0,CONCATENATE(TEXT(FIXED(ROUND(IF(EXC.RATE.SWITCH=1,C789*(1-I789)*(1-ADD.DISCOUNT)*(1+MAT.SURCHARGE)/EXC.RATE_2,C789*(1-I789)*(1-ADD.DISCOUNT)*(1+MAT.SURCHARGE)*EXC.RATE_2),CURRENCY.FORMAT_2),CURRENCY.FORMAT_2,1),"# ##0;-# ##0"),",-"),FIXED(ROUND(IF(EXC.RATE.SWITCH=1,C789*(1-I789)*(1-ADD.DISCOUNT)*(1+MAT.SURCHARGE)/EXC.RATE_2,C789*(1-I789)*(1-ADD.DISCOUNT)*(1+MAT.SURCHARGE)*EXC.RATE_2),CURRENCY.FORMAT_2),CURRENCY.FORMAT_2,0)),'DICTIONARY-5'!$A$2))</f>
        <v/>
      </c>
      <c r="N789" s="544">
        <v>3</v>
      </c>
      <c r="O789" s="544"/>
      <c r="P789" s="732" t="str">
        <f>'DICTIONARY-3'!$A$38</f>
        <v>HADE PRA-G</v>
      </c>
      <c r="Q789" s="732" t="str">
        <f>'DICTIONARY-3'!$A$190</f>
        <v>Zasuwa wrzecionowa</v>
      </c>
      <c r="R789" s="732" t="str">
        <f>CONCATENATE('DICTIONARY-3'!$A$38," ",'DICTIONARY-6'!$A$5," ",'DICTIONARY-2'!$A$2,"250"," ",'DICTIONARY-2'!$A$8,"1025",'DICTIONARY-2'!$A$17,,", ",'DICTIONARY-4'!$A$2)</f>
        <v>HADE PRA-G Zasuwa wrzec. DN250 Tmin1025mm, WW</v>
      </c>
      <c r="S789" s="733" t="str">
        <f>'DICTIONARY-4'!$A$2</f>
        <v>WW</v>
      </c>
      <c r="T789" s="732" t="str">
        <f>'DICTIONARY-4'!$A$18</f>
        <v>Wolny wałek</v>
      </c>
      <c r="U789" s="734" t="s">
        <v>5751</v>
      </c>
      <c r="V789" s="735" t="s">
        <v>5569</v>
      </c>
      <c r="W789" s="736"/>
      <c r="X789" s="737"/>
      <c r="Y789" s="738"/>
      <c r="Z789" s="739">
        <v>1025</v>
      </c>
      <c r="AA789" s="739"/>
      <c r="AB789" s="740" t="s">
        <v>5569</v>
      </c>
      <c r="AC789" s="741" t="s">
        <v>5569</v>
      </c>
      <c r="AD789" s="741" t="s">
        <v>5569</v>
      </c>
      <c r="AE789" s="742" t="s">
        <v>5569</v>
      </c>
      <c r="AF789" s="743">
        <v>7</v>
      </c>
      <c r="AG789" s="741" t="s">
        <v>5569</v>
      </c>
    </row>
    <row r="790" spans="1:33" x14ac:dyDescent="0.25">
      <c r="A790" s="842" t="s">
        <v>744</v>
      </c>
      <c r="B790" s="842" t="s">
        <v>4515</v>
      </c>
      <c r="C790" s="836">
        <v>1725</v>
      </c>
      <c r="D790" s="836"/>
      <c r="E790" s="836"/>
      <c r="F790" s="836"/>
      <c r="G790" s="496" t="s">
        <v>7829</v>
      </c>
      <c r="H790" s="797" t="str">
        <f>VLOOKUP(G790,SETTINGS!$B$7:$D$97,2,0)</f>
        <v>HADE</v>
      </c>
      <c r="I790" s="796">
        <f>VLOOKUP(G790,SETTINGS!$B$7:$D$97,3,0)</f>
        <v>0</v>
      </c>
      <c r="J790" s="670" t="str">
        <f>IFERROR(IF(CURRENCY.FORMAT_1=0,CONCATENATE(TEXT(FIXED(ROUND((C790/EXC.RATE_1),CURRENCY.FORMAT_1),CURRENCY.FORMAT_1,1),"# ##0;-# ##0"),",-"),FIXED(ROUND((C790/EXC.RATE_1),CURRENCY.FORMAT_1),CURRENCY.FORMAT_1,0)),'DICTIONARY-5'!$A$2)</f>
        <v>1 725,-</v>
      </c>
      <c r="K790" s="670" t="str">
        <f>IF(EXC.RATE_2=0,"",IFERROR(IF(CURRENCY.FORMAT_2=0,CONCATENATE(TEXT(FIXED(ROUND(IF(EXC.RATE.SWITCH=1,C790/EXC.RATE_2,C790*EXC.RATE_2),CURRENCY.FORMAT_2),CURRENCY.FORMAT_2,1),"# ##0;-# ##0"),",-"),FIXED(ROUND(IF(EXC.RATE.SWITCH=1,C790/EXC.RATE_2,C790*EXC.RATE_2),CURRENCY.FORMAT_2),CURRENCY.FORMAT_2,0)),'DICTIONARY-5'!$A$2))</f>
        <v/>
      </c>
      <c r="L790" s="670" t="str">
        <f>IFERROR(IF(CURRENCY.FORMAT_1=0,CONCATENATE(TEXT(FIXED(ROUND((C790*(1-I790)*(1-ADD.DISCOUNT)*(1+MAT.SURCHARGE)/EXC.RATE_1),CURRENCY.FORMAT_1),CURRENCY.FORMAT_1,1),"# ##0;-# ##0"),",-"),FIXED(ROUND((C790*(1-I790)*(1-ADD.DISCOUNT)*(1+MAT.SURCHARGE)/EXC.RATE_1),CURRENCY.FORMAT_1),CURRENCY.FORMAT_1,0)),'DICTIONARY-5'!$A$2)</f>
        <v>1 792,-</v>
      </c>
      <c r="M790" s="670" t="str">
        <f>IF(EXC.RATE_2=0,"",IFERROR(IF(CURRENCY.FORMAT_2=0,CONCATENATE(TEXT(FIXED(ROUND(IF(EXC.RATE.SWITCH=1,C790*(1-I790)*(1-ADD.DISCOUNT)*(1+MAT.SURCHARGE)/EXC.RATE_2,C790*(1-I790)*(1-ADD.DISCOUNT)*(1+MAT.SURCHARGE)*EXC.RATE_2),CURRENCY.FORMAT_2),CURRENCY.FORMAT_2,1),"# ##0;-# ##0"),",-"),FIXED(ROUND(IF(EXC.RATE.SWITCH=1,C790*(1-I790)*(1-ADD.DISCOUNT)*(1+MAT.SURCHARGE)/EXC.RATE_2,C790*(1-I790)*(1-ADD.DISCOUNT)*(1+MAT.SURCHARGE)*EXC.RATE_2),CURRENCY.FORMAT_2),CURRENCY.FORMAT_2,0)),'DICTIONARY-5'!$A$2))</f>
        <v/>
      </c>
      <c r="N790" s="544">
        <v>3</v>
      </c>
      <c r="O790" s="544"/>
      <c r="P790" s="732" t="str">
        <f>'DICTIONARY-3'!$A$38</f>
        <v>HADE PRA-G</v>
      </c>
      <c r="Q790" s="732" t="str">
        <f>'DICTIONARY-3'!$A$190</f>
        <v>Zasuwa wrzecionowa</v>
      </c>
      <c r="R790" s="732" t="str">
        <f>CONCATENATE('DICTIONARY-3'!$A$38," ",'DICTIONARY-6'!$A$5," ",'DICTIONARY-2'!$A$2,"300"," ",'DICTIONARY-2'!$A$8,"1050",'DICTIONARY-2'!$A$17,,", ",'DICTIONARY-4'!$A$2)</f>
        <v>HADE PRA-G Zasuwa wrzec. DN300 Tmin1050mm, WW</v>
      </c>
      <c r="S790" s="733" t="str">
        <f>'DICTIONARY-4'!$A$2</f>
        <v>WW</v>
      </c>
      <c r="T790" s="732" t="str">
        <f>'DICTIONARY-4'!$A$18</f>
        <v>Wolny wałek</v>
      </c>
      <c r="U790" s="734" t="s">
        <v>5752</v>
      </c>
      <c r="V790" s="735" t="s">
        <v>5569</v>
      </c>
      <c r="W790" s="736"/>
      <c r="X790" s="737"/>
      <c r="Y790" s="738"/>
      <c r="Z790" s="739">
        <v>1050</v>
      </c>
      <c r="AA790" s="739"/>
      <c r="AB790" s="740" t="s">
        <v>5569</v>
      </c>
      <c r="AC790" s="741" t="s">
        <v>5569</v>
      </c>
      <c r="AD790" s="741" t="s">
        <v>5569</v>
      </c>
      <c r="AE790" s="742" t="s">
        <v>5569</v>
      </c>
      <c r="AF790" s="743">
        <v>24</v>
      </c>
      <c r="AG790" s="741" t="s">
        <v>5569</v>
      </c>
    </row>
    <row r="791" spans="1:33" x14ac:dyDescent="0.25">
      <c r="A791" s="842" t="s">
        <v>745</v>
      </c>
      <c r="B791" s="842" t="s">
        <v>4522</v>
      </c>
      <c r="C791" s="836">
        <v>2594</v>
      </c>
      <c r="D791" s="836"/>
      <c r="E791" s="836"/>
      <c r="F791" s="836"/>
      <c r="G791" s="496" t="s">
        <v>7829</v>
      </c>
      <c r="H791" s="797" t="str">
        <f>VLOOKUP(G791,SETTINGS!$B$7:$D$97,2,0)</f>
        <v>HADE</v>
      </c>
      <c r="I791" s="796">
        <f>VLOOKUP(G791,SETTINGS!$B$7:$D$97,3,0)</f>
        <v>0</v>
      </c>
      <c r="J791" s="670" t="str">
        <f>IFERROR(IF(CURRENCY.FORMAT_1=0,CONCATENATE(TEXT(FIXED(ROUND((C791/EXC.RATE_1),CURRENCY.FORMAT_1),CURRENCY.FORMAT_1,1),"# ##0;-# ##0"),",-"),FIXED(ROUND((C791/EXC.RATE_1),CURRENCY.FORMAT_1),CURRENCY.FORMAT_1,0)),'DICTIONARY-5'!$A$2)</f>
        <v>2 594,-</v>
      </c>
      <c r="K791" s="670" t="str">
        <f>IF(EXC.RATE_2=0,"",IFERROR(IF(CURRENCY.FORMAT_2=0,CONCATENATE(TEXT(FIXED(ROUND(IF(EXC.RATE.SWITCH=1,C791/EXC.RATE_2,C791*EXC.RATE_2),CURRENCY.FORMAT_2),CURRENCY.FORMAT_2,1),"# ##0;-# ##0"),",-"),FIXED(ROUND(IF(EXC.RATE.SWITCH=1,C791/EXC.RATE_2,C791*EXC.RATE_2),CURRENCY.FORMAT_2),CURRENCY.FORMAT_2,0)),'DICTIONARY-5'!$A$2))</f>
        <v/>
      </c>
      <c r="L791" s="670" t="str">
        <f>IFERROR(IF(CURRENCY.FORMAT_1=0,CONCATENATE(TEXT(FIXED(ROUND((C791*(1-I791)*(1-ADD.DISCOUNT)*(1+MAT.SURCHARGE)/EXC.RATE_1),CURRENCY.FORMAT_1),CURRENCY.FORMAT_1,1),"# ##0;-# ##0"),",-"),FIXED(ROUND((C791*(1-I791)*(1-ADD.DISCOUNT)*(1+MAT.SURCHARGE)/EXC.RATE_1),CURRENCY.FORMAT_1),CURRENCY.FORMAT_1,0)),'DICTIONARY-5'!$A$2)</f>
        <v>2 695,-</v>
      </c>
      <c r="M791" s="670" t="str">
        <f>IF(EXC.RATE_2=0,"",IFERROR(IF(CURRENCY.FORMAT_2=0,CONCATENATE(TEXT(FIXED(ROUND(IF(EXC.RATE.SWITCH=1,C791*(1-I791)*(1-ADD.DISCOUNT)*(1+MAT.SURCHARGE)/EXC.RATE_2,C791*(1-I791)*(1-ADD.DISCOUNT)*(1+MAT.SURCHARGE)*EXC.RATE_2),CURRENCY.FORMAT_2),CURRENCY.FORMAT_2,1),"# ##0;-# ##0"),",-"),FIXED(ROUND(IF(EXC.RATE.SWITCH=1,C791*(1-I791)*(1-ADD.DISCOUNT)*(1+MAT.SURCHARGE)/EXC.RATE_2,C791*(1-I791)*(1-ADD.DISCOUNT)*(1+MAT.SURCHARGE)*EXC.RATE_2),CURRENCY.FORMAT_2),CURRENCY.FORMAT_2,0)),'DICTIONARY-5'!$A$2))</f>
        <v/>
      </c>
      <c r="N791" s="544">
        <v>3</v>
      </c>
      <c r="O791" s="544"/>
      <c r="P791" s="732" t="str">
        <f>'DICTIONARY-3'!$A$38</f>
        <v>HADE PRA-G</v>
      </c>
      <c r="Q791" s="732" t="str">
        <f>'DICTIONARY-3'!$A$190</f>
        <v>Zasuwa wrzecionowa</v>
      </c>
      <c r="R791" s="732" t="str">
        <f>CONCATENATE('DICTIONARY-3'!$A$38," ",'DICTIONARY-6'!$A$5," ",'DICTIONARY-2'!$A$2,"400"," ",'DICTIONARY-2'!$A$8,"1250",'DICTIONARY-2'!$A$17,,", ",'DICTIONARY-4'!$A$2)</f>
        <v>HADE PRA-G Zasuwa wrzec. DN400 Tmin1250mm, WW</v>
      </c>
      <c r="S791" s="733" t="str">
        <f>'DICTIONARY-4'!$A$2</f>
        <v>WW</v>
      </c>
      <c r="T791" s="732" t="str">
        <f>'DICTIONARY-4'!$A$18</f>
        <v>Wolny wałek</v>
      </c>
      <c r="U791" s="734" t="s">
        <v>5754</v>
      </c>
      <c r="V791" s="735" t="s">
        <v>5569</v>
      </c>
      <c r="W791" s="736"/>
      <c r="X791" s="737"/>
      <c r="Y791" s="738"/>
      <c r="Z791" s="739">
        <v>1250</v>
      </c>
      <c r="AA791" s="739"/>
      <c r="AB791" s="740" t="s">
        <v>5569</v>
      </c>
      <c r="AC791" s="741" t="s">
        <v>5569</v>
      </c>
      <c r="AD791" s="741" t="s">
        <v>5569</v>
      </c>
      <c r="AE791" s="742" t="s">
        <v>5569</v>
      </c>
      <c r="AF791" s="743">
        <v>30</v>
      </c>
      <c r="AG791" s="741" t="s">
        <v>5569</v>
      </c>
    </row>
    <row r="792" spans="1:33" x14ac:dyDescent="0.25">
      <c r="A792" s="842" t="s">
        <v>747</v>
      </c>
      <c r="B792" s="842" t="s">
        <v>4529</v>
      </c>
      <c r="C792" s="836">
        <v>3296</v>
      </c>
      <c r="D792" s="836"/>
      <c r="E792" s="836"/>
      <c r="F792" s="836"/>
      <c r="G792" s="496" t="s">
        <v>7829</v>
      </c>
      <c r="H792" s="797" t="str">
        <f>VLOOKUP(G792,SETTINGS!$B$7:$D$97,2,0)</f>
        <v>HADE</v>
      </c>
      <c r="I792" s="796">
        <f>VLOOKUP(G792,SETTINGS!$B$7:$D$97,3,0)</f>
        <v>0</v>
      </c>
      <c r="J792" s="670" t="str">
        <f>IFERROR(IF(CURRENCY.FORMAT_1=0,CONCATENATE(TEXT(FIXED(ROUND((C792/EXC.RATE_1),CURRENCY.FORMAT_1),CURRENCY.FORMAT_1,1),"# ##0;-# ##0"),",-"),FIXED(ROUND((C792/EXC.RATE_1),CURRENCY.FORMAT_1),CURRENCY.FORMAT_1,0)),'DICTIONARY-5'!$A$2)</f>
        <v>3 296,-</v>
      </c>
      <c r="K792" s="670" t="str">
        <f>IF(EXC.RATE_2=0,"",IFERROR(IF(CURRENCY.FORMAT_2=0,CONCATENATE(TEXT(FIXED(ROUND(IF(EXC.RATE.SWITCH=1,C792/EXC.RATE_2,C792*EXC.RATE_2),CURRENCY.FORMAT_2),CURRENCY.FORMAT_2,1),"# ##0;-# ##0"),",-"),FIXED(ROUND(IF(EXC.RATE.SWITCH=1,C792/EXC.RATE_2,C792*EXC.RATE_2),CURRENCY.FORMAT_2),CURRENCY.FORMAT_2,0)),'DICTIONARY-5'!$A$2))</f>
        <v/>
      </c>
      <c r="L792" s="670" t="str">
        <f>IFERROR(IF(CURRENCY.FORMAT_1=0,CONCATENATE(TEXT(FIXED(ROUND((C792*(1-I792)*(1-ADD.DISCOUNT)*(1+MAT.SURCHARGE)/EXC.RATE_1),CURRENCY.FORMAT_1),CURRENCY.FORMAT_1,1),"# ##0;-# ##0"),",-"),FIXED(ROUND((C792*(1-I792)*(1-ADD.DISCOUNT)*(1+MAT.SURCHARGE)/EXC.RATE_1),CURRENCY.FORMAT_1),CURRENCY.FORMAT_1,0)),'DICTIONARY-5'!$A$2)</f>
        <v>3 425,-</v>
      </c>
      <c r="M792" s="670" t="str">
        <f>IF(EXC.RATE_2=0,"",IFERROR(IF(CURRENCY.FORMAT_2=0,CONCATENATE(TEXT(FIXED(ROUND(IF(EXC.RATE.SWITCH=1,C792*(1-I792)*(1-ADD.DISCOUNT)*(1+MAT.SURCHARGE)/EXC.RATE_2,C792*(1-I792)*(1-ADD.DISCOUNT)*(1+MAT.SURCHARGE)*EXC.RATE_2),CURRENCY.FORMAT_2),CURRENCY.FORMAT_2,1),"# ##0;-# ##0"),",-"),FIXED(ROUND(IF(EXC.RATE.SWITCH=1,C792*(1-I792)*(1-ADD.DISCOUNT)*(1+MAT.SURCHARGE)/EXC.RATE_2,C792*(1-I792)*(1-ADD.DISCOUNT)*(1+MAT.SURCHARGE)*EXC.RATE_2),CURRENCY.FORMAT_2),CURRENCY.FORMAT_2,0)),'DICTIONARY-5'!$A$2))</f>
        <v/>
      </c>
      <c r="N792" s="544">
        <v>3</v>
      </c>
      <c r="O792" s="544"/>
      <c r="P792" s="732" t="str">
        <f>'DICTIONARY-3'!$A$38</f>
        <v>HADE PRA-G</v>
      </c>
      <c r="Q792" s="732" t="str">
        <f>'DICTIONARY-3'!$A$190</f>
        <v>Zasuwa wrzecionowa</v>
      </c>
      <c r="R792" s="732" t="str">
        <f>CONCATENATE('DICTIONARY-3'!$A$38," ",'DICTIONARY-6'!$A$5," ",'DICTIONARY-2'!$A$2,"500"," ",'DICTIONARY-2'!$A$8,"1450",'DICTIONARY-2'!$A$17,,", ",'DICTIONARY-4'!$A$2)</f>
        <v>HADE PRA-G Zasuwa wrzec. DN500 Tmin1450mm, WW</v>
      </c>
      <c r="S792" s="733" t="str">
        <f>'DICTIONARY-4'!$A$2</f>
        <v>WW</v>
      </c>
      <c r="T792" s="732" t="str">
        <f>'DICTIONARY-4'!$A$18</f>
        <v>Wolny wałek</v>
      </c>
      <c r="U792" s="734" t="s">
        <v>5756</v>
      </c>
      <c r="V792" s="735" t="s">
        <v>5569</v>
      </c>
      <c r="W792" s="736"/>
      <c r="X792" s="737"/>
      <c r="Y792" s="738"/>
      <c r="Z792" s="739">
        <v>1450</v>
      </c>
      <c r="AA792" s="739"/>
      <c r="AB792" s="740" t="s">
        <v>5569</v>
      </c>
      <c r="AC792" s="741" t="s">
        <v>5569</v>
      </c>
      <c r="AD792" s="741" t="s">
        <v>5569</v>
      </c>
      <c r="AE792" s="742" t="s">
        <v>5569</v>
      </c>
      <c r="AF792" s="743">
        <v>102</v>
      </c>
      <c r="AG792" s="741" t="s">
        <v>5569</v>
      </c>
    </row>
    <row r="793" spans="1:33" x14ac:dyDescent="0.25">
      <c r="A793" s="842" t="s">
        <v>749</v>
      </c>
      <c r="B793" s="842" t="s">
        <v>4536</v>
      </c>
      <c r="C793" s="836">
        <v>3883</v>
      </c>
      <c r="D793" s="836"/>
      <c r="E793" s="836"/>
      <c r="F793" s="836"/>
      <c r="G793" s="496" t="s">
        <v>7829</v>
      </c>
      <c r="H793" s="797" t="str">
        <f>VLOOKUP(G793,SETTINGS!$B$7:$D$97,2,0)</f>
        <v>HADE</v>
      </c>
      <c r="I793" s="796">
        <f>VLOOKUP(G793,SETTINGS!$B$7:$D$97,3,0)</f>
        <v>0</v>
      </c>
      <c r="J793" s="670" t="str">
        <f>IFERROR(IF(CURRENCY.FORMAT_1=0,CONCATENATE(TEXT(FIXED(ROUND((C793/EXC.RATE_1),CURRENCY.FORMAT_1),CURRENCY.FORMAT_1,1),"# ##0;-# ##0"),",-"),FIXED(ROUND((C793/EXC.RATE_1),CURRENCY.FORMAT_1),CURRENCY.FORMAT_1,0)),'DICTIONARY-5'!$A$2)</f>
        <v>3 883,-</v>
      </c>
      <c r="K793" s="670" t="str">
        <f>IF(EXC.RATE_2=0,"",IFERROR(IF(CURRENCY.FORMAT_2=0,CONCATENATE(TEXT(FIXED(ROUND(IF(EXC.RATE.SWITCH=1,C793/EXC.RATE_2,C793*EXC.RATE_2),CURRENCY.FORMAT_2),CURRENCY.FORMAT_2,1),"# ##0;-# ##0"),",-"),FIXED(ROUND(IF(EXC.RATE.SWITCH=1,C793/EXC.RATE_2,C793*EXC.RATE_2),CURRENCY.FORMAT_2),CURRENCY.FORMAT_2,0)),'DICTIONARY-5'!$A$2))</f>
        <v/>
      </c>
      <c r="L793" s="670" t="str">
        <f>IFERROR(IF(CURRENCY.FORMAT_1=0,CONCATENATE(TEXT(FIXED(ROUND((C793*(1-I793)*(1-ADD.DISCOUNT)*(1+MAT.SURCHARGE)/EXC.RATE_1),CURRENCY.FORMAT_1),CURRENCY.FORMAT_1,1),"# ##0;-# ##0"),",-"),FIXED(ROUND((C793*(1-I793)*(1-ADD.DISCOUNT)*(1+MAT.SURCHARGE)/EXC.RATE_1),CURRENCY.FORMAT_1),CURRENCY.FORMAT_1,0)),'DICTIONARY-5'!$A$2)</f>
        <v>4 034,-</v>
      </c>
      <c r="M793" s="670" t="str">
        <f>IF(EXC.RATE_2=0,"",IFERROR(IF(CURRENCY.FORMAT_2=0,CONCATENATE(TEXT(FIXED(ROUND(IF(EXC.RATE.SWITCH=1,C793*(1-I793)*(1-ADD.DISCOUNT)*(1+MAT.SURCHARGE)/EXC.RATE_2,C793*(1-I793)*(1-ADD.DISCOUNT)*(1+MAT.SURCHARGE)*EXC.RATE_2),CURRENCY.FORMAT_2),CURRENCY.FORMAT_2,1),"# ##0;-# ##0"),",-"),FIXED(ROUND(IF(EXC.RATE.SWITCH=1,C793*(1-I793)*(1-ADD.DISCOUNT)*(1+MAT.SURCHARGE)/EXC.RATE_2,C793*(1-I793)*(1-ADD.DISCOUNT)*(1+MAT.SURCHARGE)*EXC.RATE_2),CURRENCY.FORMAT_2),CURRENCY.FORMAT_2,0)),'DICTIONARY-5'!$A$2))</f>
        <v/>
      </c>
      <c r="N793" s="544">
        <v>3</v>
      </c>
      <c r="O793" s="544"/>
      <c r="P793" s="732" t="str">
        <f>'DICTIONARY-3'!$A$38</f>
        <v>HADE PRA-G</v>
      </c>
      <c r="Q793" s="732" t="str">
        <f>'DICTIONARY-3'!$A$190</f>
        <v>Zasuwa wrzecionowa</v>
      </c>
      <c r="R793" s="732" t="str">
        <f>CONCATENATE('DICTIONARY-3'!$A$38," ",'DICTIONARY-6'!$A$5," ",'DICTIONARY-2'!$A$2,"600"," ",'DICTIONARY-2'!$A$8,"1650",'DICTIONARY-2'!$A$17,,", ",'DICTIONARY-4'!$A$2)</f>
        <v>HADE PRA-G Zasuwa wrzec. DN600 Tmin1650mm, WW</v>
      </c>
      <c r="S793" s="733" t="str">
        <f>'DICTIONARY-4'!$A$2</f>
        <v>WW</v>
      </c>
      <c r="T793" s="732" t="str">
        <f>'DICTIONARY-4'!$A$18</f>
        <v>Wolny wałek</v>
      </c>
      <c r="U793" s="734" t="s">
        <v>5757</v>
      </c>
      <c r="V793" s="735" t="s">
        <v>5569</v>
      </c>
      <c r="W793" s="736"/>
      <c r="X793" s="737"/>
      <c r="Y793" s="738"/>
      <c r="Z793" s="739">
        <v>1650</v>
      </c>
      <c r="AA793" s="739"/>
      <c r="AB793" s="740" t="s">
        <v>5569</v>
      </c>
      <c r="AC793" s="741" t="s">
        <v>5569</v>
      </c>
      <c r="AD793" s="741" t="s">
        <v>5569</v>
      </c>
      <c r="AE793" s="742" t="s">
        <v>5569</v>
      </c>
      <c r="AF793" s="743">
        <v>76</v>
      </c>
      <c r="AG793" s="741" t="s">
        <v>5569</v>
      </c>
    </row>
    <row r="794" spans="1:33" x14ac:dyDescent="0.25">
      <c r="A794" s="842" t="s">
        <v>751</v>
      </c>
      <c r="B794" s="842" t="s">
        <v>4543</v>
      </c>
      <c r="C794" s="836">
        <v>4536</v>
      </c>
      <c r="D794" s="836"/>
      <c r="E794" s="836"/>
      <c r="F794" s="836"/>
      <c r="G794" s="496" t="s">
        <v>7829</v>
      </c>
      <c r="H794" s="797" t="str">
        <f>VLOOKUP(G794,SETTINGS!$B$7:$D$97,2,0)</f>
        <v>HADE</v>
      </c>
      <c r="I794" s="796">
        <f>VLOOKUP(G794,SETTINGS!$B$7:$D$97,3,0)</f>
        <v>0</v>
      </c>
      <c r="J794" s="670" t="str">
        <f>IFERROR(IF(CURRENCY.FORMAT_1=0,CONCATENATE(TEXT(FIXED(ROUND((C794/EXC.RATE_1),CURRENCY.FORMAT_1),CURRENCY.FORMAT_1,1),"# ##0;-# ##0"),",-"),FIXED(ROUND((C794/EXC.RATE_1),CURRENCY.FORMAT_1),CURRENCY.FORMAT_1,0)),'DICTIONARY-5'!$A$2)</f>
        <v>4 536,-</v>
      </c>
      <c r="K794" s="670" t="str">
        <f>IF(EXC.RATE_2=0,"",IFERROR(IF(CURRENCY.FORMAT_2=0,CONCATENATE(TEXT(FIXED(ROUND(IF(EXC.RATE.SWITCH=1,C794/EXC.RATE_2,C794*EXC.RATE_2),CURRENCY.FORMAT_2),CURRENCY.FORMAT_2,1),"# ##0;-# ##0"),",-"),FIXED(ROUND(IF(EXC.RATE.SWITCH=1,C794/EXC.RATE_2,C794*EXC.RATE_2),CURRENCY.FORMAT_2),CURRENCY.FORMAT_2,0)),'DICTIONARY-5'!$A$2))</f>
        <v/>
      </c>
      <c r="L794" s="670" t="str">
        <f>IFERROR(IF(CURRENCY.FORMAT_1=0,CONCATENATE(TEXT(FIXED(ROUND((C794*(1-I794)*(1-ADD.DISCOUNT)*(1+MAT.SURCHARGE)/EXC.RATE_1),CURRENCY.FORMAT_1),CURRENCY.FORMAT_1,1),"# ##0;-# ##0"),",-"),FIXED(ROUND((C794*(1-I794)*(1-ADD.DISCOUNT)*(1+MAT.SURCHARGE)/EXC.RATE_1),CURRENCY.FORMAT_1),CURRENCY.FORMAT_1,0)),'DICTIONARY-5'!$A$2)</f>
        <v>4 713,-</v>
      </c>
      <c r="M794" s="670" t="str">
        <f>IF(EXC.RATE_2=0,"",IFERROR(IF(CURRENCY.FORMAT_2=0,CONCATENATE(TEXT(FIXED(ROUND(IF(EXC.RATE.SWITCH=1,C794*(1-I794)*(1-ADD.DISCOUNT)*(1+MAT.SURCHARGE)/EXC.RATE_2,C794*(1-I794)*(1-ADD.DISCOUNT)*(1+MAT.SURCHARGE)*EXC.RATE_2),CURRENCY.FORMAT_2),CURRENCY.FORMAT_2,1),"# ##0;-# ##0"),",-"),FIXED(ROUND(IF(EXC.RATE.SWITCH=1,C794*(1-I794)*(1-ADD.DISCOUNT)*(1+MAT.SURCHARGE)/EXC.RATE_2,C794*(1-I794)*(1-ADD.DISCOUNT)*(1+MAT.SURCHARGE)*EXC.RATE_2),CURRENCY.FORMAT_2),CURRENCY.FORMAT_2,0)),'DICTIONARY-5'!$A$2))</f>
        <v/>
      </c>
      <c r="N794" s="544">
        <v>3</v>
      </c>
      <c r="O794" s="544"/>
      <c r="P794" s="732" t="str">
        <f>'DICTIONARY-3'!$A$38</f>
        <v>HADE PRA-G</v>
      </c>
      <c r="Q794" s="732" t="str">
        <f>'DICTIONARY-3'!$A$190</f>
        <v>Zasuwa wrzecionowa</v>
      </c>
      <c r="R794" s="732" t="str">
        <f>CONCATENATE('DICTIONARY-3'!$A$38," ",'DICTIONARY-6'!$A$5," ",'DICTIONARY-2'!$A$2,"700"," ",'DICTIONARY-2'!$A$8,"1850",'DICTIONARY-2'!$A$17,,", ",'DICTIONARY-4'!$A$2)</f>
        <v>HADE PRA-G Zasuwa wrzec. DN700 Tmin1850mm, WW</v>
      </c>
      <c r="S794" s="733" t="str">
        <f>'DICTIONARY-4'!$A$2</f>
        <v>WW</v>
      </c>
      <c r="T794" s="732" t="str">
        <f>'DICTIONARY-4'!$A$18</f>
        <v>Wolny wałek</v>
      </c>
      <c r="U794" s="734" t="s">
        <v>5834</v>
      </c>
      <c r="V794" s="735" t="s">
        <v>5569</v>
      </c>
      <c r="W794" s="736"/>
      <c r="X794" s="737"/>
      <c r="Y794" s="738"/>
      <c r="Z794" s="739">
        <v>1850</v>
      </c>
      <c r="AA794" s="739"/>
      <c r="AB794" s="740" t="s">
        <v>5569</v>
      </c>
      <c r="AC794" s="741" t="s">
        <v>5569</v>
      </c>
      <c r="AD794" s="741" t="s">
        <v>5569</v>
      </c>
      <c r="AE794" s="742" t="s">
        <v>5569</v>
      </c>
      <c r="AF794" s="743">
        <v>175</v>
      </c>
      <c r="AG794" s="741" t="s">
        <v>5569</v>
      </c>
    </row>
    <row r="795" spans="1:33" x14ac:dyDescent="0.25">
      <c r="A795" s="842" t="s">
        <v>752</v>
      </c>
      <c r="B795" s="842" t="s">
        <v>4549</v>
      </c>
      <c r="C795" s="836">
        <v>4799</v>
      </c>
      <c r="D795" s="836"/>
      <c r="E795" s="836"/>
      <c r="F795" s="836"/>
      <c r="G795" s="496" t="s">
        <v>7829</v>
      </c>
      <c r="H795" s="797" t="str">
        <f>VLOOKUP(G795,SETTINGS!$B$7:$D$97,2,0)</f>
        <v>HADE</v>
      </c>
      <c r="I795" s="796">
        <f>VLOOKUP(G795,SETTINGS!$B$7:$D$97,3,0)</f>
        <v>0</v>
      </c>
      <c r="J795" s="670" t="str">
        <f>IFERROR(IF(CURRENCY.FORMAT_1=0,CONCATENATE(TEXT(FIXED(ROUND((C795/EXC.RATE_1),CURRENCY.FORMAT_1),CURRENCY.FORMAT_1,1),"# ##0;-# ##0"),",-"),FIXED(ROUND((C795/EXC.RATE_1),CURRENCY.FORMAT_1),CURRENCY.FORMAT_1,0)),'DICTIONARY-5'!$A$2)</f>
        <v>4 799,-</v>
      </c>
      <c r="K795" s="670" t="str">
        <f>IF(EXC.RATE_2=0,"",IFERROR(IF(CURRENCY.FORMAT_2=0,CONCATENATE(TEXT(FIXED(ROUND(IF(EXC.RATE.SWITCH=1,C795/EXC.RATE_2,C795*EXC.RATE_2),CURRENCY.FORMAT_2),CURRENCY.FORMAT_2,1),"# ##0;-# ##0"),",-"),FIXED(ROUND(IF(EXC.RATE.SWITCH=1,C795/EXC.RATE_2,C795*EXC.RATE_2),CURRENCY.FORMAT_2),CURRENCY.FORMAT_2,0)),'DICTIONARY-5'!$A$2))</f>
        <v/>
      </c>
      <c r="L795" s="670" t="str">
        <f>IFERROR(IF(CURRENCY.FORMAT_1=0,CONCATENATE(TEXT(FIXED(ROUND((C795*(1-I795)*(1-ADD.DISCOUNT)*(1+MAT.SURCHARGE)/EXC.RATE_1),CURRENCY.FORMAT_1),CURRENCY.FORMAT_1,1),"# ##0;-# ##0"),",-"),FIXED(ROUND((C795*(1-I795)*(1-ADD.DISCOUNT)*(1+MAT.SURCHARGE)/EXC.RATE_1),CURRENCY.FORMAT_1),CURRENCY.FORMAT_1,0)),'DICTIONARY-5'!$A$2)</f>
        <v>4 986,-</v>
      </c>
      <c r="M795" s="670" t="str">
        <f>IF(EXC.RATE_2=0,"",IFERROR(IF(CURRENCY.FORMAT_2=0,CONCATENATE(TEXT(FIXED(ROUND(IF(EXC.RATE.SWITCH=1,C795*(1-I795)*(1-ADD.DISCOUNT)*(1+MAT.SURCHARGE)/EXC.RATE_2,C795*(1-I795)*(1-ADD.DISCOUNT)*(1+MAT.SURCHARGE)*EXC.RATE_2),CURRENCY.FORMAT_2),CURRENCY.FORMAT_2,1),"# ##0;-# ##0"),",-"),FIXED(ROUND(IF(EXC.RATE.SWITCH=1,C795*(1-I795)*(1-ADD.DISCOUNT)*(1+MAT.SURCHARGE)/EXC.RATE_2,C795*(1-I795)*(1-ADD.DISCOUNT)*(1+MAT.SURCHARGE)*EXC.RATE_2),CURRENCY.FORMAT_2),CURRENCY.FORMAT_2,0)),'DICTIONARY-5'!$A$2))</f>
        <v/>
      </c>
      <c r="N795" s="544">
        <v>3</v>
      </c>
      <c r="O795" s="544"/>
      <c r="P795" s="732" t="str">
        <f>'DICTIONARY-3'!$A$38</f>
        <v>HADE PRA-G</v>
      </c>
      <c r="Q795" s="732" t="str">
        <f>'DICTIONARY-3'!$A$190</f>
        <v>Zasuwa wrzecionowa</v>
      </c>
      <c r="R795" s="732" t="str">
        <f>CONCATENATE('DICTIONARY-3'!$A$38," ",'DICTIONARY-6'!$A$5," ",'DICTIONARY-2'!$A$2,"800"," ",'DICTIONARY-2'!$A$8,"2050",'DICTIONARY-2'!$A$17,,", ",'DICTIONARY-4'!$A$2)</f>
        <v>HADE PRA-G Zasuwa wrzec. DN800 Tmin2050mm, WW</v>
      </c>
      <c r="S795" s="733" t="str">
        <f>'DICTIONARY-4'!$A$2</f>
        <v>WW</v>
      </c>
      <c r="T795" s="732" t="str">
        <f>'DICTIONARY-4'!$A$18</f>
        <v>Wolny wałek</v>
      </c>
      <c r="U795" s="734" t="s">
        <v>5835</v>
      </c>
      <c r="V795" s="735" t="s">
        <v>5569</v>
      </c>
      <c r="W795" s="736"/>
      <c r="X795" s="737"/>
      <c r="Y795" s="738"/>
      <c r="Z795" s="739">
        <v>2050</v>
      </c>
      <c r="AA795" s="739"/>
      <c r="AB795" s="740" t="s">
        <v>5569</v>
      </c>
      <c r="AC795" s="741" t="s">
        <v>5569</v>
      </c>
      <c r="AD795" s="741" t="s">
        <v>5569</v>
      </c>
      <c r="AE795" s="742" t="s">
        <v>5569</v>
      </c>
      <c r="AF795" s="743">
        <v>106</v>
      </c>
      <c r="AG795" s="741" t="s">
        <v>5569</v>
      </c>
    </row>
    <row r="796" spans="1:33" x14ac:dyDescent="0.25">
      <c r="A796" s="842" t="s">
        <v>754</v>
      </c>
      <c r="B796" s="842" t="s">
        <v>4555</v>
      </c>
      <c r="C796" s="836">
        <v>5381</v>
      </c>
      <c r="D796" s="836"/>
      <c r="E796" s="836"/>
      <c r="F796" s="836"/>
      <c r="G796" s="496" t="s">
        <v>7829</v>
      </c>
      <c r="H796" s="797" t="str">
        <f>VLOOKUP(G796,SETTINGS!$B$7:$D$97,2,0)</f>
        <v>HADE</v>
      </c>
      <c r="I796" s="796">
        <f>VLOOKUP(G796,SETTINGS!$B$7:$D$97,3,0)</f>
        <v>0</v>
      </c>
      <c r="J796" s="670" t="str">
        <f>IFERROR(IF(CURRENCY.FORMAT_1=0,CONCATENATE(TEXT(FIXED(ROUND((C796/EXC.RATE_1),CURRENCY.FORMAT_1),CURRENCY.FORMAT_1,1),"# ##0;-# ##0"),",-"),FIXED(ROUND((C796/EXC.RATE_1),CURRENCY.FORMAT_1),CURRENCY.FORMAT_1,0)),'DICTIONARY-5'!$A$2)</f>
        <v>5 381,-</v>
      </c>
      <c r="K796" s="670" t="str">
        <f>IF(EXC.RATE_2=0,"",IFERROR(IF(CURRENCY.FORMAT_2=0,CONCATENATE(TEXT(FIXED(ROUND(IF(EXC.RATE.SWITCH=1,C796/EXC.RATE_2,C796*EXC.RATE_2),CURRENCY.FORMAT_2),CURRENCY.FORMAT_2,1),"# ##0;-# ##0"),",-"),FIXED(ROUND(IF(EXC.RATE.SWITCH=1,C796/EXC.RATE_2,C796*EXC.RATE_2),CURRENCY.FORMAT_2),CURRENCY.FORMAT_2,0)),'DICTIONARY-5'!$A$2))</f>
        <v/>
      </c>
      <c r="L796" s="670" t="str">
        <f>IFERROR(IF(CURRENCY.FORMAT_1=0,CONCATENATE(TEXT(FIXED(ROUND((C796*(1-I796)*(1-ADD.DISCOUNT)*(1+MAT.SURCHARGE)/EXC.RATE_1),CURRENCY.FORMAT_1),CURRENCY.FORMAT_1,1),"# ##0;-# ##0"),",-"),FIXED(ROUND((C796*(1-I796)*(1-ADD.DISCOUNT)*(1+MAT.SURCHARGE)/EXC.RATE_1),CURRENCY.FORMAT_1),CURRENCY.FORMAT_1,0)),'DICTIONARY-5'!$A$2)</f>
        <v>5 591,-</v>
      </c>
      <c r="M796" s="670" t="str">
        <f>IF(EXC.RATE_2=0,"",IFERROR(IF(CURRENCY.FORMAT_2=0,CONCATENATE(TEXT(FIXED(ROUND(IF(EXC.RATE.SWITCH=1,C796*(1-I796)*(1-ADD.DISCOUNT)*(1+MAT.SURCHARGE)/EXC.RATE_2,C796*(1-I796)*(1-ADD.DISCOUNT)*(1+MAT.SURCHARGE)*EXC.RATE_2),CURRENCY.FORMAT_2),CURRENCY.FORMAT_2,1),"# ##0;-# ##0"),",-"),FIXED(ROUND(IF(EXC.RATE.SWITCH=1,C796*(1-I796)*(1-ADD.DISCOUNT)*(1+MAT.SURCHARGE)/EXC.RATE_2,C796*(1-I796)*(1-ADD.DISCOUNT)*(1+MAT.SURCHARGE)*EXC.RATE_2),CURRENCY.FORMAT_2),CURRENCY.FORMAT_2,0)),'DICTIONARY-5'!$A$2))</f>
        <v/>
      </c>
      <c r="N796" s="544">
        <v>3</v>
      </c>
      <c r="O796" s="544"/>
      <c r="P796" s="732" t="str">
        <f>'DICTIONARY-3'!$A$38</f>
        <v>HADE PRA-G</v>
      </c>
      <c r="Q796" s="732" t="str">
        <f>'DICTIONARY-3'!$A$190</f>
        <v>Zasuwa wrzecionowa</v>
      </c>
      <c r="R796" s="732" t="str">
        <f>CONCATENATE('DICTIONARY-3'!$A$38," ",'DICTIONARY-6'!$A$5," ",'DICTIONARY-2'!$A$2,"900"," ",'DICTIONARY-2'!$A$8,"2250",'DICTIONARY-2'!$A$17,,", ",'DICTIONARY-4'!$A$2)</f>
        <v>HADE PRA-G Zasuwa wrzec. DN900 Tmin2250mm, WW</v>
      </c>
      <c r="S796" s="733" t="str">
        <f>'DICTIONARY-4'!$A$2</f>
        <v>WW</v>
      </c>
      <c r="T796" s="732" t="str">
        <f>'DICTIONARY-4'!$A$18</f>
        <v>Wolny wałek</v>
      </c>
      <c r="U796" s="734" t="s">
        <v>5837</v>
      </c>
      <c r="V796" s="735" t="s">
        <v>5569</v>
      </c>
      <c r="W796" s="736"/>
      <c r="X796" s="737"/>
      <c r="Y796" s="738"/>
      <c r="Z796" s="739">
        <v>2250</v>
      </c>
      <c r="AA796" s="739"/>
      <c r="AB796" s="740" t="s">
        <v>5569</v>
      </c>
      <c r="AC796" s="741" t="s">
        <v>5569</v>
      </c>
      <c r="AD796" s="741" t="s">
        <v>5569</v>
      </c>
      <c r="AE796" s="742" t="s">
        <v>5569</v>
      </c>
      <c r="AF796" s="743">
        <v>200</v>
      </c>
      <c r="AG796" s="741" t="s">
        <v>5569</v>
      </c>
    </row>
    <row r="797" spans="1:33" x14ac:dyDescent="0.25">
      <c r="A797" s="842" t="s">
        <v>756</v>
      </c>
      <c r="B797" s="842" t="s">
        <v>4561</v>
      </c>
      <c r="C797" s="836">
        <v>6808</v>
      </c>
      <c r="D797" s="836"/>
      <c r="E797" s="836"/>
      <c r="F797" s="836"/>
      <c r="G797" s="496" t="s">
        <v>7829</v>
      </c>
      <c r="H797" s="797" t="str">
        <f>VLOOKUP(G797,SETTINGS!$B$7:$D$97,2,0)</f>
        <v>HADE</v>
      </c>
      <c r="I797" s="796">
        <f>VLOOKUP(G797,SETTINGS!$B$7:$D$97,3,0)</f>
        <v>0</v>
      </c>
      <c r="J797" s="670" t="str">
        <f>IFERROR(IF(CURRENCY.FORMAT_1=0,CONCATENATE(TEXT(FIXED(ROUND((C797/EXC.RATE_1),CURRENCY.FORMAT_1),CURRENCY.FORMAT_1,1),"# ##0;-# ##0"),",-"),FIXED(ROUND((C797/EXC.RATE_1),CURRENCY.FORMAT_1),CURRENCY.FORMAT_1,0)),'DICTIONARY-5'!$A$2)</f>
        <v>6 808,-</v>
      </c>
      <c r="K797" s="670" t="str">
        <f>IF(EXC.RATE_2=0,"",IFERROR(IF(CURRENCY.FORMAT_2=0,CONCATENATE(TEXT(FIXED(ROUND(IF(EXC.RATE.SWITCH=1,C797/EXC.RATE_2,C797*EXC.RATE_2),CURRENCY.FORMAT_2),CURRENCY.FORMAT_2,1),"# ##0;-# ##0"),",-"),FIXED(ROUND(IF(EXC.RATE.SWITCH=1,C797/EXC.RATE_2,C797*EXC.RATE_2),CURRENCY.FORMAT_2),CURRENCY.FORMAT_2,0)),'DICTIONARY-5'!$A$2))</f>
        <v/>
      </c>
      <c r="L797" s="670" t="str">
        <f>IFERROR(IF(CURRENCY.FORMAT_1=0,CONCATENATE(TEXT(FIXED(ROUND((C797*(1-I797)*(1-ADD.DISCOUNT)*(1+MAT.SURCHARGE)/EXC.RATE_1),CURRENCY.FORMAT_1),CURRENCY.FORMAT_1,1),"# ##0;-# ##0"),",-"),FIXED(ROUND((C797*(1-I797)*(1-ADD.DISCOUNT)*(1+MAT.SURCHARGE)/EXC.RATE_1),CURRENCY.FORMAT_1),CURRENCY.FORMAT_1,0)),'DICTIONARY-5'!$A$2)</f>
        <v>7 074,-</v>
      </c>
      <c r="M797" s="670" t="str">
        <f>IF(EXC.RATE_2=0,"",IFERROR(IF(CURRENCY.FORMAT_2=0,CONCATENATE(TEXT(FIXED(ROUND(IF(EXC.RATE.SWITCH=1,C797*(1-I797)*(1-ADD.DISCOUNT)*(1+MAT.SURCHARGE)/EXC.RATE_2,C797*(1-I797)*(1-ADD.DISCOUNT)*(1+MAT.SURCHARGE)*EXC.RATE_2),CURRENCY.FORMAT_2),CURRENCY.FORMAT_2,1),"# ##0;-# ##0"),",-"),FIXED(ROUND(IF(EXC.RATE.SWITCH=1,C797*(1-I797)*(1-ADD.DISCOUNT)*(1+MAT.SURCHARGE)/EXC.RATE_2,C797*(1-I797)*(1-ADD.DISCOUNT)*(1+MAT.SURCHARGE)*EXC.RATE_2),CURRENCY.FORMAT_2),CURRENCY.FORMAT_2,0)),'DICTIONARY-5'!$A$2))</f>
        <v/>
      </c>
      <c r="N797" s="544">
        <v>3</v>
      </c>
      <c r="O797" s="544"/>
      <c r="P797" s="732" t="str">
        <f>'DICTIONARY-3'!$A$38</f>
        <v>HADE PRA-G</v>
      </c>
      <c r="Q797" s="732" t="str">
        <f>'DICTIONARY-3'!$A$190</f>
        <v>Zasuwa wrzecionowa</v>
      </c>
      <c r="R797" s="732" t="str">
        <f>CONCATENATE('DICTIONARY-3'!$A$38," ",'DICTIONARY-6'!$A$5," ",'DICTIONARY-2'!$A$2,"1000"," ",'DICTIONARY-2'!$A$8,"2500",'DICTIONARY-2'!$A$17,,", ",'DICTIONARY-4'!$A$2)</f>
        <v>HADE PRA-G Zasuwa wrzec. DN1000 Tmin2500mm, WW</v>
      </c>
      <c r="S797" s="733" t="str">
        <f>'DICTIONARY-4'!$A$2</f>
        <v>WW</v>
      </c>
      <c r="T797" s="732" t="str">
        <f>'DICTIONARY-4'!$A$18</f>
        <v>Wolny wałek</v>
      </c>
      <c r="U797" s="734" t="s">
        <v>5836</v>
      </c>
      <c r="V797" s="735" t="s">
        <v>5569</v>
      </c>
      <c r="W797" s="736"/>
      <c r="X797" s="737"/>
      <c r="Y797" s="738"/>
      <c r="Z797" s="739">
        <v>2500</v>
      </c>
      <c r="AA797" s="739"/>
      <c r="AB797" s="740" t="s">
        <v>5569</v>
      </c>
      <c r="AC797" s="741" t="s">
        <v>5569</v>
      </c>
      <c r="AD797" s="741" t="s">
        <v>5569</v>
      </c>
      <c r="AE797" s="742" t="s">
        <v>5569</v>
      </c>
      <c r="AF797" s="743">
        <v>169</v>
      </c>
      <c r="AG797" s="741" t="s">
        <v>5569</v>
      </c>
    </row>
    <row r="798" spans="1:33" x14ac:dyDescent="0.25">
      <c r="A798" s="842" t="s">
        <v>758</v>
      </c>
      <c r="B798" s="842" t="s">
        <v>4567</v>
      </c>
      <c r="C798" s="836">
        <v>9452</v>
      </c>
      <c r="D798" s="836"/>
      <c r="E798" s="836"/>
      <c r="F798" s="836"/>
      <c r="G798" s="496" t="s">
        <v>7829</v>
      </c>
      <c r="H798" s="797" t="str">
        <f>VLOOKUP(G798,SETTINGS!$B$7:$D$97,2,0)</f>
        <v>HADE</v>
      </c>
      <c r="I798" s="796">
        <f>VLOOKUP(G798,SETTINGS!$B$7:$D$97,3,0)</f>
        <v>0</v>
      </c>
      <c r="J798" s="670" t="str">
        <f>IFERROR(IF(CURRENCY.FORMAT_1=0,CONCATENATE(TEXT(FIXED(ROUND((C798/EXC.RATE_1),CURRENCY.FORMAT_1),CURRENCY.FORMAT_1,1),"# ##0;-# ##0"),",-"),FIXED(ROUND((C798/EXC.RATE_1),CURRENCY.FORMAT_1),CURRENCY.FORMAT_1,0)),'DICTIONARY-5'!$A$2)</f>
        <v>9 452,-</v>
      </c>
      <c r="K798" s="670" t="str">
        <f>IF(EXC.RATE_2=0,"",IFERROR(IF(CURRENCY.FORMAT_2=0,CONCATENATE(TEXT(FIXED(ROUND(IF(EXC.RATE.SWITCH=1,C798/EXC.RATE_2,C798*EXC.RATE_2),CURRENCY.FORMAT_2),CURRENCY.FORMAT_2,1),"# ##0;-# ##0"),",-"),FIXED(ROUND(IF(EXC.RATE.SWITCH=1,C798/EXC.RATE_2,C798*EXC.RATE_2),CURRENCY.FORMAT_2),CURRENCY.FORMAT_2,0)),'DICTIONARY-5'!$A$2))</f>
        <v/>
      </c>
      <c r="L798" s="670" t="str">
        <f>IFERROR(IF(CURRENCY.FORMAT_1=0,CONCATENATE(TEXT(FIXED(ROUND((C798*(1-I798)*(1-ADD.DISCOUNT)*(1+MAT.SURCHARGE)/EXC.RATE_1),CURRENCY.FORMAT_1),CURRENCY.FORMAT_1,1),"# ##0;-# ##0"),",-"),FIXED(ROUND((C798*(1-I798)*(1-ADD.DISCOUNT)*(1+MAT.SURCHARGE)/EXC.RATE_1),CURRENCY.FORMAT_1),CURRENCY.FORMAT_1,0)),'DICTIONARY-5'!$A$2)</f>
        <v>9 821,-</v>
      </c>
      <c r="M798" s="670" t="str">
        <f>IF(EXC.RATE_2=0,"",IFERROR(IF(CURRENCY.FORMAT_2=0,CONCATENATE(TEXT(FIXED(ROUND(IF(EXC.RATE.SWITCH=1,C798*(1-I798)*(1-ADD.DISCOUNT)*(1+MAT.SURCHARGE)/EXC.RATE_2,C798*(1-I798)*(1-ADD.DISCOUNT)*(1+MAT.SURCHARGE)*EXC.RATE_2),CURRENCY.FORMAT_2),CURRENCY.FORMAT_2,1),"# ##0;-# ##0"),",-"),FIXED(ROUND(IF(EXC.RATE.SWITCH=1,C798*(1-I798)*(1-ADD.DISCOUNT)*(1+MAT.SURCHARGE)/EXC.RATE_2,C798*(1-I798)*(1-ADD.DISCOUNT)*(1+MAT.SURCHARGE)*EXC.RATE_2),CURRENCY.FORMAT_2),CURRENCY.FORMAT_2,0)),'DICTIONARY-5'!$A$2))</f>
        <v/>
      </c>
      <c r="N798" s="544">
        <v>3</v>
      </c>
      <c r="O798" s="544"/>
      <c r="P798" s="732" t="str">
        <f>'DICTIONARY-3'!$A$38</f>
        <v>HADE PRA-G</v>
      </c>
      <c r="Q798" s="732" t="str">
        <f>'DICTIONARY-3'!$A$190</f>
        <v>Zasuwa wrzecionowa</v>
      </c>
      <c r="R798" s="732" t="str">
        <f>CONCATENATE('DICTIONARY-3'!$A$38," ",'DICTIONARY-6'!$A$5," ",'DICTIONARY-2'!$A$2,"1100"," ",'DICTIONARY-2'!$A$8,"2700",'DICTIONARY-2'!$A$17,,", ",'DICTIONARY-4'!$A$2)</f>
        <v>HADE PRA-G Zasuwa wrzec. DN1100 Tmin2700mm, WW</v>
      </c>
      <c r="S798" s="733" t="str">
        <f>'DICTIONARY-4'!$A$2</f>
        <v>WW</v>
      </c>
      <c r="T798" s="732" t="str">
        <f>'DICTIONARY-4'!$A$18</f>
        <v>Wolny wałek</v>
      </c>
      <c r="U798" s="734" t="s">
        <v>5843</v>
      </c>
      <c r="V798" s="735" t="s">
        <v>5569</v>
      </c>
      <c r="W798" s="736"/>
      <c r="X798" s="737"/>
      <c r="Y798" s="738"/>
      <c r="Z798" s="739">
        <v>2700</v>
      </c>
      <c r="AA798" s="739"/>
      <c r="AB798" s="740" t="s">
        <v>5569</v>
      </c>
      <c r="AC798" s="741" t="s">
        <v>5569</v>
      </c>
      <c r="AD798" s="741" t="s">
        <v>5569</v>
      </c>
      <c r="AE798" s="742" t="s">
        <v>5569</v>
      </c>
      <c r="AF798" s="743">
        <v>225</v>
      </c>
      <c r="AG798" s="741" t="s">
        <v>5569</v>
      </c>
    </row>
    <row r="799" spans="1:33" x14ac:dyDescent="0.25">
      <c r="A799" s="842" t="s">
        <v>760</v>
      </c>
      <c r="B799" s="842" t="s">
        <v>4572</v>
      </c>
      <c r="C799" s="836">
        <v>5323</v>
      </c>
      <c r="D799" s="836"/>
      <c r="E799" s="836"/>
      <c r="F799" s="836"/>
      <c r="G799" s="496" t="s">
        <v>7829</v>
      </c>
      <c r="H799" s="797" t="str">
        <f>VLOOKUP(G799,SETTINGS!$B$7:$D$97,2,0)</f>
        <v>HADE</v>
      </c>
      <c r="I799" s="796">
        <f>VLOOKUP(G799,SETTINGS!$B$7:$D$97,3,0)</f>
        <v>0</v>
      </c>
      <c r="J799" s="670" t="str">
        <f>IFERROR(IF(CURRENCY.FORMAT_1=0,CONCATENATE(TEXT(FIXED(ROUND((C799/EXC.RATE_1),CURRENCY.FORMAT_1),CURRENCY.FORMAT_1,1),"# ##0;-# ##0"),",-"),FIXED(ROUND((C799/EXC.RATE_1),CURRENCY.FORMAT_1),CURRENCY.FORMAT_1,0)),'DICTIONARY-5'!$A$2)</f>
        <v>5 323,-</v>
      </c>
      <c r="K799" s="670" t="str">
        <f>IF(EXC.RATE_2=0,"",IFERROR(IF(CURRENCY.FORMAT_2=0,CONCATENATE(TEXT(FIXED(ROUND(IF(EXC.RATE.SWITCH=1,C799/EXC.RATE_2,C799*EXC.RATE_2),CURRENCY.FORMAT_2),CURRENCY.FORMAT_2,1),"# ##0;-# ##0"),",-"),FIXED(ROUND(IF(EXC.RATE.SWITCH=1,C799/EXC.RATE_2,C799*EXC.RATE_2),CURRENCY.FORMAT_2),CURRENCY.FORMAT_2,0)),'DICTIONARY-5'!$A$2))</f>
        <v/>
      </c>
      <c r="L799" s="670" t="str">
        <f>IFERROR(IF(CURRENCY.FORMAT_1=0,CONCATENATE(TEXT(FIXED(ROUND((C799*(1-I799)*(1-ADD.DISCOUNT)*(1+MAT.SURCHARGE)/EXC.RATE_1),CURRENCY.FORMAT_1),CURRENCY.FORMAT_1,1),"# ##0;-# ##0"),",-"),FIXED(ROUND((C799*(1-I799)*(1-ADD.DISCOUNT)*(1+MAT.SURCHARGE)/EXC.RATE_1),CURRENCY.FORMAT_1),CURRENCY.FORMAT_1,0)),'DICTIONARY-5'!$A$2)</f>
        <v>5 531,-</v>
      </c>
      <c r="M799" s="670" t="str">
        <f>IF(EXC.RATE_2=0,"",IFERROR(IF(CURRENCY.FORMAT_2=0,CONCATENATE(TEXT(FIXED(ROUND(IF(EXC.RATE.SWITCH=1,C799*(1-I799)*(1-ADD.DISCOUNT)*(1+MAT.SURCHARGE)/EXC.RATE_2,C799*(1-I799)*(1-ADD.DISCOUNT)*(1+MAT.SURCHARGE)*EXC.RATE_2),CURRENCY.FORMAT_2),CURRENCY.FORMAT_2,1),"# ##0;-# ##0"),",-"),FIXED(ROUND(IF(EXC.RATE.SWITCH=1,C799*(1-I799)*(1-ADD.DISCOUNT)*(1+MAT.SURCHARGE)/EXC.RATE_2,C799*(1-I799)*(1-ADD.DISCOUNT)*(1+MAT.SURCHARGE)*EXC.RATE_2),CURRENCY.FORMAT_2),CURRENCY.FORMAT_2,0)),'DICTIONARY-5'!$A$2))</f>
        <v/>
      </c>
      <c r="N799" s="544">
        <v>3</v>
      </c>
      <c r="O799" s="544"/>
      <c r="P799" s="732" t="str">
        <f>'DICTIONARY-3'!$A$38</f>
        <v>HADE PRA-G</v>
      </c>
      <c r="Q799" s="732" t="str">
        <f>'DICTIONARY-3'!$A$190</f>
        <v>Zasuwa wrzecionowa</v>
      </c>
      <c r="R799" s="732" t="str">
        <f>CONCATENATE('DICTIONARY-3'!$A$38," ",'DICTIONARY-6'!$A$5," ",'DICTIONARY-2'!$A$2,"1200"," ",'DICTIONARY-2'!$A$8,"2900",'DICTIONARY-2'!$A$17,,", ",'DICTIONARY-4'!$A$2)</f>
        <v>HADE PRA-G Zasuwa wrzec. DN1200 Tmin2900mm, WW</v>
      </c>
      <c r="S799" s="733" t="str">
        <f>'DICTIONARY-4'!$A$2</f>
        <v>WW</v>
      </c>
      <c r="T799" s="732" t="str">
        <f>'DICTIONARY-4'!$A$18</f>
        <v>Wolny wałek</v>
      </c>
      <c r="U799" s="734" t="s">
        <v>5838</v>
      </c>
      <c r="V799" s="735" t="s">
        <v>5569</v>
      </c>
      <c r="W799" s="736"/>
      <c r="X799" s="737"/>
      <c r="Y799" s="738"/>
      <c r="Z799" s="739">
        <v>2900</v>
      </c>
      <c r="AA799" s="739"/>
      <c r="AB799" s="740" t="s">
        <v>5569</v>
      </c>
      <c r="AC799" s="741" t="s">
        <v>5569</v>
      </c>
      <c r="AD799" s="741" t="s">
        <v>5569</v>
      </c>
      <c r="AE799" s="742" t="s">
        <v>5569</v>
      </c>
      <c r="AF799" s="743">
        <v>480</v>
      </c>
      <c r="AG799" s="741" t="s">
        <v>5569</v>
      </c>
    </row>
    <row r="800" spans="1:33" x14ac:dyDescent="0.25">
      <c r="A800" s="842" t="s">
        <v>761</v>
      </c>
      <c r="B800" s="842" t="s">
        <v>4577</v>
      </c>
      <c r="C800" s="836">
        <v>14086</v>
      </c>
      <c r="D800" s="836"/>
      <c r="E800" s="836"/>
      <c r="F800" s="836"/>
      <c r="G800" s="496" t="s">
        <v>7829</v>
      </c>
      <c r="H800" s="797" t="str">
        <f>VLOOKUP(G800,SETTINGS!$B$7:$D$97,2,0)</f>
        <v>HADE</v>
      </c>
      <c r="I800" s="796">
        <f>VLOOKUP(G800,SETTINGS!$B$7:$D$97,3,0)</f>
        <v>0</v>
      </c>
      <c r="J800" s="670" t="str">
        <f>IFERROR(IF(CURRENCY.FORMAT_1=0,CONCATENATE(TEXT(FIXED(ROUND((C800/EXC.RATE_1),CURRENCY.FORMAT_1),CURRENCY.FORMAT_1,1),"# ##0;-# ##0"),",-"),FIXED(ROUND((C800/EXC.RATE_1),CURRENCY.FORMAT_1),CURRENCY.FORMAT_1,0)),'DICTIONARY-5'!$A$2)</f>
        <v>14 086,-</v>
      </c>
      <c r="K800" s="670" t="str">
        <f>IF(EXC.RATE_2=0,"",IFERROR(IF(CURRENCY.FORMAT_2=0,CONCATENATE(TEXT(FIXED(ROUND(IF(EXC.RATE.SWITCH=1,C800/EXC.RATE_2,C800*EXC.RATE_2),CURRENCY.FORMAT_2),CURRENCY.FORMAT_2,1),"# ##0;-# ##0"),",-"),FIXED(ROUND(IF(EXC.RATE.SWITCH=1,C800/EXC.RATE_2,C800*EXC.RATE_2),CURRENCY.FORMAT_2),CURRENCY.FORMAT_2,0)),'DICTIONARY-5'!$A$2))</f>
        <v/>
      </c>
      <c r="L800" s="670" t="str">
        <f>IFERROR(IF(CURRENCY.FORMAT_1=0,CONCATENATE(TEXT(FIXED(ROUND((C800*(1-I800)*(1-ADD.DISCOUNT)*(1+MAT.SURCHARGE)/EXC.RATE_1),CURRENCY.FORMAT_1),CURRENCY.FORMAT_1,1),"# ##0;-# ##0"),",-"),FIXED(ROUND((C800*(1-I800)*(1-ADD.DISCOUNT)*(1+MAT.SURCHARGE)/EXC.RATE_1),CURRENCY.FORMAT_1),CURRENCY.FORMAT_1,0)),'DICTIONARY-5'!$A$2)</f>
        <v>14 635,-</v>
      </c>
      <c r="M800" s="670" t="str">
        <f>IF(EXC.RATE_2=0,"",IFERROR(IF(CURRENCY.FORMAT_2=0,CONCATENATE(TEXT(FIXED(ROUND(IF(EXC.RATE.SWITCH=1,C800*(1-I800)*(1-ADD.DISCOUNT)*(1+MAT.SURCHARGE)/EXC.RATE_2,C800*(1-I800)*(1-ADD.DISCOUNT)*(1+MAT.SURCHARGE)*EXC.RATE_2),CURRENCY.FORMAT_2),CURRENCY.FORMAT_2,1),"# ##0;-# ##0"),",-"),FIXED(ROUND(IF(EXC.RATE.SWITCH=1,C800*(1-I800)*(1-ADD.DISCOUNT)*(1+MAT.SURCHARGE)/EXC.RATE_2,C800*(1-I800)*(1-ADD.DISCOUNT)*(1+MAT.SURCHARGE)*EXC.RATE_2),CURRENCY.FORMAT_2),CURRENCY.FORMAT_2,0)),'DICTIONARY-5'!$A$2))</f>
        <v/>
      </c>
      <c r="N800" s="544">
        <v>3</v>
      </c>
      <c r="O800" s="544"/>
      <c r="P800" s="732" t="str">
        <f>'DICTIONARY-3'!$A$38</f>
        <v>HADE PRA-G</v>
      </c>
      <c r="Q800" s="732" t="str">
        <f>'DICTIONARY-3'!$A$190</f>
        <v>Zasuwa wrzecionowa</v>
      </c>
      <c r="R800" s="732" t="str">
        <f>CONCATENATE('DICTIONARY-3'!$A$38," ",'DICTIONARY-6'!$A$5," ",'DICTIONARY-2'!$A$2,"1300"," ",'DICTIONARY-2'!$A$8,"3125",'DICTIONARY-2'!$A$17,,", ",'DICTIONARY-4'!$A$2)</f>
        <v>HADE PRA-G Zasuwa wrzec. DN1300 Tmin3125mm, WW</v>
      </c>
      <c r="S800" s="733" t="str">
        <f>'DICTIONARY-4'!$A$2</f>
        <v>WW</v>
      </c>
      <c r="T800" s="732" t="str">
        <f>'DICTIONARY-4'!$A$18</f>
        <v>Wolny wałek</v>
      </c>
      <c r="U800" s="734" t="s">
        <v>5844</v>
      </c>
      <c r="V800" s="735" t="s">
        <v>5569</v>
      </c>
      <c r="W800" s="736"/>
      <c r="X800" s="737"/>
      <c r="Y800" s="738"/>
      <c r="Z800" s="739">
        <v>3125</v>
      </c>
      <c r="AA800" s="739"/>
      <c r="AB800" s="740" t="s">
        <v>5569</v>
      </c>
      <c r="AC800" s="741" t="s">
        <v>5569</v>
      </c>
      <c r="AD800" s="741" t="s">
        <v>5569</v>
      </c>
      <c r="AE800" s="742" t="s">
        <v>5569</v>
      </c>
      <c r="AF800" s="743">
        <v>536</v>
      </c>
      <c r="AG800" s="741" t="s">
        <v>5569</v>
      </c>
    </row>
    <row r="801" spans="1:33" x14ac:dyDescent="0.25">
      <c r="A801" s="842" t="s">
        <v>763</v>
      </c>
      <c r="B801" s="842" t="s">
        <v>4581</v>
      </c>
      <c r="C801" s="836">
        <v>22438</v>
      </c>
      <c r="D801" s="836"/>
      <c r="E801" s="836"/>
      <c r="F801" s="836"/>
      <c r="G801" s="496" t="s">
        <v>7829</v>
      </c>
      <c r="H801" s="797" t="str">
        <f>VLOOKUP(G801,SETTINGS!$B$7:$D$97,2,0)</f>
        <v>HADE</v>
      </c>
      <c r="I801" s="796">
        <f>VLOOKUP(G801,SETTINGS!$B$7:$D$97,3,0)</f>
        <v>0</v>
      </c>
      <c r="J801" s="670" t="str">
        <f>IFERROR(IF(CURRENCY.FORMAT_1=0,CONCATENATE(TEXT(FIXED(ROUND((C801/EXC.RATE_1),CURRENCY.FORMAT_1),CURRENCY.FORMAT_1,1),"# ##0;-# ##0"),",-"),FIXED(ROUND((C801/EXC.RATE_1),CURRENCY.FORMAT_1),CURRENCY.FORMAT_1,0)),'DICTIONARY-5'!$A$2)</f>
        <v>22 438,-</v>
      </c>
      <c r="K801" s="670" t="str">
        <f>IF(EXC.RATE_2=0,"",IFERROR(IF(CURRENCY.FORMAT_2=0,CONCATENATE(TEXT(FIXED(ROUND(IF(EXC.RATE.SWITCH=1,C801/EXC.RATE_2,C801*EXC.RATE_2),CURRENCY.FORMAT_2),CURRENCY.FORMAT_2,1),"# ##0;-# ##0"),",-"),FIXED(ROUND(IF(EXC.RATE.SWITCH=1,C801/EXC.RATE_2,C801*EXC.RATE_2),CURRENCY.FORMAT_2),CURRENCY.FORMAT_2,0)),'DICTIONARY-5'!$A$2))</f>
        <v/>
      </c>
      <c r="L801" s="670" t="str">
        <f>IFERROR(IF(CURRENCY.FORMAT_1=0,CONCATENATE(TEXT(FIXED(ROUND((C801*(1-I801)*(1-ADD.DISCOUNT)*(1+MAT.SURCHARGE)/EXC.RATE_1),CURRENCY.FORMAT_1),CURRENCY.FORMAT_1,1),"# ##0;-# ##0"),",-"),FIXED(ROUND((C801*(1-I801)*(1-ADD.DISCOUNT)*(1+MAT.SURCHARGE)/EXC.RATE_1),CURRENCY.FORMAT_1),CURRENCY.FORMAT_1,0)),'DICTIONARY-5'!$A$2)</f>
        <v>23 313,-</v>
      </c>
      <c r="M801" s="670" t="str">
        <f>IF(EXC.RATE_2=0,"",IFERROR(IF(CURRENCY.FORMAT_2=0,CONCATENATE(TEXT(FIXED(ROUND(IF(EXC.RATE.SWITCH=1,C801*(1-I801)*(1-ADD.DISCOUNT)*(1+MAT.SURCHARGE)/EXC.RATE_2,C801*(1-I801)*(1-ADD.DISCOUNT)*(1+MAT.SURCHARGE)*EXC.RATE_2),CURRENCY.FORMAT_2),CURRENCY.FORMAT_2,1),"# ##0;-# ##0"),",-"),FIXED(ROUND(IF(EXC.RATE.SWITCH=1,C801*(1-I801)*(1-ADD.DISCOUNT)*(1+MAT.SURCHARGE)/EXC.RATE_2,C801*(1-I801)*(1-ADD.DISCOUNT)*(1+MAT.SURCHARGE)*EXC.RATE_2),CURRENCY.FORMAT_2),CURRENCY.FORMAT_2,0)),'DICTIONARY-5'!$A$2))</f>
        <v/>
      </c>
      <c r="N801" s="544">
        <v>3</v>
      </c>
      <c r="O801" s="544"/>
      <c r="P801" s="732" t="str">
        <f>'DICTIONARY-3'!$A$38</f>
        <v>HADE PRA-G</v>
      </c>
      <c r="Q801" s="732" t="str">
        <f>'DICTIONARY-3'!$A$190</f>
        <v>Zasuwa wrzecionowa</v>
      </c>
      <c r="R801" s="732" t="str">
        <f>CONCATENATE('DICTIONARY-3'!$A$38," ",'DICTIONARY-6'!$A$5," ",'DICTIONARY-2'!$A$2,"1400"," ",'DICTIONARY-2'!$A$8,"3325",'DICTIONARY-2'!$A$17,,", ",'DICTIONARY-4'!$A$2)</f>
        <v>HADE PRA-G Zasuwa wrzec. DN1400 Tmin3325mm, WW</v>
      </c>
      <c r="S801" s="733" t="str">
        <f>'DICTIONARY-4'!$A$2</f>
        <v>WW</v>
      </c>
      <c r="T801" s="732" t="str">
        <f>'DICTIONARY-4'!$A$18</f>
        <v>Wolny wałek</v>
      </c>
      <c r="U801" s="734" t="s">
        <v>5839</v>
      </c>
      <c r="V801" s="735" t="s">
        <v>5569</v>
      </c>
      <c r="W801" s="736"/>
      <c r="X801" s="737"/>
      <c r="Y801" s="738"/>
      <c r="Z801" s="739">
        <v>3325</v>
      </c>
      <c r="AA801" s="739"/>
      <c r="AB801" s="740" t="s">
        <v>5569</v>
      </c>
      <c r="AC801" s="741" t="s">
        <v>5569</v>
      </c>
      <c r="AD801" s="741" t="s">
        <v>5569</v>
      </c>
      <c r="AE801" s="742" t="s">
        <v>5569</v>
      </c>
      <c r="AF801" s="743">
        <v>360</v>
      </c>
      <c r="AG801" s="741" t="s">
        <v>5569</v>
      </c>
    </row>
    <row r="802" spans="1:33" x14ac:dyDescent="0.25">
      <c r="A802" s="842" t="s">
        <v>764</v>
      </c>
      <c r="B802" s="842" t="s">
        <v>4586</v>
      </c>
      <c r="C802" s="836">
        <v>19478</v>
      </c>
      <c r="D802" s="836"/>
      <c r="E802" s="836"/>
      <c r="F802" s="836"/>
      <c r="G802" s="496" t="s">
        <v>7829</v>
      </c>
      <c r="H802" s="797" t="str">
        <f>VLOOKUP(G802,SETTINGS!$B$7:$D$97,2,0)</f>
        <v>HADE</v>
      </c>
      <c r="I802" s="796">
        <f>VLOOKUP(G802,SETTINGS!$B$7:$D$97,3,0)</f>
        <v>0</v>
      </c>
      <c r="J802" s="670" t="str">
        <f>IFERROR(IF(CURRENCY.FORMAT_1=0,CONCATENATE(TEXT(FIXED(ROUND((C802/EXC.RATE_1),CURRENCY.FORMAT_1),CURRENCY.FORMAT_1,1),"# ##0;-# ##0"),",-"),FIXED(ROUND((C802/EXC.RATE_1),CURRENCY.FORMAT_1),CURRENCY.FORMAT_1,0)),'DICTIONARY-5'!$A$2)</f>
        <v>19 478,-</v>
      </c>
      <c r="K802" s="670" t="str">
        <f>IF(EXC.RATE_2=0,"",IFERROR(IF(CURRENCY.FORMAT_2=0,CONCATENATE(TEXT(FIXED(ROUND(IF(EXC.RATE.SWITCH=1,C802/EXC.RATE_2,C802*EXC.RATE_2),CURRENCY.FORMAT_2),CURRENCY.FORMAT_2,1),"# ##0;-# ##0"),",-"),FIXED(ROUND(IF(EXC.RATE.SWITCH=1,C802/EXC.RATE_2,C802*EXC.RATE_2),CURRENCY.FORMAT_2),CURRENCY.FORMAT_2,0)),'DICTIONARY-5'!$A$2))</f>
        <v/>
      </c>
      <c r="L802" s="670" t="str">
        <f>IFERROR(IF(CURRENCY.FORMAT_1=0,CONCATENATE(TEXT(FIXED(ROUND((C802*(1-I802)*(1-ADD.DISCOUNT)*(1+MAT.SURCHARGE)/EXC.RATE_1),CURRENCY.FORMAT_1),CURRENCY.FORMAT_1,1),"# ##0;-# ##0"),",-"),FIXED(ROUND((C802*(1-I802)*(1-ADD.DISCOUNT)*(1+MAT.SURCHARGE)/EXC.RATE_1),CURRENCY.FORMAT_1),CURRENCY.FORMAT_1,0)),'DICTIONARY-5'!$A$2)</f>
        <v>20 238,-</v>
      </c>
      <c r="M802" s="670" t="str">
        <f>IF(EXC.RATE_2=0,"",IFERROR(IF(CURRENCY.FORMAT_2=0,CONCATENATE(TEXT(FIXED(ROUND(IF(EXC.RATE.SWITCH=1,C802*(1-I802)*(1-ADD.DISCOUNT)*(1+MAT.SURCHARGE)/EXC.RATE_2,C802*(1-I802)*(1-ADD.DISCOUNT)*(1+MAT.SURCHARGE)*EXC.RATE_2),CURRENCY.FORMAT_2),CURRENCY.FORMAT_2,1),"# ##0;-# ##0"),",-"),FIXED(ROUND(IF(EXC.RATE.SWITCH=1,C802*(1-I802)*(1-ADD.DISCOUNT)*(1+MAT.SURCHARGE)/EXC.RATE_2,C802*(1-I802)*(1-ADD.DISCOUNT)*(1+MAT.SURCHARGE)*EXC.RATE_2),CURRENCY.FORMAT_2),CURRENCY.FORMAT_2,0)),'DICTIONARY-5'!$A$2))</f>
        <v/>
      </c>
      <c r="N802" s="544">
        <v>3</v>
      </c>
      <c r="O802" s="544"/>
      <c r="P802" s="732" t="str">
        <f>'DICTIONARY-3'!$A$38</f>
        <v>HADE PRA-G</v>
      </c>
      <c r="Q802" s="732" t="str">
        <f>'DICTIONARY-3'!$A$190</f>
        <v>Zasuwa wrzecionowa</v>
      </c>
      <c r="R802" s="732" t="str">
        <f>CONCATENATE('DICTIONARY-3'!$A$38," ",'DICTIONARY-6'!$A$5," ",'DICTIONARY-2'!$A$2,"1500"," ",'DICTIONARY-2'!$A$8,"3525",'DICTIONARY-2'!$A$17,,", ",'DICTIONARY-4'!$A$2)</f>
        <v>HADE PRA-G Zasuwa wrzec. DN1500 Tmin3525mm, WW</v>
      </c>
      <c r="S802" s="733" t="str">
        <f>'DICTIONARY-4'!$A$2</f>
        <v>WW</v>
      </c>
      <c r="T802" s="732" t="str">
        <f>'DICTIONARY-4'!$A$18</f>
        <v>Wolny wałek</v>
      </c>
      <c r="U802" s="734" t="s">
        <v>5845</v>
      </c>
      <c r="V802" s="735" t="s">
        <v>5569</v>
      </c>
      <c r="W802" s="736"/>
      <c r="X802" s="737"/>
      <c r="Y802" s="738"/>
      <c r="Z802" s="739">
        <v>3525</v>
      </c>
      <c r="AA802" s="739"/>
      <c r="AB802" s="740" t="s">
        <v>5569</v>
      </c>
      <c r="AC802" s="741" t="s">
        <v>5569</v>
      </c>
      <c r="AD802" s="741" t="s">
        <v>5569</v>
      </c>
      <c r="AE802" s="742" t="s">
        <v>5569</v>
      </c>
      <c r="AF802" s="743">
        <v>750</v>
      </c>
      <c r="AG802" s="741" t="s">
        <v>5569</v>
      </c>
    </row>
    <row r="803" spans="1:33" x14ac:dyDescent="0.25">
      <c r="A803" s="842" t="s">
        <v>766</v>
      </c>
      <c r="B803" s="842" t="s">
        <v>4591</v>
      </c>
      <c r="C803" s="836">
        <v>25382</v>
      </c>
      <c r="D803" s="836"/>
      <c r="E803" s="836"/>
      <c r="F803" s="836"/>
      <c r="G803" s="496" t="s">
        <v>7829</v>
      </c>
      <c r="H803" s="797" t="str">
        <f>VLOOKUP(G803,SETTINGS!$B$7:$D$97,2,0)</f>
        <v>HADE</v>
      </c>
      <c r="I803" s="796">
        <f>VLOOKUP(G803,SETTINGS!$B$7:$D$97,3,0)</f>
        <v>0</v>
      </c>
      <c r="J803" s="670" t="str">
        <f>IFERROR(IF(CURRENCY.FORMAT_1=0,CONCATENATE(TEXT(FIXED(ROUND((C803/EXC.RATE_1),CURRENCY.FORMAT_1),CURRENCY.FORMAT_1,1),"# ##0;-# ##0"),",-"),FIXED(ROUND((C803/EXC.RATE_1),CURRENCY.FORMAT_1),CURRENCY.FORMAT_1,0)),'DICTIONARY-5'!$A$2)</f>
        <v>25 382,-</v>
      </c>
      <c r="K803" s="670" t="str">
        <f>IF(EXC.RATE_2=0,"",IFERROR(IF(CURRENCY.FORMAT_2=0,CONCATENATE(TEXT(FIXED(ROUND(IF(EXC.RATE.SWITCH=1,C803/EXC.RATE_2,C803*EXC.RATE_2),CURRENCY.FORMAT_2),CURRENCY.FORMAT_2,1),"# ##0;-# ##0"),",-"),FIXED(ROUND(IF(EXC.RATE.SWITCH=1,C803/EXC.RATE_2,C803*EXC.RATE_2),CURRENCY.FORMAT_2),CURRENCY.FORMAT_2,0)),'DICTIONARY-5'!$A$2))</f>
        <v/>
      </c>
      <c r="L803" s="670" t="str">
        <f>IFERROR(IF(CURRENCY.FORMAT_1=0,CONCATENATE(TEXT(FIXED(ROUND((C803*(1-I803)*(1-ADD.DISCOUNT)*(1+MAT.SURCHARGE)/EXC.RATE_1),CURRENCY.FORMAT_1),CURRENCY.FORMAT_1,1),"# ##0;-# ##0"),",-"),FIXED(ROUND((C803*(1-I803)*(1-ADD.DISCOUNT)*(1+MAT.SURCHARGE)/EXC.RATE_1),CURRENCY.FORMAT_1),CURRENCY.FORMAT_1,0)),'DICTIONARY-5'!$A$2)</f>
        <v>26 372,-</v>
      </c>
      <c r="M803" s="670" t="str">
        <f>IF(EXC.RATE_2=0,"",IFERROR(IF(CURRENCY.FORMAT_2=0,CONCATENATE(TEXT(FIXED(ROUND(IF(EXC.RATE.SWITCH=1,C803*(1-I803)*(1-ADD.DISCOUNT)*(1+MAT.SURCHARGE)/EXC.RATE_2,C803*(1-I803)*(1-ADD.DISCOUNT)*(1+MAT.SURCHARGE)*EXC.RATE_2),CURRENCY.FORMAT_2),CURRENCY.FORMAT_2,1),"# ##0;-# ##0"),",-"),FIXED(ROUND(IF(EXC.RATE.SWITCH=1,C803*(1-I803)*(1-ADD.DISCOUNT)*(1+MAT.SURCHARGE)/EXC.RATE_2,C803*(1-I803)*(1-ADD.DISCOUNT)*(1+MAT.SURCHARGE)*EXC.RATE_2),CURRENCY.FORMAT_2),CURRENCY.FORMAT_2,0)),'DICTIONARY-5'!$A$2))</f>
        <v/>
      </c>
      <c r="N803" s="544">
        <v>3</v>
      </c>
      <c r="O803" s="544"/>
      <c r="P803" s="732" t="str">
        <f>'DICTIONARY-3'!$A$38</f>
        <v>HADE PRA-G</v>
      </c>
      <c r="Q803" s="732" t="str">
        <f>'DICTIONARY-3'!$A$190</f>
        <v>Zasuwa wrzecionowa</v>
      </c>
      <c r="R803" s="732" t="str">
        <f>CONCATENATE('DICTIONARY-3'!$A$38," ",'DICTIONARY-6'!$A$5," ",'DICTIONARY-2'!$A$2,"1600"," ",'DICTIONARY-2'!$A$8,"3825",'DICTIONARY-2'!$A$17,,", ",'DICTIONARY-4'!$A$2)</f>
        <v>HADE PRA-G Zasuwa wrzec. DN1600 Tmin3825mm, WW</v>
      </c>
      <c r="S803" s="733" t="str">
        <f>'DICTIONARY-4'!$A$2</f>
        <v>WW</v>
      </c>
      <c r="T803" s="732" t="str">
        <f>'DICTIONARY-4'!$A$18</f>
        <v>Wolny wałek</v>
      </c>
      <c r="U803" s="734" t="s">
        <v>5840</v>
      </c>
      <c r="V803" s="735" t="s">
        <v>5569</v>
      </c>
      <c r="W803" s="736"/>
      <c r="X803" s="737"/>
      <c r="Y803" s="738"/>
      <c r="Z803" s="739">
        <v>3825</v>
      </c>
      <c r="AA803" s="739"/>
      <c r="AB803" s="740" t="s">
        <v>5569</v>
      </c>
      <c r="AC803" s="741" t="s">
        <v>5569</v>
      </c>
      <c r="AD803" s="741" t="s">
        <v>5569</v>
      </c>
      <c r="AE803" s="742" t="s">
        <v>5569</v>
      </c>
      <c r="AF803" s="743">
        <v>750</v>
      </c>
      <c r="AG803" s="741" t="s">
        <v>5569</v>
      </c>
    </row>
    <row r="804" spans="1:33" x14ac:dyDescent="0.25">
      <c r="A804" s="842" t="s">
        <v>768</v>
      </c>
      <c r="B804" s="842" t="s">
        <v>4596</v>
      </c>
      <c r="C804" s="836">
        <v>32601</v>
      </c>
      <c r="D804" s="836"/>
      <c r="E804" s="836"/>
      <c r="F804" s="836"/>
      <c r="G804" s="496" t="s">
        <v>7829</v>
      </c>
      <c r="H804" s="797" t="str">
        <f>VLOOKUP(G804,SETTINGS!$B$7:$D$97,2,0)</f>
        <v>HADE</v>
      </c>
      <c r="I804" s="796">
        <f>VLOOKUP(G804,SETTINGS!$B$7:$D$97,3,0)</f>
        <v>0</v>
      </c>
      <c r="J804" s="670" t="str">
        <f>IFERROR(IF(CURRENCY.FORMAT_1=0,CONCATENATE(TEXT(FIXED(ROUND((C804/EXC.RATE_1),CURRENCY.FORMAT_1),CURRENCY.FORMAT_1,1),"# ##0;-# ##0"),",-"),FIXED(ROUND((C804/EXC.RATE_1),CURRENCY.FORMAT_1),CURRENCY.FORMAT_1,0)),'DICTIONARY-5'!$A$2)</f>
        <v>32 601,-</v>
      </c>
      <c r="K804" s="670" t="str">
        <f>IF(EXC.RATE_2=0,"",IFERROR(IF(CURRENCY.FORMAT_2=0,CONCATENATE(TEXT(FIXED(ROUND(IF(EXC.RATE.SWITCH=1,C804/EXC.RATE_2,C804*EXC.RATE_2),CURRENCY.FORMAT_2),CURRENCY.FORMAT_2,1),"# ##0;-# ##0"),",-"),FIXED(ROUND(IF(EXC.RATE.SWITCH=1,C804/EXC.RATE_2,C804*EXC.RATE_2),CURRENCY.FORMAT_2),CURRENCY.FORMAT_2,0)),'DICTIONARY-5'!$A$2))</f>
        <v/>
      </c>
      <c r="L804" s="670" t="str">
        <f>IFERROR(IF(CURRENCY.FORMAT_1=0,CONCATENATE(TEXT(FIXED(ROUND((C804*(1-I804)*(1-ADD.DISCOUNT)*(1+MAT.SURCHARGE)/EXC.RATE_1),CURRENCY.FORMAT_1),CURRENCY.FORMAT_1,1),"# ##0;-# ##0"),",-"),FIXED(ROUND((C804*(1-I804)*(1-ADD.DISCOUNT)*(1+MAT.SURCHARGE)/EXC.RATE_1),CURRENCY.FORMAT_1),CURRENCY.FORMAT_1,0)),'DICTIONARY-5'!$A$2)</f>
        <v>33 872,-</v>
      </c>
      <c r="M804" s="670" t="str">
        <f>IF(EXC.RATE_2=0,"",IFERROR(IF(CURRENCY.FORMAT_2=0,CONCATENATE(TEXT(FIXED(ROUND(IF(EXC.RATE.SWITCH=1,C804*(1-I804)*(1-ADD.DISCOUNT)*(1+MAT.SURCHARGE)/EXC.RATE_2,C804*(1-I804)*(1-ADD.DISCOUNT)*(1+MAT.SURCHARGE)*EXC.RATE_2),CURRENCY.FORMAT_2),CURRENCY.FORMAT_2,1),"# ##0;-# ##0"),",-"),FIXED(ROUND(IF(EXC.RATE.SWITCH=1,C804*(1-I804)*(1-ADD.DISCOUNT)*(1+MAT.SURCHARGE)/EXC.RATE_2,C804*(1-I804)*(1-ADD.DISCOUNT)*(1+MAT.SURCHARGE)*EXC.RATE_2),CURRENCY.FORMAT_2),CURRENCY.FORMAT_2,0)),'DICTIONARY-5'!$A$2))</f>
        <v/>
      </c>
      <c r="N804" s="544">
        <v>3</v>
      </c>
      <c r="O804" s="544"/>
      <c r="P804" s="732" t="str">
        <f>'DICTIONARY-3'!$A$38</f>
        <v>HADE PRA-G</v>
      </c>
      <c r="Q804" s="732" t="str">
        <f>'DICTIONARY-3'!$A$190</f>
        <v>Zasuwa wrzecionowa</v>
      </c>
      <c r="R804" s="732" t="str">
        <f>CONCATENATE('DICTIONARY-3'!$A$38," ",'DICTIONARY-6'!$A$5," ",'DICTIONARY-2'!$A$2,"1800"," ",'DICTIONARY-2'!$A$8,"4225",'DICTIONARY-2'!$A$17,,", ",'DICTIONARY-4'!$A$2)</f>
        <v>HADE PRA-G Zasuwa wrzec. DN1800 Tmin4225mm, WW</v>
      </c>
      <c r="S804" s="733" t="str">
        <f>'DICTIONARY-4'!$A$2</f>
        <v>WW</v>
      </c>
      <c r="T804" s="732" t="str">
        <f>'DICTIONARY-4'!$A$18</f>
        <v>Wolny wałek</v>
      </c>
      <c r="U804" s="734" t="s">
        <v>5841</v>
      </c>
      <c r="V804" s="735" t="s">
        <v>5569</v>
      </c>
      <c r="W804" s="736"/>
      <c r="X804" s="737"/>
      <c r="Y804" s="738"/>
      <c r="Z804" s="739">
        <v>4225</v>
      </c>
      <c r="AA804" s="739"/>
      <c r="AB804" s="740" t="s">
        <v>5569</v>
      </c>
      <c r="AC804" s="741" t="s">
        <v>5569</v>
      </c>
      <c r="AD804" s="741" t="s">
        <v>5569</v>
      </c>
      <c r="AE804" s="742" t="s">
        <v>5569</v>
      </c>
      <c r="AF804" s="743">
        <v>800</v>
      </c>
      <c r="AG804" s="741" t="s">
        <v>5569</v>
      </c>
    </row>
    <row r="805" spans="1:33" x14ac:dyDescent="0.25">
      <c r="A805" s="842" t="s">
        <v>769</v>
      </c>
      <c r="B805" s="842" t="s">
        <v>4605</v>
      </c>
      <c r="C805" s="836">
        <v>47089</v>
      </c>
      <c r="D805" s="836"/>
      <c r="E805" s="836"/>
      <c r="F805" s="836"/>
      <c r="G805" s="496" t="s">
        <v>7829</v>
      </c>
      <c r="H805" s="797" t="str">
        <f>VLOOKUP(G805,SETTINGS!$B$7:$D$97,2,0)</f>
        <v>HADE</v>
      </c>
      <c r="I805" s="796">
        <f>VLOOKUP(G805,SETTINGS!$B$7:$D$97,3,0)</f>
        <v>0</v>
      </c>
      <c r="J805" s="670" t="str">
        <f>IFERROR(IF(CURRENCY.FORMAT_1=0,CONCATENATE(TEXT(FIXED(ROUND((C805/EXC.RATE_1),CURRENCY.FORMAT_1),CURRENCY.FORMAT_1,1),"# ##0;-# ##0"),",-"),FIXED(ROUND((C805/EXC.RATE_1),CURRENCY.FORMAT_1),CURRENCY.FORMAT_1,0)),'DICTIONARY-5'!$A$2)</f>
        <v>47 089,-</v>
      </c>
      <c r="K805" s="670" t="str">
        <f>IF(EXC.RATE_2=0,"",IFERROR(IF(CURRENCY.FORMAT_2=0,CONCATENATE(TEXT(FIXED(ROUND(IF(EXC.RATE.SWITCH=1,C805/EXC.RATE_2,C805*EXC.RATE_2),CURRENCY.FORMAT_2),CURRENCY.FORMAT_2,1),"# ##0;-# ##0"),",-"),FIXED(ROUND(IF(EXC.RATE.SWITCH=1,C805/EXC.RATE_2,C805*EXC.RATE_2),CURRENCY.FORMAT_2),CURRENCY.FORMAT_2,0)),'DICTIONARY-5'!$A$2))</f>
        <v/>
      </c>
      <c r="L805" s="670" t="str">
        <f>IFERROR(IF(CURRENCY.FORMAT_1=0,CONCATENATE(TEXT(FIXED(ROUND((C805*(1-I805)*(1-ADD.DISCOUNT)*(1+MAT.SURCHARGE)/EXC.RATE_1),CURRENCY.FORMAT_1),CURRENCY.FORMAT_1,1),"# ##0;-# ##0"),",-"),FIXED(ROUND((C805*(1-I805)*(1-ADD.DISCOUNT)*(1+MAT.SURCHARGE)/EXC.RATE_1),CURRENCY.FORMAT_1),CURRENCY.FORMAT_1,0)),'DICTIONARY-5'!$A$2)</f>
        <v>48 925,-</v>
      </c>
      <c r="M805" s="670" t="str">
        <f>IF(EXC.RATE_2=0,"",IFERROR(IF(CURRENCY.FORMAT_2=0,CONCATENATE(TEXT(FIXED(ROUND(IF(EXC.RATE.SWITCH=1,C805*(1-I805)*(1-ADD.DISCOUNT)*(1+MAT.SURCHARGE)/EXC.RATE_2,C805*(1-I805)*(1-ADD.DISCOUNT)*(1+MAT.SURCHARGE)*EXC.RATE_2),CURRENCY.FORMAT_2),CURRENCY.FORMAT_2,1),"# ##0;-# ##0"),",-"),FIXED(ROUND(IF(EXC.RATE.SWITCH=1,C805*(1-I805)*(1-ADD.DISCOUNT)*(1+MAT.SURCHARGE)/EXC.RATE_2,C805*(1-I805)*(1-ADD.DISCOUNT)*(1+MAT.SURCHARGE)*EXC.RATE_2),CURRENCY.FORMAT_2),CURRENCY.FORMAT_2,0)),'DICTIONARY-5'!$A$2))</f>
        <v/>
      </c>
      <c r="N805" s="544">
        <v>3</v>
      </c>
      <c r="O805" s="544"/>
      <c r="P805" s="732" t="str">
        <f>'DICTIONARY-3'!$A$38</f>
        <v>HADE PRA-G</v>
      </c>
      <c r="Q805" s="732" t="str">
        <f>'DICTIONARY-3'!$A$190</f>
        <v>Zasuwa wrzecionowa</v>
      </c>
      <c r="R805" s="732" t="str">
        <f>CONCATENATE('DICTIONARY-3'!$A$38," ",'DICTIONARY-6'!$A$5," ",'DICTIONARY-2'!$A$2,"2000"," ",'DICTIONARY-2'!$A$8,"4625",'DICTIONARY-2'!$A$17,,", ",'DICTIONARY-4'!$A$2)</f>
        <v>HADE PRA-G Zasuwa wrzec. DN2000 Tmin4625mm, WW</v>
      </c>
      <c r="S805" s="733" t="str">
        <f>'DICTIONARY-4'!$A$2</f>
        <v>WW</v>
      </c>
      <c r="T805" s="732" t="str">
        <f>'DICTIONARY-4'!$A$18</f>
        <v>Wolny wałek</v>
      </c>
      <c r="U805" s="734" t="s">
        <v>5842</v>
      </c>
      <c r="V805" s="735" t="s">
        <v>5569</v>
      </c>
      <c r="W805" s="736"/>
      <c r="X805" s="737"/>
      <c r="Y805" s="738"/>
      <c r="Z805" s="739">
        <v>4625</v>
      </c>
      <c r="AA805" s="739"/>
      <c r="AB805" s="740" t="s">
        <v>5569</v>
      </c>
      <c r="AC805" s="741" t="s">
        <v>5569</v>
      </c>
      <c r="AD805" s="741" t="s">
        <v>5569</v>
      </c>
      <c r="AE805" s="742" t="s">
        <v>5569</v>
      </c>
      <c r="AF805" s="743">
        <v>1000</v>
      </c>
      <c r="AG805" s="741" t="s">
        <v>5569</v>
      </c>
    </row>
    <row r="806" spans="1:33" x14ac:dyDescent="0.25">
      <c r="A806" s="842" t="s">
        <v>740</v>
      </c>
      <c r="B806" s="842" t="s">
        <v>4483</v>
      </c>
      <c r="C806" s="836">
        <v>60</v>
      </c>
      <c r="D806" s="836"/>
      <c r="E806" s="836"/>
      <c r="F806" s="836"/>
      <c r="G806" s="496" t="s">
        <v>7829</v>
      </c>
      <c r="H806" s="797" t="str">
        <f>VLOOKUP(G806,SETTINGS!$B$7:$D$97,2,0)</f>
        <v>HADE</v>
      </c>
      <c r="I806" s="796">
        <f>VLOOKUP(G806,SETTINGS!$B$7:$D$97,3,0)</f>
        <v>0</v>
      </c>
      <c r="J806" s="670" t="str">
        <f>IFERROR(IF(CURRENCY.FORMAT_1=0,CONCATENATE(TEXT(FIXED(ROUND((C806/EXC.RATE_1),CURRENCY.FORMAT_1),CURRENCY.FORMAT_1,1),"# ##0;-# ##0"),",-"),FIXED(ROUND((C806/EXC.RATE_1),CURRENCY.FORMAT_1),CURRENCY.FORMAT_1,0)),'DICTIONARY-5'!$A$2)</f>
        <v>60,-</v>
      </c>
      <c r="K806" s="670" t="str">
        <f>IF(EXC.RATE_2=0,"",IFERROR(IF(CURRENCY.FORMAT_2=0,CONCATENATE(TEXT(FIXED(ROUND(IF(EXC.RATE.SWITCH=1,C806/EXC.RATE_2,C806*EXC.RATE_2),CURRENCY.FORMAT_2),CURRENCY.FORMAT_2,1),"# ##0;-# ##0"),",-"),FIXED(ROUND(IF(EXC.RATE.SWITCH=1,C806/EXC.RATE_2,C806*EXC.RATE_2),CURRENCY.FORMAT_2),CURRENCY.FORMAT_2,0)),'DICTIONARY-5'!$A$2))</f>
        <v/>
      </c>
      <c r="L806" s="670" t="str">
        <f>IFERROR(IF(CURRENCY.FORMAT_1=0,CONCATENATE(TEXT(FIXED(ROUND((C806*(1-I806)*(1-ADD.DISCOUNT)*(1+MAT.SURCHARGE)/EXC.RATE_1),CURRENCY.FORMAT_1),CURRENCY.FORMAT_1,1),"# ##0;-# ##0"),",-"),FIXED(ROUND((C806*(1-I806)*(1-ADD.DISCOUNT)*(1+MAT.SURCHARGE)/EXC.RATE_1),CURRENCY.FORMAT_1),CURRENCY.FORMAT_1,0)),'DICTIONARY-5'!$A$2)</f>
        <v>62,-</v>
      </c>
      <c r="M806" s="670" t="str">
        <f>IF(EXC.RATE_2=0,"",IFERROR(IF(CURRENCY.FORMAT_2=0,CONCATENATE(TEXT(FIXED(ROUND(IF(EXC.RATE.SWITCH=1,C806*(1-I806)*(1-ADD.DISCOUNT)*(1+MAT.SURCHARGE)/EXC.RATE_2,C806*(1-I806)*(1-ADD.DISCOUNT)*(1+MAT.SURCHARGE)*EXC.RATE_2),CURRENCY.FORMAT_2),CURRENCY.FORMAT_2,1),"# ##0;-# ##0"),",-"),FIXED(ROUND(IF(EXC.RATE.SWITCH=1,C806*(1-I806)*(1-ADD.DISCOUNT)*(1+MAT.SURCHARGE)/EXC.RATE_2,C806*(1-I806)*(1-ADD.DISCOUNT)*(1+MAT.SURCHARGE)*EXC.RATE_2),CURRENCY.FORMAT_2),CURRENCY.FORMAT_2,0)),'DICTIONARY-5'!$A$2))</f>
        <v/>
      </c>
      <c r="N806" s="544">
        <v>2</v>
      </c>
      <c r="O806" s="544"/>
      <c r="P806" s="732" t="str">
        <f>'DICTIONARY-3'!$A$38</f>
        <v>HADE PRA-G</v>
      </c>
      <c r="Q806" s="732" t="str">
        <f>'DICTIONARY-3'!$A$231</f>
        <v>Zestaw kotwiący</v>
      </c>
      <c r="R806" s="732" t="str">
        <f>CONCATENATE('DICTIONARY-3'!$A$231," ",'DICTIONARY-5'!$A$7," ",'DICTIONARY-3'!$A$38," ",'DICTIONARY-2'!$A$2,"150-200")</f>
        <v>Zestaw kotwiący dla HADE PRA-G DN150-200</v>
      </c>
      <c r="S806" s="733" t="s">
        <v>5569</v>
      </c>
      <c r="T806" s="732" t="s">
        <v>5569</v>
      </c>
      <c r="U806" s="734" t="s">
        <v>5808</v>
      </c>
      <c r="V806" s="735" t="s">
        <v>5569</v>
      </c>
      <c r="W806" s="736"/>
      <c r="X806" s="737"/>
      <c r="Y806" s="738"/>
      <c r="Z806" s="739"/>
      <c r="AA806" s="739"/>
      <c r="AB806" s="740" t="s">
        <v>5569</v>
      </c>
      <c r="AC806" s="741" t="s">
        <v>5569</v>
      </c>
      <c r="AD806" s="741" t="s">
        <v>5569</v>
      </c>
      <c r="AE806" s="742" t="s">
        <v>5569</v>
      </c>
      <c r="AF806" s="743">
        <v>0.5</v>
      </c>
      <c r="AG806" s="741" t="s">
        <v>5569</v>
      </c>
    </row>
    <row r="807" spans="1:33" x14ac:dyDescent="0.25">
      <c r="A807" s="842" t="s">
        <v>743</v>
      </c>
      <c r="B807" s="842" t="s">
        <v>4484</v>
      </c>
      <c r="C807" s="836">
        <v>60</v>
      </c>
      <c r="D807" s="836"/>
      <c r="E807" s="836"/>
      <c r="F807" s="836"/>
      <c r="G807" s="496" t="s">
        <v>7829</v>
      </c>
      <c r="H807" s="797" t="str">
        <f>VLOOKUP(G807,SETTINGS!$B$7:$D$97,2,0)</f>
        <v>HADE</v>
      </c>
      <c r="I807" s="796">
        <f>VLOOKUP(G807,SETTINGS!$B$7:$D$97,3,0)</f>
        <v>0</v>
      </c>
      <c r="J807" s="670" t="str">
        <f>IFERROR(IF(CURRENCY.FORMAT_1=0,CONCATENATE(TEXT(FIXED(ROUND((C807/EXC.RATE_1),CURRENCY.FORMAT_1),CURRENCY.FORMAT_1,1),"# ##0;-# ##0"),",-"),FIXED(ROUND((C807/EXC.RATE_1),CURRENCY.FORMAT_1),CURRENCY.FORMAT_1,0)),'DICTIONARY-5'!$A$2)</f>
        <v>60,-</v>
      </c>
      <c r="K807" s="670" t="str">
        <f>IF(EXC.RATE_2=0,"",IFERROR(IF(CURRENCY.FORMAT_2=0,CONCATENATE(TEXT(FIXED(ROUND(IF(EXC.RATE.SWITCH=1,C807/EXC.RATE_2,C807*EXC.RATE_2),CURRENCY.FORMAT_2),CURRENCY.FORMAT_2,1),"# ##0;-# ##0"),",-"),FIXED(ROUND(IF(EXC.RATE.SWITCH=1,C807/EXC.RATE_2,C807*EXC.RATE_2),CURRENCY.FORMAT_2),CURRENCY.FORMAT_2,0)),'DICTIONARY-5'!$A$2))</f>
        <v/>
      </c>
      <c r="L807" s="670" t="str">
        <f>IFERROR(IF(CURRENCY.FORMAT_1=0,CONCATENATE(TEXT(FIXED(ROUND((C807*(1-I807)*(1-ADD.DISCOUNT)*(1+MAT.SURCHARGE)/EXC.RATE_1),CURRENCY.FORMAT_1),CURRENCY.FORMAT_1,1),"# ##0;-# ##0"),",-"),FIXED(ROUND((C807*(1-I807)*(1-ADD.DISCOUNT)*(1+MAT.SURCHARGE)/EXC.RATE_1),CURRENCY.FORMAT_1),CURRENCY.FORMAT_1,0)),'DICTIONARY-5'!$A$2)</f>
        <v>62,-</v>
      </c>
      <c r="M807" s="670" t="str">
        <f>IF(EXC.RATE_2=0,"",IFERROR(IF(CURRENCY.FORMAT_2=0,CONCATENATE(TEXT(FIXED(ROUND(IF(EXC.RATE.SWITCH=1,C807*(1-I807)*(1-ADD.DISCOUNT)*(1+MAT.SURCHARGE)/EXC.RATE_2,C807*(1-I807)*(1-ADD.DISCOUNT)*(1+MAT.SURCHARGE)*EXC.RATE_2),CURRENCY.FORMAT_2),CURRENCY.FORMAT_2,1),"# ##0;-# ##0"),",-"),FIXED(ROUND(IF(EXC.RATE.SWITCH=1,C807*(1-I807)*(1-ADD.DISCOUNT)*(1+MAT.SURCHARGE)/EXC.RATE_2,C807*(1-I807)*(1-ADD.DISCOUNT)*(1+MAT.SURCHARGE)*EXC.RATE_2),CURRENCY.FORMAT_2),CURRENCY.FORMAT_2,0)),'DICTIONARY-5'!$A$2))</f>
        <v/>
      </c>
      <c r="N807" s="544">
        <v>2</v>
      </c>
      <c r="O807" s="544"/>
      <c r="P807" s="732" t="str">
        <f>'DICTIONARY-3'!$A$38</f>
        <v>HADE PRA-G</v>
      </c>
      <c r="Q807" s="732" t="str">
        <f>'DICTIONARY-3'!$A$231</f>
        <v>Zestaw kotwiący</v>
      </c>
      <c r="R807" s="732" t="str">
        <f>CONCATENATE('DICTIONARY-3'!$A$231," ",'DICTIONARY-5'!$A$7," ",'DICTIONARY-3'!$A$38," ",'DICTIONARY-2'!$A$2,"250-300")</f>
        <v>Zestaw kotwiący dla HADE PRA-G DN250-300</v>
      </c>
      <c r="S807" s="733" t="s">
        <v>5569</v>
      </c>
      <c r="T807" s="732" t="s">
        <v>5569</v>
      </c>
      <c r="U807" s="734" t="s">
        <v>5713</v>
      </c>
      <c r="V807" s="735" t="s">
        <v>5569</v>
      </c>
      <c r="W807" s="736"/>
      <c r="X807" s="737"/>
      <c r="Y807" s="738"/>
      <c r="Z807" s="739"/>
      <c r="AA807" s="739"/>
      <c r="AB807" s="740" t="s">
        <v>5569</v>
      </c>
      <c r="AC807" s="741" t="s">
        <v>5569</v>
      </c>
      <c r="AD807" s="741" t="s">
        <v>5569</v>
      </c>
      <c r="AE807" s="742" t="s">
        <v>5569</v>
      </c>
      <c r="AF807" s="743">
        <v>0.5</v>
      </c>
      <c r="AG807" s="741" t="s">
        <v>5569</v>
      </c>
    </row>
    <row r="808" spans="1:33" x14ac:dyDescent="0.25">
      <c r="A808" s="842" t="s">
        <v>746</v>
      </c>
      <c r="B808" s="842" t="s">
        <v>4485</v>
      </c>
      <c r="C808" s="836">
        <v>59</v>
      </c>
      <c r="D808" s="836"/>
      <c r="E808" s="836"/>
      <c r="F808" s="836"/>
      <c r="G808" s="496" t="s">
        <v>7829</v>
      </c>
      <c r="H808" s="797" t="str">
        <f>VLOOKUP(G808,SETTINGS!$B$7:$D$97,2,0)</f>
        <v>HADE</v>
      </c>
      <c r="I808" s="796">
        <f>VLOOKUP(G808,SETTINGS!$B$7:$D$97,3,0)</f>
        <v>0</v>
      </c>
      <c r="J808" s="670" t="str">
        <f>IFERROR(IF(CURRENCY.FORMAT_1=0,CONCATENATE(TEXT(FIXED(ROUND((C808/EXC.RATE_1),CURRENCY.FORMAT_1),CURRENCY.FORMAT_1,1),"# ##0;-# ##0"),",-"),FIXED(ROUND((C808/EXC.RATE_1),CURRENCY.FORMAT_1),CURRENCY.FORMAT_1,0)),'DICTIONARY-5'!$A$2)</f>
        <v>59,-</v>
      </c>
      <c r="K808" s="670" t="str">
        <f>IF(EXC.RATE_2=0,"",IFERROR(IF(CURRENCY.FORMAT_2=0,CONCATENATE(TEXT(FIXED(ROUND(IF(EXC.RATE.SWITCH=1,C808/EXC.RATE_2,C808*EXC.RATE_2),CURRENCY.FORMAT_2),CURRENCY.FORMAT_2,1),"# ##0;-# ##0"),",-"),FIXED(ROUND(IF(EXC.RATE.SWITCH=1,C808/EXC.RATE_2,C808*EXC.RATE_2),CURRENCY.FORMAT_2),CURRENCY.FORMAT_2,0)),'DICTIONARY-5'!$A$2))</f>
        <v/>
      </c>
      <c r="L808" s="670" t="str">
        <f>IFERROR(IF(CURRENCY.FORMAT_1=0,CONCATENATE(TEXT(FIXED(ROUND((C808*(1-I808)*(1-ADD.DISCOUNT)*(1+MAT.SURCHARGE)/EXC.RATE_1),CURRENCY.FORMAT_1),CURRENCY.FORMAT_1,1),"# ##0;-# ##0"),",-"),FIXED(ROUND((C808*(1-I808)*(1-ADD.DISCOUNT)*(1+MAT.SURCHARGE)/EXC.RATE_1),CURRENCY.FORMAT_1),CURRENCY.FORMAT_1,0)),'DICTIONARY-5'!$A$2)</f>
        <v>61,-</v>
      </c>
      <c r="M808" s="670" t="str">
        <f>IF(EXC.RATE_2=0,"",IFERROR(IF(CURRENCY.FORMAT_2=0,CONCATENATE(TEXT(FIXED(ROUND(IF(EXC.RATE.SWITCH=1,C808*(1-I808)*(1-ADD.DISCOUNT)*(1+MAT.SURCHARGE)/EXC.RATE_2,C808*(1-I808)*(1-ADD.DISCOUNT)*(1+MAT.SURCHARGE)*EXC.RATE_2),CURRENCY.FORMAT_2),CURRENCY.FORMAT_2,1),"# ##0;-# ##0"),",-"),FIXED(ROUND(IF(EXC.RATE.SWITCH=1,C808*(1-I808)*(1-ADD.DISCOUNT)*(1+MAT.SURCHARGE)/EXC.RATE_2,C808*(1-I808)*(1-ADD.DISCOUNT)*(1+MAT.SURCHARGE)*EXC.RATE_2),CURRENCY.FORMAT_2),CURRENCY.FORMAT_2,0)),'DICTIONARY-5'!$A$2))</f>
        <v/>
      </c>
      <c r="N808" s="544">
        <v>2</v>
      </c>
      <c r="O808" s="544"/>
      <c r="P808" s="732" t="str">
        <f>'DICTIONARY-3'!$A$38</f>
        <v>HADE PRA-G</v>
      </c>
      <c r="Q808" s="732" t="str">
        <f>'DICTIONARY-3'!$A$231</f>
        <v>Zestaw kotwiący</v>
      </c>
      <c r="R808" s="732" t="str">
        <f>CONCATENATE('DICTIONARY-3'!$A$231," ",'DICTIONARY-5'!$A$7," ",'DICTIONARY-3'!$A$38," ",'DICTIONARY-2'!$A$2,"400")</f>
        <v>Zestaw kotwiący dla HADE PRA-G DN400</v>
      </c>
      <c r="S808" s="733" t="s">
        <v>5569</v>
      </c>
      <c r="T808" s="732" t="s">
        <v>5569</v>
      </c>
      <c r="U808" s="734" t="s">
        <v>5754</v>
      </c>
      <c r="V808" s="735" t="s">
        <v>5569</v>
      </c>
      <c r="W808" s="736"/>
      <c r="X808" s="737"/>
      <c r="Y808" s="738"/>
      <c r="Z808" s="739"/>
      <c r="AA808" s="739"/>
      <c r="AB808" s="740" t="s">
        <v>5569</v>
      </c>
      <c r="AC808" s="741" t="s">
        <v>5569</v>
      </c>
      <c r="AD808" s="741" t="s">
        <v>5569</v>
      </c>
      <c r="AE808" s="742" t="s">
        <v>5569</v>
      </c>
      <c r="AF808" s="743">
        <v>0.5</v>
      </c>
      <c r="AG808" s="741" t="s">
        <v>5569</v>
      </c>
    </row>
    <row r="809" spans="1:33" x14ac:dyDescent="0.25">
      <c r="A809" s="842" t="s">
        <v>748</v>
      </c>
      <c r="B809" s="842" t="s">
        <v>4486</v>
      </c>
      <c r="C809" s="836">
        <v>88</v>
      </c>
      <c r="D809" s="836"/>
      <c r="E809" s="836"/>
      <c r="F809" s="836"/>
      <c r="G809" s="496" t="s">
        <v>7829</v>
      </c>
      <c r="H809" s="797" t="str">
        <f>VLOOKUP(G809,SETTINGS!$B$7:$D$97,2,0)</f>
        <v>HADE</v>
      </c>
      <c r="I809" s="796">
        <f>VLOOKUP(G809,SETTINGS!$B$7:$D$97,3,0)</f>
        <v>0</v>
      </c>
      <c r="J809" s="670" t="str">
        <f>IFERROR(IF(CURRENCY.FORMAT_1=0,CONCATENATE(TEXT(FIXED(ROUND((C809/EXC.RATE_1),CURRENCY.FORMAT_1),CURRENCY.FORMAT_1,1),"# ##0;-# ##0"),",-"),FIXED(ROUND((C809/EXC.RATE_1),CURRENCY.FORMAT_1),CURRENCY.FORMAT_1,0)),'DICTIONARY-5'!$A$2)</f>
        <v>88,-</v>
      </c>
      <c r="K809" s="670" t="str">
        <f>IF(EXC.RATE_2=0,"",IFERROR(IF(CURRENCY.FORMAT_2=0,CONCATENATE(TEXT(FIXED(ROUND(IF(EXC.RATE.SWITCH=1,C809/EXC.RATE_2,C809*EXC.RATE_2),CURRENCY.FORMAT_2),CURRENCY.FORMAT_2,1),"# ##0;-# ##0"),",-"),FIXED(ROUND(IF(EXC.RATE.SWITCH=1,C809/EXC.RATE_2,C809*EXC.RATE_2),CURRENCY.FORMAT_2),CURRENCY.FORMAT_2,0)),'DICTIONARY-5'!$A$2))</f>
        <v/>
      </c>
      <c r="L809" s="670" t="str">
        <f>IFERROR(IF(CURRENCY.FORMAT_1=0,CONCATENATE(TEXT(FIXED(ROUND((C809*(1-I809)*(1-ADD.DISCOUNT)*(1+MAT.SURCHARGE)/EXC.RATE_1),CURRENCY.FORMAT_1),CURRENCY.FORMAT_1,1),"# ##0;-# ##0"),",-"),FIXED(ROUND((C809*(1-I809)*(1-ADD.DISCOUNT)*(1+MAT.SURCHARGE)/EXC.RATE_1),CURRENCY.FORMAT_1),CURRENCY.FORMAT_1,0)),'DICTIONARY-5'!$A$2)</f>
        <v>91,-</v>
      </c>
      <c r="M809" s="670" t="str">
        <f>IF(EXC.RATE_2=0,"",IFERROR(IF(CURRENCY.FORMAT_2=0,CONCATENATE(TEXT(FIXED(ROUND(IF(EXC.RATE.SWITCH=1,C809*(1-I809)*(1-ADD.DISCOUNT)*(1+MAT.SURCHARGE)/EXC.RATE_2,C809*(1-I809)*(1-ADD.DISCOUNT)*(1+MAT.SURCHARGE)*EXC.RATE_2),CURRENCY.FORMAT_2),CURRENCY.FORMAT_2,1),"# ##0;-# ##0"),",-"),FIXED(ROUND(IF(EXC.RATE.SWITCH=1,C809*(1-I809)*(1-ADD.DISCOUNT)*(1+MAT.SURCHARGE)/EXC.RATE_2,C809*(1-I809)*(1-ADD.DISCOUNT)*(1+MAT.SURCHARGE)*EXC.RATE_2),CURRENCY.FORMAT_2),CURRENCY.FORMAT_2,0)),'DICTIONARY-5'!$A$2))</f>
        <v/>
      </c>
      <c r="N809" s="544">
        <v>2</v>
      </c>
      <c r="O809" s="544"/>
      <c r="P809" s="732" t="str">
        <f>'DICTIONARY-3'!$A$38</f>
        <v>HADE PRA-G</v>
      </c>
      <c r="Q809" s="732" t="str">
        <f>'DICTIONARY-3'!$A$231</f>
        <v>Zestaw kotwiący</v>
      </c>
      <c r="R809" s="732" t="str">
        <f>CONCATENATE('DICTIONARY-3'!$A$231," ",'DICTIONARY-5'!$A$7," ",'DICTIONARY-3'!$A$38," ",'DICTIONARY-2'!$A$2,"500")</f>
        <v>Zestaw kotwiący dla HADE PRA-G DN500</v>
      </c>
      <c r="S809" s="733" t="s">
        <v>5569</v>
      </c>
      <c r="T809" s="732" t="s">
        <v>5569</v>
      </c>
      <c r="U809" s="734" t="s">
        <v>5756</v>
      </c>
      <c r="V809" s="735" t="s">
        <v>5569</v>
      </c>
      <c r="W809" s="736"/>
      <c r="X809" s="737"/>
      <c r="Y809" s="738"/>
      <c r="Z809" s="739"/>
      <c r="AA809" s="739"/>
      <c r="AB809" s="740" t="s">
        <v>5569</v>
      </c>
      <c r="AC809" s="741" t="s">
        <v>5569</v>
      </c>
      <c r="AD809" s="741" t="s">
        <v>5569</v>
      </c>
      <c r="AE809" s="742" t="s">
        <v>5569</v>
      </c>
      <c r="AF809" s="743">
        <v>0.5</v>
      </c>
      <c r="AG809" s="741" t="s">
        <v>5569</v>
      </c>
    </row>
    <row r="810" spans="1:33" x14ac:dyDescent="0.25">
      <c r="A810" s="842" t="s">
        <v>750</v>
      </c>
      <c r="B810" s="842" t="s">
        <v>4487</v>
      </c>
      <c r="C810" s="836">
        <v>117</v>
      </c>
      <c r="D810" s="836"/>
      <c r="E810" s="836"/>
      <c r="F810" s="836"/>
      <c r="G810" s="496" t="s">
        <v>7829</v>
      </c>
      <c r="H810" s="797" t="str">
        <f>VLOOKUP(G810,SETTINGS!$B$7:$D$97,2,0)</f>
        <v>HADE</v>
      </c>
      <c r="I810" s="796">
        <f>VLOOKUP(G810,SETTINGS!$B$7:$D$97,3,0)</f>
        <v>0</v>
      </c>
      <c r="J810" s="670" t="str">
        <f>IFERROR(IF(CURRENCY.FORMAT_1=0,CONCATENATE(TEXT(FIXED(ROUND((C810/EXC.RATE_1),CURRENCY.FORMAT_1),CURRENCY.FORMAT_1,1),"# ##0;-# ##0"),",-"),FIXED(ROUND((C810/EXC.RATE_1),CURRENCY.FORMAT_1),CURRENCY.FORMAT_1,0)),'DICTIONARY-5'!$A$2)</f>
        <v>117,-</v>
      </c>
      <c r="K810" s="670" t="str">
        <f>IF(EXC.RATE_2=0,"",IFERROR(IF(CURRENCY.FORMAT_2=0,CONCATENATE(TEXT(FIXED(ROUND(IF(EXC.RATE.SWITCH=1,C810/EXC.RATE_2,C810*EXC.RATE_2),CURRENCY.FORMAT_2),CURRENCY.FORMAT_2,1),"# ##0;-# ##0"),",-"),FIXED(ROUND(IF(EXC.RATE.SWITCH=1,C810/EXC.RATE_2,C810*EXC.RATE_2),CURRENCY.FORMAT_2),CURRENCY.FORMAT_2,0)),'DICTIONARY-5'!$A$2))</f>
        <v/>
      </c>
      <c r="L810" s="670" t="str">
        <f>IFERROR(IF(CURRENCY.FORMAT_1=0,CONCATENATE(TEXT(FIXED(ROUND((C810*(1-I810)*(1-ADD.DISCOUNT)*(1+MAT.SURCHARGE)/EXC.RATE_1),CURRENCY.FORMAT_1),CURRENCY.FORMAT_1,1),"# ##0;-# ##0"),",-"),FIXED(ROUND((C810*(1-I810)*(1-ADD.DISCOUNT)*(1+MAT.SURCHARGE)/EXC.RATE_1),CURRENCY.FORMAT_1),CURRENCY.FORMAT_1,0)),'DICTIONARY-5'!$A$2)</f>
        <v>122,-</v>
      </c>
      <c r="M810" s="670" t="str">
        <f>IF(EXC.RATE_2=0,"",IFERROR(IF(CURRENCY.FORMAT_2=0,CONCATENATE(TEXT(FIXED(ROUND(IF(EXC.RATE.SWITCH=1,C810*(1-I810)*(1-ADD.DISCOUNT)*(1+MAT.SURCHARGE)/EXC.RATE_2,C810*(1-I810)*(1-ADD.DISCOUNT)*(1+MAT.SURCHARGE)*EXC.RATE_2),CURRENCY.FORMAT_2),CURRENCY.FORMAT_2,1),"# ##0;-# ##0"),",-"),FIXED(ROUND(IF(EXC.RATE.SWITCH=1,C810*(1-I810)*(1-ADD.DISCOUNT)*(1+MAT.SURCHARGE)/EXC.RATE_2,C810*(1-I810)*(1-ADD.DISCOUNT)*(1+MAT.SURCHARGE)*EXC.RATE_2),CURRENCY.FORMAT_2),CURRENCY.FORMAT_2,0)),'DICTIONARY-5'!$A$2))</f>
        <v/>
      </c>
      <c r="N810" s="544">
        <v>2</v>
      </c>
      <c r="O810" s="544"/>
      <c r="P810" s="732" t="str">
        <f>'DICTIONARY-3'!$A$38</f>
        <v>HADE PRA-G</v>
      </c>
      <c r="Q810" s="732" t="str">
        <f>'DICTIONARY-3'!$A$231</f>
        <v>Zestaw kotwiący</v>
      </c>
      <c r="R810" s="732" t="str">
        <f>CONCATENATE('DICTIONARY-3'!$A$231," ",'DICTIONARY-5'!$A$7," ",'DICTIONARY-3'!$A$38," ",'DICTIONARY-2'!$A$2,"600-700")</f>
        <v>Zestaw kotwiący dla HADE PRA-G DN600-700</v>
      </c>
      <c r="S810" s="733" t="s">
        <v>5569</v>
      </c>
      <c r="T810" s="732" t="s">
        <v>5569</v>
      </c>
      <c r="U810" s="734" t="s">
        <v>5809</v>
      </c>
      <c r="V810" s="735" t="s">
        <v>5569</v>
      </c>
      <c r="W810" s="736"/>
      <c r="X810" s="737"/>
      <c r="Y810" s="738"/>
      <c r="Z810" s="739"/>
      <c r="AA810" s="739"/>
      <c r="AB810" s="740" t="s">
        <v>5569</v>
      </c>
      <c r="AC810" s="741" t="s">
        <v>5569</v>
      </c>
      <c r="AD810" s="741" t="s">
        <v>5569</v>
      </c>
      <c r="AE810" s="742" t="s">
        <v>5569</v>
      </c>
      <c r="AF810" s="743">
        <v>0.5</v>
      </c>
      <c r="AG810" s="741" t="s">
        <v>5569</v>
      </c>
    </row>
    <row r="811" spans="1:33" x14ac:dyDescent="0.25">
      <c r="A811" s="842" t="s">
        <v>753</v>
      </c>
      <c r="B811" s="842" t="s">
        <v>4488</v>
      </c>
      <c r="C811" s="836">
        <v>148</v>
      </c>
      <c r="D811" s="836"/>
      <c r="E811" s="836"/>
      <c r="F811" s="836"/>
      <c r="G811" s="496" t="s">
        <v>7829</v>
      </c>
      <c r="H811" s="797" t="str">
        <f>VLOOKUP(G811,SETTINGS!$B$7:$D$97,2,0)</f>
        <v>HADE</v>
      </c>
      <c r="I811" s="796">
        <f>VLOOKUP(G811,SETTINGS!$B$7:$D$97,3,0)</f>
        <v>0</v>
      </c>
      <c r="J811" s="670" t="str">
        <f>IFERROR(IF(CURRENCY.FORMAT_1=0,CONCATENATE(TEXT(FIXED(ROUND((C811/EXC.RATE_1),CURRENCY.FORMAT_1),CURRENCY.FORMAT_1,1),"# ##0;-# ##0"),",-"),FIXED(ROUND((C811/EXC.RATE_1),CURRENCY.FORMAT_1),CURRENCY.FORMAT_1,0)),'DICTIONARY-5'!$A$2)</f>
        <v>148,-</v>
      </c>
      <c r="K811" s="670" t="str">
        <f>IF(EXC.RATE_2=0,"",IFERROR(IF(CURRENCY.FORMAT_2=0,CONCATENATE(TEXT(FIXED(ROUND(IF(EXC.RATE.SWITCH=1,C811/EXC.RATE_2,C811*EXC.RATE_2),CURRENCY.FORMAT_2),CURRENCY.FORMAT_2,1),"# ##0;-# ##0"),",-"),FIXED(ROUND(IF(EXC.RATE.SWITCH=1,C811/EXC.RATE_2,C811*EXC.RATE_2),CURRENCY.FORMAT_2),CURRENCY.FORMAT_2,0)),'DICTIONARY-5'!$A$2))</f>
        <v/>
      </c>
      <c r="L811" s="670" t="str">
        <f>IFERROR(IF(CURRENCY.FORMAT_1=0,CONCATENATE(TEXT(FIXED(ROUND((C811*(1-I811)*(1-ADD.DISCOUNT)*(1+MAT.SURCHARGE)/EXC.RATE_1),CURRENCY.FORMAT_1),CURRENCY.FORMAT_1,1),"# ##0;-# ##0"),",-"),FIXED(ROUND((C811*(1-I811)*(1-ADD.DISCOUNT)*(1+MAT.SURCHARGE)/EXC.RATE_1),CURRENCY.FORMAT_1),CURRENCY.FORMAT_1,0)),'DICTIONARY-5'!$A$2)</f>
        <v>154,-</v>
      </c>
      <c r="M811" s="670" t="str">
        <f>IF(EXC.RATE_2=0,"",IFERROR(IF(CURRENCY.FORMAT_2=0,CONCATENATE(TEXT(FIXED(ROUND(IF(EXC.RATE.SWITCH=1,C811*(1-I811)*(1-ADD.DISCOUNT)*(1+MAT.SURCHARGE)/EXC.RATE_2,C811*(1-I811)*(1-ADD.DISCOUNT)*(1+MAT.SURCHARGE)*EXC.RATE_2),CURRENCY.FORMAT_2),CURRENCY.FORMAT_2,1),"# ##0;-# ##0"),",-"),FIXED(ROUND(IF(EXC.RATE.SWITCH=1,C811*(1-I811)*(1-ADD.DISCOUNT)*(1+MAT.SURCHARGE)/EXC.RATE_2,C811*(1-I811)*(1-ADD.DISCOUNT)*(1+MAT.SURCHARGE)*EXC.RATE_2),CURRENCY.FORMAT_2),CURRENCY.FORMAT_2,0)),'DICTIONARY-5'!$A$2))</f>
        <v/>
      </c>
      <c r="N811" s="544">
        <v>2</v>
      </c>
      <c r="O811" s="544"/>
      <c r="P811" s="732" t="str">
        <f>'DICTIONARY-3'!$A$38</f>
        <v>HADE PRA-G</v>
      </c>
      <c r="Q811" s="732" t="str">
        <f>'DICTIONARY-3'!$A$231</f>
        <v>Zestaw kotwiący</v>
      </c>
      <c r="R811" s="732" t="str">
        <f>CONCATENATE('DICTIONARY-3'!$A$231," ",'DICTIONARY-5'!$A$7," ",'DICTIONARY-3'!$A$38," ",'DICTIONARY-2'!$A$2,"800")</f>
        <v>Zestaw kotwiący dla HADE PRA-G DN800</v>
      </c>
      <c r="S811" s="733" t="s">
        <v>5569</v>
      </c>
      <c r="T811" s="732" t="s">
        <v>5569</v>
      </c>
      <c r="U811" s="734" t="s">
        <v>5835</v>
      </c>
      <c r="V811" s="735" t="s">
        <v>5569</v>
      </c>
      <c r="W811" s="736"/>
      <c r="X811" s="737"/>
      <c r="Y811" s="738"/>
      <c r="Z811" s="739"/>
      <c r="AA811" s="739"/>
      <c r="AB811" s="740" t="s">
        <v>5569</v>
      </c>
      <c r="AC811" s="741" t="s">
        <v>5569</v>
      </c>
      <c r="AD811" s="741" t="s">
        <v>5569</v>
      </c>
      <c r="AE811" s="742" t="s">
        <v>5569</v>
      </c>
      <c r="AF811" s="743">
        <v>0.5</v>
      </c>
      <c r="AG811" s="741" t="s">
        <v>5569</v>
      </c>
    </row>
    <row r="812" spans="1:33" x14ac:dyDescent="0.25">
      <c r="A812" s="842" t="s">
        <v>755</v>
      </c>
      <c r="B812" s="842" t="s">
        <v>4489</v>
      </c>
      <c r="C812" s="836">
        <v>193</v>
      </c>
      <c r="D812" s="836"/>
      <c r="E812" s="836"/>
      <c r="F812" s="836"/>
      <c r="G812" s="496" t="s">
        <v>7829</v>
      </c>
      <c r="H812" s="797" t="str">
        <f>VLOOKUP(G812,SETTINGS!$B$7:$D$97,2,0)</f>
        <v>HADE</v>
      </c>
      <c r="I812" s="796">
        <f>VLOOKUP(G812,SETTINGS!$B$7:$D$97,3,0)</f>
        <v>0</v>
      </c>
      <c r="J812" s="670" t="str">
        <f>IFERROR(IF(CURRENCY.FORMAT_1=0,CONCATENATE(TEXT(FIXED(ROUND((C812/EXC.RATE_1),CURRENCY.FORMAT_1),CURRENCY.FORMAT_1,1),"# ##0;-# ##0"),",-"),FIXED(ROUND((C812/EXC.RATE_1),CURRENCY.FORMAT_1),CURRENCY.FORMAT_1,0)),'DICTIONARY-5'!$A$2)</f>
        <v>193,-</v>
      </c>
      <c r="K812" s="670" t="str">
        <f>IF(EXC.RATE_2=0,"",IFERROR(IF(CURRENCY.FORMAT_2=0,CONCATENATE(TEXT(FIXED(ROUND(IF(EXC.RATE.SWITCH=1,C812/EXC.RATE_2,C812*EXC.RATE_2),CURRENCY.FORMAT_2),CURRENCY.FORMAT_2,1),"# ##0;-# ##0"),",-"),FIXED(ROUND(IF(EXC.RATE.SWITCH=1,C812/EXC.RATE_2,C812*EXC.RATE_2),CURRENCY.FORMAT_2),CURRENCY.FORMAT_2,0)),'DICTIONARY-5'!$A$2))</f>
        <v/>
      </c>
      <c r="L812" s="670" t="str">
        <f>IFERROR(IF(CURRENCY.FORMAT_1=0,CONCATENATE(TEXT(FIXED(ROUND((C812*(1-I812)*(1-ADD.DISCOUNT)*(1+MAT.SURCHARGE)/EXC.RATE_1),CURRENCY.FORMAT_1),CURRENCY.FORMAT_1,1),"# ##0;-# ##0"),",-"),FIXED(ROUND((C812*(1-I812)*(1-ADD.DISCOUNT)*(1+MAT.SURCHARGE)/EXC.RATE_1),CURRENCY.FORMAT_1),CURRENCY.FORMAT_1,0)),'DICTIONARY-5'!$A$2)</f>
        <v>201,-</v>
      </c>
      <c r="M812" s="670" t="str">
        <f>IF(EXC.RATE_2=0,"",IFERROR(IF(CURRENCY.FORMAT_2=0,CONCATENATE(TEXT(FIXED(ROUND(IF(EXC.RATE.SWITCH=1,C812*(1-I812)*(1-ADD.DISCOUNT)*(1+MAT.SURCHARGE)/EXC.RATE_2,C812*(1-I812)*(1-ADD.DISCOUNT)*(1+MAT.SURCHARGE)*EXC.RATE_2),CURRENCY.FORMAT_2),CURRENCY.FORMAT_2,1),"# ##0;-# ##0"),",-"),FIXED(ROUND(IF(EXC.RATE.SWITCH=1,C812*(1-I812)*(1-ADD.DISCOUNT)*(1+MAT.SURCHARGE)/EXC.RATE_2,C812*(1-I812)*(1-ADD.DISCOUNT)*(1+MAT.SURCHARGE)*EXC.RATE_2),CURRENCY.FORMAT_2),CURRENCY.FORMAT_2,0)),'DICTIONARY-5'!$A$2))</f>
        <v/>
      </c>
      <c r="N812" s="544">
        <v>2</v>
      </c>
      <c r="O812" s="544"/>
      <c r="P812" s="732" t="str">
        <f>'DICTIONARY-3'!$A$38</f>
        <v>HADE PRA-G</v>
      </c>
      <c r="Q812" s="732" t="str">
        <f>'DICTIONARY-3'!$A$231</f>
        <v>Zestaw kotwiący</v>
      </c>
      <c r="R812" s="732" t="str">
        <f>CONCATENATE('DICTIONARY-3'!$A$231," ",'DICTIONARY-5'!$A$7," ",'DICTIONARY-3'!$A$38," ",'DICTIONARY-2'!$A$2,"900")</f>
        <v>Zestaw kotwiący dla HADE PRA-G DN900</v>
      </c>
      <c r="S812" s="733" t="s">
        <v>5569</v>
      </c>
      <c r="T812" s="732" t="s">
        <v>5569</v>
      </c>
      <c r="U812" s="734" t="s">
        <v>5837</v>
      </c>
      <c r="V812" s="735" t="s">
        <v>5569</v>
      </c>
      <c r="W812" s="736"/>
      <c r="X812" s="737"/>
      <c r="Y812" s="738"/>
      <c r="Z812" s="739"/>
      <c r="AA812" s="739"/>
      <c r="AB812" s="740" t="s">
        <v>5569</v>
      </c>
      <c r="AC812" s="741" t="s">
        <v>5569</v>
      </c>
      <c r="AD812" s="741" t="s">
        <v>5569</v>
      </c>
      <c r="AE812" s="742" t="s">
        <v>5569</v>
      </c>
      <c r="AF812" s="743">
        <v>0.5</v>
      </c>
      <c r="AG812" s="741" t="s">
        <v>5569</v>
      </c>
    </row>
    <row r="813" spans="1:33" x14ac:dyDescent="0.25">
      <c r="A813" s="842" t="s">
        <v>757</v>
      </c>
      <c r="B813" s="842" t="s">
        <v>4495</v>
      </c>
      <c r="C813" s="836">
        <v>218</v>
      </c>
      <c r="D813" s="836"/>
      <c r="E813" s="836"/>
      <c r="F813" s="836"/>
      <c r="G813" s="496" t="s">
        <v>7829</v>
      </c>
      <c r="H813" s="797" t="str">
        <f>VLOOKUP(G813,SETTINGS!$B$7:$D$97,2,0)</f>
        <v>HADE</v>
      </c>
      <c r="I813" s="796">
        <f>VLOOKUP(G813,SETTINGS!$B$7:$D$97,3,0)</f>
        <v>0</v>
      </c>
      <c r="J813" s="670" t="str">
        <f>IFERROR(IF(CURRENCY.FORMAT_1=0,CONCATENATE(TEXT(FIXED(ROUND((C813/EXC.RATE_1),CURRENCY.FORMAT_1),CURRENCY.FORMAT_1,1),"# ##0;-# ##0"),",-"),FIXED(ROUND((C813/EXC.RATE_1),CURRENCY.FORMAT_1),CURRENCY.FORMAT_1,0)),'DICTIONARY-5'!$A$2)</f>
        <v>218,-</v>
      </c>
      <c r="K813" s="670" t="str">
        <f>IF(EXC.RATE_2=0,"",IFERROR(IF(CURRENCY.FORMAT_2=0,CONCATENATE(TEXT(FIXED(ROUND(IF(EXC.RATE.SWITCH=1,C813/EXC.RATE_2,C813*EXC.RATE_2),CURRENCY.FORMAT_2),CURRENCY.FORMAT_2,1),"# ##0;-# ##0"),",-"),FIXED(ROUND(IF(EXC.RATE.SWITCH=1,C813/EXC.RATE_2,C813*EXC.RATE_2),CURRENCY.FORMAT_2),CURRENCY.FORMAT_2,0)),'DICTIONARY-5'!$A$2))</f>
        <v/>
      </c>
      <c r="L813" s="670" t="str">
        <f>IFERROR(IF(CURRENCY.FORMAT_1=0,CONCATENATE(TEXT(FIXED(ROUND((C813*(1-I813)*(1-ADD.DISCOUNT)*(1+MAT.SURCHARGE)/EXC.RATE_1),CURRENCY.FORMAT_1),CURRENCY.FORMAT_1,1),"# ##0;-# ##0"),",-"),FIXED(ROUND((C813*(1-I813)*(1-ADD.DISCOUNT)*(1+MAT.SURCHARGE)/EXC.RATE_1),CURRENCY.FORMAT_1),CURRENCY.FORMAT_1,0)),'DICTIONARY-5'!$A$2)</f>
        <v>227,-</v>
      </c>
      <c r="M813" s="670" t="str">
        <f>IF(EXC.RATE_2=0,"",IFERROR(IF(CURRENCY.FORMAT_2=0,CONCATENATE(TEXT(FIXED(ROUND(IF(EXC.RATE.SWITCH=1,C813*(1-I813)*(1-ADD.DISCOUNT)*(1+MAT.SURCHARGE)/EXC.RATE_2,C813*(1-I813)*(1-ADD.DISCOUNT)*(1+MAT.SURCHARGE)*EXC.RATE_2),CURRENCY.FORMAT_2),CURRENCY.FORMAT_2,1),"# ##0;-# ##0"),",-"),FIXED(ROUND(IF(EXC.RATE.SWITCH=1,C813*(1-I813)*(1-ADD.DISCOUNT)*(1+MAT.SURCHARGE)/EXC.RATE_2,C813*(1-I813)*(1-ADD.DISCOUNT)*(1+MAT.SURCHARGE)*EXC.RATE_2),CURRENCY.FORMAT_2),CURRENCY.FORMAT_2,0)),'DICTIONARY-5'!$A$2))</f>
        <v/>
      </c>
      <c r="N813" s="544">
        <v>2</v>
      </c>
      <c r="O813" s="544"/>
      <c r="P813" s="732" t="str">
        <f>'DICTIONARY-3'!$A$38</f>
        <v>HADE PRA-G</v>
      </c>
      <c r="Q813" s="732" t="str">
        <f>'DICTIONARY-3'!$A$231</f>
        <v>Zestaw kotwiący</v>
      </c>
      <c r="R813" s="732" t="str">
        <f>CONCATENATE('DICTIONARY-3'!$A$231," ",'DICTIONARY-5'!$A$7," ",'DICTIONARY-3'!$A$38," ",'DICTIONARY-2'!$A$2,"1000")</f>
        <v>Zestaw kotwiący dla HADE PRA-G DN1000</v>
      </c>
      <c r="S813" s="733" t="s">
        <v>5569</v>
      </c>
      <c r="T813" s="732" t="s">
        <v>5569</v>
      </c>
      <c r="U813" s="734" t="s">
        <v>5836</v>
      </c>
      <c r="V813" s="735" t="s">
        <v>5569</v>
      </c>
      <c r="W813" s="736"/>
      <c r="X813" s="737"/>
      <c r="Y813" s="738"/>
      <c r="Z813" s="739"/>
      <c r="AA813" s="739"/>
      <c r="AB813" s="740" t="s">
        <v>5569</v>
      </c>
      <c r="AC813" s="741" t="s">
        <v>5569</v>
      </c>
      <c r="AD813" s="741" t="s">
        <v>5569</v>
      </c>
      <c r="AE813" s="742" t="s">
        <v>5569</v>
      </c>
      <c r="AF813" s="743">
        <v>0.5</v>
      </c>
      <c r="AG813" s="741" t="s">
        <v>5569</v>
      </c>
    </row>
    <row r="814" spans="1:33" x14ac:dyDescent="0.25">
      <c r="A814" s="842" t="s">
        <v>759</v>
      </c>
      <c r="B814" s="842" t="s">
        <v>4497</v>
      </c>
      <c r="C814" s="836">
        <v>375</v>
      </c>
      <c r="D814" s="836"/>
      <c r="E814" s="836"/>
      <c r="F814" s="836"/>
      <c r="G814" s="496" t="s">
        <v>7829</v>
      </c>
      <c r="H814" s="797" t="str">
        <f>VLOOKUP(G814,SETTINGS!$B$7:$D$97,2,0)</f>
        <v>HADE</v>
      </c>
      <c r="I814" s="796">
        <f>VLOOKUP(G814,SETTINGS!$B$7:$D$97,3,0)</f>
        <v>0</v>
      </c>
      <c r="J814" s="670" t="str">
        <f>IFERROR(IF(CURRENCY.FORMAT_1=0,CONCATENATE(TEXT(FIXED(ROUND((C814/EXC.RATE_1),CURRENCY.FORMAT_1),CURRENCY.FORMAT_1,1),"# ##0;-# ##0"),",-"),FIXED(ROUND((C814/EXC.RATE_1),CURRENCY.FORMAT_1),CURRENCY.FORMAT_1,0)),'DICTIONARY-5'!$A$2)</f>
        <v>375,-</v>
      </c>
      <c r="K814" s="670" t="str">
        <f>IF(EXC.RATE_2=0,"",IFERROR(IF(CURRENCY.FORMAT_2=0,CONCATENATE(TEXT(FIXED(ROUND(IF(EXC.RATE.SWITCH=1,C814/EXC.RATE_2,C814*EXC.RATE_2),CURRENCY.FORMAT_2),CURRENCY.FORMAT_2,1),"# ##0;-# ##0"),",-"),FIXED(ROUND(IF(EXC.RATE.SWITCH=1,C814/EXC.RATE_2,C814*EXC.RATE_2),CURRENCY.FORMAT_2),CURRENCY.FORMAT_2,0)),'DICTIONARY-5'!$A$2))</f>
        <v/>
      </c>
      <c r="L814" s="670" t="str">
        <f>IFERROR(IF(CURRENCY.FORMAT_1=0,CONCATENATE(TEXT(FIXED(ROUND((C814*(1-I814)*(1-ADD.DISCOUNT)*(1+MAT.SURCHARGE)/EXC.RATE_1),CURRENCY.FORMAT_1),CURRENCY.FORMAT_1,1),"# ##0;-# ##0"),",-"),FIXED(ROUND((C814*(1-I814)*(1-ADD.DISCOUNT)*(1+MAT.SURCHARGE)/EXC.RATE_1),CURRENCY.FORMAT_1),CURRENCY.FORMAT_1,0)),'DICTIONARY-5'!$A$2)</f>
        <v>390,-</v>
      </c>
      <c r="M814" s="670" t="str">
        <f>IF(EXC.RATE_2=0,"",IFERROR(IF(CURRENCY.FORMAT_2=0,CONCATENATE(TEXT(FIXED(ROUND(IF(EXC.RATE.SWITCH=1,C814*(1-I814)*(1-ADD.DISCOUNT)*(1+MAT.SURCHARGE)/EXC.RATE_2,C814*(1-I814)*(1-ADD.DISCOUNT)*(1+MAT.SURCHARGE)*EXC.RATE_2),CURRENCY.FORMAT_2),CURRENCY.FORMAT_2,1),"# ##0;-# ##0"),",-"),FIXED(ROUND(IF(EXC.RATE.SWITCH=1,C814*(1-I814)*(1-ADD.DISCOUNT)*(1+MAT.SURCHARGE)/EXC.RATE_2,C814*(1-I814)*(1-ADD.DISCOUNT)*(1+MAT.SURCHARGE)*EXC.RATE_2),CURRENCY.FORMAT_2),CURRENCY.FORMAT_2,0)),'DICTIONARY-5'!$A$2))</f>
        <v/>
      </c>
      <c r="N814" s="544">
        <v>2</v>
      </c>
      <c r="O814" s="544"/>
      <c r="P814" s="732" t="str">
        <f>'DICTIONARY-3'!$A$38</f>
        <v>HADE PRA-G</v>
      </c>
      <c r="Q814" s="732" t="str">
        <f>'DICTIONARY-3'!$A$231</f>
        <v>Zestaw kotwiący</v>
      </c>
      <c r="R814" s="732" t="str">
        <f>CONCATENATE('DICTIONARY-3'!$A$231," ",'DICTIONARY-5'!$A$7," ",'DICTIONARY-3'!$A$38," ",'DICTIONARY-2'!$A$2,"1100-1200")</f>
        <v>Zestaw kotwiący dla HADE PRA-G DN1100-1200</v>
      </c>
      <c r="S814" s="733" t="s">
        <v>5569</v>
      </c>
      <c r="T814" s="732" t="s">
        <v>5569</v>
      </c>
      <c r="U814" s="734" t="s">
        <v>5810</v>
      </c>
      <c r="V814" s="735" t="s">
        <v>5569</v>
      </c>
      <c r="W814" s="736"/>
      <c r="X814" s="737"/>
      <c r="Y814" s="738"/>
      <c r="Z814" s="739"/>
      <c r="AA814" s="739"/>
      <c r="AB814" s="740" t="s">
        <v>5569</v>
      </c>
      <c r="AC814" s="741" t="s">
        <v>5569</v>
      </c>
      <c r="AD814" s="741" t="s">
        <v>5569</v>
      </c>
      <c r="AE814" s="742" t="s">
        <v>5569</v>
      </c>
      <c r="AF814" s="743">
        <v>0.5</v>
      </c>
      <c r="AG814" s="741" t="s">
        <v>5569</v>
      </c>
    </row>
    <row r="815" spans="1:33" x14ac:dyDescent="0.25">
      <c r="A815" s="842" t="s">
        <v>762</v>
      </c>
      <c r="B815" s="842" t="s">
        <v>4601</v>
      </c>
      <c r="C815" s="836">
        <v>464</v>
      </c>
      <c r="D815" s="836"/>
      <c r="E815" s="836"/>
      <c r="F815" s="836"/>
      <c r="G815" s="496" t="s">
        <v>7829</v>
      </c>
      <c r="H815" s="797" t="str">
        <f>VLOOKUP(G815,SETTINGS!$B$7:$D$97,2,0)</f>
        <v>HADE</v>
      </c>
      <c r="I815" s="796">
        <f>VLOOKUP(G815,SETTINGS!$B$7:$D$97,3,0)</f>
        <v>0</v>
      </c>
      <c r="J815" s="670" t="str">
        <f>IFERROR(IF(CURRENCY.FORMAT_1=0,CONCATENATE(TEXT(FIXED(ROUND((C815/EXC.RATE_1),CURRENCY.FORMAT_1),CURRENCY.FORMAT_1,1),"# ##0;-# ##0"),",-"),FIXED(ROUND((C815/EXC.RATE_1),CURRENCY.FORMAT_1),CURRENCY.FORMAT_1,0)),'DICTIONARY-5'!$A$2)</f>
        <v>464,-</v>
      </c>
      <c r="K815" s="670" t="str">
        <f>IF(EXC.RATE_2=0,"",IFERROR(IF(CURRENCY.FORMAT_2=0,CONCATENATE(TEXT(FIXED(ROUND(IF(EXC.RATE.SWITCH=1,C815/EXC.RATE_2,C815*EXC.RATE_2),CURRENCY.FORMAT_2),CURRENCY.FORMAT_2,1),"# ##0;-# ##0"),",-"),FIXED(ROUND(IF(EXC.RATE.SWITCH=1,C815/EXC.RATE_2,C815*EXC.RATE_2),CURRENCY.FORMAT_2),CURRENCY.FORMAT_2,0)),'DICTIONARY-5'!$A$2))</f>
        <v/>
      </c>
      <c r="L815" s="670" t="str">
        <f>IFERROR(IF(CURRENCY.FORMAT_1=0,CONCATENATE(TEXT(FIXED(ROUND((C815*(1-I815)*(1-ADD.DISCOUNT)*(1+MAT.SURCHARGE)/EXC.RATE_1),CURRENCY.FORMAT_1),CURRENCY.FORMAT_1,1),"# ##0;-# ##0"),",-"),FIXED(ROUND((C815*(1-I815)*(1-ADD.DISCOUNT)*(1+MAT.SURCHARGE)/EXC.RATE_1),CURRENCY.FORMAT_1),CURRENCY.FORMAT_1,0)),'DICTIONARY-5'!$A$2)</f>
        <v>482,-</v>
      </c>
      <c r="M815" s="670" t="str">
        <f>IF(EXC.RATE_2=0,"",IFERROR(IF(CURRENCY.FORMAT_2=0,CONCATENATE(TEXT(FIXED(ROUND(IF(EXC.RATE.SWITCH=1,C815*(1-I815)*(1-ADD.DISCOUNT)*(1+MAT.SURCHARGE)/EXC.RATE_2,C815*(1-I815)*(1-ADD.DISCOUNT)*(1+MAT.SURCHARGE)*EXC.RATE_2),CURRENCY.FORMAT_2),CURRENCY.FORMAT_2,1),"# ##0;-# ##0"),",-"),FIXED(ROUND(IF(EXC.RATE.SWITCH=1,C815*(1-I815)*(1-ADD.DISCOUNT)*(1+MAT.SURCHARGE)/EXC.RATE_2,C815*(1-I815)*(1-ADD.DISCOUNT)*(1+MAT.SURCHARGE)*EXC.RATE_2),CURRENCY.FORMAT_2),CURRENCY.FORMAT_2,0)),'DICTIONARY-5'!$A$2))</f>
        <v/>
      </c>
      <c r="N815" s="544">
        <v>2</v>
      </c>
      <c r="O815" s="544"/>
      <c r="P815" s="732" t="str">
        <f>'DICTIONARY-3'!$A$38</f>
        <v>HADE PRA-G</v>
      </c>
      <c r="Q815" s="732" t="str">
        <f>'DICTIONARY-3'!$A$231</f>
        <v>Zestaw kotwiący</v>
      </c>
      <c r="R815" s="732" t="str">
        <f>CONCATENATE('DICTIONARY-3'!$A$231," ",'DICTIONARY-5'!$A$7," ",'DICTIONARY-3'!$A$38," ",'DICTIONARY-2'!$A$2,"1300-1400")</f>
        <v>Zestaw kotwiący dla HADE PRA-G DN1300-1400</v>
      </c>
      <c r="S815" s="733" t="s">
        <v>5569</v>
      </c>
      <c r="T815" s="732" t="s">
        <v>5569</v>
      </c>
      <c r="U815" s="734" t="s">
        <v>5811</v>
      </c>
      <c r="V815" s="735" t="s">
        <v>5569</v>
      </c>
      <c r="W815" s="736"/>
      <c r="X815" s="737"/>
      <c r="Y815" s="738"/>
      <c r="Z815" s="739"/>
      <c r="AA815" s="739"/>
      <c r="AB815" s="740" t="s">
        <v>5569</v>
      </c>
      <c r="AC815" s="741" t="s">
        <v>5569</v>
      </c>
      <c r="AD815" s="741" t="s">
        <v>5569</v>
      </c>
      <c r="AE815" s="742" t="s">
        <v>5569</v>
      </c>
      <c r="AF815" s="743">
        <v>0.5</v>
      </c>
      <c r="AG815" s="741" t="s">
        <v>5569</v>
      </c>
    </row>
    <row r="816" spans="1:33" x14ac:dyDescent="0.25">
      <c r="A816" s="842" t="s">
        <v>765</v>
      </c>
      <c r="B816" s="842" t="s">
        <v>4602</v>
      </c>
      <c r="C816" s="836">
        <v>420</v>
      </c>
      <c r="D816" s="836"/>
      <c r="E816" s="836"/>
      <c r="F816" s="836"/>
      <c r="G816" s="496" t="s">
        <v>7829</v>
      </c>
      <c r="H816" s="797" t="str">
        <f>VLOOKUP(G816,SETTINGS!$B$7:$D$97,2,0)</f>
        <v>HADE</v>
      </c>
      <c r="I816" s="796">
        <f>VLOOKUP(G816,SETTINGS!$B$7:$D$97,3,0)</f>
        <v>0</v>
      </c>
      <c r="J816" s="670" t="str">
        <f>IFERROR(IF(CURRENCY.FORMAT_1=0,CONCATENATE(TEXT(FIXED(ROUND((C816/EXC.RATE_1),CURRENCY.FORMAT_1),CURRENCY.FORMAT_1,1),"# ##0;-# ##0"),",-"),FIXED(ROUND((C816/EXC.RATE_1),CURRENCY.FORMAT_1),CURRENCY.FORMAT_1,0)),'DICTIONARY-5'!$A$2)</f>
        <v>420,-</v>
      </c>
      <c r="K816" s="670" t="str">
        <f>IF(EXC.RATE_2=0,"",IFERROR(IF(CURRENCY.FORMAT_2=0,CONCATENATE(TEXT(FIXED(ROUND(IF(EXC.RATE.SWITCH=1,C816/EXC.RATE_2,C816*EXC.RATE_2),CURRENCY.FORMAT_2),CURRENCY.FORMAT_2,1),"# ##0;-# ##0"),",-"),FIXED(ROUND(IF(EXC.RATE.SWITCH=1,C816/EXC.RATE_2,C816*EXC.RATE_2),CURRENCY.FORMAT_2),CURRENCY.FORMAT_2,0)),'DICTIONARY-5'!$A$2))</f>
        <v/>
      </c>
      <c r="L816" s="670" t="str">
        <f>IFERROR(IF(CURRENCY.FORMAT_1=0,CONCATENATE(TEXT(FIXED(ROUND((C816*(1-I816)*(1-ADD.DISCOUNT)*(1+MAT.SURCHARGE)/EXC.RATE_1),CURRENCY.FORMAT_1),CURRENCY.FORMAT_1,1),"# ##0;-# ##0"),",-"),FIXED(ROUND((C816*(1-I816)*(1-ADD.DISCOUNT)*(1+MAT.SURCHARGE)/EXC.RATE_1),CURRENCY.FORMAT_1),CURRENCY.FORMAT_1,0)),'DICTIONARY-5'!$A$2)</f>
        <v>436,-</v>
      </c>
      <c r="M816" s="670" t="str">
        <f>IF(EXC.RATE_2=0,"",IFERROR(IF(CURRENCY.FORMAT_2=0,CONCATENATE(TEXT(FIXED(ROUND(IF(EXC.RATE.SWITCH=1,C816*(1-I816)*(1-ADD.DISCOUNT)*(1+MAT.SURCHARGE)/EXC.RATE_2,C816*(1-I816)*(1-ADD.DISCOUNT)*(1+MAT.SURCHARGE)*EXC.RATE_2),CURRENCY.FORMAT_2),CURRENCY.FORMAT_2,1),"# ##0;-# ##0"),",-"),FIXED(ROUND(IF(EXC.RATE.SWITCH=1,C816*(1-I816)*(1-ADD.DISCOUNT)*(1+MAT.SURCHARGE)/EXC.RATE_2,C816*(1-I816)*(1-ADD.DISCOUNT)*(1+MAT.SURCHARGE)*EXC.RATE_2),CURRENCY.FORMAT_2),CURRENCY.FORMAT_2,0)),'DICTIONARY-5'!$A$2))</f>
        <v/>
      </c>
      <c r="N816" s="544">
        <v>2</v>
      </c>
      <c r="O816" s="544"/>
      <c r="P816" s="732" t="str">
        <f>'DICTIONARY-3'!$A$38</f>
        <v>HADE PRA-G</v>
      </c>
      <c r="Q816" s="732" t="str">
        <f>'DICTIONARY-3'!$A$231</f>
        <v>Zestaw kotwiący</v>
      </c>
      <c r="R816" s="732" t="str">
        <f>CONCATENATE('DICTIONARY-3'!$A$231," ",'DICTIONARY-5'!$A$7," ",'DICTIONARY-3'!$A$38," ",'DICTIONARY-2'!$A$2,"1500")</f>
        <v>Zestaw kotwiący dla HADE PRA-G DN1500</v>
      </c>
      <c r="S816" s="733" t="s">
        <v>5569</v>
      </c>
      <c r="T816" s="732" t="s">
        <v>5569</v>
      </c>
      <c r="U816" s="734" t="s">
        <v>5845</v>
      </c>
      <c r="V816" s="735" t="s">
        <v>5569</v>
      </c>
      <c r="W816" s="736"/>
      <c r="X816" s="737"/>
      <c r="Y816" s="738"/>
      <c r="Z816" s="739"/>
      <c r="AA816" s="739"/>
      <c r="AB816" s="740" t="s">
        <v>5569</v>
      </c>
      <c r="AC816" s="741" t="s">
        <v>5569</v>
      </c>
      <c r="AD816" s="741" t="s">
        <v>5569</v>
      </c>
      <c r="AE816" s="742" t="s">
        <v>5569</v>
      </c>
      <c r="AF816" s="743">
        <v>0.5</v>
      </c>
      <c r="AG816" s="741" t="s">
        <v>5569</v>
      </c>
    </row>
    <row r="817" spans="1:34" x14ac:dyDescent="0.25">
      <c r="A817" s="842" t="s">
        <v>767</v>
      </c>
      <c r="B817" s="842" t="s">
        <v>4603</v>
      </c>
      <c r="C817" s="836">
        <v>973</v>
      </c>
      <c r="D817" s="836"/>
      <c r="E817" s="836"/>
      <c r="F817" s="836"/>
      <c r="G817" s="496" t="s">
        <v>7829</v>
      </c>
      <c r="H817" s="797" t="str">
        <f>VLOOKUP(G817,SETTINGS!$B$7:$D$97,2,0)</f>
        <v>HADE</v>
      </c>
      <c r="I817" s="796">
        <f>VLOOKUP(G817,SETTINGS!$B$7:$D$97,3,0)</f>
        <v>0</v>
      </c>
      <c r="J817" s="670" t="str">
        <f>IFERROR(IF(CURRENCY.FORMAT_1=0,CONCATENATE(TEXT(FIXED(ROUND((C817/EXC.RATE_1),CURRENCY.FORMAT_1),CURRENCY.FORMAT_1,1),"# ##0;-# ##0"),",-"),FIXED(ROUND((C817/EXC.RATE_1),CURRENCY.FORMAT_1),CURRENCY.FORMAT_1,0)),'DICTIONARY-5'!$A$2)</f>
        <v>973,-</v>
      </c>
      <c r="K817" s="670" t="str">
        <f>IF(EXC.RATE_2=0,"",IFERROR(IF(CURRENCY.FORMAT_2=0,CONCATENATE(TEXT(FIXED(ROUND(IF(EXC.RATE.SWITCH=1,C817/EXC.RATE_2,C817*EXC.RATE_2),CURRENCY.FORMAT_2),CURRENCY.FORMAT_2,1),"# ##0;-# ##0"),",-"),FIXED(ROUND(IF(EXC.RATE.SWITCH=1,C817/EXC.RATE_2,C817*EXC.RATE_2),CURRENCY.FORMAT_2),CURRENCY.FORMAT_2,0)),'DICTIONARY-5'!$A$2))</f>
        <v/>
      </c>
      <c r="L817" s="670" t="str">
        <f>IFERROR(IF(CURRENCY.FORMAT_1=0,CONCATENATE(TEXT(FIXED(ROUND((C817*(1-I817)*(1-ADD.DISCOUNT)*(1+MAT.SURCHARGE)/EXC.RATE_1),CURRENCY.FORMAT_1),CURRENCY.FORMAT_1,1),"# ##0;-# ##0"),",-"),FIXED(ROUND((C817*(1-I817)*(1-ADD.DISCOUNT)*(1+MAT.SURCHARGE)/EXC.RATE_1),CURRENCY.FORMAT_1),CURRENCY.FORMAT_1,0)),'DICTIONARY-5'!$A$2)</f>
        <v>1 011,-</v>
      </c>
      <c r="M817" s="670" t="str">
        <f>IF(EXC.RATE_2=0,"",IFERROR(IF(CURRENCY.FORMAT_2=0,CONCATENATE(TEXT(FIXED(ROUND(IF(EXC.RATE.SWITCH=1,C817*(1-I817)*(1-ADD.DISCOUNT)*(1+MAT.SURCHARGE)/EXC.RATE_2,C817*(1-I817)*(1-ADD.DISCOUNT)*(1+MAT.SURCHARGE)*EXC.RATE_2),CURRENCY.FORMAT_2),CURRENCY.FORMAT_2,1),"# ##0;-# ##0"),",-"),FIXED(ROUND(IF(EXC.RATE.SWITCH=1,C817*(1-I817)*(1-ADD.DISCOUNT)*(1+MAT.SURCHARGE)/EXC.RATE_2,C817*(1-I817)*(1-ADD.DISCOUNT)*(1+MAT.SURCHARGE)*EXC.RATE_2),CURRENCY.FORMAT_2),CURRENCY.FORMAT_2,0)),'DICTIONARY-5'!$A$2))</f>
        <v/>
      </c>
      <c r="N817" s="544">
        <v>2</v>
      </c>
      <c r="O817" s="544"/>
      <c r="P817" s="732" t="str">
        <f>'DICTIONARY-3'!$A$38</f>
        <v>HADE PRA-G</v>
      </c>
      <c r="Q817" s="732" t="str">
        <f>'DICTIONARY-3'!$A$231</f>
        <v>Zestaw kotwiący</v>
      </c>
      <c r="R817" s="732" t="str">
        <f>CONCATENATE('DICTIONARY-3'!$A$231," ",'DICTIONARY-5'!$A$7," ",'DICTIONARY-3'!$A$38," ",'DICTIONARY-2'!$A$2,"1600-1800")</f>
        <v>Zestaw kotwiący dla HADE PRA-G DN1600-1800</v>
      </c>
      <c r="S817" s="733" t="s">
        <v>5569</v>
      </c>
      <c r="T817" s="732" t="s">
        <v>5569</v>
      </c>
      <c r="U817" s="734" t="s">
        <v>5812</v>
      </c>
      <c r="V817" s="735" t="s">
        <v>5569</v>
      </c>
      <c r="W817" s="736"/>
      <c r="X817" s="737"/>
      <c r="Y817" s="738"/>
      <c r="Z817" s="739"/>
      <c r="AA817" s="739"/>
      <c r="AB817" s="740" t="s">
        <v>5569</v>
      </c>
      <c r="AC817" s="741" t="s">
        <v>5569</v>
      </c>
      <c r="AD817" s="741" t="s">
        <v>5569</v>
      </c>
      <c r="AE817" s="742" t="s">
        <v>5569</v>
      </c>
      <c r="AF817" s="743">
        <v>0.5</v>
      </c>
      <c r="AG817" s="741" t="s">
        <v>5569</v>
      </c>
    </row>
    <row r="818" spans="1:34" x14ac:dyDescent="0.25">
      <c r="A818" s="842" t="s">
        <v>770</v>
      </c>
      <c r="B818" s="842" t="s">
        <v>4604</v>
      </c>
      <c r="C818" s="836">
        <v>471</v>
      </c>
      <c r="D818" s="836"/>
      <c r="E818" s="836"/>
      <c r="F818" s="836"/>
      <c r="G818" s="496" t="s">
        <v>7829</v>
      </c>
      <c r="H818" s="797" t="str">
        <f>VLOOKUP(G818,SETTINGS!$B$7:$D$97,2,0)</f>
        <v>HADE</v>
      </c>
      <c r="I818" s="796">
        <f>VLOOKUP(G818,SETTINGS!$B$7:$D$97,3,0)</f>
        <v>0</v>
      </c>
      <c r="J818" s="670" t="str">
        <f>IFERROR(IF(CURRENCY.FORMAT_1=0,CONCATENATE(TEXT(FIXED(ROUND((C818/EXC.RATE_1),CURRENCY.FORMAT_1),CURRENCY.FORMAT_1,1),"# ##0;-# ##0"),",-"),FIXED(ROUND((C818/EXC.RATE_1),CURRENCY.FORMAT_1),CURRENCY.FORMAT_1,0)),'DICTIONARY-5'!$A$2)</f>
        <v>471,-</v>
      </c>
      <c r="K818" s="670" t="str">
        <f>IF(EXC.RATE_2=0,"",IFERROR(IF(CURRENCY.FORMAT_2=0,CONCATENATE(TEXT(FIXED(ROUND(IF(EXC.RATE.SWITCH=1,C818/EXC.RATE_2,C818*EXC.RATE_2),CURRENCY.FORMAT_2),CURRENCY.FORMAT_2,1),"# ##0;-# ##0"),",-"),FIXED(ROUND(IF(EXC.RATE.SWITCH=1,C818/EXC.RATE_2,C818*EXC.RATE_2),CURRENCY.FORMAT_2),CURRENCY.FORMAT_2,0)),'DICTIONARY-5'!$A$2))</f>
        <v/>
      </c>
      <c r="L818" s="670" t="str">
        <f>IFERROR(IF(CURRENCY.FORMAT_1=0,CONCATENATE(TEXT(FIXED(ROUND((C818*(1-I818)*(1-ADD.DISCOUNT)*(1+MAT.SURCHARGE)/EXC.RATE_1),CURRENCY.FORMAT_1),CURRENCY.FORMAT_1,1),"# ##0;-# ##0"),",-"),FIXED(ROUND((C818*(1-I818)*(1-ADD.DISCOUNT)*(1+MAT.SURCHARGE)/EXC.RATE_1),CURRENCY.FORMAT_1),CURRENCY.FORMAT_1,0)),'DICTIONARY-5'!$A$2)</f>
        <v>489,-</v>
      </c>
      <c r="M818" s="670" t="str">
        <f>IF(EXC.RATE_2=0,"",IFERROR(IF(CURRENCY.FORMAT_2=0,CONCATENATE(TEXT(FIXED(ROUND(IF(EXC.RATE.SWITCH=1,C818*(1-I818)*(1-ADD.DISCOUNT)*(1+MAT.SURCHARGE)/EXC.RATE_2,C818*(1-I818)*(1-ADD.DISCOUNT)*(1+MAT.SURCHARGE)*EXC.RATE_2),CURRENCY.FORMAT_2),CURRENCY.FORMAT_2,1),"# ##0;-# ##0"),",-"),FIXED(ROUND(IF(EXC.RATE.SWITCH=1,C818*(1-I818)*(1-ADD.DISCOUNT)*(1+MAT.SURCHARGE)/EXC.RATE_2,C818*(1-I818)*(1-ADD.DISCOUNT)*(1+MAT.SURCHARGE)*EXC.RATE_2),CURRENCY.FORMAT_2),CURRENCY.FORMAT_2,0)),'DICTIONARY-5'!$A$2))</f>
        <v/>
      </c>
      <c r="N818" s="544">
        <v>2</v>
      </c>
      <c r="O818" s="544"/>
      <c r="P818" s="732" t="str">
        <f>'DICTIONARY-3'!$A$38</f>
        <v>HADE PRA-G</v>
      </c>
      <c r="Q818" s="732" t="str">
        <f>'DICTIONARY-3'!$A$231</f>
        <v>Zestaw kotwiący</v>
      </c>
      <c r="R818" s="732" t="str">
        <f>CONCATENATE('DICTIONARY-3'!$A$231," ",'DICTIONARY-5'!$A$7," ",'DICTIONARY-3'!$A$38," ",'DICTIONARY-2'!$A$2,"2000")</f>
        <v>Zestaw kotwiący dla HADE PRA-G DN2000</v>
      </c>
      <c r="S818" s="733" t="s">
        <v>5569</v>
      </c>
      <c r="T818" s="732" t="s">
        <v>5569</v>
      </c>
      <c r="U818" s="734" t="s">
        <v>5842</v>
      </c>
      <c r="V818" s="735" t="s">
        <v>5569</v>
      </c>
      <c r="W818" s="736"/>
      <c r="X818" s="737"/>
      <c r="Y818" s="738"/>
      <c r="Z818" s="739"/>
      <c r="AA818" s="739"/>
      <c r="AB818" s="740" t="s">
        <v>5569</v>
      </c>
      <c r="AC818" s="741" t="s">
        <v>5569</v>
      </c>
      <c r="AD818" s="741" t="s">
        <v>5569</v>
      </c>
      <c r="AE818" s="742" t="s">
        <v>5569</v>
      </c>
      <c r="AF818" s="743">
        <v>0.5</v>
      </c>
      <c r="AG818" s="741" t="s">
        <v>5569</v>
      </c>
    </row>
    <row r="819" spans="1:34" x14ac:dyDescent="0.25">
      <c r="A819" s="846" t="s">
        <v>5078</v>
      </c>
      <c r="B819" s="846" t="s">
        <v>5077</v>
      </c>
      <c r="C819" s="836">
        <v>82</v>
      </c>
      <c r="D819" s="836"/>
      <c r="E819" s="836"/>
      <c r="F819" s="836"/>
      <c r="G819" s="496" t="s">
        <v>7829</v>
      </c>
      <c r="H819" s="797" t="str">
        <f>VLOOKUP(G819,SETTINGS!$B$7:$D$97,2,0)</f>
        <v>HADE</v>
      </c>
      <c r="I819" s="796">
        <f>VLOOKUP(G819,SETTINGS!$B$7:$D$97,3,0)</f>
        <v>0</v>
      </c>
      <c r="J819" s="670" t="str">
        <f>IFERROR(IF(CURRENCY.FORMAT_1=0,CONCATENATE(TEXT(FIXED(ROUND((C819/EXC.RATE_1),CURRENCY.FORMAT_1),CURRENCY.FORMAT_1,1),"# ##0;-# ##0"),",-"),FIXED(ROUND((C819/EXC.RATE_1),CURRENCY.FORMAT_1),CURRENCY.FORMAT_1,0)),'DICTIONARY-5'!$A$2)</f>
        <v>82,-</v>
      </c>
      <c r="K819" s="670" t="str">
        <f>IF(EXC.RATE_2=0,"",IFERROR(IF(CURRENCY.FORMAT_2=0,CONCATENATE(TEXT(FIXED(ROUND(IF(EXC.RATE.SWITCH=1,C819/EXC.RATE_2,C819*EXC.RATE_2),CURRENCY.FORMAT_2),CURRENCY.FORMAT_2,1),"# ##0;-# ##0"),",-"),FIXED(ROUND(IF(EXC.RATE.SWITCH=1,C819/EXC.RATE_2,C819*EXC.RATE_2),CURRENCY.FORMAT_2),CURRENCY.FORMAT_2,0)),'DICTIONARY-5'!$A$2))</f>
        <v/>
      </c>
      <c r="L819" s="670" t="str">
        <f>IFERROR(IF(CURRENCY.FORMAT_1=0,CONCATENATE(TEXT(FIXED(ROUND((C819*(1-I819)*(1-ADD.DISCOUNT)*(1+MAT.SURCHARGE)/EXC.RATE_1),CURRENCY.FORMAT_1),CURRENCY.FORMAT_1,1),"# ##0;-# ##0"),",-"),FIXED(ROUND((C819*(1-I819)*(1-ADD.DISCOUNT)*(1+MAT.SURCHARGE)/EXC.RATE_1),CURRENCY.FORMAT_1),CURRENCY.FORMAT_1,0)),'DICTIONARY-5'!$A$2)</f>
        <v>85,-</v>
      </c>
      <c r="M819" s="670" t="str">
        <f>IF(EXC.RATE_2=0,"",IFERROR(IF(CURRENCY.FORMAT_2=0,CONCATENATE(TEXT(FIXED(ROUND(IF(EXC.RATE.SWITCH=1,C819*(1-I819)*(1-ADD.DISCOUNT)*(1+MAT.SURCHARGE)/EXC.RATE_2,C819*(1-I819)*(1-ADD.DISCOUNT)*(1+MAT.SURCHARGE)*EXC.RATE_2),CURRENCY.FORMAT_2),CURRENCY.FORMAT_2,1),"# ##0;-# ##0"),",-"),FIXED(ROUND(IF(EXC.RATE.SWITCH=1,C819*(1-I819)*(1-ADD.DISCOUNT)*(1+MAT.SURCHARGE)/EXC.RATE_2,C819*(1-I819)*(1-ADD.DISCOUNT)*(1+MAT.SURCHARGE)*EXC.RATE_2),CURRENCY.FORMAT_2),CURRENCY.FORMAT_2,0)),'DICTIONARY-5'!$A$2))</f>
        <v/>
      </c>
      <c r="N819" s="496">
        <v>2</v>
      </c>
      <c r="O819" s="496"/>
      <c r="P819" s="732" t="str">
        <f>'DICTIONARY-3'!$A$38</f>
        <v>HADE PRA-G</v>
      </c>
      <c r="Q819" s="732" t="str">
        <f>'DICTIONARY-3'!$A$237&amp;" "&amp;'DICTIONARY-5'!$A$7&amp;" "&amp;'DICTIONARY-3'!$A$142</f>
        <v>Kwadrat pod klucz dla Klucz-T</v>
      </c>
      <c r="R819" s="732" t="str">
        <f>CONCATENATE('DICTIONARY-3'!$A$237&amp;" "&amp;'DICTIONARY-5'!$A$7&amp;" "&amp;'DICTIONARY-3'!$A$142," ",'DICTIONARY-5'!$A$7," ",'DICTIONARY-3'!$A$38)</f>
        <v>Kwadrat pod klucz dla Klucz-T dla HADE PRA-G</v>
      </c>
      <c r="S819" s="733" t="s">
        <v>5569</v>
      </c>
      <c r="T819" s="732" t="s">
        <v>5569</v>
      </c>
      <c r="U819" s="734"/>
      <c r="V819" s="735" t="s">
        <v>5569</v>
      </c>
      <c r="W819" s="736"/>
      <c r="X819" s="737"/>
      <c r="Y819" s="738"/>
      <c r="Z819" s="739"/>
      <c r="AA819" s="739"/>
      <c r="AB819" s="740" t="s">
        <v>5569</v>
      </c>
      <c r="AC819" s="741" t="s">
        <v>5569</v>
      </c>
      <c r="AD819" s="741" t="s">
        <v>5569</v>
      </c>
      <c r="AE819" s="742" t="s">
        <v>5569</v>
      </c>
      <c r="AF819" s="743">
        <v>0.4</v>
      </c>
      <c r="AG819" s="741" t="s">
        <v>5569</v>
      </c>
    </row>
    <row r="820" spans="1:34" x14ac:dyDescent="0.25">
      <c r="A820" s="851" t="s">
        <v>816</v>
      </c>
      <c r="B820" s="851" t="s">
        <v>4279</v>
      </c>
      <c r="C820" s="836">
        <v>485</v>
      </c>
      <c r="D820" s="836"/>
      <c r="E820" s="836"/>
      <c r="F820" s="836"/>
      <c r="G820" s="496" t="s">
        <v>7801</v>
      </c>
      <c r="H820" s="797" t="str">
        <f>VLOOKUP(G820,SETTINGS!$B$7:$D$97,2,0)</f>
        <v>HYDRUS G</v>
      </c>
      <c r="I820" s="796">
        <f>VLOOKUP(G820,SETTINGS!$B$7:$D$97,3,0)</f>
        <v>0</v>
      </c>
      <c r="J820" s="670" t="str">
        <f>IFERROR(IF(CURRENCY.FORMAT_1=0,CONCATENATE(TEXT(FIXED(ROUND((C820/EXC.RATE_1),CURRENCY.FORMAT_1),CURRENCY.FORMAT_1,1),"# ##0;-# ##0"),",-"),FIXED(ROUND((C820/EXC.RATE_1),CURRENCY.FORMAT_1),CURRENCY.FORMAT_1,0)),'DICTIONARY-5'!$A$2)</f>
        <v>485,-</v>
      </c>
      <c r="K820" s="670" t="str">
        <f>IF(EXC.RATE_2=0,"",IFERROR(IF(CURRENCY.FORMAT_2=0,CONCATENATE(TEXT(FIXED(ROUND(IF(EXC.RATE.SWITCH=1,C820/EXC.RATE_2,C820*EXC.RATE_2),CURRENCY.FORMAT_2),CURRENCY.FORMAT_2,1),"# ##0;-# ##0"),",-"),FIXED(ROUND(IF(EXC.RATE.SWITCH=1,C820/EXC.RATE_2,C820*EXC.RATE_2),CURRENCY.FORMAT_2),CURRENCY.FORMAT_2,0)),'DICTIONARY-5'!$A$2))</f>
        <v/>
      </c>
      <c r="L820" s="670" t="str">
        <f>IFERROR(IF(CURRENCY.FORMAT_1=0,CONCATENATE(TEXT(FIXED(ROUND((C820*(1-I820)*(1-ADD.DISCOUNT)*(1+MAT.SURCHARGE)/EXC.RATE_1),CURRENCY.FORMAT_1),CURRENCY.FORMAT_1,1),"# ##0;-# ##0"),",-"),FIXED(ROUND((C820*(1-I820)*(1-ADD.DISCOUNT)*(1+MAT.SURCHARGE)/EXC.RATE_1),CURRENCY.FORMAT_1),CURRENCY.FORMAT_1,0)),'DICTIONARY-5'!$A$2)</f>
        <v>504,-</v>
      </c>
      <c r="M820" s="670" t="str">
        <f>IF(EXC.RATE_2=0,"",IFERROR(IF(CURRENCY.FORMAT_2=0,CONCATENATE(TEXT(FIXED(ROUND(IF(EXC.RATE.SWITCH=1,C820*(1-I820)*(1-ADD.DISCOUNT)*(1+MAT.SURCHARGE)/EXC.RATE_2,C820*(1-I820)*(1-ADD.DISCOUNT)*(1+MAT.SURCHARGE)*EXC.RATE_2),CURRENCY.FORMAT_2),CURRENCY.FORMAT_2,1),"# ##0;-# ##0"),",-"),FIXED(ROUND(IF(EXC.RATE.SWITCH=1,C820*(1-I820)*(1-ADD.DISCOUNT)*(1+MAT.SURCHARGE)/EXC.RATE_2,C820*(1-I820)*(1-ADD.DISCOUNT)*(1+MAT.SURCHARGE)*EXC.RATE_2),CURRENCY.FORMAT_2),CURRENCY.FORMAT_2,0)),'DICTIONARY-5'!$A$2))</f>
        <v/>
      </c>
      <c r="N820" s="543">
        <v>3</v>
      </c>
      <c r="O820" s="543"/>
      <c r="P820" s="731" t="str">
        <f>'DICTIONARY-3'!$A$47</f>
        <v>HYDRUS G1</v>
      </c>
      <c r="Q820" s="732" t="str">
        <f>'DICTIONARY-3'!$A$193</f>
        <v>Hydrant podziemny</v>
      </c>
      <c r="R820" s="732" t="str">
        <f>CONCATENATE('DICTIONARY-3'!$A$47," ",'DICTIONARY-6'!$A$10," ",'DICTIONARY-2'!$A$2,"80"," ",'DICTIONARY-2'!$A$3,"10/16"," ",'DICTIONARY-2'!$A$7,"0,75m"," ",'DICTIONARY-6'!$A$26)</f>
        <v>HYDRUS G1 Hydr. podz. DN80 PN10/16 Rd0,75m pokr. wylotu z tworzywa</v>
      </c>
      <c r="S820" s="733" t="str">
        <f>'DICTIONARY-4'!$A$13</f>
        <v>KK</v>
      </c>
      <c r="T820" s="732" t="str">
        <f>'DICTIONARY-4'!$A$29</f>
        <v>Końcówka kwadratowa, zamontowana</v>
      </c>
      <c r="U820" s="734" t="s">
        <v>5760</v>
      </c>
      <c r="V820" s="735">
        <v>16</v>
      </c>
      <c r="W820" s="736"/>
      <c r="X820" s="737"/>
      <c r="Y820" s="745" t="s">
        <v>5804</v>
      </c>
      <c r="Z820" s="747"/>
      <c r="AA820" s="747"/>
      <c r="AB820" s="740">
        <v>16</v>
      </c>
      <c r="AC820" s="741"/>
      <c r="AD820" s="741" t="str">
        <f>'DICTIONARY-5'!$A$13</f>
        <v>woda pitna</v>
      </c>
      <c r="AE820" s="742">
        <v>50</v>
      </c>
      <c r="AF820" s="743">
        <v>23</v>
      </c>
      <c r="AG820" s="741" t="str">
        <f>'DICTIONARY-5'!$A$23</f>
        <v>powłoka epoksydowa</v>
      </c>
    </row>
    <row r="821" spans="1:34" x14ac:dyDescent="0.25">
      <c r="A821" s="851" t="s">
        <v>818</v>
      </c>
      <c r="B821" s="851" t="s">
        <v>4280</v>
      </c>
      <c r="C821" s="836">
        <v>533</v>
      </c>
      <c r="D821" s="836"/>
      <c r="E821" s="836"/>
      <c r="F821" s="836"/>
      <c r="G821" s="496" t="s">
        <v>7801</v>
      </c>
      <c r="H821" s="797" t="str">
        <f>VLOOKUP(G821,SETTINGS!$B$7:$D$97,2,0)</f>
        <v>HYDRUS G</v>
      </c>
      <c r="I821" s="796">
        <f>VLOOKUP(G821,SETTINGS!$B$7:$D$97,3,0)</f>
        <v>0</v>
      </c>
      <c r="J821" s="670" t="str">
        <f>IFERROR(IF(CURRENCY.FORMAT_1=0,CONCATENATE(TEXT(FIXED(ROUND((C821/EXC.RATE_1),CURRENCY.FORMAT_1),CURRENCY.FORMAT_1,1),"# ##0;-# ##0"),",-"),FIXED(ROUND((C821/EXC.RATE_1),CURRENCY.FORMAT_1),CURRENCY.FORMAT_1,0)),'DICTIONARY-5'!$A$2)</f>
        <v>533,-</v>
      </c>
      <c r="K821" s="670" t="str">
        <f>IF(EXC.RATE_2=0,"",IFERROR(IF(CURRENCY.FORMAT_2=0,CONCATENATE(TEXT(FIXED(ROUND(IF(EXC.RATE.SWITCH=1,C821/EXC.RATE_2,C821*EXC.RATE_2),CURRENCY.FORMAT_2),CURRENCY.FORMAT_2,1),"# ##0;-# ##0"),",-"),FIXED(ROUND(IF(EXC.RATE.SWITCH=1,C821/EXC.RATE_2,C821*EXC.RATE_2),CURRENCY.FORMAT_2),CURRENCY.FORMAT_2,0)),'DICTIONARY-5'!$A$2))</f>
        <v/>
      </c>
      <c r="L821" s="670" t="str">
        <f>IFERROR(IF(CURRENCY.FORMAT_1=0,CONCATENATE(TEXT(FIXED(ROUND((C821*(1-I821)*(1-ADD.DISCOUNT)*(1+MAT.SURCHARGE)/EXC.RATE_1),CURRENCY.FORMAT_1),CURRENCY.FORMAT_1,1),"# ##0;-# ##0"),",-"),FIXED(ROUND((C821*(1-I821)*(1-ADD.DISCOUNT)*(1+MAT.SURCHARGE)/EXC.RATE_1),CURRENCY.FORMAT_1),CURRENCY.FORMAT_1,0)),'DICTIONARY-5'!$A$2)</f>
        <v>554,-</v>
      </c>
      <c r="M821" s="670" t="str">
        <f>IF(EXC.RATE_2=0,"",IFERROR(IF(CURRENCY.FORMAT_2=0,CONCATENATE(TEXT(FIXED(ROUND(IF(EXC.RATE.SWITCH=1,C821*(1-I821)*(1-ADD.DISCOUNT)*(1+MAT.SURCHARGE)/EXC.RATE_2,C821*(1-I821)*(1-ADD.DISCOUNT)*(1+MAT.SURCHARGE)*EXC.RATE_2),CURRENCY.FORMAT_2),CURRENCY.FORMAT_2,1),"# ##0;-# ##0"),",-"),FIXED(ROUND(IF(EXC.RATE.SWITCH=1,C821*(1-I821)*(1-ADD.DISCOUNT)*(1+MAT.SURCHARGE)/EXC.RATE_2,C821*(1-I821)*(1-ADD.DISCOUNT)*(1+MAT.SURCHARGE)*EXC.RATE_2),CURRENCY.FORMAT_2),CURRENCY.FORMAT_2,0)),'DICTIONARY-5'!$A$2))</f>
        <v/>
      </c>
      <c r="N821" s="543">
        <v>3</v>
      </c>
      <c r="O821" s="543"/>
      <c r="P821" s="731" t="str">
        <f>'DICTIONARY-3'!$A$47</f>
        <v>HYDRUS G1</v>
      </c>
      <c r="Q821" s="732" t="str">
        <f>'DICTIONARY-3'!$A$193</f>
        <v>Hydrant podziemny</v>
      </c>
      <c r="R821" s="732" t="str">
        <f>CONCATENATE('DICTIONARY-3'!$A$47," ",'DICTIONARY-6'!$A$10," ",'DICTIONARY-2'!$A$2,"80"," ",'DICTIONARY-2'!$A$3,"10/16"," ",'DICTIONARY-2'!$A$7,"1,0m"," ",'DICTIONARY-6'!$A$26)</f>
        <v>HYDRUS G1 Hydr. podz. DN80 PN10/16 Rd1,0m pokr. wylotu z tworzywa</v>
      </c>
      <c r="S821" s="733" t="str">
        <f>'DICTIONARY-4'!$A$13</f>
        <v>KK</v>
      </c>
      <c r="T821" s="732" t="str">
        <f>'DICTIONARY-4'!$A$29</f>
        <v>Końcówka kwadratowa, zamontowana</v>
      </c>
      <c r="U821" s="734" t="s">
        <v>5760</v>
      </c>
      <c r="V821" s="735">
        <v>16</v>
      </c>
      <c r="W821" s="736"/>
      <c r="X821" s="737"/>
      <c r="Y821" s="745" t="s">
        <v>5652</v>
      </c>
      <c r="Z821" s="747"/>
      <c r="AA821" s="747"/>
      <c r="AB821" s="740">
        <v>16</v>
      </c>
      <c r="AC821" s="741"/>
      <c r="AD821" s="741" t="str">
        <f>'DICTIONARY-5'!$A$13</f>
        <v>woda pitna</v>
      </c>
      <c r="AE821" s="742">
        <v>50</v>
      </c>
      <c r="AF821" s="743">
        <v>27.5</v>
      </c>
      <c r="AG821" s="741" t="str">
        <f>'DICTIONARY-5'!$A$23</f>
        <v>powłoka epoksydowa</v>
      </c>
    </row>
    <row r="822" spans="1:34" x14ac:dyDescent="0.25">
      <c r="A822" s="851" t="s">
        <v>820</v>
      </c>
      <c r="B822" s="851" t="s">
        <v>4281</v>
      </c>
      <c r="C822" s="836">
        <v>540</v>
      </c>
      <c r="D822" s="836"/>
      <c r="E822" s="836"/>
      <c r="F822" s="836"/>
      <c r="G822" s="496" t="s">
        <v>7801</v>
      </c>
      <c r="H822" s="797" t="str">
        <f>VLOOKUP(G822,SETTINGS!$B$7:$D$97,2,0)</f>
        <v>HYDRUS G</v>
      </c>
      <c r="I822" s="796">
        <f>VLOOKUP(G822,SETTINGS!$B$7:$D$97,3,0)</f>
        <v>0</v>
      </c>
      <c r="J822" s="670" t="str">
        <f>IFERROR(IF(CURRENCY.FORMAT_1=0,CONCATENATE(TEXT(FIXED(ROUND((C822/EXC.RATE_1),CURRENCY.FORMAT_1),CURRENCY.FORMAT_1,1),"# ##0;-# ##0"),",-"),FIXED(ROUND((C822/EXC.RATE_1),CURRENCY.FORMAT_1),CURRENCY.FORMAT_1,0)),'DICTIONARY-5'!$A$2)</f>
        <v>540,-</v>
      </c>
      <c r="K822" s="670" t="str">
        <f>IF(EXC.RATE_2=0,"",IFERROR(IF(CURRENCY.FORMAT_2=0,CONCATENATE(TEXT(FIXED(ROUND(IF(EXC.RATE.SWITCH=1,C822/EXC.RATE_2,C822*EXC.RATE_2),CURRENCY.FORMAT_2),CURRENCY.FORMAT_2,1),"# ##0;-# ##0"),",-"),FIXED(ROUND(IF(EXC.RATE.SWITCH=1,C822/EXC.RATE_2,C822*EXC.RATE_2),CURRENCY.FORMAT_2),CURRENCY.FORMAT_2,0)),'DICTIONARY-5'!$A$2))</f>
        <v/>
      </c>
      <c r="L822" s="670" t="str">
        <f>IFERROR(IF(CURRENCY.FORMAT_1=0,CONCATENATE(TEXT(FIXED(ROUND((C822*(1-I822)*(1-ADD.DISCOUNT)*(1+MAT.SURCHARGE)/EXC.RATE_1),CURRENCY.FORMAT_1),CURRENCY.FORMAT_1,1),"# ##0;-# ##0"),",-"),FIXED(ROUND((C822*(1-I822)*(1-ADD.DISCOUNT)*(1+MAT.SURCHARGE)/EXC.RATE_1),CURRENCY.FORMAT_1),CURRENCY.FORMAT_1,0)),'DICTIONARY-5'!$A$2)</f>
        <v>561,-</v>
      </c>
      <c r="M822" s="670" t="str">
        <f>IF(EXC.RATE_2=0,"",IFERROR(IF(CURRENCY.FORMAT_2=0,CONCATENATE(TEXT(FIXED(ROUND(IF(EXC.RATE.SWITCH=1,C822*(1-I822)*(1-ADD.DISCOUNT)*(1+MAT.SURCHARGE)/EXC.RATE_2,C822*(1-I822)*(1-ADD.DISCOUNT)*(1+MAT.SURCHARGE)*EXC.RATE_2),CURRENCY.FORMAT_2),CURRENCY.FORMAT_2,1),"# ##0;-# ##0"),",-"),FIXED(ROUND(IF(EXC.RATE.SWITCH=1,C822*(1-I822)*(1-ADD.DISCOUNT)*(1+MAT.SURCHARGE)/EXC.RATE_2,C822*(1-I822)*(1-ADD.DISCOUNT)*(1+MAT.SURCHARGE)*EXC.RATE_2),CURRENCY.FORMAT_2),CURRENCY.FORMAT_2,0)),'DICTIONARY-5'!$A$2))</f>
        <v/>
      </c>
      <c r="N822" s="543">
        <v>3</v>
      </c>
      <c r="O822" s="543"/>
      <c r="P822" s="731" t="str">
        <f>'DICTIONARY-3'!$A$47</f>
        <v>HYDRUS G1</v>
      </c>
      <c r="Q822" s="732" t="str">
        <f>'DICTIONARY-3'!$A$193</f>
        <v>Hydrant podziemny</v>
      </c>
      <c r="R822" s="732" t="str">
        <f>CONCATENATE('DICTIONARY-3'!$A$47," ",'DICTIONARY-6'!$A$10," ",'DICTIONARY-2'!$A$2,"80"," ",'DICTIONARY-2'!$A$3,"10/16"," ",'DICTIONARY-2'!$A$7,"1,25m"," ",'DICTIONARY-6'!$A$26)</f>
        <v>HYDRUS G1 Hydr. podz. DN80 PN10/16 Rd1,25m pokr. wylotu z tworzywa</v>
      </c>
      <c r="S822" s="733" t="str">
        <f>'DICTIONARY-4'!$A$13</f>
        <v>KK</v>
      </c>
      <c r="T822" s="732" t="str">
        <f>'DICTIONARY-4'!$A$29</f>
        <v>Końcówka kwadratowa, zamontowana</v>
      </c>
      <c r="U822" s="734" t="s">
        <v>5760</v>
      </c>
      <c r="V822" s="735">
        <v>16</v>
      </c>
      <c r="W822" s="736"/>
      <c r="X822" s="737"/>
      <c r="Y822" s="745" t="s">
        <v>5653</v>
      </c>
      <c r="Z822" s="747"/>
      <c r="AA822" s="747"/>
      <c r="AB822" s="740">
        <v>16</v>
      </c>
      <c r="AC822" s="741"/>
      <c r="AD822" s="741" t="str">
        <f>'DICTIONARY-5'!$A$13</f>
        <v>woda pitna</v>
      </c>
      <c r="AE822" s="742">
        <v>50</v>
      </c>
      <c r="AF822" s="743">
        <v>35</v>
      </c>
      <c r="AG822" s="741" t="str">
        <f>'DICTIONARY-5'!$A$23</f>
        <v>powłoka epoksydowa</v>
      </c>
    </row>
    <row r="823" spans="1:34" x14ac:dyDescent="0.25">
      <c r="A823" s="851" t="s">
        <v>822</v>
      </c>
      <c r="B823" s="851" t="s">
        <v>4282</v>
      </c>
      <c r="C823" s="836">
        <v>579</v>
      </c>
      <c r="D823" s="836"/>
      <c r="E823" s="836"/>
      <c r="F823" s="836"/>
      <c r="G823" s="496" t="s">
        <v>7801</v>
      </c>
      <c r="H823" s="797" t="str">
        <f>VLOOKUP(G823,SETTINGS!$B$7:$D$97,2,0)</f>
        <v>HYDRUS G</v>
      </c>
      <c r="I823" s="796">
        <f>VLOOKUP(G823,SETTINGS!$B$7:$D$97,3,0)</f>
        <v>0</v>
      </c>
      <c r="J823" s="670" t="str">
        <f>IFERROR(IF(CURRENCY.FORMAT_1=0,CONCATENATE(TEXT(FIXED(ROUND((C823/EXC.RATE_1),CURRENCY.FORMAT_1),CURRENCY.FORMAT_1,1),"# ##0;-# ##0"),",-"),FIXED(ROUND((C823/EXC.RATE_1),CURRENCY.FORMAT_1),CURRENCY.FORMAT_1,0)),'DICTIONARY-5'!$A$2)</f>
        <v>579,-</v>
      </c>
      <c r="K823" s="670" t="str">
        <f>IF(EXC.RATE_2=0,"",IFERROR(IF(CURRENCY.FORMAT_2=0,CONCATENATE(TEXT(FIXED(ROUND(IF(EXC.RATE.SWITCH=1,C823/EXC.RATE_2,C823*EXC.RATE_2),CURRENCY.FORMAT_2),CURRENCY.FORMAT_2,1),"# ##0;-# ##0"),",-"),FIXED(ROUND(IF(EXC.RATE.SWITCH=1,C823/EXC.RATE_2,C823*EXC.RATE_2),CURRENCY.FORMAT_2),CURRENCY.FORMAT_2,0)),'DICTIONARY-5'!$A$2))</f>
        <v/>
      </c>
      <c r="L823" s="670" t="str">
        <f>IFERROR(IF(CURRENCY.FORMAT_1=0,CONCATENATE(TEXT(FIXED(ROUND((C823*(1-I823)*(1-ADD.DISCOUNT)*(1+MAT.SURCHARGE)/EXC.RATE_1),CURRENCY.FORMAT_1),CURRENCY.FORMAT_1,1),"# ##0;-# ##0"),",-"),FIXED(ROUND((C823*(1-I823)*(1-ADD.DISCOUNT)*(1+MAT.SURCHARGE)/EXC.RATE_1),CURRENCY.FORMAT_1),CURRENCY.FORMAT_1,0)),'DICTIONARY-5'!$A$2)</f>
        <v>602,-</v>
      </c>
      <c r="M823" s="670" t="str">
        <f>IF(EXC.RATE_2=0,"",IFERROR(IF(CURRENCY.FORMAT_2=0,CONCATENATE(TEXT(FIXED(ROUND(IF(EXC.RATE.SWITCH=1,C823*(1-I823)*(1-ADD.DISCOUNT)*(1+MAT.SURCHARGE)/EXC.RATE_2,C823*(1-I823)*(1-ADD.DISCOUNT)*(1+MAT.SURCHARGE)*EXC.RATE_2),CURRENCY.FORMAT_2),CURRENCY.FORMAT_2,1),"# ##0;-# ##0"),",-"),FIXED(ROUND(IF(EXC.RATE.SWITCH=1,C823*(1-I823)*(1-ADD.DISCOUNT)*(1+MAT.SURCHARGE)/EXC.RATE_2,C823*(1-I823)*(1-ADD.DISCOUNT)*(1+MAT.SURCHARGE)*EXC.RATE_2),CURRENCY.FORMAT_2),CURRENCY.FORMAT_2,0)),'DICTIONARY-5'!$A$2))</f>
        <v/>
      </c>
      <c r="N823" s="543">
        <v>3</v>
      </c>
      <c r="O823" s="543"/>
      <c r="P823" s="731" t="str">
        <f>'DICTIONARY-3'!$A$47</f>
        <v>HYDRUS G1</v>
      </c>
      <c r="Q823" s="732" t="str">
        <f>'DICTIONARY-3'!$A$193</f>
        <v>Hydrant podziemny</v>
      </c>
      <c r="R823" s="732" t="str">
        <f>CONCATENATE('DICTIONARY-3'!$A$47," ",'DICTIONARY-6'!$A$10," ",'DICTIONARY-2'!$A$2,"80"," ",'DICTIONARY-2'!$A$3,"10/16"," ",'DICTIONARY-2'!$A$7,"1,5m"," ",'DICTIONARY-6'!$A$26)</f>
        <v>HYDRUS G1 Hydr. podz. DN80 PN10/16 Rd1,5m pokr. wylotu z tworzywa</v>
      </c>
      <c r="S823" s="733" t="str">
        <f>'DICTIONARY-4'!$A$13</f>
        <v>KK</v>
      </c>
      <c r="T823" s="732" t="str">
        <f>'DICTIONARY-4'!$A$29</f>
        <v>Końcówka kwadratowa, zamontowana</v>
      </c>
      <c r="U823" s="734" t="s">
        <v>5760</v>
      </c>
      <c r="V823" s="735">
        <v>16</v>
      </c>
      <c r="W823" s="736"/>
      <c r="X823" s="737"/>
      <c r="Y823" s="745" t="s">
        <v>5654</v>
      </c>
      <c r="Z823" s="747"/>
      <c r="AA823" s="747"/>
      <c r="AB823" s="740">
        <v>16</v>
      </c>
      <c r="AC823" s="741"/>
      <c r="AD823" s="741" t="str">
        <f>'DICTIONARY-5'!$A$13</f>
        <v>woda pitna</v>
      </c>
      <c r="AE823" s="742">
        <v>50</v>
      </c>
      <c r="AF823" s="743">
        <v>39</v>
      </c>
      <c r="AG823" s="741" t="str">
        <f>'DICTIONARY-5'!$A$23</f>
        <v>powłoka epoksydowa</v>
      </c>
    </row>
    <row r="824" spans="1:34" x14ac:dyDescent="0.25">
      <c r="A824" s="851" t="s">
        <v>817</v>
      </c>
      <c r="B824" s="851" t="s">
        <v>4287</v>
      </c>
      <c r="C824" s="836">
        <v>523</v>
      </c>
      <c r="D824" s="836"/>
      <c r="E824" s="836"/>
      <c r="F824" s="836"/>
      <c r="G824" s="496" t="s">
        <v>7801</v>
      </c>
      <c r="H824" s="797" t="str">
        <f>VLOOKUP(G824,SETTINGS!$B$7:$D$97,2,0)</f>
        <v>HYDRUS G</v>
      </c>
      <c r="I824" s="796">
        <f>VLOOKUP(G824,SETTINGS!$B$7:$D$97,3,0)</f>
        <v>0</v>
      </c>
      <c r="J824" s="670" t="str">
        <f>IFERROR(IF(CURRENCY.FORMAT_1=0,CONCATENATE(TEXT(FIXED(ROUND((C824/EXC.RATE_1),CURRENCY.FORMAT_1),CURRENCY.FORMAT_1,1),"# ##0;-# ##0"),",-"),FIXED(ROUND((C824/EXC.RATE_1),CURRENCY.FORMAT_1),CURRENCY.FORMAT_1,0)),'DICTIONARY-5'!$A$2)</f>
        <v>523,-</v>
      </c>
      <c r="K824" s="670" t="str">
        <f>IF(EXC.RATE_2=0,"",IFERROR(IF(CURRENCY.FORMAT_2=0,CONCATENATE(TEXT(FIXED(ROUND(IF(EXC.RATE.SWITCH=1,C824/EXC.RATE_2,C824*EXC.RATE_2),CURRENCY.FORMAT_2),CURRENCY.FORMAT_2,1),"# ##0;-# ##0"),",-"),FIXED(ROUND(IF(EXC.RATE.SWITCH=1,C824/EXC.RATE_2,C824*EXC.RATE_2),CURRENCY.FORMAT_2),CURRENCY.FORMAT_2,0)),'DICTIONARY-5'!$A$2))</f>
        <v/>
      </c>
      <c r="L824" s="670" t="str">
        <f>IFERROR(IF(CURRENCY.FORMAT_1=0,CONCATENATE(TEXT(FIXED(ROUND((C824*(1-I824)*(1-ADD.DISCOUNT)*(1+MAT.SURCHARGE)/EXC.RATE_1),CURRENCY.FORMAT_1),CURRENCY.FORMAT_1,1),"# ##0;-# ##0"),",-"),FIXED(ROUND((C824*(1-I824)*(1-ADD.DISCOUNT)*(1+MAT.SURCHARGE)/EXC.RATE_1),CURRENCY.FORMAT_1),CURRENCY.FORMAT_1,0)),'DICTIONARY-5'!$A$2)</f>
        <v>543,-</v>
      </c>
      <c r="M824" s="670" t="str">
        <f>IF(EXC.RATE_2=0,"",IFERROR(IF(CURRENCY.FORMAT_2=0,CONCATENATE(TEXT(FIXED(ROUND(IF(EXC.RATE.SWITCH=1,C824*(1-I824)*(1-ADD.DISCOUNT)*(1+MAT.SURCHARGE)/EXC.RATE_2,C824*(1-I824)*(1-ADD.DISCOUNT)*(1+MAT.SURCHARGE)*EXC.RATE_2),CURRENCY.FORMAT_2),CURRENCY.FORMAT_2,1),"# ##0;-# ##0"),",-"),FIXED(ROUND(IF(EXC.RATE.SWITCH=1,C824*(1-I824)*(1-ADD.DISCOUNT)*(1+MAT.SURCHARGE)/EXC.RATE_2,C824*(1-I824)*(1-ADD.DISCOUNT)*(1+MAT.SURCHARGE)*EXC.RATE_2),CURRENCY.FORMAT_2),CURRENCY.FORMAT_2,0)),'DICTIONARY-5'!$A$2))</f>
        <v/>
      </c>
      <c r="N824" s="543">
        <v>3</v>
      </c>
      <c r="O824" s="543"/>
      <c r="P824" s="731" t="str">
        <f>'DICTIONARY-3'!$A$48</f>
        <v>HYDRUS G2</v>
      </c>
      <c r="Q824" s="732" t="str">
        <f>'DICTIONARY-3'!$A$193</f>
        <v>Hydrant podziemny</v>
      </c>
      <c r="R824" s="732" t="str">
        <f>CONCATENATE('DICTIONARY-3'!$A$48," ",'DICTIONARY-6'!$A$10," ",'DICTIONARY-2'!$A$2,"80"," ",'DICTIONARY-2'!$A$3,"10/16"," ",'DICTIONARY-2'!$A$7,"0,75m"," ",'DICTIONARY-6'!$A$26)</f>
        <v>HYDRUS G2 Hydr. podz. DN80 PN10/16 Rd0,75m pokr. wylotu z tworzywa</v>
      </c>
      <c r="S824" s="733" t="str">
        <f>'DICTIONARY-4'!$A$13</f>
        <v>KK</v>
      </c>
      <c r="T824" s="732" t="str">
        <f>'DICTIONARY-4'!$A$29</f>
        <v>Końcówka kwadratowa, zamontowana</v>
      </c>
      <c r="U824" s="734" t="s">
        <v>5760</v>
      </c>
      <c r="V824" s="735">
        <v>16</v>
      </c>
      <c r="W824" s="736"/>
      <c r="X824" s="737"/>
      <c r="Y824" s="745" t="s">
        <v>5804</v>
      </c>
      <c r="Z824" s="747"/>
      <c r="AA824" s="747"/>
      <c r="AB824" s="740">
        <v>16</v>
      </c>
      <c r="AC824" s="741"/>
      <c r="AD824" s="741" t="str">
        <f>'DICTIONARY-5'!$A$13</f>
        <v>woda pitna</v>
      </c>
      <c r="AE824" s="742">
        <v>50</v>
      </c>
      <c r="AF824" s="743">
        <v>25.4</v>
      </c>
      <c r="AG824" s="741" t="str">
        <f>'DICTIONARY-5'!$A$23</f>
        <v>powłoka epoksydowa</v>
      </c>
    </row>
    <row r="825" spans="1:34" x14ac:dyDescent="0.25">
      <c r="A825" s="851" t="s">
        <v>819</v>
      </c>
      <c r="B825" s="851" t="s">
        <v>4288</v>
      </c>
      <c r="C825" s="836">
        <v>572</v>
      </c>
      <c r="D825" s="836"/>
      <c r="E825" s="836"/>
      <c r="F825" s="836"/>
      <c r="G825" s="496" t="s">
        <v>7801</v>
      </c>
      <c r="H825" s="797" t="str">
        <f>VLOOKUP(G825,SETTINGS!$B$7:$D$97,2,0)</f>
        <v>HYDRUS G</v>
      </c>
      <c r="I825" s="796">
        <f>VLOOKUP(G825,SETTINGS!$B$7:$D$97,3,0)</f>
        <v>0</v>
      </c>
      <c r="J825" s="670" t="str">
        <f>IFERROR(IF(CURRENCY.FORMAT_1=0,CONCATENATE(TEXT(FIXED(ROUND((C825/EXC.RATE_1),CURRENCY.FORMAT_1),CURRENCY.FORMAT_1,1),"# ##0;-# ##0"),",-"),FIXED(ROUND((C825/EXC.RATE_1),CURRENCY.FORMAT_1),CURRENCY.FORMAT_1,0)),'DICTIONARY-5'!$A$2)</f>
        <v>572,-</v>
      </c>
      <c r="K825" s="670" t="str">
        <f>IF(EXC.RATE_2=0,"",IFERROR(IF(CURRENCY.FORMAT_2=0,CONCATENATE(TEXT(FIXED(ROUND(IF(EXC.RATE.SWITCH=1,C825/EXC.RATE_2,C825*EXC.RATE_2),CURRENCY.FORMAT_2),CURRENCY.FORMAT_2,1),"# ##0;-# ##0"),",-"),FIXED(ROUND(IF(EXC.RATE.SWITCH=1,C825/EXC.RATE_2,C825*EXC.RATE_2),CURRENCY.FORMAT_2),CURRENCY.FORMAT_2,0)),'DICTIONARY-5'!$A$2))</f>
        <v/>
      </c>
      <c r="L825" s="670" t="str">
        <f>IFERROR(IF(CURRENCY.FORMAT_1=0,CONCATENATE(TEXT(FIXED(ROUND((C825*(1-I825)*(1-ADD.DISCOUNT)*(1+MAT.SURCHARGE)/EXC.RATE_1),CURRENCY.FORMAT_1),CURRENCY.FORMAT_1,1),"# ##0;-# ##0"),",-"),FIXED(ROUND((C825*(1-I825)*(1-ADD.DISCOUNT)*(1+MAT.SURCHARGE)/EXC.RATE_1),CURRENCY.FORMAT_1),CURRENCY.FORMAT_1,0)),'DICTIONARY-5'!$A$2)</f>
        <v>594,-</v>
      </c>
      <c r="M825" s="670" t="str">
        <f>IF(EXC.RATE_2=0,"",IFERROR(IF(CURRENCY.FORMAT_2=0,CONCATENATE(TEXT(FIXED(ROUND(IF(EXC.RATE.SWITCH=1,C825*(1-I825)*(1-ADD.DISCOUNT)*(1+MAT.SURCHARGE)/EXC.RATE_2,C825*(1-I825)*(1-ADD.DISCOUNT)*(1+MAT.SURCHARGE)*EXC.RATE_2),CURRENCY.FORMAT_2),CURRENCY.FORMAT_2,1),"# ##0;-# ##0"),",-"),FIXED(ROUND(IF(EXC.RATE.SWITCH=1,C825*(1-I825)*(1-ADD.DISCOUNT)*(1+MAT.SURCHARGE)/EXC.RATE_2,C825*(1-I825)*(1-ADD.DISCOUNT)*(1+MAT.SURCHARGE)*EXC.RATE_2),CURRENCY.FORMAT_2),CURRENCY.FORMAT_2,0)),'DICTIONARY-5'!$A$2))</f>
        <v/>
      </c>
      <c r="N825" s="543">
        <v>3</v>
      </c>
      <c r="O825" s="543"/>
      <c r="P825" s="731" t="str">
        <f>'DICTIONARY-3'!$A$48</f>
        <v>HYDRUS G2</v>
      </c>
      <c r="Q825" s="732" t="str">
        <f>'DICTIONARY-3'!$A$193</f>
        <v>Hydrant podziemny</v>
      </c>
      <c r="R825" s="732" t="str">
        <f>CONCATENATE('DICTIONARY-3'!$A$48," ",'DICTIONARY-6'!$A$10," ",'DICTIONARY-2'!$A$2,"80"," ",'DICTIONARY-2'!$A$3,"10/16"," ",'DICTIONARY-2'!$A$7,"1,0m"," ",'DICTIONARY-6'!$A$26)</f>
        <v>HYDRUS G2 Hydr. podz. DN80 PN10/16 Rd1,0m pokr. wylotu z tworzywa</v>
      </c>
      <c r="S825" s="733" t="str">
        <f>'DICTIONARY-4'!$A$13</f>
        <v>KK</v>
      </c>
      <c r="T825" s="732" t="str">
        <f>'DICTIONARY-4'!$A$29</f>
        <v>Końcówka kwadratowa, zamontowana</v>
      </c>
      <c r="U825" s="734" t="s">
        <v>5760</v>
      </c>
      <c r="V825" s="735">
        <v>16</v>
      </c>
      <c r="W825" s="736"/>
      <c r="X825" s="737"/>
      <c r="Y825" s="745" t="s">
        <v>5652</v>
      </c>
      <c r="Z825" s="747"/>
      <c r="AA825" s="747"/>
      <c r="AB825" s="740">
        <v>16</v>
      </c>
      <c r="AC825" s="741"/>
      <c r="AD825" s="741" t="str">
        <f>'DICTIONARY-5'!$A$13</f>
        <v>woda pitna</v>
      </c>
      <c r="AE825" s="742">
        <v>50</v>
      </c>
      <c r="AF825" s="743">
        <v>29.5</v>
      </c>
      <c r="AG825" s="741" t="str">
        <f>'DICTIONARY-5'!$A$23</f>
        <v>powłoka epoksydowa</v>
      </c>
    </row>
    <row r="826" spans="1:34" x14ac:dyDescent="0.25">
      <c r="A826" s="851" t="s">
        <v>821</v>
      </c>
      <c r="B826" s="851" t="s">
        <v>4289</v>
      </c>
      <c r="C826" s="836">
        <v>578</v>
      </c>
      <c r="D826" s="836"/>
      <c r="E826" s="836"/>
      <c r="F826" s="836"/>
      <c r="G826" s="496" t="s">
        <v>7801</v>
      </c>
      <c r="H826" s="797" t="str">
        <f>VLOOKUP(G826,SETTINGS!$B$7:$D$97,2,0)</f>
        <v>HYDRUS G</v>
      </c>
      <c r="I826" s="796">
        <f>VLOOKUP(G826,SETTINGS!$B$7:$D$97,3,0)</f>
        <v>0</v>
      </c>
      <c r="J826" s="670" t="str">
        <f>IFERROR(IF(CURRENCY.FORMAT_1=0,CONCATENATE(TEXT(FIXED(ROUND((C826/EXC.RATE_1),CURRENCY.FORMAT_1),CURRENCY.FORMAT_1,1),"# ##0;-# ##0"),",-"),FIXED(ROUND((C826/EXC.RATE_1),CURRENCY.FORMAT_1),CURRENCY.FORMAT_1,0)),'DICTIONARY-5'!$A$2)</f>
        <v>578,-</v>
      </c>
      <c r="K826" s="670" t="str">
        <f>IF(EXC.RATE_2=0,"",IFERROR(IF(CURRENCY.FORMAT_2=0,CONCATENATE(TEXT(FIXED(ROUND(IF(EXC.RATE.SWITCH=1,C826/EXC.RATE_2,C826*EXC.RATE_2),CURRENCY.FORMAT_2),CURRENCY.FORMAT_2,1),"# ##0;-# ##0"),",-"),FIXED(ROUND(IF(EXC.RATE.SWITCH=1,C826/EXC.RATE_2,C826*EXC.RATE_2),CURRENCY.FORMAT_2),CURRENCY.FORMAT_2,0)),'DICTIONARY-5'!$A$2))</f>
        <v/>
      </c>
      <c r="L826" s="670" t="str">
        <f>IFERROR(IF(CURRENCY.FORMAT_1=0,CONCATENATE(TEXT(FIXED(ROUND((C826*(1-I826)*(1-ADD.DISCOUNT)*(1+MAT.SURCHARGE)/EXC.RATE_1),CURRENCY.FORMAT_1),CURRENCY.FORMAT_1,1),"# ##0;-# ##0"),",-"),FIXED(ROUND((C826*(1-I826)*(1-ADD.DISCOUNT)*(1+MAT.SURCHARGE)/EXC.RATE_1),CURRENCY.FORMAT_1),CURRENCY.FORMAT_1,0)),'DICTIONARY-5'!$A$2)</f>
        <v>601,-</v>
      </c>
      <c r="M826" s="670" t="str">
        <f>IF(EXC.RATE_2=0,"",IFERROR(IF(CURRENCY.FORMAT_2=0,CONCATENATE(TEXT(FIXED(ROUND(IF(EXC.RATE.SWITCH=1,C826*(1-I826)*(1-ADD.DISCOUNT)*(1+MAT.SURCHARGE)/EXC.RATE_2,C826*(1-I826)*(1-ADD.DISCOUNT)*(1+MAT.SURCHARGE)*EXC.RATE_2),CURRENCY.FORMAT_2),CURRENCY.FORMAT_2,1),"# ##0;-# ##0"),",-"),FIXED(ROUND(IF(EXC.RATE.SWITCH=1,C826*(1-I826)*(1-ADD.DISCOUNT)*(1+MAT.SURCHARGE)/EXC.RATE_2,C826*(1-I826)*(1-ADD.DISCOUNT)*(1+MAT.SURCHARGE)*EXC.RATE_2),CURRENCY.FORMAT_2),CURRENCY.FORMAT_2,0)),'DICTIONARY-5'!$A$2))</f>
        <v/>
      </c>
      <c r="N826" s="543">
        <v>3</v>
      </c>
      <c r="O826" s="543"/>
      <c r="P826" s="731" t="str">
        <f>'DICTIONARY-3'!$A$48</f>
        <v>HYDRUS G2</v>
      </c>
      <c r="Q826" s="732" t="str">
        <f>'DICTIONARY-3'!$A$193</f>
        <v>Hydrant podziemny</v>
      </c>
      <c r="R826" s="732" t="str">
        <f>CONCATENATE('DICTIONARY-3'!$A$48," ",'DICTIONARY-6'!$A$10," ",'DICTIONARY-2'!$A$2,"80"," ",'DICTIONARY-2'!$A$3,"10/16"," ",'DICTIONARY-2'!$A$7,"1,25m"," ",'DICTIONARY-6'!$A$26)</f>
        <v>HYDRUS G2 Hydr. podz. DN80 PN10/16 Rd1,25m pokr. wylotu z tworzywa</v>
      </c>
      <c r="S826" s="733" t="str">
        <f>'DICTIONARY-4'!$A$13</f>
        <v>KK</v>
      </c>
      <c r="T826" s="732" t="str">
        <f>'DICTIONARY-4'!$A$29</f>
        <v>Końcówka kwadratowa, zamontowana</v>
      </c>
      <c r="U826" s="734" t="s">
        <v>5760</v>
      </c>
      <c r="V826" s="735">
        <v>16</v>
      </c>
      <c r="W826" s="736"/>
      <c r="X826" s="737"/>
      <c r="Y826" s="745" t="s">
        <v>5653</v>
      </c>
      <c r="Z826" s="747"/>
      <c r="AA826" s="747"/>
      <c r="AB826" s="740">
        <v>16</v>
      </c>
      <c r="AC826" s="741"/>
      <c r="AD826" s="741" t="str">
        <f>'DICTIONARY-5'!$A$13</f>
        <v>woda pitna</v>
      </c>
      <c r="AE826" s="742">
        <v>50</v>
      </c>
      <c r="AF826" s="743">
        <v>33.799999999999997</v>
      </c>
      <c r="AG826" s="741" t="str">
        <f>'DICTIONARY-5'!$A$23</f>
        <v>powłoka epoksydowa</v>
      </c>
    </row>
    <row r="827" spans="1:34" x14ac:dyDescent="0.25">
      <c r="A827" s="851" t="s">
        <v>823</v>
      </c>
      <c r="B827" s="851" t="s">
        <v>4290</v>
      </c>
      <c r="C827" s="836">
        <v>616</v>
      </c>
      <c r="D827" s="836"/>
      <c r="E827" s="836"/>
      <c r="F827" s="836"/>
      <c r="G827" s="496" t="s">
        <v>7801</v>
      </c>
      <c r="H827" s="797" t="str">
        <f>VLOOKUP(G827,SETTINGS!$B$7:$D$97,2,0)</f>
        <v>HYDRUS G</v>
      </c>
      <c r="I827" s="796">
        <f>VLOOKUP(G827,SETTINGS!$B$7:$D$97,3,0)</f>
        <v>0</v>
      </c>
      <c r="J827" s="670" t="str">
        <f>IFERROR(IF(CURRENCY.FORMAT_1=0,CONCATENATE(TEXT(FIXED(ROUND((C827/EXC.RATE_1),CURRENCY.FORMAT_1),CURRENCY.FORMAT_1,1),"# ##0;-# ##0"),",-"),FIXED(ROUND((C827/EXC.RATE_1),CURRENCY.FORMAT_1),CURRENCY.FORMAT_1,0)),'DICTIONARY-5'!$A$2)</f>
        <v>616,-</v>
      </c>
      <c r="K827" s="670" t="str">
        <f>IF(EXC.RATE_2=0,"",IFERROR(IF(CURRENCY.FORMAT_2=0,CONCATENATE(TEXT(FIXED(ROUND(IF(EXC.RATE.SWITCH=1,C827/EXC.RATE_2,C827*EXC.RATE_2),CURRENCY.FORMAT_2),CURRENCY.FORMAT_2,1),"# ##0;-# ##0"),",-"),FIXED(ROUND(IF(EXC.RATE.SWITCH=1,C827/EXC.RATE_2,C827*EXC.RATE_2),CURRENCY.FORMAT_2),CURRENCY.FORMAT_2,0)),'DICTIONARY-5'!$A$2))</f>
        <v/>
      </c>
      <c r="L827" s="670" t="str">
        <f>IFERROR(IF(CURRENCY.FORMAT_1=0,CONCATENATE(TEXT(FIXED(ROUND((C827*(1-I827)*(1-ADD.DISCOUNT)*(1+MAT.SURCHARGE)/EXC.RATE_1),CURRENCY.FORMAT_1),CURRENCY.FORMAT_1,1),"# ##0;-# ##0"),",-"),FIXED(ROUND((C827*(1-I827)*(1-ADD.DISCOUNT)*(1+MAT.SURCHARGE)/EXC.RATE_1),CURRENCY.FORMAT_1),CURRENCY.FORMAT_1,0)),'DICTIONARY-5'!$A$2)</f>
        <v>640,-</v>
      </c>
      <c r="M827" s="670" t="str">
        <f>IF(EXC.RATE_2=0,"",IFERROR(IF(CURRENCY.FORMAT_2=0,CONCATENATE(TEXT(FIXED(ROUND(IF(EXC.RATE.SWITCH=1,C827*(1-I827)*(1-ADD.DISCOUNT)*(1+MAT.SURCHARGE)/EXC.RATE_2,C827*(1-I827)*(1-ADD.DISCOUNT)*(1+MAT.SURCHARGE)*EXC.RATE_2),CURRENCY.FORMAT_2),CURRENCY.FORMAT_2,1),"# ##0;-# ##0"),",-"),FIXED(ROUND(IF(EXC.RATE.SWITCH=1,C827*(1-I827)*(1-ADD.DISCOUNT)*(1+MAT.SURCHARGE)/EXC.RATE_2,C827*(1-I827)*(1-ADD.DISCOUNT)*(1+MAT.SURCHARGE)*EXC.RATE_2),CURRENCY.FORMAT_2),CURRENCY.FORMAT_2,0)),'DICTIONARY-5'!$A$2))</f>
        <v/>
      </c>
      <c r="N827" s="543">
        <v>3</v>
      </c>
      <c r="O827" s="543"/>
      <c r="P827" s="731" t="str">
        <f>'DICTIONARY-3'!$A$48</f>
        <v>HYDRUS G2</v>
      </c>
      <c r="Q827" s="732" t="str">
        <f>'DICTIONARY-3'!$A$193</f>
        <v>Hydrant podziemny</v>
      </c>
      <c r="R827" s="732" t="str">
        <f>CONCATENATE('DICTIONARY-3'!$A$48," ",'DICTIONARY-6'!$A$10," ",'DICTIONARY-2'!$A$2,"80"," ",'DICTIONARY-2'!$A$3,"10/16"," ",'DICTIONARY-2'!$A$7,"1,5m"," ",'DICTIONARY-6'!$A$26)</f>
        <v>HYDRUS G2 Hydr. podz. DN80 PN10/16 Rd1,5m pokr. wylotu z tworzywa</v>
      </c>
      <c r="S827" s="733" t="str">
        <f>'DICTIONARY-4'!$A$13</f>
        <v>KK</v>
      </c>
      <c r="T827" s="732" t="str">
        <f>'DICTIONARY-4'!$A$29</f>
        <v>Końcówka kwadratowa, zamontowana</v>
      </c>
      <c r="U827" s="734" t="s">
        <v>5760</v>
      </c>
      <c r="V827" s="735">
        <v>16</v>
      </c>
      <c r="W827" s="736"/>
      <c r="X827" s="737"/>
      <c r="Y827" s="745" t="s">
        <v>5654</v>
      </c>
      <c r="Z827" s="747"/>
      <c r="AA827" s="747"/>
      <c r="AB827" s="740">
        <v>16</v>
      </c>
      <c r="AC827" s="741"/>
      <c r="AD827" s="741" t="str">
        <f>'DICTIONARY-5'!$A$13</f>
        <v>woda pitna</v>
      </c>
      <c r="AE827" s="742">
        <v>50</v>
      </c>
      <c r="AF827" s="743">
        <v>39.5</v>
      </c>
      <c r="AG827" s="741" t="str">
        <f>'DICTIONARY-5'!$A$23</f>
        <v>powłoka epoksydowa</v>
      </c>
    </row>
    <row r="828" spans="1:34" x14ac:dyDescent="0.25">
      <c r="A828" s="852" t="s">
        <v>6121</v>
      </c>
      <c r="B828" s="852" t="s">
        <v>6122</v>
      </c>
      <c r="C828" s="836" t="s">
        <v>5967</v>
      </c>
      <c r="D828" s="836"/>
      <c r="E828" s="836"/>
      <c r="F828" s="836"/>
      <c r="G828" s="496" t="s">
        <v>7801</v>
      </c>
      <c r="H828" s="797" t="str">
        <f>VLOOKUP(G828,SETTINGS!$B$7:$D$97,2,0)</f>
        <v>HYDRUS G</v>
      </c>
      <c r="I828" s="796">
        <f>VLOOKUP(G828,SETTINGS!$B$7:$D$97,3,0)</f>
        <v>0</v>
      </c>
      <c r="J828" s="670" t="str">
        <f>IFERROR(IF(CURRENCY.FORMAT_1=0,CONCATENATE(TEXT(FIXED(ROUND((C828/EXC.RATE_1),CURRENCY.FORMAT_1),CURRENCY.FORMAT_1,1),"# ##0;-# ##0"),",-"),FIXED(ROUND((C828/EXC.RATE_1),CURRENCY.FORMAT_1),CURRENCY.FORMAT_1,0)),'DICTIONARY-5'!$A$2)</f>
        <v>na zapytanie</v>
      </c>
      <c r="K828" s="670" t="str">
        <f>IF(EXC.RATE_2=0,"",IFERROR(IF(CURRENCY.FORMAT_2=0,CONCATENATE(TEXT(FIXED(ROUND(IF(EXC.RATE.SWITCH=1,C828/EXC.RATE_2,C828*EXC.RATE_2),CURRENCY.FORMAT_2),CURRENCY.FORMAT_2,1),"# ##0;-# ##0"),",-"),FIXED(ROUND(IF(EXC.RATE.SWITCH=1,C828/EXC.RATE_2,C828*EXC.RATE_2),CURRENCY.FORMAT_2),CURRENCY.FORMAT_2,0)),'DICTIONARY-5'!$A$2))</f>
        <v/>
      </c>
      <c r="L828" s="670" t="str">
        <f>IFERROR(IF(CURRENCY.FORMAT_1=0,CONCATENATE(TEXT(FIXED(ROUND((C828*(1-I828)*(1-ADD.DISCOUNT)*(1+MAT.SURCHARGE)/EXC.RATE_1),CURRENCY.FORMAT_1),CURRENCY.FORMAT_1,1),"# ##0;-# ##0"),",-"),FIXED(ROUND((C828*(1-I828)*(1-ADD.DISCOUNT)*(1+MAT.SURCHARGE)/EXC.RATE_1),CURRENCY.FORMAT_1),CURRENCY.FORMAT_1,0)),'DICTIONARY-5'!$A$2)</f>
        <v>na zapytanie</v>
      </c>
      <c r="M828" s="670" t="str">
        <f>IF(EXC.RATE_2=0,"",IFERROR(IF(CURRENCY.FORMAT_2=0,CONCATENATE(TEXT(FIXED(ROUND(IF(EXC.RATE.SWITCH=1,C828*(1-I828)*(1-ADD.DISCOUNT)*(1+MAT.SURCHARGE)/EXC.RATE_2,C828*(1-I828)*(1-ADD.DISCOUNT)*(1+MAT.SURCHARGE)*EXC.RATE_2),CURRENCY.FORMAT_2),CURRENCY.FORMAT_2,1),"# ##0;-# ##0"),",-"),FIXED(ROUND(IF(EXC.RATE.SWITCH=1,C828*(1-I828)*(1-ADD.DISCOUNT)*(1+MAT.SURCHARGE)/EXC.RATE_2,C828*(1-I828)*(1-ADD.DISCOUNT)*(1+MAT.SURCHARGE)*EXC.RATE_2),CURRENCY.FORMAT_2),CURRENCY.FORMAT_2,0)),'DICTIONARY-5'!$A$2))</f>
        <v/>
      </c>
      <c r="N828" s="543">
        <v>4</v>
      </c>
      <c r="O828" s="816" t="s">
        <v>7363</v>
      </c>
      <c r="P828" s="731" t="str">
        <f>'DICTIONARY-3'!$A$47</f>
        <v>HYDRUS G1</v>
      </c>
      <c r="Q828" s="732" t="str">
        <f>'DICTIONARY-3'!$A$193</f>
        <v>Hydrant podziemny</v>
      </c>
      <c r="R828" s="732" t="str">
        <f>CONCATENATE('DICTIONARY-3'!$A$47," ",'DICTIONARY-6'!$A$10," ",'DICTIONARY-2'!$A$2,"80"," ",'DICTIONARY-2'!$A$3,"10/16"," ",'DICTIONARY-2'!$A$7,"0,75m"," ",'DICTIONARY-6'!$A$26," ",'DICTIONARY-5'!$A$64)</f>
        <v>HYDRUS G1 Hydr. podz. DN80 PN10/16 Rd0,75m pokr. wylotu z tworzywa owiert 4 otw.</v>
      </c>
      <c r="S828" s="733" t="str">
        <f>'DICTIONARY-4'!$A$13</f>
        <v>KK</v>
      </c>
      <c r="T828" s="732" t="str">
        <f>'DICTIONARY-4'!$A$29</f>
        <v>Końcówka kwadratowa, zamontowana</v>
      </c>
      <c r="U828" s="734" t="s">
        <v>5760</v>
      </c>
      <c r="V828" s="735">
        <v>16</v>
      </c>
      <c r="W828" s="736"/>
      <c r="X828" s="737"/>
      <c r="Y828" s="745" t="s">
        <v>5804</v>
      </c>
      <c r="Z828" s="747"/>
      <c r="AA828" s="747"/>
      <c r="AB828" s="740">
        <v>16</v>
      </c>
      <c r="AC828" s="741"/>
      <c r="AD828" s="741" t="str">
        <f>'DICTIONARY-5'!$A$13</f>
        <v>woda pitna</v>
      </c>
      <c r="AE828" s="742">
        <v>50</v>
      </c>
      <c r="AF828" s="743">
        <v>23</v>
      </c>
      <c r="AG828" s="741" t="str">
        <f>'DICTIONARY-5'!$A$23</f>
        <v>powłoka epoksydowa</v>
      </c>
      <c r="AH828" s="815"/>
    </row>
    <row r="829" spans="1:34" x14ac:dyDescent="0.25">
      <c r="A829" s="852" t="s">
        <v>6123</v>
      </c>
      <c r="B829" s="852" t="s">
        <v>6124</v>
      </c>
      <c r="C829" s="836" t="s">
        <v>5967</v>
      </c>
      <c r="D829" s="836"/>
      <c r="E829" s="836"/>
      <c r="F829" s="836"/>
      <c r="G829" s="496" t="s">
        <v>7801</v>
      </c>
      <c r="H829" s="797" t="str">
        <f>VLOOKUP(G829,SETTINGS!$B$7:$D$97,2,0)</f>
        <v>HYDRUS G</v>
      </c>
      <c r="I829" s="796">
        <f>VLOOKUP(G829,SETTINGS!$B$7:$D$97,3,0)</f>
        <v>0</v>
      </c>
      <c r="J829" s="670" t="str">
        <f>IFERROR(IF(CURRENCY.FORMAT_1=0,CONCATENATE(TEXT(FIXED(ROUND((C829/EXC.RATE_1),CURRENCY.FORMAT_1),CURRENCY.FORMAT_1,1),"# ##0;-# ##0"),",-"),FIXED(ROUND((C829/EXC.RATE_1),CURRENCY.FORMAT_1),CURRENCY.FORMAT_1,0)),'DICTIONARY-5'!$A$2)</f>
        <v>na zapytanie</v>
      </c>
      <c r="K829" s="670" t="str">
        <f>IF(EXC.RATE_2=0,"",IFERROR(IF(CURRENCY.FORMAT_2=0,CONCATENATE(TEXT(FIXED(ROUND(IF(EXC.RATE.SWITCH=1,C829/EXC.RATE_2,C829*EXC.RATE_2),CURRENCY.FORMAT_2),CURRENCY.FORMAT_2,1),"# ##0;-# ##0"),",-"),FIXED(ROUND(IF(EXC.RATE.SWITCH=1,C829/EXC.RATE_2,C829*EXC.RATE_2),CURRENCY.FORMAT_2),CURRENCY.FORMAT_2,0)),'DICTIONARY-5'!$A$2))</f>
        <v/>
      </c>
      <c r="L829" s="670" t="str">
        <f>IFERROR(IF(CURRENCY.FORMAT_1=0,CONCATENATE(TEXT(FIXED(ROUND((C829*(1-I829)*(1-ADD.DISCOUNT)*(1+MAT.SURCHARGE)/EXC.RATE_1),CURRENCY.FORMAT_1),CURRENCY.FORMAT_1,1),"# ##0;-# ##0"),",-"),FIXED(ROUND((C829*(1-I829)*(1-ADD.DISCOUNT)*(1+MAT.SURCHARGE)/EXC.RATE_1),CURRENCY.FORMAT_1),CURRENCY.FORMAT_1,0)),'DICTIONARY-5'!$A$2)</f>
        <v>na zapytanie</v>
      </c>
      <c r="M829" s="670" t="str">
        <f>IF(EXC.RATE_2=0,"",IFERROR(IF(CURRENCY.FORMAT_2=0,CONCATENATE(TEXT(FIXED(ROUND(IF(EXC.RATE.SWITCH=1,C829*(1-I829)*(1-ADD.DISCOUNT)*(1+MAT.SURCHARGE)/EXC.RATE_2,C829*(1-I829)*(1-ADD.DISCOUNT)*(1+MAT.SURCHARGE)*EXC.RATE_2),CURRENCY.FORMAT_2),CURRENCY.FORMAT_2,1),"# ##0;-# ##0"),",-"),FIXED(ROUND(IF(EXC.RATE.SWITCH=1,C829*(1-I829)*(1-ADD.DISCOUNT)*(1+MAT.SURCHARGE)/EXC.RATE_2,C829*(1-I829)*(1-ADD.DISCOUNT)*(1+MAT.SURCHARGE)*EXC.RATE_2),CURRENCY.FORMAT_2),CURRENCY.FORMAT_2,0)),'DICTIONARY-5'!$A$2))</f>
        <v/>
      </c>
      <c r="N829" s="543">
        <v>5</v>
      </c>
      <c r="O829" s="816" t="s">
        <v>7363</v>
      </c>
      <c r="P829" s="731" t="str">
        <f>'DICTIONARY-3'!$A$47</f>
        <v>HYDRUS G1</v>
      </c>
      <c r="Q829" s="732" t="str">
        <f>'DICTIONARY-3'!$A$193</f>
        <v>Hydrant podziemny</v>
      </c>
      <c r="R829" s="732" t="str">
        <f>CONCATENATE('DICTIONARY-3'!$A$47," ",'DICTIONARY-6'!$A$10," ",'DICTIONARY-2'!$A$2,"80"," ",'DICTIONARY-2'!$A$3,"10/16"," ",'DICTIONARY-2'!$A$7,"1,0m"," ",'DICTIONARY-6'!$A$26," ",'DICTIONARY-5'!$A$64)</f>
        <v>HYDRUS G1 Hydr. podz. DN80 PN10/16 Rd1,0m pokr. wylotu z tworzywa owiert 4 otw.</v>
      </c>
      <c r="S829" s="733" t="str">
        <f>'DICTIONARY-4'!$A$13</f>
        <v>KK</v>
      </c>
      <c r="T829" s="732" t="str">
        <f>'DICTIONARY-4'!$A$29</f>
        <v>Końcówka kwadratowa, zamontowana</v>
      </c>
      <c r="U829" s="734" t="s">
        <v>5760</v>
      </c>
      <c r="V829" s="735">
        <v>16</v>
      </c>
      <c r="W829" s="736"/>
      <c r="X829" s="737"/>
      <c r="Y829" s="745" t="s">
        <v>5652</v>
      </c>
      <c r="Z829" s="747"/>
      <c r="AA829" s="747"/>
      <c r="AB829" s="740">
        <v>16</v>
      </c>
      <c r="AC829" s="741"/>
      <c r="AD829" s="741" t="str">
        <f>'DICTIONARY-5'!$A$13</f>
        <v>woda pitna</v>
      </c>
      <c r="AE829" s="742">
        <v>50</v>
      </c>
      <c r="AF829" s="743">
        <v>27.5</v>
      </c>
      <c r="AG829" s="741" t="str">
        <f>'DICTIONARY-5'!$A$23</f>
        <v>powłoka epoksydowa</v>
      </c>
      <c r="AH829" s="815"/>
    </row>
    <row r="830" spans="1:34" x14ac:dyDescent="0.25">
      <c r="A830" s="852" t="s">
        <v>6125</v>
      </c>
      <c r="B830" s="852" t="s">
        <v>6126</v>
      </c>
      <c r="C830" s="836" t="s">
        <v>5967</v>
      </c>
      <c r="D830" s="836"/>
      <c r="E830" s="836"/>
      <c r="F830" s="836"/>
      <c r="G830" s="496" t="s">
        <v>7801</v>
      </c>
      <c r="H830" s="797" t="str">
        <f>VLOOKUP(G830,SETTINGS!$B$7:$D$97,2,0)</f>
        <v>HYDRUS G</v>
      </c>
      <c r="I830" s="796">
        <f>VLOOKUP(G830,SETTINGS!$B$7:$D$97,3,0)</f>
        <v>0</v>
      </c>
      <c r="J830" s="670" t="str">
        <f>IFERROR(IF(CURRENCY.FORMAT_1=0,CONCATENATE(TEXT(FIXED(ROUND((C830/EXC.RATE_1),CURRENCY.FORMAT_1),CURRENCY.FORMAT_1,1),"# ##0;-# ##0"),",-"),FIXED(ROUND((C830/EXC.RATE_1),CURRENCY.FORMAT_1),CURRENCY.FORMAT_1,0)),'DICTIONARY-5'!$A$2)</f>
        <v>na zapytanie</v>
      </c>
      <c r="K830" s="670" t="str">
        <f>IF(EXC.RATE_2=0,"",IFERROR(IF(CURRENCY.FORMAT_2=0,CONCATENATE(TEXT(FIXED(ROUND(IF(EXC.RATE.SWITCH=1,C830/EXC.RATE_2,C830*EXC.RATE_2),CURRENCY.FORMAT_2),CURRENCY.FORMAT_2,1),"# ##0;-# ##0"),",-"),FIXED(ROUND(IF(EXC.RATE.SWITCH=1,C830/EXC.RATE_2,C830*EXC.RATE_2),CURRENCY.FORMAT_2),CURRENCY.FORMAT_2,0)),'DICTIONARY-5'!$A$2))</f>
        <v/>
      </c>
      <c r="L830" s="670" t="str">
        <f>IFERROR(IF(CURRENCY.FORMAT_1=0,CONCATENATE(TEXT(FIXED(ROUND((C830*(1-I830)*(1-ADD.DISCOUNT)*(1+MAT.SURCHARGE)/EXC.RATE_1),CURRENCY.FORMAT_1),CURRENCY.FORMAT_1,1),"# ##0;-# ##0"),",-"),FIXED(ROUND((C830*(1-I830)*(1-ADD.DISCOUNT)*(1+MAT.SURCHARGE)/EXC.RATE_1),CURRENCY.FORMAT_1),CURRENCY.FORMAT_1,0)),'DICTIONARY-5'!$A$2)</f>
        <v>na zapytanie</v>
      </c>
      <c r="M830" s="670" t="str">
        <f>IF(EXC.RATE_2=0,"",IFERROR(IF(CURRENCY.FORMAT_2=0,CONCATENATE(TEXT(FIXED(ROUND(IF(EXC.RATE.SWITCH=1,C830*(1-I830)*(1-ADD.DISCOUNT)*(1+MAT.SURCHARGE)/EXC.RATE_2,C830*(1-I830)*(1-ADD.DISCOUNT)*(1+MAT.SURCHARGE)*EXC.RATE_2),CURRENCY.FORMAT_2),CURRENCY.FORMAT_2,1),"# ##0;-# ##0"),",-"),FIXED(ROUND(IF(EXC.RATE.SWITCH=1,C830*(1-I830)*(1-ADD.DISCOUNT)*(1+MAT.SURCHARGE)/EXC.RATE_2,C830*(1-I830)*(1-ADD.DISCOUNT)*(1+MAT.SURCHARGE)*EXC.RATE_2),CURRENCY.FORMAT_2),CURRENCY.FORMAT_2,0)),'DICTIONARY-5'!$A$2))</f>
        <v/>
      </c>
      <c r="N830" s="543">
        <v>6</v>
      </c>
      <c r="O830" s="816" t="s">
        <v>7363</v>
      </c>
      <c r="P830" s="731" t="str">
        <f>'DICTIONARY-3'!$A$47</f>
        <v>HYDRUS G1</v>
      </c>
      <c r="Q830" s="732" t="str">
        <f>'DICTIONARY-3'!$A$193</f>
        <v>Hydrant podziemny</v>
      </c>
      <c r="R830" s="732" t="str">
        <f>CONCATENATE('DICTIONARY-3'!$A$47," ",'DICTIONARY-6'!$A$10," ",'DICTIONARY-2'!$A$2,"80"," ",'DICTIONARY-2'!$A$3,"10/16"," ",'DICTIONARY-2'!$A$7,"1,25m"," ",'DICTIONARY-6'!$A$26," ",'DICTIONARY-5'!$A$64)</f>
        <v>HYDRUS G1 Hydr. podz. DN80 PN10/16 Rd1,25m pokr. wylotu z tworzywa owiert 4 otw.</v>
      </c>
      <c r="S830" s="733" t="str">
        <f>'DICTIONARY-4'!$A$13</f>
        <v>KK</v>
      </c>
      <c r="T830" s="732" t="str">
        <f>'DICTIONARY-4'!$A$29</f>
        <v>Końcówka kwadratowa, zamontowana</v>
      </c>
      <c r="U830" s="734" t="s">
        <v>5760</v>
      </c>
      <c r="V830" s="735">
        <v>16</v>
      </c>
      <c r="W830" s="736"/>
      <c r="X830" s="737"/>
      <c r="Y830" s="745" t="s">
        <v>5653</v>
      </c>
      <c r="Z830" s="747"/>
      <c r="AA830" s="747"/>
      <c r="AB830" s="740">
        <v>16</v>
      </c>
      <c r="AC830" s="741"/>
      <c r="AD830" s="741" t="str">
        <f>'DICTIONARY-5'!$A$13</f>
        <v>woda pitna</v>
      </c>
      <c r="AE830" s="742">
        <v>50</v>
      </c>
      <c r="AF830" s="743">
        <v>35</v>
      </c>
      <c r="AG830" s="741" t="str">
        <f>'DICTIONARY-5'!$A$23</f>
        <v>powłoka epoksydowa</v>
      </c>
      <c r="AH830" s="815"/>
    </row>
    <row r="831" spans="1:34" x14ac:dyDescent="0.25">
      <c r="A831" s="852" t="s">
        <v>6127</v>
      </c>
      <c r="B831" s="852" t="s">
        <v>6128</v>
      </c>
      <c r="C831" s="836" t="s">
        <v>5967</v>
      </c>
      <c r="D831" s="836"/>
      <c r="E831" s="836"/>
      <c r="F831" s="836"/>
      <c r="G831" s="496" t="s">
        <v>7801</v>
      </c>
      <c r="H831" s="797" t="str">
        <f>VLOOKUP(G831,SETTINGS!$B$7:$D$97,2,0)</f>
        <v>HYDRUS G</v>
      </c>
      <c r="I831" s="796">
        <f>VLOOKUP(G831,SETTINGS!$B$7:$D$97,3,0)</f>
        <v>0</v>
      </c>
      <c r="J831" s="670" t="str">
        <f>IFERROR(IF(CURRENCY.FORMAT_1=0,CONCATENATE(TEXT(FIXED(ROUND((C831/EXC.RATE_1),CURRENCY.FORMAT_1),CURRENCY.FORMAT_1,1),"# ##0;-# ##0"),",-"),FIXED(ROUND((C831/EXC.RATE_1),CURRENCY.FORMAT_1),CURRENCY.FORMAT_1,0)),'DICTIONARY-5'!$A$2)</f>
        <v>na zapytanie</v>
      </c>
      <c r="K831" s="670" t="str">
        <f>IF(EXC.RATE_2=0,"",IFERROR(IF(CURRENCY.FORMAT_2=0,CONCATENATE(TEXT(FIXED(ROUND(IF(EXC.RATE.SWITCH=1,C831/EXC.RATE_2,C831*EXC.RATE_2),CURRENCY.FORMAT_2),CURRENCY.FORMAT_2,1),"# ##0;-# ##0"),",-"),FIXED(ROUND(IF(EXC.RATE.SWITCH=1,C831/EXC.RATE_2,C831*EXC.RATE_2),CURRENCY.FORMAT_2),CURRENCY.FORMAT_2,0)),'DICTIONARY-5'!$A$2))</f>
        <v/>
      </c>
      <c r="L831" s="670" t="str">
        <f>IFERROR(IF(CURRENCY.FORMAT_1=0,CONCATENATE(TEXT(FIXED(ROUND((C831*(1-I831)*(1-ADD.DISCOUNT)*(1+MAT.SURCHARGE)/EXC.RATE_1),CURRENCY.FORMAT_1),CURRENCY.FORMAT_1,1),"# ##0;-# ##0"),",-"),FIXED(ROUND((C831*(1-I831)*(1-ADD.DISCOUNT)*(1+MAT.SURCHARGE)/EXC.RATE_1),CURRENCY.FORMAT_1),CURRENCY.FORMAT_1,0)),'DICTIONARY-5'!$A$2)</f>
        <v>na zapytanie</v>
      </c>
      <c r="M831" s="670" t="str">
        <f>IF(EXC.RATE_2=0,"",IFERROR(IF(CURRENCY.FORMAT_2=0,CONCATENATE(TEXT(FIXED(ROUND(IF(EXC.RATE.SWITCH=1,C831*(1-I831)*(1-ADD.DISCOUNT)*(1+MAT.SURCHARGE)/EXC.RATE_2,C831*(1-I831)*(1-ADD.DISCOUNT)*(1+MAT.SURCHARGE)*EXC.RATE_2),CURRENCY.FORMAT_2),CURRENCY.FORMAT_2,1),"# ##0;-# ##0"),",-"),FIXED(ROUND(IF(EXC.RATE.SWITCH=1,C831*(1-I831)*(1-ADD.DISCOUNT)*(1+MAT.SURCHARGE)/EXC.RATE_2,C831*(1-I831)*(1-ADD.DISCOUNT)*(1+MAT.SURCHARGE)*EXC.RATE_2),CURRENCY.FORMAT_2),CURRENCY.FORMAT_2,0)),'DICTIONARY-5'!$A$2))</f>
        <v/>
      </c>
      <c r="N831" s="543">
        <v>7</v>
      </c>
      <c r="O831" s="816" t="s">
        <v>7363</v>
      </c>
      <c r="P831" s="731" t="str">
        <f>'DICTIONARY-3'!$A$47</f>
        <v>HYDRUS G1</v>
      </c>
      <c r="Q831" s="732" t="str">
        <f>'DICTIONARY-3'!$A$193</f>
        <v>Hydrant podziemny</v>
      </c>
      <c r="R831" s="732" t="str">
        <f>CONCATENATE('DICTIONARY-3'!$A$47," ",'DICTIONARY-6'!$A$10," ",'DICTIONARY-2'!$A$2,"80"," ",'DICTIONARY-2'!$A$3,"10/16"," ",'DICTIONARY-2'!$A$7,"1,5m"," ",'DICTIONARY-6'!$A$26," ",'DICTIONARY-5'!$A$64)</f>
        <v>HYDRUS G1 Hydr. podz. DN80 PN10/16 Rd1,5m pokr. wylotu z tworzywa owiert 4 otw.</v>
      </c>
      <c r="S831" s="733" t="str">
        <f>'DICTIONARY-4'!$A$13</f>
        <v>KK</v>
      </c>
      <c r="T831" s="732" t="str">
        <f>'DICTIONARY-4'!$A$29</f>
        <v>Końcówka kwadratowa, zamontowana</v>
      </c>
      <c r="U831" s="734" t="s">
        <v>5760</v>
      </c>
      <c r="V831" s="735">
        <v>16</v>
      </c>
      <c r="W831" s="736"/>
      <c r="X831" s="737"/>
      <c r="Y831" s="745" t="s">
        <v>5654</v>
      </c>
      <c r="Z831" s="747"/>
      <c r="AA831" s="747"/>
      <c r="AB831" s="740">
        <v>16</v>
      </c>
      <c r="AC831" s="741"/>
      <c r="AD831" s="741" t="str">
        <f>'DICTIONARY-5'!$A$13</f>
        <v>woda pitna</v>
      </c>
      <c r="AE831" s="742">
        <v>50</v>
      </c>
      <c r="AF831" s="743">
        <v>39</v>
      </c>
      <c r="AG831" s="741" t="str">
        <f>'DICTIONARY-5'!$A$23</f>
        <v>powłoka epoksydowa</v>
      </c>
      <c r="AH831" s="815"/>
    </row>
    <row r="832" spans="1:34" x14ac:dyDescent="0.25">
      <c r="A832" s="852" t="s">
        <v>6129</v>
      </c>
      <c r="B832" s="852" t="s">
        <v>6133</v>
      </c>
      <c r="C832" s="836" t="s">
        <v>5967</v>
      </c>
      <c r="D832" s="836"/>
      <c r="E832" s="836"/>
      <c r="F832" s="836"/>
      <c r="G832" s="496" t="s">
        <v>7801</v>
      </c>
      <c r="H832" s="797" t="str">
        <f>VLOOKUP(G832,SETTINGS!$B$7:$D$97,2,0)</f>
        <v>HYDRUS G</v>
      </c>
      <c r="I832" s="796">
        <f>VLOOKUP(G832,SETTINGS!$B$7:$D$97,3,0)</f>
        <v>0</v>
      </c>
      <c r="J832" s="670" t="str">
        <f>IFERROR(IF(CURRENCY.FORMAT_1=0,CONCATENATE(TEXT(FIXED(ROUND((C832/EXC.RATE_1),CURRENCY.FORMAT_1),CURRENCY.FORMAT_1,1),"# ##0;-# ##0"),",-"),FIXED(ROUND((C832/EXC.RATE_1),CURRENCY.FORMAT_1),CURRENCY.FORMAT_1,0)),'DICTIONARY-5'!$A$2)</f>
        <v>na zapytanie</v>
      </c>
      <c r="K832" s="670" t="str">
        <f>IF(EXC.RATE_2=0,"",IFERROR(IF(CURRENCY.FORMAT_2=0,CONCATENATE(TEXT(FIXED(ROUND(IF(EXC.RATE.SWITCH=1,C832/EXC.RATE_2,C832*EXC.RATE_2),CURRENCY.FORMAT_2),CURRENCY.FORMAT_2,1),"# ##0;-# ##0"),",-"),FIXED(ROUND(IF(EXC.RATE.SWITCH=1,C832/EXC.RATE_2,C832*EXC.RATE_2),CURRENCY.FORMAT_2),CURRENCY.FORMAT_2,0)),'DICTIONARY-5'!$A$2))</f>
        <v/>
      </c>
      <c r="L832" s="670" t="str">
        <f>IFERROR(IF(CURRENCY.FORMAT_1=0,CONCATENATE(TEXT(FIXED(ROUND((C832*(1-I832)*(1-ADD.DISCOUNT)*(1+MAT.SURCHARGE)/EXC.RATE_1),CURRENCY.FORMAT_1),CURRENCY.FORMAT_1,1),"# ##0;-# ##0"),",-"),FIXED(ROUND((C832*(1-I832)*(1-ADD.DISCOUNT)*(1+MAT.SURCHARGE)/EXC.RATE_1),CURRENCY.FORMAT_1),CURRENCY.FORMAT_1,0)),'DICTIONARY-5'!$A$2)</f>
        <v>na zapytanie</v>
      </c>
      <c r="M832" s="670" t="str">
        <f>IF(EXC.RATE_2=0,"",IFERROR(IF(CURRENCY.FORMAT_2=0,CONCATENATE(TEXT(FIXED(ROUND(IF(EXC.RATE.SWITCH=1,C832*(1-I832)*(1-ADD.DISCOUNT)*(1+MAT.SURCHARGE)/EXC.RATE_2,C832*(1-I832)*(1-ADD.DISCOUNT)*(1+MAT.SURCHARGE)*EXC.RATE_2),CURRENCY.FORMAT_2),CURRENCY.FORMAT_2,1),"# ##0;-# ##0"),",-"),FIXED(ROUND(IF(EXC.RATE.SWITCH=1,C832*(1-I832)*(1-ADD.DISCOUNT)*(1+MAT.SURCHARGE)/EXC.RATE_2,C832*(1-I832)*(1-ADD.DISCOUNT)*(1+MAT.SURCHARGE)*EXC.RATE_2),CURRENCY.FORMAT_2),CURRENCY.FORMAT_2,0)),'DICTIONARY-5'!$A$2))</f>
        <v/>
      </c>
      <c r="N832" s="543">
        <v>8</v>
      </c>
      <c r="O832" s="816" t="s">
        <v>7363</v>
      </c>
      <c r="P832" s="731" t="str">
        <f>'DICTIONARY-3'!$A$48</f>
        <v>HYDRUS G2</v>
      </c>
      <c r="Q832" s="732" t="str">
        <f>'DICTIONARY-3'!$A$193</f>
        <v>Hydrant podziemny</v>
      </c>
      <c r="R832" s="732" t="str">
        <f>CONCATENATE('DICTIONARY-3'!$A$48," ",'DICTIONARY-6'!$A$10," ",'DICTIONARY-2'!$A$2,"80"," ",'DICTIONARY-2'!$A$3,"10/16"," ",'DICTIONARY-2'!$A$7,"0,75m"," ",'DICTIONARY-6'!$A$26," ",'DICTIONARY-5'!$A$64)</f>
        <v>HYDRUS G2 Hydr. podz. DN80 PN10/16 Rd0,75m pokr. wylotu z tworzywa owiert 4 otw.</v>
      </c>
      <c r="S832" s="733" t="str">
        <f>'DICTIONARY-4'!$A$13</f>
        <v>KK</v>
      </c>
      <c r="T832" s="732" t="str">
        <f>'DICTIONARY-4'!$A$29</f>
        <v>Końcówka kwadratowa, zamontowana</v>
      </c>
      <c r="U832" s="734" t="s">
        <v>5760</v>
      </c>
      <c r="V832" s="735">
        <v>16</v>
      </c>
      <c r="W832" s="736"/>
      <c r="X832" s="737"/>
      <c r="Y832" s="745" t="s">
        <v>5804</v>
      </c>
      <c r="Z832" s="747"/>
      <c r="AA832" s="747"/>
      <c r="AB832" s="740">
        <v>16</v>
      </c>
      <c r="AC832" s="741"/>
      <c r="AD832" s="741" t="str">
        <f>'DICTIONARY-5'!$A$13</f>
        <v>woda pitna</v>
      </c>
      <c r="AE832" s="742">
        <v>50</v>
      </c>
      <c r="AF832" s="743">
        <v>25.4</v>
      </c>
      <c r="AG832" s="741" t="str">
        <f>'DICTIONARY-5'!$A$23</f>
        <v>powłoka epoksydowa</v>
      </c>
      <c r="AH832" s="815"/>
    </row>
    <row r="833" spans="1:34" x14ac:dyDescent="0.25">
      <c r="A833" s="852" t="s">
        <v>6130</v>
      </c>
      <c r="B833" s="852" t="s">
        <v>6134</v>
      </c>
      <c r="C833" s="836" t="s">
        <v>5967</v>
      </c>
      <c r="D833" s="836"/>
      <c r="E833" s="836"/>
      <c r="F833" s="836"/>
      <c r="G833" s="496" t="s">
        <v>7801</v>
      </c>
      <c r="H833" s="797" t="str">
        <f>VLOOKUP(G833,SETTINGS!$B$7:$D$97,2,0)</f>
        <v>HYDRUS G</v>
      </c>
      <c r="I833" s="796">
        <f>VLOOKUP(G833,SETTINGS!$B$7:$D$97,3,0)</f>
        <v>0</v>
      </c>
      <c r="J833" s="670" t="str">
        <f>IFERROR(IF(CURRENCY.FORMAT_1=0,CONCATENATE(TEXT(FIXED(ROUND((C833/EXC.RATE_1),CURRENCY.FORMAT_1),CURRENCY.FORMAT_1,1),"# ##0;-# ##0"),",-"),FIXED(ROUND((C833/EXC.RATE_1),CURRENCY.FORMAT_1),CURRENCY.FORMAT_1,0)),'DICTIONARY-5'!$A$2)</f>
        <v>na zapytanie</v>
      </c>
      <c r="K833" s="670" t="str">
        <f>IF(EXC.RATE_2=0,"",IFERROR(IF(CURRENCY.FORMAT_2=0,CONCATENATE(TEXT(FIXED(ROUND(IF(EXC.RATE.SWITCH=1,C833/EXC.RATE_2,C833*EXC.RATE_2),CURRENCY.FORMAT_2),CURRENCY.FORMAT_2,1),"# ##0;-# ##0"),",-"),FIXED(ROUND(IF(EXC.RATE.SWITCH=1,C833/EXC.RATE_2,C833*EXC.RATE_2),CURRENCY.FORMAT_2),CURRENCY.FORMAT_2,0)),'DICTIONARY-5'!$A$2))</f>
        <v/>
      </c>
      <c r="L833" s="670" t="str">
        <f>IFERROR(IF(CURRENCY.FORMAT_1=0,CONCATENATE(TEXT(FIXED(ROUND((C833*(1-I833)*(1-ADD.DISCOUNT)*(1+MAT.SURCHARGE)/EXC.RATE_1),CURRENCY.FORMAT_1),CURRENCY.FORMAT_1,1),"# ##0;-# ##0"),",-"),FIXED(ROUND((C833*(1-I833)*(1-ADD.DISCOUNT)*(1+MAT.SURCHARGE)/EXC.RATE_1),CURRENCY.FORMAT_1),CURRENCY.FORMAT_1,0)),'DICTIONARY-5'!$A$2)</f>
        <v>na zapytanie</v>
      </c>
      <c r="M833" s="670" t="str">
        <f>IF(EXC.RATE_2=0,"",IFERROR(IF(CURRENCY.FORMAT_2=0,CONCATENATE(TEXT(FIXED(ROUND(IF(EXC.RATE.SWITCH=1,C833*(1-I833)*(1-ADD.DISCOUNT)*(1+MAT.SURCHARGE)/EXC.RATE_2,C833*(1-I833)*(1-ADD.DISCOUNT)*(1+MAT.SURCHARGE)*EXC.RATE_2),CURRENCY.FORMAT_2),CURRENCY.FORMAT_2,1),"# ##0;-# ##0"),",-"),FIXED(ROUND(IF(EXC.RATE.SWITCH=1,C833*(1-I833)*(1-ADD.DISCOUNT)*(1+MAT.SURCHARGE)/EXC.RATE_2,C833*(1-I833)*(1-ADD.DISCOUNT)*(1+MAT.SURCHARGE)*EXC.RATE_2),CURRENCY.FORMAT_2),CURRENCY.FORMAT_2,0)),'DICTIONARY-5'!$A$2))</f>
        <v/>
      </c>
      <c r="N833" s="543">
        <v>9</v>
      </c>
      <c r="O833" s="816" t="s">
        <v>7363</v>
      </c>
      <c r="P833" s="731" t="str">
        <f>'DICTIONARY-3'!$A$48</f>
        <v>HYDRUS G2</v>
      </c>
      <c r="Q833" s="732" t="str">
        <f>'DICTIONARY-3'!$A$193</f>
        <v>Hydrant podziemny</v>
      </c>
      <c r="R833" s="732" t="str">
        <f>CONCATENATE('DICTIONARY-3'!$A$48," ",'DICTIONARY-6'!$A$10," ",'DICTIONARY-2'!$A$2,"80"," ",'DICTIONARY-2'!$A$3,"10/16"," ",'DICTIONARY-2'!$A$7,"1,0m"," ",'DICTIONARY-6'!$A$26," ",'DICTIONARY-5'!$A$64)</f>
        <v>HYDRUS G2 Hydr. podz. DN80 PN10/16 Rd1,0m pokr. wylotu z tworzywa owiert 4 otw.</v>
      </c>
      <c r="S833" s="733" t="str">
        <f>'DICTIONARY-4'!$A$13</f>
        <v>KK</v>
      </c>
      <c r="T833" s="732" t="str">
        <f>'DICTIONARY-4'!$A$29</f>
        <v>Końcówka kwadratowa, zamontowana</v>
      </c>
      <c r="U833" s="734" t="s">
        <v>5760</v>
      </c>
      <c r="V833" s="735">
        <v>16</v>
      </c>
      <c r="W833" s="736"/>
      <c r="X833" s="737"/>
      <c r="Y833" s="745" t="s">
        <v>5652</v>
      </c>
      <c r="Z833" s="747"/>
      <c r="AA833" s="747"/>
      <c r="AB833" s="740">
        <v>16</v>
      </c>
      <c r="AC833" s="741"/>
      <c r="AD833" s="741" t="str">
        <f>'DICTIONARY-5'!$A$13</f>
        <v>woda pitna</v>
      </c>
      <c r="AE833" s="742">
        <v>50</v>
      </c>
      <c r="AF833" s="743">
        <v>29.5</v>
      </c>
      <c r="AG833" s="741" t="str">
        <f>'DICTIONARY-5'!$A$23</f>
        <v>powłoka epoksydowa</v>
      </c>
      <c r="AH833" s="815"/>
    </row>
    <row r="834" spans="1:34" x14ac:dyDescent="0.25">
      <c r="A834" s="852" t="s">
        <v>6131</v>
      </c>
      <c r="B834" s="852" t="s">
        <v>6135</v>
      </c>
      <c r="C834" s="836" t="s">
        <v>5967</v>
      </c>
      <c r="D834" s="836"/>
      <c r="E834" s="836"/>
      <c r="F834" s="836"/>
      <c r="G834" s="496" t="s">
        <v>7801</v>
      </c>
      <c r="H834" s="797" t="str">
        <f>VLOOKUP(G834,SETTINGS!$B$7:$D$97,2,0)</f>
        <v>HYDRUS G</v>
      </c>
      <c r="I834" s="796">
        <f>VLOOKUP(G834,SETTINGS!$B$7:$D$97,3,0)</f>
        <v>0</v>
      </c>
      <c r="J834" s="670" t="str">
        <f>IFERROR(IF(CURRENCY.FORMAT_1=0,CONCATENATE(TEXT(FIXED(ROUND((C834/EXC.RATE_1),CURRENCY.FORMAT_1),CURRENCY.FORMAT_1,1),"# ##0;-# ##0"),",-"),FIXED(ROUND((C834/EXC.RATE_1),CURRENCY.FORMAT_1),CURRENCY.FORMAT_1,0)),'DICTIONARY-5'!$A$2)</f>
        <v>na zapytanie</v>
      </c>
      <c r="K834" s="670" t="str">
        <f>IF(EXC.RATE_2=0,"",IFERROR(IF(CURRENCY.FORMAT_2=0,CONCATENATE(TEXT(FIXED(ROUND(IF(EXC.RATE.SWITCH=1,C834/EXC.RATE_2,C834*EXC.RATE_2),CURRENCY.FORMAT_2),CURRENCY.FORMAT_2,1),"# ##0;-# ##0"),",-"),FIXED(ROUND(IF(EXC.RATE.SWITCH=1,C834/EXC.RATE_2,C834*EXC.RATE_2),CURRENCY.FORMAT_2),CURRENCY.FORMAT_2,0)),'DICTIONARY-5'!$A$2))</f>
        <v/>
      </c>
      <c r="L834" s="670" t="str">
        <f>IFERROR(IF(CURRENCY.FORMAT_1=0,CONCATENATE(TEXT(FIXED(ROUND((C834*(1-I834)*(1-ADD.DISCOUNT)*(1+MAT.SURCHARGE)/EXC.RATE_1),CURRENCY.FORMAT_1),CURRENCY.FORMAT_1,1),"# ##0;-# ##0"),",-"),FIXED(ROUND((C834*(1-I834)*(1-ADD.DISCOUNT)*(1+MAT.SURCHARGE)/EXC.RATE_1),CURRENCY.FORMAT_1),CURRENCY.FORMAT_1,0)),'DICTIONARY-5'!$A$2)</f>
        <v>na zapytanie</v>
      </c>
      <c r="M834" s="670" t="str">
        <f>IF(EXC.RATE_2=0,"",IFERROR(IF(CURRENCY.FORMAT_2=0,CONCATENATE(TEXT(FIXED(ROUND(IF(EXC.RATE.SWITCH=1,C834*(1-I834)*(1-ADD.DISCOUNT)*(1+MAT.SURCHARGE)/EXC.RATE_2,C834*(1-I834)*(1-ADD.DISCOUNT)*(1+MAT.SURCHARGE)*EXC.RATE_2),CURRENCY.FORMAT_2),CURRENCY.FORMAT_2,1),"# ##0;-# ##0"),",-"),FIXED(ROUND(IF(EXC.RATE.SWITCH=1,C834*(1-I834)*(1-ADD.DISCOUNT)*(1+MAT.SURCHARGE)/EXC.RATE_2,C834*(1-I834)*(1-ADD.DISCOUNT)*(1+MAT.SURCHARGE)*EXC.RATE_2),CURRENCY.FORMAT_2),CURRENCY.FORMAT_2,0)),'DICTIONARY-5'!$A$2))</f>
        <v/>
      </c>
      <c r="N834" s="543">
        <v>10</v>
      </c>
      <c r="O834" s="816" t="s">
        <v>7363</v>
      </c>
      <c r="P834" s="731" t="str">
        <f>'DICTIONARY-3'!$A$48</f>
        <v>HYDRUS G2</v>
      </c>
      <c r="Q834" s="732" t="str">
        <f>'DICTIONARY-3'!$A$193</f>
        <v>Hydrant podziemny</v>
      </c>
      <c r="R834" s="732" t="str">
        <f>CONCATENATE('DICTIONARY-3'!$A$48," ",'DICTIONARY-6'!$A$10," ",'DICTIONARY-2'!$A$2,"80"," ",'DICTIONARY-2'!$A$3,"10/16"," ",'DICTIONARY-2'!$A$7,"1,25m"," ",'DICTIONARY-6'!$A$26," ",'DICTIONARY-5'!$A$64)</f>
        <v>HYDRUS G2 Hydr. podz. DN80 PN10/16 Rd1,25m pokr. wylotu z tworzywa owiert 4 otw.</v>
      </c>
      <c r="S834" s="733" t="str">
        <f>'DICTIONARY-4'!$A$13</f>
        <v>KK</v>
      </c>
      <c r="T834" s="732" t="str">
        <f>'DICTIONARY-4'!$A$29</f>
        <v>Końcówka kwadratowa, zamontowana</v>
      </c>
      <c r="U834" s="734" t="s">
        <v>5760</v>
      </c>
      <c r="V834" s="735">
        <v>16</v>
      </c>
      <c r="W834" s="736"/>
      <c r="X834" s="737"/>
      <c r="Y834" s="745" t="s">
        <v>5653</v>
      </c>
      <c r="Z834" s="747"/>
      <c r="AA834" s="747"/>
      <c r="AB834" s="740">
        <v>16</v>
      </c>
      <c r="AC834" s="741"/>
      <c r="AD834" s="741" t="str">
        <f>'DICTIONARY-5'!$A$13</f>
        <v>woda pitna</v>
      </c>
      <c r="AE834" s="742">
        <v>50</v>
      </c>
      <c r="AF834" s="743">
        <v>33.799999999999997</v>
      </c>
      <c r="AG834" s="741" t="str">
        <f>'DICTIONARY-5'!$A$23</f>
        <v>powłoka epoksydowa</v>
      </c>
      <c r="AH834" s="815"/>
    </row>
    <row r="835" spans="1:34" x14ac:dyDescent="0.25">
      <c r="A835" s="852" t="s">
        <v>6132</v>
      </c>
      <c r="B835" s="852" t="s">
        <v>6136</v>
      </c>
      <c r="C835" s="836" t="s">
        <v>5967</v>
      </c>
      <c r="D835" s="836"/>
      <c r="E835" s="836"/>
      <c r="F835" s="836"/>
      <c r="G835" s="496" t="s">
        <v>7801</v>
      </c>
      <c r="H835" s="797" t="str">
        <f>VLOOKUP(G835,SETTINGS!$B$7:$D$97,2,0)</f>
        <v>HYDRUS G</v>
      </c>
      <c r="I835" s="796">
        <f>VLOOKUP(G835,SETTINGS!$B$7:$D$97,3,0)</f>
        <v>0</v>
      </c>
      <c r="J835" s="670" t="str">
        <f>IFERROR(IF(CURRENCY.FORMAT_1=0,CONCATENATE(TEXT(FIXED(ROUND((C835/EXC.RATE_1),CURRENCY.FORMAT_1),CURRENCY.FORMAT_1,1),"# ##0;-# ##0"),",-"),FIXED(ROUND((C835/EXC.RATE_1),CURRENCY.FORMAT_1),CURRENCY.FORMAT_1,0)),'DICTIONARY-5'!$A$2)</f>
        <v>na zapytanie</v>
      </c>
      <c r="K835" s="670" t="str">
        <f>IF(EXC.RATE_2=0,"",IFERROR(IF(CURRENCY.FORMAT_2=0,CONCATENATE(TEXT(FIXED(ROUND(IF(EXC.RATE.SWITCH=1,C835/EXC.RATE_2,C835*EXC.RATE_2),CURRENCY.FORMAT_2),CURRENCY.FORMAT_2,1),"# ##0;-# ##0"),",-"),FIXED(ROUND(IF(EXC.RATE.SWITCH=1,C835/EXC.RATE_2,C835*EXC.RATE_2),CURRENCY.FORMAT_2),CURRENCY.FORMAT_2,0)),'DICTIONARY-5'!$A$2))</f>
        <v/>
      </c>
      <c r="L835" s="670" t="str">
        <f>IFERROR(IF(CURRENCY.FORMAT_1=0,CONCATENATE(TEXT(FIXED(ROUND((C835*(1-I835)*(1-ADD.DISCOUNT)*(1+MAT.SURCHARGE)/EXC.RATE_1),CURRENCY.FORMAT_1),CURRENCY.FORMAT_1,1),"# ##0;-# ##0"),",-"),FIXED(ROUND((C835*(1-I835)*(1-ADD.DISCOUNT)*(1+MAT.SURCHARGE)/EXC.RATE_1),CURRENCY.FORMAT_1),CURRENCY.FORMAT_1,0)),'DICTIONARY-5'!$A$2)</f>
        <v>na zapytanie</v>
      </c>
      <c r="M835" s="670" t="str">
        <f>IF(EXC.RATE_2=0,"",IFERROR(IF(CURRENCY.FORMAT_2=0,CONCATENATE(TEXT(FIXED(ROUND(IF(EXC.RATE.SWITCH=1,C835*(1-I835)*(1-ADD.DISCOUNT)*(1+MAT.SURCHARGE)/EXC.RATE_2,C835*(1-I835)*(1-ADD.DISCOUNT)*(1+MAT.SURCHARGE)*EXC.RATE_2),CURRENCY.FORMAT_2),CURRENCY.FORMAT_2,1),"# ##0;-# ##0"),",-"),FIXED(ROUND(IF(EXC.RATE.SWITCH=1,C835*(1-I835)*(1-ADD.DISCOUNT)*(1+MAT.SURCHARGE)/EXC.RATE_2,C835*(1-I835)*(1-ADD.DISCOUNT)*(1+MAT.SURCHARGE)*EXC.RATE_2),CURRENCY.FORMAT_2),CURRENCY.FORMAT_2,0)),'DICTIONARY-5'!$A$2))</f>
        <v/>
      </c>
      <c r="N835" s="543">
        <v>11</v>
      </c>
      <c r="O835" s="816" t="s">
        <v>7363</v>
      </c>
      <c r="P835" s="731" t="str">
        <f>'DICTIONARY-3'!$A$48</f>
        <v>HYDRUS G2</v>
      </c>
      <c r="Q835" s="732" t="str">
        <f>'DICTIONARY-3'!$A$193</f>
        <v>Hydrant podziemny</v>
      </c>
      <c r="R835" s="732" t="str">
        <f>CONCATENATE('DICTIONARY-3'!$A$48," ",'DICTIONARY-6'!$A$10," ",'DICTIONARY-2'!$A$2,"80"," ",'DICTIONARY-2'!$A$3,"10/16"," ",'DICTIONARY-2'!$A$7,"1,5m"," ",'DICTIONARY-6'!$A$26," ",'DICTIONARY-5'!$A$64)</f>
        <v>HYDRUS G2 Hydr. podz. DN80 PN10/16 Rd1,5m pokr. wylotu z tworzywa owiert 4 otw.</v>
      </c>
      <c r="S835" s="733" t="str">
        <f>'DICTIONARY-4'!$A$13</f>
        <v>KK</v>
      </c>
      <c r="T835" s="732" t="str">
        <f>'DICTIONARY-4'!$A$29</f>
        <v>Końcówka kwadratowa, zamontowana</v>
      </c>
      <c r="U835" s="734" t="s">
        <v>5760</v>
      </c>
      <c r="V835" s="735">
        <v>16</v>
      </c>
      <c r="W835" s="736"/>
      <c r="X835" s="737"/>
      <c r="Y835" s="745" t="s">
        <v>5654</v>
      </c>
      <c r="Z835" s="747"/>
      <c r="AA835" s="747"/>
      <c r="AB835" s="740">
        <v>16</v>
      </c>
      <c r="AC835" s="741"/>
      <c r="AD835" s="741" t="str">
        <f>'DICTIONARY-5'!$A$13</f>
        <v>woda pitna</v>
      </c>
      <c r="AE835" s="742">
        <v>50</v>
      </c>
      <c r="AF835" s="743">
        <v>39.5</v>
      </c>
      <c r="AG835" s="741" t="str">
        <f>'DICTIONARY-5'!$A$23</f>
        <v>powłoka epoksydowa</v>
      </c>
      <c r="AH835" s="815"/>
    </row>
    <row r="836" spans="1:34" x14ac:dyDescent="0.25">
      <c r="A836" s="851" t="s">
        <v>832</v>
      </c>
      <c r="B836" s="851" t="s">
        <v>4273</v>
      </c>
      <c r="C836" s="836">
        <v>1140</v>
      </c>
      <c r="D836" s="836"/>
      <c r="E836" s="836"/>
      <c r="F836" s="836"/>
      <c r="G836" s="496" t="s">
        <v>7801</v>
      </c>
      <c r="H836" s="797" t="str">
        <f>VLOOKUP(G836,SETTINGS!$B$7:$D$97,2,0)</f>
        <v>HYDRUS G</v>
      </c>
      <c r="I836" s="796">
        <f>VLOOKUP(G836,SETTINGS!$B$7:$D$97,3,0)</f>
        <v>0</v>
      </c>
      <c r="J836" s="670" t="str">
        <f>IFERROR(IF(CURRENCY.FORMAT_1=0,CONCATENATE(TEXT(FIXED(ROUND((C836/EXC.RATE_1),CURRENCY.FORMAT_1),CURRENCY.FORMAT_1,1),"# ##0;-# ##0"),",-"),FIXED(ROUND((C836/EXC.RATE_1),CURRENCY.FORMAT_1),CURRENCY.FORMAT_1,0)),'DICTIONARY-5'!$A$2)</f>
        <v>1 140,-</v>
      </c>
      <c r="K836" s="670" t="str">
        <f>IF(EXC.RATE_2=0,"",IFERROR(IF(CURRENCY.FORMAT_2=0,CONCATENATE(TEXT(FIXED(ROUND(IF(EXC.RATE.SWITCH=1,C836/EXC.RATE_2,C836*EXC.RATE_2),CURRENCY.FORMAT_2),CURRENCY.FORMAT_2,1),"# ##0;-# ##0"),",-"),FIXED(ROUND(IF(EXC.RATE.SWITCH=1,C836/EXC.RATE_2,C836*EXC.RATE_2),CURRENCY.FORMAT_2),CURRENCY.FORMAT_2,0)),'DICTIONARY-5'!$A$2))</f>
        <v/>
      </c>
      <c r="L836" s="670" t="str">
        <f>IFERROR(IF(CURRENCY.FORMAT_1=0,CONCATENATE(TEXT(FIXED(ROUND((C836*(1-I836)*(1-ADD.DISCOUNT)*(1+MAT.SURCHARGE)/EXC.RATE_1),CURRENCY.FORMAT_1),CURRENCY.FORMAT_1,1),"# ##0;-# ##0"),",-"),FIXED(ROUND((C836*(1-I836)*(1-ADD.DISCOUNT)*(1+MAT.SURCHARGE)/EXC.RATE_1),CURRENCY.FORMAT_1),CURRENCY.FORMAT_1,0)),'DICTIONARY-5'!$A$2)</f>
        <v>1 184,-</v>
      </c>
      <c r="M836" s="670" t="str">
        <f>IF(EXC.RATE_2=0,"",IFERROR(IF(CURRENCY.FORMAT_2=0,CONCATENATE(TEXT(FIXED(ROUND(IF(EXC.RATE.SWITCH=1,C836*(1-I836)*(1-ADD.DISCOUNT)*(1+MAT.SURCHARGE)/EXC.RATE_2,C836*(1-I836)*(1-ADD.DISCOUNT)*(1+MAT.SURCHARGE)*EXC.RATE_2),CURRENCY.FORMAT_2),CURRENCY.FORMAT_2,1),"# ##0;-# ##0"),",-"),FIXED(ROUND(IF(EXC.RATE.SWITCH=1,C836*(1-I836)*(1-ADD.DISCOUNT)*(1+MAT.SURCHARGE)/EXC.RATE_2,C836*(1-I836)*(1-ADD.DISCOUNT)*(1+MAT.SURCHARGE)*EXC.RATE_2),CURRENCY.FORMAT_2),CURRENCY.FORMAT_2,0)),'DICTIONARY-5'!$A$2))</f>
        <v/>
      </c>
      <c r="N836" s="543">
        <v>3</v>
      </c>
      <c r="O836" s="543"/>
      <c r="P836" s="731" t="str">
        <f>'DICTIONARY-3'!$A$48</f>
        <v>HYDRUS G2</v>
      </c>
      <c r="Q836" s="732" t="str">
        <f>'DICTIONARY-3'!$A$193</f>
        <v>Hydrant podziemny</v>
      </c>
      <c r="R836" s="732" t="str">
        <f>CONCATENATE('DICTIONARY-3'!$A$48," ",'DICTIONARY-6'!$A$10," ",'DICTIONARY-2'!$A$2,"100"," ",'DICTIONARY-2'!$A$3,"10/16"," ",'DICTIONARY-2'!$A$7,"1,0m"," ",'DICTIONARY-6'!$A$26)</f>
        <v>HYDRUS G2 Hydr. podz. DN100 PN10/16 Rd1,0m pokr. wylotu z tworzywa</v>
      </c>
      <c r="S836" s="733" t="str">
        <f>'DICTIONARY-4'!$A$13</f>
        <v>KK</v>
      </c>
      <c r="T836" s="732" t="str">
        <f>'DICTIONARY-4'!$A$29</f>
        <v>Końcówka kwadratowa, zamontowana</v>
      </c>
      <c r="U836" s="734" t="s">
        <v>5749</v>
      </c>
      <c r="V836" s="735">
        <v>16</v>
      </c>
      <c r="W836" s="736"/>
      <c r="X836" s="737"/>
      <c r="Y836" s="745" t="s">
        <v>5652</v>
      </c>
      <c r="Z836" s="747"/>
      <c r="AA836" s="747"/>
      <c r="AB836" s="740">
        <v>16</v>
      </c>
      <c r="AC836" s="741"/>
      <c r="AD836" s="741" t="str">
        <f>'DICTIONARY-5'!$A$13</f>
        <v>woda pitna</v>
      </c>
      <c r="AE836" s="742">
        <v>50</v>
      </c>
      <c r="AF836" s="743">
        <v>56</v>
      </c>
      <c r="AG836" s="741" t="str">
        <f>'DICTIONARY-5'!$A$23</f>
        <v>powłoka epoksydowa</v>
      </c>
    </row>
    <row r="837" spans="1:34" x14ac:dyDescent="0.25">
      <c r="A837" s="851" t="s">
        <v>834</v>
      </c>
      <c r="B837" s="851" t="s">
        <v>4274</v>
      </c>
      <c r="C837" s="836">
        <v>1239</v>
      </c>
      <c r="D837" s="836"/>
      <c r="E837" s="836"/>
      <c r="F837" s="836"/>
      <c r="G837" s="496" t="s">
        <v>7801</v>
      </c>
      <c r="H837" s="797" t="str">
        <f>VLOOKUP(G837,SETTINGS!$B$7:$D$97,2,0)</f>
        <v>HYDRUS G</v>
      </c>
      <c r="I837" s="796">
        <f>VLOOKUP(G837,SETTINGS!$B$7:$D$97,3,0)</f>
        <v>0</v>
      </c>
      <c r="J837" s="670" t="str">
        <f>IFERROR(IF(CURRENCY.FORMAT_1=0,CONCATENATE(TEXT(FIXED(ROUND((C837/EXC.RATE_1),CURRENCY.FORMAT_1),CURRENCY.FORMAT_1,1),"# ##0;-# ##0"),",-"),FIXED(ROUND((C837/EXC.RATE_1),CURRENCY.FORMAT_1),CURRENCY.FORMAT_1,0)),'DICTIONARY-5'!$A$2)</f>
        <v>1 239,-</v>
      </c>
      <c r="K837" s="670" t="str">
        <f>IF(EXC.RATE_2=0,"",IFERROR(IF(CURRENCY.FORMAT_2=0,CONCATENATE(TEXT(FIXED(ROUND(IF(EXC.RATE.SWITCH=1,C837/EXC.RATE_2,C837*EXC.RATE_2),CURRENCY.FORMAT_2),CURRENCY.FORMAT_2,1),"# ##0;-# ##0"),",-"),FIXED(ROUND(IF(EXC.RATE.SWITCH=1,C837/EXC.RATE_2,C837*EXC.RATE_2),CURRENCY.FORMAT_2),CURRENCY.FORMAT_2,0)),'DICTIONARY-5'!$A$2))</f>
        <v/>
      </c>
      <c r="L837" s="670" t="str">
        <f>IFERROR(IF(CURRENCY.FORMAT_1=0,CONCATENATE(TEXT(FIXED(ROUND((C837*(1-I837)*(1-ADD.DISCOUNT)*(1+MAT.SURCHARGE)/EXC.RATE_1),CURRENCY.FORMAT_1),CURRENCY.FORMAT_1,1),"# ##0;-# ##0"),",-"),FIXED(ROUND((C837*(1-I837)*(1-ADD.DISCOUNT)*(1+MAT.SURCHARGE)/EXC.RATE_1),CURRENCY.FORMAT_1),CURRENCY.FORMAT_1,0)),'DICTIONARY-5'!$A$2)</f>
        <v>1 287,-</v>
      </c>
      <c r="M837" s="670" t="str">
        <f>IF(EXC.RATE_2=0,"",IFERROR(IF(CURRENCY.FORMAT_2=0,CONCATENATE(TEXT(FIXED(ROUND(IF(EXC.RATE.SWITCH=1,C837*(1-I837)*(1-ADD.DISCOUNT)*(1+MAT.SURCHARGE)/EXC.RATE_2,C837*(1-I837)*(1-ADD.DISCOUNT)*(1+MAT.SURCHARGE)*EXC.RATE_2),CURRENCY.FORMAT_2),CURRENCY.FORMAT_2,1),"# ##0;-# ##0"),",-"),FIXED(ROUND(IF(EXC.RATE.SWITCH=1,C837*(1-I837)*(1-ADD.DISCOUNT)*(1+MAT.SURCHARGE)/EXC.RATE_2,C837*(1-I837)*(1-ADD.DISCOUNT)*(1+MAT.SURCHARGE)*EXC.RATE_2),CURRENCY.FORMAT_2),CURRENCY.FORMAT_2,0)),'DICTIONARY-5'!$A$2))</f>
        <v/>
      </c>
      <c r="N837" s="543">
        <v>3</v>
      </c>
      <c r="O837" s="543"/>
      <c r="P837" s="731" t="str">
        <f>'DICTIONARY-3'!$A$48</f>
        <v>HYDRUS G2</v>
      </c>
      <c r="Q837" s="732" t="str">
        <f>'DICTIONARY-3'!$A$193</f>
        <v>Hydrant podziemny</v>
      </c>
      <c r="R837" s="732" t="str">
        <f>CONCATENATE('DICTIONARY-3'!$A$48," ",'DICTIONARY-6'!$A$10," ",'DICTIONARY-2'!$A$2,"100"," ",'DICTIONARY-2'!$A$3,"10/16"," ",'DICTIONARY-2'!$A$7,"1,25m"," ",'DICTIONARY-6'!$A$26)</f>
        <v>HYDRUS G2 Hydr. podz. DN100 PN10/16 Rd1,25m pokr. wylotu z tworzywa</v>
      </c>
      <c r="S837" s="733" t="str">
        <f>'DICTIONARY-4'!$A$13</f>
        <v>KK</v>
      </c>
      <c r="T837" s="732" t="str">
        <f>'DICTIONARY-4'!$A$29</f>
        <v>Końcówka kwadratowa, zamontowana</v>
      </c>
      <c r="U837" s="734" t="s">
        <v>5749</v>
      </c>
      <c r="V837" s="735">
        <v>16</v>
      </c>
      <c r="W837" s="736"/>
      <c r="X837" s="737"/>
      <c r="Y837" s="745" t="s">
        <v>5653</v>
      </c>
      <c r="Z837" s="747"/>
      <c r="AA837" s="747"/>
      <c r="AB837" s="740">
        <v>16</v>
      </c>
      <c r="AC837" s="741"/>
      <c r="AD837" s="741" t="str">
        <f>'DICTIONARY-5'!$A$13</f>
        <v>woda pitna</v>
      </c>
      <c r="AE837" s="742">
        <v>50</v>
      </c>
      <c r="AF837" s="743">
        <v>62.5</v>
      </c>
      <c r="AG837" s="741" t="str">
        <f>'DICTIONARY-5'!$A$23</f>
        <v>powłoka epoksydowa</v>
      </c>
    </row>
    <row r="838" spans="1:34" x14ac:dyDescent="0.25">
      <c r="A838" s="851" t="s">
        <v>836</v>
      </c>
      <c r="B838" s="851" t="s">
        <v>4275</v>
      </c>
      <c r="C838" s="836">
        <v>1286</v>
      </c>
      <c r="D838" s="836"/>
      <c r="E838" s="836"/>
      <c r="F838" s="836"/>
      <c r="G838" s="496" t="s">
        <v>7801</v>
      </c>
      <c r="H838" s="797" t="str">
        <f>VLOOKUP(G838,SETTINGS!$B$7:$D$97,2,0)</f>
        <v>HYDRUS G</v>
      </c>
      <c r="I838" s="796">
        <f>VLOOKUP(G838,SETTINGS!$B$7:$D$97,3,0)</f>
        <v>0</v>
      </c>
      <c r="J838" s="670" t="str">
        <f>IFERROR(IF(CURRENCY.FORMAT_1=0,CONCATENATE(TEXT(FIXED(ROUND((C838/EXC.RATE_1),CURRENCY.FORMAT_1),CURRENCY.FORMAT_1,1),"# ##0;-# ##0"),",-"),FIXED(ROUND((C838/EXC.RATE_1),CURRENCY.FORMAT_1),CURRENCY.FORMAT_1,0)),'DICTIONARY-5'!$A$2)</f>
        <v>1 286,-</v>
      </c>
      <c r="K838" s="670" t="str">
        <f>IF(EXC.RATE_2=0,"",IFERROR(IF(CURRENCY.FORMAT_2=0,CONCATENATE(TEXT(FIXED(ROUND(IF(EXC.RATE.SWITCH=1,C838/EXC.RATE_2,C838*EXC.RATE_2),CURRENCY.FORMAT_2),CURRENCY.FORMAT_2,1),"# ##0;-# ##0"),",-"),FIXED(ROUND(IF(EXC.RATE.SWITCH=1,C838/EXC.RATE_2,C838*EXC.RATE_2),CURRENCY.FORMAT_2),CURRENCY.FORMAT_2,0)),'DICTIONARY-5'!$A$2))</f>
        <v/>
      </c>
      <c r="L838" s="670" t="str">
        <f>IFERROR(IF(CURRENCY.FORMAT_1=0,CONCATENATE(TEXT(FIXED(ROUND((C838*(1-I838)*(1-ADD.DISCOUNT)*(1+MAT.SURCHARGE)/EXC.RATE_1),CURRENCY.FORMAT_1),CURRENCY.FORMAT_1,1),"# ##0;-# ##0"),",-"),FIXED(ROUND((C838*(1-I838)*(1-ADD.DISCOUNT)*(1+MAT.SURCHARGE)/EXC.RATE_1),CURRENCY.FORMAT_1),CURRENCY.FORMAT_1,0)),'DICTIONARY-5'!$A$2)</f>
        <v>1 336,-</v>
      </c>
      <c r="M838" s="670" t="str">
        <f>IF(EXC.RATE_2=0,"",IFERROR(IF(CURRENCY.FORMAT_2=0,CONCATENATE(TEXT(FIXED(ROUND(IF(EXC.RATE.SWITCH=1,C838*(1-I838)*(1-ADD.DISCOUNT)*(1+MAT.SURCHARGE)/EXC.RATE_2,C838*(1-I838)*(1-ADD.DISCOUNT)*(1+MAT.SURCHARGE)*EXC.RATE_2),CURRENCY.FORMAT_2),CURRENCY.FORMAT_2,1),"# ##0;-# ##0"),",-"),FIXED(ROUND(IF(EXC.RATE.SWITCH=1,C838*(1-I838)*(1-ADD.DISCOUNT)*(1+MAT.SURCHARGE)/EXC.RATE_2,C838*(1-I838)*(1-ADD.DISCOUNT)*(1+MAT.SURCHARGE)*EXC.RATE_2),CURRENCY.FORMAT_2),CURRENCY.FORMAT_2,0)),'DICTIONARY-5'!$A$2))</f>
        <v/>
      </c>
      <c r="N838" s="543">
        <v>3</v>
      </c>
      <c r="O838" s="543"/>
      <c r="P838" s="731" t="str">
        <f>'DICTIONARY-3'!$A$48</f>
        <v>HYDRUS G2</v>
      </c>
      <c r="Q838" s="732" t="str">
        <f>'DICTIONARY-3'!$A$193</f>
        <v>Hydrant podziemny</v>
      </c>
      <c r="R838" s="732" t="str">
        <f>CONCATENATE('DICTIONARY-3'!$A$48," ",'DICTIONARY-6'!$A$10," ",'DICTIONARY-2'!$A$2,"100"," ",'DICTIONARY-2'!$A$3,"10/16"," ",'DICTIONARY-2'!$A$7,"1,5m"," ",'DICTIONARY-6'!$A$26)</f>
        <v>HYDRUS G2 Hydr. podz. DN100 PN10/16 Rd1,5m pokr. wylotu z tworzywa</v>
      </c>
      <c r="S838" s="733" t="str">
        <f>'DICTIONARY-4'!$A$13</f>
        <v>KK</v>
      </c>
      <c r="T838" s="732" t="str">
        <f>'DICTIONARY-4'!$A$29</f>
        <v>Końcówka kwadratowa, zamontowana</v>
      </c>
      <c r="U838" s="734" t="s">
        <v>5749</v>
      </c>
      <c r="V838" s="735">
        <v>16</v>
      </c>
      <c r="W838" s="736"/>
      <c r="X838" s="737"/>
      <c r="Y838" s="745" t="s">
        <v>5654</v>
      </c>
      <c r="Z838" s="747"/>
      <c r="AA838" s="747"/>
      <c r="AB838" s="740">
        <v>16</v>
      </c>
      <c r="AC838" s="741"/>
      <c r="AD838" s="741" t="str">
        <f>'DICTIONARY-5'!$A$13</f>
        <v>woda pitna</v>
      </c>
      <c r="AE838" s="742">
        <v>50</v>
      </c>
      <c r="AF838" s="743">
        <v>69</v>
      </c>
      <c r="AG838" s="741" t="str">
        <f>'DICTIONARY-5'!$A$23</f>
        <v>powłoka epoksydowa</v>
      </c>
    </row>
    <row r="839" spans="1:34" x14ac:dyDescent="0.25">
      <c r="A839" s="851" t="s">
        <v>833</v>
      </c>
      <c r="B839" s="851" t="s">
        <v>4276</v>
      </c>
      <c r="C839" s="836">
        <v>1135</v>
      </c>
      <c r="D839" s="836"/>
      <c r="E839" s="836"/>
      <c r="F839" s="836"/>
      <c r="G839" s="496" t="s">
        <v>7801</v>
      </c>
      <c r="H839" s="797" t="str">
        <f>VLOOKUP(G839,SETTINGS!$B$7:$D$97,2,0)</f>
        <v>HYDRUS G</v>
      </c>
      <c r="I839" s="796">
        <f>VLOOKUP(G839,SETTINGS!$B$7:$D$97,3,0)</f>
        <v>0</v>
      </c>
      <c r="J839" s="670" t="str">
        <f>IFERROR(IF(CURRENCY.FORMAT_1=0,CONCATENATE(TEXT(FIXED(ROUND((C839/EXC.RATE_1),CURRENCY.FORMAT_1),CURRENCY.FORMAT_1,1),"# ##0;-# ##0"),",-"),FIXED(ROUND((C839/EXC.RATE_1),CURRENCY.FORMAT_1),CURRENCY.FORMAT_1,0)),'DICTIONARY-5'!$A$2)</f>
        <v>1 135,-</v>
      </c>
      <c r="K839" s="670" t="str">
        <f>IF(EXC.RATE_2=0,"",IFERROR(IF(CURRENCY.FORMAT_2=0,CONCATENATE(TEXT(FIXED(ROUND(IF(EXC.RATE.SWITCH=1,C839/EXC.RATE_2,C839*EXC.RATE_2),CURRENCY.FORMAT_2),CURRENCY.FORMAT_2,1),"# ##0;-# ##0"),",-"),FIXED(ROUND(IF(EXC.RATE.SWITCH=1,C839/EXC.RATE_2,C839*EXC.RATE_2),CURRENCY.FORMAT_2),CURRENCY.FORMAT_2,0)),'DICTIONARY-5'!$A$2))</f>
        <v/>
      </c>
      <c r="L839" s="670" t="str">
        <f>IFERROR(IF(CURRENCY.FORMAT_1=0,CONCATENATE(TEXT(FIXED(ROUND((C839*(1-I839)*(1-ADD.DISCOUNT)*(1+MAT.SURCHARGE)/EXC.RATE_1),CURRENCY.FORMAT_1),CURRENCY.FORMAT_1,1),"# ##0;-# ##0"),",-"),FIXED(ROUND((C839*(1-I839)*(1-ADD.DISCOUNT)*(1+MAT.SURCHARGE)/EXC.RATE_1),CURRENCY.FORMAT_1),CURRENCY.FORMAT_1,0)),'DICTIONARY-5'!$A$2)</f>
        <v>1 179,-</v>
      </c>
      <c r="M839" s="670" t="str">
        <f>IF(EXC.RATE_2=0,"",IFERROR(IF(CURRENCY.FORMAT_2=0,CONCATENATE(TEXT(FIXED(ROUND(IF(EXC.RATE.SWITCH=1,C839*(1-I839)*(1-ADD.DISCOUNT)*(1+MAT.SURCHARGE)/EXC.RATE_2,C839*(1-I839)*(1-ADD.DISCOUNT)*(1+MAT.SURCHARGE)*EXC.RATE_2),CURRENCY.FORMAT_2),CURRENCY.FORMAT_2,1),"# ##0;-# ##0"),",-"),FIXED(ROUND(IF(EXC.RATE.SWITCH=1,C839*(1-I839)*(1-ADD.DISCOUNT)*(1+MAT.SURCHARGE)/EXC.RATE_2,C839*(1-I839)*(1-ADD.DISCOUNT)*(1+MAT.SURCHARGE)*EXC.RATE_2),CURRENCY.FORMAT_2),CURRENCY.FORMAT_2,0)),'DICTIONARY-5'!$A$2))</f>
        <v/>
      </c>
      <c r="N839" s="543">
        <v>3</v>
      </c>
      <c r="O839" s="543"/>
      <c r="P839" s="731" t="str">
        <f>'DICTIONARY-3'!$A$48</f>
        <v>HYDRUS G2</v>
      </c>
      <c r="Q839" s="732" t="str">
        <f>'DICTIONARY-3'!$A$193</f>
        <v>Hydrant podziemny</v>
      </c>
      <c r="R839" s="732" t="str">
        <f>CONCATENATE('DICTIONARY-3'!$A$48," ",'DICTIONARY-6'!$A$10," ",'DICTIONARY-2'!$A$2,"100"," ",'DICTIONARY-2'!$A$3,"10/16"," ",'DICTIONARY-2'!$A$7,"1,0m"," ",'DICTIONARY-6'!$A$26,", ",'DICTIONARY-6'!$A$28," ",'DICTIONARY-2'!$A$2,"80")</f>
        <v>HYDRUS G2 Hydr. podz. DN100 PN10/16 Rd1,0m pokr. wylotu z tworzywa, kły DN80</v>
      </c>
      <c r="S839" s="733" t="str">
        <f>'DICTIONARY-4'!$A$13</f>
        <v>KK</v>
      </c>
      <c r="T839" s="732" t="str">
        <f>'DICTIONARY-4'!$A$29</f>
        <v>Końcówka kwadratowa, zamontowana</v>
      </c>
      <c r="U839" s="734" t="s">
        <v>5749</v>
      </c>
      <c r="V839" s="735">
        <v>16</v>
      </c>
      <c r="W839" s="736"/>
      <c r="X839" s="737"/>
      <c r="Y839" s="745" t="s">
        <v>5652</v>
      </c>
      <c r="Z839" s="747"/>
      <c r="AA839" s="747"/>
      <c r="AB839" s="740">
        <v>16</v>
      </c>
      <c r="AC839" s="741"/>
      <c r="AD839" s="741" t="str">
        <f>'DICTIONARY-5'!$A$13</f>
        <v>woda pitna</v>
      </c>
      <c r="AE839" s="742">
        <v>50</v>
      </c>
      <c r="AF839" s="743">
        <v>55.5</v>
      </c>
      <c r="AG839" s="741" t="str">
        <f>'DICTIONARY-5'!$A$23</f>
        <v>powłoka epoksydowa</v>
      </c>
    </row>
    <row r="840" spans="1:34" x14ac:dyDescent="0.25">
      <c r="A840" s="851" t="s">
        <v>835</v>
      </c>
      <c r="B840" s="851" t="s">
        <v>4277</v>
      </c>
      <c r="C840" s="836">
        <v>1233</v>
      </c>
      <c r="D840" s="836"/>
      <c r="E840" s="836"/>
      <c r="F840" s="836"/>
      <c r="G840" s="496" t="s">
        <v>7801</v>
      </c>
      <c r="H840" s="797" t="str">
        <f>VLOOKUP(G840,SETTINGS!$B$7:$D$97,2,0)</f>
        <v>HYDRUS G</v>
      </c>
      <c r="I840" s="796">
        <f>VLOOKUP(G840,SETTINGS!$B$7:$D$97,3,0)</f>
        <v>0</v>
      </c>
      <c r="J840" s="670" t="str">
        <f>IFERROR(IF(CURRENCY.FORMAT_1=0,CONCATENATE(TEXT(FIXED(ROUND((C840/EXC.RATE_1),CURRENCY.FORMAT_1),CURRENCY.FORMAT_1,1),"# ##0;-# ##0"),",-"),FIXED(ROUND((C840/EXC.RATE_1),CURRENCY.FORMAT_1),CURRENCY.FORMAT_1,0)),'DICTIONARY-5'!$A$2)</f>
        <v>1 233,-</v>
      </c>
      <c r="K840" s="670" t="str">
        <f>IF(EXC.RATE_2=0,"",IFERROR(IF(CURRENCY.FORMAT_2=0,CONCATENATE(TEXT(FIXED(ROUND(IF(EXC.RATE.SWITCH=1,C840/EXC.RATE_2,C840*EXC.RATE_2),CURRENCY.FORMAT_2),CURRENCY.FORMAT_2,1),"# ##0;-# ##0"),",-"),FIXED(ROUND(IF(EXC.RATE.SWITCH=1,C840/EXC.RATE_2,C840*EXC.RATE_2),CURRENCY.FORMAT_2),CURRENCY.FORMAT_2,0)),'DICTIONARY-5'!$A$2))</f>
        <v/>
      </c>
      <c r="L840" s="670" t="str">
        <f>IFERROR(IF(CURRENCY.FORMAT_1=0,CONCATENATE(TEXT(FIXED(ROUND((C840*(1-I840)*(1-ADD.DISCOUNT)*(1+MAT.SURCHARGE)/EXC.RATE_1),CURRENCY.FORMAT_1),CURRENCY.FORMAT_1,1),"# ##0;-# ##0"),",-"),FIXED(ROUND((C840*(1-I840)*(1-ADD.DISCOUNT)*(1+MAT.SURCHARGE)/EXC.RATE_1),CURRENCY.FORMAT_1),CURRENCY.FORMAT_1,0)),'DICTIONARY-5'!$A$2)</f>
        <v>1 281,-</v>
      </c>
      <c r="M840" s="670" t="str">
        <f>IF(EXC.RATE_2=0,"",IFERROR(IF(CURRENCY.FORMAT_2=0,CONCATENATE(TEXT(FIXED(ROUND(IF(EXC.RATE.SWITCH=1,C840*(1-I840)*(1-ADD.DISCOUNT)*(1+MAT.SURCHARGE)/EXC.RATE_2,C840*(1-I840)*(1-ADD.DISCOUNT)*(1+MAT.SURCHARGE)*EXC.RATE_2),CURRENCY.FORMAT_2),CURRENCY.FORMAT_2,1),"# ##0;-# ##0"),",-"),FIXED(ROUND(IF(EXC.RATE.SWITCH=1,C840*(1-I840)*(1-ADD.DISCOUNT)*(1+MAT.SURCHARGE)/EXC.RATE_2,C840*(1-I840)*(1-ADD.DISCOUNT)*(1+MAT.SURCHARGE)*EXC.RATE_2),CURRENCY.FORMAT_2),CURRENCY.FORMAT_2,0)),'DICTIONARY-5'!$A$2))</f>
        <v/>
      </c>
      <c r="N840" s="543">
        <v>3</v>
      </c>
      <c r="O840" s="543"/>
      <c r="P840" s="731" t="str">
        <f>'DICTIONARY-3'!$A$48</f>
        <v>HYDRUS G2</v>
      </c>
      <c r="Q840" s="732" t="str">
        <f>'DICTIONARY-3'!$A$193</f>
        <v>Hydrant podziemny</v>
      </c>
      <c r="R840" s="732" t="str">
        <f>CONCATENATE('DICTIONARY-3'!$A$48," ",'DICTIONARY-6'!$A$10," ",'DICTIONARY-2'!$A$2,"100"," ",'DICTIONARY-2'!$A$3,"10/16"," ",'DICTIONARY-2'!$A$7,"1,25m"," ",'DICTIONARY-6'!$A$26,", ",'DICTIONARY-6'!$A$28," ",'DICTIONARY-2'!$A$2,"80")</f>
        <v>HYDRUS G2 Hydr. podz. DN100 PN10/16 Rd1,25m pokr. wylotu z tworzywa, kły DN80</v>
      </c>
      <c r="S840" s="733" t="str">
        <f>'DICTIONARY-4'!$A$13</f>
        <v>KK</v>
      </c>
      <c r="T840" s="732" t="str">
        <f>'DICTIONARY-4'!$A$29</f>
        <v>Końcówka kwadratowa, zamontowana</v>
      </c>
      <c r="U840" s="734" t="s">
        <v>5749</v>
      </c>
      <c r="V840" s="735">
        <v>16</v>
      </c>
      <c r="W840" s="736"/>
      <c r="X840" s="737"/>
      <c r="Y840" s="745" t="s">
        <v>5653</v>
      </c>
      <c r="Z840" s="747"/>
      <c r="AA840" s="747"/>
      <c r="AB840" s="740">
        <v>16</v>
      </c>
      <c r="AC840" s="741"/>
      <c r="AD840" s="741" t="str">
        <f>'DICTIONARY-5'!$A$13</f>
        <v>woda pitna</v>
      </c>
      <c r="AE840" s="742">
        <v>50</v>
      </c>
      <c r="AF840" s="743">
        <v>59</v>
      </c>
      <c r="AG840" s="741" t="str">
        <f>'DICTIONARY-5'!$A$23</f>
        <v>powłoka epoksydowa</v>
      </c>
    </row>
    <row r="841" spans="1:34" x14ac:dyDescent="0.25">
      <c r="A841" s="851" t="s">
        <v>837</v>
      </c>
      <c r="B841" s="851" t="s">
        <v>4278</v>
      </c>
      <c r="C841" s="836">
        <v>1281</v>
      </c>
      <c r="D841" s="836"/>
      <c r="E841" s="836"/>
      <c r="F841" s="836"/>
      <c r="G841" s="496" t="s">
        <v>7801</v>
      </c>
      <c r="H841" s="797" t="str">
        <f>VLOOKUP(G841,SETTINGS!$B$7:$D$97,2,0)</f>
        <v>HYDRUS G</v>
      </c>
      <c r="I841" s="796">
        <f>VLOOKUP(G841,SETTINGS!$B$7:$D$97,3,0)</f>
        <v>0</v>
      </c>
      <c r="J841" s="670" t="str">
        <f>IFERROR(IF(CURRENCY.FORMAT_1=0,CONCATENATE(TEXT(FIXED(ROUND((C841/EXC.RATE_1),CURRENCY.FORMAT_1),CURRENCY.FORMAT_1,1),"# ##0;-# ##0"),",-"),FIXED(ROUND((C841/EXC.RATE_1),CURRENCY.FORMAT_1),CURRENCY.FORMAT_1,0)),'DICTIONARY-5'!$A$2)</f>
        <v>1 281,-</v>
      </c>
      <c r="K841" s="670" t="str">
        <f>IF(EXC.RATE_2=0,"",IFERROR(IF(CURRENCY.FORMAT_2=0,CONCATENATE(TEXT(FIXED(ROUND(IF(EXC.RATE.SWITCH=1,C841/EXC.RATE_2,C841*EXC.RATE_2),CURRENCY.FORMAT_2),CURRENCY.FORMAT_2,1),"# ##0;-# ##0"),",-"),FIXED(ROUND(IF(EXC.RATE.SWITCH=1,C841/EXC.RATE_2,C841*EXC.RATE_2),CURRENCY.FORMAT_2),CURRENCY.FORMAT_2,0)),'DICTIONARY-5'!$A$2))</f>
        <v/>
      </c>
      <c r="L841" s="670" t="str">
        <f>IFERROR(IF(CURRENCY.FORMAT_1=0,CONCATENATE(TEXT(FIXED(ROUND((C841*(1-I841)*(1-ADD.DISCOUNT)*(1+MAT.SURCHARGE)/EXC.RATE_1),CURRENCY.FORMAT_1),CURRENCY.FORMAT_1,1),"# ##0;-# ##0"),",-"),FIXED(ROUND((C841*(1-I841)*(1-ADD.DISCOUNT)*(1+MAT.SURCHARGE)/EXC.RATE_1),CURRENCY.FORMAT_1),CURRENCY.FORMAT_1,0)),'DICTIONARY-5'!$A$2)</f>
        <v>1 331,-</v>
      </c>
      <c r="M841" s="670" t="str">
        <f>IF(EXC.RATE_2=0,"",IFERROR(IF(CURRENCY.FORMAT_2=0,CONCATENATE(TEXT(FIXED(ROUND(IF(EXC.RATE.SWITCH=1,C841*(1-I841)*(1-ADD.DISCOUNT)*(1+MAT.SURCHARGE)/EXC.RATE_2,C841*(1-I841)*(1-ADD.DISCOUNT)*(1+MAT.SURCHARGE)*EXC.RATE_2),CURRENCY.FORMAT_2),CURRENCY.FORMAT_2,1),"# ##0;-# ##0"),",-"),FIXED(ROUND(IF(EXC.RATE.SWITCH=1,C841*(1-I841)*(1-ADD.DISCOUNT)*(1+MAT.SURCHARGE)/EXC.RATE_2,C841*(1-I841)*(1-ADD.DISCOUNT)*(1+MAT.SURCHARGE)*EXC.RATE_2),CURRENCY.FORMAT_2),CURRENCY.FORMAT_2,0)),'DICTIONARY-5'!$A$2))</f>
        <v/>
      </c>
      <c r="N841" s="543">
        <v>3</v>
      </c>
      <c r="O841" s="543"/>
      <c r="P841" s="731" t="str">
        <f>'DICTIONARY-3'!$A$48</f>
        <v>HYDRUS G2</v>
      </c>
      <c r="Q841" s="732" t="str">
        <f>'DICTIONARY-3'!$A$193</f>
        <v>Hydrant podziemny</v>
      </c>
      <c r="R841" s="732" t="str">
        <f>CONCATENATE('DICTIONARY-3'!$A$48," ",'DICTIONARY-6'!$A$10," ",'DICTIONARY-2'!$A$2,"100"," ",'DICTIONARY-2'!$A$3,"10/16"," ",'DICTIONARY-2'!$A$7,"1,5m"," ",'DICTIONARY-6'!$A$26,", ",'DICTIONARY-6'!$A$28," ",'DICTIONARY-2'!$A$2,"80")</f>
        <v>HYDRUS G2 Hydr. podz. DN100 PN10/16 Rd1,5m pokr. wylotu z tworzywa, kły DN80</v>
      </c>
      <c r="S841" s="733" t="str">
        <f>'DICTIONARY-4'!$A$13</f>
        <v>KK</v>
      </c>
      <c r="T841" s="732" t="str">
        <f>'DICTIONARY-4'!$A$29</f>
        <v>Końcówka kwadratowa, zamontowana</v>
      </c>
      <c r="U841" s="734" t="s">
        <v>5749</v>
      </c>
      <c r="V841" s="735">
        <v>16</v>
      </c>
      <c r="W841" s="736"/>
      <c r="X841" s="737"/>
      <c r="Y841" s="745" t="s">
        <v>5654</v>
      </c>
      <c r="Z841" s="747"/>
      <c r="AA841" s="747"/>
      <c r="AB841" s="740">
        <v>16</v>
      </c>
      <c r="AC841" s="741"/>
      <c r="AD841" s="741" t="str">
        <f>'DICTIONARY-5'!$A$13</f>
        <v>woda pitna</v>
      </c>
      <c r="AE841" s="742">
        <v>50</v>
      </c>
      <c r="AF841" s="743">
        <v>65</v>
      </c>
      <c r="AG841" s="741" t="str">
        <f>'DICTIONARY-5'!$A$23</f>
        <v>powłoka epoksydowa</v>
      </c>
    </row>
    <row r="842" spans="1:34" x14ac:dyDescent="0.25">
      <c r="A842" s="851" t="s">
        <v>824</v>
      </c>
      <c r="B842" s="851" t="s">
        <v>4283</v>
      </c>
      <c r="C842" s="836">
        <v>519</v>
      </c>
      <c r="D842" s="836"/>
      <c r="E842" s="836"/>
      <c r="F842" s="836"/>
      <c r="G842" s="496" t="s">
        <v>7801</v>
      </c>
      <c r="H842" s="797" t="str">
        <f>VLOOKUP(G842,SETTINGS!$B$7:$D$97,2,0)</f>
        <v>HYDRUS G</v>
      </c>
      <c r="I842" s="796">
        <f>VLOOKUP(G842,SETTINGS!$B$7:$D$97,3,0)</f>
        <v>0</v>
      </c>
      <c r="J842" s="670" t="str">
        <f>IFERROR(IF(CURRENCY.FORMAT_1=0,CONCATENATE(TEXT(FIXED(ROUND((C842/EXC.RATE_1),CURRENCY.FORMAT_1),CURRENCY.FORMAT_1,1),"# ##0;-# ##0"),",-"),FIXED(ROUND((C842/EXC.RATE_1),CURRENCY.FORMAT_1),CURRENCY.FORMAT_1,0)),'DICTIONARY-5'!$A$2)</f>
        <v>519,-</v>
      </c>
      <c r="K842" s="670" t="str">
        <f>IF(EXC.RATE_2=0,"",IFERROR(IF(CURRENCY.FORMAT_2=0,CONCATENATE(TEXT(FIXED(ROUND(IF(EXC.RATE.SWITCH=1,C842/EXC.RATE_2,C842*EXC.RATE_2),CURRENCY.FORMAT_2),CURRENCY.FORMAT_2,1),"# ##0;-# ##0"),",-"),FIXED(ROUND(IF(EXC.RATE.SWITCH=1,C842/EXC.RATE_2,C842*EXC.RATE_2),CURRENCY.FORMAT_2),CURRENCY.FORMAT_2,0)),'DICTIONARY-5'!$A$2))</f>
        <v/>
      </c>
      <c r="L842" s="670" t="str">
        <f>IFERROR(IF(CURRENCY.FORMAT_1=0,CONCATENATE(TEXT(FIXED(ROUND((C842*(1-I842)*(1-ADD.DISCOUNT)*(1+MAT.SURCHARGE)/EXC.RATE_1),CURRENCY.FORMAT_1),CURRENCY.FORMAT_1,1),"# ##0;-# ##0"),",-"),FIXED(ROUND((C842*(1-I842)*(1-ADD.DISCOUNT)*(1+MAT.SURCHARGE)/EXC.RATE_1),CURRENCY.FORMAT_1),CURRENCY.FORMAT_1,0)),'DICTIONARY-5'!$A$2)</f>
        <v>539,-</v>
      </c>
      <c r="M842" s="670" t="str">
        <f>IF(EXC.RATE_2=0,"",IFERROR(IF(CURRENCY.FORMAT_2=0,CONCATENATE(TEXT(FIXED(ROUND(IF(EXC.RATE.SWITCH=1,C842*(1-I842)*(1-ADD.DISCOUNT)*(1+MAT.SURCHARGE)/EXC.RATE_2,C842*(1-I842)*(1-ADD.DISCOUNT)*(1+MAT.SURCHARGE)*EXC.RATE_2),CURRENCY.FORMAT_2),CURRENCY.FORMAT_2,1),"# ##0;-# ##0"),",-"),FIXED(ROUND(IF(EXC.RATE.SWITCH=1,C842*(1-I842)*(1-ADD.DISCOUNT)*(1+MAT.SURCHARGE)/EXC.RATE_2,C842*(1-I842)*(1-ADD.DISCOUNT)*(1+MAT.SURCHARGE)*EXC.RATE_2),CURRENCY.FORMAT_2),CURRENCY.FORMAT_2,0)),'DICTIONARY-5'!$A$2))</f>
        <v/>
      </c>
      <c r="N842" s="543">
        <v>3</v>
      </c>
      <c r="O842" s="543"/>
      <c r="P842" s="731" t="str">
        <f>'DICTIONARY-3'!$A$47</f>
        <v>HYDRUS G1</v>
      </c>
      <c r="Q842" s="732" t="str">
        <f>'DICTIONARY-3'!$A$193</f>
        <v>Hydrant podziemny</v>
      </c>
      <c r="R842" s="732" t="str">
        <f>CONCATENATE('DICTIONARY-3'!$A$47," ",'DICTIONARY-6'!$A$10," ",'DICTIONARY-2'!$A$2,"80"," ",'DICTIONARY-2'!$A$3,"10/16"," ",'DICTIONARY-2'!$A$7,"0,75m"," ",'DICTIONARY-6'!$A$27)</f>
        <v>HYDRUS G1 Hydr. podz. DN80 PN10/16 Rd0,75m pokr. wylotu samozamykająca</v>
      </c>
      <c r="S842" s="733" t="str">
        <f>'DICTIONARY-4'!$A$13</f>
        <v>KK</v>
      </c>
      <c r="T842" s="732" t="str">
        <f>'DICTIONARY-4'!$A$29</f>
        <v>Końcówka kwadratowa, zamontowana</v>
      </c>
      <c r="U842" s="734" t="s">
        <v>5760</v>
      </c>
      <c r="V842" s="735">
        <v>16</v>
      </c>
      <c r="W842" s="736"/>
      <c r="X842" s="737"/>
      <c r="Y842" s="745" t="s">
        <v>5804</v>
      </c>
      <c r="Z842" s="747"/>
      <c r="AA842" s="747"/>
      <c r="AB842" s="740">
        <v>16</v>
      </c>
      <c r="AC842" s="741"/>
      <c r="AD842" s="741" t="str">
        <f>'DICTIONARY-5'!$A$13</f>
        <v>woda pitna</v>
      </c>
      <c r="AE842" s="742">
        <v>50</v>
      </c>
      <c r="AF842" s="743">
        <v>24</v>
      </c>
      <c r="AG842" s="741" t="str">
        <f>'DICTIONARY-5'!$A$23</f>
        <v>powłoka epoksydowa</v>
      </c>
    </row>
    <row r="843" spans="1:34" x14ac:dyDescent="0.25">
      <c r="A843" s="851" t="s">
        <v>826</v>
      </c>
      <c r="B843" s="851" t="s">
        <v>4284</v>
      </c>
      <c r="C843" s="836">
        <v>567</v>
      </c>
      <c r="D843" s="836"/>
      <c r="E843" s="836"/>
      <c r="F843" s="836"/>
      <c r="G843" s="496" t="s">
        <v>7801</v>
      </c>
      <c r="H843" s="797" t="str">
        <f>VLOOKUP(G843,SETTINGS!$B$7:$D$97,2,0)</f>
        <v>HYDRUS G</v>
      </c>
      <c r="I843" s="796">
        <f>VLOOKUP(G843,SETTINGS!$B$7:$D$97,3,0)</f>
        <v>0</v>
      </c>
      <c r="J843" s="670" t="str">
        <f>IFERROR(IF(CURRENCY.FORMAT_1=0,CONCATENATE(TEXT(FIXED(ROUND((C843/EXC.RATE_1),CURRENCY.FORMAT_1),CURRENCY.FORMAT_1,1),"# ##0;-# ##0"),",-"),FIXED(ROUND((C843/EXC.RATE_1),CURRENCY.FORMAT_1),CURRENCY.FORMAT_1,0)),'DICTIONARY-5'!$A$2)</f>
        <v>567,-</v>
      </c>
      <c r="K843" s="670" t="str">
        <f>IF(EXC.RATE_2=0,"",IFERROR(IF(CURRENCY.FORMAT_2=0,CONCATENATE(TEXT(FIXED(ROUND(IF(EXC.RATE.SWITCH=1,C843/EXC.RATE_2,C843*EXC.RATE_2),CURRENCY.FORMAT_2),CURRENCY.FORMAT_2,1),"# ##0;-# ##0"),",-"),FIXED(ROUND(IF(EXC.RATE.SWITCH=1,C843/EXC.RATE_2,C843*EXC.RATE_2),CURRENCY.FORMAT_2),CURRENCY.FORMAT_2,0)),'DICTIONARY-5'!$A$2))</f>
        <v/>
      </c>
      <c r="L843" s="670" t="str">
        <f>IFERROR(IF(CURRENCY.FORMAT_1=0,CONCATENATE(TEXT(FIXED(ROUND((C843*(1-I843)*(1-ADD.DISCOUNT)*(1+MAT.SURCHARGE)/EXC.RATE_1),CURRENCY.FORMAT_1),CURRENCY.FORMAT_1,1),"# ##0;-# ##0"),",-"),FIXED(ROUND((C843*(1-I843)*(1-ADD.DISCOUNT)*(1+MAT.SURCHARGE)/EXC.RATE_1),CURRENCY.FORMAT_1),CURRENCY.FORMAT_1,0)),'DICTIONARY-5'!$A$2)</f>
        <v>589,-</v>
      </c>
      <c r="M843" s="670" t="str">
        <f>IF(EXC.RATE_2=0,"",IFERROR(IF(CURRENCY.FORMAT_2=0,CONCATENATE(TEXT(FIXED(ROUND(IF(EXC.RATE.SWITCH=1,C843*(1-I843)*(1-ADD.DISCOUNT)*(1+MAT.SURCHARGE)/EXC.RATE_2,C843*(1-I843)*(1-ADD.DISCOUNT)*(1+MAT.SURCHARGE)*EXC.RATE_2),CURRENCY.FORMAT_2),CURRENCY.FORMAT_2,1),"# ##0;-# ##0"),",-"),FIXED(ROUND(IF(EXC.RATE.SWITCH=1,C843*(1-I843)*(1-ADD.DISCOUNT)*(1+MAT.SURCHARGE)/EXC.RATE_2,C843*(1-I843)*(1-ADD.DISCOUNT)*(1+MAT.SURCHARGE)*EXC.RATE_2),CURRENCY.FORMAT_2),CURRENCY.FORMAT_2,0)),'DICTIONARY-5'!$A$2))</f>
        <v/>
      </c>
      <c r="N843" s="543">
        <v>3</v>
      </c>
      <c r="O843" s="543"/>
      <c r="P843" s="731" t="str">
        <f>'DICTIONARY-3'!$A$47</f>
        <v>HYDRUS G1</v>
      </c>
      <c r="Q843" s="732" t="str">
        <f>'DICTIONARY-3'!$A$193</f>
        <v>Hydrant podziemny</v>
      </c>
      <c r="R843" s="732" t="str">
        <f>CONCATENATE('DICTIONARY-3'!$A$47," ",'DICTIONARY-6'!$A$10," ",'DICTIONARY-2'!$A$2,"80"," ",'DICTIONARY-2'!$A$3,"10/16"," ",'DICTIONARY-2'!$A$7,"1,0m"," ",'DICTIONARY-6'!$A$27)</f>
        <v>HYDRUS G1 Hydr. podz. DN80 PN10/16 Rd1,0m pokr. wylotu samozamykająca</v>
      </c>
      <c r="S843" s="733" t="str">
        <f>'DICTIONARY-4'!$A$13</f>
        <v>KK</v>
      </c>
      <c r="T843" s="732" t="str">
        <f>'DICTIONARY-4'!$A$29</f>
        <v>Końcówka kwadratowa, zamontowana</v>
      </c>
      <c r="U843" s="734" t="s">
        <v>5760</v>
      </c>
      <c r="V843" s="735">
        <v>16</v>
      </c>
      <c r="W843" s="736"/>
      <c r="X843" s="737"/>
      <c r="Y843" s="745" t="s">
        <v>5652</v>
      </c>
      <c r="Z843" s="747"/>
      <c r="AA843" s="747"/>
      <c r="AB843" s="740">
        <v>16</v>
      </c>
      <c r="AC843" s="741"/>
      <c r="AD843" s="741" t="str">
        <f>'DICTIONARY-5'!$A$13</f>
        <v>woda pitna</v>
      </c>
      <c r="AE843" s="742">
        <v>50</v>
      </c>
      <c r="AF843" s="743">
        <v>27.5</v>
      </c>
      <c r="AG843" s="741" t="str">
        <f>'DICTIONARY-5'!$A$23</f>
        <v>powłoka epoksydowa</v>
      </c>
    </row>
    <row r="844" spans="1:34" x14ac:dyDescent="0.25">
      <c r="A844" s="851" t="s">
        <v>828</v>
      </c>
      <c r="B844" s="851" t="s">
        <v>4285</v>
      </c>
      <c r="C844" s="836">
        <v>574</v>
      </c>
      <c r="D844" s="836"/>
      <c r="E844" s="836"/>
      <c r="F844" s="836"/>
      <c r="G844" s="496" t="s">
        <v>7801</v>
      </c>
      <c r="H844" s="797" t="str">
        <f>VLOOKUP(G844,SETTINGS!$B$7:$D$97,2,0)</f>
        <v>HYDRUS G</v>
      </c>
      <c r="I844" s="796">
        <f>VLOOKUP(G844,SETTINGS!$B$7:$D$97,3,0)</f>
        <v>0</v>
      </c>
      <c r="J844" s="670" t="str">
        <f>IFERROR(IF(CURRENCY.FORMAT_1=0,CONCATENATE(TEXT(FIXED(ROUND((C844/EXC.RATE_1),CURRENCY.FORMAT_1),CURRENCY.FORMAT_1,1),"# ##0;-# ##0"),",-"),FIXED(ROUND((C844/EXC.RATE_1),CURRENCY.FORMAT_1),CURRENCY.FORMAT_1,0)),'DICTIONARY-5'!$A$2)</f>
        <v>574,-</v>
      </c>
      <c r="K844" s="670" t="str">
        <f>IF(EXC.RATE_2=0,"",IFERROR(IF(CURRENCY.FORMAT_2=0,CONCATENATE(TEXT(FIXED(ROUND(IF(EXC.RATE.SWITCH=1,C844/EXC.RATE_2,C844*EXC.RATE_2),CURRENCY.FORMAT_2),CURRENCY.FORMAT_2,1),"# ##0;-# ##0"),",-"),FIXED(ROUND(IF(EXC.RATE.SWITCH=1,C844/EXC.RATE_2,C844*EXC.RATE_2),CURRENCY.FORMAT_2),CURRENCY.FORMAT_2,0)),'DICTIONARY-5'!$A$2))</f>
        <v/>
      </c>
      <c r="L844" s="670" t="str">
        <f>IFERROR(IF(CURRENCY.FORMAT_1=0,CONCATENATE(TEXT(FIXED(ROUND((C844*(1-I844)*(1-ADD.DISCOUNT)*(1+MAT.SURCHARGE)/EXC.RATE_1),CURRENCY.FORMAT_1),CURRENCY.FORMAT_1,1),"# ##0;-# ##0"),",-"),FIXED(ROUND((C844*(1-I844)*(1-ADD.DISCOUNT)*(1+MAT.SURCHARGE)/EXC.RATE_1),CURRENCY.FORMAT_1),CURRENCY.FORMAT_1,0)),'DICTIONARY-5'!$A$2)</f>
        <v>596,-</v>
      </c>
      <c r="M844" s="670" t="str">
        <f>IF(EXC.RATE_2=0,"",IFERROR(IF(CURRENCY.FORMAT_2=0,CONCATENATE(TEXT(FIXED(ROUND(IF(EXC.RATE.SWITCH=1,C844*(1-I844)*(1-ADD.DISCOUNT)*(1+MAT.SURCHARGE)/EXC.RATE_2,C844*(1-I844)*(1-ADD.DISCOUNT)*(1+MAT.SURCHARGE)*EXC.RATE_2),CURRENCY.FORMAT_2),CURRENCY.FORMAT_2,1),"# ##0;-# ##0"),",-"),FIXED(ROUND(IF(EXC.RATE.SWITCH=1,C844*(1-I844)*(1-ADD.DISCOUNT)*(1+MAT.SURCHARGE)/EXC.RATE_2,C844*(1-I844)*(1-ADD.DISCOUNT)*(1+MAT.SURCHARGE)*EXC.RATE_2),CURRENCY.FORMAT_2),CURRENCY.FORMAT_2,0)),'DICTIONARY-5'!$A$2))</f>
        <v/>
      </c>
      <c r="N844" s="543">
        <v>3</v>
      </c>
      <c r="O844" s="543"/>
      <c r="P844" s="731" t="str">
        <f>'DICTIONARY-3'!$A$47</f>
        <v>HYDRUS G1</v>
      </c>
      <c r="Q844" s="732" t="str">
        <f>'DICTIONARY-3'!$A$193</f>
        <v>Hydrant podziemny</v>
      </c>
      <c r="R844" s="732" t="str">
        <f>CONCATENATE('DICTIONARY-3'!$A$47," ",'DICTIONARY-6'!$A$10," ",'DICTIONARY-2'!$A$2,"80"," ",'DICTIONARY-2'!$A$3,"10/16"," ",'DICTIONARY-2'!$A$7,"1,25m"," ",'DICTIONARY-6'!$A$27)</f>
        <v>HYDRUS G1 Hydr. podz. DN80 PN10/16 Rd1,25m pokr. wylotu samozamykająca</v>
      </c>
      <c r="S844" s="733" t="str">
        <f>'DICTIONARY-4'!$A$13</f>
        <v>KK</v>
      </c>
      <c r="T844" s="732" t="str">
        <f>'DICTIONARY-4'!$A$29</f>
        <v>Końcówka kwadratowa, zamontowana</v>
      </c>
      <c r="U844" s="734" t="s">
        <v>5760</v>
      </c>
      <c r="V844" s="735">
        <v>16</v>
      </c>
      <c r="W844" s="736"/>
      <c r="X844" s="737"/>
      <c r="Y844" s="745" t="s">
        <v>5653</v>
      </c>
      <c r="Z844" s="747"/>
      <c r="AA844" s="747"/>
      <c r="AB844" s="740">
        <v>16</v>
      </c>
      <c r="AC844" s="741"/>
      <c r="AD844" s="741" t="str">
        <f>'DICTIONARY-5'!$A$13</f>
        <v>woda pitna</v>
      </c>
      <c r="AE844" s="742">
        <v>50</v>
      </c>
      <c r="AF844" s="743">
        <v>36</v>
      </c>
      <c r="AG844" s="741" t="str">
        <f>'DICTIONARY-5'!$A$23</f>
        <v>powłoka epoksydowa</v>
      </c>
    </row>
    <row r="845" spans="1:34" x14ac:dyDescent="0.25">
      <c r="A845" s="851" t="s">
        <v>830</v>
      </c>
      <c r="B845" s="851" t="s">
        <v>4286</v>
      </c>
      <c r="C845" s="836">
        <v>613</v>
      </c>
      <c r="D845" s="836"/>
      <c r="E845" s="836"/>
      <c r="F845" s="836"/>
      <c r="G845" s="496" t="s">
        <v>7801</v>
      </c>
      <c r="H845" s="797" t="str">
        <f>VLOOKUP(G845,SETTINGS!$B$7:$D$97,2,0)</f>
        <v>HYDRUS G</v>
      </c>
      <c r="I845" s="796">
        <f>VLOOKUP(G845,SETTINGS!$B$7:$D$97,3,0)</f>
        <v>0</v>
      </c>
      <c r="J845" s="670" t="str">
        <f>IFERROR(IF(CURRENCY.FORMAT_1=0,CONCATENATE(TEXT(FIXED(ROUND((C845/EXC.RATE_1),CURRENCY.FORMAT_1),CURRENCY.FORMAT_1,1),"# ##0;-# ##0"),",-"),FIXED(ROUND((C845/EXC.RATE_1),CURRENCY.FORMAT_1),CURRENCY.FORMAT_1,0)),'DICTIONARY-5'!$A$2)</f>
        <v>613,-</v>
      </c>
      <c r="K845" s="670" t="str">
        <f>IF(EXC.RATE_2=0,"",IFERROR(IF(CURRENCY.FORMAT_2=0,CONCATENATE(TEXT(FIXED(ROUND(IF(EXC.RATE.SWITCH=1,C845/EXC.RATE_2,C845*EXC.RATE_2),CURRENCY.FORMAT_2),CURRENCY.FORMAT_2,1),"# ##0;-# ##0"),",-"),FIXED(ROUND(IF(EXC.RATE.SWITCH=1,C845/EXC.RATE_2,C845*EXC.RATE_2),CURRENCY.FORMAT_2),CURRENCY.FORMAT_2,0)),'DICTIONARY-5'!$A$2))</f>
        <v/>
      </c>
      <c r="L845" s="670" t="str">
        <f>IFERROR(IF(CURRENCY.FORMAT_1=0,CONCATENATE(TEXT(FIXED(ROUND((C845*(1-I845)*(1-ADD.DISCOUNT)*(1+MAT.SURCHARGE)/EXC.RATE_1),CURRENCY.FORMAT_1),CURRENCY.FORMAT_1,1),"# ##0;-# ##0"),",-"),FIXED(ROUND((C845*(1-I845)*(1-ADD.DISCOUNT)*(1+MAT.SURCHARGE)/EXC.RATE_1),CURRENCY.FORMAT_1),CURRENCY.FORMAT_1,0)),'DICTIONARY-5'!$A$2)</f>
        <v>637,-</v>
      </c>
      <c r="M845" s="670" t="str">
        <f>IF(EXC.RATE_2=0,"",IFERROR(IF(CURRENCY.FORMAT_2=0,CONCATENATE(TEXT(FIXED(ROUND(IF(EXC.RATE.SWITCH=1,C845*(1-I845)*(1-ADD.DISCOUNT)*(1+MAT.SURCHARGE)/EXC.RATE_2,C845*(1-I845)*(1-ADD.DISCOUNT)*(1+MAT.SURCHARGE)*EXC.RATE_2),CURRENCY.FORMAT_2),CURRENCY.FORMAT_2,1),"# ##0;-# ##0"),",-"),FIXED(ROUND(IF(EXC.RATE.SWITCH=1,C845*(1-I845)*(1-ADD.DISCOUNT)*(1+MAT.SURCHARGE)/EXC.RATE_2,C845*(1-I845)*(1-ADD.DISCOUNT)*(1+MAT.SURCHARGE)*EXC.RATE_2),CURRENCY.FORMAT_2),CURRENCY.FORMAT_2,0)),'DICTIONARY-5'!$A$2))</f>
        <v/>
      </c>
      <c r="N845" s="543">
        <v>3</v>
      </c>
      <c r="O845" s="543"/>
      <c r="P845" s="731" t="str">
        <f>'DICTIONARY-3'!$A$47</f>
        <v>HYDRUS G1</v>
      </c>
      <c r="Q845" s="732" t="str">
        <f>'DICTIONARY-3'!$A$193</f>
        <v>Hydrant podziemny</v>
      </c>
      <c r="R845" s="732" t="str">
        <f>CONCATENATE('DICTIONARY-3'!$A$47," ",'DICTIONARY-6'!$A$10," ",'DICTIONARY-2'!$A$2,"80"," ",'DICTIONARY-2'!$A$3,"10/16"," ",'DICTIONARY-2'!$A$7,"1,5m"," ",'DICTIONARY-6'!$A$27)</f>
        <v>HYDRUS G1 Hydr. podz. DN80 PN10/16 Rd1,5m pokr. wylotu samozamykająca</v>
      </c>
      <c r="S845" s="733" t="str">
        <f>'DICTIONARY-4'!$A$13</f>
        <v>KK</v>
      </c>
      <c r="T845" s="732" t="str">
        <f>'DICTIONARY-4'!$A$29</f>
        <v>Końcówka kwadratowa, zamontowana</v>
      </c>
      <c r="U845" s="734" t="s">
        <v>5760</v>
      </c>
      <c r="V845" s="735">
        <v>16</v>
      </c>
      <c r="W845" s="736"/>
      <c r="X845" s="737"/>
      <c r="Y845" s="745" t="s">
        <v>5654</v>
      </c>
      <c r="Z845" s="747"/>
      <c r="AA845" s="747"/>
      <c r="AB845" s="740">
        <v>16</v>
      </c>
      <c r="AC845" s="741"/>
      <c r="AD845" s="741" t="str">
        <f>'DICTIONARY-5'!$A$13</f>
        <v>woda pitna</v>
      </c>
      <c r="AE845" s="742">
        <v>50</v>
      </c>
      <c r="AF845" s="743">
        <v>40</v>
      </c>
      <c r="AG845" s="741" t="str">
        <f>'DICTIONARY-5'!$A$23</f>
        <v>powłoka epoksydowa</v>
      </c>
    </row>
    <row r="846" spans="1:34" x14ac:dyDescent="0.25">
      <c r="A846" s="851" t="s">
        <v>825</v>
      </c>
      <c r="B846" s="851" t="s">
        <v>4291</v>
      </c>
      <c r="C846" s="836">
        <v>557</v>
      </c>
      <c r="D846" s="836"/>
      <c r="E846" s="836"/>
      <c r="F846" s="836"/>
      <c r="G846" s="496" t="s">
        <v>7801</v>
      </c>
      <c r="H846" s="797" t="str">
        <f>VLOOKUP(G846,SETTINGS!$B$7:$D$97,2,0)</f>
        <v>HYDRUS G</v>
      </c>
      <c r="I846" s="796">
        <f>VLOOKUP(G846,SETTINGS!$B$7:$D$97,3,0)</f>
        <v>0</v>
      </c>
      <c r="J846" s="670" t="str">
        <f>IFERROR(IF(CURRENCY.FORMAT_1=0,CONCATENATE(TEXT(FIXED(ROUND((C846/EXC.RATE_1),CURRENCY.FORMAT_1),CURRENCY.FORMAT_1,1),"# ##0;-# ##0"),",-"),FIXED(ROUND((C846/EXC.RATE_1),CURRENCY.FORMAT_1),CURRENCY.FORMAT_1,0)),'DICTIONARY-5'!$A$2)</f>
        <v>557,-</v>
      </c>
      <c r="K846" s="670" t="str">
        <f>IF(EXC.RATE_2=0,"",IFERROR(IF(CURRENCY.FORMAT_2=0,CONCATENATE(TEXT(FIXED(ROUND(IF(EXC.RATE.SWITCH=1,C846/EXC.RATE_2,C846*EXC.RATE_2),CURRENCY.FORMAT_2),CURRENCY.FORMAT_2,1),"# ##0;-# ##0"),",-"),FIXED(ROUND(IF(EXC.RATE.SWITCH=1,C846/EXC.RATE_2,C846*EXC.RATE_2),CURRENCY.FORMAT_2),CURRENCY.FORMAT_2,0)),'DICTIONARY-5'!$A$2))</f>
        <v/>
      </c>
      <c r="L846" s="670" t="str">
        <f>IFERROR(IF(CURRENCY.FORMAT_1=0,CONCATENATE(TEXT(FIXED(ROUND((C846*(1-I846)*(1-ADD.DISCOUNT)*(1+MAT.SURCHARGE)/EXC.RATE_1),CURRENCY.FORMAT_1),CURRENCY.FORMAT_1,1),"# ##0;-# ##0"),",-"),FIXED(ROUND((C846*(1-I846)*(1-ADD.DISCOUNT)*(1+MAT.SURCHARGE)/EXC.RATE_1),CURRENCY.FORMAT_1),CURRENCY.FORMAT_1,0)),'DICTIONARY-5'!$A$2)</f>
        <v>579,-</v>
      </c>
      <c r="M846" s="670" t="str">
        <f>IF(EXC.RATE_2=0,"",IFERROR(IF(CURRENCY.FORMAT_2=0,CONCATENATE(TEXT(FIXED(ROUND(IF(EXC.RATE.SWITCH=1,C846*(1-I846)*(1-ADD.DISCOUNT)*(1+MAT.SURCHARGE)/EXC.RATE_2,C846*(1-I846)*(1-ADD.DISCOUNT)*(1+MAT.SURCHARGE)*EXC.RATE_2),CURRENCY.FORMAT_2),CURRENCY.FORMAT_2,1),"# ##0;-# ##0"),",-"),FIXED(ROUND(IF(EXC.RATE.SWITCH=1,C846*(1-I846)*(1-ADD.DISCOUNT)*(1+MAT.SURCHARGE)/EXC.RATE_2,C846*(1-I846)*(1-ADD.DISCOUNT)*(1+MAT.SURCHARGE)*EXC.RATE_2),CURRENCY.FORMAT_2),CURRENCY.FORMAT_2,0)),'DICTIONARY-5'!$A$2))</f>
        <v/>
      </c>
      <c r="N846" s="543">
        <v>3</v>
      </c>
      <c r="O846" s="543"/>
      <c r="P846" s="731" t="str">
        <f>'DICTIONARY-3'!$A$48</f>
        <v>HYDRUS G2</v>
      </c>
      <c r="Q846" s="732" t="str">
        <f>'DICTIONARY-3'!$A$193</f>
        <v>Hydrant podziemny</v>
      </c>
      <c r="R846" s="732" t="str">
        <f>CONCATENATE('DICTIONARY-3'!$A$48," ",'DICTIONARY-6'!$A$10," ",'DICTIONARY-2'!$A$2,"80"," ",'DICTIONARY-2'!$A$3,"10/16"," ",'DICTIONARY-2'!$A$7,"0,75m"," ",'DICTIONARY-6'!$A$27)</f>
        <v>HYDRUS G2 Hydr. podz. DN80 PN10/16 Rd0,75m pokr. wylotu samozamykająca</v>
      </c>
      <c r="S846" s="733" t="str">
        <f>'DICTIONARY-4'!$A$13</f>
        <v>KK</v>
      </c>
      <c r="T846" s="732" t="str">
        <f>'DICTIONARY-4'!$A$29</f>
        <v>Końcówka kwadratowa, zamontowana</v>
      </c>
      <c r="U846" s="734" t="s">
        <v>5760</v>
      </c>
      <c r="V846" s="735">
        <v>16</v>
      </c>
      <c r="W846" s="736"/>
      <c r="X846" s="737"/>
      <c r="Y846" s="745" t="s">
        <v>5804</v>
      </c>
      <c r="Z846" s="747"/>
      <c r="AA846" s="747"/>
      <c r="AB846" s="740">
        <v>16</v>
      </c>
      <c r="AC846" s="741"/>
      <c r="AD846" s="741" t="str">
        <f>'DICTIONARY-5'!$A$13</f>
        <v>woda pitna</v>
      </c>
      <c r="AE846" s="742">
        <v>50</v>
      </c>
      <c r="AF846" s="743">
        <v>24</v>
      </c>
      <c r="AG846" s="741" t="str">
        <f>'DICTIONARY-5'!$A$23</f>
        <v>powłoka epoksydowa</v>
      </c>
    </row>
    <row r="847" spans="1:34" x14ac:dyDescent="0.25">
      <c r="A847" s="851" t="s">
        <v>827</v>
      </c>
      <c r="B847" s="851" t="s">
        <v>4292</v>
      </c>
      <c r="C847" s="836">
        <v>605</v>
      </c>
      <c r="D847" s="836"/>
      <c r="E847" s="836"/>
      <c r="F847" s="836"/>
      <c r="G847" s="496" t="s">
        <v>7801</v>
      </c>
      <c r="H847" s="797" t="str">
        <f>VLOOKUP(G847,SETTINGS!$B$7:$D$97,2,0)</f>
        <v>HYDRUS G</v>
      </c>
      <c r="I847" s="796">
        <f>VLOOKUP(G847,SETTINGS!$B$7:$D$97,3,0)</f>
        <v>0</v>
      </c>
      <c r="J847" s="670" t="str">
        <f>IFERROR(IF(CURRENCY.FORMAT_1=0,CONCATENATE(TEXT(FIXED(ROUND((C847/EXC.RATE_1),CURRENCY.FORMAT_1),CURRENCY.FORMAT_1,1),"# ##0;-# ##0"),",-"),FIXED(ROUND((C847/EXC.RATE_1),CURRENCY.FORMAT_1),CURRENCY.FORMAT_1,0)),'DICTIONARY-5'!$A$2)</f>
        <v>605,-</v>
      </c>
      <c r="K847" s="670" t="str">
        <f>IF(EXC.RATE_2=0,"",IFERROR(IF(CURRENCY.FORMAT_2=0,CONCATENATE(TEXT(FIXED(ROUND(IF(EXC.RATE.SWITCH=1,C847/EXC.RATE_2,C847*EXC.RATE_2),CURRENCY.FORMAT_2),CURRENCY.FORMAT_2,1),"# ##0;-# ##0"),",-"),FIXED(ROUND(IF(EXC.RATE.SWITCH=1,C847/EXC.RATE_2,C847*EXC.RATE_2),CURRENCY.FORMAT_2),CURRENCY.FORMAT_2,0)),'DICTIONARY-5'!$A$2))</f>
        <v/>
      </c>
      <c r="L847" s="670" t="str">
        <f>IFERROR(IF(CURRENCY.FORMAT_1=0,CONCATENATE(TEXT(FIXED(ROUND((C847*(1-I847)*(1-ADD.DISCOUNT)*(1+MAT.SURCHARGE)/EXC.RATE_1),CURRENCY.FORMAT_1),CURRENCY.FORMAT_1,1),"# ##0;-# ##0"),",-"),FIXED(ROUND((C847*(1-I847)*(1-ADD.DISCOUNT)*(1+MAT.SURCHARGE)/EXC.RATE_1),CURRENCY.FORMAT_1),CURRENCY.FORMAT_1,0)),'DICTIONARY-5'!$A$2)</f>
        <v>629,-</v>
      </c>
      <c r="M847" s="670" t="str">
        <f>IF(EXC.RATE_2=0,"",IFERROR(IF(CURRENCY.FORMAT_2=0,CONCATENATE(TEXT(FIXED(ROUND(IF(EXC.RATE.SWITCH=1,C847*(1-I847)*(1-ADD.DISCOUNT)*(1+MAT.SURCHARGE)/EXC.RATE_2,C847*(1-I847)*(1-ADD.DISCOUNT)*(1+MAT.SURCHARGE)*EXC.RATE_2),CURRENCY.FORMAT_2),CURRENCY.FORMAT_2,1),"# ##0;-# ##0"),",-"),FIXED(ROUND(IF(EXC.RATE.SWITCH=1,C847*(1-I847)*(1-ADD.DISCOUNT)*(1+MAT.SURCHARGE)/EXC.RATE_2,C847*(1-I847)*(1-ADD.DISCOUNT)*(1+MAT.SURCHARGE)*EXC.RATE_2),CURRENCY.FORMAT_2),CURRENCY.FORMAT_2,0)),'DICTIONARY-5'!$A$2))</f>
        <v/>
      </c>
      <c r="N847" s="543">
        <v>3</v>
      </c>
      <c r="O847" s="543"/>
      <c r="P847" s="731" t="str">
        <f>'DICTIONARY-3'!$A$48</f>
        <v>HYDRUS G2</v>
      </c>
      <c r="Q847" s="732" t="str">
        <f>'DICTIONARY-3'!$A$193</f>
        <v>Hydrant podziemny</v>
      </c>
      <c r="R847" s="732" t="str">
        <f>CONCATENATE('DICTIONARY-3'!$A$48," ",'DICTIONARY-6'!$A$10," ",'DICTIONARY-2'!$A$2,"80"," ",'DICTIONARY-2'!$A$3,"10/16"," ",'DICTIONARY-2'!$A$7,"1,0m"," ",'DICTIONARY-6'!$A$27)</f>
        <v>HYDRUS G2 Hydr. podz. DN80 PN10/16 Rd1,0m pokr. wylotu samozamykająca</v>
      </c>
      <c r="S847" s="733" t="str">
        <f>'DICTIONARY-4'!$A$13</f>
        <v>KK</v>
      </c>
      <c r="T847" s="732" t="str">
        <f>'DICTIONARY-4'!$A$29</f>
        <v>Końcówka kwadratowa, zamontowana</v>
      </c>
      <c r="U847" s="734" t="s">
        <v>5760</v>
      </c>
      <c r="V847" s="735">
        <v>16</v>
      </c>
      <c r="W847" s="736"/>
      <c r="X847" s="737"/>
      <c r="Y847" s="745" t="s">
        <v>5652</v>
      </c>
      <c r="Z847" s="747"/>
      <c r="AA847" s="747"/>
      <c r="AB847" s="740">
        <v>16</v>
      </c>
      <c r="AC847" s="741"/>
      <c r="AD847" s="741" t="str">
        <f>'DICTIONARY-5'!$A$13</f>
        <v>woda pitna</v>
      </c>
      <c r="AE847" s="742">
        <v>50</v>
      </c>
      <c r="AF847" s="743">
        <v>26</v>
      </c>
      <c r="AG847" s="741" t="str">
        <f>'DICTIONARY-5'!$A$23</f>
        <v>powłoka epoksydowa</v>
      </c>
    </row>
    <row r="848" spans="1:34" x14ac:dyDescent="0.25">
      <c r="A848" s="851" t="s">
        <v>829</v>
      </c>
      <c r="B848" s="851" t="s">
        <v>4293</v>
      </c>
      <c r="C848" s="836">
        <v>612</v>
      </c>
      <c r="D848" s="836"/>
      <c r="E848" s="836"/>
      <c r="F848" s="836"/>
      <c r="G848" s="496" t="s">
        <v>7801</v>
      </c>
      <c r="H848" s="797" t="str">
        <f>VLOOKUP(G848,SETTINGS!$B$7:$D$97,2,0)</f>
        <v>HYDRUS G</v>
      </c>
      <c r="I848" s="796">
        <f>VLOOKUP(G848,SETTINGS!$B$7:$D$97,3,0)</f>
        <v>0</v>
      </c>
      <c r="J848" s="670" t="str">
        <f>IFERROR(IF(CURRENCY.FORMAT_1=0,CONCATENATE(TEXT(FIXED(ROUND((C848/EXC.RATE_1),CURRENCY.FORMAT_1),CURRENCY.FORMAT_1,1),"# ##0;-# ##0"),",-"),FIXED(ROUND((C848/EXC.RATE_1),CURRENCY.FORMAT_1),CURRENCY.FORMAT_1,0)),'DICTIONARY-5'!$A$2)</f>
        <v>612,-</v>
      </c>
      <c r="K848" s="670" t="str">
        <f>IF(EXC.RATE_2=0,"",IFERROR(IF(CURRENCY.FORMAT_2=0,CONCATENATE(TEXT(FIXED(ROUND(IF(EXC.RATE.SWITCH=1,C848/EXC.RATE_2,C848*EXC.RATE_2),CURRENCY.FORMAT_2),CURRENCY.FORMAT_2,1),"# ##0;-# ##0"),",-"),FIXED(ROUND(IF(EXC.RATE.SWITCH=1,C848/EXC.RATE_2,C848*EXC.RATE_2),CURRENCY.FORMAT_2),CURRENCY.FORMAT_2,0)),'DICTIONARY-5'!$A$2))</f>
        <v/>
      </c>
      <c r="L848" s="670" t="str">
        <f>IFERROR(IF(CURRENCY.FORMAT_1=0,CONCATENATE(TEXT(FIXED(ROUND((C848*(1-I848)*(1-ADD.DISCOUNT)*(1+MAT.SURCHARGE)/EXC.RATE_1),CURRENCY.FORMAT_1),CURRENCY.FORMAT_1,1),"# ##0;-# ##0"),",-"),FIXED(ROUND((C848*(1-I848)*(1-ADD.DISCOUNT)*(1+MAT.SURCHARGE)/EXC.RATE_1),CURRENCY.FORMAT_1),CURRENCY.FORMAT_1,0)),'DICTIONARY-5'!$A$2)</f>
        <v>636,-</v>
      </c>
      <c r="M848" s="670" t="str">
        <f>IF(EXC.RATE_2=0,"",IFERROR(IF(CURRENCY.FORMAT_2=0,CONCATENATE(TEXT(FIXED(ROUND(IF(EXC.RATE.SWITCH=1,C848*(1-I848)*(1-ADD.DISCOUNT)*(1+MAT.SURCHARGE)/EXC.RATE_2,C848*(1-I848)*(1-ADD.DISCOUNT)*(1+MAT.SURCHARGE)*EXC.RATE_2),CURRENCY.FORMAT_2),CURRENCY.FORMAT_2,1),"# ##0;-# ##0"),",-"),FIXED(ROUND(IF(EXC.RATE.SWITCH=1,C848*(1-I848)*(1-ADD.DISCOUNT)*(1+MAT.SURCHARGE)/EXC.RATE_2,C848*(1-I848)*(1-ADD.DISCOUNT)*(1+MAT.SURCHARGE)*EXC.RATE_2),CURRENCY.FORMAT_2),CURRENCY.FORMAT_2,0)),'DICTIONARY-5'!$A$2))</f>
        <v/>
      </c>
      <c r="N848" s="543">
        <v>3</v>
      </c>
      <c r="O848" s="543"/>
      <c r="P848" s="731" t="str">
        <f>'DICTIONARY-3'!$A$48</f>
        <v>HYDRUS G2</v>
      </c>
      <c r="Q848" s="732" t="str">
        <f>'DICTIONARY-3'!$A$193</f>
        <v>Hydrant podziemny</v>
      </c>
      <c r="R848" s="732" t="str">
        <f>CONCATENATE('DICTIONARY-3'!$A$48," ",'DICTIONARY-6'!$A$10," ",'DICTIONARY-2'!$A$2,"80"," ",'DICTIONARY-2'!$A$3,"10/16"," ",'DICTIONARY-2'!$A$7,"1,25m"," ",'DICTIONARY-6'!$A$27)</f>
        <v>HYDRUS G2 Hydr. podz. DN80 PN10/16 Rd1,25m pokr. wylotu samozamykająca</v>
      </c>
      <c r="S848" s="733" t="str">
        <f>'DICTIONARY-4'!$A$13</f>
        <v>KK</v>
      </c>
      <c r="T848" s="732" t="str">
        <f>'DICTIONARY-4'!$A$29</f>
        <v>Końcówka kwadratowa, zamontowana</v>
      </c>
      <c r="U848" s="734" t="s">
        <v>5760</v>
      </c>
      <c r="V848" s="735">
        <v>16</v>
      </c>
      <c r="W848" s="736"/>
      <c r="X848" s="737"/>
      <c r="Y848" s="745" t="s">
        <v>5653</v>
      </c>
      <c r="Z848" s="747"/>
      <c r="AA848" s="747"/>
      <c r="AB848" s="740">
        <v>16</v>
      </c>
      <c r="AC848" s="741"/>
      <c r="AD848" s="741" t="str">
        <f>'DICTIONARY-5'!$A$13</f>
        <v>woda pitna</v>
      </c>
      <c r="AE848" s="742">
        <v>50</v>
      </c>
      <c r="AF848" s="743">
        <v>36</v>
      </c>
      <c r="AG848" s="741" t="str">
        <f>'DICTIONARY-5'!$A$23</f>
        <v>powłoka epoksydowa</v>
      </c>
    </row>
    <row r="849" spans="1:33" x14ac:dyDescent="0.25">
      <c r="A849" s="851" t="s">
        <v>831</v>
      </c>
      <c r="B849" s="851" t="s">
        <v>4294</v>
      </c>
      <c r="C849" s="836">
        <v>651</v>
      </c>
      <c r="D849" s="836"/>
      <c r="E849" s="836"/>
      <c r="F849" s="836"/>
      <c r="G849" s="496" t="s">
        <v>7801</v>
      </c>
      <c r="H849" s="797" t="str">
        <f>VLOOKUP(G849,SETTINGS!$B$7:$D$97,2,0)</f>
        <v>HYDRUS G</v>
      </c>
      <c r="I849" s="796">
        <f>VLOOKUP(G849,SETTINGS!$B$7:$D$97,3,0)</f>
        <v>0</v>
      </c>
      <c r="J849" s="670" t="str">
        <f>IFERROR(IF(CURRENCY.FORMAT_1=0,CONCATENATE(TEXT(FIXED(ROUND((C849/EXC.RATE_1),CURRENCY.FORMAT_1),CURRENCY.FORMAT_1,1),"# ##0;-# ##0"),",-"),FIXED(ROUND((C849/EXC.RATE_1),CURRENCY.FORMAT_1),CURRENCY.FORMAT_1,0)),'DICTIONARY-5'!$A$2)</f>
        <v>651,-</v>
      </c>
      <c r="K849" s="670" t="str">
        <f>IF(EXC.RATE_2=0,"",IFERROR(IF(CURRENCY.FORMAT_2=0,CONCATENATE(TEXT(FIXED(ROUND(IF(EXC.RATE.SWITCH=1,C849/EXC.RATE_2,C849*EXC.RATE_2),CURRENCY.FORMAT_2),CURRENCY.FORMAT_2,1),"# ##0;-# ##0"),",-"),FIXED(ROUND(IF(EXC.RATE.SWITCH=1,C849/EXC.RATE_2,C849*EXC.RATE_2),CURRENCY.FORMAT_2),CURRENCY.FORMAT_2,0)),'DICTIONARY-5'!$A$2))</f>
        <v/>
      </c>
      <c r="L849" s="670" t="str">
        <f>IFERROR(IF(CURRENCY.FORMAT_1=0,CONCATENATE(TEXT(FIXED(ROUND((C849*(1-I849)*(1-ADD.DISCOUNT)*(1+MAT.SURCHARGE)/EXC.RATE_1),CURRENCY.FORMAT_1),CURRENCY.FORMAT_1,1),"# ##0;-# ##0"),",-"),FIXED(ROUND((C849*(1-I849)*(1-ADD.DISCOUNT)*(1+MAT.SURCHARGE)/EXC.RATE_1),CURRENCY.FORMAT_1),CURRENCY.FORMAT_1,0)),'DICTIONARY-5'!$A$2)</f>
        <v>676,-</v>
      </c>
      <c r="M849" s="670" t="str">
        <f>IF(EXC.RATE_2=0,"",IFERROR(IF(CURRENCY.FORMAT_2=0,CONCATENATE(TEXT(FIXED(ROUND(IF(EXC.RATE.SWITCH=1,C849*(1-I849)*(1-ADD.DISCOUNT)*(1+MAT.SURCHARGE)/EXC.RATE_2,C849*(1-I849)*(1-ADD.DISCOUNT)*(1+MAT.SURCHARGE)*EXC.RATE_2),CURRENCY.FORMAT_2),CURRENCY.FORMAT_2,1),"# ##0;-# ##0"),",-"),FIXED(ROUND(IF(EXC.RATE.SWITCH=1,C849*(1-I849)*(1-ADD.DISCOUNT)*(1+MAT.SURCHARGE)/EXC.RATE_2,C849*(1-I849)*(1-ADD.DISCOUNT)*(1+MAT.SURCHARGE)*EXC.RATE_2),CURRENCY.FORMAT_2),CURRENCY.FORMAT_2,0)),'DICTIONARY-5'!$A$2))</f>
        <v/>
      </c>
      <c r="N849" s="543">
        <v>3</v>
      </c>
      <c r="O849" s="543"/>
      <c r="P849" s="731" t="str">
        <f>'DICTIONARY-3'!$A$48</f>
        <v>HYDRUS G2</v>
      </c>
      <c r="Q849" s="732" t="str">
        <f>'DICTIONARY-3'!$A$193</f>
        <v>Hydrant podziemny</v>
      </c>
      <c r="R849" s="732" t="str">
        <f>CONCATENATE('DICTIONARY-3'!$A$48," ",'DICTIONARY-6'!$A$10," ",'DICTIONARY-2'!$A$2,"80"," ",'DICTIONARY-2'!$A$3,"10/16"," ",'DICTIONARY-2'!$A$7,"1,5m"," ",'DICTIONARY-6'!$A$27)</f>
        <v>HYDRUS G2 Hydr. podz. DN80 PN10/16 Rd1,5m pokr. wylotu samozamykająca</v>
      </c>
      <c r="S849" s="733" t="str">
        <f>'DICTIONARY-4'!$A$13</f>
        <v>KK</v>
      </c>
      <c r="T849" s="732" t="str">
        <f>'DICTIONARY-4'!$A$29</f>
        <v>Końcówka kwadratowa, zamontowana</v>
      </c>
      <c r="U849" s="734" t="s">
        <v>5760</v>
      </c>
      <c r="V849" s="735">
        <v>16</v>
      </c>
      <c r="W849" s="736"/>
      <c r="X849" s="737"/>
      <c r="Y849" s="745" t="s">
        <v>5654</v>
      </c>
      <c r="Z849" s="747"/>
      <c r="AA849" s="747"/>
      <c r="AB849" s="740">
        <v>16</v>
      </c>
      <c r="AC849" s="741"/>
      <c r="AD849" s="741" t="str">
        <f>'DICTIONARY-5'!$A$13</f>
        <v>woda pitna</v>
      </c>
      <c r="AE849" s="742">
        <v>50</v>
      </c>
      <c r="AF849" s="743">
        <v>39</v>
      </c>
      <c r="AG849" s="741" t="str">
        <f>'DICTIONARY-5'!$A$23</f>
        <v>powłoka epoksydowa</v>
      </c>
    </row>
    <row r="850" spans="1:33" x14ac:dyDescent="0.25">
      <c r="A850" s="851" t="s">
        <v>773</v>
      </c>
      <c r="B850" s="851" t="s">
        <v>4246</v>
      </c>
      <c r="C850" s="836">
        <v>1436</v>
      </c>
      <c r="D850" s="836"/>
      <c r="E850" s="836"/>
      <c r="F850" s="836"/>
      <c r="G850" s="496" t="s">
        <v>7802</v>
      </c>
      <c r="H850" s="797" t="str">
        <f>VLOOKUP(G850,SETTINGS!$B$7:$D$97,2,0)</f>
        <v>NOVA 284</v>
      </c>
      <c r="I850" s="796">
        <f>VLOOKUP(G850,SETTINGS!$B$7:$D$97,3,0)</f>
        <v>0</v>
      </c>
      <c r="J850" s="670" t="str">
        <f>IFERROR(IF(CURRENCY.FORMAT_1=0,CONCATENATE(TEXT(FIXED(ROUND((C850/EXC.RATE_1),CURRENCY.FORMAT_1),CURRENCY.FORMAT_1,1),"# ##0;-# ##0"),",-"),FIXED(ROUND((C850/EXC.RATE_1),CURRENCY.FORMAT_1),CURRENCY.FORMAT_1,0)),'DICTIONARY-5'!$A$2)</f>
        <v>1 436,-</v>
      </c>
      <c r="K850" s="670" t="str">
        <f>IF(EXC.RATE_2=0,"",IFERROR(IF(CURRENCY.FORMAT_2=0,CONCATENATE(TEXT(FIXED(ROUND(IF(EXC.RATE.SWITCH=1,C850/EXC.RATE_2,C850*EXC.RATE_2),CURRENCY.FORMAT_2),CURRENCY.FORMAT_2,1),"# ##0;-# ##0"),",-"),FIXED(ROUND(IF(EXC.RATE.SWITCH=1,C850/EXC.RATE_2,C850*EXC.RATE_2),CURRENCY.FORMAT_2),CURRENCY.FORMAT_2,0)),'DICTIONARY-5'!$A$2))</f>
        <v/>
      </c>
      <c r="L850" s="670" t="str">
        <f>IFERROR(IF(CURRENCY.FORMAT_1=0,CONCATENATE(TEXT(FIXED(ROUND((C850*(1-I850)*(1-ADD.DISCOUNT)*(1+MAT.SURCHARGE)/EXC.RATE_1),CURRENCY.FORMAT_1),CURRENCY.FORMAT_1,1),"# ##0;-# ##0"),",-"),FIXED(ROUND((C850*(1-I850)*(1-ADD.DISCOUNT)*(1+MAT.SURCHARGE)/EXC.RATE_1),CURRENCY.FORMAT_1),CURRENCY.FORMAT_1,0)),'DICTIONARY-5'!$A$2)</f>
        <v>1 492,-</v>
      </c>
      <c r="M850" s="670" t="str">
        <f>IF(EXC.RATE_2=0,"",IFERROR(IF(CURRENCY.FORMAT_2=0,CONCATENATE(TEXT(FIXED(ROUND(IF(EXC.RATE.SWITCH=1,C850*(1-I850)*(1-ADD.DISCOUNT)*(1+MAT.SURCHARGE)/EXC.RATE_2,C850*(1-I850)*(1-ADD.DISCOUNT)*(1+MAT.SURCHARGE)*EXC.RATE_2),CURRENCY.FORMAT_2),CURRENCY.FORMAT_2,1),"# ##0;-# ##0"),",-"),FIXED(ROUND(IF(EXC.RATE.SWITCH=1,C850*(1-I850)*(1-ADD.DISCOUNT)*(1+MAT.SURCHARGE)/EXC.RATE_2,C850*(1-I850)*(1-ADD.DISCOUNT)*(1+MAT.SURCHARGE)*EXC.RATE_2),CURRENCY.FORMAT_2),CURRENCY.FORMAT_2,0)),'DICTIONARY-5'!$A$2))</f>
        <v/>
      </c>
      <c r="N850" s="543">
        <v>3</v>
      </c>
      <c r="O850" s="543"/>
      <c r="P850" s="731" t="str">
        <f>'DICTIONARY-3'!$A$40</f>
        <v>NOVA 284</v>
      </c>
      <c r="Q850" s="732" t="str">
        <f>'DICTIONARY-3'!$A$194</f>
        <v>Hydrant nadziemny</v>
      </c>
      <c r="R850" s="732" t="str">
        <f>CONCATENATE('DICTIONARY-3'!$A$40," ",'DICTIONARY-6'!$A$11," ",'DICTIONARY-2'!$A$2,"80"," ",'DICTIONARY-2'!$A$3,"10/16"," ",'DICTIONARY-2'!$A$7,"1,0m 2xB")</f>
        <v>NOVA 284 Hydr. nadz. DN80 PN10/16 Rd1,0m 2xB</v>
      </c>
      <c r="S850" s="733" t="s">
        <v>5569</v>
      </c>
      <c r="T850" s="732" t="s">
        <v>5569</v>
      </c>
      <c r="U850" s="734" t="s">
        <v>5760</v>
      </c>
      <c r="V850" s="735">
        <v>16</v>
      </c>
      <c r="W850" s="736"/>
      <c r="X850" s="737"/>
      <c r="Y850" s="745" t="s">
        <v>5652</v>
      </c>
      <c r="Z850" s="747"/>
      <c r="AA850" s="747"/>
      <c r="AB850" s="740">
        <v>16</v>
      </c>
      <c r="AC850" s="741"/>
      <c r="AD850" s="741" t="str">
        <f>'DICTIONARY-5'!$A$13</f>
        <v>woda pitna</v>
      </c>
      <c r="AE850" s="742">
        <v>50</v>
      </c>
      <c r="AF850" s="743">
        <v>81</v>
      </c>
      <c r="AG850" s="741" t="str">
        <f>'DICTIONARY-5'!$A$23&amp;" + "&amp;'DICTIONARY-5'!$A$25</f>
        <v>powłoka epoksydowa + poliester</v>
      </c>
    </row>
    <row r="851" spans="1:33" x14ac:dyDescent="0.25">
      <c r="A851" s="851" t="s">
        <v>774</v>
      </c>
      <c r="B851" s="851" t="s">
        <v>4247</v>
      </c>
      <c r="C851" s="836">
        <v>1472</v>
      </c>
      <c r="D851" s="836"/>
      <c r="E851" s="836"/>
      <c r="F851" s="836"/>
      <c r="G851" s="496" t="s">
        <v>7802</v>
      </c>
      <c r="H851" s="797" t="str">
        <f>VLOOKUP(G851,SETTINGS!$B$7:$D$97,2,0)</f>
        <v>NOVA 284</v>
      </c>
      <c r="I851" s="796">
        <f>VLOOKUP(G851,SETTINGS!$B$7:$D$97,3,0)</f>
        <v>0</v>
      </c>
      <c r="J851" s="670" t="str">
        <f>IFERROR(IF(CURRENCY.FORMAT_1=0,CONCATENATE(TEXT(FIXED(ROUND((C851/EXC.RATE_1),CURRENCY.FORMAT_1),CURRENCY.FORMAT_1,1),"# ##0;-# ##0"),",-"),FIXED(ROUND((C851/EXC.RATE_1),CURRENCY.FORMAT_1),CURRENCY.FORMAT_1,0)),'DICTIONARY-5'!$A$2)</f>
        <v>1 472,-</v>
      </c>
      <c r="K851" s="670" t="str">
        <f>IF(EXC.RATE_2=0,"",IFERROR(IF(CURRENCY.FORMAT_2=0,CONCATENATE(TEXT(FIXED(ROUND(IF(EXC.RATE.SWITCH=1,C851/EXC.RATE_2,C851*EXC.RATE_2),CURRENCY.FORMAT_2),CURRENCY.FORMAT_2,1),"# ##0;-# ##0"),",-"),FIXED(ROUND(IF(EXC.RATE.SWITCH=1,C851/EXC.RATE_2,C851*EXC.RATE_2),CURRENCY.FORMAT_2),CURRENCY.FORMAT_2,0)),'DICTIONARY-5'!$A$2))</f>
        <v/>
      </c>
      <c r="L851" s="670" t="str">
        <f>IFERROR(IF(CURRENCY.FORMAT_1=0,CONCATENATE(TEXT(FIXED(ROUND((C851*(1-I851)*(1-ADD.DISCOUNT)*(1+MAT.SURCHARGE)/EXC.RATE_1),CURRENCY.FORMAT_1),CURRENCY.FORMAT_1,1),"# ##0;-# ##0"),",-"),FIXED(ROUND((C851*(1-I851)*(1-ADD.DISCOUNT)*(1+MAT.SURCHARGE)/EXC.RATE_1),CURRENCY.FORMAT_1),CURRENCY.FORMAT_1,0)),'DICTIONARY-5'!$A$2)</f>
        <v>1 529,-</v>
      </c>
      <c r="M851" s="670" t="str">
        <f>IF(EXC.RATE_2=0,"",IFERROR(IF(CURRENCY.FORMAT_2=0,CONCATENATE(TEXT(FIXED(ROUND(IF(EXC.RATE.SWITCH=1,C851*(1-I851)*(1-ADD.DISCOUNT)*(1+MAT.SURCHARGE)/EXC.RATE_2,C851*(1-I851)*(1-ADD.DISCOUNT)*(1+MAT.SURCHARGE)*EXC.RATE_2),CURRENCY.FORMAT_2),CURRENCY.FORMAT_2,1),"# ##0;-# ##0"),",-"),FIXED(ROUND(IF(EXC.RATE.SWITCH=1,C851*(1-I851)*(1-ADD.DISCOUNT)*(1+MAT.SURCHARGE)/EXC.RATE_2,C851*(1-I851)*(1-ADD.DISCOUNT)*(1+MAT.SURCHARGE)*EXC.RATE_2),CURRENCY.FORMAT_2),CURRENCY.FORMAT_2,0)),'DICTIONARY-5'!$A$2))</f>
        <v/>
      </c>
      <c r="N851" s="543">
        <v>3</v>
      </c>
      <c r="O851" s="543"/>
      <c r="P851" s="731" t="str">
        <f>'DICTIONARY-3'!$A$40</f>
        <v>NOVA 284</v>
      </c>
      <c r="Q851" s="732" t="str">
        <f>'DICTIONARY-3'!$A$194</f>
        <v>Hydrant nadziemny</v>
      </c>
      <c r="R851" s="732" t="str">
        <f>CONCATENATE('DICTIONARY-3'!$A$40," ",'DICTIONARY-6'!$A$11," ",'DICTIONARY-2'!$A$2,"80"," ",'DICTIONARY-2'!$A$3,"10/16"," ",'DICTIONARY-2'!$A$7,"1,25m 2xB")</f>
        <v>NOVA 284 Hydr. nadz. DN80 PN10/16 Rd1,25m 2xB</v>
      </c>
      <c r="S851" s="733" t="s">
        <v>5569</v>
      </c>
      <c r="T851" s="732" t="s">
        <v>5569</v>
      </c>
      <c r="U851" s="734" t="s">
        <v>5760</v>
      </c>
      <c r="V851" s="735">
        <v>16</v>
      </c>
      <c r="W851" s="736"/>
      <c r="X851" s="737"/>
      <c r="Y851" s="745" t="s">
        <v>5653</v>
      </c>
      <c r="Z851" s="747"/>
      <c r="AA851" s="747"/>
      <c r="AB851" s="740">
        <v>16</v>
      </c>
      <c r="AC851" s="741"/>
      <c r="AD851" s="741" t="str">
        <f>'DICTIONARY-5'!$A$13</f>
        <v>woda pitna</v>
      </c>
      <c r="AE851" s="742">
        <v>50</v>
      </c>
      <c r="AF851" s="743">
        <v>80.5</v>
      </c>
      <c r="AG851" s="741" t="str">
        <f>'DICTIONARY-5'!$A$23&amp;" + "&amp;'DICTIONARY-5'!$A$25</f>
        <v>powłoka epoksydowa + poliester</v>
      </c>
    </row>
    <row r="852" spans="1:33" x14ac:dyDescent="0.25">
      <c r="A852" s="851" t="s">
        <v>775</v>
      </c>
      <c r="B852" s="851" t="s">
        <v>4248</v>
      </c>
      <c r="C852" s="836">
        <v>1748</v>
      </c>
      <c r="D852" s="836"/>
      <c r="E852" s="836"/>
      <c r="F852" s="836"/>
      <c r="G852" s="496" t="s">
        <v>7802</v>
      </c>
      <c r="H852" s="797" t="str">
        <f>VLOOKUP(G852,SETTINGS!$B$7:$D$97,2,0)</f>
        <v>NOVA 284</v>
      </c>
      <c r="I852" s="796">
        <f>VLOOKUP(G852,SETTINGS!$B$7:$D$97,3,0)</f>
        <v>0</v>
      </c>
      <c r="J852" s="670" t="str">
        <f>IFERROR(IF(CURRENCY.FORMAT_1=0,CONCATENATE(TEXT(FIXED(ROUND((C852/EXC.RATE_1),CURRENCY.FORMAT_1),CURRENCY.FORMAT_1,1),"# ##0;-# ##0"),",-"),FIXED(ROUND((C852/EXC.RATE_1),CURRENCY.FORMAT_1),CURRENCY.FORMAT_1,0)),'DICTIONARY-5'!$A$2)</f>
        <v>1 748,-</v>
      </c>
      <c r="K852" s="670" t="str">
        <f>IF(EXC.RATE_2=0,"",IFERROR(IF(CURRENCY.FORMAT_2=0,CONCATENATE(TEXT(FIXED(ROUND(IF(EXC.RATE.SWITCH=1,C852/EXC.RATE_2,C852*EXC.RATE_2),CURRENCY.FORMAT_2),CURRENCY.FORMAT_2,1),"# ##0;-# ##0"),",-"),FIXED(ROUND(IF(EXC.RATE.SWITCH=1,C852/EXC.RATE_2,C852*EXC.RATE_2),CURRENCY.FORMAT_2),CURRENCY.FORMAT_2,0)),'DICTIONARY-5'!$A$2))</f>
        <v/>
      </c>
      <c r="L852" s="670" t="str">
        <f>IFERROR(IF(CURRENCY.FORMAT_1=0,CONCATENATE(TEXT(FIXED(ROUND((C852*(1-I852)*(1-ADD.DISCOUNT)*(1+MAT.SURCHARGE)/EXC.RATE_1),CURRENCY.FORMAT_1),CURRENCY.FORMAT_1,1),"# ##0;-# ##0"),",-"),FIXED(ROUND((C852*(1-I852)*(1-ADD.DISCOUNT)*(1+MAT.SURCHARGE)/EXC.RATE_1),CURRENCY.FORMAT_1),CURRENCY.FORMAT_1,0)),'DICTIONARY-5'!$A$2)</f>
        <v>1 816,-</v>
      </c>
      <c r="M852" s="670" t="str">
        <f>IF(EXC.RATE_2=0,"",IFERROR(IF(CURRENCY.FORMAT_2=0,CONCATENATE(TEXT(FIXED(ROUND(IF(EXC.RATE.SWITCH=1,C852*(1-I852)*(1-ADD.DISCOUNT)*(1+MAT.SURCHARGE)/EXC.RATE_2,C852*(1-I852)*(1-ADD.DISCOUNT)*(1+MAT.SURCHARGE)*EXC.RATE_2),CURRENCY.FORMAT_2),CURRENCY.FORMAT_2,1),"# ##0;-# ##0"),",-"),FIXED(ROUND(IF(EXC.RATE.SWITCH=1,C852*(1-I852)*(1-ADD.DISCOUNT)*(1+MAT.SURCHARGE)/EXC.RATE_2,C852*(1-I852)*(1-ADD.DISCOUNT)*(1+MAT.SURCHARGE)*EXC.RATE_2),CURRENCY.FORMAT_2),CURRENCY.FORMAT_2,0)),'DICTIONARY-5'!$A$2))</f>
        <v/>
      </c>
      <c r="N852" s="543">
        <v>3</v>
      </c>
      <c r="O852" s="543"/>
      <c r="P852" s="731" t="str">
        <f>'DICTIONARY-3'!$A$40</f>
        <v>NOVA 284</v>
      </c>
      <c r="Q852" s="732" t="str">
        <f>'DICTIONARY-3'!$A$194</f>
        <v>Hydrant nadziemny</v>
      </c>
      <c r="R852" s="732" t="str">
        <f>CONCATENATE('DICTIONARY-3'!$A$40," ",'DICTIONARY-6'!$A$11," ",'DICTIONARY-2'!$A$2,"80"," ",'DICTIONARY-2'!$A$3,"10/16"," ",'DICTIONARY-2'!$A$7,"1,5m 2xB")</f>
        <v>NOVA 284 Hydr. nadz. DN80 PN10/16 Rd1,5m 2xB</v>
      </c>
      <c r="S852" s="733" t="s">
        <v>5569</v>
      </c>
      <c r="T852" s="732" t="s">
        <v>5569</v>
      </c>
      <c r="U852" s="734" t="s">
        <v>5760</v>
      </c>
      <c r="V852" s="735">
        <v>16</v>
      </c>
      <c r="W852" s="736"/>
      <c r="X852" s="737"/>
      <c r="Y852" s="745" t="s">
        <v>5654</v>
      </c>
      <c r="Z852" s="747"/>
      <c r="AA852" s="747"/>
      <c r="AB852" s="740">
        <v>16</v>
      </c>
      <c r="AC852" s="741"/>
      <c r="AD852" s="741" t="str">
        <f>'DICTIONARY-5'!$A$13</f>
        <v>woda pitna</v>
      </c>
      <c r="AE852" s="742">
        <v>50</v>
      </c>
      <c r="AF852" s="743">
        <v>89.5</v>
      </c>
      <c r="AG852" s="741" t="str">
        <f>'DICTIONARY-5'!$A$23&amp;" + "&amp;'DICTIONARY-5'!$A$25</f>
        <v>powłoka epoksydowa + poliester</v>
      </c>
    </row>
    <row r="853" spans="1:33" x14ac:dyDescent="0.25">
      <c r="A853" s="851" t="s">
        <v>4923</v>
      </c>
      <c r="B853" s="851" t="s">
        <v>776</v>
      </c>
      <c r="C853" s="836">
        <v>1600</v>
      </c>
      <c r="D853" s="836"/>
      <c r="E853" s="836"/>
      <c r="F853" s="836"/>
      <c r="G853" s="496" t="s">
        <v>7802</v>
      </c>
      <c r="H853" s="797" t="str">
        <f>VLOOKUP(G853,SETTINGS!$B$7:$D$97,2,0)</f>
        <v>NOVA 284</v>
      </c>
      <c r="I853" s="796">
        <f>VLOOKUP(G853,SETTINGS!$B$7:$D$97,3,0)</f>
        <v>0</v>
      </c>
      <c r="J853" s="670" t="str">
        <f>IFERROR(IF(CURRENCY.FORMAT_1=0,CONCATENATE(TEXT(FIXED(ROUND((C853/EXC.RATE_1),CURRENCY.FORMAT_1),CURRENCY.FORMAT_1,1),"# ##0;-# ##0"),",-"),FIXED(ROUND((C853/EXC.RATE_1),CURRENCY.FORMAT_1),CURRENCY.FORMAT_1,0)),'DICTIONARY-5'!$A$2)</f>
        <v>1 600,-</v>
      </c>
      <c r="K853" s="670" t="str">
        <f>IF(EXC.RATE_2=0,"",IFERROR(IF(CURRENCY.FORMAT_2=0,CONCATENATE(TEXT(FIXED(ROUND(IF(EXC.RATE.SWITCH=1,C853/EXC.RATE_2,C853*EXC.RATE_2),CURRENCY.FORMAT_2),CURRENCY.FORMAT_2,1),"# ##0;-# ##0"),",-"),FIXED(ROUND(IF(EXC.RATE.SWITCH=1,C853/EXC.RATE_2,C853*EXC.RATE_2),CURRENCY.FORMAT_2),CURRENCY.FORMAT_2,0)),'DICTIONARY-5'!$A$2))</f>
        <v/>
      </c>
      <c r="L853" s="670" t="str">
        <f>IFERROR(IF(CURRENCY.FORMAT_1=0,CONCATENATE(TEXT(FIXED(ROUND((C853*(1-I853)*(1-ADD.DISCOUNT)*(1+MAT.SURCHARGE)/EXC.RATE_1),CURRENCY.FORMAT_1),CURRENCY.FORMAT_1,1),"# ##0;-# ##0"),",-"),FIXED(ROUND((C853*(1-I853)*(1-ADD.DISCOUNT)*(1+MAT.SURCHARGE)/EXC.RATE_1),CURRENCY.FORMAT_1),CURRENCY.FORMAT_1,0)),'DICTIONARY-5'!$A$2)</f>
        <v>1 662,-</v>
      </c>
      <c r="M853" s="670" t="str">
        <f>IF(EXC.RATE_2=0,"",IFERROR(IF(CURRENCY.FORMAT_2=0,CONCATENATE(TEXT(FIXED(ROUND(IF(EXC.RATE.SWITCH=1,C853*(1-I853)*(1-ADD.DISCOUNT)*(1+MAT.SURCHARGE)/EXC.RATE_2,C853*(1-I853)*(1-ADD.DISCOUNT)*(1+MAT.SURCHARGE)*EXC.RATE_2),CURRENCY.FORMAT_2),CURRENCY.FORMAT_2,1),"# ##0;-# ##0"),",-"),FIXED(ROUND(IF(EXC.RATE.SWITCH=1,C853*(1-I853)*(1-ADD.DISCOUNT)*(1+MAT.SURCHARGE)/EXC.RATE_2,C853*(1-I853)*(1-ADD.DISCOUNT)*(1+MAT.SURCHARGE)*EXC.RATE_2),CURRENCY.FORMAT_2),CURRENCY.FORMAT_2,0)),'DICTIONARY-5'!$A$2))</f>
        <v/>
      </c>
      <c r="N853" s="543">
        <v>3</v>
      </c>
      <c r="O853" s="543"/>
      <c r="P853" s="731" t="str">
        <f>'DICTIONARY-3'!$A$40</f>
        <v>NOVA 284</v>
      </c>
      <c r="Q853" s="732" t="str">
        <f>'DICTIONARY-3'!$A$194</f>
        <v>Hydrant nadziemny</v>
      </c>
      <c r="R853" s="732" t="str">
        <f>CONCATENATE('DICTIONARY-3'!$A$40," ",'DICTIONARY-6'!$A$11," ",'DICTIONARY-2'!$A$2,"100"," ",'DICTIONARY-2'!$A$3,"10/16"," ",'DICTIONARY-2'!$A$7,"1,25m 2xB")</f>
        <v>NOVA 284 Hydr. nadz. DN100 PN10/16 Rd1,25m 2xB</v>
      </c>
      <c r="S853" s="733" t="s">
        <v>5569</v>
      </c>
      <c r="T853" s="732" t="s">
        <v>5569</v>
      </c>
      <c r="U853" s="734" t="s">
        <v>5749</v>
      </c>
      <c r="V853" s="735">
        <v>16</v>
      </c>
      <c r="W853" s="736"/>
      <c r="X853" s="737"/>
      <c r="Y853" s="745" t="s">
        <v>5653</v>
      </c>
      <c r="Z853" s="747"/>
      <c r="AA853" s="747"/>
      <c r="AB853" s="740">
        <v>16</v>
      </c>
      <c r="AC853" s="741"/>
      <c r="AD853" s="741" t="str">
        <f>'DICTIONARY-5'!$A$13</f>
        <v>woda pitna</v>
      </c>
      <c r="AE853" s="742">
        <v>50</v>
      </c>
      <c r="AF853" s="743">
        <v>94</v>
      </c>
      <c r="AG853" s="733" t="str">
        <f>'DICTIONARY-5'!$A$23&amp;" + "&amp;'DICTIONARY-5'!$A$25</f>
        <v>powłoka epoksydowa + poliester</v>
      </c>
    </row>
    <row r="854" spans="1:33" x14ac:dyDescent="0.25">
      <c r="A854" s="851" t="s">
        <v>4924</v>
      </c>
      <c r="B854" s="851" t="s">
        <v>777</v>
      </c>
      <c r="C854" s="836">
        <v>1875</v>
      </c>
      <c r="D854" s="836"/>
      <c r="E854" s="836"/>
      <c r="F854" s="836"/>
      <c r="G854" s="496" t="s">
        <v>7802</v>
      </c>
      <c r="H854" s="797" t="str">
        <f>VLOOKUP(G854,SETTINGS!$B$7:$D$97,2,0)</f>
        <v>NOVA 284</v>
      </c>
      <c r="I854" s="796">
        <f>VLOOKUP(G854,SETTINGS!$B$7:$D$97,3,0)</f>
        <v>0</v>
      </c>
      <c r="J854" s="670" t="str">
        <f>IFERROR(IF(CURRENCY.FORMAT_1=0,CONCATENATE(TEXT(FIXED(ROUND((C854/EXC.RATE_1),CURRENCY.FORMAT_1),CURRENCY.FORMAT_1,1),"# ##0;-# ##0"),",-"),FIXED(ROUND((C854/EXC.RATE_1),CURRENCY.FORMAT_1),CURRENCY.FORMAT_1,0)),'DICTIONARY-5'!$A$2)</f>
        <v>1 875,-</v>
      </c>
      <c r="K854" s="670" t="str">
        <f>IF(EXC.RATE_2=0,"",IFERROR(IF(CURRENCY.FORMAT_2=0,CONCATENATE(TEXT(FIXED(ROUND(IF(EXC.RATE.SWITCH=1,C854/EXC.RATE_2,C854*EXC.RATE_2),CURRENCY.FORMAT_2),CURRENCY.FORMAT_2,1),"# ##0;-# ##0"),",-"),FIXED(ROUND(IF(EXC.RATE.SWITCH=1,C854/EXC.RATE_2,C854*EXC.RATE_2),CURRENCY.FORMAT_2),CURRENCY.FORMAT_2,0)),'DICTIONARY-5'!$A$2))</f>
        <v/>
      </c>
      <c r="L854" s="670" t="str">
        <f>IFERROR(IF(CURRENCY.FORMAT_1=0,CONCATENATE(TEXT(FIXED(ROUND((C854*(1-I854)*(1-ADD.DISCOUNT)*(1+MAT.SURCHARGE)/EXC.RATE_1),CURRENCY.FORMAT_1),CURRENCY.FORMAT_1,1),"# ##0;-# ##0"),",-"),FIXED(ROUND((C854*(1-I854)*(1-ADD.DISCOUNT)*(1+MAT.SURCHARGE)/EXC.RATE_1),CURRENCY.FORMAT_1),CURRENCY.FORMAT_1,0)),'DICTIONARY-5'!$A$2)</f>
        <v>1 948,-</v>
      </c>
      <c r="M854" s="670" t="str">
        <f>IF(EXC.RATE_2=0,"",IFERROR(IF(CURRENCY.FORMAT_2=0,CONCATENATE(TEXT(FIXED(ROUND(IF(EXC.RATE.SWITCH=1,C854*(1-I854)*(1-ADD.DISCOUNT)*(1+MAT.SURCHARGE)/EXC.RATE_2,C854*(1-I854)*(1-ADD.DISCOUNT)*(1+MAT.SURCHARGE)*EXC.RATE_2),CURRENCY.FORMAT_2),CURRENCY.FORMAT_2,1),"# ##0;-# ##0"),",-"),FIXED(ROUND(IF(EXC.RATE.SWITCH=1,C854*(1-I854)*(1-ADD.DISCOUNT)*(1+MAT.SURCHARGE)/EXC.RATE_2,C854*(1-I854)*(1-ADD.DISCOUNT)*(1+MAT.SURCHARGE)*EXC.RATE_2),CURRENCY.FORMAT_2),CURRENCY.FORMAT_2,0)),'DICTIONARY-5'!$A$2))</f>
        <v/>
      </c>
      <c r="N854" s="543">
        <v>3</v>
      </c>
      <c r="O854" s="543"/>
      <c r="P854" s="731" t="str">
        <f>'DICTIONARY-3'!$A$40</f>
        <v>NOVA 284</v>
      </c>
      <c r="Q854" s="732" t="str">
        <f>'DICTIONARY-3'!$A$194</f>
        <v>Hydrant nadziemny</v>
      </c>
      <c r="R854" s="732" t="str">
        <f>CONCATENATE('DICTIONARY-3'!$A$40," ",'DICTIONARY-6'!$A$11," ",'DICTIONARY-2'!$A$2,"100"," ",'DICTIONARY-2'!$A$3,"10/16"," ",'DICTIONARY-2'!$A$7,"1,5m 2xB")</f>
        <v>NOVA 284 Hydr. nadz. DN100 PN10/16 Rd1,5m 2xB</v>
      </c>
      <c r="S854" s="733" t="s">
        <v>5569</v>
      </c>
      <c r="T854" s="732" t="s">
        <v>5569</v>
      </c>
      <c r="U854" s="734" t="s">
        <v>5749</v>
      </c>
      <c r="V854" s="735">
        <v>16</v>
      </c>
      <c r="W854" s="736"/>
      <c r="X854" s="737"/>
      <c r="Y854" s="745" t="s">
        <v>5654</v>
      </c>
      <c r="Z854" s="747"/>
      <c r="AA854" s="747"/>
      <c r="AB854" s="740">
        <v>16</v>
      </c>
      <c r="AC854" s="741"/>
      <c r="AD854" s="741" t="str">
        <f>'DICTIONARY-5'!$A$13</f>
        <v>woda pitna</v>
      </c>
      <c r="AE854" s="742">
        <v>50</v>
      </c>
      <c r="AF854" s="743">
        <v>107</v>
      </c>
      <c r="AG854" s="741" t="str">
        <f>'DICTIONARY-5'!$A$23&amp;" + "&amp;'DICTIONARY-5'!$A$25</f>
        <v>powłoka epoksydowa + poliester</v>
      </c>
    </row>
    <row r="855" spans="1:33" x14ac:dyDescent="0.25">
      <c r="A855" s="851" t="s">
        <v>779</v>
      </c>
      <c r="B855" s="851" t="s">
        <v>4249</v>
      </c>
      <c r="C855" s="836">
        <v>1735</v>
      </c>
      <c r="D855" s="836"/>
      <c r="E855" s="836"/>
      <c r="F855" s="836"/>
      <c r="G855" s="496" t="s">
        <v>7802</v>
      </c>
      <c r="H855" s="797" t="str">
        <f>VLOOKUP(G855,SETTINGS!$B$7:$D$97,2,0)</f>
        <v>NOVA 284</v>
      </c>
      <c r="I855" s="796">
        <f>VLOOKUP(G855,SETTINGS!$B$7:$D$97,3,0)</f>
        <v>0</v>
      </c>
      <c r="J855" s="670" t="str">
        <f>IFERROR(IF(CURRENCY.FORMAT_1=0,CONCATENATE(TEXT(FIXED(ROUND((C855/EXC.RATE_1),CURRENCY.FORMAT_1),CURRENCY.FORMAT_1,1),"# ##0;-# ##0"),",-"),FIXED(ROUND((C855/EXC.RATE_1),CURRENCY.FORMAT_1),CURRENCY.FORMAT_1,0)),'DICTIONARY-5'!$A$2)</f>
        <v>1 735,-</v>
      </c>
      <c r="K855" s="670" t="str">
        <f>IF(EXC.RATE_2=0,"",IFERROR(IF(CURRENCY.FORMAT_2=0,CONCATENATE(TEXT(FIXED(ROUND(IF(EXC.RATE.SWITCH=1,C855/EXC.RATE_2,C855*EXC.RATE_2),CURRENCY.FORMAT_2),CURRENCY.FORMAT_2,1),"# ##0;-# ##0"),",-"),FIXED(ROUND(IF(EXC.RATE.SWITCH=1,C855/EXC.RATE_2,C855*EXC.RATE_2),CURRENCY.FORMAT_2),CURRENCY.FORMAT_2,0)),'DICTIONARY-5'!$A$2))</f>
        <v/>
      </c>
      <c r="L855" s="670" t="str">
        <f>IFERROR(IF(CURRENCY.FORMAT_1=0,CONCATENATE(TEXT(FIXED(ROUND((C855*(1-I855)*(1-ADD.DISCOUNT)*(1+MAT.SURCHARGE)/EXC.RATE_1),CURRENCY.FORMAT_1),CURRENCY.FORMAT_1,1),"# ##0;-# ##0"),",-"),FIXED(ROUND((C855*(1-I855)*(1-ADD.DISCOUNT)*(1+MAT.SURCHARGE)/EXC.RATE_1),CURRENCY.FORMAT_1),CURRENCY.FORMAT_1,0)),'DICTIONARY-5'!$A$2)</f>
        <v>1 803,-</v>
      </c>
      <c r="M855" s="670" t="str">
        <f>IF(EXC.RATE_2=0,"",IFERROR(IF(CURRENCY.FORMAT_2=0,CONCATENATE(TEXT(FIXED(ROUND(IF(EXC.RATE.SWITCH=1,C855*(1-I855)*(1-ADD.DISCOUNT)*(1+MAT.SURCHARGE)/EXC.RATE_2,C855*(1-I855)*(1-ADD.DISCOUNT)*(1+MAT.SURCHARGE)*EXC.RATE_2),CURRENCY.FORMAT_2),CURRENCY.FORMAT_2,1),"# ##0;-# ##0"),",-"),FIXED(ROUND(IF(EXC.RATE.SWITCH=1,C855*(1-I855)*(1-ADD.DISCOUNT)*(1+MAT.SURCHARGE)/EXC.RATE_2,C855*(1-I855)*(1-ADD.DISCOUNT)*(1+MAT.SURCHARGE)*EXC.RATE_2),CURRENCY.FORMAT_2),CURRENCY.FORMAT_2,0)),'DICTIONARY-5'!$A$2))</f>
        <v/>
      </c>
      <c r="N855" s="543">
        <v>3</v>
      </c>
      <c r="O855" s="543"/>
      <c r="P855" s="731" t="str">
        <f>'DICTIONARY-3'!$A$40</f>
        <v>NOVA 284</v>
      </c>
      <c r="Q855" s="732" t="str">
        <f>'DICTIONARY-3'!$A$194</f>
        <v>Hydrant nadziemny</v>
      </c>
      <c r="R855" s="732" t="str">
        <f>CONCATENATE('DICTIONARY-3'!$A$40," ",'DICTIONARY-6'!$A$11," ",'DICTIONARY-2'!$A$2,"100"," ",'DICTIONARY-2'!$A$3,"10/16"," ",'DICTIONARY-2'!$A$7,"1,25m 2xB+1xA")</f>
        <v>NOVA 284 Hydr. nadz. DN100 PN10/16 Rd1,25m 2xB+1xA</v>
      </c>
      <c r="S855" s="733" t="s">
        <v>5569</v>
      </c>
      <c r="T855" s="732" t="s">
        <v>5569</v>
      </c>
      <c r="U855" s="734" t="s">
        <v>5749</v>
      </c>
      <c r="V855" s="735">
        <v>16</v>
      </c>
      <c r="W855" s="736"/>
      <c r="X855" s="737"/>
      <c r="Y855" s="745" t="s">
        <v>5653</v>
      </c>
      <c r="Z855" s="747"/>
      <c r="AA855" s="747"/>
      <c r="AB855" s="740">
        <v>16</v>
      </c>
      <c r="AC855" s="741"/>
      <c r="AD855" s="741" t="str">
        <f>'DICTIONARY-5'!$A$13</f>
        <v>woda pitna</v>
      </c>
      <c r="AE855" s="742">
        <v>50</v>
      </c>
      <c r="AF855" s="743">
        <v>98.5</v>
      </c>
      <c r="AG855" s="741" t="str">
        <f>'DICTIONARY-5'!$A$23&amp;" + "&amp;'DICTIONARY-5'!$A$25</f>
        <v>powłoka epoksydowa + poliester</v>
      </c>
    </row>
    <row r="856" spans="1:33" x14ac:dyDescent="0.25">
      <c r="A856" s="851" t="s">
        <v>781</v>
      </c>
      <c r="B856" s="851" t="s">
        <v>4250</v>
      </c>
      <c r="C856" s="836">
        <v>2010</v>
      </c>
      <c r="D856" s="836"/>
      <c r="E856" s="836"/>
      <c r="F856" s="836"/>
      <c r="G856" s="496" t="s">
        <v>7802</v>
      </c>
      <c r="H856" s="797" t="str">
        <f>VLOOKUP(G856,SETTINGS!$B$7:$D$97,2,0)</f>
        <v>NOVA 284</v>
      </c>
      <c r="I856" s="796">
        <f>VLOOKUP(G856,SETTINGS!$B$7:$D$97,3,0)</f>
        <v>0</v>
      </c>
      <c r="J856" s="670" t="str">
        <f>IFERROR(IF(CURRENCY.FORMAT_1=0,CONCATENATE(TEXT(FIXED(ROUND((C856/EXC.RATE_1),CURRENCY.FORMAT_1),CURRENCY.FORMAT_1,1),"# ##0;-# ##0"),",-"),FIXED(ROUND((C856/EXC.RATE_1),CURRENCY.FORMAT_1),CURRENCY.FORMAT_1,0)),'DICTIONARY-5'!$A$2)</f>
        <v>2 010,-</v>
      </c>
      <c r="K856" s="670" t="str">
        <f>IF(EXC.RATE_2=0,"",IFERROR(IF(CURRENCY.FORMAT_2=0,CONCATENATE(TEXT(FIXED(ROUND(IF(EXC.RATE.SWITCH=1,C856/EXC.RATE_2,C856*EXC.RATE_2),CURRENCY.FORMAT_2),CURRENCY.FORMAT_2,1),"# ##0;-# ##0"),",-"),FIXED(ROUND(IF(EXC.RATE.SWITCH=1,C856/EXC.RATE_2,C856*EXC.RATE_2),CURRENCY.FORMAT_2),CURRENCY.FORMAT_2,0)),'DICTIONARY-5'!$A$2))</f>
        <v/>
      </c>
      <c r="L856" s="670" t="str">
        <f>IFERROR(IF(CURRENCY.FORMAT_1=0,CONCATENATE(TEXT(FIXED(ROUND((C856*(1-I856)*(1-ADD.DISCOUNT)*(1+MAT.SURCHARGE)/EXC.RATE_1),CURRENCY.FORMAT_1),CURRENCY.FORMAT_1,1),"# ##0;-# ##0"),",-"),FIXED(ROUND((C856*(1-I856)*(1-ADD.DISCOUNT)*(1+MAT.SURCHARGE)/EXC.RATE_1),CURRENCY.FORMAT_1),CURRENCY.FORMAT_1,0)),'DICTIONARY-5'!$A$2)</f>
        <v>2 088,-</v>
      </c>
      <c r="M856" s="670" t="str">
        <f>IF(EXC.RATE_2=0,"",IFERROR(IF(CURRENCY.FORMAT_2=0,CONCATENATE(TEXT(FIXED(ROUND(IF(EXC.RATE.SWITCH=1,C856*(1-I856)*(1-ADD.DISCOUNT)*(1+MAT.SURCHARGE)/EXC.RATE_2,C856*(1-I856)*(1-ADD.DISCOUNT)*(1+MAT.SURCHARGE)*EXC.RATE_2),CURRENCY.FORMAT_2),CURRENCY.FORMAT_2,1),"# ##0;-# ##0"),",-"),FIXED(ROUND(IF(EXC.RATE.SWITCH=1,C856*(1-I856)*(1-ADD.DISCOUNT)*(1+MAT.SURCHARGE)/EXC.RATE_2,C856*(1-I856)*(1-ADD.DISCOUNT)*(1+MAT.SURCHARGE)*EXC.RATE_2),CURRENCY.FORMAT_2),CURRENCY.FORMAT_2,0)),'DICTIONARY-5'!$A$2))</f>
        <v/>
      </c>
      <c r="N856" s="543">
        <v>3</v>
      </c>
      <c r="O856" s="543"/>
      <c r="P856" s="731" t="str">
        <f>'DICTIONARY-3'!$A$40</f>
        <v>NOVA 284</v>
      </c>
      <c r="Q856" s="732" t="str">
        <f>'DICTIONARY-3'!$A$194</f>
        <v>Hydrant nadziemny</v>
      </c>
      <c r="R856" s="732" t="str">
        <f>CONCATENATE('DICTIONARY-3'!$A$40," ",'DICTIONARY-6'!$A$11," ",'DICTIONARY-2'!$A$2,"100"," ",'DICTIONARY-2'!$A$3,"10/16"," ",'DICTIONARY-2'!$A$7,"1,5m 2xB+1xA")</f>
        <v>NOVA 284 Hydr. nadz. DN100 PN10/16 Rd1,5m 2xB+1xA</v>
      </c>
      <c r="S856" s="733" t="s">
        <v>5569</v>
      </c>
      <c r="T856" s="732" t="s">
        <v>5569</v>
      </c>
      <c r="U856" s="734" t="s">
        <v>5749</v>
      </c>
      <c r="V856" s="735">
        <v>16</v>
      </c>
      <c r="W856" s="736"/>
      <c r="X856" s="737"/>
      <c r="Y856" s="745" t="s">
        <v>5654</v>
      </c>
      <c r="Z856" s="747"/>
      <c r="AA856" s="747"/>
      <c r="AB856" s="740">
        <v>16</v>
      </c>
      <c r="AC856" s="741"/>
      <c r="AD856" s="741" t="str">
        <f>'DICTIONARY-5'!$A$13</f>
        <v>woda pitna</v>
      </c>
      <c r="AE856" s="742">
        <v>50</v>
      </c>
      <c r="AF856" s="743">
        <v>111.5</v>
      </c>
      <c r="AG856" s="741" t="str">
        <f>'DICTIONARY-5'!$A$23&amp;" + "&amp;'DICTIONARY-5'!$A$25</f>
        <v>powłoka epoksydowa + poliester</v>
      </c>
    </row>
    <row r="857" spans="1:33" x14ac:dyDescent="0.25">
      <c r="A857" s="851" t="s">
        <v>780</v>
      </c>
      <c r="B857" s="851" t="s">
        <v>4251</v>
      </c>
      <c r="C857" s="836">
        <v>2441</v>
      </c>
      <c r="D857" s="836"/>
      <c r="E857" s="836"/>
      <c r="F857" s="836"/>
      <c r="G857" s="496" t="s">
        <v>7802</v>
      </c>
      <c r="H857" s="797" t="str">
        <f>VLOOKUP(G857,SETTINGS!$B$7:$D$97,2,0)</f>
        <v>NOVA 284</v>
      </c>
      <c r="I857" s="796">
        <f>VLOOKUP(G857,SETTINGS!$B$7:$D$97,3,0)</f>
        <v>0</v>
      </c>
      <c r="J857" s="670" t="str">
        <f>IFERROR(IF(CURRENCY.FORMAT_1=0,CONCATENATE(TEXT(FIXED(ROUND((C857/EXC.RATE_1),CURRENCY.FORMAT_1),CURRENCY.FORMAT_1,1),"# ##0;-# ##0"),",-"),FIXED(ROUND((C857/EXC.RATE_1),CURRENCY.FORMAT_1),CURRENCY.FORMAT_1,0)),'DICTIONARY-5'!$A$2)</f>
        <v>2 441,-</v>
      </c>
      <c r="K857" s="670" t="str">
        <f>IF(EXC.RATE_2=0,"",IFERROR(IF(CURRENCY.FORMAT_2=0,CONCATENATE(TEXT(FIXED(ROUND(IF(EXC.RATE.SWITCH=1,C857/EXC.RATE_2,C857*EXC.RATE_2),CURRENCY.FORMAT_2),CURRENCY.FORMAT_2,1),"# ##0;-# ##0"),",-"),FIXED(ROUND(IF(EXC.RATE.SWITCH=1,C857/EXC.RATE_2,C857*EXC.RATE_2),CURRENCY.FORMAT_2),CURRENCY.FORMAT_2,0)),'DICTIONARY-5'!$A$2))</f>
        <v/>
      </c>
      <c r="L857" s="670" t="str">
        <f>IFERROR(IF(CURRENCY.FORMAT_1=0,CONCATENATE(TEXT(FIXED(ROUND((C857*(1-I857)*(1-ADD.DISCOUNT)*(1+MAT.SURCHARGE)/EXC.RATE_1),CURRENCY.FORMAT_1),CURRENCY.FORMAT_1,1),"# ##0;-# ##0"),",-"),FIXED(ROUND((C857*(1-I857)*(1-ADD.DISCOUNT)*(1+MAT.SURCHARGE)/EXC.RATE_1),CURRENCY.FORMAT_1),CURRENCY.FORMAT_1,0)),'DICTIONARY-5'!$A$2)</f>
        <v>2 536,-</v>
      </c>
      <c r="M857" s="670" t="str">
        <f>IF(EXC.RATE_2=0,"",IFERROR(IF(CURRENCY.FORMAT_2=0,CONCATENATE(TEXT(FIXED(ROUND(IF(EXC.RATE.SWITCH=1,C857*(1-I857)*(1-ADD.DISCOUNT)*(1+MAT.SURCHARGE)/EXC.RATE_2,C857*(1-I857)*(1-ADD.DISCOUNT)*(1+MAT.SURCHARGE)*EXC.RATE_2),CURRENCY.FORMAT_2),CURRENCY.FORMAT_2,1),"# ##0;-# ##0"),",-"),FIXED(ROUND(IF(EXC.RATE.SWITCH=1,C857*(1-I857)*(1-ADD.DISCOUNT)*(1+MAT.SURCHARGE)/EXC.RATE_2,C857*(1-I857)*(1-ADD.DISCOUNT)*(1+MAT.SURCHARGE)*EXC.RATE_2),CURRENCY.FORMAT_2),CURRENCY.FORMAT_2,0)),'DICTIONARY-5'!$A$2))</f>
        <v/>
      </c>
      <c r="N857" s="543">
        <v>3</v>
      </c>
      <c r="O857" s="543"/>
      <c r="P857" s="731" t="str">
        <f>'DICTIONARY-3'!$A$40</f>
        <v>NOVA 284</v>
      </c>
      <c r="Q857" s="732" t="str">
        <f>'DICTIONARY-3'!$A$194</f>
        <v>Hydrant nadziemny</v>
      </c>
      <c r="R857" s="732" t="str">
        <f>CONCATENATE('DICTIONARY-3'!$A$40," ",'DICTIONARY-6'!$A$11," ",'DICTIONARY-2'!$A$2,"100"," ",'DICTIONARY-2'!$A$3,"10/16"," ",'DICTIONARY-2'!$A$7,"1,25m 2xB+1xA",", ",'DICTIONARY-5'!$A$117)</f>
        <v>NOVA 284 Hydr. nadz. DN100 PN10/16 Rd1,25m 2xB+1xA, płaszcz opadowy</v>
      </c>
      <c r="S857" s="733" t="s">
        <v>5569</v>
      </c>
      <c r="T857" s="732" t="s">
        <v>5569</v>
      </c>
      <c r="U857" s="734" t="s">
        <v>5749</v>
      </c>
      <c r="V857" s="735">
        <v>16</v>
      </c>
      <c r="W857" s="736"/>
      <c r="X857" s="737"/>
      <c r="Y857" s="745" t="s">
        <v>5653</v>
      </c>
      <c r="Z857" s="747"/>
      <c r="AA857" s="747"/>
      <c r="AB857" s="740">
        <v>16</v>
      </c>
      <c r="AC857" s="741"/>
      <c r="AD857" s="741" t="str">
        <f>'DICTIONARY-5'!$A$13</f>
        <v>woda pitna</v>
      </c>
      <c r="AE857" s="742">
        <v>50</v>
      </c>
      <c r="AF857" s="743">
        <v>124</v>
      </c>
      <c r="AG857" s="741" t="str">
        <f>'DICTIONARY-5'!$A$23&amp;" + "&amp;'DICTIONARY-5'!$A$25</f>
        <v>powłoka epoksydowa + poliester</v>
      </c>
    </row>
    <row r="858" spans="1:33" x14ac:dyDescent="0.25">
      <c r="A858" s="851" t="s">
        <v>782</v>
      </c>
      <c r="B858" s="851" t="s">
        <v>4252</v>
      </c>
      <c r="C858" s="836">
        <v>2716</v>
      </c>
      <c r="D858" s="836"/>
      <c r="E858" s="836"/>
      <c r="F858" s="836"/>
      <c r="G858" s="496" t="s">
        <v>7802</v>
      </c>
      <c r="H858" s="797" t="str">
        <f>VLOOKUP(G858,SETTINGS!$B$7:$D$97,2,0)</f>
        <v>NOVA 284</v>
      </c>
      <c r="I858" s="796">
        <f>VLOOKUP(G858,SETTINGS!$B$7:$D$97,3,0)</f>
        <v>0</v>
      </c>
      <c r="J858" s="670" t="str">
        <f>IFERROR(IF(CURRENCY.FORMAT_1=0,CONCATENATE(TEXT(FIXED(ROUND((C858/EXC.RATE_1),CURRENCY.FORMAT_1),CURRENCY.FORMAT_1,1),"# ##0;-# ##0"),",-"),FIXED(ROUND((C858/EXC.RATE_1),CURRENCY.FORMAT_1),CURRENCY.FORMAT_1,0)),'DICTIONARY-5'!$A$2)</f>
        <v>2 716,-</v>
      </c>
      <c r="K858" s="670" t="str">
        <f>IF(EXC.RATE_2=0,"",IFERROR(IF(CURRENCY.FORMAT_2=0,CONCATENATE(TEXT(FIXED(ROUND(IF(EXC.RATE.SWITCH=1,C858/EXC.RATE_2,C858*EXC.RATE_2),CURRENCY.FORMAT_2),CURRENCY.FORMAT_2,1),"# ##0;-# ##0"),",-"),FIXED(ROUND(IF(EXC.RATE.SWITCH=1,C858/EXC.RATE_2,C858*EXC.RATE_2),CURRENCY.FORMAT_2),CURRENCY.FORMAT_2,0)),'DICTIONARY-5'!$A$2))</f>
        <v/>
      </c>
      <c r="L858" s="670" t="str">
        <f>IFERROR(IF(CURRENCY.FORMAT_1=0,CONCATENATE(TEXT(FIXED(ROUND((C858*(1-I858)*(1-ADD.DISCOUNT)*(1+MAT.SURCHARGE)/EXC.RATE_1),CURRENCY.FORMAT_1),CURRENCY.FORMAT_1,1),"# ##0;-# ##0"),",-"),FIXED(ROUND((C858*(1-I858)*(1-ADD.DISCOUNT)*(1+MAT.SURCHARGE)/EXC.RATE_1),CURRENCY.FORMAT_1),CURRENCY.FORMAT_1,0)),'DICTIONARY-5'!$A$2)</f>
        <v>2 822,-</v>
      </c>
      <c r="M858" s="670" t="str">
        <f>IF(EXC.RATE_2=0,"",IFERROR(IF(CURRENCY.FORMAT_2=0,CONCATENATE(TEXT(FIXED(ROUND(IF(EXC.RATE.SWITCH=1,C858*(1-I858)*(1-ADD.DISCOUNT)*(1+MAT.SURCHARGE)/EXC.RATE_2,C858*(1-I858)*(1-ADD.DISCOUNT)*(1+MAT.SURCHARGE)*EXC.RATE_2),CURRENCY.FORMAT_2),CURRENCY.FORMAT_2,1),"# ##0;-# ##0"),",-"),FIXED(ROUND(IF(EXC.RATE.SWITCH=1,C858*(1-I858)*(1-ADD.DISCOUNT)*(1+MAT.SURCHARGE)/EXC.RATE_2,C858*(1-I858)*(1-ADD.DISCOUNT)*(1+MAT.SURCHARGE)*EXC.RATE_2),CURRENCY.FORMAT_2),CURRENCY.FORMAT_2,0)),'DICTIONARY-5'!$A$2))</f>
        <v/>
      </c>
      <c r="N858" s="543">
        <v>3</v>
      </c>
      <c r="O858" s="543"/>
      <c r="P858" s="731" t="str">
        <f>'DICTIONARY-3'!$A$40</f>
        <v>NOVA 284</v>
      </c>
      <c r="Q858" s="732" t="str">
        <f>'DICTIONARY-3'!$A$194</f>
        <v>Hydrant nadziemny</v>
      </c>
      <c r="R858" s="732" t="str">
        <f>CONCATENATE('DICTIONARY-3'!$A$40," ",'DICTIONARY-6'!$A$11," ",'DICTIONARY-2'!$A$2,"100"," ",'DICTIONARY-2'!$A$3,"10/16"," ",'DICTIONARY-2'!$A$7,"1,5m 2xB+1xA",", ",'DICTIONARY-5'!$A$117)</f>
        <v>NOVA 284 Hydr. nadz. DN100 PN10/16 Rd1,5m 2xB+1xA, płaszcz opadowy</v>
      </c>
      <c r="S858" s="733" t="s">
        <v>5569</v>
      </c>
      <c r="T858" s="732" t="s">
        <v>5569</v>
      </c>
      <c r="U858" s="734" t="s">
        <v>5749</v>
      </c>
      <c r="V858" s="735">
        <v>16</v>
      </c>
      <c r="W858" s="736"/>
      <c r="X858" s="737"/>
      <c r="Y858" s="745" t="s">
        <v>5654</v>
      </c>
      <c r="Z858" s="747"/>
      <c r="AA858" s="747"/>
      <c r="AB858" s="740">
        <v>16</v>
      </c>
      <c r="AC858" s="741"/>
      <c r="AD858" s="741" t="str">
        <f>'DICTIONARY-5'!$A$13</f>
        <v>woda pitna</v>
      </c>
      <c r="AE858" s="742">
        <v>50</v>
      </c>
      <c r="AF858" s="743">
        <v>137</v>
      </c>
      <c r="AG858" s="741" t="str">
        <f>'DICTIONARY-5'!$A$23&amp;" + "&amp;'DICTIONARY-5'!$A$25</f>
        <v>powłoka epoksydowa + poliester</v>
      </c>
    </row>
    <row r="859" spans="1:33" x14ac:dyDescent="0.25">
      <c r="A859" s="851" t="s">
        <v>806</v>
      </c>
      <c r="B859" s="851" t="s">
        <v>4263</v>
      </c>
      <c r="C859" s="836">
        <v>3195</v>
      </c>
      <c r="D859" s="836"/>
      <c r="E859" s="836"/>
      <c r="F859" s="836"/>
      <c r="G859" s="496" t="s">
        <v>7803</v>
      </c>
      <c r="H859" s="797" t="str">
        <f>VLOOKUP(G859,SETTINGS!$B$7:$D$97,2,0)</f>
        <v>UEH NOVA 150 AU/AFU</v>
      </c>
      <c r="I859" s="796">
        <f>VLOOKUP(G859,SETTINGS!$B$7:$D$97,3,0)</f>
        <v>0</v>
      </c>
      <c r="J859" s="670" t="str">
        <f>IFERROR(IF(CURRENCY.FORMAT_1=0,CONCATENATE(TEXT(FIXED(ROUND((C859/EXC.RATE_1),CURRENCY.FORMAT_1),CURRENCY.FORMAT_1,1),"# ##0;-# ##0"),",-"),FIXED(ROUND((C859/EXC.RATE_1),CURRENCY.FORMAT_1),CURRENCY.FORMAT_1,0)),'DICTIONARY-5'!$A$2)</f>
        <v>3 195,-</v>
      </c>
      <c r="K859" s="670" t="str">
        <f>IF(EXC.RATE_2=0,"",IFERROR(IF(CURRENCY.FORMAT_2=0,CONCATENATE(TEXT(FIXED(ROUND(IF(EXC.RATE.SWITCH=1,C859/EXC.RATE_2,C859*EXC.RATE_2),CURRENCY.FORMAT_2),CURRENCY.FORMAT_2,1),"# ##0;-# ##0"),",-"),FIXED(ROUND(IF(EXC.RATE.SWITCH=1,C859/EXC.RATE_2,C859*EXC.RATE_2),CURRENCY.FORMAT_2),CURRENCY.FORMAT_2,0)),'DICTIONARY-5'!$A$2))</f>
        <v/>
      </c>
      <c r="L859" s="670" t="str">
        <f>IFERROR(IF(CURRENCY.FORMAT_1=0,CONCATENATE(TEXT(FIXED(ROUND((C859*(1-I859)*(1-ADD.DISCOUNT)*(1+MAT.SURCHARGE)/EXC.RATE_1),CURRENCY.FORMAT_1),CURRENCY.FORMAT_1,1),"# ##0;-# ##0"),",-"),FIXED(ROUND((C859*(1-I859)*(1-ADD.DISCOUNT)*(1+MAT.SURCHARGE)/EXC.RATE_1),CURRENCY.FORMAT_1),CURRENCY.FORMAT_1,0)),'DICTIONARY-5'!$A$2)</f>
        <v>3 320,-</v>
      </c>
      <c r="M859" s="670" t="str">
        <f>IF(EXC.RATE_2=0,"",IFERROR(IF(CURRENCY.FORMAT_2=0,CONCATENATE(TEXT(FIXED(ROUND(IF(EXC.RATE.SWITCH=1,C859*(1-I859)*(1-ADD.DISCOUNT)*(1+MAT.SURCHARGE)/EXC.RATE_2,C859*(1-I859)*(1-ADD.DISCOUNT)*(1+MAT.SURCHARGE)*EXC.RATE_2),CURRENCY.FORMAT_2),CURRENCY.FORMAT_2,1),"# ##0;-# ##0"),",-"),FIXED(ROUND(IF(EXC.RATE.SWITCH=1,C859*(1-I859)*(1-ADD.DISCOUNT)*(1+MAT.SURCHARGE)/EXC.RATE_2,C859*(1-I859)*(1-ADD.DISCOUNT)*(1+MAT.SURCHARGE)*EXC.RATE_2),CURRENCY.FORMAT_2),CURRENCY.FORMAT_2,0)),'DICTIONARY-5'!$A$2))</f>
        <v/>
      </c>
      <c r="N859" s="543">
        <v>3</v>
      </c>
      <c r="O859" s="543"/>
      <c r="P859" s="731" t="str">
        <f>'DICTIONARY-3'!$A$41</f>
        <v>NOVA 150</v>
      </c>
      <c r="Q859" s="732" t="str">
        <f>'DICTIONARY-3'!$A$194</f>
        <v>Hydrant nadziemny</v>
      </c>
      <c r="R859" s="732" t="str">
        <f>CONCATENATE('DICTIONARY-3'!$A$41," ",'DICTIONARY-6'!$A$11," ",'DICTIONARY-2'!$A$2,"150"," ",'DICTIONARY-2'!$A$3,"10/16"," ",'DICTIONARY-2'!$A$7,"1,25m 2xB+2xA")</f>
        <v>NOVA 150 Hydr. nadz. DN150 PN10/16 Rd1,25m 2xB+2xA</v>
      </c>
      <c r="S859" s="733" t="s">
        <v>5569</v>
      </c>
      <c r="T859" s="732" t="s">
        <v>5569</v>
      </c>
      <c r="U859" s="734" t="s">
        <v>5572</v>
      </c>
      <c r="V859" s="735">
        <v>16</v>
      </c>
      <c r="W859" s="736"/>
      <c r="X859" s="737"/>
      <c r="Y859" s="745" t="s">
        <v>5653</v>
      </c>
      <c r="Z859" s="747"/>
      <c r="AA859" s="747"/>
      <c r="AB859" s="740">
        <v>16</v>
      </c>
      <c r="AC859" s="741"/>
      <c r="AD859" s="741" t="str">
        <f>'DICTIONARY-5'!$A$13</f>
        <v>woda pitna</v>
      </c>
      <c r="AE859" s="742">
        <v>50</v>
      </c>
      <c r="AF859" s="743">
        <v>149</v>
      </c>
      <c r="AG859" s="741" t="str">
        <f>'DICTIONARY-5'!$A$23&amp;" + "&amp;'DICTIONARY-5'!$A$25</f>
        <v>powłoka epoksydowa + poliester</v>
      </c>
    </row>
    <row r="860" spans="1:33" x14ac:dyDescent="0.25">
      <c r="A860" s="851" t="s">
        <v>808</v>
      </c>
      <c r="B860" s="851" t="s">
        <v>4264</v>
      </c>
      <c r="C860" s="836">
        <v>3323</v>
      </c>
      <c r="D860" s="836"/>
      <c r="E860" s="836"/>
      <c r="F860" s="836"/>
      <c r="G860" s="496" t="s">
        <v>7803</v>
      </c>
      <c r="H860" s="797" t="str">
        <f>VLOOKUP(G860,SETTINGS!$B$7:$D$97,2,0)</f>
        <v>UEH NOVA 150 AU/AFU</v>
      </c>
      <c r="I860" s="796">
        <f>VLOOKUP(G860,SETTINGS!$B$7:$D$97,3,0)</f>
        <v>0</v>
      </c>
      <c r="J860" s="670" t="str">
        <f>IFERROR(IF(CURRENCY.FORMAT_1=0,CONCATENATE(TEXT(FIXED(ROUND((C860/EXC.RATE_1),CURRENCY.FORMAT_1),CURRENCY.FORMAT_1,1),"# ##0;-# ##0"),",-"),FIXED(ROUND((C860/EXC.RATE_1),CURRENCY.FORMAT_1),CURRENCY.FORMAT_1,0)),'DICTIONARY-5'!$A$2)</f>
        <v>3 323,-</v>
      </c>
      <c r="K860" s="670" t="str">
        <f>IF(EXC.RATE_2=0,"",IFERROR(IF(CURRENCY.FORMAT_2=0,CONCATENATE(TEXT(FIXED(ROUND(IF(EXC.RATE.SWITCH=1,C860/EXC.RATE_2,C860*EXC.RATE_2),CURRENCY.FORMAT_2),CURRENCY.FORMAT_2,1),"# ##0;-# ##0"),",-"),FIXED(ROUND(IF(EXC.RATE.SWITCH=1,C860/EXC.RATE_2,C860*EXC.RATE_2),CURRENCY.FORMAT_2),CURRENCY.FORMAT_2,0)),'DICTIONARY-5'!$A$2))</f>
        <v/>
      </c>
      <c r="L860" s="670" t="str">
        <f>IFERROR(IF(CURRENCY.FORMAT_1=0,CONCATENATE(TEXT(FIXED(ROUND((C860*(1-I860)*(1-ADD.DISCOUNT)*(1+MAT.SURCHARGE)/EXC.RATE_1),CURRENCY.FORMAT_1),CURRENCY.FORMAT_1,1),"# ##0;-# ##0"),",-"),FIXED(ROUND((C860*(1-I860)*(1-ADD.DISCOUNT)*(1+MAT.SURCHARGE)/EXC.RATE_1),CURRENCY.FORMAT_1),CURRENCY.FORMAT_1,0)),'DICTIONARY-5'!$A$2)</f>
        <v>3 453,-</v>
      </c>
      <c r="M860" s="670" t="str">
        <f>IF(EXC.RATE_2=0,"",IFERROR(IF(CURRENCY.FORMAT_2=0,CONCATENATE(TEXT(FIXED(ROUND(IF(EXC.RATE.SWITCH=1,C860*(1-I860)*(1-ADD.DISCOUNT)*(1+MAT.SURCHARGE)/EXC.RATE_2,C860*(1-I860)*(1-ADD.DISCOUNT)*(1+MAT.SURCHARGE)*EXC.RATE_2),CURRENCY.FORMAT_2),CURRENCY.FORMAT_2,1),"# ##0;-# ##0"),",-"),FIXED(ROUND(IF(EXC.RATE.SWITCH=1,C860*(1-I860)*(1-ADD.DISCOUNT)*(1+MAT.SURCHARGE)/EXC.RATE_2,C860*(1-I860)*(1-ADD.DISCOUNT)*(1+MAT.SURCHARGE)*EXC.RATE_2),CURRENCY.FORMAT_2),CURRENCY.FORMAT_2,0)),'DICTIONARY-5'!$A$2))</f>
        <v/>
      </c>
      <c r="N860" s="543">
        <v>3</v>
      </c>
      <c r="O860" s="543"/>
      <c r="P860" s="731" t="str">
        <f>'DICTIONARY-3'!$A$41</f>
        <v>NOVA 150</v>
      </c>
      <c r="Q860" s="732" t="str">
        <f>'DICTIONARY-3'!$A$194</f>
        <v>Hydrant nadziemny</v>
      </c>
      <c r="R860" s="732" t="str">
        <f>CONCATENATE('DICTIONARY-3'!$A$41," ",'DICTIONARY-6'!$A$11," ",'DICTIONARY-2'!$A$2,"150"," ",'DICTIONARY-2'!$A$3,"10/16"," ",'DICTIONARY-2'!$A$7,"1,5m 2xB+2xA")</f>
        <v>NOVA 150 Hydr. nadz. DN150 PN10/16 Rd1,5m 2xB+2xA</v>
      </c>
      <c r="S860" s="733" t="s">
        <v>5569</v>
      </c>
      <c r="T860" s="732" t="s">
        <v>5569</v>
      </c>
      <c r="U860" s="734" t="s">
        <v>5572</v>
      </c>
      <c r="V860" s="735">
        <v>16</v>
      </c>
      <c r="W860" s="736"/>
      <c r="X860" s="737"/>
      <c r="Y860" s="745" t="s">
        <v>5654</v>
      </c>
      <c r="Z860" s="747"/>
      <c r="AA860" s="747"/>
      <c r="AB860" s="740">
        <v>16</v>
      </c>
      <c r="AC860" s="741"/>
      <c r="AD860" s="741" t="str">
        <f>'DICTIONARY-5'!$A$13</f>
        <v>woda pitna</v>
      </c>
      <c r="AE860" s="742">
        <v>50</v>
      </c>
      <c r="AF860" s="743">
        <v>161</v>
      </c>
      <c r="AG860" s="741" t="str">
        <f>'DICTIONARY-5'!$A$23&amp;" + "&amp;'DICTIONARY-5'!$A$25</f>
        <v>powłoka epoksydowa + poliester</v>
      </c>
    </row>
    <row r="861" spans="1:33" x14ac:dyDescent="0.25">
      <c r="A861" s="851" t="s">
        <v>807</v>
      </c>
      <c r="B861" s="851" t="s">
        <v>4265</v>
      </c>
      <c r="C861" s="836">
        <v>3841</v>
      </c>
      <c r="D861" s="836"/>
      <c r="E861" s="836"/>
      <c r="F861" s="836"/>
      <c r="G861" s="496" t="s">
        <v>7803</v>
      </c>
      <c r="H861" s="797" t="str">
        <f>VLOOKUP(G861,SETTINGS!$B$7:$D$97,2,0)</f>
        <v>UEH NOVA 150 AU/AFU</v>
      </c>
      <c r="I861" s="796">
        <f>VLOOKUP(G861,SETTINGS!$B$7:$D$97,3,0)</f>
        <v>0</v>
      </c>
      <c r="J861" s="670" t="str">
        <f>IFERROR(IF(CURRENCY.FORMAT_1=0,CONCATENATE(TEXT(FIXED(ROUND((C861/EXC.RATE_1),CURRENCY.FORMAT_1),CURRENCY.FORMAT_1,1),"# ##0;-# ##0"),",-"),FIXED(ROUND((C861/EXC.RATE_1),CURRENCY.FORMAT_1),CURRENCY.FORMAT_1,0)),'DICTIONARY-5'!$A$2)</f>
        <v>3 841,-</v>
      </c>
      <c r="K861" s="670" t="str">
        <f>IF(EXC.RATE_2=0,"",IFERROR(IF(CURRENCY.FORMAT_2=0,CONCATENATE(TEXT(FIXED(ROUND(IF(EXC.RATE.SWITCH=1,C861/EXC.RATE_2,C861*EXC.RATE_2),CURRENCY.FORMAT_2),CURRENCY.FORMAT_2,1),"# ##0;-# ##0"),",-"),FIXED(ROUND(IF(EXC.RATE.SWITCH=1,C861/EXC.RATE_2,C861*EXC.RATE_2),CURRENCY.FORMAT_2),CURRENCY.FORMAT_2,0)),'DICTIONARY-5'!$A$2))</f>
        <v/>
      </c>
      <c r="L861" s="670" t="str">
        <f>IFERROR(IF(CURRENCY.FORMAT_1=0,CONCATENATE(TEXT(FIXED(ROUND((C861*(1-I861)*(1-ADD.DISCOUNT)*(1+MAT.SURCHARGE)/EXC.RATE_1),CURRENCY.FORMAT_1),CURRENCY.FORMAT_1,1),"# ##0;-# ##0"),",-"),FIXED(ROUND((C861*(1-I861)*(1-ADD.DISCOUNT)*(1+MAT.SURCHARGE)/EXC.RATE_1),CURRENCY.FORMAT_1),CURRENCY.FORMAT_1,0)),'DICTIONARY-5'!$A$2)</f>
        <v>3 991,-</v>
      </c>
      <c r="M861" s="670" t="str">
        <f>IF(EXC.RATE_2=0,"",IFERROR(IF(CURRENCY.FORMAT_2=0,CONCATENATE(TEXT(FIXED(ROUND(IF(EXC.RATE.SWITCH=1,C861*(1-I861)*(1-ADD.DISCOUNT)*(1+MAT.SURCHARGE)/EXC.RATE_2,C861*(1-I861)*(1-ADD.DISCOUNT)*(1+MAT.SURCHARGE)*EXC.RATE_2),CURRENCY.FORMAT_2),CURRENCY.FORMAT_2,1),"# ##0;-# ##0"),",-"),FIXED(ROUND(IF(EXC.RATE.SWITCH=1,C861*(1-I861)*(1-ADD.DISCOUNT)*(1+MAT.SURCHARGE)/EXC.RATE_2,C861*(1-I861)*(1-ADD.DISCOUNT)*(1+MAT.SURCHARGE)*EXC.RATE_2),CURRENCY.FORMAT_2),CURRENCY.FORMAT_2,0)),'DICTIONARY-5'!$A$2))</f>
        <v/>
      </c>
      <c r="N861" s="543">
        <v>3</v>
      </c>
      <c r="O861" s="543"/>
      <c r="P861" s="731" t="str">
        <f>'DICTIONARY-3'!$A$41</f>
        <v>NOVA 150</v>
      </c>
      <c r="Q861" s="732" t="str">
        <f>'DICTIONARY-3'!$A$194</f>
        <v>Hydrant nadziemny</v>
      </c>
      <c r="R861" s="732" t="str">
        <f>CONCATENATE('DICTIONARY-3'!$A$41," ",'DICTIONARY-6'!$A$11," ",'DICTIONARY-2'!$A$2,"150"," ",'DICTIONARY-2'!$A$3,"10/16"," ",'DICTIONARY-2'!$A$7,"1,25m 2xB+2xA",", ",'DICTIONARY-5'!$A$117)</f>
        <v>NOVA 150 Hydr. nadz. DN150 PN10/16 Rd1,25m 2xB+2xA, płaszcz opadowy</v>
      </c>
      <c r="S861" s="733" t="s">
        <v>5569</v>
      </c>
      <c r="T861" s="732" t="s">
        <v>5569</v>
      </c>
      <c r="U861" s="734" t="s">
        <v>5572</v>
      </c>
      <c r="V861" s="735">
        <v>16</v>
      </c>
      <c r="W861" s="736"/>
      <c r="X861" s="737"/>
      <c r="Y861" s="745" t="s">
        <v>5653</v>
      </c>
      <c r="Z861" s="747"/>
      <c r="AA861" s="747"/>
      <c r="AB861" s="740">
        <v>16</v>
      </c>
      <c r="AC861" s="741"/>
      <c r="AD861" s="741" t="str">
        <f>'DICTIONARY-5'!$A$13</f>
        <v>woda pitna</v>
      </c>
      <c r="AE861" s="742">
        <v>50</v>
      </c>
      <c r="AF861" s="743">
        <v>168</v>
      </c>
      <c r="AG861" s="741" t="str">
        <f>'DICTIONARY-5'!$A$23&amp;" + "&amp;'DICTIONARY-5'!$A$25</f>
        <v>powłoka epoksydowa + poliester</v>
      </c>
    </row>
    <row r="862" spans="1:33" x14ac:dyDescent="0.25">
      <c r="A862" s="851" t="s">
        <v>809</v>
      </c>
      <c r="B862" s="851" t="s">
        <v>4266</v>
      </c>
      <c r="C862" s="836">
        <v>3970</v>
      </c>
      <c r="D862" s="836"/>
      <c r="E862" s="836"/>
      <c r="F862" s="836"/>
      <c r="G862" s="496" t="s">
        <v>7803</v>
      </c>
      <c r="H862" s="797" t="str">
        <f>VLOOKUP(G862,SETTINGS!$B$7:$D$97,2,0)</f>
        <v>UEH NOVA 150 AU/AFU</v>
      </c>
      <c r="I862" s="796">
        <f>VLOOKUP(G862,SETTINGS!$B$7:$D$97,3,0)</f>
        <v>0</v>
      </c>
      <c r="J862" s="670" t="str">
        <f>IFERROR(IF(CURRENCY.FORMAT_1=0,CONCATENATE(TEXT(FIXED(ROUND((C862/EXC.RATE_1),CURRENCY.FORMAT_1),CURRENCY.FORMAT_1,1),"# ##0;-# ##0"),",-"),FIXED(ROUND((C862/EXC.RATE_1),CURRENCY.FORMAT_1),CURRENCY.FORMAT_1,0)),'DICTIONARY-5'!$A$2)</f>
        <v>3 970,-</v>
      </c>
      <c r="K862" s="670" t="str">
        <f>IF(EXC.RATE_2=0,"",IFERROR(IF(CURRENCY.FORMAT_2=0,CONCATENATE(TEXT(FIXED(ROUND(IF(EXC.RATE.SWITCH=1,C862/EXC.RATE_2,C862*EXC.RATE_2),CURRENCY.FORMAT_2),CURRENCY.FORMAT_2,1),"# ##0;-# ##0"),",-"),FIXED(ROUND(IF(EXC.RATE.SWITCH=1,C862/EXC.RATE_2,C862*EXC.RATE_2),CURRENCY.FORMAT_2),CURRENCY.FORMAT_2,0)),'DICTIONARY-5'!$A$2))</f>
        <v/>
      </c>
      <c r="L862" s="670" t="str">
        <f>IFERROR(IF(CURRENCY.FORMAT_1=0,CONCATENATE(TEXT(FIXED(ROUND((C862*(1-I862)*(1-ADD.DISCOUNT)*(1+MAT.SURCHARGE)/EXC.RATE_1),CURRENCY.FORMAT_1),CURRENCY.FORMAT_1,1),"# ##0;-# ##0"),",-"),FIXED(ROUND((C862*(1-I862)*(1-ADD.DISCOUNT)*(1+MAT.SURCHARGE)/EXC.RATE_1),CURRENCY.FORMAT_1),CURRENCY.FORMAT_1,0)),'DICTIONARY-5'!$A$2)</f>
        <v>4 125,-</v>
      </c>
      <c r="M862" s="670" t="str">
        <f>IF(EXC.RATE_2=0,"",IFERROR(IF(CURRENCY.FORMAT_2=0,CONCATENATE(TEXT(FIXED(ROUND(IF(EXC.RATE.SWITCH=1,C862*(1-I862)*(1-ADD.DISCOUNT)*(1+MAT.SURCHARGE)/EXC.RATE_2,C862*(1-I862)*(1-ADD.DISCOUNT)*(1+MAT.SURCHARGE)*EXC.RATE_2),CURRENCY.FORMAT_2),CURRENCY.FORMAT_2,1),"# ##0;-# ##0"),",-"),FIXED(ROUND(IF(EXC.RATE.SWITCH=1,C862*(1-I862)*(1-ADD.DISCOUNT)*(1+MAT.SURCHARGE)/EXC.RATE_2,C862*(1-I862)*(1-ADD.DISCOUNT)*(1+MAT.SURCHARGE)*EXC.RATE_2),CURRENCY.FORMAT_2),CURRENCY.FORMAT_2,0)),'DICTIONARY-5'!$A$2))</f>
        <v/>
      </c>
      <c r="N862" s="543">
        <v>3</v>
      </c>
      <c r="O862" s="543"/>
      <c r="P862" s="731" t="str">
        <f>'DICTIONARY-3'!$A$41</f>
        <v>NOVA 150</v>
      </c>
      <c r="Q862" s="732" t="str">
        <f>'DICTIONARY-3'!$A$194</f>
        <v>Hydrant nadziemny</v>
      </c>
      <c r="R862" s="732" t="str">
        <f>CONCATENATE('DICTIONARY-3'!$A$41," ",'DICTIONARY-6'!$A$11," ",'DICTIONARY-2'!$A$2,"150"," ",'DICTIONARY-2'!$A$3,"10/16"," ",'DICTIONARY-2'!$A$7,"1,5m 2xB+2xA",", ",'DICTIONARY-5'!$A$117)</f>
        <v>NOVA 150 Hydr. nadz. DN150 PN10/16 Rd1,5m 2xB+2xA, płaszcz opadowy</v>
      </c>
      <c r="S862" s="733" t="s">
        <v>5569</v>
      </c>
      <c r="T862" s="732" t="s">
        <v>5569</v>
      </c>
      <c r="U862" s="734" t="s">
        <v>5572</v>
      </c>
      <c r="V862" s="735">
        <v>16</v>
      </c>
      <c r="W862" s="736"/>
      <c r="X862" s="737"/>
      <c r="Y862" s="745" t="s">
        <v>5654</v>
      </c>
      <c r="Z862" s="747"/>
      <c r="AA862" s="747"/>
      <c r="AB862" s="740">
        <v>16</v>
      </c>
      <c r="AC862" s="741"/>
      <c r="AD862" s="741" t="str">
        <f>'DICTIONARY-5'!$A$13</f>
        <v>woda pitna</v>
      </c>
      <c r="AE862" s="742">
        <v>50</v>
      </c>
      <c r="AF862" s="743">
        <v>182.5</v>
      </c>
      <c r="AG862" s="741" t="str">
        <f>'DICTIONARY-5'!$A$23&amp;" + "&amp;'DICTIONARY-5'!$A$25</f>
        <v>powłoka epoksydowa + poliester</v>
      </c>
    </row>
    <row r="863" spans="1:33" x14ac:dyDescent="0.25">
      <c r="A863" s="851" t="s">
        <v>784</v>
      </c>
      <c r="B863" s="851" t="s">
        <v>4253</v>
      </c>
      <c r="C863" s="836">
        <v>1633</v>
      </c>
      <c r="D863" s="836"/>
      <c r="E863" s="836"/>
      <c r="F863" s="836"/>
      <c r="G863" s="496" t="s">
        <v>7804</v>
      </c>
      <c r="H863" s="797" t="str">
        <f>VLOOKUP(G863,SETTINGS!$B$7:$D$97,2,0)</f>
        <v>NOVA 1885</v>
      </c>
      <c r="I863" s="796">
        <f>VLOOKUP(G863,SETTINGS!$B$7:$D$97,3,0)</f>
        <v>0</v>
      </c>
      <c r="J863" s="670" t="str">
        <f>IFERROR(IF(CURRENCY.FORMAT_1=0,CONCATENATE(TEXT(FIXED(ROUND((C863/EXC.RATE_1),CURRENCY.FORMAT_1),CURRENCY.FORMAT_1,1),"# ##0;-# ##0"),",-"),FIXED(ROUND((C863/EXC.RATE_1),CURRENCY.FORMAT_1),CURRENCY.FORMAT_1,0)),'DICTIONARY-5'!$A$2)</f>
        <v>1 633,-</v>
      </c>
      <c r="K863" s="670" t="str">
        <f>IF(EXC.RATE_2=0,"",IFERROR(IF(CURRENCY.FORMAT_2=0,CONCATENATE(TEXT(FIXED(ROUND(IF(EXC.RATE.SWITCH=1,C863/EXC.RATE_2,C863*EXC.RATE_2),CURRENCY.FORMAT_2),CURRENCY.FORMAT_2,1),"# ##0;-# ##0"),",-"),FIXED(ROUND(IF(EXC.RATE.SWITCH=1,C863/EXC.RATE_2,C863*EXC.RATE_2),CURRENCY.FORMAT_2),CURRENCY.FORMAT_2,0)),'DICTIONARY-5'!$A$2))</f>
        <v/>
      </c>
      <c r="L863" s="670" t="str">
        <f>IFERROR(IF(CURRENCY.FORMAT_1=0,CONCATENATE(TEXT(FIXED(ROUND((C863*(1-I863)*(1-ADD.DISCOUNT)*(1+MAT.SURCHARGE)/EXC.RATE_1),CURRENCY.FORMAT_1),CURRENCY.FORMAT_1,1),"# ##0;-# ##0"),",-"),FIXED(ROUND((C863*(1-I863)*(1-ADD.DISCOUNT)*(1+MAT.SURCHARGE)/EXC.RATE_1),CURRENCY.FORMAT_1),CURRENCY.FORMAT_1,0)),'DICTIONARY-5'!$A$2)</f>
        <v>1 697,-</v>
      </c>
      <c r="M863" s="670" t="str">
        <f>IF(EXC.RATE_2=0,"",IFERROR(IF(CURRENCY.FORMAT_2=0,CONCATENATE(TEXT(FIXED(ROUND(IF(EXC.RATE.SWITCH=1,C863*(1-I863)*(1-ADD.DISCOUNT)*(1+MAT.SURCHARGE)/EXC.RATE_2,C863*(1-I863)*(1-ADD.DISCOUNT)*(1+MAT.SURCHARGE)*EXC.RATE_2),CURRENCY.FORMAT_2),CURRENCY.FORMAT_2,1),"# ##0;-# ##0"),",-"),FIXED(ROUND(IF(EXC.RATE.SWITCH=1,C863*(1-I863)*(1-ADD.DISCOUNT)*(1+MAT.SURCHARGE)/EXC.RATE_2,C863*(1-I863)*(1-ADD.DISCOUNT)*(1+MAT.SURCHARGE)*EXC.RATE_2),CURRENCY.FORMAT_2),CURRENCY.FORMAT_2,0)),'DICTIONARY-5'!$A$2))</f>
        <v/>
      </c>
      <c r="N863" s="543">
        <v>3</v>
      </c>
      <c r="O863" s="543"/>
      <c r="P863" s="731" t="str">
        <f>'DICTIONARY-3'!$A$42</f>
        <v>NOVA 1885</v>
      </c>
      <c r="Q863" s="732" t="str">
        <f>'DICTIONARY-3'!$A$194</f>
        <v>Hydrant nadziemny</v>
      </c>
      <c r="R863" s="732" t="str">
        <f>CONCATENATE('DICTIONARY-3'!$A$42," ",'DICTIONARY-6'!$A$11," ",'DICTIONARY-2'!$A$2,"80"," ",'DICTIONARY-2'!$A$3,"10/16"," ",'DICTIONARY-2'!$A$7,"1,0m 2xB"," ",'DICTIONARY-5'!$A$190)</f>
        <v>NOVA 1885 Hydr. nadz. DN80 PN10/16 Rd1,0m 2xB RAL7021</v>
      </c>
      <c r="S863" s="733" t="s">
        <v>5569</v>
      </c>
      <c r="T863" s="732" t="s">
        <v>5569</v>
      </c>
      <c r="U863" s="734" t="s">
        <v>5760</v>
      </c>
      <c r="V863" s="735">
        <v>16</v>
      </c>
      <c r="W863" s="736"/>
      <c r="X863" s="737"/>
      <c r="Y863" s="745" t="s">
        <v>5652</v>
      </c>
      <c r="Z863" s="747"/>
      <c r="AA863" s="747"/>
      <c r="AB863" s="740">
        <v>16</v>
      </c>
      <c r="AC863" s="741"/>
      <c r="AD863" s="741" t="str">
        <f>'DICTIONARY-5'!$A$13</f>
        <v>woda pitna</v>
      </c>
      <c r="AE863" s="742">
        <v>50</v>
      </c>
      <c r="AF863" s="743">
        <v>80</v>
      </c>
      <c r="AG863" s="741" t="str">
        <f>'DICTIONARY-5'!$A$23&amp;" + "&amp;'DICTIONARY-5'!$A$25</f>
        <v>powłoka epoksydowa + poliester</v>
      </c>
    </row>
    <row r="864" spans="1:33" x14ac:dyDescent="0.25">
      <c r="A864" s="851" t="s">
        <v>785</v>
      </c>
      <c r="B864" s="851" t="s">
        <v>4254</v>
      </c>
      <c r="C864" s="836">
        <v>1670</v>
      </c>
      <c r="D864" s="836"/>
      <c r="E864" s="836"/>
      <c r="F864" s="836"/>
      <c r="G864" s="496" t="s">
        <v>7804</v>
      </c>
      <c r="H864" s="797" t="str">
        <f>VLOOKUP(G864,SETTINGS!$B$7:$D$97,2,0)</f>
        <v>NOVA 1885</v>
      </c>
      <c r="I864" s="796">
        <f>VLOOKUP(G864,SETTINGS!$B$7:$D$97,3,0)</f>
        <v>0</v>
      </c>
      <c r="J864" s="670" t="str">
        <f>IFERROR(IF(CURRENCY.FORMAT_1=0,CONCATENATE(TEXT(FIXED(ROUND((C864/EXC.RATE_1),CURRENCY.FORMAT_1),CURRENCY.FORMAT_1,1),"# ##0;-# ##0"),",-"),FIXED(ROUND((C864/EXC.RATE_1),CURRENCY.FORMAT_1),CURRENCY.FORMAT_1,0)),'DICTIONARY-5'!$A$2)</f>
        <v>1 670,-</v>
      </c>
      <c r="K864" s="670" t="str">
        <f>IF(EXC.RATE_2=0,"",IFERROR(IF(CURRENCY.FORMAT_2=0,CONCATENATE(TEXT(FIXED(ROUND(IF(EXC.RATE.SWITCH=1,C864/EXC.RATE_2,C864*EXC.RATE_2),CURRENCY.FORMAT_2),CURRENCY.FORMAT_2,1),"# ##0;-# ##0"),",-"),FIXED(ROUND(IF(EXC.RATE.SWITCH=1,C864/EXC.RATE_2,C864*EXC.RATE_2),CURRENCY.FORMAT_2),CURRENCY.FORMAT_2,0)),'DICTIONARY-5'!$A$2))</f>
        <v/>
      </c>
      <c r="L864" s="670" t="str">
        <f>IFERROR(IF(CURRENCY.FORMAT_1=0,CONCATENATE(TEXT(FIXED(ROUND((C864*(1-I864)*(1-ADD.DISCOUNT)*(1+MAT.SURCHARGE)/EXC.RATE_1),CURRENCY.FORMAT_1),CURRENCY.FORMAT_1,1),"# ##0;-# ##0"),",-"),FIXED(ROUND((C864*(1-I864)*(1-ADD.DISCOUNT)*(1+MAT.SURCHARGE)/EXC.RATE_1),CURRENCY.FORMAT_1),CURRENCY.FORMAT_1,0)),'DICTIONARY-5'!$A$2)</f>
        <v>1 735,-</v>
      </c>
      <c r="M864" s="670" t="str">
        <f>IF(EXC.RATE_2=0,"",IFERROR(IF(CURRENCY.FORMAT_2=0,CONCATENATE(TEXT(FIXED(ROUND(IF(EXC.RATE.SWITCH=1,C864*(1-I864)*(1-ADD.DISCOUNT)*(1+MAT.SURCHARGE)/EXC.RATE_2,C864*(1-I864)*(1-ADD.DISCOUNT)*(1+MAT.SURCHARGE)*EXC.RATE_2),CURRENCY.FORMAT_2),CURRENCY.FORMAT_2,1),"# ##0;-# ##0"),",-"),FIXED(ROUND(IF(EXC.RATE.SWITCH=1,C864*(1-I864)*(1-ADD.DISCOUNT)*(1+MAT.SURCHARGE)/EXC.RATE_2,C864*(1-I864)*(1-ADD.DISCOUNT)*(1+MAT.SURCHARGE)*EXC.RATE_2),CURRENCY.FORMAT_2),CURRENCY.FORMAT_2,0)),'DICTIONARY-5'!$A$2))</f>
        <v/>
      </c>
      <c r="N864" s="543">
        <v>3</v>
      </c>
      <c r="O864" s="543"/>
      <c r="P864" s="731" t="str">
        <f>'DICTIONARY-3'!$A$42</f>
        <v>NOVA 1885</v>
      </c>
      <c r="Q864" s="732" t="str">
        <f>'DICTIONARY-3'!$A$194</f>
        <v>Hydrant nadziemny</v>
      </c>
      <c r="R864" s="732" t="str">
        <f>CONCATENATE('DICTIONARY-3'!$A$42," ",'DICTIONARY-6'!$A$11," ",'DICTIONARY-2'!$A$2,"80"," ",'DICTIONARY-2'!$A$3,"10/16"," ",'DICTIONARY-2'!$A$7,"1,25m 2xB"," ",'DICTIONARY-5'!$A$190)</f>
        <v>NOVA 1885 Hydr. nadz. DN80 PN10/16 Rd1,25m 2xB RAL7021</v>
      </c>
      <c r="S864" s="733" t="s">
        <v>5569</v>
      </c>
      <c r="T864" s="732" t="s">
        <v>5569</v>
      </c>
      <c r="U864" s="734" t="s">
        <v>5760</v>
      </c>
      <c r="V864" s="735">
        <v>16</v>
      </c>
      <c r="W864" s="736"/>
      <c r="X864" s="737"/>
      <c r="Y864" s="745" t="s">
        <v>5653</v>
      </c>
      <c r="Z864" s="747"/>
      <c r="AA864" s="747"/>
      <c r="AB864" s="740">
        <v>16</v>
      </c>
      <c r="AC864" s="741"/>
      <c r="AD864" s="741" t="str">
        <f>'DICTIONARY-5'!$A$13</f>
        <v>woda pitna</v>
      </c>
      <c r="AE864" s="742">
        <v>50</v>
      </c>
      <c r="AF864" s="743">
        <v>87.5</v>
      </c>
      <c r="AG864" s="741" t="str">
        <f>'DICTIONARY-5'!$A$23&amp;" + "&amp;'DICTIONARY-5'!$A$25</f>
        <v>powłoka epoksydowa + poliester</v>
      </c>
    </row>
    <row r="865" spans="1:33" x14ac:dyDescent="0.25">
      <c r="A865" s="851" t="s">
        <v>786</v>
      </c>
      <c r="B865" s="851" t="s">
        <v>4255</v>
      </c>
      <c r="C865" s="836">
        <v>1946</v>
      </c>
      <c r="D865" s="836"/>
      <c r="E865" s="836"/>
      <c r="F865" s="836"/>
      <c r="G865" s="496" t="s">
        <v>7804</v>
      </c>
      <c r="H865" s="797" t="str">
        <f>VLOOKUP(G865,SETTINGS!$B$7:$D$97,2,0)</f>
        <v>NOVA 1885</v>
      </c>
      <c r="I865" s="796">
        <f>VLOOKUP(G865,SETTINGS!$B$7:$D$97,3,0)</f>
        <v>0</v>
      </c>
      <c r="J865" s="670" t="str">
        <f>IFERROR(IF(CURRENCY.FORMAT_1=0,CONCATENATE(TEXT(FIXED(ROUND((C865/EXC.RATE_1),CURRENCY.FORMAT_1),CURRENCY.FORMAT_1,1),"# ##0;-# ##0"),",-"),FIXED(ROUND((C865/EXC.RATE_1),CURRENCY.FORMAT_1),CURRENCY.FORMAT_1,0)),'DICTIONARY-5'!$A$2)</f>
        <v>1 946,-</v>
      </c>
      <c r="K865" s="670" t="str">
        <f>IF(EXC.RATE_2=0,"",IFERROR(IF(CURRENCY.FORMAT_2=0,CONCATENATE(TEXT(FIXED(ROUND(IF(EXC.RATE.SWITCH=1,C865/EXC.RATE_2,C865*EXC.RATE_2),CURRENCY.FORMAT_2),CURRENCY.FORMAT_2,1),"# ##0;-# ##0"),",-"),FIXED(ROUND(IF(EXC.RATE.SWITCH=1,C865/EXC.RATE_2,C865*EXC.RATE_2),CURRENCY.FORMAT_2),CURRENCY.FORMAT_2,0)),'DICTIONARY-5'!$A$2))</f>
        <v/>
      </c>
      <c r="L865" s="670" t="str">
        <f>IFERROR(IF(CURRENCY.FORMAT_1=0,CONCATENATE(TEXT(FIXED(ROUND((C865*(1-I865)*(1-ADD.DISCOUNT)*(1+MAT.SURCHARGE)/EXC.RATE_1),CURRENCY.FORMAT_1),CURRENCY.FORMAT_1,1),"# ##0;-# ##0"),",-"),FIXED(ROUND((C865*(1-I865)*(1-ADD.DISCOUNT)*(1+MAT.SURCHARGE)/EXC.RATE_1),CURRENCY.FORMAT_1),CURRENCY.FORMAT_1,0)),'DICTIONARY-5'!$A$2)</f>
        <v>2 022,-</v>
      </c>
      <c r="M865" s="670" t="str">
        <f>IF(EXC.RATE_2=0,"",IFERROR(IF(CURRENCY.FORMAT_2=0,CONCATENATE(TEXT(FIXED(ROUND(IF(EXC.RATE.SWITCH=1,C865*(1-I865)*(1-ADD.DISCOUNT)*(1+MAT.SURCHARGE)/EXC.RATE_2,C865*(1-I865)*(1-ADD.DISCOUNT)*(1+MAT.SURCHARGE)*EXC.RATE_2),CURRENCY.FORMAT_2),CURRENCY.FORMAT_2,1),"# ##0;-# ##0"),",-"),FIXED(ROUND(IF(EXC.RATE.SWITCH=1,C865*(1-I865)*(1-ADD.DISCOUNT)*(1+MAT.SURCHARGE)/EXC.RATE_2,C865*(1-I865)*(1-ADD.DISCOUNT)*(1+MAT.SURCHARGE)*EXC.RATE_2),CURRENCY.FORMAT_2),CURRENCY.FORMAT_2,0)),'DICTIONARY-5'!$A$2))</f>
        <v/>
      </c>
      <c r="N865" s="543">
        <v>3</v>
      </c>
      <c r="O865" s="543"/>
      <c r="P865" s="731" t="str">
        <f>'DICTIONARY-3'!$A$42</f>
        <v>NOVA 1885</v>
      </c>
      <c r="Q865" s="732" t="str">
        <f>'DICTIONARY-3'!$A$194</f>
        <v>Hydrant nadziemny</v>
      </c>
      <c r="R865" s="732" t="str">
        <f>CONCATENATE('DICTIONARY-3'!$A$42," ",'DICTIONARY-6'!$A$11," ",'DICTIONARY-2'!$A$2,"80"," ",'DICTIONARY-2'!$A$3,"10/16"," ",'DICTIONARY-2'!$A$7,"1,5m 2xB"," ",'DICTIONARY-5'!$A$190)</f>
        <v>NOVA 1885 Hydr. nadz. DN80 PN10/16 Rd1,5m 2xB RAL7021</v>
      </c>
      <c r="S865" s="733" t="s">
        <v>5569</v>
      </c>
      <c r="T865" s="732" t="s">
        <v>5569</v>
      </c>
      <c r="U865" s="734" t="s">
        <v>5760</v>
      </c>
      <c r="V865" s="735">
        <v>16</v>
      </c>
      <c r="W865" s="736"/>
      <c r="X865" s="737"/>
      <c r="Y865" s="745" t="s">
        <v>5654</v>
      </c>
      <c r="Z865" s="747"/>
      <c r="AA865" s="747"/>
      <c r="AB865" s="740">
        <v>16</v>
      </c>
      <c r="AC865" s="741"/>
      <c r="AD865" s="741" t="str">
        <f>'DICTIONARY-5'!$A$13</f>
        <v>woda pitna</v>
      </c>
      <c r="AE865" s="742">
        <v>50</v>
      </c>
      <c r="AF865" s="743">
        <v>91.5</v>
      </c>
      <c r="AG865" s="741" t="str">
        <f>'DICTIONARY-5'!$A$23&amp;" + "&amp;'DICTIONARY-5'!$A$25</f>
        <v>powłoka epoksydowa + poliester</v>
      </c>
    </row>
    <row r="866" spans="1:33" x14ac:dyDescent="0.25">
      <c r="A866" s="851" t="s">
        <v>787</v>
      </c>
      <c r="B866" s="851" t="s">
        <v>4256</v>
      </c>
      <c r="C866" s="836">
        <v>1967</v>
      </c>
      <c r="D866" s="836"/>
      <c r="E866" s="836"/>
      <c r="F866" s="836"/>
      <c r="G866" s="496" t="s">
        <v>7804</v>
      </c>
      <c r="H866" s="797" t="str">
        <f>VLOOKUP(G866,SETTINGS!$B$7:$D$97,2,0)</f>
        <v>NOVA 1885</v>
      </c>
      <c r="I866" s="796">
        <f>VLOOKUP(G866,SETTINGS!$B$7:$D$97,3,0)</f>
        <v>0</v>
      </c>
      <c r="J866" s="670" t="str">
        <f>IFERROR(IF(CURRENCY.FORMAT_1=0,CONCATENATE(TEXT(FIXED(ROUND((C866/EXC.RATE_1),CURRENCY.FORMAT_1),CURRENCY.FORMAT_1,1),"# ##0;-# ##0"),",-"),FIXED(ROUND((C866/EXC.RATE_1),CURRENCY.FORMAT_1),CURRENCY.FORMAT_1,0)),'DICTIONARY-5'!$A$2)</f>
        <v>1 967,-</v>
      </c>
      <c r="K866" s="670" t="str">
        <f>IF(EXC.RATE_2=0,"",IFERROR(IF(CURRENCY.FORMAT_2=0,CONCATENATE(TEXT(FIXED(ROUND(IF(EXC.RATE.SWITCH=1,C866/EXC.RATE_2,C866*EXC.RATE_2),CURRENCY.FORMAT_2),CURRENCY.FORMAT_2,1),"# ##0;-# ##0"),",-"),FIXED(ROUND(IF(EXC.RATE.SWITCH=1,C866/EXC.RATE_2,C866*EXC.RATE_2),CURRENCY.FORMAT_2),CURRENCY.FORMAT_2,0)),'DICTIONARY-5'!$A$2))</f>
        <v/>
      </c>
      <c r="L866" s="670" t="str">
        <f>IFERROR(IF(CURRENCY.FORMAT_1=0,CONCATENATE(TEXT(FIXED(ROUND((C866*(1-I866)*(1-ADD.DISCOUNT)*(1+MAT.SURCHARGE)/EXC.RATE_1),CURRENCY.FORMAT_1),CURRENCY.FORMAT_1,1),"# ##0;-# ##0"),",-"),FIXED(ROUND((C866*(1-I866)*(1-ADD.DISCOUNT)*(1+MAT.SURCHARGE)/EXC.RATE_1),CURRENCY.FORMAT_1),CURRENCY.FORMAT_1,0)),'DICTIONARY-5'!$A$2)</f>
        <v>2 044,-</v>
      </c>
      <c r="M866" s="670" t="str">
        <f>IF(EXC.RATE_2=0,"",IFERROR(IF(CURRENCY.FORMAT_2=0,CONCATENATE(TEXT(FIXED(ROUND(IF(EXC.RATE.SWITCH=1,C866*(1-I866)*(1-ADD.DISCOUNT)*(1+MAT.SURCHARGE)/EXC.RATE_2,C866*(1-I866)*(1-ADD.DISCOUNT)*(1+MAT.SURCHARGE)*EXC.RATE_2),CURRENCY.FORMAT_2),CURRENCY.FORMAT_2,1),"# ##0;-# ##0"),",-"),FIXED(ROUND(IF(EXC.RATE.SWITCH=1,C866*(1-I866)*(1-ADD.DISCOUNT)*(1+MAT.SURCHARGE)/EXC.RATE_2,C866*(1-I866)*(1-ADD.DISCOUNT)*(1+MAT.SURCHARGE)*EXC.RATE_2),CURRENCY.FORMAT_2),CURRENCY.FORMAT_2,0)),'DICTIONARY-5'!$A$2))</f>
        <v/>
      </c>
      <c r="N866" s="543">
        <v>3</v>
      </c>
      <c r="O866" s="543"/>
      <c r="P866" s="731" t="str">
        <f>'DICTIONARY-3'!$A$42</f>
        <v>NOVA 1885</v>
      </c>
      <c r="Q866" s="732" t="str">
        <f>'DICTIONARY-3'!$A$194</f>
        <v>Hydrant nadziemny</v>
      </c>
      <c r="R866" s="732" t="str">
        <f>CONCATENATE('DICTIONARY-3'!$A$42," ",'DICTIONARY-6'!$A$11," ",'DICTIONARY-2'!$A$2,"100"," ",'DICTIONARY-2'!$A$3,"10/16"," ",'DICTIONARY-2'!$A$7,"1,25m 2xB+1xA"," ",'DICTIONARY-5'!$A$190)</f>
        <v>NOVA 1885 Hydr. nadz. DN100 PN10/16 Rd1,25m 2xB+1xA RAL7021</v>
      </c>
      <c r="S866" s="733" t="s">
        <v>5569</v>
      </c>
      <c r="T866" s="732" t="s">
        <v>5569</v>
      </c>
      <c r="U866" s="734" t="s">
        <v>5749</v>
      </c>
      <c r="V866" s="735">
        <v>16</v>
      </c>
      <c r="W866" s="736"/>
      <c r="X866" s="737"/>
      <c r="Y866" s="745" t="s">
        <v>5653</v>
      </c>
      <c r="Z866" s="747"/>
      <c r="AA866" s="747"/>
      <c r="AB866" s="740">
        <v>16</v>
      </c>
      <c r="AC866" s="741"/>
      <c r="AD866" s="741" t="str">
        <f>'DICTIONARY-5'!$A$13</f>
        <v>woda pitna</v>
      </c>
      <c r="AE866" s="742">
        <v>50</v>
      </c>
      <c r="AF866" s="743">
        <v>103.5</v>
      </c>
      <c r="AG866" s="741" t="str">
        <f>'DICTIONARY-5'!$A$23&amp;" + "&amp;'DICTIONARY-5'!$A$25</f>
        <v>powłoka epoksydowa + poliester</v>
      </c>
    </row>
    <row r="867" spans="1:33" x14ac:dyDescent="0.25">
      <c r="A867" s="851" t="s">
        <v>788</v>
      </c>
      <c r="B867" s="851" t="s">
        <v>4257</v>
      </c>
      <c r="C867" s="836">
        <v>2242</v>
      </c>
      <c r="D867" s="836"/>
      <c r="E867" s="836"/>
      <c r="F867" s="836"/>
      <c r="G867" s="496" t="s">
        <v>7804</v>
      </c>
      <c r="H867" s="797" t="str">
        <f>VLOOKUP(G867,SETTINGS!$B$7:$D$97,2,0)</f>
        <v>NOVA 1885</v>
      </c>
      <c r="I867" s="796">
        <f>VLOOKUP(G867,SETTINGS!$B$7:$D$97,3,0)</f>
        <v>0</v>
      </c>
      <c r="J867" s="670" t="str">
        <f>IFERROR(IF(CURRENCY.FORMAT_1=0,CONCATENATE(TEXT(FIXED(ROUND((C867/EXC.RATE_1),CURRENCY.FORMAT_1),CURRENCY.FORMAT_1,1),"# ##0;-# ##0"),",-"),FIXED(ROUND((C867/EXC.RATE_1),CURRENCY.FORMAT_1),CURRENCY.FORMAT_1,0)),'DICTIONARY-5'!$A$2)</f>
        <v>2 242,-</v>
      </c>
      <c r="K867" s="670" t="str">
        <f>IF(EXC.RATE_2=0,"",IFERROR(IF(CURRENCY.FORMAT_2=0,CONCATENATE(TEXT(FIXED(ROUND(IF(EXC.RATE.SWITCH=1,C867/EXC.RATE_2,C867*EXC.RATE_2),CURRENCY.FORMAT_2),CURRENCY.FORMAT_2,1),"# ##0;-# ##0"),",-"),FIXED(ROUND(IF(EXC.RATE.SWITCH=1,C867/EXC.RATE_2,C867*EXC.RATE_2),CURRENCY.FORMAT_2),CURRENCY.FORMAT_2,0)),'DICTIONARY-5'!$A$2))</f>
        <v/>
      </c>
      <c r="L867" s="670" t="str">
        <f>IFERROR(IF(CURRENCY.FORMAT_1=0,CONCATENATE(TEXT(FIXED(ROUND((C867*(1-I867)*(1-ADD.DISCOUNT)*(1+MAT.SURCHARGE)/EXC.RATE_1),CURRENCY.FORMAT_1),CURRENCY.FORMAT_1,1),"# ##0;-# ##0"),",-"),FIXED(ROUND((C867*(1-I867)*(1-ADD.DISCOUNT)*(1+MAT.SURCHARGE)/EXC.RATE_1),CURRENCY.FORMAT_1),CURRENCY.FORMAT_1,0)),'DICTIONARY-5'!$A$2)</f>
        <v>2 329,-</v>
      </c>
      <c r="M867" s="670" t="str">
        <f>IF(EXC.RATE_2=0,"",IFERROR(IF(CURRENCY.FORMAT_2=0,CONCATENATE(TEXT(FIXED(ROUND(IF(EXC.RATE.SWITCH=1,C867*(1-I867)*(1-ADD.DISCOUNT)*(1+MAT.SURCHARGE)/EXC.RATE_2,C867*(1-I867)*(1-ADD.DISCOUNT)*(1+MAT.SURCHARGE)*EXC.RATE_2),CURRENCY.FORMAT_2),CURRENCY.FORMAT_2,1),"# ##0;-# ##0"),",-"),FIXED(ROUND(IF(EXC.RATE.SWITCH=1,C867*(1-I867)*(1-ADD.DISCOUNT)*(1+MAT.SURCHARGE)/EXC.RATE_2,C867*(1-I867)*(1-ADD.DISCOUNT)*(1+MAT.SURCHARGE)*EXC.RATE_2),CURRENCY.FORMAT_2),CURRENCY.FORMAT_2,0)),'DICTIONARY-5'!$A$2))</f>
        <v/>
      </c>
      <c r="N867" s="543">
        <v>3</v>
      </c>
      <c r="O867" s="543"/>
      <c r="P867" s="731" t="str">
        <f>'DICTIONARY-3'!$A$42</f>
        <v>NOVA 1885</v>
      </c>
      <c r="Q867" s="732" t="str">
        <f>'DICTIONARY-3'!$A$194</f>
        <v>Hydrant nadziemny</v>
      </c>
      <c r="R867" s="732" t="str">
        <f>CONCATENATE('DICTIONARY-3'!$A$42," ",'DICTIONARY-6'!$A$11," ",'DICTIONARY-2'!$A$2,"100"," ",'DICTIONARY-2'!$A$3,"10/16"," ",'DICTIONARY-2'!$A$7,"1,5m 2xB+1xA"," ",'DICTIONARY-5'!$A$190)</f>
        <v>NOVA 1885 Hydr. nadz. DN100 PN10/16 Rd1,5m 2xB+1xA RAL7021</v>
      </c>
      <c r="S867" s="733" t="s">
        <v>5569</v>
      </c>
      <c r="T867" s="732" t="s">
        <v>5569</v>
      </c>
      <c r="U867" s="734" t="s">
        <v>5749</v>
      </c>
      <c r="V867" s="735">
        <v>16</v>
      </c>
      <c r="W867" s="736"/>
      <c r="X867" s="737"/>
      <c r="Y867" s="745" t="s">
        <v>5654</v>
      </c>
      <c r="Z867" s="747"/>
      <c r="AA867" s="747"/>
      <c r="AB867" s="740">
        <v>16</v>
      </c>
      <c r="AC867" s="741"/>
      <c r="AD867" s="741" t="str">
        <f>'DICTIONARY-5'!$A$13</f>
        <v>woda pitna</v>
      </c>
      <c r="AE867" s="742">
        <v>50</v>
      </c>
      <c r="AF867" s="743">
        <v>112.5</v>
      </c>
      <c r="AG867" s="741" t="str">
        <f>'DICTIONARY-5'!$A$23&amp;" + "&amp;'DICTIONARY-5'!$A$25</f>
        <v>powłoka epoksydowa + poliester</v>
      </c>
    </row>
    <row r="868" spans="1:33" x14ac:dyDescent="0.25">
      <c r="A868" s="851" t="s">
        <v>790</v>
      </c>
      <c r="B868" s="851" t="s">
        <v>4258</v>
      </c>
      <c r="C868" s="836">
        <v>1602</v>
      </c>
      <c r="D868" s="836"/>
      <c r="E868" s="836"/>
      <c r="F868" s="836"/>
      <c r="G868" s="496" t="s">
        <v>7805</v>
      </c>
      <c r="H868" s="797" t="str">
        <f>VLOOKUP(G868,SETTINGS!$B$7:$D$97,2,0)</f>
        <v>NOVA Niro / 365</v>
      </c>
      <c r="I868" s="796">
        <f>VLOOKUP(G868,SETTINGS!$B$7:$D$97,3,0)</f>
        <v>0</v>
      </c>
      <c r="J868" s="670" t="str">
        <f>IFERROR(IF(CURRENCY.FORMAT_1=0,CONCATENATE(TEXT(FIXED(ROUND((C868/EXC.RATE_1),CURRENCY.FORMAT_1),CURRENCY.FORMAT_1,1),"# ##0;-# ##0"),",-"),FIXED(ROUND((C868/EXC.RATE_1),CURRENCY.FORMAT_1),CURRENCY.FORMAT_1,0)),'DICTIONARY-5'!$A$2)</f>
        <v>1 602,-</v>
      </c>
      <c r="K868" s="670" t="str">
        <f>IF(EXC.RATE_2=0,"",IFERROR(IF(CURRENCY.FORMAT_2=0,CONCATENATE(TEXT(FIXED(ROUND(IF(EXC.RATE.SWITCH=1,C868/EXC.RATE_2,C868*EXC.RATE_2),CURRENCY.FORMAT_2),CURRENCY.FORMAT_2,1),"# ##0;-# ##0"),",-"),FIXED(ROUND(IF(EXC.RATE.SWITCH=1,C868/EXC.RATE_2,C868*EXC.RATE_2),CURRENCY.FORMAT_2),CURRENCY.FORMAT_2,0)),'DICTIONARY-5'!$A$2))</f>
        <v/>
      </c>
      <c r="L868" s="670" t="str">
        <f>IFERROR(IF(CURRENCY.FORMAT_1=0,CONCATENATE(TEXT(FIXED(ROUND((C868*(1-I868)*(1-ADD.DISCOUNT)*(1+MAT.SURCHARGE)/EXC.RATE_1),CURRENCY.FORMAT_1),CURRENCY.FORMAT_1,1),"# ##0;-# ##0"),",-"),FIXED(ROUND((C868*(1-I868)*(1-ADD.DISCOUNT)*(1+MAT.SURCHARGE)/EXC.RATE_1),CURRENCY.FORMAT_1),CURRENCY.FORMAT_1,0)),'DICTIONARY-5'!$A$2)</f>
        <v>1 664,-</v>
      </c>
      <c r="M868" s="670" t="str">
        <f>IF(EXC.RATE_2=0,"",IFERROR(IF(CURRENCY.FORMAT_2=0,CONCATENATE(TEXT(FIXED(ROUND(IF(EXC.RATE.SWITCH=1,C868*(1-I868)*(1-ADD.DISCOUNT)*(1+MAT.SURCHARGE)/EXC.RATE_2,C868*(1-I868)*(1-ADD.DISCOUNT)*(1+MAT.SURCHARGE)*EXC.RATE_2),CURRENCY.FORMAT_2),CURRENCY.FORMAT_2,1),"# ##0;-# ##0"),",-"),FIXED(ROUND(IF(EXC.RATE.SWITCH=1,C868*(1-I868)*(1-ADD.DISCOUNT)*(1+MAT.SURCHARGE)/EXC.RATE_2,C868*(1-I868)*(1-ADD.DISCOUNT)*(1+MAT.SURCHARGE)*EXC.RATE_2),CURRENCY.FORMAT_2),CURRENCY.FORMAT_2,0)),'DICTIONARY-5'!$A$2))</f>
        <v/>
      </c>
      <c r="N868" s="543">
        <v>3</v>
      </c>
      <c r="O868" s="543"/>
      <c r="P868" s="731" t="str">
        <f>'DICTIONARY-3'!$A$43</f>
        <v>NOVA NIRO</v>
      </c>
      <c r="Q868" s="732" t="str">
        <f>'DICTIONARY-3'!$A$194</f>
        <v>Hydrant nadziemny</v>
      </c>
      <c r="R868" s="732" t="str">
        <f>CONCATENATE('DICTIONARY-3'!$A$43," ",'DICTIONARY-6'!$A$11," ",'DICTIONARY-2'!$A$2,"80"," ",'DICTIONARY-2'!$A$3,"10/16"," ",'DICTIONARY-2'!$A$7,"1,0m 2xB")</f>
        <v>NOVA NIRO Hydr. nadz. DN80 PN10/16 Rd1,0m 2xB</v>
      </c>
      <c r="S868" s="733" t="s">
        <v>5569</v>
      </c>
      <c r="T868" s="732" t="s">
        <v>5569</v>
      </c>
      <c r="U868" s="734" t="s">
        <v>5760</v>
      </c>
      <c r="V868" s="735">
        <v>16</v>
      </c>
      <c r="W868" s="736"/>
      <c r="X868" s="737"/>
      <c r="Y868" s="745" t="s">
        <v>5652</v>
      </c>
      <c r="Z868" s="747"/>
      <c r="AA868" s="747"/>
      <c r="AB868" s="740">
        <v>16</v>
      </c>
      <c r="AC868" s="741"/>
      <c r="AD868" s="741" t="str">
        <f>'DICTIONARY-5'!$A$13</f>
        <v>woda pitna</v>
      </c>
      <c r="AE868" s="742">
        <v>50</v>
      </c>
      <c r="AF868" s="743">
        <v>66.5</v>
      </c>
      <c r="AG868" s="741" t="str">
        <f>'DICTIONARY-5'!$A$23&amp;" + "&amp;'DICTIONARY-5'!$A$25</f>
        <v>powłoka epoksydowa + poliester</v>
      </c>
    </row>
    <row r="869" spans="1:33" x14ac:dyDescent="0.25">
      <c r="A869" s="851" t="s">
        <v>791</v>
      </c>
      <c r="B869" s="851" t="s">
        <v>4259</v>
      </c>
      <c r="C869" s="836">
        <v>1599</v>
      </c>
      <c r="D869" s="836"/>
      <c r="E869" s="836"/>
      <c r="F869" s="836"/>
      <c r="G869" s="496" t="s">
        <v>7805</v>
      </c>
      <c r="H869" s="797" t="str">
        <f>VLOOKUP(G869,SETTINGS!$B$7:$D$97,2,0)</f>
        <v>NOVA Niro / 365</v>
      </c>
      <c r="I869" s="796">
        <f>VLOOKUP(G869,SETTINGS!$B$7:$D$97,3,0)</f>
        <v>0</v>
      </c>
      <c r="J869" s="670" t="str">
        <f>IFERROR(IF(CURRENCY.FORMAT_1=0,CONCATENATE(TEXT(FIXED(ROUND((C869/EXC.RATE_1),CURRENCY.FORMAT_1),CURRENCY.FORMAT_1,1),"# ##0;-# ##0"),",-"),FIXED(ROUND((C869/EXC.RATE_1),CURRENCY.FORMAT_1),CURRENCY.FORMAT_1,0)),'DICTIONARY-5'!$A$2)</f>
        <v>1 599,-</v>
      </c>
      <c r="K869" s="670" t="str">
        <f>IF(EXC.RATE_2=0,"",IFERROR(IF(CURRENCY.FORMAT_2=0,CONCATENATE(TEXT(FIXED(ROUND(IF(EXC.RATE.SWITCH=1,C869/EXC.RATE_2,C869*EXC.RATE_2),CURRENCY.FORMAT_2),CURRENCY.FORMAT_2,1),"# ##0;-# ##0"),",-"),FIXED(ROUND(IF(EXC.RATE.SWITCH=1,C869/EXC.RATE_2,C869*EXC.RATE_2),CURRENCY.FORMAT_2),CURRENCY.FORMAT_2,0)),'DICTIONARY-5'!$A$2))</f>
        <v/>
      </c>
      <c r="L869" s="670" t="str">
        <f>IFERROR(IF(CURRENCY.FORMAT_1=0,CONCATENATE(TEXT(FIXED(ROUND((C869*(1-I869)*(1-ADD.DISCOUNT)*(1+MAT.SURCHARGE)/EXC.RATE_1),CURRENCY.FORMAT_1),CURRENCY.FORMAT_1,1),"# ##0;-# ##0"),",-"),FIXED(ROUND((C869*(1-I869)*(1-ADD.DISCOUNT)*(1+MAT.SURCHARGE)/EXC.RATE_1),CURRENCY.FORMAT_1),CURRENCY.FORMAT_1,0)),'DICTIONARY-5'!$A$2)</f>
        <v>1 661,-</v>
      </c>
      <c r="M869" s="670" t="str">
        <f>IF(EXC.RATE_2=0,"",IFERROR(IF(CURRENCY.FORMAT_2=0,CONCATENATE(TEXT(FIXED(ROUND(IF(EXC.RATE.SWITCH=1,C869*(1-I869)*(1-ADD.DISCOUNT)*(1+MAT.SURCHARGE)/EXC.RATE_2,C869*(1-I869)*(1-ADD.DISCOUNT)*(1+MAT.SURCHARGE)*EXC.RATE_2),CURRENCY.FORMAT_2),CURRENCY.FORMAT_2,1),"# ##0;-# ##0"),",-"),FIXED(ROUND(IF(EXC.RATE.SWITCH=1,C869*(1-I869)*(1-ADD.DISCOUNT)*(1+MAT.SURCHARGE)/EXC.RATE_2,C869*(1-I869)*(1-ADD.DISCOUNT)*(1+MAT.SURCHARGE)*EXC.RATE_2),CURRENCY.FORMAT_2),CURRENCY.FORMAT_2,0)),'DICTIONARY-5'!$A$2))</f>
        <v/>
      </c>
      <c r="N869" s="543">
        <v>3</v>
      </c>
      <c r="O869" s="543"/>
      <c r="P869" s="731" t="str">
        <f>'DICTIONARY-3'!$A$43</f>
        <v>NOVA NIRO</v>
      </c>
      <c r="Q869" s="732" t="str">
        <f>'DICTIONARY-3'!$A$194</f>
        <v>Hydrant nadziemny</v>
      </c>
      <c r="R869" s="732" t="str">
        <f>CONCATENATE('DICTIONARY-3'!$A$43," ",'DICTIONARY-6'!$A$11," ",'DICTIONARY-2'!$A$2,"80"," ",'DICTIONARY-2'!$A$3,"10/16"," ",'DICTIONARY-2'!$A$7,"1,25m 2xB")</f>
        <v>NOVA NIRO Hydr. nadz. DN80 PN10/16 Rd1,25m 2xB</v>
      </c>
      <c r="S869" s="733" t="s">
        <v>5569</v>
      </c>
      <c r="T869" s="732" t="s">
        <v>5569</v>
      </c>
      <c r="U869" s="734" t="s">
        <v>5760</v>
      </c>
      <c r="V869" s="735">
        <v>16</v>
      </c>
      <c r="W869" s="736"/>
      <c r="X869" s="737"/>
      <c r="Y869" s="745" t="s">
        <v>5653</v>
      </c>
      <c r="Z869" s="747"/>
      <c r="AA869" s="747"/>
      <c r="AB869" s="740">
        <v>16</v>
      </c>
      <c r="AC869" s="741"/>
      <c r="AD869" s="741" t="str">
        <f>'DICTIONARY-5'!$A$13</f>
        <v>woda pitna</v>
      </c>
      <c r="AE869" s="742">
        <v>50</v>
      </c>
      <c r="AF869" s="743">
        <v>72</v>
      </c>
      <c r="AG869" s="741" t="str">
        <f>'DICTIONARY-5'!$A$23&amp;" + "&amp;'DICTIONARY-5'!$A$25</f>
        <v>powłoka epoksydowa + poliester</v>
      </c>
    </row>
    <row r="870" spans="1:33" x14ac:dyDescent="0.25">
      <c r="A870" s="851" t="s">
        <v>792</v>
      </c>
      <c r="B870" s="851" t="s">
        <v>4260</v>
      </c>
      <c r="C870" s="836">
        <v>1865</v>
      </c>
      <c r="D870" s="836"/>
      <c r="E870" s="836"/>
      <c r="F870" s="836"/>
      <c r="G870" s="496" t="s">
        <v>7805</v>
      </c>
      <c r="H870" s="797" t="str">
        <f>VLOOKUP(G870,SETTINGS!$B$7:$D$97,2,0)</f>
        <v>NOVA Niro / 365</v>
      </c>
      <c r="I870" s="796">
        <f>VLOOKUP(G870,SETTINGS!$B$7:$D$97,3,0)</f>
        <v>0</v>
      </c>
      <c r="J870" s="670" t="str">
        <f>IFERROR(IF(CURRENCY.FORMAT_1=0,CONCATENATE(TEXT(FIXED(ROUND((C870/EXC.RATE_1),CURRENCY.FORMAT_1),CURRENCY.FORMAT_1,1),"# ##0;-# ##0"),",-"),FIXED(ROUND((C870/EXC.RATE_1),CURRENCY.FORMAT_1),CURRENCY.FORMAT_1,0)),'DICTIONARY-5'!$A$2)</f>
        <v>1 865,-</v>
      </c>
      <c r="K870" s="670" t="str">
        <f>IF(EXC.RATE_2=0,"",IFERROR(IF(CURRENCY.FORMAT_2=0,CONCATENATE(TEXT(FIXED(ROUND(IF(EXC.RATE.SWITCH=1,C870/EXC.RATE_2,C870*EXC.RATE_2),CURRENCY.FORMAT_2),CURRENCY.FORMAT_2,1),"# ##0;-# ##0"),",-"),FIXED(ROUND(IF(EXC.RATE.SWITCH=1,C870/EXC.RATE_2,C870*EXC.RATE_2),CURRENCY.FORMAT_2),CURRENCY.FORMAT_2,0)),'DICTIONARY-5'!$A$2))</f>
        <v/>
      </c>
      <c r="L870" s="670" t="str">
        <f>IFERROR(IF(CURRENCY.FORMAT_1=0,CONCATENATE(TEXT(FIXED(ROUND((C870*(1-I870)*(1-ADD.DISCOUNT)*(1+MAT.SURCHARGE)/EXC.RATE_1),CURRENCY.FORMAT_1),CURRENCY.FORMAT_1,1),"# ##0;-# ##0"),",-"),FIXED(ROUND((C870*(1-I870)*(1-ADD.DISCOUNT)*(1+MAT.SURCHARGE)/EXC.RATE_1),CURRENCY.FORMAT_1),CURRENCY.FORMAT_1,0)),'DICTIONARY-5'!$A$2)</f>
        <v>1 938,-</v>
      </c>
      <c r="M870" s="670" t="str">
        <f>IF(EXC.RATE_2=0,"",IFERROR(IF(CURRENCY.FORMAT_2=0,CONCATENATE(TEXT(FIXED(ROUND(IF(EXC.RATE.SWITCH=1,C870*(1-I870)*(1-ADD.DISCOUNT)*(1+MAT.SURCHARGE)/EXC.RATE_2,C870*(1-I870)*(1-ADD.DISCOUNT)*(1+MAT.SURCHARGE)*EXC.RATE_2),CURRENCY.FORMAT_2),CURRENCY.FORMAT_2,1),"# ##0;-# ##0"),",-"),FIXED(ROUND(IF(EXC.RATE.SWITCH=1,C870*(1-I870)*(1-ADD.DISCOUNT)*(1+MAT.SURCHARGE)/EXC.RATE_2,C870*(1-I870)*(1-ADD.DISCOUNT)*(1+MAT.SURCHARGE)*EXC.RATE_2),CURRENCY.FORMAT_2),CURRENCY.FORMAT_2,0)),'DICTIONARY-5'!$A$2))</f>
        <v/>
      </c>
      <c r="N870" s="543">
        <v>3</v>
      </c>
      <c r="O870" s="543"/>
      <c r="P870" s="731" t="str">
        <f>'DICTIONARY-3'!$A$43</f>
        <v>NOVA NIRO</v>
      </c>
      <c r="Q870" s="732" t="str">
        <f>'DICTIONARY-3'!$A$194</f>
        <v>Hydrant nadziemny</v>
      </c>
      <c r="R870" s="732" t="str">
        <f>CONCATENATE('DICTIONARY-3'!$A$43," ",'DICTIONARY-6'!$A$11," ",'DICTIONARY-2'!$A$2,"80"," ",'DICTIONARY-2'!$A$3,"10/16"," ",'DICTIONARY-2'!$A$7,"1,5m 2xB")</f>
        <v>NOVA NIRO Hydr. nadz. DN80 PN10/16 Rd1,5m 2xB</v>
      </c>
      <c r="S870" s="733" t="s">
        <v>5569</v>
      </c>
      <c r="T870" s="732" t="s">
        <v>5569</v>
      </c>
      <c r="U870" s="734" t="s">
        <v>5760</v>
      </c>
      <c r="V870" s="735">
        <v>16</v>
      </c>
      <c r="W870" s="736"/>
      <c r="X870" s="737"/>
      <c r="Y870" s="745" t="s">
        <v>5654</v>
      </c>
      <c r="Z870" s="747"/>
      <c r="AA870" s="747"/>
      <c r="AB870" s="740">
        <v>16</v>
      </c>
      <c r="AC870" s="741"/>
      <c r="AD870" s="741" t="str">
        <f>'DICTIONARY-5'!$A$13</f>
        <v>woda pitna</v>
      </c>
      <c r="AE870" s="742">
        <v>50</v>
      </c>
      <c r="AF870" s="743">
        <v>81</v>
      </c>
      <c r="AG870" s="741" t="str">
        <f>'DICTIONARY-5'!$A$23&amp;" + "&amp;'DICTIONARY-5'!$A$25</f>
        <v>powłoka epoksydowa + poliester</v>
      </c>
    </row>
    <row r="871" spans="1:33" x14ac:dyDescent="0.25">
      <c r="A871" s="851" t="s">
        <v>4921</v>
      </c>
      <c r="B871" s="851" t="s">
        <v>793</v>
      </c>
      <c r="C871" s="836">
        <v>1757</v>
      </c>
      <c r="D871" s="836"/>
      <c r="E871" s="836"/>
      <c r="F871" s="836"/>
      <c r="G871" s="496" t="s">
        <v>7805</v>
      </c>
      <c r="H871" s="797" t="str">
        <f>VLOOKUP(G871,SETTINGS!$B$7:$D$97,2,0)</f>
        <v>NOVA Niro / 365</v>
      </c>
      <c r="I871" s="796">
        <f>VLOOKUP(G871,SETTINGS!$B$7:$D$97,3,0)</f>
        <v>0</v>
      </c>
      <c r="J871" s="670" t="str">
        <f>IFERROR(IF(CURRENCY.FORMAT_1=0,CONCATENATE(TEXT(FIXED(ROUND((C871/EXC.RATE_1),CURRENCY.FORMAT_1),CURRENCY.FORMAT_1,1),"# ##0;-# ##0"),",-"),FIXED(ROUND((C871/EXC.RATE_1),CURRENCY.FORMAT_1),CURRENCY.FORMAT_1,0)),'DICTIONARY-5'!$A$2)</f>
        <v>1 757,-</v>
      </c>
      <c r="K871" s="670" t="str">
        <f>IF(EXC.RATE_2=0,"",IFERROR(IF(CURRENCY.FORMAT_2=0,CONCATENATE(TEXT(FIXED(ROUND(IF(EXC.RATE.SWITCH=1,C871/EXC.RATE_2,C871*EXC.RATE_2),CURRENCY.FORMAT_2),CURRENCY.FORMAT_2,1),"# ##0;-# ##0"),",-"),FIXED(ROUND(IF(EXC.RATE.SWITCH=1,C871/EXC.RATE_2,C871*EXC.RATE_2),CURRENCY.FORMAT_2),CURRENCY.FORMAT_2,0)),'DICTIONARY-5'!$A$2))</f>
        <v/>
      </c>
      <c r="L871" s="670" t="str">
        <f>IFERROR(IF(CURRENCY.FORMAT_1=0,CONCATENATE(TEXT(FIXED(ROUND((C871*(1-I871)*(1-ADD.DISCOUNT)*(1+MAT.SURCHARGE)/EXC.RATE_1),CURRENCY.FORMAT_1),CURRENCY.FORMAT_1,1),"# ##0;-# ##0"),",-"),FIXED(ROUND((C871*(1-I871)*(1-ADD.DISCOUNT)*(1+MAT.SURCHARGE)/EXC.RATE_1),CURRENCY.FORMAT_1),CURRENCY.FORMAT_1,0)),'DICTIONARY-5'!$A$2)</f>
        <v>1 826,-</v>
      </c>
      <c r="M871" s="670" t="str">
        <f>IF(EXC.RATE_2=0,"",IFERROR(IF(CURRENCY.FORMAT_2=0,CONCATENATE(TEXT(FIXED(ROUND(IF(EXC.RATE.SWITCH=1,C871*(1-I871)*(1-ADD.DISCOUNT)*(1+MAT.SURCHARGE)/EXC.RATE_2,C871*(1-I871)*(1-ADD.DISCOUNT)*(1+MAT.SURCHARGE)*EXC.RATE_2),CURRENCY.FORMAT_2),CURRENCY.FORMAT_2,1),"# ##0;-# ##0"),",-"),FIXED(ROUND(IF(EXC.RATE.SWITCH=1,C871*(1-I871)*(1-ADD.DISCOUNT)*(1+MAT.SURCHARGE)/EXC.RATE_2,C871*(1-I871)*(1-ADD.DISCOUNT)*(1+MAT.SURCHARGE)*EXC.RATE_2),CURRENCY.FORMAT_2),CURRENCY.FORMAT_2,0)),'DICTIONARY-5'!$A$2))</f>
        <v/>
      </c>
      <c r="N871" s="543">
        <v>3</v>
      </c>
      <c r="O871" s="543"/>
      <c r="P871" s="731" t="str">
        <f>'DICTIONARY-3'!$A$43</f>
        <v>NOVA NIRO</v>
      </c>
      <c r="Q871" s="732" t="str">
        <f>'DICTIONARY-3'!$A$194</f>
        <v>Hydrant nadziemny</v>
      </c>
      <c r="R871" s="732" t="str">
        <f>CONCATENATE('DICTIONARY-3'!$A$43," ",'DICTIONARY-6'!$A$11," ",'DICTIONARY-2'!$A$2,"100"," ",'DICTIONARY-2'!$A$3,"10/16"," ",'DICTIONARY-2'!$A$7,"1,25m 2xB")</f>
        <v>NOVA NIRO Hydr. nadz. DN100 PN10/16 Rd1,25m 2xB</v>
      </c>
      <c r="S871" s="733" t="s">
        <v>5569</v>
      </c>
      <c r="T871" s="732" t="s">
        <v>5569</v>
      </c>
      <c r="U871" s="734" t="s">
        <v>5749</v>
      </c>
      <c r="V871" s="735">
        <v>16</v>
      </c>
      <c r="W871" s="736"/>
      <c r="X871" s="737"/>
      <c r="Y871" s="745" t="s">
        <v>5653</v>
      </c>
      <c r="Z871" s="747"/>
      <c r="AA871" s="747"/>
      <c r="AB871" s="740">
        <v>16</v>
      </c>
      <c r="AC871" s="741"/>
      <c r="AD871" s="741" t="str">
        <f>'DICTIONARY-5'!$A$13</f>
        <v>woda pitna</v>
      </c>
      <c r="AE871" s="742">
        <v>50</v>
      </c>
      <c r="AF871" s="743">
        <v>84.5</v>
      </c>
      <c r="AG871" s="733" t="str">
        <f>'DICTIONARY-5'!$A$23&amp;" + "&amp;'DICTIONARY-5'!$A$25</f>
        <v>powłoka epoksydowa + poliester</v>
      </c>
    </row>
    <row r="872" spans="1:33" x14ac:dyDescent="0.25">
      <c r="A872" s="851" t="s">
        <v>4922</v>
      </c>
      <c r="B872" s="851" t="s">
        <v>794</v>
      </c>
      <c r="C872" s="836">
        <v>2045</v>
      </c>
      <c r="D872" s="836"/>
      <c r="E872" s="836"/>
      <c r="F872" s="836"/>
      <c r="G872" s="496" t="s">
        <v>7805</v>
      </c>
      <c r="H872" s="797" t="str">
        <f>VLOOKUP(G872,SETTINGS!$B$7:$D$97,2,0)</f>
        <v>NOVA Niro / 365</v>
      </c>
      <c r="I872" s="796">
        <f>VLOOKUP(G872,SETTINGS!$B$7:$D$97,3,0)</f>
        <v>0</v>
      </c>
      <c r="J872" s="670" t="str">
        <f>IFERROR(IF(CURRENCY.FORMAT_1=0,CONCATENATE(TEXT(FIXED(ROUND((C872/EXC.RATE_1),CURRENCY.FORMAT_1),CURRENCY.FORMAT_1,1),"# ##0;-# ##0"),",-"),FIXED(ROUND((C872/EXC.RATE_1),CURRENCY.FORMAT_1),CURRENCY.FORMAT_1,0)),'DICTIONARY-5'!$A$2)</f>
        <v>2 045,-</v>
      </c>
      <c r="K872" s="670" t="str">
        <f>IF(EXC.RATE_2=0,"",IFERROR(IF(CURRENCY.FORMAT_2=0,CONCATENATE(TEXT(FIXED(ROUND(IF(EXC.RATE.SWITCH=1,C872/EXC.RATE_2,C872*EXC.RATE_2),CURRENCY.FORMAT_2),CURRENCY.FORMAT_2,1),"# ##0;-# ##0"),",-"),FIXED(ROUND(IF(EXC.RATE.SWITCH=1,C872/EXC.RATE_2,C872*EXC.RATE_2),CURRENCY.FORMAT_2),CURRENCY.FORMAT_2,0)),'DICTIONARY-5'!$A$2))</f>
        <v/>
      </c>
      <c r="L872" s="670" t="str">
        <f>IFERROR(IF(CURRENCY.FORMAT_1=0,CONCATENATE(TEXT(FIXED(ROUND((C872*(1-I872)*(1-ADD.DISCOUNT)*(1+MAT.SURCHARGE)/EXC.RATE_1),CURRENCY.FORMAT_1),CURRENCY.FORMAT_1,1),"# ##0;-# ##0"),",-"),FIXED(ROUND((C872*(1-I872)*(1-ADD.DISCOUNT)*(1+MAT.SURCHARGE)/EXC.RATE_1),CURRENCY.FORMAT_1),CURRENCY.FORMAT_1,0)),'DICTIONARY-5'!$A$2)</f>
        <v>2 125,-</v>
      </c>
      <c r="M872" s="670" t="str">
        <f>IF(EXC.RATE_2=0,"",IFERROR(IF(CURRENCY.FORMAT_2=0,CONCATENATE(TEXT(FIXED(ROUND(IF(EXC.RATE.SWITCH=1,C872*(1-I872)*(1-ADD.DISCOUNT)*(1+MAT.SURCHARGE)/EXC.RATE_2,C872*(1-I872)*(1-ADD.DISCOUNT)*(1+MAT.SURCHARGE)*EXC.RATE_2),CURRENCY.FORMAT_2),CURRENCY.FORMAT_2,1),"# ##0;-# ##0"),",-"),FIXED(ROUND(IF(EXC.RATE.SWITCH=1,C872*(1-I872)*(1-ADD.DISCOUNT)*(1+MAT.SURCHARGE)/EXC.RATE_2,C872*(1-I872)*(1-ADD.DISCOUNT)*(1+MAT.SURCHARGE)*EXC.RATE_2),CURRENCY.FORMAT_2),CURRENCY.FORMAT_2,0)),'DICTIONARY-5'!$A$2))</f>
        <v/>
      </c>
      <c r="N872" s="543">
        <v>3</v>
      </c>
      <c r="O872" s="543"/>
      <c r="P872" s="731" t="str">
        <f>'DICTIONARY-3'!$A$43</f>
        <v>NOVA NIRO</v>
      </c>
      <c r="Q872" s="732" t="str">
        <f>'DICTIONARY-3'!$A$194</f>
        <v>Hydrant nadziemny</v>
      </c>
      <c r="R872" s="732" t="str">
        <f>CONCATENATE('DICTIONARY-3'!$A$43," ",'DICTIONARY-6'!$A$11," ",'DICTIONARY-2'!$A$2,"100"," ",'DICTIONARY-2'!$A$3,"10/16"," ",'DICTIONARY-2'!$A$7,"1,5m 2xB")</f>
        <v>NOVA NIRO Hydr. nadz. DN100 PN10/16 Rd1,5m 2xB</v>
      </c>
      <c r="S872" s="733" t="s">
        <v>5569</v>
      </c>
      <c r="T872" s="732" t="s">
        <v>5569</v>
      </c>
      <c r="U872" s="734" t="s">
        <v>5749</v>
      </c>
      <c r="V872" s="735">
        <v>16</v>
      </c>
      <c r="W872" s="736"/>
      <c r="X872" s="737"/>
      <c r="Y872" s="745" t="s">
        <v>5654</v>
      </c>
      <c r="Z872" s="747"/>
      <c r="AA872" s="747"/>
      <c r="AB872" s="740">
        <v>16</v>
      </c>
      <c r="AC872" s="741"/>
      <c r="AD872" s="741" t="str">
        <f>'DICTIONARY-5'!$A$13</f>
        <v>woda pitna</v>
      </c>
      <c r="AE872" s="742">
        <v>50</v>
      </c>
      <c r="AF872" s="743">
        <v>98.5</v>
      </c>
      <c r="AG872" s="733" t="str">
        <f>'DICTIONARY-5'!$A$23&amp;" + "&amp;'DICTIONARY-5'!$A$25</f>
        <v>powłoka epoksydowa + poliester</v>
      </c>
    </row>
    <row r="873" spans="1:33" x14ac:dyDescent="0.25">
      <c r="A873" s="851" t="s">
        <v>795</v>
      </c>
      <c r="B873" s="851" t="s">
        <v>4261</v>
      </c>
      <c r="C873" s="836">
        <v>2056</v>
      </c>
      <c r="D873" s="836"/>
      <c r="E873" s="836"/>
      <c r="F873" s="836"/>
      <c r="G873" s="496" t="s">
        <v>7805</v>
      </c>
      <c r="H873" s="797" t="str">
        <f>VLOOKUP(G873,SETTINGS!$B$7:$D$97,2,0)</f>
        <v>NOVA Niro / 365</v>
      </c>
      <c r="I873" s="796">
        <f>VLOOKUP(G873,SETTINGS!$B$7:$D$97,3,0)</f>
        <v>0</v>
      </c>
      <c r="J873" s="670" t="str">
        <f>IFERROR(IF(CURRENCY.FORMAT_1=0,CONCATENATE(TEXT(FIXED(ROUND((C873/EXC.RATE_1),CURRENCY.FORMAT_1),CURRENCY.FORMAT_1,1),"# ##0;-# ##0"),",-"),FIXED(ROUND((C873/EXC.RATE_1),CURRENCY.FORMAT_1),CURRENCY.FORMAT_1,0)),'DICTIONARY-5'!$A$2)</f>
        <v>2 056,-</v>
      </c>
      <c r="K873" s="670" t="str">
        <f>IF(EXC.RATE_2=0,"",IFERROR(IF(CURRENCY.FORMAT_2=0,CONCATENATE(TEXT(FIXED(ROUND(IF(EXC.RATE.SWITCH=1,C873/EXC.RATE_2,C873*EXC.RATE_2),CURRENCY.FORMAT_2),CURRENCY.FORMAT_2,1),"# ##0;-# ##0"),",-"),FIXED(ROUND(IF(EXC.RATE.SWITCH=1,C873/EXC.RATE_2,C873*EXC.RATE_2),CURRENCY.FORMAT_2),CURRENCY.FORMAT_2,0)),'DICTIONARY-5'!$A$2))</f>
        <v/>
      </c>
      <c r="L873" s="670" t="str">
        <f>IFERROR(IF(CURRENCY.FORMAT_1=0,CONCATENATE(TEXT(FIXED(ROUND((C873*(1-I873)*(1-ADD.DISCOUNT)*(1+MAT.SURCHARGE)/EXC.RATE_1),CURRENCY.FORMAT_1),CURRENCY.FORMAT_1,1),"# ##0;-# ##0"),",-"),FIXED(ROUND((C873*(1-I873)*(1-ADD.DISCOUNT)*(1+MAT.SURCHARGE)/EXC.RATE_1),CURRENCY.FORMAT_1),CURRENCY.FORMAT_1,0)),'DICTIONARY-5'!$A$2)</f>
        <v>2 136,-</v>
      </c>
      <c r="M873" s="670" t="str">
        <f>IF(EXC.RATE_2=0,"",IFERROR(IF(CURRENCY.FORMAT_2=0,CONCATENATE(TEXT(FIXED(ROUND(IF(EXC.RATE.SWITCH=1,C873*(1-I873)*(1-ADD.DISCOUNT)*(1+MAT.SURCHARGE)/EXC.RATE_2,C873*(1-I873)*(1-ADD.DISCOUNT)*(1+MAT.SURCHARGE)*EXC.RATE_2),CURRENCY.FORMAT_2),CURRENCY.FORMAT_2,1),"# ##0;-# ##0"),",-"),FIXED(ROUND(IF(EXC.RATE.SWITCH=1,C873*(1-I873)*(1-ADD.DISCOUNT)*(1+MAT.SURCHARGE)/EXC.RATE_2,C873*(1-I873)*(1-ADD.DISCOUNT)*(1+MAT.SURCHARGE)*EXC.RATE_2),CURRENCY.FORMAT_2),CURRENCY.FORMAT_2,0)),'DICTIONARY-5'!$A$2))</f>
        <v/>
      </c>
      <c r="N873" s="543">
        <v>3</v>
      </c>
      <c r="O873" s="543"/>
      <c r="P873" s="731" t="str">
        <f>'DICTIONARY-3'!$A$43</f>
        <v>NOVA NIRO</v>
      </c>
      <c r="Q873" s="732" t="str">
        <f>'DICTIONARY-3'!$A$194</f>
        <v>Hydrant nadziemny</v>
      </c>
      <c r="R873" s="732" t="str">
        <f>CONCATENATE('DICTIONARY-3'!$A$43," ",'DICTIONARY-6'!$A$11," ",'DICTIONARY-2'!$A$2,"100"," ",'DICTIONARY-2'!$A$3,"10/16"," ",'DICTIONARY-2'!$A$7,"1,25m 2xB+1xA")</f>
        <v>NOVA NIRO Hydr. nadz. DN100 PN10/16 Rd1,25m 2xB+1xA</v>
      </c>
      <c r="S873" s="733" t="s">
        <v>5569</v>
      </c>
      <c r="T873" s="732" t="s">
        <v>5569</v>
      </c>
      <c r="U873" s="734" t="s">
        <v>5749</v>
      </c>
      <c r="V873" s="735">
        <v>16</v>
      </c>
      <c r="W873" s="736"/>
      <c r="X873" s="737"/>
      <c r="Y873" s="745" t="s">
        <v>5653</v>
      </c>
      <c r="Z873" s="747"/>
      <c r="AA873" s="747"/>
      <c r="AB873" s="740">
        <v>16</v>
      </c>
      <c r="AC873" s="741"/>
      <c r="AD873" s="741" t="str">
        <f>'DICTIONARY-5'!$A$13</f>
        <v>woda pitna</v>
      </c>
      <c r="AE873" s="742">
        <v>50</v>
      </c>
      <c r="AF873" s="743">
        <v>89.5</v>
      </c>
      <c r="AG873" s="741" t="str">
        <f>'DICTIONARY-5'!$A$23&amp;" + "&amp;'DICTIONARY-5'!$A$25</f>
        <v>powłoka epoksydowa + poliester</v>
      </c>
    </row>
    <row r="874" spans="1:33" x14ac:dyDescent="0.25">
      <c r="A874" s="851" t="s">
        <v>796</v>
      </c>
      <c r="B874" s="851" t="s">
        <v>4262</v>
      </c>
      <c r="C874" s="836">
        <v>2345</v>
      </c>
      <c r="D874" s="836"/>
      <c r="E874" s="836"/>
      <c r="F874" s="836"/>
      <c r="G874" s="496" t="s">
        <v>7805</v>
      </c>
      <c r="H874" s="797" t="str">
        <f>VLOOKUP(G874,SETTINGS!$B$7:$D$97,2,0)</f>
        <v>NOVA Niro / 365</v>
      </c>
      <c r="I874" s="796">
        <f>VLOOKUP(G874,SETTINGS!$B$7:$D$97,3,0)</f>
        <v>0</v>
      </c>
      <c r="J874" s="670" t="str">
        <f>IFERROR(IF(CURRENCY.FORMAT_1=0,CONCATENATE(TEXT(FIXED(ROUND((C874/EXC.RATE_1),CURRENCY.FORMAT_1),CURRENCY.FORMAT_1,1),"# ##0;-# ##0"),",-"),FIXED(ROUND((C874/EXC.RATE_1),CURRENCY.FORMAT_1),CURRENCY.FORMAT_1,0)),'DICTIONARY-5'!$A$2)</f>
        <v>2 345,-</v>
      </c>
      <c r="K874" s="670" t="str">
        <f>IF(EXC.RATE_2=0,"",IFERROR(IF(CURRENCY.FORMAT_2=0,CONCATENATE(TEXT(FIXED(ROUND(IF(EXC.RATE.SWITCH=1,C874/EXC.RATE_2,C874*EXC.RATE_2),CURRENCY.FORMAT_2),CURRENCY.FORMAT_2,1),"# ##0;-# ##0"),",-"),FIXED(ROUND(IF(EXC.RATE.SWITCH=1,C874/EXC.RATE_2,C874*EXC.RATE_2),CURRENCY.FORMAT_2),CURRENCY.FORMAT_2,0)),'DICTIONARY-5'!$A$2))</f>
        <v/>
      </c>
      <c r="L874" s="670" t="str">
        <f>IFERROR(IF(CURRENCY.FORMAT_1=0,CONCATENATE(TEXT(FIXED(ROUND((C874*(1-I874)*(1-ADD.DISCOUNT)*(1+MAT.SURCHARGE)/EXC.RATE_1),CURRENCY.FORMAT_1),CURRENCY.FORMAT_1,1),"# ##0;-# ##0"),",-"),FIXED(ROUND((C874*(1-I874)*(1-ADD.DISCOUNT)*(1+MAT.SURCHARGE)/EXC.RATE_1),CURRENCY.FORMAT_1),CURRENCY.FORMAT_1,0)),'DICTIONARY-5'!$A$2)</f>
        <v>2 436,-</v>
      </c>
      <c r="M874" s="670" t="str">
        <f>IF(EXC.RATE_2=0,"",IFERROR(IF(CURRENCY.FORMAT_2=0,CONCATENATE(TEXT(FIXED(ROUND(IF(EXC.RATE.SWITCH=1,C874*(1-I874)*(1-ADD.DISCOUNT)*(1+MAT.SURCHARGE)/EXC.RATE_2,C874*(1-I874)*(1-ADD.DISCOUNT)*(1+MAT.SURCHARGE)*EXC.RATE_2),CURRENCY.FORMAT_2),CURRENCY.FORMAT_2,1),"# ##0;-# ##0"),",-"),FIXED(ROUND(IF(EXC.RATE.SWITCH=1,C874*(1-I874)*(1-ADD.DISCOUNT)*(1+MAT.SURCHARGE)/EXC.RATE_2,C874*(1-I874)*(1-ADD.DISCOUNT)*(1+MAT.SURCHARGE)*EXC.RATE_2),CURRENCY.FORMAT_2),CURRENCY.FORMAT_2,0)),'DICTIONARY-5'!$A$2))</f>
        <v/>
      </c>
      <c r="N874" s="543">
        <v>3</v>
      </c>
      <c r="O874" s="543"/>
      <c r="P874" s="731" t="str">
        <f>'DICTIONARY-3'!$A$43</f>
        <v>NOVA NIRO</v>
      </c>
      <c r="Q874" s="732" t="str">
        <f>'DICTIONARY-3'!$A$194</f>
        <v>Hydrant nadziemny</v>
      </c>
      <c r="R874" s="732" t="str">
        <f>CONCATENATE('DICTIONARY-3'!$A$43," ",'DICTIONARY-6'!$A$11," ",'DICTIONARY-2'!$A$2,"100"," ",'DICTIONARY-2'!$A$3,"10/16"," ",'DICTIONARY-2'!$A$7,"1,5m 2xB+1xA")</f>
        <v>NOVA NIRO Hydr. nadz. DN100 PN10/16 Rd1,5m 2xB+1xA</v>
      </c>
      <c r="S874" s="733" t="s">
        <v>5569</v>
      </c>
      <c r="T874" s="732" t="s">
        <v>5569</v>
      </c>
      <c r="U874" s="734" t="s">
        <v>5749</v>
      </c>
      <c r="V874" s="735">
        <v>16</v>
      </c>
      <c r="W874" s="736"/>
      <c r="X874" s="737"/>
      <c r="Y874" s="745" t="s">
        <v>5654</v>
      </c>
      <c r="Z874" s="747"/>
      <c r="AA874" s="747"/>
      <c r="AB874" s="740">
        <v>16</v>
      </c>
      <c r="AC874" s="741"/>
      <c r="AD874" s="741" t="str">
        <f>'DICTIONARY-5'!$A$13</f>
        <v>woda pitna</v>
      </c>
      <c r="AE874" s="742">
        <v>50</v>
      </c>
      <c r="AF874" s="743">
        <v>101</v>
      </c>
      <c r="AG874" s="741" t="str">
        <f>'DICTIONARY-5'!$A$23&amp;" + "&amp;'DICTIONARY-5'!$A$25</f>
        <v>powłoka epoksydowa + poliester</v>
      </c>
    </row>
    <row r="875" spans="1:33" x14ac:dyDescent="0.25">
      <c r="A875" s="851" t="s">
        <v>4905</v>
      </c>
      <c r="B875" s="851" t="s">
        <v>797</v>
      </c>
      <c r="C875" s="836">
        <v>1990</v>
      </c>
      <c r="D875" s="836"/>
      <c r="E875" s="836"/>
      <c r="F875" s="836"/>
      <c r="G875" s="496" t="s">
        <v>7805</v>
      </c>
      <c r="H875" s="797" t="str">
        <f>VLOOKUP(G875,SETTINGS!$B$7:$D$97,2,0)</f>
        <v>NOVA Niro / 365</v>
      </c>
      <c r="I875" s="796">
        <f>VLOOKUP(G875,SETTINGS!$B$7:$D$97,3,0)</f>
        <v>0</v>
      </c>
      <c r="J875" s="670" t="str">
        <f>IFERROR(IF(CURRENCY.FORMAT_1=0,CONCATENATE(TEXT(FIXED(ROUND((C875/EXC.RATE_1),CURRENCY.FORMAT_1),CURRENCY.FORMAT_1,1),"# ##0;-# ##0"),",-"),FIXED(ROUND((C875/EXC.RATE_1),CURRENCY.FORMAT_1),CURRENCY.FORMAT_1,0)),'DICTIONARY-5'!$A$2)</f>
        <v>1 990,-</v>
      </c>
      <c r="K875" s="670" t="str">
        <f>IF(EXC.RATE_2=0,"",IFERROR(IF(CURRENCY.FORMAT_2=0,CONCATENATE(TEXT(FIXED(ROUND(IF(EXC.RATE.SWITCH=1,C875/EXC.RATE_2,C875*EXC.RATE_2),CURRENCY.FORMAT_2),CURRENCY.FORMAT_2,1),"# ##0;-# ##0"),",-"),FIXED(ROUND(IF(EXC.RATE.SWITCH=1,C875/EXC.RATE_2,C875*EXC.RATE_2),CURRENCY.FORMAT_2),CURRENCY.FORMAT_2,0)),'DICTIONARY-5'!$A$2))</f>
        <v/>
      </c>
      <c r="L875" s="670" t="str">
        <f>IFERROR(IF(CURRENCY.FORMAT_1=0,CONCATENATE(TEXT(FIXED(ROUND((C875*(1-I875)*(1-ADD.DISCOUNT)*(1+MAT.SURCHARGE)/EXC.RATE_1),CURRENCY.FORMAT_1),CURRENCY.FORMAT_1,1),"# ##0;-# ##0"),",-"),FIXED(ROUND((C875*(1-I875)*(1-ADD.DISCOUNT)*(1+MAT.SURCHARGE)/EXC.RATE_1),CURRENCY.FORMAT_1),CURRENCY.FORMAT_1,0)),'DICTIONARY-5'!$A$2)</f>
        <v>2 068,-</v>
      </c>
      <c r="M875" s="670" t="str">
        <f>IF(EXC.RATE_2=0,"",IFERROR(IF(CURRENCY.FORMAT_2=0,CONCATENATE(TEXT(FIXED(ROUND(IF(EXC.RATE.SWITCH=1,C875*(1-I875)*(1-ADD.DISCOUNT)*(1+MAT.SURCHARGE)/EXC.RATE_2,C875*(1-I875)*(1-ADD.DISCOUNT)*(1+MAT.SURCHARGE)*EXC.RATE_2),CURRENCY.FORMAT_2),CURRENCY.FORMAT_2,1),"# ##0;-# ##0"),",-"),FIXED(ROUND(IF(EXC.RATE.SWITCH=1,C875*(1-I875)*(1-ADD.DISCOUNT)*(1+MAT.SURCHARGE)/EXC.RATE_2,C875*(1-I875)*(1-ADD.DISCOUNT)*(1+MAT.SURCHARGE)*EXC.RATE_2),CURRENCY.FORMAT_2),CURRENCY.FORMAT_2,0)),'DICTIONARY-5'!$A$2))</f>
        <v/>
      </c>
      <c r="N875" s="543">
        <v>3</v>
      </c>
      <c r="O875" s="543"/>
      <c r="P875" s="731" t="str">
        <f>'DICTIONARY-3'!$A$44</f>
        <v>NOVA NIRO 365</v>
      </c>
      <c r="Q875" s="732" t="str">
        <f>'DICTIONARY-3'!$A$194</f>
        <v>Hydrant nadziemny</v>
      </c>
      <c r="R875" s="732" t="str">
        <f>CONCATENATE('DICTIONARY-3'!$A$44," ",'DICTIONARY-6'!$A$11," ",'DICTIONARY-2'!$A$2,"80"," ",'DICTIONARY-2'!$A$3,"10/16"," ",'DICTIONARY-2'!$A$7,"1,0m 2xB")</f>
        <v>NOVA NIRO 365 Hydr. nadz. DN80 PN10/16 Rd1,0m 2xB</v>
      </c>
      <c r="S875" s="733" t="s">
        <v>5569</v>
      </c>
      <c r="T875" s="732" t="s">
        <v>5569</v>
      </c>
      <c r="U875" s="734" t="s">
        <v>5760</v>
      </c>
      <c r="V875" s="735">
        <v>16</v>
      </c>
      <c r="W875" s="736"/>
      <c r="X875" s="737"/>
      <c r="Y875" s="745" t="s">
        <v>5652</v>
      </c>
      <c r="Z875" s="747"/>
      <c r="AA875" s="747"/>
      <c r="AB875" s="740">
        <v>16</v>
      </c>
      <c r="AC875" s="741"/>
      <c r="AD875" s="741" t="str">
        <f>'DICTIONARY-5'!$A$13</f>
        <v>woda pitna</v>
      </c>
      <c r="AE875" s="742">
        <v>50</v>
      </c>
      <c r="AF875" s="743">
        <v>69.3</v>
      </c>
      <c r="AG875" s="741" t="str">
        <f>'DICTIONARY-5'!$A$23&amp;" + "&amp;'DICTIONARY-5'!$A$25</f>
        <v>powłoka epoksydowa + poliester</v>
      </c>
    </row>
    <row r="876" spans="1:33" x14ac:dyDescent="0.25">
      <c r="A876" s="851" t="s">
        <v>4906</v>
      </c>
      <c r="B876" s="851" t="s">
        <v>798</v>
      </c>
      <c r="C876" s="836">
        <v>2022</v>
      </c>
      <c r="D876" s="836"/>
      <c r="E876" s="836"/>
      <c r="F876" s="836"/>
      <c r="G876" s="496" t="s">
        <v>7805</v>
      </c>
      <c r="H876" s="797" t="str">
        <f>VLOOKUP(G876,SETTINGS!$B$7:$D$97,2,0)</f>
        <v>NOVA Niro / 365</v>
      </c>
      <c r="I876" s="796">
        <f>VLOOKUP(G876,SETTINGS!$B$7:$D$97,3,0)</f>
        <v>0</v>
      </c>
      <c r="J876" s="670" t="str">
        <f>IFERROR(IF(CURRENCY.FORMAT_1=0,CONCATENATE(TEXT(FIXED(ROUND((C876/EXC.RATE_1),CURRENCY.FORMAT_1),CURRENCY.FORMAT_1,1),"# ##0;-# ##0"),",-"),FIXED(ROUND((C876/EXC.RATE_1),CURRENCY.FORMAT_1),CURRENCY.FORMAT_1,0)),'DICTIONARY-5'!$A$2)</f>
        <v>2 022,-</v>
      </c>
      <c r="K876" s="670" t="str">
        <f>IF(EXC.RATE_2=0,"",IFERROR(IF(CURRENCY.FORMAT_2=0,CONCATENATE(TEXT(FIXED(ROUND(IF(EXC.RATE.SWITCH=1,C876/EXC.RATE_2,C876*EXC.RATE_2),CURRENCY.FORMAT_2),CURRENCY.FORMAT_2,1),"# ##0;-# ##0"),",-"),FIXED(ROUND(IF(EXC.RATE.SWITCH=1,C876/EXC.RATE_2,C876*EXC.RATE_2),CURRENCY.FORMAT_2),CURRENCY.FORMAT_2,0)),'DICTIONARY-5'!$A$2))</f>
        <v/>
      </c>
      <c r="L876" s="670" t="str">
        <f>IFERROR(IF(CURRENCY.FORMAT_1=0,CONCATENATE(TEXT(FIXED(ROUND((C876*(1-I876)*(1-ADD.DISCOUNT)*(1+MAT.SURCHARGE)/EXC.RATE_1),CURRENCY.FORMAT_1),CURRENCY.FORMAT_1,1),"# ##0;-# ##0"),",-"),FIXED(ROUND((C876*(1-I876)*(1-ADD.DISCOUNT)*(1+MAT.SURCHARGE)/EXC.RATE_1),CURRENCY.FORMAT_1),CURRENCY.FORMAT_1,0)),'DICTIONARY-5'!$A$2)</f>
        <v>2 101,-</v>
      </c>
      <c r="M876" s="670" t="str">
        <f>IF(EXC.RATE_2=0,"",IFERROR(IF(CURRENCY.FORMAT_2=0,CONCATENATE(TEXT(FIXED(ROUND(IF(EXC.RATE.SWITCH=1,C876*(1-I876)*(1-ADD.DISCOUNT)*(1+MAT.SURCHARGE)/EXC.RATE_2,C876*(1-I876)*(1-ADD.DISCOUNT)*(1+MAT.SURCHARGE)*EXC.RATE_2),CURRENCY.FORMAT_2),CURRENCY.FORMAT_2,1),"# ##0;-# ##0"),",-"),FIXED(ROUND(IF(EXC.RATE.SWITCH=1,C876*(1-I876)*(1-ADD.DISCOUNT)*(1+MAT.SURCHARGE)/EXC.RATE_2,C876*(1-I876)*(1-ADD.DISCOUNT)*(1+MAT.SURCHARGE)*EXC.RATE_2),CURRENCY.FORMAT_2),CURRENCY.FORMAT_2,0)),'DICTIONARY-5'!$A$2))</f>
        <v/>
      </c>
      <c r="N876" s="543">
        <v>3</v>
      </c>
      <c r="O876" s="543"/>
      <c r="P876" s="731" t="str">
        <f>'DICTIONARY-3'!$A$44</f>
        <v>NOVA NIRO 365</v>
      </c>
      <c r="Q876" s="732" t="str">
        <f>'DICTIONARY-3'!$A$194</f>
        <v>Hydrant nadziemny</v>
      </c>
      <c r="R876" s="732" t="str">
        <f>CONCATENATE('DICTIONARY-3'!$A$44," ",'DICTIONARY-6'!$A$11," ",'DICTIONARY-2'!$A$2,"80"," ",'DICTIONARY-2'!$A$3,"10/16"," ",'DICTIONARY-2'!$A$7,"1,25m 2xB")</f>
        <v>NOVA NIRO 365 Hydr. nadz. DN80 PN10/16 Rd1,25m 2xB</v>
      </c>
      <c r="S876" s="733" t="s">
        <v>5569</v>
      </c>
      <c r="T876" s="732" t="s">
        <v>5569</v>
      </c>
      <c r="U876" s="734" t="s">
        <v>5760</v>
      </c>
      <c r="V876" s="735">
        <v>16</v>
      </c>
      <c r="W876" s="736"/>
      <c r="X876" s="737"/>
      <c r="Y876" s="745" t="s">
        <v>5653</v>
      </c>
      <c r="Z876" s="747"/>
      <c r="AA876" s="747"/>
      <c r="AB876" s="740">
        <v>16</v>
      </c>
      <c r="AC876" s="741"/>
      <c r="AD876" s="741" t="str">
        <f>'DICTIONARY-5'!$A$13</f>
        <v>woda pitna</v>
      </c>
      <c r="AE876" s="742">
        <v>50</v>
      </c>
      <c r="AF876" s="743">
        <v>75.099999999999994</v>
      </c>
      <c r="AG876" s="741" t="str">
        <f>'DICTIONARY-5'!$A$23&amp;" + "&amp;'DICTIONARY-5'!$A$25</f>
        <v>powłoka epoksydowa + poliester</v>
      </c>
    </row>
    <row r="877" spans="1:33" x14ac:dyDescent="0.25">
      <c r="A877" s="851" t="s">
        <v>4907</v>
      </c>
      <c r="B877" s="851" t="s">
        <v>799</v>
      </c>
      <c r="C877" s="836">
        <v>2199</v>
      </c>
      <c r="D877" s="836"/>
      <c r="E877" s="836"/>
      <c r="F877" s="836"/>
      <c r="G877" s="496" t="s">
        <v>7805</v>
      </c>
      <c r="H877" s="797" t="str">
        <f>VLOOKUP(G877,SETTINGS!$B$7:$D$97,2,0)</f>
        <v>NOVA Niro / 365</v>
      </c>
      <c r="I877" s="796">
        <f>VLOOKUP(G877,SETTINGS!$B$7:$D$97,3,0)</f>
        <v>0</v>
      </c>
      <c r="J877" s="670" t="str">
        <f>IFERROR(IF(CURRENCY.FORMAT_1=0,CONCATENATE(TEXT(FIXED(ROUND((C877/EXC.RATE_1),CURRENCY.FORMAT_1),CURRENCY.FORMAT_1,1),"# ##0;-# ##0"),",-"),FIXED(ROUND((C877/EXC.RATE_1),CURRENCY.FORMAT_1),CURRENCY.FORMAT_1,0)),'DICTIONARY-5'!$A$2)</f>
        <v>2 199,-</v>
      </c>
      <c r="K877" s="670" t="str">
        <f>IF(EXC.RATE_2=0,"",IFERROR(IF(CURRENCY.FORMAT_2=0,CONCATENATE(TEXT(FIXED(ROUND(IF(EXC.RATE.SWITCH=1,C877/EXC.RATE_2,C877*EXC.RATE_2),CURRENCY.FORMAT_2),CURRENCY.FORMAT_2,1),"# ##0;-# ##0"),",-"),FIXED(ROUND(IF(EXC.RATE.SWITCH=1,C877/EXC.RATE_2,C877*EXC.RATE_2),CURRENCY.FORMAT_2),CURRENCY.FORMAT_2,0)),'DICTIONARY-5'!$A$2))</f>
        <v/>
      </c>
      <c r="L877" s="670" t="str">
        <f>IFERROR(IF(CURRENCY.FORMAT_1=0,CONCATENATE(TEXT(FIXED(ROUND((C877*(1-I877)*(1-ADD.DISCOUNT)*(1+MAT.SURCHARGE)/EXC.RATE_1),CURRENCY.FORMAT_1),CURRENCY.FORMAT_1,1),"# ##0;-# ##0"),",-"),FIXED(ROUND((C877*(1-I877)*(1-ADD.DISCOUNT)*(1+MAT.SURCHARGE)/EXC.RATE_1),CURRENCY.FORMAT_1),CURRENCY.FORMAT_1,0)),'DICTIONARY-5'!$A$2)</f>
        <v>2 285,-</v>
      </c>
      <c r="M877" s="670" t="str">
        <f>IF(EXC.RATE_2=0,"",IFERROR(IF(CURRENCY.FORMAT_2=0,CONCATENATE(TEXT(FIXED(ROUND(IF(EXC.RATE.SWITCH=1,C877*(1-I877)*(1-ADD.DISCOUNT)*(1+MAT.SURCHARGE)/EXC.RATE_2,C877*(1-I877)*(1-ADD.DISCOUNT)*(1+MAT.SURCHARGE)*EXC.RATE_2),CURRENCY.FORMAT_2),CURRENCY.FORMAT_2,1),"# ##0;-# ##0"),",-"),FIXED(ROUND(IF(EXC.RATE.SWITCH=1,C877*(1-I877)*(1-ADD.DISCOUNT)*(1+MAT.SURCHARGE)/EXC.RATE_2,C877*(1-I877)*(1-ADD.DISCOUNT)*(1+MAT.SURCHARGE)*EXC.RATE_2),CURRENCY.FORMAT_2),CURRENCY.FORMAT_2,0)),'DICTIONARY-5'!$A$2))</f>
        <v/>
      </c>
      <c r="N877" s="543">
        <v>3</v>
      </c>
      <c r="O877" s="543"/>
      <c r="P877" s="731" t="str">
        <f>'DICTIONARY-3'!$A$44</f>
        <v>NOVA NIRO 365</v>
      </c>
      <c r="Q877" s="732" t="str">
        <f>'DICTIONARY-3'!$A$194</f>
        <v>Hydrant nadziemny</v>
      </c>
      <c r="R877" s="732" t="str">
        <f>CONCATENATE('DICTIONARY-3'!$A$44," ",'DICTIONARY-6'!$A$11," ",'DICTIONARY-2'!$A$2,"80"," ",'DICTIONARY-2'!$A$3,"10/16"," ",'DICTIONARY-2'!$A$7,"1,5m 2xB")</f>
        <v>NOVA NIRO 365 Hydr. nadz. DN80 PN10/16 Rd1,5m 2xB</v>
      </c>
      <c r="S877" s="733" t="s">
        <v>5569</v>
      </c>
      <c r="T877" s="732" t="s">
        <v>5569</v>
      </c>
      <c r="U877" s="734" t="s">
        <v>5760</v>
      </c>
      <c r="V877" s="735">
        <v>16</v>
      </c>
      <c r="W877" s="736"/>
      <c r="X877" s="737"/>
      <c r="Y877" s="745" t="s">
        <v>5654</v>
      </c>
      <c r="Z877" s="747"/>
      <c r="AA877" s="747"/>
      <c r="AB877" s="740">
        <v>16</v>
      </c>
      <c r="AC877" s="741"/>
      <c r="AD877" s="741" t="str">
        <f>'DICTIONARY-5'!$A$13</f>
        <v>woda pitna</v>
      </c>
      <c r="AE877" s="742">
        <v>50</v>
      </c>
      <c r="AF877" s="743">
        <v>80.8</v>
      </c>
      <c r="AG877" s="741" t="str">
        <f>'DICTIONARY-5'!$A$23&amp;" + "&amp;'DICTIONARY-5'!$A$25</f>
        <v>powłoka epoksydowa + poliester</v>
      </c>
    </row>
    <row r="878" spans="1:33" x14ac:dyDescent="0.25">
      <c r="A878" s="851" t="s">
        <v>4908</v>
      </c>
      <c r="B878" s="851" t="s">
        <v>800</v>
      </c>
      <c r="C878" s="836">
        <v>2165</v>
      </c>
      <c r="D878" s="836"/>
      <c r="E878" s="836"/>
      <c r="F878" s="836"/>
      <c r="G878" s="496" t="s">
        <v>7805</v>
      </c>
      <c r="H878" s="797" t="str">
        <f>VLOOKUP(G878,SETTINGS!$B$7:$D$97,2,0)</f>
        <v>NOVA Niro / 365</v>
      </c>
      <c r="I878" s="796">
        <f>VLOOKUP(G878,SETTINGS!$B$7:$D$97,3,0)</f>
        <v>0</v>
      </c>
      <c r="J878" s="670" t="str">
        <f>IFERROR(IF(CURRENCY.FORMAT_1=0,CONCATENATE(TEXT(FIXED(ROUND((C878/EXC.RATE_1),CURRENCY.FORMAT_1),CURRENCY.FORMAT_1,1),"# ##0;-# ##0"),",-"),FIXED(ROUND((C878/EXC.RATE_1),CURRENCY.FORMAT_1),CURRENCY.FORMAT_1,0)),'DICTIONARY-5'!$A$2)</f>
        <v>2 165,-</v>
      </c>
      <c r="K878" s="670" t="str">
        <f>IF(EXC.RATE_2=0,"",IFERROR(IF(CURRENCY.FORMAT_2=0,CONCATENATE(TEXT(FIXED(ROUND(IF(EXC.RATE.SWITCH=1,C878/EXC.RATE_2,C878*EXC.RATE_2),CURRENCY.FORMAT_2),CURRENCY.FORMAT_2,1),"# ##0;-# ##0"),",-"),FIXED(ROUND(IF(EXC.RATE.SWITCH=1,C878/EXC.RATE_2,C878*EXC.RATE_2),CURRENCY.FORMAT_2),CURRENCY.FORMAT_2,0)),'DICTIONARY-5'!$A$2))</f>
        <v/>
      </c>
      <c r="L878" s="670" t="str">
        <f>IFERROR(IF(CURRENCY.FORMAT_1=0,CONCATENATE(TEXT(FIXED(ROUND((C878*(1-I878)*(1-ADD.DISCOUNT)*(1+MAT.SURCHARGE)/EXC.RATE_1),CURRENCY.FORMAT_1),CURRENCY.FORMAT_1,1),"# ##0;-# ##0"),",-"),FIXED(ROUND((C878*(1-I878)*(1-ADD.DISCOUNT)*(1+MAT.SURCHARGE)/EXC.RATE_1),CURRENCY.FORMAT_1),CURRENCY.FORMAT_1,0)),'DICTIONARY-5'!$A$2)</f>
        <v>2 249,-</v>
      </c>
      <c r="M878" s="670" t="str">
        <f>IF(EXC.RATE_2=0,"",IFERROR(IF(CURRENCY.FORMAT_2=0,CONCATENATE(TEXT(FIXED(ROUND(IF(EXC.RATE.SWITCH=1,C878*(1-I878)*(1-ADD.DISCOUNT)*(1+MAT.SURCHARGE)/EXC.RATE_2,C878*(1-I878)*(1-ADD.DISCOUNT)*(1+MAT.SURCHARGE)*EXC.RATE_2),CURRENCY.FORMAT_2),CURRENCY.FORMAT_2,1),"# ##0;-# ##0"),",-"),FIXED(ROUND(IF(EXC.RATE.SWITCH=1,C878*(1-I878)*(1-ADD.DISCOUNT)*(1+MAT.SURCHARGE)/EXC.RATE_2,C878*(1-I878)*(1-ADD.DISCOUNT)*(1+MAT.SURCHARGE)*EXC.RATE_2),CURRENCY.FORMAT_2),CURRENCY.FORMAT_2,0)),'DICTIONARY-5'!$A$2))</f>
        <v/>
      </c>
      <c r="N878" s="543">
        <v>3</v>
      </c>
      <c r="O878" s="543"/>
      <c r="P878" s="731" t="str">
        <f>'DICTIONARY-3'!$A$44</f>
        <v>NOVA NIRO 365</v>
      </c>
      <c r="Q878" s="732" t="str">
        <f>'DICTIONARY-3'!$A$194</f>
        <v>Hydrant nadziemny</v>
      </c>
      <c r="R878" s="732" t="str">
        <f>CONCATENATE('DICTIONARY-3'!$A$44," ",'DICTIONARY-6'!$A$11," ",'DICTIONARY-2'!$A$2,"100"," ",'DICTIONARY-2'!$A$3,"10/16"," ",'DICTIONARY-2'!$A$7,"1,25m 2xB")</f>
        <v>NOVA NIRO 365 Hydr. nadz. DN100 PN10/16 Rd1,25m 2xB</v>
      </c>
      <c r="S878" s="733" t="s">
        <v>5569</v>
      </c>
      <c r="T878" s="732" t="s">
        <v>5569</v>
      </c>
      <c r="U878" s="734" t="s">
        <v>5749</v>
      </c>
      <c r="V878" s="735">
        <v>16</v>
      </c>
      <c r="W878" s="736"/>
      <c r="X878" s="737"/>
      <c r="Y878" s="745" t="s">
        <v>5653</v>
      </c>
      <c r="Z878" s="747"/>
      <c r="AA878" s="747"/>
      <c r="AB878" s="740">
        <v>16</v>
      </c>
      <c r="AC878" s="741"/>
      <c r="AD878" s="741" t="str">
        <f>'DICTIONARY-5'!$A$13</f>
        <v>woda pitna</v>
      </c>
      <c r="AE878" s="742">
        <v>50</v>
      </c>
      <c r="AF878" s="743">
        <v>86.5</v>
      </c>
      <c r="AG878" s="741" t="str">
        <f>'DICTIONARY-5'!$A$23&amp;" + "&amp;'DICTIONARY-5'!$A$25</f>
        <v>powłoka epoksydowa + poliester</v>
      </c>
    </row>
    <row r="879" spans="1:33" x14ac:dyDescent="0.25">
      <c r="A879" s="851" t="s">
        <v>4909</v>
      </c>
      <c r="B879" s="851" t="s">
        <v>801</v>
      </c>
      <c r="C879" s="836">
        <v>2276</v>
      </c>
      <c r="D879" s="836"/>
      <c r="E879" s="836"/>
      <c r="F879" s="836"/>
      <c r="G879" s="496" t="s">
        <v>7805</v>
      </c>
      <c r="H879" s="797" t="str">
        <f>VLOOKUP(G879,SETTINGS!$B$7:$D$97,2,0)</f>
        <v>NOVA Niro / 365</v>
      </c>
      <c r="I879" s="796">
        <f>VLOOKUP(G879,SETTINGS!$B$7:$D$97,3,0)</f>
        <v>0</v>
      </c>
      <c r="J879" s="670" t="str">
        <f>IFERROR(IF(CURRENCY.FORMAT_1=0,CONCATENATE(TEXT(FIXED(ROUND((C879/EXC.RATE_1),CURRENCY.FORMAT_1),CURRENCY.FORMAT_1,1),"# ##0;-# ##0"),",-"),FIXED(ROUND((C879/EXC.RATE_1),CURRENCY.FORMAT_1),CURRENCY.FORMAT_1,0)),'DICTIONARY-5'!$A$2)</f>
        <v>2 276,-</v>
      </c>
      <c r="K879" s="670" t="str">
        <f>IF(EXC.RATE_2=0,"",IFERROR(IF(CURRENCY.FORMAT_2=0,CONCATENATE(TEXT(FIXED(ROUND(IF(EXC.RATE.SWITCH=1,C879/EXC.RATE_2,C879*EXC.RATE_2),CURRENCY.FORMAT_2),CURRENCY.FORMAT_2,1),"# ##0;-# ##0"),",-"),FIXED(ROUND(IF(EXC.RATE.SWITCH=1,C879/EXC.RATE_2,C879*EXC.RATE_2),CURRENCY.FORMAT_2),CURRENCY.FORMAT_2,0)),'DICTIONARY-5'!$A$2))</f>
        <v/>
      </c>
      <c r="L879" s="670" t="str">
        <f>IFERROR(IF(CURRENCY.FORMAT_1=0,CONCATENATE(TEXT(FIXED(ROUND((C879*(1-I879)*(1-ADD.DISCOUNT)*(1+MAT.SURCHARGE)/EXC.RATE_1),CURRENCY.FORMAT_1),CURRENCY.FORMAT_1,1),"# ##0;-# ##0"),",-"),FIXED(ROUND((C879*(1-I879)*(1-ADD.DISCOUNT)*(1+MAT.SURCHARGE)/EXC.RATE_1),CURRENCY.FORMAT_1),CURRENCY.FORMAT_1,0)),'DICTIONARY-5'!$A$2)</f>
        <v>2 365,-</v>
      </c>
      <c r="M879" s="670" t="str">
        <f>IF(EXC.RATE_2=0,"",IFERROR(IF(CURRENCY.FORMAT_2=0,CONCATENATE(TEXT(FIXED(ROUND(IF(EXC.RATE.SWITCH=1,C879*(1-I879)*(1-ADD.DISCOUNT)*(1+MAT.SURCHARGE)/EXC.RATE_2,C879*(1-I879)*(1-ADD.DISCOUNT)*(1+MAT.SURCHARGE)*EXC.RATE_2),CURRENCY.FORMAT_2),CURRENCY.FORMAT_2,1),"# ##0;-# ##0"),",-"),FIXED(ROUND(IF(EXC.RATE.SWITCH=1,C879*(1-I879)*(1-ADD.DISCOUNT)*(1+MAT.SURCHARGE)/EXC.RATE_2,C879*(1-I879)*(1-ADD.DISCOUNT)*(1+MAT.SURCHARGE)*EXC.RATE_2),CURRENCY.FORMAT_2),CURRENCY.FORMAT_2,0)),'DICTIONARY-5'!$A$2))</f>
        <v/>
      </c>
      <c r="N879" s="543">
        <v>3</v>
      </c>
      <c r="O879" s="543"/>
      <c r="P879" s="731" t="str">
        <f>'DICTIONARY-3'!$A$44</f>
        <v>NOVA NIRO 365</v>
      </c>
      <c r="Q879" s="732" t="str">
        <f>'DICTIONARY-3'!$A$194</f>
        <v>Hydrant nadziemny</v>
      </c>
      <c r="R879" s="732" t="str">
        <f>CONCATENATE('DICTIONARY-3'!$A$44," ",'DICTIONARY-6'!$A$11," ",'DICTIONARY-2'!$A$2,"100"," ",'DICTIONARY-2'!$A$3,"10/16"," ",'DICTIONARY-2'!$A$7,"1,5m 2xB")</f>
        <v>NOVA NIRO 365 Hydr. nadz. DN100 PN10/16 Rd1,5m 2xB</v>
      </c>
      <c r="S879" s="733" t="s">
        <v>5569</v>
      </c>
      <c r="T879" s="732" t="s">
        <v>5569</v>
      </c>
      <c r="U879" s="734" t="s">
        <v>5749</v>
      </c>
      <c r="V879" s="735">
        <v>16</v>
      </c>
      <c r="W879" s="736"/>
      <c r="X879" s="737"/>
      <c r="Y879" s="745" t="s">
        <v>5654</v>
      </c>
      <c r="Z879" s="747"/>
      <c r="AA879" s="747"/>
      <c r="AB879" s="740">
        <v>16</v>
      </c>
      <c r="AC879" s="741"/>
      <c r="AD879" s="741" t="str">
        <f>'DICTIONARY-5'!$A$13</f>
        <v>woda pitna</v>
      </c>
      <c r="AE879" s="742">
        <v>50</v>
      </c>
      <c r="AF879" s="743">
        <v>93.3</v>
      </c>
      <c r="AG879" s="741" t="str">
        <f>'DICTIONARY-5'!$A$23&amp;" + "&amp;'DICTIONARY-5'!$A$25</f>
        <v>powłoka epoksydowa + poliester</v>
      </c>
    </row>
    <row r="880" spans="1:33" x14ac:dyDescent="0.25">
      <c r="A880" s="851" t="s">
        <v>4910</v>
      </c>
      <c r="B880" s="851" t="s">
        <v>802</v>
      </c>
      <c r="C880" s="836">
        <v>2485</v>
      </c>
      <c r="D880" s="836"/>
      <c r="E880" s="836"/>
      <c r="F880" s="836"/>
      <c r="G880" s="496" t="s">
        <v>7805</v>
      </c>
      <c r="H880" s="797" t="str">
        <f>VLOOKUP(G880,SETTINGS!$B$7:$D$97,2,0)</f>
        <v>NOVA Niro / 365</v>
      </c>
      <c r="I880" s="796">
        <f>VLOOKUP(G880,SETTINGS!$B$7:$D$97,3,0)</f>
        <v>0</v>
      </c>
      <c r="J880" s="670" t="str">
        <f>IFERROR(IF(CURRENCY.FORMAT_1=0,CONCATENATE(TEXT(FIXED(ROUND((C880/EXC.RATE_1),CURRENCY.FORMAT_1),CURRENCY.FORMAT_1,1),"# ##0;-# ##0"),",-"),FIXED(ROUND((C880/EXC.RATE_1),CURRENCY.FORMAT_1),CURRENCY.FORMAT_1,0)),'DICTIONARY-5'!$A$2)</f>
        <v>2 485,-</v>
      </c>
      <c r="K880" s="670" t="str">
        <f>IF(EXC.RATE_2=0,"",IFERROR(IF(CURRENCY.FORMAT_2=0,CONCATENATE(TEXT(FIXED(ROUND(IF(EXC.RATE.SWITCH=1,C880/EXC.RATE_2,C880*EXC.RATE_2),CURRENCY.FORMAT_2),CURRENCY.FORMAT_2,1),"# ##0;-# ##0"),",-"),FIXED(ROUND(IF(EXC.RATE.SWITCH=1,C880/EXC.RATE_2,C880*EXC.RATE_2),CURRENCY.FORMAT_2),CURRENCY.FORMAT_2,0)),'DICTIONARY-5'!$A$2))</f>
        <v/>
      </c>
      <c r="L880" s="670" t="str">
        <f>IFERROR(IF(CURRENCY.FORMAT_1=0,CONCATENATE(TEXT(FIXED(ROUND((C880*(1-I880)*(1-ADD.DISCOUNT)*(1+MAT.SURCHARGE)/EXC.RATE_1),CURRENCY.FORMAT_1),CURRENCY.FORMAT_1,1),"# ##0;-# ##0"),",-"),FIXED(ROUND((C880*(1-I880)*(1-ADD.DISCOUNT)*(1+MAT.SURCHARGE)/EXC.RATE_1),CURRENCY.FORMAT_1),CURRENCY.FORMAT_1,0)),'DICTIONARY-5'!$A$2)</f>
        <v>2 582,-</v>
      </c>
      <c r="M880" s="670" t="str">
        <f>IF(EXC.RATE_2=0,"",IFERROR(IF(CURRENCY.FORMAT_2=0,CONCATENATE(TEXT(FIXED(ROUND(IF(EXC.RATE.SWITCH=1,C880*(1-I880)*(1-ADD.DISCOUNT)*(1+MAT.SURCHARGE)/EXC.RATE_2,C880*(1-I880)*(1-ADD.DISCOUNT)*(1+MAT.SURCHARGE)*EXC.RATE_2),CURRENCY.FORMAT_2),CURRENCY.FORMAT_2,1),"# ##0;-# ##0"),",-"),FIXED(ROUND(IF(EXC.RATE.SWITCH=1,C880*(1-I880)*(1-ADD.DISCOUNT)*(1+MAT.SURCHARGE)/EXC.RATE_2,C880*(1-I880)*(1-ADD.DISCOUNT)*(1+MAT.SURCHARGE)*EXC.RATE_2),CURRENCY.FORMAT_2),CURRENCY.FORMAT_2,0)),'DICTIONARY-5'!$A$2))</f>
        <v/>
      </c>
      <c r="N880" s="543">
        <v>3</v>
      </c>
      <c r="O880" s="543"/>
      <c r="P880" s="731" t="str">
        <f>'DICTIONARY-3'!$A$44</f>
        <v>NOVA NIRO 365</v>
      </c>
      <c r="Q880" s="732" t="str">
        <f>'DICTIONARY-3'!$A$194</f>
        <v>Hydrant nadziemny</v>
      </c>
      <c r="R880" s="732" t="str">
        <f>CONCATENATE('DICTIONARY-3'!$A$44," ",'DICTIONARY-6'!$A$11," ",'DICTIONARY-2'!$A$2,"100"," ",'DICTIONARY-2'!$A$3,"10/16"," ",'DICTIONARY-2'!$A$7,"1,25m 2xB+1xA")</f>
        <v>NOVA NIRO 365 Hydr. nadz. DN100 PN10/16 Rd1,25m 2xB+1xA</v>
      </c>
      <c r="S880" s="733" t="s">
        <v>5569</v>
      </c>
      <c r="T880" s="732" t="s">
        <v>5569</v>
      </c>
      <c r="U880" s="734" t="s">
        <v>5749</v>
      </c>
      <c r="V880" s="735">
        <v>16</v>
      </c>
      <c r="W880" s="736"/>
      <c r="X880" s="737"/>
      <c r="Y880" s="745" t="s">
        <v>5653</v>
      </c>
      <c r="Z880" s="747"/>
      <c r="AA880" s="747"/>
      <c r="AB880" s="740">
        <v>16</v>
      </c>
      <c r="AC880" s="741"/>
      <c r="AD880" s="741" t="str">
        <f>'DICTIONARY-5'!$A$13</f>
        <v>woda pitna</v>
      </c>
      <c r="AE880" s="742">
        <v>50</v>
      </c>
      <c r="AF880" s="743">
        <v>90.4</v>
      </c>
      <c r="AG880" s="741" t="str">
        <f>'DICTIONARY-5'!$A$23&amp;" + "&amp;'DICTIONARY-5'!$A$25</f>
        <v>powłoka epoksydowa + poliester</v>
      </c>
    </row>
    <row r="881" spans="1:33" x14ac:dyDescent="0.25">
      <c r="A881" s="851" t="s">
        <v>4911</v>
      </c>
      <c r="B881" s="851" t="s">
        <v>803</v>
      </c>
      <c r="C881" s="836">
        <v>2595</v>
      </c>
      <c r="D881" s="836"/>
      <c r="E881" s="836"/>
      <c r="F881" s="836"/>
      <c r="G881" s="496" t="s">
        <v>7805</v>
      </c>
      <c r="H881" s="797" t="str">
        <f>VLOOKUP(G881,SETTINGS!$B$7:$D$97,2,0)</f>
        <v>NOVA Niro / 365</v>
      </c>
      <c r="I881" s="796">
        <f>VLOOKUP(G881,SETTINGS!$B$7:$D$97,3,0)</f>
        <v>0</v>
      </c>
      <c r="J881" s="670" t="str">
        <f>IFERROR(IF(CURRENCY.FORMAT_1=0,CONCATENATE(TEXT(FIXED(ROUND((C881/EXC.RATE_1),CURRENCY.FORMAT_1),CURRENCY.FORMAT_1,1),"# ##0;-# ##0"),",-"),FIXED(ROUND((C881/EXC.RATE_1),CURRENCY.FORMAT_1),CURRENCY.FORMAT_1,0)),'DICTIONARY-5'!$A$2)</f>
        <v>2 595,-</v>
      </c>
      <c r="K881" s="670" t="str">
        <f>IF(EXC.RATE_2=0,"",IFERROR(IF(CURRENCY.FORMAT_2=0,CONCATENATE(TEXT(FIXED(ROUND(IF(EXC.RATE.SWITCH=1,C881/EXC.RATE_2,C881*EXC.RATE_2),CURRENCY.FORMAT_2),CURRENCY.FORMAT_2,1),"# ##0;-# ##0"),",-"),FIXED(ROUND(IF(EXC.RATE.SWITCH=1,C881/EXC.RATE_2,C881*EXC.RATE_2),CURRENCY.FORMAT_2),CURRENCY.FORMAT_2,0)),'DICTIONARY-5'!$A$2))</f>
        <v/>
      </c>
      <c r="L881" s="670" t="str">
        <f>IFERROR(IF(CURRENCY.FORMAT_1=0,CONCATENATE(TEXT(FIXED(ROUND((C881*(1-I881)*(1-ADD.DISCOUNT)*(1+MAT.SURCHARGE)/EXC.RATE_1),CURRENCY.FORMAT_1),CURRENCY.FORMAT_1,1),"# ##0;-# ##0"),",-"),FIXED(ROUND((C881*(1-I881)*(1-ADD.DISCOUNT)*(1+MAT.SURCHARGE)/EXC.RATE_1),CURRENCY.FORMAT_1),CURRENCY.FORMAT_1,0)),'DICTIONARY-5'!$A$2)</f>
        <v>2 696,-</v>
      </c>
      <c r="M881" s="670" t="str">
        <f>IF(EXC.RATE_2=0,"",IFERROR(IF(CURRENCY.FORMAT_2=0,CONCATENATE(TEXT(FIXED(ROUND(IF(EXC.RATE.SWITCH=1,C881*(1-I881)*(1-ADD.DISCOUNT)*(1+MAT.SURCHARGE)/EXC.RATE_2,C881*(1-I881)*(1-ADD.DISCOUNT)*(1+MAT.SURCHARGE)*EXC.RATE_2),CURRENCY.FORMAT_2),CURRENCY.FORMAT_2,1),"# ##0;-# ##0"),",-"),FIXED(ROUND(IF(EXC.RATE.SWITCH=1,C881*(1-I881)*(1-ADD.DISCOUNT)*(1+MAT.SURCHARGE)/EXC.RATE_2,C881*(1-I881)*(1-ADD.DISCOUNT)*(1+MAT.SURCHARGE)*EXC.RATE_2),CURRENCY.FORMAT_2),CURRENCY.FORMAT_2,0)),'DICTIONARY-5'!$A$2))</f>
        <v/>
      </c>
      <c r="N881" s="543">
        <v>3</v>
      </c>
      <c r="O881" s="543"/>
      <c r="P881" s="731" t="str">
        <f>'DICTIONARY-3'!$A$44</f>
        <v>NOVA NIRO 365</v>
      </c>
      <c r="Q881" s="732" t="str">
        <f>'DICTIONARY-3'!$A$194</f>
        <v>Hydrant nadziemny</v>
      </c>
      <c r="R881" s="732" t="str">
        <f>CONCATENATE('DICTIONARY-3'!$A$44," ",'DICTIONARY-6'!$A$11," ",'DICTIONARY-2'!$A$2,"100"," ",'DICTIONARY-2'!$A$3,"10/16"," ",'DICTIONARY-2'!$A$7,"1,5m 2xB+1xA")</f>
        <v>NOVA NIRO 365 Hydr. nadz. DN100 PN10/16 Rd1,5m 2xB+1xA</v>
      </c>
      <c r="S881" s="733" t="s">
        <v>5569</v>
      </c>
      <c r="T881" s="732" t="s">
        <v>5569</v>
      </c>
      <c r="U881" s="734" t="s">
        <v>5749</v>
      </c>
      <c r="V881" s="735">
        <v>16</v>
      </c>
      <c r="W881" s="736"/>
      <c r="X881" s="737"/>
      <c r="Y881" s="745" t="s">
        <v>5654</v>
      </c>
      <c r="Z881" s="747"/>
      <c r="AA881" s="747"/>
      <c r="AB881" s="740">
        <v>16</v>
      </c>
      <c r="AC881" s="741"/>
      <c r="AD881" s="741" t="str">
        <f>'DICTIONARY-5'!$A$13</f>
        <v>woda pitna</v>
      </c>
      <c r="AE881" s="742">
        <v>50</v>
      </c>
      <c r="AF881" s="743">
        <v>97.2</v>
      </c>
      <c r="AG881" s="741" t="str">
        <f>'DICTIONARY-5'!$A$23&amp;" + "&amp;'DICTIONARY-5'!$A$25</f>
        <v>powłoka epoksydowa + poliester</v>
      </c>
    </row>
    <row r="882" spans="1:33" x14ac:dyDescent="0.25">
      <c r="A882" s="851" t="s">
        <v>810</v>
      </c>
      <c r="B882" s="851" t="s">
        <v>4267</v>
      </c>
      <c r="C882" s="836">
        <v>1278</v>
      </c>
      <c r="D882" s="836"/>
      <c r="E882" s="836"/>
      <c r="F882" s="836"/>
      <c r="G882" s="496" t="s">
        <v>7806</v>
      </c>
      <c r="H882" s="797" t="str">
        <f>VLOOKUP(G882,SETTINGS!$B$7:$D$97,2,0)</f>
        <v>RIGUS</v>
      </c>
      <c r="I882" s="796">
        <f>VLOOKUP(G882,SETTINGS!$B$7:$D$97,3,0)</f>
        <v>0</v>
      </c>
      <c r="J882" s="670" t="str">
        <f>IFERROR(IF(CURRENCY.FORMAT_1=0,CONCATENATE(TEXT(FIXED(ROUND((C882/EXC.RATE_1),CURRENCY.FORMAT_1),CURRENCY.FORMAT_1,1),"# ##0;-# ##0"),",-"),FIXED(ROUND((C882/EXC.RATE_1),CURRENCY.FORMAT_1),CURRENCY.FORMAT_1,0)),'DICTIONARY-5'!$A$2)</f>
        <v>1 278,-</v>
      </c>
      <c r="K882" s="670" t="str">
        <f>IF(EXC.RATE_2=0,"",IFERROR(IF(CURRENCY.FORMAT_2=0,CONCATENATE(TEXT(FIXED(ROUND(IF(EXC.RATE.SWITCH=1,C882/EXC.RATE_2,C882*EXC.RATE_2),CURRENCY.FORMAT_2),CURRENCY.FORMAT_2,1),"# ##0;-# ##0"),",-"),FIXED(ROUND(IF(EXC.RATE.SWITCH=1,C882/EXC.RATE_2,C882*EXC.RATE_2),CURRENCY.FORMAT_2),CURRENCY.FORMAT_2,0)),'DICTIONARY-5'!$A$2))</f>
        <v/>
      </c>
      <c r="L882" s="670" t="str">
        <f>IFERROR(IF(CURRENCY.FORMAT_1=0,CONCATENATE(TEXT(FIXED(ROUND((C882*(1-I882)*(1-ADD.DISCOUNT)*(1+MAT.SURCHARGE)/EXC.RATE_1),CURRENCY.FORMAT_1),CURRENCY.FORMAT_1,1),"# ##0;-# ##0"),",-"),FIXED(ROUND((C882*(1-I882)*(1-ADD.DISCOUNT)*(1+MAT.SURCHARGE)/EXC.RATE_1),CURRENCY.FORMAT_1),CURRENCY.FORMAT_1,0)),'DICTIONARY-5'!$A$2)</f>
        <v>1 328,-</v>
      </c>
      <c r="M882" s="670" t="str">
        <f>IF(EXC.RATE_2=0,"",IFERROR(IF(CURRENCY.FORMAT_2=0,CONCATENATE(TEXT(FIXED(ROUND(IF(EXC.RATE.SWITCH=1,C882*(1-I882)*(1-ADD.DISCOUNT)*(1+MAT.SURCHARGE)/EXC.RATE_2,C882*(1-I882)*(1-ADD.DISCOUNT)*(1+MAT.SURCHARGE)*EXC.RATE_2),CURRENCY.FORMAT_2),CURRENCY.FORMAT_2,1),"# ##0;-# ##0"),",-"),FIXED(ROUND(IF(EXC.RATE.SWITCH=1,C882*(1-I882)*(1-ADD.DISCOUNT)*(1+MAT.SURCHARGE)/EXC.RATE_2,C882*(1-I882)*(1-ADD.DISCOUNT)*(1+MAT.SURCHARGE)*EXC.RATE_2),CURRENCY.FORMAT_2),CURRENCY.FORMAT_2,0)),'DICTIONARY-5'!$A$2))</f>
        <v/>
      </c>
      <c r="N882" s="543">
        <v>3</v>
      </c>
      <c r="O882" s="543"/>
      <c r="P882" s="731" t="str">
        <f>'DICTIONARY-3'!$A$45</f>
        <v>RIGUS</v>
      </c>
      <c r="Q882" s="732" t="str">
        <f>'DICTIONARY-3'!$A$194</f>
        <v>Hydrant nadziemny</v>
      </c>
      <c r="R882" s="732" t="str">
        <f>CONCATENATE('DICTIONARY-3'!$A$45," ",'DICTIONARY-6'!$A$11," ",'DICTIONARY-2'!$A$2,"80"," ",'DICTIONARY-2'!$A$3,"10/16"," ",'DICTIONARY-2'!$A$7,"1,0m 2xB")</f>
        <v>RIGUS Hydr. nadz. DN80 PN10/16 Rd1,0m 2xB</v>
      </c>
      <c r="S882" s="733" t="s">
        <v>5569</v>
      </c>
      <c r="T882" s="732" t="s">
        <v>5569</v>
      </c>
      <c r="U882" s="734" t="s">
        <v>5760</v>
      </c>
      <c r="V882" s="735">
        <v>16</v>
      </c>
      <c r="W882" s="736"/>
      <c r="X882" s="737"/>
      <c r="Y882" s="745" t="s">
        <v>5652</v>
      </c>
      <c r="Z882" s="747"/>
      <c r="AA882" s="747"/>
      <c r="AB882" s="740">
        <v>16</v>
      </c>
      <c r="AC882" s="741"/>
      <c r="AD882" s="741" t="str">
        <f>'DICTIONARY-5'!$A$13</f>
        <v>woda pitna</v>
      </c>
      <c r="AE882" s="742">
        <v>50</v>
      </c>
      <c r="AF882" s="743">
        <v>62</v>
      </c>
      <c r="AG882" s="733" t="str">
        <f>'DICTIONARY-5'!$A$23&amp;" + "&amp;'DICTIONARY-5'!$A$25</f>
        <v>powłoka epoksydowa + poliester</v>
      </c>
    </row>
    <row r="883" spans="1:33" x14ac:dyDescent="0.25">
      <c r="A883" s="851" t="s">
        <v>811</v>
      </c>
      <c r="B883" s="851" t="s">
        <v>4268</v>
      </c>
      <c r="C883" s="836">
        <v>1334</v>
      </c>
      <c r="D883" s="836"/>
      <c r="E883" s="836"/>
      <c r="F883" s="836"/>
      <c r="G883" s="496" t="s">
        <v>7806</v>
      </c>
      <c r="H883" s="797" t="str">
        <f>VLOOKUP(G883,SETTINGS!$B$7:$D$97,2,0)</f>
        <v>RIGUS</v>
      </c>
      <c r="I883" s="796">
        <f>VLOOKUP(G883,SETTINGS!$B$7:$D$97,3,0)</f>
        <v>0</v>
      </c>
      <c r="J883" s="670" t="str">
        <f>IFERROR(IF(CURRENCY.FORMAT_1=0,CONCATENATE(TEXT(FIXED(ROUND((C883/EXC.RATE_1),CURRENCY.FORMAT_1),CURRENCY.FORMAT_1,1),"# ##0;-# ##0"),",-"),FIXED(ROUND((C883/EXC.RATE_1),CURRENCY.FORMAT_1),CURRENCY.FORMAT_1,0)),'DICTIONARY-5'!$A$2)</f>
        <v>1 334,-</v>
      </c>
      <c r="K883" s="670" t="str">
        <f>IF(EXC.RATE_2=0,"",IFERROR(IF(CURRENCY.FORMAT_2=0,CONCATENATE(TEXT(FIXED(ROUND(IF(EXC.RATE.SWITCH=1,C883/EXC.RATE_2,C883*EXC.RATE_2),CURRENCY.FORMAT_2),CURRENCY.FORMAT_2,1),"# ##0;-# ##0"),",-"),FIXED(ROUND(IF(EXC.RATE.SWITCH=1,C883/EXC.RATE_2,C883*EXC.RATE_2),CURRENCY.FORMAT_2),CURRENCY.FORMAT_2,0)),'DICTIONARY-5'!$A$2))</f>
        <v/>
      </c>
      <c r="L883" s="670" t="str">
        <f>IFERROR(IF(CURRENCY.FORMAT_1=0,CONCATENATE(TEXT(FIXED(ROUND((C883*(1-I883)*(1-ADD.DISCOUNT)*(1+MAT.SURCHARGE)/EXC.RATE_1),CURRENCY.FORMAT_1),CURRENCY.FORMAT_1,1),"# ##0;-# ##0"),",-"),FIXED(ROUND((C883*(1-I883)*(1-ADD.DISCOUNT)*(1+MAT.SURCHARGE)/EXC.RATE_1),CURRENCY.FORMAT_1),CURRENCY.FORMAT_1,0)),'DICTIONARY-5'!$A$2)</f>
        <v>1 386,-</v>
      </c>
      <c r="M883" s="670" t="str">
        <f>IF(EXC.RATE_2=0,"",IFERROR(IF(CURRENCY.FORMAT_2=0,CONCATENATE(TEXT(FIXED(ROUND(IF(EXC.RATE.SWITCH=1,C883*(1-I883)*(1-ADD.DISCOUNT)*(1+MAT.SURCHARGE)/EXC.RATE_2,C883*(1-I883)*(1-ADD.DISCOUNT)*(1+MAT.SURCHARGE)*EXC.RATE_2),CURRENCY.FORMAT_2),CURRENCY.FORMAT_2,1),"# ##0;-# ##0"),",-"),FIXED(ROUND(IF(EXC.RATE.SWITCH=1,C883*(1-I883)*(1-ADD.DISCOUNT)*(1+MAT.SURCHARGE)/EXC.RATE_2,C883*(1-I883)*(1-ADD.DISCOUNT)*(1+MAT.SURCHARGE)*EXC.RATE_2),CURRENCY.FORMAT_2),CURRENCY.FORMAT_2,0)),'DICTIONARY-5'!$A$2))</f>
        <v/>
      </c>
      <c r="N883" s="543">
        <v>3</v>
      </c>
      <c r="O883" s="543"/>
      <c r="P883" s="731" t="str">
        <f>'DICTIONARY-3'!$A$45</f>
        <v>RIGUS</v>
      </c>
      <c r="Q883" s="732" t="str">
        <f>'DICTIONARY-3'!$A$194</f>
        <v>Hydrant nadziemny</v>
      </c>
      <c r="R883" s="732" t="str">
        <f>CONCATENATE('DICTIONARY-3'!$A$45," ",'DICTIONARY-6'!$A$11," ",'DICTIONARY-2'!$A$2,"80"," ",'DICTIONARY-2'!$A$3,"10/16"," ",'DICTIONARY-2'!$A$7,"1,25m 2xB")</f>
        <v>RIGUS Hydr. nadz. DN80 PN10/16 Rd1,25m 2xB</v>
      </c>
      <c r="S883" s="733" t="s">
        <v>5569</v>
      </c>
      <c r="T883" s="732" t="s">
        <v>5569</v>
      </c>
      <c r="U883" s="734" t="s">
        <v>5760</v>
      </c>
      <c r="V883" s="735">
        <v>16</v>
      </c>
      <c r="W883" s="736"/>
      <c r="X883" s="737"/>
      <c r="Y883" s="745" t="s">
        <v>5653</v>
      </c>
      <c r="Z883" s="747"/>
      <c r="AA883" s="747"/>
      <c r="AB883" s="740">
        <v>16</v>
      </c>
      <c r="AC883" s="741"/>
      <c r="AD883" s="741" t="str">
        <f>'DICTIONARY-5'!$A$13</f>
        <v>woda pitna</v>
      </c>
      <c r="AE883" s="742">
        <v>50</v>
      </c>
      <c r="AF883" s="743">
        <v>65</v>
      </c>
      <c r="AG883" s="741" t="str">
        <f>'DICTIONARY-5'!$A$23&amp;" + "&amp;'DICTIONARY-5'!$A$25</f>
        <v>powłoka epoksydowa + poliester</v>
      </c>
    </row>
    <row r="884" spans="1:33" x14ac:dyDescent="0.25">
      <c r="A884" s="851" t="s">
        <v>812</v>
      </c>
      <c r="B884" s="851" t="s">
        <v>4269</v>
      </c>
      <c r="C884" s="836">
        <v>1327</v>
      </c>
      <c r="D884" s="836"/>
      <c r="E884" s="836"/>
      <c r="F884" s="836"/>
      <c r="G884" s="496" t="s">
        <v>7806</v>
      </c>
      <c r="H884" s="797" t="str">
        <f>VLOOKUP(G884,SETTINGS!$B$7:$D$97,2,0)</f>
        <v>RIGUS</v>
      </c>
      <c r="I884" s="796">
        <f>VLOOKUP(G884,SETTINGS!$B$7:$D$97,3,0)</f>
        <v>0</v>
      </c>
      <c r="J884" s="670" t="str">
        <f>IFERROR(IF(CURRENCY.FORMAT_1=0,CONCATENATE(TEXT(FIXED(ROUND((C884/EXC.RATE_1),CURRENCY.FORMAT_1),CURRENCY.FORMAT_1,1),"# ##0;-# ##0"),",-"),FIXED(ROUND((C884/EXC.RATE_1),CURRENCY.FORMAT_1),CURRENCY.FORMAT_1,0)),'DICTIONARY-5'!$A$2)</f>
        <v>1 327,-</v>
      </c>
      <c r="K884" s="670" t="str">
        <f>IF(EXC.RATE_2=0,"",IFERROR(IF(CURRENCY.FORMAT_2=0,CONCATENATE(TEXT(FIXED(ROUND(IF(EXC.RATE.SWITCH=1,C884/EXC.RATE_2,C884*EXC.RATE_2),CURRENCY.FORMAT_2),CURRENCY.FORMAT_2,1),"# ##0;-# ##0"),",-"),FIXED(ROUND(IF(EXC.RATE.SWITCH=1,C884/EXC.RATE_2,C884*EXC.RATE_2),CURRENCY.FORMAT_2),CURRENCY.FORMAT_2,0)),'DICTIONARY-5'!$A$2))</f>
        <v/>
      </c>
      <c r="L884" s="670" t="str">
        <f>IFERROR(IF(CURRENCY.FORMAT_1=0,CONCATENATE(TEXT(FIXED(ROUND((C884*(1-I884)*(1-ADD.DISCOUNT)*(1+MAT.SURCHARGE)/EXC.RATE_1),CURRENCY.FORMAT_1),CURRENCY.FORMAT_1,1),"# ##0;-# ##0"),",-"),FIXED(ROUND((C884*(1-I884)*(1-ADD.DISCOUNT)*(1+MAT.SURCHARGE)/EXC.RATE_1),CURRENCY.FORMAT_1),CURRENCY.FORMAT_1,0)),'DICTIONARY-5'!$A$2)</f>
        <v>1 379,-</v>
      </c>
      <c r="M884" s="670" t="str">
        <f>IF(EXC.RATE_2=0,"",IFERROR(IF(CURRENCY.FORMAT_2=0,CONCATENATE(TEXT(FIXED(ROUND(IF(EXC.RATE.SWITCH=1,C884*(1-I884)*(1-ADD.DISCOUNT)*(1+MAT.SURCHARGE)/EXC.RATE_2,C884*(1-I884)*(1-ADD.DISCOUNT)*(1+MAT.SURCHARGE)*EXC.RATE_2),CURRENCY.FORMAT_2),CURRENCY.FORMAT_2,1),"# ##0;-# ##0"),",-"),FIXED(ROUND(IF(EXC.RATE.SWITCH=1,C884*(1-I884)*(1-ADD.DISCOUNT)*(1+MAT.SURCHARGE)/EXC.RATE_2,C884*(1-I884)*(1-ADD.DISCOUNT)*(1+MAT.SURCHARGE)*EXC.RATE_2),CURRENCY.FORMAT_2),CURRENCY.FORMAT_2,0)),'DICTIONARY-5'!$A$2))</f>
        <v/>
      </c>
      <c r="N884" s="543">
        <v>3</v>
      </c>
      <c r="O884" s="543"/>
      <c r="P884" s="731" t="str">
        <f>'DICTIONARY-3'!$A$45</f>
        <v>RIGUS</v>
      </c>
      <c r="Q884" s="732" t="str">
        <f>'DICTIONARY-3'!$A$194</f>
        <v>Hydrant nadziemny</v>
      </c>
      <c r="R884" s="732" t="str">
        <f>CONCATENATE('DICTIONARY-3'!$A$45," ",'DICTIONARY-6'!$A$11," ",'DICTIONARY-2'!$A$2,"80"," ",'DICTIONARY-2'!$A$3,"10/16"," ",'DICTIONARY-2'!$A$7,"1,5m 2xB")</f>
        <v>RIGUS Hydr. nadz. DN80 PN10/16 Rd1,5m 2xB</v>
      </c>
      <c r="S884" s="733" t="s">
        <v>5569</v>
      </c>
      <c r="T884" s="732" t="s">
        <v>5569</v>
      </c>
      <c r="U884" s="734" t="s">
        <v>5760</v>
      </c>
      <c r="V884" s="735">
        <v>16</v>
      </c>
      <c r="W884" s="736"/>
      <c r="X884" s="737"/>
      <c r="Y884" s="745" t="s">
        <v>5654</v>
      </c>
      <c r="Z884" s="747"/>
      <c r="AA884" s="747"/>
      <c r="AB884" s="740">
        <v>16</v>
      </c>
      <c r="AC884" s="741"/>
      <c r="AD884" s="741" t="str">
        <f>'DICTIONARY-5'!$A$13</f>
        <v>woda pitna</v>
      </c>
      <c r="AE884" s="742">
        <v>50</v>
      </c>
      <c r="AF884" s="743">
        <v>70</v>
      </c>
      <c r="AG884" s="741" t="str">
        <f>'DICTIONARY-5'!$A$23&amp;" + "&amp;'DICTIONARY-5'!$A$25</f>
        <v>powłoka epoksydowa + poliester</v>
      </c>
    </row>
    <row r="885" spans="1:33" x14ac:dyDescent="0.25">
      <c r="A885" s="851" t="s">
        <v>813</v>
      </c>
      <c r="B885" s="851" t="s">
        <v>4270</v>
      </c>
      <c r="C885" s="836">
        <v>1390</v>
      </c>
      <c r="D885" s="836"/>
      <c r="E885" s="836"/>
      <c r="F885" s="836"/>
      <c r="G885" s="496" t="s">
        <v>7806</v>
      </c>
      <c r="H885" s="797" t="str">
        <f>VLOOKUP(G885,SETTINGS!$B$7:$D$97,2,0)</f>
        <v>RIGUS</v>
      </c>
      <c r="I885" s="796">
        <f>VLOOKUP(G885,SETTINGS!$B$7:$D$97,3,0)</f>
        <v>0</v>
      </c>
      <c r="J885" s="670" t="str">
        <f>IFERROR(IF(CURRENCY.FORMAT_1=0,CONCATENATE(TEXT(FIXED(ROUND((C885/EXC.RATE_1),CURRENCY.FORMAT_1),CURRENCY.FORMAT_1,1),"# ##0;-# ##0"),",-"),FIXED(ROUND((C885/EXC.RATE_1),CURRENCY.FORMAT_1),CURRENCY.FORMAT_1,0)),'DICTIONARY-5'!$A$2)</f>
        <v>1 390,-</v>
      </c>
      <c r="K885" s="670" t="str">
        <f>IF(EXC.RATE_2=0,"",IFERROR(IF(CURRENCY.FORMAT_2=0,CONCATENATE(TEXT(FIXED(ROUND(IF(EXC.RATE.SWITCH=1,C885/EXC.RATE_2,C885*EXC.RATE_2),CURRENCY.FORMAT_2),CURRENCY.FORMAT_2,1),"# ##0;-# ##0"),",-"),FIXED(ROUND(IF(EXC.RATE.SWITCH=1,C885/EXC.RATE_2,C885*EXC.RATE_2),CURRENCY.FORMAT_2),CURRENCY.FORMAT_2,0)),'DICTIONARY-5'!$A$2))</f>
        <v/>
      </c>
      <c r="L885" s="670" t="str">
        <f>IFERROR(IF(CURRENCY.FORMAT_1=0,CONCATENATE(TEXT(FIXED(ROUND((C885*(1-I885)*(1-ADD.DISCOUNT)*(1+MAT.SURCHARGE)/EXC.RATE_1),CURRENCY.FORMAT_1),CURRENCY.FORMAT_1,1),"# ##0;-# ##0"),",-"),FIXED(ROUND((C885*(1-I885)*(1-ADD.DISCOUNT)*(1+MAT.SURCHARGE)/EXC.RATE_1),CURRENCY.FORMAT_1),CURRENCY.FORMAT_1,0)),'DICTIONARY-5'!$A$2)</f>
        <v>1 444,-</v>
      </c>
      <c r="M885" s="670" t="str">
        <f>IF(EXC.RATE_2=0,"",IFERROR(IF(CURRENCY.FORMAT_2=0,CONCATENATE(TEXT(FIXED(ROUND(IF(EXC.RATE.SWITCH=1,C885*(1-I885)*(1-ADD.DISCOUNT)*(1+MAT.SURCHARGE)/EXC.RATE_2,C885*(1-I885)*(1-ADD.DISCOUNT)*(1+MAT.SURCHARGE)*EXC.RATE_2),CURRENCY.FORMAT_2),CURRENCY.FORMAT_2,1),"# ##0;-# ##0"),",-"),FIXED(ROUND(IF(EXC.RATE.SWITCH=1,C885*(1-I885)*(1-ADD.DISCOUNT)*(1+MAT.SURCHARGE)/EXC.RATE_2,C885*(1-I885)*(1-ADD.DISCOUNT)*(1+MAT.SURCHARGE)*EXC.RATE_2),CURRENCY.FORMAT_2),CURRENCY.FORMAT_2,0)),'DICTIONARY-5'!$A$2))</f>
        <v/>
      </c>
      <c r="N885" s="543">
        <v>3</v>
      </c>
      <c r="O885" s="543"/>
      <c r="P885" s="731" t="str">
        <f>'DICTIONARY-3'!$A$45</f>
        <v>RIGUS</v>
      </c>
      <c r="Q885" s="732" t="str">
        <f>'DICTIONARY-3'!$A$194</f>
        <v>Hydrant nadziemny</v>
      </c>
      <c r="R885" s="732" t="str">
        <f>CONCATENATE('DICTIONARY-3'!$A$45," ",'DICTIONARY-6'!$A$11," ",'DICTIONARY-2'!$A$2,"100"," ",'DICTIONARY-2'!$A$3,"10/16"," ",'DICTIONARY-2'!$A$7,"1,0m 2xB")</f>
        <v>RIGUS Hydr. nadz. DN100 PN10/16 Rd1,0m 2xB</v>
      </c>
      <c r="S885" s="733" t="s">
        <v>5569</v>
      </c>
      <c r="T885" s="732" t="s">
        <v>5569</v>
      </c>
      <c r="U885" s="734" t="s">
        <v>5749</v>
      </c>
      <c r="V885" s="735">
        <v>16</v>
      </c>
      <c r="W885" s="736"/>
      <c r="X885" s="737"/>
      <c r="Y885" s="745" t="s">
        <v>5652</v>
      </c>
      <c r="Z885" s="747"/>
      <c r="AA885" s="747"/>
      <c r="AB885" s="740">
        <v>16</v>
      </c>
      <c r="AC885" s="741"/>
      <c r="AD885" s="741" t="str">
        <f>'DICTIONARY-5'!$A$13</f>
        <v>woda pitna</v>
      </c>
      <c r="AE885" s="742">
        <v>50</v>
      </c>
      <c r="AF885" s="743">
        <v>63.5</v>
      </c>
      <c r="AG885" s="741" t="str">
        <f>'DICTIONARY-5'!$A$23&amp;" + "&amp;'DICTIONARY-5'!$A$25</f>
        <v>powłoka epoksydowa + poliester</v>
      </c>
    </row>
    <row r="886" spans="1:33" x14ac:dyDescent="0.25">
      <c r="A886" s="851" t="s">
        <v>814</v>
      </c>
      <c r="B886" s="851" t="s">
        <v>4271</v>
      </c>
      <c r="C886" s="836">
        <v>1449</v>
      </c>
      <c r="D886" s="836"/>
      <c r="E886" s="836"/>
      <c r="F886" s="836"/>
      <c r="G886" s="496" t="s">
        <v>7806</v>
      </c>
      <c r="H886" s="797" t="str">
        <f>VLOOKUP(G886,SETTINGS!$B$7:$D$97,2,0)</f>
        <v>RIGUS</v>
      </c>
      <c r="I886" s="796">
        <f>VLOOKUP(G886,SETTINGS!$B$7:$D$97,3,0)</f>
        <v>0</v>
      </c>
      <c r="J886" s="670" t="str">
        <f>IFERROR(IF(CURRENCY.FORMAT_1=0,CONCATENATE(TEXT(FIXED(ROUND((C886/EXC.RATE_1),CURRENCY.FORMAT_1),CURRENCY.FORMAT_1,1),"# ##0;-# ##0"),",-"),FIXED(ROUND((C886/EXC.RATE_1),CURRENCY.FORMAT_1),CURRENCY.FORMAT_1,0)),'DICTIONARY-5'!$A$2)</f>
        <v>1 449,-</v>
      </c>
      <c r="K886" s="670" t="str">
        <f>IF(EXC.RATE_2=0,"",IFERROR(IF(CURRENCY.FORMAT_2=0,CONCATENATE(TEXT(FIXED(ROUND(IF(EXC.RATE.SWITCH=1,C886/EXC.RATE_2,C886*EXC.RATE_2),CURRENCY.FORMAT_2),CURRENCY.FORMAT_2,1),"# ##0;-# ##0"),",-"),FIXED(ROUND(IF(EXC.RATE.SWITCH=1,C886/EXC.RATE_2,C886*EXC.RATE_2),CURRENCY.FORMAT_2),CURRENCY.FORMAT_2,0)),'DICTIONARY-5'!$A$2))</f>
        <v/>
      </c>
      <c r="L886" s="670" t="str">
        <f>IFERROR(IF(CURRENCY.FORMAT_1=0,CONCATENATE(TEXT(FIXED(ROUND((C886*(1-I886)*(1-ADD.DISCOUNT)*(1+MAT.SURCHARGE)/EXC.RATE_1),CURRENCY.FORMAT_1),CURRENCY.FORMAT_1,1),"# ##0;-# ##0"),",-"),FIXED(ROUND((C886*(1-I886)*(1-ADD.DISCOUNT)*(1+MAT.SURCHARGE)/EXC.RATE_1),CURRENCY.FORMAT_1),CURRENCY.FORMAT_1,0)),'DICTIONARY-5'!$A$2)</f>
        <v>1 506,-</v>
      </c>
      <c r="M886" s="670" t="str">
        <f>IF(EXC.RATE_2=0,"",IFERROR(IF(CURRENCY.FORMAT_2=0,CONCATENATE(TEXT(FIXED(ROUND(IF(EXC.RATE.SWITCH=1,C886*(1-I886)*(1-ADD.DISCOUNT)*(1+MAT.SURCHARGE)/EXC.RATE_2,C886*(1-I886)*(1-ADD.DISCOUNT)*(1+MAT.SURCHARGE)*EXC.RATE_2),CURRENCY.FORMAT_2),CURRENCY.FORMAT_2,1),"# ##0;-# ##0"),",-"),FIXED(ROUND(IF(EXC.RATE.SWITCH=1,C886*(1-I886)*(1-ADD.DISCOUNT)*(1+MAT.SURCHARGE)/EXC.RATE_2,C886*(1-I886)*(1-ADD.DISCOUNT)*(1+MAT.SURCHARGE)*EXC.RATE_2),CURRENCY.FORMAT_2),CURRENCY.FORMAT_2,0)),'DICTIONARY-5'!$A$2))</f>
        <v/>
      </c>
      <c r="N886" s="543">
        <v>3</v>
      </c>
      <c r="O886" s="543"/>
      <c r="P886" s="731" t="str">
        <f>'DICTIONARY-3'!$A$45</f>
        <v>RIGUS</v>
      </c>
      <c r="Q886" s="732" t="str">
        <f>'DICTIONARY-3'!$A$194</f>
        <v>Hydrant nadziemny</v>
      </c>
      <c r="R886" s="732" t="str">
        <f>CONCATENATE('DICTIONARY-3'!$A$45," ",'DICTIONARY-6'!$A$11," ",'DICTIONARY-2'!$A$2,"100"," ",'DICTIONARY-2'!$A$3,"10/16"," ",'DICTIONARY-2'!$A$7,"1,25m 2xB")</f>
        <v>RIGUS Hydr. nadz. DN100 PN10/16 Rd1,25m 2xB</v>
      </c>
      <c r="S886" s="733" t="s">
        <v>5569</v>
      </c>
      <c r="T886" s="732" t="s">
        <v>5569</v>
      </c>
      <c r="U886" s="734" t="s">
        <v>5749</v>
      </c>
      <c r="V886" s="735">
        <v>16</v>
      </c>
      <c r="W886" s="736"/>
      <c r="X886" s="737"/>
      <c r="Y886" s="745" t="s">
        <v>5653</v>
      </c>
      <c r="Z886" s="747"/>
      <c r="AA886" s="747"/>
      <c r="AB886" s="740">
        <v>16</v>
      </c>
      <c r="AC886" s="741"/>
      <c r="AD886" s="741" t="str">
        <f>'DICTIONARY-5'!$A$13</f>
        <v>woda pitna</v>
      </c>
      <c r="AE886" s="742">
        <v>50</v>
      </c>
      <c r="AF886" s="743">
        <v>68.55</v>
      </c>
      <c r="AG886" s="741" t="str">
        <f>'DICTIONARY-5'!$A$23&amp;" + "&amp;'DICTIONARY-5'!$A$25</f>
        <v>powłoka epoksydowa + poliester</v>
      </c>
    </row>
    <row r="887" spans="1:33" x14ac:dyDescent="0.25">
      <c r="A887" s="851" t="s">
        <v>815</v>
      </c>
      <c r="B887" s="851" t="s">
        <v>4272</v>
      </c>
      <c r="C887" s="836">
        <v>1478</v>
      </c>
      <c r="D887" s="836"/>
      <c r="E887" s="836"/>
      <c r="F887" s="836"/>
      <c r="G887" s="496" t="s">
        <v>7806</v>
      </c>
      <c r="H887" s="797" t="str">
        <f>VLOOKUP(G887,SETTINGS!$B$7:$D$97,2,0)</f>
        <v>RIGUS</v>
      </c>
      <c r="I887" s="796">
        <f>VLOOKUP(G887,SETTINGS!$B$7:$D$97,3,0)</f>
        <v>0</v>
      </c>
      <c r="J887" s="670" t="str">
        <f>IFERROR(IF(CURRENCY.FORMAT_1=0,CONCATENATE(TEXT(FIXED(ROUND((C887/EXC.RATE_1),CURRENCY.FORMAT_1),CURRENCY.FORMAT_1,1),"# ##0;-# ##0"),",-"),FIXED(ROUND((C887/EXC.RATE_1),CURRENCY.FORMAT_1),CURRENCY.FORMAT_1,0)),'DICTIONARY-5'!$A$2)</f>
        <v>1 478,-</v>
      </c>
      <c r="K887" s="670" t="str">
        <f>IF(EXC.RATE_2=0,"",IFERROR(IF(CURRENCY.FORMAT_2=0,CONCATENATE(TEXT(FIXED(ROUND(IF(EXC.RATE.SWITCH=1,C887/EXC.RATE_2,C887*EXC.RATE_2),CURRENCY.FORMAT_2),CURRENCY.FORMAT_2,1),"# ##0;-# ##0"),",-"),FIXED(ROUND(IF(EXC.RATE.SWITCH=1,C887/EXC.RATE_2,C887*EXC.RATE_2),CURRENCY.FORMAT_2),CURRENCY.FORMAT_2,0)),'DICTIONARY-5'!$A$2))</f>
        <v/>
      </c>
      <c r="L887" s="670" t="str">
        <f>IFERROR(IF(CURRENCY.FORMAT_1=0,CONCATENATE(TEXT(FIXED(ROUND((C887*(1-I887)*(1-ADD.DISCOUNT)*(1+MAT.SURCHARGE)/EXC.RATE_1),CURRENCY.FORMAT_1),CURRENCY.FORMAT_1,1),"# ##0;-# ##0"),",-"),FIXED(ROUND((C887*(1-I887)*(1-ADD.DISCOUNT)*(1+MAT.SURCHARGE)/EXC.RATE_1),CURRENCY.FORMAT_1),CURRENCY.FORMAT_1,0)),'DICTIONARY-5'!$A$2)</f>
        <v>1 536,-</v>
      </c>
      <c r="M887" s="670" t="str">
        <f>IF(EXC.RATE_2=0,"",IFERROR(IF(CURRENCY.FORMAT_2=0,CONCATENATE(TEXT(FIXED(ROUND(IF(EXC.RATE.SWITCH=1,C887*(1-I887)*(1-ADD.DISCOUNT)*(1+MAT.SURCHARGE)/EXC.RATE_2,C887*(1-I887)*(1-ADD.DISCOUNT)*(1+MAT.SURCHARGE)*EXC.RATE_2),CURRENCY.FORMAT_2),CURRENCY.FORMAT_2,1),"# ##0;-# ##0"),",-"),FIXED(ROUND(IF(EXC.RATE.SWITCH=1,C887*(1-I887)*(1-ADD.DISCOUNT)*(1+MAT.SURCHARGE)/EXC.RATE_2,C887*(1-I887)*(1-ADD.DISCOUNT)*(1+MAT.SURCHARGE)*EXC.RATE_2),CURRENCY.FORMAT_2),CURRENCY.FORMAT_2,0)),'DICTIONARY-5'!$A$2))</f>
        <v/>
      </c>
      <c r="N887" s="543">
        <v>3</v>
      </c>
      <c r="O887" s="543"/>
      <c r="P887" s="731" t="str">
        <f>'DICTIONARY-3'!$A$45</f>
        <v>RIGUS</v>
      </c>
      <c r="Q887" s="732" t="str">
        <f>'DICTIONARY-3'!$A$194</f>
        <v>Hydrant nadziemny</v>
      </c>
      <c r="R887" s="732" t="str">
        <f>CONCATENATE('DICTIONARY-3'!$A$45," ",'DICTIONARY-6'!$A$11," ",'DICTIONARY-2'!$A$2,"100"," ",'DICTIONARY-2'!$A$3,"10/16"," ",'DICTIONARY-2'!$A$7,"1,5m 2xB")</f>
        <v>RIGUS Hydr. nadz. DN100 PN10/16 Rd1,5m 2xB</v>
      </c>
      <c r="S887" s="733" t="s">
        <v>5569</v>
      </c>
      <c r="T887" s="732" t="s">
        <v>5569</v>
      </c>
      <c r="U887" s="734" t="s">
        <v>5749</v>
      </c>
      <c r="V887" s="735">
        <v>16</v>
      </c>
      <c r="W887" s="736"/>
      <c r="X887" s="737"/>
      <c r="Y887" s="745" t="s">
        <v>5654</v>
      </c>
      <c r="Z887" s="747"/>
      <c r="AA887" s="747"/>
      <c r="AB887" s="740">
        <v>16</v>
      </c>
      <c r="AC887" s="741"/>
      <c r="AD887" s="741" t="str">
        <f>'DICTIONARY-5'!$A$13</f>
        <v>woda pitna</v>
      </c>
      <c r="AE887" s="742">
        <v>50</v>
      </c>
      <c r="AF887" s="743">
        <v>85.5</v>
      </c>
      <c r="AG887" s="741" t="str">
        <f>'DICTIONARY-5'!$A$23&amp;" + "&amp;'DICTIONARY-5'!$A$25</f>
        <v>powłoka epoksydowa + poliester</v>
      </c>
    </row>
    <row r="888" spans="1:33" x14ac:dyDescent="0.25">
      <c r="A888" s="851" t="s">
        <v>839</v>
      </c>
      <c r="B888" s="851" t="s">
        <v>4780</v>
      </c>
      <c r="C888" s="836">
        <v>130</v>
      </c>
      <c r="D888" s="836"/>
      <c r="E888" s="836"/>
      <c r="F888" s="836"/>
      <c r="G888" s="496" t="s">
        <v>7808</v>
      </c>
      <c r="H888" s="797" t="str">
        <f>VLOOKUP(G888,SETTINGS!$B$7:$D$97,2,0)</f>
        <v>Hydrant Accessories</v>
      </c>
      <c r="I888" s="796">
        <f>VLOOKUP(G888,SETTINGS!$B$7:$D$97,3,0)</f>
        <v>0</v>
      </c>
      <c r="J888" s="670" t="str">
        <f>IFERROR(IF(CURRENCY.FORMAT_1=0,CONCATENATE(TEXT(FIXED(ROUND((C888/EXC.RATE_1),CURRENCY.FORMAT_1),CURRENCY.FORMAT_1,1),"# ##0;-# ##0"),",-"),FIXED(ROUND((C888/EXC.RATE_1),CURRENCY.FORMAT_1),CURRENCY.FORMAT_1,0)),'DICTIONARY-5'!$A$2)</f>
        <v>130,-</v>
      </c>
      <c r="K888" s="670" t="str">
        <f>IF(EXC.RATE_2=0,"",IFERROR(IF(CURRENCY.FORMAT_2=0,CONCATENATE(TEXT(FIXED(ROUND(IF(EXC.RATE.SWITCH=1,C888/EXC.RATE_2,C888*EXC.RATE_2),CURRENCY.FORMAT_2),CURRENCY.FORMAT_2,1),"# ##0;-# ##0"),",-"),FIXED(ROUND(IF(EXC.RATE.SWITCH=1,C888/EXC.RATE_2,C888*EXC.RATE_2),CURRENCY.FORMAT_2),CURRENCY.FORMAT_2,0)),'DICTIONARY-5'!$A$2))</f>
        <v/>
      </c>
      <c r="L888" s="670" t="str">
        <f>IFERROR(IF(CURRENCY.FORMAT_1=0,CONCATENATE(TEXT(FIXED(ROUND((C888*(1-I888)*(1-ADD.DISCOUNT)*(1+MAT.SURCHARGE)/EXC.RATE_1),CURRENCY.FORMAT_1),CURRENCY.FORMAT_1,1),"# ##0;-# ##0"),",-"),FIXED(ROUND((C888*(1-I888)*(1-ADD.DISCOUNT)*(1+MAT.SURCHARGE)/EXC.RATE_1),CURRENCY.FORMAT_1),CURRENCY.FORMAT_1,0)),'DICTIONARY-5'!$A$2)</f>
        <v>135,-</v>
      </c>
      <c r="M888" s="670" t="str">
        <f>IF(EXC.RATE_2=0,"",IFERROR(IF(CURRENCY.FORMAT_2=0,CONCATENATE(TEXT(FIXED(ROUND(IF(EXC.RATE.SWITCH=1,C888*(1-I888)*(1-ADD.DISCOUNT)*(1+MAT.SURCHARGE)/EXC.RATE_2,C888*(1-I888)*(1-ADD.DISCOUNT)*(1+MAT.SURCHARGE)*EXC.RATE_2),CURRENCY.FORMAT_2),CURRENCY.FORMAT_2,1),"# ##0;-# ##0"),",-"),FIXED(ROUND(IF(EXC.RATE.SWITCH=1,C888*(1-I888)*(1-ADD.DISCOUNT)*(1+MAT.SURCHARGE)/EXC.RATE_2,C888*(1-I888)*(1-ADD.DISCOUNT)*(1+MAT.SURCHARGE)*EXC.RATE_2),CURRENCY.FORMAT_2),CURRENCY.FORMAT_2,0)),'DICTIONARY-5'!$A$2))</f>
        <v/>
      </c>
      <c r="N888" s="543">
        <v>3</v>
      </c>
      <c r="O888" s="543"/>
      <c r="P888" s="732" t="str">
        <f>'DICTIONARY-3'!$A$175&amp;'DICTIONARY-3'!$A$50&amp;'DICTIONARY-3'!$A$174</f>
        <v>Kształtka-N‎</v>
      </c>
      <c r="Q888" s="732" t="str">
        <f>'DICTIONARY-3'!$A$49</f>
        <v>Akcesoria dla hydrantów</v>
      </c>
      <c r="R888" s="732" t="str">
        <f>CONCATENATE('DICTIONARY-3'!$A$175&amp;'DICTIONARY-3'!$A$50&amp;'DICTIONARY-3'!$A$174," ",'DICTIONARY-2'!$A$2,U888," ",'DICTIONARY-2'!$A$3,"10/16"," ",'DICTIONARY-5'!$A$64)</f>
        <v>Kształtka-N‎ DN80 PN10/16 owiert 4 otw.</v>
      </c>
      <c r="S888" s="733" t="s">
        <v>5569</v>
      </c>
      <c r="T888" s="732" t="s">
        <v>5569</v>
      </c>
      <c r="U888" s="734" t="s">
        <v>5760</v>
      </c>
      <c r="V888" s="735">
        <v>16</v>
      </c>
      <c r="W888" s="736"/>
      <c r="X888" s="737"/>
      <c r="Y888" s="738"/>
      <c r="Z888" s="739"/>
      <c r="AA888" s="739"/>
      <c r="AB888" s="740">
        <v>16</v>
      </c>
      <c r="AC888" s="741" t="s">
        <v>5569</v>
      </c>
      <c r="AD888" s="741" t="str">
        <f>'DICTIONARY-5'!$A$13</f>
        <v>woda pitna</v>
      </c>
      <c r="AE888" s="742">
        <v>50</v>
      </c>
      <c r="AF888" s="743">
        <v>14.25</v>
      </c>
      <c r="AG888" s="741" t="str">
        <f>'DICTIONARY-5'!$A$23</f>
        <v>powłoka epoksydowa</v>
      </c>
    </row>
    <row r="889" spans="1:33" x14ac:dyDescent="0.25">
      <c r="A889" s="851" t="s">
        <v>840</v>
      </c>
      <c r="B889" s="851" t="s">
        <v>4779</v>
      </c>
      <c r="C889" s="836">
        <v>127</v>
      </c>
      <c r="D889" s="836"/>
      <c r="E889" s="836"/>
      <c r="F889" s="836"/>
      <c r="G889" s="496" t="s">
        <v>7808</v>
      </c>
      <c r="H889" s="797" t="str">
        <f>VLOOKUP(G889,SETTINGS!$B$7:$D$97,2,0)</f>
        <v>Hydrant Accessories</v>
      </c>
      <c r="I889" s="796">
        <f>VLOOKUP(G889,SETTINGS!$B$7:$D$97,3,0)</f>
        <v>0</v>
      </c>
      <c r="J889" s="670" t="str">
        <f>IFERROR(IF(CURRENCY.FORMAT_1=0,CONCATENATE(TEXT(FIXED(ROUND((C889/EXC.RATE_1),CURRENCY.FORMAT_1),CURRENCY.FORMAT_1,1),"# ##0;-# ##0"),",-"),FIXED(ROUND((C889/EXC.RATE_1),CURRENCY.FORMAT_1),CURRENCY.FORMAT_1,0)),'DICTIONARY-5'!$A$2)</f>
        <v>127,-</v>
      </c>
      <c r="K889" s="670" t="str">
        <f>IF(EXC.RATE_2=0,"",IFERROR(IF(CURRENCY.FORMAT_2=0,CONCATENATE(TEXT(FIXED(ROUND(IF(EXC.RATE.SWITCH=1,C889/EXC.RATE_2,C889*EXC.RATE_2),CURRENCY.FORMAT_2),CURRENCY.FORMAT_2,1),"# ##0;-# ##0"),",-"),FIXED(ROUND(IF(EXC.RATE.SWITCH=1,C889/EXC.RATE_2,C889*EXC.RATE_2),CURRENCY.FORMAT_2),CURRENCY.FORMAT_2,0)),'DICTIONARY-5'!$A$2))</f>
        <v/>
      </c>
      <c r="L889" s="670" t="str">
        <f>IFERROR(IF(CURRENCY.FORMAT_1=0,CONCATENATE(TEXT(FIXED(ROUND((C889*(1-I889)*(1-ADD.DISCOUNT)*(1+MAT.SURCHARGE)/EXC.RATE_1),CURRENCY.FORMAT_1),CURRENCY.FORMAT_1,1),"# ##0;-# ##0"),",-"),FIXED(ROUND((C889*(1-I889)*(1-ADD.DISCOUNT)*(1+MAT.SURCHARGE)/EXC.RATE_1),CURRENCY.FORMAT_1),CURRENCY.FORMAT_1,0)),'DICTIONARY-5'!$A$2)</f>
        <v>132,-</v>
      </c>
      <c r="M889" s="670" t="str">
        <f>IF(EXC.RATE_2=0,"",IFERROR(IF(CURRENCY.FORMAT_2=0,CONCATENATE(TEXT(FIXED(ROUND(IF(EXC.RATE.SWITCH=1,C889*(1-I889)*(1-ADD.DISCOUNT)*(1+MAT.SURCHARGE)/EXC.RATE_2,C889*(1-I889)*(1-ADD.DISCOUNT)*(1+MAT.SURCHARGE)*EXC.RATE_2),CURRENCY.FORMAT_2),CURRENCY.FORMAT_2,1),"# ##0;-# ##0"),",-"),FIXED(ROUND(IF(EXC.RATE.SWITCH=1,C889*(1-I889)*(1-ADD.DISCOUNT)*(1+MAT.SURCHARGE)/EXC.RATE_2,C889*(1-I889)*(1-ADD.DISCOUNT)*(1+MAT.SURCHARGE)*EXC.RATE_2),CURRENCY.FORMAT_2),CURRENCY.FORMAT_2,0)),'DICTIONARY-5'!$A$2))</f>
        <v/>
      </c>
      <c r="N889" s="543">
        <v>3</v>
      </c>
      <c r="O889" s="543"/>
      <c r="P889" s="732" t="str">
        <f>'DICTIONARY-3'!$A$175&amp;'DICTIONARY-3'!$A$50&amp;'DICTIONARY-3'!$A$174</f>
        <v>Kształtka-N‎</v>
      </c>
      <c r="Q889" s="732" t="str">
        <f>'DICTIONARY-3'!$A$49</f>
        <v>Akcesoria dla hydrantów</v>
      </c>
      <c r="R889" s="732" t="str">
        <f>CONCATENATE('DICTIONARY-3'!$A$175&amp;'DICTIONARY-3'!$A$50&amp;'DICTIONARY-3'!$A$174," ",'DICTIONARY-2'!$A$2,U889," ",'DICTIONARY-2'!$A$3,"10/16")</f>
        <v>Kształtka-N‎ DN80 PN10/16</v>
      </c>
      <c r="S889" s="733" t="s">
        <v>5569</v>
      </c>
      <c r="T889" s="732" t="s">
        <v>5569</v>
      </c>
      <c r="U889" s="734" t="s">
        <v>5760</v>
      </c>
      <c r="V889" s="735">
        <v>16</v>
      </c>
      <c r="W889" s="736"/>
      <c r="X889" s="737"/>
      <c r="Y889" s="738"/>
      <c r="Z889" s="739"/>
      <c r="AA889" s="739"/>
      <c r="AB889" s="740">
        <v>16</v>
      </c>
      <c r="AC889" s="741" t="s">
        <v>5569</v>
      </c>
      <c r="AD889" s="741" t="str">
        <f>'DICTIONARY-5'!$A$13</f>
        <v>woda pitna</v>
      </c>
      <c r="AE889" s="742">
        <v>50</v>
      </c>
      <c r="AF889" s="743">
        <v>14.25</v>
      </c>
      <c r="AG889" s="741" t="str">
        <f>'DICTIONARY-5'!$A$23</f>
        <v>powłoka epoksydowa</v>
      </c>
    </row>
    <row r="890" spans="1:33" x14ac:dyDescent="0.25">
      <c r="A890" s="851" t="s">
        <v>841</v>
      </c>
      <c r="B890" s="851" t="s">
        <v>4781</v>
      </c>
      <c r="C890" s="836">
        <v>118</v>
      </c>
      <c r="D890" s="836"/>
      <c r="E890" s="836"/>
      <c r="F890" s="836"/>
      <c r="G890" s="496" t="s">
        <v>7808</v>
      </c>
      <c r="H890" s="797" t="str">
        <f>VLOOKUP(G890,SETTINGS!$B$7:$D$97,2,0)</f>
        <v>Hydrant Accessories</v>
      </c>
      <c r="I890" s="796">
        <f>VLOOKUP(G890,SETTINGS!$B$7:$D$97,3,0)</f>
        <v>0</v>
      </c>
      <c r="J890" s="670" t="str">
        <f>IFERROR(IF(CURRENCY.FORMAT_1=0,CONCATENATE(TEXT(FIXED(ROUND((C890/EXC.RATE_1),CURRENCY.FORMAT_1),CURRENCY.FORMAT_1,1),"# ##0;-# ##0"),",-"),FIXED(ROUND((C890/EXC.RATE_1),CURRENCY.FORMAT_1),CURRENCY.FORMAT_1,0)),'DICTIONARY-5'!$A$2)</f>
        <v>118,-</v>
      </c>
      <c r="K890" s="670" t="str">
        <f>IF(EXC.RATE_2=0,"",IFERROR(IF(CURRENCY.FORMAT_2=0,CONCATENATE(TEXT(FIXED(ROUND(IF(EXC.RATE.SWITCH=1,C890/EXC.RATE_2,C890*EXC.RATE_2),CURRENCY.FORMAT_2),CURRENCY.FORMAT_2,1),"# ##0;-# ##0"),",-"),FIXED(ROUND(IF(EXC.RATE.SWITCH=1,C890/EXC.RATE_2,C890*EXC.RATE_2),CURRENCY.FORMAT_2),CURRENCY.FORMAT_2,0)),'DICTIONARY-5'!$A$2))</f>
        <v/>
      </c>
      <c r="L890" s="670" t="str">
        <f>IFERROR(IF(CURRENCY.FORMAT_1=0,CONCATENATE(TEXT(FIXED(ROUND((C890*(1-I890)*(1-ADD.DISCOUNT)*(1+MAT.SURCHARGE)/EXC.RATE_1),CURRENCY.FORMAT_1),CURRENCY.FORMAT_1,1),"# ##0;-# ##0"),",-"),FIXED(ROUND((C890*(1-I890)*(1-ADD.DISCOUNT)*(1+MAT.SURCHARGE)/EXC.RATE_1),CURRENCY.FORMAT_1),CURRENCY.FORMAT_1,0)),'DICTIONARY-5'!$A$2)</f>
        <v>123,-</v>
      </c>
      <c r="M890" s="670" t="str">
        <f>IF(EXC.RATE_2=0,"",IFERROR(IF(CURRENCY.FORMAT_2=0,CONCATENATE(TEXT(FIXED(ROUND(IF(EXC.RATE.SWITCH=1,C890*(1-I890)*(1-ADD.DISCOUNT)*(1+MAT.SURCHARGE)/EXC.RATE_2,C890*(1-I890)*(1-ADD.DISCOUNT)*(1+MAT.SURCHARGE)*EXC.RATE_2),CURRENCY.FORMAT_2),CURRENCY.FORMAT_2,1),"# ##0;-# ##0"),",-"),FIXED(ROUND(IF(EXC.RATE.SWITCH=1,C890*(1-I890)*(1-ADD.DISCOUNT)*(1+MAT.SURCHARGE)/EXC.RATE_2,C890*(1-I890)*(1-ADD.DISCOUNT)*(1+MAT.SURCHARGE)*EXC.RATE_2),CURRENCY.FORMAT_2),CURRENCY.FORMAT_2,0)),'DICTIONARY-5'!$A$2))</f>
        <v/>
      </c>
      <c r="N890" s="543">
        <v>3</v>
      </c>
      <c r="O890" s="543"/>
      <c r="P890" s="732" t="str">
        <f>'DICTIONARY-3'!$A$175&amp;'DICTIONARY-3'!$A$50&amp;'DICTIONARY-3'!$A$174</f>
        <v>Kształtka-N‎</v>
      </c>
      <c r="Q890" s="732" t="str">
        <f>'DICTIONARY-3'!$A$49</f>
        <v>Akcesoria dla hydrantów</v>
      </c>
      <c r="R890" s="732" t="str">
        <f>CONCATENATE('DICTIONARY-3'!$A$175&amp;'DICTIONARY-3'!$A$50&amp;'DICTIONARY-3'!$A$174," ",'DICTIONARY-2'!$A$2,U890," ",'DICTIONARY-2'!$A$3,"10/16")</f>
        <v>Kształtka-N‎ DN100 PN10/16</v>
      </c>
      <c r="S890" s="733" t="s">
        <v>5569</v>
      </c>
      <c r="T890" s="732" t="s">
        <v>5569</v>
      </c>
      <c r="U890" s="734" t="s">
        <v>5749</v>
      </c>
      <c r="V890" s="735">
        <v>16</v>
      </c>
      <c r="W890" s="736"/>
      <c r="X890" s="737"/>
      <c r="Y890" s="738"/>
      <c r="Z890" s="739"/>
      <c r="AA890" s="739"/>
      <c r="AB890" s="740">
        <v>16</v>
      </c>
      <c r="AC890" s="741" t="s">
        <v>5569</v>
      </c>
      <c r="AD890" s="741" t="str">
        <f>'DICTIONARY-5'!$A$13</f>
        <v>woda pitna</v>
      </c>
      <c r="AE890" s="742">
        <v>50</v>
      </c>
      <c r="AF890" s="743">
        <v>17</v>
      </c>
      <c r="AG890" s="741" t="str">
        <f>'DICTIONARY-5'!$A$23</f>
        <v>powłoka epoksydowa</v>
      </c>
    </row>
    <row r="891" spans="1:33" x14ac:dyDescent="0.25">
      <c r="A891" s="851" t="s">
        <v>842</v>
      </c>
      <c r="B891" s="851" t="s">
        <v>4782</v>
      </c>
      <c r="C891" s="836">
        <v>340</v>
      </c>
      <c r="D891" s="836"/>
      <c r="E891" s="836"/>
      <c r="F891" s="836"/>
      <c r="G891" s="496" t="s">
        <v>7808</v>
      </c>
      <c r="H891" s="797" t="str">
        <f>VLOOKUP(G891,SETTINGS!$B$7:$D$97,2,0)</f>
        <v>Hydrant Accessories</v>
      </c>
      <c r="I891" s="796">
        <f>VLOOKUP(G891,SETTINGS!$B$7:$D$97,3,0)</f>
        <v>0</v>
      </c>
      <c r="J891" s="670" t="str">
        <f>IFERROR(IF(CURRENCY.FORMAT_1=0,CONCATENATE(TEXT(FIXED(ROUND((C891/EXC.RATE_1),CURRENCY.FORMAT_1),CURRENCY.FORMAT_1,1),"# ##0;-# ##0"),",-"),FIXED(ROUND((C891/EXC.RATE_1),CURRENCY.FORMAT_1),CURRENCY.FORMAT_1,0)),'DICTIONARY-5'!$A$2)</f>
        <v>340,-</v>
      </c>
      <c r="K891" s="670" t="str">
        <f>IF(EXC.RATE_2=0,"",IFERROR(IF(CURRENCY.FORMAT_2=0,CONCATENATE(TEXT(FIXED(ROUND(IF(EXC.RATE.SWITCH=1,C891/EXC.RATE_2,C891*EXC.RATE_2),CURRENCY.FORMAT_2),CURRENCY.FORMAT_2,1),"# ##0;-# ##0"),",-"),FIXED(ROUND(IF(EXC.RATE.SWITCH=1,C891/EXC.RATE_2,C891*EXC.RATE_2),CURRENCY.FORMAT_2),CURRENCY.FORMAT_2,0)),'DICTIONARY-5'!$A$2))</f>
        <v/>
      </c>
      <c r="L891" s="670" t="str">
        <f>IFERROR(IF(CURRENCY.FORMAT_1=0,CONCATENATE(TEXT(FIXED(ROUND((C891*(1-I891)*(1-ADD.DISCOUNT)*(1+MAT.SURCHARGE)/EXC.RATE_1),CURRENCY.FORMAT_1),CURRENCY.FORMAT_1,1),"# ##0;-# ##0"),",-"),FIXED(ROUND((C891*(1-I891)*(1-ADD.DISCOUNT)*(1+MAT.SURCHARGE)/EXC.RATE_1),CURRENCY.FORMAT_1),CURRENCY.FORMAT_1,0)),'DICTIONARY-5'!$A$2)</f>
        <v>353,-</v>
      </c>
      <c r="M891" s="670" t="str">
        <f>IF(EXC.RATE_2=0,"",IFERROR(IF(CURRENCY.FORMAT_2=0,CONCATENATE(TEXT(FIXED(ROUND(IF(EXC.RATE.SWITCH=1,C891*(1-I891)*(1-ADD.DISCOUNT)*(1+MAT.SURCHARGE)/EXC.RATE_2,C891*(1-I891)*(1-ADD.DISCOUNT)*(1+MAT.SURCHARGE)*EXC.RATE_2),CURRENCY.FORMAT_2),CURRENCY.FORMAT_2,1),"# ##0;-# ##0"),",-"),FIXED(ROUND(IF(EXC.RATE.SWITCH=1,C891*(1-I891)*(1-ADD.DISCOUNT)*(1+MAT.SURCHARGE)/EXC.RATE_2,C891*(1-I891)*(1-ADD.DISCOUNT)*(1+MAT.SURCHARGE)*EXC.RATE_2),CURRENCY.FORMAT_2),CURRENCY.FORMAT_2,0)),'DICTIONARY-5'!$A$2))</f>
        <v/>
      </c>
      <c r="N891" s="543">
        <v>3</v>
      </c>
      <c r="O891" s="543"/>
      <c r="P891" s="732" t="str">
        <f>'DICTIONARY-3'!$A$175&amp;'DICTIONARY-3'!$A$50&amp;'DICTIONARY-3'!$A$174</f>
        <v>Kształtka-N‎</v>
      </c>
      <c r="Q891" s="732" t="str">
        <f>'DICTIONARY-3'!$A$49</f>
        <v>Akcesoria dla hydrantów</v>
      </c>
      <c r="R891" s="732" t="str">
        <f>CONCATENATE('DICTIONARY-3'!$A$175&amp;'DICTIONARY-3'!$A$50&amp;'DICTIONARY-3'!$A$174," ",'DICTIONARY-2'!$A$2,U891," ",'DICTIONARY-2'!$A$3,"10/16")</f>
        <v>Kształtka-N‎ DN150 PN10/16</v>
      </c>
      <c r="S891" s="733" t="s">
        <v>5569</v>
      </c>
      <c r="T891" s="732" t="s">
        <v>5569</v>
      </c>
      <c r="U891" s="734" t="s">
        <v>5572</v>
      </c>
      <c r="V891" s="735">
        <v>16</v>
      </c>
      <c r="W891" s="736"/>
      <c r="X891" s="737"/>
      <c r="Y891" s="738"/>
      <c r="Z891" s="739"/>
      <c r="AA891" s="739"/>
      <c r="AB891" s="740">
        <v>16</v>
      </c>
      <c r="AC891" s="741" t="s">
        <v>5569</v>
      </c>
      <c r="AD891" s="741" t="str">
        <f>'DICTIONARY-5'!$A$13</f>
        <v>woda pitna</v>
      </c>
      <c r="AE891" s="742">
        <v>50</v>
      </c>
      <c r="AF891" s="743">
        <v>31</v>
      </c>
      <c r="AG891" s="741" t="str">
        <f>'DICTIONARY-5'!$A$23</f>
        <v>powłoka epoksydowa</v>
      </c>
    </row>
    <row r="892" spans="1:33" x14ac:dyDescent="0.25">
      <c r="A892" s="754" t="s">
        <v>845</v>
      </c>
      <c r="B892" s="754" t="s">
        <v>4609</v>
      </c>
      <c r="C892" s="836">
        <v>41</v>
      </c>
      <c r="D892" s="836"/>
      <c r="E892" s="836"/>
      <c r="F892" s="836"/>
      <c r="G892" s="496" t="s">
        <v>7808</v>
      </c>
      <c r="H892" s="797" t="str">
        <f>VLOOKUP(G892,SETTINGS!$B$7:$D$97,2,0)</f>
        <v>Hydrant Accessories</v>
      </c>
      <c r="I892" s="796">
        <f>VLOOKUP(G892,SETTINGS!$B$7:$D$97,3,0)</f>
        <v>0</v>
      </c>
      <c r="J892" s="670" t="str">
        <f>IFERROR(IF(CURRENCY.FORMAT_1=0,CONCATENATE(TEXT(FIXED(ROUND((C892/EXC.RATE_1),CURRENCY.FORMAT_1),CURRENCY.FORMAT_1,1),"# ##0;-# ##0"),",-"),FIXED(ROUND((C892/EXC.RATE_1),CURRENCY.FORMAT_1),CURRENCY.FORMAT_1,0)),'DICTIONARY-5'!$A$2)</f>
        <v>41,-</v>
      </c>
      <c r="K892" s="670" t="str">
        <f>IF(EXC.RATE_2=0,"",IFERROR(IF(CURRENCY.FORMAT_2=0,CONCATENATE(TEXT(FIXED(ROUND(IF(EXC.RATE.SWITCH=1,C892/EXC.RATE_2,C892*EXC.RATE_2),CURRENCY.FORMAT_2),CURRENCY.FORMAT_2,1),"# ##0;-# ##0"),",-"),FIXED(ROUND(IF(EXC.RATE.SWITCH=1,C892/EXC.RATE_2,C892*EXC.RATE_2),CURRENCY.FORMAT_2),CURRENCY.FORMAT_2,0)),'DICTIONARY-5'!$A$2))</f>
        <v/>
      </c>
      <c r="L892" s="670" t="str">
        <f>IFERROR(IF(CURRENCY.FORMAT_1=0,CONCATENATE(TEXT(FIXED(ROUND((C892*(1-I892)*(1-ADD.DISCOUNT)*(1+MAT.SURCHARGE)/EXC.RATE_1),CURRENCY.FORMAT_1),CURRENCY.FORMAT_1,1),"# ##0;-# ##0"),",-"),FIXED(ROUND((C892*(1-I892)*(1-ADD.DISCOUNT)*(1+MAT.SURCHARGE)/EXC.RATE_1),CURRENCY.FORMAT_1),CURRENCY.FORMAT_1,0)),'DICTIONARY-5'!$A$2)</f>
        <v>43,-</v>
      </c>
      <c r="M892" s="670" t="str">
        <f>IF(EXC.RATE_2=0,"",IFERROR(IF(CURRENCY.FORMAT_2=0,CONCATENATE(TEXT(FIXED(ROUND(IF(EXC.RATE.SWITCH=1,C892*(1-I892)*(1-ADD.DISCOUNT)*(1+MAT.SURCHARGE)/EXC.RATE_2,C892*(1-I892)*(1-ADD.DISCOUNT)*(1+MAT.SURCHARGE)*EXC.RATE_2),CURRENCY.FORMAT_2),CURRENCY.FORMAT_2,1),"# ##0;-# ##0"),",-"),FIXED(ROUND(IF(EXC.RATE.SWITCH=1,C892*(1-I892)*(1-ADD.DISCOUNT)*(1+MAT.SURCHARGE)/EXC.RATE_2,C892*(1-I892)*(1-ADD.DISCOUNT)*(1+MAT.SURCHARGE)*EXC.RATE_2),CURRENCY.FORMAT_2),CURRENCY.FORMAT_2,0)),'DICTIONARY-5'!$A$2))</f>
        <v/>
      </c>
      <c r="N892" s="540">
        <v>3</v>
      </c>
      <c r="O892" s="540"/>
      <c r="P892" s="732" t="str">
        <f>'DICTIONARY-3'!$A$51</f>
        <v>Blok drenażowy</v>
      </c>
      <c r="Q892" s="732" t="str">
        <f>'DICTIONARY-3'!$A$49</f>
        <v>Akcesoria dla hydrantów</v>
      </c>
      <c r="R892" s="732" t="str">
        <f>CONCATENATE('DICTIONARY-3'!$A$51," ",'DICTIONARY-5'!$A$7," ",'DICTIONARY-3'!$A$46," ",'DICTIONARY-2'!$A$2,U892,", ",'DICTIONARY-5'!$A$46)</f>
        <v>Blok drenażowy dla HYDRUS G DN80, Flexipor</v>
      </c>
      <c r="S892" s="733" t="s">
        <v>5569</v>
      </c>
      <c r="T892" s="732" t="s">
        <v>5569</v>
      </c>
      <c r="U892" s="734" t="s">
        <v>5760</v>
      </c>
      <c r="V892" s="735" t="s">
        <v>5569</v>
      </c>
      <c r="W892" s="736"/>
      <c r="X892" s="737"/>
      <c r="Y892" s="738"/>
      <c r="Z892" s="739"/>
      <c r="AA892" s="739"/>
      <c r="AB892" s="740" t="s">
        <v>5569</v>
      </c>
      <c r="AC892" s="741" t="s">
        <v>5569</v>
      </c>
      <c r="AD892" s="741" t="s">
        <v>5569</v>
      </c>
      <c r="AE892" s="742" t="s">
        <v>5569</v>
      </c>
      <c r="AF892" s="743">
        <v>0.11</v>
      </c>
      <c r="AG892" s="741" t="s">
        <v>5569</v>
      </c>
    </row>
    <row r="893" spans="1:33" x14ac:dyDescent="0.25">
      <c r="A893" s="754" t="s">
        <v>846</v>
      </c>
      <c r="B893" s="754" t="s">
        <v>4610</v>
      </c>
      <c r="C893" s="836">
        <v>62</v>
      </c>
      <c r="D893" s="836"/>
      <c r="E893" s="836"/>
      <c r="F893" s="836"/>
      <c r="G893" s="496" t="s">
        <v>7808</v>
      </c>
      <c r="H893" s="797" t="str">
        <f>VLOOKUP(G893,SETTINGS!$B$7:$D$97,2,0)</f>
        <v>Hydrant Accessories</v>
      </c>
      <c r="I893" s="796">
        <f>VLOOKUP(G893,SETTINGS!$B$7:$D$97,3,0)</f>
        <v>0</v>
      </c>
      <c r="J893" s="670" t="str">
        <f>IFERROR(IF(CURRENCY.FORMAT_1=0,CONCATENATE(TEXT(FIXED(ROUND((C893/EXC.RATE_1),CURRENCY.FORMAT_1),CURRENCY.FORMAT_1,1),"# ##0;-# ##0"),",-"),FIXED(ROUND((C893/EXC.RATE_1),CURRENCY.FORMAT_1),CURRENCY.FORMAT_1,0)),'DICTIONARY-5'!$A$2)</f>
        <v>62,-</v>
      </c>
      <c r="K893" s="670" t="str">
        <f>IF(EXC.RATE_2=0,"",IFERROR(IF(CURRENCY.FORMAT_2=0,CONCATENATE(TEXT(FIXED(ROUND(IF(EXC.RATE.SWITCH=1,C893/EXC.RATE_2,C893*EXC.RATE_2),CURRENCY.FORMAT_2),CURRENCY.FORMAT_2,1),"# ##0;-# ##0"),",-"),FIXED(ROUND(IF(EXC.RATE.SWITCH=1,C893/EXC.RATE_2,C893*EXC.RATE_2),CURRENCY.FORMAT_2),CURRENCY.FORMAT_2,0)),'DICTIONARY-5'!$A$2))</f>
        <v/>
      </c>
      <c r="L893" s="670" t="str">
        <f>IFERROR(IF(CURRENCY.FORMAT_1=0,CONCATENATE(TEXT(FIXED(ROUND((C893*(1-I893)*(1-ADD.DISCOUNT)*(1+MAT.SURCHARGE)/EXC.RATE_1),CURRENCY.FORMAT_1),CURRENCY.FORMAT_1,1),"# ##0;-# ##0"),",-"),FIXED(ROUND((C893*(1-I893)*(1-ADD.DISCOUNT)*(1+MAT.SURCHARGE)/EXC.RATE_1),CURRENCY.FORMAT_1),CURRENCY.FORMAT_1,0)),'DICTIONARY-5'!$A$2)</f>
        <v>64,-</v>
      </c>
      <c r="M893" s="670" t="str">
        <f>IF(EXC.RATE_2=0,"",IFERROR(IF(CURRENCY.FORMAT_2=0,CONCATENATE(TEXT(FIXED(ROUND(IF(EXC.RATE.SWITCH=1,C893*(1-I893)*(1-ADD.DISCOUNT)*(1+MAT.SURCHARGE)/EXC.RATE_2,C893*(1-I893)*(1-ADD.DISCOUNT)*(1+MAT.SURCHARGE)*EXC.RATE_2),CURRENCY.FORMAT_2),CURRENCY.FORMAT_2,1),"# ##0;-# ##0"),",-"),FIXED(ROUND(IF(EXC.RATE.SWITCH=1,C893*(1-I893)*(1-ADD.DISCOUNT)*(1+MAT.SURCHARGE)/EXC.RATE_2,C893*(1-I893)*(1-ADD.DISCOUNT)*(1+MAT.SURCHARGE)*EXC.RATE_2),CURRENCY.FORMAT_2),CURRENCY.FORMAT_2,0)),'DICTIONARY-5'!$A$2))</f>
        <v/>
      </c>
      <c r="N893" s="540">
        <v>3</v>
      </c>
      <c r="O893" s="540"/>
      <c r="P893" s="732" t="str">
        <f>'DICTIONARY-3'!$A$51</f>
        <v>Blok drenażowy</v>
      </c>
      <c r="Q893" s="732" t="str">
        <f>'DICTIONARY-3'!$A$49</f>
        <v>Akcesoria dla hydrantów</v>
      </c>
      <c r="R893" s="732" t="str">
        <f>CONCATENATE('DICTIONARY-3'!$A$51," ",'DICTIONARY-5'!$A$7," ",'DICTIONARY-3'!$A$39,"/",'DICTIONARY-3'!$A$45," ",'DICTIONARY-2'!$A$2,U893,", ",'DICTIONARY-5'!$A$46)</f>
        <v>Blok drenażowy dla NOVA/RIGUS DN80, Flexipor</v>
      </c>
      <c r="S893" s="733" t="s">
        <v>5569</v>
      </c>
      <c r="T893" s="732" t="s">
        <v>5569</v>
      </c>
      <c r="U893" s="748" t="s">
        <v>5760</v>
      </c>
      <c r="V893" s="735" t="s">
        <v>5569</v>
      </c>
      <c r="W893" s="736"/>
      <c r="X893" s="737"/>
      <c r="Y893" s="738"/>
      <c r="Z893" s="739"/>
      <c r="AA893" s="739"/>
      <c r="AB893" s="740" t="s">
        <v>5569</v>
      </c>
      <c r="AC893" s="741" t="s">
        <v>5569</v>
      </c>
      <c r="AD893" s="741" t="s">
        <v>5569</v>
      </c>
      <c r="AE893" s="742" t="s">
        <v>5569</v>
      </c>
      <c r="AF893" s="743">
        <v>1</v>
      </c>
      <c r="AG893" s="741" t="s">
        <v>5569</v>
      </c>
    </row>
    <row r="894" spans="1:33" x14ac:dyDescent="0.25">
      <c r="A894" s="754" t="s">
        <v>847</v>
      </c>
      <c r="B894" s="754" t="s">
        <v>4611</v>
      </c>
      <c r="C894" s="836">
        <v>70</v>
      </c>
      <c r="D894" s="836"/>
      <c r="E894" s="836"/>
      <c r="F894" s="836"/>
      <c r="G894" s="496" t="s">
        <v>7808</v>
      </c>
      <c r="H894" s="797" t="str">
        <f>VLOOKUP(G894,SETTINGS!$B$7:$D$97,2,0)</f>
        <v>Hydrant Accessories</v>
      </c>
      <c r="I894" s="796">
        <f>VLOOKUP(G894,SETTINGS!$B$7:$D$97,3,0)</f>
        <v>0</v>
      </c>
      <c r="J894" s="670" t="str">
        <f>IFERROR(IF(CURRENCY.FORMAT_1=0,CONCATENATE(TEXT(FIXED(ROUND((C894/EXC.RATE_1),CURRENCY.FORMAT_1),CURRENCY.FORMAT_1,1),"# ##0;-# ##0"),",-"),FIXED(ROUND((C894/EXC.RATE_1),CURRENCY.FORMAT_1),CURRENCY.FORMAT_1,0)),'DICTIONARY-5'!$A$2)</f>
        <v>70,-</v>
      </c>
      <c r="K894" s="670" t="str">
        <f>IF(EXC.RATE_2=0,"",IFERROR(IF(CURRENCY.FORMAT_2=0,CONCATENATE(TEXT(FIXED(ROUND(IF(EXC.RATE.SWITCH=1,C894/EXC.RATE_2,C894*EXC.RATE_2),CURRENCY.FORMAT_2),CURRENCY.FORMAT_2,1),"# ##0;-# ##0"),",-"),FIXED(ROUND(IF(EXC.RATE.SWITCH=1,C894/EXC.RATE_2,C894*EXC.RATE_2),CURRENCY.FORMAT_2),CURRENCY.FORMAT_2,0)),'DICTIONARY-5'!$A$2))</f>
        <v/>
      </c>
      <c r="L894" s="670" t="str">
        <f>IFERROR(IF(CURRENCY.FORMAT_1=0,CONCATENATE(TEXT(FIXED(ROUND((C894*(1-I894)*(1-ADD.DISCOUNT)*(1+MAT.SURCHARGE)/EXC.RATE_1),CURRENCY.FORMAT_1),CURRENCY.FORMAT_1,1),"# ##0;-# ##0"),",-"),FIXED(ROUND((C894*(1-I894)*(1-ADD.DISCOUNT)*(1+MAT.SURCHARGE)/EXC.RATE_1),CURRENCY.FORMAT_1),CURRENCY.FORMAT_1,0)),'DICTIONARY-5'!$A$2)</f>
        <v>73,-</v>
      </c>
      <c r="M894" s="670" t="str">
        <f>IF(EXC.RATE_2=0,"",IFERROR(IF(CURRENCY.FORMAT_2=0,CONCATENATE(TEXT(FIXED(ROUND(IF(EXC.RATE.SWITCH=1,C894*(1-I894)*(1-ADD.DISCOUNT)*(1+MAT.SURCHARGE)/EXC.RATE_2,C894*(1-I894)*(1-ADD.DISCOUNT)*(1+MAT.SURCHARGE)*EXC.RATE_2),CURRENCY.FORMAT_2),CURRENCY.FORMAT_2,1),"# ##0;-# ##0"),",-"),FIXED(ROUND(IF(EXC.RATE.SWITCH=1,C894*(1-I894)*(1-ADD.DISCOUNT)*(1+MAT.SURCHARGE)/EXC.RATE_2,C894*(1-I894)*(1-ADD.DISCOUNT)*(1+MAT.SURCHARGE)*EXC.RATE_2),CURRENCY.FORMAT_2),CURRENCY.FORMAT_2,0)),'DICTIONARY-5'!$A$2))</f>
        <v/>
      </c>
      <c r="N894" s="540">
        <v>3</v>
      </c>
      <c r="O894" s="540"/>
      <c r="P894" s="732" t="str">
        <f>'DICTIONARY-3'!$A$51</f>
        <v>Blok drenażowy</v>
      </c>
      <c r="Q894" s="732" t="str">
        <f>'DICTIONARY-3'!$A$49</f>
        <v>Akcesoria dla hydrantów</v>
      </c>
      <c r="R894" s="732" t="str">
        <f>CONCATENATE('DICTIONARY-3'!$A$51," ",'DICTIONARY-5'!$A$7," ",'DICTIONARY-3'!$A$46,"/",'DICTIONARY-3'!$A$39,"/",'DICTIONARY-3'!$A$45," ",'DICTIONARY-2'!$A$2,U894,", ",'DICTIONARY-5'!$A$46)</f>
        <v>Blok drenażowy dla HYDRUS G/NOVA/RIGUS DN100, Flexipor</v>
      </c>
      <c r="S894" s="733" t="s">
        <v>5569</v>
      </c>
      <c r="T894" s="732" t="s">
        <v>5569</v>
      </c>
      <c r="U894" s="734" t="s">
        <v>5749</v>
      </c>
      <c r="V894" s="735" t="s">
        <v>5569</v>
      </c>
      <c r="W894" s="736"/>
      <c r="X894" s="737"/>
      <c r="Y894" s="738"/>
      <c r="Z894" s="739"/>
      <c r="AA894" s="739"/>
      <c r="AB894" s="740" t="s">
        <v>5569</v>
      </c>
      <c r="AC894" s="741" t="s">
        <v>5569</v>
      </c>
      <c r="AD894" s="741" t="s">
        <v>5569</v>
      </c>
      <c r="AE894" s="742" t="s">
        <v>5569</v>
      </c>
      <c r="AF894" s="743">
        <v>0.21</v>
      </c>
      <c r="AG894" s="741" t="s">
        <v>5569</v>
      </c>
    </row>
    <row r="895" spans="1:33" x14ac:dyDescent="0.25">
      <c r="A895" s="754" t="s">
        <v>849</v>
      </c>
      <c r="B895" s="754" t="s">
        <v>4785</v>
      </c>
      <c r="C895" s="836">
        <v>142</v>
      </c>
      <c r="D895" s="836"/>
      <c r="E895" s="836"/>
      <c r="F895" s="836"/>
      <c r="G895" s="496" t="s">
        <v>7808</v>
      </c>
      <c r="H895" s="797" t="str">
        <f>VLOOKUP(G895,SETTINGS!$B$7:$D$97,2,0)</f>
        <v>Hydrant Accessories</v>
      </c>
      <c r="I895" s="796">
        <f>VLOOKUP(G895,SETTINGS!$B$7:$D$97,3,0)</f>
        <v>0</v>
      </c>
      <c r="J895" s="670" t="str">
        <f>IFERROR(IF(CURRENCY.FORMAT_1=0,CONCATENATE(TEXT(FIXED(ROUND((C895/EXC.RATE_1),CURRENCY.FORMAT_1),CURRENCY.FORMAT_1,1),"# ##0;-# ##0"),",-"),FIXED(ROUND((C895/EXC.RATE_1),CURRENCY.FORMAT_1),CURRENCY.FORMAT_1,0)),'DICTIONARY-5'!$A$2)</f>
        <v>142,-</v>
      </c>
      <c r="K895" s="670" t="str">
        <f>IF(EXC.RATE_2=0,"",IFERROR(IF(CURRENCY.FORMAT_2=0,CONCATENATE(TEXT(FIXED(ROUND(IF(EXC.RATE.SWITCH=1,C895/EXC.RATE_2,C895*EXC.RATE_2),CURRENCY.FORMAT_2),CURRENCY.FORMAT_2,1),"# ##0;-# ##0"),",-"),FIXED(ROUND(IF(EXC.RATE.SWITCH=1,C895/EXC.RATE_2,C895*EXC.RATE_2),CURRENCY.FORMAT_2),CURRENCY.FORMAT_2,0)),'DICTIONARY-5'!$A$2))</f>
        <v/>
      </c>
      <c r="L895" s="670" t="str">
        <f>IFERROR(IF(CURRENCY.FORMAT_1=0,CONCATENATE(TEXT(FIXED(ROUND((C895*(1-I895)*(1-ADD.DISCOUNT)*(1+MAT.SURCHARGE)/EXC.RATE_1),CURRENCY.FORMAT_1),CURRENCY.FORMAT_1,1),"# ##0;-# ##0"),",-"),FIXED(ROUND((C895*(1-I895)*(1-ADD.DISCOUNT)*(1+MAT.SURCHARGE)/EXC.RATE_1),CURRENCY.FORMAT_1),CURRENCY.FORMAT_1,0)),'DICTIONARY-5'!$A$2)</f>
        <v>148,-</v>
      </c>
      <c r="M895" s="670" t="str">
        <f>IF(EXC.RATE_2=0,"",IFERROR(IF(CURRENCY.FORMAT_2=0,CONCATENATE(TEXT(FIXED(ROUND(IF(EXC.RATE.SWITCH=1,C895*(1-I895)*(1-ADD.DISCOUNT)*(1+MAT.SURCHARGE)/EXC.RATE_2,C895*(1-I895)*(1-ADD.DISCOUNT)*(1+MAT.SURCHARGE)*EXC.RATE_2),CURRENCY.FORMAT_2),CURRENCY.FORMAT_2,1),"# ##0;-# ##0"),",-"),FIXED(ROUND(IF(EXC.RATE.SWITCH=1,C895*(1-I895)*(1-ADD.DISCOUNT)*(1+MAT.SURCHARGE)/EXC.RATE_2,C895*(1-I895)*(1-ADD.DISCOUNT)*(1+MAT.SURCHARGE)*EXC.RATE_2),CURRENCY.FORMAT_2),CURRENCY.FORMAT_2,0)),'DICTIONARY-5'!$A$2))</f>
        <v/>
      </c>
      <c r="N895" s="540">
        <v>3</v>
      </c>
      <c r="O895" s="540"/>
      <c r="P895" s="732" t="str">
        <f>'DICTIONARY-3'!$A$51</f>
        <v>Blok drenażowy</v>
      </c>
      <c r="Q895" s="732" t="str">
        <f>'DICTIONARY-3'!$A$49</f>
        <v>Akcesoria dla hydrantów</v>
      </c>
      <c r="R895" s="732" t="str">
        <f>CONCATENATE('DICTIONARY-3'!$A$51," ",'DICTIONARY-5'!$A$7," ",'DICTIONARY-3'!$A$41," ",'DICTIONARY-2'!$A$2,U895,", ",'DICTIONARY-5'!$A$47)</f>
        <v>Blok drenażowy dla NOVA 150 DN150, beton</v>
      </c>
      <c r="S895" s="733" t="s">
        <v>5569</v>
      </c>
      <c r="T895" s="732" t="s">
        <v>5569</v>
      </c>
      <c r="U895" s="734" t="s">
        <v>5572</v>
      </c>
      <c r="V895" s="735" t="s">
        <v>5569</v>
      </c>
      <c r="W895" s="736"/>
      <c r="X895" s="737"/>
      <c r="Y895" s="738"/>
      <c r="Z895" s="739"/>
      <c r="AA895" s="739"/>
      <c r="AB895" s="740" t="s">
        <v>5569</v>
      </c>
      <c r="AC895" s="741" t="s">
        <v>5569</v>
      </c>
      <c r="AD895" s="741" t="s">
        <v>5569</v>
      </c>
      <c r="AE895" s="742" t="s">
        <v>5569</v>
      </c>
      <c r="AF895" s="743">
        <v>82</v>
      </c>
      <c r="AG895" s="741" t="s">
        <v>5569</v>
      </c>
    </row>
    <row r="896" spans="1:33" x14ac:dyDescent="0.25">
      <c r="A896" s="853" t="s">
        <v>851</v>
      </c>
      <c r="B896" s="853" t="s">
        <v>4786</v>
      </c>
      <c r="C896" s="836">
        <v>9</v>
      </c>
      <c r="D896" s="836"/>
      <c r="E896" s="836"/>
      <c r="F896" s="836"/>
      <c r="G896" s="496" t="s">
        <v>7808</v>
      </c>
      <c r="H896" s="797" t="str">
        <f>VLOOKUP(G896,SETTINGS!$B$7:$D$97,2,0)</f>
        <v>Hydrant Accessories</v>
      </c>
      <c r="I896" s="796">
        <f>VLOOKUP(G896,SETTINGS!$B$7:$D$97,3,0)</f>
        <v>0</v>
      </c>
      <c r="J896" s="670" t="str">
        <f>IFERROR(IF(CURRENCY.FORMAT_1=0,CONCATENATE(TEXT(FIXED(ROUND((C896/EXC.RATE_1),CURRENCY.FORMAT_1),CURRENCY.FORMAT_1,1),"# ##0;-# ##0"),",-"),FIXED(ROUND((C896/EXC.RATE_1),CURRENCY.FORMAT_1),CURRENCY.FORMAT_1,0)),'DICTIONARY-5'!$A$2)</f>
        <v>9,-</v>
      </c>
      <c r="K896" s="670" t="str">
        <f>IF(EXC.RATE_2=0,"",IFERROR(IF(CURRENCY.FORMAT_2=0,CONCATENATE(TEXT(FIXED(ROUND(IF(EXC.RATE.SWITCH=1,C896/EXC.RATE_2,C896*EXC.RATE_2),CURRENCY.FORMAT_2),CURRENCY.FORMAT_2,1),"# ##0;-# ##0"),",-"),FIXED(ROUND(IF(EXC.RATE.SWITCH=1,C896/EXC.RATE_2,C896*EXC.RATE_2),CURRENCY.FORMAT_2),CURRENCY.FORMAT_2,0)),'DICTIONARY-5'!$A$2))</f>
        <v/>
      </c>
      <c r="L896" s="670" t="str">
        <f>IFERROR(IF(CURRENCY.FORMAT_1=0,CONCATENATE(TEXT(FIXED(ROUND((C896*(1-I896)*(1-ADD.DISCOUNT)*(1+MAT.SURCHARGE)/EXC.RATE_1),CURRENCY.FORMAT_1),CURRENCY.FORMAT_1,1),"# ##0;-# ##0"),",-"),FIXED(ROUND((C896*(1-I896)*(1-ADD.DISCOUNT)*(1+MAT.SURCHARGE)/EXC.RATE_1),CURRENCY.FORMAT_1),CURRENCY.FORMAT_1,0)),'DICTIONARY-5'!$A$2)</f>
        <v>9,-</v>
      </c>
      <c r="M896" s="670" t="str">
        <f>IF(EXC.RATE_2=0,"",IFERROR(IF(CURRENCY.FORMAT_2=0,CONCATENATE(TEXT(FIXED(ROUND(IF(EXC.RATE.SWITCH=1,C896*(1-I896)*(1-ADD.DISCOUNT)*(1+MAT.SURCHARGE)/EXC.RATE_2,C896*(1-I896)*(1-ADD.DISCOUNT)*(1+MAT.SURCHARGE)*EXC.RATE_2),CURRENCY.FORMAT_2),CURRENCY.FORMAT_2,1),"# ##0;-# ##0"),",-"),FIXED(ROUND(IF(EXC.RATE.SWITCH=1,C896*(1-I896)*(1-ADD.DISCOUNT)*(1+MAT.SURCHARGE)/EXC.RATE_2,C896*(1-I896)*(1-ADD.DISCOUNT)*(1+MAT.SURCHARGE)*EXC.RATE_2),CURRENCY.FORMAT_2),CURRENCY.FORMAT_2,0)),'DICTIONARY-5'!$A$2))</f>
        <v/>
      </c>
      <c r="N896" s="540">
        <v>3</v>
      </c>
      <c r="O896" s="540"/>
      <c r="P896" s="732" t="str">
        <f>'DICTIONARY-3'!$A$52</f>
        <v>Ochrona przed zamarzaniem</v>
      </c>
      <c r="Q896" s="732" t="str">
        <f>'DICTIONARY-3'!$A$49</f>
        <v>Akcesoria dla hydrantów</v>
      </c>
      <c r="R896" s="732" t="str">
        <f>CONCATENATE('DICTIONARY-3'!$A$52," ",'DICTIONARY-5'!$A$7," ",'DICTIONARY-3'!$A$46," ",'DICTIONARY-2'!$A$2,U896," ",'DICTIONARY-2'!$A$7,Y896)</f>
        <v>Ochrona przed zamarzaniem dla HYDRUS G DN80 Rd1,0-1,5 m</v>
      </c>
      <c r="S896" s="733" t="s">
        <v>5569</v>
      </c>
      <c r="T896" s="732" t="s">
        <v>5569</v>
      </c>
      <c r="U896" s="734" t="s">
        <v>5760</v>
      </c>
      <c r="V896" s="735" t="s">
        <v>5569</v>
      </c>
      <c r="W896" s="736"/>
      <c r="X896" s="737"/>
      <c r="Y896" s="745" t="s">
        <v>5803</v>
      </c>
      <c r="Z896" s="747"/>
      <c r="AA896" s="747"/>
      <c r="AB896" s="740" t="s">
        <v>5569</v>
      </c>
      <c r="AC896" s="741"/>
      <c r="AD896" s="741" t="s">
        <v>5569</v>
      </c>
      <c r="AE896" s="742" t="s">
        <v>5569</v>
      </c>
      <c r="AF896" s="743">
        <v>0.25</v>
      </c>
      <c r="AG896" s="741" t="s">
        <v>5569</v>
      </c>
    </row>
    <row r="897" spans="1:33" x14ac:dyDescent="0.25">
      <c r="A897" s="853" t="s">
        <v>7959</v>
      </c>
      <c r="B897" s="853" t="s">
        <v>7958</v>
      </c>
      <c r="C897" s="836">
        <v>1174</v>
      </c>
      <c r="D897" s="836"/>
      <c r="E897" s="836"/>
      <c r="F897" s="836"/>
      <c r="G897" s="496" t="s">
        <v>7808</v>
      </c>
      <c r="H897" s="797" t="str">
        <f>VLOOKUP(G897,SETTINGS!$B$7:$D$97,2,0)</f>
        <v>Hydrant Accessories</v>
      </c>
      <c r="I897" s="796">
        <f>VLOOKUP(G897,SETTINGS!$B$7:$D$97,3,0)</f>
        <v>0</v>
      </c>
      <c r="J897" s="670" t="str">
        <f>IFERROR(IF(CURRENCY.FORMAT_1=0,CONCATENATE(TEXT(FIXED(ROUND((C897/EXC.RATE_1),CURRENCY.FORMAT_1),CURRENCY.FORMAT_1,1),"# ##0;-# ##0"),",-"),FIXED(ROUND((C897/EXC.RATE_1),CURRENCY.FORMAT_1),CURRENCY.FORMAT_1,0)),'DICTIONARY-5'!$A$2)</f>
        <v>1 174,-</v>
      </c>
      <c r="K897" s="670" t="str">
        <f>IF(EXC.RATE_2=0,"",IFERROR(IF(CURRENCY.FORMAT_2=0,CONCATENATE(TEXT(FIXED(ROUND(IF(EXC.RATE.SWITCH=1,C897/EXC.RATE_2,C897*EXC.RATE_2),CURRENCY.FORMAT_2),CURRENCY.FORMAT_2,1),"# ##0;-# ##0"),",-"),FIXED(ROUND(IF(EXC.RATE.SWITCH=1,C897/EXC.RATE_2,C897*EXC.RATE_2),CURRENCY.FORMAT_2),CURRENCY.FORMAT_2,0)),'DICTIONARY-5'!$A$2))</f>
        <v/>
      </c>
      <c r="L897" s="670" t="str">
        <f>IFERROR(IF(CURRENCY.FORMAT_1=0,CONCATENATE(TEXT(FIXED(ROUND((C897*(1-I897)*(1-ADD.DISCOUNT)*(1+MAT.SURCHARGE)/EXC.RATE_1),CURRENCY.FORMAT_1),CURRENCY.FORMAT_1,1),"# ##0;-# ##0"),",-"),FIXED(ROUND((C897*(1-I897)*(1-ADD.DISCOUNT)*(1+MAT.SURCHARGE)/EXC.RATE_1),CURRENCY.FORMAT_1),CURRENCY.FORMAT_1,0)),'DICTIONARY-5'!$A$2)</f>
        <v>1 220,-</v>
      </c>
      <c r="M897" s="670" t="str">
        <f>IF(EXC.RATE_2=0,"",IFERROR(IF(CURRENCY.FORMAT_2=0,CONCATENATE(TEXT(FIXED(ROUND(IF(EXC.RATE.SWITCH=1,C897*(1-I897)*(1-ADD.DISCOUNT)*(1+MAT.SURCHARGE)/EXC.RATE_2,C897*(1-I897)*(1-ADD.DISCOUNT)*(1+MAT.SURCHARGE)*EXC.RATE_2),CURRENCY.FORMAT_2),CURRENCY.FORMAT_2,1),"# ##0;-# ##0"),",-"),FIXED(ROUND(IF(EXC.RATE.SWITCH=1,C897*(1-I897)*(1-ADD.DISCOUNT)*(1+MAT.SURCHARGE)/EXC.RATE_2,C897*(1-I897)*(1-ADD.DISCOUNT)*(1+MAT.SURCHARGE)*EXC.RATE_2),CURRENCY.FORMAT_2),CURRENCY.FORMAT_2,0)),'DICTIONARY-5'!$A$2))</f>
        <v/>
      </c>
      <c r="N897" s="540">
        <v>3</v>
      </c>
      <c r="O897" s="540"/>
      <c r="P897" s="732" t="str">
        <f>'DICTIONARY-3'!$A$53</f>
        <v>Stojak hydrantowy</v>
      </c>
      <c r="Q897" s="732" t="str">
        <f>'DICTIONARY-3'!$A$49</f>
        <v>Akcesoria dla hydrantów</v>
      </c>
      <c r="R897" s="732" t="str">
        <f>CONCATENATE('DICTIONARY-3'!$A$53," 2xB ",'DICTIONARY-5'!$A$7," ",'DICTIONARY-3'!$A$46," ",'DICTIONARY-2'!$A$2&amp;"100",", ",'DICTIONARY-6'!$A$46," ",'DICTIONARY-2'!$A$2,"80",)</f>
        <v>Stojak hydrantowy 2xB dla HYDRUS G DN100, reduk. DN80</v>
      </c>
      <c r="S897" s="733" t="s">
        <v>5569</v>
      </c>
      <c r="T897" s="732" t="s">
        <v>5569</v>
      </c>
      <c r="U897" s="734" t="s">
        <v>5749</v>
      </c>
      <c r="V897" s="735" t="s">
        <v>5569</v>
      </c>
      <c r="W897" s="736"/>
      <c r="X897" s="737"/>
      <c r="Y897" s="745"/>
      <c r="Z897" s="747"/>
      <c r="AA897" s="747"/>
      <c r="AB897" s="740">
        <v>16</v>
      </c>
      <c r="AC897" s="741"/>
      <c r="AD897" s="741" t="str">
        <f>'DICTIONARY-5'!$A$13</f>
        <v>woda pitna</v>
      </c>
      <c r="AE897" s="742">
        <v>50</v>
      </c>
      <c r="AF897" s="743">
        <v>10.1</v>
      </c>
      <c r="AG897" s="741" t="s">
        <v>5569</v>
      </c>
    </row>
    <row r="898" spans="1:33" x14ac:dyDescent="0.25">
      <c r="A898" s="854" t="s">
        <v>2332</v>
      </c>
      <c r="B898" s="854" t="s">
        <v>4498</v>
      </c>
      <c r="C898" s="836">
        <v>22</v>
      </c>
      <c r="D898" s="836"/>
      <c r="E898" s="836"/>
      <c r="F898" s="836"/>
      <c r="G898" s="496" t="s">
        <v>7809</v>
      </c>
      <c r="H898" s="797" t="str">
        <f>VLOOKUP(G898,SETTINGS!$B$7:$D$97,2,0)</f>
        <v>T-KLIC</v>
      </c>
      <c r="I898" s="796">
        <f>VLOOKUP(G898,SETTINGS!$B$7:$D$97,3,0)</f>
        <v>0</v>
      </c>
      <c r="J898" s="670" t="str">
        <f>IFERROR(IF(CURRENCY.FORMAT_1=0,CONCATENATE(TEXT(FIXED(ROUND((C898/EXC.RATE_1),CURRENCY.FORMAT_1),CURRENCY.FORMAT_1,1),"# ##0;-# ##0"),",-"),FIXED(ROUND((C898/EXC.RATE_1),CURRENCY.FORMAT_1),CURRENCY.FORMAT_1,0)),'DICTIONARY-5'!$A$2)</f>
        <v>22,-</v>
      </c>
      <c r="K898" s="670" t="str">
        <f>IF(EXC.RATE_2=0,"",IFERROR(IF(CURRENCY.FORMAT_2=0,CONCATENATE(TEXT(FIXED(ROUND(IF(EXC.RATE.SWITCH=1,C898/EXC.RATE_2,C898*EXC.RATE_2),CURRENCY.FORMAT_2),CURRENCY.FORMAT_2,1),"# ##0;-# ##0"),",-"),FIXED(ROUND(IF(EXC.RATE.SWITCH=1,C898/EXC.RATE_2,C898*EXC.RATE_2),CURRENCY.FORMAT_2),CURRENCY.FORMAT_2,0)),'DICTIONARY-5'!$A$2))</f>
        <v/>
      </c>
      <c r="L898" s="670" t="str">
        <f>IFERROR(IF(CURRENCY.FORMAT_1=0,CONCATENATE(TEXT(FIXED(ROUND((C898*(1-I898)*(1-ADD.DISCOUNT)*(1+MAT.SURCHARGE)/EXC.RATE_1),CURRENCY.FORMAT_1),CURRENCY.FORMAT_1,1),"# ##0;-# ##0"),",-"),FIXED(ROUND((C898*(1-I898)*(1-ADD.DISCOUNT)*(1+MAT.SURCHARGE)/EXC.RATE_1),CURRENCY.FORMAT_1),CURRENCY.FORMAT_1,0)),'DICTIONARY-5'!$A$2)</f>
        <v>23,-</v>
      </c>
      <c r="M898" s="670" t="str">
        <f>IF(EXC.RATE_2=0,"",IFERROR(IF(CURRENCY.FORMAT_2=0,CONCATENATE(TEXT(FIXED(ROUND(IF(EXC.RATE.SWITCH=1,C898*(1-I898)*(1-ADD.DISCOUNT)*(1+MAT.SURCHARGE)/EXC.RATE_2,C898*(1-I898)*(1-ADD.DISCOUNT)*(1+MAT.SURCHARGE)*EXC.RATE_2),CURRENCY.FORMAT_2),CURRENCY.FORMAT_2,1),"# ##0;-# ##0"),",-"),FIXED(ROUND(IF(EXC.RATE.SWITCH=1,C898*(1-I898)*(1-ADD.DISCOUNT)*(1+MAT.SURCHARGE)/EXC.RATE_2,C898*(1-I898)*(1-ADD.DISCOUNT)*(1+MAT.SURCHARGE)*EXC.RATE_2),CURRENCY.FORMAT_2),CURRENCY.FORMAT_2,0)),'DICTIONARY-5'!$A$2))</f>
        <v/>
      </c>
      <c r="N898" s="537">
        <v>11</v>
      </c>
      <c r="O898" s="537"/>
      <c r="P898" s="732" t="str">
        <f>'DICTIONARY-3'!$A$143</f>
        <v>Klucz</v>
      </c>
      <c r="Q898" s="732" t="str">
        <f>'DICTIONARY-3'!$A$222</f>
        <v>Klucz do obsługi</v>
      </c>
      <c r="R898" s="732" t="str">
        <f>CONCATENATE('DICTIONARY-3'!$A$143,", ","DIN 3223"," ",'DICTIONARY-2'!$A$36," ","A"," ",LOWER('DICTIONARY-3'!$A$334))</f>
        <v>Klucz, DIN 3223 Typ A dla hydrantów nadziemnych</v>
      </c>
      <c r="S898" s="733" t="s">
        <v>5569</v>
      </c>
      <c r="T898" s="732" t="s">
        <v>5569</v>
      </c>
      <c r="U898" s="734"/>
      <c r="V898" s="735"/>
      <c r="W898" s="736"/>
      <c r="X898" s="737"/>
      <c r="Y898" s="738"/>
      <c r="Z898" s="739"/>
      <c r="AA898" s="739"/>
      <c r="AB898" s="740"/>
      <c r="AC898" s="741"/>
      <c r="AD898" s="741"/>
      <c r="AE898" s="742"/>
      <c r="AF898" s="743">
        <v>1.24</v>
      </c>
      <c r="AG898" s="741" t="s">
        <v>5569</v>
      </c>
    </row>
    <row r="899" spans="1:33" x14ac:dyDescent="0.25">
      <c r="A899" s="854" t="s">
        <v>2333</v>
      </c>
      <c r="B899" s="854" t="s">
        <v>4499</v>
      </c>
      <c r="C899" s="836">
        <v>26</v>
      </c>
      <c r="D899" s="836"/>
      <c r="E899" s="836"/>
      <c r="F899" s="836"/>
      <c r="G899" s="496" t="s">
        <v>7809</v>
      </c>
      <c r="H899" s="797" t="str">
        <f>VLOOKUP(G899,SETTINGS!$B$7:$D$97,2,0)</f>
        <v>T-KLIC</v>
      </c>
      <c r="I899" s="796">
        <f>VLOOKUP(G899,SETTINGS!$B$7:$D$97,3,0)</f>
        <v>0</v>
      </c>
      <c r="J899" s="670" t="str">
        <f>IFERROR(IF(CURRENCY.FORMAT_1=0,CONCATENATE(TEXT(FIXED(ROUND((C899/EXC.RATE_1),CURRENCY.FORMAT_1),CURRENCY.FORMAT_1,1),"# ##0;-# ##0"),",-"),FIXED(ROUND((C899/EXC.RATE_1),CURRENCY.FORMAT_1),CURRENCY.FORMAT_1,0)),'DICTIONARY-5'!$A$2)</f>
        <v>26,-</v>
      </c>
      <c r="K899" s="670" t="str">
        <f>IF(EXC.RATE_2=0,"",IFERROR(IF(CURRENCY.FORMAT_2=0,CONCATENATE(TEXT(FIXED(ROUND(IF(EXC.RATE.SWITCH=1,C899/EXC.RATE_2,C899*EXC.RATE_2),CURRENCY.FORMAT_2),CURRENCY.FORMAT_2,1),"# ##0;-# ##0"),",-"),FIXED(ROUND(IF(EXC.RATE.SWITCH=1,C899/EXC.RATE_2,C899*EXC.RATE_2),CURRENCY.FORMAT_2),CURRENCY.FORMAT_2,0)),'DICTIONARY-5'!$A$2))</f>
        <v/>
      </c>
      <c r="L899" s="670" t="str">
        <f>IFERROR(IF(CURRENCY.FORMAT_1=0,CONCATENATE(TEXT(FIXED(ROUND((C899*(1-I899)*(1-ADD.DISCOUNT)*(1+MAT.SURCHARGE)/EXC.RATE_1),CURRENCY.FORMAT_1),CURRENCY.FORMAT_1,1),"# ##0;-# ##0"),",-"),FIXED(ROUND((C899*(1-I899)*(1-ADD.DISCOUNT)*(1+MAT.SURCHARGE)/EXC.RATE_1),CURRENCY.FORMAT_1),CURRENCY.FORMAT_1,0)),'DICTIONARY-5'!$A$2)</f>
        <v>27,-</v>
      </c>
      <c r="M899" s="670" t="str">
        <f>IF(EXC.RATE_2=0,"",IFERROR(IF(CURRENCY.FORMAT_2=0,CONCATENATE(TEXT(FIXED(ROUND(IF(EXC.RATE.SWITCH=1,C899*(1-I899)*(1-ADD.DISCOUNT)*(1+MAT.SURCHARGE)/EXC.RATE_2,C899*(1-I899)*(1-ADD.DISCOUNT)*(1+MAT.SURCHARGE)*EXC.RATE_2),CURRENCY.FORMAT_2),CURRENCY.FORMAT_2,1),"# ##0;-# ##0"),",-"),FIXED(ROUND(IF(EXC.RATE.SWITCH=1,C899*(1-I899)*(1-ADD.DISCOUNT)*(1+MAT.SURCHARGE)/EXC.RATE_2,C899*(1-I899)*(1-ADD.DISCOUNT)*(1+MAT.SURCHARGE)*EXC.RATE_2),CURRENCY.FORMAT_2),CURRENCY.FORMAT_2,0)),'DICTIONARY-5'!$A$2))</f>
        <v/>
      </c>
      <c r="N899" s="537">
        <v>11</v>
      </c>
      <c r="O899" s="537"/>
      <c r="P899" s="732" t="str">
        <f>'DICTIONARY-3'!$A$143</f>
        <v>Klucz</v>
      </c>
      <c r="Q899" s="732" t="str">
        <f>'DICTIONARY-3'!$A$222</f>
        <v>Klucz do obsługi</v>
      </c>
      <c r="R899" s="732" t="str">
        <f>CONCATENATE('DICTIONARY-3'!$A$143,", ","DIN 3223"," ",'DICTIONARY-2'!$A$36," ","B"," ",LOWER('DICTIONARY-3'!$A$334))</f>
        <v>Klucz, DIN 3223 Typ B dla hydrantów nadziemnych</v>
      </c>
      <c r="S899" s="733"/>
      <c r="T899" s="732"/>
      <c r="U899" s="734"/>
      <c r="V899" s="735"/>
      <c r="W899" s="736"/>
      <c r="X899" s="737"/>
      <c r="Y899" s="738"/>
      <c r="Z899" s="739"/>
      <c r="AA899" s="739"/>
      <c r="AB899" s="740"/>
      <c r="AC899" s="741"/>
      <c r="AD899" s="741"/>
      <c r="AE899" s="742"/>
      <c r="AF899" s="743">
        <v>2</v>
      </c>
      <c r="AG899" s="741" t="s">
        <v>5569</v>
      </c>
    </row>
    <row r="900" spans="1:33" x14ac:dyDescent="0.25">
      <c r="A900" s="854" t="s">
        <v>2330</v>
      </c>
      <c r="B900" s="854" t="s">
        <v>4514</v>
      </c>
      <c r="C900" s="836">
        <v>54</v>
      </c>
      <c r="D900" s="836"/>
      <c r="E900" s="836"/>
      <c r="F900" s="836"/>
      <c r="G900" s="855" t="s">
        <v>7809</v>
      </c>
      <c r="H900" s="797" t="str">
        <f>VLOOKUP(G900,SETTINGS!$B$7:$D$97,2,0)</f>
        <v>T-KLIC</v>
      </c>
      <c r="I900" s="796">
        <f>VLOOKUP(G900,SETTINGS!$B$7:$D$97,3,0)</f>
        <v>0</v>
      </c>
      <c r="J900" s="670" t="str">
        <f>IFERROR(IF(CURRENCY.FORMAT_1=0,CONCATENATE(TEXT(FIXED(ROUND((C900/EXC.RATE_1),CURRENCY.FORMAT_1),CURRENCY.FORMAT_1,1),"# ##0;-# ##0"),",-"),FIXED(ROUND((C900/EXC.RATE_1),CURRENCY.FORMAT_1),CURRENCY.FORMAT_1,0)),'DICTIONARY-5'!$A$2)</f>
        <v>54,-</v>
      </c>
      <c r="K900" s="670" t="str">
        <f>IF(EXC.RATE_2=0,"",IFERROR(IF(CURRENCY.FORMAT_2=0,CONCATENATE(TEXT(FIXED(ROUND(IF(EXC.RATE.SWITCH=1,C900/EXC.RATE_2,C900*EXC.RATE_2),CURRENCY.FORMAT_2),CURRENCY.FORMAT_2,1),"# ##0;-# ##0"),",-"),FIXED(ROUND(IF(EXC.RATE.SWITCH=1,C900/EXC.RATE_2,C900*EXC.RATE_2),CURRENCY.FORMAT_2),CURRENCY.FORMAT_2,0)),'DICTIONARY-5'!$A$2))</f>
        <v/>
      </c>
      <c r="L900" s="670" t="str">
        <f>IFERROR(IF(CURRENCY.FORMAT_1=0,CONCATENATE(TEXT(FIXED(ROUND((C900*(1-I900)*(1-ADD.DISCOUNT)*(1+MAT.SURCHARGE)/EXC.RATE_1),CURRENCY.FORMAT_1),CURRENCY.FORMAT_1,1),"# ##0;-# ##0"),",-"),FIXED(ROUND((C900*(1-I900)*(1-ADD.DISCOUNT)*(1+MAT.SURCHARGE)/EXC.RATE_1),CURRENCY.FORMAT_1),CURRENCY.FORMAT_1,0)),'DICTIONARY-5'!$A$2)</f>
        <v>56,-</v>
      </c>
      <c r="M900" s="670" t="str">
        <f>IF(EXC.RATE_2=0,"",IFERROR(IF(CURRENCY.FORMAT_2=0,CONCATENATE(TEXT(FIXED(ROUND(IF(EXC.RATE.SWITCH=1,C900*(1-I900)*(1-ADD.DISCOUNT)*(1+MAT.SURCHARGE)/EXC.RATE_2,C900*(1-I900)*(1-ADD.DISCOUNT)*(1+MAT.SURCHARGE)*EXC.RATE_2),CURRENCY.FORMAT_2),CURRENCY.FORMAT_2,1),"# ##0;-# ##0"),",-"),FIXED(ROUND(IF(EXC.RATE.SWITCH=1,C900*(1-I900)*(1-ADD.DISCOUNT)*(1+MAT.SURCHARGE)/EXC.RATE_2,C900*(1-I900)*(1-ADD.DISCOUNT)*(1+MAT.SURCHARGE)*EXC.RATE_2),CURRENCY.FORMAT_2),CURRENCY.FORMAT_2,0)),'DICTIONARY-5'!$A$2))</f>
        <v/>
      </c>
      <c r="N900" s="537">
        <v>11</v>
      </c>
      <c r="O900" s="537"/>
      <c r="P900" s="732" t="str">
        <f>'DICTIONARY-3'!$A$142</f>
        <v>Klucz-T</v>
      </c>
      <c r="Q900" s="732" t="str">
        <f>'DICTIONARY-3'!$A$222</f>
        <v>Klucz do obsługi</v>
      </c>
      <c r="R900" s="732" t="str">
        <f>CONCATENATE('DICTIONARY-3'!$A$142,", ","DIN 3223"," ",'DICTIONARY-2'!$A$36," ","C"," ",LOWER('DICTIONARY-3'!$A$332)," ",'DICTIONARY-3'!$A$333,", ","27x27",'DICTIONARY-2'!$A$17,)</f>
        <v>Klucz-T, DIN 3223 Typ C dla zasuw i hydrantów podziemnych , 27x27mm</v>
      </c>
      <c r="S900" s="733" t="s">
        <v>5569</v>
      </c>
      <c r="T900" s="732" t="s">
        <v>5569</v>
      </c>
      <c r="U900" s="734"/>
      <c r="V900" s="735"/>
      <c r="W900" s="736"/>
      <c r="X900" s="737"/>
      <c r="Y900" s="738"/>
      <c r="Z900" s="739"/>
      <c r="AA900" s="739"/>
      <c r="AB900" s="740"/>
      <c r="AC900" s="741"/>
      <c r="AD900" s="741"/>
      <c r="AE900" s="742"/>
      <c r="AF900" s="743">
        <v>3.5</v>
      </c>
      <c r="AG900" s="741" t="s">
        <v>5569</v>
      </c>
    </row>
    <row r="901" spans="1:33" x14ac:dyDescent="0.25">
      <c r="A901" s="854" t="s">
        <v>2331</v>
      </c>
      <c r="B901" s="854" t="s">
        <v>4716</v>
      </c>
      <c r="C901" s="836">
        <v>53</v>
      </c>
      <c r="D901" s="836"/>
      <c r="E901" s="836"/>
      <c r="F901" s="836"/>
      <c r="G901" s="855" t="s">
        <v>7809</v>
      </c>
      <c r="H901" s="797" t="str">
        <f>VLOOKUP(G901,SETTINGS!$B$7:$D$97,2,0)</f>
        <v>T-KLIC</v>
      </c>
      <c r="I901" s="796">
        <f>VLOOKUP(G901,SETTINGS!$B$7:$D$97,3,0)</f>
        <v>0</v>
      </c>
      <c r="J901" s="670" t="str">
        <f>IFERROR(IF(CURRENCY.FORMAT_1=0,CONCATENATE(TEXT(FIXED(ROUND((C901/EXC.RATE_1),CURRENCY.FORMAT_1),CURRENCY.FORMAT_1,1),"# ##0;-# ##0"),",-"),FIXED(ROUND((C901/EXC.RATE_1),CURRENCY.FORMAT_1),CURRENCY.FORMAT_1,0)),'DICTIONARY-5'!$A$2)</f>
        <v>53,-</v>
      </c>
      <c r="K901" s="670" t="str">
        <f>IF(EXC.RATE_2=0,"",IFERROR(IF(CURRENCY.FORMAT_2=0,CONCATENATE(TEXT(FIXED(ROUND(IF(EXC.RATE.SWITCH=1,C901/EXC.RATE_2,C901*EXC.RATE_2),CURRENCY.FORMAT_2),CURRENCY.FORMAT_2,1),"# ##0;-# ##0"),",-"),FIXED(ROUND(IF(EXC.RATE.SWITCH=1,C901/EXC.RATE_2,C901*EXC.RATE_2),CURRENCY.FORMAT_2),CURRENCY.FORMAT_2,0)),'DICTIONARY-5'!$A$2))</f>
        <v/>
      </c>
      <c r="L901" s="670" t="str">
        <f>IFERROR(IF(CURRENCY.FORMAT_1=0,CONCATENATE(TEXT(FIXED(ROUND((C901*(1-I901)*(1-ADD.DISCOUNT)*(1+MAT.SURCHARGE)/EXC.RATE_1),CURRENCY.FORMAT_1),CURRENCY.FORMAT_1,1),"# ##0;-# ##0"),",-"),FIXED(ROUND((C901*(1-I901)*(1-ADD.DISCOUNT)*(1+MAT.SURCHARGE)/EXC.RATE_1),CURRENCY.FORMAT_1),CURRENCY.FORMAT_1,0)),'DICTIONARY-5'!$A$2)</f>
        <v>55,-</v>
      </c>
      <c r="M901" s="670" t="str">
        <f>IF(EXC.RATE_2=0,"",IFERROR(IF(CURRENCY.FORMAT_2=0,CONCATENATE(TEXT(FIXED(ROUND(IF(EXC.RATE.SWITCH=1,C901*(1-I901)*(1-ADD.DISCOUNT)*(1+MAT.SURCHARGE)/EXC.RATE_2,C901*(1-I901)*(1-ADD.DISCOUNT)*(1+MAT.SURCHARGE)*EXC.RATE_2),CURRENCY.FORMAT_2),CURRENCY.FORMAT_2,1),"# ##0;-# ##0"),",-"),FIXED(ROUND(IF(EXC.RATE.SWITCH=1,C901*(1-I901)*(1-ADD.DISCOUNT)*(1+MAT.SURCHARGE)/EXC.RATE_2,C901*(1-I901)*(1-ADD.DISCOUNT)*(1+MAT.SURCHARGE)*EXC.RATE_2),CURRENCY.FORMAT_2),CURRENCY.FORMAT_2,0)),'DICTIONARY-5'!$A$2))</f>
        <v/>
      </c>
      <c r="N901" s="537">
        <v>11</v>
      </c>
      <c r="O901" s="537"/>
      <c r="P901" s="732" t="str">
        <f>'DICTIONARY-3'!$A$142</f>
        <v>Klucz-T</v>
      </c>
      <c r="Q901" s="732" t="str">
        <f>'DICTIONARY-3'!$A$222</f>
        <v>Klucz do obsługi</v>
      </c>
      <c r="R901" s="732" t="str">
        <f>CONCATENATE('DICTIONARY-3'!$A$142,", ","DIN 3223"," ",'DICTIONARY-2'!$A$36," ","E"," ",LOWER('DICTIONARY-3'!$A$335),", ","12x12",'DICTIONARY-2'!$A$17,)</f>
        <v>Klucz-T, DIN 3223 Typ E dla mostków nawiertowych, 12x12mm</v>
      </c>
      <c r="S901" s="733" t="s">
        <v>5569</v>
      </c>
      <c r="T901" s="732" t="s">
        <v>5569</v>
      </c>
      <c r="U901" s="734"/>
      <c r="V901" s="735"/>
      <c r="W901" s="736"/>
      <c r="X901" s="737"/>
      <c r="Y901" s="738"/>
      <c r="Z901" s="739"/>
      <c r="AA901" s="739"/>
      <c r="AB901" s="740"/>
      <c r="AC901" s="741"/>
      <c r="AD901" s="741"/>
      <c r="AE901" s="742"/>
      <c r="AF901" s="743">
        <v>4.5</v>
      </c>
      <c r="AG901" s="741" t="s">
        <v>5569</v>
      </c>
    </row>
    <row r="902" spans="1:33" x14ac:dyDescent="0.25">
      <c r="A902" s="856" t="s">
        <v>853</v>
      </c>
      <c r="B902" s="856" t="s">
        <v>4513</v>
      </c>
      <c r="C902" s="836">
        <v>2271</v>
      </c>
      <c r="D902" s="836"/>
      <c r="E902" s="836"/>
      <c r="F902" s="836"/>
      <c r="G902" s="496" t="s">
        <v>7810</v>
      </c>
      <c r="H902" s="797" t="str">
        <f>VLOOKUP(G902,SETTINGS!$B$7:$D$97,2,0)</f>
        <v>Drilling Sets</v>
      </c>
      <c r="I902" s="796">
        <f>VLOOKUP(G902,SETTINGS!$B$7:$D$97,3,0)</f>
        <v>0</v>
      </c>
      <c r="J902" s="670" t="str">
        <f>IFERROR(IF(CURRENCY.FORMAT_1=0,CONCATENATE(TEXT(FIXED(ROUND((C902/EXC.RATE_1),CURRENCY.FORMAT_1),CURRENCY.FORMAT_1,1),"# ##0;-# ##0"),",-"),FIXED(ROUND((C902/EXC.RATE_1),CURRENCY.FORMAT_1),CURRENCY.FORMAT_1,0)),'DICTIONARY-5'!$A$2)</f>
        <v>2 271,-</v>
      </c>
      <c r="K902" s="670" t="str">
        <f>IF(EXC.RATE_2=0,"",IFERROR(IF(CURRENCY.FORMAT_2=0,CONCATENATE(TEXT(FIXED(ROUND(IF(EXC.RATE.SWITCH=1,C902/EXC.RATE_2,C902*EXC.RATE_2),CURRENCY.FORMAT_2),CURRENCY.FORMAT_2,1),"# ##0;-# ##0"),",-"),FIXED(ROUND(IF(EXC.RATE.SWITCH=1,C902/EXC.RATE_2,C902*EXC.RATE_2),CURRENCY.FORMAT_2),CURRENCY.FORMAT_2,0)),'DICTIONARY-5'!$A$2))</f>
        <v/>
      </c>
      <c r="L902" s="670" t="str">
        <f>IFERROR(IF(CURRENCY.FORMAT_1=0,CONCATENATE(TEXT(FIXED(ROUND((C902*(1-I902)*(1-ADD.DISCOUNT)*(1+MAT.SURCHARGE)/EXC.RATE_1),CURRENCY.FORMAT_1),CURRENCY.FORMAT_1,1),"# ##0;-# ##0"),",-"),FIXED(ROUND((C902*(1-I902)*(1-ADD.DISCOUNT)*(1+MAT.SURCHARGE)/EXC.RATE_1),CURRENCY.FORMAT_1),CURRENCY.FORMAT_1,0)),'DICTIONARY-5'!$A$2)</f>
        <v>2 360,-</v>
      </c>
      <c r="M902" s="670" t="str">
        <f>IF(EXC.RATE_2=0,"",IFERROR(IF(CURRENCY.FORMAT_2=0,CONCATENATE(TEXT(FIXED(ROUND(IF(EXC.RATE.SWITCH=1,C902*(1-I902)*(1-ADD.DISCOUNT)*(1+MAT.SURCHARGE)/EXC.RATE_2,C902*(1-I902)*(1-ADD.DISCOUNT)*(1+MAT.SURCHARGE)*EXC.RATE_2),CURRENCY.FORMAT_2),CURRENCY.FORMAT_2,1),"# ##0;-# ##0"),",-"),FIXED(ROUND(IF(EXC.RATE.SWITCH=1,C902*(1-I902)*(1-ADD.DISCOUNT)*(1+MAT.SURCHARGE)/EXC.RATE_2,C902*(1-I902)*(1-ADD.DISCOUNT)*(1+MAT.SURCHARGE)*EXC.RATE_2),CURRENCY.FORMAT_2),CURRENCY.FORMAT_2,0)),'DICTIONARY-5'!$A$2))</f>
        <v/>
      </c>
      <c r="N902" s="542">
        <v>4</v>
      </c>
      <c r="O902" s="542"/>
      <c r="P902" s="732" t="str">
        <f>'DICTIONARY-3'!$A$185</f>
        <v>VODOREGULA</v>
      </c>
      <c r="Q902" s="732" t="str">
        <f>'DICTIONARY-3'!$A$198</f>
        <v>Zestaw nawiertowy</v>
      </c>
      <c r="R902" s="732" t="str">
        <f>CONCATENATE('DICTIONARY-3'!$A$185," ",'DICTIONARY-3'!$A$198)</f>
        <v>VODOREGULA Zestaw nawiertowy</v>
      </c>
      <c r="S902" s="733" t="s">
        <v>5569</v>
      </c>
      <c r="T902" s="732" t="s">
        <v>5569</v>
      </c>
      <c r="U902" s="734"/>
      <c r="V902" s="735" t="s">
        <v>5569</v>
      </c>
      <c r="W902" s="736"/>
      <c r="X902" s="737"/>
      <c r="Y902" s="738"/>
      <c r="Z902" s="739"/>
      <c r="AA902" s="739"/>
      <c r="AB902" s="740" t="s">
        <v>5569</v>
      </c>
      <c r="AC902" s="741" t="s">
        <v>5569</v>
      </c>
      <c r="AD902" s="741" t="s">
        <v>5569</v>
      </c>
      <c r="AE902" s="742" t="s">
        <v>5569</v>
      </c>
      <c r="AF902" s="743">
        <v>10</v>
      </c>
      <c r="AG902" s="741" t="s">
        <v>5569</v>
      </c>
    </row>
    <row r="903" spans="1:33" x14ac:dyDescent="0.25">
      <c r="A903" s="856" t="s">
        <v>855</v>
      </c>
      <c r="B903" s="856" t="s">
        <v>4512</v>
      </c>
      <c r="C903" s="836">
        <v>5296</v>
      </c>
      <c r="D903" s="836"/>
      <c r="E903" s="836"/>
      <c r="F903" s="836"/>
      <c r="G903" s="496" t="s">
        <v>7810</v>
      </c>
      <c r="H903" s="797" t="str">
        <f>VLOOKUP(G903,SETTINGS!$B$7:$D$97,2,0)</f>
        <v>Drilling Sets</v>
      </c>
      <c r="I903" s="796">
        <f>VLOOKUP(G903,SETTINGS!$B$7:$D$97,3,0)</f>
        <v>0</v>
      </c>
      <c r="J903" s="670" t="str">
        <f>IFERROR(IF(CURRENCY.FORMAT_1=0,CONCATENATE(TEXT(FIXED(ROUND((C903/EXC.RATE_1),CURRENCY.FORMAT_1),CURRENCY.FORMAT_1,1),"# ##0;-# ##0"),",-"),FIXED(ROUND((C903/EXC.RATE_1),CURRENCY.FORMAT_1),CURRENCY.FORMAT_1,0)),'DICTIONARY-5'!$A$2)</f>
        <v>5 296,-</v>
      </c>
      <c r="K903" s="670" t="str">
        <f>IF(EXC.RATE_2=0,"",IFERROR(IF(CURRENCY.FORMAT_2=0,CONCATENATE(TEXT(FIXED(ROUND(IF(EXC.RATE.SWITCH=1,C903/EXC.RATE_2,C903*EXC.RATE_2),CURRENCY.FORMAT_2),CURRENCY.FORMAT_2,1),"# ##0;-# ##0"),",-"),FIXED(ROUND(IF(EXC.RATE.SWITCH=1,C903/EXC.RATE_2,C903*EXC.RATE_2),CURRENCY.FORMAT_2),CURRENCY.FORMAT_2,0)),'DICTIONARY-5'!$A$2))</f>
        <v/>
      </c>
      <c r="L903" s="670" t="str">
        <f>IFERROR(IF(CURRENCY.FORMAT_1=0,CONCATENATE(TEXT(FIXED(ROUND((C903*(1-I903)*(1-ADD.DISCOUNT)*(1+MAT.SURCHARGE)/EXC.RATE_1),CURRENCY.FORMAT_1),CURRENCY.FORMAT_1,1),"# ##0;-# ##0"),",-"),FIXED(ROUND((C903*(1-I903)*(1-ADD.DISCOUNT)*(1+MAT.SURCHARGE)/EXC.RATE_1),CURRENCY.FORMAT_1),CURRENCY.FORMAT_1,0)),'DICTIONARY-5'!$A$2)</f>
        <v>5 503,-</v>
      </c>
      <c r="M903" s="670" t="str">
        <f>IF(EXC.RATE_2=0,"",IFERROR(IF(CURRENCY.FORMAT_2=0,CONCATENATE(TEXT(FIXED(ROUND(IF(EXC.RATE.SWITCH=1,C903*(1-I903)*(1-ADD.DISCOUNT)*(1+MAT.SURCHARGE)/EXC.RATE_2,C903*(1-I903)*(1-ADD.DISCOUNT)*(1+MAT.SURCHARGE)*EXC.RATE_2),CURRENCY.FORMAT_2),CURRENCY.FORMAT_2,1),"# ##0;-# ##0"),",-"),FIXED(ROUND(IF(EXC.RATE.SWITCH=1,C903*(1-I903)*(1-ADD.DISCOUNT)*(1+MAT.SURCHARGE)/EXC.RATE_2,C903*(1-I903)*(1-ADD.DISCOUNT)*(1+MAT.SURCHARGE)*EXC.RATE_2),CURRENCY.FORMAT_2),CURRENCY.FORMAT_2,0)),'DICTIONARY-5'!$A$2))</f>
        <v/>
      </c>
      <c r="N903" s="542">
        <v>4</v>
      </c>
      <c r="O903" s="542"/>
      <c r="P903" s="732" t="str">
        <f>'DICTIONARY-3'!$A$186</f>
        <v>BOBR</v>
      </c>
      <c r="Q903" s="732" t="str">
        <f>'DICTIONARY-3'!$A$198</f>
        <v>Zestaw nawiertowy</v>
      </c>
      <c r="R903" s="732" t="str">
        <f>CONCATENATE('DICTIONARY-3'!$A$186," ",'DICTIONARY-3'!$A$195)</f>
        <v>BOBR Urządzenie do nawiercania</v>
      </c>
      <c r="S903" s="733" t="s">
        <v>5569</v>
      </c>
      <c r="T903" s="732" t="s">
        <v>5569</v>
      </c>
      <c r="U903" s="734"/>
      <c r="V903" s="735" t="s">
        <v>5569</v>
      </c>
      <c r="W903" s="736"/>
      <c r="X903" s="737"/>
      <c r="Y903" s="738"/>
      <c r="Z903" s="739"/>
      <c r="AA903" s="739"/>
      <c r="AB903" s="740" t="s">
        <v>5569</v>
      </c>
      <c r="AC903" s="741" t="s">
        <v>5569</v>
      </c>
      <c r="AD903" s="741" t="s">
        <v>5569</v>
      </c>
      <c r="AE903" s="742" t="s">
        <v>5569</v>
      </c>
      <c r="AF903" s="743">
        <v>47.5</v>
      </c>
      <c r="AG903" s="741" t="s">
        <v>5569</v>
      </c>
    </row>
    <row r="904" spans="1:33" x14ac:dyDescent="0.25">
      <c r="A904" s="856" t="s">
        <v>1055</v>
      </c>
      <c r="B904" s="856" t="s">
        <v>4797</v>
      </c>
      <c r="C904" s="836">
        <v>31</v>
      </c>
      <c r="D904" s="836"/>
      <c r="E904" s="836"/>
      <c r="F904" s="836"/>
      <c r="G904" s="496" t="s">
        <v>7811</v>
      </c>
      <c r="H904" s="797" t="str">
        <f>VLOOKUP(G904,SETTINGS!$B$7:$D$97,2,0)</f>
        <v>House Connection Bracket</v>
      </c>
      <c r="I904" s="796">
        <f>VLOOKUP(G904,SETTINGS!$B$7:$D$97,3,0)</f>
        <v>0</v>
      </c>
      <c r="J904" s="670" t="str">
        <f>IFERROR(IF(CURRENCY.FORMAT_1=0,CONCATENATE(TEXT(FIXED(ROUND((C904/EXC.RATE_1),CURRENCY.FORMAT_1),CURRENCY.FORMAT_1,1),"# ##0;-# ##0"),",-"),FIXED(ROUND((C904/EXC.RATE_1),CURRENCY.FORMAT_1),CURRENCY.FORMAT_1,0)),'DICTIONARY-5'!$A$2)</f>
        <v>31,-</v>
      </c>
      <c r="K904" s="670" t="str">
        <f>IF(EXC.RATE_2=0,"",IFERROR(IF(CURRENCY.FORMAT_2=0,CONCATENATE(TEXT(FIXED(ROUND(IF(EXC.RATE.SWITCH=1,C904/EXC.RATE_2,C904*EXC.RATE_2),CURRENCY.FORMAT_2),CURRENCY.FORMAT_2,1),"# ##0;-# ##0"),",-"),FIXED(ROUND(IF(EXC.RATE.SWITCH=1,C904/EXC.RATE_2,C904*EXC.RATE_2),CURRENCY.FORMAT_2),CURRENCY.FORMAT_2,0)),'DICTIONARY-5'!$A$2))</f>
        <v/>
      </c>
      <c r="L904" s="670" t="str">
        <f>IFERROR(IF(CURRENCY.FORMAT_1=0,CONCATENATE(TEXT(FIXED(ROUND((C904*(1-I904)*(1-ADD.DISCOUNT)*(1+MAT.SURCHARGE)/EXC.RATE_1),CURRENCY.FORMAT_1),CURRENCY.FORMAT_1,1),"# ##0;-# ##0"),",-"),FIXED(ROUND((C904*(1-I904)*(1-ADD.DISCOUNT)*(1+MAT.SURCHARGE)/EXC.RATE_1),CURRENCY.FORMAT_1),CURRENCY.FORMAT_1,0)),'DICTIONARY-5'!$A$2)</f>
        <v>32,-</v>
      </c>
      <c r="M904" s="670" t="str">
        <f>IF(EXC.RATE_2=0,"",IFERROR(IF(CURRENCY.FORMAT_2=0,CONCATENATE(TEXT(FIXED(ROUND(IF(EXC.RATE.SWITCH=1,C904*(1-I904)*(1-ADD.DISCOUNT)*(1+MAT.SURCHARGE)/EXC.RATE_2,C904*(1-I904)*(1-ADD.DISCOUNT)*(1+MAT.SURCHARGE)*EXC.RATE_2),CURRENCY.FORMAT_2),CURRENCY.FORMAT_2,1),"# ##0;-# ##0"),",-"),FIXED(ROUND(IF(EXC.RATE.SWITCH=1,C904*(1-I904)*(1-ADD.DISCOUNT)*(1+MAT.SURCHARGE)/EXC.RATE_2,C904*(1-I904)*(1-ADD.DISCOUNT)*(1+MAT.SURCHARGE)*EXC.RATE_2),CURRENCY.FORMAT_2),CURRENCY.FORMAT_2,0)),'DICTIONARY-5'!$A$2))</f>
        <v/>
      </c>
      <c r="N904" s="542">
        <v>4</v>
      </c>
      <c r="O904" s="542"/>
      <c r="P904" s="732" t="str">
        <f>'DICTIONARY-3'!$A$88</f>
        <v>Obejma</v>
      </c>
      <c r="Q904" s="732" t="str">
        <f>'DICTIONARY-3'!$A$197</f>
        <v>Obejma</v>
      </c>
      <c r="R904" s="732" t="str">
        <f>CONCATENATE('DICTIONARY-3'!$A$197," ",'DICTIONARY-2'!$A$2,"50"," ",'DICTIONARY-2'!$A$5,"56-63")</f>
        <v>Obejma DN50 Da56-63</v>
      </c>
      <c r="S904" s="733" t="s">
        <v>5569</v>
      </c>
      <c r="T904" s="732" t="s">
        <v>5569</v>
      </c>
      <c r="U904" s="734" t="s">
        <v>5748</v>
      </c>
      <c r="V904" s="735"/>
      <c r="W904" s="736" t="s">
        <v>5773</v>
      </c>
      <c r="X904" s="737"/>
      <c r="Y904" s="738"/>
      <c r="Z904" s="739"/>
      <c r="AA904" s="739"/>
      <c r="AB904" s="740"/>
      <c r="AC904" s="741"/>
      <c r="AD904" s="741" t="s">
        <v>5569</v>
      </c>
      <c r="AE904" s="742" t="s">
        <v>5569</v>
      </c>
      <c r="AF904" s="743">
        <v>0.68100000000000005</v>
      </c>
      <c r="AG904" s="741" t="s">
        <v>5569</v>
      </c>
    </row>
    <row r="905" spans="1:33" x14ac:dyDescent="0.25">
      <c r="A905" s="856" t="s">
        <v>1057</v>
      </c>
      <c r="B905" s="856" t="s">
        <v>4798</v>
      </c>
      <c r="C905" s="836">
        <v>33</v>
      </c>
      <c r="D905" s="836"/>
      <c r="E905" s="836"/>
      <c r="F905" s="836"/>
      <c r="G905" s="496" t="s">
        <v>7811</v>
      </c>
      <c r="H905" s="797" t="str">
        <f>VLOOKUP(G905,SETTINGS!$B$7:$D$97,2,0)</f>
        <v>House Connection Bracket</v>
      </c>
      <c r="I905" s="796">
        <f>VLOOKUP(G905,SETTINGS!$B$7:$D$97,3,0)</f>
        <v>0</v>
      </c>
      <c r="J905" s="670" t="str">
        <f>IFERROR(IF(CURRENCY.FORMAT_1=0,CONCATENATE(TEXT(FIXED(ROUND((C905/EXC.RATE_1),CURRENCY.FORMAT_1),CURRENCY.FORMAT_1,1),"# ##0;-# ##0"),",-"),FIXED(ROUND((C905/EXC.RATE_1),CURRENCY.FORMAT_1),CURRENCY.FORMAT_1,0)),'DICTIONARY-5'!$A$2)</f>
        <v>33,-</v>
      </c>
      <c r="K905" s="670" t="str">
        <f>IF(EXC.RATE_2=0,"",IFERROR(IF(CURRENCY.FORMAT_2=0,CONCATENATE(TEXT(FIXED(ROUND(IF(EXC.RATE.SWITCH=1,C905/EXC.RATE_2,C905*EXC.RATE_2),CURRENCY.FORMAT_2),CURRENCY.FORMAT_2,1),"# ##0;-# ##0"),",-"),FIXED(ROUND(IF(EXC.RATE.SWITCH=1,C905/EXC.RATE_2,C905*EXC.RATE_2),CURRENCY.FORMAT_2),CURRENCY.FORMAT_2,0)),'DICTIONARY-5'!$A$2))</f>
        <v/>
      </c>
      <c r="L905" s="670" t="str">
        <f>IFERROR(IF(CURRENCY.FORMAT_1=0,CONCATENATE(TEXT(FIXED(ROUND((C905*(1-I905)*(1-ADD.DISCOUNT)*(1+MAT.SURCHARGE)/EXC.RATE_1),CURRENCY.FORMAT_1),CURRENCY.FORMAT_1,1),"# ##0;-# ##0"),",-"),FIXED(ROUND((C905*(1-I905)*(1-ADD.DISCOUNT)*(1+MAT.SURCHARGE)/EXC.RATE_1),CURRENCY.FORMAT_1),CURRENCY.FORMAT_1,0)),'DICTIONARY-5'!$A$2)</f>
        <v>34,-</v>
      </c>
      <c r="M905" s="670" t="str">
        <f>IF(EXC.RATE_2=0,"",IFERROR(IF(CURRENCY.FORMAT_2=0,CONCATENATE(TEXT(FIXED(ROUND(IF(EXC.RATE.SWITCH=1,C905*(1-I905)*(1-ADD.DISCOUNT)*(1+MAT.SURCHARGE)/EXC.RATE_2,C905*(1-I905)*(1-ADD.DISCOUNT)*(1+MAT.SURCHARGE)*EXC.RATE_2),CURRENCY.FORMAT_2),CURRENCY.FORMAT_2,1),"# ##0;-# ##0"),",-"),FIXED(ROUND(IF(EXC.RATE.SWITCH=1,C905*(1-I905)*(1-ADD.DISCOUNT)*(1+MAT.SURCHARGE)/EXC.RATE_2,C905*(1-I905)*(1-ADD.DISCOUNT)*(1+MAT.SURCHARGE)*EXC.RATE_2),CURRENCY.FORMAT_2),CURRENCY.FORMAT_2,0)),'DICTIONARY-5'!$A$2))</f>
        <v/>
      </c>
      <c r="N905" s="542">
        <v>4</v>
      </c>
      <c r="O905" s="542"/>
      <c r="P905" s="732" t="str">
        <f>'DICTIONARY-3'!$A$88</f>
        <v>Obejma</v>
      </c>
      <c r="Q905" s="732" t="str">
        <f>'DICTIONARY-3'!$A$197</f>
        <v>Obejma</v>
      </c>
      <c r="R905" s="732" t="str">
        <f>CONCATENATE('DICTIONARY-3'!$A$197," ",'DICTIONARY-2'!$A$2,"65"," ",'DICTIONARY-2'!$A$5,"70-77")</f>
        <v>Obejma DN65 Da70-77</v>
      </c>
      <c r="S905" s="733" t="s">
        <v>5569</v>
      </c>
      <c r="T905" s="732" t="s">
        <v>5569</v>
      </c>
      <c r="U905" s="734" t="s">
        <v>5759</v>
      </c>
      <c r="V905" s="735"/>
      <c r="W905" s="736" t="s">
        <v>5774</v>
      </c>
      <c r="X905" s="737"/>
      <c r="Y905" s="738"/>
      <c r="Z905" s="739"/>
      <c r="AA905" s="739"/>
      <c r="AB905" s="740"/>
      <c r="AC905" s="741"/>
      <c r="AD905" s="741" t="s">
        <v>5569</v>
      </c>
      <c r="AE905" s="742" t="s">
        <v>5569</v>
      </c>
      <c r="AF905" s="743">
        <v>1</v>
      </c>
      <c r="AG905" s="741" t="s">
        <v>5569</v>
      </c>
    </row>
    <row r="906" spans="1:33" x14ac:dyDescent="0.25">
      <c r="A906" s="856" t="s">
        <v>1059</v>
      </c>
      <c r="B906" s="856" t="s">
        <v>4799</v>
      </c>
      <c r="C906" s="836">
        <v>29</v>
      </c>
      <c r="D906" s="836"/>
      <c r="E906" s="836"/>
      <c r="F906" s="836"/>
      <c r="G906" s="496" t="s">
        <v>7811</v>
      </c>
      <c r="H906" s="797" t="str">
        <f>VLOOKUP(G906,SETTINGS!$B$7:$D$97,2,0)</f>
        <v>House Connection Bracket</v>
      </c>
      <c r="I906" s="796">
        <f>VLOOKUP(G906,SETTINGS!$B$7:$D$97,3,0)</f>
        <v>0</v>
      </c>
      <c r="J906" s="670" t="str">
        <f>IFERROR(IF(CURRENCY.FORMAT_1=0,CONCATENATE(TEXT(FIXED(ROUND((C906/EXC.RATE_1),CURRENCY.FORMAT_1),CURRENCY.FORMAT_1,1),"# ##0;-# ##0"),",-"),FIXED(ROUND((C906/EXC.RATE_1),CURRENCY.FORMAT_1),CURRENCY.FORMAT_1,0)),'DICTIONARY-5'!$A$2)</f>
        <v>29,-</v>
      </c>
      <c r="K906" s="670" t="str">
        <f>IF(EXC.RATE_2=0,"",IFERROR(IF(CURRENCY.FORMAT_2=0,CONCATENATE(TEXT(FIXED(ROUND(IF(EXC.RATE.SWITCH=1,C906/EXC.RATE_2,C906*EXC.RATE_2),CURRENCY.FORMAT_2),CURRENCY.FORMAT_2,1),"# ##0;-# ##0"),",-"),FIXED(ROUND(IF(EXC.RATE.SWITCH=1,C906/EXC.RATE_2,C906*EXC.RATE_2),CURRENCY.FORMAT_2),CURRENCY.FORMAT_2,0)),'DICTIONARY-5'!$A$2))</f>
        <v/>
      </c>
      <c r="L906" s="670" t="str">
        <f>IFERROR(IF(CURRENCY.FORMAT_1=0,CONCATENATE(TEXT(FIXED(ROUND((C906*(1-I906)*(1-ADD.DISCOUNT)*(1+MAT.SURCHARGE)/EXC.RATE_1),CURRENCY.FORMAT_1),CURRENCY.FORMAT_1,1),"# ##0;-# ##0"),",-"),FIXED(ROUND((C906*(1-I906)*(1-ADD.DISCOUNT)*(1+MAT.SURCHARGE)/EXC.RATE_1),CURRENCY.FORMAT_1),CURRENCY.FORMAT_1,0)),'DICTIONARY-5'!$A$2)</f>
        <v>30,-</v>
      </c>
      <c r="M906" s="670" t="str">
        <f>IF(EXC.RATE_2=0,"",IFERROR(IF(CURRENCY.FORMAT_2=0,CONCATENATE(TEXT(FIXED(ROUND(IF(EXC.RATE.SWITCH=1,C906*(1-I906)*(1-ADD.DISCOUNT)*(1+MAT.SURCHARGE)/EXC.RATE_2,C906*(1-I906)*(1-ADD.DISCOUNT)*(1+MAT.SURCHARGE)*EXC.RATE_2),CURRENCY.FORMAT_2),CURRENCY.FORMAT_2,1),"# ##0;-# ##0"),",-"),FIXED(ROUND(IF(EXC.RATE.SWITCH=1,C906*(1-I906)*(1-ADD.DISCOUNT)*(1+MAT.SURCHARGE)/EXC.RATE_2,C906*(1-I906)*(1-ADD.DISCOUNT)*(1+MAT.SURCHARGE)*EXC.RATE_2),CURRENCY.FORMAT_2),CURRENCY.FORMAT_2,0)),'DICTIONARY-5'!$A$2))</f>
        <v/>
      </c>
      <c r="N906" s="542">
        <v>4</v>
      </c>
      <c r="O906" s="542"/>
      <c r="P906" s="732" t="str">
        <f>'DICTIONARY-3'!$A$88</f>
        <v>Obejma</v>
      </c>
      <c r="Q906" s="732" t="str">
        <f>'DICTIONARY-3'!$A$197</f>
        <v>Obejma</v>
      </c>
      <c r="R906" s="732" t="str">
        <f>CONCATENATE('DICTIONARY-3'!$A$197," ",'DICTIONARY-2'!$A$2,"80"," ",'DICTIONARY-2'!$A$5,"88-100",", ",'DICTIONARY-6'!$A$58)</f>
        <v>Obejma DN80 Da88-100, całk. ogumowana</v>
      </c>
      <c r="S906" s="733" t="s">
        <v>5569</v>
      </c>
      <c r="T906" s="732" t="s">
        <v>5569</v>
      </c>
      <c r="U906" s="734" t="s">
        <v>5760</v>
      </c>
      <c r="V906" s="735"/>
      <c r="W906" s="736" t="s">
        <v>5775</v>
      </c>
      <c r="X906" s="737"/>
      <c r="Y906" s="738"/>
      <c r="Z906" s="739"/>
      <c r="AA906" s="739"/>
      <c r="AB906" s="740"/>
      <c r="AC906" s="741"/>
      <c r="AD906" s="741" t="s">
        <v>5569</v>
      </c>
      <c r="AE906" s="742" t="s">
        <v>5569</v>
      </c>
      <c r="AF906" s="743">
        <v>0.96899999999999997</v>
      </c>
      <c r="AG906" s="741" t="s">
        <v>5569</v>
      </c>
    </row>
    <row r="907" spans="1:33" x14ac:dyDescent="0.25">
      <c r="A907" s="856" t="s">
        <v>1061</v>
      </c>
      <c r="B907" s="856" t="s">
        <v>4800</v>
      </c>
      <c r="C907" s="836">
        <v>29</v>
      </c>
      <c r="D907" s="836"/>
      <c r="E907" s="836"/>
      <c r="F907" s="836"/>
      <c r="G907" s="496" t="s">
        <v>7811</v>
      </c>
      <c r="H907" s="797" t="str">
        <f>VLOOKUP(G907,SETTINGS!$B$7:$D$97,2,0)</f>
        <v>House Connection Bracket</v>
      </c>
      <c r="I907" s="796">
        <f>VLOOKUP(G907,SETTINGS!$B$7:$D$97,3,0)</f>
        <v>0</v>
      </c>
      <c r="J907" s="670" t="str">
        <f>IFERROR(IF(CURRENCY.FORMAT_1=0,CONCATENATE(TEXT(FIXED(ROUND((C907/EXC.RATE_1),CURRENCY.FORMAT_1),CURRENCY.FORMAT_1,1),"# ##0;-# ##0"),",-"),FIXED(ROUND((C907/EXC.RATE_1),CURRENCY.FORMAT_1),CURRENCY.FORMAT_1,0)),'DICTIONARY-5'!$A$2)</f>
        <v>29,-</v>
      </c>
      <c r="K907" s="670" t="str">
        <f>IF(EXC.RATE_2=0,"",IFERROR(IF(CURRENCY.FORMAT_2=0,CONCATENATE(TEXT(FIXED(ROUND(IF(EXC.RATE.SWITCH=1,C907/EXC.RATE_2,C907*EXC.RATE_2),CURRENCY.FORMAT_2),CURRENCY.FORMAT_2,1),"# ##0;-# ##0"),",-"),FIXED(ROUND(IF(EXC.RATE.SWITCH=1,C907/EXC.RATE_2,C907*EXC.RATE_2),CURRENCY.FORMAT_2),CURRENCY.FORMAT_2,0)),'DICTIONARY-5'!$A$2))</f>
        <v/>
      </c>
      <c r="L907" s="670" t="str">
        <f>IFERROR(IF(CURRENCY.FORMAT_1=0,CONCATENATE(TEXT(FIXED(ROUND((C907*(1-I907)*(1-ADD.DISCOUNT)*(1+MAT.SURCHARGE)/EXC.RATE_1),CURRENCY.FORMAT_1),CURRENCY.FORMAT_1,1),"# ##0;-# ##0"),",-"),FIXED(ROUND((C907*(1-I907)*(1-ADD.DISCOUNT)*(1+MAT.SURCHARGE)/EXC.RATE_1),CURRENCY.FORMAT_1),CURRENCY.FORMAT_1,0)),'DICTIONARY-5'!$A$2)</f>
        <v>30,-</v>
      </c>
      <c r="M907" s="670" t="str">
        <f>IF(EXC.RATE_2=0,"",IFERROR(IF(CURRENCY.FORMAT_2=0,CONCATENATE(TEXT(FIXED(ROUND(IF(EXC.RATE.SWITCH=1,C907*(1-I907)*(1-ADD.DISCOUNT)*(1+MAT.SURCHARGE)/EXC.RATE_2,C907*(1-I907)*(1-ADD.DISCOUNT)*(1+MAT.SURCHARGE)*EXC.RATE_2),CURRENCY.FORMAT_2),CURRENCY.FORMAT_2,1),"# ##0;-# ##0"),",-"),FIXED(ROUND(IF(EXC.RATE.SWITCH=1,C907*(1-I907)*(1-ADD.DISCOUNT)*(1+MAT.SURCHARGE)/EXC.RATE_2,C907*(1-I907)*(1-ADD.DISCOUNT)*(1+MAT.SURCHARGE)*EXC.RATE_2),CURRENCY.FORMAT_2),CURRENCY.FORMAT_2,0)),'DICTIONARY-5'!$A$2))</f>
        <v/>
      </c>
      <c r="N907" s="542">
        <v>4</v>
      </c>
      <c r="O907" s="542"/>
      <c r="P907" s="732" t="str">
        <f>'DICTIONARY-3'!$A$88</f>
        <v>Obejma</v>
      </c>
      <c r="Q907" s="732" t="str">
        <f>'DICTIONARY-3'!$A$197</f>
        <v>Obejma</v>
      </c>
      <c r="R907" s="732" t="str">
        <f>CONCATENATE('DICTIONARY-3'!$A$197," ",'DICTIONARY-2'!$A$2,"80"," ",'DICTIONARY-2'!$A$5,"98-110",", ",'DICTIONARY-6'!$A$58)</f>
        <v>Obejma DN80 Da98-110, całk. ogumowana</v>
      </c>
      <c r="S907" s="733" t="s">
        <v>5569</v>
      </c>
      <c r="T907" s="732" t="s">
        <v>5569</v>
      </c>
      <c r="U907" s="734" t="s">
        <v>5760</v>
      </c>
      <c r="V907" s="735"/>
      <c r="W907" s="736" t="s">
        <v>5776</v>
      </c>
      <c r="X907" s="737"/>
      <c r="Y907" s="738"/>
      <c r="Z907" s="739"/>
      <c r="AA907" s="739"/>
      <c r="AB907" s="740"/>
      <c r="AC907" s="741"/>
      <c r="AD907" s="741" t="s">
        <v>5569</v>
      </c>
      <c r="AE907" s="742" t="s">
        <v>5569</v>
      </c>
      <c r="AF907" s="743">
        <v>1</v>
      </c>
      <c r="AG907" s="741" t="s">
        <v>5569</v>
      </c>
    </row>
    <row r="908" spans="1:33" x14ac:dyDescent="0.25">
      <c r="A908" s="856" t="s">
        <v>1065</v>
      </c>
      <c r="B908" s="856" t="s">
        <v>4801</v>
      </c>
      <c r="C908" s="836">
        <v>31</v>
      </c>
      <c r="D908" s="836"/>
      <c r="E908" s="836"/>
      <c r="F908" s="836"/>
      <c r="G908" s="496" t="s">
        <v>7811</v>
      </c>
      <c r="H908" s="797" t="str">
        <f>VLOOKUP(G908,SETTINGS!$B$7:$D$97,2,0)</f>
        <v>House Connection Bracket</v>
      </c>
      <c r="I908" s="796">
        <f>VLOOKUP(G908,SETTINGS!$B$7:$D$97,3,0)</f>
        <v>0</v>
      </c>
      <c r="J908" s="670" t="str">
        <f>IFERROR(IF(CURRENCY.FORMAT_1=0,CONCATENATE(TEXT(FIXED(ROUND((C908/EXC.RATE_1),CURRENCY.FORMAT_1),CURRENCY.FORMAT_1,1),"# ##0;-# ##0"),",-"),FIXED(ROUND((C908/EXC.RATE_1),CURRENCY.FORMAT_1),CURRENCY.FORMAT_1,0)),'DICTIONARY-5'!$A$2)</f>
        <v>31,-</v>
      </c>
      <c r="K908" s="670" t="str">
        <f>IF(EXC.RATE_2=0,"",IFERROR(IF(CURRENCY.FORMAT_2=0,CONCATENATE(TEXT(FIXED(ROUND(IF(EXC.RATE.SWITCH=1,C908/EXC.RATE_2,C908*EXC.RATE_2),CURRENCY.FORMAT_2),CURRENCY.FORMAT_2,1),"# ##0;-# ##0"),",-"),FIXED(ROUND(IF(EXC.RATE.SWITCH=1,C908/EXC.RATE_2,C908*EXC.RATE_2),CURRENCY.FORMAT_2),CURRENCY.FORMAT_2,0)),'DICTIONARY-5'!$A$2))</f>
        <v/>
      </c>
      <c r="L908" s="670" t="str">
        <f>IFERROR(IF(CURRENCY.FORMAT_1=0,CONCATENATE(TEXT(FIXED(ROUND((C908*(1-I908)*(1-ADD.DISCOUNT)*(1+MAT.SURCHARGE)/EXC.RATE_1),CURRENCY.FORMAT_1),CURRENCY.FORMAT_1,1),"# ##0;-# ##0"),",-"),FIXED(ROUND((C908*(1-I908)*(1-ADD.DISCOUNT)*(1+MAT.SURCHARGE)/EXC.RATE_1),CURRENCY.FORMAT_1),CURRENCY.FORMAT_1,0)),'DICTIONARY-5'!$A$2)</f>
        <v>32,-</v>
      </c>
      <c r="M908" s="670" t="str">
        <f>IF(EXC.RATE_2=0,"",IFERROR(IF(CURRENCY.FORMAT_2=0,CONCATENATE(TEXT(FIXED(ROUND(IF(EXC.RATE.SWITCH=1,C908*(1-I908)*(1-ADD.DISCOUNT)*(1+MAT.SURCHARGE)/EXC.RATE_2,C908*(1-I908)*(1-ADD.DISCOUNT)*(1+MAT.SURCHARGE)*EXC.RATE_2),CURRENCY.FORMAT_2),CURRENCY.FORMAT_2,1),"# ##0;-# ##0"),",-"),FIXED(ROUND(IF(EXC.RATE.SWITCH=1,C908*(1-I908)*(1-ADD.DISCOUNT)*(1+MAT.SURCHARGE)/EXC.RATE_2,C908*(1-I908)*(1-ADD.DISCOUNT)*(1+MAT.SURCHARGE)*EXC.RATE_2),CURRENCY.FORMAT_2),CURRENCY.FORMAT_2,0)),'DICTIONARY-5'!$A$2))</f>
        <v/>
      </c>
      <c r="N908" s="542">
        <v>4</v>
      </c>
      <c r="O908" s="542"/>
      <c r="P908" s="732" t="str">
        <f>'DICTIONARY-3'!$A$88</f>
        <v>Obejma</v>
      </c>
      <c r="Q908" s="732" t="str">
        <f>'DICTIONARY-3'!$A$197</f>
        <v>Obejma</v>
      </c>
      <c r="R908" s="732" t="str">
        <f>CONCATENATE('DICTIONARY-3'!$A$197," ",'DICTIONARY-2'!$A$2,"100"," ",'DICTIONARY-2'!$A$5,"113-123",", ",'DICTIONARY-6'!$A$58)</f>
        <v>Obejma DN100 Da113-123, całk. ogumowana</v>
      </c>
      <c r="S908" s="733" t="s">
        <v>5569</v>
      </c>
      <c r="T908" s="732" t="s">
        <v>5569</v>
      </c>
      <c r="U908" s="734" t="s">
        <v>5749</v>
      </c>
      <c r="V908" s="735"/>
      <c r="W908" s="749" t="s">
        <v>5777</v>
      </c>
      <c r="X908" s="737"/>
      <c r="Y908" s="738"/>
      <c r="Z908" s="739"/>
      <c r="AA908" s="739"/>
      <c r="AB908" s="740"/>
      <c r="AC908" s="741"/>
      <c r="AD908" s="741" t="s">
        <v>5569</v>
      </c>
      <c r="AE908" s="742" t="s">
        <v>5569</v>
      </c>
      <c r="AF908" s="743">
        <v>1.05</v>
      </c>
      <c r="AG908" s="741" t="s">
        <v>5569</v>
      </c>
    </row>
    <row r="909" spans="1:33" x14ac:dyDescent="0.25">
      <c r="A909" s="856" t="s">
        <v>1067</v>
      </c>
      <c r="B909" s="856" t="s">
        <v>4802</v>
      </c>
      <c r="C909" s="836">
        <v>32</v>
      </c>
      <c r="D909" s="836"/>
      <c r="E909" s="836"/>
      <c r="F909" s="836"/>
      <c r="G909" s="496" t="s">
        <v>7811</v>
      </c>
      <c r="H909" s="797" t="str">
        <f>VLOOKUP(G909,SETTINGS!$B$7:$D$97,2,0)</f>
        <v>House Connection Bracket</v>
      </c>
      <c r="I909" s="796">
        <f>VLOOKUP(G909,SETTINGS!$B$7:$D$97,3,0)</f>
        <v>0</v>
      </c>
      <c r="J909" s="670" t="str">
        <f>IFERROR(IF(CURRENCY.FORMAT_1=0,CONCATENATE(TEXT(FIXED(ROUND((C909/EXC.RATE_1),CURRENCY.FORMAT_1),CURRENCY.FORMAT_1,1),"# ##0;-# ##0"),",-"),FIXED(ROUND((C909/EXC.RATE_1),CURRENCY.FORMAT_1),CURRENCY.FORMAT_1,0)),'DICTIONARY-5'!$A$2)</f>
        <v>32,-</v>
      </c>
      <c r="K909" s="670" t="str">
        <f>IF(EXC.RATE_2=0,"",IFERROR(IF(CURRENCY.FORMAT_2=0,CONCATENATE(TEXT(FIXED(ROUND(IF(EXC.RATE.SWITCH=1,C909/EXC.RATE_2,C909*EXC.RATE_2),CURRENCY.FORMAT_2),CURRENCY.FORMAT_2,1),"# ##0;-# ##0"),",-"),FIXED(ROUND(IF(EXC.RATE.SWITCH=1,C909/EXC.RATE_2,C909*EXC.RATE_2),CURRENCY.FORMAT_2),CURRENCY.FORMAT_2,0)),'DICTIONARY-5'!$A$2))</f>
        <v/>
      </c>
      <c r="L909" s="670" t="str">
        <f>IFERROR(IF(CURRENCY.FORMAT_1=0,CONCATENATE(TEXT(FIXED(ROUND((C909*(1-I909)*(1-ADD.DISCOUNT)*(1+MAT.SURCHARGE)/EXC.RATE_1),CURRENCY.FORMAT_1),CURRENCY.FORMAT_1,1),"# ##0;-# ##0"),",-"),FIXED(ROUND((C909*(1-I909)*(1-ADD.DISCOUNT)*(1+MAT.SURCHARGE)/EXC.RATE_1),CURRENCY.FORMAT_1),CURRENCY.FORMAT_1,0)),'DICTIONARY-5'!$A$2)</f>
        <v>33,-</v>
      </c>
      <c r="M909" s="670" t="str">
        <f>IF(EXC.RATE_2=0,"",IFERROR(IF(CURRENCY.FORMAT_2=0,CONCATENATE(TEXT(FIXED(ROUND(IF(EXC.RATE.SWITCH=1,C909*(1-I909)*(1-ADD.DISCOUNT)*(1+MAT.SURCHARGE)/EXC.RATE_2,C909*(1-I909)*(1-ADD.DISCOUNT)*(1+MAT.SURCHARGE)*EXC.RATE_2),CURRENCY.FORMAT_2),CURRENCY.FORMAT_2,1),"# ##0;-# ##0"),",-"),FIXED(ROUND(IF(EXC.RATE.SWITCH=1,C909*(1-I909)*(1-ADD.DISCOUNT)*(1+MAT.SURCHARGE)/EXC.RATE_2,C909*(1-I909)*(1-ADD.DISCOUNT)*(1+MAT.SURCHARGE)*EXC.RATE_2),CURRENCY.FORMAT_2),CURRENCY.FORMAT_2,0)),'DICTIONARY-5'!$A$2))</f>
        <v/>
      </c>
      <c r="N909" s="542">
        <v>4</v>
      </c>
      <c r="O909" s="542"/>
      <c r="P909" s="732" t="str">
        <f>'DICTIONARY-3'!$A$88</f>
        <v>Obejma</v>
      </c>
      <c r="Q909" s="732" t="str">
        <f>'DICTIONARY-3'!$A$197</f>
        <v>Obejma</v>
      </c>
      <c r="R909" s="732" t="str">
        <f>CONCATENATE('DICTIONARY-3'!$A$197," ",'DICTIONARY-2'!$A$2,"100"," ",'DICTIONARY-2'!$A$5,"123-133",", ",'DICTIONARY-6'!$A$58)</f>
        <v>Obejma DN100 Da123-133, całk. ogumowana</v>
      </c>
      <c r="S909" s="733" t="s">
        <v>5569</v>
      </c>
      <c r="T909" s="732" t="s">
        <v>5569</v>
      </c>
      <c r="U909" s="734" t="s">
        <v>5749</v>
      </c>
      <c r="V909" s="735"/>
      <c r="W909" s="749" t="s">
        <v>5789</v>
      </c>
      <c r="X909" s="737"/>
      <c r="Y909" s="738"/>
      <c r="Z909" s="739"/>
      <c r="AA909" s="739"/>
      <c r="AB909" s="740"/>
      <c r="AC909" s="741"/>
      <c r="AD909" s="741" t="s">
        <v>5569</v>
      </c>
      <c r="AE909" s="742" t="s">
        <v>5569</v>
      </c>
      <c r="AF909" s="743">
        <v>1.17</v>
      </c>
      <c r="AG909" s="741" t="s">
        <v>5569</v>
      </c>
    </row>
    <row r="910" spans="1:33" x14ac:dyDescent="0.25">
      <c r="A910" s="856" t="s">
        <v>1063</v>
      </c>
      <c r="B910" s="856" t="s">
        <v>4803</v>
      </c>
      <c r="C910" s="836">
        <v>35</v>
      </c>
      <c r="D910" s="836"/>
      <c r="E910" s="836"/>
      <c r="F910" s="836"/>
      <c r="G910" s="496" t="s">
        <v>7811</v>
      </c>
      <c r="H910" s="797" t="str">
        <f>VLOOKUP(G910,SETTINGS!$B$7:$D$97,2,0)</f>
        <v>House Connection Bracket</v>
      </c>
      <c r="I910" s="796">
        <f>VLOOKUP(G910,SETTINGS!$B$7:$D$97,3,0)</f>
        <v>0</v>
      </c>
      <c r="J910" s="670" t="str">
        <f>IFERROR(IF(CURRENCY.FORMAT_1=0,CONCATENATE(TEXT(FIXED(ROUND((C910/EXC.RATE_1),CURRENCY.FORMAT_1),CURRENCY.FORMAT_1,1),"# ##0;-# ##0"),",-"),FIXED(ROUND((C910/EXC.RATE_1),CURRENCY.FORMAT_1),CURRENCY.FORMAT_1,0)),'DICTIONARY-5'!$A$2)</f>
        <v>35,-</v>
      </c>
      <c r="K910" s="670" t="str">
        <f>IF(EXC.RATE_2=0,"",IFERROR(IF(CURRENCY.FORMAT_2=0,CONCATENATE(TEXT(FIXED(ROUND(IF(EXC.RATE.SWITCH=1,C910/EXC.RATE_2,C910*EXC.RATE_2),CURRENCY.FORMAT_2),CURRENCY.FORMAT_2,1),"# ##0;-# ##0"),",-"),FIXED(ROUND(IF(EXC.RATE.SWITCH=1,C910/EXC.RATE_2,C910*EXC.RATE_2),CURRENCY.FORMAT_2),CURRENCY.FORMAT_2,0)),'DICTIONARY-5'!$A$2))</f>
        <v/>
      </c>
      <c r="L910" s="670" t="str">
        <f>IFERROR(IF(CURRENCY.FORMAT_1=0,CONCATENATE(TEXT(FIXED(ROUND((C910*(1-I910)*(1-ADD.DISCOUNT)*(1+MAT.SURCHARGE)/EXC.RATE_1),CURRENCY.FORMAT_1),CURRENCY.FORMAT_1,1),"# ##0;-# ##0"),",-"),FIXED(ROUND((C910*(1-I910)*(1-ADD.DISCOUNT)*(1+MAT.SURCHARGE)/EXC.RATE_1),CURRENCY.FORMAT_1),CURRENCY.FORMAT_1,0)),'DICTIONARY-5'!$A$2)</f>
        <v>36,-</v>
      </c>
      <c r="M910" s="670" t="str">
        <f>IF(EXC.RATE_2=0,"",IFERROR(IF(CURRENCY.FORMAT_2=0,CONCATENATE(TEXT(FIXED(ROUND(IF(EXC.RATE.SWITCH=1,C910*(1-I910)*(1-ADD.DISCOUNT)*(1+MAT.SURCHARGE)/EXC.RATE_2,C910*(1-I910)*(1-ADD.DISCOUNT)*(1+MAT.SURCHARGE)*EXC.RATE_2),CURRENCY.FORMAT_2),CURRENCY.FORMAT_2,1),"# ##0;-# ##0"),",-"),FIXED(ROUND(IF(EXC.RATE.SWITCH=1,C910*(1-I910)*(1-ADD.DISCOUNT)*(1+MAT.SURCHARGE)/EXC.RATE_2,C910*(1-I910)*(1-ADD.DISCOUNT)*(1+MAT.SURCHARGE)*EXC.RATE_2),CURRENCY.FORMAT_2),CURRENCY.FORMAT_2,0)),'DICTIONARY-5'!$A$2))</f>
        <v/>
      </c>
      <c r="N910" s="542">
        <v>4</v>
      </c>
      <c r="O910" s="542"/>
      <c r="P910" s="732" t="str">
        <f>'DICTIONARY-3'!$A$88</f>
        <v>Obejma</v>
      </c>
      <c r="Q910" s="732" t="str">
        <f>'DICTIONARY-3'!$A$197</f>
        <v>Obejma</v>
      </c>
      <c r="R910" s="732" t="str">
        <f>CONCATENATE('DICTIONARY-3'!$A$197," ",'DICTIONARY-2'!$A$2,"100"," ",'DICTIONARY-2'!$A$5,"105-114")</f>
        <v>Obejma DN100 Da105-114</v>
      </c>
      <c r="S910" s="733" t="s">
        <v>5569</v>
      </c>
      <c r="T910" s="732" t="s">
        <v>5569</v>
      </c>
      <c r="U910" s="734" t="s">
        <v>5749</v>
      </c>
      <c r="V910" s="735"/>
      <c r="W910" s="749" t="s">
        <v>5788</v>
      </c>
      <c r="X910" s="737"/>
      <c r="Y910" s="738"/>
      <c r="Z910" s="739"/>
      <c r="AA910" s="739"/>
      <c r="AB910" s="740"/>
      <c r="AC910" s="741"/>
      <c r="AD910" s="741" t="s">
        <v>5569</v>
      </c>
      <c r="AE910" s="742" t="s">
        <v>5569</v>
      </c>
      <c r="AF910" s="743">
        <v>1.04</v>
      </c>
      <c r="AG910" s="741" t="s">
        <v>5569</v>
      </c>
    </row>
    <row r="911" spans="1:33" x14ac:dyDescent="0.25">
      <c r="A911" s="856" t="s">
        <v>1071</v>
      </c>
      <c r="B911" s="856" t="s">
        <v>4804</v>
      </c>
      <c r="C911" s="836">
        <v>31</v>
      </c>
      <c r="D911" s="836"/>
      <c r="E911" s="836"/>
      <c r="F911" s="836"/>
      <c r="G911" s="496" t="s">
        <v>7811</v>
      </c>
      <c r="H911" s="797" t="str">
        <f>VLOOKUP(G911,SETTINGS!$B$7:$D$97,2,0)</f>
        <v>House Connection Bracket</v>
      </c>
      <c r="I911" s="796">
        <f>VLOOKUP(G911,SETTINGS!$B$7:$D$97,3,0)</f>
        <v>0</v>
      </c>
      <c r="J911" s="670" t="str">
        <f>IFERROR(IF(CURRENCY.FORMAT_1=0,CONCATENATE(TEXT(FIXED(ROUND((C911/EXC.RATE_1),CURRENCY.FORMAT_1),CURRENCY.FORMAT_1,1),"# ##0;-# ##0"),",-"),FIXED(ROUND((C911/EXC.RATE_1),CURRENCY.FORMAT_1),CURRENCY.FORMAT_1,0)),'DICTIONARY-5'!$A$2)</f>
        <v>31,-</v>
      </c>
      <c r="K911" s="670" t="str">
        <f>IF(EXC.RATE_2=0,"",IFERROR(IF(CURRENCY.FORMAT_2=0,CONCATENATE(TEXT(FIXED(ROUND(IF(EXC.RATE.SWITCH=1,C911/EXC.RATE_2,C911*EXC.RATE_2),CURRENCY.FORMAT_2),CURRENCY.FORMAT_2,1),"# ##0;-# ##0"),",-"),FIXED(ROUND(IF(EXC.RATE.SWITCH=1,C911/EXC.RATE_2,C911*EXC.RATE_2),CURRENCY.FORMAT_2),CURRENCY.FORMAT_2,0)),'DICTIONARY-5'!$A$2))</f>
        <v/>
      </c>
      <c r="L911" s="670" t="str">
        <f>IFERROR(IF(CURRENCY.FORMAT_1=0,CONCATENATE(TEXT(FIXED(ROUND((C911*(1-I911)*(1-ADD.DISCOUNT)*(1+MAT.SURCHARGE)/EXC.RATE_1),CURRENCY.FORMAT_1),CURRENCY.FORMAT_1,1),"# ##0;-# ##0"),",-"),FIXED(ROUND((C911*(1-I911)*(1-ADD.DISCOUNT)*(1+MAT.SURCHARGE)/EXC.RATE_1),CURRENCY.FORMAT_1),CURRENCY.FORMAT_1,0)),'DICTIONARY-5'!$A$2)</f>
        <v>32,-</v>
      </c>
      <c r="M911" s="670" t="str">
        <f>IF(EXC.RATE_2=0,"",IFERROR(IF(CURRENCY.FORMAT_2=0,CONCATENATE(TEXT(FIXED(ROUND(IF(EXC.RATE.SWITCH=1,C911*(1-I911)*(1-ADD.DISCOUNT)*(1+MAT.SURCHARGE)/EXC.RATE_2,C911*(1-I911)*(1-ADD.DISCOUNT)*(1+MAT.SURCHARGE)*EXC.RATE_2),CURRENCY.FORMAT_2),CURRENCY.FORMAT_2,1),"# ##0;-# ##0"),",-"),FIXED(ROUND(IF(EXC.RATE.SWITCH=1,C911*(1-I911)*(1-ADD.DISCOUNT)*(1+MAT.SURCHARGE)/EXC.RATE_2,C911*(1-I911)*(1-ADD.DISCOUNT)*(1+MAT.SURCHARGE)*EXC.RATE_2),CURRENCY.FORMAT_2),CURRENCY.FORMAT_2,0)),'DICTIONARY-5'!$A$2))</f>
        <v/>
      </c>
      <c r="N911" s="542">
        <v>4</v>
      </c>
      <c r="O911" s="542"/>
      <c r="P911" s="732" t="str">
        <f>'DICTIONARY-3'!$A$88</f>
        <v>Obejma</v>
      </c>
      <c r="Q911" s="732" t="str">
        <f>'DICTIONARY-3'!$A$197</f>
        <v>Obejma</v>
      </c>
      <c r="R911" s="732" t="str">
        <f>CONCATENATE('DICTIONARY-3'!$A$197," ",'DICTIONARY-2'!$A$2,"125"," ",'DICTIONARY-2'!$A$5,"137-150",", ",'DICTIONARY-6'!$A$58)</f>
        <v>Obejma DN125 Da137-150, całk. ogumowana</v>
      </c>
      <c r="S911" s="733" t="s">
        <v>5569</v>
      </c>
      <c r="T911" s="732" t="s">
        <v>5569</v>
      </c>
      <c r="U911" s="734" t="s">
        <v>5761</v>
      </c>
      <c r="V911" s="735"/>
      <c r="W911" s="749" t="s">
        <v>5778</v>
      </c>
      <c r="X911" s="737"/>
      <c r="Y911" s="738"/>
      <c r="Z911" s="739"/>
      <c r="AA911" s="739"/>
      <c r="AB911" s="740"/>
      <c r="AC911" s="741"/>
      <c r="AD911" s="741" t="s">
        <v>5569</v>
      </c>
      <c r="AE911" s="742" t="s">
        <v>5569</v>
      </c>
      <c r="AF911" s="743">
        <v>1.2</v>
      </c>
      <c r="AG911" s="741" t="s">
        <v>5569</v>
      </c>
    </row>
    <row r="912" spans="1:33" x14ac:dyDescent="0.25">
      <c r="A912" s="856" t="s">
        <v>1073</v>
      </c>
      <c r="B912" s="856" t="s">
        <v>4805</v>
      </c>
      <c r="C912" s="836">
        <v>32</v>
      </c>
      <c r="D912" s="836"/>
      <c r="E912" s="836"/>
      <c r="F912" s="836"/>
      <c r="G912" s="496" t="s">
        <v>7811</v>
      </c>
      <c r="H912" s="797" t="str">
        <f>VLOOKUP(G912,SETTINGS!$B$7:$D$97,2,0)</f>
        <v>House Connection Bracket</v>
      </c>
      <c r="I912" s="796">
        <f>VLOOKUP(G912,SETTINGS!$B$7:$D$97,3,0)</f>
        <v>0</v>
      </c>
      <c r="J912" s="670" t="str">
        <f>IFERROR(IF(CURRENCY.FORMAT_1=0,CONCATENATE(TEXT(FIXED(ROUND((C912/EXC.RATE_1),CURRENCY.FORMAT_1),CURRENCY.FORMAT_1,1),"# ##0;-# ##0"),",-"),FIXED(ROUND((C912/EXC.RATE_1),CURRENCY.FORMAT_1),CURRENCY.FORMAT_1,0)),'DICTIONARY-5'!$A$2)</f>
        <v>32,-</v>
      </c>
      <c r="K912" s="670" t="str">
        <f>IF(EXC.RATE_2=0,"",IFERROR(IF(CURRENCY.FORMAT_2=0,CONCATENATE(TEXT(FIXED(ROUND(IF(EXC.RATE.SWITCH=1,C912/EXC.RATE_2,C912*EXC.RATE_2),CURRENCY.FORMAT_2),CURRENCY.FORMAT_2,1),"# ##0;-# ##0"),",-"),FIXED(ROUND(IF(EXC.RATE.SWITCH=1,C912/EXC.RATE_2,C912*EXC.RATE_2),CURRENCY.FORMAT_2),CURRENCY.FORMAT_2,0)),'DICTIONARY-5'!$A$2))</f>
        <v/>
      </c>
      <c r="L912" s="670" t="str">
        <f>IFERROR(IF(CURRENCY.FORMAT_1=0,CONCATENATE(TEXT(FIXED(ROUND((C912*(1-I912)*(1-ADD.DISCOUNT)*(1+MAT.SURCHARGE)/EXC.RATE_1),CURRENCY.FORMAT_1),CURRENCY.FORMAT_1,1),"# ##0;-# ##0"),",-"),FIXED(ROUND((C912*(1-I912)*(1-ADD.DISCOUNT)*(1+MAT.SURCHARGE)/EXC.RATE_1),CURRENCY.FORMAT_1),CURRENCY.FORMAT_1,0)),'DICTIONARY-5'!$A$2)</f>
        <v>33,-</v>
      </c>
      <c r="M912" s="670" t="str">
        <f>IF(EXC.RATE_2=0,"",IFERROR(IF(CURRENCY.FORMAT_2=0,CONCATENATE(TEXT(FIXED(ROUND(IF(EXC.RATE.SWITCH=1,C912*(1-I912)*(1-ADD.DISCOUNT)*(1+MAT.SURCHARGE)/EXC.RATE_2,C912*(1-I912)*(1-ADD.DISCOUNT)*(1+MAT.SURCHARGE)*EXC.RATE_2),CURRENCY.FORMAT_2),CURRENCY.FORMAT_2,1),"# ##0;-# ##0"),",-"),FIXED(ROUND(IF(EXC.RATE.SWITCH=1,C912*(1-I912)*(1-ADD.DISCOUNT)*(1+MAT.SURCHARGE)/EXC.RATE_2,C912*(1-I912)*(1-ADD.DISCOUNT)*(1+MAT.SURCHARGE)*EXC.RATE_2),CURRENCY.FORMAT_2),CURRENCY.FORMAT_2,0)),'DICTIONARY-5'!$A$2))</f>
        <v/>
      </c>
      <c r="N912" s="542">
        <v>4</v>
      </c>
      <c r="O912" s="542"/>
      <c r="P912" s="732" t="str">
        <f>'DICTIONARY-3'!$A$88</f>
        <v>Obejma</v>
      </c>
      <c r="Q912" s="732" t="str">
        <f>'DICTIONARY-3'!$A$197</f>
        <v>Obejma</v>
      </c>
      <c r="R912" s="732" t="str">
        <f>CONCATENATE('DICTIONARY-3'!$A$197," ",'DICTIONARY-2'!$A$2,"125"," ",'DICTIONARY-2'!$A$5,"145-157",", ",'DICTIONARY-6'!$A$58)</f>
        <v>Obejma DN125 Da145-157, całk. ogumowana</v>
      </c>
      <c r="S912" s="733" t="s">
        <v>5569</v>
      </c>
      <c r="T912" s="732" t="s">
        <v>5569</v>
      </c>
      <c r="U912" s="734" t="s">
        <v>5761</v>
      </c>
      <c r="V912" s="735"/>
      <c r="W912" s="749" t="s">
        <v>5791</v>
      </c>
      <c r="X912" s="737"/>
      <c r="Y912" s="738"/>
      <c r="Z912" s="739"/>
      <c r="AA912" s="739"/>
      <c r="AB912" s="740"/>
      <c r="AC912" s="741"/>
      <c r="AD912" s="741" t="s">
        <v>5569</v>
      </c>
      <c r="AE912" s="742" t="s">
        <v>5569</v>
      </c>
      <c r="AF912" s="743">
        <v>1.23</v>
      </c>
      <c r="AG912" s="741" t="s">
        <v>5569</v>
      </c>
    </row>
    <row r="913" spans="1:33" x14ac:dyDescent="0.25">
      <c r="A913" s="856" t="s">
        <v>1069</v>
      </c>
      <c r="B913" s="856" t="s">
        <v>4806</v>
      </c>
      <c r="C913" s="836">
        <v>35</v>
      </c>
      <c r="D913" s="836"/>
      <c r="E913" s="836"/>
      <c r="F913" s="836"/>
      <c r="G913" s="496" t="s">
        <v>7811</v>
      </c>
      <c r="H913" s="797" t="str">
        <f>VLOOKUP(G913,SETTINGS!$B$7:$D$97,2,0)</f>
        <v>House Connection Bracket</v>
      </c>
      <c r="I913" s="796">
        <f>VLOOKUP(G913,SETTINGS!$B$7:$D$97,3,0)</f>
        <v>0</v>
      </c>
      <c r="J913" s="670" t="str">
        <f>IFERROR(IF(CURRENCY.FORMAT_1=0,CONCATENATE(TEXT(FIXED(ROUND((C913/EXC.RATE_1),CURRENCY.FORMAT_1),CURRENCY.FORMAT_1,1),"# ##0;-# ##0"),",-"),FIXED(ROUND((C913/EXC.RATE_1),CURRENCY.FORMAT_1),CURRENCY.FORMAT_1,0)),'DICTIONARY-5'!$A$2)</f>
        <v>35,-</v>
      </c>
      <c r="K913" s="670" t="str">
        <f>IF(EXC.RATE_2=0,"",IFERROR(IF(CURRENCY.FORMAT_2=0,CONCATENATE(TEXT(FIXED(ROUND(IF(EXC.RATE.SWITCH=1,C913/EXC.RATE_2,C913*EXC.RATE_2),CURRENCY.FORMAT_2),CURRENCY.FORMAT_2,1),"# ##0;-# ##0"),",-"),FIXED(ROUND(IF(EXC.RATE.SWITCH=1,C913/EXC.RATE_2,C913*EXC.RATE_2),CURRENCY.FORMAT_2),CURRENCY.FORMAT_2,0)),'DICTIONARY-5'!$A$2))</f>
        <v/>
      </c>
      <c r="L913" s="670" t="str">
        <f>IFERROR(IF(CURRENCY.FORMAT_1=0,CONCATENATE(TEXT(FIXED(ROUND((C913*(1-I913)*(1-ADD.DISCOUNT)*(1+MAT.SURCHARGE)/EXC.RATE_1),CURRENCY.FORMAT_1),CURRENCY.FORMAT_1,1),"# ##0;-# ##0"),",-"),FIXED(ROUND((C913*(1-I913)*(1-ADD.DISCOUNT)*(1+MAT.SURCHARGE)/EXC.RATE_1),CURRENCY.FORMAT_1),CURRENCY.FORMAT_1,0)),'DICTIONARY-5'!$A$2)</f>
        <v>36,-</v>
      </c>
      <c r="M913" s="670" t="str">
        <f>IF(EXC.RATE_2=0,"",IFERROR(IF(CURRENCY.FORMAT_2=0,CONCATENATE(TEXT(FIXED(ROUND(IF(EXC.RATE.SWITCH=1,C913*(1-I913)*(1-ADD.DISCOUNT)*(1+MAT.SURCHARGE)/EXC.RATE_2,C913*(1-I913)*(1-ADD.DISCOUNT)*(1+MAT.SURCHARGE)*EXC.RATE_2),CURRENCY.FORMAT_2),CURRENCY.FORMAT_2,1),"# ##0;-# ##0"),",-"),FIXED(ROUND(IF(EXC.RATE.SWITCH=1,C913*(1-I913)*(1-ADD.DISCOUNT)*(1+MAT.SURCHARGE)/EXC.RATE_2,C913*(1-I913)*(1-ADD.DISCOUNT)*(1+MAT.SURCHARGE)*EXC.RATE_2),CURRENCY.FORMAT_2),CURRENCY.FORMAT_2,0)),'DICTIONARY-5'!$A$2))</f>
        <v/>
      </c>
      <c r="N913" s="542">
        <v>4</v>
      </c>
      <c r="O913" s="542"/>
      <c r="P913" s="732" t="str">
        <f>'DICTIONARY-3'!$A$88</f>
        <v>Obejma</v>
      </c>
      <c r="Q913" s="732" t="str">
        <f>'DICTIONARY-3'!$A$197</f>
        <v>Obejma</v>
      </c>
      <c r="R913" s="732" t="str">
        <f>CONCATENATE('DICTIONARY-3'!$A$197," ",'DICTIONARY-2'!$A$2,"125"," ",'DICTIONARY-2'!$A$5,"130-139")</f>
        <v>Obejma DN125 Da130-139</v>
      </c>
      <c r="S913" s="733" t="s">
        <v>5569</v>
      </c>
      <c r="T913" s="732" t="s">
        <v>5569</v>
      </c>
      <c r="U913" s="734" t="s">
        <v>5761</v>
      </c>
      <c r="V913" s="735"/>
      <c r="W913" s="749" t="s">
        <v>5790</v>
      </c>
      <c r="X913" s="737"/>
      <c r="Y913" s="738"/>
      <c r="Z913" s="739"/>
      <c r="AA913" s="739"/>
      <c r="AB913" s="740"/>
      <c r="AC913" s="741"/>
      <c r="AD913" s="741" t="s">
        <v>5569</v>
      </c>
      <c r="AE913" s="742" t="s">
        <v>5569</v>
      </c>
      <c r="AF913" s="743">
        <v>1.17</v>
      </c>
      <c r="AG913" s="741" t="s">
        <v>5569</v>
      </c>
    </row>
    <row r="914" spans="1:33" x14ac:dyDescent="0.25">
      <c r="A914" s="856" t="s">
        <v>1077</v>
      </c>
      <c r="B914" s="856" t="s">
        <v>4807</v>
      </c>
      <c r="C914" s="836">
        <v>35</v>
      </c>
      <c r="D914" s="836"/>
      <c r="E914" s="836"/>
      <c r="F914" s="836"/>
      <c r="G914" s="496" t="s">
        <v>7811</v>
      </c>
      <c r="H914" s="797" t="str">
        <f>VLOOKUP(G914,SETTINGS!$B$7:$D$97,2,0)</f>
        <v>House Connection Bracket</v>
      </c>
      <c r="I914" s="796">
        <f>VLOOKUP(G914,SETTINGS!$B$7:$D$97,3,0)</f>
        <v>0</v>
      </c>
      <c r="J914" s="670" t="str">
        <f>IFERROR(IF(CURRENCY.FORMAT_1=0,CONCATENATE(TEXT(FIXED(ROUND((C914/EXC.RATE_1),CURRENCY.FORMAT_1),CURRENCY.FORMAT_1,1),"# ##0;-# ##0"),",-"),FIXED(ROUND((C914/EXC.RATE_1),CURRENCY.FORMAT_1),CURRENCY.FORMAT_1,0)),'DICTIONARY-5'!$A$2)</f>
        <v>35,-</v>
      </c>
      <c r="K914" s="670" t="str">
        <f>IF(EXC.RATE_2=0,"",IFERROR(IF(CURRENCY.FORMAT_2=0,CONCATENATE(TEXT(FIXED(ROUND(IF(EXC.RATE.SWITCH=1,C914/EXC.RATE_2,C914*EXC.RATE_2),CURRENCY.FORMAT_2),CURRENCY.FORMAT_2,1),"# ##0;-# ##0"),",-"),FIXED(ROUND(IF(EXC.RATE.SWITCH=1,C914/EXC.RATE_2,C914*EXC.RATE_2),CURRENCY.FORMAT_2),CURRENCY.FORMAT_2,0)),'DICTIONARY-5'!$A$2))</f>
        <v/>
      </c>
      <c r="L914" s="670" t="str">
        <f>IFERROR(IF(CURRENCY.FORMAT_1=0,CONCATENATE(TEXT(FIXED(ROUND((C914*(1-I914)*(1-ADD.DISCOUNT)*(1+MAT.SURCHARGE)/EXC.RATE_1),CURRENCY.FORMAT_1),CURRENCY.FORMAT_1,1),"# ##0;-# ##0"),",-"),FIXED(ROUND((C914*(1-I914)*(1-ADD.DISCOUNT)*(1+MAT.SURCHARGE)/EXC.RATE_1),CURRENCY.FORMAT_1),CURRENCY.FORMAT_1,0)),'DICTIONARY-5'!$A$2)</f>
        <v>36,-</v>
      </c>
      <c r="M914" s="670" t="str">
        <f>IF(EXC.RATE_2=0,"",IFERROR(IF(CURRENCY.FORMAT_2=0,CONCATENATE(TEXT(FIXED(ROUND(IF(EXC.RATE.SWITCH=1,C914*(1-I914)*(1-ADD.DISCOUNT)*(1+MAT.SURCHARGE)/EXC.RATE_2,C914*(1-I914)*(1-ADD.DISCOUNT)*(1+MAT.SURCHARGE)*EXC.RATE_2),CURRENCY.FORMAT_2),CURRENCY.FORMAT_2,1),"# ##0;-# ##0"),",-"),FIXED(ROUND(IF(EXC.RATE.SWITCH=1,C914*(1-I914)*(1-ADD.DISCOUNT)*(1+MAT.SURCHARGE)/EXC.RATE_2,C914*(1-I914)*(1-ADD.DISCOUNT)*(1+MAT.SURCHARGE)*EXC.RATE_2),CURRENCY.FORMAT_2),CURRENCY.FORMAT_2,0)),'DICTIONARY-5'!$A$2))</f>
        <v/>
      </c>
      <c r="N914" s="542">
        <v>4</v>
      </c>
      <c r="O914" s="542"/>
      <c r="P914" s="732" t="str">
        <f>'DICTIONARY-3'!$A$88</f>
        <v>Obejma</v>
      </c>
      <c r="Q914" s="732" t="str">
        <f>'DICTIONARY-3'!$A$197</f>
        <v>Obejma</v>
      </c>
      <c r="R914" s="732" t="str">
        <f>CONCATENATE('DICTIONARY-3'!$A$197," ",'DICTIONARY-2'!$A$2,"150"," ",'DICTIONARY-2'!$A$5,"166-178",", ",'DICTIONARY-6'!$A$58)</f>
        <v>Obejma DN150 Da166-178, całk. ogumowana</v>
      </c>
      <c r="S914" s="733" t="s">
        <v>5569</v>
      </c>
      <c r="T914" s="732" t="s">
        <v>5569</v>
      </c>
      <c r="U914" s="734" t="s">
        <v>5572</v>
      </c>
      <c r="V914" s="735"/>
      <c r="W914" s="749" t="s">
        <v>5779</v>
      </c>
      <c r="X914" s="737"/>
      <c r="Y914" s="738"/>
      <c r="Z914" s="739"/>
      <c r="AA914" s="739"/>
      <c r="AB914" s="740"/>
      <c r="AC914" s="741"/>
      <c r="AD914" s="741" t="s">
        <v>5569</v>
      </c>
      <c r="AE914" s="742" t="s">
        <v>5569</v>
      </c>
      <c r="AF914" s="743">
        <v>1.1839999999999999</v>
      </c>
      <c r="AG914" s="741" t="s">
        <v>5569</v>
      </c>
    </row>
    <row r="915" spans="1:33" x14ac:dyDescent="0.25">
      <c r="A915" s="856" t="s">
        <v>1079</v>
      </c>
      <c r="B915" s="856" t="s">
        <v>4808</v>
      </c>
      <c r="C915" s="836">
        <v>36</v>
      </c>
      <c r="D915" s="836"/>
      <c r="E915" s="836"/>
      <c r="F915" s="836"/>
      <c r="G915" s="496" t="s">
        <v>7811</v>
      </c>
      <c r="H915" s="797" t="str">
        <f>VLOOKUP(G915,SETTINGS!$B$7:$D$97,2,0)</f>
        <v>House Connection Bracket</v>
      </c>
      <c r="I915" s="796">
        <f>VLOOKUP(G915,SETTINGS!$B$7:$D$97,3,0)</f>
        <v>0</v>
      </c>
      <c r="J915" s="670" t="str">
        <f>IFERROR(IF(CURRENCY.FORMAT_1=0,CONCATENATE(TEXT(FIXED(ROUND((C915/EXC.RATE_1),CURRENCY.FORMAT_1),CURRENCY.FORMAT_1,1),"# ##0;-# ##0"),",-"),FIXED(ROUND((C915/EXC.RATE_1),CURRENCY.FORMAT_1),CURRENCY.FORMAT_1,0)),'DICTIONARY-5'!$A$2)</f>
        <v>36,-</v>
      </c>
      <c r="K915" s="670" t="str">
        <f>IF(EXC.RATE_2=0,"",IFERROR(IF(CURRENCY.FORMAT_2=0,CONCATENATE(TEXT(FIXED(ROUND(IF(EXC.RATE.SWITCH=1,C915/EXC.RATE_2,C915*EXC.RATE_2),CURRENCY.FORMAT_2),CURRENCY.FORMAT_2,1),"# ##0;-# ##0"),",-"),FIXED(ROUND(IF(EXC.RATE.SWITCH=1,C915/EXC.RATE_2,C915*EXC.RATE_2),CURRENCY.FORMAT_2),CURRENCY.FORMAT_2,0)),'DICTIONARY-5'!$A$2))</f>
        <v/>
      </c>
      <c r="L915" s="670" t="str">
        <f>IFERROR(IF(CURRENCY.FORMAT_1=0,CONCATENATE(TEXT(FIXED(ROUND((C915*(1-I915)*(1-ADD.DISCOUNT)*(1+MAT.SURCHARGE)/EXC.RATE_1),CURRENCY.FORMAT_1),CURRENCY.FORMAT_1,1),"# ##0;-# ##0"),",-"),FIXED(ROUND((C915*(1-I915)*(1-ADD.DISCOUNT)*(1+MAT.SURCHARGE)/EXC.RATE_1),CURRENCY.FORMAT_1),CURRENCY.FORMAT_1,0)),'DICTIONARY-5'!$A$2)</f>
        <v>37,-</v>
      </c>
      <c r="M915" s="670" t="str">
        <f>IF(EXC.RATE_2=0,"",IFERROR(IF(CURRENCY.FORMAT_2=0,CONCATENATE(TEXT(FIXED(ROUND(IF(EXC.RATE.SWITCH=1,C915*(1-I915)*(1-ADD.DISCOUNT)*(1+MAT.SURCHARGE)/EXC.RATE_2,C915*(1-I915)*(1-ADD.DISCOUNT)*(1+MAT.SURCHARGE)*EXC.RATE_2),CURRENCY.FORMAT_2),CURRENCY.FORMAT_2,1),"# ##0;-# ##0"),",-"),FIXED(ROUND(IF(EXC.RATE.SWITCH=1,C915*(1-I915)*(1-ADD.DISCOUNT)*(1+MAT.SURCHARGE)/EXC.RATE_2,C915*(1-I915)*(1-ADD.DISCOUNT)*(1+MAT.SURCHARGE)*EXC.RATE_2),CURRENCY.FORMAT_2),CURRENCY.FORMAT_2,0)),'DICTIONARY-5'!$A$2))</f>
        <v/>
      </c>
      <c r="N915" s="542">
        <v>4</v>
      </c>
      <c r="O915" s="542"/>
      <c r="P915" s="732" t="str">
        <f>'DICTIONARY-3'!$A$88</f>
        <v>Obejma</v>
      </c>
      <c r="Q915" s="732" t="str">
        <f>'DICTIONARY-3'!$A$197</f>
        <v>Obejma</v>
      </c>
      <c r="R915" s="732" t="str">
        <f>CONCATENATE('DICTIONARY-3'!$A$197," ",'DICTIONARY-2'!$A$2,"150"," ",'DICTIONARY-2'!$A$5,"170-182",", ",'DICTIONARY-6'!$A$58)</f>
        <v>Obejma DN150 Da170-182, całk. ogumowana</v>
      </c>
      <c r="S915" s="733" t="s">
        <v>5569</v>
      </c>
      <c r="T915" s="732" t="s">
        <v>5569</v>
      </c>
      <c r="U915" s="734" t="s">
        <v>5572</v>
      </c>
      <c r="V915" s="735"/>
      <c r="W915" s="749" t="s">
        <v>5780</v>
      </c>
      <c r="X915" s="737"/>
      <c r="Y915" s="738"/>
      <c r="Z915" s="739"/>
      <c r="AA915" s="739"/>
      <c r="AB915" s="740"/>
      <c r="AC915" s="741"/>
      <c r="AD915" s="741" t="s">
        <v>5569</v>
      </c>
      <c r="AE915" s="742" t="s">
        <v>5569</v>
      </c>
      <c r="AF915" s="743">
        <v>1.232</v>
      </c>
      <c r="AG915" s="741" t="s">
        <v>5569</v>
      </c>
    </row>
    <row r="916" spans="1:33" x14ac:dyDescent="0.25">
      <c r="A916" s="856" t="s">
        <v>1075</v>
      </c>
      <c r="B916" s="856" t="s">
        <v>4809</v>
      </c>
      <c r="C916" s="836">
        <v>36</v>
      </c>
      <c r="D916" s="836"/>
      <c r="E916" s="836"/>
      <c r="F916" s="836"/>
      <c r="G916" s="496" t="s">
        <v>7811</v>
      </c>
      <c r="H916" s="797" t="str">
        <f>VLOOKUP(G916,SETTINGS!$B$7:$D$97,2,0)</f>
        <v>House Connection Bracket</v>
      </c>
      <c r="I916" s="796">
        <f>VLOOKUP(G916,SETTINGS!$B$7:$D$97,3,0)</f>
        <v>0</v>
      </c>
      <c r="J916" s="670" t="str">
        <f>IFERROR(IF(CURRENCY.FORMAT_1=0,CONCATENATE(TEXT(FIXED(ROUND((C916/EXC.RATE_1),CURRENCY.FORMAT_1),CURRENCY.FORMAT_1,1),"# ##0;-# ##0"),",-"),FIXED(ROUND((C916/EXC.RATE_1),CURRENCY.FORMAT_1),CURRENCY.FORMAT_1,0)),'DICTIONARY-5'!$A$2)</f>
        <v>36,-</v>
      </c>
      <c r="K916" s="670" t="str">
        <f>IF(EXC.RATE_2=0,"",IFERROR(IF(CURRENCY.FORMAT_2=0,CONCATENATE(TEXT(FIXED(ROUND(IF(EXC.RATE.SWITCH=1,C916/EXC.RATE_2,C916*EXC.RATE_2),CURRENCY.FORMAT_2),CURRENCY.FORMAT_2,1),"# ##0;-# ##0"),",-"),FIXED(ROUND(IF(EXC.RATE.SWITCH=1,C916/EXC.RATE_2,C916*EXC.RATE_2),CURRENCY.FORMAT_2),CURRENCY.FORMAT_2,0)),'DICTIONARY-5'!$A$2))</f>
        <v/>
      </c>
      <c r="L916" s="670" t="str">
        <f>IFERROR(IF(CURRENCY.FORMAT_1=0,CONCATENATE(TEXT(FIXED(ROUND((C916*(1-I916)*(1-ADD.DISCOUNT)*(1+MAT.SURCHARGE)/EXC.RATE_1),CURRENCY.FORMAT_1),CURRENCY.FORMAT_1,1),"# ##0;-# ##0"),",-"),FIXED(ROUND((C916*(1-I916)*(1-ADD.DISCOUNT)*(1+MAT.SURCHARGE)/EXC.RATE_1),CURRENCY.FORMAT_1),CURRENCY.FORMAT_1,0)),'DICTIONARY-5'!$A$2)</f>
        <v>37,-</v>
      </c>
      <c r="M916" s="670" t="str">
        <f>IF(EXC.RATE_2=0,"",IFERROR(IF(CURRENCY.FORMAT_2=0,CONCATENATE(TEXT(FIXED(ROUND(IF(EXC.RATE.SWITCH=1,C916*(1-I916)*(1-ADD.DISCOUNT)*(1+MAT.SURCHARGE)/EXC.RATE_2,C916*(1-I916)*(1-ADD.DISCOUNT)*(1+MAT.SURCHARGE)*EXC.RATE_2),CURRENCY.FORMAT_2),CURRENCY.FORMAT_2,1),"# ##0;-# ##0"),",-"),FIXED(ROUND(IF(EXC.RATE.SWITCH=1,C916*(1-I916)*(1-ADD.DISCOUNT)*(1+MAT.SURCHARGE)/EXC.RATE_2,C916*(1-I916)*(1-ADD.DISCOUNT)*(1+MAT.SURCHARGE)*EXC.RATE_2),CURRENCY.FORMAT_2),CURRENCY.FORMAT_2,0)),'DICTIONARY-5'!$A$2))</f>
        <v/>
      </c>
      <c r="N916" s="542">
        <v>4</v>
      </c>
      <c r="O916" s="542"/>
      <c r="P916" s="732" t="str">
        <f>'DICTIONARY-3'!$A$88</f>
        <v>Obejma</v>
      </c>
      <c r="Q916" s="732" t="str">
        <f>'DICTIONARY-3'!$A$197</f>
        <v>Obejma</v>
      </c>
      <c r="R916" s="732" t="str">
        <f>CONCATENATE('DICTIONARY-3'!$A$197," ",'DICTIONARY-2'!$A$2,"150"," ",'DICTIONARY-2'!$A$5,"156-166")</f>
        <v>Obejma DN150 Da156-166</v>
      </c>
      <c r="S916" s="733" t="s">
        <v>5569</v>
      </c>
      <c r="T916" s="732" t="s">
        <v>5569</v>
      </c>
      <c r="U916" s="734" t="s">
        <v>5572</v>
      </c>
      <c r="V916" s="735"/>
      <c r="W916" s="749" t="s">
        <v>5792</v>
      </c>
      <c r="X916" s="737"/>
      <c r="Y916" s="738"/>
      <c r="Z916" s="739"/>
      <c r="AA916" s="739"/>
      <c r="AB916" s="740"/>
      <c r="AC916" s="741"/>
      <c r="AD916" s="741" t="s">
        <v>5569</v>
      </c>
      <c r="AE916" s="742" t="s">
        <v>5569</v>
      </c>
      <c r="AF916" s="743">
        <v>1.2</v>
      </c>
      <c r="AG916" s="741" t="s">
        <v>5569</v>
      </c>
    </row>
    <row r="917" spans="1:33" x14ac:dyDescent="0.25">
      <c r="A917" s="856" t="s">
        <v>1083</v>
      </c>
      <c r="B917" s="856" t="s">
        <v>4810</v>
      </c>
      <c r="C917" s="836">
        <v>40</v>
      </c>
      <c r="D917" s="836"/>
      <c r="E917" s="836"/>
      <c r="F917" s="836"/>
      <c r="G917" s="496" t="s">
        <v>7811</v>
      </c>
      <c r="H917" s="797" t="str">
        <f>VLOOKUP(G917,SETTINGS!$B$7:$D$97,2,0)</f>
        <v>House Connection Bracket</v>
      </c>
      <c r="I917" s="796">
        <f>VLOOKUP(G917,SETTINGS!$B$7:$D$97,3,0)</f>
        <v>0</v>
      </c>
      <c r="J917" s="670" t="str">
        <f>IFERROR(IF(CURRENCY.FORMAT_1=0,CONCATENATE(TEXT(FIXED(ROUND((C917/EXC.RATE_1),CURRENCY.FORMAT_1),CURRENCY.FORMAT_1,1),"# ##0;-# ##0"),",-"),FIXED(ROUND((C917/EXC.RATE_1),CURRENCY.FORMAT_1),CURRENCY.FORMAT_1,0)),'DICTIONARY-5'!$A$2)</f>
        <v>40,-</v>
      </c>
      <c r="K917" s="670" t="str">
        <f>IF(EXC.RATE_2=0,"",IFERROR(IF(CURRENCY.FORMAT_2=0,CONCATENATE(TEXT(FIXED(ROUND(IF(EXC.RATE.SWITCH=1,C917/EXC.RATE_2,C917*EXC.RATE_2),CURRENCY.FORMAT_2),CURRENCY.FORMAT_2,1),"# ##0;-# ##0"),",-"),FIXED(ROUND(IF(EXC.RATE.SWITCH=1,C917/EXC.RATE_2,C917*EXC.RATE_2),CURRENCY.FORMAT_2),CURRENCY.FORMAT_2,0)),'DICTIONARY-5'!$A$2))</f>
        <v/>
      </c>
      <c r="L917" s="670" t="str">
        <f>IFERROR(IF(CURRENCY.FORMAT_1=0,CONCATENATE(TEXT(FIXED(ROUND((C917*(1-I917)*(1-ADD.DISCOUNT)*(1+MAT.SURCHARGE)/EXC.RATE_1),CURRENCY.FORMAT_1),CURRENCY.FORMAT_1,1),"# ##0;-# ##0"),",-"),FIXED(ROUND((C917*(1-I917)*(1-ADD.DISCOUNT)*(1+MAT.SURCHARGE)/EXC.RATE_1),CURRENCY.FORMAT_1),CURRENCY.FORMAT_1,0)),'DICTIONARY-5'!$A$2)</f>
        <v>42,-</v>
      </c>
      <c r="M917" s="670" t="str">
        <f>IF(EXC.RATE_2=0,"",IFERROR(IF(CURRENCY.FORMAT_2=0,CONCATENATE(TEXT(FIXED(ROUND(IF(EXC.RATE.SWITCH=1,C917*(1-I917)*(1-ADD.DISCOUNT)*(1+MAT.SURCHARGE)/EXC.RATE_2,C917*(1-I917)*(1-ADD.DISCOUNT)*(1+MAT.SURCHARGE)*EXC.RATE_2),CURRENCY.FORMAT_2),CURRENCY.FORMAT_2,1),"# ##0;-# ##0"),",-"),FIXED(ROUND(IF(EXC.RATE.SWITCH=1,C917*(1-I917)*(1-ADD.DISCOUNT)*(1+MAT.SURCHARGE)/EXC.RATE_2,C917*(1-I917)*(1-ADD.DISCOUNT)*(1+MAT.SURCHARGE)*EXC.RATE_2),CURRENCY.FORMAT_2),CURRENCY.FORMAT_2,0)),'DICTIONARY-5'!$A$2))</f>
        <v/>
      </c>
      <c r="N917" s="542">
        <v>4</v>
      </c>
      <c r="O917" s="542"/>
      <c r="P917" s="732" t="str">
        <f>'DICTIONARY-3'!$A$88</f>
        <v>Obejma</v>
      </c>
      <c r="Q917" s="732" t="str">
        <f>'DICTIONARY-3'!$A$197</f>
        <v>Obejma</v>
      </c>
      <c r="R917" s="732" t="str">
        <f>CONCATENATE('DICTIONARY-3'!$A$197," ",'DICTIONARY-2'!$A$2,"200"," ",'DICTIONARY-2'!$A$5,"216-228",", ",'DICTIONARY-6'!$A$58)</f>
        <v>Obejma DN200 Da216-228, całk. ogumowana</v>
      </c>
      <c r="S917" s="733" t="s">
        <v>5569</v>
      </c>
      <c r="T917" s="732" t="s">
        <v>5569</v>
      </c>
      <c r="U917" s="734" t="s">
        <v>5750</v>
      </c>
      <c r="V917" s="735"/>
      <c r="W917" s="749" t="s">
        <v>5782</v>
      </c>
      <c r="X917" s="737"/>
      <c r="Y917" s="738"/>
      <c r="Z917" s="739"/>
      <c r="AA917" s="739"/>
      <c r="AB917" s="740"/>
      <c r="AC917" s="741"/>
      <c r="AD917" s="741" t="s">
        <v>5569</v>
      </c>
      <c r="AE917" s="742" t="s">
        <v>5569</v>
      </c>
      <c r="AF917" s="743">
        <v>1.4410000000000001</v>
      </c>
      <c r="AG917" s="741" t="s">
        <v>5569</v>
      </c>
    </row>
    <row r="918" spans="1:33" x14ac:dyDescent="0.25">
      <c r="A918" s="856" t="s">
        <v>1085</v>
      </c>
      <c r="B918" s="856" t="s">
        <v>4811</v>
      </c>
      <c r="C918" s="836">
        <v>40</v>
      </c>
      <c r="D918" s="836"/>
      <c r="E918" s="836"/>
      <c r="F918" s="836"/>
      <c r="G918" s="496" t="s">
        <v>7811</v>
      </c>
      <c r="H918" s="797" t="str">
        <f>VLOOKUP(G918,SETTINGS!$B$7:$D$97,2,0)</f>
        <v>House Connection Bracket</v>
      </c>
      <c r="I918" s="796">
        <f>VLOOKUP(G918,SETTINGS!$B$7:$D$97,3,0)</f>
        <v>0</v>
      </c>
      <c r="J918" s="670" t="str">
        <f>IFERROR(IF(CURRENCY.FORMAT_1=0,CONCATENATE(TEXT(FIXED(ROUND((C918/EXC.RATE_1),CURRENCY.FORMAT_1),CURRENCY.FORMAT_1,1),"# ##0;-# ##0"),",-"),FIXED(ROUND((C918/EXC.RATE_1),CURRENCY.FORMAT_1),CURRENCY.FORMAT_1,0)),'DICTIONARY-5'!$A$2)</f>
        <v>40,-</v>
      </c>
      <c r="K918" s="670" t="str">
        <f>IF(EXC.RATE_2=0,"",IFERROR(IF(CURRENCY.FORMAT_2=0,CONCATENATE(TEXT(FIXED(ROUND(IF(EXC.RATE.SWITCH=1,C918/EXC.RATE_2,C918*EXC.RATE_2),CURRENCY.FORMAT_2),CURRENCY.FORMAT_2,1),"# ##0;-# ##0"),",-"),FIXED(ROUND(IF(EXC.RATE.SWITCH=1,C918/EXC.RATE_2,C918*EXC.RATE_2),CURRENCY.FORMAT_2),CURRENCY.FORMAT_2,0)),'DICTIONARY-5'!$A$2))</f>
        <v/>
      </c>
      <c r="L918" s="670" t="str">
        <f>IFERROR(IF(CURRENCY.FORMAT_1=0,CONCATENATE(TEXT(FIXED(ROUND((C918*(1-I918)*(1-ADD.DISCOUNT)*(1+MAT.SURCHARGE)/EXC.RATE_1),CURRENCY.FORMAT_1),CURRENCY.FORMAT_1,1),"# ##0;-# ##0"),",-"),FIXED(ROUND((C918*(1-I918)*(1-ADD.DISCOUNT)*(1+MAT.SURCHARGE)/EXC.RATE_1),CURRENCY.FORMAT_1),CURRENCY.FORMAT_1,0)),'DICTIONARY-5'!$A$2)</f>
        <v>42,-</v>
      </c>
      <c r="M918" s="670" t="str">
        <f>IF(EXC.RATE_2=0,"",IFERROR(IF(CURRENCY.FORMAT_2=0,CONCATENATE(TEXT(FIXED(ROUND(IF(EXC.RATE.SWITCH=1,C918*(1-I918)*(1-ADD.DISCOUNT)*(1+MAT.SURCHARGE)/EXC.RATE_2,C918*(1-I918)*(1-ADD.DISCOUNT)*(1+MAT.SURCHARGE)*EXC.RATE_2),CURRENCY.FORMAT_2),CURRENCY.FORMAT_2,1),"# ##0;-# ##0"),",-"),FIXED(ROUND(IF(EXC.RATE.SWITCH=1,C918*(1-I918)*(1-ADD.DISCOUNT)*(1+MAT.SURCHARGE)/EXC.RATE_2,C918*(1-I918)*(1-ADD.DISCOUNT)*(1+MAT.SURCHARGE)*EXC.RATE_2),CURRENCY.FORMAT_2),CURRENCY.FORMAT_2,0)),'DICTIONARY-5'!$A$2))</f>
        <v/>
      </c>
      <c r="N918" s="542">
        <v>4</v>
      </c>
      <c r="O918" s="542"/>
      <c r="P918" s="732" t="str">
        <f>'DICTIONARY-3'!$A$88</f>
        <v>Obejma</v>
      </c>
      <c r="Q918" s="732" t="str">
        <f>'DICTIONARY-3'!$A$197</f>
        <v>Obejma</v>
      </c>
      <c r="R918" s="732" t="str">
        <f>CONCATENATE('DICTIONARY-3'!$A$197," ",'DICTIONARY-2'!$A$2,"200"," ",'DICTIONARY-2'!$A$5,"223-235",", ",'DICTIONARY-6'!$A$58)</f>
        <v>Obejma DN200 Da223-235, całk. ogumowana</v>
      </c>
      <c r="S918" s="733" t="s">
        <v>5569</v>
      </c>
      <c r="T918" s="732" t="s">
        <v>5569</v>
      </c>
      <c r="U918" s="734" t="s">
        <v>5750</v>
      </c>
      <c r="V918" s="735"/>
      <c r="W918" s="749" t="s">
        <v>5783</v>
      </c>
      <c r="X918" s="737"/>
      <c r="Y918" s="738"/>
      <c r="Z918" s="739"/>
      <c r="AA918" s="739"/>
      <c r="AB918" s="740"/>
      <c r="AC918" s="741"/>
      <c r="AD918" s="741" t="s">
        <v>5569</v>
      </c>
      <c r="AE918" s="742" t="s">
        <v>5569</v>
      </c>
      <c r="AF918" s="743">
        <v>1.58</v>
      </c>
      <c r="AG918" s="741" t="s">
        <v>5569</v>
      </c>
    </row>
    <row r="919" spans="1:33" x14ac:dyDescent="0.25">
      <c r="A919" s="856" t="s">
        <v>1081</v>
      </c>
      <c r="B919" s="856" t="s">
        <v>4812</v>
      </c>
      <c r="C919" s="836">
        <v>35</v>
      </c>
      <c r="D919" s="836"/>
      <c r="E919" s="836"/>
      <c r="F919" s="836"/>
      <c r="G919" s="496" t="s">
        <v>7811</v>
      </c>
      <c r="H919" s="797" t="str">
        <f>VLOOKUP(G919,SETTINGS!$B$7:$D$97,2,0)</f>
        <v>House Connection Bracket</v>
      </c>
      <c r="I919" s="796">
        <f>VLOOKUP(G919,SETTINGS!$B$7:$D$97,3,0)</f>
        <v>0</v>
      </c>
      <c r="J919" s="670" t="str">
        <f>IFERROR(IF(CURRENCY.FORMAT_1=0,CONCATENATE(TEXT(FIXED(ROUND((C919/EXC.RATE_1),CURRENCY.FORMAT_1),CURRENCY.FORMAT_1,1),"# ##0;-# ##0"),",-"),FIXED(ROUND((C919/EXC.RATE_1),CURRENCY.FORMAT_1),CURRENCY.FORMAT_1,0)),'DICTIONARY-5'!$A$2)</f>
        <v>35,-</v>
      </c>
      <c r="K919" s="670" t="str">
        <f>IF(EXC.RATE_2=0,"",IFERROR(IF(CURRENCY.FORMAT_2=0,CONCATENATE(TEXT(FIXED(ROUND(IF(EXC.RATE.SWITCH=1,C919/EXC.RATE_2,C919*EXC.RATE_2),CURRENCY.FORMAT_2),CURRENCY.FORMAT_2,1),"# ##0;-# ##0"),",-"),FIXED(ROUND(IF(EXC.RATE.SWITCH=1,C919/EXC.RATE_2,C919*EXC.RATE_2),CURRENCY.FORMAT_2),CURRENCY.FORMAT_2,0)),'DICTIONARY-5'!$A$2))</f>
        <v/>
      </c>
      <c r="L919" s="670" t="str">
        <f>IFERROR(IF(CURRENCY.FORMAT_1=0,CONCATENATE(TEXT(FIXED(ROUND((C919*(1-I919)*(1-ADD.DISCOUNT)*(1+MAT.SURCHARGE)/EXC.RATE_1),CURRENCY.FORMAT_1),CURRENCY.FORMAT_1,1),"# ##0;-# ##0"),",-"),FIXED(ROUND((C919*(1-I919)*(1-ADD.DISCOUNT)*(1+MAT.SURCHARGE)/EXC.RATE_1),CURRENCY.FORMAT_1),CURRENCY.FORMAT_1,0)),'DICTIONARY-5'!$A$2)</f>
        <v>36,-</v>
      </c>
      <c r="M919" s="670" t="str">
        <f>IF(EXC.RATE_2=0,"",IFERROR(IF(CURRENCY.FORMAT_2=0,CONCATENATE(TEXT(FIXED(ROUND(IF(EXC.RATE.SWITCH=1,C919*(1-I919)*(1-ADD.DISCOUNT)*(1+MAT.SURCHARGE)/EXC.RATE_2,C919*(1-I919)*(1-ADD.DISCOUNT)*(1+MAT.SURCHARGE)*EXC.RATE_2),CURRENCY.FORMAT_2),CURRENCY.FORMAT_2,1),"# ##0;-# ##0"),",-"),FIXED(ROUND(IF(EXC.RATE.SWITCH=1,C919*(1-I919)*(1-ADD.DISCOUNT)*(1+MAT.SURCHARGE)/EXC.RATE_2,C919*(1-I919)*(1-ADD.DISCOUNT)*(1+MAT.SURCHARGE)*EXC.RATE_2),CURRENCY.FORMAT_2),CURRENCY.FORMAT_2,0)),'DICTIONARY-5'!$A$2))</f>
        <v/>
      </c>
      <c r="N919" s="542">
        <v>4</v>
      </c>
      <c r="O919" s="542"/>
      <c r="P919" s="732" t="str">
        <f>'DICTIONARY-3'!$A$88</f>
        <v>Obejma</v>
      </c>
      <c r="Q919" s="732" t="str">
        <f>'DICTIONARY-3'!$A$197</f>
        <v>Obejma</v>
      </c>
      <c r="R919" s="732" t="str">
        <f>CONCATENATE('DICTIONARY-3'!$A$197," ",'DICTIONARY-2'!$A$2,"200"," ",'DICTIONARY-2'!$A$5,"185-198")</f>
        <v>Obejma DN200 Da185-198</v>
      </c>
      <c r="S919" s="733" t="s">
        <v>5569</v>
      </c>
      <c r="T919" s="732" t="s">
        <v>5569</v>
      </c>
      <c r="U919" s="734" t="s">
        <v>5750</v>
      </c>
      <c r="V919" s="735"/>
      <c r="W919" s="749" t="s">
        <v>5781</v>
      </c>
      <c r="X919" s="737"/>
      <c r="Y919" s="738"/>
      <c r="Z919" s="739"/>
      <c r="AA919" s="739"/>
      <c r="AB919" s="740"/>
      <c r="AC919" s="741"/>
      <c r="AD919" s="741" t="s">
        <v>5569</v>
      </c>
      <c r="AE919" s="742" t="s">
        <v>5569</v>
      </c>
      <c r="AF919" s="743">
        <v>1.45</v>
      </c>
      <c r="AG919" s="741" t="s">
        <v>5569</v>
      </c>
    </row>
    <row r="920" spans="1:33" x14ac:dyDescent="0.25">
      <c r="A920" s="856" t="s">
        <v>1087</v>
      </c>
      <c r="B920" s="856" t="s">
        <v>4813</v>
      </c>
      <c r="C920" s="836">
        <v>41</v>
      </c>
      <c r="D920" s="836"/>
      <c r="E920" s="836"/>
      <c r="F920" s="836"/>
      <c r="G920" s="496" t="s">
        <v>7811</v>
      </c>
      <c r="H920" s="797" t="str">
        <f>VLOOKUP(G920,SETTINGS!$B$7:$D$97,2,0)</f>
        <v>House Connection Bracket</v>
      </c>
      <c r="I920" s="796">
        <f>VLOOKUP(G920,SETTINGS!$B$7:$D$97,3,0)</f>
        <v>0</v>
      </c>
      <c r="J920" s="670" t="str">
        <f>IFERROR(IF(CURRENCY.FORMAT_1=0,CONCATENATE(TEXT(FIXED(ROUND((C920/EXC.RATE_1),CURRENCY.FORMAT_1),CURRENCY.FORMAT_1,1),"# ##0;-# ##0"),",-"),FIXED(ROUND((C920/EXC.RATE_1),CURRENCY.FORMAT_1),CURRENCY.FORMAT_1,0)),'DICTIONARY-5'!$A$2)</f>
        <v>41,-</v>
      </c>
      <c r="K920" s="670" t="str">
        <f>IF(EXC.RATE_2=0,"",IFERROR(IF(CURRENCY.FORMAT_2=0,CONCATENATE(TEXT(FIXED(ROUND(IF(EXC.RATE.SWITCH=1,C920/EXC.RATE_2,C920*EXC.RATE_2),CURRENCY.FORMAT_2),CURRENCY.FORMAT_2,1),"# ##0;-# ##0"),",-"),FIXED(ROUND(IF(EXC.RATE.SWITCH=1,C920/EXC.RATE_2,C920*EXC.RATE_2),CURRENCY.FORMAT_2),CURRENCY.FORMAT_2,0)),'DICTIONARY-5'!$A$2))</f>
        <v/>
      </c>
      <c r="L920" s="670" t="str">
        <f>IFERROR(IF(CURRENCY.FORMAT_1=0,CONCATENATE(TEXT(FIXED(ROUND((C920*(1-I920)*(1-ADD.DISCOUNT)*(1+MAT.SURCHARGE)/EXC.RATE_1),CURRENCY.FORMAT_1),CURRENCY.FORMAT_1,1),"# ##0;-# ##0"),",-"),FIXED(ROUND((C920*(1-I920)*(1-ADD.DISCOUNT)*(1+MAT.SURCHARGE)/EXC.RATE_1),CURRENCY.FORMAT_1),CURRENCY.FORMAT_1,0)),'DICTIONARY-5'!$A$2)</f>
        <v>43,-</v>
      </c>
      <c r="M920" s="670" t="str">
        <f>IF(EXC.RATE_2=0,"",IFERROR(IF(CURRENCY.FORMAT_2=0,CONCATENATE(TEXT(FIXED(ROUND(IF(EXC.RATE.SWITCH=1,C920*(1-I920)*(1-ADD.DISCOUNT)*(1+MAT.SURCHARGE)/EXC.RATE_2,C920*(1-I920)*(1-ADD.DISCOUNT)*(1+MAT.SURCHARGE)*EXC.RATE_2),CURRENCY.FORMAT_2),CURRENCY.FORMAT_2,1),"# ##0;-# ##0"),",-"),FIXED(ROUND(IF(EXC.RATE.SWITCH=1,C920*(1-I920)*(1-ADD.DISCOUNT)*(1+MAT.SURCHARGE)/EXC.RATE_2,C920*(1-I920)*(1-ADD.DISCOUNT)*(1+MAT.SURCHARGE)*EXC.RATE_2),CURRENCY.FORMAT_2),CURRENCY.FORMAT_2,0)),'DICTIONARY-5'!$A$2))</f>
        <v/>
      </c>
      <c r="N920" s="542">
        <v>4</v>
      </c>
      <c r="O920" s="542"/>
      <c r="P920" s="732" t="str">
        <f>'DICTIONARY-3'!$A$88</f>
        <v>Obejma</v>
      </c>
      <c r="Q920" s="732" t="str">
        <f>'DICTIONARY-3'!$A$197</f>
        <v>Obejma</v>
      </c>
      <c r="R920" s="732" t="str">
        <f>CONCATENATE('DICTIONARY-3'!$A$197," ",'DICTIONARY-2'!$A$2,"250"," ",'DICTIONARY-2'!$A$5,"269-280")</f>
        <v>Obejma DN250 Da269-280</v>
      </c>
      <c r="S920" s="733" t="s">
        <v>5569</v>
      </c>
      <c r="T920" s="732" t="s">
        <v>5569</v>
      </c>
      <c r="U920" s="734" t="s">
        <v>5751</v>
      </c>
      <c r="V920" s="735"/>
      <c r="W920" s="736" t="s">
        <v>5793</v>
      </c>
      <c r="X920" s="737"/>
      <c r="Y920" s="738"/>
      <c r="Z920" s="739"/>
      <c r="AA920" s="739"/>
      <c r="AB920" s="740"/>
      <c r="AC920" s="741"/>
      <c r="AD920" s="741" t="s">
        <v>5569</v>
      </c>
      <c r="AE920" s="742" t="s">
        <v>5569</v>
      </c>
      <c r="AF920" s="743">
        <v>1.5</v>
      </c>
      <c r="AG920" s="741" t="s">
        <v>5569</v>
      </c>
    </row>
    <row r="921" spans="1:33" x14ac:dyDescent="0.25">
      <c r="A921" s="856" t="s">
        <v>1089</v>
      </c>
      <c r="B921" s="856" t="s">
        <v>4814</v>
      </c>
      <c r="C921" s="836">
        <v>41</v>
      </c>
      <c r="D921" s="836"/>
      <c r="E921" s="836"/>
      <c r="F921" s="836"/>
      <c r="G921" s="496" t="s">
        <v>7811</v>
      </c>
      <c r="H921" s="797" t="str">
        <f>VLOOKUP(G921,SETTINGS!$B$7:$D$97,2,0)</f>
        <v>House Connection Bracket</v>
      </c>
      <c r="I921" s="796">
        <f>VLOOKUP(G921,SETTINGS!$B$7:$D$97,3,0)</f>
        <v>0</v>
      </c>
      <c r="J921" s="670" t="str">
        <f>IFERROR(IF(CURRENCY.FORMAT_1=0,CONCATENATE(TEXT(FIXED(ROUND((C921/EXC.RATE_1),CURRENCY.FORMAT_1),CURRENCY.FORMAT_1,1),"# ##0;-# ##0"),",-"),FIXED(ROUND((C921/EXC.RATE_1),CURRENCY.FORMAT_1),CURRENCY.FORMAT_1,0)),'DICTIONARY-5'!$A$2)</f>
        <v>41,-</v>
      </c>
      <c r="K921" s="670" t="str">
        <f>IF(EXC.RATE_2=0,"",IFERROR(IF(CURRENCY.FORMAT_2=0,CONCATENATE(TEXT(FIXED(ROUND(IF(EXC.RATE.SWITCH=1,C921/EXC.RATE_2,C921*EXC.RATE_2),CURRENCY.FORMAT_2),CURRENCY.FORMAT_2,1),"# ##0;-# ##0"),",-"),FIXED(ROUND(IF(EXC.RATE.SWITCH=1,C921/EXC.RATE_2,C921*EXC.RATE_2),CURRENCY.FORMAT_2),CURRENCY.FORMAT_2,0)),'DICTIONARY-5'!$A$2))</f>
        <v/>
      </c>
      <c r="L921" s="670" t="str">
        <f>IFERROR(IF(CURRENCY.FORMAT_1=0,CONCATENATE(TEXT(FIXED(ROUND((C921*(1-I921)*(1-ADD.DISCOUNT)*(1+MAT.SURCHARGE)/EXC.RATE_1),CURRENCY.FORMAT_1),CURRENCY.FORMAT_1,1),"# ##0;-# ##0"),",-"),FIXED(ROUND((C921*(1-I921)*(1-ADD.DISCOUNT)*(1+MAT.SURCHARGE)/EXC.RATE_1),CURRENCY.FORMAT_1),CURRENCY.FORMAT_1,0)),'DICTIONARY-5'!$A$2)</f>
        <v>43,-</v>
      </c>
      <c r="M921" s="670" t="str">
        <f>IF(EXC.RATE_2=0,"",IFERROR(IF(CURRENCY.FORMAT_2=0,CONCATENATE(TEXT(FIXED(ROUND(IF(EXC.RATE.SWITCH=1,C921*(1-I921)*(1-ADD.DISCOUNT)*(1+MAT.SURCHARGE)/EXC.RATE_2,C921*(1-I921)*(1-ADD.DISCOUNT)*(1+MAT.SURCHARGE)*EXC.RATE_2),CURRENCY.FORMAT_2),CURRENCY.FORMAT_2,1),"# ##0;-# ##0"),",-"),FIXED(ROUND(IF(EXC.RATE.SWITCH=1,C921*(1-I921)*(1-ADD.DISCOUNT)*(1+MAT.SURCHARGE)/EXC.RATE_2,C921*(1-I921)*(1-ADD.DISCOUNT)*(1+MAT.SURCHARGE)*EXC.RATE_2),CURRENCY.FORMAT_2),CURRENCY.FORMAT_2,0)),'DICTIONARY-5'!$A$2))</f>
        <v/>
      </c>
      <c r="N921" s="542">
        <v>4</v>
      </c>
      <c r="O921" s="542"/>
      <c r="P921" s="732" t="str">
        <f>'DICTIONARY-3'!$A$88</f>
        <v>Obejma</v>
      </c>
      <c r="Q921" s="732" t="str">
        <f>'DICTIONARY-3'!$A$197</f>
        <v>Obejma</v>
      </c>
      <c r="R921" s="732" t="str">
        <f>CONCATENATE('DICTIONARY-3'!$A$197," ",'DICTIONARY-2'!$A$2,"250"," ",'DICTIONARY-2'!$A$5,"275-287")</f>
        <v>Obejma DN250 Da275-287</v>
      </c>
      <c r="S921" s="733" t="s">
        <v>5569</v>
      </c>
      <c r="T921" s="732" t="s">
        <v>5569</v>
      </c>
      <c r="U921" s="734" t="s">
        <v>5751</v>
      </c>
      <c r="V921" s="735"/>
      <c r="W921" s="736" t="s">
        <v>5794</v>
      </c>
      <c r="X921" s="737"/>
      <c r="Y921" s="738"/>
      <c r="Z921" s="739"/>
      <c r="AA921" s="739"/>
      <c r="AB921" s="740"/>
      <c r="AC921" s="741"/>
      <c r="AD921" s="741" t="s">
        <v>5569</v>
      </c>
      <c r="AE921" s="742" t="s">
        <v>5569</v>
      </c>
      <c r="AF921" s="743">
        <v>1.341</v>
      </c>
      <c r="AG921" s="741" t="s">
        <v>5569</v>
      </c>
    </row>
    <row r="922" spans="1:33" x14ac:dyDescent="0.25">
      <c r="A922" s="856" t="s">
        <v>1091</v>
      </c>
      <c r="B922" s="856" t="s">
        <v>4815</v>
      </c>
      <c r="C922" s="836">
        <v>43</v>
      </c>
      <c r="D922" s="836"/>
      <c r="E922" s="836"/>
      <c r="F922" s="836"/>
      <c r="G922" s="496" t="s">
        <v>7811</v>
      </c>
      <c r="H922" s="797" t="str">
        <f>VLOOKUP(G922,SETTINGS!$B$7:$D$97,2,0)</f>
        <v>House Connection Bracket</v>
      </c>
      <c r="I922" s="796">
        <f>VLOOKUP(G922,SETTINGS!$B$7:$D$97,3,0)</f>
        <v>0</v>
      </c>
      <c r="J922" s="670" t="str">
        <f>IFERROR(IF(CURRENCY.FORMAT_1=0,CONCATENATE(TEXT(FIXED(ROUND((C922/EXC.RATE_1),CURRENCY.FORMAT_1),CURRENCY.FORMAT_1,1),"# ##0;-# ##0"),",-"),FIXED(ROUND((C922/EXC.RATE_1),CURRENCY.FORMAT_1),CURRENCY.FORMAT_1,0)),'DICTIONARY-5'!$A$2)</f>
        <v>43,-</v>
      </c>
      <c r="K922" s="670" t="str">
        <f>IF(EXC.RATE_2=0,"",IFERROR(IF(CURRENCY.FORMAT_2=0,CONCATENATE(TEXT(FIXED(ROUND(IF(EXC.RATE.SWITCH=1,C922/EXC.RATE_2,C922*EXC.RATE_2),CURRENCY.FORMAT_2),CURRENCY.FORMAT_2,1),"# ##0;-# ##0"),",-"),FIXED(ROUND(IF(EXC.RATE.SWITCH=1,C922/EXC.RATE_2,C922*EXC.RATE_2),CURRENCY.FORMAT_2),CURRENCY.FORMAT_2,0)),'DICTIONARY-5'!$A$2))</f>
        <v/>
      </c>
      <c r="L922" s="670" t="str">
        <f>IFERROR(IF(CURRENCY.FORMAT_1=0,CONCATENATE(TEXT(FIXED(ROUND((C922*(1-I922)*(1-ADD.DISCOUNT)*(1+MAT.SURCHARGE)/EXC.RATE_1),CURRENCY.FORMAT_1),CURRENCY.FORMAT_1,1),"# ##0;-# ##0"),",-"),FIXED(ROUND((C922*(1-I922)*(1-ADD.DISCOUNT)*(1+MAT.SURCHARGE)/EXC.RATE_1),CURRENCY.FORMAT_1),CURRENCY.FORMAT_1,0)),'DICTIONARY-5'!$A$2)</f>
        <v>45,-</v>
      </c>
      <c r="M922" s="670" t="str">
        <f>IF(EXC.RATE_2=0,"",IFERROR(IF(CURRENCY.FORMAT_2=0,CONCATENATE(TEXT(FIXED(ROUND(IF(EXC.RATE.SWITCH=1,C922*(1-I922)*(1-ADD.DISCOUNT)*(1+MAT.SURCHARGE)/EXC.RATE_2,C922*(1-I922)*(1-ADD.DISCOUNT)*(1+MAT.SURCHARGE)*EXC.RATE_2),CURRENCY.FORMAT_2),CURRENCY.FORMAT_2,1),"# ##0;-# ##0"),",-"),FIXED(ROUND(IF(EXC.RATE.SWITCH=1,C922*(1-I922)*(1-ADD.DISCOUNT)*(1+MAT.SURCHARGE)/EXC.RATE_2,C922*(1-I922)*(1-ADD.DISCOUNT)*(1+MAT.SURCHARGE)*EXC.RATE_2),CURRENCY.FORMAT_2),CURRENCY.FORMAT_2,0)),'DICTIONARY-5'!$A$2))</f>
        <v/>
      </c>
      <c r="N922" s="542">
        <v>4</v>
      </c>
      <c r="O922" s="542"/>
      <c r="P922" s="732" t="str">
        <f>'DICTIONARY-3'!$A$88</f>
        <v>Obejma</v>
      </c>
      <c r="Q922" s="732" t="str">
        <f>'DICTIONARY-3'!$A$197</f>
        <v>Obejma</v>
      </c>
      <c r="R922" s="732" t="str">
        <f>CONCATENATE('DICTIONARY-3'!$A$197," ",'DICTIONARY-2'!$A$2,"300"," ",'DICTIONARY-2'!$A$5,"319-333")</f>
        <v>Obejma DN300 Da319-333</v>
      </c>
      <c r="S922" s="733" t="s">
        <v>5569</v>
      </c>
      <c r="T922" s="732" t="s">
        <v>5569</v>
      </c>
      <c r="U922" s="734" t="s">
        <v>5752</v>
      </c>
      <c r="V922" s="735"/>
      <c r="W922" s="736" t="s">
        <v>5784</v>
      </c>
      <c r="X922" s="737"/>
      <c r="Y922" s="738"/>
      <c r="Z922" s="739"/>
      <c r="AA922" s="739"/>
      <c r="AB922" s="740"/>
      <c r="AC922" s="741"/>
      <c r="AD922" s="741" t="s">
        <v>5569</v>
      </c>
      <c r="AE922" s="742" t="s">
        <v>5569</v>
      </c>
      <c r="AF922" s="743">
        <v>2.04</v>
      </c>
      <c r="AG922" s="741" t="s">
        <v>5569</v>
      </c>
    </row>
    <row r="923" spans="1:33" x14ac:dyDescent="0.25">
      <c r="A923" s="856" t="s">
        <v>1093</v>
      </c>
      <c r="B923" s="856" t="s">
        <v>4816</v>
      </c>
      <c r="C923" s="836">
        <v>41</v>
      </c>
      <c r="D923" s="836"/>
      <c r="E923" s="836"/>
      <c r="F923" s="836"/>
      <c r="G923" s="496" t="s">
        <v>7811</v>
      </c>
      <c r="H923" s="797" t="str">
        <f>VLOOKUP(G923,SETTINGS!$B$7:$D$97,2,0)</f>
        <v>House Connection Bracket</v>
      </c>
      <c r="I923" s="796">
        <f>VLOOKUP(G923,SETTINGS!$B$7:$D$97,3,0)</f>
        <v>0</v>
      </c>
      <c r="J923" s="670" t="str">
        <f>IFERROR(IF(CURRENCY.FORMAT_1=0,CONCATENATE(TEXT(FIXED(ROUND((C923/EXC.RATE_1),CURRENCY.FORMAT_1),CURRENCY.FORMAT_1,1),"# ##0;-# ##0"),",-"),FIXED(ROUND((C923/EXC.RATE_1),CURRENCY.FORMAT_1),CURRENCY.FORMAT_1,0)),'DICTIONARY-5'!$A$2)</f>
        <v>41,-</v>
      </c>
      <c r="K923" s="670" t="str">
        <f>IF(EXC.RATE_2=0,"",IFERROR(IF(CURRENCY.FORMAT_2=0,CONCATENATE(TEXT(FIXED(ROUND(IF(EXC.RATE.SWITCH=1,C923/EXC.RATE_2,C923*EXC.RATE_2),CURRENCY.FORMAT_2),CURRENCY.FORMAT_2,1),"# ##0;-# ##0"),",-"),FIXED(ROUND(IF(EXC.RATE.SWITCH=1,C923/EXC.RATE_2,C923*EXC.RATE_2),CURRENCY.FORMAT_2),CURRENCY.FORMAT_2,0)),'DICTIONARY-5'!$A$2))</f>
        <v/>
      </c>
      <c r="L923" s="670" t="str">
        <f>IFERROR(IF(CURRENCY.FORMAT_1=0,CONCATENATE(TEXT(FIXED(ROUND((C923*(1-I923)*(1-ADD.DISCOUNT)*(1+MAT.SURCHARGE)/EXC.RATE_1),CURRENCY.FORMAT_1),CURRENCY.FORMAT_1,1),"# ##0;-# ##0"),",-"),FIXED(ROUND((C923*(1-I923)*(1-ADD.DISCOUNT)*(1+MAT.SURCHARGE)/EXC.RATE_1),CURRENCY.FORMAT_1),CURRENCY.FORMAT_1,0)),'DICTIONARY-5'!$A$2)</f>
        <v>43,-</v>
      </c>
      <c r="M923" s="670" t="str">
        <f>IF(EXC.RATE_2=0,"",IFERROR(IF(CURRENCY.FORMAT_2=0,CONCATENATE(TEXT(FIXED(ROUND(IF(EXC.RATE.SWITCH=1,C923*(1-I923)*(1-ADD.DISCOUNT)*(1+MAT.SURCHARGE)/EXC.RATE_2,C923*(1-I923)*(1-ADD.DISCOUNT)*(1+MAT.SURCHARGE)*EXC.RATE_2),CURRENCY.FORMAT_2),CURRENCY.FORMAT_2,1),"# ##0;-# ##0"),",-"),FIXED(ROUND(IF(EXC.RATE.SWITCH=1,C923*(1-I923)*(1-ADD.DISCOUNT)*(1+MAT.SURCHARGE)/EXC.RATE_2,C923*(1-I923)*(1-ADD.DISCOUNT)*(1+MAT.SURCHARGE)*EXC.RATE_2),CURRENCY.FORMAT_2),CURRENCY.FORMAT_2,0)),'DICTIONARY-5'!$A$2))</f>
        <v/>
      </c>
      <c r="N923" s="542">
        <v>4</v>
      </c>
      <c r="O923" s="542"/>
      <c r="P923" s="732" t="str">
        <f>'DICTIONARY-3'!$A$88</f>
        <v>Obejma</v>
      </c>
      <c r="Q923" s="732" t="str">
        <f>'DICTIONARY-3'!$A$197</f>
        <v>Obejma</v>
      </c>
      <c r="R923" s="732" t="str">
        <f>CONCATENATE('DICTIONARY-3'!$A$197," ",'DICTIONARY-2'!$A$2,"300"," ",'DICTIONARY-2'!$A$5,"327-337")</f>
        <v>Obejma DN300 Da327-337</v>
      </c>
      <c r="S923" s="733" t="s">
        <v>5569</v>
      </c>
      <c r="T923" s="732" t="s">
        <v>5569</v>
      </c>
      <c r="U923" s="734" t="s">
        <v>5752</v>
      </c>
      <c r="V923" s="735"/>
      <c r="W923" s="736" t="s">
        <v>5785</v>
      </c>
      <c r="X923" s="737"/>
      <c r="Y923" s="738"/>
      <c r="Z923" s="739"/>
      <c r="AA923" s="739"/>
      <c r="AB923" s="740"/>
      <c r="AC923" s="741"/>
      <c r="AD923" s="741" t="s">
        <v>5569</v>
      </c>
      <c r="AE923" s="742" t="s">
        <v>5569</v>
      </c>
      <c r="AF923" s="743">
        <v>1.47</v>
      </c>
      <c r="AG923" s="741" t="s">
        <v>5569</v>
      </c>
    </row>
    <row r="924" spans="1:33" x14ac:dyDescent="0.25">
      <c r="A924" s="856" t="s">
        <v>1095</v>
      </c>
      <c r="B924" s="856" t="s">
        <v>4817</v>
      </c>
      <c r="C924" s="836">
        <v>47</v>
      </c>
      <c r="D924" s="836"/>
      <c r="E924" s="836"/>
      <c r="F924" s="836"/>
      <c r="G924" s="496" t="s">
        <v>7811</v>
      </c>
      <c r="H924" s="797" t="str">
        <f>VLOOKUP(G924,SETTINGS!$B$7:$D$97,2,0)</f>
        <v>House Connection Bracket</v>
      </c>
      <c r="I924" s="796">
        <f>VLOOKUP(G924,SETTINGS!$B$7:$D$97,3,0)</f>
        <v>0</v>
      </c>
      <c r="J924" s="670" t="str">
        <f>IFERROR(IF(CURRENCY.FORMAT_1=0,CONCATENATE(TEXT(FIXED(ROUND((C924/EXC.RATE_1),CURRENCY.FORMAT_1),CURRENCY.FORMAT_1,1),"# ##0;-# ##0"),",-"),FIXED(ROUND((C924/EXC.RATE_1),CURRENCY.FORMAT_1),CURRENCY.FORMAT_1,0)),'DICTIONARY-5'!$A$2)</f>
        <v>47,-</v>
      </c>
      <c r="K924" s="670" t="str">
        <f>IF(EXC.RATE_2=0,"",IFERROR(IF(CURRENCY.FORMAT_2=0,CONCATENATE(TEXT(FIXED(ROUND(IF(EXC.RATE.SWITCH=1,C924/EXC.RATE_2,C924*EXC.RATE_2),CURRENCY.FORMAT_2),CURRENCY.FORMAT_2,1),"# ##0;-# ##0"),",-"),FIXED(ROUND(IF(EXC.RATE.SWITCH=1,C924/EXC.RATE_2,C924*EXC.RATE_2),CURRENCY.FORMAT_2),CURRENCY.FORMAT_2,0)),'DICTIONARY-5'!$A$2))</f>
        <v/>
      </c>
      <c r="L924" s="670" t="str">
        <f>IFERROR(IF(CURRENCY.FORMAT_1=0,CONCATENATE(TEXT(FIXED(ROUND((C924*(1-I924)*(1-ADD.DISCOUNT)*(1+MAT.SURCHARGE)/EXC.RATE_1),CURRENCY.FORMAT_1),CURRENCY.FORMAT_1,1),"# ##0;-# ##0"),",-"),FIXED(ROUND((C924*(1-I924)*(1-ADD.DISCOUNT)*(1+MAT.SURCHARGE)/EXC.RATE_1),CURRENCY.FORMAT_1),CURRENCY.FORMAT_1,0)),'DICTIONARY-5'!$A$2)</f>
        <v>49,-</v>
      </c>
      <c r="M924" s="670" t="str">
        <f>IF(EXC.RATE_2=0,"",IFERROR(IF(CURRENCY.FORMAT_2=0,CONCATENATE(TEXT(FIXED(ROUND(IF(EXC.RATE.SWITCH=1,C924*(1-I924)*(1-ADD.DISCOUNT)*(1+MAT.SURCHARGE)/EXC.RATE_2,C924*(1-I924)*(1-ADD.DISCOUNT)*(1+MAT.SURCHARGE)*EXC.RATE_2),CURRENCY.FORMAT_2),CURRENCY.FORMAT_2,1),"# ##0;-# ##0"),",-"),FIXED(ROUND(IF(EXC.RATE.SWITCH=1,C924*(1-I924)*(1-ADD.DISCOUNT)*(1+MAT.SURCHARGE)/EXC.RATE_2,C924*(1-I924)*(1-ADD.DISCOUNT)*(1+MAT.SURCHARGE)*EXC.RATE_2),CURRENCY.FORMAT_2),CURRENCY.FORMAT_2,0)),'DICTIONARY-5'!$A$2))</f>
        <v/>
      </c>
      <c r="N924" s="542">
        <v>4</v>
      </c>
      <c r="O924" s="542"/>
      <c r="P924" s="732" t="str">
        <f>'DICTIONARY-3'!$A$88</f>
        <v>Obejma</v>
      </c>
      <c r="Q924" s="732" t="str">
        <f>'DICTIONARY-3'!$A$197</f>
        <v>Obejma</v>
      </c>
      <c r="R924" s="732" t="str">
        <f>CONCATENATE('DICTIONARY-3'!$A$197," ",'DICTIONARY-2'!$A$2,"350"," ",'DICTIONARY-2'!$A$5,"374-384")</f>
        <v>Obejma DN350 Da374-384</v>
      </c>
      <c r="S924" s="733" t="s">
        <v>5569</v>
      </c>
      <c r="T924" s="732" t="s">
        <v>5569</v>
      </c>
      <c r="U924" s="734" t="s">
        <v>5753</v>
      </c>
      <c r="V924" s="735"/>
      <c r="W924" s="736" t="s">
        <v>5795</v>
      </c>
      <c r="X924" s="737"/>
      <c r="Y924" s="738"/>
      <c r="Z924" s="739"/>
      <c r="AA924" s="739"/>
      <c r="AB924" s="740"/>
      <c r="AC924" s="741"/>
      <c r="AD924" s="741" t="s">
        <v>5569</v>
      </c>
      <c r="AE924" s="742" t="s">
        <v>5569</v>
      </c>
      <c r="AF924" s="743">
        <v>1.593</v>
      </c>
      <c r="AG924" s="741" t="s">
        <v>5569</v>
      </c>
    </row>
    <row r="925" spans="1:33" x14ac:dyDescent="0.25">
      <c r="A925" s="856" t="s">
        <v>1097</v>
      </c>
      <c r="B925" s="856" t="s">
        <v>4818</v>
      </c>
      <c r="C925" s="836">
        <v>56</v>
      </c>
      <c r="D925" s="836"/>
      <c r="E925" s="836"/>
      <c r="F925" s="836"/>
      <c r="G925" s="496" t="s">
        <v>7811</v>
      </c>
      <c r="H925" s="797" t="str">
        <f>VLOOKUP(G925,SETTINGS!$B$7:$D$97,2,0)</f>
        <v>House Connection Bracket</v>
      </c>
      <c r="I925" s="796">
        <f>VLOOKUP(G925,SETTINGS!$B$7:$D$97,3,0)</f>
        <v>0</v>
      </c>
      <c r="J925" s="670" t="str">
        <f>IFERROR(IF(CURRENCY.FORMAT_1=0,CONCATENATE(TEXT(FIXED(ROUND((C925/EXC.RATE_1),CURRENCY.FORMAT_1),CURRENCY.FORMAT_1,1),"# ##0;-# ##0"),",-"),FIXED(ROUND((C925/EXC.RATE_1),CURRENCY.FORMAT_1),CURRENCY.FORMAT_1,0)),'DICTIONARY-5'!$A$2)</f>
        <v>56,-</v>
      </c>
      <c r="K925" s="670" t="str">
        <f>IF(EXC.RATE_2=0,"",IFERROR(IF(CURRENCY.FORMAT_2=0,CONCATENATE(TEXT(FIXED(ROUND(IF(EXC.RATE.SWITCH=1,C925/EXC.RATE_2,C925*EXC.RATE_2),CURRENCY.FORMAT_2),CURRENCY.FORMAT_2,1),"# ##0;-# ##0"),",-"),FIXED(ROUND(IF(EXC.RATE.SWITCH=1,C925/EXC.RATE_2,C925*EXC.RATE_2),CURRENCY.FORMAT_2),CURRENCY.FORMAT_2,0)),'DICTIONARY-5'!$A$2))</f>
        <v/>
      </c>
      <c r="L925" s="670" t="str">
        <f>IFERROR(IF(CURRENCY.FORMAT_1=0,CONCATENATE(TEXT(FIXED(ROUND((C925*(1-I925)*(1-ADD.DISCOUNT)*(1+MAT.SURCHARGE)/EXC.RATE_1),CURRENCY.FORMAT_1),CURRENCY.FORMAT_1,1),"# ##0;-# ##0"),",-"),FIXED(ROUND((C925*(1-I925)*(1-ADD.DISCOUNT)*(1+MAT.SURCHARGE)/EXC.RATE_1),CURRENCY.FORMAT_1),CURRENCY.FORMAT_1,0)),'DICTIONARY-5'!$A$2)</f>
        <v>58,-</v>
      </c>
      <c r="M925" s="670" t="str">
        <f>IF(EXC.RATE_2=0,"",IFERROR(IF(CURRENCY.FORMAT_2=0,CONCATENATE(TEXT(FIXED(ROUND(IF(EXC.RATE.SWITCH=1,C925*(1-I925)*(1-ADD.DISCOUNT)*(1+MAT.SURCHARGE)/EXC.RATE_2,C925*(1-I925)*(1-ADD.DISCOUNT)*(1+MAT.SURCHARGE)*EXC.RATE_2),CURRENCY.FORMAT_2),CURRENCY.FORMAT_2,1),"# ##0;-# ##0"),",-"),FIXED(ROUND(IF(EXC.RATE.SWITCH=1,C925*(1-I925)*(1-ADD.DISCOUNT)*(1+MAT.SURCHARGE)/EXC.RATE_2,C925*(1-I925)*(1-ADD.DISCOUNT)*(1+MAT.SURCHARGE)*EXC.RATE_2),CURRENCY.FORMAT_2),CURRENCY.FORMAT_2,0)),'DICTIONARY-5'!$A$2))</f>
        <v/>
      </c>
      <c r="N925" s="542">
        <v>4</v>
      </c>
      <c r="O925" s="542"/>
      <c r="P925" s="732" t="str">
        <f>'DICTIONARY-3'!$A$88</f>
        <v>Obejma</v>
      </c>
      <c r="Q925" s="732" t="str">
        <f>'DICTIONARY-3'!$A$197</f>
        <v>Obejma</v>
      </c>
      <c r="R925" s="732" t="str">
        <f>CONCATENATE('DICTIONARY-3'!$A$197," ",'DICTIONARY-2'!$A$2,"350"," ",'DICTIONARY-2'!$A$5,"383-393")</f>
        <v>Obejma DN350 Da383-393</v>
      </c>
      <c r="S925" s="733" t="s">
        <v>5569</v>
      </c>
      <c r="T925" s="732" t="s">
        <v>5569</v>
      </c>
      <c r="U925" s="734" t="s">
        <v>5753</v>
      </c>
      <c r="V925" s="735"/>
      <c r="W925" s="736" t="s">
        <v>5796</v>
      </c>
      <c r="X925" s="737"/>
      <c r="Y925" s="738"/>
      <c r="Z925" s="739"/>
      <c r="AA925" s="739"/>
      <c r="AB925" s="740"/>
      <c r="AC925" s="741"/>
      <c r="AD925" s="741" t="s">
        <v>5569</v>
      </c>
      <c r="AE925" s="742" t="s">
        <v>5569</v>
      </c>
      <c r="AF925" s="743">
        <v>2.31</v>
      </c>
      <c r="AG925" s="741" t="s">
        <v>5569</v>
      </c>
    </row>
    <row r="926" spans="1:33" x14ac:dyDescent="0.25">
      <c r="A926" s="856" t="s">
        <v>1099</v>
      </c>
      <c r="B926" s="856" t="s">
        <v>4819</v>
      </c>
      <c r="C926" s="836">
        <v>47</v>
      </c>
      <c r="D926" s="836"/>
      <c r="E926" s="836"/>
      <c r="F926" s="836"/>
      <c r="G926" s="496" t="s">
        <v>7811</v>
      </c>
      <c r="H926" s="797" t="str">
        <f>VLOOKUP(G926,SETTINGS!$B$7:$D$97,2,0)</f>
        <v>House Connection Bracket</v>
      </c>
      <c r="I926" s="796">
        <f>VLOOKUP(G926,SETTINGS!$B$7:$D$97,3,0)</f>
        <v>0</v>
      </c>
      <c r="J926" s="670" t="str">
        <f>IFERROR(IF(CURRENCY.FORMAT_1=0,CONCATENATE(TEXT(FIXED(ROUND((C926/EXC.RATE_1),CURRENCY.FORMAT_1),CURRENCY.FORMAT_1,1),"# ##0;-# ##0"),",-"),FIXED(ROUND((C926/EXC.RATE_1),CURRENCY.FORMAT_1),CURRENCY.FORMAT_1,0)),'DICTIONARY-5'!$A$2)</f>
        <v>47,-</v>
      </c>
      <c r="K926" s="670" t="str">
        <f>IF(EXC.RATE_2=0,"",IFERROR(IF(CURRENCY.FORMAT_2=0,CONCATENATE(TEXT(FIXED(ROUND(IF(EXC.RATE.SWITCH=1,C926/EXC.RATE_2,C926*EXC.RATE_2),CURRENCY.FORMAT_2),CURRENCY.FORMAT_2,1),"# ##0;-# ##0"),",-"),FIXED(ROUND(IF(EXC.RATE.SWITCH=1,C926/EXC.RATE_2,C926*EXC.RATE_2),CURRENCY.FORMAT_2),CURRENCY.FORMAT_2,0)),'DICTIONARY-5'!$A$2))</f>
        <v/>
      </c>
      <c r="L926" s="670" t="str">
        <f>IFERROR(IF(CURRENCY.FORMAT_1=0,CONCATENATE(TEXT(FIXED(ROUND((C926*(1-I926)*(1-ADD.DISCOUNT)*(1+MAT.SURCHARGE)/EXC.RATE_1),CURRENCY.FORMAT_1),CURRENCY.FORMAT_1,1),"# ##0;-# ##0"),",-"),FIXED(ROUND((C926*(1-I926)*(1-ADD.DISCOUNT)*(1+MAT.SURCHARGE)/EXC.RATE_1),CURRENCY.FORMAT_1),CURRENCY.FORMAT_1,0)),'DICTIONARY-5'!$A$2)</f>
        <v>49,-</v>
      </c>
      <c r="M926" s="670" t="str">
        <f>IF(EXC.RATE_2=0,"",IFERROR(IF(CURRENCY.FORMAT_2=0,CONCATENATE(TEXT(FIXED(ROUND(IF(EXC.RATE.SWITCH=1,C926*(1-I926)*(1-ADD.DISCOUNT)*(1+MAT.SURCHARGE)/EXC.RATE_2,C926*(1-I926)*(1-ADD.DISCOUNT)*(1+MAT.SURCHARGE)*EXC.RATE_2),CURRENCY.FORMAT_2),CURRENCY.FORMAT_2,1),"# ##0;-# ##0"),",-"),FIXED(ROUND(IF(EXC.RATE.SWITCH=1,C926*(1-I926)*(1-ADD.DISCOUNT)*(1+MAT.SURCHARGE)/EXC.RATE_2,C926*(1-I926)*(1-ADD.DISCOUNT)*(1+MAT.SURCHARGE)*EXC.RATE_2),CURRENCY.FORMAT_2),CURRENCY.FORMAT_2,0)),'DICTIONARY-5'!$A$2))</f>
        <v/>
      </c>
      <c r="N926" s="542">
        <v>4</v>
      </c>
      <c r="O926" s="542"/>
      <c r="P926" s="732" t="str">
        <f>'DICTIONARY-3'!$A$88</f>
        <v>Obejma</v>
      </c>
      <c r="Q926" s="732" t="str">
        <f>'DICTIONARY-3'!$A$197</f>
        <v>Obejma</v>
      </c>
      <c r="R926" s="732" t="str">
        <f>CONCATENATE('DICTIONARY-3'!$A$197," ",'DICTIONARY-2'!$A$2,"350"," ",'DICTIONARY-2'!$A$5,"352-364")</f>
        <v>Obejma DN350 Da352-364</v>
      </c>
      <c r="S926" s="733" t="s">
        <v>5569</v>
      </c>
      <c r="T926" s="732" t="s">
        <v>5569</v>
      </c>
      <c r="U926" s="734" t="s">
        <v>5753</v>
      </c>
      <c r="V926" s="735"/>
      <c r="W926" s="736" t="s">
        <v>5797</v>
      </c>
      <c r="X926" s="737"/>
      <c r="Y926" s="738"/>
      <c r="Z926" s="739"/>
      <c r="AA926" s="739"/>
      <c r="AB926" s="740"/>
      <c r="AC926" s="741"/>
      <c r="AD926" s="741" t="s">
        <v>5569</v>
      </c>
      <c r="AE926" s="742" t="s">
        <v>5569</v>
      </c>
      <c r="AF926" s="743">
        <v>2.5</v>
      </c>
      <c r="AG926" s="741" t="s">
        <v>5569</v>
      </c>
    </row>
    <row r="927" spans="1:33" x14ac:dyDescent="0.25">
      <c r="A927" s="856" t="s">
        <v>1101</v>
      </c>
      <c r="B927" s="856" t="s">
        <v>4820</v>
      </c>
      <c r="C927" s="836">
        <v>42</v>
      </c>
      <c r="D927" s="836"/>
      <c r="E927" s="836"/>
      <c r="F927" s="836"/>
      <c r="G927" s="496" t="s">
        <v>7811</v>
      </c>
      <c r="H927" s="797" t="str">
        <f>VLOOKUP(G927,SETTINGS!$B$7:$D$97,2,0)</f>
        <v>House Connection Bracket</v>
      </c>
      <c r="I927" s="796">
        <f>VLOOKUP(G927,SETTINGS!$B$7:$D$97,3,0)</f>
        <v>0</v>
      </c>
      <c r="J927" s="670" t="str">
        <f>IFERROR(IF(CURRENCY.FORMAT_1=0,CONCATENATE(TEXT(FIXED(ROUND((C927/EXC.RATE_1),CURRENCY.FORMAT_1),CURRENCY.FORMAT_1,1),"# ##0;-# ##0"),",-"),FIXED(ROUND((C927/EXC.RATE_1),CURRENCY.FORMAT_1),CURRENCY.FORMAT_1,0)),'DICTIONARY-5'!$A$2)</f>
        <v>42,-</v>
      </c>
      <c r="K927" s="670" t="str">
        <f>IF(EXC.RATE_2=0,"",IFERROR(IF(CURRENCY.FORMAT_2=0,CONCATENATE(TEXT(FIXED(ROUND(IF(EXC.RATE.SWITCH=1,C927/EXC.RATE_2,C927*EXC.RATE_2),CURRENCY.FORMAT_2),CURRENCY.FORMAT_2,1),"# ##0;-# ##0"),",-"),FIXED(ROUND(IF(EXC.RATE.SWITCH=1,C927/EXC.RATE_2,C927*EXC.RATE_2),CURRENCY.FORMAT_2),CURRENCY.FORMAT_2,0)),'DICTIONARY-5'!$A$2))</f>
        <v/>
      </c>
      <c r="L927" s="670" t="str">
        <f>IFERROR(IF(CURRENCY.FORMAT_1=0,CONCATENATE(TEXT(FIXED(ROUND((C927*(1-I927)*(1-ADD.DISCOUNT)*(1+MAT.SURCHARGE)/EXC.RATE_1),CURRENCY.FORMAT_1),CURRENCY.FORMAT_1,1),"# ##0;-# ##0"),",-"),FIXED(ROUND((C927*(1-I927)*(1-ADD.DISCOUNT)*(1+MAT.SURCHARGE)/EXC.RATE_1),CURRENCY.FORMAT_1),CURRENCY.FORMAT_1,0)),'DICTIONARY-5'!$A$2)</f>
        <v>44,-</v>
      </c>
      <c r="M927" s="670" t="str">
        <f>IF(EXC.RATE_2=0,"",IFERROR(IF(CURRENCY.FORMAT_2=0,CONCATENATE(TEXT(FIXED(ROUND(IF(EXC.RATE.SWITCH=1,C927*(1-I927)*(1-ADD.DISCOUNT)*(1+MAT.SURCHARGE)/EXC.RATE_2,C927*(1-I927)*(1-ADD.DISCOUNT)*(1+MAT.SURCHARGE)*EXC.RATE_2),CURRENCY.FORMAT_2),CURRENCY.FORMAT_2,1),"# ##0;-# ##0"),",-"),FIXED(ROUND(IF(EXC.RATE.SWITCH=1,C927*(1-I927)*(1-ADD.DISCOUNT)*(1+MAT.SURCHARGE)/EXC.RATE_2,C927*(1-I927)*(1-ADD.DISCOUNT)*(1+MAT.SURCHARGE)*EXC.RATE_2),CURRENCY.FORMAT_2),CURRENCY.FORMAT_2,0)),'DICTIONARY-5'!$A$2))</f>
        <v/>
      </c>
      <c r="N927" s="542">
        <v>4</v>
      </c>
      <c r="O927" s="542"/>
      <c r="P927" s="732" t="str">
        <f>'DICTIONARY-3'!$A$88</f>
        <v>Obejma</v>
      </c>
      <c r="Q927" s="732" t="str">
        <f>'DICTIONARY-3'!$A$197</f>
        <v>Obejma</v>
      </c>
      <c r="R927" s="732" t="str">
        <f>CONCATENATE('DICTIONARY-3'!$A$197," ",'DICTIONARY-2'!$A$2,"400"," ",'DICTIONARY-2'!$A$5,"424-434")</f>
        <v>Obejma DN400 Da424-434</v>
      </c>
      <c r="S927" s="733" t="s">
        <v>5569</v>
      </c>
      <c r="T927" s="732" t="s">
        <v>5569</v>
      </c>
      <c r="U927" s="734" t="s">
        <v>5754</v>
      </c>
      <c r="V927" s="735"/>
      <c r="W927" s="736" t="s">
        <v>5786</v>
      </c>
      <c r="X927" s="737"/>
      <c r="Y927" s="738"/>
      <c r="Z927" s="739"/>
      <c r="AA927" s="739"/>
      <c r="AB927" s="740"/>
      <c r="AC927" s="741"/>
      <c r="AD927" s="741" t="s">
        <v>5569</v>
      </c>
      <c r="AE927" s="742" t="s">
        <v>5569</v>
      </c>
      <c r="AF927" s="743">
        <v>2.5</v>
      </c>
      <c r="AG927" s="741" t="s">
        <v>5569</v>
      </c>
    </row>
    <row r="928" spans="1:33" x14ac:dyDescent="0.25">
      <c r="A928" s="856" t="s">
        <v>1103</v>
      </c>
      <c r="B928" s="856" t="s">
        <v>4821</v>
      </c>
      <c r="C928" s="836">
        <v>54</v>
      </c>
      <c r="D928" s="836"/>
      <c r="E928" s="836"/>
      <c r="F928" s="836"/>
      <c r="G928" s="496" t="s">
        <v>7811</v>
      </c>
      <c r="H928" s="797" t="str">
        <f>VLOOKUP(G928,SETTINGS!$B$7:$D$97,2,0)</f>
        <v>House Connection Bracket</v>
      </c>
      <c r="I928" s="796">
        <f>VLOOKUP(G928,SETTINGS!$B$7:$D$97,3,0)</f>
        <v>0</v>
      </c>
      <c r="J928" s="670" t="str">
        <f>IFERROR(IF(CURRENCY.FORMAT_1=0,CONCATENATE(TEXT(FIXED(ROUND((C928/EXC.RATE_1),CURRENCY.FORMAT_1),CURRENCY.FORMAT_1,1),"# ##0;-# ##0"),",-"),FIXED(ROUND((C928/EXC.RATE_1),CURRENCY.FORMAT_1),CURRENCY.FORMAT_1,0)),'DICTIONARY-5'!$A$2)</f>
        <v>54,-</v>
      </c>
      <c r="K928" s="670" t="str">
        <f>IF(EXC.RATE_2=0,"",IFERROR(IF(CURRENCY.FORMAT_2=0,CONCATENATE(TEXT(FIXED(ROUND(IF(EXC.RATE.SWITCH=1,C928/EXC.RATE_2,C928*EXC.RATE_2),CURRENCY.FORMAT_2),CURRENCY.FORMAT_2,1),"# ##0;-# ##0"),",-"),FIXED(ROUND(IF(EXC.RATE.SWITCH=1,C928/EXC.RATE_2,C928*EXC.RATE_2),CURRENCY.FORMAT_2),CURRENCY.FORMAT_2,0)),'DICTIONARY-5'!$A$2))</f>
        <v/>
      </c>
      <c r="L928" s="670" t="str">
        <f>IFERROR(IF(CURRENCY.FORMAT_1=0,CONCATENATE(TEXT(FIXED(ROUND((C928*(1-I928)*(1-ADD.DISCOUNT)*(1+MAT.SURCHARGE)/EXC.RATE_1),CURRENCY.FORMAT_1),CURRENCY.FORMAT_1,1),"# ##0;-# ##0"),",-"),FIXED(ROUND((C928*(1-I928)*(1-ADD.DISCOUNT)*(1+MAT.SURCHARGE)/EXC.RATE_1),CURRENCY.FORMAT_1),CURRENCY.FORMAT_1,0)),'DICTIONARY-5'!$A$2)</f>
        <v>56,-</v>
      </c>
      <c r="M928" s="670" t="str">
        <f>IF(EXC.RATE_2=0,"",IFERROR(IF(CURRENCY.FORMAT_2=0,CONCATENATE(TEXT(FIXED(ROUND(IF(EXC.RATE.SWITCH=1,C928*(1-I928)*(1-ADD.DISCOUNT)*(1+MAT.SURCHARGE)/EXC.RATE_2,C928*(1-I928)*(1-ADD.DISCOUNT)*(1+MAT.SURCHARGE)*EXC.RATE_2),CURRENCY.FORMAT_2),CURRENCY.FORMAT_2,1),"# ##0;-# ##0"),",-"),FIXED(ROUND(IF(EXC.RATE.SWITCH=1,C928*(1-I928)*(1-ADD.DISCOUNT)*(1+MAT.SURCHARGE)/EXC.RATE_2,C928*(1-I928)*(1-ADD.DISCOUNT)*(1+MAT.SURCHARGE)*EXC.RATE_2),CURRENCY.FORMAT_2),CURRENCY.FORMAT_2,0)),'DICTIONARY-5'!$A$2))</f>
        <v/>
      </c>
      <c r="N928" s="542">
        <v>4</v>
      </c>
      <c r="O928" s="542"/>
      <c r="P928" s="732" t="str">
        <f>'DICTIONARY-3'!$A$88</f>
        <v>Obejma</v>
      </c>
      <c r="Q928" s="732" t="str">
        <f>'DICTIONARY-3'!$A$197</f>
        <v>Obejma</v>
      </c>
      <c r="R928" s="732" t="str">
        <f>CONCATENATE('DICTIONARY-3'!$A$197," ",'DICTIONARY-2'!$A$2,"400"," ",'DICTIONARY-2'!$A$5,"434-445")</f>
        <v>Obejma DN400 Da434-445</v>
      </c>
      <c r="S928" s="733" t="s">
        <v>5569</v>
      </c>
      <c r="T928" s="732" t="s">
        <v>5569</v>
      </c>
      <c r="U928" s="734" t="s">
        <v>5754</v>
      </c>
      <c r="V928" s="735"/>
      <c r="W928" s="736" t="s">
        <v>5787</v>
      </c>
      <c r="X928" s="737"/>
      <c r="Y928" s="738"/>
      <c r="Z928" s="739"/>
      <c r="AA928" s="739"/>
      <c r="AB928" s="740"/>
      <c r="AC928" s="741"/>
      <c r="AD928" s="741" t="s">
        <v>5569</v>
      </c>
      <c r="AE928" s="742" t="s">
        <v>5569</v>
      </c>
      <c r="AF928" s="743">
        <v>2.5299999999999998</v>
      </c>
      <c r="AG928" s="741" t="s">
        <v>5569</v>
      </c>
    </row>
    <row r="929" spans="1:33" x14ac:dyDescent="0.25">
      <c r="A929" s="856" t="s">
        <v>1105</v>
      </c>
      <c r="B929" s="856" t="s">
        <v>4822</v>
      </c>
      <c r="C929" s="836">
        <v>41</v>
      </c>
      <c r="D929" s="836"/>
      <c r="E929" s="836"/>
      <c r="F929" s="836"/>
      <c r="G929" s="496" t="s">
        <v>7811</v>
      </c>
      <c r="H929" s="797" t="str">
        <f>VLOOKUP(G929,SETTINGS!$B$7:$D$97,2,0)</f>
        <v>House Connection Bracket</v>
      </c>
      <c r="I929" s="796">
        <f>VLOOKUP(G929,SETTINGS!$B$7:$D$97,3,0)</f>
        <v>0</v>
      </c>
      <c r="J929" s="670" t="str">
        <f>IFERROR(IF(CURRENCY.FORMAT_1=0,CONCATENATE(TEXT(FIXED(ROUND((C929/EXC.RATE_1),CURRENCY.FORMAT_1),CURRENCY.FORMAT_1,1),"# ##0;-# ##0"),",-"),FIXED(ROUND((C929/EXC.RATE_1),CURRENCY.FORMAT_1),CURRENCY.FORMAT_1,0)),'DICTIONARY-5'!$A$2)</f>
        <v>41,-</v>
      </c>
      <c r="K929" s="670" t="str">
        <f>IF(EXC.RATE_2=0,"",IFERROR(IF(CURRENCY.FORMAT_2=0,CONCATENATE(TEXT(FIXED(ROUND(IF(EXC.RATE.SWITCH=1,C929/EXC.RATE_2,C929*EXC.RATE_2),CURRENCY.FORMAT_2),CURRENCY.FORMAT_2,1),"# ##0;-# ##0"),",-"),FIXED(ROUND(IF(EXC.RATE.SWITCH=1,C929/EXC.RATE_2,C929*EXC.RATE_2),CURRENCY.FORMAT_2),CURRENCY.FORMAT_2,0)),'DICTIONARY-5'!$A$2))</f>
        <v/>
      </c>
      <c r="L929" s="670" t="str">
        <f>IFERROR(IF(CURRENCY.FORMAT_1=0,CONCATENATE(TEXT(FIXED(ROUND((C929*(1-I929)*(1-ADD.DISCOUNT)*(1+MAT.SURCHARGE)/EXC.RATE_1),CURRENCY.FORMAT_1),CURRENCY.FORMAT_1,1),"# ##0;-# ##0"),",-"),FIXED(ROUND((C929*(1-I929)*(1-ADD.DISCOUNT)*(1+MAT.SURCHARGE)/EXC.RATE_1),CURRENCY.FORMAT_1),CURRENCY.FORMAT_1,0)),'DICTIONARY-5'!$A$2)</f>
        <v>43,-</v>
      </c>
      <c r="M929" s="670" t="str">
        <f>IF(EXC.RATE_2=0,"",IFERROR(IF(CURRENCY.FORMAT_2=0,CONCATENATE(TEXT(FIXED(ROUND(IF(EXC.RATE.SWITCH=1,C929*(1-I929)*(1-ADD.DISCOUNT)*(1+MAT.SURCHARGE)/EXC.RATE_2,C929*(1-I929)*(1-ADD.DISCOUNT)*(1+MAT.SURCHARGE)*EXC.RATE_2),CURRENCY.FORMAT_2),CURRENCY.FORMAT_2,1),"# ##0;-# ##0"),",-"),FIXED(ROUND(IF(EXC.RATE.SWITCH=1,C929*(1-I929)*(1-ADD.DISCOUNT)*(1+MAT.SURCHARGE)/EXC.RATE_2,C929*(1-I929)*(1-ADD.DISCOUNT)*(1+MAT.SURCHARGE)*EXC.RATE_2),CURRENCY.FORMAT_2),CURRENCY.FORMAT_2,0)),'DICTIONARY-5'!$A$2))</f>
        <v/>
      </c>
      <c r="N929" s="542">
        <v>4</v>
      </c>
      <c r="O929" s="542"/>
      <c r="P929" s="732" t="str">
        <f>'DICTIONARY-3'!$A$88</f>
        <v>Obejma</v>
      </c>
      <c r="Q929" s="732" t="str">
        <f>'DICTIONARY-3'!$A$197</f>
        <v>Obejma</v>
      </c>
      <c r="R929" s="732" t="str">
        <f>CONCATENATE('DICTIONARY-3'!$A$197," ",'DICTIONARY-2'!$A$2,"400"," ",'DICTIONARY-2'!$A$5,"402-412")</f>
        <v>Obejma DN400 Da402-412</v>
      </c>
      <c r="S929" s="733" t="s">
        <v>5569</v>
      </c>
      <c r="T929" s="732" t="s">
        <v>5569</v>
      </c>
      <c r="U929" s="734" t="s">
        <v>5754</v>
      </c>
      <c r="V929" s="735"/>
      <c r="W929" s="736" t="s">
        <v>5798</v>
      </c>
      <c r="X929" s="737"/>
      <c r="Y929" s="738"/>
      <c r="Z929" s="739"/>
      <c r="AA929" s="739"/>
      <c r="AB929" s="740"/>
      <c r="AC929" s="741"/>
      <c r="AD929" s="741" t="s">
        <v>5569</v>
      </c>
      <c r="AE929" s="742" t="s">
        <v>5569</v>
      </c>
      <c r="AF929" s="743">
        <v>2.39</v>
      </c>
      <c r="AG929" s="741" t="s">
        <v>5569</v>
      </c>
    </row>
    <row r="930" spans="1:33" x14ac:dyDescent="0.25">
      <c r="A930" s="856" t="s">
        <v>1107</v>
      </c>
      <c r="B930" s="856" t="s">
        <v>4823</v>
      </c>
      <c r="C930" s="836">
        <v>42</v>
      </c>
      <c r="D930" s="836"/>
      <c r="E930" s="836"/>
      <c r="F930" s="836"/>
      <c r="G930" s="496" t="s">
        <v>7811</v>
      </c>
      <c r="H930" s="797" t="str">
        <f>VLOOKUP(G930,SETTINGS!$B$7:$D$97,2,0)</f>
        <v>House Connection Bracket</v>
      </c>
      <c r="I930" s="796">
        <f>VLOOKUP(G930,SETTINGS!$B$7:$D$97,3,0)</f>
        <v>0</v>
      </c>
      <c r="J930" s="670" t="str">
        <f>IFERROR(IF(CURRENCY.FORMAT_1=0,CONCATENATE(TEXT(FIXED(ROUND((C930/EXC.RATE_1),CURRENCY.FORMAT_1),CURRENCY.FORMAT_1,1),"# ##0;-# ##0"),",-"),FIXED(ROUND((C930/EXC.RATE_1),CURRENCY.FORMAT_1),CURRENCY.FORMAT_1,0)),'DICTIONARY-5'!$A$2)</f>
        <v>42,-</v>
      </c>
      <c r="K930" s="670" t="str">
        <f>IF(EXC.RATE_2=0,"",IFERROR(IF(CURRENCY.FORMAT_2=0,CONCATENATE(TEXT(FIXED(ROUND(IF(EXC.RATE.SWITCH=1,C930/EXC.RATE_2,C930*EXC.RATE_2),CURRENCY.FORMAT_2),CURRENCY.FORMAT_2,1),"# ##0;-# ##0"),",-"),FIXED(ROUND(IF(EXC.RATE.SWITCH=1,C930/EXC.RATE_2,C930*EXC.RATE_2),CURRENCY.FORMAT_2),CURRENCY.FORMAT_2,0)),'DICTIONARY-5'!$A$2))</f>
        <v/>
      </c>
      <c r="L930" s="670" t="str">
        <f>IFERROR(IF(CURRENCY.FORMAT_1=0,CONCATENATE(TEXT(FIXED(ROUND((C930*(1-I930)*(1-ADD.DISCOUNT)*(1+MAT.SURCHARGE)/EXC.RATE_1),CURRENCY.FORMAT_1),CURRENCY.FORMAT_1,1),"# ##0;-# ##0"),",-"),FIXED(ROUND((C930*(1-I930)*(1-ADD.DISCOUNT)*(1+MAT.SURCHARGE)/EXC.RATE_1),CURRENCY.FORMAT_1),CURRENCY.FORMAT_1,0)),'DICTIONARY-5'!$A$2)</f>
        <v>44,-</v>
      </c>
      <c r="M930" s="670" t="str">
        <f>IF(EXC.RATE_2=0,"",IFERROR(IF(CURRENCY.FORMAT_2=0,CONCATENATE(TEXT(FIXED(ROUND(IF(EXC.RATE.SWITCH=1,C930*(1-I930)*(1-ADD.DISCOUNT)*(1+MAT.SURCHARGE)/EXC.RATE_2,C930*(1-I930)*(1-ADD.DISCOUNT)*(1+MAT.SURCHARGE)*EXC.RATE_2),CURRENCY.FORMAT_2),CURRENCY.FORMAT_2,1),"# ##0;-# ##0"),",-"),FIXED(ROUND(IF(EXC.RATE.SWITCH=1,C930*(1-I930)*(1-ADD.DISCOUNT)*(1+MAT.SURCHARGE)/EXC.RATE_2,C930*(1-I930)*(1-ADD.DISCOUNT)*(1+MAT.SURCHARGE)*EXC.RATE_2),CURRENCY.FORMAT_2),CURRENCY.FORMAT_2,0)),'DICTIONARY-5'!$A$2))</f>
        <v/>
      </c>
      <c r="N930" s="542">
        <v>4</v>
      </c>
      <c r="O930" s="542"/>
      <c r="P930" s="732" t="str">
        <f>'DICTIONARY-3'!$A$88</f>
        <v>Obejma</v>
      </c>
      <c r="Q930" s="732" t="str">
        <f>'DICTIONARY-3'!$A$197</f>
        <v>Obejma</v>
      </c>
      <c r="R930" s="732" t="str">
        <f>CONCATENATE('DICTIONARY-3'!$A$197," ",'DICTIONARY-2'!$A$2,"400"," ",'DICTIONARY-2'!$A$5,"406-416")</f>
        <v>Obejma DN400 Da406-416</v>
      </c>
      <c r="S930" s="733" t="s">
        <v>5569</v>
      </c>
      <c r="T930" s="732" t="s">
        <v>5569</v>
      </c>
      <c r="U930" s="734" t="s">
        <v>5754</v>
      </c>
      <c r="V930" s="735"/>
      <c r="W930" s="736" t="s">
        <v>5799</v>
      </c>
      <c r="X930" s="737"/>
      <c r="Y930" s="738"/>
      <c r="Z930" s="739"/>
      <c r="AA930" s="739"/>
      <c r="AB930" s="740"/>
      <c r="AC930" s="741"/>
      <c r="AD930" s="741" t="s">
        <v>5569</v>
      </c>
      <c r="AE930" s="742" t="s">
        <v>5569</v>
      </c>
      <c r="AF930" s="743">
        <v>2.41</v>
      </c>
      <c r="AG930" s="741" t="s">
        <v>5569</v>
      </c>
    </row>
    <row r="931" spans="1:33" x14ac:dyDescent="0.25">
      <c r="A931" s="856" t="s">
        <v>1109</v>
      </c>
      <c r="B931" s="856" t="s">
        <v>4824</v>
      </c>
      <c r="C931" s="836">
        <v>43</v>
      </c>
      <c r="D931" s="836"/>
      <c r="E931" s="836"/>
      <c r="F931" s="836"/>
      <c r="G931" s="496" t="s">
        <v>7811</v>
      </c>
      <c r="H931" s="797" t="str">
        <f>VLOOKUP(G931,SETTINGS!$B$7:$D$97,2,0)</f>
        <v>House Connection Bracket</v>
      </c>
      <c r="I931" s="796">
        <f>VLOOKUP(G931,SETTINGS!$B$7:$D$97,3,0)</f>
        <v>0</v>
      </c>
      <c r="J931" s="670" t="str">
        <f>IFERROR(IF(CURRENCY.FORMAT_1=0,CONCATENATE(TEXT(FIXED(ROUND((C931/EXC.RATE_1),CURRENCY.FORMAT_1),CURRENCY.FORMAT_1,1),"# ##0;-# ##0"),",-"),FIXED(ROUND((C931/EXC.RATE_1),CURRENCY.FORMAT_1),CURRENCY.FORMAT_1,0)),'DICTIONARY-5'!$A$2)</f>
        <v>43,-</v>
      </c>
      <c r="K931" s="670" t="str">
        <f>IF(EXC.RATE_2=0,"",IFERROR(IF(CURRENCY.FORMAT_2=0,CONCATENATE(TEXT(FIXED(ROUND(IF(EXC.RATE.SWITCH=1,C931/EXC.RATE_2,C931*EXC.RATE_2),CURRENCY.FORMAT_2),CURRENCY.FORMAT_2,1),"# ##0;-# ##0"),",-"),FIXED(ROUND(IF(EXC.RATE.SWITCH=1,C931/EXC.RATE_2,C931*EXC.RATE_2),CURRENCY.FORMAT_2),CURRENCY.FORMAT_2,0)),'DICTIONARY-5'!$A$2))</f>
        <v/>
      </c>
      <c r="L931" s="670" t="str">
        <f>IFERROR(IF(CURRENCY.FORMAT_1=0,CONCATENATE(TEXT(FIXED(ROUND((C931*(1-I931)*(1-ADD.DISCOUNT)*(1+MAT.SURCHARGE)/EXC.RATE_1),CURRENCY.FORMAT_1),CURRENCY.FORMAT_1,1),"# ##0;-# ##0"),",-"),FIXED(ROUND((C931*(1-I931)*(1-ADD.DISCOUNT)*(1+MAT.SURCHARGE)/EXC.RATE_1),CURRENCY.FORMAT_1),CURRENCY.FORMAT_1,0)),'DICTIONARY-5'!$A$2)</f>
        <v>45,-</v>
      </c>
      <c r="M931" s="670" t="str">
        <f>IF(EXC.RATE_2=0,"",IFERROR(IF(CURRENCY.FORMAT_2=0,CONCATENATE(TEXT(FIXED(ROUND(IF(EXC.RATE.SWITCH=1,C931*(1-I931)*(1-ADD.DISCOUNT)*(1+MAT.SURCHARGE)/EXC.RATE_2,C931*(1-I931)*(1-ADD.DISCOUNT)*(1+MAT.SURCHARGE)*EXC.RATE_2),CURRENCY.FORMAT_2),CURRENCY.FORMAT_2,1),"# ##0;-# ##0"),",-"),FIXED(ROUND(IF(EXC.RATE.SWITCH=1,C931*(1-I931)*(1-ADD.DISCOUNT)*(1+MAT.SURCHARGE)/EXC.RATE_2,C931*(1-I931)*(1-ADD.DISCOUNT)*(1+MAT.SURCHARGE)*EXC.RATE_2),CURRENCY.FORMAT_2),CURRENCY.FORMAT_2,0)),'DICTIONARY-5'!$A$2))</f>
        <v/>
      </c>
      <c r="N931" s="542">
        <v>4</v>
      </c>
      <c r="O931" s="542"/>
      <c r="P931" s="732" t="str">
        <f>'DICTIONARY-3'!$A$88</f>
        <v>Obejma</v>
      </c>
      <c r="Q931" s="732" t="str">
        <f>'DICTIONARY-3'!$A$197</f>
        <v>Obejma</v>
      </c>
      <c r="R931" s="732" t="str">
        <f>CONCATENATE('DICTIONARY-3'!$A$197," ",'DICTIONARY-2'!$A$2,"500"," ",'DICTIONARY-2'!$A$5,"528-533")</f>
        <v>Obejma DN500 Da528-533</v>
      </c>
      <c r="S931" s="733" t="s">
        <v>5569</v>
      </c>
      <c r="T931" s="732" t="s">
        <v>5569</v>
      </c>
      <c r="U931" s="734" t="s">
        <v>5756</v>
      </c>
      <c r="V931" s="735"/>
      <c r="W931" s="736" t="s">
        <v>5800</v>
      </c>
      <c r="X931" s="737"/>
      <c r="Y931" s="738"/>
      <c r="Z931" s="739"/>
      <c r="AA931" s="739"/>
      <c r="AB931" s="740"/>
      <c r="AC931" s="741"/>
      <c r="AD931" s="741" t="s">
        <v>5569</v>
      </c>
      <c r="AE931" s="742" t="s">
        <v>5569</v>
      </c>
      <c r="AF931" s="743">
        <v>2</v>
      </c>
      <c r="AG931" s="741" t="s">
        <v>5569</v>
      </c>
    </row>
    <row r="932" spans="1:33" x14ac:dyDescent="0.25">
      <c r="A932" s="856" t="s">
        <v>859</v>
      </c>
      <c r="B932" s="856" t="s">
        <v>3979</v>
      </c>
      <c r="C932" s="836">
        <v>34</v>
      </c>
      <c r="D932" s="836"/>
      <c r="E932" s="836"/>
      <c r="F932" s="836"/>
      <c r="G932" s="496" t="s">
        <v>7812</v>
      </c>
      <c r="H932" s="797" t="str">
        <f>VLOOKUP(G932,SETTINGS!$B$7:$D$97,2,0)</f>
        <v>HOD</v>
      </c>
      <c r="I932" s="796">
        <f>VLOOKUP(G932,SETTINGS!$B$7:$D$97,3,0)</f>
        <v>0</v>
      </c>
      <c r="J932" s="670" t="str">
        <f>IFERROR(IF(CURRENCY.FORMAT_1=0,CONCATENATE(TEXT(FIXED(ROUND((C932/EXC.RATE_1),CURRENCY.FORMAT_1),CURRENCY.FORMAT_1,1),"# ##0;-# ##0"),",-"),FIXED(ROUND((C932/EXC.RATE_1),CURRENCY.FORMAT_1),CURRENCY.FORMAT_1,0)),'DICTIONARY-5'!$A$2)</f>
        <v>34,-</v>
      </c>
      <c r="K932" s="670" t="str">
        <f>IF(EXC.RATE_2=0,"",IFERROR(IF(CURRENCY.FORMAT_2=0,CONCATENATE(TEXT(FIXED(ROUND(IF(EXC.RATE.SWITCH=1,C932/EXC.RATE_2,C932*EXC.RATE_2),CURRENCY.FORMAT_2),CURRENCY.FORMAT_2,1),"# ##0;-# ##0"),",-"),FIXED(ROUND(IF(EXC.RATE.SWITCH=1,C932/EXC.RATE_2,C932*EXC.RATE_2),CURRENCY.FORMAT_2),CURRENCY.FORMAT_2,0)),'DICTIONARY-5'!$A$2))</f>
        <v/>
      </c>
      <c r="L932" s="670" t="str">
        <f>IFERROR(IF(CURRENCY.FORMAT_1=0,CONCATENATE(TEXT(FIXED(ROUND((C932*(1-I932)*(1-ADD.DISCOUNT)*(1+MAT.SURCHARGE)/EXC.RATE_1),CURRENCY.FORMAT_1),CURRENCY.FORMAT_1,1),"# ##0;-# ##0"),",-"),FIXED(ROUND((C932*(1-I932)*(1-ADD.DISCOUNT)*(1+MAT.SURCHARGE)/EXC.RATE_1),CURRENCY.FORMAT_1),CURRENCY.FORMAT_1,0)),'DICTIONARY-5'!$A$2)</f>
        <v>35,-</v>
      </c>
      <c r="M932" s="670" t="str">
        <f>IF(EXC.RATE_2=0,"",IFERROR(IF(CURRENCY.FORMAT_2=0,CONCATENATE(TEXT(FIXED(ROUND(IF(EXC.RATE.SWITCH=1,C932*(1-I932)*(1-ADD.DISCOUNT)*(1+MAT.SURCHARGE)/EXC.RATE_2,C932*(1-I932)*(1-ADD.DISCOUNT)*(1+MAT.SURCHARGE)*EXC.RATE_2),CURRENCY.FORMAT_2),CURRENCY.FORMAT_2,1),"# ##0;-# ##0"),",-"),FIXED(ROUND(IF(EXC.RATE.SWITCH=1,C932*(1-I932)*(1-ADD.DISCOUNT)*(1+MAT.SURCHARGE)/EXC.RATE_2,C932*(1-I932)*(1-ADD.DISCOUNT)*(1+MAT.SURCHARGE)*EXC.RATE_2),CURRENCY.FORMAT_2),CURRENCY.FORMAT_2,0)),'DICTIONARY-5'!$A$2))</f>
        <v/>
      </c>
      <c r="N932" s="542">
        <v>4</v>
      </c>
      <c r="O932" s="542"/>
      <c r="P932" s="731" t="str">
        <f>'DICTIONARY-3'!$A$56</f>
        <v>HOD-M</v>
      </c>
      <c r="Q932" s="732" t="str">
        <f>'DICTIONARY-3'!$A$196</f>
        <v>Mostek nawiertowy</v>
      </c>
      <c r="R932" s="732" t="str">
        <f>CONCATENATE('DICTIONARY-3'!$A$55,'DICTIONARY-3'!$A$67," ",'DICTIONARY-6'!$A$21," ",'DICTIONARY-2'!$A$2,"50-65 G1"," ",'DICTIONARY-6'!$A$59,", ",'DICTIONARY-6'!$A$76," ",UPPER('DICTIONARY-5'!$A$40),"+",'DICTIONARY-5'!$A$49)</f>
        <v>HOD-M509 Mostek nawiert. DN50-65 G1 bez zaw., ruroc. STAL+ŻEL.</v>
      </c>
      <c r="S932" s="733" t="str">
        <f>'DICTIONARY-4'!$A$2</f>
        <v>WW</v>
      </c>
      <c r="T932" s="732"/>
      <c r="U932" s="734" t="s">
        <v>5763</v>
      </c>
      <c r="V932" s="735"/>
      <c r="W932" s="736"/>
      <c r="X932" s="750" t="s">
        <v>49</v>
      </c>
      <c r="Y932" s="738"/>
      <c r="Z932" s="739"/>
      <c r="AA932" s="739"/>
      <c r="AB932" s="740">
        <v>16</v>
      </c>
      <c r="AC932" s="741"/>
      <c r="AD932" s="741" t="str">
        <f>'DICTIONARY-5'!$A$13</f>
        <v>woda pitna</v>
      </c>
      <c r="AE932" s="742">
        <v>50</v>
      </c>
      <c r="AF932" s="743">
        <v>2</v>
      </c>
      <c r="AG932" s="741" t="str">
        <f>'DICTIONARY-5'!$A$23</f>
        <v>powłoka epoksydowa</v>
      </c>
    </row>
    <row r="933" spans="1:33" x14ac:dyDescent="0.25">
      <c r="A933" s="856" t="s">
        <v>861</v>
      </c>
      <c r="B933" s="856" t="s">
        <v>3980</v>
      </c>
      <c r="C933" s="836">
        <v>35</v>
      </c>
      <c r="D933" s="836"/>
      <c r="E933" s="836"/>
      <c r="F933" s="836"/>
      <c r="G933" s="496" t="s">
        <v>7812</v>
      </c>
      <c r="H933" s="797" t="str">
        <f>VLOOKUP(G933,SETTINGS!$B$7:$D$97,2,0)</f>
        <v>HOD</v>
      </c>
      <c r="I933" s="796">
        <f>VLOOKUP(G933,SETTINGS!$B$7:$D$97,3,0)</f>
        <v>0</v>
      </c>
      <c r="J933" s="670" t="str">
        <f>IFERROR(IF(CURRENCY.FORMAT_1=0,CONCATENATE(TEXT(FIXED(ROUND((C933/EXC.RATE_1),CURRENCY.FORMAT_1),CURRENCY.FORMAT_1,1),"# ##0;-# ##0"),",-"),FIXED(ROUND((C933/EXC.RATE_1),CURRENCY.FORMAT_1),CURRENCY.FORMAT_1,0)),'DICTIONARY-5'!$A$2)</f>
        <v>35,-</v>
      </c>
      <c r="K933" s="670" t="str">
        <f>IF(EXC.RATE_2=0,"",IFERROR(IF(CURRENCY.FORMAT_2=0,CONCATENATE(TEXT(FIXED(ROUND(IF(EXC.RATE.SWITCH=1,C933/EXC.RATE_2,C933*EXC.RATE_2),CURRENCY.FORMAT_2),CURRENCY.FORMAT_2,1),"# ##0;-# ##0"),",-"),FIXED(ROUND(IF(EXC.RATE.SWITCH=1,C933/EXC.RATE_2,C933*EXC.RATE_2),CURRENCY.FORMAT_2),CURRENCY.FORMAT_2,0)),'DICTIONARY-5'!$A$2))</f>
        <v/>
      </c>
      <c r="L933" s="670" t="str">
        <f>IFERROR(IF(CURRENCY.FORMAT_1=0,CONCATENATE(TEXT(FIXED(ROUND((C933*(1-I933)*(1-ADD.DISCOUNT)*(1+MAT.SURCHARGE)/EXC.RATE_1),CURRENCY.FORMAT_1),CURRENCY.FORMAT_1,1),"# ##0;-# ##0"),",-"),FIXED(ROUND((C933*(1-I933)*(1-ADD.DISCOUNT)*(1+MAT.SURCHARGE)/EXC.RATE_1),CURRENCY.FORMAT_1),CURRENCY.FORMAT_1,0)),'DICTIONARY-5'!$A$2)</f>
        <v>36,-</v>
      </c>
      <c r="M933" s="670" t="str">
        <f>IF(EXC.RATE_2=0,"",IFERROR(IF(CURRENCY.FORMAT_2=0,CONCATENATE(TEXT(FIXED(ROUND(IF(EXC.RATE.SWITCH=1,C933*(1-I933)*(1-ADD.DISCOUNT)*(1+MAT.SURCHARGE)/EXC.RATE_2,C933*(1-I933)*(1-ADD.DISCOUNT)*(1+MAT.SURCHARGE)*EXC.RATE_2),CURRENCY.FORMAT_2),CURRENCY.FORMAT_2,1),"# ##0;-# ##0"),",-"),FIXED(ROUND(IF(EXC.RATE.SWITCH=1,C933*(1-I933)*(1-ADD.DISCOUNT)*(1+MAT.SURCHARGE)/EXC.RATE_2,C933*(1-I933)*(1-ADD.DISCOUNT)*(1+MAT.SURCHARGE)*EXC.RATE_2),CURRENCY.FORMAT_2),CURRENCY.FORMAT_2,0)),'DICTIONARY-5'!$A$2))</f>
        <v/>
      </c>
      <c r="N933" s="542">
        <v>4</v>
      </c>
      <c r="O933" s="542"/>
      <c r="P933" s="731" t="str">
        <f>'DICTIONARY-3'!$A$56</f>
        <v>HOD-M</v>
      </c>
      <c r="Q933" s="732" t="str">
        <f>'DICTIONARY-3'!$A$196</f>
        <v>Mostek nawiertowy</v>
      </c>
      <c r="R933" s="732" t="str">
        <f>CONCATENATE('DICTIONARY-3'!$A$55,'DICTIONARY-3'!$A$67," ",'DICTIONARY-6'!$A$21," ",'DICTIONARY-2'!$A$2,"50-65 G1¼"," ",'DICTIONARY-6'!$A$59,", ",'DICTIONARY-6'!$A$76," ",UPPER('DICTIONARY-5'!$A$40),"+",'DICTIONARY-5'!$A$49)</f>
        <v>HOD-M509 Mostek nawiert. DN50-65 G1¼ bez zaw., ruroc. STAL+ŻEL.</v>
      </c>
      <c r="S933" s="733" t="str">
        <f>'DICTIONARY-4'!$A$2</f>
        <v>WW</v>
      </c>
      <c r="T933" s="732"/>
      <c r="U933" s="734" t="s">
        <v>5763</v>
      </c>
      <c r="V933" s="735"/>
      <c r="W933" s="736"/>
      <c r="X933" s="737" t="s">
        <v>5740</v>
      </c>
      <c r="Y933" s="738"/>
      <c r="Z933" s="739"/>
      <c r="AA933" s="739"/>
      <c r="AB933" s="740">
        <v>16</v>
      </c>
      <c r="AC933" s="741"/>
      <c r="AD933" s="741" t="str">
        <f>'DICTIONARY-5'!$A$13</f>
        <v>woda pitna</v>
      </c>
      <c r="AE933" s="742">
        <v>50</v>
      </c>
      <c r="AF933" s="743">
        <v>2</v>
      </c>
      <c r="AG933" s="741" t="str">
        <f>'DICTIONARY-5'!$A$23</f>
        <v>powłoka epoksydowa</v>
      </c>
    </row>
    <row r="934" spans="1:33" x14ac:dyDescent="0.25">
      <c r="A934" s="856" t="s">
        <v>863</v>
      </c>
      <c r="B934" s="856" t="s">
        <v>3981</v>
      </c>
      <c r="C934" s="836">
        <v>47</v>
      </c>
      <c r="D934" s="836"/>
      <c r="E934" s="836"/>
      <c r="F934" s="836"/>
      <c r="G934" s="496" t="s">
        <v>7812</v>
      </c>
      <c r="H934" s="797" t="str">
        <f>VLOOKUP(G934,SETTINGS!$B$7:$D$97,2,0)</f>
        <v>HOD</v>
      </c>
      <c r="I934" s="796">
        <f>VLOOKUP(G934,SETTINGS!$B$7:$D$97,3,0)</f>
        <v>0</v>
      </c>
      <c r="J934" s="670" t="str">
        <f>IFERROR(IF(CURRENCY.FORMAT_1=0,CONCATENATE(TEXT(FIXED(ROUND((C934/EXC.RATE_1),CURRENCY.FORMAT_1),CURRENCY.FORMAT_1,1),"# ##0;-# ##0"),",-"),FIXED(ROUND((C934/EXC.RATE_1),CURRENCY.FORMAT_1),CURRENCY.FORMAT_1,0)),'DICTIONARY-5'!$A$2)</f>
        <v>47,-</v>
      </c>
      <c r="K934" s="670" t="str">
        <f>IF(EXC.RATE_2=0,"",IFERROR(IF(CURRENCY.FORMAT_2=0,CONCATENATE(TEXT(FIXED(ROUND(IF(EXC.RATE.SWITCH=1,C934/EXC.RATE_2,C934*EXC.RATE_2),CURRENCY.FORMAT_2),CURRENCY.FORMAT_2,1),"# ##0;-# ##0"),",-"),FIXED(ROUND(IF(EXC.RATE.SWITCH=1,C934/EXC.RATE_2,C934*EXC.RATE_2),CURRENCY.FORMAT_2),CURRENCY.FORMAT_2,0)),'DICTIONARY-5'!$A$2))</f>
        <v/>
      </c>
      <c r="L934" s="670" t="str">
        <f>IFERROR(IF(CURRENCY.FORMAT_1=0,CONCATENATE(TEXT(FIXED(ROUND((C934*(1-I934)*(1-ADD.DISCOUNT)*(1+MAT.SURCHARGE)/EXC.RATE_1),CURRENCY.FORMAT_1),CURRENCY.FORMAT_1,1),"# ##0;-# ##0"),",-"),FIXED(ROUND((C934*(1-I934)*(1-ADD.DISCOUNT)*(1+MAT.SURCHARGE)/EXC.RATE_1),CURRENCY.FORMAT_1),CURRENCY.FORMAT_1,0)),'DICTIONARY-5'!$A$2)</f>
        <v>49,-</v>
      </c>
      <c r="M934" s="670" t="str">
        <f>IF(EXC.RATE_2=0,"",IFERROR(IF(CURRENCY.FORMAT_2=0,CONCATENATE(TEXT(FIXED(ROUND(IF(EXC.RATE.SWITCH=1,C934*(1-I934)*(1-ADD.DISCOUNT)*(1+MAT.SURCHARGE)/EXC.RATE_2,C934*(1-I934)*(1-ADD.DISCOUNT)*(1+MAT.SURCHARGE)*EXC.RATE_2),CURRENCY.FORMAT_2),CURRENCY.FORMAT_2,1),"# ##0;-# ##0"),",-"),FIXED(ROUND(IF(EXC.RATE.SWITCH=1,C934*(1-I934)*(1-ADD.DISCOUNT)*(1+MAT.SURCHARGE)/EXC.RATE_2,C934*(1-I934)*(1-ADD.DISCOUNT)*(1+MAT.SURCHARGE)*EXC.RATE_2),CURRENCY.FORMAT_2),CURRENCY.FORMAT_2,0)),'DICTIONARY-5'!$A$2))</f>
        <v/>
      </c>
      <c r="N934" s="542">
        <v>4</v>
      </c>
      <c r="O934" s="542"/>
      <c r="P934" s="731" t="str">
        <f>'DICTIONARY-3'!$A$56</f>
        <v>HOD-M</v>
      </c>
      <c r="Q934" s="732" t="str">
        <f>'DICTIONARY-3'!$A$196</f>
        <v>Mostek nawiertowy</v>
      </c>
      <c r="R934" s="732" t="str">
        <f>CONCATENATE('DICTIONARY-3'!$A$55,'DICTIONARY-3'!$A$67," ",'DICTIONARY-6'!$A$21," ",'DICTIONARY-2'!$A$2,"80-500 G1"," ",'DICTIONARY-6'!$A$59,", ",'DICTIONARY-6'!$A$76," ",UPPER('DICTIONARY-5'!$A$40),"+",'DICTIONARY-5'!$A$49)</f>
        <v>HOD-M509 Mostek nawiert. DN80-500 G1 bez zaw., ruroc. STAL+ŻEL.</v>
      </c>
      <c r="S934" s="733" t="str">
        <f>'DICTIONARY-4'!$A$2</f>
        <v>WW</v>
      </c>
      <c r="T934" s="732"/>
      <c r="U934" s="734" t="s">
        <v>5762</v>
      </c>
      <c r="V934" s="735"/>
      <c r="W934" s="736"/>
      <c r="X934" s="750" t="s">
        <v>49</v>
      </c>
      <c r="Y934" s="738"/>
      <c r="Z934" s="739"/>
      <c r="AA934" s="739"/>
      <c r="AB934" s="740">
        <v>16</v>
      </c>
      <c r="AC934" s="741"/>
      <c r="AD934" s="741" t="str">
        <f>'DICTIONARY-5'!$A$13</f>
        <v>woda pitna</v>
      </c>
      <c r="AE934" s="742">
        <v>50</v>
      </c>
      <c r="AF934" s="743">
        <v>3</v>
      </c>
      <c r="AG934" s="741" t="str">
        <f>'DICTIONARY-5'!$A$23</f>
        <v>powłoka epoksydowa</v>
      </c>
    </row>
    <row r="935" spans="1:33" x14ac:dyDescent="0.25">
      <c r="A935" s="856" t="s">
        <v>865</v>
      </c>
      <c r="B935" s="856" t="s">
        <v>3982</v>
      </c>
      <c r="C935" s="836">
        <v>48</v>
      </c>
      <c r="D935" s="836"/>
      <c r="E935" s="836"/>
      <c r="F935" s="836"/>
      <c r="G935" s="496" t="s">
        <v>7812</v>
      </c>
      <c r="H935" s="797" t="str">
        <f>VLOOKUP(G935,SETTINGS!$B$7:$D$97,2,0)</f>
        <v>HOD</v>
      </c>
      <c r="I935" s="796">
        <f>VLOOKUP(G935,SETTINGS!$B$7:$D$97,3,0)</f>
        <v>0</v>
      </c>
      <c r="J935" s="670" t="str">
        <f>IFERROR(IF(CURRENCY.FORMAT_1=0,CONCATENATE(TEXT(FIXED(ROUND((C935/EXC.RATE_1),CURRENCY.FORMAT_1),CURRENCY.FORMAT_1,1),"# ##0;-# ##0"),",-"),FIXED(ROUND((C935/EXC.RATE_1),CURRENCY.FORMAT_1),CURRENCY.FORMAT_1,0)),'DICTIONARY-5'!$A$2)</f>
        <v>48,-</v>
      </c>
      <c r="K935" s="670" t="str">
        <f>IF(EXC.RATE_2=0,"",IFERROR(IF(CURRENCY.FORMAT_2=0,CONCATENATE(TEXT(FIXED(ROUND(IF(EXC.RATE.SWITCH=1,C935/EXC.RATE_2,C935*EXC.RATE_2),CURRENCY.FORMAT_2),CURRENCY.FORMAT_2,1),"# ##0;-# ##0"),",-"),FIXED(ROUND(IF(EXC.RATE.SWITCH=1,C935/EXC.RATE_2,C935*EXC.RATE_2),CURRENCY.FORMAT_2),CURRENCY.FORMAT_2,0)),'DICTIONARY-5'!$A$2))</f>
        <v/>
      </c>
      <c r="L935" s="670" t="str">
        <f>IFERROR(IF(CURRENCY.FORMAT_1=0,CONCATENATE(TEXT(FIXED(ROUND((C935*(1-I935)*(1-ADD.DISCOUNT)*(1+MAT.SURCHARGE)/EXC.RATE_1),CURRENCY.FORMAT_1),CURRENCY.FORMAT_1,1),"# ##0;-# ##0"),",-"),FIXED(ROUND((C935*(1-I935)*(1-ADD.DISCOUNT)*(1+MAT.SURCHARGE)/EXC.RATE_1),CURRENCY.FORMAT_1),CURRENCY.FORMAT_1,0)),'DICTIONARY-5'!$A$2)</f>
        <v>50,-</v>
      </c>
      <c r="M935" s="670" t="str">
        <f>IF(EXC.RATE_2=0,"",IFERROR(IF(CURRENCY.FORMAT_2=0,CONCATENATE(TEXT(FIXED(ROUND(IF(EXC.RATE.SWITCH=1,C935*(1-I935)*(1-ADD.DISCOUNT)*(1+MAT.SURCHARGE)/EXC.RATE_2,C935*(1-I935)*(1-ADD.DISCOUNT)*(1+MAT.SURCHARGE)*EXC.RATE_2),CURRENCY.FORMAT_2),CURRENCY.FORMAT_2,1),"# ##0;-# ##0"),",-"),FIXED(ROUND(IF(EXC.RATE.SWITCH=1,C935*(1-I935)*(1-ADD.DISCOUNT)*(1+MAT.SURCHARGE)/EXC.RATE_2,C935*(1-I935)*(1-ADD.DISCOUNT)*(1+MAT.SURCHARGE)*EXC.RATE_2),CURRENCY.FORMAT_2),CURRENCY.FORMAT_2,0)),'DICTIONARY-5'!$A$2))</f>
        <v/>
      </c>
      <c r="N935" s="542">
        <v>4</v>
      </c>
      <c r="O935" s="542"/>
      <c r="P935" s="731" t="str">
        <f>'DICTIONARY-3'!$A$56</f>
        <v>HOD-M</v>
      </c>
      <c r="Q935" s="732" t="str">
        <f>'DICTIONARY-3'!$A$196</f>
        <v>Mostek nawiertowy</v>
      </c>
      <c r="R935" s="732" t="str">
        <f>CONCATENATE('DICTIONARY-3'!$A$55,'DICTIONARY-3'!$A$67," ",'DICTIONARY-6'!$A$21," ",'DICTIONARY-2'!$A$2,"80-500 G 1¼"," ",'DICTIONARY-6'!$A$59,", ",'DICTIONARY-6'!$A$76," ",UPPER('DICTIONARY-5'!$A$40),"+",'DICTIONARY-5'!$A$49)</f>
        <v>HOD-M509 Mostek nawiert. DN80-500 G 1¼ bez zaw., ruroc. STAL+ŻEL.</v>
      </c>
      <c r="S935" s="733" t="str">
        <f>'DICTIONARY-4'!$A$2</f>
        <v>WW</v>
      </c>
      <c r="T935" s="732"/>
      <c r="U935" s="734" t="s">
        <v>5762</v>
      </c>
      <c r="V935" s="735"/>
      <c r="W935" s="736"/>
      <c r="X935" s="737" t="s">
        <v>5770</v>
      </c>
      <c r="Y935" s="738"/>
      <c r="Z935" s="739"/>
      <c r="AA935" s="739"/>
      <c r="AB935" s="740">
        <v>16</v>
      </c>
      <c r="AC935" s="741"/>
      <c r="AD935" s="741" t="str">
        <f>'DICTIONARY-5'!$A$13</f>
        <v>woda pitna</v>
      </c>
      <c r="AE935" s="742">
        <v>50</v>
      </c>
      <c r="AF935" s="743">
        <v>3</v>
      </c>
      <c r="AG935" s="741" t="str">
        <f>'DICTIONARY-5'!$A$23</f>
        <v>powłoka epoksydowa</v>
      </c>
    </row>
    <row r="936" spans="1:33" x14ac:dyDescent="0.25">
      <c r="A936" s="856" t="s">
        <v>867</v>
      </c>
      <c r="B936" s="856" t="s">
        <v>3977</v>
      </c>
      <c r="C936" s="836">
        <v>49</v>
      </c>
      <c r="D936" s="836"/>
      <c r="E936" s="836"/>
      <c r="F936" s="836"/>
      <c r="G936" s="496" t="s">
        <v>7812</v>
      </c>
      <c r="H936" s="797" t="str">
        <f>VLOOKUP(G936,SETTINGS!$B$7:$D$97,2,0)</f>
        <v>HOD</v>
      </c>
      <c r="I936" s="796">
        <f>VLOOKUP(G936,SETTINGS!$B$7:$D$97,3,0)</f>
        <v>0</v>
      </c>
      <c r="J936" s="670" t="str">
        <f>IFERROR(IF(CURRENCY.FORMAT_1=0,CONCATENATE(TEXT(FIXED(ROUND((C936/EXC.RATE_1),CURRENCY.FORMAT_1),CURRENCY.FORMAT_1,1),"# ##0;-# ##0"),",-"),FIXED(ROUND((C936/EXC.RATE_1),CURRENCY.FORMAT_1),CURRENCY.FORMAT_1,0)),'DICTIONARY-5'!$A$2)</f>
        <v>49,-</v>
      </c>
      <c r="K936" s="670" t="str">
        <f>IF(EXC.RATE_2=0,"",IFERROR(IF(CURRENCY.FORMAT_2=0,CONCATENATE(TEXT(FIXED(ROUND(IF(EXC.RATE.SWITCH=1,C936/EXC.RATE_2,C936*EXC.RATE_2),CURRENCY.FORMAT_2),CURRENCY.FORMAT_2,1),"# ##0;-# ##0"),",-"),FIXED(ROUND(IF(EXC.RATE.SWITCH=1,C936/EXC.RATE_2,C936*EXC.RATE_2),CURRENCY.FORMAT_2),CURRENCY.FORMAT_2,0)),'DICTIONARY-5'!$A$2))</f>
        <v/>
      </c>
      <c r="L936" s="670" t="str">
        <f>IFERROR(IF(CURRENCY.FORMAT_1=0,CONCATENATE(TEXT(FIXED(ROUND((C936*(1-I936)*(1-ADD.DISCOUNT)*(1+MAT.SURCHARGE)/EXC.RATE_1),CURRENCY.FORMAT_1),CURRENCY.FORMAT_1,1),"# ##0;-# ##0"),",-"),FIXED(ROUND((C936*(1-I936)*(1-ADD.DISCOUNT)*(1+MAT.SURCHARGE)/EXC.RATE_1),CURRENCY.FORMAT_1),CURRENCY.FORMAT_1,0)),'DICTIONARY-5'!$A$2)</f>
        <v>51,-</v>
      </c>
      <c r="M936" s="670" t="str">
        <f>IF(EXC.RATE_2=0,"",IFERROR(IF(CURRENCY.FORMAT_2=0,CONCATENATE(TEXT(FIXED(ROUND(IF(EXC.RATE.SWITCH=1,C936*(1-I936)*(1-ADD.DISCOUNT)*(1+MAT.SURCHARGE)/EXC.RATE_2,C936*(1-I936)*(1-ADD.DISCOUNT)*(1+MAT.SURCHARGE)*EXC.RATE_2),CURRENCY.FORMAT_2),CURRENCY.FORMAT_2,1),"# ##0;-# ##0"),",-"),FIXED(ROUND(IF(EXC.RATE.SWITCH=1,C936*(1-I936)*(1-ADD.DISCOUNT)*(1+MAT.SURCHARGE)/EXC.RATE_2,C936*(1-I936)*(1-ADD.DISCOUNT)*(1+MAT.SURCHARGE)*EXC.RATE_2),CURRENCY.FORMAT_2),CURRENCY.FORMAT_2,0)),'DICTIONARY-5'!$A$2))</f>
        <v/>
      </c>
      <c r="N936" s="542">
        <v>4</v>
      </c>
      <c r="O936" s="542"/>
      <c r="P936" s="731" t="str">
        <f>'DICTIONARY-3'!$A$56</f>
        <v>HOD-M</v>
      </c>
      <c r="Q936" s="732" t="str">
        <f>'DICTIONARY-3'!$A$196</f>
        <v>Mostek nawiertowy</v>
      </c>
      <c r="R936" s="732" t="str">
        <f>CONCATENATE('DICTIONARY-3'!$A$55,'DICTIONARY-3'!$A$67," ",'DICTIONARY-6'!$A$21," ",'DICTIONARY-2'!$A$2,"80-500 G 1½"," ",'DICTIONARY-6'!$A$59,", ",'DICTIONARY-6'!$A$76," ",UPPER('DICTIONARY-5'!$A$40),"+",'DICTIONARY-5'!$A$49)</f>
        <v>HOD-M509 Mostek nawiert. DN80-500 G 1½ bez zaw., ruroc. STAL+ŻEL.</v>
      </c>
      <c r="S936" s="733" t="str">
        <f>'DICTIONARY-4'!$A$2</f>
        <v>WW</v>
      </c>
      <c r="T936" s="732"/>
      <c r="U936" s="734" t="s">
        <v>5762</v>
      </c>
      <c r="V936" s="735"/>
      <c r="W936" s="736"/>
      <c r="X936" s="737" t="s">
        <v>5771</v>
      </c>
      <c r="Y936" s="738"/>
      <c r="Z936" s="739"/>
      <c r="AA936" s="739"/>
      <c r="AB936" s="740">
        <v>16</v>
      </c>
      <c r="AC936" s="741"/>
      <c r="AD936" s="741" t="str">
        <f>'DICTIONARY-5'!$A$13</f>
        <v>woda pitna</v>
      </c>
      <c r="AE936" s="742">
        <v>50</v>
      </c>
      <c r="AF936" s="743">
        <v>2.75</v>
      </c>
      <c r="AG936" s="741" t="str">
        <f>'DICTIONARY-5'!$A$23</f>
        <v>powłoka epoksydowa</v>
      </c>
    </row>
    <row r="937" spans="1:33" x14ac:dyDescent="0.25">
      <c r="A937" s="856" t="s">
        <v>869</v>
      </c>
      <c r="B937" s="856" t="s">
        <v>3978</v>
      </c>
      <c r="C937" s="836">
        <v>54</v>
      </c>
      <c r="D937" s="836"/>
      <c r="E937" s="836"/>
      <c r="F937" s="836"/>
      <c r="G937" s="496" t="s">
        <v>7812</v>
      </c>
      <c r="H937" s="797" t="str">
        <f>VLOOKUP(G937,SETTINGS!$B$7:$D$97,2,0)</f>
        <v>HOD</v>
      </c>
      <c r="I937" s="796">
        <f>VLOOKUP(G937,SETTINGS!$B$7:$D$97,3,0)</f>
        <v>0</v>
      </c>
      <c r="J937" s="670" t="str">
        <f>IFERROR(IF(CURRENCY.FORMAT_1=0,CONCATENATE(TEXT(FIXED(ROUND((C937/EXC.RATE_1),CURRENCY.FORMAT_1),CURRENCY.FORMAT_1,1),"# ##0;-# ##0"),",-"),FIXED(ROUND((C937/EXC.RATE_1),CURRENCY.FORMAT_1),CURRENCY.FORMAT_1,0)),'DICTIONARY-5'!$A$2)</f>
        <v>54,-</v>
      </c>
      <c r="K937" s="670" t="str">
        <f>IF(EXC.RATE_2=0,"",IFERROR(IF(CURRENCY.FORMAT_2=0,CONCATENATE(TEXT(FIXED(ROUND(IF(EXC.RATE.SWITCH=1,C937/EXC.RATE_2,C937*EXC.RATE_2),CURRENCY.FORMAT_2),CURRENCY.FORMAT_2,1),"# ##0;-# ##0"),",-"),FIXED(ROUND(IF(EXC.RATE.SWITCH=1,C937/EXC.RATE_2,C937*EXC.RATE_2),CURRENCY.FORMAT_2),CURRENCY.FORMAT_2,0)),'DICTIONARY-5'!$A$2))</f>
        <v/>
      </c>
      <c r="L937" s="670" t="str">
        <f>IFERROR(IF(CURRENCY.FORMAT_1=0,CONCATENATE(TEXT(FIXED(ROUND((C937*(1-I937)*(1-ADD.DISCOUNT)*(1+MAT.SURCHARGE)/EXC.RATE_1),CURRENCY.FORMAT_1),CURRENCY.FORMAT_1,1),"# ##0;-# ##0"),",-"),FIXED(ROUND((C937*(1-I937)*(1-ADD.DISCOUNT)*(1+MAT.SURCHARGE)/EXC.RATE_1),CURRENCY.FORMAT_1),CURRENCY.FORMAT_1,0)),'DICTIONARY-5'!$A$2)</f>
        <v>56,-</v>
      </c>
      <c r="M937" s="670" t="str">
        <f>IF(EXC.RATE_2=0,"",IFERROR(IF(CURRENCY.FORMAT_2=0,CONCATENATE(TEXT(FIXED(ROUND(IF(EXC.RATE.SWITCH=1,C937*(1-I937)*(1-ADD.DISCOUNT)*(1+MAT.SURCHARGE)/EXC.RATE_2,C937*(1-I937)*(1-ADD.DISCOUNT)*(1+MAT.SURCHARGE)*EXC.RATE_2),CURRENCY.FORMAT_2),CURRENCY.FORMAT_2,1),"# ##0;-# ##0"),",-"),FIXED(ROUND(IF(EXC.RATE.SWITCH=1,C937*(1-I937)*(1-ADD.DISCOUNT)*(1+MAT.SURCHARGE)/EXC.RATE_2,C937*(1-I937)*(1-ADD.DISCOUNT)*(1+MAT.SURCHARGE)*EXC.RATE_2),CURRENCY.FORMAT_2),CURRENCY.FORMAT_2,0)),'DICTIONARY-5'!$A$2))</f>
        <v/>
      </c>
      <c r="N937" s="542">
        <v>4</v>
      </c>
      <c r="O937" s="542"/>
      <c r="P937" s="731" t="str">
        <f>'DICTIONARY-3'!$A$56</f>
        <v>HOD-M</v>
      </c>
      <c r="Q937" s="732" t="str">
        <f>'DICTIONARY-3'!$A$196</f>
        <v>Mostek nawiertowy</v>
      </c>
      <c r="R937" s="732" t="str">
        <f>CONCATENATE('DICTIONARY-3'!$A$55,'DICTIONARY-3'!$A$67," ",'DICTIONARY-6'!$A$21," ",'DICTIONARY-2'!$A$2,"80-500 G2"," ",'DICTIONARY-6'!$A$59,", ",'DICTIONARY-6'!$A$76," ",UPPER('DICTIONARY-5'!$A$40),"+",'DICTIONARY-5'!$A$49)</f>
        <v>HOD-M509 Mostek nawiert. DN80-500 G2 bez zaw., ruroc. STAL+ŻEL.</v>
      </c>
      <c r="S937" s="733" t="str">
        <f>'DICTIONARY-4'!$A$2</f>
        <v>WW</v>
      </c>
      <c r="T937" s="732"/>
      <c r="U937" s="734" t="s">
        <v>5762</v>
      </c>
      <c r="V937" s="735"/>
      <c r="W937" s="736"/>
      <c r="X937" s="750" t="s">
        <v>50</v>
      </c>
      <c r="Y937" s="738"/>
      <c r="Z937" s="739"/>
      <c r="AA937" s="739"/>
      <c r="AB937" s="740">
        <v>16</v>
      </c>
      <c r="AC937" s="741"/>
      <c r="AD937" s="741" t="str">
        <f>'DICTIONARY-5'!$A$13</f>
        <v>woda pitna</v>
      </c>
      <c r="AE937" s="742">
        <v>50</v>
      </c>
      <c r="AF937" s="743">
        <v>3</v>
      </c>
      <c r="AG937" s="741" t="str">
        <f>'DICTIONARY-5'!$A$23</f>
        <v>powłoka epoksydowa</v>
      </c>
    </row>
    <row r="938" spans="1:33" x14ac:dyDescent="0.25">
      <c r="A938" s="856" t="s">
        <v>870</v>
      </c>
      <c r="B938" s="856" t="s">
        <v>3985</v>
      </c>
      <c r="C938" s="836">
        <v>86</v>
      </c>
      <c r="D938" s="836"/>
      <c r="E938" s="836"/>
      <c r="F938" s="836"/>
      <c r="G938" s="496" t="s">
        <v>7812</v>
      </c>
      <c r="H938" s="797" t="str">
        <f>VLOOKUP(G938,SETTINGS!$B$7:$D$97,2,0)</f>
        <v>HOD</v>
      </c>
      <c r="I938" s="796">
        <f>VLOOKUP(G938,SETTINGS!$B$7:$D$97,3,0)</f>
        <v>0</v>
      </c>
      <c r="J938" s="670" t="str">
        <f>IFERROR(IF(CURRENCY.FORMAT_1=0,CONCATENATE(TEXT(FIXED(ROUND((C938/EXC.RATE_1),CURRENCY.FORMAT_1),CURRENCY.FORMAT_1,1),"# ##0;-# ##0"),",-"),FIXED(ROUND((C938/EXC.RATE_1),CURRENCY.FORMAT_1),CURRENCY.FORMAT_1,0)),'DICTIONARY-5'!$A$2)</f>
        <v>86,-</v>
      </c>
      <c r="K938" s="670" t="str">
        <f>IF(EXC.RATE_2=0,"",IFERROR(IF(CURRENCY.FORMAT_2=0,CONCATENATE(TEXT(FIXED(ROUND(IF(EXC.RATE.SWITCH=1,C938/EXC.RATE_2,C938*EXC.RATE_2),CURRENCY.FORMAT_2),CURRENCY.FORMAT_2,1),"# ##0;-# ##0"),",-"),FIXED(ROUND(IF(EXC.RATE.SWITCH=1,C938/EXC.RATE_2,C938*EXC.RATE_2),CURRENCY.FORMAT_2),CURRENCY.FORMAT_2,0)),'DICTIONARY-5'!$A$2))</f>
        <v/>
      </c>
      <c r="L938" s="670" t="str">
        <f>IFERROR(IF(CURRENCY.FORMAT_1=0,CONCATENATE(TEXT(FIXED(ROUND((C938*(1-I938)*(1-ADD.DISCOUNT)*(1+MAT.SURCHARGE)/EXC.RATE_1),CURRENCY.FORMAT_1),CURRENCY.FORMAT_1,1),"# ##0;-# ##0"),",-"),FIXED(ROUND((C938*(1-I938)*(1-ADD.DISCOUNT)*(1+MAT.SURCHARGE)/EXC.RATE_1),CURRENCY.FORMAT_1),CURRENCY.FORMAT_1,0)),'DICTIONARY-5'!$A$2)</f>
        <v>89,-</v>
      </c>
      <c r="M938" s="670" t="str">
        <f>IF(EXC.RATE_2=0,"",IFERROR(IF(CURRENCY.FORMAT_2=0,CONCATENATE(TEXT(FIXED(ROUND(IF(EXC.RATE.SWITCH=1,C938*(1-I938)*(1-ADD.DISCOUNT)*(1+MAT.SURCHARGE)/EXC.RATE_2,C938*(1-I938)*(1-ADD.DISCOUNT)*(1+MAT.SURCHARGE)*EXC.RATE_2),CURRENCY.FORMAT_2),CURRENCY.FORMAT_2,1),"# ##0;-# ##0"),",-"),FIXED(ROUND(IF(EXC.RATE.SWITCH=1,C938*(1-I938)*(1-ADD.DISCOUNT)*(1+MAT.SURCHARGE)/EXC.RATE_2,C938*(1-I938)*(1-ADD.DISCOUNT)*(1+MAT.SURCHARGE)*EXC.RATE_2),CURRENCY.FORMAT_2),CURRENCY.FORMAT_2,0)),'DICTIONARY-5'!$A$2))</f>
        <v/>
      </c>
      <c r="N938" s="542">
        <v>4</v>
      </c>
      <c r="O938" s="542"/>
      <c r="P938" s="731" t="str">
        <f>'DICTIONARY-3'!$A$56</f>
        <v>HOD-M</v>
      </c>
      <c r="Q938" s="732" t="str">
        <f>'DICTIONARY-3'!$A$196</f>
        <v>Mostek nawiertowy</v>
      </c>
      <c r="R938" s="732" t="str">
        <f>CONCATENATE('DICTIONARY-3'!$A$55,'DICTIONARY-3'!$A$66," ",'DICTIONARY-6'!$A$21," ",'DICTIONARY-2'!$A$2,"50-65 G1"," ",'DICTIONARY-6'!$A$62,", ",'DICTIONARY-6'!$A$76," ",UPPER('DICTIONARY-5'!$A$40),"+",'DICTIONARY-5'!$A$49)</f>
        <v>HOD-M508 Mostek nawiert. DN50-65 G1 z zaw. kul., ruroc. STAL+ŻEL.</v>
      </c>
      <c r="S938" s="733" t="str">
        <f>'DICTIONARY-4'!$A$2</f>
        <v>WW</v>
      </c>
      <c r="T938" s="732" t="str">
        <f>'DICTIONARY-4'!$A$18</f>
        <v>Wolny wałek</v>
      </c>
      <c r="U938" s="734" t="s">
        <v>5763</v>
      </c>
      <c r="V938" s="735"/>
      <c r="W938" s="736"/>
      <c r="X938" s="750" t="s">
        <v>49</v>
      </c>
      <c r="Y938" s="738"/>
      <c r="Z938" s="739"/>
      <c r="AA938" s="739"/>
      <c r="AB938" s="740">
        <v>16</v>
      </c>
      <c r="AC938" s="741"/>
      <c r="AD938" s="741" t="str">
        <f>'DICTIONARY-5'!$A$13</f>
        <v>woda pitna</v>
      </c>
      <c r="AE938" s="742">
        <v>50</v>
      </c>
      <c r="AF938" s="743">
        <v>3.2</v>
      </c>
      <c r="AG938" s="741" t="str">
        <f>'DICTIONARY-5'!$A$23</f>
        <v>powłoka epoksydowa</v>
      </c>
    </row>
    <row r="939" spans="1:33" x14ac:dyDescent="0.25">
      <c r="A939" s="856" t="s">
        <v>873</v>
      </c>
      <c r="B939" s="856" t="s">
        <v>3986</v>
      </c>
      <c r="C939" s="836">
        <v>94</v>
      </c>
      <c r="D939" s="836"/>
      <c r="E939" s="836"/>
      <c r="F939" s="836"/>
      <c r="G939" s="496" t="s">
        <v>7812</v>
      </c>
      <c r="H939" s="797" t="str">
        <f>VLOOKUP(G939,SETTINGS!$B$7:$D$97,2,0)</f>
        <v>HOD</v>
      </c>
      <c r="I939" s="796">
        <f>VLOOKUP(G939,SETTINGS!$B$7:$D$97,3,0)</f>
        <v>0</v>
      </c>
      <c r="J939" s="670" t="str">
        <f>IFERROR(IF(CURRENCY.FORMAT_1=0,CONCATENATE(TEXT(FIXED(ROUND((C939/EXC.RATE_1),CURRENCY.FORMAT_1),CURRENCY.FORMAT_1,1),"# ##0;-# ##0"),",-"),FIXED(ROUND((C939/EXC.RATE_1),CURRENCY.FORMAT_1),CURRENCY.FORMAT_1,0)),'DICTIONARY-5'!$A$2)</f>
        <v>94,-</v>
      </c>
      <c r="K939" s="670" t="str">
        <f>IF(EXC.RATE_2=0,"",IFERROR(IF(CURRENCY.FORMAT_2=0,CONCATENATE(TEXT(FIXED(ROUND(IF(EXC.RATE.SWITCH=1,C939/EXC.RATE_2,C939*EXC.RATE_2),CURRENCY.FORMAT_2),CURRENCY.FORMAT_2,1),"# ##0;-# ##0"),",-"),FIXED(ROUND(IF(EXC.RATE.SWITCH=1,C939/EXC.RATE_2,C939*EXC.RATE_2),CURRENCY.FORMAT_2),CURRENCY.FORMAT_2,0)),'DICTIONARY-5'!$A$2))</f>
        <v/>
      </c>
      <c r="L939" s="670" t="str">
        <f>IFERROR(IF(CURRENCY.FORMAT_1=0,CONCATENATE(TEXT(FIXED(ROUND((C939*(1-I939)*(1-ADD.DISCOUNT)*(1+MAT.SURCHARGE)/EXC.RATE_1),CURRENCY.FORMAT_1),CURRENCY.FORMAT_1,1),"# ##0;-# ##0"),",-"),FIXED(ROUND((C939*(1-I939)*(1-ADD.DISCOUNT)*(1+MAT.SURCHARGE)/EXC.RATE_1),CURRENCY.FORMAT_1),CURRENCY.FORMAT_1,0)),'DICTIONARY-5'!$A$2)</f>
        <v>98,-</v>
      </c>
      <c r="M939" s="670" t="str">
        <f>IF(EXC.RATE_2=0,"",IFERROR(IF(CURRENCY.FORMAT_2=0,CONCATENATE(TEXT(FIXED(ROUND(IF(EXC.RATE.SWITCH=1,C939*(1-I939)*(1-ADD.DISCOUNT)*(1+MAT.SURCHARGE)/EXC.RATE_2,C939*(1-I939)*(1-ADD.DISCOUNT)*(1+MAT.SURCHARGE)*EXC.RATE_2),CURRENCY.FORMAT_2),CURRENCY.FORMAT_2,1),"# ##0;-# ##0"),",-"),FIXED(ROUND(IF(EXC.RATE.SWITCH=1,C939*(1-I939)*(1-ADD.DISCOUNT)*(1+MAT.SURCHARGE)/EXC.RATE_2,C939*(1-I939)*(1-ADD.DISCOUNT)*(1+MAT.SURCHARGE)*EXC.RATE_2),CURRENCY.FORMAT_2),CURRENCY.FORMAT_2,0)),'DICTIONARY-5'!$A$2))</f>
        <v/>
      </c>
      <c r="N939" s="542">
        <v>4</v>
      </c>
      <c r="O939" s="542"/>
      <c r="P939" s="731" t="str">
        <f>'DICTIONARY-3'!$A$56</f>
        <v>HOD-M</v>
      </c>
      <c r="Q939" s="732" t="str">
        <f>'DICTIONARY-3'!$A$196</f>
        <v>Mostek nawiertowy</v>
      </c>
      <c r="R939" s="732" t="str">
        <f>CONCATENATE('DICTIONARY-3'!$A$55,'DICTIONARY-3'!$A$66," ",'DICTIONARY-6'!$A$21," ",'DICTIONARY-2'!$A$2,"50-65 G1¼"," ",'DICTIONARY-6'!$A$62,", ",'DICTIONARY-6'!$A$76," ",UPPER('DICTIONARY-5'!$A$40),"+",'DICTIONARY-5'!$A$49)</f>
        <v>HOD-M508 Mostek nawiert. DN50-65 G1¼ z zaw. kul., ruroc. STAL+ŻEL.</v>
      </c>
      <c r="S939" s="733" t="str">
        <f>'DICTIONARY-4'!$A$2</f>
        <v>WW</v>
      </c>
      <c r="T939" s="732" t="str">
        <f>'DICTIONARY-4'!$A$18</f>
        <v>Wolny wałek</v>
      </c>
      <c r="U939" s="734" t="s">
        <v>5763</v>
      </c>
      <c r="V939" s="735"/>
      <c r="W939" s="736"/>
      <c r="X939" s="750" t="s">
        <v>5740</v>
      </c>
      <c r="Y939" s="738"/>
      <c r="Z939" s="739"/>
      <c r="AA939" s="739"/>
      <c r="AB939" s="740">
        <v>16</v>
      </c>
      <c r="AC939" s="741"/>
      <c r="AD939" s="741" t="str">
        <f>'DICTIONARY-5'!$A$13</f>
        <v>woda pitna</v>
      </c>
      <c r="AE939" s="742">
        <v>50</v>
      </c>
      <c r="AF939" s="743">
        <v>3.7</v>
      </c>
      <c r="AG939" s="741" t="str">
        <f>'DICTIONARY-5'!$A$23</f>
        <v>powłoka epoksydowa</v>
      </c>
    </row>
    <row r="940" spans="1:33" x14ac:dyDescent="0.25">
      <c r="A940" s="856" t="s">
        <v>876</v>
      </c>
      <c r="B940" s="856" t="s">
        <v>3987</v>
      </c>
      <c r="C940" s="836">
        <v>94</v>
      </c>
      <c r="D940" s="836"/>
      <c r="E940" s="836"/>
      <c r="F940" s="836"/>
      <c r="G940" s="496" t="s">
        <v>7812</v>
      </c>
      <c r="H940" s="797" t="str">
        <f>VLOOKUP(G940,SETTINGS!$B$7:$D$97,2,0)</f>
        <v>HOD</v>
      </c>
      <c r="I940" s="796">
        <f>VLOOKUP(G940,SETTINGS!$B$7:$D$97,3,0)</f>
        <v>0</v>
      </c>
      <c r="J940" s="670" t="str">
        <f>IFERROR(IF(CURRENCY.FORMAT_1=0,CONCATENATE(TEXT(FIXED(ROUND((C940/EXC.RATE_1),CURRENCY.FORMAT_1),CURRENCY.FORMAT_1,1),"# ##0;-# ##0"),",-"),FIXED(ROUND((C940/EXC.RATE_1),CURRENCY.FORMAT_1),CURRENCY.FORMAT_1,0)),'DICTIONARY-5'!$A$2)</f>
        <v>94,-</v>
      </c>
      <c r="K940" s="670" t="str">
        <f>IF(EXC.RATE_2=0,"",IFERROR(IF(CURRENCY.FORMAT_2=0,CONCATENATE(TEXT(FIXED(ROUND(IF(EXC.RATE.SWITCH=1,C940/EXC.RATE_2,C940*EXC.RATE_2),CURRENCY.FORMAT_2),CURRENCY.FORMAT_2,1),"# ##0;-# ##0"),",-"),FIXED(ROUND(IF(EXC.RATE.SWITCH=1,C940/EXC.RATE_2,C940*EXC.RATE_2),CURRENCY.FORMAT_2),CURRENCY.FORMAT_2,0)),'DICTIONARY-5'!$A$2))</f>
        <v/>
      </c>
      <c r="L940" s="670" t="str">
        <f>IFERROR(IF(CURRENCY.FORMAT_1=0,CONCATENATE(TEXT(FIXED(ROUND((C940*(1-I940)*(1-ADD.DISCOUNT)*(1+MAT.SURCHARGE)/EXC.RATE_1),CURRENCY.FORMAT_1),CURRENCY.FORMAT_1,1),"# ##0;-# ##0"),",-"),FIXED(ROUND((C940*(1-I940)*(1-ADD.DISCOUNT)*(1+MAT.SURCHARGE)/EXC.RATE_1),CURRENCY.FORMAT_1),CURRENCY.FORMAT_1,0)),'DICTIONARY-5'!$A$2)</f>
        <v>98,-</v>
      </c>
      <c r="M940" s="670" t="str">
        <f>IF(EXC.RATE_2=0,"",IFERROR(IF(CURRENCY.FORMAT_2=0,CONCATENATE(TEXT(FIXED(ROUND(IF(EXC.RATE.SWITCH=1,C940*(1-I940)*(1-ADD.DISCOUNT)*(1+MAT.SURCHARGE)/EXC.RATE_2,C940*(1-I940)*(1-ADD.DISCOUNT)*(1+MAT.SURCHARGE)*EXC.RATE_2),CURRENCY.FORMAT_2),CURRENCY.FORMAT_2,1),"# ##0;-# ##0"),",-"),FIXED(ROUND(IF(EXC.RATE.SWITCH=1,C940*(1-I940)*(1-ADD.DISCOUNT)*(1+MAT.SURCHARGE)/EXC.RATE_2,C940*(1-I940)*(1-ADD.DISCOUNT)*(1+MAT.SURCHARGE)*EXC.RATE_2),CURRENCY.FORMAT_2),CURRENCY.FORMAT_2,0)),'DICTIONARY-5'!$A$2))</f>
        <v/>
      </c>
      <c r="N940" s="542">
        <v>4</v>
      </c>
      <c r="O940" s="542"/>
      <c r="P940" s="731" t="str">
        <f>'DICTIONARY-3'!$A$56</f>
        <v>HOD-M</v>
      </c>
      <c r="Q940" s="732" t="str">
        <f>'DICTIONARY-3'!$A$196</f>
        <v>Mostek nawiertowy</v>
      </c>
      <c r="R940" s="732" t="str">
        <f>CONCATENATE('DICTIONARY-3'!$A$55,'DICTIONARY-3'!$A$66," ",'DICTIONARY-6'!$A$21," ",'DICTIONARY-2'!$A$2,"80-500 G1"," ",'DICTIONARY-6'!$A$62,", ",'DICTIONARY-6'!$A$76," ",UPPER('DICTIONARY-5'!$A$40),"+",'DICTIONARY-5'!$A$49)</f>
        <v>HOD-M508 Mostek nawiert. DN80-500 G1 z zaw. kul., ruroc. STAL+ŻEL.</v>
      </c>
      <c r="S940" s="733" t="str">
        <f>'DICTIONARY-4'!$A$2</f>
        <v>WW</v>
      </c>
      <c r="T940" s="732" t="str">
        <f>'DICTIONARY-4'!$A$18</f>
        <v>Wolny wałek</v>
      </c>
      <c r="U940" s="734" t="s">
        <v>5762</v>
      </c>
      <c r="V940" s="735"/>
      <c r="W940" s="736"/>
      <c r="X940" s="750" t="s">
        <v>49</v>
      </c>
      <c r="Y940" s="738"/>
      <c r="Z940" s="739"/>
      <c r="AA940" s="739"/>
      <c r="AB940" s="740">
        <v>16</v>
      </c>
      <c r="AC940" s="741"/>
      <c r="AD940" s="741" t="str">
        <f>'DICTIONARY-5'!$A$13</f>
        <v>woda pitna</v>
      </c>
      <c r="AE940" s="742">
        <v>50</v>
      </c>
      <c r="AF940" s="743">
        <v>5</v>
      </c>
      <c r="AG940" s="741" t="str">
        <f>'DICTIONARY-5'!$A$23</f>
        <v>powłoka epoksydowa</v>
      </c>
    </row>
    <row r="941" spans="1:33" x14ac:dyDescent="0.25">
      <c r="A941" s="856" t="s">
        <v>879</v>
      </c>
      <c r="B941" s="856" t="s">
        <v>3988</v>
      </c>
      <c r="C941" s="836">
        <v>103</v>
      </c>
      <c r="D941" s="836"/>
      <c r="E941" s="836"/>
      <c r="F941" s="836"/>
      <c r="G941" s="496" t="s">
        <v>7812</v>
      </c>
      <c r="H941" s="797" t="str">
        <f>VLOOKUP(G941,SETTINGS!$B$7:$D$97,2,0)</f>
        <v>HOD</v>
      </c>
      <c r="I941" s="796">
        <f>VLOOKUP(G941,SETTINGS!$B$7:$D$97,3,0)</f>
        <v>0</v>
      </c>
      <c r="J941" s="670" t="str">
        <f>IFERROR(IF(CURRENCY.FORMAT_1=0,CONCATENATE(TEXT(FIXED(ROUND((C941/EXC.RATE_1),CURRENCY.FORMAT_1),CURRENCY.FORMAT_1,1),"# ##0;-# ##0"),",-"),FIXED(ROUND((C941/EXC.RATE_1),CURRENCY.FORMAT_1),CURRENCY.FORMAT_1,0)),'DICTIONARY-5'!$A$2)</f>
        <v>103,-</v>
      </c>
      <c r="K941" s="670" t="str">
        <f>IF(EXC.RATE_2=0,"",IFERROR(IF(CURRENCY.FORMAT_2=0,CONCATENATE(TEXT(FIXED(ROUND(IF(EXC.RATE.SWITCH=1,C941/EXC.RATE_2,C941*EXC.RATE_2),CURRENCY.FORMAT_2),CURRENCY.FORMAT_2,1),"# ##0;-# ##0"),",-"),FIXED(ROUND(IF(EXC.RATE.SWITCH=1,C941/EXC.RATE_2,C941*EXC.RATE_2),CURRENCY.FORMAT_2),CURRENCY.FORMAT_2,0)),'DICTIONARY-5'!$A$2))</f>
        <v/>
      </c>
      <c r="L941" s="670" t="str">
        <f>IFERROR(IF(CURRENCY.FORMAT_1=0,CONCATENATE(TEXT(FIXED(ROUND((C941*(1-I941)*(1-ADD.DISCOUNT)*(1+MAT.SURCHARGE)/EXC.RATE_1),CURRENCY.FORMAT_1),CURRENCY.FORMAT_1,1),"# ##0;-# ##0"),",-"),FIXED(ROUND((C941*(1-I941)*(1-ADD.DISCOUNT)*(1+MAT.SURCHARGE)/EXC.RATE_1),CURRENCY.FORMAT_1),CURRENCY.FORMAT_1,0)),'DICTIONARY-5'!$A$2)</f>
        <v>107,-</v>
      </c>
      <c r="M941" s="670" t="str">
        <f>IF(EXC.RATE_2=0,"",IFERROR(IF(CURRENCY.FORMAT_2=0,CONCATENATE(TEXT(FIXED(ROUND(IF(EXC.RATE.SWITCH=1,C941*(1-I941)*(1-ADD.DISCOUNT)*(1+MAT.SURCHARGE)/EXC.RATE_2,C941*(1-I941)*(1-ADD.DISCOUNT)*(1+MAT.SURCHARGE)*EXC.RATE_2),CURRENCY.FORMAT_2),CURRENCY.FORMAT_2,1),"# ##0;-# ##0"),",-"),FIXED(ROUND(IF(EXC.RATE.SWITCH=1,C941*(1-I941)*(1-ADD.DISCOUNT)*(1+MAT.SURCHARGE)/EXC.RATE_2,C941*(1-I941)*(1-ADD.DISCOUNT)*(1+MAT.SURCHARGE)*EXC.RATE_2),CURRENCY.FORMAT_2),CURRENCY.FORMAT_2,0)),'DICTIONARY-5'!$A$2))</f>
        <v/>
      </c>
      <c r="N941" s="542">
        <v>4</v>
      </c>
      <c r="O941" s="542"/>
      <c r="P941" s="731" t="str">
        <f>'DICTIONARY-3'!$A$56</f>
        <v>HOD-M</v>
      </c>
      <c r="Q941" s="732" t="str">
        <f>'DICTIONARY-3'!$A$196</f>
        <v>Mostek nawiertowy</v>
      </c>
      <c r="R941" s="732" t="str">
        <f>CONCATENATE('DICTIONARY-3'!$A$55,'DICTIONARY-3'!$A$66," ",'DICTIONARY-6'!$A$21," ",'DICTIONARY-2'!$A$2,"80-500 G 1¼"," ",'DICTIONARY-6'!$A$62,", ",'DICTIONARY-6'!$A$76," ",UPPER('DICTIONARY-5'!$A$40),"+",'DICTIONARY-5'!$A$49)</f>
        <v>HOD-M508 Mostek nawiert. DN80-500 G 1¼ z zaw. kul., ruroc. STAL+ŻEL.</v>
      </c>
      <c r="S941" s="733" t="str">
        <f>'DICTIONARY-4'!$A$2</f>
        <v>WW</v>
      </c>
      <c r="T941" s="732" t="str">
        <f>'DICTIONARY-4'!$A$18</f>
        <v>Wolny wałek</v>
      </c>
      <c r="U941" s="734" t="s">
        <v>5762</v>
      </c>
      <c r="V941" s="735"/>
      <c r="W941" s="736"/>
      <c r="X941" s="737" t="s">
        <v>5770</v>
      </c>
      <c r="Y941" s="738"/>
      <c r="Z941" s="739"/>
      <c r="AA941" s="739"/>
      <c r="AB941" s="740">
        <v>16</v>
      </c>
      <c r="AC941" s="741"/>
      <c r="AD941" s="741" t="str">
        <f>'DICTIONARY-5'!$A$13</f>
        <v>woda pitna</v>
      </c>
      <c r="AE941" s="742">
        <v>50</v>
      </c>
      <c r="AF941" s="743">
        <v>4</v>
      </c>
      <c r="AG941" s="741" t="str">
        <f>'DICTIONARY-5'!$A$23</f>
        <v>powłoka epoksydowa</v>
      </c>
    </row>
    <row r="942" spans="1:33" x14ac:dyDescent="0.25">
      <c r="A942" s="856" t="s">
        <v>882</v>
      </c>
      <c r="B942" s="856" t="s">
        <v>3983</v>
      </c>
      <c r="C942" s="836">
        <v>137</v>
      </c>
      <c r="D942" s="836"/>
      <c r="E942" s="836"/>
      <c r="F942" s="836"/>
      <c r="G942" s="496" t="s">
        <v>7812</v>
      </c>
      <c r="H942" s="797" t="str">
        <f>VLOOKUP(G942,SETTINGS!$B$7:$D$97,2,0)</f>
        <v>HOD</v>
      </c>
      <c r="I942" s="796">
        <f>VLOOKUP(G942,SETTINGS!$B$7:$D$97,3,0)</f>
        <v>0</v>
      </c>
      <c r="J942" s="670" t="str">
        <f>IFERROR(IF(CURRENCY.FORMAT_1=0,CONCATENATE(TEXT(FIXED(ROUND((C942/EXC.RATE_1),CURRENCY.FORMAT_1),CURRENCY.FORMAT_1,1),"# ##0;-# ##0"),",-"),FIXED(ROUND((C942/EXC.RATE_1),CURRENCY.FORMAT_1),CURRENCY.FORMAT_1,0)),'DICTIONARY-5'!$A$2)</f>
        <v>137,-</v>
      </c>
      <c r="K942" s="670" t="str">
        <f>IF(EXC.RATE_2=0,"",IFERROR(IF(CURRENCY.FORMAT_2=0,CONCATENATE(TEXT(FIXED(ROUND(IF(EXC.RATE.SWITCH=1,C942/EXC.RATE_2,C942*EXC.RATE_2),CURRENCY.FORMAT_2),CURRENCY.FORMAT_2,1),"# ##0;-# ##0"),",-"),FIXED(ROUND(IF(EXC.RATE.SWITCH=1,C942/EXC.RATE_2,C942*EXC.RATE_2),CURRENCY.FORMAT_2),CURRENCY.FORMAT_2,0)),'DICTIONARY-5'!$A$2))</f>
        <v/>
      </c>
      <c r="L942" s="670" t="str">
        <f>IFERROR(IF(CURRENCY.FORMAT_1=0,CONCATENATE(TEXT(FIXED(ROUND((C942*(1-I942)*(1-ADD.DISCOUNT)*(1+MAT.SURCHARGE)/EXC.RATE_1),CURRENCY.FORMAT_1),CURRENCY.FORMAT_1,1),"# ##0;-# ##0"),",-"),FIXED(ROUND((C942*(1-I942)*(1-ADD.DISCOUNT)*(1+MAT.SURCHARGE)/EXC.RATE_1),CURRENCY.FORMAT_1),CURRENCY.FORMAT_1,0)),'DICTIONARY-5'!$A$2)</f>
        <v>142,-</v>
      </c>
      <c r="M942" s="670" t="str">
        <f>IF(EXC.RATE_2=0,"",IFERROR(IF(CURRENCY.FORMAT_2=0,CONCATENATE(TEXT(FIXED(ROUND(IF(EXC.RATE.SWITCH=1,C942*(1-I942)*(1-ADD.DISCOUNT)*(1+MAT.SURCHARGE)/EXC.RATE_2,C942*(1-I942)*(1-ADD.DISCOUNT)*(1+MAT.SURCHARGE)*EXC.RATE_2),CURRENCY.FORMAT_2),CURRENCY.FORMAT_2,1),"# ##0;-# ##0"),",-"),FIXED(ROUND(IF(EXC.RATE.SWITCH=1,C942*(1-I942)*(1-ADD.DISCOUNT)*(1+MAT.SURCHARGE)/EXC.RATE_2,C942*(1-I942)*(1-ADD.DISCOUNT)*(1+MAT.SURCHARGE)*EXC.RATE_2),CURRENCY.FORMAT_2),CURRENCY.FORMAT_2,0)),'DICTIONARY-5'!$A$2))</f>
        <v/>
      </c>
      <c r="N942" s="542">
        <v>4</v>
      </c>
      <c r="O942" s="542"/>
      <c r="P942" s="731" t="str">
        <f>'DICTIONARY-3'!$A$56</f>
        <v>HOD-M</v>
      </c>
      <c r="Q942" s="732" t="str">
        <f>'DICTIONARY-3'!$A$196</f>
        <v>Mostek nawiertowy</v>
      </c>
      <c r="R942" s="732" t="str">
        <f>CONCATENATE('DICTIONARY-3'!$A$55,'DICTIONARY-3'!$A$66," ",'DICTIONARY-6'!$A$21," ",'DICTIONARY-2'!$A$2,"80-500 G 1½"," ",'DICTIONARY-6'!$A$62,", ",'DICTIONARY-6'!$A$76," ",UPPER('DICTIONARY-5'!$A$40),"+",'DICTIONARY-5'!$A$49)</f>
        <v>HOD-M508 Mostek nawiert. DN80-500 G 1½ z zaw. kul., ruroc. STAL+ŻEL.</v>
      </c>
      <c r="S942" s="733" t="str">
        <f>'DICTIONARY-4'!$A$2</f>
        <v>WW</v>
      </c>
      <c r="T942" s="732" t="str">
        <f>'DICTIONARY-4'!$A$18</f>
        <v>Wolny wałek</v>
      </c>
      <c r="U942" s="734" t="s">
        <v>5762</v>
      </c>
      <c r="V942" s="735"/>
      <c r="W942" s="736"/>
      <c r="X942" s="750" t="s">
        <v>5771</v>
      </c>
      <c r="Y942" s="738"/>
      <c r="Z942" s="739"/>
      <c r="AA942" s="739"/>
      <c r="AB942" s="740">
        <v>16</v>
      </c>
      <c r="AC942" s="741"/>
      <c r="AD942" s="741" t="str">
        <f>'DICTIONARY-5'!$A$13</f>
        <v>woda pitna</v>
      </c>
      <c r="AE942" s="742">
        <v>50</v>
      </c>
      <c r="AF942" s="743">
        <v>5.2</v>
      </c>
      <c r="AG942" s="741" t="str">
        <f>'DICTIONARY-5'!$A$23</f>
        <v>powłoka epoksydowa</v>
      </c>
    </row>
    <row r="943" spans="1:33" x14ac:dyDescent="0.25">
      <c r="A943" s="856" t="s">
        <v>884</v>
      </c>
      <c r="B943" s="856" t="s">
        <v>3984</v>
      </c>
      <c r="C943" s="836">
        <v>136</v>
      </c>
      <c r="D943" s="836"/>
      <c r="E943" s="836"/>
      <c r="F943" s="836"/>
      <c r="G943" s="496" t="s">
        <v>7812</v>
      </c>
      <c r="H943" s="797" t="str">
        <f>VLOOKUP(G943,SETTINGS!$B$7:$D$97,2,0)</f>
        <v>HOD</v>
      </c>
      <c r="I943" s="796">
        <f>VLOOKUP(G943,SETTINGS!$B$7:$D$97,3,0)</f>
        <v>0</v>
      </c>
      <c r="J943" s="670" t="str">
        <f>IFERROR(IF(CURRENCY.FORMAT_1=0,CONCATENATE(TEXT(FIXED(ROUND((C943/EXC.RATE_1),CURRENCY.FORMAT_1),CURRENCY.FORMAT_1,1),"# ##0;-# ##0"),",-"),FIXED(ROUND((C943/EXC.RATE_1),CURRENCY.FORMAT_1),CURRENCY.FORMAT_1,0)),'DICTIONARY-5'!$A$2)</f>
        <v>136,-</v>
      </c>
      <c r="K943" s="670" t="str">
        <f>IF(EXC.RATE_2=0,"",IFERROR(IF(CURRENCY.FORMAT_2=0,CONCATENATE(TEXT(FIXED(ROUND(IF(EXC.RATE.SWITCH=1,C943/EXC.RATE_2,C943*EXC.RATE_2),CURRENCY.FORMAT_2),CURRENCY.FORMAT_2,1),"# ##0;-# ##0"),",-"),FIXED(ROUND(IF(EXC.RATE.SWITCH=1,C943/EXC.RATE_2,C943*EXC.RATE_2),CURRENCY.FORMAT_2),CURRENCY.FORMAT_2,0)),'DICTIONARY-5'!$A$2))</f>
        <v/>
      </c>
      <c r="L943" s="670" t="str">
        <f>IFERROR(IF(CURRENCY.FORMAT_1=0,CONCATENATE(TEXT(FIXED(ROUND((C943*(1-I943)*(1-ADD.DISCOUNT)*(1+MAT.SURCHARGE)/EXC.RATE_1),CURRENCY.FORMAT_1),CURRENCY.FORMAT_1,1),"# ##0;-# ##0"),",-"),FIXED(ROUND((C943*(1-I943)*(1-ADD.DISCOUNT)*(1+MAT.SURCHARGE)/EXC.RATE_1),CURRENCY.FORMAT_1),CURRENCY.FORMAT_1,0)),'DICTIONARY-5'!$A$2)</f>
        <v>141,-</v>
      </c>
      <c r="M943" s="670" t="str">
        <f>IF(EXC.RATE_2=0,"",IFERROR(IF(CURRENCY.FORMAT_2=0,CONCATENATE(TEXT(FIXED(ROUND(IF(EXC.RATE.SWITCH=1,C943*(1-I943)*(1-ADD.DISCOUNT)*(1+MAT.SURCHARGE)/EXC.RATE_2,C943*(1-I943)*(1-ADD.DISCOUNT)*(1+MAT.SURCHARGE)*EXC.RATE_2),CURRENCY.FORMAT_2),CURRENCY.FORMAT_2,1),"# ##0;-# ##0"),",-"),FIXED(ROUND(IF(EXC.RATE.SWITCH=1,C943*(1-I943)*(1-ADD.DISCOUNT)*(1+MAT.SURCHARGE)/EXC.RATE_2,C943*(1-I943)*(1-ADD.DISCOUNT)*(1+MAT.SURCHARGE)*EXC.RATE_2),CURRENCY.FORMAT_2),CURRENCY.FORMAT_2,0)),'DICTIONARY-5'!$A$2))</f>
        <v/>
      </c>
      <c r="N943" s="542">
        <v>4</v>
      </c>
      <c r="O943" s="542"/>
      <c r="P943" s="731" t="str">
        <f>'DICTIONARY-3'!$A$56</f>
        <v>HOD-M</v>
      </c>
      <c r="Q943" s="732" t="str">
        <f>'DICTIONARY-3'!$A$196</f>
        <v>Mostek nawiertowy</v>
      </c>
      <c r="R943" s="732" t="str">
        <f>CONCATENATE('DICTIONARY-3'!$A$55,'DICTIONARY-3'!$A$65," ",'DICTIONARY-6'!$A$21," ",'DICTIONARY-2'!$A$2,"80-500 G2"," ",'DICTIONARY-6'!$A$62,", ",'DICTIONARY-6'!$A$76," ",UPPER('DICTIONARY-5'!$A$40),"+",'DICTIONARY-5'!$A$49)</f>
        <v>HOD-M505 Mostek nawiert. DN80-500 G2 z zaw. kul., ruroc. STAL+ŻEL.</v>
      </c>
      <c r="S943" s="733" t="str">
        <f>'DICTIONARY-4'!$A$2</f>
        <v>WW</v>
      </c>
      <c r="T943" s="732" t="str">
        <f>'DICTIONARY-4'!$A$18</f>
        <v>Wolny wałek</v>
      </c>
      <c r="U943" s="734" t="s">
        <v>5762</v>
      </c>
      <c r="V943" s="735"/>
      <c r="W943" s="736"/>
      <c r="X943" s="750" t="s">
        <v>50</v>
      </c>
      <c r="Y943" s="738"/>
      <c r="Z943" s="739"/>
      <c r="AA943" s="739"/>
      <c r="AB943" s="740">
        <v>16</v>
      </c>
      <c r="AC943" s="741"/>
      <c r="AD943" s="741" t="str">
        <f>'DICTIONARY-5'!$A$13</f>
        <v>woda pitna</v>
      </c>
      <c r="AE943" s="742">
        <v>50</v>
      </c>
      <c r="AF943" s="743">
        <v>5</v>
      </c>
      <c r="AG943" s="741" t="str">
        <f>'DICTIONARY-5'!$A$23</f>
        <v>powłoka epoksydowa</v>
      </c>
    </row>
    <row r="944" spans="1:33" x14ac:dyDescent="0.25">
      <c r="A944" s="856" t="s">
        <v>871</v>
      </c>
      <c r="B944" s="856" t="s">
        <v>4100</v>
      </c>
      <c r="C944" s="836">
        <v>160</v>
      </c>
      <c r="D944" s="836"/>
      <c r="E944" s="836"/>
      <c r="F944" s="836"/>
      <c r="G944" s="496" t="s">
        <v>7812</v>
      </c>
      <c r="H944" s="797" t="str">
        <f>VLOOKUP(G944,SETTINGS!$B$7:$D$97,2,0)</f>
        <v>HOD</v>
      </c>
      <c r="I944" s="796">
        <f>VLOOKUP(G944,SETTINGS!$B$7:$D$97,3,0)</f>
        <v>0</v>
      </c>
      <c r="J944" s="670" t="str">
        <f>IFERROR(IF(CURRENCY.FORMAT_1=0,CONCATENATE(TEXT(FIXED(ROUND((C944/EXC.RATE_1),CURRENCY.FORMAT_1),CURRENCY.FORMAT_1,1),"# ##0;-# ##0"),",-"),FIXED(ROUND((C944/EXC.RATE_1),CURRENCY.FORMAT_1),CURRENCY.FORMAT_1,0)),'DICTIONARY-5'!$A$2)</f>
        <v>160,-</v>
      </c>
      <c r="K944" s="670" t="str">
        <f>IF(EXC.RATE_2=0,"",IFERROR(IF(CURRENCY.FORMAT_2=0,CONCATENATE(TEXT(FIXED(ROUND(IF(EXC.RATE.SWITCH=1,C944/EXC.RATE_2,C944*EXC.RATE_2),CURRENCY.FORMAT_2),CURRENCY.FORMAT_2,1),"# ##0;-# ##0"),",-"),FIXED(ROUND(IF(EXC.RATE.SWITCH=1,C944/EXC.RATE_2,C944*EXC.RATE_2),CURRENCY.FORMAT_2),CURRENCY.FORMAT_2,0)),'DICTIONARY-5'!$A$2))</f>
        <v/>
      </c>
      <c r="L944" s="670" t="str">
        <f>IFERROR(IF(CURRENCY.FORMAT_1=0,CONCATENATE(TEXT(FIXED(ROUND((C944*(1-I944)*(1-ADD.DISCOUNT)*(1+MAT.SURCHARGE)/EXC.RATE_1),CURRENCY.FORMAT_1),CURRENCY.FORMAT_1,1),"# ##0;-# ##0"),",-"),FIXED(ROUND((C944*(1-I944)*(1-ADD.DISCOUNT)*(1+MAT.SURCHARGE)/EXC.RATE_1),CURRENCY.FORMAT_1),CURRENCY.FORMAT_1,0)),'DICTIONARY-5'!$A$2)</f>
        <v>166,-</v>
      </c>
      <c r="M944" s="670" t="str">
        <f>IF(EXC.RATE_2=0,"",IFERROR(IF(CURRENCY.FORMAT_2=0,CONCATENATE(TEXT(FIXED(ROUND(IF(EXC.RATE.SWITCH=1,C944*(1-I944)*(1-ADD.DISCOUNT)*(1+MAT.SURCHARGE)/EXC.RATE_2,C944*(1-I944)*(1-ADD.DISCOUNT)*(1+MAT.SURCHARGE)*EXC.RATE_2),CURRENCY.FORMAT_2),CURRENCY.FORMAT_2,1),"# ##0;-# ##0"),",-"),FIXED(ROUND(IF(EXC.RATE.SWITCH=1,C944*(1-I944)*(1-ADD.DISCOUNT)*(1+MAT.SURCHARGE)/EXC.RATE_2,C944*(1-I944)*(1-ADD.DISCOUNT)*(1+MAT.SURCHARGE)*EXC.RATE_2),CURRENCY.FORMAT_2),CURRENCY.FORMAT_2,0)),'DICTIONARY-5'!$A$2))</f>
        <v/>
      </c>
      <c r="N944" s="542">
        <v>4</v>
      </c>
      <c r="O944" s="542"/>
      <c r="P944" s="731" t="str">
        <f>'DICTIONARY-3'!$A$56</f>
        <v>HOD-M</v>
      </c>
      <c r="Q944" s="732" t="str">
        <f>'DICTIONARY-3'!$A$196</f>
        <v>Mostek nawiertowy</v>
      </c>
      <c r="R944" s="732" t="str">
        <f>CONCATENATE('DICTIONARY-3'!$A$55,'DICTIONARY-3'!$A$65," ",'DICTIONARY-6'!$A$21," ",'DICTIONARY-2'!$A$2,"50-65 G1"," ",'DICTIONARY-6'!$A$61,", ",'DICTIONARY-6'!$A$76," ",UPPER('DICTIONARY-5'!$A$40),"+",'DICTIONARY-5'!$A$49)</f>
        <v>HOD-M505 Mostek nawiert. DN50-65 G1 z zasuwa, ruroc. STAL+ŻEL.</v>
      </c>
      <c r="S944" s="733" t="str">
        <f>'DICTIONARY-4'!$A$2</f>
        <v>WW</v>
      </c>
      <c r="T944" s="732" t="str">
        <f>'DICTIONARY-4'!$A$18</f>
        <v>Wolny wałek</v>
      </c>
      <c r="U944" s="734" t="s">
        <v>5763</v>
      </c>
      <c r="V944" s="735"/>
      <c r="W944" s="736"/>
      <c r="X944" s="750" t="s">
        <v>49</v>
      </c>
      <c r="Y944" s="738"/>
      <c r="Z944" s="739"/>
      <c r="AA944" s="739"/>
      <c r="AB944" s="740">
        <v>16</v>
      </c>
      <c r="AC944" s="741"/>
      <c r="AD944" s="741" t="str">
        <f>'DICTIONARY-5'!$A$13</f>
        <v>woda pitna</v>
      </c>
      <c r="AE944" s="742">
        <v>50</v>
      </c>
      <c r="AF944" s="743">
        <v>5.8</v>
      </c>
      <c r="AG944" s="741" t="str">
        <f>'DICTIONARY-5'!$A$23</f>
        <v>powłoka epoksydowa</v>
      </c>
    </row>
    <row r="945" spans="1:33" x14ac:dyDescent="0.25">
      <c r="A945" s="856" t="s">
        <v>874</v>
      </c>
      <c r="B945" s="856" t="s">
        <v>4101</v>
      </c>
      <c r="C945" s="836">
        <v>163</v>
      </c>
      <c r="D945" s="836"/>
      <c r="E945" s="836"/>
      <c r="F945" s="836"/>
      <c r="G945" s="496" t="s">
        <v>7812</v>
      </c>
      <c r="H945" s="797" t="str">
        <f>VLOOKUP(G945,SETTINGS!$B$7:$D$97,2,0)</f>
        <v>HOD</v>
      </c>
      <c r="I945" s="796">
        <f>VLOOKUP(G945,SETTINGS!$B$7:$D$97,3,0)</f>
        <v>0</v>
      </c>
      <c r="J945" s="670" t="str">
        <f>IFERROR(IF(CURRENCY.FORMAT_1=0,CONCATENATE(TEXT(FIXED(ROUND((C945/EXC.RATE_1),CURRENCY.FORMAT_1),CURRENCY.FORMAT_1,1),"# ##0;-# ##0"),",-"),FIXED(ROUND((C945/EXC.RATE_1),CURRENCY.FORMAT_1),CURRENCY.FORMAT_1,0)),'DICTIONARY-5'!$A$2)</f>
        <v>163,-</v>
      </c>
      <c r="K945" s="670" t="str">
        <f>IF(EXC.RATE_2=0,"",IFERROR(IF(CURRENCY.FORMAT_2=0,CONCATENATE(TEXT(FIXED(ROUND(IF(EXC.RATE.SWITCH=1,C945/EXC.RATE_2,C945*EXC.RATE_2),CURRENCY.FORMAT_2),CURRENCY.FORMAT_2,1),"# ##0;-# ##0"),",-"),FIXED(ROUND(IF(EXC.RATE.SWITCH=1,C945/EXC.RATE_2,C945*EXC.RATE_2),CURRENCY.FORMAT_2),CURRENCY.FORMAT_2,0)),'DICTIONARY-5'!$A$2))</f>
        <v/>
      </c>
      <c r="L945" s="670" t="str">
        <f>IFERROR(IF(CURRENCY.FORMAT_1=0,CONCATENATE(TEXT(FIXED(ROUND((C945*(1-I945)*(1-ADD.DISCOUNT)*(1+MAT.SURCHARGE)/EXC.RATE_1),CURRENCY.FORMAT_1),CURRENCY.FORMAT_1,1),"# ##0;-# ##0"),",-"),FIXED(ROUND((C945*(1-I945)*(1-ADD.DISCOUNT)*(1+MAT.SURCHARGE)/EXC.RATE_1),CURRENCY.FORMAT_1),CURRENCY.FORMAT_1,0)),'DICTIONARY-5'!$A$2)</f>
        <v>169,-</v>
      </c>
      <c r="M945" s="670" t="str">
        <f>IF(EXC.RATE_2=0,"",IFERROR(IF(CURRENCY.FORMAT_2=0,CONCATENATE(TEXT(FIXED(ROUND(IF(EXC.RATE.SWITCH=1,C945*(1-I945)*(1-ADD.DISCOUNT)*(1+MAT.SURCHARGE)/EXC.RATE_2,C945*(1-I945)*(1-ADD.DISCOUNT)*(1+MAT.SURCHARGE)*EXC.RATE_2),CURRENCY.FORMAT_2),CURRENCY.FORMAT_2,1),"# ##0;-# ##0"),",-"),FIXED(ROUND(IF(EXC.RATE.SWITCH=1,C945*(1-I945)*(1-ADD.DISCOUNT)*(1+MAT.SURCHARGE)/EXC.RATE_2,C945*(1-I945)*(1-ADD.DISCOUNT)*(1+MAT.SURCHARGE)*EXC.RATE_2),CURRENCY.FORMAT_2),CURRENCY.FORMAT_2,0)),'DICTIONARY-5'!$A$2))</f>
        <v/>
      </c>
      <c r="N945" s="542">
        <v>4</v>
      </c>
      <c r="O945" s="542"/>
      <c r="P945" s="731" t="str">
        <f>'DICTIONARY-3'!$A$56</f>
        <v>HOD-M</v>
      </c>
      <c r="Q945" s="732" t="str">
        <f>'DICTIONARY-3'!$A$196</f>
        <v>Mostek nawiertowy</v>
      </c>
      <c r="R945" s="732" t="str">
        <f>CONCATENATE('DICTIONARY-3'!$A$55,'DICTIONARY-3'!$A$65," ",'DICTIONARY-6'!$A$21," ",'DICTIONARY-2'!$A$2,"50-65 G1¼"," ",'DICTIONARY-6'!$A$61,", ",'DICTIONARY-6'!$A$76," ",UPPER('DICTIONARY-5'!$A$40),"+",'DICTIONARY-5'!$A$49)</f>
        <v>HOD-M505 Mostek nawiert. DN50-65 G1¼ z zasuwa, ruroc. STAL+ŻEL.</v>
      </c>
      <c r="S945" s="733" t="str">
        <f>'DICTIONARY-4'!$A$2</f>
        <v>WW</v>
      </c>
      <c r="T945" s="732" t="str">
        <f>'DICTIONARY-4'!$A$18</f>
        <v>Wolny wałek</v>
      </c>
      <c r="U945" s="734" t="s">
        <v>5763</v>
      </c>
      <c r="V945" s="735"/>
      <c r="W945" s="736"/>
      <c r="X945" s="737" t="s">
        <v>5740</v>
      </c>
      <c r="Y945" s="738"/>
      <c r="Z945" s="739"/>
      <c r="AA945" s="739"/>
      <c r="AB945" s="740">
        <v>16</v>
      </c>
      <c r="AC945" s="741"/>
      <c r="AD945" s="741" t="str">
        <f>'DICTIONARY-5'!$A$13</f>
        <v>woda pitna</v>
      </c>
      <c r="AE945" s="742">
        <v>50</v>
      </c>
      <c r="AF945" s="743">
        <v>5.7</v>
      </c>
      <c r="AG945" s="741" t="str">
        <f>'DICTIONARY-5'!$A$23</f>
        <v>powłoka epoksydowa</v>
      </c>
    </row>
    <row r="946" spans="1:33" x14ac:dyDescent="0.25">
      <c r="A946" s="856" t="s">
        <v>877</v>
      </c>
      <c r="B946" s="856" t="s">
        <v>4102</v>
      </c>
      <c r="C946" s="836">
        <v>174</v>
      </c>
      <c r="D946" s="836"/>
      <c r="E946" s="836"/>
      <c r="F946" s="836"/>
      <c r="G946" s="496" t="s">
        <v>7812</v>
      </c>
      <c r="H946" s="797" t="str">
        <f>VLOOKUP(G946,SETTINGS!$B$7:$D$97,2,0)</f>
        <v>HOD</v>
      </c>
      <c r="I946" s="796">
        <f>VLOOKUP(G946,SETTINGS!$B$7:$D$97,3,0)</f>
        <v>0</v>
      </c>
      <c r="J946" s="670" t="str">
        <f>IFERROR(IF(CURRENCY.FORMAT_1=0,CONCATENATE(TEXT(FIXED(ROUND((C946/EXC.RATE_1),CURRENCY.FORMAT_1),CURRENCY.FORMAT_1,1),"# ##0;-# ##0"),",-"),FIXED(ROUND((C946/EXC.RATE_1),CURRENCY.FORMAT_1),CURRENCY.FORMAT_1,0)),'DICTIONARY-5'!$A$2)</f>
        <v>174,-</v>
      </c>
      <c r="K946" s="670" t="str">
        <f>IF(EXC.RATE_2=0,"",IFERROR(IF(CURRENCY.FORMAT_2=0,CONCATENATE(TEXT(FIXED(ROUND(IF(EXC.RATE.SWITCH=1,C946/EXC.RATE_2,C946*EXC.RATE_2),CURRENCY.FORMAT_2),CURRENCY.FORMAT_2,1),"# ##0;-# ##0"),",-"),FIXED(ROUND(IF(EXC.RATE.SWITCH=1,C946/EXC.RATE_2,C946*EXC.RATE_2),CURRENCY.FORMAT_2),CURRENCY.FORMAT_2,0)),'DICTIONARY-5'!$A$2))</f>
        <v/>
      </c>
      <c r="L946" s="670" t="str">
        <f>IFERROR(IF(CURRENCY.FORMAT_1=0,CONCATENATE(TEXT(FIXED(ROUND((C946*(1-I946)*(1-ADD.DISCOUNT)*(1+MAT.SURCHARGE)/EXC.RATE_1),CURRENCY.FORMAT_1),CURRENCY.FORMAT_1,1),"# ##0;-# ##0"),",-"),FIXED(ROUND((C946*(1-I946)*(1-ADD.DISCOUNT)*(1+MAT.SURCHARGE)/EXC.RATE_1),CURRENCY.FORMAT_1),CURRENCY.FORMAT_1,0)),'DICTIONARY-5'!$A$2)</f>
        <v>181,-</v>
      </c>
      <c r="M946" s="670" t="str">
        <f>IF(EXC.RATE_2=0,"",IFERROR(IF(CURRENCY.FORMAT_2=0,CONCATENATE(TEXT(FIXED(ROUND(IF(EXC.RATE.SWITCH=1,C946*(1-I946)*(1-ADD.DISCOUNT)*(1+MAT.SURCHARGE)/EXC.RATE_2,C946*(1-I946)*(1-ADD.DISCOUNT)*(1+MAT.SURCHARGE)*EXC.RATE_2),CURRENCY.FORMAT_2),CURRENCY.FORMAT_2,1),"# ##0;-# ##0"),",-"),FIXED(ROUND(IF(EXC.RATE.SWITCH=1,C946*(1-I946)*(1-ADD.DISCOUNT)*(1+MAT.SURCHARGE)/EXC.RATE_2,C946*(1-I946)*(1-ADD.DISCOUNT)*(1+MAT.SURCHARGE)*EXC.RATE_2),CURRENCY.FORMAT_2),CURRENCY.FORMAT_2,0)),'DICTIONARY-5'!$A$2))</f>
        <v/>
      </c>
      <c r="N946" s="542">
        <v>4</v>
      </c>
      <c r="O946" s="542"/>
      <c r="P946" s="731" t="str">
        <f>'DICTIONARY-3'!$A$56</f>
        <v>HOD-M</v>
      </c>
      <c r="Q946" s="732" t="str">
        <f>'DICTIONARY-3'!$A$196</f>
        <v>Mostek nawiertowy</v>
      </c>
      <c r="R946" s="732" t="str">
        <f>CONCATENATE('DICTIONARY-3'!$A$55,'DICTIONARY-3'!$A$65," ",'DICTIONARY-6'!$A$21," ",'DICTIONARY-2'!$A$2,"80-500 G1"," ",'DICTIONARY-6'!$A$61,", ",'DICTIONARY-6'!$A$76," ",UPPER('DICTIONARY-5'!$A$40),"+",'DICTIONARY-5'!$A$49)</f>
        <v>HOD-M505 Mostek nawiert. DN80-500 G1 z zasuwa, ruroc. STAL+ŻEL.</v>
      </c>
      <c r="S946" s="733" t="str">
        <f>'DICTIONARY-4'!$A$2</f>
        <v>WW</v>
      </c>
      <c r="T946" s="732" t="str">
        <f>'DICTIONARY-4'!$A$18</f>
        <v>Wolny wałek</v>
      </c>
      <c r="U946" s="734" t="s">
        <v>5762</v>
      </c>
      <c r="V946" s="735"/>
      <c r="W946" s="736"/>
      <c r="X946" s="750" t="s">
        <v>49</v>
      </c>
      <c r="Y946" s="738"/>
      <c r="Z946" s="739"/>
      <c r="AA946" s="739"/>
      <c r="AB946" s="740">
        <v>16</v>
      </c>
      <c r="AC946" s="741"/>
      <c r="AD946" s="741" t="str">
        <f>'DICTIONARY-5'!$A$13</f>
        <v>woda pitna</v>
      </c>
      <c r="AE946" s="742">
        <v>50</v>
      </c>
      <c r="AF946" s="743">
        <v>5.5</v>
      </c>
      <c r="AG946" s="741" t="str">
        <f>'DICTIONARY-5'!$A$23</f>
        <v>powłoka epoksydowa</v>
      </c>
    </row>
    <row r="947" spans="1:33" x14ac:dyDescent="0.25">
      <c r="A947" s="856" t="s">
        <v>880</v>
      </c>
      <c r="B947" s="856" t="s">
        <v>4103</v>
      </c>
      <c r="C947" s="836">
        <v>177</v>
      </c>
      <c r="D947" s="836"/>
      <c r="E947" s="836"/>
      <c r="F947" s="836"/>
      <c r="G947" s="496" t="s">
        <v>7812</v>
      </c>
      <c r="H947" s="797" t="str">
        <f>VLOOKUP(G947,SETTINGS!$B$7:$D$97,2,0)</f>
        <v>HOD</v>
      </c>
      <c r="I947" s="796">
        <f>VLOOKUP(G947,SETTINGS!$B$7:$D$97,3,0)</f>
        <v>0</v>
      </c>
      <c r="J947" s="670" t="str">
        <f>IFERROR(IF(CURRENCY.FORMAT_1=0,CONCATENATE(TEXT(FIXED(ROUND((C947/EXC.RATE_1),CURRENCY.FORMAT_1),CURRENCY.FORMAT_1,1),"# ##0;-# ##0"),",-"),FIXED(ROUND((C947/EXC.RATE_1),CURRENCY.FORMAT_1),CURRENCY.FORMAT_1,0)),'DICTIONARY-5'!$A$2)</f>
        <v>177,-</v>
      </c>
      <c r="K947" s="670" t="str">
        <f>IF(EXC.RATE_2=0,"",IFERROR(IF(CURRENCY.FORMAT_2=0,CONCATENATE(TEXT(FIXED(ROUND(IF(EXC.RATE.SWITCH=1,C947/EXC.RATE_2,C947*EXC.RATE_2),CURRENCY.FORMAT_2),CURRENCY.FORMAT_2,1),"# ##0;-# ##0"),",-"),FIXED(ROUND(IF(EXC.RATE.SWITCH=1,C947/EXC.RATE_2,C947*EXC.RATE_2),CURRENCY.FORMAT_2),CURRENCY.FORMAT_2,0)),'DICTIONARY-5'!$A$2))</f>
        <v/>
      </c>
      <c r="L947" s="670" t="str">
        <f>IFERROR(IF(CURRENCY.FORMAT_1=0,CONCATENATE(TEXT(FIXED(ROUND((C947*(1-I947)*(1-ADD.DISCOUNT)*(1+MAT.SURCHARGE)/EXC.RATE_1),CURRENCY.FORMAT_1),CURRENCY.FORMAT_1,1),"# ##0;-# ##0"),",-"),FIXED(ROUND((C947*(1-I947)*(1-ADD.DISCOUNT)*(1+MAT.SURCHARGE)/EXC.RATE_1),CURRENCY.FORMAT_1),CURRENCY.FORMAT_1,0)),'DICTIONARY-5'!$A$2)</f>
        <v>184,-</v>
      </c>
      <c r="M947" s="670" t="str">
        <f>IF(EXC.RATE_2=0,"",IFERROR(IF(CURRENCY.FORMAT_2=0,CONCATENATE(TEXT(FIXED(ROUND(IF(EXC.RATE.SWITCH=1,C947*(1-I947)*(1-ADD.DISCOUNT)*(1+MAT.SURCHARGE)/EXC.RATE_2,C947*(1-I947)*(1-ADD.DISCOUNT)*(1+MAT.SURCHARGE)*EXC.RATE_2),CURRENCY.FORMAT_2),CURRENCY.FORMAT_2,1),"# ##0;-# ##0"),",-"),FIXED(ROUND(IF(EXC.RATE.SWITCH=1,C947*(1-I947)*(1-ADD.DISCOUNT)*(1+MAT.SURCHARGE)/EXC.RATE_2,C947*(1-I947)*(1-ADD.DISCOUNT)*(1+MAT.SURCHARGE)*EXC.RATE_2),CURRENCY.FORMAT_2),CURRENCY.FORMAT_2,0)),'DICTIONARY-5'!$A$2))</f>
        <v/>
      </c>
      <c r="N947" s="542">
        <v>4</v>
      </c>
      <c r="O947" s="542"/>
      <c r="P947" s="731" t="str">
        <f>'DICTIONARY-3'!$A$56</f>
        <v>HOD-M</v>
      </c>
      <c r="Q947" s="732" t="str">
        <f>'DICTIONARY-3'!$A$196</f>
        <v>Mostek nawiertowy</v>
      </c>
      <c r="R947" s="732" t="str">
        <f>CONCATENATE('DICTIONARY-3'!$A$55,'DICTIONARY-3'!$A$65," ",'DICTIONARY-6'!$A$21," ",'DICTIONARY-2'!$A$2,"80-500 G 1¼"," ",'DICTIONARY-6'!$A$61,", ",'DICTIONARY-6'!$A$76," ",UPPER('DICTIONARY-5'!$A$40),"+",'DICTIONARY-5'!$A$49)</f>
        <v>HOD-M505 Mostek nawiert. DN80-500 G 1¼ z zasuwa, ruroc. STAL+ŻEL.</v>
      </c>
      <c r="S947" s="733" t="str">
        <f>'DICTIONARY-4'!$A$2</f>
        <v>WW</v>
      </c>
      <c r="T947" s="732" t="str">
        <f>'DICTIONARY-4'!$A$18</f>
        <v>Wolny wałek</v>
      </c>
      <c r="U947" s="734" t="s">
        <v>5762</v>
      </c>
      <c r="V947" s="735"/>
      <c r="W947" s="736"/>
      <c r="X947" s="750" t="s">
        <v>5770</v>
      </c>
      <c r="Y947" s="738"/>
      <c r="Z947" s="739"/>
      <c r="AA947" s="739"/>
      <c r="AB947" s="740">
        <v>16</v>
      </c>
      <c r="AC947" s="741"/>
      <c r="AD947" s="741" t="str">
        <f>'DICTIONARY-5'!$A$13</f>
        <v>woda pitna</v>
      </c>
      <c r="AE947" s="742">
        <v>50</v>
      </c>
      <c r="AF947" s="743">
        <v>6.8</v>
      </c>
      <c r="AG947" s="741" t="str">
        <f>'DICTIONARY-5'!$A$23</f>
        <v>powłoka epoksydowa</v>
      </c>
    </row>
    <row r="948" spans="1:33" x14ac:dyDescent="0.25">
      <c r="A948" s="856" t="s">
        <v>883</v>
      </c>
      <c r="B948" s="856" t="s">
        <v>4098</v>
      </c>
      <c r="C948" s="836">
        <v>225</v>
      </c>
      <c r="D948" s="836"/>
      <c r="E948" s="836"/>
      <c r="F948" s="836"/>
      <c r="G948" s="496" t="s">
        <v>7812</v>
      </c>
      <c r="H948" s="797" t="str">
        <f>VLOOKUP(G948,SETTINGS!$B$7:$D$97,2,0)</f>
        <v>HOD</v>
      </c>
      <c r="I948" s="796">
        <f>VLOOKUP(G948,SETTINGS!$B$7:$D$97,3,0)</f>
        <v>0</v>
      </c>
      <c r="J948" s="670" t="str">
        <f>IFERROR(IF(CURRENCY.FORMAT_1=0,CONCATENATE(TEXT(FIXED(ROUND((C948/EXC.RATE_1),CURRENCY.FORMAT_1),CURRENCY.FORMAT_1,1),"# ##0;-# ##0"),",-"),FIXED(ROUND((C948/EXC.RATE_1),CURRENCY.FORMAT_1),CURRENCY.FORMAT_1,0)),'DICTIONARY-5'!$A$2)</f>
        <v>225,-</v>
      </c>
      <c r="K948" s="670" t="str">
        <f>IF(EXC.RATE_2=0,"",IFERROR(IF(CURRENCY.FORMAT_2=0,CONCATENATE(TEXT(FIXED(ROUND(IF(EXC.RATE.SWITCH=1,C948/EXC.RATE_2,C948*EXC.RATE_2),CURRENCY.FORMAT_2),CURRENCY.FORMAT_2,1),"# ##0;-# ##0"),",-"),FIXED(ROUND(IF(EXC.RATE.SWITCH=1,C948/EXC.RATE_2,C948*EXC.RATE_2),CURRENCY.FORMAT_2),CURRENCY.FORMAT_2,0)),'DICTIONARY-5'!$A$2))</f>
        <v/>
      </c>
      <c r="L948" s="670" t="str">
        <f>IFERROR(IF(CURRENCY.FORMAT_1=0,CONCATENATE(TEXT(FIXED(ROUND((C948*(1-I948)*(1-ADD.DISCOUNT)*(1+MAT.SURCHARGE)/EXC.RATE_1),CURRENCY.FORMAT_1),CURRENCY.FORMAT_1,1),"# ##0;-# ##0"),",-"),FIXED(ROUND((C948*(1-I948)*(1-ADD.DISCOUNT)*(1+MAT.SURCHARGE)/EXC.RATE_1),CURRENCY.FORMAT_1),CURRENCY.FORMAT_1,0)),'DICTIONARY-5'!$A$2)</f>
        <v>234,-</v>
      </c>
      <c r="M948" s="670" t="str">
        <f>IF(EXC.RATE_2=0,"",IFERROR(IF(CURRENCY.FORMAT_2=0,CONCATENATE(TEXT(FIXED(ROUND(IF(EXC.RATE.SWITCH=1,C948*(1-I948)*(1-ADD.DISCOUNT)*(1+MAT.SURCHARGE)/EXC.RATE_2,C948*(1-I948)*(1-ADD.DISCOUNT)*(1+MAT.SURCHARGE)*EXC.RATE_2),CURRENCY.FORMAT_2),CURRENCY.FORMAT_2,1),"# ##0;-# ##0"),",-"),FIXED(ROUND(IF(EXC.RATE.SWITCH=1,C948*(1-I948)*(1-ADD.DISCOUNT)*(1+MAT.SURCHARGE)/EXC.RATE_2,C948*(1-I948)*(1-ADD.DISCOUNT)*(1+MAT.SURCHARGE)*EXC.RATE_2),CURRENCY.FORMAT_2),CURRENCY.FORMAT_2,0)),'DICTIONARY-5'!$A$2))</f>
        <v/>
      </c>
      <c r="N948" s="542">
        <v>4</v>
      </c>
      <c r="O948" s="542"/>
      <c r="P948" s="731" t="str">
        <f>'DICTIONARY-3'!$A$56</f>
        <v>HOD-M</v>
      </c>
      <c r="Q948" s="732" t="str">
        <f>'DICTIONARY-3'!$A$196</f>
        <v>Mostek nawiertowy</v>
      </c>
      <c r="R948" s="732" t="str">
        <f>CONCATENATE('DICTIONARY-3'!$A$55,'DICTIONARY-3'!$A$65," ",'DICTIONARY-6'!$A$21," ",'DICTIONARY-2'!$A$2,"80-500 G 1½"," ",'DICTIONARY-6'!$A$61,", ",'DICTIONARY-6'!$A$76," ",UPPER('DICTIONARY-5'!$A$40),"+",'DICTIONARY-5'!$A$49)</f>
        <v>HOD-M505 Mostek nawiert. DN80-500 G 1½ z zasuwa, ruroc. STAL+ŻEL.</v>
      </c>
      <c r="S948" s="733" t="str">
        <f>'DICTIONARY-4'!$A$2</f>
        <v>WW</v>
      </c>
      <c r="T948" s="732" t="str">
        <f>'DICTIONARY-4'!$A$18</f>
        <v>Wolny wałek</v>
      </c>
      <c r="U948" s="734" t="s">
        <v>5762</v>
      </c>
      <c r="V948" s="735"/>
      <c r="W948" s="736"/>
      <c r="X948" s="737" t="s">
        <v>5771</v>
      </c>
      <c r="Y948" s="738"/>
      <c r="Z948" s="739"/>
      <c r="AA948" s="739"/>
      <c r="AB948" s="740">
        <v>16</v>
      </c>
      <c r="AC948" s="741"/>
      <c r="AD948" s="741" t="str">
        <f>'DICTIONARY-5'!$A$13</f>
        <v>woda pitna</v>
      </c>
      <c r="AE948" s="742">
        <v>50</v>
      </c>
      <c r="AF948" s="743">
        <v>9</v>
      </c>
      <c r="AG948" s="741" t="str">
        <f>'DICTIONARY-5'!$A$23</f>
        <v>powłoka epoksydowa</v>
      </c>
    </row>
    <row r="949" spans="1:33" x14ac:dyDescent="0.25">
      <c r="A949" s="856" t="s">
        <v>885</v>
      </c>
      <c r="B949" s="856" t="s">
        <v>4099</v>
      </c>
      <c r="C949" s="836">
        <v>227</v>
      </c>
      <c r="D949" s="836"/>
      <c r="E949" s="836"/>
      <c r="F949" s="836"/>
      <c r="G949" s="496" t="s">
        <v>7812</v>
      </c>
      <c r="H949" s="797" t="str">
        <f>VLOOKUP(G949,SETTINGS!$B$7:$D$97,2,0)</f>
        <v>HOD</v>
      </c>
      <c r="I949" s="796">
        <f>VLOOKUP(G949,SETTINGS!$B$7:$D$97,3,0)</f>
        <v>0</v>
      </c>
      <c r="J949" s="670" t="str">
        <f>IFERROR(IF(CURRENCY.FORMAT_1=0,CONCATENATE(TEXT(FIXED(ROUND((C949/EXC.RATE_1),CURRENCY.FORMAT_1),CURRENCY.FORMAT_1,1),"# ##0;-# ##0"),",-"),FIXED(ROUND((C949/EXC.RATE_1),CURRENCY.FORMAT_1),CURRENCY.FORMAT_1,0)),'DICTIONARY-5'!$A$2)</f>
        <v>227,-</v>
      </c>
      <c r="K949" s="670" t="str">
        <f>IF(EXC.RATE_2=0,"",IFERROR(IF(CURRENCY.FORMAT_2=0,CONCATENATE(TEXT(FIXED(ROUND(IF(EXC.RATE.SWITCH=1,C949/EXC.RATE_2,C949*EXC.RATE_2),CURRENCY.FORMAT_2),CURRENCY.FORMAT_2,1),"# ##0;-# ##0"),",-"),FIXED(ROUND(IF(EXC.RATE.SWITCH=1,C949/EXC.RATE_2,C949*EXC.RATE_2),CURRENCY.FORMAT_2),CURRENCY.FORMAT_2,0)),'DICTIONARY-5'!$A$2))</f>
        <v/>
      </c>
      <c r="L949" s="670" t="str">
        <f>IFERROR(IF(CURRENCY.FORMAT_1=0,CONCATENATE(TEXT(FIXED(ROUND((C949*(1-I949)*(1-ADD.DISCOUNT)*(1+MAT.SURCHARGE)/EXC.RATE_1),CURRENCY.FORMAT_1),CURRENCY.FORMAT_1,1),"# ##0;-# ##0"),",-"),FIXED(ROUND((C949*(1-I949)*(1-ADD.DISCOUNT)*(1+MAT.SURCHARGE)/EXC.RATE_1),CURRENCY.FORMAT_1),CURRENCY.FORMAT_1,0)),'DICTIONARY-5'!$A$2)</f>
        <v>236,-</v>
      </c>
      <c r="M949" s="670" t="str">
        <f>IF(EXC.RATE_2=0,"",IFERROR(IF(CURRENCY.FORMAT_2=0,CONCATENATE(TEXT(FIXED(ROUND(IF(EXC.RATE.SWITCH=1,C949*(1-I949)*(1-ADD.DISCOUNT)*(1+MAT.SURCHARGE)/EXC.RATE_2,C949*(1-I949)*(1-ADD.DISCOUNT)*(1+MAT.SURCHARGE)*EXC.RATE_2),CURRENCY.FORMAT_2),CURRENCY.FORMAT_2,1),"# ##0;-# ##0"),",-"),FIXED(ROUND(IF(EXC.RATE.SWITCH=1,C949*(1-I949)*(1-ADD.DISCOUNT)*(1+MAT.SURCHARGE)/EXC.RATE_2,C949*(1-I949)*(1-ADD.DISCOUNT)*(1+MAT.SURCHARGE)*EXC.RATE_2),CURRENCY.FORMAT_2),CURRENCY.FORMAT_2,0)),'DICTIONARY-5'!$A$2))</f>
        <v/>
      </c>
      <c r="N949" s="542">
        <v>4</v>
      </c>
      <c r="O949" s="542"/>
      <c r="P949" s="731" t="str">
        <f>'DICTIONARY-3'!$A$56</f>
        <v>HOD-M</v>
      </c>
      <c r="Q949" s="732" t="str">
        <f>'DICTIONARY-3'!$A$196</f>
        <v>Mostek nawiertowy</v>
      </c>
      <c r="R949" s="732" t="str">
        <f>CONCATENATE('DICTIONARY-3'!$A$55,'DICTIONARY-3'!$A$65," ",'DICTIONARY-6'!$A$21," ",'DICTIONARY-2'!$A$2,"80-500 G2"," ",'DICTIONARY-6'!$A$61,", ",'DICTIONARY-6'!$A$76," ",UPPER('DICTIONARY-5'!$A$40),"+",'DICTIONARY-5'!$A$49)</f>
        <v>HOD-M505 Mostek nawiert. DN80-500 G2 z zasuwa, ruroc. STAL+ŻEL.</v>
      </c>
      <c r="S949" s="733" t="str">
        <f>'DICTIONARY-4'!$A$2</f>
        <v>WW</v>
      </c>
      <c r="T949" s="732" t="str">
        <f>'DICTIONARY-4'!$A$18</f>
        <v>Wolny wałek</v>
      </c>
      <c r="U949" s="734" t="s">
        <v>5762</v>
      </c>
      <c r="V949" s="735"/>
      <c r="W949" s="736"/>
      <c r="X949" s="750" t="s">
        <v>50</v>
      </c>
      <c r="Y949" s="738"/>
      <c r="Z949" s="739"/>
      <c r="AA949" s="739"/>
      <c r="AB949" s="740">
        <v>16</v>
      </c>
      <c r="AC949" s="741"/>
      <c r="AD949" s="741" t="str">
        <f>'DICTIONARY-5'!$A$13</f>
        <v>woda pitna</v>
      </c>
      <c r="AE949" s="742">
        <v>50</v>
      </c>
      <c r="AF949" s="743">
        <v>7.5</v>
      </c>
      <c r="AG949" s="741" t="str">
        <f>'DICTIONARY-5'!$A$23</f>
        <v>powłoka epoksydowa</v>
      </c>
    </row>
    <row r="950" spans="1:33" x14ac:dyDescent="0.25">
      <c r="A950" s="856" t="s">
        <v>872</v>
      </c>
      <c r="B950" s="856" t="s">
        <v>4148</v>
      </c>
      <c r="C950" s="836">
        <v>127</v>
      </c>
      <c r="D950" s="836"/>
      <c r="E950" s="836"/>
      <c r="F950" s="836"/>
      <c r="G950" s="496" t="s">
        <v>7812</v>
      </c>
      <c r="H950" s="797" t="str">
        <f>VLOOKUP(G950,SETTINGS!$B$7:$D$97,2,0)</f>
        <v>HOD</v>
      </c>
      <c r="I950" s="796">
        <f>VLOOKUP(G950,SETTINGS!$B$7:$D$97,3,0)</f>
        <v>0</v>
      </c>
      <c r="J950" s="670" t="str">
        <f>IFERROR(IF(CURRENCY.FORMAT_1=0,CONCATENATE(TEXT(FIXED(ROUND((C950/EXC.RATE_1),CURRENCY.FORMAT_1),CURRENCY.FORMAT_1,1),"# ##0;-# ##0"),",-"),FIXED(ROUND((C950/EXC.RATE_1),CURRENCY.FORMAT_1),CURRENCY.FORMAT_1,0)),'DICTIONARY-5'!$A$2)</f>
        <v>127,-</v>
      </c>
      <c r="K950" s="670" t="str">
        <f>IF(EXC.RATE_2=0,"",IFERROR(IF(CURRENCY.FORMAT_2=0,CONCATENATE(TEXT(FIXED(ROUND(IF(EXC.RATE.SWITCH=1,C950/EXC.RATE_2,C950*EXC.RATE_2),CURRENCY.FORMAT_2),CURRENCY.FORMAT_2,1),"# ##0;-# ##0"),",-"),FIXED(ROUND(IF(EXC.RATE.SWITCH=1,C950/EXC.RATE_2,C950*EXC.RATE_2),CURRENCY.FORMAT_2),CURRENCY.FORMAT_2,0)),'DICTIONARY-5'!$A$2))</f>
        <v/>
      </c>
      <c r="L950" s="670" t="str">
        <f>IFERROR(IF(CURRENCY.FORMAT_1=0,CONCATENATE(TEXT(FIXED(ROUND((C950*(1-I950)*(1-ADD.DISCOUNT)*(1+MAT.SURCHARGE)/EXC.RATE_1),CURRENCY.FORMAT_1),CURRENCY.FORMAT_1,1),"# ##0;-# ##0"),",-"),FIXED(ROUND((C950*(1-I950)*(1-ADD.DISCOUNT)*(1+MAT.SURCHARGE)/EXC.RATE_1),CURRENCY.FORMAT_1),CURRENCY.FORMAT_1,0)),'DICTIONARY-5'!$A$2)</f>
        <v>132,-</v>
      </c>
      <c r="M950" s="670" t="str">
        <f>IF(EXC.RATE_2=0,"",IFERROR(IF(CURRENCY.FORMAT_2=0,CONCATENATE(TEXT(FIXED(ROUND(IF(EXC.RATE.SWITCH=1,C950*(1-I950)*(1-ADD.DISCOUNT)*(1+MAT.SURCHARGE)/EXC.RATE_2,C950*(1-I950)*(1-ADD.DISCOUNT)*(1+MAT.SURCHARGE)*EXC.RATE_2),CURRENCY.FORMAT_2),CURRENCY.FORMAT_2,1),"# ##0;-# ##0"),",-"),FIXED(ROUND(IF(EXC.RATE.SWITCH=1,C950*(1-I950)*(1-ADD.DISCOUNT)*(1+MAT.SURCHARGE)/EXC.RATE_2,C950*(1-I950)*(1-ADD.DISCOUNT)*(1+MAT.SURCHARGE)*EXC.RATE_2),CURRENCY.FORMAT_2),CURRENCY.FORMAT_2,0)),'DICTIONARY-5'!$A$2))</f>
        <v/>
      </c>
      <c r="N950" s="542">
        <v>4</v>
      </c>
      <c r="O950" s="542"/>
      <c r="P950" s="731" t="str">
        <f>'DICTIONARY-3'!$A$56</f>
        <v>HOD-M</v>
      </c>
      <c r="Q950" s="732" t="str">
        <f>'DICTIONARY-3'!$A$196</f>
        <v>Mostek nawiertowy</v>
      </c>
      <c r="R950" s="732" t="str">
        <f>CONCATENATE('DICTIONARY-3'!$A$55,'DICTIONARY-3'!$A$68," ",'DICTIONARY-6'!$A$21," ",'DICTIONARY-2'!$A$2,"50-65 G1"," ",'DICTIONARY-6'!$A$60,", ",'DICTIONARY-6'!$A$76," ",UPPER('DICTIONARY-5'!$A$40),"+",'DICTIONARY-5'!$A$49)</f>
        <v>HOD-M513 Mostek nawiert. DN50-65 G1 z zasuwa mosiężna, ruroc. STAL+ŻEL.</v>
      </c>
      <c r="S950" s="733" t="str">
        <f>'DICTIONARY-4'!$A$2</f>
        <v>WW</v>
      </c>
      <c r="T950" s="732" t="str">
        <f>'DICTIONARY-4'!$A$18</f>
        <v>Wolny wałek</v>
      </c>
      <c r="U950" s="734" t="s">
        <v>5763</v>
      </c>
      <c r="V950" s="735"/>
      <c r="W950" s="736"/>
      <c r="X950" s="750" t="s">
        <v>49</v>
      </c>
      <c r="Y950" s="738"/>
      <c r="Z950" s="739"/>
      <c r="AA950" s="739"/>
      <c r="AB950" s="740">
        <v>16</v>
      </c>
      <c r="AC950" s="741"/>
      <c r="AD950" s="741" t="str">
        <f>'DICTIONARY-5'!$A$13</f>
        <v>woda pitna</v>
      </c>
      <c r="AE950" s="742">
        <v>50</v>
      </c>
      <c r="AF950" s="743">
        <v>4</v>
      </c>
      <c r="AG950" s="741" t="str">
        <f>'DICTIONARY-5'!$A$23</f>
        <v>powłoka epoksydowa</v>
      </c>
    </row>
    <row r="951" spans="1:33" x14ac:dyDescent="0.25">
      <c r="A951" s="856" t="s">
        <v>875</v>
      </c>
      <c r="B951" s="856" t="s">
        <v>4149</v>
      </c>
      <c r="C951" s="836">
        <v>128</v>
      </c>
      <c r="D951" s="836"/>
      <c r="E951" s="836"/>
      <c r="F951" s="836"/>
      <c r="G951" s="496" t="s">
        <v>7812</v>
      </c>
      <c r="H951" s="797" t="str">
        <f>VLOOKUP(G951,SETTINGS!$B$7:$D$97,2,0)</f>
        <v>HOD</v>
      </c>
      <c r="I951" s="796">
        <f>VLOOKUP(G951,SETTINGS!$B$7:$D$97,3,0)</f>
        <v>0</v>
      </c>
      <c r="J951" s="670" t="str">
        <f>IFERROR(IF(CURRENCY.FORMAT_1=0,CONCATENATE(TEXT(FIXED(ROUND((C951/EXC.RATE_1),CURRENCY.FORMAT_1),CURRENCY.FORMAT_1,1),"# ##0;-# ##0"),",-"),FIXED(ROUND((C951/EXC.RATE_1),CURRENCY.FORMAT_1),CURRENCY.FORMAT_1,0)),'DICTIONARY-5'!$A$2)</f>
        <v>128,-</v>
      </c>
      <c r="K951" s="670" t="str">
        <f>IF(EXC.RATE_2=0,"",IFERROR(IF(CURRENCY.FORMAT_2=0,CONCATENATE(TEXT(FIXED(ROUND(IF(EXC.RATE.SWITCH=1,C951/EXC.RATE_2,C951*EXC.RATE_2),CURRENCY.FORMAT_2),CURRENCY.FORMAT_2,1),"# ##0;-# ##0"),",-"),FIXED(ROUND(IF(EXC.RATE.SWITCH=1,C951/EXC.RATE_2,C951*EXC.RATE_2),CURRENCY.FORMAT_2),CURRENCY.FORMAT_2,0)),'DICTIONARY-5'!$A$2))</f>
        <v/>
      </c>
      <c r="L951" s="670" t="str">
        <f>IFERROR(IF(CURRENCY.FORMAT_1=0,CONCATENATE(TEXT(FIXED(ROUND((C951*(1-I951)*(1-ADD.DISCOUNT)*(1+MAT.SURCHARGE)/EXC.RATE_1),CURRENCY.FORMAT_1),CURRENCY.FORMAT_1,1),"# ##0;-# ##0"),",-"),FIXED(ROUND((C951*(1-I951)*(1-ADD.DISCOUNT)*(1+MAT.SURCHARGE)/EXC.RATE_1),CURRENCY.FORMAT_1),CURRENCY.FORMAT_1,0)),'DICTIONARY-5'!$A$2)</f>
        <v>133,-</v>
      </c>
      <c r="M951" s="670" t="str">
        <f>IF(EXC.RATE_2=0,"",IFERROR(IF(CURRENCY.FORMAT_2=0,CONCATENATE(TEXT(FIXED(ROUND(IF(EXC.RATE.SWITCH=1,C951*(1-I951)*(1-ADD.DISCOUNT)*(1+MAT.SURCHARGE)/EXC.RATE_2,C951*(1-I951)*(1-ADD.DISCOUNT)*(1+MAT.SURCHARGE)*EXC.RATE_2),CURRENCY.FORMAT_2),CURRENCY.FORMAT_2,1),"# ##0;-# ##0"),",-"),FIXED(ROUND(IF(EXC.RATE.SWITCH=1,C951*(1-I951)*(1-ADD.DISCOUNT)*(1+MAT.SURCHARGE)/EXC.RATE_2,C951*(1-I951)*(1-ADD.DISCOUNT)*(1+MAT.SURCHARGE)*EXC.RATE_2),CURRENCY.FORMAT_2),CURRENCY.FORMAT_2,0)),'DICTIONARY-5'!$A$2))</f>
        <v/>
      </c>
      <c r="N951" s="542">
        <v>4</v>
      </c>
      <c r="O951" s="542"/>
      <c r="P951" s="731" t="str">
        <f>'DICTIONARY-3'!$A$56</f>
        <v>HOD-M</v>
      </c>
      <c r="Q951" s="732" t="str">
        <f>'DICTIONARY-3'!$A$196</f>
        <v>Mostek nawiertowy</v>
      </c>
      <c r="R951" s="732" t="str">
        <f>CONCATENATE('DICTIONARY-3'!$A$55,'DICTIONARY-3'!$A$68," ",'DICTIONARY-6'!$A$21," ",'DICTIONARY-2'!$A$2,"50-65 G1¼"," ",'DICTIONARY-6'!$A$60,", ",'DICTIONARY-6'!$A$76," ",UPPER('DICTIONARY-5'!$A$40),"+",'DICTIONARY-5'!$A$49)</f>
        <v>HOD-M513 Mostek nawiert. DN50-65 G1¼ z zasuwa mosiężna, ruroc. STAL+ŻEL.</v>
      </c>
      <c r="S951" s="733" t="str">
        <f>'DICTIONARY-4'!$A$2</f>
        <v>WW</v>
      </c>
      <c r="T951" s="732" t="str">
        <f>'DICTIONARY-4'!$A$18</f>
        <v>Wolny wałek</v>
      </c>
      <c r="U951" s="734" t="s">
        <v>5763</v>
      </c>
      <c r="V951" s="735"/>
      <c r="W951" s="736"/>
      <c r="X951" s="737" t="s">
        <v>5740</v>
      </c>
      <c r="Y951" s="738"/>
      <c r="Z951" s="739"/>
      <c r="AA951" s="739"/>
      <c r="AB951" s="740">
        <v>16</v>
      </c>
      <c r="AC951" s="741"/>
      <c r="AD951" s="741" t="str">
        <f>'DICTIONARY-5'!$A$13</f>
        <v>woda pitna</v>
      </c>
      <c r="AE951" s="742">
        <v>50</v>
      </c>
      <c r="AF951" s="743">
        <v>3.8</v>
      </c>
      <c r="AG951" s="741" t="str">
        <f>'DICTIONARY-5'!$A$23</f>
        <v>powłoka epoksydowa</v>
      </c>
    </row>
    <row r="952" spans="1:33" x14ac:dyDescent="0.25">
      <c r="A952" s="856" t="s">
        <v>878</v>
      </c>
      <c r="B952" s="856" t="s">
        <v>4150</v>
      </c>
      <c r="C952" s="836">
        <v>135</v>
      </c>
      <c r="D952" s="836"/>
      <c r="E952" s="836"/>
      <c r="F952" s="836"/>
      <c r="G952" s="496" t="s">
        <v>7812</v>
      </c>
      <c r="H952" s="797" t="str">
        <f>VLOOKUP(G952,SETTINGS!$B$7:$D$97,2,0)</f>
        <v>HOD</v>
      </c>
      <c r="I952" s="796">
        <f>VLOOKUP(G952,SETTINGS!$B$7:$D$97,3,0)</f>
        <v>0</v>
      </c>
      <c r="J952" s="670" t="str">
        <f>IFERROR(IF(CURRENCY.FORMAT_1=0,CONCATENATE(TEXT(FIXED(ROUND((C952/EXC.RATE_1),CURRENCY.FORMAT_1),CURRENCY.FORMAT_1,1),"# ##0;-# ##0"),",-"),FIXED(ROUND((C952/EXC.RATE_1),CURRENCY.FORMAT_1),CURRENCY.FORMAT_1,0)),'DICTIONARY-5'!$A$2)</f>
        <v>135,-</v>
      </c>
      <c r="K952" s="670" t="str">
        <f>IF(EXC.RATE_2=0,"",IFERROR(IF(CURRENCY.FORMAT_2=0,CONCATENATE(TEXT(FIXED(ROUND(IF(EXC.RATE.SWITCH=1,C952/EXC.RATE_2,C952*EXC.RATE_2),CURRENCY.FORMAT_2),CURRENCY.FORMAT_2,1),"# ##0;-# ##0"),",-"),FIXED(ROUND(IF(EXC.RATE.SWITCH=1,C952/EXC.RATE_2,C952*EXC.RATE_2),CURRENCY.FORMAT_2),CURRENCY.FORMAT_2,0)),'DICTIONARY-5'!$A$2))</f>
        <v/>
      </c>
      <c r="L952" s="670" t="str">
        <f>IFERROR(IF(CURRENCY.FORMAT_1=0,CONCATENATE(TEXT(FIXED(ROUND((C952*(1-I952)*(1-ADD.DISCOUNT)*(1+MAT.SURCHARGE)/EXC.RATE_1),CURRENCY.FORMAT_1),CURRENCY.FORMAT_1,1),"# ##0;-# ##0"),",-"),FIXED(ROUND((C952*(1-I952)*(1-ADD.DISCOUNT)*(1+MAT.SURCHARGE)/EXC.RATE_1),CURRENCY.FORMAT_1),CURRENCY.FORMAT_1,0)),'DICTIONARY-5'!$A$2)</f>
        <v>140,-</v>
      </c>
      <c r="M952" s="670" t="str">
        <f>IF(EXC.RATE_2=0,"",IFERROR(IF(CURRENCY.FORMAT_2=0,CONCATENATE(TEXT(FIXED(ROUND(IF(EXC.RATE.SWITCH=1,C952*(1-I952)*(1-ADD.DISCOUNT)*(1+MAT.SURCHARGE)/EXC.RATE_2,C952*(1-I952)*(1-ADD.DISCOUNT)*(1+MAT.SURCHARGE)*EXC.RATE_2),CURRENCY.FORMAT_2),CURRENCY.FORMAT_2,1),"# ##0;-# ##0"),",-"),FIXED(ROUND(IF(EXC.RATE.SWITCH=1,C952*(1-I952)*(1-ADD.DISCOUNT)*(1+MAT.SURCHARGE)/EXC.RATE_2,C952*(1-I952)*(1-ADD.DISCOUNT)*(1+MAT.SURCHARGE)*EXC.RATE_2),CURRENCY.FORMAT_2),CURRENCY.FORMAT_2,0)),'DICTIONARY-5'!$A$2))</f>
        <v/>
      </c>
      <c r="N952" s="542">
        <v>4</v>
      </c>
      <c r="O952" s="542"/>
      <c r="P952" s="731" t="str">
        <f>'DICTIONARY-3'!$A$56</f>
        <v>HOD-M</v>
      </c>
      <c r="Q952" s="732" t="str">
        <f>'DICTIONARY-3'!$A$196</f>
        <v>Mostek nawiertowy</v>
      </c>
      <c r="R952" s="732" t="str">
        <f>CONCATENATE('DICTIONARY-3'!$A$55,'DICTIONARY-3'!$A$68," ",'DICTIONARY-6'!$A$21," ",'DICTIONARY-2'!$A$2,"80-500 G1"," ",'DICTIONARY-6'!$A$60,", ",'DICTIONARY-6'!$A$76," ",UPPER('DICTIONARY-5'!$A$40),"+",'DICTIONARY-5'!$A$49)</f>
        <v>HOD-M513 Mostek nawiert. DN80-500 G1 z zasuwa mosiężna, ruroc. STAL+ŻEL.</v>
      </c>
      <c r="S952" s="733" t="str">
        <f>'DICTIONARY-4'!$A$2</f>
        <v>WW</v>
      </c>
      <c r="T952" s="732" t="str">
        <f>'DICTIONARY-4'!$A$18</f>
        <v>Wolny wałek</v>
      </c>
      <c r="U952" s="734" t="s">
        <v>5762</v>
      </c>
      <c r="V952" s="735"/>
      <c r="W952" s="736"/>
      <c r="X952" s="750" t="s">
        <v>49</v>
      </c>
      <c r="Y952" s="738"/>
      <c r="Z952" s="739"/>
      <c r="AA952" s="739"/>
      <c r="AB952" s="740">
        <v>16</v>
      </c>
      <c r="AC952" s="741"/>
      <c r="AD952" s="741" t="str">
        <f>'DICTIONARY-5'!$A$13</f>
        <v>woda pitna</v>
      </c>
      <c r="AE952" s="742">
        <v>50</v>
      </c>
      <c r="AF952" s="743">
        <v>6.1</v>
      </c>
      <c r="AG952" s="741" t="str">
        <f>'DICTIONARY-5'!$A$23</f>
        <v>powłoka epoksydowa</v>
      </c>
    </row>
    <row r="953" spans="1:33" x14ac:dyDescent="0.25">
      <c r="A953" s="856" t="s">
        <v>881</v>
      </c>
      <c r="B953" s="856" t="s">
        <v>4151</v>
      </c>
      <c r="C953" s="836">
        <v>136</v>
      </c>
      <c r="D953" s="836"/>
      <c r="E953" s="836"/>
      <c r="F953" s="836"/>
      <c r="G953" s="496" t="s">
        <v>7812</v>
      </c>
      <c r="H953" s="797" t="str">
        <f>VLOOKUP(G953,SETTINGS!$B$7:$D$97,2,0)</f>
        <v>HOD</v>
      </c>
      <c r="I953" s="796">
        <f>VLOOKUP(G953,SETTINGS!$B$7:$D$97,3,0)</f>
        <v>0</v>
      </c>
      <c r="J953" s="670" t="str">
        <f>IFERROR(IF(CURRENCY.FORMAT_1=0,CONCATENATE(TEXT(FIXED(ROUND((C953/EXC.RATE_1),CURRENCY.FORMAT_1),CURRENCY.FORMAT_1,1),"# ##0;-# ##0"),",-"),FIXED(ROUND((C953/EXC.RATE_1),CURRENCY.FORMAT_1),CURRENCY.FORMAT_1,0)),'DICTIONARY-5'!$A$2)</f>
        <v>136,-</v>
      </c>
      <c r="K953" s="670" t="str">
        <f>IF(EXC.RATE_2=0,"",IFERROR(IF(CURRENCY.FORMAT_2=0,CONCATENATE(TEXT(FIXED(ROUND(IF(EXC.RATE.SWITCH=1,C953/EXC.RATE_2,C953*EXC.RATE_2),CURRENCY.FORMAT_2),CURRENCY.FORMAT_2,1),"# ##0;-# ##0"),",-"),FIXED(ROUND(IF(EXC.RATE.SWITCH=1,C953/EXC.RATE_2,C953*EXC.RATE_2),CURRENCY.FORMAT_2),CURRENCY.FORMAT_2,0)),'DICTIONARY-5'!$A$2))</f>
        <v/>
      </c>
      <c r="L953" s="670" t="str">
        <f>IFERROR(IF(CURRENCY.FORMAT_1=0,CONCATENATE(TEXT(FIXED(ROUND((C953*(1-I953)*(1-ADD.DISCOUNT)*(1+MAT.SURCHARGE)/EXC.RATE_1),CURRENCY.FORMAT_1),CURRENCY.FORMAT_1,1),"# ##0;-# ##0"),",-"),FIXED(ROUND((C953*(1-I953)*(1-ADD.DISCOUNT)*(1+MAT.SURCHARGE)/EXC.RATE_1),CURRENCY.FORMAT_1),CURRENCY.FORMAT_1,0)),'DICTIONARY-5'!$A$2)</f>
        <v>141,-</v>
      </c>
      <c r="M953" s="670" t="str">
        <f>IF(EXC.RATE_2=0,"",IFERROR(IF(CURRENCY.FORMAT_2=0,CONCATENATE(TEXT(FIXED(ROUND(IF(EXC.RATE.SWITCH=1,C953*(1-I953)*(1-ADD.DISCOUNT)*(1+MAT.SURCHARGE)/EXC.RATE_2,C953*(1-I953)*(1-ADD.DISCOUNT)*(1+MAT.SURCHARGE)*EXC.RATE_2),CURRENCY.FORMAT_2),CURRENCY.FORMAT_2,1),"# ##0;-# ##0"),",-"),FIXED(ROUND(IF(EXC.RATE.SWITCH=1,C953*(1-I953)*(1-ADD.DISCOUNT)*(1+MAT.SURCHARGE)/EXC.RATE_2,C953*(1-I953)*(1-ADD.DISCOUNT)*(1+MAT.SURCHARGE)*EXC.RATE_2),CURRENCY.FORMAT_2),CURRENCY.FORMAT_2,0)),'DICTIONARY-5'!$A$2))</f>
        <v/>
      </c>
      <c r="N953" s="542">
        <v>4</v>
      </c>
      <c r="O953" s="542"/>
      <c r="P953" s="731" t="str">
        <f>'DICTIONARY-3'!$A$56</f>
        <v>HOD-M</v>
      </c>
      <c r="Q953" s="732" t="str">
        <f>'DICTIONARY-3'!$A$196</f>
        <v>Mostek nawiertowy</v>
      </c>
      <c r="R953" s="732" t="str">
        <f>CONCATENATE('DICTIONARY-3'!$A$55,'DICTIONARY-3'!$A$68," ",'DICTIONARY-6'!$A$21," ",'DICTIONARY-2'!$A$2,"80-500 G 1¼"," ",'DICTIONARY-6'!$A$60,", ",'DICTIONARY-6'!$A$76," ",UPPER('DICTIONARY-5'!$A$40),"+",'DICTIONARY-5'!$A$49)</f>
        <v>HOD-M513 Mostek nawiert. DN80-500 G 1¼ z zasuwa mosiężna, ruroc. STAL+ŻEL.</v>
      </c>
      <c r="S953" s="733" t="str">
        <f>'DICTIONARY-4'!$A$2</f>
        <v>WW</v>
      </c>
      <c r="T953" s="732" t="str">
        <f>'DICTIONARY-4'!$A$18</f>
        <v>Wolny wałek</v>
      </c>
      <c r="U953" s="734" t="s">
        <v>5762</v>
      </c>
      <c r="V953" s="735"/>
      <c r="W953" s="736"/>
      <c r="X953" s="737" t="s">
        <v>5770</v>
      </c>
      <c r="Y953" s="738"/>
      <c r="Z953" s="739"/>
      <c r="AA953" s="739"/>
      <c r="AB953" s="740">
        <v>16</v>
      </c>
      <c r="AC953" s="741"/>
      <c r="AD953" s="741" t="str">
        <f>'DICTIONARY-5'!$A$13</f>
        <v>woda pitna</v>
      </c>
      <c r="AE953" s="742">
        <v>50</v>
      </c>
      <c r="AF953" s="743">
        <v>4.5</v>
      </c>
      <c r="AG953" s="741" t="str">
        <f>'DICTIONARY-5'!$A$23</f>
        <v>powłoka epoksydowa</v>
      </c>
    </row>
    <row r="954" spans="1:33" x14ac:dyDescent="0.25">
      <c r="A954" s="856" t="s">
        <v>887</v>
      </c>
      <c r="B954" s="856" t="s">
        <v>3989</v>
      </c>
      <c r="C954" s="836">
        <v>96</v>
      </c>
      <c r="D954" s="836"/>
      <c r="E954" s="836"/>
      <c r="F954" s="836"/>
      <c r="G954" s="496" t="s">
        <v>7812</v>
      </c>
      <c r="H954" s="797" t="str">
        <f>VLOOKUP(G954,SETTINGS!$B$7:$D$97,2,0)</f>
        <v>HOD</v>
      </c>
      <c r="I954" s="796">
        <f>VLOOKUP(G954,SETTINGS!$B$7:$D$97,3,0)</f>
        <v>0</v>
      </c>
      <c r="J954" s="670" t="str">
        <f>IFERROR(IF(CURRENCY.FORMAT_1=0,CONCATENATE(TEXT(FIXED(ROUND((C954/EXC.RATE_1),CURRENCY.FORMAT_1),CURRENCY.FORMAT_1,1),"# ##0;-# ##0"),",-"),FIXED(ROUND((C954/EXC.RATE_1),CURRENCY.FORMAT_1),CURRENCY.FORMAT_1,0)),'DICTIONARY-5'!$A$2)</f>
        <v>96,-</v>
      </c>
      <c r="K954" s="670" t="str">
        <f>IF(EXC.RATE_2=0,"",IFERROR(IF(CURRENCY.FORMAT_2=0,CONCATENATE(TEXT(FIXED(ROUND(IF(EXC.RATE.SWITCH=1,C954/EXC.RATE_2,C954*EXC.RATE_2),CURRENCY.FORMAT_2),CURRENCY.FORMAT_2,1),"# ##0;-# ##0"),",-"),FIXED(ROUND(IF(EXC.RATE.SWITCH=1,C954/EXC.RATE_2,C954*EXC.RATE_2),CURRENCY.FORMAT_2),CURRENCY.FORMAT_2,0)),'DICTIONARY-5'!$A$2))</f>
        <v/>
      </c>
      <c r="L954" s="670" t="str">
        <f>IFERROR(IF(CURRENCY.FORMAT_1=0,CONCATENATE(TEXT(FIXED(ROUND((C954*(1-I954)*(1-ADD.DISCOUNT)*(1+MAT.SURCHARGE)/EXC.RATE_1),CURRENCY.FORMAT_1),CURRENCY.FORMAT_1,1),"# ##0;-# ##0"),",-"),FIXED(ROUND((C954*(1-I954)*(1-ADD.DISCOUNT)*(1+MAT.SURCHARGE)/EXC.RATE_1),CURRENCY.FORMAT_1),CURRENCY.FORMAT_1,0)),'DICTIONARY-5'!$A$2)</f>
        <v>100,-</v>
      </c>
      <c r="M954" s="670" t="str">
        <f>IF(EXC.RATE_2=0,"",IFERROR(IF(CURRENCY.FORMAT_2=0,CONCATENATE(TEXT(FIXED(ROUND(IF(EXC.RATE.SWITCH=1,C954*(1-I954)*(1-ADD.DISCOUNT)*(1+MAT.SURCHARGE)/EXC.RATE_2,C954*(1-I954)*(1-ADD.DISCOUNT)*(1+MAT.SURCHARGE)*EXC.RATE_2),CURRENCY.FORMAT_2),CURRENCY.FORMAT_2,1),"# ##0;-# ##0"),",-"),FIXED(ROUND(IF(EXC.RATE.SWITCH=1,C954*(1-I954)*(1-ADD.DISCOUNT)*(1+MAT.SURCHARGE)/EXC.RATE_2,C954*(1-I954)*(1-ADD.DISCOUNT)*(1+MAT.SURCHARGE)*EXC.RATE_2),CURRENCY.FORMAT_2),CURRENCY.FORMAT_2,0)),'DICTIONARY-5'!$A$2))</f>
        <v/>
      </c>
      <c r="N954" s="542">
        <v>4</v>
      </c>
      <c r="O954" s="542"/>
      <c r="P954" s="731" t="str">
        <f>'DICTIONARY-3'!$A$56</f>
        <v>HOD-M</v>
      </c>
      <c r="Q954" s="732" t="str">
        <f>'DICTIONARY-3'!$A$196</f>
        <v>Mostek nawiertowy</v>
      </c>
      <c r="R954" s="732" t="str">
        <f>CONCATENATE('DICTIONARY-3'!$A$55,'DICTIONARY-3'!$A$69," ",'DICTIONARY-6'!$A$21," ",'DICTIONARY-2'!$A$2,"50-65"," ",'DICTIONARY-6'!$A$62,"+",'DICTIONARY-6'!$A$63," ","d32",", ",'DICTIONARY-6'!$A$76," ",UPPER('DICTIONARY-5'!$A$40),"+",'DICTIONARY-5'!$A$49)</f>
        <v>HOD-M514 Mostek nawiert. DN50-65 z zaw. kul.+końc. d32, ruroc. STAL+ŻEL.</v>
      </c>
      <c r="S954" s="733" t="str">
        <f>'DICTIONARY-4'!$A$2</f>
        <v>WW</v>
      </c>
      <c r="T954" s="732" t="str">
        <f>'DICTIONARY-4'!$A$18</f>
        <v>Wolny wałek</v>
      </c>
      <c r="U954" s="734" t="s">
        <v>5763</v>
      </c>
      <c r="V954" s="735"/>
      <c r="W954" s="736"/>
      <c r="X954" s="737"/>
      <c r="Y954" s="738"/>
      <c r="Z954" s="739"/>
      <c r="AA954" s="739"/>
      <c r="AB954" s="740">
        <v>16</v>
      </c>
      <c r="AC954" s="741"/>
      <c r="AD954" s="741" t="str">
        <f>'DICTIONARY-5'!$A$13</f>
        <v>woda pitna</v>
      </c>
      <c r="AE954" s="742">
        <v>50</v>
      </c>
      <c r="AF954" s="743">
        <v>3.5</v>
      </c>
      <c r="AG954" s="741" t="str">
        <f>'DICTIONARY-5'!$A$23</f>
        <v>powłoka epoksydowa</v>
      </c>
    </row>
    <row r="955" spans="1:33" x14ac:dyDescent="0.25">
      <c r="A955" s="856" t="s">
        <v>889</v>
      </c>
      <c r="B955" s="856" t="s">
        <v>3990</v>
      </c>
      <c r="C955" s="836">
        <v>106</v>
      </c>
      <c r="D955" s="836"/>
      <c r="E955" s="836"/>
      <c r="F955" s="836"/>
      <c r="G955" s="496" t="s">
        <v>7812</v>
      </c>
      <c r="H955" s="797" t="str">
        <f>VLOOKUP(G955,SETTINGS!$B$7:$D$97,2,0)</f>
        <v>HOD</v>
      </c>
      <c r="I955" s="796">
        <f>VLOOKUP(G955,SETTINGS!$B$7:$D$97,3,0)</f>
        <v>0</v>
      </c>
      <c r="J955" s="670" t="str">
        <f>IFERROR(IF(CURRENCY.FORMAT_1=0,CONCATENATE(TEXT(FIXED(ROUND((C955/EXC.RATE_1),CURRENCY.FORMAT_1),CURRENCY.FORMAT_1,1),"# ##0;-# ##0"),",-"),FIXED(ROUND((C955/EXC.RATE_1),CURRENCY.FORMAT_1),CURRENCY.FORMAT_1,0)),'DICTIONARY-5'!$A$2)</f>
        <v>106,-</v>
      </c>
      <c r="K955" s="670" t="str">
        <f>IF(EXC.RATE_2=0,"",IFERROR(IF(CURRENCY.FORMAT_2=0,CONCATENATE(TEXT(FIXED(ROUND(IF(EXC.RATE.SWITCH=1,C955/EXC.RATE_2,C955*EXC.RATE_2),CURRENCY.FORMAT_2),CURRENCY.FORMAT_2,1),"# ##0;-# ##0"),",-"),FIXED(ROUND(IF(EXC.RATE.SWITCH=1,C955/EXC.RATE_2,C955*EXC.RATE_2),CURRENCY.FORMAT_2),CURRENCY.FORMAT_2,0)),'DICTIONARY-5'!$A$2))</f>
        <v/>
      </c>
      <c r="L955" s="670" t="str">
        <f>IFERROR(IF(CURRENCY.FORMAT_1=0,CONCATENATE(TEXT(FIXED(ROUND((C955*(1-I955)*(1-ADD.DISCOUNT)*(1+MAT.SURCHARGE)/EXC.RATE_1),CURRENCY.FORMAT_1),CURRENCY.FORMAT_1,1),"# ##0;-# ##0"),",-"),FIXED(ROUND((C955*(1-I955)*(1-ADD.DISCOUNT)*(1+MAT.SURCHARGE)/EXC.RATE_1),CURRENCY.FORMAT_1),CURRENCY.FORMAT_1,0)),'DICTIONARY-5'!$A$2)</f>
        <v>110,-</v>
      </c>
      <c r="M955" s="670" t="str">
        <f>IF(EXC.RATE_2=0,"",IFERROR(IF(CURRENCY.FORMAT_2=0,CONCATENATE(TEXT(FIXED(ROUND(IF(EXC.RATE.SWITCH=1,C955*(1-I955)*(1-ADD.DISCOUNT)*(1+MAT.SURCHARGE)/EXC.RATE_2,C955*(1-I955)*(1-ADD.DISCOUNT)*(1+MAT.SURCHARGE)*EXC.RATE_2),CURRENCY.FORMAT_2),CURRENCY.FORMAT_2,1),"# ##0;-# ##0"),",-"),FIXED(ROUND(IF(EXC.RATE.SWITCH=1,C955*(1-I955)*(1-ADD.DISCOUNT)*(1+MAT.SURCHARGE)/EXC.RATE_2,C955*(1-I955)*(1-ADD.DISCOUNT)*(1+MAT.SURCHARGE)*EXC.RATE_2),CURRENCY.FORMAT_2),CURRENCY.FORMAT_2,0)),'DICTIONARY-5'!$A$2))</f>
        <v/>
      </c>
      <c r="N955" s="542">
        <v>4</v>
      </c>
      <c r="O955" s="542"/>
      <c r="P955" s="731" t="str">
        <f>'DICTIONARY-3'!$A$56</f>
        <v>HOD-M</v>
      </c>
      <c r="Q955" s="732" t="str">
        <f>'DICTIONARY-3'!$A$196</f>
        <v>Mostek nawiertowy</v>
      </c>
      <c r="R955" s="732" t="str">
        <f>CONCATENATE('DICTIONARY-3'!$A$55,'DICTIONARY-3'!$A$69," ",'DICTIONARY-6'!$A$21," ",'DICTIONARY-2'!$A$2,"80-500"," ",'DICTIONARY-6'!$A$62,"+",'DICTIONARY-6'!$A$63," ","d32",", ",'DICTIONARY-6'!$A$76," ",UPPER('DICTIONARY-5'!$A$40),"+",'DICTIONARY-5'!$A$49)</f>
        <v>HOD-M514 Mostek nawiert. DN80-500 z zaw. kul.+końc. d32, ruroc. STAL+ŻEL.</v>
      </c>
      <c r="S955" s="733" t="str">
        <f>'DICTIONARY-4'!$A$2</f>
        <v>WW</v>
      </c>
      <c r="T955" s="732" t="str">
        <f>'DICTIONARY-4'!$A$18</f>
        <v>Wolny wałek</v>
      </c>
      <c r="U955" s="734" t="s">
        <v>5762</v>
      </c>
      <c r="V955" s="735"/>
      <c r="W955" s="736"/>
      <c r="X955" s="737"/>
      <c r="Y955" s="738"/>
      <c r="Z955" s="739"/>
      <c r="AA955" s="739"/>
      <c r="AB955" s="740">
        <v>16</v>
      </c>
      <c r="AC955" s="741"/>
      <c r="AD955" s="741" t="str">
        <f>'DICTIONARY-5'!$A$13</f>
        <v>woda pitna</v>
      </c>
      <c r="AE955" s="742">
        <v>50</v>
      </c>
      <c r="AF955" s="743">
        <v>4.2</v>
      </c>
      <c r="AG955" s="741" t="str">
        <f>'DICTIONARY-5'!$A$23</f>
        <v>powłoka epoksydowa</v>
      </c>
    </row>
    <row r="956" spans="1:33" x14ac:dyDescent="0.25">
      <c r="A956" s="856" t="s">
        <v>888</v>
      </c>
      <c r="B956" s="856" t="s">
        <v>4152</v>
      </c>
      <c r="C956" s="836">
        <v>133</v>
      </c>
      <c r="D956" s="836"/>
      <c r="E956" s="836"/>
      <c r="F956" s="836"/>
      <c r="G956" s="496" t="s">
        <v>7812</v>
      </c>
      <c r="H956" s="797" t="str">
        <f>VLOOKUP(G956,SETTINGS!$B$7:$D$97,2,0)</f>
        <v>HOD</v>
      </c>
      <c r="I956" s="796">
        <f>VLOOKUP(G956,SETTINGS!$B$7:$D$97,3,0)</f>
        <v>0</v>
      </c>
      <c r="J956" s="670" t="str">
        <f>IFERROR(IF(CURRENCY.FORMAT_1=0,CONCATENATE(TEXT(FIXED(ROUND((C956/EXC.RATE_1),CURRENCY.FORMAT_1),CURRENCY.FORMAT_1,1),"# ##0;-# ##0"),",-"),FIXED(ROUND((C956/EXC.RATE_1),CURRENCY.FORMAT_1),CURRENCY.FORMAT_1,0)),'DICTIONARY-5'!$A$2)</f>
        <v>133,-</v>
      </c>
      <c r="K956" s="670" t="str">
        <f>IF(EXC.RATE_2=0,"",IFERROR(IF(CURRENCY.FORMAT_2=0,CONCATENATE(TEXT(FIXED(ROUND(IF(EXC.RATE.SWITCH=1,C956/EXC.RATE_2,C956*EXC.RATE_2),CURRENCY.FORMAT_2),CURRENCY.FORMAT_2,1),"# ##0;-# ##0"),",-"),FIXED(ROUND(IF(EXC.RATE.SWITCH=1,C956/EXC.RATE_2,C956*EXC.RATE_2),CURRENCY.FORMAT_2),CURRENCY.FORMAT_2,0)),'DICTIONARY-5'!$A$2))</f>
        <v/>
      </c>
      <c r="L956" s="670" t="str">
        <f>IFERROR(IF(CURRENCY.FORMAT_1=0,CONCATENATE(TEXT(FIXED(ROUND((C956*(1-I956)*(1-ADD.DISCOUNT)*(1+MAT.SURCHARGE)/EXC.RATE_1),CURRENCY.FORMAT_1),CURRENCY.FORMAT_1,1),"# ##0;-# ##0"),",-"),FIXED(ROUND((C956*(1-I956)*(1-ADD.DISCOUNT)*(1+MAT.SURCHARGE)/EXC.RATE_1),CURRENCY.FORMAT_1),CURRENCY.FORMAT_1,0)),'DICTIONARY-5'!$A$2)</f>
        <v>138,-</v>
      </c>
      <c r="M956" s="670" t="str">
        <f>IF(EXC.RATE_2=0,"",IFERROR(IF(CURRENCY.FORMAT_2=0,CONCATENATE(TEXT(FIXED(ROUND(IF(EXC.RATE.SWITCH=1,C956*(1-I956)*(1-ADD.DISCOUNT)*(1+MAT.SURCHARGE)/EXC.RATE_2,C956*(1-I956)*(1-ADD.DISCOUNT)*(1+MAT.SURCHARGE)*EXC.RATE_2),CURRENCY.FORMAT_2),CURRENCY.FORMAT_2,1),"# ##0;-# ##0"),",-"),FIXED(ROUND(IF(EXC.RATE.SWITCH=1,C956*(1-I956)*(1-ADD.DISCOUNT)*(1+MAT.SURCHARGE)/EXC.RATE_2,C956*(1-I956)*(1-ADD.DISCOUNT)*(1+MAT.SURCHARGE)*EXC.RATE_2),CURRENCY.FORMAT_2),CURRENCY.FORMAT_2,0)),'DICTIONARY-5'!$A$2))</f>
        <v/>
      </c>
      <c r="N956" s="542">
        <v>4</v>
      </c>
      <c r="O956" s="542"/>
      <c r="P956" s="731" t="str">
        <f>'DICTIONARY-3'!$A$56</f>
        <v>HOD-M</v>
      </c>
      <c r="Q956" s="732" t="str">
        <f>'DICTIONARY-3'!$A$196</f>
        <v>Mostek nawiertowy</v>
      </c>
      <c r="R956" s="732" t="str">
        <f>CONCATENATE('DICTIONARY-3'!$A$55,'DICTIONARY-3'!$A$70," ",'DICTIONARY-6'!$A$21," ",'DICTIONARY-2'!$A$2,"50-65"," ",'DICTIONARY-6'!$A$60,"+",'DICTIONARY-6'!$A$63," ","d32",", ",'DICTIONARY-6'!$A$76," ",UPPER('DICTIONARY-5'!$A$40),"+",'DICTIONARY-5'!$A$49)</f>
        <v>HOD-M518 Mostek nawiert. DN50-65 z zasuwa mosiężna+końc. d32, ruroc. STAL+ŻEL.</v>
      </c>
      <c r="S956" s="733" t="str">
        <f>'DICTIONARY-4'!$A$2</f>
        <v>WW</v>
      </c>
      <c r="T956" s="732" t="str">
        <f>'DICTIONARY-4'!$A$18</f>
        <v>Wolny wałek</v>
      </c>
      <c r="U956" s="734" t="s">
        <v>5763</v>
      </c>
      <c r="V956" s="735"/>
      <c r="W956" s="736"/>
      <c r="X956" s="737"/>
      <c r="Y956" s="738"/>
      <c r="Z956" s="739"/>
      <c r="AA956" s="739"/>
      <c r="AB956" s="740">
        <v>16</v>
      </c>
      <c r="AC956" s="741"/>
      <c r="AD956" s="741" t="str">
        <f>'DICTIONARY-5'!$A$13</f>
        <v>woda pitna</v>
      </c>
      <c r="AE956" s="742">
        <v>50</v>
      </c>
      <c r="AF956" s="743">
        <v>4</v>
      </c>
      <c r="AG956" s="741" t="str">
        <f>'DICTIONARY-5'!$A$23</f>
        <v>powłoka epoksydowa</v>
      </c>
    </row>
    <row r="957" spans="1:33" x14ac:dyDescent="0.25">
      <c r="A957" s="856" t="s">
        <v>890</v>
      </c>
      <c r="B957" s="856" t="s">
        <v>4153</v>
      </c>
      <c r="C957" s="836">
        <v>141</v>
      </c>
      <c r="D957" s="836"/>
      <c r="E957" s="836"/>
      <c r="F957" s="836"/>
      <c r="G957" s="496" t="s">
        <v>7812</v>
      </c>
      <c r="H957" s="797" t="str">
        <f>VLOOKUP(G957,SETTINGS!$B$7:$D$97,2,0)</f>
        <v>HOD</v>
      </c>
      <c r="I957" s="796">
        <f>VLOOKUP(G957,SETTINGS!$B$7:$D$97,3,0)</f>
        <v>0</v>
      </c>
      <c r="J957" s="670" t="str">
        <f>IFERROR(IF(CURRENCY.FORMAT_1=0,CONCATENATE(TEXT(FIXED(ROUND((C957/EXC.RATE_1),CURRENCY.FORMAT_1),CURRENCY.FORMAT_1,1),"# ##0;-# ##0"),",-"),FIXED(ROUND((C957/EXC.RATE_1),CURRENCY.FORMAT_1),CURRENCY.FORMAT_1,0)),'DICTIONARY-5'!$A$2)</f>
        <v>141,-</v>
      </c>
      <c r="K957" s="670" t="str">
        <f>IF(EXC.RATE_2=0,"",IFERROR(IF(CURRENCY.FORMAT_2=0,CONCATENATE(TEXT(FIXED(ROUND(IF(EXC.RATE.SWITCH=1,C957/EXC.RATE_2,C957*EXC.RATE_2),CURRENCY.FORMAT_2),CURRENCY.FORMAT_2,1),"# ##0;-# ##0"),",-"),FIXED(ROUND(IF(EXC.RATE.SWITCH=1,C957/EXC.RATE_2,C957*EXC.RATE_2),CURRENCY.FORMAT_2),CURRENCY.FORMAT_2,0)),'DICTIONARY-5'!$A$2))</f>
        <v/>
      </c>
      <c r="L957" s="670" t="str">
        <f>IFERROR(IF(CURRENCY.FORMAT_1=0,CONCATENATE(TEXT(FIXED(ROUND((C957*(1-I957)*(1-ADD.DISCOUNT)*(1+MAT.SURCHARGE)/EXC.RATE_1),CURRENCY.FORMAT_1),CURRENCY.FORMAT_1,1),"# ##0;-# ##0"),",-"),FIXED(ROUND((C957*(1-I957)*(1-ADD.DISCOUNT)*(1+MAT.SURCHARGE)/EXC.RATE_1),CURRENCY.FORMAT_1),CURRENCY.FORMAT_1,0)),'DICTIONARY-5'!$A$2)</f>
        <v>146,-</v>
      </c>
      <c r="M957" s="670" t="str">
        <f>IF(EXC.RATE_2=0,"",IFERROR(IF(CURRENCY.FORMAT_2=0,CONCATENATE(TEXT(FIXED(ROUND(IF(EXC.RATE.SWITCH=1,C957*(1-I957)*(1-ADD.DISCOUNT)*(1+MAT.SURCHARGE)/EXC.RATE_2,C957*(1-I957)*(1-ADD.DISCOUNT)*(1+MAT.SURCHARGE)*EXC.RATE_2),CURRENCY.FORMAT_2),CURRENCY.FORMAT_2,1),"# ##0;-# ##0"),",-"),FIXED(ROUND(IF(EXC.RATE.SWITCH=1,C957*(1-I957)*(1-ADD.DISCOUNT)*(1+MAT.SURCHARGE)/EXC.RATE_2,C957*(1-I957)*(1-ADD.DISCOUNT)*(1+MAT.SURCHARGE)*EXC.RATE_2),CURRENCY.FORMAT_2),CURRENCY.FORMAT_2,0)),'DICTIONARY-5'!$A$2))</f>
        <v/>
      </c>
      <c r="N957" s="542">
        <v>4</v>
      </c>
      <c r="O957" s="542"/>
      <c r="P957" s="731" t="str">
        <f>'DICTIONARY-3'!$A$56</f>
        <v>HOD-M</v>
      </c>
      <c r="Q957" s="732" t="str">
        <f>'DICTIONARY-3'!$A$196</f>
        <v>Mostek nawiertowy</v>
      </c>
      <c r="R957" s="732" t="str">
        <f>CONCATENATE('DICTIONARY-3'!$A$55,'DICTIONARY-3'!$A$70," ",'DICTIONARY-6'!$A$21," ",'DICTIONARY-2'!$A$2,"80-500"," ",'DICTIONARY-6'!$A$60,"+",'DICTIONARY-6'!$A$63," ","d32",", ",'DICTIONARY-6'!$A$76," ",UPPER('DICTIONARY-5'!$A$40),"+",'DICTIONARY-5'!$A$49)</f>
        <v>HOD-M518 Mostek nawiert. DN80-500 z zasuwa mosiężna+końc. d32, ruroc. STAL+ŻEL.</v>
      </c>
      <c r="S957" s="733" t="str">
        <f>'DICTIONARY-4'!$A$2</f>
        <v>WW</v>
      </c>
      <c r="T957" s="732" t="str">
        <f>'DICTIONARY-4'!$A$18</f>
        <v>Wolny wałek</v>
      </c>
      <c r="U957" s="734" t="s">
        <v>5762</v>
      </c>
      <c r="V957" s="735"/>
      <c r="W957" s="736"/>
      <c r="X957" s="737"/>
      <c r="Y957" s="738"/>
      <c r="Z957" s="739"/>
      <c r="AA957" s="739"/>
      <c r="AB957" s="740">
        <v>16</v>
      </c>
      <c r="AC957" s="741"/>
      <c r="AD957" s="741" t="str">
        <f>'DICTIONARY-5'!$A$13</f>
        <v>woda pitna</v>
      </c>
      <c r="AE957" s="742">
        <v>50</v>
      </c>
      <c r="AF957" s="743">
        <v>5</v>
      </c>
      <c r="AG957" s="741" t="str">
        <f>'DICTIONARY-5'!$A$23</f>
        <v>powłoka epoksydowa</v>
      </c>
    </row>
    <row r="958" spans="1:33" x14ac:dyDescent="0.25">
      <c r="A958" s="856" t="s">
        <v>892</v>
      </c>
      <c r="B958" s="856" t="s">
        <v>4123</v>
      </c>
      <c r="C958" s="836">
        <v>68</v>
      </c>
      <c r="D958" s="836"/>
      <c r="E958" s="836"/>
      <c r="F958" s="836"/>
      <c r="G958" s="496" t="s">
        <v>7812</v>
      </c>
      <c r="H958" s="797" t="str">
        <f>VLOOKUP(G958,SETTINGS!$B$7:$D$97,2,0)</f>
        <v>HOD</v>
      </c>
      <c r="I958" s="796">
        <f>VLOOKUP(G958,SETTINGS!$B$7:$D$97,3,0)</f>
        <v>0</v>
      </c>
      <c r="J958" s="670" t="str">
        <f>IFERROR(IF(CURRENCY.FORMAT_1=0,CONCATENATE(TEXT(FIXED(ROUND((C958/EXC.RATE_1),CURRENCY.FORMAT_1),CURRENCY.FORMAT_1,1),"# ##0;-# ##0"),",-"),FIXED(ROUND((C958/EXC.RATE_1),CURRENCY.FORMAT_1),CURRENCY.FORMAT_1,0)),'DICTIONARY-5'!$A$2)</f>
        <v>68,-</v>
      </c>
      <c r="K958" s="670" t="str">
        <f>IF(EXC.RATE_2=0,"",IFERROR(IF(CURRENCY.FORMAT_2=0,CONCATENATE(TEXT(FIXED(ROUND(IF(EXC.RATE.SWITCH=1,C958/EXC.RATE_2,C958*EXC.RATE_2),CURRENCY.FORMAT_2),CURRENCY.FORMAT_2,1),"# ##0;-# ##0"),",-"),FIXED(ROUND(IF(EXC.RATE.SWITCH=1,C958/EXC.RATE_2,C958*EXC.RATE_2),CURRENCY.FORMAT_2),CURRENCY.FORMAT_2,0)),'DICTIONARY-5'!$A$2))</f>
        <v/>
      </c>
      <c r="L958" s="670" t="str">
        <f>IFERROR(IF(CURRENCY.FORMAT_1=0,CONCATENATE(TEXT(FIXED(ROUND((C958*(1-I958)*(1-ADD.DISCOUNT)*(1+MAT.SURCHARGE)/EXC.RATE_1),CURRENCY.FORMAT_1),CURRENCY.FORMAT_1,1),"# ##0;-# ##0"),",-"),FIXED(ROUND((C958*(1-I958)*(1-ADD.DISCOUNT)*(1+MAT.SURCHARGE)/EXC.RATE_1),CURRENCY.FORMAT_1),CURRENCY.FORMAT_1,0)),'DICTIONARY-5'!$A$2)</f>
        <v>71,-</v>
      </c>
      <c r="M958" s="670" t="str">
        <f>IF(EXC.RATE_2=0,"",IFERROR(IF(CURRENCY.FORMAT_2=0,CONCATENATE(TEXT(FIXED(ROUND(IF(EXC.RATE.SWITCH=1,C958*(1-I958)*(1-ADD.DISCOUNT)*(1+MAT.SURCHARGE)/EXC.RATE_2,C958*(1-I958)*(1-ADD.DISCOUNT)*(1+MAT.SURCHARGE)*EXC.RATE_2),CURRENCY.FORMAT_2),CURRENCY.FORMAT_2,1),"# ##0;-# ##0"),",-"),FIXED(ROUND(IF(EXC.RATE.SWITCH=1,C958*(1-I958)*(1-ADD.DISCOUNT)*(1+MAT.SURCHARGE)/EXC.RATE_2,C958*(1-I958)*(1-ADD.DISCOUNT)*(1+MAT.SURCHARGE)*EXC.RATE_2),CURRENCY.FORMAT_2),CURRENCY.FORMAT_2,0)),'DICTIONARY-5'!$A$2))</f>
        <v/>
      </c>
      <c r="N958" s="542">
        <v>4</v>
      </c>
      <c r="O958" s="542"/>
      <c r="P958" s="731" t="str">
        <f>'DICTIONARY-3'!$A$57</f>
        <v>HOD-G</v>
      </c>
      <c r="Q958" s="732" t="str">
        <f>'DICTIONARY-3'!$A$196</f>
        <v>Mostek nawiertowy</v>
      </c>
      <c r="R958" s="732" t="str">
        <f>CONCATENATE('DICTIONARY-3'!$A$55,'DICTIONARY-3'!$A$71," ",'DICTIONARY-6'!$A$21," ",'DICTIONARY-2'!$A$2,"80"," ",'DICTIONARY-2'!$A$5,"94-99 G1¼"," ",'DICTIONARY-6'!$A$59,", ",'DICTIONARY-6'!$A$76," ",'DICTIONARY-5'!$A$49)</f>
        <v>HOD-G501 Mostek nawiert. DN80 Da94-99 G1¼ bez zaw., ruroc. ŻEL.</v>
      </c>
      <c r="S958" s="733" t="str">
        <f>'DICTIONARY-4'!$A$2</f>
        <v>WW</v>
      </c>
      <c r="T958" s="732"/>
      <c r="U958" s="734" t="s">
        <v>5760</v>
      </c>
      <c r="V958" s="735"/>
      <c r="W958" s="744" t="s">
        <v>5764</v>
      </c>
      <c r="X958" s="737" t="s">
        <v>5740</v>
      </c>
      <c r="Y958" s="738"/>
      <c r="Z958" s="739"/>
      <c r="AA958" s="739"/>
      <c r="AB958" s="740">
        <v>16</v>
      </c>
      <c r="AC958" s="741"/>
      <c r="AD958" s="741" t="str">
        <f>'DICTIONARY-5'!$A$13</f>
        <v>woda pitna</v>
      </c>
      <c r="AE958" s="742">
        <v>50</v>
      </c>
      <c r="AF958" s="743">
        <v>2.6</v>
      </c>
      <c r="AG958" s="741" t="str">
        <f>'DICTIONARY-5'!$A$23</f>
        <v>powłoka epoksydowa</v>
      </c>
    </row>
    <row r="959" spans="1:33" x14ac:dyDescent="0.25">
      <c r="A959" s="856" t="s">
        <v>896</v>
      </c>
      <c r="B959" s="856" t="s">
        <v>4124</v>
      </c>
      <c r="C959" s="836">
        <v>45</v>
      </c>
      <c r="D959" s="836"/>
      <c r="E959" s="836"/>
      <c r="F959" s="836"/>
      <c r="G959" s="496" t="s">
        <v>7812</v>
      </c>
      <c r="H959" s="797" t="str">
        <f>VLOOKUP(G959,SETTINGS!$B$7:$D$97,2,0)</f>
        <v>HOD</v>
      </c>
      <c r="I959" s="796">
        <f>VLOOKUP(G959,SETTINGS!$B$7:$D$97,3,0)</f>
        <v>0</v>
      </c>
      <c r="J959" s="670" t="str">
        <f>IFERROR(IF(CURRENCY.FORMAT_1=0,CONCATENATE(TEXT(FIXED(ROUND((C959/EXC.RATE_1),CURRENCY.FORMAT_1),CURRENCY.FORMAT_1,1),"# ##0;-# ##0"),",-"),FIXED(ROUND((C959/EXC.RATE_1),CURRENCY.FORMAT_1),CURRENCY.FORMAT_1,0)),'DICTIONARY-5'!$A$2)</f>
        <v>45,-</v>
      </c>
      <c r="K959" s="670" t="str">
        <f>IF(EXC.RATE_2=0,"",IFERROR(IF(CURRENCY.FORMAT_2=0,CONCATENATE(TEXT(FIXED(ROUND(IF(EXC.RATE.SWITCH=1,C959/EXC.RATE_2,C959*EXC.RATE_2),CURRENCY.FORMAT_2),CURRENCY.FORMAT_2,1),"# ##0;-# ##0"),",-"),FIXED(ROUND(IF(EXC.RATE.SWITCH=1,C959/EXC.RATE_2,C959*EXC.RATE_2),CURRENCY.FORMAT_2),CURRENCY.FORMAT_2,0)),'DICTIONARY-5'!$A$2))</f>
        <v/>
      </c>
      <c r="L959" s="670" t="str">
        <f>IFERROR(IF(CURRENCY.FORMAT_1=0,CONCATENATE(TEXT(FIXED(ROUND((C959*(1-I959)*(1-ADD.DISCOUNT)*(1+MAT.SURCHARGE)/EXC.RATE_1),CURRENCY.FORMAT_1),CURRENCY.FORMAT_1,1),"# ##0;-# ##0"),",-"),FIXED(ROUND((C959*(1-I959)*(1-ADD.DISCOUNT)*(1+MAT.SURCHARGE)/EXC.RATE_1),CURRENCY.FORMAT_1),CURRENCY.FORMAT_1,0)),'DICTIONARY-5'!$A$2)</f>
        <v>47,-</v>
      </c>
      <c r="M959" s="670" t="str">
        <f>IF(EXC.RATE_2=0,"",IFERROR(IF(CURRENCY.FORMAT_2=0,CONCATENATE(TEXT(FIXED(ROUND(IF(EXC.RATE.SWITCH=1,C959*(1-I959)*(1-ADD.DISCOUNT)*(1+MAT.SURCHARGE)/EXC.RATE_2,C959*(1-I959)*(1-ADD.DISCOUNT)*(1+MAT.SURCHARGE)*EXC.RATE_2),CURRENCY.FORMAT_2),CURRENCY.FORMAT_2,1),"# ##0;-# ##0"),",-"),FIXED(ROUND(IF(EXC.RATE.SWITCH=1,C959*(1-I959)*(1-ADD.DISCOUNT)*(1+MAT.SURCHARGE)/EXC.RATE_2,C959*(1-I959)*(1-ADD.DISCOUNT)*(1+MAT.SURCHARGE)*EXC.RATE_2),CURRENCY.FORMAT_2),CURRENCY.FORMAT_2,0)),'DICTIONARY-5'!$A$2))</f>
        <v/>
      </c>
      <c r="N959" s="542">
        <v>4</v>
      </c>
      <c r="O959" s="542"/>
      <c r="P959" s="731" t="str">
        <f>'DICTIONARY-3'!$A$57</f>
        <v>HOD-G</v>
      </c>
      <c r="Q959" s="732" t="str">
        <f>'DICTIONARY-3'!$A$196</f>
        <v>Mostek nawiertowy</v>
      </c>
      <c r="R959" s="732" t="str">
        <f>CONCATENATE('DICTIONARY-3'!$A$55,'DICTIONARY-3'!$A$71," ",'DICTIONARY-6'!$A$21," ",'DICTIONARY-2'!$A$2,"100"," ",'DICTIONARY-2'!$A$5,"114-121 G1¼"," ",'DICTIONARY-6'!$A$59,", ",'DICTIONARY-6'!$A$76," ",'DICTIONARY-5'!$A$49)</f>
        <v>HOD-G501 Mostek nawiert. DN100 Da114-121 G1¼ bez zaw., ruroc. ŻEL.</v>
      </c>
      <c r="S959" s="733" t="str">
        <f>'DICTIONARY-4'!$A$2</f>
        <v>WW</v>
      </c>
      <c r="T959" s="732"/>
      <c r="U959" s="734" t="s">
        <v>5749</v>
      </c>
      <c r="V959" s="735"/>
      <c r="W959" s="744" t="s">
        <v>5765</v>
      </c>
      <c r="X959" s="737" t="s">
        <v>5740</v>
      </c>
      <c r="Y959" s="738"/>
      <c r="Z959" s="739"/>
      <c r="AA959" s="739"/>
      <c r="AB959" s="740">
        <v>16</v>
      </c>
      <c r="AC959" s="741"/>
      <c r="AD959" s="741" t="str">
        <f>'DICTIONARY-5'!$A$13</f>
        <v>woda pitna</v>
      </c>
      <c r="AE959" s="742">
        <v>50</v>
      </c>
      <c r="AF959" s="743">
        <v>2.5</v>
      </c>
      <c r="AG959" s="741" t="str">
        <f>'DICTIONARY-5'!$A$23</f>
        <v>powłoka epoksydowa</v>
      </c>
    </row>
    <row r="960" spans="1:33" x14ac:dyDescent="0.25">
      <c r="A960" s="856" t="s">
        <v>899</v>
      </c>
      <c r="B960" s="856" t="s">
        <v>4125</v>
      </c>
      <c r="C960" s="836">
        <v>73</v>
      </c>
      <c r="D960" s="836"/>
      <c r="E960" s="836"/>
      <c r="F960" s="836"/>
      <c r="G960" s="496" t="s">
        <v>7812</v>
      </c>
      <c r="H960" s="797" t="str">
        <f>VLOOKUP(G960,SETTINGS!$B$7:$D$97,2,0)</f>
        <v>HOD</v>
      </c>
      <c r="I960" s="796">
        <f>VLOOKUP(G960,SETTINGS!$B$7:$D$97,3,0)</f>
        <v>0</v>
      </c>
      <c r="J960" s="670" t="str">
        <f>IFERROR(IF(CURRENCY.FORMAT_1=0,CONCATENATE(TEXT(FIXED(ROUND((C960/EXC.RATE_1),CURRENCY.FORMAT_1),CURRENCY.FORMAT_1,1),"# ##0;-# ##0"),",-"),FIXED(ROUND((C960/EXC.RATE_1),CURRENCY.FORMAT_1),CURRENCY.FORMAT_1,0)),'DICTIONARY-5'!$A$2)</f>
        <v>73,-</v>
      </c>
      <c r="K960" s="670" t="str">
        <f>IF(EXC.RATE_2=0,"",IFERROR(IF(CURRENCY.FORMAT_2=0,CONCATENATE(TEXT(FIXED(ROUND(IF(EXC.RATE.SWITCH=1,C960/EXC.RATE_2,C960*EXC.RATE_2),CURRENCY.FORMAT_2),CURRENCY.FORMAT_2,1),"# ##0;-# ##0"),",-"),FIXED(ROUND(IF(EXC.RATE.SWITCH=1,C960/EXC.RATE_2,C960*EXC.RATE_2),CURRENCY.FORMAT_2),CURRENCY.FORMAT_2,0)),'DICTIONARY-5'!$A$2))</f>
        <v/>
      </c>
      <c r="L960" s="670" t="str">
        <f>IFERROR(IF(CURRENCY.FORMAT_1=0,CONCATENATE(TEXT(FIXED(ROUND((C960*(1-I960)*(1-ADD.DISCOUNT)*(1+MAT.SURCHARGE)/EXC.RATE_1),CURRENCY.FORMAT_1),CURRENCY.FORMAT_1,1),"# ##0;-# ##0"),",-"),FIXED(ROUND((C960*(1-I960)*(1-ADD.DISCOUNT)*(1+MAT.SURCHARGE)/EXC.RATE_1),CURRENCY.FORMAT_1),CURRENCY.FORMAT_1,0)),'DICTIONARY-5'!$A$2)</f>
        <v>76,-</v>
      </c>
      <c r="M960" s="670" t="str">
        <f>IF(EXC.RATE_2=0,"",IFERROR(IF(CURRENCY.FORMAT_2=0,CONCATENATE(TEXT(FIXED(ROUND(IF(EXC.RATE.SWITCH=1,C960*(1-I960)*(1-ADD.DISCOUNT)*(1+MAT.SURCHARGE)/EXC.RATE_2,C960*(1-I960)*(1-ADD.DISCOUNT)*(1+MAT.SURCHARGE)*EXC.RATE_2),CURRENCY.FORMAT_2),CURRENCY.FORMAT_2,1),"# ##0;-# ##0"),",-"),FIXED(ROUND(IF(EXC.RATE.SWITCH=1,C960*(1-I960)*(1-ADD.DISCOUNT)*(1+MAT.SURCHARGE)/EXC.RATE_2,C960*(1-I960)*(1-ADD.DISCOUNT)*(1+MAT.SURCHARGE)*EXC.RATE_2),CURRENCY.FORMAT_2),CURRENCY.FORMAT_2,0)),'DICTIONARY-5'!$A$2))</f>
        <v/>
      </c>
      <c r="N960" s="542">
        <v>4</v>
      </c>
      <c r="O960" s="542"/>
      <c r="P960" s="731" t="str">
        <f>'DICTIONARY-3'!$A$57</f>
        <v>HOD-G</v>
      </c>
      <c r="Q960" s="732" t="str">
        <f>'DICTIONARY-3'!$A$196</f>
        <v>Mostek nawiertowy</v>
      </c>
      <c r="R960" s="732" t="str">
        <f>CONCATENATE('DICTIONARY-3'!$A$55,'DICTIONARY-3'!$A$71," ",'DICTIONARY-6'!$A$21," ",'DICTIONARY-2'!$A$2,"150"," ",'DICTIONARY-2'!$A$5,"167-172 G1¼"," ",'DICTIONARY-6'!$A$59,", ",'DICTIONARY-6'!$A$76," ",'DICTIONARY-5'!$A$49)</f>
        <v>HOD-G501 Mostek nawiert. DN150 Da167-172 G1¼ bez zaw., ruroc. ŻEL.</v>
      </c>
      <c r="S960" s="733" t="str">
        <f>'DICTIONARY-4'!$A$2</f>
        <v>WW</v>
      </c>
      <c r="T960" s="732"/>
      <c r="U960" s="734" t="s">
        <v>5572</v>
      </c>
      <c r="V960" s="735"/>
      <c r="W960" s="744" t="s">
        <v>5766</v>
      </c>
      <c r="X960" s="737" t="s">
        <v>5740</v>
      </c>
      <c r="Y960" s="738"/>
      <c r="Z960" s="739"/>
      <c r="AA960" s="739"/>
      <c r="AB960" s="740">
        <v>16</v>
      </c>
      <c r="AC960" s="741"/>
      <c r="AD960" s="741" t="str">
        <f>'DICTIONARY-5'!$A$13</f>
        <v>woda pitna</v>
      </c>
      <c r="AE960" s="742">
        <v>50</v>
      </c>
      <c r="AF960" s="743">
        <v>3.2</v>
      </c>
      <c r="AG960" s="741" t="str">
        <f>'DICTIONARY-5'!$A$23</f>
        <v>powłoka epoksydowa</v>
      </c>
    </row>
    <row r="961" spans="1:33" x14ac:dyDescent="0.25">
      <c r="A961" s="856" t="s">
        <v>902</v>
      </c>
      <c r="B961" s="856" t="s">
        <v>4126</v>
      </c>
      <c r="C961" s="836">
        <v>135</v>
      </c>
      <c r="D961" s="836"/>
      <c r="E961" s="836"/>
      <c r="F961" s="836"/>
      <c r="G961" s="496" t="s">
        <v>7812</v>
      </c>
      <c r="H961" s="797" t="str">
        <f>VLOOKUP(G961,SETTINGS!$B$7:$D$97,2,0)</f>
        <v>HOD</v>
      </c>
      <c r="I961" s="796">
        <f>VLOOKUP(G961,SETTINGS!$B$7:$D$97,3,0)</f>
        <v>0</v>
      </c>
      <c r="J961" s="670" t="str">
        <f>IFERROR(IF(CURRENCY.FORMAT_1=0,CONCATENATE(TEXT(FIXED(ROUND((C961/EXC.RATE_1),CURRENCY.FORMAT_1),CURRENCY.FORMAT_1,1),"# ##0;-# ##0"),",-"),FIXED(ROUND((C961/EXC.RATE_1),CURRENCY.FORMAT_1),CURRENCY.FORMAT_1,0)),'DICTIONARY-5'!$A$2)</f>
        <v>135,-</v>
      </c>
      <c r="K961" s="670" t="str">
        <f>IF(EXC.RATE_2=0,"",IFERROR(IF(CURRENCY.FORMAT_2=0,CONCATENATE(TEXT(FIXED(ROUND(IF(EXC.RATE.SWITCH=1,C961/EXC.RATE_2,C961*EXC.RATE_2),CURRENCY.FORMAT_2),CURRENCY.FORMAT_2,1),"# ##0;-# ##0"),",-"),FIXED(ROUND(IF(EXC.RATE.SWITCH=1,C961/EXC.RATE_2,C961*EXC.RATE_2),CURRENCY.FORMAT_2),CURRENCY.FORMAT_2,0)),'DICTIONARY-5'!$A$2))</f>
        <v/>
      </c>
      <c r="L961" s="670" t="str">
        <f>IFERROR(IF(CURRENCY.FORMAT_1=0,CONCATENATE(TEXT(FIXED(ROUND((C961*(1-I961)*(1-ADD.DISCOUNT)*(1+MAT.SURCHARGE)/EXC.RATE_1),CURRENCY.FORMAT_1),CURRENCY.FORMAT_1,1),"# ##0;-# ##0"),",-"),FIXED(ROUND((C961*(1-I961)*(1-ADD.DISCOUNT)*(1+MAT.SURCHARGE)/EXC.RATE_1),CURRENCY.FORMAT_1),CURRENCY.FORMAT_1,0)),'DICTIONARY-5'!$A$2)</f>
        <v>140,-</v>
      </c>
      <c r="M961" s="670" t="str">
        <f>IF(EXC.RATE_2=0,"",IFERROR(IF(CURRENCY.FORMAT_2=0,CONCATENATE(TEXT(FIXED(ROUND(IF(EXC.RATE.SWITCH=1,C961*(1-I961)*(1-ADD.DISCOUNT)*(1+MAT.SURCHARGE)/EXC.RATE_2,C961*(1-I961)*(1-ADD.DISCOUNT)*(1+MAT.SURCHARGE)*EXC.RATE_2),CURRENCY.FORMAT_2),CURRENCY.FORMAT_2,1),"# ##0;-# ##0"),",-"),FIXED(ROUND(IF(EXC.RATE.SWITCH=1,C961*(1-I961)*(1-ADD.DISCOUNT)*(1+MAT.SURCHARGE)/EXC.RATE_2,C961*(1-I961)*(1-ADD.DISCOUNT)*(1+MAT.SURCHARGE)*EXC.RATE_2),CURRENCY.FORMAT_2),CURRENCY.FORMAT_2,0)),'DICTIONARY-5'!$A$2))</f>
        <v/>
      </c>
      <c r="N961" s="542">
        <v>4</v>
      </c>
      <c r="O961" s="542"/>
      <c r="P961" s="731" t="str">
        <f>'DICTIONARY-3'!$A$57</f>
        <v>HOD-G</v>
      </c>
      <c r="Q961" s="732" t="str">
        <f>'DICTIONARY-3'!$A$196</f>
        <v>Mostek nawiertowy</v>
      </c>
      <c r="R961" s="732" t="str">
        <f>CONCATENATE('DICTIONARY-3'!$A$55,'DICTIONARY-3'!$A$71," ",'DICTIONARY-6'!$A$21," ",'DICTIONARY-2'!$A$2,"200"," ",'DICTIONARY-2'!$A$5,"216-225 G1¼"," ",'DICTIONARY-6'!$A$59,", ",'DICTIONARY-6'!$A$76," ",'DICTIONARY-5'!$A$49)</f>
        <v>HOD-G501 Mostek nawiert. DN200 Da216-225 G1¼ bez zaw., ruroc. ŻEL.</v>
      </c>
      <c r="S961" s="733" t="str">
        <f>'DICTIONARY-4'!$A$2</f>
        <v>WW</v>
      </c>
      <c r="T961" s="732"/>
      <c r="U961" s="734" t="s">
        <v>5750</v>
      </c>
      <c r="V961" s="735"/>
      <c r="W961" s="744" t="s">
        <v>5767</v>
      </c>
      <c r="X961" s="737" t="s">
        <v>5740</v>
      </c>
      <c r="Y961" s="738"/>
      <c r="Z961" s="739"/>
      <c r="AA961" s="739"/>
      <c r="AB961" s="740">
        <v>16</v>
      </c>
      <c r="AC961" s="741"/>
      <c r="AD961" s="741" t="str">
        <f>'DICTIONARY-5'!$A$13</f>
        <v>woda pitna</v>
      </c>
      <c r="AE961" s="742">
        <v>50</v>
      </c>
      <c r="AF961" s="743">
        <v>4.3</v>
      </c>
      <c r="AG961" s="741" t="str">
        <f>'DICTIONARY-5'!$A$23</f>
        <v>powłoka epoksydowa</v>
      </c>
    </row>
    <row r="962" spans="1:33" x14ac:dyDescent="0.25">
      <c r="A962" s="856" t="s">
        <v>894</v>
      </c>
      <c r="B962" s="856" t="s">
        <v>4127</v>
      </c>
      <c r="C962" s="836">
        <v>68</v>
      </c>
      <c r="D962" s="836"/>
      <c r="E962" s="836"/>
      <c r="F962" s="836"/>
      <c r="G962" s="496" t="s">
        <v>7812</v>
      </c>
      <c r="H962" s="797" t="str">
        <f>VLOOKUP(G962,SETTINGS!$B$7:$D$97,2,0)</f>
        <v>HOD</v>
      </c>
      <c r="I962" s="796">
        <f>VLOOKUP(G962,SETTINGS!$B$7:$D$97,3,0)</f>
        <v>0</v>
      </c>
      <c r="J962" s="670" t="str">
        <f>IFERROR(IF(CURRENCY.FORMAT_1=0,CONCATENATE(TEXT(FIXED(ROUND((C962/EXC.RATE_1),CURRENCY.FORMAT_1),CURRENCY.FORMAT_1,1),"# ##0;-# ##0"),",-"),FIXED(ROUND((C962/EXC.RATE_1),CURRENCY.FORMAT_1),CURRENCY.FORMAT_1,0)),'DICTIONARY-5'!$A$2)</f>
        <v>68,-</v>
      </c>
      <c r="K962" s="670" t="str">
        <f>IF(EXC.RATE_2=0,"",IFERROR(IF(CURRENCY.FORMAT_2=0,CONCATENATE(TEXT(FIXED(ROUND(IF(EXC.RATE.SWITCH=1,C962/EXC.RATE_2,C962*EXC.RATE_2),CURRENCY.FORMAT_2),CURRENCY.FORMAT_2,1),"# ##0;-# ##0"),",-"),FIXED(ROUND(IF(EXC.RATE.SWITCH=1,C962/EXC.RATE_2,C962*EXC.RATE_2),CURRENCY.FORMAT_2),CURRENCY.FORMAT_2,0)),'DICTIONARY-5'!$A$2))</f>
        <v/>
      </c>
      <c r="L962" s="670" t="str">
        <f>IFERROR(IF(CURRENCY.FORMAT_1=0,CONCATENATE(TEXT(FIXED(ROUND((C962*(1-I962)*(1-ADD.DISCOUNT)*(1+MAT.SURCHARGE)/EXC.RATE_1),CURRENCY.FORMAT_1),CURRENCY.FORMAT_1,1),"# ##0;-# ##0"),",-"),FIXED(ROUND((C962*(1-I962)*(1-ADD.DISCOUNT)*(1+MAT.SURCHARGE)/EXC.RATE_1),CURRENCY.FORMAT_1),CURRENCY.FORMAT_1,0)),'DICTIONARY-5'!$A$2)</f>
        <v>71,-</v>
      </c>
      <c r="M962" s="670" t="str">
        <f>IF(EXC.RATE_2=0,"",IFERROR(IF(CURRENCY.FORMAT_2=0,CONCATENATE(TEXT(FIXED(ROUND(IF(EXC.RATE.SWITCH=1,C962*(1-I962)*(1-ADD.DISCOUNT)*(1+MAT.SURCHARGE)/EXC.RATE_2,C962*(1-I962)*(1-ADD.DISCOUNT)*(1+MAT.SURCHARGE)*EXC.RATE_2),CURRENCY.FORMAT_2),CURRENCY.FORMAT_2,1),"# ##0;-# ##0"),",-"),FIXED(ROUND(IF(EXC.RATE.SWITCH=1,C962*(1-I962)*(1-ADD.DISCOUNT)*(1+MAT.SURCHARGE)/EXC.RATE_2,C962*(1-I962)*(1-ADD.DISCOUNT)*(1+MAT.SURCHARGE)*EXC.RATE_2),CURRENCY.FORMAT_2),CURRENCY.FORMAT_2,0)),'DICTIONARY-5'!$A$2))</f>
        <v/>
      </c>
      <c r="N962" s="542">
        <v>4</v>
      </c>
      <c r="O962" s="542"/>
      <c r="P962" s="731" t="str">
        <f>'DICTIONARY-3'!$A$57</f>
        <v>HOD-G</v>
      </c>
      <c r="Q962" s="732" t="str">
        <f>'DICTIONARY-3'!$A$196</f>
        <v>Mostek nawiertowy</v>
      </c>
      <c r="R962" s="732" t="str">
        <f>CONCATENATE('DICTIONARY-3'!$A$55,'DICTIONARY-3'!$A$71," ",'DICTIONARY-6'!$A$21," ",'DICTIONARY-2'!$A$2,"80"," ",'DICTIONARY-2'!$A$5,"94-99 G1½"," ",'DICTIONARY-6'!$A$59,", ",'DICTIONARY-6'!$A$76," ",'DICTIONARY-5'!$A$49)</f>
        <v>HOD-G501 Mostek nawiert. DN80 Da94-99 G1½ bez zaw., ruroc. ŻEL.</v>
      </c>
      <c r="S962" s="733" t="str">
        <f>'DICTIONARY-4'!$A$2</f>
        <v>WW</v>
      </c>
      <c r="T962" s="732"/>
      <c r="U962" s="734" t="s">
        <v>5760</v>
      </c>
      <c r="V962" s="735"/>
      <c r="W962" s="744" t="s">
        <v>5764</v>
      </c>
      <c r="X962" s="737" t="s">
        <v>5769</v>
      </c>
      <c r="Y962" s="738"/>
      <c r="Z962" s="739"/>
      <c r="AA962" s="739"/>
      <c r="AB962" s="740">
        <v>16</v>
      </c>
      <c r="AC962" s="741"/>
      <c r="AD962" s="741" t="str">
        <f>'DICTIONARY-5'!$A$13</f>
        <v>woda pitna</v>
      </c>
      <c r="AE962" s="742">
        <v>50</v>
      </c>
      <c r="AF962" s="743">
        <v>2.8</v>
      </c>
      <c r="AG962" s="741" t="str">
        <f>'DICTIONARY-5'!$A$23</f>
        <v>powłoka epoksydowa</v>
      </c>
    </row>
    <row r="963" spans="1:33" x14ac:dyDescent="0.25">
      <c r="A963" s="856" t="s">
        <v>897</v>
      </c>
      <c r="B963" s="856" t="s">
        <v>4128</v>
      </c>
      <c r="C963" s="836">
        <v>65</v>
      </c>
      <c r="D963" s="836"/>
      <c r="E963" s="836"/>
      <c r="F963" s="836"/>
      <c r="G963" s="496" t="s">
        <v>7812</v>
      </c>
      <c r="H963" s="797" t="str">
        <f>VLOOKUP(G963,SETTINGS!$B$7:$D$97,2,0)</f>
        <v>HOD</v>
      </c>
      <c r="I963" s="796">
        <f>VLOOKUP(G963,SETTINGS!$B$7:$D$97,3,0)</f>
        <v>0</v>
      </c>
      <c r="J963" s="670" t="str">
        <f>IFERROR(IF(CURRENCY.FORMAT_1=0,CONCATENATE(TEXT(FIXED(ROUND((C963/EXC.RATE_1),CURRENCY.FORMAT_1),CURRENCY.FORMAT_1,1),"# ##0;-# ##0"),",-"),FIXED(ROUND((C963/EXC.RATE_1),CURRENCY.FORMAT_1),CURRENCY.FORMAT_1,0)),'DICTIONARY-5'!$A$2)</f>
        <v>65,-</v>
      </c>
      <c r="K963" s="670" t="str">
        <f>IF(EXC.RATE_2=0,"",IFERROR(IF(CURRENCY.FORMAT_2=0,CONCATENATE(TEXT(FIXED(ROUND(IF(EXC.RATE.SWITCH=1,C963/EXC.RATE_2,C963*EXC.RATE_2),CURRENCY.FORMAT_2),CURRENCY.FORMAT_2,1),"# ##0;-# ##0"),",-"),FIXED(ROUND(IF(EXC.RATE.SWITCH=1,C963/EXC.RATE_2,C963*EXC.RATE_2),CURRENCY.FORMAT_2),CURRENCY.FORMAT_2,0)),'DICTIONARY-5'!$A$2))</f>
        <v/>
      </c>
      <c r="L963" s="670" t="str">
        <f>IFERROR(IF(CURRENCY.FORMAT_1=0,CONCATENATE(TEXT(FIXED(ROUND((C963*(1-I963)*(1-ADD.DISCOUNT)*(1+MAT.SURCHARGE)/EXC.RATE_1),CURRENCY.FORMAT_1),CURRENCY.FORMAT_1,1),"# ##0;-# ##0"),",-"),FIXED(ROUND((C963*(1-I963)*(1-ADD.DISCOUNT)*(1+MAT.SURCHARGE)/EXC.RATE_1),CURRENCY.FORMAT_1),CURRENCY.FORMAT_1,0)),'DICTIONARY-5'!$A$2)</f>
        <v>68,-</v>
      </c>
      <c r="M963" s="670" t="str">
        <f>IF(EXC.RATE_2=0,"",IFERROR(IF(CURRENCY.FORMAT_2=0,CONCATENATE(TEXT(FIXED(ROUND(IF(EXC.RATE.SWITCH=1,C963*(1-I963)*(1-ADD.DISCOUNT)*(1+MAT.SURCHARGE)/EXC.RATE_2,C963*(1-I963)*(1-ADD.DISCOUNT)*(1+MAT.SURCHARGE)*EXC.RATE_2),CURRENCY.FORMAT_2),CURRENCY.FORMAT_2,1),"# ##0;-# ##0"),",-"),FIXED(ROUND(IF(EXC.RATE.SWITCH=1,C963*(1-I963)*(1-ADD.DISCOUNT)*(1+MAT.SURCHARGE)/EXC.RATE_2,C963*(1-I963)*(1-ADD.DISCOUNT)*(1+MAT.SURCHARGE)*EXC.RATE_2),CURRENCY.FORMAT_2),CURRENCY.FORMAT_2,0)),'DICTIONARY-5'!$A$2))</f>
        <v/>
      </c>
      <c r="N963" s="542">
        <v>4</v>
      </c>
      <c r="O963" s="542"/>
      <c r="P963" s="731" t="str">
        <f>'DICTIONARY-3'!$A$57</f>
        <v>HOD-G</v>
      </c>
      <c r="Q963" s="732" t="str">
        <f>'DICTIONARY-3'!$A$196</f>
        <v>Mostek nawiertowy</v>
      </c>
      <c r="R963" s="732" t="str">
        <f>CONCATENATE('DICTIONARY-3'!$A$55,'DICTIONARY-3'!$A$71," ",'DICTIONARY-6'!$A$21," ",'DICTIONARY-2'!$A$2,"100"," ",'DICTIONARY-2'!$A$5,"114-121 G1½"," ",'DICTIONARY-6'!$A$59,", ",'DICTIONARY-6'!$A$76," ",'DICTIONARY-5'!$A$49)</f>
        <v>HOD-G501 Mostek nawiert. DN100 Da114-121 G1½ bez zaw., ruroc. ŻEL.</v>
      </c>
      <c r="S963" s="733" t="str">
        <f>'DICTIONARY-4'!$A$2</f>
        <v>WW</v>
      </c>
      <c r="T963" s="732"/>
      <c r="U963" s="734" t="s">
        <v>5749</v>
      </c>
      <c r="V963" s="735"/>
      <c r="W963" s="744" t="s">
        <v>5765</v>
      </c>
      <c r="X963" s="737" t="s">
        <v>5769</v>
      </c>
      <c r="Y963" s="738"/>
      <c r="Z963" s="739"/>
      <c r="AA963" s="739"/>
      <c r="AB963" s="740">
        <v>16</v>
      </c>
      <c r="AC963" s="741"/>
      <c r="AD963" s="741" t="str">
        <f>'DICTIONARY-5'!$A$13</f>
        <v>woda pitna</v>
      </c>
      <c r="AE963" s="742">
        <v>50</v>
      </c>
      <c r="AF963" s="743">
        <v>3.1</v>
      </c>
      <c r="AG963" s="741" t="str">
        <f>'DICTIONARY-5'!$A$23</f>
        <v>powłoka epoksydowa</v>
      </c>
    </row>
    <row r="964" spans="1:33" x14ac:dyDescent="0.25">
      <c r="A964" s="856" t="s">
        <v>900</v>
      </c>
      <c r="B964" s="856" t="s">
        <v>4129</v>
      </c>
      <c r="C964" s="836">
        <v>80</v>
      </c>
      <c r="D964" s="836"/>
      <c r="E964" s="836"/>
      <c r="F964" s="836"/>
      <c r="G964" s="496" t="s">
        <v>7812</v>
      </c>
      <c r="H964" s="797" t="str">
        <f>VLOOKUP(G964,SETTINGS!$B$7:$D$97,2,0)</f>
        <v>HOD</v>
      </c>
      <c r="I964" s="796">
        <f>VLOOKUP(G964,SETTINGS!$B$7:$D$97,3,0)</f>
        <v>0</v>
      </c>
      <c r="J964" s="670" t="str">
        <f>IFERROR(IF(CURRENCY.FORMAT_1=0,CONCATENATE(TEXT(FIXED(ROUND((C964/EXC.RATE_1),CURRENCY.FORMAT_1),CURRENCY.FORMAT_1,1),"# ##0;-# ##0"),",-"),FIXED(ROUND((C964/EXC.RATE_1),CURRENCY.FORMAT_1),CURRENCY.FORMAT_1,0)),'DICTIONARY-5'!$A$2)</f>
        <v>80,-</v>
      </c>
      <c r="K964" s="670" t="str">
        <f>IF(EXC.RATE_2=0,"",IFERROR(IF(CURRENCY.FORMAT_2=0,CONCATENATE(TEXT(FIXED(ROUND(IF(EXC.RATE.SWITCH=1,C964/EXC.RATE_2,C964*EXC.RATE_2),CURRENCY.FORMAT_2),CURRENCY.FORMAT_2,1),"# ##0;-# ##0"),",-"),FIXED(ROUND(IF(EXC.RATE.SWITCH=1,C964/EXC.RATE_2,C964*EXC.RATE_2),CURRENCY.FORMAT_2),CURRENCY.FORMAT_2,0)),'DICTIONARY-5'!$A$2))</f>
        <v/>
      </c>
      <c r="L964" s="670" t="str">
        <f>IFERROR(IF(CURRENCY.FORMAT_1=0,CONCATENATE(TEXT(FIXED(ROUND((C964*(1-I964)*(1-ADD.DISCOUNT)*(1+MAT.SURCHARGE)/EXC.RATE_1),CURRENCY.FORMAT_1),CURRENCY.FORMAT_1,1),"# ##0;-# ##0"),",-"),FIXED(ROUND((C964*(1-I964)*(1-ADD.DISCOUNT)*(1+MAT.SURCHARGE)/EXC.RATE_1),CURRENCY.FORMAT_1),CURRENCY.FORMAT_1,0)),'DICTIONARY-5'!$A$2)</f>
        <v>83,-</v>
      </c>
      <c r="M964" s="670" t="str">
        <f>IF(EXC.RATE_2=0,"",IFERROR(IF(CURRENCY.FORMAT_2=0,CONCATENATE(TEXT(FIXED(ROUND(IF(EXC.RATE.SWITCH=1,C964*(1-I964)*(1-ADD.DISCOUNT)*(1+MAT.SURCHARGE)/EXC.RATE_2,C964*(1-I964)*(1-ADD.DISCOUNT)*(1+MAT.SURCHARGE)*EXC.RATE_2),CURRENCY.FORMAT_2),CURRENCY.FORMAT_2,1),"# ##0;-# ##0"),",-"),FIXED(ROUND(IF(EXC.RATE.SWITCH=1,C964*(1-I964)*(1-ADD.DISCOUNT)*(1+MAT.SURCHARGE)/EXC.RATE_2,C964*(1-I964)*(1-ADD.DISCOUNT)*(1+MAT.SURCHARGE)*EXC.RATE_2),CURRENCY.FORMAT_2),CURRENCY.FORMAT_2,0)),'DICTIONARY-5'!$A$2))</f>
        <v/>
      </c>
      <c r="N964" s="542">
        <v>4</v>
      </c>
      <c r="O964" s="542"/>
      <c r="P964" s="731" t="str">
        <f>'DICTIONARY-3'!$A$57</f>
        <v>HOD-G</v>
      </c>
      <c r="Q964" s="732" t="str">
        <f>'DICTIONARY-3'!$A$196</f>
        <v>Mostek nawiertowy</v>
      </c>
      <c r="R964" s="732" t="str">
        <f>CONCATENATE('DICTIONARY-3'!$A$55,'DICTIONARY-3'!$A$71," ",'DICTIONARY-6'!$A$21," ",'DICTIONARY-2'!$A$2,"150"," ",'DICTIONARY-2'!$A$5,"167-172 G1½"," ",'DICTIONARY-6'!$A$59,", ",'DICTIONARY-6'!$A$76," ",'DICTIONARY-5'!$A$49)</f>
        <v>HOD-G501 Mostek nawiert. DN150 Da167-172 G1½ bez zaw., ruroc. ŻEL.</v>
      </c>
      <c r="S964" s="733" t="str">
        <f>'DICTIONARY-4'!$A$2</f>
        <v>WW</v>
      </c>
      <c r="T964" s="732"/>
      <c r="U964" s="734" t="s">
        <v>5572</v>
      </c>
      <c r="V964" s="735"/>
      <c r="W964" s="744" t="s">
        <v>5766</v>
      </c>
      <c r="X964" s="737" t="s">
        <v>5769</v>
      </c>
      <c r="Y964" s="738"/>
      <c r="Z964" s="739"/>
      <c r="AA964" s="739"/>
      <c r="AB964" s="740">
        <v>16</v>
      </c>
      <c r="AC964" s="741"/>
      <c r="AD964" s="741" t="str">
        <f>'DICTIONARY-5'!$A$13</f>
        <v>woda pitna</v>
      </c>
      <c r="AE964" s="742">
        <v>50</v>
      </c>
      <c r="AF964" s="743">
        <v>3.7</v>
      </c>
      <c r="AG964" s="741" t="str">
        <f>'DICTIONARY-5'!$A$23</f>
        <v>powłoka epoksydowa</v>
      </c>
    </row>
    <row r="965" spans="1:33" x14ac:dyDescent="0.25">
      <c r="A965" s="856" t="s">
        <v>903</v>
      </c>
      <c r="B965" s="856" t="s">
        <v>4130</v>
      </c>
      <c r="C965" s="836">
        <v>115</v>
      </c>
      <c r="D965" s="836"/>
      <c r="E965" s="836"/>
      <c r="F965" s="836"/>
      <c r="G965" s="496" t="s">
        <v>7812</v>
      </c>
      <c r="H965" s="797" t="str">
        <f>VLOOKUP(G965,SETTINGS!$B$7:$D$97,2,0)</f>
        <v>HOD</v>
      </c>
      <c r="I965" s="796">
        <f>VLOOKUP(G965,SETTINGS!$B$7:$D$97,3,0)</f>
        <v>0</v>
      </c>
      <c r="J965" s="670" t="str">
        <f>IFERROR(IF(CURRENCY.FORMAT_1=0,CONCATENATE(TEXT(FIXED(ROUND((C965/EXC.RATE_1),CURRENCY.FORMAT_1),CURRENCY.FORMAT_1,1),"# ##0;-# ##0"),",-"),FIXED(ROUND((C965/EXC.RATE_1),CURRENCY.FORMAT_1),CURRENCY.FORMAT_1,0)),'DICTIONARY-5'!$A$2)</f>
        <v>115,-</v>
      </c>
      <c r="K965" s="670" t="str">
        <f>IF(EXC.RATE_2=0,"",IFERROR(IF(CURRENCY.FORMAT_2=0,CONCATENATE(TEXT(FIXED(ROUND(IF(EXC.RATE.SWITCH=1,C965/EXC.RATE_2,C965*EXC.RATE_2),CURRENCY.FORMAT_2),CURRENCY.FORMAT_2,1),"# ##0;-# ##0"),",-"),FIXED(ROUND(IF(EXC.RATE.SWITCH=1,C965/EXC.RATE_2,C965*EXC.RATE_2),CURRENCY.FORMAT_2),CURRENCY.FORMAT_2,0)),'DICTIONARY-5'!$A$2))</f>
        <v/>
      </c>
      <c r="L965" s="670" t="str">
        <f>IFERROR(IF(CURRENCY.FORMAT_1=0,CONCATENATE(TEXT(FIXED(ROUND((C965*(1-I965)*(1-ADD.DISCOUNT)*(1+MAT.SURCHARGE)/EXC.RATE_1),CURRENCY.FORMAT_1),CURRENCY.FORMAT_1,1),"# ##0;-# ##0"),",-"),FIXED(ROUND((C965*(1-I965)*(1-ADD.DISCOUNT)*(1+MAT.SURCHARGE)/EXC.RATE_1),CURRENCY.FORMAT_1),CURRENCY.FORMAT_1,0)),'DICTIONARY-5'!$A$2)</f>
        <v>119,-</v>
      </c>
      <c r="M965" s="670" t="str">
        <f>IF(EXC.RATE_2=0,"",IFERROR(IF(CURRENCY.FORMAT_2=0,CONCATENATE(TEXT(FIXED(ROUND(IF(EXC.RATE.SWITCH=1,C965*(1-I965)*(1-ADD.DISCOUNT)*(1+MAT.SURCHARGE)/EXC.RATE_2,C965*(1-I965)*(1-ADD.DISCOUNT)*(1+MAT.SURCHARGE)*EXC.RATE_2),CURRENCY.FORMAT_2),CURRENCY.FORMAT_2,1),"# ##0;-# ##0"),",-"),FIXED(ROUND(IF(EXC.RATE.SWITCH=1,C965*(1-I965)*(1-ADD.DISCOUNT)*(1+MAT.SURCHARGE)/EXC.RATE_2,C965*(1-I965)*(1-ADD.DISCOUNT)*(1+MAT.SURCHARGE)*EXC.RATE_2),CURRENCY.FORMAT_2),CURRENCY.FORMAT_2,0)),'DICTIONARY-5'!$A$2))</f>
        <v/>
      </c>
      <c r="N965" s="542">
        <v>4</v>
      </c>
      <c r="O965" s="542"/>
      <c r="P965" s="731" t="str">
        <f>'DICTIONARY-3'!$A$57</f>
        <v>HOD-G</v>
      </c>
      <c r="Q965" s="732" t="str">
        <f>'DICTIONARY-3'!$A$196</f>
        <v>Mostek nawiertowy</v>
      </c>
      <c r="R965" s="732" t="str">
        <f>CONCATENATE('DICTIONARY-3'!$A$55,'DICTIONARY-3'!$A$71," ",'DICTIONARY-6'!$A$21," ",'DICTIONARY-2'!$A$2,"200"," ",'DICTIONARY-2'!$A$5,"216-225 G1½"," ",'DICTIONARY-6'!$A$59,", ",'DICTIONARY-6'!$A$76," ",'DICTIONARY-5'!$A$49)</f>
        <v>HOD-G501 Mostek nawiert. DN200 Da216-225 G1½ bez zaw., ruroc. ŻEL.</v>
      </c>
      <c r="S965" s="733" t="str">
        <f>'DICTIONARY-4'!$A$2</f>
        <v>WW</v>
      </c>
      <c r="T965" s="732"/>
      <c r="U965" s="734" t="s">
        <v>5750</v>
      </c>
      <c r="V965" s="735"/>
      <c r="W965" s="744" t="s">
        <v>5767</v>
      </c>
      <c r="X965" s="737" t="s">
        <v>5769</v>
      </c>
      <c r="Y965" s="738"/>
      <c r="Z965" s="739"/>
      <c r="AA965" s="739"/>
      <c r="AB965" s="740">
        <v>16</v>
      </c>
      <c r="AC965" s="741"/>
      <c r="AD965" s="741" t="str">
        <f>'DICTIONARY-5'!$A$13</f>
        <v>woda pitna</v>
      </c>
      <c r="AE965" s="742">
        <v>50</v>
      </c>
      <c r="AF965" s="743">
        <v>4.2</v>
      </c>
      <c r="AG965" s="741" t="str">
        <f>'DICTIONARY-5'!$A$23</f>
        <v>powłoka epoksydowa</v>
      </c>
    </row>
    <row r="966" spans="1:33" x14ac:dyDescent="0.25">
      <c r="A966" s="856" t="s">
        <v>905</v>
      </c>
      <c r="B966" s="856" t="s">
        <v>4131</v>
      </c>
      <c r="C966" s="836">
        <v>65</v>
      </c>
      <c r="D966" s="836"/>
      <c r="E966" s="836"/>
      <c r="F966" s="836"/>
      <c r="G966" s="496" t="s">
        <v>7812</v>
      </c>
      <c r="H966" s="797" t="str">
        <f>VLOOKUP(G966,SETTINGS!$B$7:$D$97,2,0)</f>
        <v>HOD</v>
      </c>
      <c r="I966" s="796">
        <f>VLOOKUP(G966,SETTINGS!$B$7:$D$97,3,0)</f>
        <v>0</v>
      </c>
      <c r="J966" s="670" t="str">
        <f>IFERROR(IF(CURRENCY.FORMAT_1=0,CONCATENATE(TEXT(FIXED(ROUND((C966/EXC.RATE_1),CURRENCY.FORMAT_1),CURRENCY.FORMAT_1,1),"# ##0;-# ##0"),",-"),FIXED(ROUND((C966/EXC.RATE_1),CURRENCY.FORMAT_1),CURRENCY.FORMAT_1,0)),'DICTIONARY-5'!$A$2)</f>
        <v>65,-</v>
      </c>
      <c r="K966" s="670" t="str">
        <f>IF(EXC.RATE_2=0,"",IFERROR(IF(CURRENCY.FORMAT_2=0,CONCATENATE(TEXT(FIXED(ROUND(IF(EXC.RATE.SWITCH=1,C966/EXC.RATE_2,C966*EXC.RATE_2),CURRENCY.FORMAT_2),CURRENCY.FORMAT_2,1),"# ##0;-# ##0"),",-"),FIXED(ROUND(IF(EXC.RATE.SWITCH=1,C966/EXC.RATE_2,C966*EXC.RATE_2),CURRENCY.FORMAT_2),CURRENCY.FORMAT_2,0)),'DICTIONARY-5'!$A$2))</f>
        <v/>
      </c>
      <c r="L966" s="670" t="str">
        <f>IFERROR(IF(CURRENCY.FORMAT_1=0,CONCATENATE(TEXT(FIXED(ROUND((C966*(1-I966)*(1-ADD.DISCOUNT)*(1+MAT.SURCHARGE)/EXC.RATE_1),CURRENCY.FORMAT_1),CURRENCY.FORMAT_1,1),"# ##0;-# ##0"),",-"),FIXED(ROUND((C966*(1-I966)*(1-ADD.DISCOUNT)*(1+MAT.SURCHARGE)/EXC.RATE_1),CURRENCY.FORMAT_1),CURRENCY.FORMAT_1,0)),'DICTIONARY-5'!$A$2)</f>
        <v>68,-</v>
      </c>
      <c r="M966" s="670" t="str">
        <f>IF(EXC.RATE_2=0,"",IFERROR(IF(CURRENCY.FORMAT_2=0,CONCATENATE(TEXT(FIXED(ROUND(IF(EXC.RATE.SWITCH=1,C966*(1-I966)*(1-ADD.DISCOUNT)*(1+MAT.SURCHARGE)/EXC.RATE_2,C966*(1-I966)*(1-ADD.DISCOUNT)*(1+MAT.SURCHARGE)*EXC.RATE_2),CURRENCY.FORMAT_2),CURRENCY.FORMAT_2,1),"# ##0;-# ##0"),",-"),FIXED(ROUND(IF(EXC.RATE.SWITCH=1,C966*(1-I966)*(1-ADD.DISCOUNT)*(1+MAT.SURCHARGE)/EXC.RATE_2,C966*(1-I966)*(1-ADD.DISCOUNT)*(1+MAT.SURCHARGE)*EXC.RATE_2),CURRENCY.FORMAT_2),CURRENCY.FORMAT_2,0)),'DICTIONARY-5'!$A$2))</f>
        <v/>
      </c>
      <c r="N966" s="542">
        <v>4</v>
      </c>
      <c r="O966" s="542"/>
      <c r="P966" s="731" t="str">
        <f>'DICTIONARY-3'!$A$57</f>
        <v>HOD-G</v>
      </c>
      <c r="Q966" s="732" t="str">
        <f>'DICTIONARY-3'!$A$196</f>
        <v>Mostek nawiertowy</v>
      </c>
      <c r="R966" s="732" t="str">
        <f>CONCATENATE('DICTIONARY-3'!$A$55,'DICTIONARY-3'!$A$71," ",'DICTIONARY-6'!$A$21," ",'DICTIONARY-2'!$A$2,"80"," ",'DICTIONARY-2'!$A$5,"94-99 G2"," ",'DICTIONARY-6'!$A$59,", ",'DICTIONARY-6'!$A$76," ",'DICTIONARY-5'!$A$49)</f>
        <v>HOD-G501 Mostek nawiert. DN80 Da94-99 G2 bez zaw., ruroc. ŻEL.</v>
      </c>
      <c r="S966" s="733" t="str">
        <f>'DICTIONARY-4'!$A$2</f>
        <v>WW</v>
      </c>
      <c r="T966" s="732"/>
      <c r="U966" s="734" t="s">
        <v>5760</v>
      </c>
      <c r="V966" s="735"/>
      <c r="W966" s="744" t="s">
        <v>5764</v>
      </c>
      <c r="X966" s="750" t="s">
        <v>50</v>
      </c>
      <c r="Y966" s="738"/>
      <c r="Z966" s="739"/>
      <c r="AA966" s="739"/>
      <c r="AB966" s="740">
        <v>16</v>
      </c>
      <c r="AC966" s="741"/>
      <c r="AD966" s="741" t="str">
        <f>'DICTIONARY-5'!$A$13</f>
        <v>woda pitna</v>
      </c>
      <c r="AE966" s="742">
        <v>50</v>
      </c>
      <c r="AF966" s="743">
        <v>2.75</v>
      </c>
      <c r="AG966" s="741" t="str">
        <f>'DICTIONARY-5'!$A$23</f>
        <v>powłoka epoksydowa</v>
      </c>
    </row>
    <row r="967" spans="1:33" x14ac:dyDescent="0.25">
      <c r="A967" s="856" t="s">
        <v>906</v>
      </c>
      <c r="B967" s="856" t="s">
        <v>4132</v>
      </c>
      <c r="C967" s="836">
        <v>61</v>
      </c>
      <c r="D967" s="836"/>
      <c r="E967" s="836"/>
      <c r="F967" s="836"/>
      <c r="G967" s="496" t="s">
        <v>7812</v>
      </c>
      <c r="H967" s="797" t="str">
        <f>VLOOKUP(G967,SETTINGS!$B$7:$D$97,2,0)</f>
        <v>HOD</v>
      </c>
      <c r="I967" s="796">
        <f>VLOOKUP(G967,SETTINGS!$B$7:$D$97,3,0)</f>
        <v>0</v>
      </c>
      <c r="J967" s="670" t="str">
        <f>IFERROR(IF(CURRENCY.FORMAT_1=0,CONCATENATE(TEXT(FIXED(ROUND((C967/EXC.RATE_1),CURRENCY.FORMAT_1),CURRENCY.FORMAT_1,1),"# ##0;-# ##0"),",-"),FIXED(ROUND((C967/EXC.RATE_1),CURRENCY.FORMAT_1),CURRENCY.FORMAT_1,0)),'DICTIONARY-5'!$A$2)</f>
        <v>61,-</v>
      </c>
      <c r="K967" s="670" t="str">
        <f>IF(EXC.RATE_2=0,"",IFERROR(IF(CURRENCY.FORMAT_2=0,CONCATENATE(TEXT(FIXED(ROUND(IF(EXC.RATE.SWITCH=1,C967/EXC.RATE_2,C967*EXC.RATE_2),CURRENCY.FORMAT_2),CURRENCY.FORMAT_2,1),"# ##0;-# ##0"),",-"),FIXED(ROUND(IF(EXC.RATE.SWITCH=1,C967/EXC.RATE_2,C967*EXC.RATE_2),CURRENCY.FORMAT_2),CURRENCY.FORMAT_2,0)),'DICTIONARY-5'!$A$2))</f>
        <v/>
      </c>
      <c r="L967" s="670" t="str">
        <f>IFERROR(IF(CURRENCY.FORMAT_1=0,CONCATENATE(TEXT(FIXED(ROUND((C967*(1-I967)*(1-ADD.DISCOUNT)*(1+MAT.SURCHARGE)/EXC.RATE_1),CURRENCY.FORMAT_1),CURRENCY.FORMAT_1,1),"# ##0;-# ##0"),",-"),FIXED(ROUND((C967*(1-I967)*(1-ADD.DISCOUNT)*(1+MAT.SURCHARGE)/EXC.RATE_1),CURRENCY.FORMAT_1),CURRENCY.FORMAT_1,0)),'DICTIONARY-5'!$A$2)</f>
        <v>63,-</v>
      </c>
      <c r="M967" s="670" t="str">
        <f>IF(EXC.RATE_2=0,"",IFERROR(IF(CURRENCY.FORMAT_2=0,CONCATENATE(TEXT(FIXED(ROUND(IF(EXC.RATE.SWITCH=1,C967*(1-I967)*(1-ADD.DISCOUNT)*(1+MAT.SURCHARGE)/EXC.RATE_2,C967*(1-I967)*(1-ADD.DISCOUNT)*(1+MAT.SURCHARGE)*EXC.RATE_2),CURRENCY.FORMAT_2),CURRENCY.FORMAT_2,1),"# ##0;-# ##0"),",-"),FIXED(ROUND(IF(EXC.RATE.SWITCH=1,C967*(1-I967)*(1-ADD.DISCOUNT)*(1+MAT.SURCHARGE)/EXC.RATE_2,C967*(1-I967)*(1-ADD.DISCOUNT)*(1+MAT.SURCHARGE)*EXC.RATE_2),CURRENCY.FORMAT_2),CURRENCY.FORMAT_2,0)),'DICTIONARY-5'!$A$2))</f>
        <v/>
      </c>
      <c r="N967" s="542">
        <v>4</v>
      </c>
      <c r="O967" s="542"/>
      <c r="P967" s="731" t="str">
        <f>'DICTIONARY-3'!$A$57</f>
        <v>HOD-G</v>
      </c>
      <c r="Q967" s="732" t="str">
        <f>'DICTIONARY-3'!$A$196</f>
        <v>Mostek nawiertowy</v>
      </c>
      <c r="R967" s="732" t="str">
        <f>CONCATENATE('DICTIONARY-3'!$A$55,'DICTIONARY-3'!$A$71," ",'DICTIONARY-6'!$A$21," ",'DICTIONARY-2'!$A$2,"100"," ",'DICTIONARY-2'!$A$5,"114-121 G2"," ",'DICTIONARY-6'!$A$59,", ",'DICTIONARY-6'!$A$76," ",'DICTIONARY-5'!$A$49)</f>
        <v>HOD-G501 Mostek nawiert. DN100 Da114-121 G2 bez zaw., ruroc. ŻEL.</v>
      </c>
      <c r="S967" s="733" t="str">
        <f>'DICTIONARY-4'!$A$2</f>
        <v>WW</v>
      </c>
      <c r="T967" s="732"/>
      <c r="U967" s="734" t="s">
        <v>5749</v>
      </c>
      <c r="V967" s="735"/>
      <c r="W967" s="744" t="s">
        <v>5765</v>
      </c>
      <c r="X967" s="750" t="s">
        <v>50</v>
      </c>
      <c r="Y967" s="738"/>
      <c r="Z967" s="739"/>
      <c r="AA967" s="739"/>
      <c r="AB967" s="740">
        <v>16</v>
      </c>
      <c r="AC967" s="741"/>
      <c r="AD967" s="741" t="str">
        <f>'DICTIONARY-5'!$A$13</f>
        <v>woda pitna</v>
      </c>
      <c r="AE967" s="742">
        <v>50</v>
      </c>
      <c r="AF967" s="743">
        <v>2.9</v>
      </c>
      <c r="AG967" s="741" t="str">
        <f>'DICTIONARY-5'!$A$23</f>
        <v>powłoka epoksydowa</v>
      </c>
    </row>
    <row r="968" spans="1:33" x14ac:dyDescent="0.25">
      <c r="A968" s="856" t="s">
        <v>907</v>
      </c>
      <c r="B968" s="856" t="s">
        <v>4133</v>
      </c>
      <c r="C968" s="836">
        <v>77</v>
      </c>
      <c r="D968" s="836"/>
      <c r="E968" s="836"/>
      <c r="F968" s="836"/>
      <c r="G968" s="496" t="s">
        <v>7812</v>
      </c>
      <c r="H968" s="797" t="str">
        <f>VLOOKUP(G968,SETTINGS!$B$7:$D$97,2,0)</f>
        <v>HOD</v>
      </c>
      <c r="I968" s="796">
        <f>VLOOKUP(G968,SETTINGS!$B$7:$D$97,3,0)</f>
        <v>0</v>
      </c>
      <c r="J968" s="670" t="str">
        <f>IFERROR(IF(CURRENCY.FORMAT_1=0,CONCATENATE(TEXT(FIXED(ROUND((C968/EXC.RATE_1),CURRENCY.FORMAT_1),CURRENCY.FORMAT_1,1),"# ##0;-# ##0"),",-"),FIXED(ROUND((C968/EXC.RATE_1),CURRENCY.FORMAT_1),CURRENCY.FORMAT_1,0)),'DICTIONARY-5'!$A$2)</f>
        <v>77,-</v>
      </c>
      <c r="K968" s="670" t="str">
        <f>IF(EXC.RATE_2=0,"",IFERROR(IF(CURRENCY.FORMAT_2=0,CONCATENATE(TEXT(FIXED(ROUND(IF(EXC.RATE.SWITCH=1,C968/EXC.RATE_2,C968*EXC.RATE_2),CURRENCY.FORMAT_2),CURRENCY.FORMAT_2,1),"# ##0;-# ##0"),",-"),FIXED(ROUND(IF(EXC.RATE.SWITCH=1,C968/EXC.RATE_2,C968*EXC.RATE_2),CURRENCY.FORMAT_2),CURRENCY.FORMAT_2,0)),'DICTIONARY-5'!$A$2))</f>
        <v/>
      </c>
      <c r="L968" s="670" t="str">
        <f>IFERROR(IF(CURRENCY.FORMAT_1=0,CONCATENATE(TEXT(FIXED(ROUND((C968*(1-I968)*(1-ADD.DISCOUNT)*(1+MAT.SURCHARGE)/EXC.RATE_1),CURRENCY.FORMAT_1),CURRENCY.FORMAT_1,1),"# ##0;-# ##0"),",-"),FIXED(ROUND((C968*(1-I968)*(1-ADD.DISCOUNT)*(1+MAT.SURCHARGE)/EXC.RATE_1),CURRENCY.FORMAT_1),CURRENCY.FORMAT_1,0)),'DICTIONARY-5'!$A$2)</f>
        <v>80,-</v>
      </c>
      <c r="M968" s="670" t="str">
        <f>IF(EXC.RATE_2=0,"",IFERROR(IF(CURRENCY.FORMAT_2=0,CONCATENATE(TEXT(FIXED(ROUND(IF(EXC.RATE.SWITCH=1,C968*(1-I968)*(1-ADD.DISCOUNT)*(1+MAT.SURCHARGE)/EXC.RATE_2,C968*(1-I968)*(1-ADD.DISCOUNT)*(1+MAT.SURCHARGE)*EXC.RATE_2),CURRENCY.FORMAT_2),CURRENCY.FORMAT_2,1),"# ##0;-# ##0"),",-"),FIXED(ROUND(IF(EXC.RATE.SWITCH=1,C968*(1-I968)*(1-ADD.DISCOUNT)*(1+MAT.SURCHARGE)/EXC.RATE_2,C968*(1-I968)*(1-ADD.DISCOUNT)*(1+MAT.SURCHARGE)*EXC.RATE_2),CURRENCY.FORMAT_2),CURRENCY.FORMAT_2,0)),'DICTIONARY-5'!$A$2))</f>
        <v/>
      </c>
      <c r="N968" s="542">
        <v>4</v>
      </c>
      <c r="O968" s="542"/>
      <c r="P968" s="731" t="str">
        <f>'DICTIONARY-3'!$A$57</f>
        <v>HOD-G</v>
      </c>
      <c r="Q968" s="732" t="str">
        <f>'DICTIONARY-3'!$A$196</f>
        <v>Mostek nawiertowy</v>
      </c>
      <c r="R968" s="732" t="str">
        <f>CONCATENATE('DICTIONARY-3'!$A$55,'DICTIONARY-3'!$A$71," ",'DICTIONARY-6'!$A$21," ",'DICTIONARY-2'!$A$2,"150"," ",'DICTIONARY-2'!$A$5,"167-172 G2"," ",'DICTIONARY-6'!$A$59,", ",'DICTIONARY-6'!$A$76," ",'DICTIONARY-5'!$A$49)</f>
        <v>HOD-G501 Mostek nawiert. DN150 Da167-172 G2 bez zaw., ruroc. ŻEL.</v>
      </c>
      <c r="S968" s="733" t="str">
        <f>'DICTIONARY-4'!$A$2</f>
        <v>WW</v>
      </c>
      <c r="T968" s="732"/>
      <c r="U968" s="734" t="s">
        <v>5572</v>
      </c>
      <c r="V968" s="735"/>
      <c r="W968" s="744" t="s">
        <v>5766</v>
      </c>
      <c r="X968" s="750" t="s">
        <v>50</v>
      </c>
      <c r="Y968" s="738"/>
      <c r="Z968" s="739"/>
      <c r="AA968" s="739"/>
      <c r="AB968" s="740">
        <v>16</v>
      </c>
      <c r="AC968" s="741"/>
      <c r="AD968" s="741" t="str">
        <f>'DICTIONARY-5'!$A$13</f>
        <v>woda pitna</v>
      </c>
      <c r="AE968" s="742">
        <v>50</v>
      </c>
      <c r="AF968" s="743">
        <v>3.5</v>
      </c>
      <c r="AG968" s="741" t="str">
        <f>'DICTIONARY-5'!$A$23</f>
        <v>powłoka epoksydowa</v>
      </c>
    </row>
    <row r="969" spans="1:33" x14ac:dyDescent="0.25">
      <c r="A969" s="856" t="s">
        <v>908</v>
      </c>
      <c r="B969" s="856" t="s">
        <v>4134</v>
      </c>
      <c r="C969" s="836">
        <v>113</v>
      </c>
      <c r="D969" s="836"/>
      <c r="E969" s="836"/>
      <c r="F969" s="836"/>
      <c r="G969" s="496" t="s">
        <v>7812</v>
      </c>
      <c r="H969" s="797" t="str">
        <f>VLOOKUP(G969,SETTINGS!$B$7:$D$97,2,0)</f>
        <v>HOD</v>
      </c>
      <c r="I969" s="796">
        <f>VLOOKUP(G969,SETTINGS!$B$7:$D$97,3,0)</f>
        <v>0</v>
      </c>
      <c r="J969" s="670" t="str">
        <f>IFERROR(IF(CURRENCY.FORMAT_1=0,CONCATENATE(TEXT(FIXED(ROUND((C969/EXC.RATE_1),CURRENCY.FORMAT_1),CURRENCY.FORMAT_1,1),"# ##0;-# ##0"),",-"),FIXED(ROUND((C969/EXC.RATE_1),CURRENCY.FORMAT_1),CURRENCY.FORMAT_1,0)),'DICTIONARY-5'!$A$2)</f>
        <v>113,-</v>
      </c>
      <c r="K969" s="670" t="str">
        <f>IF(EXC.RATE_2=0,"",IFERROR(IF(CURRENCY.FORMAT_2=0,CONCATENATE(TEXT(FIXED(ROUND(IF(EXC.RATE.SWITCH=1,C969/EXC.RATE_2,C969*EXC.RATE_2),CURRENCY.FORMAT_2),CURRENCY.FORMAT_2,1),"# ##0;-# ##0"),",-"),FIXED(ROUND(IF(EXC.RATE.SWITCH=1,C969/EXC.RATE_2,C969*EXC.RATE_2),CURRENCY.FORMAT_2),CURRENCY.FORMAT_2,0)),'DICTIONARY-5'!$A$2))</f>
        <v/>
      </c>
      <c r="L969" s="670" t="str">
        <f>IFERROR(IF(CURRENCY.FORMAT_1=0,CONCATENATE(TEXT(FIXED(ROUND((C969*(1-I969)*(1-ADD.DISCOUNT)*(1+MAT.SURCHARGE)/EXC.RATE_1),CURRENCY.FORMAT_1),CURRENCY.FORMAT_1,1),"# ##0;-# ##0"),",-"),FIXED(ROUND((C969*(1-I969)*(1-ADD.DISCOUNT)*(1+MAT.SURCHARGE)/EXC.RATE_1),CURRENCY.FORMAT_1),CURRENCY.FORMAT_1,0)),'DICTIONARY-5'!$A$2)</f>
        <v>117,-</v>
      </c>
      <c r="M969" s="670" t="str">
        <f>IF(EXC.RATE_2=0,"",IFERROR(IF(CURRENCY.FORMAT_2=0,CONCATENATE(TEXT(FIXED(ROUND(IF(EXC.RATE.SWITCH=1,C969*(1-I969)*(1-ADD.DISCOUNT)*(1+MAT.SURCHARGE)/EXC.RATE_2,C969*(1-I969)*(1-ADD.DISCOUNT)*(1+MAT.SURCHARGE)*EXC.RATE_2),CURRENCY.FORMAT_2),CURRENCY.FORMAT_2,1),"# ##0;-# ##0"),",-"),FIXED(ROUND(IF(EXC.RATE.SWITCH=1,C969*(1-I969)*(1-ADD.DISCOUNT)*(1+MAT.SURCHARGE)/EXC.RATE_2,C969*(1-I969)*(1-ADD.DISCOUNT)*(1+MAT.SURCHARGE)*EXC.RATE_2),CURRENCY.FORMAT_2),CURRENCY.FORMAT_2,0)),'DICTIONARY-5'!$A$2))</f>
        <v/>
      </c>
      <c r="N969" s="542">
        <v>4</v>
      </c>
      <c r="O969" s="542"/>
      <c r="P969" s="731" t="str">
        <f>'DICTIONARY-3'!$A$57</f>
        <v>HOD-G</v>
      </c>
      <c r="Q969" s="732" t="str">
        <f>'DICTIONARY-3'!$A$196</f>
        <v>Mostek nawiertowy</v>
      </c>
      <c r="R969" s="732" t="str">
        <f>CONCATENATE('DICTIONARY-3'!$A$55,'DICTIONARY-3'!$A$71," ",'DICTIONARY-6'!$A$21," ",'DICTIONARY-2'!$A$2,"200"," ",'DICTIONARY-2'!$A$5,"216-225 G2"," ",'DICTIONARY-6'!$A$59,", ",'DICTIONARY-6'!$A$76," ",'DICTIONARY-5'!$A$49)</f>
        <v>HOD-G501 Mostek nawiert. DN200 Da216-225 G2 bez zaw., ruroc. ŻEL.</v>
      </c>
      <c r="S969" s="733" t="str">
        <f>'DICTIONARY-4'!$A$2</f>
        <v>WW</v>
      </c>
      <c r="T969" s="732"/>
      <c r="U969" s="734" t="s">
        <v>5750</v>
      </c>
      <c r="V969" s="735"/>
      <c r="W969" s="744" t="s">
        <v>5767</v>
      </c>
      <c r="X969" s="750" t="s">
        <v>50</v>
      </c>
      <c r="Y969" s="738"/>
      <c r="Z969" s="739"/>
      <c r="AA969" s="739"/>
      <c r="AB969" s="740">
        <v>16</v>
      </c>
      <c r="AC969" s="741"/>
      <c r="AD969" s="741" t="str">
        <f>'DICTIONARY-5'!$A$13</f>
        <v>woda pitna</v>
      </c>
      <c r="AE969" s="742">
        <v>50</v>
      </c>
      <c r="AF969" s="743">
        <v>4</v>
      </c>
      <c r="AG969" s="741" t="str">
        <f>'DICTIONARY-5'!$A$23</f>
        <v>powłoka epoksydowa</v>
      </c>
    </row>
    <row r="970" spans="1:33" x14ac:dyDescent="0.25">
      <c r="A970" s="856" t="s">
        <v>910</v>
      </c>
      <c r="B970" s="856" t="s">
        <v>4135</v>
      </c>
      <c r="C970" s="836">
        <v>310</v>
      </c>
      <c r="D970" s="836"/>
      <c r="E970" s="836"/>
      <c r="F970" s="836"/>
      <c r="G970" s="496" t="s">
        <v>7812</v>
      </c>
      <c r="H970" s="797" t="str">
        <f>VLOOKUP(G970,SETTINGS!$B$7:$D$97,2,0)</f>
        <v>HOD</v>
      </c>
      <c r="I970" s="796">
        <f>VLOOKUP(G970,SETTINGS!$B$7:$D$97,3,0)</f>
        <v>0</v>
      </c>
      <c r="J970" s="670" t="str">
        <f>IFERROR(IF(CURRENCY.FORMAT_1=0,CONCATENATE(TEXT(FIXED(ROUND((C970/EXC.RATE_1),CURRENCY.FORMAT_1),CURRENCY.FORMAT_1,1),"# ##0;-# ##0"),",-"),FIXED(ROUND((C970/EXC.RATE_1),CURRENCY.FORMAT_1),CURRENCY.FORMAT_1,0)),'DICTIONARY-5'!$A$2)</f>
        <v>310,-</v>
      </c>
      <c r="K970" s="670" t="str">
        <f>IF(EXC.RATE_2=0,"",IFERROR(IF(CURRENCY.FORMAT_2=0,CONCATENATE(TEXT(FIXED(ROUND(IF(EXC.RATE.SWITCH=1,C970/EXC.RATE_2,C970*EXC.RATE_2),CURRENCY.FORMAT_2),CURRENCY.FORMAT_2,1),"# ##0;-# ##0"),",-"),FIXED(ROUND(IF(EXC.RATE.SWITCH=1,C970/EXC.RATE_2,C970*EXC.RATE_2),CURRENCY.FORMAT_2),CURRENCY.FORMAT_2,0)),'DICTIONARY-5'!$A$2))</f>
        <v/>
      </c>
      <c r="L970" s="670" t="str">
        <f>IFERROR(IF(CURRENCY.FORMAT_1=0,CONCATENATE(TEXT(FIXED(ROUND((C970*(1-I970)*(1-ADD.DISCOUNT)*(1+MAT.SURCHARGE)/EXC.RATE_1),CURRENCY.FORMAT_1),CURRENCY.FORMAT_1,1),"# ##0;-# ##0"),",-"),FIXED(ROUND((C970*(1-I970)*(1-ADD.DISCOUNT)*(1+MAT.SURCHARGE)/EXC.RATE_1),CURRENCY.FORMAT_1),CURRENCY.FORMAT_1,0)),'DICTIONARY-5'!$A$2)</f>
        <v>322,-</v>
      </c>
      <c r="M970" s="670" t="str">
        <f>IF(EXC.RATE_2=0,"",IFERROR(IF(CURRENCY.FORMAT_2=0,CONCATENATE(TEXT(FIXED(ROUND(IF(EXC.RATE.SWITCH=1,C970*(1-I970)*(1-ADD.DISCOUNT)*(1+MAT.SURCHARGE)/EXC.RATE_2,C970*(1-I970)*(1-ADD.DISCOUNT)*(1+MAT.SURCHARGE)*EXC.RATE_2),CURRENCY.FORMAT_2),CURRENCY.FORMAT_2,1),"# ##0;-# ##0"),",-"),FIXED(ROUND(IF(EXC.RATE.SWITCH=1,C970*(1-I970)*(1-ADD.DISCOUNT)*(1+MAT.SURCHARGE)/EXC.RATE_2,C970*(1-I970)*(1-ADD.DISCOUNT)*(1+MAT.SURCHARGE)*EXC.RATE_2),CURRENCY.FORMAT_2),CURRENCY.FORMAT_2,0)),'DICTIONARY-5'!$A$2))</f>
        <v/>
      </c>
      <c r="N970" s="542">
        <v>4</v>
      </c>
      <c r="O970" s="542"/>
      <c r="P970" s="731" t="str">
        <f>'DICTIONARY-3'!$A$57</f>
        <v>HOD-G</v>
      </c>
      <c r="Q970" s="732" t="str">
        <f>'DICTIONARY-3'!$A$196</f>
        <v>Mostek nawiertowy</v>
      </c>
      <c r="R970" s="732" t="str">
        <f>CONCATENATE('DICTIONARY-3'!$A$55,'DICTIONARY-3'!$A$71," ",'DICTIONARY-6'!$A$21," ",'DICTIONARY-2'!$A$2,"300"," ",'DICTIONARY-2'!$A$5,"318-326 G2"," ",'DICTIONARY-6'!$A$59,", ",'DICTIONARY-6'!$A$76," ",'DICTIONARY-5'!$A$49)</f>
        <v>HOD-G501 Mostek nawiert. DN300 Da318-326 G2 bez zaw., ruroc. ŻEL.</v>
      </c>
      <c r="S970" s="733" t="str">
        <f>'DICTIONARY-4'!$A$2</f>
        <v>WW</v>
      </c>
      <c r="T970" s="732"/>
      <c r="U970" s="734" t="s">
        <v>5752</v>
      </c>
      <c r="V970" s="735"/>
      <c r="W970" s="744" t="s">
        <v>5768</v>
      </c>
      <c r="X970" s="750" t="s">
        <v>50</v>
      </c>
      <c r="Y970" s="738"/>
      <c r="Z970" s="739"/>
      <c r="AA970" s="739"/>
      <c r="AB970" s="740">
        <v>16</v>
      </c>
      <c r="AC970" s="741"/>
      <c r="AD970" s="741" t="str">
        <f>'DICTIONARY-5'!$A$13</f>
        <v>woda pitna</v>
      </c>
      <c r="AE970" s="742">
        <v>50</v>
      </c>
      <c r="AF970" s="743">
        <v>8.5</v>
      </c>
      <c r="AG970" s="741" t="str">
        <f>'DICTIONARY-5'!$A$23</f>
        <v>powłoka epoksydowa</v>
      </c>
    </row>
    <row r="971" spans="1:33" x14ac:dyDescent="0.25">
      <c r="A971" s="856" t="s">
        <v>912</v>
      </c>
      <c r="B971" s="856" t="s">
        <v>4105</v>
      </c>
      <c r="C971" s="836">
        <v>114</v>
      </c>
      <c r="D971" s="836"/>
      <c r="E971" s="836"/>
      <c r="F971" s="836"/>
      <c r="G971" s="496" t="s">
        <v>7812</v>
      </c>
      <c r="H971" s="797" t="str">
        <f>VLOOKUP(G971,SETTINGS!$B$7:$D$97,2,0)</f>
        <v>HOD</v>
      </c>
      <c r="I971" s="796">
        <f>VLOOKUP(G971,SETTINGS!$B$7:$D$97,3,0)</f>
        <v>0</v>
      </c>
      <c r="J971" s="670" t="str">
        <f>IFERROR(IF(CURRENCY.FORMAT_1=0,CONCATENATE(TEXT(FIXED(ROUND((C971/EXC.RATE_1),CURRENCY.FORMAT_1),CURRENCY.FORMAT_1,1),"# ##0;-# ##0"),",-"),FIXED(ROUND((C971/EXC.RATE_1),CURRENCY.FORMAT_1),CURRENCY.FORMAT_1,0)),'DICTIONARY-5'!$A$2)</f>
        <v>114,-</v>
      </c>
      <c r="K971" s="670" t="str">
        <f>IF(EXC.RATE_2=0,"",IFERROR(IF(CURRENCY.FORMAT_2=0,CONCATENATE(TEXT(FIXED(ROUND(IF(EXC.RATE.SWITCH=1,C971/EXC.RATE_2,C971*EXC.RATE_2),CURRENCY.FORMAT_2),CURRENCY.FORMAT_2,1),"# ##0;-# ##0"),",-"),FIXED(ROUND(IF(EXC.RATE.SWITCH=1,C971/EXC.RATE_2,C971*EXC.RATE_2),CURRENCY.FORMAT_2),CURRENCY.FORMAT_2,0)),'DICTIONARY-5'!$A$2))</f>
        <v/>
      </c>
      <c r="L971" s="670" t="str">
        <f>IFERROR(IF(CURRENCY.FORMAT_1=0,CONCATENATE(TEXT(FIXED(ROUND((C971*(1-I971)*(1-ADD.DISCOUNT)*(1+MAT.SURCHARGE)/EXC.RATE_1),CURRENCY.FORMAT_1),CURRENCY.FORMAT_1,1),"# ##0;-# ##0"),",-"),FIXED(ROUND((C971*(1-I971)*(1-ADD.DISCOUNT)*(1+MAT.SURCHARGE)/EXC.RATE_1),CURRENCY.FORMAT_1),CURRENCY.FORMAT_1,0)),'DICTIONARY-5'!$A$2)</f>
        <v>118,-</v>
      </c>
      <c r="M971" s="670" t="str">
        <f>IF(EXC.RATE_2=0,"",IFERROR(IF(CURRENCY.FORMAT_2=0,CONCATENATE(TEXT(FIXED(ROUND(IF(EXC.RATE.SWITCH=1,C971*(1-I971)*(1-ADD.DISCOUNT)*(1+MAT.SURCHARGE)/EXC.RATE_2,C971*(1-I971)*(1-ADD.DISCOUNT)*(1+MAT.SURCHARGE)*EXC.RATE_2),CURRENCY.FORMAT_2),CURRENCY.FORMAT_2,1),"# ##0;-# ##0"),",-"),FIXED(ROUND(IF(EXC.RATE.SWITCH=1,C971*(1-I971)*(1-ADD.DISCOUNT)*(1+MAT.SURCHARGE)/EXC.RATE_2,C971*(1-I971)*(1-ADD.DISCOUNT)*(1+MAT.SURCHARGE)*EXC.RATE_2),CURRENCY.FORMAT_2),CURRENCY.FORMAT_2,0)),'DICTIONARY-5'!$A$2))</f>
        <v/>
      </c>
      <c r="N971" s="542">
        <v>4</v>
      </c>
      <c r="O971" s="542"/>
      <c r="P971" s="731" t="str">
        <f>'DICTIONARY-3'!$A$57</f>
        <v>HOD-G</v>
      </c>
      <c r="Q971" s="732" t="str">
        <f>'DICTIONARY-3'!$A$196</f>
        <v>Mostek nawiertowy</v>
      </c>
      <c r="R971" s="732" t="str">
        <f>CONCATENATE('DICTIONARY-3'!$A$55,'DICTIONARY-3'!$A$72," ",'DICTIONARY-6'!$A$21," ",'DICTIONARY-2'!$A$2,"80"," ",'DICTIONARY-2'!$A$5,"94-99 G1"," ",'DICTIONARY-6'!$A$62,", ",'DICTIONARY-6'!$A$76," ",'DICTIONARY-5'!$A$49)</f>
        <v>HOD-G502 Mostek nawiert. DN80 Da94-99 G1 z zaw. kul., ruroc. ŻEL.</v>
      </c>
      <c r="S971" s="733" t="str">
        <f>'DICTIONARY-4'!$A$2</f>
        <v>WW</v>
      </c>
      <c r="T971" s="732" t="str">
        <f>'DICTIONARY-4'!$A$18</f>
        <v>Wolny wałek</v>
      </c>
      <c r="U971" s="734" t="s">
        <v>5760</v>
      </c>
      <c r="V971" s="735"/>
      <c r="W971" s="744" t="s">
        <v>5764</v>
      </c>
      <c r="X971" s="750" t="s">
        <v>49</v>
      </c>
      <c r="Y971" s="738"/>
      <c r="Z971" s="739"/>
      <c r="AA971" s="739"/>
      <c r="AB971" s="740">
        <v>16</v>
      </c>
      <c r="AC971" s="741"/>
      <c r="AD971" s="741" t="str">
        <f>'DICTIONARY-5'!$A$13</f>
        <v>woda pitna</v>
      </c>
      <c r="AE971" s="742">
        <v>50</v>
      </c>
      <c r="AF971" s="743">
        <v>4</v>
      </c>
      <c r="AG971" s="741" t="str">
        <f>'DICTIONARY-5'!$A$23</f>
        <v>powłoka epoksydowa</v>
      </c>
    </row>
    <row r="972" spans="1:33" x14ac:dyDescent="0.25">
      <c r="A972" s="856" t="s">
        <v>914</v>
      </c>
      <c r="B972" s="856" t="s">
        <v>4106</v>
      </c>
      <c r="C972" s="836">
        <v>92</v>
      </c>
      <c r="D972" s="836"/>
      <c r="E972" s="836"/>
      <c r="F972" s="836"/>
      <c r="G972" s="496" t="s">
        <v>7812</v>
      </c>
      <c r="H972" s="797" t="str">
        <f>VLOOKUP(G972,SETTINGS!$B$7:$D$97,2,0)</f>
        <v>HOD</v>
      </c>
      <c r="I972" s="796">
        <f>VLOOKUP(G972,SETTINGS!$B$7:$D$97,3,0)</f>
        <v>0</v>
      </c>
      <c r="J972" s="670" t="str">
        <f>IFERROR(IF(CURRENCY.FORMAT_1=0,CONCATENATE(TEXT(FIXED(ROUND((C972/EXC.RATE_1),CURRENCY.FORMAT_1),CURRENCY.FORMAT_1,1),"# ##0;-# ##0"),",-"),FIXED(ROUND((C972/EXC.RATE_1),CURRENCY.FORMAT_1),CURRENCY.FORMAT_1,0)),'DICTIONARY-5'!$A$2)</f>
        <v>92,-</v>
      </c>
      <c r="K972" s="670" t="str">
        <f>IF(EXC.RATE_2=0,"",IFERROR(IF(CURRENCY.FORMAT_2=0,CONCATENATE(TEXT(FIXED(ROUND(IF(EXC.RATE.SWITCH=1,C972/EXC.RATE_2,C972*EXC.RATE_2),CURRENCY.FORMAT_2),CURRENCY.FORMAT_2,1),"# ##0;-# ##0"),",-"),FIXED(ROUND(IF(EXC.RATE.SWITCH=1,C972/EXC.RATE_2,C972*EXC.RATE_2),CURRENCY.FORMAT_2),CURRENCY.FORMAT_2,0)),'DICTIONARY-5'!$A$2))</f>
        <v/>
      </c>
      <c r="L972" s="670" t="str">
        <f>IFERROR(IF(CURRENCY.FORMAT_1=0,CONCATENATE(TEXT(FIXED(ROUND((C972*(1-I972)*(1-ADD.DISCOUNT)*(1+MAT.SURCHARGE)/EXC.RATE_1),CURRENCY.FORMAT_1),CURRENCY.FORMAT_1,1),"# ##0;-# ##0"),",-"),FIXED(ROUND((C972*(1-I972)*(1-ADD.DISCOUNT)*(1+MAT.SURCHARGE)/EXC.RATE_1),CURRENCY.FORMAT_1),CURRENCY.FORMAT_1,0)),'DICTIONARY-5'!$A$2)</f>
        <v>96,-</v>
      </c>
      <c r="M972" s="670" t="str">
        <f>IF(EXC.RATE_2=0,"",IFERROR(IF(CURRENCY.FORMAT_2=0,CONCATENATE(TEXT(FIXED(ROUND(IF(EXC.RATE.SWITCH=1,C972*(1-I972)*(1-ADD.DISCOUNT)*(1+MAT.SURCHARGE)/EXC.RATE_2,C972*(1-I972)*(1-ADD.DISCOUNT)*(1+MAT.SURCHARGE)*EXC.RATE_2),CURRENCY.FORMAT_2),CURRENCY.FORMAT_2,1),"# ##0;-# ##0"),",-"),FIXED(ROUND(IF(EXC.RATE.SWITCH=1,C972*(1-I972)*(1-ADD.DISCOUNT)*(1+MAT.SURCHARGE)/EXC.RATE_2,C972*(1-I972)*(1-ADD.DISCOUNT)*(1+MAT.SURCHARGE)*EXC.RATE_2),CURRENCY.FORMAT_2),CURRENCY.FORMAT_2,0)),'DICTIONARY-5'!$A$2))</f>
        <v/>
      </c>
      <c r="N972" s="542">
        <v>4</v>
      </c>
      <c r="O972" s="542"/>
      <c r="P972" s="731" t="str">
        <f>'DICTIONARY-3'!$A$57</f>
        <v>HOD-G</v>
      </c>
      <c r="Q972" s="732" t="str">
        <f>'DICTIONARY-3'!$A$196</f>
        <v>Mostek nawiertowy</v>
      </c>
      <c r="R972" s="732" t="str">
        <f>CONCATENATE('DICTIONARY-3'!$A$55,'DICTIONARY-3'!$A$72," ",'DICTIONARY-6'!$A$21," ",'DICTIONARY-2'!$A$2,"100"," ",'DICTIONARY-2'!$A$5,"114-121 G1"," ",'DICTIONARY-6'!$A$62,", ",'DICTIONARY-6'!$A$76," ",'DICTIONARY-5'!$A$49)</f>
        <v>HOD-G502 Mostek nawiert. DN100 Da114-121 G1 z zaw. kul., ruroc. ŻEL.</v>
      </c>
      <c r="S972" s="733" t="str">
        <f>'DICTIONARY-4'!$A$2</f>
        <v>WW</v>
      </c>
      <c r="T972" s="732" t="str">
        <f>'DICTIONARY-4'!$A$18</f>
        <v>Wolny wałek</v>
      </c>
      <c r="U972" s="734" t="s">
        <v>5749</v>
      </c>
      <c r="V972" s="735"/>
      <c r="W972" s="744" t="s">
        <v>5765</v>
      </c>
      <c r="X972" s="750" t="s">
        <v>49</v>
      </c>
      <c r="Y972" s="738"/>
      <c r="Z972" s="739"/>
      <c r="AA972" s="739"/>
      <c r="AB972" s="740">
        <v>16</v>
      </c>
      <c r="AC972" s="741"/>
      <c r="AD972" s="741" t="str">
        <f>'DICTIONARY-5'!$A$13</f>
        <v>woda pitna</v>
      </c>
      <c r="AE972" s="742">
        <v>50</v>
      </c>
      <c r="AF972" s="743">
        <v>4</v>
      </c>
      <c r="AG972" s="741" t="str">
        <f>'DICTIONARY-5'!$A$23</f>
        <v>powłoka epoksydowa</v>
      </c>
    </row>
    <row r="973" spans="1:33" x14ac:dyDescent="0.25">
      <c r="A973" s="856" t="s">
        <v>916</v>
      </c>
      <c r="B973" s="856" t="s">
        <v>4107</v>
      </c>
      <c r="C973" s="836">
        <v>119</v>
      </c>
      <c r="D973" s="836"/>
      <c r="E973" s="836"/>
      <c r="F973" s="836"/>
      <c r="G973" s="496" t="s">
        <v>7812</v>
      </c>
      <c r="H973" s="797" t="str">
        <f>VLOOKUP(G973,SETTINGS!$B$7:$D$97,2,0)</f>
        <v>HOD</v>
      </c>
      <c r="I973" s="796">
        <f>VLOOKUP(G973,SETTINGS!$B$7:$D$97,3,0)</f>
        <v>0</v>
      </c>
      <c r="J973" s="670" t="str">
        <f>IFERROR(IF(CURRENCY.FORMAT_1=0,CONCATENATE(TEXT(FIXED(ROUND((C973/EXC.RATE_1),CURRENCY.FORMAT_1),CURRENCY.FORMAT_1,1),"# ##0;-# ##0"),",-"),FIXED(ROUND((C973/EXC.RATE_1),CURRENCY.FORMAT_1),CURRENCY.FORMAT_1,0)),'DICTIONARY-5'!$A$2)</f>
        <v>119,-</v>
      </c>
      <c r="K973" s="670" t="str">
        <f>IF(EXC.RATE_2=0,"",IFERROR(IF(CURRENCY.FORMAT_2=0,CONCATENATE(TEXT(FIXED(ROUND(IF(EXC.RATE.SWITCH=1,C973/EXC.RATE_2,C973*EXC.RATE_2),CURRENCY.FORMAT_2),CURRENCY.FORMAT_2,1),"# ##0;-# ##0"),",-"),FIXED(ROUND(IF(EXC.RATE.SWITCH=1,C973/EXC.RATE_2,C973*EXC.RATE_2),CURRENCY.FORMAT_2),CURRENCY.FORMAT_2,0)),'DICTIONARY-5'!$A$2))</f>
        <v/>
      </c>
      <c r="L973" s="670" t="str">
        <f>IFERROR(IF(CURRENCY.FORMAT_1=0,CONCATENATE(TEXT(FIXED(ROUND((C973*(1-I973)*(1-ADD.DISCOUNT)*(1+MAT.SURCHARGE)/EXC.RATE_1),CURRENCY.FORMAT_1),CURRENCY.FORMAT_1,1),"# ##0;-# ##0"),",-"),FIXED(ROUND((C973*(1-I973)*(1-ADD.DISCOUNT)*(1+MAT.SURCHARGE)/EXC.RATE_1),CURRENCY.FORMAT_1),CURRENCY.FORMAT_1,0)),'DICTIONARY-5'!$A$2)</f>
        <v>124,-</v>
      </c>
      <c r="M973" s="670" t="str">
        <f>IF(EXC.RATE_2=0,"",IFERROR(IF(CURRENCY.FORMAT_2=0,CONCATENATE(TEXT(FIXED(ROUND(IF(EXC.RATE.SWITCH=1,C973*(1-I973)*(1-ADD.DISCOUNT)*(1+MAT.SURCHARGE)/EXC.RATE_2,C973*(1-I973)*(1-ADD.DISCOUNT)*(1+MAT.SURCHARGE)*EXC.RATE_2),CURRENCY.FORMAT_2),CURRENCY.FORMAT_2,1),"# ##0;-# ##0"),",-"),FIXED(ROUND(IF(EXC.RATE.SWITCH=1,C973*(1-I973)*(1-ADD.DISCOUNT)*(1+MAT.SURCHARGE)/EXC.RATE_2,C973*(1-I973)*(1-ADD.DISCOUNT)*(1+MAT.SURCHARGE)*EXC.RATE_2),CURRENCY.FORMAT_2),CURRENCY.FORMAT_2,0)),'DICTIONARY-5'!$A$2))</f>
        <v/>
      </c>
      <c r="N973" s="542">
        <v>4</v>
      </c>
      <c r="O973" s="542"/>
      <c r="P973" s="731" t="str">
        <f>'DICTIONARY-3'!$A$57</f>
        <v>HOD-G</v>
      </c>
      <c r="Q973" s="732" t="str">
        <f>'DICTIONARY-3'!$A$196</f>
        <v>Mostek nawiertowy</v>
      </c>
      <c r="R973" s="732" t="str">
        <f>CONCATENATE('DICTIONARY-3'!$A$55,'DICTIONARY-3'!$A$72," ",'DICTIONARY-6'!$A$21," ",'DICTIONARY-2'!$A$2,"150"," ",'DICTIONARY-2'!$A$5,"167-172 G1"," ",'DICTIONARY-6'!$A$62,", ",'DICTIONARY-6'!$A$76," ",'DICTIONARY-5'!$A$49)</f>
        <v>HOD-G502 Mostek nawiert. DN150 Da167-172 G1 z zaw. kul., ruroc. ŻEL.</v>
      </c>
      <c r="S973" s="733" t="str">
        <f>'DICTIONARY-4'!$A$2</f>
        <v>WW</v>
      </c>
      <c r="T973" s="732" t="str">
        <f>'DICTIONARY-4'!$A$18</f>
        <v>Wolny wałek</v>
      </c>
      <c r="U973" s="734" t="s">
        <v>5572</v>
      </c>
      <c r="V973" s="735"/>
      <c r="W973" s="744" t="s">
        <v>5766</v>
      </c>
      <c r="X973" s="750" t="s">
        <v>49</v>
      </c>
      <c r="Y973" s="738"/>
      <c r="Z973" s="739"/>
      <c r="AA973" s="739"/>
      <c r="AB973" s="740">
        <v>16</v>
      </c>
      <c r="AC973" s="741"/>
      <c r="AD973" s="741" t="str">
        <f>'DICTIONARY-5'!$A$13</f>
        <v>woda pitna</v>
      </c>
      <c r="AE973" s="742">
        <v>50</v>
      </c>
      <c r="AF973" s="743">
        <v>4.5</v>
      </c>
      <c r="AG973" s="741" t="str">
        <f>'DICTIONARY-5'!$A$23</f>
        <v>powłoka epoksydowa</v>
      </c>
    </row>
    <row r="974" spans="1:33" x14ac:dyDescent="0.25">
      <c r="A974" s="856" t="s">
        <v>918</v>
      </c>
      <c r="B974" s="856" t="s">
        <v>4108</v>
      </c>
      <c r="C974" s="836">
        <v>180</v>
      </c>
      <c r="D974" s="836"/>
      <c r="E974" s="836"/>
      <c r="F974" s="836"/>
      <c r="G974" s="496" t="s">
        <v>7812</v>
      </c>
      <c r="H974" s="797" t="str">
        <f>VLOOKUP(G974,SETTINGS!$B$7:$D$97,2,0)</f>
        <v>HOD</v>
      </c>
      <c r="I974" s="796">
        <f>VLOOKUP(G974,SETTINGS!$B$7:$D$97,3,0)</f>
        <v>0</v>
      </c>
      <c r="J974" s="670" t="str">
        <f>IFERROR(IF(CURRENCY.FORMAT_1=0,CONCATENATE(TEXT(FIXED(ROUND((C974/EXC.RATE_1),CURRENCY.FORMAT_1),CURRENCY.FORMAT_1,1),"# ##0;-# ##0"),",-"),FIXED(ROUND((C974/EXC.RATE_1),CURRENCY.FORMAT_1),CURRENCY.FORMAT_1,0)),'DICTIONARY-5'!$A$2)</f>
        <v>180,-</v>
      </c>
      <c r="K974" s="670" t="str">
        <f>IF(EXC.RATE_2=0,"",IFERROR(IF(CURRENCY.FORMAT_2=0,CONCATENATE(TEXT(FIXED(ROUND(IF(EXC.RATE.SWITCH=1,C974/EXC.RATE_2,C974*EXC.RATE_2),CURRENCY.FORMAT_2),CURRENCY.FORMAT_2,1),"# ##0;-# ##0"),",-"),FIXED(ROUND(IF(EXC.RATE.SWITCH=1,C974/EXC.RATE_2,C974*EXC.RATE_2),CURRENCY.FORMAT_2),CURRENCY.FORMAT_2,0)),'DICTIONARY-5'!$A$2))</f>
        <v/>
      </c>
      <c r="L974" s="670" t="str">
        <f>IFERROR(IF(CURRENCY.FORMAT_1=0,CONCATENATE(TEXT(FIXED(ROUND((C974*(1-I974)*(1-ADD.DISCOUNT)*(1+MAT.SURCHARGE)/EXC.RATE_1),CURRENCY.FORMAT_1),CURRENCY.FORMAT_1,1),"# ##0;-# ##0"),",-"),FIXED(ROUND((C974*(1-I974)*(1-ADD.DISCOUNT)*(1+MAT.SURCHARGE)/EXC.RATE_1),CURRENCY.FORMAT_1),CURRENCY.FORMAT_1,0)),'DICTIONARY-5'!$A$2)</f>
        <v>187,-</v>
      </c>
      <c r="M974" s="670" t="str">
        <f>IF(EXC.RATE_2=0,"",IFERROR(IF(CURRENCY.FORMAT_2=0,CONCATENATE(TEXT(FIXED(ROUND(IF(EXC.RATE.SWITCH=1,C974*(1-I974)*(1-ADD.DISCOUNT)*(1+MAT.SURCHARGE)/EXC.RATE_2,C974*(1-I974)*(1-ADD.DISCOUNT)*(1+MAT.SURCHARGE)*EXC.RATE_2),CURRENCY.FORMAT_2),CURRENCY.FORMAT_2,1),"# ##0;-# ##0"),",-"),FIXED(ROUND(IF(EXC.RATE.SWITCH=1,C974*(1-I974)*(1-ADD.DISCOUNT)*(1+MAT.SURCHARGE)/EXC.RATE_2,C974*(1-I974)*(1-ADD.DISCOUNT)*(1+MAT.SURCHARGE)*EXC.RATE_2),CURRENCY.FORMAT_2),CURRENCY.FORMAT_2,0)),'DICTIONARY-5'!$A$2))</f>
        <v/>
      </c>
      <c r="N974" s="542">
        <v>4</v>
      </c>
      <c r="O974" s="542"/>
      <c r="P974" s="731" t="str">
        <f>'DICTIONARY-3'!$A$57</f>
        <v>HOD-G</v>
      </c>
      <c r="Q974" s="732" t="str">
        <f>'DICTIONARY-3'!$A$196</f>
        <v>Mostek nawiertowy</v>
      </c>
      <c r="R974" s="732" t="str">
        <f>CONCATENATE('DICTIONARY-3'!$A$55,'DICTIONARY-3'!$A$72," ",'DICTIONARY-6'!$A$21," ",'DICTIONARY-2'!$A$2,"200"," ",'DICTIONARY-2'!$A$5,"216-225 G1"," ",'DICTIONARY-6'!$A$62,", ",'DICTIONARY-6'!$A$76," ",'DICTIONARY-5'!$A$49)</f>
        <v>HOD-G502 Mostek nawiert. DN200 Da216-225 G1 z zaw. kul., ruroc. ŻEL.</v>
      </c>
      <c r="S974" s="733" t="str">
        <f>'DICTIONARY-4'!$A$2</f>
        <v>WW</v>
      </c>
      <c r="T974" s="732" t="str">
        <f>'DICTIONARY-4'!$A$18</f>
        <v>Wolny wałek</v>
      </c>
      <c r="U974" s="734" t="s">
        <v>5750</v>
      </c>
      <c r="V974" s="735"/>
      <c r="W974" s="744" t="s">
        <v>5767</v>
      </c>
      <c r="X974" s="750" t="s">
        <v>49</v>
      </c>
      <c r="Y974" s="738"/>
      <c r="Z974" s="739"/>
      <c r="AA974" s="739"/>
      <c r="AB974" s="740">
        <v>16</v>
      </c>
      <c r="AC974" s="741"/>
      <c r="AD974" s="741" t="str">
        <f>'DICTIONARY-5'!$A$13</f>
        <v>woda pitna</v>
      </c>
      <c r="AE974" s="742">
        <v>50</v>
      </c>
      <c r="AF974" s="743">
        <v>5.5</v>
      </c>
      <c r="AG974" s="741" t="str">
        <f>'DICTIONARY-5'!$A$23</f>
        <v>powłoka epoksydowa</v>
      </c>
    </row>
    <row r="975" spans="1:33" x14ac:dyDescent="0.25">
      <c r="A975" s="856" t="s">
        <v>913</v>
      </c>
      <c r="B975" s="856" t="s">
        <v>4109</v>
      </c>
      <c r="C975" s="836">
        <v>123</v>
      </c>
      <c r="D975" s="836"/>
      <c r="E975" s="836"/>
      <c r="F975" s="836"/>
      <c r="G975" s="496" t="s">
        <v>7812</v>
      </c>
      <c r="H975" s="797" t="str">
        <f>VLOOKUP(G975,SETTINGS!$B$7:$D$97,2,0)</f>
        <v>HOD</v>
      </c>
      <c r="I975" s="796">
        <f>VLOOKUP(G975,SETTINGS!$B$7:$D$97,3,0)</f>
        <v>0</v>
      </c>
      <c r="J975" s="670" t="str">
        <f>IFERROR(IF(CURRENCY.FORMAT_1=0,CONCATENATE(TEXT(FIXED(ROUND((C975/EXC.RATE_1),CURRENCY.FORMAT_1),CURRENCY.FORMAT_1,1),"# ##0;-# ##0"),",-"),FIXED(ROUND((C975/EXC.RATE_1),CURRENCY.FORMAT_1),CURRENCY.FORMAT_1,0)),'DICTIONARY-5'!$A$2)</f>
        <v>123,-</v>
      </c>
      <c r="K975" s="670" t="str">
        <f>IF(EXC.RATE_2=0,"",IFERROR(IF(CURRENCY.FORMAT_2=0,CONCATENATE(TEXT(FIXED(ROUND(IF(EXC.RATE.SWITCH=1,C975/EXC.RATE_2,C975*EXC.RATE_2),CURRENCY.FORMAT_2),CURRENCY.FORMAT_2,1),"# ##0;-# ##0"),",-"),FIXED(ROUND(IF(EXC.RATE.SWITCH=1,C975/EXC.RATE_2,C975*EXC.RATE_2),CURRENCY.FORMAT_2),CURRENCY.FORMAT_2,0)),'DICTIONARY-5'!$A$2))</f>
        <v/>
      </c>
      <c r="L975" s="670" t="str">
        <f>IFERROR(IF(CURRENCY.FORMAT_1=0,CONCATENATE(TEXT(FIXED(ROUND((C975*(1-I975)*(1-ADD.DISCOUNT)*(1+MAT.SURCHARGE)/EXC.RATE_1),CURRENCY.FORMAT_1),CURRENCY.FORMAT_1,1),"# ##0;-# ##0"),",-"),FIXED(ROUND((C975*(1-I975)*(1-ADD.DISCOUNT)*(1+MAT.SURCHARGE)/EXC.RATE_1),CURRENCY.FORMAT_1),CURRENCY.FORMAT_1,0)),'DICTIONARY-5'!$A$2)</f>
        <v>128,-</v>
      </c>
      <c r="M975" s="670" t="str">
        <f>IF(EXC.RATE_2=0,"",IFERROR(IF(CURRENCY.FORMAT_2=0,CONCATENATE(TEXT(FIXED(ROUND(IF(EXC.RATE.SWITCH=1,C975*(1-I975)*(1-ADD.DISCOUNT)*(1+MAT.SURCHARGE)/EXC.RATE_2,C975*(1-I975)*(1-ADD.DISCOUNT)*(1+MAT.SURCHARGE)*EXC.RATE_2),CURRENCY.FORMAT_2),CURRENCY.FORMAT_2,1),"# ##0;-# ##0"),",-"),FIXED(ROUND(IF(EXC.RATE.SWITCH=1,C975*(1-I975)*(1-ADD.DISCOUNT)*(1+MAT.SURCHARGE)/EXC.RATE_2,C975*(1-I975)*(1-ADD.DISCOUNT)*(1+MAT.SURCHARGE)*EXC.RATE_2),CURRENCY.FORMAT_2),CURRENCY.FORMAT_2,0)),'DICTIONARY-5'!$A$2))</f>
        <v/>
      </c>
      <c r="N975" s="542">
        <v>4</v>
      </c>
      <c r="O975" s="542"/>
      <c r="P975" s="731" t="str">
        <f>'DICTIONARY-3'!$A$57</f>
        <v>HOD-G</v>
      </c>
      <c r="Q975" s="732" t="str">
        <f>'DICTIONARY-3'!$A$196</f>
        <v>Mostek nawiertowy</v>
      </c>
      <c r="R975" s="732" t="str">
        <f>CONCATENATE('DICTIONARY-3'!$A$55,'DICTIONARY-3'!$A$72," ",'DICTIONARY-6'!$A$21," ",'DICTIONARY-2'!$A$2,"80"," ",'DICTIONARY-2'!$A$5,"94-99 G1¼"," ",'DICTIONARY-6'!$A$62,", ",'DICTIONARY-6'!$A$76," ",'DICTIONARY-5'!$A$49)</f>
        <v>HOD-G502 Mostek nawiert. DN80 Da94-99 G1¼ z zaw. kul., ruroc. ŻEL.</v>
      </c>
      <c r="S975" s="733" t="str">
        <f>'DICTIONARY-4'!$A$2</f>
        <v>WW</v>
      </c>
      <c r="T975" s="732" t="str">
        <f>'DICTIONARY-4'!$A$18</f>
        <v>Wolny wałek</v>
      </c>
      <c r="U975" s="734" t="s">
        <v>5760</v>
      </c>
      <c r="V975" s="735"/>
      <c r="W975" s="744" t="s">
        <v>5764</v>
      </c>
      <c r="X975" s="737" t="s">
        <v>5740</v>
      </c>
      <c r="Y975" s="738"/>
      <c r="Z975" s="739"/>
      <c r="AA975" s="739"/>
      <c r="AB975" s="740">
        <v>16</v>
      </c>
      <c r="AC975" s="741"/>
      <c r="AD975" s="741" t="str">
        <f>'DICTIONARY-5'!$A$13</f>
        <v>woda pitna</v>
      </c>
      <c r="AE975" s="742">
        <v>50</v>
      </c>
      <c r="AF975" s="743">
        <v>3.75</v>
      </c>
      <c r="AG975" s="741" t="str">
        <f>'DICTIONARY-5'!$A$23</f>
        <v>powłoka epoksydowa</v>
      </c>
    </row>
    <row r="976" spans="1:33" x14ac:dyDescent="0.25">
      <c r="A976" s="856" t="s">
        <v>915</v>
      </c>
      <c r="B976" s="856" t="s">
        <v>4110</v>
      </c>
      <c r="C976" s="836">
        <v>100</v>
      </c>
      <c r="D976" s="836"/>
      <c r="E976" s="836"/>
      <c r="F976" s="836"/>
      <c r="G976" s="496" t="s">
        <v>7812</v>
      </c>
      <c r="H976" s="797" t="str">
        <f>VLOOKUP(G976,SETTINGS!$B$7:$D$97,2,0)</f>
        <v>HOD</v>
      </c>
      <c r="I976" s="796">
        <f>VLOOKUP(G976,SETTINGS!$B$7:$D$97,3,0)</f>
        <v>0</v>
      </c>
      <c r="J976" s="670" t="str">
        <f>IFERROR(IF(CURRENCY.FORMAT_1=0,CONCATENATE(TEXT(FIXED(ROUND((C976/EXC.RATE_1),CURRENCY.FORMAT_1),CURRENCY.FORMAT_1,1),"# ##0;-# ##0"),",-"),FIXED(ROUND((C976/EXC.RATE_1),CURRENCY.FORMAT_1),CURRENCY.FORMAT_1,0)),'DICTIONARY-5'!$A$2)</f>
        <v>100,-</v>
      </c>
      <c r="K976" s="670" t="str">
        <f>IF(EXC.RATE_2=0,"",IFERROR(IF(CURRENCY.FORMAT_2=0,CONCATENATE(TEXT(FIXED(ROUND(IF(EXC.RATE.SWITCH=1,C976/EXC.RATE_2,C976*EXC.RATE_2),CURRENCY.FORMAT_2),CURRENCY.FORMAT_2,1),"# ##0;-# ##0"),",-"),FIXED(ROUND(IF(EXC.RATE.SWITCH=1,C976/EXC.RATE_2,C976*EXC.RATE_2),CURRENCY.FORMAT_2),CURRENCY.FORMAT_2,0)),'DICTIONARY-5'!$A$2))</f>
        <v/>
      </c>
      <c r="L976" s="670" t="str">
        <f>IFERROR(IF(CURRENCY.FORMAT_1=0,CONCATENATE(TEXT(FIXED(ROUND((C976*(1-I976)*(1-ADD.DISCOUNT)*(1+MAT.SURCHARGE)/EXC.RATE_1),CURRENCY.FORMAT_1),CURRENCY.FORMAT_1,1),"# ##0;-# ##0"),",-"),FIXED(ROUND((C976*(1-I976)*(1-ADD.DISCOUNT)*(1+MAT.SURCHARGE)/EXC.RATE_1),CURRENCY.FORMAT_1),CURRENCY.FORMAT_1,0)),'DICTIONARY-5'!$A$2)</f>
        <v>104,-</v>
      </c>
      <c r="M976" s="670" t="str">
        <f>IF(EXC.RATE_2=0,"",IFERROR(IF(CURRENCY.FORMAT_2=0,CONCATENATE(TEXT(FIXED(ROUND(IF(EXC.RATE.SWITCH=1,C976*(1-I976)*(1-ADD.DISCOUNT)*(1+MAT.SURCHARGE)/EXC.RATE_2,C976*(1-I976)*(1-ADD.DISCOUNT)*(1+MAT.SURCHARGE)*EXC.RATE_2),CURRENCY.FORMAT_2),CURRENCY.FORMAT_2,1),"# ##0;-# ##0"),",-"),FIXED(ROUND(IF(EXC.RATE.SWITCH=1,C976*(1-I976)*(1-ADD.DISCOUNT)*(1+MAT.SURCHARGE)/EXC.RATE_2,C976*(1-I976)*(1-ADD.DISCOUNT)*(1+MAT.SURCHARGE)*EXC.RATE_2),CURRENCY.FORMAT_2),CURRENCY.FORMAT_2,0)),'DICTIONARY-5'!$A$2))</f>
        <v/>
      </c>
      <c r="N976" s="542">
        <v>4</v>
      </c>
      <c r="O976" s="542"/>
      <c r="P976" s="731" t="str">
        <f>'DICTIONARY-3'!$A$57</f>
        <v>HOD-G</v>
      </c>
      <c r="Q976" s="732" t="str">
        <f>'DICTIONARY-3'!$A$196</f>
        <v>Mostek nawiertowy</v>
      </c>
      <c r="R976" s="732" t="str">
        <f>CONCATENATE('DICTIONARY-3'!$A$55,'DICTIONARY-3'!$A$72," ",'DICTIONARY-6'!$A$21," ",'DICTIONARY-2'!$A$2,"100"," ",'DICTIONARY-2'!$A$5,"114-121 G1¼"," ",'DICTIONARY-6'!$A$62,", ",'DICTIONARY-6'!$A$76," ",'DICTIONARY-5'!$A$49)</f>
        <v>HOD-G502 Mostek nawiert. DN100 Da114-121 G1¼ z zaw. kul., ruroc. ŻEL.</v>
      </c>
      <c r="S976" s="733" t="str">
        <f>'DICTIONARY-4'!$A$2</f>
        <v>WW</v>
      </c>
      <c r="T976" s="732" t="str">
        <f>'DICTIONARY-4'!$A$18</f>
        <v>Wolny wałek</v>
      </c>
      <c r="U976" s="734" t="s">
        <v>5749</v>
      </c>
      <c r="V976" s="735"/>
      <c r="W976" s="744" t="s">
        <v>5765</v>
      </c>
      <c r="X976" s="737" t="s">
        <v>5740</v>
      </c>
      <c r="Y976" s="738"/>
      <c r="Z976" s="739"/>
      <c r="AA976" s="739"/>
      <c r="AB976" s="740">
        <v>16</v>
      </c>
      <c r="AC976" s="741"/>
      <c r="AD976" s="741" t="str">
        <f>'DICTIONARY-5'!$A$13</f>
        <v>woda pitna</v>
      </c>
      <c r="AE976" s="742">
        <v>50</v>
      </c>
      <c r="AF976" s="743">
        <v>4</v>
      </c>
      <c r="AG976" s="741" t="str">
        <f>'DICTIONARY-5'!$A$23</f>
        <v>powłoka epoksydowa</v>
      </c>
    </row>
    <row r="977" spans="1:33" x14ac:dyDescent="0.25">
      <c r="A977" s="856" t="s">
        <v>917</v>
      </c>
      <c r="B977" s="856" t="s">
        <v>4111</v>
      </c>
      <c r="C977" s="836">
        <v>127</v>
      </c>
      <c r="D977" s="836"/>
      <c r="E977" s="836"/>
      <c r="F977" s="836"/>
      <c r="G977" s="496" t="s">
        <v>7812</v>
      </c>
      <c r="H977" s="797" t="str">
        <f>VLOOKUP(G977,SETTINGS!$B$7:$D$97,2,0)</f>
        <v>HOD</v>
      </c>
      <c r="I977" s="796">
        <f>VLOOKUP(G977,SETTINGS!$B$7:$D$97,3,0)</f>
        <v>0</v>
      </c>
      <c r="J977" s="670" t="str">
        <f>IFERROR(IF(CURRENCY.FORMAT_1=0,CONCATENATE(TEXT(FIXED(ROUND((C977/EXC.RATE_1),CURRENCY.FORMAT_1),CURRENCY.FORMAT_1,1),"# ##0;-# ##0"),",-"),FIXED(ROUND((C977/EXC.RATE_1),CURRENCY.FORMAT_1),CURRENCY.FORMAT_1,0)),'DICTIONARY-5'!$A$2)</f>
        <v>127,-</v>
      </c>
      <c r="K977" s="670" t="str">
        <f>IF(EXC.RATE_2=0,"",IFERROR(IF(CURRENCY.FORMAT_2=0,CONCATENATE(TEXT(FIXED(ROUND(IF(EXC.RATE.SWITCH=1,C977/EXC.RATE_2,C977*EXC.RATE_2),CURRENCY.FORMAT_2),CURRENCY.FORMAT_2,1),"# ##0;-# ##0"),",-"),FIXED(ROUND(IF(EXC.RATE.SWITCH=1,C977/EXC.RATE_2,C977*EXC.RATE_2),CURRENCY.FORMAT_2),CURRENCY.FORMAT_2,0)),'DICTIONARY-5'!$A$2))</f>
        <v/>
      </c>
      <c r="L977" s="670" t="str">
        <f>IFERROR(IF(CURRENCY.FORMAT_1=0,CONCATENATE(TEXT(FIXED(ROUND((C977*(1-I977)*(1-ADD.DISCOUNT)*(1+MAT.SURCHARGE)/EXC.RATE_1),CURRENCY.FORMAT_1),CURRENCY.FORMAT_1,1),"# ##0;-# ##0"),",-"),FIXED(ROUND((C977*(1-I977)*(1-ADD.DISCOUNT)*(1+MAT.SURCHARGE)/EXC.RATE_1),CURRENCY.FORMAT_1),CURRENCY.FORMAT_1,0)),'DICTIONARY-5'!$A$2)</f>
        <v>132,-</v>
      </c>
      <c r="M977" s="670" t="str">
        <f>IF(EXC.RATE_2=0,"",IFERROR(IF(CURRENCY.FORMAT_2=0,CONCATENATE(TEXT(FIXED(ROUND(IF(EXC.RATE.SWITCH=1,C977*(1-I977)*(1-ADD.DISCOUNT)*(1+MAT.SURCHARGE)/EXC.RATE_2,C977*(1-I977)*(1-ADD.DISCOUNT)*(1+MAT.SURCHARGE)*EXC.RATE_2),CURRENCY.FORMAT_2),CURRENCY.FORMAT_2,1),"# ##0;-# ##0"),",-"),FIXED(ROUND(IF(EXC.RATE.SWITCH=1,C977*(1-I977)*(1-ADD.DISCOUNT)*(1+MAT.SURCHARGE)/EXC.RATE_2,C977*(1-I977)*(1-ADD.DISCOUNT)*(1+MAT.SURCHARGE)*EXC.RATE_2),CURRENCY.FORMAT_2),CURRENCY.FORMAT_2,0)),'DICTIONARY-5'!$A$2))</f>
        <v/>
      </c>
      <c r="N977" s="542">
        <v>4</v>
      </c>
      <c r="O977" s="542"/>
      <c r="P977" s="731" t="str">
        <f>'DICTIONARY-3'!$A$57</f>
        <v>HOD-G</v>
      </c>
      <c r="Q977" s="732" t="str">
        <f>'DICTIONARY-3'!$A$196</f>
        <v>Mostek nawiertowy</v>
      </c>
      <c r="R977" s="732" t="str">
        <f>CONCATENATE('DICTIONARY-3'!$A$55,'DICTIONARY-3'!$A$72," ",'DICTIONARY-6'!$A$21," ",'DICTIONARY-2'!$A$2,"150"," ",'DICTIONARY-2'!$A$5,"167-172 G1¼"," ",'DICTIONARY-6'!$A$62,", ",'DICTIONARY-6'!$A$76," ",'DICTIONARY-5'!$A$49)</f>
        <v>HOD-G502 Mostek nawiert. DN150 Da167-172 G1¼ z zaw. kul., ruroc. ŻEL.</v>
      </c>
      <c r="S977" s="733" t="str">
        <f>'DICTIONARY-4'!$A$2</f>
        <v>WW</v>
      </c>
      <c r="T977" s="732" t="str">
        <f>'DICTIONARY-4'!$A$18</f>
        <v>Wolny wałek</v>
      </c>
      <c r="U977" s="734" t="s">
        <v>5572</v>
      </c>
      <c r="V977" s="735"/>
      <c r="W977" s="744" t="s">
        <v>5766</v>
      </c>
      <c r="X977" s="737" t="s">
        <v>5740</v>
      </c>
      <c r="Y977" s="738"/>
      <c r="Z977" s="739"/>
      <c r="AA977" s="739"/>
      <c r="AB977" s="740">
        <v>16</v>
      </c>
      <c r="AC977" s="741"/>
      <c r="AD977" s="741" t="str">
        <f>'DICTIONARY-5'!$A$13</f>
        <v>woda pitna</v>
      </c>
      <c r="AE977" s="742">
        <v>50</v>
      </c>
      <c r="AF977" s="743">
        <v>4.5</v>
      </c>
      <c r="AG977" s="741" t="str">
        <f>'DICTIONARY-5'!$A$23</f>
        <v>powłoka epoksydowa</v>
      </c>
    </row>
    <row r="978" spans="1:33" x14ac:dyDescent="0.25">
      <c r="A978" s="856" t="s">
        <v>919</v>
      </c>
      <c r="B978" s="856" t="s">
        <v>4112</v>
      </c>
      <c r="C978" s="836">
        <v>189</v>
      </c>
      <c r="D978" s="836"/>
      <c r="E978" s="836"/>
      <c r="F978" s="836"/>
      <c r="G978" s="496" t="s">
        <v>7812</v>
      </c>
      <c r="H978" s="797" t="str">
        <f>VLOOKUP(G978,SETTINGS!$B$7:$D$97,2,0)</f>
        <v>HOD</v>
      </c>
      <c r="I978" s="796">
        <f>VLOOKUP(G978,SETTINGS!$B$7:$D$97,3,0)</f>
        <v>0</v>
      </c>
      <c r="J978" s="670" t="str">
        <f>IFERROR(IF(CURRENCY.FORMAT_1=0,CONCATENATE(TEXT(FIXED(ROUND((C978/EXC.RATE_1),CURRENCY.FORMAT_1),CURRENCY.FORMAT_1,1),"# ##0;-# ##0"),",-"),FIXED(ROUND((C978/EXC.RATE_1),CURRENCY.FORMAT_1),CURRENCY.FORMAT_1,0)),'DICTIONARY-5'!$A$2)</f>
        <v>189,-</v>
      </c>
      <c r="K978" s="670" t="str">
        <f>IF(EXC.RATE_2=0,"",IFERROR(IF(CURRENCY.FORMAT_2=0,CONCATENATE(TEXT(FIXED(ROUND(IF(EXC.RATE.SWITCH=1,C978/EXC.RATE_2,C978*EXC.RATE_2),CURRENCY.FORMAT_2),CURRENCY.FORMAT_2,1),"# ##0;-# ##0"),",-"),FIXED(ROUND(IF(EXC.RATE.SWITCH=1,C978/EXC.RATE_2,C978*EXC.RATE_2),CURRENCY.FORMAT_2),CURRENCY.FORMAT_2,0)),'DICTIONARY-5'!$A$2))</f>
        <v/>
      </c>
      <c r="L978" s="670" t="str">
        <f>IFERROR(IF(CURRENCY.FORMAT_1=0,CONCATENATE(TEXT(FIXED(ROUND((C978*(1-I978)*(1-ADD.DISCOUNT)*(1+MAT.SURCHARGE)/EXC.RATE_1),CURRENCY.FORMAT_1),CURRENCY.FORMAT_1,1),"# ##0;-# ##0"),",-"),FIXED(ROUND((C978*(1-I978)*(1-ADD.DISCOUNT)*(1+MAT.SURCHARGE)/EXC.RATE_1),CURRENCY.FORMAT_1),CURRENCY.FORMAT_1,0)),'DICTIONARY-5'!$A$2)</f>
        <v>196,-</v>
      </c>
      <c r="M978" s="670" t="str">
        <f>IF(EXC.RATE_2=0,"",IFERROR(IF(CURRENCY.FORMAT_2=0,CONCATENATE(TEXT(FIXED(ROUND(IF(EXC.RATE.SWITCH=1,C978*(1-I978)*(1-ADD.DISCOUNT)*(1+MAT.SURCHARGE)/EXC.RATE_2,C978*(1-I978)*(1-ADD.DISCOUNT)*(1+MAT.SURCHARGE)*EXC.RATE_2),CURRENCY.FORMAT_2),CURRENCY.FORMAT_2,1),"# ##0;-# ##0"),",-"),FIXED(ROUND(IF(EXC.RATE.SWITCH=1,C978*(1-I978)*(1-ADD.DISCOUNT)*(1+MAT.SURCHARGE)/EXC.RATE_2,C978*(1-I978)*(1-ADD.DISCOUNT)*(1+MAT.SURCHARGE)*EXC.RATE_2),CURRENCY.FORMAT_2),CURRENCY.FORMAT_2,0)),'DICTIONARY-5'!$A$2))</f>
        <v/>
      </c>
      <c r="N978" s="542">
        <v>4</v>
      </c>
      <c r="O978" s="542"/>
      <c r="P978" s="731" t="str">
        <f>'DICTIONARY-3'!$A$57</f>
        <v>HOD-G</v>
      </c>
      <c r="Q978" s="732" t="str">
        <f>'DICTIONARY-3'!$A$196</f>
        <v>Mostek nawiertowy</v>
      </c>
      <c r="R978" s="732" t="str">
        <f>CONCATENATE('DICTIONARY-3'!$A$55,'DICTIONARY-3'!$A$72," ",'DICTIONARY-6'!$A$21," ",'DICTIONARY-2'!$A$2,"200"," ",'DICTIONARY-2'!$A$5,"216-225 G1¼"," ",'DICTIONARY-6'!$A$62,", ",'DICTIONARY-6'!$A$76," ",'DICTIONARY-5'!$A$49)</f>
        <v>HOD-G502 Mostek nawiert. DN200 Da216-225 G1¼ z zaw. kul., ruroc. ŻEL.</v>
      </c>
      <c r="S978" s="733" t="str">
        <f>'DICTIONARY-4'!$A$2</f>
        <v>WW</v>
      </c>
      <c r="T978" s="732" t="str">
        <f>'DICTIONARY-4'!$A$18</f>
        <v>Wolny wałek</v>
      </c>
      <c r="U978" s="734" t="s">
        <v>5750</v>
      </c>
      <c r="V978" s="735"/>
      <c r="W978" s="744" t="s">
        <v>5767</v>
      </c>
      <c r="X978" s="737" t="s">
        <v>5740</v>
      </c>
      <c r="Y978" s="738"/>
      <c r="Z978" s="739"/>
      <c r="AA978" s="739"/>
      <c r="AB978" s="740">
        <v>16</v>
      </c>
      <c r="AC978" s="741"/>
      <c r="AD978" s="741" t="str">
        <f>'DICTIONARY-5'!$A$13</f>
        <v>woda pitna</v>
      </c>
      <c r="AE978" s="742">
        <v>50</v>
      </c>
      <c r="AF978" s="743">
        <v>5.5</v>
      </c>
      <c r="AG978" s="741" t="str">
        <f>'DICTIONARY-5'!$A$23</f>
        <v>powłoka epoksydowa</v>
      </c>
    </row>
    <row r="979" spans="1:33" x14ac:dyDescent="0.25">
      <c r="A979" s="856" t="s">
        <v>920</v>
      </c>
      <c r="B979" s="856" t="s">
        <v>4113</v>
      </c>
      <c r="C979" s="836">
        <v>148</v>
      </c>
      <c r="D979" s="836"/>
      <c r="E979" s="836"/>
      <c r="F979" s="836"/>
      <c r="G979" s="496" t="s">
        <v>7812</v>
      </c>
      <c r="H979" s="797" t="str">
        <f>VLOOKUP(G979,SETTINGS!$B$7:$D$97,2,0)</f>
        <v>HOD</v>
      </c>
      <c r="I979" s="796">
        <f>VLOOKUP(G979,SETTINGS!$B$7:$D$97,3,0)</f>
        <v>0</v>
      </c>
      <c r="J979" s="670" t="str">
        <f>IFERROR(IF(CURRENCY.FORMAT_1=0,CONCATENATE(TEXT(FIXED(ROUND((C979/EXC.RATE_1),CURRENCY.FORMAT_1),CURRENCY.FORMAT_1,1),"# ##0;-# ##0"),",-"),FIXED(ROUND((C979/EXC.RATE_1),CURRENCY.FORMAT_1),CURRENCY.FORMAT_1,0)),'DICTIONARY-5'!$A$2)</f>
        <v>148,-</v>
      </c>
      <c r="K979" s="670" t="str">
        <f>IF(EXC.RATE_2=0,"",IFERROR(IF(CURRENCY.FORMAT_2=0,CONCATENATE(TEXT(FIXED(ROUND(IF(EXC.RATE.SWITCH=1,C979/EXC.RATE_2,C979*EXC.RATE_2),CURRENCY.FORMAT_2),CURRENCY.FORMAT_2,1),"# ##0;-# ##0"),",-"),FIXED(ROUND(IF(EXC.RATE.SWITCH=1,C979/EXC.RATE_2,C979*EXC.RATE_2),CURRENCY.FORMAT_2),CURRENCY.FORMAT_2,0)),'DICTIONARY-5'!$A$2))</f>
        <v/>
      </c>
      <c r="L979" s="670" t="str">
        <f>IFERROR(IF(CURRENCY.FORMAT_1=0,CONCATENATE(TEXT(FIXED(ROUND((C979*(1-I979)*(1-ADD.DISCOUNT)*(1+MAT.SURCHARGE)/EXC.RATE_1),CURRENCY.FORMAT_1),CURRENCY.FORMAT_1,1),"# ##0;-# ##0"),",-"),FIXED(ROUND((C979*(1-I979)*(1-ADD.DISCOUNT)*(1+MAT.SURCHARGE)/EXC.RATE_1),CURRENCY.FORMAT_1),CURRENCY.FORMAT_1,0)),'DICTIONARY-5'!$A$2)</f>
        <v>154,-</v>
      </c>
      <c r="M979" s="670" t="str">
        <f>IF(EXC.RATE_2=0,"",IFERROR(IF(CURRENCY.FORMAT_2=0,CONCATENATE(TEXT(FIXED(ROUND(IF(EXC.RATE.SWITCH=1,C979*(1-I979)*(1-ADD.DISCOUNT)*(1+MAT.SURCHARGE)/EXC.RATE_2,C979*(1-I979)*(1-ADD.DISCOUNT)*(1+MAT.SURCHARGE)*EXC.RATE_2),CURRENCY.FORMAT_2),CURRENCY.FORMAT_2,1),"# ##0;-# ##0"),",-"),FIXED(ROUND(IF(EXC.RATE.SWITCH=1,C979*(1-I979)*(1-ADD.DISCOUNT)*(1+MAT.SURCHARGE)/EXC.RATE_2,C979*(1-I979)*(1-ADD.DISCOUNT)*(1+MAT.SURCHARGE)*EXC.RATE_2),CURRENCY.FORMAT_2),CURRENCY.FORMAT_2,0)),'DICTIONARY-5'!$A$2))</f>
        <v/>
      </c>
      <c r="N979" s="542">
        <v>4</v>
      </c>
      <c r="O979" s="542"/>
      <c r="P979" s="731" t="str">
        <f>'DICTIONARY-3'!$A$57</f>
        <v>HOD-G</v>
      </c>
      <c r="Q979" s="732" t="str">
        <f>'DICTIONARY-3'!$A$196</f>
        <v>Mostek nawiertowy</v>
      </c>
      <c r="R979" s="732" t="str">
        <f>CONCATENATE('DICTIONARY-3'!$A$55,'DICTIONARY-3'!$A$72," ",'DICTIONARY-6'!$A$21," ",'DICTIONARY-2'!$A$2,"80"," ",'DICTIONARY-2'!$A$5,"94-99 G1½"," ",'DICTIONARY-6'!$A$62,", ",'DICTIONARY-6'!$A$76," ",'DICTIONARY-5'!$A$49)</f>
        <v>HOD-G502 Mostek nawiert. DN80 Da94-99 G1½ z zaw. kul., ruroc. ŻEL.</v>
      </c>
      <c r="S979" s="733" t="str">
        <f>'DICTIONARY-4'!$A$2</f>
        <v>WW</v>
      </c>
      <c r="T979" s="732" t="str">
        <f>'DICTIONARY-4'!$A$18</f>
        <v>Wolny wałek</v>
      </c>
      <c r="U979" s="734" t="s">
        <v>5760</v>
      </c>
      <c r="V979" s="735"/>
      <c r="W979" s="744" t="s">
        <v>5764</v>
      </c>
      <c r="X979" s="737" t="s">
        <v>5769</v>
      </c>
      <c r="Y979" s="738"/>
      <c r="Z979" s="739"/>
      <c r="AA979" s="739"/>
      <c r="AB979" s="740">
        <v>16</v>
      </c>
      <c r="AC979" s="741"/>
      <c r="AD979" s="741" t="str">
        <f>'DICTIONARY-5'!$A$13</f>
        <v>woda pitna</v>
      </c>
      <c r="AE979" s="742">
        <v>50</v>
      </c>
      <c r="AF979" s="743">
        <v>5</v>
      </c>
      <c r="AG979" s="741" t="str">
        <f>'DICTIONARY-5'!$A$23</f>
        <v>powłoka epoksydowa</v>
      </c>
    </row>
    <row r="980" spans="1:33" x14ac:dyDescent="0.25">
      <c r="A980" s="856" t="s">
        <v>922</v>
      </c>
      <c r="B980" s="856" t="s">
        <v>4114</v>
      </c>
      <c r="C980" s="836">
        <v>144</v>
      </c>
      <c r="D980" s="836"/>
      <c r="E980" s="836"/>
      <c r="F980" s="836"/>
      <c r="G980" s="496" t="s">
        <v>7812</v>
      </c>
      <c r="H980" s="797" t="str">
        <f>VLOOKUP(G980,SETTINGS!$B$7:$D$97,2,0)</f>
        <v>HOD</v>
      </c>
      <c r="I980" s="796">
        <f>VLOOKUP(G980,SETTINGS!$B$7:$D$97,3,0)</f>
        <v>0</v>
      </c>
      <c r="J980" s="670" t="str">
        <f>IFERROR(IF(CURRENCY.FORMAT_1=0,CONCATENATE(TEXT(FIXED(ROUND((C980/EXC.RATE_1),CURRENCY.FORMAT_1),CURRENCY.FORMAT_1,1),"# ##0;-# ##0"),",-"),FIXED(ROUND((C980/EXC.RATE_1),CURRENCY.FORMAT_1),CURRENCY.FORMAT_1,0)),'DICTIONARY-5'!$A$2)</f>
        <v>144,-</v>
      </c>
      <c r="K980" s="670" t="str">
        <f>IF(EXC.RATE_2=0,"",IFERROR(IF(CURRENCY.FORMAT_2=0,CONCATENATE(TEXT(FIXED(ROUND(IF(EXC.RATE.SWITCH=1,C980/EXC.RATE_2,C980*EXC.RATE_2),CURRENCY.FORMAT_2),CURRENCY.FORMAT_2,1),"# ##0;-# ##0"),",-"),FIXED(ROUND(IF(EXC.RATE.SWITCH=1,C980/EXC.RATE_2,C980*EXC.RATE_2),CURRENCY.FORMAT_2),CURRENCY.FORMAT_2,0)),'DICTIONARY-5'!$A$2))</f>
        <v/>
      </c>
      <c r="L980" s="670" t="str">
        <f>IFERROR(IF(CURRENCY.FORMAT_1=0,CONCATENATE(TEXT(FIXED(ROUND((C980*(1-I980)*(1-ADD.DISCOUNT)*(1+MAT.SURCHARGE)/EXC.RATE_1),CURRENCY.FORMAT_1),CURRENCY.FORMAT_1,1),"# ##0;-# ##0"),",-"),FIXED(ROUND((C980*(1-I980)*(1-ADD.DISCOUNT)*(1+MAT.SURCHARGE)/EXC.RATE_1),CURRENCY.FORMAT_1),CURRENCY.FORMAT_1,0)),'DICTIONARY-5'!$A$2)</f>
        <v>150,-</v>
      </c>
      <c r="M980" s="670" t="str">
        <f>IF(EXC.RATE_2=0,"",IFERROR(IF(CURRENCY.FORMAT_2=0,CONCATENATE(TEXT(FIXED(ROUND(IF(EXC.RATE.SWITCH=1,C980*(1-I980)*(1-ADD.DISCOUNT)*(1+MAT.SURCHARGE)/EXC.RATE_2,C980*(1-I980)*(1-ADD.DISCOUNT)*(1+MAT.SURCHARGE)*EXC.RATE_2),CURRENCY.FORMAT_2),CURRENCY.FORMAT_2,1),"# ##0;-# ##0"),",-"),FIXED(ROUND(IF(EXC.RATE.SWITCH=1,C980*(1-I980)*(1-ADD.DISCOUNT)*(1+MAT.SURCHARGE)/EXC.RATE_2,C980*(1-I980)*(1-ADD.DISCOUNT)*(1+MAT.SURCHARGE)*EXC.RATE_2),CURRENCY.FORMAT_2),CURRENCY.FORMAT_2,0)),'DICTIONARY-5'!$A$2))</f>
        <v/>
      </c>
      <c r="N980" s="542">
        <v>4</v>
      </c>
      <c r="O980" s="542"/>
      <c r="P980" s="731" t="str">
        <f>'DICTIONARY-3'!$A$57</f>
        <v>HOD-G</v>
      </c>
      <c r="Q980" s="732" t="str">
        <f>'DICTIONARY-3'!$A$196</f>
        <v>Mostek nawiertowy</v>
      </c>
      <c r="R980" s="732" t="str">
        <f>CONCATENATE('DICTIONARY-3'!$A$55,'DICTIONARY-3'!$A$72," ",'DICTIONARY-6'!$A$21," ",'DICTIONARY-2'!$A$2,"100"," ",'DICTIONARY-2'!$A$5,"114-121 G1½"," ",'DICTIONARY-6'!$A$62,", ",'DICTIONARY-6'!$A$76," ",'DICTIONARY-5'!$A$49)</f>
        <v>HOD-G502 Mostek nawiert. DN100 Da114-121 G1½ z zaw. kul., ruroc. ŻEL.</v>
      </c>
      <c r="S980" s="733" t="str">
        <f>'DICTIONARY-4'!$A$2</f>
        <v>WW</v>
      </c>
      <c r="T980" s="732" t="str">
        <f>'DICTIONARY-4'!$A$18</f>
        <v>Wolny wałek</v>
      </c>
      <c r="U980" s="734" t="s">
        <v>5749</v>
      </c>
      <c r="V980" s="735"/>
      <c r="W980" s="744" t="s">
        <v>5765</v>
      </c>
      <c r="X980" s="737" t="s">
        <v>5769</v>
      </c>
      <c r="Y980" s="738"/>
      <c r="Z980" s="739"/>
      <c r="AA980" s="739"/>
      <c r="AB980" s="740">
        <v>16</v>
      </c>
      <c r="AC980" s="741"/>
      <c r="AD980" s="741" t="str">
        <f>'DICTIONARY-5'!$A$13</f>
        <v>woda pitna</v>
      </c>
      <c r="AE980" s="742">
        <v>50</v>
      </c>
      <c r="AF980" s="743">
        <v>5</v>
      </c>
      <c r="AG980" s="741" t="str">
        <f>'DICTIONARY-5'!$A$23</f>
        <v>powłoka epoksydowa</v>
      </c>
    </row>
    <row r="981" spans="1:33" x14ac:dyDescent="0.25">
      <c r="A981" s="856" t="s">
        <v>924</v>
      </c>
      <c r="B981" s="856" t="s">
        <v>4115</v>
      </c>
      <c r="C981" s="836">
        <v>160</v>
      </c>
      <c r="D981" s="836"/>
      <c r="E981" s="836"/>
      <c r="F981" s="836"/>
      <c r="G981" s="496" t="s">
        <v>7812</v>
      </c>
      <c r="H981" s="797" t="str">
        <f>VLOOKUP(G981,SETTINGS!$B$7:$D$97,2,0)</f>
        <v>HOD</v>
      </c>
      <c r="I981" s="796">
        <f>VLOOKUP(G981,SETTINGS!$B$7:$D$97,3,0)</f>
        <v>0</v>
      </c>
      <c r="J981" s="670" t="str">
        <f>IFERROR(IF(CURRENCY.FORMAT_1=0,CONCATENATE(TEXT(FIXED(ROUND((C981/EXC.RATE_1),CURRENCY.FORMAT_1),CURRENCY.FORMAT_1,1),"# ##0;-# ##0"),",-"),FIXED(ROUND((C981/EXC.RATE_1),CURRENCY.FORMAT_1),CURRENCY.FORMAT_1,0)),'DICTIONARY-5'!$A$2)</f>
        <v>160,-</v>
      </c>
      <c r="K981" s="670" t="str">
        <f>IF(EXC.RATE_2=0,"",IFERROR(IF(CURRENCY.FORMAT_2=0,CONCATENATE(TEXT(FIXED(ROUND(IF(EXC.RATE.SWITCH=1,C981/EXC.RATE_2,C981*EXC.RATE_2),CURRENCY.FORMAT_2),CURRENCY.FORMAT_2,1),"# ##0;-# ##0"),",-"),FIXED(ROUND(IF(EXC.RATE.SWITCH=1,C981/EXC.RATE_2,C981*EXC.RATE_2),CURRENCY.FORMAT_2),CURRENCY.FORMAT_2,0)),'DICTIONARY-5'!$A$2))</f>
        <v/>
      </c>
      <c r="L981" s="670" t="str">
        <f>IFERROR(IF(CURRENCY.FORMAT_1=0,CONCATENATE(TEXT(FIXED(ROUND((C981*(1-I981)*(1-ADD.DISCOUNT)*(1+MAT.SURCHARGE)/EXC.RATE_1),CURRENCY.FORMAT_1),CURRENCY.FORMAT_1,1),"# ##0;-# ##0"),",-"),FIXED(ROUND((C981*(1-I981)*(1-ADD.DISCOUNT)*(1+MAT.SURCHARGE)/EXC.RATE_1),CURRENCY.FORMAT_1),CURRENCY.FORMAT_1,0)),'DICTIONARY-5'!$A$2)</f>
        <v>166,-</v>
      </c>
      <c r="M981" s="670" t="str">
        <f>IF(EXC.RATE_2=0,"",IFERROR(IF(CURRENCY.FORMAT_2=0,CONCATENATE(TEXT(FIXED(ROUND(IF(EXC.RATE.SWITCH=1,C981*(1-I981)*(1-ADD.DISCOUNT)*(1+MAT.SURCHARGE)/EXC.RATE_2,C981*(1-I981)*(1-ADD.DISCOUNT)*(1+MAT.SURCHARGE)*EXC.RATE_2),CURRENCY.FORMAT_2),CURRENCY.FORMAT_2,1),"# ##0;-# ##0"),",-"),FIXED(ROUND(IF(EXC.RATE.SWITCH=1,C981*(1-I981)*(1-ADD.DISCOUNT)*(1+MAT.SURCHARGE)/EXC.RATE_2,C981*(1-I981)*(1-ADD.DISCOUNT)*(1+MAT.SURCHARGE)*EXC.RATE_2),CURRENCY.FORMAT_2),CURRENCY.FORMAT_2,0)),'DICTIONARY-5'!$A$2))</f>
        <v/>
      </c>
      <c r="N981" s="542">
        <v>4</v>
      </c>
      <c r="O981" s="542"/>
      <c r="P981" s="731" t="str">
        <f>'DICTIONARY-3'!$A$57</f>
        <v>HOD-G</v>
      </c>
      <c r="Q981" s="732" t="str">
        <f>'DICTIONARY-3'!$A$196</f>
        <v>Mostek nawiertowy</v>
      </c>
      <c r="R981" s="732" t="str">
        <f>CONCATENATE('DICTIONARY-3'!$A$55,'DICTIONARY-3'!$A$72," ",'DICTIONARY-6'!$A$21," ",'DICTIONARY-2'!$A$2,"150"," ",'DICTIONARY-2'!$A$5,"167-172 G1½"," ",'DICTIONARY-6'!$A$62,", ",'DICTIONARY-6'!$A$76," ",'DICTIONARY-5'!$A$49)</f>
        <v>HOD-G502 Mostek nawiert. DN150 Da167-172 G1½ z zaw. kul., ruroc. ŻEL.</v>
      </c>
      <c r="S981" s="733" t="str">
        <f>'DICTIONARY-4'!$A$2</f>
        <v>WW</v>
      </c>
      <c r="T981" s="732" t="str">
        <f>'DICTIONARY-4'!$A$18</f>
        <v>Wolny wałek</v>
      </c>
      <c r="U981" s="734" t="s">
        <v>5572</v>
      </c>
      <c r="V981" s="735"/>
      <c r="W981" s="736" t="s">
        <v>5766</v>
      </c>
      <c r="X981" s="737" t="s">
        <v>5769</v>
      </c>
      <c r="Y981" s="738"/>
      <c r="Z981" s="739"/>
      <c r="AA981" s="739"/>
      <c r="AB981" s="740">
        <v>16</v>
      </c>
      <c r="AC981" s="741"/>
      <c r="AD981" s="741" t="str">
        <f>'DICTIONARY-5'!$A$13</f>
        <v>woda pitna</v>
      </c>
      <c r="AE981" s="742">
        <v>50</v>
      </c>
      <c r="AF981" s="743">
        <v>5.5</v>
      </c>
      <c r="AG981" s="741" t="str">
        <f>'DICTIONARY-5'!$A$23</f>
        <v>powłoka epoksydowa</v>
      </c>
    </row>
    <row r="982" spans="1:33" x14ac:dyDescent="0.25">
      <c r="A982" s="856" t="s">
        <v>926</v>
      </c>
      <c r="B982" s="856" t="s">
        <v>4116</v>
      </c>
      <c r="C982" s="836">
        <v>195</v>
      </c>
      <c r="D982" s="836"/>
      <c r="E982" s="836"/>
      <c r="F982" s="836"/>
      <c r="G982" s="496" t="s">
        <v>7812</v>
      </c>
      <c r="H982" s="797" t="str">
        <f>VLOOKUP(G982,SETTINGS!$B$7:$D$97,2,0)</f>
        <v>HOD</v>
      </c>
      <c r="I982" s="796">
        <f>VLOOKUP(G982,SETTINGS!$B$7:$D$97,3,0)</f>
        <v>0</v>
      </c>
      <c r="J982" s="670" t="str">
        <f>IFERROR(IF(CURRENCY.FORMAT_1=0,CONCATENATE(TEXT(FIXED(ROUND((C982/EXC.RATE_1),CURRENCY.FORMAT_1),CURRENCY.FORMAT_1,1),"# ##0;-# ##0"),",-"),FIXED(ROUND((C982/EXC.RATE_1),CURRENCY.FORMAT_1),CURRENCY.FORMAT_1,0)),'DICTIONARY-5'!$A$2)</f>
        <v>195,-</v>
      </c>
      <c r="K982" s="670" t="str">
        <f>IF(EXC.RATE_2=0,"",IFERROR(IF(CURRENCY.FORMAT_2=0,CONCATENATE(TEXT(FIXED(ROUND(IF(EXC.RATE.SWITCH=1,C982/EXC.RATE_2,C982*EXC.RATE_2),CURRENCY.FORMAT_2),CURRENCY.FORMAT_2,1),"# ##0;-# ##0"),",-"),FIXED(ROUND(IF(EXC.RATE.SWITCH=1,C982/EXC.RATE_2,C982*EXC.RATE_2),CURRENCY.FORMAT_2),CURRENCY.FORMAT_2,0)),'DICTIONARY-5'!$A$2))</f>
        <v/>
      </c>
      <c r="L982" s="670" t="str">
        <f>IFERROR(IF(CURRENCY.FORMAT_1=0,CONCATENATE(TEXT(FIXED(ROUND((C982*(1-I982)*(1-ADD.DISCOUNT)*(1+MAT.SURCHARGE)/EXC.RATE_1),CURRENCY.FORMAT_1),CURRENCY.FORMAT_1,1),"# ##0;-# ##0"),",-"),FIXED(ROUND((C982*(1-I982)*(1-ADD.DISCOUNT)*(1+MAT.SURCHARGE)/EXC.RATE_1),CURRENCY.FORMAT_1),CURRENCY.FORMAT_1,0)),'DICTIONARY-5'!$A$2)</f>
        <v>203,-</v>
      </c>
      <c r="M982" s="670" t="str">
        <f>IF(EXC.RATE_2=0,"",IFERROR(IF(CURRENCY.FORMAT_2=0,CONCATENATE(TEXT(FIXED(ROUND(IF(EXC.RATE.SWITCH=1,C982*(1-I982)*(1-ADD.DISCOUNT)*(1+MAT.SURCHARGE)/EXC.RATE_2,C982*(1-I982)*(1-ADD.DISCOUNT)*(1+MAT.SURCHARGE)*EXC.RATE_2),CURRENCY.FORMAT_2),CURRENCY.FORMAT_2,1),"# ##0;-# ##0"),",-"),FIXED(ROUND(IF(EXC.RATE.SWITCH=1,C982*(1-I982)*(1-ADD.DISCOUNT)*(1+MAT.SURCHARGE)/EXC.RATE_2,C982*(1-I982)*(1-ADD.DISCOUNT)*(1+MAT.SURCHARGE)*EXC.RATE_2),CURRENCY.FORMAT_2),CURRENCY.FORMAT_2,0)),'DICTIONARY-5'!$A$2))</f>
        <v/>
      </c>
      <c r="N982" s="542">
        <v>4</v>
      </c>
      <c r="O982" s="542"/>
      <c r="P982" s="731" t="str">
        <f>'DICTIONARY-3'!$A$57</f>
        <v>HOD-G</v>
      </c>
      <c r="Q982" s="732" t="str">
        <f>'DICTIONARY-3'!$A$196</f>
        <v>Mostek nawiertowy</v>
      </c>
      <c r="R982" s="732" t="str">
        <f>CONCATENATE('DICTIONARY-3'!$A$55,'DICTIONARY-3'!$A$72," ",'DICTIONARY-6'!$A$21," ",'DICTIONARY-2'!$A$2,"200"," ",'DICTIONARY-2'!$A$5,"216-225 G1½"," ",'DICTIONARY-6'!$A$62,", ",'DICTIONARY-6'!$A$76," ",'DICTIONARY-5'!$A$49)</f>
        <v>HOD-G502 Mostek nawiert. DN200 Da216-225 G1½ z zaw. kul., ruroc. ŻEL.</v>
      </c>
      <c r="S982" s="733" t="str">
        <f>'DICTIONARY-4'!$A$2</f>
        <v>WW</v>
      </c>
      <c r="T982" s="732" t="str">
        <f>'DICTIONARY-4'!$A$18</f>
        <v>Wolny wałek</v>
      </c>
      <c r="U982" s="734" t="s">
        <v>5750</v>
      </c>
      <c r="V982" s="735"/>
      <c r="W982" s="744" t="s">
        <v>5767</v>
      </c>
      <c r="X982" s="737" t="s">
        <v>5769</v>
      </c>
      <c r="Y982" s="738"/>
      <c r="Z982" s="739"/>
      <c r="AA982" s="739"/>
      <c r="AB982" s="740">
        <v>16</v>
      </c>
      <c r="AC982" s="741"/>
      <c r="AD982" s="741" t="str">
        <f>'DICTIONARY-5'!$A$13</f>
        <v>woda pitna</v>
      </c>
      <c r="AE982" s="742">
        <v>50</v>
      </c>
      <c r="AF982" s="743">
        <v>6</v>
      </c>
      <c r="AG982" s="741" t="str">
        <f>'DICTIONARY-5'!$A$23</f>
        <v>powłoka epoksydowa</v>
      </c>
    </row>
    <row r="983" spans="1:33" x14ac:dyDescent="0.25">
      <c r="A983" s="856" t="s">
        <v>928</v>
      </c>
      <c r="B983" s="856" t="s">
        <v>4117</v>
      </c>
      <c r="C983" s="836">
        <v>392</v>
      </c>
      <c r="D983" s="836"/>
      <c r="E983" s="836"/>
      <c r="F983" s="836"/>
      <c r="G983" s="496" t="s">
        <v>7812</v>
      </c>
      <c r="H983" s="797" t="str">
        <f>VLOOKUP(G983,SETTINGS!$B$7:$D$97,2,0)</f>
        <v>HOD</v>
      </c>
      <c r="I983" s="796">
        <f>VLOOKUP(G983,SETTINGS!$B$7:$D$97,3,0)</f>
        <v>0</v>
      </c>
      <c r="J983" s="670" t="str">
        <f>IFERROR(IF(CURRENCY.FORMAT_1=0,CONCATENATE(TEXT(FIXED(ROUND((C983/EXC.RATE_1),CURRENCY.FORMAT_1),CURRENCY.FORMAT_1,1),"# ##0;-# ##0"),",-"),FIXED(ROUND((C983/EXC.RATE_1),CURRENCY.FORMAT_1),CURRENCY.FORMAT_1,0)),'DICTIONARY-5'!$A$2)</f>
        <v>392,-</v>
      </c>
      <c r="K983" s="670" t="str">
        <f>IF(EXC.RATE_2=0,"",IFERROR(IF(CURRENCY.FORMAT_2=0,CONCATENATE(TEXT(FIXED(ROUND(IF(EXC.RATE.SWITCH=1,C983/EXC.RATE_2,C983*EXC.RATE_2),CURRENCY.FORMAT_2),CURRENCY.FORMAT_2,1),"# ##0;-# ##0"),",-"),FIXED(ROUND(IF(EXC.RATE.SWITCH=1,C983/EXC.RATE_2,C983*EXC.RATE_2),CURRENCY.FORMAT_2),CURRENCY.FORMAT_2,0)),'DICTIONARY-5'!$A$2))</f>
        <v/>
      </c>
      <c r="L983" s="670" t="str">
        <f>IFERROR(IF(CURRENCY.FORMAT_1=0,CONCATENATE(TEXT(FIXED(ROUND((C983*(1-I983)*(1-ADD.DISCOUNT)*(1+MAT.SURCHARGE)/EXC.RATE_1),CURRENCY.FORMAT_1),CURRENCY.FORMAT_1,1),"# ##0;-# ##0"),",-"),FIXED(ROUND((C983*(1-I983)*(1-ADD.DISCOUNT)*(1+MAT.SURCHARGE)/EXC.RATE_1),CURRENCY.FORMAT_1),CURRENCY.FORMAT_1,0)),'DICTIONARY-5'!$A$2)</f>
        <v>407,-</v>
      </c>
      <c r="M983" s="670" t="str">
        <f>IF(EXC.RATE_2=0,"",IFERROR(IF(CURRENCY.FORMAT_2=0,CONCATENATE(TEXT(FIXED(ROUND(IF(EXC.RATE.SWITCH=1,C983*(1-I983)*(1-ADD.DISCOUNT)*(1+MAT.SURCHARGE)/EXC.RATE_2,C983*(1-I983)*(1-ADD.DISCOUNT)*(1+MAT.SURCHARGE)*EXC.RATE_2),CURRENCY.FORMAT_2),CURRENCY.FORMAT_2,1),"# ##0;-# ##0"),",-"),FIXED(ROUND(IF(EXC.RATE.SWITCH=1,C983*(1-I983)*(1-ADD.DISCOUNT)*(1+MAT.SURCHARGE)/EXC.RATE_2,C983*(1-I983)*(1-ADD.DISCOUNT)*(1+MAT.SURCHARGE)*EXC.RATE_2),CURRENCY.FORMAT_2),CURRENCY.FORMAT_2,0)),'DICTIONARY-5'!$A$2))</f>
        <v/>
      </c>
      <c r="N983" s="542">
        <v>4</v>
      </c>
      <c r="O983" s="542"/>
      <c r="P983" s="731" t="str">
        <f>'DICTIONARY-3'!$A$57</f>
        <v>HOD-G</v>
      </c>
      <c r="Q983" s="732" t="str">
        <f>'DICTIONARY-3'!$A$196</f>
        <v>Mostek nawiertowy</v>
      </c>
      <c r="R983" s="732" t="str">
        <f>CONCATENATE('DICTIONARY-3'!$A$55,'DICTIONARY-3'!$A$72," ",'DICTIONARY-6'!$A$21," ",'DICTIONARY-2'!$A$2,"300"," ",'DICTIONARY-2'!$A$5,"318-326 G1½"," ",'DICTIONARY-6'!$A$62,", ",'DICTIONARY-6'!$A$76," ",'DICTIONARY-5'!$A$49)</f>
        <v>HOD-G502 Mostek nawiert. DN300 Da318-326 G1½ z zaw. kul., ruroc. ŻEL.</v>
      </c>
      <c r="S983" s="733" t="str">
        <f>'DICTIONARY-4'!$A$2</f>
        <v>WW</v>
      </c>
      <c r="T983" s="732" t="str">
        <f>'DICTIONARY-4'!$A$18</f>
        <v>Wolny wałek</v>
      </c>
      <c r="U983" s="734" t="s">
        <v>5752</v>
      </c>
      <c r="V983" s="735"/>
      <c r="W983" s="744" t="s">
        <v>5768</v>
      </c>
      <c r="X983" s="737" t="s">
        <v>5769</v>
      </c>
      <c r="Y983" s="738"/>
      <c r="Z983" s="739"/>
      <c r="AA983" s="739"/>
      <c r="AB983" s="740">
        <v>16</v>
      </c>
      <c r="AC983" s="741"/>
      <c r="AD983" s="741" t="str">
        <f>'DICTIONARY-5'!$A$13</f>
        <v>woda pitna</v>
      </c>
      <c r="AE983" s="742">
        <v>50</v>
      </c>
      <c r="AF983" s="743">
        <v>8</v>
      </c>
      <c r="AG983" s="741" t="str">
        <f>'DICTIONARY-5'!$A$23</f>
        <v>powłoka epoksydowa</v>
      </c>
    </row>
    <row r="984" spans="1:33" x14ac:dyDescent="0.25">
      <c r="A984" s="856" t="s">
        <v>921</v>
      </c>
      <c r="B984" s="856" t="s">
        <v>4118</v>
      </c>
      <c r="C984" s="836">
        <v>147</v>
      </c>
      <c r="D984" s="836"/>
      <c r="E984" s="836"/>
      <c r="F984" s="836"/>
      <c r="G984" s="496" t="s">
        <v>7812</v>
      </c>
      <c r="H984" s="797" t="str">
        <f>VLOOKUP(G984,SETTINGS!$B$7:$D$97,2,0)</f>
        <v>HOD</v>
      </c>
      <c r="I984" s="796">
        <f>VLOOKUP(G984,SETTINGS!$B$7:$D$97,3,0)</f>
        <v>0</v>
      </c>
      <c r="J984" s="670" t="str">
        <f>IFERROR(IF(CURRENCY.FORMAT_1=0,CONCATENATE(TEXT(FIXED(ROUND((C984/EXC.RATE_1),CURRENCY.FORMAT_1),CURRENCY.FORMAT_1,1),"# ##0;-# ##0"),",-"),FIXED(ROUND((C984/EXC.RATE_1),CURRENCY.FORMAT_1),CURRENCY.FORMAT_1,0)),'DICTIONARY-5'!$A$2)</f>
        <v>147,-</v>
      </c>
      <c r="K984" s="670" t="str">
        <f>IF(EXC.RATE_2=0,"",IFERROR(IF(CURRENCY.FORMAT_2=0,CONCATENATE(TEXT(FIXED(ROUND(IF(EXC.RATE.SWITCH=1,C984/EXC.RATE_2,C984*EXC.RATE_2),CURRENCY.FORMAT_2),CURRENCY.FORMAT_2,1),"# ##0;-# ##0"),",-"),FIXED(ROUND(IF(EXC.RATE.SWITCH=1,C984/EXC.RATE_2,C984*EXC.RATE_2),CURRENCY.FORMAT_2),CURRENCY.FORMAT_2,0)),'DICTIONARY-5'!$A$2))</f>
        <v/>
      </c>
      <c r="L984" s="670" t="str">
        <f>IFERROR(IF(CURRENCY.FORMAT_1=0,CONCATENATE(TEXT(FIXED(ROUND((C984*(1-I984)*(1-ADD.DISCOUNT)*(1+MAT.SURCHARGE)/EXC.RATE_1),CURRENCY.FORMAT_1),CURRENCY.FORMAT_1,1),"# ##0;-# ##0"),",-"),FIXED(ROUND((C984*(1-I984)*(1-ADD.DISCOUNT)*(1+MAT.SURCHARGE)/EXC.RATE_1),CURRENCY.FORMAT_1),CURRENCY.FORMAT_1,0)),'DICTIONARY-5'!$A$2)</f>
        <v>153,-</v>
      </c>
      <c r="M984" s="670" t="str">
        <f>IF(EXC.RATE_2=0,"",IFERROR(IF(CURRENCY.FORMAT_2=0,CONCATENATE(TEXT(FIXED(ROUND(IF(EXC.RATE.SWITCH=1,C984*(1-I984)*(1-ADD.DISCOUNT)*(1+MAT.SURCHARGE)/EXC.RATE_2,C984*(1-I984)*(1-ADD.DISCOUNT)*(1+MAT.SURCHARGE)*EXC.RATE_2),CURRENCY.FORMAT_2),CURRENCY.FORMAT_2,1),"# ##0;-# ##0"),",-"),FIXED(ROUND(IF(EXC.RATE.SWITCH=1,C984*(1-I984)*(1-ADD.DISCOUNT)*(1+MAT.SURCHARGE)/EXC.RATE_2,C984*(1-I984)*(1-ADD.DISCOUNT)*(1+MAT.SURCHARGE)*EXC.RATE_2),CURRENCY.FORMAT_2),CURRENCY.FORMAT_2,0)),'DICTIONARY-5'!$A$2))</f>
        <v/>
      </c>
      <c r="N984" s="542">
        <v>4</v>
      </c>
      <c r="O984" s="542"/>
      <c r="P984" s="731" t="str">
        <f>'DICTIONARY-3'!$A$57</f>
        <v>HOD-G</v>
      </c>
      <c r="Q984" s="732" t="str">
        <f>'DICTIONARY-3'!$A$196</f>
        <v>Mostek nawiertowy</v>
      </c>
      <c r="R984" s="732" t="str">
        <f>CONCATENATE('DICTIONARY-3'!$A$55,'DICTIONARY-3'!$A$72," ",'DICTIONARY-6'!$A$21," ",'DICTIONARY-2'!$A$2,"80"," ",'DICTIONARY-2'!$A$5,"94-99 G2"," ",'DICTIONARY-6'!$A$62,", ",'DICTIONARY-6'!$A$76," ",'DICTIONARY-5'!$A$49)</f>
        <v>HOD-G502 Mostek nawiert. DN80 Da94-99 G2 z zaw. kul., ruroc. ŻEL.</v>
      </c>
      <c r="S984" s="733" t="str">
        <f>'DICTIONARY-4'!$A$2</f>
        <v>WW</v>
      </c>
      <c r="T984" s="732" t="str">
        <f>'DICTIONARY-4'!$A$18</f>
        <v>Wolny wałek</v>
      </c>
      <c r="U984" s="734" t="s">
        <v>5760</v>
      </c>
      <c r="V984" s="735"/>
      <c r="W984" s="744" t="s">
        <v>5764</v>
      </c>
      <c r="X984" s="750" t="s">
        <v>50</v>
      </c>
      <c r="Y984" s="738"/>
      <c r="Z984" s="739"/>
      <c r="AA984" s="739"/>
      <c r="AB984" s="740">
        <v>16</v>
      </c>
      <c r="AC984" s="741"/>
      <c r="AD984" s="741" t="str">
        <f>'DICTIONARY-5'!$A$13</f>
        <v>woda pitna</v>
      </c>
      <c r="AE984" s="742">
        <v>50</v>
      </c>
      <c r="AF984" s="743">
        <v>4.5</v>
      </c>
      <c r="AG984" s="741" t="str">
        <f>'DICTIONARY-5'!$A$23</f>
        <v>powłoka epoksydowa</v>
      </c>
    </row>
    <row r="985" spans="1:33" x14ac:dyDescent="0.25">
      <c r="A985" s="856" t="s">
        <v>923</v>
      </c>
      <c r="B985" s="856" t="s">
        <v>4119</v>
      </c>
      <c r="C985" s="836">
        <v>143</v>
      </c>
      <c r="D985" s="836"/>
      <c r="E985" s="836"/>
      <c r="F985" s="836"/>
      <c r="G985" s="496" t="s">
        <v>7812</v>
      </c>
      <c r="H985" s="797" t="str">
        <f>VLOOKUP(G985,SETTINGS!$B$7:$D$97,2,0)</f>
        <v>HOD</v>
      </c>
      <c r="I985" s="796">
        <f>VLOOKUP(G985,SETTINGS!$B$7:$D$97,3,0)</f>
        <v>0</v>
      </c>
      <c r="J985" s="670" t="str">
        <f>IFERROR(IF(CURRENCY.FORMAT_1=0,CONCATENATE(TEXT(FIXED(ROUND((C985/EXC.RATE_1),CURRENCY.FORMAT_1),CURRENCY.FORMAT_1,1),"# ##0;-# ##0"),",-"),FIXED(ROUND((C985/EXC.RATE_1),CURRENCY.FORMAT_1),CURRENCY.FORMAT_1,0)),'DICTIONARY-5'!$A$2)</f>
        <v>143,-</v>
      </c>
      <c r="K985" s="670" t="str">
        <f>IF(EXC.RATE_2=0,"",IFERROR(IF(CURRENCY.FORMAT_2=0,CONCATENATE(TEXT(FIXED(ROUND(IF(EXC.RATE.SWITCH=1,C985/EXC.RATE_2,C985*EXC.RATE_2),CURRENCY.FORMAT_2),CURRENCY.FORMAT_2,1),"# ##0;-# ##0"),",-"),FIXED(ROUND(IF(EXC.RATE.SWITCH=1,C985/EXC.RATE_2,C985*EXC.RATE_2),CURRENCY.FORMAT_2),CURRENCY.FORMAT_2,0)),'DICTIONARY-5'!$A$2))</f>
        <v/>
      </c>
      <c r="L985" s="670" t="str">
        <f>IFERROR(IF(CURRENCY.FORMAT_1=0,CONCATENATE(TEXT(FIXED(ROUND((C985*(1-I985)*(1-ADD.DISCOUNT)*(1+MAT.SURCHARGE)/EXC.RATE_1),CURRENCY.FORMAT_1),CURRENCY.FORMAT_1,1),"# ##0;-# ##0"),",-"),FIXED(ROUND((C985*(1-I985)*(1-ADD.DISCOUNT)*(1+MAT.SURCHARGE)/EXC.RATE_1),CURRENCY.FORMAT_1),CURRENCY.FORMAT_1,0)),'DICTIONARY-5'!$A$2)</f>
        <v>149,-</v>
      </c>
      <c r="M985" s="670" t="str">
        <f>IF(EXC.RATE_2=0,"",IFERROR(IF(CURRENCY.FORMAT_2=0,CONCATENATE(TEXT(FIXED(ROUND(IF(EXC.RATE.SWITCH=1,C985*(1-I985)*(1-ADD.DISCOUNT)*(1+MAT.SURCHARGE)/EXC.RATE_2,C985*(1-I985)*(1-ADD.DISCOUNT)*(1+MAT.SURCHARGE)*EXC.RATE_2),CURRENCY.FORMAT_2),CURRENCY.FORMAT_2,1),"# ##0;-# ##0"),",-"),FIXED(ROUND(IF(EXC.RATE.SWITCH=1,C985*(1-I985)*(1-ADD.DISCOUNT)*(1+MAT.SURCHARGE)/EXC.RATE_2,C985*(1-I985)*(1-ADD.DISCOUNT)*(1+MAT.SURCHARGE)*EXC.RATE_2),CURRENCY.FORMAT_2),CURRENCY.FORMAT_2,0)),'DICTIONARY-5'!$A$2))</f>
        <v/>
      </c>
      <c r="N985" s="542">
        <v>4</v>
      </c>
      <c r="O985" s="542"/>
      <c r="P985" s="731" t="str">
        <f>'DICTIONARY-3'!$A$57</f>
        <v>HOD-G</v>
      </c>
      <c r="Q985" s="732" t="str">
        <f>'DICTIONARY-3'!$A$196</f>
        <v>Mostek nawiertowy</v>
      </c>
      <c r="R985" s="732" t="str">
        <f>CONCATENATE('DICTIONARY-3'!$A$55,'DICTIONARY-3'!$A$72," ",'DICTIONARY-6'!$A$21," ",'DICTIONARY-2'!$A$2,"100"," ",'DICTIONARY-2'!$A$5,"114-121 G2"," ",'DICTIONARY-6'!$A$62,", ",'DICTIONARY-6'!$A$76," ",'DICTIONARY-5'!$A$49)</f>
        <v>HOD-G502 Mostek nawiert. DN100 Da114-121 G2 z zaw. kul., ruroc. ŻEL.</v>
      </c>
      <c r="S985" s="733" t="str">
        <f>'DICTIONARY-4'!$A$2</f>
        <v>WW</v>
      </c>
      <c r="T985" s="732" t="str">
        <f>'DICTIONARY-4'!$A$18</f>
        <v>Wolny wałek</v>
      </c>
      <c r="U985" s="734" t="s">
        <v>5749</v>
      </c>
      <c r="V985" s="735"/>
      <c r="W985" s="744" t="s">
        <v>5765</v>
      </c>
      <c r="X985" s="750" t="s">
        <v>50</v>
      </c>
      <c r="Y985" s="738"/>
      <c r="Z985" s="739"/>
      <c r="AA985" s="739"/>
      <c r="AB985" s="740">
        <v>16</v>
      </c>
      <c r="AC985" s="741"/>
      <c r="AD985" s="741" t="str">
        <f>'DICTIONARY-5'!$A$13</f>
        <v>woda pitna</v>
      </c>
      <c r="AE985" s="742">
        <v>50</v>
      </c>
      <c r="AF985" s="743">
        <v>5</v>
      </c>
      <c r="AG985" s="741" t="str">
        <f>'DICTIONARY-5'!$A$23</f>
        <v>powłoka epoksydowa</v>
      </c>
    </row>
    <row r="986" spans="1:33" x14ac:dyDescent="0.25">
      <c r="A986" s="856" t="s">
        <v>925</v>
      </c>
      <c r="B986" s="856" t="s">
        <v>4120</v>
      </c>
      <c r="C986" s="836">
        <v>159</v>
      </c>
      <c r="D986" s="836"/>
      <c r="E986" s="836"/>
      <c r="F986" s="836"/>
      <c r="G986" s="496" t="s">
        <v>7812</v>
      </c>
      <c r="H986" s="797" t="str">
        <f>VLOOKUP(G986,SETTINGS!$B$7:$D$97,2,0)</f>
        <v>HOD</v>
      </c>
      <c r="I986" s="796">
        <f>VLOOKUP(G986,SETTINGS!$B$7:$D$97,3,0)</f>
        <v>0</v>
      </c>
      <c r="J986" s="670" t="str">
        <f>IFERROR(IF(CURRENCY.FORMAT_1=0,CONCATENATE(TEXT(FIXED(ROUND((C986/EXC.RATE_1),CURRENCY.FORMAT_1),CURRENCY.FORMAT_1,1),"# ##0;-# ##0"),",-"),FIXED(ROUND((C986/EXC.RATE_1),CURRENCY.FORMAT_1),CURRENCY.FORMAT_1,0)),'DICTIONARY-5'!$A$2)</f>
        <v>159,-</v>
      </c>
      <c r="K986" s="670" t="str">
        <f>IF(EXC.RATE_2=0,"",IFERROR(IF(CURRENCY.FORMAT_2=0,CONCATENATE(TEXT(FIXED(ROUND(IF(EXC.RATE.SWITCH=1,C986/EXC.RATE_2,C986*EXC.RATE_2),CURRENCY.FORMAT_2),CURRENCY.FORMAT_2,1),"# ##0;-# ##0"),",-"),FIXED(ROUND(IF(EXC.RATE.SWITCH=1,C986/EXC.RATE_2,C986*EXC.RATE_2),CURRENCY.FORMAT_2),CURRENCY.FORMAT_2,0)),'DICTIONARY-5'!$A$2))</f>
        <v/>
      </c>
      <c r="L986" s="670" t="str">
        <f>IFERROR(IF(CURRENCY.FORMAT_1=0,CONCATENATE(TEXT(FIXED(ROUND((C986*(1-I986)*(1-ADD.DISCOUNT)*(1+MAT.SURCHARGE)/EXC.RATE_1),CURRENCY.FORMAT_1),CURRENCY.FORMAT_1,1),"# ##0;-# ##0"),",-"),FIXED(ROUND((C986*(1-I986)*(1-ADD.DISCOUNT)*(1+MAT.SURCHARGE)/EXC.RATE_1),CURRENCY.FORMAT_1),CURRENCY.FORMAT_1,0)),'DICTIONARY-5'!$A$2)</f>
        <v>165,-</v>
      </c>
      <c r="M986" s="670" t="str">
        <f>IF(EXC.RATE_2=0,"",IFERROR(IF(CURRENCY.FORMAT_2=0,CONCATENATE(TEXT(FIXED(ROUND(IF(EXC.RATE.SWITCH=1,C986*(1-I986)*(1-ADD.DISCOUNT)*(1+MAT.SURCHARGE)/EXC.RATE_2,C986*(1-I986)*(1-ADD.DISCOUNT)*(1+MAT.SURCHARGE)*EXC.RATE_2),CURRENCY.FORMAT_2),CURRENCY.FORMAT_2,1),"# ##0;-# ##0"),",-"),FIXED(ROUND(IF(EXC.RATE.SWITCH=1,C986*(1-I986)*(1-ADD.DISCOUNT)*(1+MAT.SURCHARGE)/EXC.RATE_2,C986*(1-I986)*(1-ADD.DISCOUNT)*(1+MAT.SURCHARGE)*EXC.RATE_2),CURRENCY.FORMAT_2),CURRENCY.FORMAT_2,0)),'DICTIONARY-5'!$A$2))</f>
        <v/>
      </c>
      <c r="N986" s="542">
        <v>4</v>
      </c>
      <c r="O986" s="542"/>
      <c r="P986" s="731" t="str">
        <f>'DICTIONARY-3'!$A$57</f>
        <v>HOD-G</v>
      </c>
      <c r="Q986" s="732" t="str">
        <f>'DICTIONARY-3'!$A$196</f>
        <v>Mostek nawiertowy</v>
      </c>
      <c r="R986" s="732" t="str">
        <f>CONCATENATE('DICTIONARY-3'!$A$55,'DICTIONARY-3'!$A$72," ",'DICTIONARY-6'!$A$21," ",'DICTIONARY-2'!$A$2,"150"," ",'DICTIONARY-2'!$A$5,"167-172 G2"," ",'DICTIONARY-6'!$A$62,", ",'DICTIONARY-6'!$A$76," ",'DICTIONARY-5'!$A$49)</f>
        <v>HOD-G502 Mostek nawiert. DN150 Da167-172 G2 z zaw. kul., ruroc. ŻEL.</v>
      </c>
      <c r="S986" s="733" t="str">
        <f>'DICTIONARY-4'!$A$2</f>
        <v>WW</v>
      </c>
      <c r="T986" s="732" t="str">
        <f>'DICTIONARY-4'!$A$18</f>
        <v>Wolny wałek</v>
      </c>
      <c r="U986" s="734" t="s">
        <v>5572</v>
      </c>
      <c r="V986" s="735"/>
      <c r="W986" s="744" t="s">
        <v>5766</v>
      </c>
      <c r="X986" s="750" t="s">
        <v>50</v>
      </c>
      <c r="Y986" s="738"/>
      <c r="Z986" s="739"/>
      <c r="AA986" s="739"/>
      <c r="AB986" s="740">
        <v>16</v>
      </c>
      <c r="AC986" s="741"/>
      <c r="AD986" s="741" t="str">
        <f>'DICTIONARY-5'!$A$13</f>
        <v>woda pitna</v>
      </c>
      <c r="AE986" s="742">
        <v>50</v>
      </c>
      <c r="AF986" s="743">
        <v>5.5</v>
      </c>
      <c r="AG986" s="741" t="str">
        <f>'DICTIONARY-5'!$A$23</f>
        <v>powłoka epoksydowa</v>
      </c>
    </row>
    <row r="987" spans="1:33" x14ac:dyDescent="0.25">
      <c r="A987" s="856" t="s">
        <v>927</v>
      </c>
      <c r="B987" s="856" t="s">
        <v>4121</v>
      </c>
      <c r="C987" s="836">
        <v>195</v>
      </c>
      <c r="D987" s="836"/>
      <c r="E987" s="836"/>
      <c r="F987" s="836"/>
      <c r="G987" s="496" t="s">
        <v>7812</v>
      </c>
      <c r="H987" s="797" t="str">
        <f>VLOOKUP(G987,SETTINGS!$B$7:$D$97,2,0)</f>
        <v>HOD</v>
      </c>
      <c r="I987" s="796">
        <f>VLOOKUP(G987,SETTINGS!$B$7:$D$97,3,0)</f>
        <v>0</v>
      </c>
      <c r="J987" s="670" t="str">
        <f>IFERROR(IF(CURRENCY.FORMAT_1=0,CONCATENATE(TEXT(FIXED(ROUND((C987/EXC.RATE_1),CURRENCY.FORMAT_1),CURRENCY.FORMAT_1,1),"# ##0;-# ##0"),",-"),FIXED(ROUND((C987/EXC.RATE_1),CURRENCY.FORMAT_1),CURRENCY.FORMAT_1,0)),'DICTIONARY-5'!$A$2)</f>
        <v>195,-</v>
      </c>
      <c r="K987" s="670" t="str">
        <f>IF(EXC.RATE_2=0,"",IFERROR(IF(CURRENCY.FORMAT_2=0,CONCATENATE(TEXT(FIXED(ROUND(IF(EXC.RATE.SWITCH=1,C987/EXC.RATE_2,C987*EXC.RATE_2),CURRENCY.FORMAT_2),CURRENCY.FORMAT_2,1),"# ##0;-# ##0"),",-"),FIXED(ROUND(IF(EXC.RATE.SWITCH=1,C987/EXC.RATE_2,C987*EXC.RATE_2),CURRENCY.FORMAT_2),CURRENCY.FORMAT_2,0)),'DICTIONARY-5'!$A$2))</f>
        <v/>
      </c>
      <c r="L987" s="670" t="str">
        <f>IFERROR(IF(CURRENCY.FORMAT_1=0,CONCATENATE(TEXT(FIXED(ROUND((C987*(1-I987)*(1-ADD.DISCOUNT)*(1+MAT.SURCHARGE)/EXC.RATE_1),CURRENCY.FORMAT_1),CURRENCY.FORMAT_1,1),"# ##0;-# ##0"),",-"),FIXED(ROUND((C987*(1-I987)*(1-ADD.DISCOUNT)*(1+MAT.SURCHARGE)/EXC.RATE_1),CURRENCY.FORMAT_1),CURRENCY.FORMAT_1,0)),'DICTIONARY-5'!$A$2)</f>
        <v>203,-</v>
      </c>
      <c r="M987" s="670" t="str">
        <f>IF(EXC.RATE_2=0,"",IFERROR(IF(CURRENCY.FORMAT_2=0,CONCATENATE(TEXT(FIXED(ROUND(IF(EXC.RATE.SWITCH=1,C987*(1-I987)*(1-ADD.DISCOUNT)*(1+MAT.SURCHARGE)/EXC.RATE_2,C987*(1-I987)*(1-ADD.DISCOUNT)*(1+MAT.SURCHARGE)*EXC.RATE_2),CURRENCY.FORMAT_2),CURRENCY.FORMAT_2,1),"# ##0;-# ##0"),",-"),FIXED(ROUND(IF(EXC.RATE.SWITCH=1,C987*(1-I987)*(1-ADD.DISCOUNT)*(1+MAT.SURCHARGE)/EXC.RATE_2,C987*(1-I987)*(1-ADD.DISCOUNT)*(1+MAT.SURCHARGE)*EXC.RATE_2),CURRENCY.FORMAT_2),CURRENCY.FORMAT_2,0)),'DICTIONARY-5'!$A$2))</f>
        <v/>
      </c>
      <c r="N987" s="542">
        <v>4</v>
      </c>
      <c r="O987" s="542"/>
      <c r="P987" s="731" t="str">
        <f>'DICTIONARY-3'!$A$57</f>
        <v>HOD-G</v>
      </c>
      <c r="Q987" s="732" t="str">
        <f>'DICTIONARY-3'!$A$196</f>
        <v>Mostek nawiertowy</v>
      </c>
      <c r="R987" s="732" t="str">
        <f>CONCATENATE('DICTIONARY-3'!$A$55,'DICTIONARY-3'!$A$72," ",'DICTIONARY-6'!$A$21," ",'DICTIONARY-2'!$A$2,"200"," ",'DICTIONARY-2'!$A$5,"216-225 G2"," ",'DICTIONARY-6'!$A$62,", ",'DICTIONARY-6'!$A$76," ",'DICTIONARY-5'!$A$49)</f>
        <v>HOD-G502 Mostek nawiert. DN200 Da216-225 G2 z zaw. kul., ruroc. ŻEL.</v>
      </c>
      <c r="S987" s="733" t="str">
        <f>'DICTIONARY-4'!$A$2</f>
        <v>WW</v>
      </c>
      <c r="T987" s="732" t="str">
        <f>'DICTIONARY-4'!$A$18</f>
        <v>Wolny wałek</v>
      </c>
      <c r="U987" s="734" t="s">
        <v>5750</v>
      </c>
      <c r="V987" s="735"/>
      <c r="W987" s="744" t="s">
        <v>5767</v>
      </c>
      <c r="X987" s="750" t="s">
        <v>50</v>
      </c>
      <c r="Y987" s="738"/>
      <c r="Z987" s="739"/>
      <c r="AA987" s="739"/>
      <c r="AB987" s="740">
        <v>16</v>
      </c>
      <c r="AC987" s="741"/>
      <c r="AD987" s="741" t="str">
        <f>'DICTIONARY-5'!$A$13</f>
        <v>woda pitna</v>
      </c>
      <c r="AE987" s="742">
        <v>50</v>
      </c>
      <c r="AF987" s="743">
        <v>6</v>
      </c>
      <c r="AG987" s="741" t="str">
        <f>'DICTIONARY-5'!$A$23</f>
        <v>powłoka epoksydowa</v>
      </c>
    </row>
    <row r="988" spans="1:33" x14ac:dyDescent="0.25">
      <c r="A988" s="856" t="s">
        <v>929</v>
      </c>
      <c r="B988" s="856" t="s">
        <v>4122</v>
      </c>
      <c r="C988" s="836">
        <v>392</v>
      </c>
      <c r="D988" s="836"/>
      <c r="E988" s="836"/>
      <c r="F988" s="836"/>
      <c r="G988" s="496" t="s">
        <v>7812</v>
      </c>
      <c r="H988" s="797" t="str">
        <f>VLOOKUP(G988,SETTINGS!$B$7:$D$97,2,0)</f>
        <v>HOD</v>
      </c>
      <c r="I988" s="796">
        <f>VLOOKUP(G988,SETTINGS!$B$7:$D$97,3,0)</f>
        <v>0</v>
      </c>
      <c r="J988" s="670" t="str">
        <f>IFERROR(IF(CURRENCY.FORMAT_1=0,CONCATENATE(TEXT(FIXED(ROUND((C988/EXC.RATE_1),CURRENCY.FORMAT_1),CURRENCY.FORMAT_1,1),"# ##0;-# ##0"),",-"),FIXED(ROUND((C988/EXC.RATE_1),CURRENCY.FORMAT_1),CURRENCY.FORMAT_1,0)),'DICTIONARY-5'!$A$2)</f>
        <v>392,-</v>
      </c>
      <c r="K988" s="670" t="str">
        <f>IF(EXC.RATE_2=0,"",IFERROR(IF(CURRENCY.FORMAT_2=0,CONCATENATE(TEXT(FIXED(ROUND(IF(EXC.RATE.SWITCH=1,C988/EXC.RATE_2,C988*EXC.RATE_2),CURRENCY.FORMAT_2),CURRENCY.FORMAT_2,1),"# ##0;-# ##0"),",-"),FIXED(ROUND(IF(EXC.RATE.SWITCH=1,C988/EXC.RATE_2,C988*EXC.RATE_2),CURRENCY.FORMAT_2),CURRENCY.FORMAT_2,0)),'DICTIONARY-5'!$A$2))</f>
        <v/>
      </c>
      <c r="L988" s="670" t="str">
        <f>IFERROR(IF(CURRENCY.FORMAT_1=0,CONCATENATE(TEXT(FIXED(ROUND((C988*(1-I988)*(1-ADD.DISCOUNT)*(1+MAT.SURCHARGE)/EXC.RATE_1),CURRENCY.FORMAT_1),CURRENCY.FORMAT_1,1),"# ##0;-# ##0"),",-"),FIXED(ROUND((C988*(1-I988)*(1-ADD.DISCOUNT)*(1+MAT.SURCHARGE)/EXC.RATE_1),CURRENCY.FORMAT_1),CURRENCY.FORMAT_1,0)),'DICTIONARY-5'!$A$2)</f>
        <v>407,-</v>
      </c>
      <c r="M988" s="670" t="str">
        <f>IF(EXC.RATE_2=0,"",IFERROR(IF(CURRENCY.FORMAT_2=0,CONCATENATE(TEXT(FIXED(ROUND(IF(EXC.RATE.SWITCH=1,C988*(1-I988)*(1-ADD.DISCOUNT)*(1+MAT.SURCHARGE)/EXC.RATE_2,C988*(1-I988)*(1-ADD.DISCOUNT)*(1+MAT.SURCHARGE)*EXC.RATE_2),CURRENCY.FORMAT_2),CURRENCY.FORMAT_2,1),"# ##0;-# ##0"),",-"),FIXED(ROUND(IF(EXC.RATE.SWITCH=1,C988*(1-I988)*(1-ADD.DISCOUNT)*(1+MAT.SURCHARGE)/EXC.RATE_2,C988*(1-I988)*(1-ADD.DISCOUNT)*(1+MAT.SURCHARGE)*EXC.RATE_2),CURRENCY.FORMAT_2),CURRENCY.FORMAT_2,0)),'DICTIONARY-5'!$A$2))</f>
        <v/>
      </c>
      <c r="N988" s="542">
        <v>4</v>
      </c>
      <c r="O988" s="542"/>
      <c r="P988" s="731" t="str">
        <f>'DICTIONARY-3'!$A$57</f>
        <v>HOD-G</v>
      </c>
      <c r="Q988" s="732" t="str">
        <f>'DICTIONARY-3'!$A$196</f>
        <v>Mostek nawiertowy</v>
      </c>
      <c r="R988" s="732" t="str">
        <f>CONCATENATE('DICTIONARY-3'!$A$55,'DICTIONARY-3'!$A$72," ",'DICTIONARY-6'!$A$21," ",'DICTIONARY-2'!$A$2,"300"," ",'DICTIONARY-2'!$A$5,"318-326 G2"," ",'DICTIONARY-6'!$A$62,", ",'DICTIONARY-6'!$A$76," ",'DICTIONARY-5'!$A$49)</f>
        <v>HOD-G502 Mostek nawiert. DN300 Da318-326 G2 z zaw. kul., ruroc. ŻEL.</v>
      </c>
      <c r="S988" s="733" t="str">
        <f>'DICTIONARY-4'!$A$2</f>
        <v>WW</v>
      </c>
      <c r="T988" s="732" t="str">
        <f>'DICTIONARY-4'!$A$18</f>
        <v>Wolny wałek</v>
      </c>
      <c r="U988" s="734" t="s">
        <v>5752</v>
      </c>
      <c r="V988" s="735"/>
      <c r="W988" s="744" t="s">
        <v>5768</v>
      </c>
      <c r="X988" s="750" t="s">
        <v>50</v>
      </c>
      <c r="Y988" s="738"/>
      <c r="Z988" s="739"/>
      <c r="AA988" s="739"/>
      <c r="AB988" s="740">
        <v>16</v>
      </c>
      <c r="AC988" s="741"/>
      <c r="AD988" s="741" t="str">
        <f>'DICTIONARY-5'!$A$13</f>
        <v>woda pitna</v>
      </c>
      <c r="AE988" s="742">
        <v>50</v>
      </c>
      <c r="AF988" s="743">
        <v>7.75</v>
      </c>
      <c r="AG988" s="741" t="str">
        <f>'DICTIONARY-5'!$A$23</f>
        <v>powłoka epoksydowa</v>
      </c>
    </row>
    <row r="989" spans="1:33" x14ac:dyDescent="0.25">
      <c r="A989" s="856" t="s">
        <v>930</v>
      </c>
      <c r="B989" s="856" t="s">
        <v>4136</v>
      </c>
      <c r="C989" s="836">
        <v>156</v>
      </c>
      <c r="D989" s="836"/>
      <c r="E989" s="836"/>
      <c r="F989" s="836"/>
      <c r="G989" s="496" t="s">
        <v>7812</v>
      </c>
      <c r="H989" s="797" t="str">
        <f>VLOOKUP(G989,SETTINGS!$B$7:$D$97,2,0)</f>
        <v>HOD</v>
      </c>
      <c r="I989" s="796">
        <f>VLOOKUP(G989,SETTINGS!$B$7:$D$97,3,0)</f>
        <v>0</v>
      </c>
      <c r="J989" s="670" t="str">
        <f>IFERROR(IF(CURRENCY.FORMAT_1=0,CONCATENATE(TEXT(FIXED(ROUND((C989/EXC.RATE_1),CURRENCY.FORMAT_1),CURRENCY.FORMAT_1,1),"# ##0;-# ##0"),",-"),FIXED(ROUND((C989/EXC.RATE_1),CURRENCY.FORMAT_1),CURRENCY.FORMAT_1,0)),'DICTIONARY-5'!$A$2)</f>
        <v>156,-</v>
      </c>
      <c r="K989" s="670" t="str">
        <f>IF(EXC.RATE_2=0,"",IFERROR(IF(CURRENCY.FORMAT_2=0,CONCATENATE(TEXT(FIXED(ROUND(IF(EXC.RATE.SWITCH=1,C989/EXC.RATE_2,C989*EXC.RATE_2),CURRENCY.FORMAT_2),CURRENCY.FORMAT_2,1),"# ##0;-# ##0"),",-"),FIXED(ROUND(IF(EXC.RATE.SWITCH=1,C989/EXC.RATE_2,C989*EXC.RATE_2),CURRENCY.FORMAT_2),CURRENCY.FORMAT_2,0)),'DICTIONARY-5'!$A$2))</f>
        <v/>
      </c>
      <c r="L989" s="670" t="str">
        <f>IFERROR(IF(CURRENCY.FORMAT_1=0,CONCATENATE(TEXT(FIXED(ROUND((C989*(1-I989)*(1-ADD.DISCOUNT)*(1+MAT.SURCHARGE)/EXC.RATE_1),CURRENCY.FORMAT_1),CURRENCY.FORMAT_1,1),"# ##0;-# ##0"),",-"),FIXED(ROUND((C989*(1-I989)*(1-ADD.DISCOUNT)*(1+MAT.SURCHARGE)/EXC.RATE_1),CURRENCY.FORMAT_1),CURRENCY.FORMAT_1,0)),'DICTIONARY-5'!$A$2)</f>
        <v>162,-</v>
      </c>
      <c r="M989" s="670" t="str">
        <f>IF(EXC.RATE_2=0,"",IFERROR(IF(CURRENCY.FORMAT_2=0,CONCATENATE(TEXT(FIXED(ROUND(IF(EXC.RATE.SWITCH=1,C989*(1-I989)*(1-ADD.DISCOUNT)*(1+MAT.SURCHARGE)/EXC.RATE_2,C989*(1-I989)*(1-ADD.DISCOUNT)*(1+MAT.SURCHARGE)*EXC.RATE_2),CURRENCY.FORMAT_2),CURRENCY.FORMAT_2,1),"# ##0;-# ##0"),",-"),FIXED(ROUND(IF(EXC.RATE.SWITCH=1,C989*(1-I989)*(1-ADD.DISCOUNT)*(1+MAT.SURCHARGE)/EXC.RATE_2,C989*(1-I989)*(1-ADD.DISCOUNT)*(1+MAT.SURCHARGE)*EXC.RATE_2),CURRENCY.FORMAT_2),CURRENCY.FORMAT_2,0)),'DICTIONARY-5'!$A$2))</f>
        <v/>
      </c>
      <c r="N989" s="542">
        <v>4</v>
      </c>
      <c r="O989" s="542"/>
      <c r="P989" s="731" t="str">
        <f>'DICTIONARY-3'!$A$57</f>
        <v>HOD-G</v>
      </c>
      <c r="Q989" s="732" t="str">
        <f>'DICTIONARY-3'!$A$196</f>
        <v>Mostek nawiertowy</v>
      </c>
      <c r="R989" s="732" t="str">
        <f>CONCATENATE('DICTIONARY-3'!$A$55,'DICTIONARY-3'!$A$74," ",'DICTIONARY-6'!$A$21," ",'DICTIONARY-2'!$A$2,"80"," ",'DICTIONARY-2'!$A$5,"94-99 G1"," ",'DICTIONARY-6'!$A$60,", ",'DICTIONARY-6'!$A$76," ",'DICTIONARY-5'!$A$49)</f>
        <v>HOD-G511 Mostek nawiert. DN80 Da94-99 G1 z zasuwa mosiężna, ruroc. ŻEL.</v>
      </c>
      <c r="S989" s="733" t="str">
        <f>'DICTIONARY-4'!$A$2</f>
        <v>WW</v>
      </c>
      <c r="T989" s="732" t="str">
        <f>'DICTIONARY-4'!$A$18</f>
        <v>Wolny wałek</v>
      </c>
      <c r="U989" s="734" t="s">
        <v>5760</v>
      </c>
      <c r="V989" s="735"/>
      <c r="W989" s="744" t="s">
        <v>5764</v>
      </c>
      <c r="X989" s="750" t="s">
        <v>49</v>
      </c>
      <c r="Y989" s="738"/>
      <c r="Z989" s="739"/>
      <c r="AA989" s="739"/>
      <c r="AB989" s="740">
        <v>16</v>
      </c>
      <c r="AC989" s="741"/>
      <c r="AD989" s="741" t="str">
        <f>'DICTIONARY-5'!$A$13</f>
        <v>woda pitna</v>
      </c>
      <c r="AE989" s="742">
        <v>50</v>
      </c>
      <c r="AF989" s="743">
        <v>4.5</v>
      </c>
      <c r="AG989" s="741" t="str">
        <f>'DICTIONARY-5'!$A$23</f>
        <v>powłoka epoksydowa</v>
      </c>
    </row>
    <row r="990" spans="1:33" x14ac:dyDescent="0.25">
      <c r="A990" s="856" t="s">
        <v>932</v>
      </c>
      <c r="B990" s="856" t="s">
        <v>4137</v>
      </c>
      <c r="C990" s="836">
        <v>133</v>
      </c>
      <c r="D990" s="836"/>
      <c r="E990" s="836"/>
      <c r="F990" s="836"/>
      <c r="G990" s="496" t="s">
        <v>7812</v>
      </c>
      <c r="H990" s="797" t="str">
        <f>VLOOKUP(G990,SETTINGS!$B$7:$D$97,2,0)</f>
        <v>HOD</v>
      </c>
      <c r="I990" s="796">
        <f>VLOOKUP(G990,SETTINGS!$B$7:$D$97,3,0)</f>
        <v>0</v>
      </c>
      <c r="J990" s="670" t="str">
        <f>IFERROR(IF(CURRENCY.FORMAT_1=0,CONCATENATE(TEXT(FIXED(ROUND((C990/EXC.RATE_1),CURRENCY.FORMAT_1),CURRENCY.FORMAT_1,1),"# ##0;-# ##0"),",-"),FIXED(ROUND((C990/EXC.RATE_1),CURRENCY.FORMAT_1),CURRENCY.FORMAT_1,0)),'DICTIONARY-5'!$A$2)</f>
        <v>133,-</v>
      </c>
      <c r="K990" s="670" t="str">
        <f>IF(EXC.RATE_2=0,"",IFERROR(IF(CURRENCY.FORMAT_2=0,CONCATENATE(TEXT(FIXED(ROUND(IF(EXC.RATE.SWITCH=1,C990/EXC.RATE_2,C990*EXC.RATE_2),CURRENCY.FORMAT_2),CURRENCY.FORMAT_2,1),"# ##0;-# ##0"),",-"),FIXED(ROUND(IF(EXC.RATE.SWITCH=1,C990/EXC.RATE_2,C990*EXC.RATE_2),CURRENCY.FORMAT_2),CURRENCY.FORMAT_2,0)),'DICTIONARY-5'!$A$2))</f>
        <v/>
      </c>
      <c r="L990" s="670" t="str">
        <f>IFERROR(IF(CURRENCY.FORMAT_1=0,CONCATENATE(TEXT(FIXED(ROUND((C990*(1-I990)*(1-ADD.DISCOUNT)*(1+MAT.SURCHARGE)/EXC.RATE_1),CURRENCY.FORMAT_1),CURRENCY.FORMAT_1,1),"# ##0;-# ##0"),",-"),FIXED(ROUND((C990*(1-I990)*(1-ADD.DISCOUNT)*(1+MAT.SURCHARGE)/EXC.RATE_1),CURRENCY.FORMAT_1),CURRENCY.FORMAT_1,0)),'DICTIONARY-5'!$A$2)</f>
        <v>138,-</v>
      </c>
      <c r="M990" s="670" t="str">
        <f>IF(EXC.RATE_2=0,"",IFERROR(IF(CURRENCY.FORMAT_2=0,CONCATENATE(TEXT(FIXED(ROUND(IF(EXC.RATE.SWITCH=1,C990*(1-I990)*(1-ADD.DISCOUNT)*(1+MAT.SURCHARGE)/EXC.RATE_2,C990*(1-I990)*(1-ADD.DISCOUNT)*(1+MAT.SURCHARGE)*EXC.RATE_2),CURRENCY.FORMAT_2),CURRENCY.FORMAT_2,1),"# ##0;-# ##0"),",-"),FIXED(ROUND(IF(EXC.RATE.SWITCH=1,C990*(1-I990)*(1-ADD.DISCOUNT)*(1+MAT.SURCHARGE)/EXC.RATE_2,C990*(1-I990)*(1-ADD.DISCOUNT)*(1+MAT.SURCHARGE)*EXC.RATE_2),CURRENCY.FORMAT_2),CURRENCY.FORMAT_2,0)),'DICTIONARY-5'!$A$2))</f>
        <v/>
      </c>
      <c r="N990" s="542">
        <v>4</v>
      </c>
      <c r="O990" s="542"/>
      <c r="P990" s="731" t="str">
        <f>'DICTIONARY-3'!$A$57</f>
        <v>HOD-G</v>
      </c>
      <c r="Q990" s="732" t="str">
        <f>'DICTIONARY-3'!$A$196</f>
        <v>Mostek nawiertowy</v>
      </c>
      <c r="R990" s="732" t="str">
        <f>CONCATENATE('DICTIONARY-3'!$A$55,'DICTIONARY-3'!$A$74," ",'DICTIONARY-6'!$A$21," ",'DICTIONARY-2'!$A$2,"100"," ",'DICTIONARY-2'!$A$5,"114-121 G1"," ",'DICTIONARY-6'!$A$60,", ",'DICTIONARY-6'!$A$76," ",'DICTIONARY-5'!$A$49)</f>
        <v>HOD-G511 Mostek nawiert. DN100 Da114-121 G1 z zasuwa mosiężna, ruroc. ŻEL.</v>
      </c>
      <c r="S990" s="733" t="str">
        <f>'DICTIONARY-4'!$A$2</f>
        <v>WW</v>
      </c>
      <c r="T990" s="732" t="str">
        <f>'DICTIONARY-4'!$A$18</f>
        <v>Wolny wałek</v>
      </c>
      <c r="U990" s="734" t="s">
        <v>5749</v>
      </c>
      <c r="V990" s="735"/>
      <c r="W990" s="744" t="s">
        <v>5765</v>
      </c>
      <c r="X990" s="750" t="s">
        <v>49</v>
      </c>
      <c r="Y990" s="738"/>
      <c r="Z990" s="739"/>
      <c r="AA990" s="739"/>
      <c r="AB990" s="740">
        <v>16</v>
      </c>
      <c r="AC990" s="741"/>
      <c r="AD990" s="741" t="str">
        <f>'DICTIONARY-5'!$A$13</f>
        <v>woda pitna</v>
      </c>
      <c r="AE990" s="742">
        <v>50</v>
      </c>
      <c r="AF990" s="743">
        <v>4.9000000000000004</v>
      </c>
      <c r="AG990" s="741" t="str">
        <f>'DICTIONARY-5'!$A$23</f>
        <v>powłoka epoksydowa</v>
      </c>
    </row>
    <row r="991" spans="1:33" x14ac:dyDescent="0.25">
      <c r="A991" s="856" t="s">
        <v>934</v>
      </c>
      <c r="B991" s="856" t="s">
        <v>4138</v>
      </c>
      <c r="C991" s="836">
        <v>160</v>
      </c>
      <c r="D991" s="836"/>
      <c r="E991" s="836"/>
      <c r="F991" s="836"/>
      <c r="G991" s="496" t="s">
        <v>7812</v>
      </c>
      <c r="H991" s="797" t="str">
        <f>VLOOKUP(G991,SETTINGS!$B$7:$D$97,2,0)</f>
        <v>HOD</v>
      </c>
      <c r="I991" s="796">
        <f>VLOOKUP(G991,SETTINGS!$B$7:$D$97,3,0)</f>
        <v>0</v>
      </c>
      <c r="J991" s="670" t="str">
        <f>IFERROR(IF(CURRENCY.FORMAT_1=0,CONCATENATE(TEXT(FIXED(ROUND((C991/EXC.RATE_1),CURRENCY.FORMAT_1),CURRENCY.FORMAT_1,1),"# ##0;-# ##0"),",-"),FIXED(ROUND((C991/EXC.RATE_1),CURRENCY.FORMAT_1),CURRENCY.FORMAT_1,0)),'DICTIONARY-5'!$A$2)</f>
        <v>160,-</v>
      </c>
      <c r="K991" s="670" t="str">
        <f>IF(EXC.RATE_2=0,"",IFERROR(IF(CURRENCY.FORMAT_2=0,CONCATENATE(TEXT(FIXED(ROUND(IF(EXC.RATE.SWITCH=1,C991/EXC.RATE_2,C991*EXC.RATE_2),CURRENCY.FORMAT_2),CURRENCY.FORMAT_2,1),"# ##0;-# ##0"),",-"),FIXED(ROUND(IF(EXC.RATE.SWITCH=1,C991/EXC.RATE_2,C991*EXC.RATE_2),CURRENCY.FORMAT_2),CURRENCY.FORMAT_2,0)),'DICTIONARY-5'!$A$2))</f>
        <v/>
      </c>
      <c r="L991" s="670" t="str">
        <f>IFERROR(IF(CURRENCY.FORMAT_1=0,CONCATENATE(TEXT(FIXED(ROUND((C991*(1-I991)*(1-ADD.DISCOUNT)*(1+MAT.SURCHARGE)/EXC.RATE_1),CURRENCY.FORMAT_1),CURRENCY.FORMAT_1,1),"# ##0;-# ##0"),",-"),FIXED(ROUND((C991*(1-I991)*(1-ADD.DISCOUNT)*(1+MAT.SURCHARGE)/EXC.RATE_1),CURRENCY.FORMAT_1),CURRENCY.FORMAT_1,0)),'DICTIONARY-5'!$A$2)</f>
        <v>166,-</v>
      </c>
      <c r="M991" s="670" t="str">
        <f>IF(EXC.RATE_2=0,"",IFERROR(IF(CURRENCY.FORMAT_2=0,CONCATENATE(TEXT(FIXED(ROUND(IF(EXC.RATE.SWITCH=1,C991*(1-I991)*(1-ADD.DISCOUNT)*(1+MAT.SURCHARGE)/EXC.RATE_2,C991*(1-I991)*(1-ADD.DISCOUNT)*(1+MAT.SURCHARGE)*EXC.RATE_2),CURRENCY.FORMAT_2),CURRENCY.FORMAT_2,1),"# ##0;-# ##0"),",-"),FIXED(ROUND(IF(EXC.RATE.SWITCH=1,C991*(1-I991)*(1-ADD.DISCOUNT)*(1+MAT.SURCHARGE)/EXC.RATE_2,C991*(1-I991)*(1-ADD.DISCOUNT)*(1+MAT.SURCHARGE)*EXC.RATE_2),CURRENCY.FORMAT_2),CURRENCY.FORMAT_2,0)),'DICTIONARY-5'!$A$2))</f>
        <v/>
      </c>
      <c r="N991" s="542">
        <v>4</v>
      </c>
      <c r="O991" s="542"/>
      <c r="P991" s="731" t="str">
        <f>'DICTIONARY-3'!$A$57</f>
        <v>HOD-G</v>
      </c>
      <c r="Q991" s="732" t="str">
        <f>'DICTIONARY-3'!$A$196</f>
        <v>Mostek nawiertowy</v>
      </c>
      <c r="R991" s="732" t="str">
        <f>CONCATENATE('DICTIONARY-3'!$A$55,'DICTIONARY-3'!$A$74," ",'DICTIONARY-6'!$A$21," ",'DICTIONARY-2'!$A$2,"150"," ",'DICTIONARY-2'!$A$5,"167-172 G1"," ",'DICTIONARY-6'!$A$60,", ",'DICTIONARY-6'!$A$76," ",'DICTIONARY-5'!$A$49)</f>
        <v>HOD-G511 Mostek nawiert. DN150 Da167-172 G1 z zasuwa mosiężna, ruroc. ŻEL.</v>
      </c>
      <c r="S991" s="733" t="str">
        <f>'DICTIONARY-4'!$A$2</f>
        <v>WW</v>
      </c>
      <c r="T991" s="732" t="str">
        <f>'DICTIONARY-4'!$A$18</f>
        <v>Wolny wałek</v>
      </c>
      <c r="U991" s="734" t="s">
        <v>5572</v>
      </c>
      <c r="V991" s="735"/>
      <c r="W991" s="744" t="s">
        <v>5766</v>
      </c>
      <c r="X991" s="750" t="s">
        <v>49</v>
      </c>
      <c r="Y991" s="738"/>
      <c r="Z991" s="739"/>
      <c r="AA991" s="739"/>
      <c r="AB991" s="740">
        <v>16</v>
      </c>
      <c r="AC991" s="741"/>
      <c r="AD991" s="741" t="str">
        <f>'DICTIONARY-5'!$A$13</f>
        <v>woda pitna</v>
      </c>
      <c r="AE991" s="742">
        <v>50</v>
      </c>
      <c r="AF991" s="743">
        <v>5.3</v>
      </c>
      <c r="AG991" s="741" t="str">
        <f>'DICTIONARY-5'!$A$23</f>
        <v>powłoka epoksydowa</v>
      </c>
    </row>
    <row r="992" spans="1:33" x14ac:dyDescent="0.25">
      <c r="A992" s="856" t="s">
        <v>936</v>
      </c>
      <c r="B992" s="856" t="s">
        <v>4139</v>
      </c>
      <c r="C992" s="836">
        <v>222</v>
      </c>
      <c r="D992" s="836"/>
      <c r="E992" s="836"/>
      <c r="F992" s="836"/>
      <c r="G992" s="496" t="s">
        <v>7812</v>
      </c>
      <c r="H992" s="797" t="str">
        <f>VLOOKUP(G992,SETTINGS!$B$7:$D$97,2,0)</f>
        <v>HOD</v>
      </c>
      <c r="I992" s="796">
        <f>VLOOKUP(G992,SETTINGS!$B$7:$D$97,3,0)</f>
        <v>0</v>
      </c>
      <c r="J992" s="670" t="str">
        <f>IFERROR(IF(CURRENCY.FORMAT_1=0,CONCATENATE(TEXT(FIXED(ROUND((C992/EXC.RATE_1),CURRENCY.FORMAT_1),CURRENCY.FORMAT_1,1),"# ##0;-# ##0"),",-"),FIXED(ROUND((C992/EXC.RATE_1),CURRENCY.FORMAT_1),CURRENCY.FORMAT_1,0)),'DICTIONARY-5'!$A$2)</f>
        <v>222,-</v>
      </c>
      <c r="K992" s="670" t="str">
        <f>IF(EXC.RATE_2=0,"",IFERROR(IF(CURRENCY.FORMAT_2=0,CONCATENATE(TEXT(FIXED(ROUND(IF(EXC.RATE.SWITCH=1,C992/EXC.RATE_2,C992*EXC.RATE_2),CURRENCY.FORMAT_2),CURRENCY.FORMAT_2,1),"# ##0;-# ##0"),",-"),FIXED(ROUND(IF(EXC.RATE.SWITCH=1,C992/EXC.RATE_2,C992*EXC.RATE_2),CURRENCY.FORMAT_2),CURRENCY.FORMAT_2,0)),'DICTIONARY-5'!$A$2))</f>
        <v/>
      </c>
      <c r="L992" s="670" t="str">
        <f>IFERROR(IF(CURRENCY.FORMAT_1=0,CONCATENATE(TEXT(FIXED(ROUND((C992*(1-I992)*(1-ADD.DISCOUNT)*(1+MAT.SURCHARGE)/EXC.RATE_1),CURRENCY.FORMAT_1),CURRENCY.FORMAT_1,1),"# ##0;-# ##0"),",-"),FIXED(ROUND((C992*(1-I992)*(1-ADD.DISCOUNT)*(1+MAT.SURCHARGE)/EXC.RATE_1),CURRENCY.FORMAT_1),CURRENCY.FORMAT_1,0)),'DICTIONARY-5'!$A$2)</f>
        <v>231,-</v>
      </c>
      <c r="M992" s="670" t="str">
        <f>IF(EXC.RATE_2=0,"",IFERROR(IF(CURRENCY.FORMAT_2=0,CONCATENATE(TEXT(FIXED(ROUND(IF(EXC.RATE.SWITCH=1,C992*(1-I992)*(1-ADD.DISCOUNT)*(1+MAT.SURCHARGE)/EXC.RATE_2,C992*(1-I992)*(1-ADD.DISCOUNT)*(1+MAT.SURCHARGE)*EXC.RATE_2),CURRENCY.FORMAT_2),CURRENCY.FORMAT_2,1),"# ##0;-# ##0"),",-"),FIXED(ROUND(IF(EXC.RATE.SWITCH=1,C992*(1-I992)*(1-ADD.DISCOUNT)*(1+MAT.SURCHARGE)/EXC.RATE_2,C992*(1-I992)*(1-ADD.DISCOUNT)*(1+MAT.SURCHARGE)*EXC.RATE_2),CURRENCY.FORMAT_2),CURRENCY.FORMAT_2,0)),'DICTIONARY-5'!$A$2))</f>
        <v/>
      </c>
      <c r="N992" s="542">
        <v>4</v>
      </c>
      <c r="O992" s="542"/>
      <c r="P992" s="731" t="str">
        <f>'DICTIONARY-3'!$A$57</f>
        <v>HOD-G</v>
      </c>
      <c r="Q992" s="732" t="str">
        <f>'DICTIONARY-3'!$A$196</f>
        <v>Mostek nawiertowy</v>
      </c>
      <c r="R992" s="732" t="str">
        <f>CONCATENATE('DICTIONARY-3'!$A$55,'DICTIONARY-3'!$A$74," ",'DICTIONARY-6'!$A$21," ",'DICTIONARY-2'!$A$2,"200"," ",'DICTIONARY-2'!$A$5,"216-225 G1"," ",'DICTIONARY-6'!$A$60,", ",'DICTIONARY-6'!$A$76," ",'DICTIONARY-5'!$A$49)</f>
        <v>HOD-G511 Mostek nawiert. DN200 Da216-225 G1 z zasuwa mosiężna, ruroc. ŻEL.</v>
      </c>
      <c r="S992" s="733" t="str">
        <f>'DICTIONARY-4'!$A$2</f>
        <v>WW</v>
      </c>
      <c r="T992" s="732" t="str">
        <f>'DICTIONARY-4'!$A$18</f>
        <v>Wolny wałek</v>
      </c>
      <c r="U992" s="734" t="s">
        <v>5750</v>
      </c>
      <c r="V992" s="735"/>
      <c r="W992" s="744" t="s">
        <v>5767</v>
      </c>
      <c r="X992" s="750" t="s">
        <v>49</v>
      </c>
      <c r="Y992" s="738"/>
      <c r="Z992" s="739"/>
      <c r="AA992" s="739"/>
      <c r="AB992" s="740">
        <v>16</v>
      </c>
      <c r="AC992" s="741"/>
      <c r="AD992" s="741" t="str">
        <f>'DICTIONARY-5'!$A$13</f>
        <v>woda pitna</v>
      </c>
      <c r="AE992" s="742">
        <v>50</v>
      </c>
      <c r="AF992" s="743">
        <v>6.3</v>
      </c>
      <c r="AG992" s="741" t="str">
        <f>'DICTIONARY-5'!$A$23</f>
        <v>powłoka epoksydowa</v>
      </c>
    </row>
    <row r="993" spans="1:33" x14ac:dyDescent="0.25">
      <c r="A993" s="856" t="s">
        <v>931</v>
      </c>
      <c r="B993" s="856" t="s">
        <v>4140</v>
      </c>
      <c r="C993" s="836">
        <v>156</v>
      </c>
      <c r="D993" s="836"/>
      <c r="E993" s="836"/>
      <c r="F993" s="836"/>
      <c r="G993" s="496" t="s">
        <v>7812</v>
      </c>
      <c r="H993" s="797" t="str">
        <f>VLOOKUP(G993,SETTINGS!$B$7:$D$97,2,0)</f>
        <v>HOD</v>
      </c>
      <c r="I993" s="796">
        <f>VLOOKUP(G993,SETTINGS!$B$7:$D$97,3,0)</f>
        <v>0</v>
      </c>
      <c r="J993" s="670" t="str">
        <f>IFERROR(IF(CURRENCY.FORMAT_1=0,CONCATENATE(TEXT(FIXED(ROUND((C993/EXC.RATE_1),CURRENCY.FORMAT_1),CURRENCY.FORMAT_1,1),"# ##0;-# ##0"),",-"),FIXED(ROUND((C993/EXC.RATE_1),CURRENCY.FORMAT_1),CURRENCY.FORMAT_1,0)),'DICTIONARY-5'!$A$2)</f>
        <v>156,-</v>
      </c>
      <c r="K993" s="670" t="str">
        <f>IF(EXC.RATE_2=0,"",IFERROR(IF(CURRENCY.FORMAT_2=0,CONCATENATE(TEXT(FIXED(ROUND(IF(EXC.RATE.SWITCH=1,C993/EXC.RATE_2,C993*EXC.RATE_2),CURRENCY.FORMAT_2),CURRENCY.FORMAT_2,1),"# ##0;-# ##0"),",-"),FIXED(ROUND(IF(EXC.RATE.SWITCH=1,C993/EXC.RATE_2,C993*EXC.RATE_2),CURRENCY.FORMAT_2),CURRENCY.FORMAT_2,0)),'DICTIONARY-5'!$A$2))</f>
        <v/>
      </c>
      <c r="L993" s="670" t="str">
        <f>IFERROR(IF(CURRENCY.FORMAT_1=0,CONCATENATE(TEXT(FIXED(ROUND((C993*(1-I993)*(1-ADD.DISCOUNT)*(1+MAT.SURCHARGE)/EXC.RATE_1),CURRENCY.FORMAT_1),CURRENCY.FORMAT_1,1),"# ##0;-# ##0"),",-"),FIXED(ROUND((C993*(1-I993)*(1-ADD.DISCOUNT)*(1+MAT.SURCHARGE)/EXC.RATE_1),CURRENCY.FORMAT_1),CURRENCY.FORMAT_1,0)),'DICTIONARY-5'!$A$2)</f>
        <v>162,-</v>
      </c>
      <c r="M993" s="670" t="str">
        <f>IF(EXC.RATE_2=0,"",IFERROR(IF(CURRENCY.FORMAT_2=0,CONCATENATE(TEXT(FIXED(ROUND(IF(EXC.RATE.SWITCH=1,C993*(1-I993)*(1-ADD.DISCOUNT)*(1+MAT.SURCHARGE)/EXC.RATE_2,C993*(1-I993)*(1-ADD.DISCOUNT)*(1+MAT.SURCHARGE)*EXC.RATE_2),CURRENCY.FORMAT_2),CURRENCY.FORMAT_2,1),"# ##0;-# ##0"),",-"),FIXED(ROUND(IF(EXC.RATE.SWITCH=1,C993*(1-I993)*(1-ADD.DISCOUNT)*(1+MAT.SURCHARGE)/EXC.RATE_2,C993*(1-I993)*(1-ADD.DISCOUNT)*(1+MAT.SURCHARGE)*EXC.RATE_2),CURRENCY.FORMAT_2),CURRENCY.FORMAT_2,0)),'DICTIONARY-5'!$A$2))</f>
        <v/>
      </c>
      <c r="N993" s="542">
        <v>4</v>
      </c>
      <c r="O993" s="542"/>
      <c r="P993" s="731" t="str">
        <f>'DICTIONARY-3'!$A$57</f>
        <v>HOD-G</v>
      </c>
      <c r="Q993" s="732" t="str">
        <f>'DICTIONARY-3'!$A$196</f>
        <v>Mostek nawiertowy</v>
      </c>
      <c r="R993" s="732" t="str">
        <f>CONCATENATE('DICTIONARY-3'!$A$55,'DICTIONARY-3'!$A$74," ",'DICTIONARY-6'!$A$21," ",'DICTIONARY-2'!$A$2,"80"," ",'DICTIONARY-2'!$A$5,"94-99 G1¼"," ",'DICTIONARY-6'!$A$60,", ",'DICTIONARY-6'!$A$76," ",'DICTIONARY-5'!$A$49)</f>
        <v>HOD-G511 Mostek nawiert. DN80 Da94-99 G1¼ z zasuwa mosiężna, ruroc. ŻEL.</v>
      </c>
      <c r="S993" s="733" t="str">
        <f>'DICTIONARY-4'!$A$2</f>
        <v>WW</v>
      </c>
      <c r="T993" s="732" t="str">
        <f>'DICTIONARY-4'!$A$18</f>
        <v>Wolny wałek</v>
      </c>
      <c r="U993" s="734" t="s">
        <v>5760</v>
      </c>
      <c r="V993" s="735"/>
      <c r="W993" s="744" t="s">
        <v>5764</v>
      </c>
      <c r="X993" s="750" t="s">
        <v>5740</v>
      </c>
      <c r="Y993" s="738"/>
      <c r="Z993" s="739"/>
      <c r="AA993" s="739"/>
      <c r="AB993" s="740">
        <v>16</v>
      </c>
      <c r="AC993" s="741"/>
      <c r="AD993" s="741" t="str">
        <f>'DICTIONARY-5'!$A$13</f>
        <v>woda pitna</v>
      </c>
      <c r="AE993" s="742">
        <v>50</v>
      </c>
      <c r="AF993" s="743">
        <v>4.4000000000000004</v>
      </c>
      <c r="AG993" s="741" t="str">
        <f>'DICTIONARY-5'!$A$23</f>
        <v>powłoka epoksydowa</v>
      </c>
    </row>
    <row r="994" spans="1:33" x14ac:dyDescent="0.25">
      <c r="A994" s="856" t="s">
        <v>933</v>
      </c>
      <c r="B994" s="856" t="s">
        <v>4141</v>
      </c>
      <c r="C994" s="836">
        <v>134</v>
      </c>
      <c r="D994" s="836"/>
      <c r="E994" s="836"/>
      <c r="F994" s="836"/>
      <c r="G994" s="496" t="s">
        <v>7812</v>
      </c>
      <c r="H994" s="797" t="str">
        <f>VLOOKUP(G994,SETTINGS!$B$7:$D$97,2,0)</f>
        <v>HOD</v>
      </c>
      <c r="I994" s="796">
        <f>VLOOKUP(G994,SETTINGS!$B$7:$D$97,3,0)</f>
        <v>0</v>
      </c>
      <c r="J994" s="670" t="str">
        <f>IFERROR(IF(CURRENCY.FORMAT_1=0,CONCATENATE(TEXT(FIXED(ROUND((C994/EXC.RATE_1),CURRENCY.FORMAT_1),CURRENCY.FORMAT_1,1),"# ##0;-# ##0"),",-"),FIXED(ROUND((C994/EXC.RATE_1),CURRENCY.FORMAT_1),CURRENCY.FORMAT_1,0)),'DICTIONARY-5'!$A$2)</f>
        <v>134,-</v>
      </c>
      <c r="K994" s="670" t="str">
        <f>IF(EXC.RATE_2=0,"",IFERROR(IF(CURRENCY.FORMAT_2=0,CONCATENATE(TEXT(FIXED(ROUND(IF(EXC.RATE.SWITCH=1,C994/EXC.RATE_2,C994*EXC.RATE_2),CURRENCY.FORMAT_2),CURRENCY.FORMAT_2,1),"# ##0;-# ##0"),",-"),FIXED(ROUND(IF(EXC.RATE.SWITCH=1,C994/EXC.RATE_2,C994*EXC.RATE_2),CURRENCY.FORMAT_2),CURRENCY.FORMAT_2,0)),'DICTIONARY-5'!$A$2))</f>
        <v/>
      </c>
      <c r="L994" s="670" t="str">
        <f>IFERROR(IF(CURRENCY.FORMAT_1=0,CONCATENATE(TEXT(FIXED(ROUND((C994*(1-I994)*(1-ADD.DISCOUNT)*(1+MAT.SURCHARGE)/EXC.RATE_1),CURRENCY.FORMAT_1),CURRENCY.FORMAT_1,1),"# ##0;-# ##0"),",-"),FIXED(ROUND((C994*(1-I994)*(1-ADD.DISCOUNT)*(1+MAT.SURCHARGE)/EXC.RATE_1),CURRENCY.FORMAT_1),CURRENCY.FORMAT_1,0)),'DICTIONARY-5'!$A$2)</f>
        <v>139,-</v>
      </c>
      <c r="M994" s="670" t="str">
        <f>IF(EXC.RATE_2=0,"",IFERROR(IF(CURRENCY.FORMAT_2=0,CONCATENATE(TEXT(FIXED(ROUND(IF(EXC.RATE.SWITCH=1,C994*(1-I994)*(1-ADD.DISCOUNT)*(1+MAT.SURCHARGE)/EXC.RATE_2,C994*(1-I994)*(1-ADD.DISCOUNT)*(1+MAT.SURCHARGE)*EXC.RATE_2),CURRENCY.FORMAT_2),CURRENCY.FORMAT_2,1),"# ##0;-# ##0"),",-"),FIXED(ROUND(IF(EXC.RATE.SWITCH=1,C994*(1-I994)*(1-ADD.DISCOUNT)*(1+MAT.SURCHARGE)/EXC.RATE_2,C994*(1-I994)*(1-ADD.DISCOUNT)*(1+MAT.SURCHARGE)*EXC.RATE_2),CURRENCY.FORMAT_2),CURRENCY.FORMAT_2,0)),'DICTIONARY-5'!$A$2))</f>
        <v/>
      </c>
      <c r="N994" s="542">
        <v>4</v>
      </c>
      <c r="O994" s="542"/>
      <c r="P994" s="731" t="str">
        <f>'DICTIONARY-3'!$A$57</f>
        <v>HOD-G</v>
      </c>
      <c r="Q994" s="732" t="str">
        <f>'DICTIONARY-3'!$A$196</f>
        <v>Mostek nawiertowy</v>
      </c>
      <c r="R994" s="732" t="str">
        <f>CONCATENATE('DICTIONARY-3'!$A$55,'DICTIONARY-3'!$A$74," ",'DICTIONARY-6'!$A$21," ",'DICTIONARY-2'!$A$2,"100"," ",'DICTIONARY-2'!$A$5,"114-121 G1¼"," ",'DICTIONARY-6'!$A$60,", ",'DICTIONARY-6'!$A$76," ",'DICTIONARY-5'!$A$49)</f>
        <v>HOD-G511 Mostek nawiert. DN100 Da114-121 G1¼ z zasuwa mosiężna, ruroc. ŻEL.</v>
      </c>
      <c r="S994" s="733" t="str">
        <f>'DICTIONARY-4'!$A$2</f>
        <v>WW</v>
      </c>
      <c r="T994" s="732" t="str">
        <f>'DICTIONARY-4'!$A$18</f>
        <v>Wolny wałek</v>
      </c>
      <c r="U994" s="734" t="s">
        <v>5749</v>
      </c>
      <c r="V994" s="735"/>
      <c r="W994" s="744" t="s">
        <v>5765</v>
      </c>
      <c r="X994" s="737" t="s">
        <v>5740</v>
      </c>
      <c r="Y994" s="738"/>
      <c r="Z994" s="739"/>
      <c r="AA994" s="739"/>
      <c r="AB994" s="740">
        <v>16</v>
      </c>
      <c r="AC994" s="741"/>
      <c r="AD994" s="741" t="str">
        <f>'DICTIONARY-5'!$A$13</f>
        <v>woda pitna</v>
      </c>
      <c r="AE994" s="742">
        <v>50</v>
      </c>
      <c r="AF994" s="743">
        <v>4.7</v>
      </c>
      <c r="AG994" s="741" t="str">
        <f>'DICTIONARY-5'!$A$23</f>
        <v>powłoka epoksydowa</v>
      </c>
    </row>
    <row r="995" spans="1:33" x14ac:dyDescent="0.25">
      <c r="A995" s="856" t="s">
        <v>935</v>
      </c>
      <c r="B995" s="856" t="s">
        <v>4142</v>
      </c>
      <c r="C995" s="836">
        <v>161</v>
      </c>
      <c r="D995" s="836"/>
      <c r="E995" s="836"/>
      <c r="F995" s="836"/>
      <c r="G995" s="496" t="s">
        <v>7812</v>
      </c>
      <c r="H995" s="797" t="str">
        <f>VLOOKUP(G995,SETTINGS!$B$7:$D$97,2,0)</f>
        <v>HOD</v>
      </c>
      <c r="I995" s="796">
        <f>VLOOKUP(G995,SETTINGS!$B$7:$D$97,3,0)</f>
        <v>0</v>
      </c>
      <c r="J995" s="670" t="str">
        <f>IFERROR(IF(CURRENCY.FORMAT_1=0,CONCATENATE(TEXT(FIXED(ROUND((C995/EXC.RATE_1),CURRENCY.FORMAT_1),CURRENCY.FORMAT_1,1),"# ##0;-# ##0"),",-"),FIXED(ROUND((C995/EXC.RATE_1),CURRENCY.FORMAT_1),CURRENCY.FORMAT_1,0)),'DICTIONARY-5'!$A$2)</f>
        <v>161,-</v>
      </c>
      <c r="K995" s="670" t="str">
        <f>IF(EXC.RATE_2=0,"",IFERROR(IF(CURRENCY.FORMAT_2=0,CONCATENATE(TEXT(FIXED(ROUND(IF(EXC.RATE.SWITCH=1,C995/EXC.RATE_2,C995*EXC.RATE_2),CURRENCY.FORMAT_2),CURRENCY.FORMAT_2,1),"# ##0;-# ##0"),",-"),FIXED(ROUND(IF(EXC.RATE.SWITCH=1,C995/EXC.RATE_2,C995*EXC.RATE_2),CURRENCY.FORMAT_2),CURRENCY.FORMAT_2,0)),'DICTIONARY-5'!$A$2))</f>
        <v/>
      </c>
      <c r="L995" s="670" t="str">
        <f>IFERROR(IF(CURRENCY.FORMAT_1=0,CONCATENATE(TEXT(FIXED(ROUND((C995*(1-I995)*(1-ADD.DISCOUNT)*(1+MAT.SURCHARGE)/EXC.RATE_1),CURRENCY.FORMAT_1),CURRENCY.FORMAT_1,1),"# ##0;-# ##0"),",-"),FIXED(ROUND((C995*(1-I995)*(1-ADD.DISCOUNT)*(1+MAT.SURCHARGE)/EXC.RATE_1),CURRENCY.FORMAT_1),CURRENCY.FORMAT_1,0)),'DICTIONARY-5'!$A$2)</f>
        <v>167,-</v>
      </c>
      <c r="M995" s="670" t="str">
        <f>IF(EXC.RATE_2=0,"",IFERROR(IF(CURRENCY.FORMAT_2=0,CONCATENATE(TEXT(FIXED(ROUND(IF(EXC.RATE.SWITCH=1,C995*(1-I995)*(1-ADD.DISCOUNT)*(1+MAT.SURCHARGE)/EXC.RATE_2,C995*(1-I995)*(1-ADD.DISCOUNT)*(1+MAT.SURCHARGE)*EXC.RATE_2),CURRENCY.FORMAT_2),CURRENCY.FORMAT_2,1),"# ##0;-# ##0"),",-"),FIXED(ROUND(IF(EXC.RATE.SWITCH=1,C995*(1-I995)*(1-ADD.DISCOUNT)*(1+MAT.SURCHARGE)/EXC.RATE_2,C995*(1-I995)*(1-ADD.DISCOUNT)*(1+MAT.SURCHARGE)*EXC.RATE_2),CURRENCY.FORMAT_2),CURRENCY.FORMAT_2,0)),'DICTIONARY-5'!$A$2))</f>
        <v/>
      </c>
      <c r="N995" s="542">
        <v>4</v>
      </c>
      <c r="O995" s="542"/>
      <c r="P995" s="731" t="str">
        <f>'DICTIONARY-3'!$A$57</f>
        <v>HOD-G</v>
      </c>
      <c r="Q995" s="732" t="str">
        <f>'DICTIONARY-3'!$A$196</f>
        <v>Mostek nawiertowy</v>
      </c>
      <c r="R995" s="732" t="str">
        <f>CONCATENATE('DICTIONARY-3'!$A$55,'DICTIONARY-3'!$A$74," ",'DICTIONARY-6'!$A$21," ",'DICTIONARY-2'!$A$2,"150"," ",'DICTIONARY-2'!$A$5,"167-172 G1¼"," ",'DICTIONARY-6'!$A$60,", ",'DICTIONARY-6'!$A$76," ",'DICTIONARY-5'!$A$49)</f>
        <v>HOD-G511 Mostek nawiert. DN150 Da167-172 G1¼ z zasuwa mosiężna, ruroc. ŻEL.</v>
      </c>
      <c r="S995" s="733" t="str">
        <f>'DICTIONARY-4'!$A$2</f>
        <v>WW</v>
      </c>
      <c r="T995" s="732" t="str">
        <f>'DICTIONARY-4'!$A$18</f>
        <v>Wolny wałek</v>
      </c>
      <c r="U995" s="734" t="s">
        <v>5572</v>
      </c>
      <c r="V995" s="735"/>
      <c r="W995" s="744" t="s">
        <v>5766</v>
      </c>
      <c r="X995" s="737" t="s">
        <v>5740</v>
      </c>
      <c r="Y995" s="738"/>
      <c r="Z995" s="739"/>
      <c r="AA995" s="739"/>
      <c r="AB995" s="740">
        <v>16</v>
      </c>
      <c r="AC995" s="741"/>
      <c r="AD995" s="741" t="str">
        <f>'DICTIONARY-5'!$A$13</f>
        <v>woda pitna</v>
      </c>
      <c r="AE995" s="742">
        <v>50</v>
      </c>
      <c r="AF995" s="743">
        <v>5</v>
      </c>
      <c r="AG995" s="741" t="str">
        <f>'DICTIONARY-5'!$A$23</f>
        <v>powłoka epoksydowa</v>
      </c>
    </row>
    <row r="996" spans="1:33" x14ac:dyDescent="0.25">
      <c r="A996" s="856" t="s">
        <v>937</v>
      </c>
      <c r="B996" s="856" t="s">
        <v>4143</v>
      </c>
      <c r="C996" s="857">
        <v>222</v>
      </c>
      <c r="D996" s="836"/>
      <c r="E996" s="857"/>
      <c r="F996" s="836"/>
      <c r="G996" s="496" t="s">
        <v>7812</v>
      </c>
      <c r="H996" s="797" t="str">
        <f>VLOOKUP(G996,SETTINGS!$B$7:$D$97,2,0)</f>
        <v>HOD</v>
      </c>
      <c r="I996" s="796">
        <f>VLOOKUP(G996,SETTINGS!$B$7:$D$97,3,0)</f>
        <v>0</v>
      </c>
      <c r="J996" s="670" t="str">
        <f>IFERROR(IF(CURRENCY.FORMAT_1=0,CONCATENATE(TEXT(FIXED(ROUND((C996/EXC.RATE_1),CURRENCY.FORMAT_1),CURRENCY.FORMAT_1,1),"# ##0;-# ##0"),",-"),FIXED(ROUND((C996/EXC.RATE_1),CURRENCY.FORMAT_1),CURRENCY.FORMAT_1,0)),'DICTIONARY-5'!$A$2)</f>
        <v>222,-</v>
      </c>
      <c r="K996" s="670" t="str">
        <f>IF(EXC.RATE_2=0,"",IFERROR(IF(CURRENCY.FORMAT_2=0,CONCATENATE(TEXT(FIXED(ROUND(IF(EXC.RATE.SWITCH=1,C996/EXC.RATE_2,C996*EXC.RATE_2),CURRENCY.FORMAT_2),CURRENCY.FORMAT_2,1),"# ##0;-# ##0"),",-"),FIXED(ROUND(IF(EXC.RATE.SWITCH=1,C996/EXC.RATE_2,C996*EXC.RATE_2),CURRENCY.FORMAT_2),CURRENCY.FORMAT_2,0)),'DICTIONARY-5'!$A$2))</f>
        <v/>
      </c>
      <c r="L996" s="670" t="str">
        <f>IFERROR(IF(CURRENCY.FORMAT_1=0,CONCATENATE(TEXT(FIXED(ROUND((C996*(1-I996)*(1-ADD.DISCOUNT)*(1+MAT.SURCHARGE)/EXC.RATE_1),CURRENCY.FORMAT_1),CURRENCY.FORMAT_1,1),"# ##0;-# ##0"),",-"),FIXED(ROUND((C996*(1-I996)*(1-ADD.DISCOUNT)*(1+MAT.SURCHARGE)/EXC.RATE_1),CURRENCY.FORMAT_1),CURRENCY.FORMAT_1,0)),'DICTIONARY-5'!$A$2)</f>
        <v>231,-</v>
      </c>
      <c r="M996" s="670" t="str">
        <f>IF(EXC.RATE_2=0,"",IFERROR(IF(CURRENCY.FORMAT_2=0,CONCATENATE(TEXT(FIXED(ROUND(IF(EXC.RATE.SWITCH=1,C996*(1-I996)*(1-ADD.DISCOUNT)*(1+MAT.SURCHARGE)/EXC.RATE_2,C996*(1-I996)*(1-ADD.DISCOUNT)*(1+MAT.SURCHARGE)*EXC.RATE_2),CURRENCY.FORMAT_2),CURRENCY.FORMAT_2,1),"# ##0;-# ##0"),",-"),FIXED(ROUND(IF(EXC.RATE.SWITCH=1,C996*(1-I996)*(1-ADD.DISCOUNT)*(1+MAT.SURCHARGE)/EXC.RATE_2,C996*(1-I996)*(1-ADD.DISCOUNT)*(1+MAT.SURCHARGE)*EXC.RATE_2),CURRENCY.FORMAT_2),CURRENCY.FORMAT_2,0)),'DICTIONARY-5'!$A$2))</f>
        <v/>
      </c>
      <c r="N996" s="542">
        <v>4</v>
      </c>
      <c r="O996" s="542"/>
      <c r="P996" s="731" t="str">
        <f>'DICTIONARY-3'!$A$57</f>
        <v>HOD-G</v>
      </c>
      <c r="Q996" s="732" t="str">
        <f>'DICTIONARY-3'!$A$196</f>
        <v>Mostek nawiertowy</v>
      </c>
      <c r="R996" s="732" t="str">
        <f>CONCATENATE('DICTIONARY-3'!$A$55,'DICTIONARY-3'!$A$74," ",'DICTIONARY-6'!$A$21," ",'DICTIONARY-2'!$A$2,"200"," ",'DICTIONARY-2'!$A$5,"216-225 G1¼"," ",'DICTIONARY-6'!$A$60,", ",'DICTIONARY-6'!$A$76," ",'DICTIONARY-5'!$A$49)</f>
        <v>HOD-G511 Mostek nawiert. DN200 Da216-225 G1¼ z zasuwa mosiężna, ruroc. ŻEL.</v>
      </c>
      <c r="S996" s="733" t="str">
        <f>'DICTIONARY-4'!$A$2</f>
        <v>WW</v>
      </c>
      <c r="T996" s="732" t="str">
        <f>'DICTIONARY-4'!$A$18</f>
        <v>Wolny wałek</v>
      </c>
      <c r="U996" s="734" t="s">
        <v>5750</v>
      </c>
      <c r="V996" s="735"/>
      <c r="W996" s="744" t="s">
        <v>5767</v>
      </c>
      <c r="X996" s="737" t="s">
        <v>5740</v>
      </c>
      <c r="Y996" s="738"/>
      <c r="Z996" s="739"/>
      <c r="AA996" s="739"/>
      <c r="AB996" s="740">
        <v>16</v>
      </c>
      <c r="AC996" s="741"/>
      <c r="AD996" s="741" t="str">
        <f>'DICTIONARY-5'!$A$13</f>
        <v>woda pitna</v>
      </c>
      <c r="AE996" s="742">
        <v>50</v>
      </c>
      <c r="AF996" s="743">
        <v>6</v>
      </c>
      <c r="AG996" s="741" t="str">
        <f>'DICTIONARY-5'!$A$23</f>
        <v>powłoka epoksydowa</v>
      </c>
    </row>
    <row r="997" spans="1:33" x14ac:dyDescent="0.25">
      <c r="A997" s="856" t="s">
        <v>938</v>
      </c>
      <c r="B997" s="856" t="s">
        <v>4080</v>
      </c>
      <c r="C997" s="836">
        <v>194</v>
      </c>
      <c r="D997" s="836"/>
      <c r="E997" s="836"/>
      <c r="F997" s="836"/>
      <c r="G997" s="496" t="s">
        <v>7812</v>
      </c>
      <c r="H997" s="797" t="str">
        <f>VLOOKUP(G997,SETTINGS!$B$7:$D$97,2,0)</f>
        <v>HOD</v>
      </c>
      <c r="I997" s="796">
        <f>VLOOKUP(G997,SETTINGS!$B$7:$D$97,3,0)</f>
        <v>0</v>
      </c>
      <c r="J997" s="670" t="str">
        <f>IFERROR(IF(CURRENCY.FORMAT_1=0,CONCATENATE(TEXT(FIXED(ROUND((C997/EXC.RATE_1),CURRENCY.FORMAT_1),CURRENCY.FORMAT_1,1),"# ##0;-# ##0"),",-"),FIXED(ROUND((C997/EXC.RATE_1),CURRENCY.FORMAT_1),CURRENCY.FORMAT_1,0)),'DICTIONARY-5'!$A$2)</f>
        <v>194,-</v>
      </c>
      <c r="K997" s="670" t="str">
        <f>IF(EXC.RATE_2=0,"",IFERROR(IF(CURRENCY.FORMAT_2=0,CONCATENATE(TEXT(FIXED(ROUND(IF(EXC.RATE.SWITCH=1,C997/EXC.RATE_2,C997*EXC.RATE_2),CURRENCY.FORMAT_2),CURRENCY.FORMAT_2,1),"# ##0;-# ##0"),",-"),FIXED(ROUND(IF(EXC.RATE.SWITCH=1,C997/EXC.RATE_2,C997*EXC.RATE_2),CURRENCY.FORMAT_2),CURRENCY.FORMAT_2,0)),'DICTIONARY-5'!$A$2))</f>
        <v/>
      </c>
      <c r="L997" s="670" t="str">
        <f>IFERROR(IF(CURRENCY.FORMAT_1=0,CONCATENATE(TEXT(FIXED(ROUND((C997*(1-I997)*(1-ADD.DISCOUNT)*(1+MAT.SURCHARGE)/EXC.RATE_1),CURRENCY.FORMAT_1),CURRENCY.FORMAT_1,1),"# ##0;-# ##0"),",-"),FIXED(ROUND((C997*(1-I997)*(1-ADD.DISCOUNT)*(1+MAT.SURCHARGE)/EXC.RATE_1),CURRENCY.FORMAT_1),CURRENCY.FORMAT_1,0)),'DICTIONARY-5'!$A$2)</f>
        <v>202,-</v>
      </c>
      <c r="M997" s="670" t="str">
        <f>IF(EXC.RATE_2=0,"",IFERROR(IF(CURRENCY.FORMAT_2=0,CONCATENATE(TEXT(FIXED(ROUND(IF(EXC.RATE.SWITCH=1,C997*(1-I997)*(1-ADD.DISCOUNT)*(1+MAT.SURCHARGE)/EXC.RATE_2,C997*(1-I997)*(1-ADD.DISCOUNT)*(1+MAT.SURCHARGE)*EXC.RATE_2),CURRENCY.FORMAT_2),CURRENCY.FORMAT_2,1),"# ##0;-# ##0"),",-"),FIXED(ROUND(IF(EXC.RATE.SWITCH=1,C997*(1-I997)*(1-ADD.DISCOUNT)*(1+MAT.SURCHARGE)/EXC.RATE_2,C997*(1-I997)*(1-ADD.DISCOUNT)*(1+MAT.SURCHARGE)*EXC.RATE_2),CURRENCY.FORMAT_2),CURRENCY.FORMAT_2,0)),'DICTIONARY-5'!$A$2))</f>
        <v/>
      </c>
      <c r="N997" s="542">
        <v>4</v>
      </c>
      <c r="O997" s="542"/>
      <c r="P997" s="731" t="str">
        <f>'DICTIONARY-3'!$A$57</f>
        <v>HOD-G</v>
      </c>
      <c r="Q997" s="732" t="str">
        <f>'DICTIONARY-3'!$A$196</f>
        <v>Mostek nawiertowy</v>
      </c>
      <c r="R997" s="732" t="str">
        <f>CONCATENATE('DICTIONARY-3'!$A$55,'DICTIONARY-3'!$A$73," ",'DICTIONARY-6'!$A$21," ",'DICTIONARY-2'!$A$2,"80"," ",'DICTIONARY-2'!$A$5,"94-99 G1"," ",'DICTIONARY-6'!$A$61,", ",'DICTIONARY-6'!$A$76," ",'DICTIONARY-5'!$A$49)</f>
        <v>HOD-G503 Mostek nawiert. DN80 Da94-99 G1 z zasuwa, ruroc. ŻEL.</v>
      </c>
      <c r="S997" s="733" t="str">
        <f>'DICTIONARY-4'!$A$2</f>
        <v>WW</v>
      </c>
      <c r="T997" s="732" t="str">
        <f>'DICTIONARY-4'!$A$18</f>
        <v>Wolny wałek</v>
      </c>
      <c r="U997" s="734" t="s">
        <v>5760</v>
      </c>
      <c r="V997" s="735"/>
      <c r="W997" s="744" t="s">
        <v>5764</v>
      </c>
      <c r="X997" s="750" t="s">
        <v>49</v>
      </c>
      <c r="Y997" s="738"/>
      <c r="Z997" s="739"/>
      <c r="AA997" s="739"/>
      <c r="AB997" s="740">
        <v>16</v>
      </c>
      <c r="AC997" s="741"/>
      <c r="AD997" s="741" t="str">
        <f>'DICTIONARY-5'!$A$13</f>
        <v>woda pitna</v>
      </c>
      <c r="AE997" s="742">
        <v>50</v>
      </c>
      <c r="AF997" s="743">
        <v>6.45</v>
      </c>
      <c r="AG997" s="741" t="str">
        <f>'DICTIONARY-5'!$A$23</f>
        <v>powłoka epoksydowa</v>
      </c>
    </row>
    <row r="998" spans="1:33" x14ac:dyDescent="0.25">
      <c r="A998" s="856" t="s">
        <v>940</v>
      </c>
      <c r="B998" s="856" t="s">
        <v>4081</v>
      </c>
      <c r="C998" s="836">
        <v>170</v>
      </c>
      <c r="D998" s="836"/>
      <c r="E998" s="836"/>
      <c r="F998" s="836"/>
      <c r="G998" s="496" t="s">
        <v>7812</v>
      </c>
      <c r="H998" s="797" t="str">
        <f>VLOOKUP(G998,SETTINGS!$B$7:$D$97,2,0)</f>
        <v>HOD</v>
      </c>
      <c r="I998" s="796">
        <f>VLOOKUP(G998,SETTINGS!$B$7:$D$97,3,0)</f>
        <v>0</v>
      </c>
      <c r="J998" s="670" t="str">
        <f>IFERROR(IF(CURRENCY.FORMAT_1=0,CONCATENATE(TEXT(FIXED(ROUND((C998/EXC.RATE_1),CURRENCY.FORMAT_1),CURRENCY.FORMAT_1,1),"# ##0;-# ##0"),",-"),FIXED(ROUND((C998/EXC.RATE_1),CURRENCY.FORMAT_1),CURRENCY.FORMAT_1,0)),'DICTIONARY-5'!$A$2)</f>
        <v>170,-</v>
      </c>
      <c r="K998" s="670" t="str">
        <f>IF(EXC.RATE_2=0,"",IFERROR(IF(CURRENCY.FORMAT_2=0,CONCATENATE(TEXT(FIXED(ROUND(IF(EXC.RATE.SWITCH=1,C998/EXC.RATE_2,C998*EXC.RATE_2),CURRENCY.FORMAT_2),CURRENCY.FORMAT_2,1),"# ##0;-# ##0"),",-"),FIXED(ROUND(IF(EXC.RATE.SWITCH=1,C998/EXC.RATE_2,C998*EXC.RATE_2),CURRENCY.FORMAT_2),CURRENCY.FORMAT_2,0)),'DICTIONARY-5'!$A$2))</f>
        <v/>
      </c>
      <c r="L998" s="670" t="str">
        <f>IFERROR(IF(CURRENCY.FORMAT_1=0,CONCATENATE(TEXT(FIXED(ROUND((C998*(1-I998)*(1-ADD.DISCOUNT)*(1+MAT.SURCHARGE)/EXC.RATE_1),CURRENCY.FORMAT_1),CURRENCY.FORMAT_1,1),"# ##0;-# ##0"),",-"),FIXED(ROUND((C998*(1-I998)*(1-ADD.DISCOUNT)*(1+MAT.SURCHARGE)/EXC.RATE_1),CURRENCY.FORMAT_1),CURRENCY.FORMAT_1,0)),'DICTIONARY-5'!$A$2)</f>
        <v>177,-</v>
      </c>
      <c r="M998" s="670" t="str">
        <f>IF(EXC.RATE_2=0,"",IFERROR(IF(CURRENCY.FORMAT_2=0,CONCATENATE(TEXT(FIXED(ROUND(IF(EXC.RATE.SWITCH=1,C998*(1-I998)*(1-ADD.DISCOUNT)*(1+MAT.SURCHARGE)/EXC.RATE_2,C998*(1-I998)*(1-ADD.DISCOUNT)*(1+MAT.SURCHARGE)*EXC.RATE_2),CURRENCY.FORMAT_2),CURRENCY.FORMAT_2,1),"# ##0;-# ##0"),",-"),FIXED(ROUND(IF(EXC.RATE.SWITCH=1,C998*(1-I998)*(1-ADD.DISCOUNT)*(1+MAT.SURCHARGE)/EXC.RATE_2,C998*(1-I998)*(1-ADD.DISCOUNT)*(1+MAT.SURCHARGE)*EXC.RATE_2),CURRENCY.FORMAT_2),CURRENCY.FORMAT_2,0)),'DICTIONARY-5'!$A$2))</f>
        <v/>
      </c>
      <c r="N998" s="542">
        <v>4</v>
      </c>
      <c r="O998" s="542"/>
      <c r="P998" s="731" t="str">
        <f>'DICTIONARY-3'!$A$57</f>
        <v>HOD-G</v>
      </c>
      <c r="Q998" s="732" t="str">
        <f>'DICTIONARY-3'!$A$196</f>
        <v>Mostek nawiertowy</v>
      </c>
      <c r="R998" s="732" t="str">
        <f>CONCATENATE('DICTIONARY-3'!$A$55,'DICTIONARY-3'!$A$73," ",'DICTIONARY-6'!$A$21," ",'DICTIONARY-2'!$A$2,"100"," ",'DICTIONARY-2'!$A$5,"114-121 G1"," ",'DICTIONARY-6'!$A$61,", ",'DICTIONARY-6'!$A$76," ",'DICTIONARY-5'!$A$49)</f>
        <v>HOD-G503 Mostek nawiert. DN100 Da114-121 G1 z zasuwa, ruroc. ŻEL.</v>
      </c>
      <c r="S998" s="733" t="str">
        <f>'DICTIONARY-4'!$A$2</f>
        <v>WW</v>
      </c>
      <c r="T998" s="732" t="str">
        <f>'DICTIONARY-4'!$A$18</f>
        <v>Wolny wałek</v>
      </c>
      <c r="U998" s="734" t="s">
        <v>5749</v>
      </c>
      <c r="V998" s="735"/>
      <c r="W998" s="744" t="s">
        <v>5765</v>
      </c>
      <c r="X998" s="750" t="s">
        <v>49</v>
      </c>
      <c r="Y998" s="738"/>
      <c r="Z998" s="739"/>
      <c r="AA998" s="739"/>
      <c r="AB998" s="740">
        <v>16</v>
      </c>
      <c r="AC998" s="741"/>
      <c r="AD998" s="741" t="str">
        <f>'DICTIONARY-5'!$A$13</f>
        <v>woda pitna</v>
      </c>
      <c r="AE998" s="742">
        <v>50</v>
      </c>
      <c r="AF998" s="743">
        <v>6.65</v>
      </c>
      <c r="AG998" s="741" t="str">
        <f>'DICTIONARY-5'!$A$23</f>
        <v>powłoka epoksydowa</v>
      </c>
    </row>
    <row r="999" spans="1:33" x14ac:dyDescent="0.25">
      <c r="A999" s="856" t="s">
        <v>942</v>
      </c>
      <c r="B999" s="856" t="s">
        <v>4082</v>
      </c>
      <c r="C999" s="836">
        <v>197</v>
      </c>
      <c r="D999" s="836"/>
      <c r="E999" s="836"/>
      <c r="F999" s="836"/>
      <c r="G999" s="496" t="s">
        <v>7812</v>
      </c>
      <c r="H999" s="797" t="str">
        <f>VLOOKUP(G999,SETTINGS!$B$7:$D$97,2,0)</f>
        <v>HOD</v>
      </c>
      <c r="I999" s="796">
        <f>VLOOKUP(G999,SETTINGS!$B$7:$D$97,3,0)</f>
        <v>0</v>
      </c>
      <c r="J999" s="670" t="str">
        <f>IFERROR(IF(CURRENCY.FORMAT_1=0,CONCATENATE(TEXT(FIXED(ROUND((C999/EXC.RATE_1),CURRENCY.FORMAT_1),CURRENCY.FORMAT_1,1),"# ##0;-# ##0"),",-"),FIXED(ROUND((C999/EXC.RATE_1),CURRENCY.FORMAT_1),CURRENCY.FORMAT_1,0)),'DICTIONARY-5'!$A$2)</f>
        <v>197,-</v>
      </c>
      <c r="K999" s="670" t="str">
        <f>IF(EXC.RATE_2=0,"",IFERROR(IF(CURRENCY.FORMAT_2=0,CONCATENATE(TEXT(FIXED(ROUND(IF(EXC.RATE.SWITCH=1,C999/EXC.RATE_2,C999*EXC.RATE_2),CURRENCY.FORMAT_2),CURRENCY.FORMAT_2,1),"# ##0;-# ##0"),",-"),FIXED(ROUND(IF(EXC.RATE.SWITCH=1,C999/EXC.RATE_2,C999*EXC.RATE_2),CURRENCY.FORMAT_2),CURRENCY.FORMAT_2,0)),'DICTIONARY-5'!$A$2))</f>
        <v/>
      </c>
      <c r="L999" s="670" t="str">
        <f>IFERROR(IF(CURRENCY.FORMAT_1=0,CONCATENATE(TEXT(FIXED(ROUND((C999*(1-I999)*(1-ADD.DISCOUNT)*(1+MAT.SURCHARGE)/EXC.RATE_1),CURRENCY.FORMAT_1),CURRENCY.FORMAT_1,1),"# ##0;-# ##0"),",-"),FIXED(ROUND((C999*(1-I999)*(1-ADD.DISCOUNT)*(1+MAT.SURCHARGE)/EXC.RATE_1),CURRENCY.FORMAT_1),CURRENCY.FORMAT_1,0)),'DICTIONARY-5'!$A$2)</f>
        <v>205,-</v>
      </c>
      <c r="M999" s="670" t="str">
        <f>IF(EXC.RATE_2=0,"",IFERROR(IF(CURRENCY.FORMAT_2=0,CONCATENATE(TEXT(FIXED(ROUND(IF(EXC.RATE.SWITCH=1,C999*(1-I999)*(1-ADD.DISCOUNT)*(1+MAT.SURCHARGE)/EXC.RATE_2,C999*(1-I999)*(1-ADD.DISCOUNT)*(1+MAT.SURCHARGE)*EXC.RATE_2),CURRENCY.FORMAT_2),CURRENCY.FORMAT_2,1),"# ##0;-# ##0"),",-"),FIXED(ROUND(IF(EXC.RATE.SWITCH=1,C999*(1-I999)*(1-ADD.DISCOUNT)*(1+MAT.SURCHARGE)/EXC.RATE_2,C999*(1-I999)*(1-ADD.DISCOUNT)*(1+MAT.SURCHARGE)*EXC.RATE_2),CURRENCY.FORMAT_2),CURRENCY.FORMAT_2,0)),'DICTIONARY-5'!$A$2))</f>
        <v/>
      </c>
      <c r="N999" s="542">
        <v>4</v>
      </c>
      <c r="O999" s="542"/>
      <c r="P999" s="731" t="str">
        <f>'DICTIONARY-3'!$A$57</f>
        <v>HOD-G</v>
      </c>
      <c r="Q999" s="732" t="str">
        <f>'DICTIONARY-3'!$A$196</f>
        <v>Mostek nawiertowy</v>
      </c>
      <c r="R999" s="732" t="str">
        <f>CONCATENATE('DICTIONARY-3'!$A$55,'DICTIONARY-3'!$A$73," ",'DICTIONARY-6'!$A$21," ",'DICTIONARY-2'!$A$2,"150"," ",'DICTIONARY-2'!$A$5,"167-172 G1"," ",'DICTIONARY-6'!$A$61,", ",'DICTIONARY-6'!$A$76," ",'DICTIONARY-5'!$A$49)</f>
        <v>HOD-G503 Mostek nawiert. DN150 Da167-172 G1 z zasuwa, ruroc. ŻEL.</v>
      </c>
      <c r="S999" s="733" t="str">
        <f>'DICTIONARY-4'!$A$2</f>
        <v>WW</v>
      </c>
      <c r="T999" s="732" t="str">
        <f>'DICTIONARY-4'!$A$18</f>
        <v>Wolny wałek</v>
      </c>
      <c r="U999" s="734" t="s">
        <v>5572</v>
      </c>
      <c r="V999" s="735"/>
      <c r="W999" s="744" t="s">
        <v>5766</v>
      </c>
      <c r="X999" s="750" t="s">
        <v>49</v>
      </c>
      <c r="Y999" s="738"/>
      <c r="Z999" s="739"/>
      <c r="AA999" s="739"/>
      <c r="AB999" s="740">
        <v>16</v>
      </c>
      <c r="AC999" s="741"/>
      <c r="AD999" s="741" t="str">
        <f>'DICTIONARY-5'!$A$13</f>
        <v>woda pitna</v>
      </c>
      <c r="AE999" s="742">
        <v>50</v>
      </c>
      <c r="AF999" s="743">
        <v>6.95</v>
      </c>
      <c r="AG999" s="741" t="str">
        <f>'DICTIONARY-5'!$A$23</f>
        <v>powłoka epoksydowa</v>
      </c>
    </row>
    <row r="1000" spans="1:33" x14ac:dyDescent="0.25">
      <c r="A1000" s="856" t="s">
        <v>944</v>
      </c>
      <c r="B1000" s="856" t="s">
        <v>4083</v>
      </c>
      <c r="C1000" s="836">
        <v>261</v>
      </c>
      <c r="D1000" s="836"/>
      <c r="E1000" s="836"/>
      <c r="F1000" s="836"/>
      <c r="G1000" s="496" t="s">
        <v>7812</v>
      </c>
      <c r="H1000" s="797" t="str">
        <f>VLOOKUP(G1000,SETTINGS!$B$7:$D$97,2,0)</f>
        <v>HOD</v>
      </c>
      <c r="I1000" s="796">
        <f>VLOOKUP(G1000,SETTINGS!$B$7:$D$97,3,0)</f>
        <v>0</v>
      </c>
      <c r="J1000" s="670" t="str">
        <f>IFERROR(IF(CURRENCY.FORMAT_1=0,CONCATENATE(TEXT(FIXED(ROUND((C1000/EXC.RATE_1),CURRENCY.FORMAT_1),CURRENCY.FORMAT_1,1),"# ##0;-# ##0"),",-"),FIXED(ROUND((C1000/EXC.RATE_1),CURRENCY.FORMAT_1),CURRENCY.FORMAT_1,0)),'DICTIONARY-5'!$A$2)</f>
        <v>261,-</v>
      </c>
      <c r="K1000" s="670" t="str">
        <f>IF(EXC.RATE_2=0,"",IFERROR(IF(CURRENCY.FORMAT_2=0,CONCATENATE(TEXT(FIXED(ROUND(IF(EXC.RATE.SWITCH=1,C1000/EXC.RATE_2,C1000*EXC.RATE_2),CURRENCY.FORMAT_2),CURRENCY.FORMAT_2,1),"# ##0;-# ##0"),",-"),FIXED(ROUND(IF(EXC.RATE.SWITCH=1,C1000/EXC.RATE_2,C1000*EXC.RATE_2),CURRENCY.FORMAT_2),CURRENCY.FORMAT_2,0)),'DICTIONARY-5'!$A$2))</f>
        <v/>
      </c>
      <c r="L1000" s="670" t="str">
        <f>IFERROR(IF(CURRENCY.FORMAT_1=0,CONCATENATE(TEXT(FIXED(ROUND((C1000*(1-I1000)*(1-ADD.DISCOUNT)*(1+MAT.SURCHARGE)/EXC.RATE_1),CURRENCY.FORMAT_1),CURRENCY.FORMAT_1,1),"# ##0;-# ##0"),",-"),FIXED(ROUND((C1000*(1-I1000)*(1-ADD.DISCOUNT)*(1+MAT.SURCHARGE)/EXC.RATE_1),CURRENCY.FORMAT_1),CURRENCY.FORMAT_1,0)),'DICTIONARY-5'!$A$2)</f>
        <v>271,-</v>
      </c>
      <c r="M1000" s="670" t="str">
        <f>IF(EXC.RATE_2=0,"",IFERROR(IF(CURRENCY.FORMAT_2=0,CONCATENATE(TEXT(FIXED(ROUND(IF(EXC.RATE.SWITCH=1,C1000*(1-I1000)*(1-ADD.DISCOUNT)*(1+MAT.SURCHARGE)/EXC.RATE_2,C1000*(1-I1000)*(1-ADD.DISCOUNT)*(1+MAT.SURCHARGE)*EXC.RATE_2),CURRENCY.FORMAT_2),CURRENCY.FORMAT_2,1),"# ##0;-# ##0"),",-"),FIXED(ROUND(IF(EXC.RATE.SWITCH=1,C1000*(1-I1000)*(1-ADD.DISCOUNT)*(1+MAT.SURCHARGE)/EXC.RATE_2,C1000*(1-I1000)*(1-ADD.DISCOUNT)*(1+MAT.SURCHARGE)*EXC.RATE_2),CURRENCY.FORMAT_2),CURRENCY.FORMAT_2,0)),'DICTIONARY-5'!$A$2))</f>
        <v/>
      </c>
      <c r="N1000" s="542">
        <v>4</v>
      </c>
      <c r="O1000" s="542"/>
      <c r="P1000" s="731" t="str">
        <f>'DICTIONARY-3'!$A$57</f>
        <v>HOD-G</v>
      </c>
      <c r="Q1000" s="732" t="str">
        <f>'DICTIONARY-3'!$A$196</f>
        <v>Mostek nawiertowy</v>
      </c>
      <c r="R1000" s="732" t="str">
        <f>CONCATENATE('DICTIONARY-3'!$A$55,'DICTIONARY-3'!$A$73," ",'DICTIONARY-6'!$A$21," ",'DICTIONARY-2'!$A$2,"200"," ",'DICTIONARY-2'!$A$5,"216-225 G1"," ",'DICTIONARY-6'!$A$61,", ",'DICTIONARY-6'!$A$76," ",'DICTIONARY-5'!$A$49)</f>
        <v>HOD-G503 Mostek nawiert. DN200 Da216-225 G1 z zasuwa, ruroc. ŻEL.</v>
      </c>
      <c r="S1000" s="733" t="str">
        <f>'DICTIONARY-4'!$A$2</f>
        <v>WW</v>
      </c>
      <c r="T1000" s="732" t="str">
        <f>'DICTIONARY-4'!$A$18</f>
        <v>Wolny wałek</v>
      </c>
      <c r="U1000" s="734" t="s">
        <v>5750</v>
      </c>
      <c r="V1000" s="735"/>
      <c r="W1000" s="744" t="s">
        <v>5767</v>
      </c>
      <c r="X1000" s="750" t="s">
        <v>49</v>
      </c>
      <c r="Y1000" s="738"/>
      <c r="Z1000" s="739"/>
      <c r="AA1000" s="739"/>
      <c r="AB1000" s="740">
        <v>16</v>
      </c>
      <c r="AC1000" s="741"/>
      <c r="AD1000" s="741" t="str">
        <f>'DICTIONARY-5'!$A$13</f>
        <v>woda pitna</v>
      </c>
      <c r="AE1000" s="742">
        <v>50</v>
      </c>
      <c r="AF1000" s="743">
        <v>7.8</v>
      </c>
      <c r="AG1000" s="741" t="str">
        <f>'DICTIONARY-5'!$A$23</f>
        <v>powłoka epoksydowa</v>
      </c>
    </row>
    <row r="1001" spans="1:33" x14ac:dyDescent="0.25">
      <c r="A1001" s="856" t="s">
        <v>939</v>
      </c>
      <c r="B1001" s="856" t="s">
        <v>4084</v>
      </c>
      <c r="C1001" s="836">
        <v>197</v>
      </c>
      <c r="D1001" s="836"/>
      <c r="E1001" s="836"/>
      <c r="F1001" s="836"/>
      <c r="G1001" s="496" t="s">
        <v>7812</v>
      </c>
      <c r="H1001" s="797" t="str">
        <f>VLOOKUP(G1001,SETTINGS!$B$7:$D$97,2,0)</f>
        <v>HOD</v>
      </c>
      <c r="I1001" s="796">
        <f>VLOOKUP(G1001,SETTINGS!$B$7:$D$97,3,0)</f>
        <v>0</v>
      </c>
      <c r="J1001" s="670" t="str">
        <f>IFERROR(IF(CURRENCY.FORMAT_1=0,CONCATENATE(TEXT(FIXED(ROUND((C1001/EXC.RATE_1),CURRENCY.FORMAT_1),CURRENCY.FORMAT_1,1),"# ##0;-# ##0"),",-"),FIXED(ROUND((C1001/EXC.RATE_1),CURRENCY.FORMAT_1),CURRENCY.FORMAT_1,0)),'DICTIONARY-5'!$A$2)</f>
        <v>197,-</v>
      </c>
      <c r="K1001" s="670" t="str">
        <f>IF(EXC.RATE_2=0,"",IFERROR(IF(CURRENCY.FORMAT_2=0,CONCATENATE(TEXT(FIXED(ROUND(IF(EXC.RATE.SWITCH=1,C1001/EXC.RATE_2,C1001*EXC.RATE_2),CURRENCY.FORMAT_2),CURRENCY.FORMAT_2,1),"# ##0;-# ##0"),",-"),FIXED(ROUND(IF(EXC.RATE.SWITCH=1,C1001/EXC.RATE_2,C1001*EXC.RATE_2),CURRENCY.FORMAT_2),CURRENCY.FORMAT_2,0)),'DICTIONARY-5'!$A$2))</f>
        <v/>
      </c>
      <c r="L1001" s="670" t="str">
        <f>IFERROR(IF(CURRENCY.FORMAT_1=0,CONCATENATE(TEXT(FIXED(ROUND((C1001*(1-I1001)*(1-ADD.DISCOUNT)*(1+MAT.SURCHARGE)/EXC.RATE_1),CURRENCY.FORMAT_1),CURRENCY.FORMAT_1,1),"# ##0;-# ##0"),",-"),FIXED(ROUND((C1001*(1-I1001)*(1-ADD.DISCOUNT)*(1+MAT.SURCHARGE)/EXC.RATE_1),CURRENCY.FORMAT_1),CURRENCY.FORMAT_1,0)),'DICTIONARY-5'!$A$2)</f>
        <v>205,-</v>
      </c>
      <c r="M1001" s="670" t="str">
        <f>IF(EXC.RATE_2=0,"",IFERROR(IF(CURRENCY.FORMAT_2=0,CONCATENATE(TEXT(FIXED(ROUND(IF(EXC.RATE.SWITCH=1,C1001*(1-I1001)*(1-ADD.DISCOUNT)*(1+MAT.SURCHARGE)/EXC.RATE_2,C1001*(1-I1001)*(1-ADD.DISCOUNT)*(1+MAT.SURCHARGE)*EXC.RATE_2),CURRENCY.FORMAT_2),CURRENCY.FORMAT_2,1),"# ##0;-# ##0"),",-"),FIXED(ROUND(IF(EXC.RATE.SWITCH=1,C1001*(1-I1001)*(1-ADD.DISCOUNT)*(1+MAT.SURCHARGE)/EXC.RATE_2,C1001*(1-I1001)*(1-ADD.DISCOUNT)*(1+MAT.SURCHARGE)*EXC.RATE_2),CURRENCY.FORMAT_2),CURRENCY.FORMAT_2,0)),'DICTIONARY-5'!$A$2))</f>
        <v/>
      </c>
      <c r="N1001" s="542">
        <v>4</v>
      </c>
      <c r="O1001" s="542"/>
      <c r="P1001" s="731" t="str">
        <f>'DICTIONARY-3'!$A$57</f>
        <v>HOD-G</v>
      </c>
      <c r="Q1001" s="732" t="str">
        <f>'DICTIONARY-3'!$A$196</f>
        <v>Mostek nawiertowy</v>
      </c>
      <c r="R1001" s="732" t="str">
        <f>CONCATENATE('DICTIONARY-3'!$A$55,'DICTIONARY-3'!$A$73," ",'DICTIONARY-6'!$A$21," ",'DICTIONARY-2'!$A$2,"80"," ",'DICTIONARY-2'!$A$5,"94-99 G1¼"," ",'DICTIONARY-6'!$A$61,", ",'DICTIONARY-6'!$A$76," ",'DICTIONARY-5'!$A$49)</f>
        <v>HOD-G503 Mostek nawiert. DN80 Da94-99 G1¼ z zasuwa, ruroc. ŻEL.</v>
      </c>
      <c r="S1001" s="733" t="str">
        <f>'DICTIONARY-4'!$A$2</f>
        <v>WW</v>
      </c>
      <c r="T1001" s="732" t="str">
        <f>'DICTIONARY-4'!$A$18</f>
        <v>Wolny wałek</v>
      </c>
      <c r="U1001" s="734" t="s">
        <v>5760</v>
      </c>
      <c r="V1001" s="735"/>
      <c r="W1001" s="744" t="s">
        <v>5764</v>
      </c>
      <c r="X1001" s="737" t="s">
        <v>5740</v>
      </c>
      <c r="Y1001" s="738"/>
      <c r="Z1001" s="739"/>
      <c r="AA1001" s="739"/>
      <c r="AB1001" s="740">
        <v>16</v>
      </c>
      <c r="AC1001" s="741"/>
      <c r="AD1001" s="741" t="str">
        <f>'DICTIONARY-5'!$A$13</f>
        <v>woda pitna</v>
      </c>
      <c r="AE1001" s="742">
        <v>50</v>
      </c>
      <c r="AF1001" s="743">
        <v>6.4</v>
      </c>
      <c r="AG1001" s="741" t="str">
        <f>'DICTIONARY-5'!$A$23</f>
        <v>powłoka epoksydowa</v>
      </c>
    </row>
    <row r="1002" spans="1:33" x14ac:dyDescent="0.25">
      <c r="A1002" s="856" t="s">
        <v>941</v>
      </c>
      <c r="B1002" s="856" t="s">
        <v>4085</v>
      </c>
      <c r="C1002" s="836">
        <v>174</v>
      </c>
      <c r="D1002" s="836"/>
      <c r="E1002" s="836"/>
      <c r="F1002" s="836"/>
      <c r="G1002" s="496" t="s">
        <v>7812</v>
      </c>
      <c r="H1002" s="797" t="str">
        <f>VLOOKUP(G1002,SETTINGS!$B$7:$D$97,2,0)</f>
        <v>HOD</v>
      </c>
      <c r="I1002" s="796">
        <f>VLOOKUP(G1002,SETTINGS!$B$7:$D$97,3,0)</f>
        <v>0</v>
      </c>
      <c r="J1002" s="670" t="str">
        <f>IFERROR(IF(CURRENCY.FORMAT_1=0,CONCATENATE(TEXT(FIXED(ROUND((C1002/EXC.RATE_1),CURRENCY.FORMAT_1),CURRENCY.FORMAT_1,1),"# ##0;-# ##0"),",-"),FIXED(ROUND((C1002/EXC.RATE_1),CURRENCY.FORMAT_1),CURRENCY.FORMAT_1,0)),'DICTIONARY-5'!$A$2)</f>
        <v>174,-</v>
      </c>
      <c r="K1002" s="670" t="str">
        <f>IF(EXC.RATE_2=0,"",IFERROR(IF(CURRENCY.FORMAT_2=0,CONCATENATE(TEXT(FIXED(ROUND(IF(EXC.RATE.SWITCH=1,C1002/EXC.RATE_2,C1002*EXC.RATE_2),CURRENCY.FORMAT_2),CURRENCY.FORMAT_2,1),"# ##0;-# ##0"),",-"),FIXED(ROUND(IF(EXC.RATE.SWITCH=1,C1002/EXC.RATE_2,C1002*EXC.RATE_2),CURRENCY.FORMAT_2),CURRENCY.FORMAT_2,0)),'DICTIONARY-5'!$A$2))</f>
        <v/>
      </c>
      <c r="L1002" s="670" t="str">
        <f>IFERROR(IF(CURRENCY.FORMAT_1=0,CONCATENATE(TEXT(FIXED(ROUND((C1002*(1-I1002)*(1-ADD.DISCOUNT)*(1+MAT.SURCHARGE)/EXC.RATE_1),CURRENCY.FORMAT_1),CURRENCY.FORMAT_1,1),"# ##0;-# ##0"),",-"),FIXED(ROUND((C1002*(1-I1002)*(1-ADD.DISCOUNT)*(1+MAT.SURCHARGE)/EXC.RATE_1),CURRENCY.FORMAT_1),CURRENCY.FORMAT_1,0)),'DICTIONARY-5'!$A$2)</f>
        <v>181,-</v>
      </c>
      <c r="M1002" s="670" t="str">
        <f>IF(EXC.RATE_2=0,"",IFERROR(IF(CURRENCY.FORMAT_2=0,CONCATENATE(TEXT(FIXED(ROUND(IF(EXC.RATE.SWITCH=1,C1002*(1-I1002)*(1-ADD.DISCOUNT)*(1+MAT.SURCHARGE)/EXC.RATE_2,C1002*(1-I1002)*(1-ADD.DISCOUNT)*(1+MAT.SURCHARGE)*EXC.RATE_2),CURRENCY.FORMAT_2),CURRENCY.FORMAT_2,1),"# ##0;-# ##0"),",-"),FIXED(ROUND(IF(EXC.RATE.SWITCH=1,C1002*(1-I1002)*(1-ADD.DISCOUNT)*(1+MAT.SURCHARGE)/EXC.RATE_2,C1002*(1-I1002)*(1-ADD.DISCOUNT)*(1+MAT.SURCHARGE)*EXC.RATE_2),CURRENCY.FORMAT_2),CURRENCY.FORMAT_2,0)),'DICTIONARY-5'!$A$2))</f>
        <v/>
      </c>
      <c r="N1002" s="542">
        <v>4</v>
      </c>
      <c r="O1002" s="542"/>
      <c r="P1002" s="731" t="str">
        <f>'DICTIONARY-3'!$A$57</f>
        <v>HOD-G</v>
      </c>
      <c r="Q1002" s="732" t="str">
        <f>'DICTIONARY-3'!$A$196</f>
        <v>Mostek nawiertowy</v>
      </c>
      <c r="R1002" s="732" t="str">
        <f>CONCATENATE('DICTIONARY-3'!$A$55,'DICTIONARY-3'!$A$73," ",'DICTIONARY-6'!$A$21," ",'DICTIONARY-2'!$A$2,"100"," ",'DICTIONARY-2'!$A$5,"114-121 G1¼"," ",'DICTIONARY-6'!$A$61,", ",'DICTIONARY-6'!$A$76," ",'DICTIONARY-5'!$A$49)</f>
        <v>HOD-G503 Mostek nawiert. DN100 Da114-121 G1¼ z zasuwa, ruroc. ŻEL.</v>
      </c>
      <c r="S1002" s="733" t="str">
        <f>'DICTIONARY-4'!$A$2</f>
        <v>WW</v>
      </c>
      <c r="T1002" s="732" t="str">
        <f>'DICTIONARY-4'!$A$18</f>
        <v>Wolny wałek</v>
      </c>
      <c r="U1002" s="734" t="s">
        <v>5749</v>
      </c>
      <c r="V1002" s="735"/>
      <c r="W1002" s="736" t="s">
        <v>5765</v>
      </c>
      <c r="X1002" s="737" t="s">
        <v>5740</v>
      </c>
      <c r="Y1002" s="738"/>
      <c r="Z1002" s="739"/>
      <c r="AA1002" s="739"/>
      <c r="AB1002" s="740">
        <v>16</v>
      </c>
      <c r="AC1002" s="741"/>
      <c r="AD1002" s="741" t="str">
        <f>'DICTIONARY-5'!$A$13</f>
        <v>woda pitna</v>
      </c>
      <c r="AE1002" s="742">
        <v>50</v>
      </c>
      <c r="AF1002" s="743">
        <v>5</v>
      </c>
      <c r="AG1002" s="741" t="str">
        <f>'DICTIONARY-5'!$A$23</f>
        <v>powłoka epoksydowa</v>
      </c>
    </row>
    <row r="1003" spans="1:33" x14ac:dyDescent="0.25">
      <c r="A1003" s="856" t="s">
        <v>943</v>
      </c>
      <c r="B1003" s="856" t="s">
        <v>4086</v>
      </c>
      <c r="C1003" s="836">
        <v>201</v>
      </c>
      <c r="D1003" s="836"/>
      <c r="E1003" s="836"/>
      <c r="F1003" s="836"/>
      <c r="G1003" s="496" t="s">
        <v>7812</v>
      </c>
      <c r="H1003" s="797" t="str">
        <f>VLOOKUP(G1003,SETTINGS!$B$7:$D$97,2,0)</f>
        <v>HOD</v>
      </c>
      <c r="I1003" s="796">
        <f>VLOOKUP(G1003,SETTINGS!$B$7:$D$97,3,0)</f>
        <v>0</v>
      </c>
      <c r="J1003" s="670" t="str">
        <f>IFERROR(IF(CURRENCY.FORMAT_1=0,CONCATENATE(TEXT(FIXED(ROUND((C1003/EXC.RATE_1),CURRENCY.FORMAT_1),CURRENCY.FORMAT_1,1),"# ##0;-# ##0"),",-"),FIXED(ROUND((C1003/EXC.RATE_1),CURRENCY.FORMAT_1),CURRENCY.FORMAT_1,0)),'DICTIONARY-5'!$A$2)</f>
        <v>201,-</v>
      </c>
      <c r="K1003" s="670" t="str">
        <f>IF(EXC.RATE_2=0,"",IFERROR(IF(CURRENCY.FORMAT_2=0,CONCATENATE(TEXT(FIXED(ROUND(IF(EXC.RATE.SWITCH=1,C1003/EXC.RATE_2,C1003*EXC.RATE_2),CURRENCY.FORMAT_2),CURRENCY.FORMAT_2,1),"# ##0;-# ##0"),",-"),FIXED(ROUND(IF(EXC.RATE.SWITCH=1,C1003/EXC.RATE_2,C1003*EXC.RATE_2),CURRENCY.FORMAT_2),CURRENCY.FORMAT_2,0)),'DICTIONARY-5'!$A$2))</f>
        <v/>
      </c>
      <c r="L1003" s="670" t="str">
        <f>IFERROR(IF(CURRENCY.FORMAT_1=0,CONCATENATE(TEXT(FIXED(ROUND((C1003*(1-I1003)*(1-ADD.DISCOUNT)*(1+MAT.SURCHARGE)/EXC.RATE_1),CURRENCY.FORMAT_1),CURRENCY.FORMAT_1,1),"# ##0;-# ##0"),",-"),FIXED(ROUND((C1003*(1-I1003)*(1-ADD.DISCOUNT)*(1+MAT.SURCHARGE)/EXC.RATE_1),CURRENCY.FORMAT_1),CURRENCY.FORMAT_1,0)),'DICTIONARY-5'!$A$2)</f>
        <v>209,-</v>
      </c>
      <c r="M1003" s="670" t="str">
        <f>IF(EXC.RATE_2=0,"",IFERROR(IF(CURRENCY.FORMAT_2=0,CONCATENATE(TEXT(FIXED(ROUND(IF(EXC.RATE.SWITCH=1,C1003*(1-I1003)*(1-ADD.DISCOUNT)*(1+MAT.SURCHARGE)/EXC.RATE_2,C1003*(1-I1003)*(1-ADD.DISCOUNT)*(1+MAT.SURCHARGE)*EXC.RATE_2),CURRENCY.FORMAT_2),CURRENCY.FORMAT_2,1),"# ##0;-# ##0"),",-"),FIXED(ROUND(IF(EXC.RATE.SWITCH=1,C1003*(1-I1003)*(1-ADD.DISCOUNT)*(1+MAT.SURCHARGE)/EXC.RATE_2,C1003*(1-I1003)*(1-ADD.DISCOUNT)*(1+MAT.SURCHARGE)*EXC.RATE_2),CURRENCY.FORMAT_2),CURRENCY.FORMAT_2,0)),'DICTIONARY-5'!$A$2))</f>
        <v/>
      </c>
      <c r="N1003" s="542">
        <v>4</v>
      </c>
      <c r="O1003" s="542"/>
      <c r="P1003" s="731" t="str">
        <f>'DICTIONARY-3'!$A$57</f>
        <v>HOD-G</v>
      </c>
      <c r="Q1003" s="732" t="str">
        <f>'DICTIONARY-3'!$A$196</f>
        <v>Mostek nawiertowy</v>
      </c>
      <c r="R1003" s="732" t="str">
        <f>CONCATENATE('DICTIONARY-3'!$A$55,'DICTIONARY-3'!$A$73," ",'DICTIONARY-6'!$A$21," ",'DICTIONARY-2'!$A$2,"150"," ",'DICTIONARY-2'!$A$5,"167-172 G1¼"," ",'DICTIONARY-6'!$A$61,", ",'DICTIONARY-6'!$A$76," ",'DICTIONARY-5'!$A$49)</f>
        <v>HOD-G503 Mostek nawiert. DN150 Da167-172 G1¼ z zasuwa, ruroc. ŻEL.</v>
      </c>
      <c r="S1003" s="733" t="str">
        <f>'DICTIONARY-4'!$A$2</f>
        <v>WW</v>
      </c>
      <c r="T1003" s="732" t="str">
        <f>'DICTIONARY-4'!$A$18</f>
        <v>Wolny wałek</v>
      </c>
      <c r="U1003" s="734" t="s">
        <v>5572</v>
      </c>
      <c r="V1003" s="735"/>
      <c r="W1003" s="744" t="s">
        <v>5766</v>
      </c>
      <c r="X1003" s="737" t="s">
        <v>5740</v>
      </c>
      <c r="Y1003" s="738"/>
      <c r="Z1003" s="739"/>
      <c r="AA1003" s="739"/>
      <c r="AB1003" s="740">
        <v>16</v>
      </c>
      <c r="AC1003" s="741"/>
      <c r="AD1003" s="741" t="str">
        <f>'DICTIONARY-5'!$A$13</f>
        <v>woda pitna</v>
      </c>
      <c r="AE1003" s="742">
        <v>50</v>
      </c>
      <c r="AF1003" s="743">
        <v>6.9</v>
      </c>
      <c r="AG1003" s="741" t="str">
        <f>'DICTIONARY-5'!$A$23</f>
        <v>powłoka epoksydowa</v>
      </c>
    </row>
    <row r="1004" spans="1:33" x14ac:dyDescent="0.25">
      <c r="A1004" s="856" t="s">
        <v>945</v>
      </c>
      <c r="B1004" s="856" t="s">
        <v>4087</v>
      </c>
      <c r="C1004" s="836">
        <v>264</v>
      </c>
      <c r="D1004" s="836"/>
      <c r="E1004" s="836"/>
      <c r="F1004" s="836"/>
      <c r="G1004" s="496" t="s">
        <v>7812</v>
      </c>
      <c r="H1004" s="797" t="str">
        <f>VLOOKUP(G1004,SETTINGS!$B$7:$D$97,2,0)</f>
        <v>HOD</v>
      </c>
      <c r="I1004" s="796">
        <f>VLOOKUP(G1004,SETTINGS!$B$7:$D$97,3,0)</f>
        <v>0</v>
      </c>
      <c r="J1004" s="670" t="str">
        <f>IFERROR(IF(CURRENCY.FORMAT_1=0,CONCATENATE(TEXT(FIXED(ROUND((C1004/EXC.RATE_1),CURRENCY.FORMAT_1),CURRENCY.FORMAT_1,1),"# ##0;-# ##0"),",-"),FIXED(ROUND((C1004/EXC.RATE_1),CURRENCY.FORMAT_1),CURRENCY.FORMAT_1,0)),'DICTIONARY-5'!$A$2)</f>
        <v>264,-</v>
      </c>
      <c r="K1004" s="670" t="str">
        <f>IF(EXC.RATE_2=0,"",IFERROR(IF(CURRENCY.FORMAT_2=0,CONCATENATE(TEXT(FIXED(ROUND(IF(EXC.RATE.SWITCH=1,C1004/EXC.RATE_2,C1004*EXC.RATE_2),CURRENCY.FORMAT_2),CURRENCY.FORMAT_2,1),"# ##0;-# ##0"),",-"),FIXED(ROUND(IF(EXC.RATE.SWITCH=1,C1004/EXC.RATE_2,C1004*EXC.RATE_2),CURRENCY.FORMAT_2),CURRENCY.FORMAT_2,0)),'DICTIONARY-5'!$A$2))</f>
        <v/>
      </c>
      <c r="L1004" s="670" t="str">
        <f>IFERROR(IF(CURRENCY.FORMAT_1=0,CONCATENATE(TEXT(FIXED(ROUND((C1004*(1-I1004)*(1-ADD.DISCOUNT)*(1+MAT.SURCHARGE)/EXC.RATE_1),CURRENCY.FORMAT_1),CURRENCY.FORMAT_1,1),"# ##0;-# ##0"),",-"),FIXED(ROUND((C1004*(1-I1004)*(1-ADD.DISCOUNT)*(1+MAT.SURCHARGE)/EXC.RATE_1),CURRENCY.FORMAT_1),CURRENCY.FORMAT_1,0)),'DICTIONARY-5'!$A$2)</f>
        <v>274,-</v>
      </c>
      <c r="M1004" s="670" t="str">
        <f>IF(EXC.RATE_2=0,"",IFERROR(IF(CURRENCY.FORMAT_2=0,CONCATENATE(TEXT(FIXED(ROUND(IF(EXC.RATE.SWITCH=1,C1004*(1-I1004)*(1-ADD.DISCOUNT)*(1+MAT.SURCHARGE)/EXC.RATE_2,C1004*(1-I1004)*(1-ADD.DISCOUNT)*(1+MAT.SURCHARGE)*EXC.RATE_2),CURRENCY.FORMAT_2),CURRENCY.FORMAT_2,1),"# ##0;-# ##0"),",-"),FIXED(ROUND(IF(EXC.RATE.SWITCH=1,C1004*(1-I1004)*(1-ADD.DISCOUNT)*(1+MAT.SURCHARGE)/EXC.RATE_2,C1004*(1-I1004)*(1-ADD.DISCOUNT)*(1+MAT.SURCHARGE)*EXC.RATE_2),CURRENCY.FORMAT_2),CURRENCY.FORMAT_2,0)),'DICTIONARY-5'!$A$2))</f>
        <v/>
      </c>
      <c r="N1004" s="542">
        <v>4</v>
      </c>
      <c r="O1004" s="542"/>
      <c r="P1004" s="731" t="str">
        <f>'DICTIONARY-3'!$A$57</f>
        <v>HOD-G</v>
      </c>
      <c r="Q1004" s="732" t="str">
        <f>'DICTIONARY-3'!$A$196</f>
        <v>Mostek nawiertowy</v>
      </c>
      <c r="R1004" s="732" t="str">
        <f>CONCATENATE('DICTIONARY-3'!$A$55,'DICTIONARY-3'!$A$73," ",'DICTIONARY-6'!$A$21," ",'DICTIONARY-2'!$A$2,"200"," ",'DICTIONARY-2'!$A$5,"216-225 G1¼"," ",'DICTIONARY-6'!$A$61,", ",'DICTIONARY-6'!$A$76," ",'DICTIONARY-5'!$A$49)</f>
        <v>HOD-G503 Mostek nawiert. DN200 Da216-225 G1¼ z zasuwa, ruroc. ŻEL.</v>
      </c>
      <c r="S1004" s="733" t="str">
        <f>'DICTIONARY-4'!$A$2</f>
        <v>WW</v>
      </c>
      <c r="T1004" s="732" t="str">
        <f>'DICTIONARY-4'!$A$18</f>
        <v>Wolny wałek</v>
      </c>
      <c r="U1004" s="734" t="s">
        <v>5750</v>
      </c>
      <c r="V1004" s="735"/>
      <c r="W1004" s="744" t="s">
        <v>5767</v>
      </c>
      <c r="X1004" s="737" t="s">
        <v>5740</v>
      </c>
      <c r="Y1004" s="738"/>
      <c r="Z1004" s="739"/>
      <c r="AA1004" s="739"/>
      <c r="AB1004" s="740">
        <v>16</v>
      </c>
      <c r="AC1004" s="741"/>
      <c r="AD1004" s="741" t="str">
        <f>'DICTIONARY-5'!$A$13</f>
        <v>woda pitna</v>
      </c>
      <c r="AE1004" s="742">
        <v>50</v>
      </c>
      <c r="AF1004" s="743">
        <v>7.8</v>
      </c>
      <c r="AG1004" s="741" t="str">
        <f>'DICTIONARY-5'!$A$23</f>
        <v>powłoka epoksydowa</v>
      </c>
    </row>
    <row r="1005" spans="1:33" x14ac:dyDescent="0.25">
      <c r="A1005" s="856" t="s">
        <v>946</v>
      </c>
      <c r="B1005" s="856" t="s">
        <v>4088</v>
      </c>
      <c r="C1005" s="836">
        <v>236</v>
      </c>
      <c r="D1005" s="836"/>
      <c r="E1005" s="836"/>
      <c r="F1005" s="836"/>
      <c r="G1005" s="496" t="s">
        <v>7812</v>
      </c>
      <c r="H1005" s="797" t="str">
        <f>VLOOKUP(G1005,SETTINGS!$B$7:$D$97,2,0)</f>
        <v>HOD</v>
      </c>
      <c r="I1005" s="796">
        <f>VLOOKUP(G1005,SETTINGS!$B$7:$D$97,3,0)</f>
        <v>0</v>
      </c>
      <c r="J1005" s="670" t="str">
        <f>IFERROR(IF(CURRENCY.FORMAT_1=0,CONCATENATE(TEXT(FIXED(ROUND((C1005/EXC.RATE_1),CURRENCY.FORMAT_1),CURRENCY.FORMAT_1,1),"# ##0;-# ##0"),",-"),FIXED(ROUND((C1005/EXC.RATE_1),CURRENCY.FORMAT_1),CURRENCY.FORMAT_1,0)),'DICTIONARY-5'!$A$2)</f>
        <v>236,-</v>
      </c>
      <c r="K1005" s="670" t="str">
        <f>IF(EXC.RATE_2=0,"",IFERROR(IF(CURRENCY.FORMAT_2=0,CONCATENATE(TEXT(FIXED(ROUND(IF(EXC.RATE.SWITCH=1,C1005/EXC.RATE_2,C1005*EXC.RATE_2),CURRENCY.FORMAT_2),CURRENCY.FORMAT_2,1),"# ##0;-# ##0"),",-"),FIXED(ROUND(IF(EXC.RATE.SWITCH=1,C1005/EXC.RATE_2,C1005*EXC.RATE_2),CURRENCY.FORMAT_2),CURRENCY.FORMAT_2,0)),'DICTIONARY-5'!$A$2))</f>
        <v/>
      </c>
      <c r="L1005" s="670" t="str">
        <f>IFERROR(IF(CURRENCY.FORMAT_1=0,CONCATENATE(TEXT(FIXED(ROUND((C1005*(1-I1005)*(1-ADD.DISCOUNT)*(1+MAT.SURCHARGE)/EXC.RATE_1),CURRENCY.FORMAT_1),CURRENCY.FORMAT_1,1),"# ##0;-# ##0"),",-"),FIXED(ROUND((C1005*(1-I1005)*(1-ADD.DISCOUNT)*(1+MAT.SURCHARGE)/EXC.RATE_1),CURRENCY.FORMAT_1),CURRENCY.FORMAT_1,0)),'DICTIONARY-5'!$A$2)</f>
        <v>245,-</v>
      </c>
      <c r="M1005" s="670" t="str">
        <f>IF(EXC.RATE_2=0,"",IFERROR(IF(CURRENCY.FORMAT_2=0,CONCATENATE(TEXT(FIXED(ROUND(IF(EXC.RATE.SWITCH=1,C1005*(1-I1005)*(1-ADD.DISCOUNT)*(1+MAT.SURCHARGE)/EXC.RATE_2,C1005*(1-I1005)*(1-ADD.DISCOUNT)*(1+MAT.SURCHARGE)*EXC.RATE_2),CURRENCY.FORMAT_2),CURRENCY.FORMAT_2,1),"# ##0;-# ##0"),",-"),FIXED(ROUND(IF(EXC.RATE.SWITCH=1,C1005*(1-I1005)*(1-ADD.DISCOUNT)*(1+MAT.SURCHARGE)/EXC.RATE_2,C1005*(1-I1005)*(1-ADD.DISCOUNT)*(1+MAT.SURCHARGE)*EXC.RATE_2),CURRENCY.FORMAT_2),CURRENCY.FORMAT_2,0)),'DICTIONARY-5'!$A$2))</f>
        <v/>
      </c>
      <c r="N1005" s="542">
        <v>4</v>
      </c>
      <c r="O1005" s="542"/>
      <c r="P1005" s="731" t="str">
        <f>'DICTIONARY-3'!$A$57</f>
        <v>HOD-G</v>
      </c>
      <c r="Q1005" s="732" t="str">
        <f>'DICTIONARY-3'!$A$196</f>
        <v>Mostek nawiertowy</v>
      </c>
      <c r="R1005" s="732" t="str">
        <f>CONCATENATE('DICTIONARY-3'!$A$55,'DICTIONARY-3'!$A$73," ",'DICTIONARY-6'!$A$21," ",'DICTIONARY-2'!$A$2,"80"," ",'DICTIONARY-2'!$A$5,"94-99 G1½"," ",'DICTIONARY-6'!$A$61,", ",'DICTIONARY-6'!$A$76," ",'DICTIONARY-5'!$A$49)</f>
        <v>HOD-G503 Mostek nawiert. DN80 Da94-99 G1½ z zasuwa, ruroc. ŻEL.</v>
      </c>
      <c r="S1005" s="733" t="str">
        <f>'DICTIONARY-4'!$A$2</f>
        <v>WW</v>
      </c>
      <c r="T1005" s="732" t="str">
        <f>'DICTIONARY-4'!$A$18</f>
        <v>Wolny wałek</v>
      </c>
      <c r="U1005" s="734" t="s">
        <v>5760</v>
      </c>
      <c r="V1005" s="735"/>
      <c r="W1005" s="744" t="s">
        <v>5764</v>
      </c>
      <c r="X1005" s="737" t="s">
        <v>5769</v>
      </c>
      <c r="Y1005" s="738"/>
      <c r="Z1005" s="739"/>
      <c r="AA1005" s="739"/>
      <c r="AB1005" s="740">
        <v>16</v>
      </c>
      <c r="AC1005" s="741"/>
      <c r="AD1005" s="741" t="str">
        <f>'DICTIONARY-5'!$A$13</f>
        <v>woda pitna</v>
      </c>
      <c r="AE1005" s="742">
        <v>50</v>
      </c>
      <c r="AF1005" s="743">
        <v>7.2</v>
      </c>
      <c r="AG1005" s="741" t="str">
        <f>'DICTIONARY-5'!$A$23</f>
        <v>powłoka epoksydowa</v>
      </c>
    </row>
    <row r="1006" spans="1:33" x14ac:dyDescent="0.25">
      <c r="A1006" s="856" t="s">
        <v>948</v>
      </c>
      <c r="B1006" s="856" t="s">
        <v>4089</v>
      </c>
      <c r="C1006" s="836">
        <v>232</v>
      </c>
      <c r="D1006" s="836"/>
      <c r="E1006" s="836"/>
      <c r="F1006" s="836"/>
      <c r="G1006" s="496" t="s">
        <v>7812</v>
      </c>
      <c r="H1006" s="797" t="str">
        <f>VLOOKUP(G1006,SETTINGS!$B$7:$D$97,2,0)</f>
        <v>HOD</v>
      </c>
      <c r="I1006" s="796">
        <f>VLOOKUP(G1006,SETTINGS!$B$7:$D$97,3,0)</f>
        <v>0</v>
      </c>
      <c r="J1006" s="670" t="str">
        <f>IFERROR(IF(CURRENCY.FORMAT_1=0,CONCATENATE(TEXT(FIXED(ROUND((C1006/EXC.RATE_1),CURRENCY.FORMAT_1),CURRENCY.FORMAT_1,1),"# ##0;-# ##0"),",-"),FIXED(ROUND((C1006/EXC.RATE_1),CURRENCY.FORMAT_1),CURRENCY.FORMAT_1,0)),'DICTIONARY-5'!$A$2)</f>
        <v>232,-</v>
      </c>
      <c r="K1006" s="670" t="str">
        <f>IF(EXC.RATE_2=0,"",IFERROR(IF(CURRENCY.FORMAT_2=0,CONCATENATE(TEXT(FIXED(ROUND(IF(EXC.RATE.SWITCH=1,C1006/EXC.RATE_2,C1006*EXC.RATE_2),CURRENCY.FORMAT_2),CURRENCY.FORMAT_2,1),"# ##0;-# ##0"),",-"),FIXED(ROUND(IF(EXC.RATE.SWITCH=1,C1006/EXC.RATE_2,C1006*EXC.RATE_2),CURRENCY.FORMAT_2),CURRENCY.FORMAT_2,0)),'DICTIONARY-5'!$A$2))</f>
        <v/>
      </c>
      <c r="L1006" s="670" t="str">
        <f>IFERROR(IF(CURRENCY.FORMAT_1=0,CONCATENATE(TEXT(FIXED(ROUND((C1006*(1-I1006)*(1-ADD.DISCOUNT)*(1+MAT.SURCHARGE)/EXC.RATE_1),CURRENCY.FORMAT_1),CURRENCY.FORMAT_1,1),"# ##0;-# ##0"),",-"),FIXED(ROUND((C1006*(1-I1006)*(1-ADD.DISCOUNT)*(1+MAT.SURCHARGE)/EXC.RATE_1),CURRENCY.FORMAT_1),CURRENCY.FORMAT_1,0)),'DICTIONARY-5'!$A$2)</f>
        <v>241,-</v>
      </c>
      <c r="M1006" s="670" t="str">
        <f>IF(EXC.RATE_2=0,"",IFERROR(IF(CURRENCY.FORMAT_2=0,CONCATENATE(TEXT(FIXED(ROUND(IF(EXC.RATE.SWITCH=1,C1006*(1-I1006)*(1-ADD.DISCOUNT)*(1+MAT.SURCHARGE)/EXC.RATE_2,C1006*(1-I1006)*(1-ADD.DISCOUNT)*(1+MAT.SURCHARGE)*EXC.RATE_2),CURRENCY.FORMAT_2),CURRENCY.FORMAT_2,1),"# ##0;-# ##0"),",-"),FIXED(ROUND(IF(EXC.RATE.SWITCH=1,C1006*(1-I1006)*(1-ADD.DISCOUNT)*(1+MAT.SURCHARGE)/EXC.RATE_2,C1006*(1-I1006)*(1-ADD.DISCOUNT)*(1+MAT.SURCHARGE)*EXC.RATE_2),CURRENCY.FORMAT_2),CURRENCY.FORMAT_2,0)),'DICTIONARY-5'!$A$2))</f>
        <v/>
      </c>
      <c r="N1006" s="542">
        <v>4</v>
      </c>
      <c r="O1006" s="542"/>
      <c r="P1006" s="731" t="str">
        <f>'DICTIONARY-3'!$A$57</f>
        <v>HOD-G</v>
      </c>
      <c r="Q1006" s="732" t="str">
        <f>'DICTIONARY-3'!$A$196</f>
        <v>Mostek nawiertowy</v>
      </c>
      <c r="R1006" s="732" t="str">
        <f>CONCATENATE('DICTIONARY-3'!$A$55,'DICTIONARY-3'!$A$73," ",'DICTIONARY-6'!$A$21," ",'DICTIONARY-2'!$A$2,"100"," ",'DICTIONARY-2'!$A$5,"114-121 G1½"," ",'DICTIONARY-6'!$A$61,", ",'DICTIONARY-6'!$A$76," ",'DICTIONARY-5'!$A$49)</f>
        <v>HOD-G503 Mostek nawiert. DN100 Da114-121 G1½ z zasuwa, ruroc. ŻEL.</v>
      </c>
      <c r="S1006" s="733" t="str">
        <f>'DICTIONARY-4'!$A$2</f>
        <v>WW</v>
      </c>
      <c r="T1006" s="732" t="str">
        <f>'DICTIONARY-4'!$A$18</f>
        <v>Wolny wałek</v>
      </c>
      <c r="U1006" s="734" t="s">
        <v>5749</v>
      </c>
      <c r="V1006" s="735"/>
      <c r="W1006" s="744" t="s">
        <v>5765</v>
      </c>
      <c r="X1006" s="737" t="s">
        <v>5769</v>
      </c>
      <c r="Y1006" s="738"/>
      <c r="Z1006" s="739"/>
      <c r="AA1006" s="739"/>
      <c r="AB1006" s="740">
        <v>16</v>
      </c>
      <c r="AC1006" s="741"/>
      <c r="AD1006" s="741" t="str">
        <f>'DICTIONARY-5'!$A$13</f>
        <v>woda pitna</v>
      </c>
      <c r="AE1006" s="742">
        <v>50</v>
      </c>
      <c r="AF1006" s="743">
        <v>7.5</v>
      </c>
      <c r="AG1006" s="741" t="str">
        <f>'DICTIONARY-5'!$A$23</f>
        <v>powłoka epoksydowa</v>
      </c>
    </row>
    <row r="1007" spans="1:33" x14ac:dyDescent="0.25">
      <c r="A1007" s="856" t="s">
        <v>950</v>
      </c>
      <c r="B1007" s="856" t="s">
        <v>4090</v>
      </c>
      <c r="C1007" s="836">
        <v>247</v>
      </c>
      <c r="D1007" s="836"/>
      <c r="E1007" s="836"/>
      <c r="F1007" s="836"/>
      <c r="G1007" s="496" t="s">
        <v>7812</v>
      </c>
      <c r="H1007" s="797" t="str">
        <f>VLOOKUP(G1007,SETTINGS!$B$7:$D$97,2,0)</f>
        <v>HOD</v>
      </c>
      <c r="I1007" s="796">
        <f>VLOOKUP(G1007,SETTINGS!$B$7:$D$97,3,0)</f>
        <v>0</v>
      </c>
      <c r="J1007" s="670" t="str">
        <f>IFERROR(IF(CURRENCY.FORMAT_1=0,CONCATENATE(TEXT(FIXED(ROUND((C1007/EXC.RATE_1),CURRENCY.FORMAT_1),CURRENCY.FORMAT_1,1),"# ##0;-# ##0"),",-"),FIXED(ROUND((C1007/EXC.RATE_1),CURRENCY.FORMAT_1),CURRENCY.FORMAT_1,0)),'DICTIONARY-5'!$A$2)</f>
        <v>247,-</v>
      </c>
      <c r="K1007" s="670" t="str">
        <f>IF(EXC.RATE_2=0,"",IFERROR(IF(CURRENCY.FORMAT_2=0,CONCATENATE(TEXT(FIXED(ROUND(IF(EXC.RATE.SWITCH=1,C1007/EXC.RATE_2,C1007*EXC.RATE_2),CURRENCY.FORMAT_2),CURRENCY.FORMAT_2,1),"# ##0;-# ##0"),",-"),FIXED(ROUND(IF(EXC.RATE.SWITCH=1,C1007/EXC.RATE_2,C1007*EXC.RATE_2),CURRENCY.FORMAT_2),CURRENCY.FORMAT_2,0)),'DICTIONARY-5'!$A$2))</f>
        <v/>
      </c>
      <c r="L1007" s="670" t="str">
        <f>IFERROR(IF(CURRENCY.FORMAT_1=0,CONCATENATE(TEXT(FIXED(ROUND((C1007*(1-I1007)*(1-ADD.DISCOUNT)*(1+MAT.SURCHARGE)/EXC.RATE_1),CURRENCY.FORMAT_1),CURRENCY.FORMAT_1,1),"# ##0;-# ##0"),",-"),FIXED(ROUND((C1007*(1-I1007)*(1-ADD.DISCOUNT)*(1+MAT.SURCHARGE)/EXC.RATE_1),CURRENCY.FORMAT_1),CURRENCY.FORMAT_1,0)),'DICTIONARY-5'!$A$2)</f>
        <v>257,-</v>
      </c>
      <c r="M1007" s="670" t="str">
        <f>IF(EXC.RATE_2=0,"",IFERROR(IF(CURRENCY.FORMAT_2=0,CONCATENATE(TEXT(FIXED(ROUND(IF(EXC.RATE.SWITCH=1,C1007*(1-I1007)*(1-ADD.DISCOUNT)*(1+MAT.SURCHARGE)/EXC.RATE_2,C1007*(1-I1007)*(1-ADD.DISCOUNT)*(1+MAT.SURCHARGE)*EXC.RATE_2),CURRENCY.FORMAT_2),CURRENCY.FORMAT_2,1),"# ##0;-# ##0"),",-"),FIXED(ROUND(IF(EXC.RATE.SWITCH=1,C1007*(1-I1007)*(1-ADD.DISCOUNT)*(1+MAT.SURCHARGE)/EXC.RATE_2,C1007*(1-I1007)*(1-ADD.DISCOUNT)*(1+MAT.SURCHARGE)*EXC.RATE_2),CURRENCY.FORMAT_2),CURRENCY.FORMAT_2,0)),'DICTIONARY-5'!$A$2))</f>
        <v/>
      </c>
      <c r="N1007" s="542">
        <v>4</v>
      </c>
      <c r="O1007" s="542"/>
      <c r="P1007" s="731" t="str">
        <f>'DICTIONARY-3'!$A$57</f>
        <v>HOD-G</v>
      </c>
      <c r="Q1007" s="732" t="str">
        <f>'DICTIONARY-3'!$A$196</f>
        <v>Mostek nawiertowy</v>
      </c>
      <c r="R1007" s="732" t="str">
        <f>CONCATENATE('DICTIONARY-3'!$A$55,'DICTIONARY-3'!$A$73," ",'DICTIONARY-6'!$A$21," ",'DICTIONARY-2'!$A$2,"150"," ",'DICTIONARY-2'!$A$5,"167-172 G1½"," ",'DICTIONARY-6'!$A$61,", ",'DICTIONARY-6'!$A$76," ",'DICTIONARY-5'!$A$49)</f>
        <v>HOD-G503 Mostek nawiert. DN150 Da167-172 G1½ z zasuwa, ruroc. ŻEL.</v>
      </c>
      <c r="S1007" s="733" t="str">
        <f>'DICTIONARY-4'!$A$2</f>
        <v>WW</v>
      </c>
      <c r="T1007" s="732" t="str">
        <f>'DICTIONARY-4'!$A$18</f>
        <v>Wolny wałek</v>
      </c>
      <c r="U1007" s="734" t="s">
        <v>5572</v>
      </c>
      <c r="V1007" s="735"/>
      <c r="W1007" s="744" t="s">
        <v>5766</v>
      </c>
      <c r="X1007" s="737" t="s">
        <v>5769</v>
      </c>
      <c r="Y1007" s="738"/>
      <c r="Z1007" s="739"/>
      <c r="AA1007" s="739"/>
      <c r="AB1007" s="740">
        <v>16</v>
      </c>
      <c r="AC1007" s="741"/>
      <c r="AD1007" s="741" t="str">
        <f>'DICTIONARY-5'!$A$13</f>
        <v>woda pitna</v>
      </c>
      <c r="AE1007" s="742">
        <v>50</v>
      </c>
      <c r="AF1007" s="743">
        <v>7.5</v>
      </c>
      <c r="AG1007" s="741" t="str">
        <f>'DICTIONARY-5'!$A$23</f>
        <v>powłoka epoksydowa</v>
      </c>
    </row>
    <row r="1008" spans="1:33" x14ac:dyDescent="0.25">
      <c r="A1008" s="856" t="s">
        <v>952</v>
      </c>
      <c r="B1008" s="856" t="s">
        <v>4091</v>
      </c>
      <c r="C1008" s="836">
        <v>284</v>
      </c>
      <c r="D1008" s="836"/>
      <c r="E1008" s="836"/>
      <c r="F1008" s="836"/>
      <c r="G1008" s="496" t="s">
        <v>7812</v>
      </c>
      <c r="H1008" s="797" t="str">
        <f>VLOOKUP(G1008,SETTINGS!$B$7:$D$97,2,0)</f>
        <v>HOD</v>
      </c>
      <c r="I1008" s="796">
        <f>VLOOKUP(G1008,SETTINGS!$B$7:$D$97,3,0)</f>
        <v>0</v>
      </c>
      <c r="J1008" s="670" t="str">
        <f>IFERROR(IF(CURRENCY.FORMAT_1=0,CONCATENATE(TEXT(FIXED(ROUND((C1008/EXC.RATE_1),CURRENCY.FORMAT_1),CURRENCY.FORMAT_1,1),"# ##0;-# ##0"),",-"),FIXED(ROUND((C1008/EXC.RATE_1),CURRENCY.FORMAT_1),CURRENCY.FORMAT_1,0)),'DICTIONARY-5'!$A$2)</f>
        <v>284,-</v>
      </c>
      <c r="K1008" s="670" t="str">
        <f>IF(EXC.RATE_2=0,"",IFERROR(IF(CURRENCY.FORMAT_2=0,CONCATENATE(TEXT(FIXED(ROUND(IF(EXC.RATE.SWITCH=1,C1008/EXC.RATE_2,C1008*EXC.RATE_2),CURRENCY.FORMAT_2),CURRENCY.FORMAT_2,1),"# ##0;-# ##0"),",-"),FIXED(ROUND(IF(EXC.RATE.SWITCH=1,C1008/EXC.RATE_2,C1008*EXC.RATE_2),CURRENCY.FORMAT_2),CURRENCY.FORMAT_2,0)),'DICTIONARY-5'!$A$2))</f>
        <v/>
      </c>
      <c r="L1008" s="670" t="str">
        <f>IFERROR(IF(CURRENCY.FORMAT_1=0,CONCATENATE(TEXT(FIXED(ROUND((C1008*(1-I1008)*(1-ADD.DISCOUNT)*(1+MAT.SURCHARGE)/EXC.RATE_1),CURRENCY.FORMAT_1),CURRENCY.FORMAT_1,1),"# ##0;-# ##0"),",-"),FIXED(ROUND((C1008*(1-I1008)*(1-ADD.DISCOUNT)*(1+MAT.SURCHARGE)/EXC.RATE_1),CURRENCY.FORMAT_1),CURRENCY.FORMAT_1,0)),'DICTIONARY-5'!$A$2)</f>
        <v>295,-</v>
      </c>
      <c r="M1008" s="670" t="str">
        <f>IF(EXC.RATE_2=0,"",IFERROR(IF(CURRENCY.FORMAT_2=0,CONCATENATE(TEXT(FIXED(ROUND(IF(EXC.RATE.SWITCH=1,C1008*(1-I1008)*(1-ADD.DISCOUNT)*(1+MAT.SURCHARGE)/EXC.RATE_2,C1008*(1-I1008)*(1-ADD.DISCOUNT)*(1+MAT.SURCHARGE)*EXC.RATE_2),CURRENCY.FORMAT_2),CURRENCY.FORMAT_2,1),"# ##0;-# ##0"),",-"),FIXED(ROUND(IF(EXC.RATE.SWITCH=1,C1008*(1-I1008)*(1-ADD.DISCOUNT)*(1+MAT.SURCHARGE)/EXC.RATE_2,C1008*(1-I1008)*(1-ADD.DISCOUNT)*(1+MAT.SURCHARGE)*EXC.RATE_2),CURRENCY.FORMAT_2),CURRENCY.FORMAT_2,0)),'DICTIONARY-5'!$A$2))</f>
        <v/>
      </c>
      <c r="N1008" s="542">
        <v>4</v>
      </c>
      <c r="O1008" s="542"/>
      <c r="P1008" s="731" t="str">
        <f>'DICTIONARY-3'!$A$57</f>
        <v>HOD-G</v>
      </c>
      <c r="Q1008" s="732" t="str">
        <f>'DICTIONARY-3'!$A$196</f>
        <v>Mostek nawiertowy</v>
      </c>
      <c r="R1008" s="732" t="str">
        <f>CONCATENATE('DICTIONARY-3'!$A$55,'DICTIONARY-3'!$A$73," ",'DICTIONARY-6'!$A$21," ",'DICTIONARY-2'!$A$2,"200"," ",'DICTIONARY-2'!$A$5,"216-225 G1½"," ",'DICTIONARY-6'!$A$61,", ",'DICTIONARY-6'!$A$76," ",'DICTIONARY-5'!$A$49)</f>
        <v>HOD-G503 Mostek nawiert. DN200 Da216-225 G1½ z zasuwa, ruroc. ŻEL.</v>
      </c>
      <c r="S1008" s="733" t="str">
        <f>'DICTIONARY-4'!$A$2</f>
        <v>WW</v>
      </c>
      <c r="T1008" s="732" t="str">
        <f>'DICTIONARY-4'!$A$18</f>
        <v>Wolny wałek</v>
      </c>
      <c r="U1008" s="734" t="s">
        <v>5750</v>
      </c>
      <c r="V1008" s="735"/>
      <c r="W1008" s="744" t="s">
        <v>5767</v>
      </c>
      <c r="X1008" s="737" t="s">
        <v>5769</v>
      </c>
      <c r="Y1008" s="738"/>
      <c r="Z1008" s="739"/>
      <c r="AA1008" s="739"/>
      <c r="AB1008" s="740">
        <v>16</v>
      </c>
      <c r="AC1008" s="741"/>
      <c r="AD1008" s="741" t="str">
        <f>'DICTIONARY-5'!$A$13</f>
        <v>woda pitna</v>
      </c>
      <c r="AE1008" s="742">
        <v>50</v>
      </c>
      <c r="AF1008" s="743">
        <v>8.6999999999999993</v>
      </c>
      <c r="AG1008" s="741" t="str">
        <f>'DICTIONARY-5'!$A$23</f>
        <v>powłoka epoksydowa</v>
      </c>
    </row>
    <row r="1009" spans="1:33" x14ac:dyDescent="0.25">
      <c r="A1009" s="856" t="s">
        <v>954</v>
      </c>
      <c r="B1009" s="856" t="s">
        <v>4092</v>
      </c>
      <c r="C1009" s="836">
        <v>480</v>
      </c>
      <c r="D1009" s="836"/>
      <c r="E1009" s="836"/>
      <c r="F1009" s="836"/>
      <c r="G1009" s="496" t="s">
        <v>7812</v>
      </c>
      <c r="H1009" s="797" t="str">
        <f>VLOOKUP(G1009,SETTINGS!$B$7:$D$97,2,0)</f>
        <v>HOD</v>
      </c>
      <c r="I1009" s="796">
        <f>VLOOKUP(G1009,SETTINGS!$B$7:$D$97,3,0)</f>
        <v>0</v>
      </c>
      <c r="J1009" s="670" t="str">
        <f>IFERROR(IF(CURRENCY.FORMAT_1=0,CONCATENATE(TEXT(FIXED(ROUND((C1009/EXC.RATE_1),CURRENCY.FORMAT_1),CURRENCY.FORMAT_1,1),"# ##0;-# ##0"),",-"),FIXED(ROUND((C1009/EXC.RATE_1),CURRENCY.FORMAT_1),CURRENCY.FORMAT_1,0)),'DICTIONARY-5'!$A$2)</f>
        <v>480,-</v>
      </c>
      <c r="K1009" s="670" t="str">
        <f>IF(EXC.RATE_2=0,"",IFERROR(IF(CURRENCY.FORMAT_2=0,CONCATENATE(TEXT(FIXED(ROUND(IF(EXC.RATE.SWITCH=1,C1009/EXC.RATE_2,C1009*EXC.RATE_2),CURRENCY.FORMAT_2),CURRENCY.FORMAT_2,1),"# ##0;-# ##0"),",-"),FIXED(ROUND(IF(EXC.RATE.SWITCH=1,C1009/EXC.RATE_2,C1009*EXC.RATE_2),CURRENCY.FORMAT_2),CURRENCY.FORMAT_2,0)),'DICTIONARY-5'!$A$2))</f>
        <v/>
      </c>
      <c r="L1009" s="670" t="str">
        <f>IFERROR(IF(CURRENCY.FORMAT_1=0,CONCATENATE(TEXT(FIXED(ROUND((C1009*(1-I1009)*(1-ADD.DISCOUNT)*(1+MAT.SURCHARGE)/EXC.RATE_1),CURRENCY.FORMAT_1),CURRENCY.FORMAT_1,1),"# ##0;-# ##0"),",-"),FIXED(ROUND((C1009*(1-I1009)*(1-ADD.DISCOUNT)*(1+MAT.SURCHARGE)/EXC.RATE_1),CURRENCY.FORMAT_1),CURRENCY.FORMAT_1,0)),'DICTIONARY-5'!$A$2)</f>
        <v>499,-</v>
      </c>
      <c r="M1009" s="670" t="str">
        <f>IF(EXC.RATE_2=0,"",IFERROR(IF(CURRENCY.FORMAT_2=0,CONCATENATE(TEXT(FIXED(ROUND(IF(EXC.RATE.SWITCH=1,C1009*(1-I1009)*(1-ADD.DISCOUNT)*(1+MAT.SURCHARGE)/EXC.RATE_2,C1009*(1-I1009)*(1-ADD.DISCOUNT)*(1+MAT.SURCHARGE)*EXC.RATE_2),CURRENCY.FORMAT_2),CURRENCY.FORMAT_2,1),"# ##0;-# ##0"),",-"),FIXED(ROUND(IF(EXC.RATE.SWITCH=1,C1009*(1-I1009)*(1-ADD.DISCOUNT)*(1+MAT.SURCHARGE)/EXC.RATE_2,C1009*(1-I1009)*(1-ADD.DISCOUNT)*(1+MAT.SURCHARGE)*EXC.RATE_2),CURRENCY.FORMAT_2),CURRENCY.FORMAT_2,0)),'DICTIONARY-5'!$A$2))</f>
        <v/>
      </c>
      <c r="N1009" s="542">
        <v>4</v>
      </c>
      <c r="O1009" s="542"/>
      <c r="P1009" s="731" t="str">
        <f>'DICTIONARY-3'!$A$57</f>
        <v>HOD-G</v>
      </c>
      <c r="Q1009" s="732" t="str">
        <f>'DICTIONARY-3'!$A$196</f>
        <v>Mostek nawiertowy</v>
      </c>
      <c r="R1009" s="732" t="str">
        <f>CONCATENATE('DICTIONARY-3'!$A$55,'DICTIONARY-3'!$A$73," ",'DICTIONARY-6'!$A$21," ",'DICTIONARY-2'!$A$2,"300"," ",'DICTIONARY-2'!$A$5,"318-326 G1½"," ",'DICTIONARY-6'!$A$61,", ",'DICTIONARY-6'!$A$76," ",'DICTIONARY-5'!$A$49)</f>
        <v>HOD-G503 Mostek nawiert. DN300 Da318-326 G1½ z zasuwa, ruroc. ŻEL.</v>
      </c>
      <c r="S1009" s="733" t="str">
        <f>'DICTIONARY-4'!$A$2</f>
        <v>WW</v>
      </c>
      <c r="T1009" s="732" t="str">
        <f>'DICTIONARY-4'!$A$18</f>
        <v>Wolny wałek</v>
      </c>
      <c r="U1009" s="734" t="s">
        <v>5752</v>
      </c>
      <c r="V1009" s="735"/>
      <c r="W1009" s="744" t="s">
        <v>5768</v>
      </c>
      <c r="X1009" s="737" t="s">
        <v>5769</v>
      </c>
      <c r="Y1009" s="738"/>
      <c r="Z1009" s="739"/>
      <c r="AA1009" s="739"/>
      <c r="AB1009" s="740">
        <v>16</v>
      </c>
      <c r="AC1009" s="741"/>
      <c r="AD1009" s="741" t="str">
        <f>'DICTIONARY-5'!$A$13</f>
        <v>woda pitna</v>
      </c>
      <c r="AE1009" s="742">
        <v>50</v>
      </c>
      <c r="AF1009" s="743">
        <v>10.5</v>
      </c>
      <c r="AG1009" s="741" t="str">
        <f>'DICTIONARY-5'!$A$23</f>
        <v>powłoka epoksydowa</v>
      </c>
    </row>
    <row r="1010" spans="1:33" x14ac:dyDescent="0.25">
      <c r="A1010" s="858" t="s">
        <v>947</v>
      </c>
      <c r="B1010" s="858" t="s">
        <v>4093</v>
      </c>
      <c r="C1010" s="836">
        <v>237</v>
      </c>
      <c r="D1010" s="836"/>
      <c r="E1010" s="836"/>
      <c r="F1010" s="836"/>
      <c r="G1010" s="496" t="s">
        <v>7812</v>
      </c>
      <c r="H1010" s="797" t="str">
        <f>VLOOKUP(G1010,SETTINGS!$B$7:$D$97,2,0)</f>
        <v>HOD</v>
      </c>
      <c r="I1010" s="796">
        <f>VLOOKUP(G1010,SETTINGS!$B$7:$D$97,3,0)</f>
        <v>0</v>
      </c>
      <c r="J1010" s="670" t="str">
        <f>IFERROR(IF(CURRENCY.FORMAT_1=0,CONCATENATE(TEXT(FIXED(ROUND((C1010/EXC.RATE_1),CURRENCY.FORMAT_1),CURRENCY.FORMAT_1,1),"# ##0;-# ##0"),",-"),FIXED(ROUND((C1010/EXC.RATE_1),CURRENCY.FORMAT_1),CURRENCY.FORMAT_1,0)),'DICTIONARY-5'!$A$2)</f>
        <v>237,-</v>
      </c>
      <c r="K1010" s="670" t="str">
        <f>IF(EXC.RATE_2=0,"",IFERROR(IF(CURRENCY.FORMAT_2=0,CONCATENATE(TEXT(FIXED(ROUND(IF(EXC.RATE.SWITCH=1,C1010/EXC.RATE_2,C1010*EXC.RATE_2),CURRENCY.FORMAT_2),CURRENCY.FORMAT_2,1),"# ##0;-# ##0"),",-"),FIXED(ROUND(IF(EXC.RATE.SWITCH=1,C1010/EXC.RATE_2,C1010*EXC.RATE_2),CURRENCY.FORMAT_2),CURRENCY.FORMAT_2,0)),'DICTIONARY-5'!$A$2))</f>
        <v/>
      </c>
      <c r="L1010" s="670" t="str">
        <f>IFERROR(IF(CURRENCY.FORMAT_1=0,CONCATENATE(TEXT(FIXED(ROUND((C1010*(1-I1010)*(1-ADD.DISCOUNT)*(1+MAT.SURCHARGE)/EXC.RATE_1),CURRENCY.FORMAT_1),CURRENCY.FORMAT_1,1),"# ##0;-# ##0"),",-"),FIXED(ROUND((C1010*(1-I1010)*(1-ADD.DISCOUNT)*(1+MAT.SURCHARGE)/EXC.RATE_1),CURRENCY.FORMAT_1),CURRENCY.FORMAT_1,0)),'DICTIONARY-5'!$A$2)</f>
        <v>246,-</v>
      </c>
      <c r="M1010" s="670" t="str">
        <f>IF(EXC.RATE_2=0,"",IFERROR(IF(CURRENCY.FORMAT_2=0,CONCATENATE(TEXT(FIXED(ROUND(IF(EXC.RATE.SWITCH=1,C1010*(1-I1010)*(1-ADD.DISCOUNT)*(1+MAT.SURCHARGE)/EXC.RATE_2,C1010*(1-I1010)*(1-ADD.DISCOUNT)*(1+MAT.SURCHARGE)*EXC.RATE_2),CURRENCY.FORMAT_2),CURRENCY.FORMAT_2,1),"# ##0;-# ##0"),",-"),FIXED(ROUND(IF(EXC.RATE.SWITCH=1,C1010*(1-I1010)*(1-ADD.DISCOUNT)*(1+MAT.SURCHARGE)/EXC.RATE_2,C1010*(1-I1010)*(1-ADD.DISCOUNT)*(1+MAT.SURCHARGE)*EXC.RATE_2),CURRENCY.FORMAT_2),CURRENCY.FORMAT_2,0)),'DICTIONARY-5'!$A$2))</f>
        <v/>
      </c>
      <c r="N1010" s="542">
        <v>4</v>
      </c>
      <c r="O1010" s="542"/>
      <c r="P1010" s="731" t="str">
        <f>'DICTIONARY-3'!$A$57</f>
        <v>HOD-G</v>
      </c>
      <c r="Q1010" s="732" t="str">
        <f>'DICTIONARY-3'!$A$196</f>
        <v>Mostek nawiertowy</v>
      </c>
      <c r="R1010" s="732" t="str">
        <f>CONCATENATE('DICTIONARY-3'!$A$55,'DICTIONARY-3'!$A$73," ",'DICTIONARY-6'!$A$21," ",'DICTIONARY-2'!$A$2,"80"," ",'DICTIONARY-2'!$A$5,"94-99 G2"," ",'DICTIONARY-6'!$A$61,", ",'DICTIONARY-6'!$A$76," ",'DICTIONARY-5'!$A$49)</f>
        <v>HOD-G503 Mostek nawiert. DN80 Da94-99 G2 z zasuwa, ruroc. ŻEL.</v>
      </c>
      <c r="S1010" s="733" t="str">
        <f>'DICTIONARY-4'!$A$2</f>
        <v>WW</v>
      </c>
      <c r="T1010" s="732" t="str">
        <f>'DICTIONARY-4'!$A$18</f>
        <v>Wolny wałek</v>
      </c>
      <c r="U1010" s="734" t="s">
        <v>5760</v>
      </c>
      <c r="V1010" s="735"/>
      <c r="W1010" s="744" t="s">
        <v>5764</v>
      </c>
      <c r="X1010" s="750" t="s">
        <v>50</v>
      </c>
      <c r="Y1010" s="738"/>
      <c r="Z1010" s="739"/>
      <c r="AA1010" s="739"/>
      <c r="AB1010" s="740">
        <v>16</v>
      </c>
      <c r="AC1010" s="741"/>
      <c r="AD1010" s="741" t="str">
        <f>'DICTIONARY-5'!$A$13</f>
        <v>woda pitna</v>
      </c>
      <c r="AE1010" s="742">
        <v>50</v>
      </c>
      <c r="AF1010" s="743">
        <v>6.7</v>
      </c>
      <c r="AG1010" s="741" t="str">
        <f>'DICTIONARY-5'!$A$23</f>
        <v>powłoka epoksydowa</v>
      </c>
    </row>
    <row r="1011" spans="1:33" x14ac:dyDescent="0.25">
      <c r="A1011" s="858" t="s">
        <v>949</v>
      </c>
      <c r="B1011" s="858" t="s">
        <v>4094</v>
      </c>
      <c r="C1011" s="836">
        <v>234</v>
      </c>
      <c r="D1011" s="836"/>
      <c r="E1011" s="836"/>
      <c r="F1011" s="836"/>
      <c r="G1011" s="496" t="s">
        <v>7812</v>
      </c>
      <c r="H1011" s="797" t="str">
        <f>VLOOKUP(G1011,SETTINGS!$B$7:$D$97,2,0)</f>
        <v>HOD</v>
      </c>
      <c r="I1011" s="796">
        <f>VLOOKUP(G1011,SETTINGS!$B$7:$D$97,3,0)</f>
        <v>0</v>
      </c>
      <c r="J1011" s="670" t="str">
        <f>IFERROR(IF(CURRENCY.FORMAT_1=0,CONCATENATE(TEXT(FIXED(ROUND((C1011/EXC.RATE_1),CURRENCY.FORMAT_1),CURRENCY.FORMAT_1,1),"# ##0;-# ##0"),",-"),FIXED(ROUND((C1011/EXC.RATE_1),CURRENCY.FORMAT_1),CURRENCY.FORMAT_1,0)),'DICTIONARY-5'!$A$2)</f>
        <v>234,-</v>
      </c>
      <c r="K1011" s="670" t="str">
        <f>IF(EXC.RATE_2=0,"",IFERROR(IF(CURRENCY.FORMAT_2=0,CONCATENATE(TEXT(FIXED(ROUND(IF(EXC.RATE.SWITCH=1,C1011/EXC.RATE_2,C1011*EXC.RATE_2),CURRENCY.FORMAT_2),CURRENCY.FORMAT_2,1),"# ##0;-# ##0"),",-"),FIXED(ROUND(IF(EXC.RATE.SWITCH=1,C1011/EXC.RATE_2,C1011*EXC.RATE_2),CURRENCY.FORMAT_2),CURRENCY.FORMAT_2,0)),'DICTIONARY-5'!$A$2))</f>
        <v/>
      </c>
      <c r="L1011" s="670" t="str">
        <f>IFERROR(IF(CURRENCY.FORMAT_1=0,CONCATENATE(TEXT(FIXED(ROUND((C1011*(1-I1011)*(1-ADD.DISCOUNT)*(1+MAT.SURCHARGE)/EXC.RATE_1),CURRENCY.FORMAT_1),CURRENCY.FORMAT_1,1),"# ##0;-# ##0"),",-"),FIXED(ROUND((C1011*(1-I1011)*(1-ADD.DISCOUNT)*(1+MAT.SURCHARGE)/EXC.RATE_1),CURRENCY.FORMAT_1),CURRENCY.FORMAT_1,0)),'DICTIONARY-5'!$A$2)</f>
        <v>243,-</v>
      </c>
      <c r="M1011" s="670" t="str">
        <f>IF(EXC.RATE_2=0,"",IFERROR(IF(CURRENCY.FORMAT_2=0,CONCATENATE(TEXT(FIXED(ROUND(IF(EXC.RATE.SWITCH=1,C1011*(1-I1011)*(1-ADD.DISCOUNT)*(1+MAT.SURCHARGE)/EXC.RATE_2,C1011*(1-I1011)*(1-ADD.DISCOUNT)*(1+MAT.SURCHARGE)*EXC.RATE_2),CURRENCY.FORMAT_2),CURRENCY.FORMAT_2,1),"# ##0;-# ##0"),",-"),FIXED(ROUND(IF(EXC.RATE.SWITCH=1,C1011*(1-I1011)*(1-ADD.DISCOUNT)*(1+MAT.SURCHARGE)/EXC.RATE_2,C1011*(1-I1011)*(1-ADD.DISCOUNT)*(1+MAT.SURCHARGE)*EXC.RATE_2),CURRENCY.FORMAT_2),CURRENCY.FORMAT_2,0)),'DICTIONARY-5'!$A$2))</f>
        <v/>
      </c>
      <c r="N1011" s="542">
        <v>4</v>
      </c>
      <c r="O1011" s="542"/>
      <c r="P1011" s="731" t="str">
        <f>'DICTIONARY-3'!$A$57</f>
        <v>HOD-G</v>
      </c>
      <c r="Q1011" s="732" t="str">
        <f>'DICTIONARY-3'!$A$196</f>
        <v>Mostek nawiertowy</v>
      </c>
      <c r="R1011" s="732" t="str">
        <f>CONCATENATE('DICTIONARY-3'!$A$55,'DICTIONARY-3'!$A$73," ",'DICTIONARY-6'!$A$21," ",'DICTIONARY-2'!$A$2,"100"," ",'DICTIONARY-2'!$A$5,"114-121 G2"," ",'DICTIONARY-6'!$A$61,", ",'DICTIONARY-6'!$A$76," ",'DICTIONARY-5'!$A$49)</f>
        <v>HOD-G503 Mostek nawiert. DN100 Da114-121 G2 z zasuwa, ruroc. ŻEL.</v>
      </c>
      <c r="S1011" s="733" t="str">
        <f>'DICTIONARY-4'!$A$2</f>
        <v>WW</v>
      </c>
      <c r="T1011" s="732" t="str">
        <f>'DICTIONARY-4'!$A$18</f>
        <v>Wolny wałek</v>
      </c>
      <c r="U1011" s="734" t="s">
        <v>5749</v>
      </c>
      <c r="V1011" s="735"/>
      <c r="W1011" s="744" t="s">
        <v>5765</v>
      </c>
      <c r="X1011" s="750" t="s">
        <v>50</v>
      </c>
      <c r="Y1011" s="738"/>
      <c r="Z1011" s="739"/>
      <c r="AA1011" s="739"/>
      <c r="AB1011" s="740">
        <v>16</v>
      </c>
      <c r="AC1011" s="741"/>
      <c r="AD1011" s="741" t="str">
        <f>'DICTIONARY-5'!$A$13</f>
        <v>woda pitna</v>
      </c>
      <c r="AE1011" s="742">
        <v>50</v>
      </c>
      <c r="AF1011" s="743">
        <v>7.5</v>
      </c>
      <c r="AG1011" s="741" t="str">
        <f>'DICTIONARY-5'!$A$23</f>
        <v>powłoka epoksydowa</v>
      </c>
    </row>
    <row r="1012" spans="1:33" x14ac:dyDescent="0.25">
      <c r="A1012" s="858" t="s">
        <v>951</v>
      </c>
      <c r="B1012" s="858" t="s">
        <v>4095</v>
      </c>
      <c r="C1012" s="836">
        <v>248</v>
      </c>
      <c r="D1012" s="836"/>
      <c r="E1012" s="836"/>
      <c r="F1012" s="836"/>
      <c r="G1012" s="496" t="s">
        <v>7812</v>
      </c>
      <c r="H1012" s="797" t="str">
        <f>VLOOKUP(G1012,SETTINGS!$B$7:$D$97,2,0)</f>
        <v>HOD</v>
      </c>
      <c r="I1012" s="796">
        <f>VLOOKUP(G1012,SETTINGS!$B$7:$D$97,3,0)</f>
        <v>0</v>
      </c>
      <c r="J1012" s="670" t="str">
        <f>IFERROR(IF(CURRENCY.FORMAT_1=0,CONCATENATE(TEXT(FIXED(ROUND((C1012/EXC.RATE_1),CURRENCY.FORMAT_1),CURRENCY.FORMAT_1,1),"# ##0;-# ##0"),",-"),FIXED(ROUND((C1012/EXC.RATE_1),CURRENCY.FORMAT_1),CURRENCY.FORMAT_1,0)),'DICTIONARY-5'!$A$2)</f>
        <v>248,-</v>
      </c>
      <c r="K1012" s="670" t="str">
        <f>IF(EXC.RATE_2=0,"",IFERROR(IF(CURRENCY.FORMAT_2=0,CONCATENATE(TEXT(FIXED(ROUND(IF(EXC.RATE.SWITCH=1,C1012/EXC.RATE_2,C1012*EXC.RATE_2),CURRENCY.FORMAT_2),CURRENCY.FORMAT_2,1),"# ##0;-# ##0"),",-"),FIXED(ROUND(IF(EXC.RATE.SWITCH=1,C1012/EXC.RATE_2,C1012*EXC.RATE_2),CURRENCY.FORMAT_2),CURRENCY.FORMAT_2,0)),'DICTIONARY-5'!$A$2))</f>
        <v/>
      </c>
      <c r="L1012" s="670" t="str">
        <f>IFERROR(IF(CURRENCY.FORMAT_1=0,CONCATENATE(TEXT(FIXED(ROUND((C1012*(1-I1012)*(1-ADD.DISCOUNT)*(1+MAT.SURCHARGE)/EXC.RATE_1),CURRENCY.FORMAT_1),CURRENCY.FORMAT_1,1),"# ##0;-# ##0"),",-"),FIXED(ROUND((C1012*(1-I1012)*(1-ADD.DISCOUNT)*(1+MAT.SURCHARGE)/EXC.RATE_1),CURRENCY.FORMAT_1),CURRENCY.FORMAT_1,0)),'DICTIONARY-5'!$A$2)</f>
        <v>258,-</v>
      </c>
      <c r="M1012" s="670" t="str">
        <f>IF(EXC.RATE_2=0,"",IFERROR(IF(CURRENCY.FORMAT_2=0,CONCATENATE(TEXT(FIXED(ROUND(IF(EXC.RATE.SWITCH=1,C1012*(1-I1012)*(1-ADD.DISCOUNT)*(1+MAT.SURCHARGE)/EXC.RATE_2,C1012*(1-I1012)*(1-ADD.DISCOUNT)*(1+MAT.SURCHARGE)*EXC.RATE_2),CURRENCY.FORMAT_2),CURRENCY.FORMAT_2,1),"# ##0;-# ##0"),",-"),FIXED(ROUND(IF(EXC.RATE.SWITCH=1,C1012*(1-I1012)*(1-ADD.DISCOUNT)*(1+MAT.SURCHARGE)/EXC.RATE_2,C1012*(1-I1012)*(1-ADD.DISCOUNT)*(1+MAT.SURCHARGE)*EXC.RATE_2),CURRENCY.FORMAT_2),CURRENCY.FORMAT_2,0)),'DICTIONARY-5'!$A$2))</f>
        <v/>
      </c>
      <c r="N1012" s="542">
        <v>4</v>
      </c>
      <c r="O1012" s="542"/>
      <c r="P1012" s="731" t="str">
        <f>'DICTIONARY-3'!$A$57</f>
        <v>HOD-G</v>
      </c>
      <c r="Q1012" s="732" t="str">
        <f>'DICTIONARY-3'!$A$196</f>
        <v>Mostek nawiertowy</v>
      </c>
      <c r="R1012" s="732" t="str">
        <f>CONCATENATE('DICTIONARY-3'!$A$55,'DICTIONARY-3'!$A$73," ",'DICTIONARY-6'!$A$21," ",'DICTIONARY-2'!$A$2,"150"," ",'DICTIONARY-2'!$A$5,"167-172 G2"," ",'DICTIONARY-6'!$A$61,", ",'DICTIONARY-6'!$A$76," ",'DICTIONARY-5'!$A$49)</f>
        <v>HOD-G503 Mostek nawiert. DN150 Da167-172 G2 z zasuwa, ruroc. ŻEL.</v>
      </c>
      <c r="S1012" s="733" t="str">
        <f>'DICTIONARY-4'!$A$2</f>
        <v>WW</v>
      </c>
      <c r="T1012" s="732" t="str">
        <f>'DICTIONARY-4'!$A$18</f>
        <v>Wolny wałek</v>
      </c>
      <c r="U1012" s="734" t="s">
        <v>5572</v>
      </c>
      <c r="V1012" s="735"/>
      <c r="W1012" s="744" t="s">
        <v>5766</v>
      </c>
      <c r="X1012" s="750" t="s">
        <v>50</v>
      </c>
      <c r="Y1012" s="738"/>
      <c r="Z1012" s="739"/>
      <c r="AA1012" s="739"/>
      <c r="AB1012" s="740">
        <v>16</v>
      </c>
      <c r="AC1012" s="741"/>
      <c r="AD1012" s="741" t="str">
        <f>'DICTIONARY-5'!$A$13</f>
        <v>woda pitna</v>
      </c>
      <c r="AE1012" s="742">
        <v>50</v>
      </c>
      <c r="AF1012" s="743">
        <v>8</v>
      </c>
      <c r="AG1012" s="741" t="str">
        <f>'DICTIONARY-5'!$A$23</f>
        <v>powłoka epoksydowa</v>
      </c>
    </row>
    <row r="1013" spans="1:33" x14ac:dyDescent="0.25">
      <c r="A1013" s="858" t="s">
        <v>953</v>
      </c>
      <c r="B1013" s="858" t="s">
        <v>4096</v>
      </c>
      <c r="C1013" s="836">
        <v>285</v>
      </c>
      <c r="D1013" s="836"/>
      <c r="E1013" s="836"/>
      <c r="F1013" s="836"/>
      <c r="G1013" s="496" t="s">
        <v>7812</v>
      </c>
      <c r="H1013" s="797" t="str">
        <f>VLOOKUP(G1013,SETTINGS!$B$7:$D$97,2,0)</f>
        <v>HOD</v>
      </c>
      <c r="I1013" s="796">
        <f>VLOOKUP(G1013,SETTINGS!$B$7:$D$97,3,0)</f>
        <v>0</v>
      </c>
      <c r="J1013" s="670" t="str">
        <f>IFERROR(IF(CURRENCY.FORMAT_1=0,CONCATENATE(TEXT(FIXED(ROUND((C1013/EXC.RATE_1),CURRENCY.FORMAT_1),CURRENCY.FORMAT_1,1),"# ##0;-# ##0"),",-"),FIXED(ROUND((C1013/EXC.RATE_1),CURRENCY.FORMAT_1),CURRENCY.FORMAT_1,0)),'DICTIONARY-5'!$A$2)</f>
        <v>285,-</v>
      </c>
      <c r="K1013" s="670" t="str">
        <f>IF(EXC.RATE_2=0,"",IFERROR(IF(CURRENCY.FORMAT_2=0,CONCATENATE(TEXT(FIXED(ROUND(IF(EXC.RATE.SWITCH=1,C1013/EXC.RATE_2,C1013*EXC.RATE_2),CURRENCY.FORMAT_2),CURRENCY.FORMAT_2,1),"# ##0;-# ##0"),",-"),FIXED(ROUND(IF(EXC.RATE.SWITCH=1,C1013/EXC.RATE_2,C1013*EXC.RATE_2),CURRENCY.FORMAT_2),CURRENCY.FORMAT_2,0)),'DICTIONARY-5'!$A$2))</f>
        <v/>
      </c>
      <c r="L1013" s="670" t="str">
        <f>IFERROR(IF(CURRENCY.FORMAT_1=0,CONCATENATE(TEXT(FIXED(ROUND((C1013*(1-I1013)*(1-ADD.DISCOUNT)*(1+MAT.SURCHARGE)/EXC.RATE_1),CURRENCY.FORMAT_1),CURRENCY.FORMAT_1,1),"# ##0;-# ##0"),",-"),FIXED(ROUND((C1013*(1-I1013)*(1-ADD.DISCOUNT)*(1+MAT.SURCHARGE)/EXC.RATE_1),CURRENCY.FORMAT_1),CURRENCY.FORMAT_1,0)),'DICTIONARY-5'!$A$2)</f>
        <v>296,-</v>
      </c>
      <c r="M1013" s="670" t="str">
        <f>IF(EXC.RATE_2=0,"",IFERROR(IF(CURRENCY.FORMAT_2=0,CONCATENATE(TEXT(FIXED(ROUND(IF(EXC.RATE.SWITCH=1,C1013*(1-I1013)*(1-ADD.DISCOUNT)*(1+MAT.SURCHARGE)/EXC.RATE_2,C1013*(1-I1013)*(1-ADD.DISCOUNT)*(1+MAT.SURCHARGE)*EXC.RATE_2),CURRENCY.FORMAT_2),CURRENCY.FORMAT_2,1),"# ##0;-# ##0"),",-"),FIXED(ROUND(IF(EXC.RATE.SWITCH=1,C1013*(1-I1013)*(1-ADD.DISCOUNT)*(1+MAT.SURCHARGE)/EXC.RATE_2,C1013*(1-I1013)*(1-ADD.DISCOUNT)*(1+MAT.SURCHARGE)*EXC.RATE_2),CURRENCY.FORMAT_2),CURRENCY.FORMAT_2,0)),'DICTIONARY-5'!$A$2))</f>
        <v/>
      </c>
      <c r="N1013" s="542">
        <v>4</v>
      </c>
      <c r="O1013" s="542"/>
      <c r="P1013" s="731" t="str">
        <f>'DICTIONARY-3'!$A$57</f>
        <v>HOD-G</v>
      </c>
      <c r="Q1013" s="732" t="str">
        <f>'DICTIONARY-3'!$A$196</f>
        <v>Mostek nawiertowy</v>
      </c>
      <c r="R1013" s="732" t="str">
        <f>CONCATENATE('DICTIONARY-3'!$A$55,'DICTIONARY-3'!$A$73," ",'DICTIONARY-6'!$A$21," ",'DICTIONARY-2'!$A$2,"200"," ",'DICTIONARY-2'!$A$5,"216-225 G2"," ",'DICTIONARY-6'!$A$61,", ",'DICTIONARY-6'!$A$76," ",'DICTIONARY-5'!$A$49)</f>
        <v>HOD-G503 Mostek nawiert. DN200 Da216-225 G2 z zasuwa, ruroc. ŻEL.</v>
      </c>
      <c r="S1013" s="733" t="str">
        <f>'DICTIONARY-4'!$A$2</f>
        <v>WW</v>
      </c>
      <c r="T1013" s="732" t="str">
        <f>'DICTIONARY-4'!$A$18</f>
        <v>Wolny wałek</v>
      </c>
      <c r="U1013" s="734" t="s">
        <v>5750</v>
      </c>
      <c r="V1013" s="735"/>
      <c r="W1013" s="744" t="s">
        <v>5767</v>
      </c>
      <c r="X1013" s="750" t="s">
        <v>50</v>
      </c>
      <c r="Y1013" s="738"/>
      <c r="Z1013" s="739"/>
      <c r="AA1013" s="739"/>
      <c r="AB1013" s="740">
        <v>16</v>
      </c>
      <c r="AC1013" s="741"/>
      <c r="AD1013" s="741" t="str">
        <f>'DICTIONARY-5'!$A$13</f>
        <v>woda pitna</v>
      </c>
      <c r="AE1013" s="742">
        <v>50</v>
      </c>
      <c r="AF1013" s="743">
        <v>8.1999999999999993</v>
      </c>
      <c r="AG1013" s="741" t="str">
        <f>'DICTIONARY-5'!$A$23</f>
        <v>powłoka epoksydowa</v>
      </c>
    </row>
    <row r="1014" spans="1:33" x14ac:dyDescent="0.25">
      <c r="A1014" s="856" t="s">
        <v>955</v>
      </c>
      <c r="B1014" s="856" t="s">
        <v>4097</v>
      </c>
      <c r="C1014" s="836">
        <v>481</v>
      </c>
      <c r="D1014" s="836"/>
      <c r="E1014" s="836"/>
      <c r="F1014" s="836"/>
      <c r="G1014" s="496" t="s">
        <v>7812</v>
      </c>
      <c r="H1014" s="797" t="str">
        <f>VLOOKUP(G1014,SETTINGS!$B$7:$D$97,2,0)</f>
        <v>HOD</v>
      </c>
      <c r="I1014" s="796">
        <f>VLOOKUP(G1014,SETTINGS!$B$7:$D$97,3,0)</f>
        <v>0</v>
      </c>
      <c r="J1014" s="670" t="str">
        <f>IFERROR(IF(CURRENCY.FORMAT_1=0,CONCATENATE(TEXT(FIXED(ROUND((C1014/EXC.RATE_1),CURRENCY.FORMAT_1),CURRENCY.FORMAT_1,1),"# ##0;-# ##0"),",-"),FIXED(ROUND((C1014/EXC.RATE_1),CURRENCY.FORMAT_1),CURRENCY.FORMAT_1,0)),'DICTIONARY-5'!$A$2)</f>
        <v>481,-</v>
      </c>
      <c r="K1014" s="670" t="str">
        <f>IF(EXC.RATE_2=0,"",IFERROR(IF(CURRENCY.FORMAT_2=0,CONCATENATE(TEXT(FIXED(ROUND(IF(EXC.RATE.SWITCH=1,C1014/EXC.RATE_2,C1014*EXC.RATE_2),CURRENCY.FORMAT_2),CURRENCY.FORMAT_2,1),"# ##0;-# ##0"),",-"),FIXED(ROUND(IF(EXC.RATE.SWITCH=1,C1014/EXC.RATE_2,C1014*EXC.RATE_2),CURRENCY.FORMAT_2),CURRENCY.FORMAT_2,0)),'DICTIONARY-5'!$A$2))</f>
        <v/>
      </c>
      <c r="L1014" s="670" t="str">
        <f>IFERROR(IF(CURRENCY.FORMAT_1=0,CONCATENATE(TEXT(FIXED(ROUND((C1014*(1-I1014)*(1-ADD.DISCOUNT)*(1+MAT.SURCHARGE)/EXC.RATE_1),CURRENCY.FORMAT_1),CURRENCY.FORMAT_1,1),"# ##0;-# ##0"),",-"),FIXED(ROUND((C1014*(1-I1014)*(1-ADD.DISCOUNT)*(1+MAT.SURCHARGE)/EXC.RATE_1),CURRENCY.FORMAT_1),CURRENCY.FORMAT_1,0)),'DICTIONARY-5'!$A$2)</f>
        <v>500,-</v>
      </c>
      <c r="M1014" s="670" t="str">
        <f>IF(EXC.RATE_2=0,"",IFERROR(IF(CURRENCY.FORMAT_2=0,CONCATENATE(TEXT(FIXED(ROUND(IF(EXC.RATE.SWITCH=1,C1014*(1-I1014)*(1-ADD.DISCOUNT)*(1+MAT.SURCHARGE)/EXC.RATE_2,C1014*(1-I1014)*(1-ADD.DISCOUNT)*(1+MAT.SURCHARGE)*EXC.RATE_2),CURRENCY.FORMAT_2),CURRENCY.FORMAT_2,1),"# ##0;-# ##0"),",-"),FIXED(ROUND(IF(EXC.RATE.SWITCH=1,C1014*(1-I1014)*(1-ADD.DISCOUNT)*(1+MAT.SURCHARGE)/EXC.RATE_2,C1014*(1-I1014)*(1-ADD.DISCOUNT)*(1+MAT.SURCHARGE)*EXC.RATE_2),CURRENCY.FORMAT_2),CURRENCY.FORMAT_2,0)),'DICTIONARY-5'!$A$2))</f>
        <v/>
      </c>
      <c r="N1014" s="542">
        <v>4</v>
      </c>
      <c r="O1014" s="542"/>
      <c r="P1014" s="731" t="str">
        <f>'DICTIONARY-3'!$A$57</f>
        <v>HOD-G</v>
      </c>
      <c r="Q1014" s="732" t="str">
        <f>'DICTIONARY-3'!$A$196</f>
        <v>Mostek nawiertowy</v>
      </c>
      <c r="R1014" s="732" t="str">
        <f>CONCATENATE('DICTIONARY-3'!$A$55,'DICTIONARY-3'!$A$73," ",'DICTIONARY-6'!$A$21," ",'DICTIONARY-2'!$A$2,"300"," ",'DICTIONARY-2'!$A$5,"318-326 G2"," ",'DICTIONARY-6'!$A$61,", ",'DICTIONARY-6'!$A$76," ",'DICTIONARY-5'!$A$49)</f>
        <v>HOD-G503 Mostek nawiert. DN300 Da318-326 G2 z zasuwa, ruroc. ŻEL.</v>
      </c>
      <c r="S1014" s="733" t="str">
        <f>'DICTIONARY-4'!$A$2</f>
        <v>WW</v>
      </c>
      <c r="T1014" s="732" t="str">
        <f>'DICTIONARY-4'!$A$18</f>
        <v>Wolny wałek</v>
      </c>
      <c r="U1014" s="734" t="s">
        <v>5752</v>
      </c>
      <c r="V1014" s="735"/>
      <c r="W1014" s="744" t="s">
        <v>5768</v>
      </c>
      <c r="X1014" s="750" t="s">
        <v>50</v>
      </c>
      <c r="Y1014" s="738"/>
      <c r="Z1014" s="739"/>
      <c r="AA1014" s="739"/>
      <c r="AB1014" s="740">
        <v>16</v>
      </c>
      <c r="AC1014" s="741"/>
      <c r="AD1014" s="741" t="str">
        <f>'DICTIONARY-5'!$A$13</f>
        <v>woda pitna</v>
      </c>
      <c r="AE1014" s="742">
        <v>50</v>
      </c>
      <c r="AF1014" s="743">
        <v>10.5</v>
      </c>
      <c r="AG1014" s="741" t="str">
        <f>'DICTIONARY-5'!$A$23</f>
        <v>powłoka epoksydowa</v>
      </c>
    </row>
    <row r="1015" spans="1:33" x14ac:dyDescent="0.25">
      <c r="A1015" s="856" t="s">
        <v>956</v>
      </c>
      <c r="B1015" s="856" t="s">
        <v>4144</v>
      </c>
      <c r="C1015" s="836">
        <v>126</v>
      </c>
      <c r="D1015" s="836"/>
      <c r="E1015" s="836"/>
      <c r="F1015" s="836"/>
      <c r="G1015" s="496" t="s">
        <v>7812</v>
      </c>
      <c r="H1015" s="797" t="str">
        <f>VLOOKUP(G1015,SETTINGS!$B$7:$D$97,2,0)</f>
        <v>HOD</v>
      </c>
      <c r="I1015" s="796">
        <f>VLOOKUP(G1015,SETTINGS!$B$7:$D$97,3,0)</f>
        <v>0</v>
      </c>
      <c r="J1015" s="670" t="str">
        <f>IFERROR(IF(CURRENCY.FORMAT_1=0,CONCATENATE(TEXT(FIXED(ROUND((C1015/EXC.RATE_1),CURRENCY.FORMAT_1),CURRENCY.FORMAT_1,1),"# ##0;-# ##0"),",-"),FIXED(ROUND((C1015/EXC.RATE_1),CURRENCY.FORMAT_1),CURRENCY.FORMAT_1,0)),'DICTIONARY-5'!$A$2)</f>
        <v>126,-</v>
      </c>
      <c r="K1015" s="670" t="str">
        <f>IF(EXC.RATE_2=0,"",IFERROR(IF(CURRENCY.FORMAT_2=0,CONCATENATE(TEXT(FIXED(ROUND(IF(EXC.RATE.SWITCH=1,C1015/EXC.RATE_2,C1015*EXC.RATE_2),CURRENCY.FORMAT_2),CURRENCY.FORMAT_2,1),"# ##0;-# ##0"),",-"),FIXED(ROUND(IF(EXC.RATE.SWITCH=1,C1015/EXC.RATE_2,C1015*EXC.RATE_2),CURRENCY.FORMAT_2),CURRENCY.FORMAT_2,0)),'DICTIONARY-5'!$A$2))</f>
        <v/>
      </c>
      <c r="L1015" s="670" t="str">
        <f>IFERROR(IF(CURRENCY.FORMAT_1=0,CONCATENATE(TEXT(FIXED(ROUND((C1015*(1-I1015)*(1-ADD.DISCOUNT)*(1+MAT.SURCHARGE)/EXC.RATE_1),CURRENCY.FORMAT_1),CURRENCY.FORMAT_1,1),"# ##0;-# ##0"),",-"),FIXED(ROUND((C1015*(1-I1015)*(1-ADD.DISCOUNT)*(1+MAT.SURCHARGE)/EXC.RATE_1),CURRENCY.FORMAT_1),CURRENCY.FORMAT_1,0)),'DICTIONARY-5'!$A$2)</f>
        <v>131,-</v>
      </c>
      <c r="M1015" s="670" t="str">
        <f>IF(EXC.RATE_2=0,"",IFERROR(IF(CURRENCY.FORMAT_2=0,CONCATENATE(TEXT(FIXED(ROUND(IF(EXC.RATE.SWITCH=1,C1015*(1-I1015)*(1-ADD.DISCOUNT)*(1+MAT.SURCHARGE)/EXC.RATE_2,C1015*(1-I1015)*(1-ADD.DISCOUNT)*(1+MAT.SURCHARGE)*EXC.RATE_2),CURRENCY.FORMAT_2),CURRENCY.FORMAT_2,1),"# ##0;-# ##0"),",-"),FIXED(ROUND(IF(EXC.RATE.SWITCH=1,C1015*(1-I1015)*(1-ADD.DISCOUNT)*(1+MAT.SURCHARGE)/EXC.RATE_2,C1015*(1-I1015)*(1-ADD.DISCOUNT)*(1+MAT.SURCHARGE)*EXC.RATE_2),CURRENCY.FORMAT_2),CURRENCY.FORMAT_2,0)),'DICTIONARY-5'!$A$2))</f>
        <v/>
      </c>
      <c r="N1015" s="542">
        <v>4</v>
      </c>
      <c r="O1015" s="542"/>
      <c r="P1015" s="731" t="str">
        <f>'DICTIONARY-3'!$A$57</f>
        <v>HOD-G</v>
      </c>
      <c r="Q1015" s="732" t="str">
        <f>'DICTIONARY-3'!$A$196</f>
        <v>Mostek nawiertowy</v>
      </c>
      <c r="R1015" s="732" t="str">
        <f>CONCATENATE('DICTIONARY-3'!$A$55,'DICTIONARY-3'!$A$75," ",'DICTIONARY-6'!$A$21," ",'DICTIONARY-2'!$A$2,"80"," ",'DICTIONARY-2'!$A$5,"94-99"," ",'DICTIONARY-6'!$A$62,"+",'DICTIONARY-6'!$A$63," ","d32",", ",'DICTIONARY-6'!$A$76," ",'DICTIONARY-5'!$A$49)</f>
        <v>HOD-G512 Mostek nawiert. DN80 Da94-99 z zaw. kul.+końc. d32, ruroc. ŻEL.</v>
      </c>
      <c r="S1015" s="733" t="str">
        <f>'DICTIONARY-4'!$A$2</f>
        <v>WW</v>
      </c>
      <c r="T1015" s="732" t="str">
        <f>'DICTIONARY-4'!$A$18</f>
        <v>Wolny wałek</v>
      </c>
      <c r="U1015" s="734" t="s">
        <v>5760</v>
      </c>
      <c r="V1015" s="735"/>
      <c r="W1015" s="744" t="s">
        <v>5764</v>
      </c>
      <c r="X1015" s="737"/>
      <c r="Y1015" s="738"/>
      <c r="Z1015" s="739"/>
      <c r="AA1015" s="739"/>
      <c r="AB1015" s="740">
        <v>16</v>
      </c>
      <c r="AC1015" s="741"/>
      <c r="AD1015" s="741" t="str">
        <f>'DICTIONARY-5'!$A$13</f>
        <v>woda pitna</v>
      </c>
      <c r="AE1015" s="742">
        <v>50</v>
      </c>
      <c r="AF1015" s="743">
        <v>4</v>
      </c>
      <c r="AG1015" s="741" t="str">
        <f>'DICTIONARY-5'!$A$23</f>
        <v>powłoka epoksydowa</v>
      </c>
    </row>
    <row r="1016" spans="1:33" x14ac:dyDescent="0.25">
      <c r="A1016" s="856" t="s">
        <v>958</v>
      </c>
      <c r="B1016" s="856" t="s">
        <v>4145</v>
      </c>
      <c r="C1016" s="836">
        <v>102</v>
      </c>
      <c r="D1016" s="836"/>
      <c r="E1016" s="836"/>
      <c r="F1016" s="836"/>
      <c r="G1016" s="496" t="s">
        <v>7812</v>
      </c>
      <c r="H1016" s="797" t="str">
        <f>VLOOKUP(G1016,SETTINGS!$B$7:$D$97,2,0)</f>
        <v>HOD</v>
      </c>
      <c r="I1016" s="796">
        <f>VLOOKUP(G1016,SETTINGS!$B$7:$D$97,3,0)</f>
        <v>0</v>
      </c>
      <c r="J1016" s="670" t="str">
        <f>IFERROR(IF(CURRENCY.FORMAT_1=0,CONCATENATE(TEXT(FIXED(ROUND((C1016/EXC.RATE_1),CURRENCY.FORMAT_1),CURRENCY.FORMAT_1,1),"# ##0;-# ##0"),",-"),FIXED(ROUND((C1016/EXC.RATE_1),CURRENCY.FORMAT_1),CURRENCY.FORMAT_1,0)),'DICTIONARY-5'!$A$2)</f>
        <v>102,-</v>
      </c>
      <c r="K1016" s="670" t="str">
        <f>IF(EXC.RATE_2=0,"",IFERROR(IF(CURRENCY.FORMAT_2=0,CONCATENATE(TEXT(FIXED(ROUND(IF(EXC.RATE.SWITCH=1,C1016/EXC.RATE_2,C1016*EXC.RATE_2),CURRENCY.FORMAT_2),CURRENCY.FORMAT_2,1),"# ##0;-# ##0"),",-"),FIXED(ROUND(IF(EXC.RATE.SWITCH=1,C1016/EXC.RATE_2,C1016*EXC.RATE_2),CURRENCY.FORMAT_2),CURRENCY.FORMAT_2,0)),'DICTIONARY-5'!$A$2))</f>
        <v/>
      </c>
      <c r="L1016" s="670" t="str">
        <f>IFERROR(IF(CURRENCY.FORMAT_1=0,CONCATENATE(TEXT(FIXED(ROUND((C1016*(1-I1016)*(1-ADD.DISCOUNT)*(1+MAT.SURCHARGE)/EXC.RATE_1),CURRENCY.FORMAT_1),CURRENCY.FORMAT_1,1),"# ##0;-# ##0"),",-"),FIXED(ROUND((C1016*(1-I1016)*(1-ADD.DISCOUNT)*(1+MAT.SURCHARGE)/EXC.RATE_1),CURRENCY.FORMAT_1),CURRENCY.FORMAT_1,0)),'DICTIONARY-5'!$A$2)</f>
        <v>106,-</v>
      </c>
      <c r="M1016" s="670" t="str">
        <f>IF(EXC.RATE_2=0,"",IFERROR(IF(CURRENCY.FORMAT_2=0,CONCATENATE(TEXT(FIXED(ROUND(IF(EXC.RATE.SWITCH=1,C1016*(1-I1016)*(1-ADD.DISCOUNT)*(1+MAT.SURCHARGE)/EXC.RATE_2,C1016*(1-I1016)*(1-ADD.DISCOUNT)*(1+MAT.SURCHARGE)*EXC.RATE_2),CURRENCY.FORMAT_2),CURRENCY.FORMAT_2,1),"# ##0;-# ##0"),",-"),FIXED(ROUND(IF(EXC.RATE.SWITCH=1,C1016*(1-I1016)*(1-ADD.DISCOUNT)*(1+MAT.SURCHARGE)/EXC.RATE_2,C1016*(1-I1016)*(1-ADD.DISCOUNT)*(1+MAT.SURCHARGE)*EXC.RATE_2),CURRENCY.FORMAT_2),CURRENCY.FORMAT_2,0)),'DICTIONARY-5'!$A$2))</f>
        <v/>
      </c>
      <c r="N1016" s="542">
        <v>4</v>
      </c>
      <c r="O1016" s="542"/>
      <c r="P1016" s="731" t="str">
        <f>'DICTIONARY-3'!$A$57</f>
        <v>HOD-G</v>
      </c>
      <c r="Q1016" s="732" t="str">
        <f>'DICTIONARY-3'!$A$196</f>
        <v>Mostek nawiertowy</v>
      </c>
      <c r="R1016" s="732" t="str">
        <f>CONCATENATE('DICTIONARY-3'!$A$55,'DICTIONARY-3'!$A$75," ",'DICTIONARY-6'!$A$21," ",'DICTIONARY-2'!$A$2,"100"," ",'DICTIONARY-2'!$A$5,"114-121"," ",'DICTIONARY-6'!$A$62,"+",'DICTIONARY-6'!$A$63," ","d32",", ",'DICTIONARY-6'!$A$76," ",'DICTIONARY-5'!$A$49)</f>
        <v>HOD-G512 Mostek nawiert. DN100 Da114-121 z zaw. kul.+końc. d32, ruroc. ŻEL.</v>
      </c>
      <c r="S1016" s="733" t="str">
        <f>'DICTIONARY-4'!$A$2</f>
        <v>WW</v>
      </c>
      <c r="T1016" s="732" t="str">
        <f>'DICTIONARY-4'!$A$18</f>
        <v>Wolny wałek</v>
      </c>
      <c r="U1016" s="734" t="s">
        <v>5749</v>
      </c>
      <c r="V1016" s="735"/>
      <c r="W1016" s="744" t="s">
        <v>5765</v>
      </c>
      <c r="X1016" s="737"/>
      <c r="Y1016" s="738"/>
      <c r="Z1016" s="739"/>
      <c r="AA1016" s="739"/>
      <c r="AB1016" s="740">
        <v>16</v>
      </c>
      <c r="AC1016" s="741"/>
      <c r="AD1016" s="741" t="str">
        <f>'DICTIONARY-5'!$A$13</f>
        <v>woda pitna</v>
      </c>
      <c r="AE1016" s="742">
        <v>50</v>
      </c>
      <c r="AF1016" s="743">
        <v>4.3</v>
      </c>
      <c r="AG1016" s="741" t="str">
        <f>'DICTIONARY-5'!$A$23</f>
        <v>powłoka epoksydowa</v>
      </c>
    </row>
    <row r="1017" spans="1:33" x14ac:dyDescent="0.25">
      <c r="A1017" s="856" t="s">
        <v>960</v>
      </c>
      <c r="B1017" s="856" t="s">
        <v>4146</v>
      </c>
      <c r="C1017" s="836">
        <v>129</v>
      </c>
      <c r="D1017" s="836"/>
      <c r="E1017" s="836"/>
      <c r="F1017" s="836"/>
      <c r="G1017" s="496" t="s">
        <v>7812</v>
      </c>
      <c r="H1017" s="797" t="str">
        <f>VLOOKUP(G1017,SETTINGS!$B$7:$D$97,2,0)</f>
        <v>HOD</v>
      </c>
      <c r="I1017" s="796">
        <f>VLOOKUP(G1017,SETTINGS!$B$7:$D$97,3,0)</f>
        <v>0</v>
      </c>
      <c r="J1017" s="670" t="str">
        <f>IFERROR(IF(CURRENCY.FORMAT_1=0,CONCATENATE(TEXT(FIXED(ROUND((C1017/EXC.RATE_1),CURRENCY.FORMAT_1),CURRENCY.FORMAT_1,1),"# ##0;-# ##0"),",-"),FIXED(ROUND((C1017/EXC.RATE_1),CURRENCY.FORMAT_1),CURRENCY.FORMAT_1,0)),'DICTIONARY-5'!$A$2)</f>
        <v>129,-</v>
      </c>
      <c r="K1017" s="670" t="str">
        <f>IF(EXC.RATE_2=0,"",IFERROR(IF(CURRENCY.FORMAT_2=0,CONCATENATE(TEXT(FIXED(ROUND(IF(EXC.RATE.SWITCH=1,C1017/EXC.RATE_2,C1017*EXC.RATE_2),CURRENCY.FORMAT_2),CURRENCY.FORMAT_2,1),"# ##0;-# ##0"),",-"),FIXED(ROUND(IF(EXC.RATE.SWITCH=1,C1017/EXC.RATE_2,C1017*EXC.RATE_2),CURRENCY.FORMAT_2),CURRENCY.FORMAT_2,0)),'DICTIONARY-5'!$A$2))</f>
        <v/>
      </c>
      <c r="L1017" s="670" t="str">
        <f>IFERROR(IF(CURRENCY.FORMAT_1=0,CONCATENATE(TEXT(FIXED(ROUND((C1017*(1-I1017)*(1-ADD.DISCOUNT)*(1+MAT.SURCHARGE)/EXC.RATE_1),CURRENCY.FORMAT_1),CURRENCY.FORMAT_1,1),"# ##0;-# ##0"),",-"),FIXED(ROUND((C1017*(1-I1017)*(1-ADD.DISCOUNT)*(1+MAT.SURCHARGE)/EXC.RATE_1),CURRENCY.FORMAT_1),CURRENCY.FORMAT_1,0)),'DICTIONARY-5'!$A$2)</f>
        <v>134,-</v>
      </c>
      <c r="M1017" s="670" t="str">
        <f>IF(EXC.RATE_2=0,"",IFERROR(IF(CURRENCY.FORMAT_2=0,CONCATENATE(TEXT(FIXED(ROUND(IF(EXC.RATE.SWITCH=1,C1017*(1-I1017)*(1-ADD.DISCOUNT)*(1+MAT.SURCHARGE)/EXC.RATE_2,C1017*(1-I1017)*(1-ADD.DISCOUNT)*(1+MAT.SURCHARGE)*EXC.RATE_2),CURRENCY.FORMAT_2),CURRENCY.FORMAT_2,1),"# ##0;-# ##0"),",-"),FIXED(ROUND(IF(EXC.RATE.SWITCH=1,C1017*(1-I1017)*(1-ADD.DISCOUNT)*(1+MAT.SURCHARGE)/EXC.RATE_2,C1017*(1-I1017)*(1-ADD.DISCOUNT)*(1+MAT.SURCHARGE)*EXC.RATE_2),CURRENCY.FORMAT_2),CURRENCY.FORMAT_2,0)),'DICTIONARY-5'!$A$2))</f>
        <v/>
      </c>
      <c r="N1017" s="542">
        <v>4</v>
      </c>
      <c r="O1017" s="542"/>
      <c r="P1017" s="731" t="str">
        <f>'DICTIONARY-3'!$A$57</f>
        <v>HOD-G</v>
      </c>
      <c r="Q1017" s="732" t="str">
        <f>'DICTIONARY-3'!$A$196</f>
        <v>Mostek nawiertowy</v>
      </c>
      <c r="R1017" s="732" t="str">
        <f>CONCATENATE('DICTIONARY-3'!$A$55,'DICTIONARY-3'!$A$75," ",'DICTIONARY-6'!$A$21," ",'DICTIONARY-2'!$A$2,"150"," ",'DICTIONARY-2'!$A$5,"167-172"," ",'DICTIONARY-6'!$A$62,"+",'DICTIONARY-6'!$A$63," ","d32",", ",'DICTIONARY-6'!$A$76," ",'DICTIONARY-5'!$A$49)</f>
        <v>HOD-G512 Mostek nawiert. DN150 Da167-172 z zaw. kul.+końc. d32, ruroc. ŻEL.</v>
      </c>
      <c r="S1017" s="733" t="str">
        <f>'DICTIONARY-4'!$A$2</f>
        <v>WW</v>
      </c>
      <c r="T1017" s="732" t="str">
        <f>'DICTIONARY-4'!$A$18</f>
        <v>Wolny wałek</v>
      </c>
      <c r="U1017" s="734" t="s">
        <v>5572</v>
      </c>
      <c r="V1017" s="735"/>
      <c r="W1017" s="744" t="s">
        <v>5766</v>
      </c>
      <c r="X1017" s="737"/>
      <c r="Y1017" s="738"/>
      <c r="Z1017" s="739"/>
      <c r="AA1017" s="739"/>
      <c r="AB1017" s="740">
        <v>16</v>
      </c>
      <c r="AC1017" s="741"/>
      <c r="AD1017" s="741" t="str">
        <f>'DICTIONARY-5'!$A$13</f>
        <v>woda pitna</v>
      </c>
      <c r="AE1017" s="742">
        <v>50</v>
      </c>
      <c r="AF1017" s="743">
        <v>4.5</v>
      </c>
      <c r="AG1017" s="741" t="str">
        <f>'DICTIONARY-5'!$A$23</f>
        <v>powłoka epoksydowa</v>
      </c>
    </row>
    <row r="1018" spans="1:33" x14ac:dyDescent="0.25">
      <c r="A1018" s="856" t="s">
        <v>962</v>
      </c>
      <c r="B1018" s="856" t="s">
        <v>4147</v>
      </c>
      <c r="C1018" s="836">
        <v>191</v>
      </c>
      <c r="D1018" s="836"/>
      <c r="E1018" s="836"/>
      <c r="F1018" s="836"/>
      <c r="G1018" s="496" t="s">
        <v>7812</v>
      </c>
      <c r="H1018" s="797" t="str">
        <f>VLOOKUP(G1018,SETTINGS!$B$7:$D$97,2,0)</f>
        <v>HOD</v>
      </c>
      <c r="I1018" s="796">
        <f>VLOOKUP(G1018,SETTINGS!$B$7:$D$97,3,0)</f>
        <v>0</v>
      </c>
      <c r="J1018" s="670" t="str">
        <f>IFERROR(IF(CURRENCY.FORMAT_1=0,CONCATENATE(TEXT(FIXED(ROUND((C1018/EXC.RATE_1),CURRENCY.FORMAT_1),CURRENCY.FORMAT_1,1),"# ##0;-# ##0"),",-"),FIXED(ROUND((C1018/EXC.RATE_1),CURRENCY.FORMAT_1),CURRENCY.FORMAT_1,0)),'DICTIONARY-5'!$A$2)</f>
        <v>191,-</v>
      </c>
      <c r="K1018" s="670" t="str">
        <f>IF(EXC.RATE_2=0,"",IFERROR(IF(CURRENCY.FORMAT_2=0,CONCATENATE(TEXT(FIXED(ROUND(IF(EXC.RATE.SWITCH=1,C1018/EXC.RATE_2,C1018*EXC.RATE_2),CURRENCY.FORMAT_2),CURRENCY.FORMAT_2,1),"# ##0;-# ##0"),",-"),FIXED(ROUND(IF(EXC.RATE.SWITCH=1,C1018/EXC.RATE_2,C1018*EXC.RATE_2),CURRENCY.FORMAT_2),CURRENCY.FORMAT_2,0)),'DICTIONARY-5'!$A$2))</f>
        <v/>
      </c>
      <c r="L1018" s="670" t="str">
        <f>IFERROR(IF(CURRENCY.FORMAT_1=0,CONCATENATE(TEXT(FIXED(ROUND((C1018*(1-I1018)*(1-ADD.DISCOUNT)*(1+MAT.SURCHARGE)/EXC.RATE_1),CURRENCY.FORMAT_1),CURRENCY.FORMAT_1,1),"# ##0;-# ##0"),",-"),FIXED(ROUND((C1018*(1-I1018)*(1-ADD.DISCOUNT)*(1+MAT.SURCHARGE)/EXC.RATE_1),CURRENCY.FORMAT_1),CURRENCY.FORMAT_1,0)),'DICTIONARY-5'!$A$2)</f>
        <v>198,-</v>
      </c>
      <c r="M1018" s="670" t="str">
        <f>IF(EXC.RATE_2=0,"",IFERROR(IF(CURRENCY.FORMAT_2=0,CONCATENATE(TEXT(FIXED(ROUND(IF(EXC.RATE.SWITCH=1,C1018*(1-I1018)*(1-ADD.DISCOUNT)*(1+MAT.SURCHARGE)/EXC.RATE_2,C1018*(1-I1018)*(1-ADD.DISCOUNT)*(1+MAT.SURCHARGE)*EXC.RATE_2),CURRENCY.FORMAT_2),CURRENCY.FORMAT_2,1),"# ##0;-# ##0"),",-"),FIXED(ROUND(IF(EXC.RATE.SWITCH=1,C1018*(1-I1018)*(1-ADD.DISCOUNT)*(1+MAT.SURCHARGE)/EXC.RATE_2,C1018*(1-I1018)*(1-ADD.DISCOUNT)*(1+MAT.SURCHARGE)*EXC.RATE_2),CURRENCY.FORMAT_2),CURRENCY.FORMAT_2,0)),'DICTIONARY-5'!$A$2))</f>
        <v/>
      </c>
      <c r="N1018" s="542">
        <v>4</v>
      </c>
      <c r="O1018" s="542"/>
      <c r="P1018" s="731" t="str">
        <f>'DICTIONARY-3'!$A$57</f>
        <v>HOD-G</v>
      </c>
      <c r="Q1018" s="732" t="str">
        <f>'DICTIONARY-3'!$A$196</f>
        <v>Mostek nawiertowy</v>
      </c>
      <c r="R1018" s="732" t="str">
        <f>CONCATENATE('DICTIONARY-3'!$A$55,'DICTIONARY-3'!$A$75," ",'DICTIONARY-6'!$A$21," ",'DICTIONARY-2'!$A$2,"200"," ",'DICTIONARY-2'!$A$5,"216-225"," ",'DICTIONARY-6'!$A$62,"+",'DICTIONARY-6'!$A$63," ","d32",", ",'DICTIONARY-6'!$A$76," ",'DICTIONARY-5'!$A$49)</f>
        <v>HOD-G512 Mostek nawiert. DN200 Da216-225 z zaw. kul.+końc. d32, ruroc. ŻEL.</v>
      </c>
      <c r="S1018" s="733" t="str">
        <f>'DICTIONARY-4'!$A$2</f>
        <v>WW</v>
      </c>
      <c r="T1018" s="732" t="str">
        <f>'DICTIONARY-4'!$A$18</f>
        <v>Wolny wałek</v>
      </c>
      <c r="U1018" s="734" t="s">
        <v>5750</v>
      </c>
      <c r="V1018" s="735"/>
      <c r="W1018" s="744" t="s">
        <v>5767</v>
      </c>
      <c r="X1018" s="737"/>
      <c r="Y1018" s="738"/>
      <c r="Z1018" s="739"/>
      <c r="AA1018" s="739"/>
      <c r="AB1018" s="740">
        <v>16</v>
      </c>
      <c r="AC1018" s="741"/>
      <c r="AD1018" s="741" t="str">
        <f>'DICTIONARY-5'!$A$13</f>
        <v>woda pitna</v>
      </c>
      <c r="AE1018" s="742">
        <v>50</v>
      </c>
      <c r="AF1018" s="743">
        <v>5.5</v>
      </c>
      <c r="AG1018" s="741" t="str">
        <f>'DICTIONARY-5'!$A$23</f>
        <v>powłoka epoksydowa</v>
      </c>
    </row>
    <row r="1019" spans="1:33" x14ac:dyDescent="0.25">
      <c r="A1019" s="856" t="s">
        <v>957</v>
      </c>
      <c r="B1019" s="856" t="s">
        <v>4154</v>
      </c>
      <c r="C1019" s="836">
        <v>162</v>
      </c>
      <c r="D1019" s="836"/>
      <c r="E1019" s="836"/>
      <c r="F1019" s="836"/>
      <c r="G1019" s="496" t="s">
        <v>7812</v>
      </c>
      <c r="H1019" s="797" t="str">
        <f>VLOOKUP(G1019,SETTINGS!$B$7:$D$97,2,0)</f>
        <v>HOD</v>
      </c>
      <c r="I1019" s="796">
        <f>VLOOKUP(G1019,SETTINGS!$B$7:$D$97,3,0)</f>
        <v>0</v>
      </c>
      <c r="J1019" s="670" t="str">
        <f>IFERROR(IF(CURRENCY.FORMAT_1=0,CONCATENATE(TEXT(FIXED(ROUND((C1019/EXC.RATE_1),CURRENCY.FORMAT_1),CURRENCY.FORMAT_1,1),"# ##0;-# ##0"),",-"),FIXED(ROUND((C1019/EXC.RATE_1),CURRENCY.FORMAT_1),CURRENCY.FORMAT_1,0)),'DICTIONARY-5'!$A$2)</f>
        <v>162,-</v>
      </c>
      <c r="K1019" s="670" t="str">
        <f>IF(EXC.RATE_2=0,"",IFERROR(IF(CURRENCY.FORMAT_2=0,CONCATENATE(TEXT(FIXED(ROUND(IF(EXC.RATE.SWITCH=1,C1019/EXC.RATE_2,C1019*EXC.RATE_2),CURRENCY.FORMAT_2),CURRENCY.FORMAT_2,1),"# ##0;-# ##0"),",-"),FIXED(ROUND(IF(EXC.RATE.SWITCH=1,C1019/EXC.RATE_2,C1019*EXC.RATE_2),CURRENCY.FORMAT_2),CURRENCY.FORMAT_2,0)),'DICTIONARY-5'!$A$2))</f>
        <v/>
      </c>
      <c r="L1019" s="670" t="str">
        <f>IFERROR(IF(CURRENCY.FORMAT_1=0,CONCATENATE(TEXT(FIXED(ROUND((C1019*(1-I1019)*(1-ADD.DISCOUNT)*(1+MAT.SURCHARGE)/EXC.RATE_1),CURRENCY.FORMAT_1),CURRENCY.FORMAT_1,1),"# ##0;-# ##0"),",-"),FIXED(ROUND((C1019*(1-I1019)*(1-ADD.DISCOUNT)*(1+MAT.SURCHARGE)/EXC.RATE_1),CURRENCY.FORMAT_1),CURRENCY.FORMAT_1,0)),'DICTIONARY-5'!$A$2)</f>
        <v>168,-</v>
      </c>
      <c r="M1019" s="670" t="str">
        <f>IF(EXC.RATE_2=0,"",IFERROR(IF(CURRENCY.FORMAT_2=0,CONCATENATE(TEXT(FIXED(ROUND(IF(EXC.RATE.SWITCH=1,C1019*(1-I1019)*(1-ADD.DISCOUNT)*(1+MAT.SURCHARGE)/EXC.RATE_2,C1019*(1-I1019)*(1-ADD.DISCOUNT)*(1+MAT.SURCHARGE)*EXC.RATE_2),CURRENCY.FORMAT_2),CURRENCY.FORMAT_2,1),"# ##0;-# ##0"),",-"),FIXED(ROUND(IF(EXC.RATE.SWITCH=1,C1019*(1-I1019)*(1-ADD.DISCOUNT)*(1+MAT.SURCHARGE)/EXC.RATE_2,C1019*(1-I1019)*(1-ADD.DISCOUNT)*(1+MAT.SURCHARGE)*EXC.RATE_2),CURRENCY.FORMAT_2),CURRENCY.FORMAT_2,0)),'DICTIONARY-5'!$A$2))</f>
        <v/>
      </c>
      <c r="N1019" s="542">
        <v>4</v>
      </c>
      <c r="O1019" s="542"/>
      <c r="P1019" s="731" t="str">
        <f>'DICTIONARY-3'!$A$57</f>
        <v>HOD-G</v>
      </c>
      <c r="Q1019" s="732" t="str">
        <f>'DICTIONARY-3'!$A$196</f>
        <v>Mostek nawiertowy</v>
      </c>
      <c r="R1019" s="732" t="str">
        <f>CONCATENATE('DICTIONARY-3'!$A$55,'DICTIONARY-3'!$A$76," ",'DICTIONARY-6'!$A$21," ",'DICTIONARY-2'!$A$2,"80"," ",'DICTIONARY-2'!$A$5,"94-99"," ",'DICTIONARY-6'!$A$60,"+",'DICTIONARY-6'!$A$63," ","d32",", ",'DICTIONARY-6'!$A$76," ",'DICTIONARY-5'!$A$49)</f>
        <v>HOD-G517 Mostek nawiert. DN80 Da94-99 z zasuwa mosiężna+końc. d32, ruroc. ŻEL.</v>
      </c>
      <c r="S1019" s="733" t="str">
        <f>'DICTIONARY-4'!$A$2</f>
        <v>WW</v>
      </c>
      <c r="T1019" s="732" t="str">
        <f>'DICTIONARY-4'!$A$18</f>
        <v>Wolny wałek</v>
      </c>
      <c r="U1019" s="734" t="s">
        <v>5760</v>
      </c>
      <c r="V1019" s="735"/>
      <c r="W1019" s="744" t="s">
        <v>5764</v>
      </c>
      <c r="X1019" s="737"/>
      <c r="Y1019" s="738"/>
      <c r="Z1019" s="739"/>
      <c r="AA1019" s="739"/>
      <c r="AB1019" s="740">
        <v>16</v>
      </c>
      <c r="AC1019" s="741"/>
      <c r="AD1019" s="741" t="str">
        <f>'DICTIONARY-5'!$A$13</f>
        <v>woda pitna</v>
      </c>
      <c r="AE1019" s="742">
        <v>50</v>
      </c>
      <c r="AF1019" s="743">
        <v>4.5</v>
      </c>
      <c r="AG1019" s="741" t="str">
        <f>'DICTIONARY-5'!$A$23</f>
        <v>powłoka epoksydowa</v>
      </c>
    </row>
    <row r="1020" spans="1:33" x14ac:dyDescent="0.25">
      <c r="A1020" s="856" t="s">
        <v>959</v>
      </c>
      <c r="B1020" s="856" t="s">
        <v>4155</v>
      </c>
      <c r="C1020" s="836">
        <v>139</v>
      </c>
      <c r="D1020" s="836"/>
      <c r="E1020" s="836"/>
      <c r="F1020" s="836"/>
      <c r="G1020" s="496" t="s">
        <v>7812</v>
      </c>
      <c r="H1020" s="797" t="str">
        <f>VLOOKUP(G1020,SETTINGS!$B$7:$D$97,2,0)</f>
        <v>HOD</v>
      </c>
      <c r="I1020" s="796">
        <f>VLOOKUP(G1020,SETTINGS!$B$7:$D$97,3,0)</f>
        <v>0</v>
      </c>
      <c r="J1020" s="670" t="str">
        <f>IFERROR(IF(CURRENCY.FORMAT_1=0,CONCATENATE(TEXT(FIXED(ROUND((C1020/EXC.RATE_1),CURRENCY.FORMAT_1),CURRENCY.FORMAT_1,1),"# ##0;-# ##0"),",-"),FIXED(ROUND((C1020/EXC.RATE_1),CURRENCY.FORMAT_1),CURRENCY.FORMAT_1,0)),'DICTIONARY-5'!$A$2)</f>
        <v>139,-</v>
      </c>
      <c r="K1020" s="670" t="str">
        <f>IF(EXC.RATE_2=0,"",IFERROR(IF(CURRENCY.FORMAT_2=0,CONCATENATE(TEXT(FIXED(ROUND(IF(EXC.RATE.SWITCH=1,C1020/EXC.RATE_2,C1020*EXC.RATE_2),CURRENCY.FORMAT_2),CURRENCY.FORMAT_2,1),"# ##0;-# ##0"),",-"),FIXED(ROUND(IF(EXC.RATE.SWITCH=1,C1020/EXC.RATE_2,C1020*EXC.RATE_2),CURRENCY.FORMAT_2),CURRENCY.FORMAT_2,0)),'DICTIONARY-5'!$A$2))</f>
        <v/>
      </c>
      <c r="L1020" s="670" t="str">
        <f>IFERROR(IF(CURRENCY.FORMAT_1=0,CONCATENATE(TEXT(FIXED(ROUND((C1020*(1-I1020)*(1-ADD.DISCOUNT)*(1+MAT.SURCHARGE)/EXC.RATE_1),CURRENCY.FORMAT_1),CURRENCY.FORMAT_1,1),"# ##0;-# ##0"),",-"),FIXED(ROUND((C1020*(1-I1020)*(1-ADD.DISCOUNT)*(1+MAT.SURCHARGE)/EXC.RATE_1),CURRENCY.FORMAT_1),CURRENCY.FORMAT_1,0)),'DICTIONARY-5'!$A$2)</f>
        <v>144,-</v>
      </c>
      <c r="M1020" s="670" t="str">
        <f>IF(EXC.RATE_2=0,"",IFERROR(IF(CURRENCY.FORMAT_2=0,CONCATENATE(TEXT(FIXED(ROUND(IF(EXC.RATE.SWITCH=1,C1020*(1-I1020)*(1-ADD.DISCOUNT)*(1+MAT.SURCHARGE)/EXC.RATE_2,C1020*(1-I1020)*(1-ADD.DISCOUNT)*(1+MAT.SURCHARGE)*EXC.RATE_2),CURRENCY.FORMAT_2),CURRENCY.FORMAT_2,1),"# ##0;-# ##0"),",-"),FIXED(ROUND(IF(EXC.RATE.SWITCH=1,C1020*(1-I1020)*(1-ADD.DISCOUNT)*(1+MAT.SURCHARGE)/EXC.RATE_2,C1020*(1-I1020)*(1-ADD.DISCOUNT)*(1+MAT.SURCHARGE)*EXC.RATE_2),CURRENCY.FORMAT_2),CURRENCY.FORMAT_2,0)),'DICTIONARY-5'!$A$2))</f>
        <v/>
      </c>
      <c r="N1020" s="542">
        <v>4</v>
      </c>
      <c r="O1020" s="542"/>
      <c r="P1020" s="731" t="str">
        <f>'DICTIONARY-3'!$A$57</f>
        <v>HOD-G</v>
      </c>
      <c r="Q1020" s="732" t="str">
        <f>'DICTIONARY-3'!$A$196</f>
        <v>Mostek nawiertowy</v>
      </c>
      <c r="R1020" s="732" t="str">
        <f>CONCATENATE('DICTIONARY-3'!$A$55,'DICTIONARY-3'!$A$76," ",'DICTIONARY-6'!$A$21," ",'DICTIONARY-2'!$A$2,"100"," ",'DICTIONARY-2'!$A$5,"114-121"," ",'DICTIONARY-6'!$A$60,"+",'DICTIONARY-6'!$A$63," ","d32",", ",'DICTIONARY-6'!$A$76," ",'DICTIONARY-5'!$A$49)</f>
        <v>HOD-G517 Mostek nawiert. DN100 Da114-121 z zasuwa mosiężna+końc. d32, ruroc. ŻEL.</v>
      </c>
      <c r="S1020" s="733" t="str">
        <f>'DICTIONARY-4'!$A$2</f>
        <v>WW</v>
      </c>
      <c r="T1020" s="732" t="str">
        <f>'DICTIONARY-4'!$A$18</f>
        <v>Wolny wałek</v>
      </c>
      <c r="U1020" s="734" t="s">
        <v>5749</v>
      </c>
      <c r="V1020" s="735"/>
      <c r="W1020" s="744" t="s">
        <v>5765</v>
      </c>
      <c r="X1020" s="737"/>
      <c r="Y1020" s="738"/>
      <c r="Z1020" s="739"/>
      <c r="AA1020" s="739"/>
      <c r="AB1020" s="740">
        <v>16</v>
      </c>
      <c r="AC1020" s="741"/>
      <c r="AD1020" s="741" t="str">
        <f>'DICTIONARY-5'!$A$13</f>
        <v>woda pitna</v>
      </c>
      <c r="AE1020" s="742">
        <v>50</v>
      </c>
      <c r="AF1020" s="743">
        <v>4.5999999999999996</v>
      </c>
      <c r="AG1020" s="741" t="str">
        <f>'DICTIONARY-5'!$A$23</f>
        <v>powłoka epoksydowa</v>
      </c>
    </row>
    <row r="1021" spans="1:33" x14ac:dyDescent="0.25">
      <c r="A1021" s="856" t="s">
        <v>961</v>
      </c>
      <c r="B1021" s="856" t="s">
        <v>4156</v>
      </c>
      <c r="C1021" s="836">
        <v>166</v>
      </c>
      <c r="D1021" s="836"/>
      <c r="E1021" s="836"/>
      <c r="F1021" s="836"/>
      <c r="G1021" s="496" t="s">
        <v>7812</v>
      </c>
      <c r="H1021" s="797" t="str">
        <f>VLOOKUP(G1021,SETTINGS!$B$7:$D$97,2,0)</f>
        <v>HOD</v>
      </c>
      <c r="I1021" s="796">
        <f>VLOOKUP(G1021,SETTINGS!$B$7:$D$97,3,0)</f>
        <v>0</v>
      </c>
      <c r="J1021" s="670" t="str">
        <f>IFERROR(IF(CURRENCY.FORMAT_1=0,CONCATENATE(TEXT(FIXED(ROUND((C1021/EXC.RATE_1),CURRENCY.FORMAT_1),CURRENCY.FORMAT_1,1),"# ##0;-# ##0"),",-"),FIXED(ROUND((C1021/EXC.RATE_1),CURRENCY.FORMAT_1),CURRENCY.FORMAT_1,0)),'DICTIONARY-5'!$A$2)</f>
        <v>166,-</v>
      </c>
      <c r="K1021" s="670" t="str">
        <f>IF(EXC.RATE_2=0,"",IFERROR(IF(CURRENCY.FORMAT_2=0,CONCATENATE(TEXT(FIXED(ROUND(IF(EXC.RATE.SWITCH=1,C1021/EXC.RATE_2,C1021*EXC.RATE_2),CURRENCY.FORMAT_2),CURRENCY.FORMAT_2,1),"# ##0;-# ##0"),",-"),FIXED(ROUND(IF(EXC.RATE.SWITCH=1,C1021/EXC.RATE_2,C1021*EXC.RATE_2),CURRENCY.FORMAT_2),CURRENCY.FORMAT_2,0)),'DICTIONARY-5'!$A$2))</f>
        <v/>
      </c>
      <c r="L1021" s="670" t="str">
        <f>IFERROR(IF(CURRENCY.FORMAT_1=0,CONCATENATE(TEXT(FIXED(ROUND((C1021*(1-I1021)*(1-ADD.DISCOUNT)*(1+MAT.SURCHARGE)/EXC.RATE_1),CURRENCY.FORMAT_1),CURRENCY.FORMAT_1,1),"# ##0;-# ##0"),",-"),FIXED(ROUND((C1021*(1-I1021)*(1-ADD.DISCOUNT)*(1+MAT.SURCHARGE)/EXC.RATE_1),CURRENCY.FORMAT_1),CURRENCY.FORMAT_1,0)),'DICTIONARY-5'!$A$2)</f>
        <v>172,-</v>
      </c>
      <c r="M1021" s="670" t="str">
        <f>IF(EXC.RATE_2=0,"",IFERROR(IF(CURRENCY.FORMAT_2=0,CONCATENATE(TEXT(FIXED(ROUND(IF(EXC.RATE.SWITCH=1,C1021*(1-I1021)*(1-ADD.DISCOUNT)*(1+MAT.SURCHARGE)/EXC.RATE_2,C1021*(1-I1021)*(1-ADD.DISCOUNT)*(1+MAT.SURCHARGE)*EXC.RATE_2),CURRENCY.FORMAT_2),CURRENCY.FORMAT_2,1),"# ##0;-# ##0"),",-"),FIXED(ROUND(IF(EXC.RATE.SWITCH=1,C1021*(1-I1021)*(1-ADD.DISCOUNT)*(1+MAT.SURCHARGE)/EXC.RATE_2,C1021*(1-I1021)*(1-ADD.DISCOUNT)*(1+MAT.SURCHARGE)*EXC.RATE_2),CURRENCY.FORMAT_2),CURRENCY.FORMAT_2,0)),'DICTIONARY-5'!$A$2))</f>
        <v/>
      </c>
      <c r="N1021" s="542">
        <v>4</v>
      </c>
      <c r="O1021" s="542"/>
      <c r="P1021" s="731" t="str">
        <f>'DICTIONARY-3'!$A$57</f>
        <v>HOD-G</v>
      </c>
      <c r="Q1021" s="732" t="str">
        <f>'DICTIONARY-3'!$A$196</f>
        <v>Mostek nawiertowy</v>
      </c>
      <c r="R1021" s="732" t="str">
        <f>CONCATENATE('DICTIONARY-3'!$A$55,'DICTIONARY-3'!$A$76," ",'DICTIONARY-6'!$A$21," ",'DICTIONARY-2'!$A$2,"150"," ",'DICTIONARY-2'!$A$5,"167-172"," ",'DICTIONARY-6'!$A$60,"+",'DICTIONARY-6'!$A$63," ","d32",", ",'DICTIONARY-6'!$A$76," ",'DICTIONARY-5'!$A$49)</f>
        <v>HOD-G517 Mostek nawiert. DN150 Da167-172 z zasuwa mosiężna+końc. d32, ruroc. ŻEL.</v>
      </c>
      <c r="S1021" s="733" t="str">
        <f>'DICTIONARY-4'!$A$2</f>
        <v>WW</v>
      </c>
      <c r="T1021" s="732" t="str">
        <f>'DICTIONARY-4'!$A$18</f>
        <v>Wolny wałek</v>
      </c>
      <c r="U1021" s="734" t="s">
        <v>5572</v>
      </c>
      <c r="V1021" s="735"/>
      <c r="W1021" s="744" t="s">
        <v>5766</v>
      </c>
      <c r="X1021" s="737"/>
      <c r="Y1021" s="738"/>
      <c r="Z1021" s="739"/>
      <c r="AA1021" s="739"/>
      <c r="AB1021" s="740">
        <v>16</v>
      </c>
      <c r="AC1021" s="741"/>
      <c r="AD1021" s="741" t="str">
        <f>'DICTIONARY-5'!$A$13</f>
        <v>woda pitna</v>
      </c>
      <c r="AE1021" s="742">
        <v>50</v>
      </c>
      <c r="AF1021" s="743">
        <v>5.4</v>
      </c>
      <c r="AG1021" s="741" t="str">
        <f>'DICTIONARY-5'!$A$23</f>
        <v>powłoka epoksydowa</v>
      </c>
    </row>
    <row r="1022" spans="1:33" x14ac:dyDescent="0.25">
      <c r="A1022" s="856" t="s">
        <v>963</v>
      </c>
      <c r="B1022" s="856" t="s">
        <v>4157</v>
      </c>
      <c r="C1022" s="836">
        <v>227</v>
      </c>
      <c r="D1022" s="836"/>
      <c r="E1022" s="836"/>
      <c r="F1022" s="836"/>
      <c r="G1022" s="496" t="s">
        <v>7812</v>
      </c>
      <c r="H1022" s="797" t="str">
        <f>VLOOKUP(G1022,SETTINGS!$B$7:$D$97,2,0)</f>
        <v>HOD</v>
      </c>
      <c r="I1022" s="796">
        <f>VLOOKUP(G1022,SETTINGS!$B$7:$D$97,3,0)</f>
        <v>0</v>
      </c>
      <c r="J1022" s="670" t="str">
        <f>IFERROR(IF(CURRENCY.FORMAT_1=0,CONCATENATE(TEXT(FIXED(ROUND((C1022/EXC.RATE_1),CURRENCY.FORMAT_1),CURRENCY.FORMAT_1,1),"# ##0;-# ##0"),",-"),FIXED(ROUND((C1022/EXC.RATE_1),CURRENCY.FORMAT_1),CURRENCY.FORMAT_1,0)),'DICTIONARY-5'!$A$2)</f>
        <v>227,-</v>
      </c>
      <c r="K1022" s="670" t="str">
        <f>IF(EXC.RATE_2=0,"",IFERROR(IF(CURRENCY.FORMAT_2=0,CONCATENATE(TEXT(FIXED(ROUND(IF(EXC.RATE.SWITCH=1,C1022/EXC.RATE_2,C1022*EXC.RATE_2),CURRENCY.FORMAT_2),CURRENCY.FORMAT_2,1),"# ##0;-# ##0"),",-"),FIXED(ROUND(IF(EXC.RATE.SWITCH=1,C1022/EXC.RATE_2,C1022*EXC.RATE_2),CURRENCY.FORMAT_2),CURRENCY.FORMAT_2,0)),'DICTIONARY-5'!$A$2))</f>
        <v/>
      </c>
      <c r="L1022" s="670" t="str">
        <f>IFERROR(IF(CURRENCY.FORMAT_1=0,CONCATENATE(TEXT(FIXED(ROUND((C1022*(1-I1022)*(1-ADD.DISCOUNT)*(1+MAT.SURCHARGE)/EXC.RATE_1),CURRENCY.FORMAT_1),CURRENCY.FORMAT_1,1),"# ##0;-# ##0"),",-"),FIXED(ROUND((C1022*(1-I1022)*(1-ADD.DISCOUNT)*(1+MAT.SURCHARGE)/EXC.RATE_1),CURRENCY.FORMAT_1),CURRENCY.FORMAT_1,0)),'DICTIONARY-5'!$A$2)</f>
        <v>236,-</v>
      </c>
      <c r="M1022" s="670" t="str">
        <f>IF(EXC.RATE_2=0,"",IFERROR(IF(CURRENCY.FORMAT_2=0,CONCATENATE(TEXT(FIXED(ROUND(IF(EXC.RATE.SWITCH=1,C1022*(1-I1022)*(1-ADD.DISCOUNT)*(1+MAT.SURCHARGE)/EXC.RATE_2,C1022*(1-I1022)*(1-ADD.DISCOUNT)*(1+MAT.SURCHARGE)*EXC.RATE_2),CURRENCY.FORMAT_2),CURRENCY.FORMAT_2,1),"# ##0;-# ##0"),",-"),FIXED(ROUND(IF(EXC.RATE.SWITCH=1,C1022*(1-I1022)*(1-ADD.DISCOUNT)*(1+MAT.SURCHARGE)/EXC.RATE_2,C1022*(1-I1022)*(1-ADD.DISCOUNT)*(1+MAT.SURCHARGE)*EXC.RATE_2),CURRENCY.FORMAT_2),CURRENCY.FORMAT_2,0)),'DICTIONARY-5'!$A$2))</f>
        <v/>
      </c>
      <c r="N1022" s="542">
        <v>4</v>
      </c>
      <c r="O1022" s="542"/>
      <c r="P1022" s="731" t="str">
        <f>'DICTIONARY-3'!$A$57</f>
        <v>HOD-G</v>
      </c>
      <c r="Q1022" s="732" t="str">
        <f>'DICTIONARY-3'!$A$196</f>
        <v>Mostek nawiertowy</v>
      </c>
      <c r="R1022" s="732" t="str">
        <f>CONCATENATE('DICTIONARY-3'!$A$55,'DICTIONARY-3'!$A$76," ",'DICTIONARY-6'!$A$21," ",'DICTIONARY-2'!$A$2,"200"," ",'DICTIONARY-2'!$A$5,"216-225"," ",'DICTIONARY-6'!$A$60,"+",'DICTIONARY-6'!$A$63," ","d32",", ",'DICTIONARY-6'!$A$76," ",'DICTIONARY-5'!$A$49)</f>
        <v>HOD-G517 Mostek nawiert. DN200 Da216-225 z zasuwa mosiężna+końc. d32, ruroc. ŻEL.</v>
      </c>
      <c r="S1022" s="733" t="str">
        <f>'DICTIONARY-4'!$A$2</f>
        <v>WW</v>
      </c>
      <c r="T1022" s="732" t="str">
        <f>'DICTIONARY-4'!$A$18</f>
        <v>Wolny wałek</v>
      </c>
      <c r="U1022" s="734" t="s">
        <v>5750</v>
      </c>
      <c r="V1022" s="735"/>
      <c r="W1022" s="744" t="s">
        <v>5767</v>
      </c>
      <c r="X1022" s="737"/>
      <c r="Y1022" s="738"/>
      <c r="Z1022" s="739"/>
      <c r="AA1022" s="739"/>
      <c r="AB1022" s="740">
        <v>16</v>
      </c>
      <c r="AC1022" s="741"/>
      <c r="AD1022" s="741" t="str">
        <f>'DICTIONARY-5'!$A$13</f>
        <v>woda pitna</v>
      </c>
      <c r="AE1022" s="742">
        <v>50</v>
      </c>
      <c r="AF1022" s="743">
        <v>6.2</v>
      </c>
      <c r="AG1022" s="741" t="str">
        <f>'DICTIONARY-5'!$A$23</f>
        <v>powłoka epoksydowa</v>
      </c>
    </row>
    <row r="1023" spans="1:33" x14ac:dyDescent="0.25">
      <c r="A1023" s="856" t="s">
        <v>964</v>
      </c>
      <c r="B1023" s="856" t="s">
        <v>3991</v>
      </c>
      <c r="C1023" s="836">
        <v>49</v>
      </c>
      <c r="D1023" s="836"/>
      <c r="E1023" s="836"/>
      <c r="F1023" s="836"/>
      <c r="G1023" s="496" t="s">
        <v>7812</v>
      </c>
      <c r="H1023" s="797" t="str">
        <f>VLOOKUP(G1023,SETTINGS!$B$7:$D$97,2,0)</f>
        <v>HOD</v>
      </c>
      <c r="I1023" s="796">
        <f>VLOOKUP(G1023,SETTINGS!$B$7:$D$97,3,0)</f>
        <v>0</v>
      </c>
      <c r="J1023" s="670" t="str">
        <f>IFERROR(IF(CURRENCY.FORMAT_1=0,CONCATENATE(TEXT(FIXED(ROUND((C1023/EXC.RATE_1),CURRENCY.FORMAT_1),CURRENCY.FORMAT_1,1),"# ##0;-# ##0"),",-"),FIXED(ROUND((C1023/EXC.RATE_1),CURRENCY.FORMAT_1),CURRENCY.FORMAT_1,0)),'DICTIONARY-5'!$A$2)</f>
        <v>49,-</v>
      </c>
      <c r="K1023" s="670" t="str">
        <f>IF(EXC.RATE_2=0,"",IFERROR(IF(CURRENCY.FORMAT_2=0,CONCATENATE(TEXT(FIXED(ROUND(IF(EXC.RATE.SWITCH=1,C1023/EXC.RATE_2,C1023*EXC.RATE_2),CURRENCY.FORMAT_2),CURRENCY.FORMAT_2,1),"# ##0;-# ##0"),",-"),FIXED(ROUND(IF(EXC.RATE.SWITCH=1,C1023/EXC.RATE_2,C1023*EXC.RATE_2),CURRENCY.FORMAT_2),CURRENCY.FORMAT_2,0)),'DICTIONARY-5'!$A$2))</f>
        <v/>
      </c>
      <c r="L1023" s="670" t="str">
        <f>IFERROR(IF(CURRENCY.FORMAT_1=0,CONCATENATE(TEXT(FIXED(ROUND((C1023*(1-I1023)*(1-ADD.DISCOUNT)*(1+MAT.SURCHARGE)/EXC.RATE_1),CURRENCY.FORMAT_1),CURRENCY.FORMAT_1,1),"# ##0;-# ##0"),",-"),FIXED(ROUND((C1023*(1-I1023)*(1-ADD.DISCOUNT)*(1+MAT.SURCHARGE)/EXC.RATE_1),CURRENCY.FORMAT_1),CURRENCY.FORMAT_1,0)),'DICTIONARY-5'!$A$2)</f>
        <v>51,-</v>
      </c>
      <c r="M1023" s="670" t="str">
        <f>IF(EXC.RATE_2=0,"",IFERROR(IF(CURRENCY.FORMAT_2=0,CONCATENATE(TEXT(FIXED(ROUND(IF(EXC.RATE.SWITCH=1,C1023*(1-I1023)*(1-ADD.DISCOUNT)*(1+MAT.SURCHARGE)/EXC.RATE_2,C1023*(1-I1023)*(1-ADD.DISCOUNT)*(1+MAT.SURCHARGE)*EXC.RATE_2),CURRENCY.FORMAT_2),CURRENCY.FORMAT_2,1),"# ##0;-# ##0"),",-"),FIXED(ROUND(IF(EXC.RATE.SWITCH=1,C1023*(1-I1023)*(1-ADD.DISCOUNT)*(1+MAT.SURCHARGE)/EXC.RATE_2,C1023*(1-I1023)*(1-ADD.DISCOUNT)*(1+MAT.SURCHARGE)*EXC.RATE_2),CURRENCY.FORMAT_2),CURRENCY.FORMAT_2,0)),'DICTIONARY-5'!$A$2))</f>
        <v/>
      </c>
      <c r="N1023" s="542">
        <v>4</v>
      </c>
      <c r="O1023" s="542"/>
      <c r="P1023" s="731" t="str">
        <f>'DICTIONARY-3'!$A$58</f>
        <v>HOD-K</v>
      </c>
      <c r="Q1023" s="732" t="str">
        <f>'DICTIONARY-3'!$A$196</f>
        <v>Mostek nawiertowy</v>
      </c>
      <c r="R1023" s="732" t="str">
        <f>CONCATENATE('DICTIONARY-3'!$A$55,'DICTIONARY-3'!$A$79," ",'DICTIONARY-6'!$A$21," ",'DICTIONARY-2'!$A$2,"50"," ",'DICTIONARY-2'!$A$5,"63 G1¼"," ",'DICTIONARY-6'!$A$59,", ",'DICTIONARY-6'!$A$76," ",'DICTIONARY-5'!$A$57,"+",'DICTIONARY-5'!$A$56)</f>
        <v>HOD-K507 Mostek nawiert. DN50 Da63 G1¼ bez zaw., ruroc. PE+PVC</v>
      </c>
      <c r="S1023" s="733" t="str">
        <f>'DICTIONARY-4'!$A$2</f>
        <v>WW</v>
      </c>
      <c r="T1023" s="732"/>
      <c r="U1023" s="734" t="s">
        <v>5748</v>
      </c>
      <c r="V1023" s="735"/>
      <c r="W1023" s="744" t="s">
        <v>7338</v>
      </c>
      <c r="X1023" s="750" t="s">
        <v>5740</v>
      </c>
      <c r="Y1023" s="738"/>
      <c r="Z1023" s="739"/>
      <c r="AA1023" s="739"/>
      <c r="AB1023" s="740">
        <v>16</v>
      </c>
      <c r="AC1023" s="741"/>
      <c r="AD1023" s="741" t="str">
        <f>'DICTIONARY-5'!$A$13</f>
        <v>woda pitna</v>
      </c>
      <c r="AE1023" s="742">
        <v>50</v>
      </c>
      <c r="AF1023" s="743">
        <v>1.7</v>
      </c>
      <c r="AG1023" s="741" t="str">
        <f>'DICTIONARY-5'!$A$23</f>
        <v>powłoka epoksydowa</v>
      </c>
    </row>
    <row r="1024" spans="1:33" x14ac:dyDescent="0.25">
      <c r="A1024" s="856" t="s">
        <v>965</v>
      </c>
      <c r="B1024" s="856" t="s">
        <v>3992</v>
      </c>
      <c r="C1024" s="836">
        <v>67</v>
      </c>
      <c r="D1024" s="836"/>
      <c r="E1024" s="836"/>
      <c r="F1024" s="836"/>
      <c r="G1024" s="496" t="s">
        <v>7812</v>
      </c>
      <c r="H1024" s="797" t="str">
        <f>VLOOKUP(G1024,SETTINGS!$B$7:$D$97,2,0)</f>
        <v>HOD</v>
      </c>
      <c r="I1024" s="796">
        <f>VLOOKUP(G1024,SETTINGS!$B$7:$D$97,3,0)</f>
        <v>0</v>
      </c>
      <c r="J1024" s="670" t="str">
        <f>IFERROR(IF(CURRENCY.FORMAT_1=0,CONCATENATE(TEXT(FIXED(ROUND((C1024/EXC.RATE_1),CURRENCY.FORMAT_1),CURRENCY.FORMAT_1,1),"# ##0;-# ##0"),",-"),FIXED(ROUND((C1024/EXC.RATE_1),CURRENCY.FORMAT_1),CURRENCY.FORMAT_1,0)),'DICTIONARY-5'!$A$2)</f>
        <v>67,-</v>
      </c>
      <c r="K1024" s="670" t="str">
        <f>IF(EXC.RATE_2=0,"",IFERROR(IF(CURRENCY.FORMAT_2=0,CONCATENATE(TEXT(FIXED(ROUND(IF(EXC.RATE.SWITCH=1,C1024/EXC.RATE_2,C1024*EXC.RATE_2),CURRENCY.FORMAT_2),CURRENCY.FORMAT_2,1),"# ##0;-# ##0"),",-"),FIXED(ROUND(IF(EXC.RATE.SWITCH=1,C1024/EXC.RATE_2,C1024*EXC.RATE_2),CURRENCY.FORMAT_2),CURRENCY.FORMAT_2,0)),'DICTIONARY-5'!$A$2))</f>
        <v/>
      </c>
      <c r="L1024" s="670" t="str">
        <f>IFERROR(IF(CURRENCY.FORMAT_1=0,CONCATENATE(TEXT(FIXED(ROUND((C1024*(1-I1024)*(1-ADD.DISCOUNT)*(1+MAT.SURCHARGE)/EXC.RATE_1),CURRENCY.FORMAT_1),CURRENCY.FORMAT_1,1),"# ##0;-# ##0"),",-"),FIXED(ROUND((C1024*(1-I1024)*(1-ADD.DISCOUNT)*(1+MAT.SURCHARGE)/EXC.RATE_1),CURRENCY.FORMAT_1),CURRENCY.FORMAT_1,0)),'DICTIONARY-5'!$A$2)</f>
        <v>70,-</v>
      </c>
      <c r="M1024" s="670" t="str">
        <f>IF(EXC.RATE_2=0,"",IFERROR(IF(CURRENCY.FORMAT_2=0,CONCATENATE(TEXT(FIXED(ROUND(IF(EXC.RATE.SWITCH=1,C1024*(1-I1024)*(1-ADD.DISCOUNT)*(1+MAT.SURCHARGE)/EXC.RATE_2,C1024*(1-I1024)*(1-ADD.DISCOUNT)*(1+MAT.SURCHARGE)*EXC.RATE_2),CURRENCY.FORMAT_2),CURRENCY.FORMAT_2,1),"# ##0;-# ##0"),",-"),FIXED(ROUND(IF(EXC.RATE.SWITCH=1,C1024*(1-I1024)*(1-ADD.DISCOUNT)*(1+MAT.SURCHARGE)/EXC.RATE_2,C1024*(1-I1024)*(1-ADD.DISCOUNT)*(1+MAT.SURCHARGE)*EXC.RATE_2),CURRENCY.FORMAT_2),CURRENCY.FORMAT_2,0)),'DICTIONARY-5'!$A$2))</f>
        <v/>
      </c>
      <c r="N1024" s="542">
        <v>4</v>
      </c>
      <c r="O1024" s="542"/>
      <c r="P1024" s="731" t="str">
        <f>'DICTIONARY-3'!$A$58</f>
        <v>HOD-K</v>
      </c>
      <c r="Q1024" s="732" t="str">
        <f>'DICTIONARY-3'!$A$196</f>
        <v>Mostek nawiertowy</v>
      </c>
      <c r="R1024" s="732" t="str">
        <f>CONCATENATE('DICTIONARY-3'!$A$55,'DICTIONARY-3'!$A$79," ",'DICTIONARY-6'!$A$21," ",'DICTIONARY-2'!$A$2,"65"," ",'DICTIONARY-2'!$A$5,"75 G1¼"," ",'DICTIONARY-6'!$A$59,", ",'DICTIONARY-6'!$A$76," ",'DICTIONARY-5'!$A$57,"+",'DICTIONARY-5'!$A$56)</f>
        <v>HOD-K507 Mostek nawiert. DN65 Da75 G1¼ bez zaw., ruroc. PE+PVC</v>
      </c>
      <c r="S1024" s="733" t="str">
        <f>'DICTIONARY-4'!$A$2</f>
        <v>WW</v>
      </c>
      <c r="T1024" s="732"/>
      <c r="U1024" s="734" t="s">
        <v>5759</v>
      </c>
      <c r="V1024" s="735"/>
      <c r="W1024" s="744" t="s">
        <v>7359</v>
      </c>
      <c r="X1024" s="737" t="s">
        <v>5740</v>
      </c>
      <c r="Y1024" s="738"/>
      <c r="Z1024" s="739"/>
      <c r="AA1024" s="739"/>
      <c r="AB1024" s="740">
        <v>16</v>
      </c>
      <c r="AC1024" s="741"/>
      <c r="AD1024" s="741" t="str">
        <f>'DICTIONARY-5'!$A$13</f>
        <v>woda pitna</v>
      </c>
      <c r="AE1024" s="742">
        <v>50</v>
      </c>
      <c r="AF1024" s="743">
        <v>1.7</v>
      </c>
      <c r="AG1024" s="741" t="str">
        <f>'DICTIONARY-5'!$A$23</f>
        <v>powłoka epoksydowa</v>
      </c>
    </row>
    <row r="1025" spans="1:33" x14ac:dyDescent="0.25">
      <c r="A1025" s="856" t="s">
        <v>966</v>
      </c>
      <c r="B1025" s="856" t="s">
        <v>3993</v>
      </c>
      <c r="C1025" s="836">
        <v>59</v>
      </c>
      <c r="D1025" s="836"/>
      <c r="E1025" s="836"/>
      <c r="F1025" s="836"/>
      <c r="G1025" s="496" t="s">
        <v>7812</v>
      </c>
      <c r="H1025" s="797" t="str">
        <f>VLOOKUP(G1025,SETTINGS!$B$7:$D$97,2,0)</f>
        <v>HOD</v>
      </c>
      <c r="I1025" s="796">
        <f>VLOOKUP(G1025,SETTINGS!$B$7:$D$97,3,0)</f>
        <v>0</v>
      </c>
      <c r="J1025" s="670" t="str">
        <f>IFERROR(IF(CURRENCY.FORMAT_1=0,CONCATENATE(TEXT(FIXED(ROUND((C1025/EXC.RATE_1),CURRENCY.FORMAT_1),CURRENCY.FORMAT_1,1),"# ##0;-# ##0"),",-"),FIXED(ROUND((C1025/EXC.RATE_1),CURRENCY.FORMAT_1),CURRENCY.FORMAT_1,0)),'DICTIONARY-5'!$A$2)</f>
        <v>59,-</v>
      </c>
      <c r="K1025" s="670" t="str">
        <f>IF(EXC.RATE_2=0,"",IFERROR(IF(CURRENCY.FORMAT_2=0,CONCATENATE(TEXT(FIXED(ROUND(IF(EXC.RATE.SWITCH=1,C1025/EXC.RATE_2,C1025*EXC.RATE_2),CURRENCY.FORMAT_2),CURRENCY.FORMAT_2,1),"# ##0;-# ##0"),",-"),FIXED(ROUND(IF(EXC.RATE.SWITCH=1,C1025/EXC.RATE_2,C1025*EXC.RATE_2),CURRENCY.FORMAT_2),CURRENCY.FORMAT_2,0)),'DICTIONARY-5'!$A$2))</f>
        <v/>
      </c>
      <c r="L1025" s="670" t="str">
        <f>IFERROR(IF(CURRENCY.FORMAT_1=0,CONCATENATE(TEXT(FIXED(ROUND((C1025*(1-I1025)*(1-ADD.DISCOUNT)*(1+MAT.SURCHARGE)/EXC.RATE_1),CURRENCY.FORMAT_1),CURRENCY.FORMAT_1,1),"# ##0;-# ##0"),",-"),FIXED(ROUND((C1025*(1-I1025)*(1-ADD.DISCOUNT)*(1+MAT.SURCHARGE)/EXC.RATE_1),CURRENCY.FORMAT_1),CURRENCY.FORMAT_1,0)),'DICTIONARY-5'!$A$2)</f>
        <v>61,-</v>
      </c>
      <c r="M1025" s="670" t="str">
        <f>IF(EXC.RATE_2=0,"",IFERROR(IF(CURRENCY.FORMAT_2=0,CONCATENATE(TEXT(FIXED(ROUND(IF(EXC.RATE.SWITCH=1,C1025*(1-I1025)*(1-ADD.DISCOUNT)*(1+MAT.SURCHARGE)/EXC.RATE_2,C1025*(1-I1025)*(1-ADD.DISCOUNT)*(1+MAT.SURCHARGE)*EXC.RATE_2),CURRENCY.FORMAT_2),CURRENCY.FORMAT_2,1),"# ##0;-# ##0"),",-"),FIXED(ROUND(IF(EXC.RATE.SWITCH=1,C1025*(1-I1025)*(1-ADD.DISCOUNT)*(1+MAT.SURCHARGE)/EXC.RATE_2,C1025*(1-I1025)*(1-ADD.DISCOUNT)*(1+MAT.SURCHARGE)*EXC.RATE_2),CURRENCY.FORMAT_2),CURRENCY.FORMAT_2,0)),'DICTIONARY-5'!$A$2))</f>
        <v/>
      </c>
      <c r="N1025" s="542">
        <v>4</v>
      </c>
      <c r="O1025" s="542"/>
      <c r="P1025" s="731" t="str">
        <f>'DICTIONARY-3'!$A$58</f>
        <v>HOD-K</v>
      </c>
      <c r="Q1025" s="732" t="str">
        <f>'DICTIONARY-3'!$A$196</f>
        <v>Mostek nawiertowy</v>
      </c>
      <c r="R1025" s="732" t="str">
        <f>CONCATENATE('DICTIONARY-3'!$A$55,'DICTIONARY-3'!$A$79," ",'DICTIONARY-6'!$A$21," ",'DICTIONARY-2'!$A$2,"80"," ",'DICTIONARY-2'!$A$5,"90 G1¼"," ",'DICTIONARY-6'!$A$59,", ",'DICTIONARY-6'!$A$76," ",'DICTIONARY-5'!$A$57,"+",'DICTIONARY-5'!$A$56)</f>
        <v>HOD-K507 Mostek nawiert. DN80 Da90 G1¼ bez zaw., ruroc. PE+PVC</v>
      </c>
      <c r="S1025" s="733" t="str">
        <f>'DICTIONARY-4'!$A$2</f>
        <v>WW</v>
      </c>
      <c r="T1025" s="732"/>
      <c r="U1025" s="734" t="s">
        <v>5760</v>
      </c>
      <c r="V1025" s="735"/>
      <c r="W1025" s="744" t="s">
        <v>7339</v>
      </c>
      <c r="X1025" s="737" t="s">
        <v>5740</v>
      </c>
      <c r="Y1025" s="738"/>
      <c r="Z1025" s="739"/>
      <c r="AA1025" s="739"/>
      <c r="AB1025" s="740">
        <v>16</v>
      </c>
      <c r="AC1025" s="741"/>
      <c r="AD1025" s="741" t="str">
        <f>'DICTIONARY-5'!$A$13</f>
        <v>woda pitna</v>
      </c>
      <c r="AE1025" s="742">
        <v>50</v>
      </c>
      <c r="AF1025" s="743">
        <v>5.4</v>
      </c>
      <c r="AG1025" s="741" t="str">
        <f>'DICTIONARY-5'!$A$23</f>
        <v>powłoka epoksydowa</v>
      </c>
    </row>
    <row r="1026" spans="1:33" x14ac:dyDescent="0.25">
      <c r="A1026" s="856" t="s">
        <v>968</v>
      </c>
      <c r="B1026" s="856" t="s">
        <v>3994</v>
      </c>
      <c r="C1026" s="836">
        <v>63</v>
      </c>
      <c r="D1026" s="836"/>
      <c r="E1026" s="836"/>
      <c r="F1026" s="836"/>
      <c r="G1026" s="496" t="s">
        <v>7812</v>
      </c>
      <c r="H1026" s="797" t="str">
        <f>VLOOKUP(G1026,SETTINGS!$B$7:$D$97,2,0)</f>
        <v>HOD</v>
      </c>
      <c r="I1026" s="796">
        <f>VLOOKUP(G1026,SETTINGS!$B$7:$D$97,3,0)</f>
        <v>0</v>
      </c>
      <c r="J1026" s="670" t="str">
        <f>IFERROR(IF(CURRENCY.FORMAT_1=0,CONCATENATE(TEXT(FIXED(ROUND((C1026/EXC.RATE_1),CURRENCY.FORMAT_1),CURRENCY.FORMAT_1,1),"# ##0;-# ##0"),",-"),FIXED(ROUND((C1026/EXC.RATE_1),CURRENCY.FORMAT_1),CURRENCY.FORMAT_1,0)),'DICTIONARY-5'!$A$2)</f>
        <v>63,-</v>
      </c>
      <c r="K1026" s="670" t="str">
        <f>IF(EXC.RATE_2=0,"",IFERROR(IF(CURRENCY.FORMAT_2=0,CONCATENATE(TEXT(FIXED(ROUND(IF(EXC.RATE.SWITCH=1,C1026/EXC.RATE_2,C1026*EXC.RATE_2),CURRENCY.FORMAT_2),CURRENCY.FORMAT_2,1),"# ##0;-# ##0"),",-"),FIXED(ROUND(IF(EXC.RATE.SWITCH=1,C1026/EXC.RATE_2,C1026*EXC.RATE_2),CURRENCY.FORMAT_2),CURRENCY.FORMAT_2,0)),'DICTIONARY-5'!$A$2))</f>
        <v/>
      </c>
      <c r="L1026" s="670" t="str">
        <f>IFERROR(IF(CURRENCY.FORMAT_1=0,CONCATENATE(TEXT(FIXED(ROUND((C1026*(1-I1026)*(1-ADD.DISCOUNT)*(1+MAT.SURCHARGE)/EXC.RATE_1),CURRENCY.FORMAT_1),CURRENCY.FORMAT_1,1),"# ##0;-# ##0"),",-"),FIXED(ROUND((C1026*(1-I1026)*(1-ADD.DISCOUNT)*(1+MAT.SURCHARGE)/EXC.RATE_1),CURRENCY.FORMAT_1),CURRENCY.FORMAT_1,0)),'DICTIONARY-5'!$A$2)</f>
        <v>65,-</v>
      </c>
      <c r="M1026" s="670" t="str">
        <f>IF(EXC.RATE_2=0,"",IFERROR(IF(CURRENCY.FORMAT_2=0,CONCATENATE(TEXT(FIXED(ROUND(IF(EXC.RATE.SWITCH=1,C1026*(1-I1026)*(1-ADD.DISCOUNT)*(1+MAT.SURCHARGE)/EXC.RATE_2,C1026*(1-I1026)*(1-ADD.DISCOUNT)*(1+MAT.SURCHARGE)*EXC.RATE_2),CURRENCY.FORMAT_2),CURRENCY.FORMAT_2,1),"# ##0;-# ##0"),",-"),FIXED(ROUND(IF(EXC.RATE.SWITCH=1,C1026*(1-I1026)*(1-ADD.DISCOUNT)*(1+MAT.SURCHARGE)/EXC.RATE_2,C1026*(1-I1026)*(1-ADD.DISCOUNT)*(1+MAT.SURCHARGE)*EXC.RATE_2),CURRENCY.FORMAT_2),CURRENCY.FORMAT_2,0)),'DICTIONARY-5'!$A$2))</f>
        <v/>
      </c>
      <c r="N1026" s="542">
        <v>4</v>
      </c>
      <c r="O1026" s="542"/>
      <c r="P1026" s="731" t="str">
        <f>'DICTIONARY-3'!$A$58</f>
        <v>HOD-K</v>
      </c>
      <c r="Q1026" s="732" t="str">
        <f>'DICTIONARY-3'!$A$196</f>
        <v>Mostek nawiertowy</v>
      </c>
      <c r="R1026" s="732" t="str">
        <f>CONCATENATE('DICTIONARY-3'!$A$55,'DICTIONARY-3'!$A$79," ",'DICTIONARY-6'!$A$21," ",'DICTIONARY-2'!$A$2,"100"," ",'DICTIONARY-2'!$A$5,"110 G1¼"," ",'DICTIONARY-6'!$A$59,", ",'DICTIONARY-6'!$A$76," ",'DICTIONARY-5'!$A$57,"+",'DICTIONARY-5'!$A$56)</f>
        <v>HOD-K507 Mostek nawiert. DN100 Da110 G1¼ bez zaw., ruroc. PE+PVC</v>
      </c>
      <c r="S1026" s="733" t="str">
        <f>'DICTIONARY-4'!$A$2</f>
        <v>WW</v>
      </c>
      <c r="T1026" s="732"/>
      <c r="U1026" s="734" t="s">
        <v>5749</v>
      </c>
      <c r="V1026" s="735"/>
      <c r="W1026" s="744" t="s">
        <v>7340</v>
      </c>
      <c r="X1026" s="737" t="s">
        <v>5740</v>
      </c>
      <c r="Y1026" s="738"/>
      <c r="Z1026" s="739"/>
      <c r="AA1026" s="739"/>
      <c r="AB1026" s="740">
        <v>16</v>
      </c>
      <c r="AC1026" s="741"/>
      <c r="AD1026" s="741" t="str">
        <f>'DICTIONARY-5'!$A$13</f>
        <v>woda pitna</v>
      </c>
      <c r="AE1026" s="742">
        <v>50</v>
      </c>
      <c r="AF1026" s="743">
        <v>5.7</v>
      </c>
      <c r="AG1026" s="741" t="str">
        <f>'DICTIONARY-5'!$A$23</f>
        <v>powłoka epoksydowa</v>
      </c>
    </row>
    <row r="1027" spans="1:33" x14ac:dyDescent="0.25">
      <c r="A1027" s="856" t="s">
        <v>971</v>
      </c>
      <c r="B1027" s="856" t="s">
        <v>3995</v>
      </c>
      <c r="C1027" s="836">
        <v>90</v>
      </c>
      <c r="D1027" s="836"/>
      <c r="E1027" s="836"/>
      <c r="F1027" s="836"/>
      <c r="G1027" s="496" t="s">
        <v>7812</v>
      </c>
      <c r="H1027" s="797" t="str">
        <f>VLOOKUP(G1027,SETTINGS!$B$7:$D$97,2,0)</f>
        <v>HOD</v>
      </c>
      <c r="I1027" s="796">
        <f>VLOOKUP(G1027,SETTINGS!$B$7:$D$97,3,0)</f>
        <v>0</v>
      </c>
      <c r="J1027" s="670" t="str">
        <f>IFERROR(IF(CURRENCY.FORMAT_1=0,CONCATENATE(TEXT(FIXED(ROUND((C1027/EXC.RATE_1),CURRENCY.FORMAT_1),CURRENCY.FORMAT_1,1),"# ##0;-# ##0"),",-"),FIXED(ROUND((C1027/EXC.RATE_1),CURRENCY.FORMAT_1),CURRENCY.FORMAT_1,0)),'DICTIONARY-5'!$A$2)</f>
        <v>90,-</v>
      </c>
      <c r="K1027" s="670" t="str">
        <f>IF(EXC.RATE_2=0,"",IFERROR(IF(CURRENCY.FORMAT_2=0,CONCATENATE(TEXT(FIXED(ROUND(IF(EXC.RATE.SWITCH=1,C1027/EXC.RATE_2,C1027*EXC.RATE_2),CURRENCY.FORMAT_2),CURRENCY.FORMAT_2,1),"# ##0;-# ##0"),",-"),FIXED(ROUND(IF(EXC.RATE.SWITCH=1,C1027/EXC.RATE_2,C1027*EXC.RATE_2),CURRENCY.FORMAT_2),CURRENCY.FORMAT_2,0)),'DICTIONARY-5'!$A$2))</f>
        <v/>
      </c>
      <c r="L1027" s="670" t="str">
        <f>IFERROR(IF(CURRENCY.FORMAT_1=0,CONCATENATE(TEXT(FIXED(ROUND((C1027*(1-I1027)*(1-ADD.DISCOUNT)*(1+MAT.SURCHARGE)/EXC.RATE_1),CURRENCY.FORMAT_1),CURRENCY.FORMAT_1,1),"# ##0;-# ##0"),",-"),FIXED(ROUND((C1027*(1-I1027)*(1-ADD.DISCOUNT)*(1+MAT.SURCHARGE)/EXC.RATE_1),CURRENCY.FORMAT_1),CURRENCY.FORMAT_1,0)),'DICTIONARY-5'!$A$2)</f>
        <v>94,-</v>
      </c>
      <c r="M1027" s="670" t="str">
        <f>IF(EXC.RATE_2=0,"",IFERROR(IF(CURRENCY.FORMAT_2=0,CONCATENATE(TEXT(FIXED(ROUND(IF(EXC.RATE.SWITCH=1,C1027*(1-I1027)*(1-ADD.DISCOUNT)*(1+MAT.SURCHARGE)/EXC.RATE_2,C1027*(1-I1027)*(1-ADD.DISCOUNT)*(1+MAT.SURCHARGE)*EXC.RATE_2),CURRENCY.FORMAT_2),CURRENCY.FORMAT_2,1),"# ##0;-# ##0"),",-"),FIXED(ROUND(IF(EXC.RATE.SWITCH=1,C1027*(1-I1027)*(1-ADD.DISCOUNT)*(1+MAT.SURCHARGE)/EXC.RATE_2,C1027*(1-I1027)*(1-ADD.DISCOUNT)*(1+MAT.SURCHARGE)*EXC.RATE_2),CURRENCY.FORMAT_2),CURRENCY.FORMAT_2,0)),'DICTIONARY-5'!$A$2))</f>
        <v/>
      </c>
      <c r="N1027" s="542">
        <v>4</v>
      </c>
      <c r="O1027" s="542"/>
      <c r="P1027" s="731" t="str">
        <f>'DICTIONARY-3'!$A$58</f>
        <v>HOD-K</v>
      </c>
      <c r="Q1027" s="732" t="str">
        <f>'DICTIONARY-3'!$A$196</f>
        <v>Mostek nawiertowy</v>
      </c>
      <c r="R1027" s="732" t="str">
        <f>CONCATENATE('DICTIONARY-3'!$A$55,'DICTIONARY-3'!$A$79," ",'DICTIONARY-6'!$A$21," ",'DICTIONARY-2'!$A$2,"150"," ",'DICTIONARY-2'!$A$5,"160 G1¼"," ",'DICTIONARY-6'!$A$59,", ",'DICTIONARY-6'!$A$76," ",'DICTIONARY-5'!$A$57,"+",'DICTIONARY-5'!$A$56)</f>
        <v>HOD-K507 Mostek nawiert. DN150 Da160 G1¼ bez zaw., ruroc. PE+PVC</v>
      </c>
      <c r="S1027" s="733" t="str">
        <f>'DICTIONARY-4'!$A$2</f>
        <v>WW</v>
      </c>
      <c r="T1027" s="732"/>
      <c r="U1027" s="734" t="s">
        <v>5572</v>
      </c>
      <c r="V1027" s="735"/>
      <c r="W1027" s="744" t="s">
        <v>7342</v>
      </c>
      <c r="X1027" s="737" t="s">
        <v>5740</v>
      </c>
      <c r="Y1027" s="738"/>
      <c r="Z1027" s="739"/>
      <c r="AA1027" s="739"/>
      <c r="AB1027" s="740">
        <v>16</v>
      </c>
      <c r="AC1027" s="741"/>
      <c r="AD1027" s="741" t="str">
        <f>'DICTIONARY-5'!$A$13</f>
        <v>woda pitna</v>
      </c>
      <c r="AE1027" s="742">
        <v>50</v>
      </c>
      <c r="AF1027" s="743">
        <v>7.5</v>
      </c>
      <c r="AG1027" s="741" t="str">
        <f>'DICTIONARY-5'!$A$23</f>
        <v>powłoka epoksydowa</v>
      </c>
    </row>
    <row r="1028" spans="1:33" x14ac:dyDescent="0.25">
      <c r="A1028" s="856" t="s">
        <v>973</v>
      </c>
      <c r="B1028" s="856" t="s">
        <v>3996</v>
      </c>
      <c r="C1028" s="836">
        <v>143</v>
      </c>
      <c r="D1028" s="836"/>
      <c r="E1028" s="836"/>
      <c r="F1028" s="836"/>
      <c r="G1028" s="496" t="s">
        <v>7812</v>
      </c>
      <c r="H1028" s="797" t="str">
        <f>VLOOKUP(G1028,SETTINGS!$B$7:$D$97,2,0)</f>
        <v>HOD</v>
      </c>
      <c r="I1028" s="796">
        <f>VLOOKUP(G1028,SETTINGS!$B$7:$D$97,3,0)</f>
        <v>0</v>
      </c>
      <c r="J1028" s="670" t="str">
        <f>IFERROR(IF(CURRENCY.FORMAT_1=0,CONCATENATE(TEXT(FIXED(ROUND((C1028/EXC.RATE_1),CURRENCY.FORMAT_1),CURRENCY.FORMAT_1,1),"# ##0;-# ##0"),",-"),FIXED(ROUND((C1028/EXC.RATE_1),CURRENCY.FORMAT_1),CURRENCY.FORMAT_1,0)),'DICTIONARY-5'!$A$2)</f>
        <v>143,-</v>
      </c>
      <c r="K1028" s="670" t="str">
        <f>IF(EXC.RATE_2=0,"",IFERROR(IF(CURRENCY.FORMAT_2=0,CONCATENATE(TEXT(FIXED(ROUND(IF(EXC.RATE.SWITCH=1,C1028/EXC.RATE_2,C1028*EXC.RATE_2),CURRENCY.FORMAT_2),CURRENCY.FORMAT_2,1),"# ##0;-# ##0"),",-"),FIXED(ROUND(IF(EXC.RATE.SWITCH=1,C1028/EXC.RATE_2,C1028*EXC.RATE_2),CURRENCY.FORMAT_2),CURRENCY.FORMAT_2,0)),'DICTIONARY-5'!$A$2))</f>
        <v/>
      </c>
      <c r="L1028" s="670" t="str">
        <f>IFERROR(IF(CURRENCY.FORMAT_1=0,CONCATENATE(TEXT(FIXED(ROUND((C1028*(1-I1028)*(1-ADD.DISCOUNT)*(1+MAT.SURCHARGE)/EXC.RATE_1),CURRENCY.FORMAT_1),CURRENCY.FORMAT_1,1),"# ##0;-# ##0"),",-"),FIXED(ROUND((C1028*(1-I1028)*(1-ADD.DISCOUNT)*(1+MAT.SURCHARGE)/EXC.RATE_1),CURRENCY.FORMAT_1),CURRENCY.FORMAT_1,0)),'DICTIONARY-5'!$A$2)</f>
        <v>149,-</v>
      </c>
      <c r="M1028" s="670" t="str">
        <f>IF(EXC.RATE_2=0,"",IFERROR(IF(CURRENCY.FORMAT_2=0,CONCATENATE(TEXT(FIXED(ROUND(IF(EXC.RATE.SWITCH=1,C1028*(1-I1028)*(1-ADD.DISCOUNT)*(1+MAT.SURCHARGE)/EXC.RATE_2,C1028*(1-I1028)*(1-ADD.DISCOUNT)*(1+MAT.SURCHARGE)*EXC.RATE_2),CURRENCY.FORMAT_2),CURRENCY.FORMAT_2,1),"# ##0;-# ##0"),",-"),FIXED(ROUND(IF(EXC.RATE.SWITCH=1,C1028*(1-I1028)*(1-ADD.DISCOUNT)*(1+MAT.SURCHARGE)/EXC.RATE_2,C1028*(1-I1028)*(1-ADD.DISCOUNT)*(1+MAT.SURCHARGE)*EXC.RATE_2),CURRENCY.FORMAT_2),CURRENCY.FORMAT_2,0)),'DICTIONARY-5'!$A$2))</f>
        <v/>
      </c>
      <c r="N1028" s="542">
        <v>4</v>
      </c>
      <c r="O1028" s="542"/>
      <c r="P1028" s="731" t="str">
        <f>'DICTIONARY-3'!$A$58</f>
        <v>HOD-K</v>
      </c>
      <c r="Q1028" s="732" t="str">
        <f>'DICTIONARY-3'!$A$196</f>
        <v>Mostek nawiertowy</v>
      </c>
      <c r="R1028" s="732" t="str">
        <f>CONCATENATE('DICTIONARY-3'!$A$55,'DICTIONARY-3'!$A$79," ",'DICTIONARY-6'!$A$21," ",'DICTIONARY-2'!$A$2,"200"," ",'DICTIONARY-2'!$A$5,"225 G1¼"," ",'DICTIONARY-6'!$A$59,", ",'DICTIONARY-6'!$A$76," ",'DICTIONARY-5'!$A$57,"+",'DICTIONARY-5'!$A$56)</f>
        <v>HOD-K507 Mostek nawiert. DN200 Da225 G1¼ bez zaw., ruroc. PE+PVC</v>
      </c>
      <c r="S1028" s="733" t="str">
        <f>'DICTIONARY-4'!$A$2</f>
        <v>WW</v>
      </c>
      <c r="T1028" s="732"/>
      <c r="U1028" s="734" t="s">
        <v>5750</v>
      </c>
      <c r="V1028" s="735"/>
      <c r="W1028" s="744" t="s">
        <v>5833</v>
      </c>
      <c r="X1028" s="737" t="s">
        <v>5740</v>
      </c>
      <c r="Y1028" s="738"/>
      <c r="Z1028" s="739"/>
      <c r="AA1028" s="739"/>
      <c r="AB1028" s="740">
        <v>16</v>
      </c>
      <c r="AC1028" s="741"/>
      <c r="AD1028" s="741" t="str">
        <f>'DICTIONARY-5'!$A$13</f>
        <v>woda pitna</v>
      </c>
      <c r="AE1028" s="742">
        <v>50</v>
      </c>
      <c r="AF1028" s="743">
        <v>13</v>
      </c>
      <c r="AG1028" s="741" t="str">
        <f>'DICTIONARY-5'!$A$23</f>
        <v>powłoka epoksydowa</v>
      </c>
    </row>
    <row r="1029" spans="1:33" x14ac:dyDescent="0.25">
      <c r="A1029" s="856" t="s">
        <v>967</v>
      </c>
      <c r="B1029" s="856" t="s">
        <v>3997</v>
      </c>
      <c r="C1029" s="836">
        <v>66</v>
      </c>
      <c r="D1029" s="836"/>
      <c r="E1029" s="836"/>
      <c r="F1029" s="836"/>
      <c r="G1029" s="496" t="s">
        <v>7812</v>
      </c>
      <c r="H1029" s="797" t="str">
        <f>VLOOKUP(G1029,SETTINGS!$B$7:$D$97,2,0)</f>
        <v>HOD</v>
      </c>
      <c r="I1029" s="796">
        <f>VLOOKUP(G1029,SETTINGS!$B$7:$D$97,3,0)</f>
        <v>0</v>
      </c>
      <c r="J1029" s="670" t="str">
        <f>IFERROR(IF(CURRENCY.FORMAT_1=0,CONCATENATE(TEXT(FIXED(ROUND((C1029/EXC.RATE_1),CURRENCY.FORMAT_1),CURRENCY.FORMAT_1,1),"# ##0;-# ##0"),",-"),FIXED(ROUND((C1029/EXC.RATE_1),CURRENCY.FORMAT_1),CURRENCY.FORMAT_1,0)),'DICTIONARY-5'!$A$2)</f>
        <v>66,-</v>
      </c>
      <c r="K1029" s="670" t="str">
        <f>IF(EXC.RATE_2=0,"",IFERROR(IF(CURRENCY.FORMAT_2=0,CONCATENATE(TEXT(FIXED(ROUND(IF(EXC.RATE.SWITCH=1,C1029/EXC.RATE_2,C1029*EXC.RATE_2),CURRENCY.FORMAT_2),CURRENCY.FORMAT_2,1),"# ##0;-# ##0"),",-"),FIXED(ROUND(IF(EXC.RATE.SWITCH=1,C1029/EXC.RATE_2,C1029*EXC.RATE_2),CURRENCY.FORMAT_2),CURRENCY.FORMAT_2,0)),'DICTIONARY-5'!$A$2))</f>
        <v/>
      </c>
      <c r="L1029" s="670" t="str">
        <f>IFERROR(IF(CURRENCY.FORMAT_1=0,CONCATENATE(TEXT(FIXED(ROUND((C1029*(1-I1029)*(1-ADD.DISCOUNT)*(1+MAT.SURCHARGE)/EXC.RATE_1),CURRENCY.FORMAT_1),CURRENCY.FORMAT_1,1),"# ##0;-# ##0"),",-"),FIXED(ROUND((C1029*(1-I1029)*(1-ADD.DISCOUNT)*(1+MAT.SURCHARGE)/EXC.RATE_1),CURRENCY.FORMAT_1),CURRENCY.FORMAT_1,0)),'DICTIONARY-5'!$A$2)</f>
        <v>69,-</v>
      </c>
      <c r="M1029" s="670" t="str">
        <f>IF(EXC.RATE_2=0,"",IFERROR(IF(CURRENCY.FORMAT_2=0,CONCATENATE(TEXT(FIXED(ROUND(IF(EXC.RATE.SWITCH=1,C1029*(1-I1029)*(1-ADD.DISCOUNT)*(1+MAT.SURCHARGE)/EXC.RATE_2,C1029*(1-I1029)*(1-ADD.DISCOUNT)*(1+MAT.SURCHARGE)*EXC.RATE_2),CURRENCY.FORMAT_2),CURRENCY.FORMAT_2,1),"# ##0;-# ##0"),",-"),FIXED(ROUND(IF(EXC.RATE.SWITCH=1,C1029*(1-I1029)*(1-ADD.DISCOUNT)*(1+MAT.SURCHARGE)/EXC.RATE_2,C1029*(1-I1029)*(1-ADD.DISCOUNT)*(1+MAT.SURCHARGE)*EXC.RATE_2),CURRENCY.FORMAT_2),CURRENCY.FORMAT_2,0)),'DICTIONARY-5'!$A$2))</f>
        <v/>
      </c>
      <c r="N1029" s="542">
        <v>4</v>
      </c>
      <c r="O1029" s="542"/>
      <c r="P1029" s="731" t="str">
        <f>'DICTIONARY-3'!$A$58</f>
        <v>HOD-K</v>
      </c>
      <c r="Q1029" s="732" t="str">
        <f>'DICTIONARY-3'!$A$196</f>
        <v>Mostek nawiertowy</v>
      </c>
      <c r="R1029" s="732" t="str">
        <f>CONCATENATE('DICTIONARY-3'!$A$55,'DICTIONARY-3'!$A$79," ",'DICTIONARY-6'!$A$21," ",'DICTIONARY-2'!$A$2,"80"," ",'DICTIONARY-2'!$A$5,"90 G2"," ",'DICTIONARY-6'!$A$59,", ",'DICTIONARY-6'!$A$76," ",'DICTIONARY-5'!$A$57,"+",'DICTIONARY-5'!$A$56)</f>
        <v>HOD-K507 Mostek nawiert. DN80 Da90 G2 bez zaw., ruroc. PE+PVC</v>
      </c>
      <c r="S1029" s="733" t="str">
        <f>'DICTIONARY-4'!$A$2</f>
        <v>WW</v>
      </c>
      <c r="T1029" s="732"/>
      <c r="U1029" s="734" t="s">
        <v>5760</v>
      </c>
      <c r="V1029" s="735"/>
      <c r="W1029" s="744" t="s">
        <v>7339</v>
      </c>
      <c r="X1029" s="750" t="s">
        <v>50</v>
      </c>
      <c r="Y1029" s="738"/>
      <c r="Z1029" s="739"/>
      <c r="AA1029" s="739"/>
      <c r="AB1029" s="740">
        <v>16</v>
      </c>
      <c r="AC1029" s="741"/>
      <c r="AD1029" s="741" t="str">
        <f>'DICTIONARY-5'!$A$13</f>
        <v>woda pitna</v>
      </c>
      <c r="AE1029" s="742">
        <v>50</v>
      </c>
      <c r="AF1029" s="743">
        <v>6</v>
      </c>
      <c r="AG1029" s="741" t="str">
        <f>'DICTIONARY-5'!$A$23</f>
        <v>powłoka epoksydowa</v>
      </c>
    </row>
    <row r="1030" spans="1:33" x14ac:dyDescent="0.25">
      <c r="A1030" s="856" t="s">
        <v>969</v>
      </c>
      <c r="B1030" s="856" t="s">
        <v>3998</v>
      </c>
      <c r="C1030" s="836">
        <v>70</v>
      </c>
      <c r="D1030" s="836"/>
      <c r="E1030" s="836"/>
      <c r="F1030" s="836"/>
      <c r="G1030" s="496" t="s">
        <v>7812</v>
      </c>
      <c r="H1030" s="797" t="str">
        <f>VLOOKUP(G1030,SETTINGS!$B$7:$D$97,2,0)</f>
        <v>HOD</v>
      </c>
      <c r="I1030" s="796">
        <f>VLOOKUP(G1030,SETTINGS!$B$7:$D$97,3,0)</f>
        <v>0</v>
      </c>
      <c r="J1030" s="670" t="str">
        <f>IFERROR(IF(CURRENCY.FORMAT_1=0,CONCATENATE(TEXT(FIXED(ROUND((C1030/EXC.RATE_1),CURRENCY.FORMAT_1),CURRENCY.FORMAT_1,1),"# ##0;-# ##0"),",-"),FIXED(ROUND((C1030/EXC.RATE_1),CURRENCY.FORMAT_1),CURRENCY.FORMAT_1,0)),'DICTIONARY-5'!$A$2)</f>
        <v>70,-</v>
      </c>
      <c r="K1030" s="670" t="str">
        <f>IF(EXC.RATE_2=0,"",IFERROR(IF(CURRENCY.FORMAT_2=0,CONCATENATE(TEXT(FIXED(ROUND(IF(EXC.RATE.SWITCH=1,C1030/EXC.RATE_2,C1030*EXC.RATE_2),CURRENCY.FORMAT_2),CURRENCY.FORMAT_2,1),"# ##0;-# ##0"),",-"),FIXED(ROUND(IF(EXC.RATE.SWITCH=1,C1030/EXC.RATE_2,C1030*EXC.RATE_2),CURRENCY.FORMAT_2),CURRENCY.FORMAT_2,0)),'DICTIONARY-5'!$A$2))</f>
        <v/>
      </c>
      <c r="L1030" s="670" t="str">
        <f>IFERROR(IF(CURRENCY.FORMAT_1=0,CONCATENATE(TEXT(FIXED(ROUND((C1030*(1-I1030)*(1-ADD.DISCOUNT)*(1+MAT.SURCHARGE)/EXC.RATE_1),CURRENCY.FORMAT_1),CURRENCY.FORMAT_1,1),"# ##0;-# ##0"),",-"),FIXED(ROUND((C1030*(1-I1030)*(1-ADD.DISCOUNT)*(1+MAT.SURCHARGE)/EXC.RATE_1),CURRENCY.FORMAT_1),CURRENCY.FORMAT_1,0)),'DICTIONARY-5'!$A$2)</f>
        <v>73,-</v>
      </c>
      <c r="M1030" s="670" t="str">
        <f>IF(EXC.RATE_2=0,"",IFERROR(IF(CURRENCY.FORMAT_2=0,CONCATENATE(TEXT(FIXED(ROUND(IF(EXC.RATE.SWITCH=1,C1030*(1-I1030)*(1-ADD.DISCOUNT)*(1+MAT.SURCHARGE)/EXC.RATE_2,C1030*(1-I1030)*(1-ADD.DISCOUNT)*(1+MAT.SURCHARGE)*EXC.RATE_2),CURRENCY.FORMAT_2),CURRENCY.FORMAT_2,1),"# ##0;-# ##0"),",-"),FIXED(ROUND(IF(EXC.RATE.SWITCH=1,C1030*(1-I1030)*(1-ADD.DISCOUNT)*(1+MAT.SURCHARGE)/EXC.RATE_2,C1030*(1-I1030)*(1-ADD.DISCOUNT)*(1+MAT.SURCHARGE)*EXC.RATE_2),CURRENCY.FORMAT_2),CURRENCY.FORMAT_2,0)),'DICTIONARY-5'!$A$2))</f>
        <v/>
      </c>
      <c r="N1030" s="542">
        <v>4</v>
      </c>
      <c r="O1030" s="542"/>
      <c r="P1030" s="731" t="str">
        <f>'DICTIONARY-3'!$A$58</f>
        <v>HOD-K</v>
      </c>
      <c r="Q1030" s="732" t="str">
        <f>'DICTIONARY-3'!$A$196</f>
        <v>Mostek nawiertowy</v>
      </c>
      <c r="R1030" s="732" t="str">
        <f>CONCATENATE('DICTIONARY-3'!$A$55,'DICTIONARY-3'!$A$79," ",'DICTIONARY-6'!$A$21," ",'DICTIONARY-2'!$A$2,"100"," ",'DICTIONARY-2'!$A$5,"110 G2"," ",'DICTIONARY-6'!$A$59,", ",'DICTIONARY-6'!$A$76," ",'DICTIONARY-5'!$A$57,"+",'DICTIONARY-5'!$A$56)</f>
        <v>HOD-K507 Mostek nawiert. DN100 Da110 G2 bez zaw., ruroc. PE+PVC</v>
      </c>
      <c r="S1030" s="733" t="str">
        <f>'DICTIONARY-4'!$A$2</f>
        <v>WW</v>
      </c>
      <c r="T1030" s="732"/>
      <c r="U1030" s="734" t="s">
        <v>5749</v>
      </c>
      <c r="V1030" s="735"/>
      <c r="W1030" s="744" t="s">
        <v>7340</v>
      </c>
      <c r="X1030" s="750" t="s">
        <v>50</v>
      </c>
      <c r="Y1030" s="738"/>
      <c r="Z1030" s="739"/>
      <c r="AA1030" s="739"/>
      <c r="AB1030" s="740">
        <v>16</v>
      </c>
      <c r="AC1030" s="741"/>
      <c r="AD1030" s="741" t="str">
        <f>'DICTIONARY-5'!$A$13</f>
        <v>woda pitna</v>
      </c>
      <c r="AE1030" s="742">
        <v>50</v>
      </c>
      <c r="AF1030" s="743">
        <v>6.3</v>
      </c>
      <c r="AG1030" s="741" t="str">
        <f>'DICTIONARY-5'!$A$23</f>
        <v>powłoka epoksydowa</v>
      </c>
    </row>
    <row r="1031" spans="1:33" x14ac:dyDescent="0.25">
      <c r="A1031" s="856" t="s">
        <v>970</v>
      </c>
      <c r="B1031" s="856" t="s">
        <v>3999</v>
      </c>
      <c r="C1031" s="836">
        <v>127</v>
      </c>
      <c r="D1031" s="836"/>
      <c r="E1031" s="836"/>
      <c r="F1031" s="836"/>
      <c r="G1031" s="496" t="s">
        <v>7812</v>
      </c>
      <c r="H1031" s="797" t="str">
        <f>VLOOKUP(G1031,SETTINGS!$B$7:$D$97,2,0)</f>
        <v>HOD</v>
      </c>
      <c r="I1031" s="796">
        <f>VLOOKUP(G1031,SETTINGS!$B$7:$D$97,3,0)</f>
        <v>0</v>
      </c>
      <c r="J1031" s="670" t="str">
        <f>IFERROR(IF(CURRENCY.FORMAT_1=0,CONCATENATE(TEXT(FIXED(ROUND((C1031/EXC.RATE_1),CURRENCY.FORMAT_1),CURRENCY.FORMAT_1,1),"# ##0;-# ##0"),",-"),FIXED(ROUND((C1031/EXC.RATE_1),CURRENCY.FORMAT_1),CURRENCY.FORMAT_1,0)),'DICTIONARY-5'!$A$2)</f>
        <v>127,-</v>
      </c>
      <c r="K1031" s="670" t="str">
        <f>IF(EXC.RATE_2=0,"",IFERROR(IF(CURRENCY.FORMAT_2=0,CONCATENATE(TEXT(FIXED(ROUND(IF(EXC.RATE.SWITCH=1,C1031/EXC.RATE_2,C1031*EXC.RATE_2),CURRENCY.FORMAT_2),CURRENCY.FORMAT_2,1),"# ##0;-# ##0"),",-"),FIXED(ROUND(IF(EXC.RATE.SWITCH=1,C1031/EXC.RATE_2,C1031*EXC.RATE_2),CURRENCY.FORMAT_2),CURRENCY.FORMAT_2,0)),'DICTIONARY-5'!$A$2))</f>
        <v/>
      </c>
      <c r="L1031" s="670" t="str">
        <f>IFERROR(IF(CURRENCY.FORMAT_1=0,CONCATENATE(TEXT(FIXED(ROUND((C1031*(1-I1031)*(1-ADD.DISCOUNT)*(1+MAT.SURCHARGE)/EXC.RATE_1),CURRENCY.FORMAT_1),CURRENCY.FORMAT_1,1),"# ##0;-# ##0"),",-"),FIXED(ROUND((C1031*(1-I1031)*(1-ADD.DISCOUNT)*(1+MAT.SURCHARGE)/EXC.RATE_1),CURRENCY.FORMAT_1),CURRENCY.FORMAT_1,0)),'DICTIONARY-5'!$A$2)</f>
        <v>132,-</v>
      </c>
      <c r="M1031" s="670" t="str">
        <f>IF(EXC.RATE_2=0,"",IFERROR(IF(CURRENCY.FORMAT_2=0,CONCATENATE(TEXT(FIXED(ROUND(IF(EXC.RATE.SWITCH=1,C1031*(1-I1031)*(1-ADD.DISCOUNT)*(1+MAT.SURCHARGE)/EXC.RATE_2,C1031*(1-I1031)*(1-ADD.DISCOUNT)*(1+MAT.SURCHARGE)*EXC.RATE_2),CURRENCY.FORMAT_2),CURRENCY.FORMAT_2,1),"# ##0;-# ##0"),",-"),FIXED(ROUND(IF(EXC.RATE.SWITCH=1,C1031*(1-I1031)*(1-ADD.DISCOUNT)*(1+MAT.SURCHARGE)/EXC.RATE_2,C1031*(1-I1031)*(1-ADD.DISCOUNT)*(1+MAT.SURCHARGE)*EXC.RATE_2),CURRENCY.FORMAT_2),CURRENCY.FORMAT_2,0)),'DICTIONARY-5'!$A$2))</f>
        <v/>
      </c>
      <c r="N1031" s="542">
        <v>4</v>
      </c>
      <c r="O1031" s="542"/>
      <c r="P1031" s="731" t="str">
        <f>'DICTIONARY-3'!$A$58</f>
        <v>HOD-K</v>
      </c>
      <c r="Q1031" s="732" t="str">
        <f>'DICTIONARY-3'!$A$196</f>
        <v>Mostek nawiertowy</v>
      </c>
      <c r="R1031" s="732" t="str">
        <f>CONCATENATE('DICTIONARY-3'!$A$55,'DICTIONARY-3'!$A$79," ",'DICTIONARY-6'!$A$21," ",'DICTIONARY-2'!$A$2,"125"," ",'DICTIONARY-2'!$A$5,"140 G2"," ",'DICTIONARY-6'!$A$59,", ",'DICTIONARY-6'!$A$76," ",'DICTIONARY-5'!$A$57,"+",'DICTIONARY-5'!$A$56)</f>
        <v>HOD-K507 Mostek nawiert. DN125 Da140 G2 bez zaw., ruroc. PE+PVC</v>
      </c>
      <c r="S1031" s="733" t="str">
        <f>'DICTIONARY-4'!$A$2</f>
        <v>WW</v>
      </c>
      <c r="T1031" s="732"/>
      <c r="U1031" s="734" t="s">
        <v>5761</v>
      </c>
      <c r="V1031" s="735"/>
      <c r="W1031" s="744" t="s">
        <v>7341</v>
      </c>
      <c r="X1031" s="750" t="s">
        <v>50</v>
      </c>
      <c r="Y1031" s="738"/>
      <c r="Z1031" s="739"/>
      <c r="AA1031" s="739"/>
      <c r="AB1031" s="740">
        <v>16</v>
      </c>
      <c r="AC1031" s="741"/>
      <c r="AD1031" s="741" t="str">
        <f>'DICTIONARY-5'!$A$13</f>
        <v>woda pitna</v>
      </c>
      <c r="AE1031" s="742">
        <v>50</v>
      </c>
      <c r="AF1031" s="743">
        <v>8.1</v>
      </c>
      <c r="AG1031" s="741" t="str">
        <f>'DICTIONARY-5'!$A$23</f>
        <v>powłoka epoksydowa</v>
      </c>
    </row>
    <row r="1032" spans="1:33" x14ac:dyDescent="0.25">
      <c r="A1032" s="856" t="s">
        <v>972</v>
      </c>
      <c r="B1032" s="856" t="s">
        <v>4000</v>
      </c>
      <c r="C1032" s="836">
        <v>95</v>
      </c>
      <c r="D1032" s="836"/>
      <c r="E1032" s="836"/>
      <c r="F1032" s="836"/>
      <c r="G1032" s="496" t="s">
        <v>7812</v>
      </c>
      <c r="H1032" s="797" t="str">
        <f>VLOOKUP(G1032,SETTINGS!$B$7:$D$97,2,0)</f>
        <v>HOD</v>
      </c>
      <c r="I1032" s="796">
        <f>VLOOKUP(G1032,SETTINGS!$B$7:$D$97,3,0)</f>
        <v>0</v>
      </c>
      <c r="J1032" s="670" t="str">
        <f>IFERROR(IF(CURRENCY.FORMAT_1=0,CONCATENATE(TEXT(FIXED(ROUND((C1032/EXC.RATE_1),CURRENCY.FORMAT_1),CURRENCY.FORMAT_1,1),"# ##0;-# ##0"),",-"),FIXED(ROUND((C1032/EXC.RATE_1),CURRENCY.FORMAT_1),CURRENCY.FORMAT_1,0)),'DICTIONARY-5'!$A$2)</f>
        <v>95,-</v>
      </c>
      <c r="K1032" s="670" t="str">
        <f>IF(EXC.RATE_2=0,"",IFERROR(IF(CURRENCY.FORMAT_2=0,CONCATENATE(TEXT(FIXED(ROUND(IF(EXC.RATE.SWITCH=1,C1032/EXC.RATE_2,C1032*EXC.RATE_2),CURRENCY.FORMAT_2),CURRENCY.FORMAT_2,1),"# ##0;-# ##0"),",-"),FIXED(ROUND(IF(EXC.RATE.SWITCH=1,C1032/EXC.RATE_2,C1032*EXC.RATE_2),CURRENCY.FORMAT_2),CURRENCY.FORMAT_2,0)),'DICTIONARY-5'!$A$2))</f>
        <v/>
      </c>
      <c r="L1032" s="670" t="str">
        <f>IFERROR(IF(CURRENCY.FORMAT_1=0,CONCATENATE(TEXT(FIXED(ROUND((C1032*(1-I1032)*(1-ADD.DISCOUNT)*(1+MAT.SURCHARGE)/EXC.RATE_1),CURRENCY.FORMAT_1),CURRENCY.FORMAT_1,1),"# ##0;-# ##0"),",-"),FIXED(ROUND((C1032*(1-I1032)*(1-ADD.DISCOUNT)*(1+MAT.SURCHARGE)/EXC.RATE_1),CURRENCY.FORMAT_1),CURRENCY.FORMAT_1,0)),'DICTIONARY-5'!$A$2)</f>
        <v>99,-</v>
      </c>
      <c r="M1032" s="670" t="str">
        <f>IF(EXC.RATE_2=0,"",IFERROR(IF(CURRENCY.FORMAT_2=0,CONCATENATE(TEXT(FIXED(ROUND(IF(EXC.RATE.SWITCH=1,C1032*(1-I1032)*(1-ADD.DISCOUNT)*(1+MAT.SURCHARGE)/EXC.RATE_2,C1032*(1-I1032)*(1-ADD.DISCOUNT)*(1+MAT.SURCHARGE)*EXC.RATE_2),CURRENCY.FORMAT_2),CURRENCY.FORMAT_2,1),"# ##0;-# ##0"),",-"),FIXED(ROUND(IF(EXC.RATE.SWITCH=1,C1032*(1-I1032)*(1-ADD.DISCOUNT)*(1+MAT.SURCHARGE)/EXC.RATE_2,C1032*(1-I1032)*(1-ADD.DISCOUNT)*(1+MAT.SURCHARGE)*EXC.RATE_2),CURRENCY.FORMAT_2),CURRENCY.FORMAT_2,0)),'DICTIONARY-5'!$A$2))</f>
        <v/>
      </c>
      <c r="N1032" s="542">
        <v>4</v>
      </c>
      <c r="O1032" s="542"/>
      <c r="P1032" s="731" t="str">
        <f>'DICTIONARY-3'!$A$58</f>
        <v>HOD-K</v>
      </c>
      <c r="Q1032" s="732" t="str">
        <f>'DICTIONARY-3'!$A$196</f>
        <v>Mostek nawiertowy</v>
      </c>
      <c r="R1032" s="732" t="str">
        <f>CONCATENATE('DICTIONARY-3'!$A$55,'DICTIONARY-3'!$A$79," ",'DICTIONARY-6'!$A$21," ",'DICTIONARY-2'!$A$2,"150"," ",'DICTIONARY-2'!$A$5,"160 G2"," ",'DICTIONARY-6'!$A$59,", ",'DICTIONARY-6'!$A$76," ",'DICTIONARY-5'!$A$57,"+",'DICTIONARY-5'!$A$56)</f>
        <v>HOD-K507 Mostek nawiert. DN150 Da160 G2 bez zaw., ruroc. PE+PVC</v>
      </c>
      <c r="S1032" s="733" t="str">
        <f>'DICTIONARY-4'!$A$2</f>
        <v>WW</v>
      </c>
      <c r="T1032" s="732"/>
      <c r="U1032" s="734" t="s">
        <v>5572</v>
      </c>
      <c r="V1032" s="735"/>
      <c r="W1032" s="744" t="s">
        <v>7342</v>
      </c>
      <c r="X1032" s="750" t="s">
        <v>50</v>
      </c>
      <c r="Y1032" s="738"/>
      <c r="Z1032" s="739"/>
      <c r="AA1032" s="739"/>
      <c r="AB1032" s="740">
        <v>16</v>
      </c>
      <c r="AC1032" s="741"/>
      <c r="AD1032" s="741" t="str">
        <f>'DICTIONARY-5'!$A$13</f>
        <v>woda pitna</v>
      </c>
      <c r="AE1032" s="742">
        <v>50</v>
      </c>
      <c r="AF1032" s="743">
        <v>8.3000000000000007</v>
      </c>
      <c r="AG1032" s="741" t="str">
        <f>'DICTIONARY-5'!$A$23</f>
        <v>powłoka epoksydowa</v>
      </c>
    </row>
    <row r="1033" spans="1:33" x14ac:dyDescent="0.25">
      <c r="A1033" s="856" t="s">
        <v>974</v>
      </c>
      <c r="B1033" s="856" t="s">
        <v>4001</v>
      </c>
      <c r="C1033" s="836">
        <v>166</v>
      </c>
      <c r="D1033" s="836"/>
      <c r="E1033" s="836"/>
      <c r="F1033" s="836"/>
      <c r="G1033" s="496" t="s">
        <v>7812</v>
      </c>
      <c r="H1033" s="797" t="str">
        <f>VLOOKUP(G1033,SETTINGS!$B$7:$D$97,2,0)</f>
        <v>HOD</v>
      </c>
      <c r="I1033" s="796">
        <f>VLOOKUP(G1033,SETTINGS!$B$7:$D$97,3,0)</f>
        <v>0</v>
      </c>
      <c r="J1033" s="670" t="str">
        <f>IFERROR(IF(CURRENCY.FORMAT_1=0,CONCATENATE(TEXT(FIXED(ROUND((C1033/EXC.RATE_1),CURRENCY.FORMAT_1),CURRENCY.FORMAT_1,1),"# ##0;-# ##0"),",-"),FIXED(ROUND((C1033/EXC.RATE_1),CURRENCY.FORMAT_1),CURRENCY.FORMAT_1,0)),'DICTIONARY-5'!$A$2)</f>
        <v>166,-</v>
      </c>
      <c r="K1033" s="670" t="str">
        <f>IF(EXC.RATE_2=0,"",IFERROR(IF(CURRENCY.FORMAT_2=0,CONCATENATE(TEXT(FIXED(ROUND(IF(EXC.RATE.SWITCH=1,C1033/EXC.RATE_2,C1033*EXC.RATE_2),CURRENCY.FORMAT_2),CURRENCY.FORMAT_2,1),"# ##0;-# ##0"),",-"),FIXED(ROUND(IF(EXC.RATE.SWITCH=1,C1033/EXC.RATE_2,C1033*EXC.RATE_2),CURRENCY.FORMAT_2),CURRENCY.FORMAT_2,0)),'DICTIONARY-5'!$A$2))</f>
        <v/>
      </c>
      <c r="L1033" s="670" t="str">
        <f>IFERROR(IF(CURRENCY.FORMAT_1=0,CONCATENATE(TEXT(FIXED(ROUND((C1033*(1-I1033)*(1-ADD.DISCOUNT)*(1+MAT.SURCHARGE)/EXC.RATE_1),CURRENCY.FORMAT_1),CURRENCY.FORMAT_1,1),"# ##0;-# ##0"),",-"),FIXED(ROUND((C1033*(1-I1033)*(1-ADD.DISCOUNT)*(1+MAT.SURCHARGE)/EXC.RATE_1),CURRENCY.FORMAT_1),CURRENCY.FORMAT_1,0)),'DICTIONARY-5'!$A$2)</f>
        <v>172,-</v>
      </c>
      <c r="M1033" s="670" t="str">
        <f>IF(EXC.RATE_2=0,"",IFERROR(IF(CURRENCY.FORMAT_2=0,CONCATENATE(TEXT(FIXED(ROUND(IF(EXC.RATE.SWITCH=1,C1033*(1-I1033)*(1-ADD.DISCOUNT)*(1+MAT.SURCHARGE)/EXC.RATE_2,C1033*(1-I1033)*(1-ADD.DISCOUNT)*(1+MAT.SURCHARGE)*EXC.RATE_2),CURRENCY.FORMAT_2),CURRENCY.FORMAT_2,1),"# ##0;-# ##0"),",-"),FIXED(ROUND(IF(EXC.RATE.SWITCH=1,C1033*(1-I1033)*(1-ADD.DISCOUNT)*(1+MAT.SURCHARGE)/EXC.RATE_2,C1033*(1-I1033)*(1-ADD.DISCOUNT)*(1+MAT.SURCHARGE)*EXC.RATE_2),CURRENCY.FORMAT_2),CURRENCY.FORMAT_2,0)),'DICTIONARY-5'!$A$2))</f>
        <v/>
      </c>
      <c r="N1033" s="542">
        <v>4</v>
      </c>
      <c r="O1033" s="542"/>
      <c r="P1033" s="731" t="str">
        <f>'DICTIONARY-3'!$A$58</f>
        <v>HOD-K</v>
      </c>
      <c r="Q1033" s="732" t="str">
        <f>'DICTIONARY-3'!$A$196</f>
        <v>Mostek nawiertowy</v>
      </c>
      <c r="R1033" s="732" t="str">
        <f>CONCATENATE('DICTIONARY-3'!$A$55,'DICTIONARY-3'!$A$79," ",'DICTIONARY-6'!$A$21," ",'DICTIONARY-2'!$A$2,"200"," ",'DICTIONARY-2'!$A$5,"225 G2"," ",'DICTIONARY-6'!$A$59,", ",'DICTIONARY-6'!$A$76," ",'DICTIONARY-5'!$A$57,"+",'DICTIONARY-5'!$A$56)</f>
        <v>HOD-K507 Mostek nawiert. DN200 Da225 G2 bez zaw., ruroc. PE+PVC</v>
      </c>
      <c r="S1033" s="733" t="str">
        <f>'DICTIONARY-4'!$A$2</f>
        <v>WW</v>
      </c>
      <c r="T1033" s="732"/>
      <c r="U1033" s="734" t="s">
        <v>5750</v>
      </c>
      <c r="V1033" s="735"/>
      <c r="W1033" s="744" t="s">
        <v>5833</v>
      </c>
      <c r="X1033" s="750" t="s">
        <v>50</v>
      </c>
      <c r="Y1033" s="738"/>
      <c r="Z1033" s="739"/>
      <c r="AA1033" s="739"/>
      <c r="AB1033" s="740">
        <v>16</v>
      </c>
      <c r="AC1033" s="741"/>
      <c r="AD1033" s="741" t="str">
        <f>'DICTIONARY-5'!$A$13</f>
        <v>woda pitna</v>
      </c>
      <c r="AE1033" s="742">
        <v>50</v>
      </c>
      <c r="AF1033" s="743">
        <v>11.8</v>
      </c>
      <c r="AG1033" s="741" t="str">
        <f>'DICTIONARY-5'!$A$23</f>
        <v>powłoka epoksydowa</v>
      </c>
    </row>
    <row r="1034" spans="1:33" x14ac:dyDescent="0.25">
      <c r="A1034" s="856" t="s">
        <v>975</v>
      </c>
      <c r="B1034" s="856" t="s">
        <v>4002</v>
      </c>
      <c r="C1034" s="836">
        <v>530</v>
      </c>
      <c r="D1034" s="836"/>
      <c r="E1034" s="836"/>
      <c r="F1034" s="836"/>
      <c r="G1034" s="496" t="s">
        <v>7812</v>
      </c>
      <c r="H1034" s="797" t="str">
        <f>VLOOKUP(G1034,SETTINGS!$B$7:$D$97,2,0)</f>
        <v>HOD</v>
      </c>
      <c r="I1034" s="796">
        <f>VLOOKUP(G1034,SETTINGS!$B$7:$D$97,3,0)</f>
        <v>0</v>
      </c>
      <c r="J1034" s="670" t="str">
        <f>IFERROR(IF(CURRENCY.FORMAT_1=0,CONCATENATE(TEXT(FIXED(ROUND((C1034/EXC.RATE_1),CURRENCY.FORMAT_1),CURRENCY.FORMAT_1,1),"# ##0;-# ##0"),",-"),FIXED(ROUND((C1034/EXC.RATE_1),CURRENCY.FORMAT_1),CURRENCY.FORMAT_1,0)),'DICTIONARY-5'!$A$2)</f>
        <v>530,-</v>
      </c>
      <c r="K1034" s="670" t="str">
        <f>IF(EXC.RATE_2=0,"",IFERROR(IF(CURRENCY.FORMAT_2=0,CONCATENATE(TEXT(FIXED(ROUND(IF(EXC.RATE.SWITCH=1,C1034/EXC.RATE_2,C1034*EXC.RATE_2),CURRENCY.FORMAT_2),CURRENCY.FORMAT_2,1),"# ##0;-# ##0"),",-"),FIXED(ROUND(IF(EXC.RATE.SWITCH=1,C1034/EXC.RATE_2,C1034*EXC.RATE_2),CURRENCY.FORMAT_2),CURRENCY.FORMAT_2,0)),'DICTIONARY-5'!$A$2))</f>
        <v/>
      </c>
      <c r="L1034" s="670" t="str">
        <f>IFERROR(IF(CURRENCY.FORMAT_1=0,CONCATENATE(TEXT(FIXED(ROUND((C1034*(1-I1034)*(1-ADD.DISCOUNT)*(1+MAT.SURCHARGE)/EXC.RATE_1),CURRENCY.FORMAT_1),CURRENCY.FORMAT_1,1),"# ##0;-# ##0"),",-"),FIXED(ROUND((C1034*(1-I1034)*(1-ADD.DISCOUNT)*(1+MAT.SURCHARGE)/EXC.RATE_1),CURRENCY.FORMAT_1),CURRENCY.FORMAT_1,0)),'DICTIONARY-5'!$A$2)</f>
        <v>551,-</v>
      </c>
      <c r="M1034" s="670" t="str">
        <f>IF(EXC.RATE_2=0,"",IFERROR(IF(CURRENCY.FORMAT_2=0,CONCATENATE(TEXT(FIXED(ROUND(IF(EXC.RATE.SWITCH=1,C1034*(1-I1034)*(1-ADD.DISCOUNT)*(1+MAT.SURCHARGE)/EXC.RATE_2,C1034*(1-I1034)*(1-ADD.DISCOUNT)*(1+MAT.SURCHARGE)*EXC.RATE_2),CURRENCY.FORMAT_2),CURRENCY.FORMAT_2,1),"# ##0;-# ##0"),",-"),FIXED(ROUND(IF(EXC.RATE.SWITCH=1,C1034*(1-I1034)*(1-ADD.DISCOUNT)*(1+MAT.SURCHARGE)/EXC.RATE_2,C1034*(1-I1034)*(1-ADD.DISCOUNT)*(1+MAT.SURCHARGE)*EXC.RATE_2),CURRENCY.FORMAT_2),CURRENCY.FORMAT_2,0)),'DICTIONARY-5'!$A$2))</f>
        <v/>
      </c>
      <c r="N1034" s="542">
        <v>4</v>
      </c>
      <c r="O1034" s="542"/>
      <c r="P1034" s="731" t="str">
        <f>'DICTIONARY-3'!$A$58</f>
        <v>HOD-K</v>
      </c>
      <c r="Q1034" s="732" t="str">
        <f>'DICTIONARY-3'!$A$196</f>
        <v>Mostek nawiertowy</v>
      </c>
      <c r="R1034" s="732" t="str">
        <f>CONCATENATE('DICTIONARY-3'!$A$55,'DICTIONARY-3'!$A$79," ",'DICTIONARY-6'!$A$21," ",'DICTIONARY-2'!$A$2,"250"," ",'DICTIONARY-2'!$A$5,"280 G2"," ",'DICTIONARY-6'!$A$59,", ",'DICTIONARY-6'!$A$76," ",'DICTIONARY-5'!$A$57,"+",'DICTIONARY-5'!$A$56)</f>
        <v>HOD-K507 Mostek nawiert. DN250 Da280 G2 bez zaw., ruroc. PE+PVC</v>
      </c>
      <c r="S1034" s="733" t="str">
        <f>'DICTIONARY-4'!$A$2</f>
        <v>WW</v>
      </c>
      <c r="T1034" s="732"/>
      <c r="U1034" s="734" t="s">
        <v>5751</v>
      </c>
      <c r="V1034" s="735"/>
      <c r="W1034" s="744" t="s">
        <v>7344</v>
      </c>
      <c r="X1034" s="750" t="s">
        <v>50</v>
      </c>
      <c r="Y1034" s="738"/>
      <c r="Z1034" s="739"/>
      <c r="AA1034" s="739"/>
      <c r="AB1034" s="740">
        <v>16</v>
      </c>
      <c r="AC1034" s="741"/>
      <c r="AD1034" s="741" t="str">
        <f>'DICTIONARY-5'!$A$13</f>
        <v>woda pitna</v>
      </c>
      <c r="AE1034" s="742">
        <v>50</v>
      </c>
      <c r="AF1034" s="743">
        <v>13.8</v>
      </c>
      <c r="AG1034" s="741" t="str">
        <f>'DICTIONARY-5'!$A$23</f>
        <v>powłoka epoksydowa</v>
      </c>
    </row>
    <row r="1035" spans="1:33" x14ac:dyDescent="0.25">
      <c r="A1035" s="856" t="s">
        <v>976</v>
      </c>
      <c r="B1035" s="856" t="s">
        <v>4003</v>
      </c>
      <c r="C1035" s="836">
        <v>533</v>
      </c>
      <c r="D1035" s="836"/>
      <c r="E1035" s="836"/>
      <c r="F1035" s="836"/>
      <c r="G1035" s="496" t="s">
        <v>7812</v>
      </c>
      <c r="H1035" s="797" t="str">
        <f>VLOOKUP(G1035,SETTINGS!$B$7:$D$97,2,0)</f>
        <v>HOD</v>
      </c>
      <c r="I1035" s="796">
        <f>VLOOKUP(G1035,SETTINGS!$B$7:$D$97,3,0)</f>
        <v>0</v>
      </c>
      <c r="J1035" s="670" t="str">
        <f>IFERROR(IF(CURRENCY.FORMAT_1=0,CONCATENATE(TEXT(FIXED(ROUND((C1035/EXC.RATE_1),CURRENCY.FORMAT_1),CURRENCY.FORMAT_1,1),"# ##0;-# ##0"),",-"),FIXED(ROUND((C1035/EXC.RATE_1),CURRENCY.FORMAT_1),CURRENCY.FORMAT_1,0)),'DICTIONARY-5'!$A$2)</f>
        <v>533,-</v>
      </c>
      <c r="K1035" s="670" t="str">
        <f>IF(EXC.RATE_2=0,"",IFERROR(IF(CURRENCY.FORMAT_2=0,CONCATENATE(TEXT(FIXED(ROUND(IF(EXC.RATE.SWITCH=1,C1035/EXC.RATE_2,C1035*EXC.RATE_2),CURRENCY.FORMAT_2),CURRENCY.FORMAT_2,1),"# ##0;-# ##0"),",-"),FIXED(ROUND(IF(EXC.RATE.SWITCH=1,C1035/EXC.RATE_2,C1035*EXC.RATE_2),CURRENCY.FORMAT_2),CURRENCY.FORMAT_2,0)),'DICTIONARY-5'!$A$2))</f>
        <v/>
      </c>
      <c r="L1035" s="670" t="str">
        <f>IFERROR(IF(CURRENCY.FORMAT_1=0,CONCATENATE(TEXT(FIXED(ROUND((C1035*(1-I1035)*(1-ADD.DISCOUNT)*(1+MAT.SURCHARGE)/EXC.RATE_1),CURRENCY.FORMAT_1),CURRENCY.FORMAT_1,1),"# ##0;-# ##0"),",-"),FIXED(ROUND((C1035*(1-I1035)*(1-ADD.DISCOUNT)*(1+MAT.SURCHARGE)/EXC.RATE_1),CURRENCY.FORMAT_1),CURRENCY.FORMAT_1,0)),'DICTIONARY-5'!$A$2)</f>
        <v>554,-</v>
      </c>
      <c r="M1035" s="670" t="str">
        <f>IF(EXC.RATE_2=0,"",IFERROR(IF(CURRENCY.FORMAT_2=0,CONCATENATE(TEXT(FIXED(ROUND(IF(EXC.RATE.SWITCH=1,C1035*(1-I1035)*(1-ADD.DISCOUNT)*(1+MAT.SURCHARGE)/EXC.RATE_2,C1035*(1-I1035)*(1-ADD.DISCOUNT)*(1+MAT.SURCHARGE)*EXC.RATE_2),CURRENCY.FORMAT_2),CURRENCY.FORMAT_2,1),"# ##0;-# ##0"),",-"),FIXED(ROUND(IF(EXC.RATE.SWITCH=1,C1035*(1-I1035)*(1-ADD.DISCOUNT)*(1+MAT.SURCHARGE)/EXC.RATE_2,C1035*(1-I1035)*(1-ADD.DISCOUNT)*(1+MAT.SURCHARGE)*EXC.RATE_2),CURRENCY.FORMAT_2),CURRENCY.FORMAT_2,0)),'DICTIONARY-5'!$A$2))</f>
        <v/>
      </c>
      <c r="N1035" s="542">
        <v>4</v>
      </c>
      <c r="O1035" s="542"/>
      <c r="P1035" s="731" t="str">
        <f>'DICTIONARY-3'!$A$58</f>
        <v>HOD-K</v>
      </c>
      <c r="Q1035" s="732" t="str">
        <f>'DICTIONARY-3'!$A$196</f>
        <v>Mostek nawiertowy</v>
      </c>
      <c r="R1035" s="732" t="str">
        <f>CONCATENATE('DICTIONARY-3'!$A$55,'DICTIONARY-3'!$A$79," ",'DICTIONARY-6'!$A$21," ",'DICTIONARY-2'!$A$2,"300"," ",'DICTIONARY-2'!$A$5,"315 G2"," ",'DICTIONARY-6'!$A$59,", ",'DICTIONARY-6'!$A$76," ",'DICTIONARY-5'!$A$57,"+",'DICTIONARY-5'!$A$56)</f>
        <v>HOD-K507 Mostek nawiert. DN300 Da315 G2 bez zaw., ruroc. PE+PVC</v>
      </c>
      <c r="S1035" s="733" t="str">
        <f>'DICTIONARY-4'!$A$2</f>
        <v>WW</v>
      </c>
      <c r="T1035" s="732"/>
      <c r="U1035" s="734" t="s">
        <v>5752</v>
      </c>
      <c r="V1035" s="735"/>
      <c r="W1035" s="744" t="s">
        <v>7345</v>
      </c>
      <c r="X1035" s="750" t="s">
        <v>50</v>
      </c>
      <c r="Y1035" s="738"/>
      <c r="Z1035" s="739"/>
      <c r="AA1035" s="739"/>
      <c r="AB1035" s="740">
        <v>16</v>
      </c>
      <c r="AC1035" s="741"/>
      <c r="AD1035" s="741" t="str">
        <f>'DICTIONARY-5'!$A$13</f>
        <v>woda pitna</v>
      </c>
      <c r="AE1035" s="742">
        <v>50</v>
      </c>
      <c r="AF1035" s="743">
        <v>15.1</v>
      </c>
      <c r="AG1035" s="741" t="str">
        <f>'DICTIONARY-5'!$A$23</f>
        <v>powłoka epoksydowa</v>
      </c>
    </row>
    <row r="1036" spans="1:33" x14ac:dyDescent="0.25">
      <c r="A1036" s="856" t="s">
        <v>977</v>
      </c>
      <c r="B1036" s="856" t="s">
        <v>4004</v>
      </c>
      <c r="C1036" s="836">
        <v>96</v>
      </c>
      <c r="D1036" s="836"/>
      <c r="E1036" s="836"/>
      <c r="F1036" s="836"/>
      <c r="G1036" s="496" t="s">
        <v>7812</v>
      </c>
      <c r="H1036" s="797" t="str">
        <f>VLOOKUP(G1036,SETTINGS!$B$7:$D$97,2,0)</f>
        <v>HOD</v>
      </c>
      <c r="I1036" s="796">
        <f>VLOOKUP(G1036,SETTINGS!$B$7:$D$97,3,0)</f>
        <v>0</v>
      </c>
      <c r="J1036" s="670" t="str">
        <f>IFERROR(IF(CURRENCY.FORMAT_1=0,CONCATENATE(TEXT(FIXED(ROUND((C1036/EXC.RATE_1),CURRENCY.FORMAT_1),CURRENCY.FORMAT_1,1),"# ##0;-# ##0"),",-"),FIXED(ROUND((C1036/EXC.RATE_1),CURRENCY.FORMAT_1),CURRENCY.FORMAT_1,0)),'DICTIONARY-5'!$A$2)</f>
        <v>96,-</v>
      </c>
      <c r="K1036" s="670" t="str">
        <f>IF(EXC.RATE_2=0,"",IFERROR(IF(CURRENCY.FORMAT_2=0,CONCATENATE(TEXT(FIXED(ROUND(IF(EXC.RATE.SWITCH=1,C1036/EXC.RATE_2,C1036*EXC.RATE_2),CURRENCY.FORMAT_2),CURRENCY.FORMAT_2,1),"# ##0;-# ##0"),",-"),FIXED(ROUND(IF(EXC.RATE.SWITCH=1,C1036/EXC.RATE_2,C1036*EXC.RATE_2),CURRENCY.FORMAT_2),CURRENCY.FORMAT_2,0)),'DICTIONARY-5'!$A$2))</f>
        <v/>
      </c>
      <c r="L1036" s="670" t="str">
        <f>IFERROR(IF(CURRENCY.FORMAT_1=0,CONCATENATE(TEXT(FIXED(ROUND((C1036*(1-I1036)*(1-ADD.DISCOUNT)*(1+MAT.SURCHARGE)/EXC.RATE_1),CURRENCY.FORMAT_1),CURRENCY.FORMAT_1,1),"# ##0;-# ##0"),",-"),FIXED(ROUND((C1036*(1-I1036)*(1-ADD.DISCOUNT)*(1+MAT.SURCHARGE)/EXC.RATE_1),CURRENCY.FORMAT_1),CURRENCY.FORMAT_1,0)),'DICTIONARY-5'!$A$2)</f>
        <v>100,-</v>
      </c>
      <c r="M1036" s="670" t="str">
        <f>IF(EXC.RATE_2=0,"",IFERROR(IF(CURRENCY.FORMAT_2=0,CONCATENATE(TEXT(FIXED(ROUND(IF(EXC.RATE.SWITCH=1,C1036*(1-I1036)*(1-ADD.DISCOUNT)*(1+MAT.SURCHARGE)/EXC.RATE_2,C1036*(1-I1036)*(1-ADD.DISCOUNT)*(1+MAT.SURCHARGE)*EXC.RATE_2),CURRENCY.FORMAT_2),CURRENCY.FORMAT_2,1),"# ##0;-# ##0"),",-"),FIXED(ROUND(IF(EXC.RATE.SWITCH=1,C1036*(1-I1036)*(1-ADD.DISCOUNT)*(1+MAT.SURCHARGE)/EXC.RATE_2,C1036*(1-I1036)*(1-ADD.DISCOUNT)*(1+MAT.SURCHARGE)*EXC.RATE_2),CURRENCY.FORMAT_2),CURRENCY.FORMAT_2,0)),'DICTIONARY-5'!$A$2))</f>
        <v/>
      </c>
      <c r="N1036" s="542">
        <v>4</v>
      </c>
      <c r="O1036" s="542"/>
      <c r="P1036" s="731" t="str">
        <f>'DICTIONARY-3'!$A$58</f>
        <v>HOD-K</v>
      </c>
      <c r="Q1036" s="732" t="str">
        <f>'DICTIONARY-3'!$A$196</f>
        <v>Mostek nawiertowy</v>
      </c>
      <c r="R1036" s="732" t="str">
        <f>CONCATENATE('DICTIONARY-3'!$A$55,'DICTIONARY-3'!$A$78," ",'DICTIONARY-6'!$A$21," ",'DICTIONARY-2'!$A$2,"50"," ",'DICTIONARY-2'!$A$5,"63 G1"," ",'DICTIONARY-6'!$A$62,", ",'DICTIONARY-6'!$A$76," ",'DICTIONARY-5'!$A$57,"+",'DICTIONARY-5'!$A$56)</f>
        <v>HOD-K506 Mostek nawiert. DN50 Da63 G1 z zaw. kul., ruroc. PE+PVC</v>
      </c>
      <c r="S1036" s="733" t="str">
        <f>'DICTIONARY-4'!$A$2</f>
        <v>WW</v>
      </c>
      <c r="T1036" s="732" t="str">
        <f>'DICTIONARY-4'!$A$18</f>
        <v>Wolny wałek</v>
      </c>
      <c r="U1036" s="734" t="s">
        <v>5748</v>
      </c>
      <c r="V1036" s="735"/>
      <c r="W1036" s="744" t="s">
        <v>7338</v>
      </c>
      <c r="X1036" s="750" t="s">
        <v>49</v>
      </c>
      <c r="Y1036" s="738"/>
      <c r="Z1036" s="739"/>
      <c r="AA1036" s="739"/>
      <c r="AB1036" s="740">
        <v>16</v>
      </c>
      <c r="AC1036" s="741"/>
      <c r="AD1036" s="741" t="str">
        <f>'DICTIONARY-5'!$A$13</f>
        <v>woda pitna</v>
      </c>
      <c r="AE1036" s="742">
        <v>50</v>
      </c>
      <c r="AF1036" s="743">
        <v>3</v>
      </c>
      <c r="AG1036" s="741" t="str">
        <f>'DICTIONARY-5'!$A$23</f>
        <v>powłoka epoksydowa</v>
      </c>
    </row>
    <row r="1037" spans="1:33" x14ac:dyDescent="0.25">
      <c r="A1037" s="856" t="s">
        <v>979</v>
      </c>
      <c r="B1037" s="856" t="s">
        <v>4005</v>
      </c>
      <c r="C1037" s="836">
        <v>114</v>
      </c>
      <c r="D1037" s="836"/>
      <c r="E1037" s="836"/>
      <c r="F1037" s="836"/>
      <c r="G1037" s="496" t="s">
        <v>7812</v>
      </c>
      <c r="H1037" s="797" t="str">
        <f>VLOOKUP(G1037,SETTINGS!$B$7:$D$97,2,0)</f>
        <v>HOD</v>
      </c>
      <c r="I1037" s="796">
        <f>VLOOKUP(G1037,SETTINGS!$B$7:$D$97,3,0)</f>
        <v>0</v>
      </c>
      <c r="J1037" s="670" t="str">
        <f>IFERROR(IF(CURRENCY.FORMAT_1=0,CONCATENATE(TEXT(FIXED(ROUND((C1037/EXC.RATE_1),CURRENCY.FORMAT_1),CURRENCY.FORMAT_1,1),"# ##0;-# ##0"),",-"),FIXED(ROUND((C1037/EXC.RATE_1),CURRENCY.FORMAT_1),CURRENCY.FORMAT_1,0)),'DICTIONARY-5'!$A$2)</f>
        <v>114,-</v>
      </c>
      <c r="K1037" s="670" t="str">
        <f>IF(EXC.RATE_2=0,"",IFERROR(IF(CURRENCY.FORMAT_2=0,CONCATENATE(TEXT(FIXED(ROUND(IF(EXC.RATE.SWITCH=1,C1037/EXC.RATE_2,C1037*EXC.RATE_2),CURRENCY.FORMAT_2),CURRENCY.FORMAT_2,1),"# ##0;-# ##0"),",-"),FIXED(ROUND(IF(EXC.RATE.SWITCH=1,C1037/EXC.RATE_2,C1037*EXC.RATE_2),CURRENCY.FORMAT_2),CURRENCY.FORMAT_2,0)),'DICTIONARY-5'!$A$2))</f>
        <v/>
      </c>
      <c r="L1037" s="670" t="str">
        <f>IFERROR(IF(CURRENCY.FORMAT_1=0,CONCATENATE(TEXT(FIXED(ROUND((C1037*(1-I1037)*(1-ADD.DISCOUNT)*(1+MAT.SURCHARGE)/EXC.RATE_1),CURRENCY.FORMAT_1),CURRENCY.FORMAT_1,1),"# ##0;-# ##0"),",-"),FIXED(ROUND((C1037*(1-I1037)*(1-ADD.DISCOUNT)*(1+MAT.SURCHARGE)/EXC.RATE_1),CURRENCY.FORMAT_1),CURRENCY.FORMAT_1,0)),'DICTIONARY-5'!$A$2)</f>
        <v>118,-</v>
      </c>
      <c r="M1037" s="670" t="str">
        <f>IF(EXC.RATE_2=0,"",IFERROR(IF(CURRENCY.FORMAT_2=0,CONCATENATE(TEXT(FIXED(ROUND(IF(EXC.RATE.SWITCH=1,C1037*(1-I1037)*(1-ADD.DISCOUNT)*(1+MAT.SURCHARGE)/EXC.RATE_2,C1037*(1-I1037)*(1-ADD.DISCOUNT)*(1+MAT.SURCHARGE)*EXC.RATE_2),CURRENCY.FORMAT_2),CURRENCY.FORMAT_2,1),"# ##0;-# ##0"),",-"),FIXED(ROUND(IF(EXC.RATE.SWITCH=1,C1037*(1-I1037)*(1-ADD.DISCOUNT)*(1+MAT.SURCHARGE)/EXC.RATE_2,C1037*(1-I1037)*(1-ADD.DISCOUNT)*(1+MAT.SURCHARGE)*EXC.RATE_2),CURRENCY.FORMAT_2),CURRENCY.FORMAT_2,0)),'DICTIONARY-5'!$A$2))</f>
        <v/>
      </c>
      <c r="N1037" s="542">
        <v>4</v>
      </c>
      <c r="O1037" s="542"/>
      <c r="P1037" s="731" t="str">
        <f>'DICTIONARY-3'!$A$58</f>
        <v>HOD-K</v>
      </c>
      <c r="Q1037" s="732" t="str">
        <f>'DICTIONARY-3'!$A$196</f>
        <v>Mostek nawiertowy</v>
      </c>
      <c r="R1037" s="732" t="str">
        <f>CONCATENATE('DICTIONARY-3'!$A$55,'DICTIONARY-3'!$A$78," ",'DICTIONARY-6'!$A$21," ",'DICTIONARY-2'!$A$2,"65"," ",'DICTIONARY-2'!$A$5,"75 G1"," ",'DICTIONARY-6'!$A$62,", ",'DICTIONARY-6'!$A$76," ",'DICTIONARY-5'!$A$57,"+",'DICTIONARY-5'!$A$56)</f>
        <v>HOD-K506 Mostek nawiert. DN65 Da75 G1 z zaw. kul., ruroc. PE+PVC</v>
      </c>
      <c r="S1037" s="733" t="str">
        <f>'DICTIONARY-4'!$A$2</f>
        <v>WW</v>
      </c>
      <c r="T1037" s="732" t="str">
        <f>'DICTIONARY-4'!$A$18</f>
        <v>Wolny wałek</v>
      </c>
      <c r="U1037" s="734" t="s">
        <v>5759</v>
      </c>
      <c r="V1037" s="735"/>
      <c r="W1037" s="744" t="s">
        <v>7359</v>
      </c>
      <c r="X1037" s="750" t="s">
        <v>49</v>
      </c>
      <c r="Y1037" s="738"/>
      <c r="Z1037" s="739"/>
      <c r="AA1037" s="739"/>
      <c r="AB1037" s="740">
        <v>16</v>
      </c>
      <c r="AC1037" s="741"/>
      <c r="AD1037" s="741" t="str">
        <f>'DICTIONARY-5'!$A$13</f>
        <v>woda pitna</v>
      </c>
      <c r="AE1037" s="742">
        <v>50</v>
      </c>
      <c r="AF1037" s="743">
        <v>3</v>
      </c>
      <c r="AG1037" s="741" t="str">
        <f>'DICTIONARY-5'!$A$23</f>
        <v>powłoka epoksydowa</v>
      </c>
    </row>
    <row r="1038" spans="1:33" x14ac:dyDescent="0.25">
      <c r="A1038" s="856" t="s">
        <v>981</v>
      </c>
      <c r="B1038" s="856" t="s">
        <v>4006</v>
      </c>
      <c r="C1038" s="836">
        <v>105</v>
      </c>
      <c r="D1038" s="836"/>
      <c r="E1038" s="836"/>
      <c r="F1038" s="836"/>
      <c r="G1038" s="496" t="s">
        <v>7812</v>
      </c>
      <c r="H1038" s="797" t="str">
        <f>VLOOKUP(G1038,SETTINGS!$B$7:$D$97,2,0)</f>
        <v>HOD</v>
      </c>
      <c r="I1038" s="796">
        <f>VLOOKUP(G1038,SETTINGS!$B$7:$D$97,3,0)</f>
        <v>0</v>
      </c>
      <c r="J1038" s="670" t="str">
        <f>IFERROR(IF(CURRENCY.FORMAT_1=0,CONCATENATE(TEXT(FIXED(ROUND((C1038/EXC.RATE_1),CURRENCY.FORMAT_1),CURRENCY.FORMAT_1,1),"# ##0;-# ##0"),",-"),FIXED(ROUND((C1038/EXC.RATE_1),CURRENCY.FORMAT_1),CURRENCY.FORMAT_1,0)),'DICTIONARY-5'!$A$2)</f>
        <v>105,-</v>
      </c>
      <c r="K1038" s="670" t="str">
        <f>IF(EXC.RATE_2=0,"",IFERROR(IF(CURRENCY.FORMAT_2=0,CONCATENATE(TEXT(FIXED(ROUND(IF(EXC.RATE.SWITCH=1,C1038/EXC.RATE_2,C1038*EXC.RATE_2),CURRENCY.FORMAT_2),CURRENCY.FORMAT_2,1),"# ##0;-# ##0"),",-"),FIXED(ROUND(IF(EXC.RATE.SWITCH=1,C1038/EXC.RATE_2,C1038*EXC.RATE_2),CURRENCY.FORMAT_2),CURRENCY.FORMAT_2,0)),'DICTIONARY-5'!$A$2))</f>
        <v/>
      </c>
      <c r="L1038" s="670" t="str">
        <f>IFERROR(IF(CURRENCY.FORMAT_1=0,CONCATENATE(TEXT(FIXED(ROUND((C1038*(1-I1038)*(1-ADD.DISCOUNT)*(1+MAT.SURCHARGE)/EXC.RATE_1),CURRENCY.FORMAT_1),CURRENCY.FORMAT_1,1),"# ##0;-# ##0"),",-"),FIXED(ROUND((C1038*(1-I1038)*(1-ADD.DISCOUNT)*(1+MAT.SURCHARGE)/EXC.RATE_1),CURRENCY.FORMAT_1),CURRENCY.FORMAT_1,0)),'DICTIONARY-5'!$A$2)</f>
        <v>109,-</v>
      </c>
      <c r="M1038" s="670" t="str">
        <f>IF(EXC.RATE_2=0,"",IFERROR(IF(CURRENCY.FORMAT_2=0,CONCATENATE(TEXT(FIXED(ROUND(IF(EXC.RATE.SWITCH=1,C1038*(1-I1038)*(1-ADD.DISCOUNT)*(1+MAT.SURCHARGE)/EXC.RATE_2,C1038*(1-I1038)*(1-ADD.DISCOUNT)*(1+MAT.SURCHARGE)*EXC.RATE_2),CURRENCY.FORMAT_2),CURRENCY.FORMAT_2,1),"# ##0;-# ##0"),",-"),FIXED(ROUND(IF(EXC.RATE.SWITCH=1,C1038*(1-I1038)*(1-ADD.DISCOUNT)*(1+MAT.SURCHARGE)/EXC.RATE_2,C1038*(1-I1038)*(1-ADD.DISCOUNT)*(1+MAT.SURCHARGE)*EXC.RATE_2),CURRENCY.FORMAT_2),CURRENCY.FORMAT_2,0)),'DICTIONARY-5'!$A$2))</f>
        <v/>
      </c>
      <c r="N1038" s="542">
        <v>4</v>
      </c>
      <c r="O1038" s="542"/>
      <c r="P1038" s="731" t="str">
        <f>'DICTIONARY-3'!$A$58</f>
        <v>HOD-K</v>
      </c>
      <c r="Q1038" s="732" t="str">
        <f>'DICTIONARY-3'!$A$196</f>
        <v>Mostek nawiertowy</v>
      </c>
      <c r="R1038" s="732" t="str">
        <f>CONCATENATE('DICTIONARY-3'!$A$55,'DICTIONARY-3'!$A$78," ",'DICTIONARY-6'!$A$21," ",'DICTIONARY-2'!$A$2,"80"," ",'DICTIONARY-2'!$A$5,"90 G1"," ",'DICTIONARY-6'!$A$62,", ",'DICTIONARY-6'!$A$76," ",'DICTIONARY-5'!$A$57,"+",'DICTIONARY-5'!$A$56)</f>
        <v>HOD-K506 Mostek nawiert. DN80 Da90 G1 z zaw. kul., ruroc. PE+PVC</v>
      </c>
      <c r="S1038" s="733" t="str">
        <f>'DICTIONARY-4'!$A$2</f>
        <v>WW</v>
      </c>
      <c r="T1038" s="732" t="str">
        <f>'DICTIONARY-4'!$A$18</f>
        <v>Wolny wałek</v>
      </c>
      <c r="U1038" s="734" t="s">
        <v>5760</v>
      </c>
      <c r="V1038" s="735"/>
      <c r="W1038" s="744" t="s">
        <v>7339</v>
      </c>
      <c r="X1038" s="750" t="s">
        <v>49</v>
      </c>
      <c r="Y1038" s="738"/>
      <c r="Z1038" s="739"/>
      <c r="AA1038" s="739"/>
      <c r="AB1038" s="740">
        <v>16</v>
      </c>
      <c r="AC1038" s="741"/>
      <c r="AD1038" s="741" t="str">
        <f>'DICTIONARY-5'!$A$13</f>
        <v>woda pitna</v>
      </c>
      <c r="AE1038" s="742">
        <v>50</v>
      </c>
      <c r="AF1038" s="743">
        <v>6.5</v>
      </c>
      <c r="AG1038" s="741" t="str">
        <f>'DICTIONARY-5'!$A$23</f>
        <v>powłoka epoksydowa</v>
      </c>
    </row>
    <row r="1039" spans="1:33" x14ac:dyDescent="0.25">
      <c r="A1039" s="856" t="s">
        <v>983</v>
      </c>
      <c r="B1039" s="856" t="s">
        <v>4007</v>
      </c>
      <c r="C1039" s="836">
        <v>108</v>
      </c>
      <c r="D1039" s="836"/>
      <c r="E1039" s="836"/>
      <c r="F1039" s="836"/>
      <c r="G1039" s="496" t="s">
        <v>7812</v>
      </c>
      <c r="H1039" s="797" t="str">
        <f>VLOOKUP(G1039,SETTINGS!$B$7:$D$97,2,0)</f>
        <v>HOD</v>
      </c>
      <c r="I1039" s="796">
        <f>VLOOKUP(G1039,SETTINGS!$B$7:$D$97,3,0)</f>
        <v>0</v>
      </c>
      <c r="J1039" s="670" t="str">
        <f>IFERROR(IF(CURRENCY.FORMAT_1=0,CONCATENATE(TEXT(FIXED(ROUND((C1039/EXC.RATE_1),CURRENCY.FORMAT_1),CURRENCY.FORMAT_1,1),"# ##0;-# ##0"),",-"),FIXED(ROUND((C1039/EXC.RATE_1),CURRENCY.FORMAT_1),CURRENCY.FORMAT_1,0)),'DICTIONARY-5'!$A$2)</f>
        <v>108,-</v>
      </c>
      <c r="K1039" s="670" t="str">
        <f>IF(EXC.RATE_2=0,"",IFERROR(IF(CURRENCY.FORMAT_2=0,CONCATENATE(TEXT(FIXED(ROUND(IF(EXC.RATE.SWITCH=1,C1039/EXC.RATE_2,C1039*EXC.RATE_2),CURRENCY.FORMAT_2),CURRENCY.FORMAT_2,1),"# ##0;-# ##0"),",-"),FIXED(ROUND(IF(EXC.RATE.SWITCH=1,C1039/EXC.RATE_2,C1039*EXC.RATE_2),CURRENCY.FORMAT_2),CURRENCY.FORMAT_2,0)),'DICTIONARY-5'!$A$2))</f>
        <v/>
      </c>
      <c r="L1039" s="670" t="str">
        <f>IFERROR(IF(CURRENCY.FORMAT_1=0,CONCATENATE(TEXT(FIXED(ROUND((C1039*(1-I1039)*(1-ADD.DISCOUNT)*(1+MAT.SURCHARGE)/EXC.RATE_1),CURRENCY.FORMAT_1),CURRENCY.FORMAT_1,1),"# ##0;-# ##0"),",-"),FIXED(ROUND((C1039*(1-I1039)*(1-ADD.DISCOUNT)*(1+MAT.SURCHARGE)/EXC.RATE_1),CURRENCY.FORMAT_1),CURRENCY.FORMAT_1,0)),'DICTIONARY-5'!$A$2)</f>
        <v>112,-</v>
      </c>
      <c r="M1039" s="670" t="str">
        <f>IF(EXC.RATE_2=0,"",IFERROR(IF(CURRENCY.FORMAT_2=0,CONCATENATE(TEXT(FIXED(ROUND(IF(EXC.RATE.SWITCH=1,C1039*(1-I1039)*(1-ADD.DISCOUNT)*(1+MAT.SURCHARGE)/EXC.RATE_2,C1039*(1-I1039)*(1-ADD.DISCOUNT)*(1+MAT.SURCHARGE)*EXC.RATE_2),CURRENCY.FORMAT_2),CURRENCY.FORMAT_2,1),"# ##0;-# ##0"),",-"),FIXED(ROUND(IF(EXC.RATE.SWITCH=1,C1039*(1-I1039)*(1-ADD.DISCOUNT)*(1+MAT.SURCHARGE)/EXC.RATE_2,C1039*(1-I1039)*(1-ADD.DISCOUNT)*(1+MAT.SURCHARGE)*EXC.RATE_2),CURRENCY.FORMAT_2),CURRENCY.FORMAT_2,0)),'DICTIONARY-5'!$A$2))</f>
        <v/>
      </c>
      <c r="N1039" s="542">
        <v>4</v>
      </c>
      <c r="O1039" s="542"/>
      <c r="P1039" s="731" t="str">
        <f>'DICTIONARY-3'!$A$58</f>
        <v>HOD-K</v>
      </c>
      <c r="Q1039" s="732" t="str">
        <f>'DICTIONARY-3'!$A$196</f>
        <v>Mostek nawiertowy</v>
      </c>
      <c r="R1039" s="732" t="str">
        <f>CONCATENATE('DICTIONARY-3'!$A$55,'DICTIONARY-3'!$A$78," ",'DICTIONARY-6'!$A$21," ",'DICTIONARY-2'!$A$2,"100"," ",'DICTIONARY-2'!$A$5,"110 G1"," ",'DICTIONARY-6'!$A$62,", ",'DICTIONARY-6'!$A$76," ",'DICTIONARY-5'!$A$57,"+",'DICTIONARY-5'!$A$56)</f>
        <v>HOD-K506 Mostek nawiert. DN100 Da110 G1 z zaw. kul., ruroc. PE+PVC</v>
      </c>
      <c r="S1039" s="733" t="str">
        <f>'DICTIONARY-4'!$A$2</f>
        <v>WW</v>
      </c>
      <c r="T1039" s="732" t="str">
        <f>'DICTIONARY-4'!$A$18</f>
        <v>Wolny wałek</v>
      </c>
      <c r="U1039" s="734" t="s">
        <v>5749</v>
      </c>
      <c r="V1039" s="735"/>
      <c r="W1039" s="744" t="s">
        <v>7340</v>
      </c>
      <c r="X1039" s="750" t="s">
        <v>49</v>
      </c>
      <c r="Y1039" s="738"/>
      <c r="Z1039" s="739"/>
      <c r="AA1039" s="739"/>
      <c r="AB1039" s="740">
        <v>16</v>
      </c>
      <c r="AC1039" s="741"/>
      <c r="AD1039" s="741" t="str">
        <f>'DICTIONARY-5'!$A$13</f>
        <v>woda pitna</v>
      </c>
      <c r="AE1039" s="742">
        <v>50</v>
      </c>
      <c r="AF1039" s="743">
        <v>7</v>
      </c>
      <c r="AG1039" s="741" t="str">
        <f>'DICTIONARY-5'!$A$23</f>
        <v>powłoka epoksydowa</v>
      </c>
    </row>
    <row r="1040" spans="1:33" x14ac:dyDescent="0.25">
      <c r="A1040" s="856" t="s">
        <v>985</v>
      </c>
      <c r="B1040" s="856" t="s">
        <v>4008</v>
      </c>
      <c r="C1040" s="836">
        <v>136</v>
      </c>
      <c r="D1040" s="836"/>
      <c r="E1040" s="836"/>
      <c r="F1040" s="836"/>
      <c r="G1040" s="496" t="s">
        <v>7812</v>
      </c>
      <c r="H1040" s="797" t="str">
        <f>VLOOKUP(G1040,SETTINGS!$B$7:$D$97,2,0)</f>
        <v>HOD</v>
      </c>
      <c r="I1040" s="796">
        <f>VLOOKUP(G1040,SETTINGS!$B$7:$D$97,3,0)</f>
        <v>0</v>
      </c>
      <c r="J1040" s="670" t="str">
        <f>IFERROR(IF(CURRENCY.FORMAT_1=0,CONCATENATE(TEXT(FIXED(ROUND((C1040/EXC.RATE_1),CURRENCY.FORMAT_1),CURRENCY.FORMAT_1,1),"# ##0;-# ##0"),",-"),FIXED(ROUND((C1040/EXC.RATE_1),CURRENCY.FORMAT_1),CURRENCY.FORMAT_1,0)),'DICTIONARY-5'!$A$2)</f>
        <v>136,-</v>
      </c>
      <c r="K1040" s="670" t="str">
        <f>IF(EXC.RATE_2=0,"",IFERROR(IF(CURRENCY.FORMAT_2=0,CONCATENATE(TEXT(FIXED(ROUND(IF(EXC.RATE.SWITCH=1,C1040/EXC.RATE_2,C1040*EXC.RATE_2),CURRENCY.FORMAT_2),CURRENCY.FORMAT_2,1),"# ##0;-# ##0"),",-"),FIXED(ROUND(IF(EXC.RATE.SWITCH=1,C1040/EXC.RATE_2,C1040*EXC.RATE_2),CURRENCY.FORMAT_2),CURRENCY.FORMAT_2,0)),'DICTIONARY-5'!$A$2))</f>
        <v/>
      </c>
      <c r="L1040" s="670" t="str">
        <f>IFERROR(IF(CURRENCY.FORMAT_1=0,CONCATENATE(TEXT(FIXED(ROUND((C1040*(1-I1040)*(1-ADD.DISCOUNT)*(1+MAT.SURCHARGE)/EXC.RATE_1),CURRENCY.FORMAT_1),CURRENCY.FORMAT_1,1),"# ##0;-# ##0"),",-"),FIXED(ROUND((C1040*(1-I1040)*(1-ADD.DISCOUNT)*(1+MAT.SURCHARGE)/EXC.RATE_1),CURRENCY.FORMAT_1),CURRENCY.FORMAT_1,0)),'DICTIONARY-5'!$A$2)</f>
        <v>141,-</v>
      </c>
      <c r="M1040" s="670" t="str">
        <f>IF(EXC.RATE_2=0,"",IFERROR(IF(CURRENCY.FORMAT_2=0,CONCATENATE(TEXT(FIXED(ROUND(IF(EXC.RATE.SWITCH=1,C1040*(1-I1040)*(1-ADD.DISCOUNT)*(1+MAT.SURCHARGE)/EXC.RATE_2,C1040*(1-I1040)*(1-ADD.DISCOUNT)*(1+MAT.SURCHARGE)*EXC.RATE_2),CURRENCY.FORMAT_2),CURRENCY.FORMAT_2,1),"# ##0;-# ##0"),",-"),FIXED(ROUND(IF(EXC.RATE.SWITCH=1,C1040*(1-I1040)*(1-ADD.DISCOUNT)*(1+MAT.SURCHARGE)/EXC.RATE_2,C1040*(1-I1040)*(1-ADD.DISCOUNT)*(1+MAT.SURCHARGE)*EXC.RATE_2),CURRENCY.FORMAT_2),CURRENCY.FORMAT_2,0)),'DICTIONARY-5'!$A$2))</f>
        <v/>
      </c>
      <c r="N1040" s="542">
        <v>4</v>
      </c>
      <c r="O1040" s="542"/>
      <c r="P1040" s="731" t="str">
        <f>'DICTIONARY-3'!$A$58</f>
        <v>HOD-K</v>
      </c>
      <c r="Q1040" s="732" t="str">
        <f>'DICTIONARY-3'!$A$196</f>
        <v>Mostek nawiertowy</v>
      </c>
      <c r="R1040" s="732" t="str">
        <f>CONCATENATE('DICTIONARY-3'!$A$55,'DICTIONARY-3'!$A$78," ",'DICTIONARY-6'!$A$21," ",'DICTIONARY-2'!$A$2,"150"," ",'DICTIONARY-2'!$A$5,"160 G1"," ",'DICTIONARY-6'!$A$62,", ",'DICTIONARY-6'!$A$76," ",'DICTIONARY-5'!$A$57,"+",'DICTIONARY-5'!$A$56)</f>
        <v>HOD-K506 Mostek nawiert. DN150 Da160 G1 z zaw. kul., ruroc. PE+PVC</v>
      </c>
      <c r="S1040" s="733" t="str">
        <f>'DICTIONARY-4'!$A$2</f>
        <v>WW</v>
      </c>
      <c r="T1040" s="732" t="str">
        <f>'DICTIONARY-4'!$A$18</f>
        <v>Wolny wałek</v>
      </c>
      <c r="U1040" s="734" t="s">
        <v>5572</v>
      </c>
      <c r="V1040" s="735"/>
      <c r="W1040" s="744" t="s">
        <v>7342</v>
      </c>
      <c r="X1040" s="750" t="s">
        <v>49</v>
      </c>
      <c r="Y1040" s="738"/>
      <c r="Z1040" s="739"/>
      <c r="AA1040" s="739"/>
      <c r="AB1040" s="740">
        <v>16</v>
      </c>
      <c r="AC1040" s="741"/>
      <c r="AD1040" s="741" t="str">
        <f>'DICTIONARY-5'!$A$13</f>
        <v>woda pitna</v>
      </c>
      <c r="AE1040" s="742">
        <v>50</v>
      </c>
      <c r="AF1040" s="743">
        <v>8.5</v>
      </c>
      <c r="AG1040" s="741" t="str">
        <f>'DICTIONARY-5'!$A$23</f>
        <v>powłoka epoksydowa</v>
      </c>
    </row>
    <row r="1041" spans="1:33" x14ac:dyDescent="0.25">
      <c r="A1041" s="856" t="s">
        <v>987</v>
      </c>
      <c r="B1041" s="856" t="s">
        <v>4009</v>
      </c>
      <c r="C1041" s="836">
        <v>189</v>
      </c>
      <c r="D1041" s="836"/>
      <c r="E1041" s="836"/>
      <c r="F1041" s="836"/>
      <c r="G1041" s="496" t="s">
        <v>7812</v>
      </c>
      <c r="H1041" s="797" t="str">
        <f>VLOOKUP(G1041,SETTINGS!$B$7:$D$97,2,0)</f>
        <v>HOD</v>
      </c>
      <c r="I1041" s="796">
        <f>VLOOKUP(G1041,SETTINGS!$B$7:$D$97,3,0)</f>
        <v>0</v>
      </c>
      <c r="J1041" s="670" t="str">
        <f>IFERROR(IF(CURRENCY.FORMAT_1=0,CONCATENATE(TEXT(FIXED(ROUND((C1041/EXC.RATE_1),CURRENCY.FORMAT_1),CURRENCY.FORMAT_1,1),"# ##0;-# ##0"),",-"),FIXED(ROUND((C1041/EXC.RATE_1),CURRENCY.FORMAT_1),CURRENCY.FORMAT_1,0)),'DICTIONARY-5'!$A$2)</f>
        <v>189,-</v>
      </c>
      <c r="K1041" s="670" t="str">
        <f>IF(EXC.RATE_2=0,"",IFERROR(IF(CURRENCY.FORMAT_2=0,CONCATENATE(TEXT(FIXED(ROUND(IF(EXC.RATE.SWITCH=1,C1041/EXC.RATE_2,C1041*EXC.RATE_2),CURRENCY.FORMAT_2),CURRENCY.FORMAT_2,1),"# ##0;-# ##0"),",-"),FIXED(ROUND(IF(EXC.RATE.SWITCH=1,C1041/EXC.RATE_2,C1041*EXC.RATE_2),CURRENCY.FORMAT_2),CURRENCY.FORMAT_2,0)),'DICTIONARY-5'!$A$2))</f>
        <v/>
      </c>
      <c r="L1041" s="670" t="str">
        <f>IFERROR(IF(CURRENCY.FORMAT_1=0,CONCATENATE(TEXT(FIXED(ROUND((C1041*(1-I1041)*(1-ADD.DISCOUNT)*(1+MAT.SURCHARGE)/EXC.RATE_1),CURRENCY.FORMAT_1),CURRENCY.FORMAT_1,1),"# ##0;-# ##0"),",-"),FIXED(ROUND((C1041*(1-I1041)*(1-ADD.DISCOUNT)*(1+MAT.SURCHARGE)/EXC.RATE_1),CURRENCY.FORMAT_1),CURRENCY.FORMAT_1,0)),'DICTIONARY-5'!$A$2)</f>
        <v>196,-</v>
      </c>
      <c r="M1041" s="670" t="str">
        <f>IF(EXC.RATE_2=0,"",IFERROR(IF(CURRENCY.FORMAT_2=0,CONCATENATE(TEXT(FIXED(ROUND(IF(EXC.RATE.SWITCH=1,C1041*(1-I1041)*(1-ADD.DISCOUNT)*(1+MAT.SURCHARGE)/EXC.RATE_2,C1041*(1-I1041)*(1-ADD.DISCOUNT)*(1+MAT.SURCHARGE)*EXC.RATE_2),CURRENCY.FORMAT_2),CURRENCY.FORMAT_2,1),"# ##0;-# ##0"),",-"),FIXED(ROUND(IF(EXC.RATE.SWITCH=1,C1041*(1-I1041)*(1-ADD.DISCOUNT)*(1+MAT.SURCHARGE)/EXC.RATE_2,C1041*(1-I1041)*(1-ADD.DISCOUNT)*(1+MAT.SURCHARGE)*EXC.RATE_2),CURRENCY.FORMAT_2),CURRENCY.FORMAT_2,0)),'DICTIONARY-5'!$A$2))</f>
        <v/>
      </c>
      <c r="N1041" s="542">
        <v>4</v>
      </c>
      <c r="O1041" s="542"/>
      <c r="P1041" s="731" t="str">
        <f>'DICTIONARY-3'!$A$58</f>
        <v>HOD-K</v>
      </c>
      <c r="Q1041" s="732" t="str">
        <f>'DICTIONARY-3'!$A$196</f>
        <v>Mostek nawiertowy</v>
      </c>
      <c r="R1041" s="732" t="str">
        <f>CONCATENATE('DICTIONARY-3'!$A$55,'DICTIONARY-3'!$A$78," ",'DICTIONARY-6'!$A$21," ",'DICTIONARY-2'!$A$2,"200"," ",'DICTIONARY-2'!$A$5,"225 G1"," ",'DICTIONARY-6'!$A$62,", ",'DICTIONARY-6'!$A$76," ",'DICTIONARY-5'!$A$57,"+",'DICTIONARY-5'!$A$56)</f>
        <v>HOD-K506 Mostek nawiert. DN200 Da225 G1 z zaw. kul., ruroc. PE+PVC</v>
      </c>
      <c r="S1041" s="733" t="str">
        <f>'DICTIONARY-4'!$A$2</f>
        <v>WW</v>
      </c>
      <c r="T1041" s="732" t="str">
        <f>'DICTIONARY-4'!$A$18</f>
        <v>Wolny wałek</v>
      </c>
      <c r="U1041" s="734" t="s">
        <v>5750</v>
      </c>
      <c r="V1041" s="735"/>
      <c r="W1041" s="744" t="s">
        <v>5833</v>
      </c>
      <c r="X1041" s="750" t="s">
        <v>49</v>
      </c>
      <c r="Y1041" s="738"/>
      <c r="Z1041" s="739"/>
      <c r="AA1041" s="739"/>
      <c r="AB1041" s="740">
        <v>16</v>
      </c>
      <c r="AC1041" s="741"/>
      <c r="AD1041" s="741" t="str">
        <f>'DICTIONARY-5'!$A$13</f>
        <v>woda pitna</v>
      </c>
      <c r="AE1041" s="742">
        <v>50</v>
      </c>
      <c r="AF1041" s="743">
        <v>11.5</v>
      </c>
      <c r="AG1041" s="741" t="str">
        <f>'DICTIONARY-5'!$A$23</f>
        <v>powłoka epoksydowa</v>
      </c>
    </row>
    <row r="1042" spans="1:33" x14ac:dyDescent="0.25">
      <c r="A1042" s="856" t="s">
        <v>978</v>
      </c>
      <c r="B1042" s="856" t="s">
        <v>4010</v>
      </c>
      <c r="C1042" s="836">
        <v>106</v>
      </c>
      <c r="D1042" s="836"/>
      <c r="E1042" s="836"/>
      <c r="F1042" s="836"/>
      <c r="G1042" s="496" t="s">
        <v>7812</v>
      </c>
      <c r="H1042" s="797" t="str">
        <f>VLOOKUP(G1042,SETTINGS!$B$7:$D$97,2,0)</f>
        <v>HOD</v>
      </c>
      <c r="I1042" s="796">
        <f>VLOOKUP(G1042,SETTINGS!$B$7:$D$97,3,0)</f>
        <v>0</v>
      </c>
      <c r="J1042" s="670" t="str">
        <f>IFERROR(IF(CURRENCY.FORMAT_1=0,CONCATENATE(TEXT(FIXED(ROUND((C1042/EXC.RATE_1),CURRENCY.FORMAT_1),CURRENCY.FORMAT_1,1),"# ##0;-# ##0"),",-"),FIXED(ROUND((C1042/EXC.RATE_1),CURRENCY.FORMAT_1),CURRENCY.FORMAT_1,0)),'DICTIONARY-5'!$A$2)</f>
        <v>106,-</v>
      </c>
      <c r="K1042" s="670" t="str">
        <f>IF(EXC.RATE_2=0,"",IFERROR(IF(CURRENCY.FORMAT_2=0,CONCATENATE(TEXT(FIXED(ROUND(IF(EXC.RATE.SWITCH=1,C1042/EXC.RATE_2,C1042*EXC.RATE_2),CURRENCY.FORMAT_2),CURRENCY.FORMAT_2,1),"# ##0;-# ##0"),",-"),FIXED(ROUND(IF(EXC.RATE.SWITCH=1,C1042/EXC.RATE_2,C1042*EXC.RATE_2),CURRENCY.FORMAT_2),CURRENCY.FORMAT_2,0)),'DICTIONARY-5'!$A$2))</f>
        <v/>
      </c>
      <c r="L1042" s="670" t="str">
        <f>IFERROR(IF(CURRENCY.FORMAT_1=0,CONCATENATE(TEXT(FIXED(ROUND((C1042*(1-I1042)*(1-ADD.DISCOUNT)*(1+MAT.SURCHARGE)/EXC.RATE_1),CURRENCY.FORMAT_1),CURRENCY.FORMAT_1,1),"# ##0;-# ##0"),",-"),FIXED(ROUND((C1042*(1-I1042)*(1-ADD.DISCOUNT)*(1+MAT.SURCHARGE)/EXC.RATE_1),CURRENCY.FORMAT_1),CURRENCY.FORMAT_1,0)),'DICTIONARY-5'!$A$2)</f>
        <v>110,-</v>
      </c>
      <c r="M1042" s="670" t="str">
        <f>IF(EXC.RATE_2=0,"",IFERROR(IF(CURRENCY.FORMAT_2=0,CONCATENATE(TEXT(FIXED(ROUND(IF(EXC.RATE.SWITCH=1,C1042*(1-I1042)*(1-ADD.DISCOUNT)*(1+MAT.SURCHARGE)/EXC.RATE_2,C1042*(1-I1042)*(1-ADD.DISCOUNT)*(1+MAT.SURCHARGE)*EXC.RATE_2),CURRENCY.FORMAT_2),CURRENCY.FORMAT_2,1),"# ##0;-# ##0"),",-"),FIXED(ROUND(IF(EXC.RATE.SWITCH=1,C1042*(1-I1042)*(1-ADD.DISCOUNT)*(1+MAT.SURCHARGE)/EXC.RATE_2,C1042*(1-I1042)*(1-ADD.DISCOUNT)*(1+MAT.SURCHARGE)*EXC.RATE_2),CURRENCY.FORMAT_2),CURRENCY.FORMAT_2,0)),'DICTIONARY-5'!$A$2))</f>
        <v/>
      </c>
      <c r="N1042" s="542">
        <v>4</v>
      </c>
      <c r="O1042" s="542"/>
      <c r="P1042" s="731" t="str">
        <f>'DICTIONARY-3'!$A$58</f>
        <v>HOD-K</v>
      </c>
      <c r="Q1042" s="732" t="str">
        <f>'DICTIONARY-3'!$A$196</f>
        <v>Mostek nawiertowy</v>
      </c>
      <c r="R1042" s="732" t="str">
        <f>CONCATENATE('DICTIONARY-3'!$A$55,'DICTIONARY-3'!$A$78," ",'DICTIONARY-6'!$A$21," ",'DICTIONARY-2'!$A$2,"50"," ",'DICTIONARY-2'!$A$5,"63 G1¼"," ",'DICTIONARY-6'!$A$62,", ",'DICTIONARY-6'!$A$76," ",'DICTIONARY-5'!$A$57,"+",'DICTIONARY-5'!$A$56)</f>
        <v>HOD-K506 Mostek nawiert. DN50 Da63 G1¼ z zaw. kul., ruroc. PE+PVC</v>
      </c>
      <c r="S1042" s="733" t="str">
        <f>'DICTIONARY-4'!$A$2</f>
        <v>WW</v>
      </c>
      <c r="T1042" s="732" t="str">
        <f>'DICTIONARY-4'!$A$18</f>
        <v>Wolny wałek</v>
      </c>
      <c r="U1042" s="734" t="s">
        <v>5748</v>
      </c>
      <c r="V1042" s="735"/>
      <c r="W1042" s="744" t="s">
        <v>7338</v>
      </c>
      <c r="X1042" s="750" t="s">
        <v>5740</v>
      </c>
      <c r="Y1042" s="738"/>
      <c r="Z1042" s="739"/>
      <c r="AA1042" s="739"/>
      <c r="AB1042" s="740">
        <v>16</v>
      </c>
      <c r="AC1042" s="741"/>
      <c r="AD1042" s="741" t="str">
        <f>'DICTIONARY-5'!$A$13</f>
        <v>woda pitna</v>
      </c>
      <c r="AE1042" s="742">
        <v>50</v>
      </c>
      <c r="AF1042" s="743">
        <v>2.5</v>
      </c>
      <c r="AG1042" s="741" t="str">
        <f>'DICTIONARY-5'!$A$23</f>
        <v>powłoka epoksydowa</v>
      </c>
    </row>
    <row r="1043" spans="1:33" x14ac:dyDescent="0.25">
      <c r="A1043" s="856" t="s">
        <v>980</v>
      </c>
      <c r="B1043" s="856" t="s">
        <v>4011</v>
      </c>
      <c r="C1043" s="836">
        <v>123</v>
      </c>
      <c r="D1043" s="836"/>
      <c r="E1043" s="836"/>
      <c r="F1043" s="836"/>
      <c r="G1043" s="496" t="s">
        <v>7812</v>
      </c>
      <c r="H1043" s="797" t="str">
        <f>VLOOKUP(G1043,SETTINGS!$B$7:$D$97,2,0)</f>
        <v>HOD</v>
      </c>
      <c r="I1043" s="796">
        <f>VLOOKUP(G1043,SETTINGS!$B$7:$D$97,3,0)</f>
        <v>0</v>
      </c>
      <c r="J1043" s="670" t="str">
        <f>IFERROR(IF(CURRENCY.FORMAT_1=0,CONCATENATE(TEXT(FIXED(ROUND((C1043/EXC.RATE_1),CURRENCY.FORMAT_1),CURRENCY.FORMAT_1,1),"# ##0;-# ##0"),",-"),FIXED(ROUND((C1043/EXC.RATE_1),CURRENCY.FORMAT_1),CURRENCY.FORMAT_1,0)),'DICTIONARY-5'!$A$2)</f>
        <v>123,-</v>
      </c>
      <c r="K1043" s="670" t="str">
        <f>IF(EXC.RATE_2=0,"",IFERROR(IF(CURRENCY.FORMAT_2=0,CONCATENATE(TEXT(FIXED(ROUND(IF(EXC.RATE.SWITCH=1,C1043/EXC.RATE_2,C1043*EXC.RATE_2),CURRENCY.FORMAT_2),CURRENCY.FORMAT_2,1),"# ##0;-# ##0"),",-"),FIXED(ROUND(IF(EXC.RATE.SWITCH=1,C1043/EXC.RATE_2,C1043*EXC.RATE_2),CURRENCY.FORMAT_2),CURRENCY.FORMAT_2,0)),'DICTIONARY-5'!$A$2))</f>
        <v/>
      </c>
      <c r="L1043" s="670" t="str">
        <f>IFERROR(IF(CURRENCY.FORMAT_1=0,CONCATENATE(TEXT(FIXED(ROUND((C1043*(1-I1043)*(1-ADD.DISCOUNT)*(1+MAT.SURCHARGE)/EXC.RATE_1),CURRENCY.FORMAT_1),CURRENCY.FORMAT_1,1),"# ##0;-# ##0"),",-"),FIXED(ROUND((C1043*(1-I1043)*(1-ADD.DISCOUNT)*(1+MAT.SURCHARGE)/EXC.RATE_1),CURRENCY.FORMAT_1),CURRENCY.FORMAT_1,0)),'DICTIONARY-5'!$A$2)</f>
        <v>128,-</v>
      </c>
      <c r="M1043" s="670" t="str">
        <f>IF(EXC.RATE_2=0,"",IFERROR(IF(CURRENCY.FORMAT_2=0,CONCATENATE(TEXT(FIXED(ROUND(IF(EXC.RATE.SWITCH=1,C1043*(1-I1043)*(1-ADD.DISCOUNT)*(1+MAT.SURCHARGE)/EXC.RATE_2,C1043*(1-I1043)*(1-ADD.DISCOUNT)*(1+MAT.SURCHARGE)*EXC.RATE_2),CURRENCY.FORMAT_2),CURRENCY.FORMAT_2,1),"# ##0;-# ##0"),",-"),FIXED(ROUND(IF(EXC.RATE.SWITCH=1,C1043*(1-I1043)*(1-ADD.DISCOUNT)*(1+MAT.SURCHARGE)/EXC.RATE_2,C1043*(1-I1043)*(1-ADD.DISCOUNT)*(1+MAT.SURCHARGE)*EXC.RATE_2),CURRENCY.FORMAT_2),CURRENCY.FORMAT_2,0)),'DICTIONARY-5'!$A$2))</f>
        <v/>
      </c>
      <c r="N1043" s="542">
        <v>4</v>
      </c>
      <c r="O1043" s="542"/>
      <c r="P1043" s="731" t="str">
        <f>'DICTIONARY-3'!$A$58</f>
        <v>HOD-K</v>
      </c>
      <c r="Q1043" s="732" t="str">
        <f>'DICTIONARY-3'!$A$196</f>
        <v>Mostek nawiertowy</v>
      </c>
      <c r="R1043" s="732" t="str">
        <f>CONCATENATE('DICTIONARY-3'!$A$55,'DICTIONARY-3'!$A$78," ",'DICTIONARY-6'!$A$21," ",'DICTIONARY-2'!$A$2,"65"," ",'DICTIONARY-2'!$A$5,"75 G1¼"," ",'DICTIONARY-6'!$A$62,", ",'DICTIONARY-6'!$A$76," ",'DICTIONARY-5'!$A$57,"+",'DICTIONARY-5'!$A$56)</f>
        <v>HOD-K506 Mostek nawiert. DN65 Da75 G1¼ z zaw. kul., ruroc. PE+PVC</v>
      </c>
      <c r="S1043" s="733" t="str">
        <f>'DICTIONARY-4'!$A$2</f>
        <v>WW</v>
      </c>
      <c r="T1043" s="732" t="str">
        <f>'DICTIONARY-4'!$A$18</f>
        <v>Wolny wałek</v>
      </c>
      <c r="U1043" s="734" t="s">
        <v>5759</v>
      </c>
      <c r="V1043" s="735"/>
      <c r="W1043" s="744" t="s">
        <v>7359</v>
      </c>
      <c r="X1043" s="750" t="s">
        <v>5740</v>
      </c>
      <c r="Y1043" s="738"/>
      <c r="Z1043" s="739"/>
      <c r="AA1043" s="739"/>
      <c r="AB1043" s="740">
        <v>16</v>
      </c>
      <c r="AC1043" s="741"/>
      <c r="AD1043" s="741" t="str">
        <f>'DICTIONARY-5'!$A$13</f>
        <v>woda pitna</v>
      </c>
      <c r="AE1043" s="742">
        <v>50</v>
      </c>
      <c r="AF1043" s="743">
        <v>3</v>
      </c>
      <c r="AG1043" s="741" t="str">
        <f>'DICTIONARY-5'!$A$23</f>
        <v>powłoka epoksydowa</v>
      </c>
    </row>
    <row r="1044" spans="1:33" x14ac:dyDescent="0.25">
      <c r="A1044" s="856" t="s">
        <v>982</v>
      </c>
      <c r="B1044" s="856" t="s">
        <v>4012</v>
      </c>
      <c r="C1044" s="836">
        <v>114</v>
      </c>
      <c r="D1044" s="836"/>
      <c r="E1044" s="836"/>
      <c r="F1044" s="836"/>
      <c r="G1044" s="496" t="s">
        <v>7812</v>
      </c>
      <c r="H1044" s="797" t="str">
        <f>VLOOKUP(G1044,SETTINGS!$B$7:$D$97,2,0)</f>
        <v>HOD</v>
      </c>
      <c r="I1044" s="796">
        <f>VLOOKUP(G1044,SETTINGS!$B$7:$D$97,3,0)</f>
        <v>0</v>
      </c>
      <c r="J1044" s="670" t="str">
        <f>IFERROR(IF(CURRENCY.FORMAT_1=0,CONCATENATE(TEXT(FIXED(ROUND((C1044/EXC.RATE_1),CURRENCY.FORMAT_1),CURRENCY.FORMAT_1,1),"# ##0;-# ##0"),",-"),FIXED(ROUND((C1044/EXC.RATE_1),CURRENCY.FORMAT_1),CURRENCY.FORMAT_1,0)),'DICTIONARY-5'!$A$2)</f>
        <v>114,-</v>
      </c>
      <c r="K1044" s="670" t="str">
        <f>IF(EXC.RATE_2=0,"",IFERROR(IF(CURRENCY.FORMAT_2=0,CONCATENATE(TEXT(FIXED(ROUND(IF(EXC.RATE.SWITCH=1,C1044/EXC.RATE_2,C1044*EXC.RATE_2),CURRENCY.FORMAT_2),CURRENCY.FORMAT_2,1),"# ##0;-# ##0"),",-"),FIXED(ROUND(IF(EXC.RATE.SWITCH=1,C1044/EXC.RATE_2,C1044*EXC.RATE_2),CURRENCY.FORMAT_2),CURRENCY.FORMAT_2,0)),'DICTIONARY-5'!$A$2))</f>
        <v/>
      </c>
      <c r="L1044" s="670" t="str">
        <f>IFERROR(IF(CURRENCY.FORMAT_1=0,CONCATENATE(TEXT(FIXED(ROUND((C1044*(1-I1044)*(1-ADD.DISCOUNT)*(1+MAT.SURCHARGE)/EXC.RATE_1),CURRENCY.FORMAT_1),CURRENCY.FORMAT_1,1),"# ##0;-# ##0"),",-"),FIXED(ROUND((C1044*(1-I1044)*(1-ADD.DISCOUNT)*(1+MAT.SURCHARGE)/EXC.RATE_1),CURRENCY.FORMAT_1),CURRENCY.FORMAT_1,0)),'DICTIONARY-5'!$A$2)</f>
        <v>118,-</v>
      </c>
      <c r="M1044" s="670" t="str">
        <f>IF(EXC.RATE_2=0,"",IFERROR(IF(CURRENCY.FORMAT_2=0,CONCATENATE(TEXT(FIXED(ROUND(IF(EXC.RATE.SWITCH=1,C1044*(1-I1044)*(1-ADD.DISCOUNT)*(1+MAT.SURCHARGE)/EXC.RATE_2,C1044*(1-I1044)*(1-ADD.DISCOUNT)*(1+MAT.SURCHARGE)*EXC.RATE_2),CURRENCY.FORMAT_2),CURRENCY.FORMAT_2,1),"# ##0;-# ##0"),",-"),FIXED(ROUND(IF(EXC.RATE.SWITCH=1,C1044*(1-I1044)*(1-ADD.DISCOUNT)*(1+MAT.SURCHARGE)/EXC.RATE_2,C1044*(1-I1044)*(1-ADD.DISCOUNT)*(1+MAT.SURCHARGE)*EXC.RATE_2),CURRENCY.FORMAT_2),CURRENCY.FORMAT_2,0)),'DICTIONARY-5'!$A$2))</f>
        <v/>
      </c>
      <c r="N1044" s="542">
        <v>4</v>
      </c>
      <c r="O1044" s="542"/>
      <c r="P1044" s="731" t="str">
        <f>'DICTIONARY-3'!$A$58</f>
        <v>HOD-K</v>
      </c>
      <c r="Q1044" s="732" t="str">
        <f>'DICTIONARY-3'!$A$196</f>
        <v>Mostek nawiertowy</v>
      </c>
      <c r="R1044" s="732" t="str">
        <f>CONCATENATE('DICTIONARY-3'!$A$55,'DICTIONARY-3'!$A$78," ",'DICTIONARY-6'!$A$21," ",'DICTIONARY-2'!$A$2,"80"," ",'DICTIONARY-2'!$A$5,"90 G1¼"," ",'DICTIONARY-6'!$A$62,", ",'DICTIONARY-6'!$A$76," ",'DICTIONARY-5'!$A$57,"+",'DICTIONARY-5'!$A$56)</f>
        <v>HOD-K506 Mostek nawiert. DN80 Da90 G1¼ z zaw. kul., ruroc. PE+PVC</v>
      </c>
      <c r="S1044" s="733" t="str">
        <f>'DICTIONARY-4'!$A$2</f>
        <v>WW</v>
      </c>
      <c r="T1044" s="732" t="str">
        <f>'DICTIONARY-4'!$A$18</f>
        <v>Wolny wałek</v>
      </c>
      <c r="U1044" s="734" t="s">
        <v>5760</v>
      </c>
      <c r="V1044" s="735"/>
      <c r="W1044" s="744" t="s">
        <v>7339</v>
      </c>
      <c r="X1044" s="750" t="s">
        <v>5740</v>
      </c>
      <c r="Y1044" s="738"/>
      <c r="Z1044" s="739"/>
      <c r="AA1044" s="739"/>
      <c r="AB1044" s="740">
        <v>16</v>
      </c>
      <c r="AC1044" s="741"/>
      <c r="AD1044" s="741" t="str">
        <f>'DICTIONARY-5'!$A$13</f>
        <v>woda pitna</v>
      </c>
      <c r="AE1044" s="742">
        <v>50</v>
      </c>
      <c r="AF1044" s="743">
        <v>6.5</v>
      </c>
      <c r="AG1044" s="741" t="str">
        <f>'DICTIONARY-5'!$A$23</f>
        <v>powłoka epoksydowa</v>
      </c>
    </row>
    <row r="1045" spans="1:33" x14ac:dyDescent="0.25">
      <c r="A1045" s="856" t="s">
        <v>984</v>
      </c>
      <c r="B1045" s="856" t="s">
        <v>4013</v>
      </c>
      <c r="C1045" s="836">
        <v>117</v>
      </c>
      <c r="D1045" s="836"/>
      <c r="E1045" s="836"/>
      <c r="F1045" s="836"/>
      <c r="G1045" s="496" t="s">
        <v>7812</v>
      </c>
      <c r="H1045" s="797" t="str">
        <f>VLOOKUP(G1045,SETTINGS!$B$7:$D$97,2,0)</f>
        <v>HOD</v>
      </c>
      <c r="I1045" s="796">
        <f>VLOOKUP(G1045,SETTINGS!$B$7:$D$97,3,0)</f>
        <v>0</v>
      </c>
      <c r="J1045" s="670" t="str">
        <f>IFERROR(IF(CURRENCY.FORMAT_1=0,CONCATENATE(TEXT(FIXED(ROUND((C1045/EXC.RATE_1),CURRENCY.FORMAT_1),CURRENCY.FORMAT_1,1),"# ##0;-# ##0"),",-"),FIXED(ROUND((C1045/EXC.RATE_1),CURRENCY.FORMAT_1),CURRENCY.FORMAT_1,0)),'DICTIONARY-5'!$A$2)</f>
        <v>117,-</v>
      </c>
      <c r="K1045" s="670" t="str">
        <f>IF(EXC.RATE_2=0,"",IFERROR(IF(CURRENCY.FORMAT_2=0,CONCATENATE(TEXT(FIXED(ROUND(IF(EXC.RATE.SWITCH=1,C1045/EXC.RATE_2,C1045*EXC.RATE_2),CURRENCY.FORMAT_2),CURRENCY.FORMAT_2,1),"# ##0;-# ##0"),",-"),FIXED(ROUND(IF(EXC.RATE.SWITCH=1,C1045/EXC.RATE_2,C1045*EXC.RATE_2),CURRENCY.FORMAT_2),CURRENCY.FORMAT_2,0)),'DICTIONARY-5'!$A$2))</f>
        <v/>
      </c>
      <c r="L1045" s="670" t="str">
        <f>IFERROR(IF(CURRENCY.FORMAT_1=0,CONCATENATE(TEXT(FIXED(ROUND((C1045*(1-I1045)*(1-ADD.DISCOUNT)*(1+MAT.SURCHARGE)/EXC.RATE_1),CURRENCY.FORMAT_1),CURRENCY.FORMAT_1,1),"# ##0;-# ##0"),",-"),FIXED(ROUND((C1045*(1-I1045)*(1-ADD.DISCOUNT)*(1+MAT.SURCHARGE)/EXC.RATE_1),CURRENCY.FORMAT_1),CURRENCY.FORMAT_1,0)),'DICTIONARY-5'!$A$2)</f>
        <v>122,-</v>
      </c>
      <c r="M1045" s="670" t="str">
        <f>IF(EXC.RATE_2=0,"",IFERROR(IF(CURRENCY.FORMAT_2=0,CONCATENATE(TEXT(FIXED(ROUND(IF(EXC.RATE.SWITCH=1,C1045*(1-I1045)*(1-ADD.DISCOUNT)*(1+MAT.SURCHARGE)/EXC.RATE_2,C1045*(1-I1045)*(1-ADD.DISCOUNT)*(1+MAT.SURCHARGE)*EXC.RATE_2),CURRENCY.FORMAT_2),CURRENCY.FORMAT_2,1),"# ##0;-# ##0"),",-"),FIXED(ROUND(IF(EXC.RATE.SWITCH=1,C1045*(1-I1045)*(1-ADD.DISCOUNT)*(1+MAT.SURCHARGE)/EXC.RATE_2,C1045*(1-I1045)*(1-ADD.DISCOUNT)*(1+MAT.SURCHARGE)*EXC.RATE_2),CURRENCY.FORMAT_2),CURRENCY.FORMAT_2,0)),'DICTIONARY-5'!$A$2))</f>
        <v/>
      </c>
      <c r="N1045" s="542">
        <v>4</v>
      </c>
      <c r="O1045" s="542"/>
      <c r="P1045" s="731" t="str">
        <f>'DICTIONARY-3'!$A$58</f>
        <v>HOD-K</v>
      </c>
      <c r="Q1045" s="732" t="str">
        <f>'DICTIONARY-3'!$A$196</f>
        <v>Mostek nawiertowy</v>
      </c>
      <c r="R1045" s="732" t="str">
        <f>CONCATENATE('DICTIONARY-3'!$A$55,'DICTIONARY-3'!$A$78," ",'DICTIONARY-6'!$A$21," ",'DICTIONARY-2'!$A$2,"100"," ",'DICTIONARY-2'!$A$5,"110 G1¼"," ",'DICTIONARY-6'!$A$62,", ",'DICTIONARY-6'!$A$76," ",'DICTIONARY-5'!$A$57,"+",'DICTIONARY-5'!$A$56)</f>
        <v>HOD-K506 Mostek nawiert. DN100 Da110 G1¼ z zaw. kul., ruroc. PE+PVC</v>
      </c>
      <c r="S1045" s="733" t="str">
        <f>'DICTIONARY-4'!$A$2</f>
        <v>WW</v>
      </c>
      <c r="T1045" s="732" t="str">
        <f>'DICTIONARY-4'!$A$18</f>
        <v>Wolny wałek</v>
      </c>
      <c r="U1045" s="734" t="s">
        <v>5749</v>
      </c>
      <c r="V1045" s="735"/>
      <c r="W1045" s="744" t="s">
        <v>7340</v>
      </c>
      <c r="X1045" s="737" t="s">
        <v>5740</v>
      </c>
      <c r="Y1045" s="738"/>
      <c r="Z1045" s="739"/>
      <c r="AA1045" s="739"/>
      <c r="AB1045" s="740">
        <v>16</v>
      </c>
      <c r="AC1045" s="741"/>
      <c r="AD1045" s="741" t="str">
        <f>'DICTIONARY-5'!$A$13</f>
        <v>woda pitna</v>
      </c>
      <c r="AE1045" s="742">
        <v>50</v>
      </c>
      <c r="AF1045" s="743">
        <v>7</v>
      </c>
      <c r="AG1045" s="741" t="str">
        <f>'DICTIONARY-5'!$A$23</f>
        <v>powłoka epoksydowa</v>
      </c>
    </row>
    <row r="1046" spans="1:33" x14ac:dyDescent="0.25">
      <c r="A1046" s="856" t="s">
        <v>986</v>
      </c>
      <c r="B1046" s="856" t="s">
        <v>4014</v>
      </c>
      <c r="C1046" s="836">
        <v>144</v>
      </c>
      <c r="D1046" s="836"/>
      <c r="E1046" s="836"/>
      <c r="F1046" s="836"/>
      <c r="G1046" s="496" t="s">
        <v>7812</v>
      </c>
      <c r="H1046" s="797" t="str">
        <f>VLOOKUP(G1046,SETTINGS!$B$7:$D$97,2,0)</f>
        <v>HOD</v>
      </c>
      <c r="I1046" s="796">
        <f>VLOOKUP(G1046,SETTINGS!$B$7:$D$97,3,0)</f>
        <v>0</v>
      </c>
      <c r="J1046" s="670" t="str">
        <f>IFERROR(IF(CURRENCY.FORMAT_1=0,CONCATENATE(TEXT(FIXED(ROUND((C1046/EXC.RATE_1),CURRENCY.FORMAT_1),CURRENCY.FORMAT_1,1),"# ##0;-# ##0"),",-"),FIXED(ROUND((C1046/EXC.RATE_1),CURRENCY.FORMAT_1),CURRENCY.FORMAT_1,0)),'DICTIONARY-5'!$A$2)</f>
        <v>144,-</v>
      </c>
      <c r="K1046" s="670" t="str">
        <f>IF(EXC.RATE_2=0,"",IFERROR(IF(CURRENCY.FORMAT_2=0,CONCATENATE(TEXT(FIXED(ROUND(IF(EXC.RATE.SWITCH=1,C1046/EXC.RATE_2,C1046*EXC.RATE_2),CURRENCY.FORMAT_2),CURRENCY.FORMAT_2,1),"# ##0;-# ##0"),",-"),FIXED(ROUND(IF(EXC.RATE.SWITCH=1,C1046/EXC.RATE_2,C1046*EXC.RATE_2),CURRENCY.FORMAT_2),CURRENCY.FORMAT_2,0)),'DICTIONARY-5'!$A$2))</f>
        <v/>
      </c>
      <c r="L1046" s="670" t="str">
        <f>IFERROR(IF(CURRENCY.FORMAT_1=0,CONCATENATE(TEXT(FIXED(ROUND((C1046*(1-I1046)*(1-ADD.DISCOUNT)*(1+MAT.SURCHARGE)/EXC.RATE_1),CURRENCY.FORMAT_1),CURRENCY.FORMAT_1,1),"# ##0;-# ##0"),",-"),FIXED(ROUND((C1046*(1-I1046)*(1-ADD.DISCOUNT)*(1+MAT.SURCHARGE)/EXC.RATE_1),CURRENCY.FORMAT_1),CURRENCY.FORMAT_1,0)),'DICTIONARY-5'!$A$2)</f>
        <v>150,-</v>
      </c>
      <c r="M1046" s="670" t="str">
        <f>IF(EXC.RATE_2=0,"",IFERROR(IF(CURRENCY.FORMAT_2=0,CONCATENATE(TEXT(FIXED(ROUND(IF(EXC.RATE.SWITCH=1,C1046*(1-I1046)*(1-ADD.DISCOUNT)*(1+MAT.SURCHARGE)/EXC.RATE_2,C1046*(1-I1046)*(1-ADD.DISCOUNT)*(1+MAT.SURCHARGE)*EXC.RATE_2),CURRENCY.FORMAT_2),CURRENCY.FORMAT_2,1),"# ##0;-# ##0"),",-"),FIXED(ROUND(IF(EXC.RATE.SWITCH=1,C1046*(1-I1046)*(1-ADD.DISCOUNT)*(1+MAT.SURCHARGE)/EXC.RATE_2,C1046*(1-I1046)*(1-ADD.DISCOUNT)*(1+MAT.SURCHARGE)*EXC.RATE_2),CURRENCY.FORMAT_2),CURRENCY.FORMAT_2,0)),'DICTIONARY-5'!$A$2))</f>
        <v/>
      </c>
      <c r="N1046" s="542">
        <v>4</v>
      </c>
      <c r="O1046" s="542"/>
      <c r="P1046" s="731" t="str">
        <f>'DICTIONARY-3'!$A$58</f>
        <v>HOD-K</v>
      </c>
      <c r="Q1046" s="732" t="str">
        <f>'DICTIONARY-3'!$A$196</f>
        <v>Mostek nawiertowy</v>
      </c>
      <c r="R1046" s="732" t="str">
        <f>CONCATENATE('DICTIONARY-3'!$A$55,'DICTIONARY-3'!$A$78," ",'DICTIONARY-6'!$A$21," ",'DICTIONARY-2'!$A$2,"150"," ",'DICTIONARY-2'!$A$5,"160 G1¼"," ",'DICTIONARY-6'!$A$62,", ",'DICTIONARY-6'!$A$76," ",'DICTIONARY-5'!$A$57,"+",'DICTIONARY-5'!$A$56)</f>
        <v>HOD-K506 Mostek nawiert. DN150 Da160 G1¼ z zaw. kul., ruroc. PE+PVC</v>
      </c>
      <c r="S1046" s="733" t="str">
        <f>'DICTIONARY-4'!$A$2</f>
        <v>WW</v>
      </c>
      <c r="T1046" s="732" t="str">
        <f>'DICTIONARY-4'!$A$18</f>
        <v>Wolny wałek</v>
      </c>
      <c r="U1046" s="734" t="s">
        <v>5572</v>
      </c>
      <c r="V1046" s="735"/>
      <c r="W1046" s="744" t="s">
        <v>7342</v>
      </c>
      <c r="X1046" s="737" t="s">
        <v>5740</v>
      </c>
      <c r="Y1046" s="738"/>
      <c r="Z1046" s="739"/>
      <c r="AA1046" s="739"/>
      <c r="AB1046" s="740">
        <v>16</v>
      </c>
      <c r="AC1046" s="741"/>
      <c r="AD1046" s="741" t="str">
        <f>'DICTIONARY-5'!$A$13</f>
        <v>woda pitna</v>
      </c>
      <c r="AE1046" s="742">
        <v>50</v>
      </c>
      <c r="AF1046" s="743">
        <v>9</v>
      </c>
      <c r="AG1046" s="741" t="str">
        <f>'DICTIONARY-5'!$A$23</f>
        <v>powłoka epoksydowa</v>
      </c>
    </row>
    <row r="1047" spans="1:33" x14ac:dyDescent="0.25">
      <c r="A1047" s="856" t="s">
        <v>988</v>
      </c>
      <c r="B1047" s="856" t="s">
        <v>4015</v>
      </c>
      <c r="C1047" s="836">
        <v>198</v>
      </c>
      <c r="D1047" s="836"/>
      <c r="E1047" s="836"/>
      <c r="F1047" s="836"/>
      <c r="G1047" s="496" t="s">
        <v>7812</v>
      </c>
      <c r="H1047" s="797" t="str">
        <f>VLOOKUP(G1047,SETTINGS!$B$7:$D$97,2,0)</f>
        <v>HOD</v>
      </c>
      <c r="I1047" s="796">
        <f>VLOOKUP(G1047,SETTINGS!$B$7:$D$97,3,0)</f>
        <v>0</v>
      </c>
      <c r="J1047" s="670" t="str">
        <f>IFERROR(IF(CURRENCY.FORMAT_1=0,CONCATENATE(TEXT(FIXED(ROUND((C1047/EXC.RATE_1),CURRENCY.FORMAT_1),CURRENCY.FORMAT_1,1),"# ##0;-# ##0"),",-"),FIXED(ROUND((C1047/EXC.RATE_1),CURRENCY.FORMAT_1),CURRENCY.FORMAT_1,0)),'DICTIONARY-5'!$A$2)</f>
        <v>198,-</v>
      </c>
      <c r="K1047" s="670" t="str">
        <f>IF(EXC.RATE_2=0,"",IFERROR(IF(CURRENCY.FORMAT_2=0,CONCATENATE(TEXT(FIXED(ROUND(IF(EXC.RATE.SWITCH=1,C1047/EXC.RATE_2,C1047*EXC.RATE_2),CURRENCY.FORMAT_2),CURRENCY.FORMAT_2,1),"# ##0;-# ##0"),",-"),FIXED(ROUND(IF(EXC.RATE.SWITCH=1,C1047/EXC.RATE_2,C1047*EXC.RATE_2),CURRENCY.FORMAT_2),CURRENCY.FORMAT_2,0)),'DICTIONARY-5'!$A$2))</f>
        <v/>
      </c>
      <c r="L1047" s="670" t="str">
        <f>IFERROR(IF(CURRENCY.FORMAT_1=0,CONCATENATE(TEXT(FIXED(ROUND((C1047*(1-I1047)*(1-ADD.DISCOUNT)*(1+MAT.SURCHARGE)/EXC.RATE_1),CURRENCY.FORMAT_1),CURRENCY.FORMAT_1,1),"# ##0;-# ##0"),",-"),FIXED(ROUND((C1047*(1-I1047)*(1-ADD.DISCOUNT)*(1+MAT.SURCHARGE)/EXC.RATE_1),CURRENCY.FORMAT_1),CURRENCY.FORMAT_1,0)),'DICTIONARY-5'!$A$2)</f>
        <v>206,-</v>
      </c>
      <c r="M1047" s="670" t="str">
        <f>IF(EXC.RATE_2=0,"",IFERROR(IF(CURRENCY.FORMAT_2=0,CONCATENATE(TEXT(FIXED(ROUND(IF(EXC.RATE.SWITCH=1,C1047*(1-I1047)*(1-ADD.DISCOUNT)*(1+MAT.SURCHARGE)/EXC.RATE_2,C1047*(1-I1047)*(1-ADD.DISCOUNT)*(1+MAT.SURCHARGE)*EXC.RATE_2),CURRENCY.FORMAT_2),CURRENCY.FORMAT_2,1),"# ##0;-# ##0"),",-"),FIXED(ROUND(IF(EXC.RATE.SWITCH=1,C1047*(1-I1047)*(1-ADD.DISCOUNT)*(1+MAT.SURCHARGE)/EXC.RATE_2,C1047*(1-I1047)*(1-ADD.DISCOUNT)*(1+MAT.SURCHARGE)*EXC.RATE_2),CURRENCY.FORMAT_2),CURRENCY.FORMAT_2,0)),'DICTIONARY-5'!$A$2))</f>
        <v/>
      </c>
      <c r="N1047" s="542">
        <v>4</v>
      </c>
      <c r="O1047" s="542"/>
      <c r="P1047" s="731" t="str">
        <f>'DICTIONARY-3'!$A$58</f>
        <v>HOD-K</v>
      </c>
      <c r="Q1047" s="732" t="str">
        <f>'DICTIONARY-3'!$A$196</f>
        <v>Mostek nawiertowy</v>
      </c>
      <c r="R1047" s="732" t="str">
        <f>CONCATENATE('DICTIONARY-3'!$A$55,'DICTIONARY-3'!$A$78," ",'DICTIONARY-6'!$A$21," ",'DICTIONARY-2'!$A$2,"200"," ",'DICTIONARY-2'!$A$5,"225 G1¼"," ",'DICTIONARY-6'!$A$62,", ",'DICTIONARY-6'!$A$76," ",'DICTIONARY-5'!$A$57,"+",'DICTIONARY-5'!$A$56)</f>
        <v>HOD-K506 Mostek nawiert. DN200 Da225 G1¼ z zaw. kul., ruroc. PE+PVC</v>
      </c>
      <c r="S1047" s="733" t="str">
        <f>'DICTIONARY-4'!$A$2</f>
        <v>WW</v>
      </c>
      <c r="T1047" s="732" t="str">
        <f>'DICTIONARY-4'!$A$18</f>
        <v>Wolny wałek</v>
      </c>
      <c r="U1047" s="734" t="s">
        <v>5750</v>
      </c>
      <c r="V1047" s="735"/>
      <c r="W1047" s="744" t="s">
        <v>5833</v>
      </c>
      <c r="X1047" s="737" t="s">
        <v>5740</v>
      </c>
      <c r="Y1047" s="738"/>
      <c r="Z1047" s="739"/>
      <c r="AA1047" s="739"/>
      <c r="AB1047" s="740">
        <v>16</v>
      </c>
      <c r="AC1047" s="741"/>
      <c r="AD1047" s="741" t="str">
        <f>'DICTIONARY-5'!$A$13</f>
        <v>woda pitna</v>
      </c>
      <c r="AE1047" s="742">
        <v>50</v>
      </c>
      <c r="AF1047" s="743">
        <v>11</v>
      </c>
      <c r="AG1047" s="741" t="str">
        <f>'DICTIONARY-5'!$A$23</f>
        <v>powłoka epoksydowa</v>
      </c>
    </row>
    <row r="1048" spans="1:33" x14ac:dyDescent="0.25">
      <c r="A1048" s="856" t="s">
        <v>989</v>
      </c>
      <c r="B1048" s="856" t="s">
        <v>4016</v>
      </c>
      <c r="C1048" s="836">
        <v>148</v>
      </c>
      <c r="D1048" s="836"/>
      <c r="E1048" s="836"/>
      <c r="F1048" s="836"/>
      <c r="G1048" s="496" t="s">
        <v>7812</v>
      </c>
      <c r="H1048" s="797" t="str">
        <f>VLOOKUP(G1048,SETTINGS!$B$7:$D$97,2,0)</f>
        <v>HOD</v>
      </c>
      <c r="I1048" s="796">
        <f>VLOOKUP(G1048,SETTINGS!$B$7:$D$97,3,0)</f>
        <v>0</v>
      </c>
      <c r="J1048" s="670" t="str">
        <f>IFERROR(IF(CURRENCY.FORMAT_1=0,CONCATENATE(TEXT(FIXED(ROUND((C1048/EXC.RATE_1),CURRENCY.FORMAT_1),CURRENCY.FORMAT_1,1),"# ##0;-# ##0"),",-"),FIXED(ROUND((C1048/EXC.RATE_1),CURRENCY.FORMAT_1),CURRENCY.FORMAT_1,0)),'DICTIONARY-5'!$A$2)</f>
        <v>148,-</v>
      </c>
      <c r="K1048" s="670" t="str">
        <f>IF(EXC.RATE_2=0,"",IFERROR(IF(CURRENCY.FORMAT_2=0,CONCATENATE(TEXT(FIXED(ROUND(IF(EXC.RATE.SWITCH=1,C1048/EXC.RATE_2,C1048*EXC.RATE_2),CURRENCY.FORMAT_2),CURRENCY.FORMAT_2,1),"# ##0;-# ##0"),",-"),FIXED(ROUND(IF(EXC.RATE.SWITCH=1,C1048/EXC.RATE_2,C1048*EXC.RATE_2),CURRENCY.FORMAT_2),CURRENCY.FORMAT_2,0)),'DICTIONARY-5'!$A$2))</f>
        <v/>
      </c>
      <c r="L1048" s="670" t="str">
        <f>IFERROR(IF(CURRENCY.FORMAT_1=0,CONCATENATE(TEXT(FIXED(ROUND((C1048*(1-I1048)*(1-ADD.DISCOUNT)*(1+MAT.SURCHARGE)/EXC.RATE_1),CURRENCY.FORMAT_1),CURRENCY.FORMAT_1,1),"# ##0;-# ##0"),",-"),FIXED(ROUND((C1048*(1-I1048)*(1-ADD.DISCOUNT)*(1+MAT.SURCHARGE)/EXC.RATE_1),CURRENCY.FORMAT_1),CURRENCY.FORMAT_1,0)),'DICTIONARY-5'!$A$2)</f>
        <v>154,-</v>
      </c>
      <c r="M1048" s="670" t="str">
        <f>IF(EXC.RATE_2=0,"",IFERROR(IF(CURRENCY.FORMAT_2=0,CONCATENATE(TEXT(FIXED(ROUND(IF(EXC.RATE.SWITCH=1,C1048*(1-I1048)*(1-ADD.DISCOUNT)*(1+MAT.SURCHARGE)/EXC.RATE_2,C1048*(1-I1048)*(1-ADD.DISCOUNT)*(1+MAT.SURCHARGE)*EXC.RATE_2),CURRENCY.FORMAT_2),CURRENCY.FORMAT_2,1),"# ##0;-# ##0"),",-"),FIXED(ROUND(IF(EXC.RATE.SWITCH=1,C1048*(1-I1048)*(1-ADD.DISCOUNT)*(1+MAT.SURCHARGE)/EXC.RATE_2,C1048*(1-I1048)*(1-ADD.DISCOUNT)*(1+MAT.SURCHARGE)*EXC.RATE_2),CURRENCY.FORMAT_2),CURRENCY.FORMAT_2,0)),'DICTIONARY-5'!$A$2))</f>
        <v/>
      </c>
      <c r="N1048" s="542">
        <v>4</v>
      </c>
      <c r="O1048" s="542"/>
      <c r="P1048" s="731" t="str">
        <f>'DICTIONARY-3'!$A$58</f>
        <v>HOD-K</v>
      </c>
      <c r="Q1048" s="732" t="str">
        <f>'DICTIONARY-3'!$A$196</f>
        <v>Mostek nawiertowy</v>
      </c>
      <c r="R1048" s="732" t="str">
        <f>CONCATENATE('DICTIONARY-3'!$A$55,'DICTIONARY-3'!$A$78," ",'DICTIONARY-6'!$A$21," ",'DICTIONARY-2'!$A$2,"80"," ",'DICTIONARY-2'!$A$5,"90 G1½"," ",'DICTIONARY-6'!$A$62,", ",'DICTIONARY-6'!$A$76," ",'DICTIONARY-5'!$A$57,"+",'DICTIONARY-5'!$A$56)</f>
        <v>HOD-K506 Mostek nawiert. DN80 Da90 G1½ z zaw. kul., ruroc. PE+PVC</v>
      </c>
      <c r="S1048" s="733" t="str">
        <f>'DICTIONARY-4'!$A$2</f>
        <v>WW</v>
      </c>
      <c r="T1048" s="732" t="str">
        <f>'DICTIONARY-4'!$A$18</f>
        <v>Wolny wałek</v>
      </c>
      <c r="U1048" s="734" t="s">
        <v>5760</v>
      </c>
      <c r="V1048" s="735"/>
      <c r="W1048" s="744" t="s">
        <v>7339</v>
      </c>
      <c r="X1048" s="737" t="s">
        <v>5769</v>
      </c>
      <c r="Y1048" s="738"/>
      <c r="Z1048" s="739"/>
      <c r="AA1048" s="739"/>
      <c r="AB1048" s="740">
        <v>16</v>
      </c>
      <c r="AC1048" s="741"/>
      <c r="AD1048" s="741" t="str">
        <f>'DICTIONARY-5'!$A$13</f>
        <v>woda pitna</v>
      </c>
      <c r="AE1048" s="742">
        <v>50</v>
      </c>
      <c r="AF1048" s="743">
        <v>8</v>
      </c>
      <c r="AG1048" s="741" t="str">
        <f>'DICTIONARY-5'!$A$23</f>
        <v>powłoka epoksydowa</v>
      </c>
    </row>
    <row r="1049" spans="1:33" x14ac:dyDescent="0.25">
      <c r="A1049" s="856" t="s">
        <v>991</v>
      </c>
      <c r="B1049" s="856" t="s">
        <v>4017</v>
      </c>
      <c r="C1049" s="836">
        <v>153</v>
      </c>
      <c r="D1049" s="836"/>
      <c r="E1049" s="836"/>
      <c r="F1049" s="836"/>
      <c r="G1049" s="496" t="s">
        <v>7812</v>
      </c>
      <c r="H1049" s="797" t="str">
        <f>VLOOKUP(G1049,SETTINGS!$B$7:$D$97,2,0)</f>
        <v>HOD</v>
      </c>
      <c r="I1049" s="796">
        <f>VLOOKUP(G1049,SETTINGS!$B$7:$D$97,3,0)</f>
        <v>0</v>
      </c>
      <c r="J1049" s="670" t="str">
        <f>IFERROR(IF(CURRENCY.FORMAT_1=0,CONCATENATE(TEXT(FIXED(ROUND((C1049/EXC.RATE_1),CURRENCY.FORMAT_1),CURRENCY.FORMAT_1,1),"# ##0;-# ##0"),",-"),FIXED(ROUND((C1049/EXC.RATE_1),CURRENCY.FORMAT_1),CURRENCY.FORMAT_1,0)),'DICTIONARY-5'!$A$2)</f>
        <v>153,-</v>
      </c>
      <c r="K1049" s="670" t="str">
        <f>IF(EXC.RATE_2=0,"",IFERROR(IF(CURRENCY.FORMAT_2=0,CONCATENATE(TEXT(FIXED(ROUND(IF(EXC.RATE.SWITCH=1,C1049/EXC.RATE_2,C1049*EXC.RATE_2),CURRENCY.FORMAT_2),CURRENCY.FORMAT_2,1),"# ##0;-# ##0"),",-"),FIXED(ROUND(IF(EXC.RATE.SWITCH=1,C1049/EXC.RATE_2,C1049*EXC.RATE_2),CURRENCY.FORMAT_2),CURRENCY.FORMAT_2,0)),'DICTIONARY-5'!$A$2))</f>
        <v/>
      </c>
      <c r="L1049" s="670" t="str">
        <f>IFERROR(IF(CURRENCY.FORMAT_1=0,CONCATENATE(TEXT(FIXED(ROUND((C1049*(1-I1049)*(1-ADD.DISCOUNT)*(1+MAT.SURCHARGE)/EXC.RATE_1),CURRENCY.FORMAT_1),CURRENCY.FORMAT_1,1),"# ##0;-# ##0"),",-"),FIXED(ROUND((C1049*(1-I1049)*(1-ADD.DISCOUNT)*(1+MAT.SURCHARGE)/EXC.RATE_1),CURRENCY.FORMAT_1),CURRENCY.FORMAT_1,0)),'DICTIONARY-5'!$A$2)</f>
        <v>159,-</v>
      </c>
      <c r="M1049" s="670" t="str">
        <f>IF(EXC.RATE_2=0,"",IFERROR(IF(CURRENCY.FORMAT_2=0,CONCATENATE(TEXT(FIXED(ROUND(IF(EXC.RATE.SWITCH=1,C1049*(1-I1049)*(1-ADD.DISCOUNT)*(1+MAT.SURCHARGE)/EXC.RATE_2,C1049*(1-I1049)*(1-ADD.DISCOUNT)*(1+MAT.SURCHARGE)*EXC.RATE_2),CURRENCY.FORMAT_2),CURRENCY.FORMAT_2,1),"# ##0;-# ##0"),",-"),FIXED(ROUND(IF(EXC.RATE.SWITCH=1,C1049*(1-I1049)*(1-ADD.DISCOUNT)*(1+MAT.SURCHARGE)/EXC.RATE_2,C1049*(1-I1049)*(1-ADD.DISCOUNT)*(1+MAT.SURCHARGE)*EXC.RATE_2),CURRENCY.FORMAT_2),CURRENCY.FORMAT_2,0)),'DICTIONARY-5'!$A$2))</f>
        <v/>
      </c>
      <c r="N1049" s="542">
        <v>4</v>
      </c>
      <c r="O1049" s="542"/>
      <c r="P1049" s="731" t="str">
        <f>'DICTIONARY-3'!$A$58</f>
        <v>HOD-K</v>
      </c>
      <c r="Q1049" s="732" t="str">
        <f>'DICTIONARY-3'!$A$196</f>
        <v>Mostek nawiertowy</v>
      </c>
      <c r="R1049" s="732" t="str">
        <f>CONCATENATE('DICTIONARY-3'!$A$55,'DICTIONARY-3'!$A$78," ",'DICTIONARY-6'!$A$21," ",'DICTIONARY-2'!$A$2,"100"," ",'DICTIONARY-2'!$A$5,"110 G1½"," ",'DICTIONARY-6'!$A$62,", ",'DICTIONARY-6'!$A$76," ",'DICTIONARY-5'!$A$57,"+",'DICTIONARY-5'!$A$56)</f>
        <v>HOD-K506 Mostek nawiert. DN100 Da110 G1½ z zaw. kul., ruroc. PE+PVC</v>
      </c>
      <c r="S1049" s="733" t="str">
        <f>'DICTIONARY-4'!$A$2</f>
        <v>WW</v>
      </c>
      <c r="T1049" s="732" t="str">
        <f>'DICTIONARY-4'!$A$18</f>
        <v>Wolny wałek</v>
      </c>
      <c r="U1049" s="734" t="s">
        <v>5749</v>
      </c>
      <c r="V1049" s="735"/>
      <c r="W1049" s="744" t="s">
        <v>7340</v>
      </c>
      <c r="X1049" s="737" t="s">
        <v>5769</v>
      </c>
      <c r="Y1049" s="738"/>
      <c r="Z1049" s="739"/>
      <c r="AA1049" s="739"/>
      <c r="AB1049" s="740">
        <v>16</v>
      </c>
      <c r="AC1049" s="741"/>
      <c r="AD1049" s="741" t="str">
        <f>'DICTIONARY-5'!$A$13</f>
        <v>woda pitna</v>
      </c>
      <c r="AE1049" s="742">
        <v>50</v>
      </c>
      <c r="AF1049" s="743">
        <v>8.5</v>
      </c>
      <c r="AG1049" s="741" t="str">
        <f>'DICTIONARY-5'!$A$23</f>
        <v>powłoka epoksydowa</v>
      </c>
    </row>
    <row r="1050" spans="1:33" x14ac:dyDescent="0.25">
      <c r="A1050" s="856" t="s">
        <v>993</v>
      </c>
      <c r="B1050" s="856" t="s">
        <v>4018</v>
      </c>
      <c r="C1050" s="836">
        <v>210</v>
      </c>
      <c r="D1050" s="836"/>
      <c r="E1050" s="836"/>
      <c r="F1050" s="836"/>
      <c r="G1050" s="496" t="s">
        <v>7812</v>
      </c>
      <c r="H1050" s="797" t="str">
        <f>VLOOKUP(G1050,SETTINGS!$B$7:$D$97,2,0)</f>
        <v>HOD</v>
      </c>
      <c r="I1050" s="796">
        <f>VLOOKUP(G1050,SETTINGS!$B$7:$D$97,3,0)</f>
        <v>0</v>
      </c>
      <c r="J1050" s="670" t="str">
        <f>IFERROR(IF(CURRENCY.FORMAT_1=0,CONCATENATE(TEXT(FIXED(ROUND((C1050/EXC.RATE_1),CURRENCY.FORMAT_1),CURRENCY.FORMAT_1,1),"# ##0;-# ##0"),",-"),FIXED(ROUND((C1050/EXC.RATE_1),CURRENCY.FORMAT_1),CURRENCY.FORMAT_1,0)),'DICTIONARY-5'!$A$2)</f>
        <v>210,-</v>
      </c>
      <c r="K1050" s="670" t="str">
        <f>IF(EXC.RATE_2=0,"",IFERROR(IF(CURRENCY.FORMAT_2=0,CONCATENATE(TEXT(FIXED(ROUND(IF(EXC.RATE.SWITCH=1,C1050/EXC.RATE_2,C1050*EXC.RATE_2),CURRENCY.FORMAT_2),CURRENCY.FORMAT_2,1),"# ##0;-# ##0"),",-"),FIXED(ROUND(IF(EXC.RATE.SWITCH=1,C1050/EXC.RATE_2,C1050*EXC.RATE_2),CURRENCY.FORMAT_2),CURRENCY.FORMAT_2,0)),'DICTIONARY-5'!$A$2))</f>
        <v/>
      </c>
      <c r="L1050" s="670" t="str">
        <f>IFERROR(IF(CURRENCY.FORMAT_1=0,CONCATENATE(TEXT(FIXED(ROUND((C1050*(1-I1050)*(1-ADD.DISCOUNT)*(1+MAT.SURCHARGE)/EXC.RATE_1),CURRENCY.FORMAT_1),CURRENCY.FORMAT_1,1),"# ##0;-# ##0"),",-"),FIXED(ROUND((C1050*(1-I1050)*(1-ADD.DISCOUNT)*(1+MAT.SURCHARGE)/EXC.RATE_1),CURRENCY.FORMAT_1),CURRENCY.FORMAT_1,0)),'DICTIONARY-5'!$A$2)</f>
        <v>218,-</v>
      </c>
      <c r="M1050" s="670" t="str">
        <f>IF(EXC.RATE_2=0,"",IFERROR(IF(CURRENCY.FORMAT_2=0,CONCATENATE(TEXT(FIXED(ROUND(IF(EXC.RATE.SWITCH=1,C1050*(1-I1050)*(1-ADD.DISCOUNT)*(1+MAT.SURCHARGE)/EXC.RATE_2,C1050*(1-I1050)*(1-ADD.DISCOUNT)*(1+MAT.SURCHARGE)*EXC.RATE_2),CURRENCY.FORMAT_2),CURRENCY.FORMAT_2,1),"# ##0;-# ##0"),",-"),FIXED(ROUND(IF(EXC.RATE.SWITCH=1,C1050*(1-I1050)*(1-ADD.DISCOUNT)*(1+MAT.SURCHARGE)/EXC.RATE_2,C1050*(1-I1050)*(1-ADD.DISCOUNT)*(1+MAT.SURCHARGE)*EXC.RATE_2),CURRENCY.FORMAT_2),CURRENCY.FORMAT_2,0)),'DICTIONARY-5'!$A$2))</f>
        <v/>
      </c>
      <c r="N1050" s="542">
        <v>4</v>
      </c>
      <c r="O1050" s="542"/>
      <c r="P1050" s="731" t="str">
        <f>'DICTIONARY-3'!$A$58</f>
        <v>HOD-K</v>
      </c>
      <c r="Q1050" s="732" t="str">
        <f>'DICTIONARY-3'!$A$196</f>
        <v>Mostek nawiertowy</v>
      </c>
      <c r="R1050" s="732" t="str">
        <f>CONCATENATE('DICTIONARY-3'!$A$55,'DICTIONARY-3'!$A$78," ",'DICTIONARY-6'!$A$21," ",'DICTIONARY-2'!$A$2,"125"," ",'DICTIONARY-2'!$A$5,"140 G1½"," ",'DICTIONARY-6'!$A$62,", ",'DICTIONARY-6'!$A$76," ",'DICTIONARY-5'!$A$57,"+",'DICTIONARY-5'!$A$56)</f>
        <v>HOD-K506 Mostek nawiert. DN125 Da140 G1½ z zaw. kul., ruroc. PE+PVC</v>
      </c>
      <c r="S1050" s="733" t="str">
        <f>'DICTIONARY-4'!$A$2</f>
        <v>WW</v>
      </c>
      <c r="T1050" s="732" t="str">
        <f>'DICTIONARY-4'!$A$18</f>
        <v>Wolny wałek</v>
      </c>
      <c r="U1050" s="734" t="s">
        <v>5761</v>
      </c>
      <c r="V1050" s="735"/>
      <c r="W1050" s="744" t="s">
        <v>7341</v>
      </c>
      <c r="X1050" s="737" t="s">
        <v>5769</v>
      </c>
      <c r="Y1050" s="738"/>
      <c r="Z1050" s="739"/>
      <c r="AA1050" s="739"/>
      <c r="AB1050" s="740">
        <v>16</v>
      </c>
      <c r="AC1050" s="741"/>
      <c r="AD1050" s="741" t="str">
        <f>'DICTIONARY-5'!$A$13</f>
        <v>woda pitna</v>
      </c>
      <c r="AE1050" s="742">
        <v>50</v>
      </c>
      <c r="AF1050" s="743">
        <v>9.5</v>
      </c>
      <c r="AG1050" s="741" t="str">
        <f>'DICTIONARY-5'!$A$23</f>
        <v>powłoka epoksydowa</v>
      </c>
    </row>
    <row r="1051" spans="1:33" x14ac:dyDescent="0.25">
      <c r="A1051" s="856" t="s">
        <v>995</v>
      </c>
      <c r="B1051" s="856" t="s">
        <v>4019</v>
      </c>
      <c r="C1051" s="836">
        <v>176</v>
      </c>
      <c r="D1051" s="836"/>
      <c r="E1051" s="836"/>
      <c r="F1051" s="836"/>
      <c r="G1051" s="496" t="s">
        <v>7812</v>
      </c>
      <c r="H1051" s="797" t="str">
        <f>VLOOKUP(G1051,SETTINGS!$B$7:$D$97,2,0)</f>
        <v>HOD</v>
      </c>
      <c r="I1051" s="796">
        <f>VLOOKUP(G1051,SETTINGS!$B$7:$D$97,3,0)</f>
        <v>0</v>
      </c>
      <c r="J1051" s="670" t="str">
        <f>IFERROR(IF(CURRENCY.FORMAT_1=0,CONCATENATE(TEXT(FIXED(ROUND((C1051/EXC.RATE_1),CURRENCY.FORMAT_1),CURRENCY.FORMAT_1,1),"# ##0;-# ##0"),",-"),FIXED(ROUND((C1051/EXC.RATE_1),CURRENCY.FORMAT_1),CURRENCY.FORMAT_1,0)),'DICTIONARY-5'!$A$2)</f>
        <v>176,-</v>
      </c>
      <c r="K1051" s="670" t="str">
        <f>IF(EXC.RATE_2=0,"",IFERROR(IF(CURRENCY.FORMAT_2=0,CONCATENATE(TEXT(FIXED(ROUND(IF(EXC.RATE.SWITCH=1,C1051/EXC.RATE_2,C1051*EXC.RATE_2),CURRENCY.FORMAT_2),CURRENCY.FORMAT_2,1),"# ##0;-# ##0"),",-"),FIXED(ROUND(IF(EXC.RATE.SWITCH=1,C1051/EXC.RATE_2,C1051*EXC.RATE_2),CURRENCY.FORMAT_2),CURRENCY.FORMAT_2,0)),'DICTIONARY-5'!$A$2))</f>
        <v/>
      </c>
      <c r="L1051" s="670" t="str">
        <f>IFERROR(IF(CURRENCY.FORMAT_1=0,CONCATENATE(TEXT(FIXED(ROUND((C1051*(1-I1051)*(1-ADD.DISCOUNT)*(1+MAT.SURCHARGE)/EXC.RATE_1),CURRENCY.FORMAT_1),CURRENCY.FORMAT_1,1),"# ##0;-# ##0"),",-"),FIXED(ROUND((C1051*(1-I1051)*(1-ADD.DISCOUNT)*(1+MAT.SURCHARGE)/EXC.RATE_1),CURRENCY.FORMAT_1),CURRENCY.FORMAT_1,0)),'DICTIONARY-5'!$A$2)</f>
        <v>183,-</v>
      </c>
      <c r="M1051" s="670" t="str">
        <f>IF(EXC.RATE_2=0,"",IFERROR(IF(CURRENCY.FORMAT_2=0,CONCATENATE(TEXT(FIXED(ROUND(IF(EXC.RATE.SWITCH=1,C1051*(1-I1051)*(1-ADD.DISCOUNT)*(1+MAT.SURCHARGE)/EXC.RATE_2,C1051*(1-I1051)*(1-ADD.DISCOUNT)*(1+MAT.SURCHARGE)*EXC.RATE_2),CURRENCY.FORMAT_2),CURRENCY.FORMAT_2,1),"# ##0;-# ##0"),",-"),FIXED(ROUND(IF(EXC.RATE.SWITCH=1,C1051*(1-I1051)*(1-ADD.DISCOUNT)*(1+MAT.SURCHARGE)/EXC.RATE_2,C1051*(1-I1051)*(1-ADD.DISCOUNT)*(1+MAT.SURCHARGE)*EXC.RATE_2),CURRENCY.FORMAT_2),CURRENCY.FORMAT_2,0)),'DICTIONARY-5'!$A$2))</f>
        <v/>
      </c>
      <c r="N1051" s="542">
        <v>4</v>
      </c>
      <c r="O1051" s="542"/>
      <c r="P1051" s="731" t="str">
        <f>'DICTIONARY-3'!$A$58</f>
        <v>HOD-K</v>
      </c>
      <c r="Q1051" s="732" t="str">
        <f>'DICTIONARY-3'!$A$196</f>
        <v>Mostek nawiertowy</v>
      </c>
      <c r="R1051" s="732" t="str">
        <f>CONCATENATE('DICTIONARY-3'!$A$55,'DICTIONARY-3'!$A$78," ",'DICTIONARY-6'!$A$21," ",'DICTIONARY-2'!$A$2,"150"," ",'DICTIONARY-2'!$A$5,"160 G1½"," ",'DICTIONARY-6'!$A$62,", ",'DICTIONARY-6'!$A$76," ",'DICTIONARY-5'!$A$57,"+",'DICTIONARY-5'!$A$56)</f>
        <v>HOD-K506 Mostek nawiert. DN150 Da160 G1½ z zaw. kul., ruroc. PE+PVC</v>
      </c>
      <c r="S1051" s="733" t="str">
        <f>'DICTIONARY-4'!$A$2</f>
        <v>WW</v>
      </c>
      <c r="T1051" s="732" t="str">
        <f>'DICTIONARY-4'!$A$18</f>
        <v>Wolny wałek</v>
      </c>
      <c r="U1051" s="734" t="s">
        <v>5572</v>
      </c>
      <c r="V1051" s="735"/>
      <c r="W1051" s="744" t="s">
        <v>7342</v>
      </c>
      <c r="X1051" s="737" t="s">
        <v>5769</v>
      </c>
      <c r="Y1051" s="738"/>
      <c r="Z1051" s="739"/>
      <c r="AA1051" s="739"/>
      <c r="AB1051" s="740">
        <v>16</v>
      </c>
      <c r="AC1051" s="741"/>
      <c r="AD1051" s="741" t="str">
        <f>'DICTIONARY-5'!$A$13</f>
        <v>woda pitna</v>
      </c>
      <c r="AE1051" s="742">
        <v>50</v>
      </c>
      <c r="AF1051" s="743">
        <v>10</v>
      </c>
      <c r="AG1051" s="741" t="str">
        <f>'DICTIONARY-5'!$A$23</f>
        <v>powłoka epoksydowa</v>
      </c>
    </row>
    <row r="1052" spans="1:33" x14ac:dyDescent="0.25">
      <c r="A1052" s="856" t="s">
        <v>997</v>
      </c>
      <c r="B1052" s="856" t="s">
        <v>4020</v>
      </c>
      <c r="C1052" s="836">
        <v>247</v>
      </c>
      <c r="D1052" s="836"/>
      <c r="E1052" s="836"/>
      <c r="F1052" s="836"/>
      <c r="G1052" s="496" t="s">
        <v>7812</v>
      </c>
      <c r="H1052" s="797" t="str">
        <f>VLOOKUP(G1052,SETTINGS!$B$7:$D$97,2,0)</f>
        <v>HOD</v>
      </c>
      <c r="I1052" s="796">
        <f>VLOOKUP(G1052,SETTINGS!$B$7:$D$97,3,0)</f>
        <v>0</v>
      </c>
      <c r="J1052" s="670" t="str">
        <f>IFERROR(IF(CURRENCY.FORMAT_1=0,CONCATENATE(TEXT(FIXED(ROUND((C1052/EXC.RATE_1),CURRENCY.FORMAT_1),CURRENCY.FORMAT_1,1),"# ##0;-# ##0"),",-"),FIXED(ROUND((C1052/EXC.RATE_1),CURRENCY.FORMAT_1),CURRENCY.FORMAT_1,0)),'DICTIONARY-5'!$A$2)</f>
        <v>247,-</v>
      </c>
      <c r="K1052" s="670" t="str">
        <f>IF(EXC.RATE_2=0,"",IFERROR(IF(CURRENCY.FORMAT_2=0,CONCATENATE(TEXT(FIXED(ROUND(IF(EXC.RATE.SWITCH=1,C1052/EXC.RATE_2,C1052*EXC.RATE_2),CURRENCY.FORMAT_2),CURRENCY.FORMAT_2,1),"# ##0;-# ##0"),",-"),FIXED(ROUND(IF(EXC.RATE.SWITCH=1,C1052/EXC.RATE_2,C1052*EXC.RATE_2),CURRENCY.FORMAT_2),CURRENCY.FORMAT_2,0)),'DICTIONARY-5'!$A$2))</f>
        <v/>
      </c>
      <c r="L1052" s="670" t="str">
        <f>IFERROR(IF(CURRENCY.FORMAT_1=0,CONCATENATE(TEXT(FIXED(ROUND((C1052*(1-I1052)*(1-ADD.DISCOUNT)*(1+MAT.SURCHARGE)/EXC.RATE_1),CURRENCY.FORMAT_1),CURRENCY.FORMAT_1,1),"# ##0;-# ##0"),",-"),FIXED(ROUND((C1052*(1-I1052)*(1-ADD.DISCOUNT)*(1+MAT.SURCHARGE)/EXC.RATE_1),CURRENCY.FORMAT_1),CURRENCY.FORMAT_1,0)),'DICTIONARY-5'!$A$2)</f>
        <v>257,-</v>
      </c>
      <c r="M1052" s="670" t="str">
        <f>IF(EXC.RATE_2=0,"",IFERROR(IF(CURRENCY.FORMAT_2=0,CONCATENATE(TEXT(FIXED(ROUND(IF(EXC.RATE.SWITCH=1,C1052*(1-I1052)*(1-ADD.DISCOUNT)*(1+MAT.SURCHARGE)/EXC.RATE_2,C1052*(1-I1052)*(1-ADD.DISCOUNT)*(1+MAT.SURCHARGE)*EXC.RATE_2),CURRENCY.FORMAT_2),CURRENCY.FORMAT_2,1),"# ##0;-# ##0"),",-"),FIXED(ROUND(IF(EXC.RATE.SWITCH=1,C1052*(1-I1052)*(1-ADD.DISCOUNT)*(1+MAT.SURCHARGE)/EXC.RATE_2,C1052*(1-I1052)*(1-ADD.DISCOUNT)*(1+MAT.SURCHARGE)*EXC.RATE_2),CURRENCY.FORMAT_2),CURRENCY.FORMAT_2,0)),'DICTIONARY-5'!$A$2))</f>
        <v/>
      </c>
      <c r="N1052" s="542">
        <v>4</v>
      </c>
      <c r="O1052" s="542"/>
      <c r="P1052" s="731" t="str">
        <f>'DICTIONARY-3'!$A$58</f>
        <v>HOD-K</v>
      </c>
      <c r="Q1052" s="732" t="str">
        <f>'DICTIONARY-3'!$A$196</f>
        <v>Mostek nawiertowy</v>
      </c>
      <c r="R1052" s="732" t="str">
        <f>CONCATENATE('DICTIONARY-3'!$A$55,'DICTIONARY-3'!$A$78," ",'DICTIONARY-6'!$A$21," ",'DICTIONARY-2'!$A$2,"200"," ",'DICTIONARY-2'!$A$5,"225 G1½"," ",'DICTIONARY-6'!$A$62,", ",'DICTIONARY-6'!$A$76," ",'DICTIONARY-5'!$A$57,"+",'DICTIONARY-5'!$A$56)</f>
        <v>HOD-K506 Mostek nawiert. DN200 Da225 G1½ z zaw. kul., ruroc. PE+PVC</v>
      </c>
      <c r="S1052" s="733" t="str">
        <f>'DICTIONARY-4'!$A$2</f>
        <v>WW</v>
      </c>
      <c r="T1052" s="732" t="str">
        <f>'DICTIONARY-4'!$A$18</f>
        <v>Wolny wałek</v>
      </c>
      <c r="U1052" s="734" t="s">
        <v>5750</v>
      </c>
      <c r="V1052" s="735"/>
      <c r="W1052" s="744" t="s">
        <v>5833</v>
      </c>
      <c r="X1052" s="737" t="s">
        <v>5769</v>
      </c>
      <c r="Y1052" s="738"/>
      <c r="Z1052" s="739"/>
      <c r="AA1052" s="739"/>
      <c r="AB1052" s="740">
        <v>16</v>
      </c>
      <c r="AC1052" s="741"/>
      <c r="AD1052" s="741" t="str">
        <f>'DICTIONARY-5'!$A$13</f>
        <v>woda pitna</v>
      </c>
      <c r="AE1052" s="742">
        <v>50</v>
      </c>
      <c r="AF1052" s="743">
        <v>13.5</v>
      </c>
      <c r="AG1052" s="741" t="str">
        <f>'DICTIONARY-5'!$A$23</f>
        <v>powłoka epoksydowa</v>
      </c>
    </row>
    <row r="1053" spans="1:33" x14ac:dyDescent="0.25">
      <c r="A1053" s="856" t="s">
        <v>999</v>
      </c>
      <c r="B1053" s="856" t="s">
        <v>4021</v>
      </c>
      <c r="C1053" s="836">
        <v>612</v>
      </c>
      <c r="D1053" s="836"/>
      <c r="E1053" s="836"/>
      <c r="F1053" s="836"/>
      <c r="G1053" s="496" t="s">
        <v>7812</v>
      </c>
      <c r="H1053" s="797" t="str">
        <f>VLOOKUP(G1053,SETTINGS!$B$7:$D$97,2,0)</f>
        <v>HOD</v>
      </c>
      <c r="I1053" s="796">
        <f>VLOOKUP(G1053,SETTINGS!$B$7:$D$97,3,0)</f>
        <v>0</v>
      </c>
      <c r="J1053" s="670" t="str">
        <f>IFERROR(IF(CURRENCY.FORMAT_1=0,CONCATENATE(TEXT(FIXED(ROUND((C1053/EXC.RATE_1),CURRENCY.FORMAT_1),CURRENCY.FORMAT_1,1),"# ##0;-# ##0"),",-"),FIXED(ROUND((C1053/EXC.RATE_1),CURRENCY.FORMAT_1),CURRENCY.FORMAT_1,0)),'DICTIONARY-5'!$A$2)</f>
        <v>612,-</v>
      </c>
      <c r="K1053" s="670" t="str">
        <f>IF(EXC.RATE_2=0,"",IFERROR(IF(CURRENCY.FORMAT_2=0,CONCATENATE(TEXT(FIXED(ROUND(IF(EXC.RATE.SWITCH=1,C1053/EXC.RATE_2,C1053*EXC.RATE_2),CURRENCY.FORMAT_2),CURRENCY.FORMAT_2,1),"# ##0;-# ##0"),",-"),FIXED(ROUND(IF(EXC.RATE.SWITCH=1,C1053/EXC.RATE_2,C1053*EXC.RATE_2),CURRENCY.FORMAT_2),CURRENCY.FORMAT_2,0)),'DICTIONARY-5'!$A$2))</f>
        <v/>
      </c>
      <c r="L1053" s="670" t="str">
        <f>IFERROR(IF(CURRENCY.FORMAT_1=0,CONCATENATE(TEXT(FIXED(ROUND((C1053*(1-I1053)*(1-ADD.DISCOUNT)*(1+MAT.SURCHARGE)/EXC.RATE_1),CURRENCY.FORMAT_1),CURRENCY.FORMAT_1,1),"# ##0;-# ##0"),",-"),FIXED(ROUND((C1053*(1-I1053)*(1-ADD.DISCOUNT)*(1+MAT.SURCHARGE)/EXC.RATE_1),CURRENCY.FORMAT_1),CURRENCY.FORMAT_1,0)),'DICTIONARY-5'!$A$2)</f>
        <v>636,-</v>
      </c>
      <c r="M1053" s="670" t="str">
        <f>IF(EXC.RATE_2=0,"",IFERROR(IF(CURRENCY.FORMAT_2=0,CONCATENATE(TEXT(FIXED(ROUND(IF(EXC.RATE.SWITCH=1,C1053*(1-I1053)*(1-ADD.DISCOUNT)*(1+MAT.SURCHARGE)/EXC.RATE_2,C1053*(1-I1053)*(1-ADD.DISCOUNT)*(1+MAT.SURCHARGE)*EXC.RATE_2),CURRENCY.FORMAT_2),CURRENCY.FORMAT_2,1),"# ##0;-# ##0"),",-"),FIXED(ROUND(IF(EXC.RATE.SWITCH=1,C1053*(1-I1053)*(1-ADD.DISCOUNT)*(1+MAT.SURCHARGE)/EXC.RATE_2,C1053*(1-I1053)*(1-ADD.DISCOUNT)*(1+MAT.SURCHARGE)*EXC.RATE_2),CURRENCY.FORMAT_2),CURRENCY.FORMAT_2,0)),'DICTIONARY-5'!$A$2))</f>
        <v/>
      </c>
      <c r="N1053" s="542">
        <v>4</v>
      </c>
      <c r="O1053" s="542"/>
      <c r="P1053" s="731" t="str">
        <f>'DICTIONARY-3'!$A$58</f>
        <v>HOD-K</v>
      </c>
      <c r="Q1053" s="732" t="str">
        <f>'DICTIONARY-3'!$A$196</f>
        <v>Mostek nawiertowy</v>
      </c>
      <c r="R1053" s="732" t="str">
        <f>CONCATENATE('DICTIONARY-3'!$A$55,'DICTIONARY-3'!$A$78," ",'DICTIONARY-6'!$A$21," ",'DICTIONARY-2'!$A$2,"250"," ",'DICTIONARY-2'!$A$5,"280 G1½"," ",'DICTIONARY-6'!$A$62,", ",'DICTIONARY-6'!$A$76," ",'DICTIONARY-5'!$A$57,"+",'DICTIONARY-5'!$A$56)</f>
        <v>HOD-K506 Mostek nawiert. DN250 Da280 G1½ z zaw. kul., ruroc. PE+PVC</v>
      </c>
      <c r="S1053" s="733" t="str">
        <f>'DICTIONARY-4'!$A$2</f>
        <v>WW</v>
      </c>
      <c r="T1053" s="732" t="str">
        <f>'DICTIONARY-4'!$A$18</f>
        <v>Wolny wałek</v>
      </c>
      <c r="U1053" s="734" t="s">
        <v>5751</v>
      </c>
      <c r="V1053" s="735"/>
      <c r="W1053" s="744" t="s">
        <v>7344</v>
      </c>
      <c r="X1053" s="737" t="s">
        <v>5769</v>
      </c>
      <c r="Y1053" s="738"/>
      <c r="Z1053" s="739"/>
      <c r="AA1053" s="739"/>
      <c r="AB1053" s="740">
        <v>16</v>
      </c>
      <c r="AC1053" s="741"/>
      <c r="AD1053" s="741" t="str">
        <f>'DICTIONARY-5'!$A$13</f>
        <v>woda pitna</v>
      </c>
      <c r="AE1053" s="742">
        <v>50</v>
      </c>
      <c r="AF1053" s="743">
        <v>16.7</v>
      </c>
      <c r="AG1053" s="741" t="str">
        <f>'DICTIONARY-5'!$A$23</f>
        <v>powłoka epoksydowa</v>
      </c>
    </row>
    <row r="1054" spans="1:33" x14ac:dyDescent="0.25">
      <c r="A1054" s="856" t="s">
        <v>1001</v>
      </c>
      <c r="B1054" s="856" t="s">
        <v>4022</v>
      </c>
      <c r="C1054" s="836">
        <v>615</v>
      </c>
      <c r="D1054" s="836"/>
      <c r="E1054" s="836"/>
      <c r="F1054" s="836"/>
      <c r="G1054" s="496" t="s">
        <v>7812</v>
      </c>
      <c r="H1054" s="797" t="str">
        <f>VLOOKUP(G1054,SETTINGS!$B$7:$D$97,2,0)</f>
        <v>HOD</v>
      </c>
      <c r="I1054" s="796">
        <f>VLOOKUP(G1054,SETTINGS!$B$7:$D$97,3,0)</f>
        <v>0</v>
      </c>
      <c r="J1054" s="670" t="str">
        <f>IFERROR(IF(CURRENCY.FORMAT_1=0,CONCATENATE(TEXT(FIXED(ROUND((C1054/EXC.RATE_1),CURRENCY.FORMAT_1),CURRENCY.FORMAT_1,1),"# ##0;-# ##0"),",-"),FIXED(ROUND((C1054/EXC.RATE_1),CURRENCY.FORMAT_1),CURRENCY.FORMAT_1,0)),'DICTIONARY-5'!$A$2)</f>
        <v>615,-</v>
      </c>
      <c r="K1054" s="670" t="str">
        <f>IF(EXC.RATE_2=0,"",IFERROR(IF(CURRENCY.FORMAT_2=0,CONCATENATE(TEXT(FIXED(ROUND(IF(EXC.RATE.SWITCH=1,C1054/EXC.RATE_2,C1054*EXC.RATE_2),CURRENCY.FORMAT_2),CURRENCY.FORMAT_2,1),"# ##0;-# ##0"),",-"),FIXED(ROUND(IF(EXC.RATE.SWITCH=1,C1054/EXC.RATE_2,C1054*EXC.RATE_2),CURRENCY.FORMAT_2),CURRENCY.FORMAT_2,0)),'DICTIONARY-5'!$A$2))</f>
        <v/>
      </c>
      <c r="L1054" s="670" t="str">
        <f>IFERROR(IF(CURRENCY.FORMAT_1=0,CONCATENATE(TEXT(FIXED(ROUND((C1054*(1-I1054)*(1-ADD.DISCOUNT)*(1+MAT.SURCHARGE)/EXC.RATE_1),CURRENCY.FORMAT_1),CURRENCY.FORMAT_1,1),"# ##0;-# ##0"),",-"),FIXED(ROUND((C1054*(1-I1054)*(1-ADD.DISCOUNT)*(1+MAT.SURCHARGE)/EXC.RATE_1),CURRENCY.FORMAT_1),CURRENCY.FORMAT_1,0)),'DICTIONARY-5'!$A$2)</f>
        <v>639,-</v>
      </c>
      <c r="M1054" s="670" t="str">
        <f>IF(EXC.RATE_2=0,"",IFERROR(IF(CURRENCY.FORMAT_2=0,CONCATENATE(TEXT(FIXED(ROUND(IF(EXC.RATE.SWITCH=1,C1054*(1-I1054)*(1-ADD.DISCOUNT)*(1+MAT.SURCHARGE)/EXC.RATE_2,C1054*(1-I1054)*(1-ADD.DISCOUNT)*(1+MAT.SURCHARGE)*EXC.RATE_2),CURRENCY.FORMAT_2),CURRENCY.FORMAT_2,1),"# ##0;-# ##0"),",-"),FIXED(ROUND(IF(EXC.RATE.SWITCH=1,C1054*(1-I1054)*(1-ADD.DISCOUNT)*(1+MAT.SURCHARGE)/EXC.RATE_2,C1054*(1-I1054)*(1-ADD.DISCOUNT)*(1+MAT.SURCHARGE)*EXC.RATE_2),CURRENCY.FORMAT_2),CURRENCY.FORMAT_2,0)),'DICTIONARY-5'!$A$2))</f>
        <v/>
      </c>
      <c r="N1054" s="542">
        <v>4</v>
      </c>
      <c r="O1054" s="542"/>
      <c r="P1054" s="731" t="str">
        <f>'DICTIONARY-3'!$A$58</f>
        <v>HOD-K</v>
      </c>
      <c r="Q1054" s="732" t="str">
        <f>'DICTIONARY-3'!$A$196</f>
        <v>Mostek nawiertowy</v>
      </c>
      <c r="R1054" s="732" t="str">
        <f>CONCATENATE('DICTIONARY-3'!$A$55,'DICTIONARY-3'!$A$78," ",'DICTIONARY-6'!$A$21," ",'DICTIONARY-2'!$A$2,"300"," ",'DICTIONARY-2'!$A$5,"315 G1½"," ",'DICTIONARY-6'!$A$62,", ",'DICTIONARY-6'!$A$76," ",'DICTIONARY-5'!$A$57,"+",'DICTIONARY-5'!$A$56)</f>
        <v>HOD-K506 Mostek nawiert. DN300 Da315 G1½ z zaw. kul., ruroc. PE+PVC</v>
      </c>
      <c r="S1054" s="733" t="str">
        <f>'DICTIONARY-4'!$A$2</f>
        <v>WW</v>
      </c>
      <c r="T1054" s="732" t="str">
        <f>'DICTIONARY-4'!$A$18</f>
        <v>Wolny wałek</v>
      </c>
      <c r="U1054" s="734" t="s">
        <v>5752</v>
      </c>
      <c r="V1054" s="735"/>
      <c r="W1054" s="744" t="s">
        <v>7345</v>
      </c>
      <c r="X1054" s="737" t="s">
        <v>5769</v>
      </c>
      <c r="Y1054" s="738"/>
      <c r="Z1054" s="739"/>
      <c r="AA1054" s="739"/>
      <c r="AB1054" s="740">
        <v>16</v>
      </c>
      <c r="AC1054" s="741"/>
      <c r="AD1054" s="741" t="str">
        <f>'DICTIONARY-5'!$A$13</f>
        <v>woda pitna</v>
      </c>
      <c r="AE1054" s="742">
        <v>50</v>
      </c>
      <c r="AF1054" s="743">
        <v>17.5</v>
      </c>
      <c r="AG1054" s="741" t="str">
        <f>'DICTIONARY-5'!$A$23</f>
        <v>powłoka epoksydowa</v>
      </c>
    </row>
    <row r="1055" spans="1:33" x14ac:dyDescent="0.25">
      <c r="A1055" s="856" t="s">
        <v>990</v>
      </c>
      <c r="B1055" s="856" t="s">
        <v>4023</v>
      </c>
      <c r="C1055" s="836">
        <v>148</v>
      </c>
      <c r="D1055" s="836"/>
      <c r="E1055" s="836"/>
      <c r="F1055" s="836"/>
      <c r="G1055" s="496" t="s">
        <v>7812</v>
      </c>
      <c r="H1055" s="797" t="str">
        <f>VLOOKUP(G1055,SETTINGS!$B$7:$D$97,2,0)</f>
        <v>HOD</v>
      </c>
      <c r="I1055" s="796">
        <f>VLOOKUP(G1055,SETTINGS!$B$7:$D$97,3,0)</f>
        <v>0</v>
      </c>
      <c r="J1055" s="670" t="str">
        <f>IFERROR(IF(CURRENCY.FORMAT_1=0,CONCATENATE(TEXT(FIXED(ROUND((C1055/EXC.RATE_1),CURRENCY.FORMAT_1),CURRENCY.FORMAT_1,1),"# ##0;-# ##0"),",-"),FIXED(ROUND((C1055/EXC.RATE_1),CURRENCY.FORMAT_1),CURRENCY.FORMAT_1,0)),'DICTIONARY-5'!$A$2)</f>
        <v>148,-</v>
      </c>
      <c r="K1055" s="670" t="str">
        <f>IF(EXC.RATE_2=0,"",IFERROR(IF(CURRENCY.FORMAT_2=0,CONCATENATE(TEXT(FIXED(ROUND(IF(EXC.RATE.SWITCH=1,C1055/EXC.RATE_2,C1055*EXC.RATE_2),CURRENCY.FORMAT_2),CURRENCY.FORMAT_2,1),"# ##0;-# ##0"),",-"),FIXED(ROUND(IF(EXC.RATE.SWITCH=1,C1055/EXC.RATE_2,C1055*EXC.RATE_2),CURRENCY.FORMAT_2),CURRENCY.FORMAT_2,0)),'DICTIONARY-5'!$A$2))</f>
        <v/>
      </c>
      <c r="L1055" s="670" t="str">
        <f>IFERROR(IF(CURRENCY.FORMAT_1=0,CONCATENATE(TEXT(FIXED(ROUND((C1055*(1-I1055)*(1-ADD.DISCOUNT)*(1+MAT.SURCHARGE)/EXC.RATE_1),CURRENCY.FORMAT_1),CURRENCY.FORMAT_1,1),"# ##0;-# ##0"),",-"),FIXED(ROUND((C1055*(1-I1055)*(1-ADD.DISCOUNT)*(1+MAT.SURCHARGE)/EXC.RATE_1),CURRENCY.FORMAT_1),CURRENCY.FORMAT_1,0)),'DICTIONARY-5'!$A$2)</f>
        <v>154,-</v>
      </c>
      <c r="M1055" s="670" t="str">
        <f>IF(EXC.RATE_2=0,"",IFERROR(IF(CURRENCY.FORMAT_2=0,CONCATENATE(TEXT(FIXED(ROUND(IF(EXC.RATE.SWITCH=1,C1055*(1-I1055)*(1-ADD.DISCOUNT)*(1+MAT.SURCHARGE)/EXC.RATE_2,C1055*(1-I1055)*(1-ADD.DISCOUNT)*(1+MAT.SURCHARGE)*EXC.RATE_2),CURRENCY.FORMAT_2),CURRENCY.FORMAT_2,1),"# ##0;-# ##0"),",-"),FIXED(ROUND(IF(EXC.RATE.SWITCH=1,C1055*(1-I1055)*(1-ADD.DISCOUNT)*(1+MAT.SURCHARGE)/EXC.RATE_2,C1055*(1-I1055)*(1-ADD.DISCOUNT)*(1+MAT.SURCHARGE)*EXC.RATE_2),CURRENCY.FORMAT_2),CURRENCY.FORMAT_2,0)),'DICTIONARY-5'!$A$2))</f>
        <v/>
      </c>
      <c r="N1055" s="542">
        <v>4</v>
      </c>
      <c r="O1055" s="542"/>
      <c r="P1055" s="731" t="str">
        <f>'DICTIONARY-3'!$A$58</f>
        <v>HOD-K</v>
      </c>
      <c r="Q1055" s="732" t="str">
        <f>'DICTIONARY-3'!$A$196</f>
        <v>Mostek nawiertowy</v>
      </c>
      <c r="R1055" s="732" t="str">
        <f>CONCATENATE('DICTIONARY-3'!$A$55,'DICTIONARY-3'!$A$78," ",'DICTIONARY-6'!$A$21," ",'DICTIONARY-2'!$A$2,"80"," ",'DICTIONARY-2'!$A$5,"90 G2"," ",'DICTIONARY-6'!$A$62,", ",'DICTIONARY-6'!$A$76," ",'DICTIONARY-5'!$A$57,"+",'DICTIONARY-5'!$A$56)</f>
        <v>HOD-K506 Mostek nawiert. DN80 Da90 G2 z zaw. kul., ruroc. PE+PVC</v>
      </c>
      <c r="S1055" s="733" t="str">
        <f>'DICTIONARY-4'!$A$2</f>
        <v>WW</v>
      </c>
      <c r="T1055" s="732" t="str">
        <f>'DICTIONARY-4'!$A$18</f>
        <v>Wolny wałek</v>
      </c>
      <c r="U1055" s="734" t="s">
        <v>5760</v>
      </c>
      <c r="V1055" s="735"/>
      <c r="W1055" s="744" t="s">
        <v>7339</v>
      </c>
      <c r="X1055" s="750" t="s">
        <v>50</v>
      </c>
      <c r="Y1055" s="738"/>
      <c r="Z1055" s="739"/>
      <c r="AA1055" s="739"/>
      <c r="AB1055" s="740">
        <v>16</v>
      </c>
      <c r="AC1055" s="741"/>
      <c r="AD1055" s="741" t="str">
        <f>'DICTIONARY-5'!$A$13</f>
        <v>woda pitna</v>
      </c>
      <c r="AE1055" s="742">
        <v>50</v>
      </c>
      <c r="AF1055" s="743">
        <v>8</v>
      </c>
      <c r="AG1055" s="741" t="str">
        <f>'DICTIONARY-5'!$A$23</f>
        <v>powłoka epoksydowa</v>
      </c>
    </row>
    <row r="1056" spans="1:33" x14ac:dyDescent="0.25">
      <c r="A1056" s="856" t="s">
        <v>992</v>
      </c>
      <c r="B1056" s="856" t="s">
        <v>4024</v>
      </c>
      <c r="C1056" s="836">
        <v>153</v>
      </c>
      <c r="D1056" s="836"/>
      <c r="E1056" s="836"/>
      <c r="F1056" s="836"/>
      <c r="G1056" s="496" t="s">
        <v>7812</v>
      </c>
      <c r="H1056" s="797" t="str">
        <f>VLOOKUP(G1056,SETTINGS!$B$7:$D$97,2,0)</f>
        <v>HOD</v>
      </c>
      <c r="I1056" s="796">
        <f>VLOOKUP(G1056,SETTINGS!$B$7:$D$97,3,0)</f>
        <v>0</v>
      </c>
      <c r="J1056" s="670" t="str">
        <f>IFERROR(IF(CURRENCY.FORMAT_1=0,CONCATENATE(TEXT(FIXED(ROUND((C1056/EXC.RATE_1),CURRENCY.FORMAT_1),CURRENCY.FORMAT_1,1),"# ##0;-# ##0"),",-"),FIXED(ROUND((C1056/EXC.RATE_1),CURRENCY.FORMAT_1),CURRENCY.FORMAT_1,0)),'DICTIONARY-5'!$A$2)</f>
        <v>153,-</v>
      </c>
      <c r="K1056" s="670" t="str">
        <f>IF(EXC.RATE_2=0,"",IFERROR(IF(CURRENCY.FORMAT_2=0,CONCATENATE(TEXT(FIXED(ROUND(IF(EXC.RATE.SWITCH=1,C1056/EXC.RATE_2,C1056*EXC.RATE_2),CURRENCY.FORMAT_2),CURRENCY.FORMAT_2,1),"# ##0;-# ##0"),",-"),FIXED(ROUND(IF(EXC.RATE.SWITCH=1,C1056/EXC.RATE_2,C1056*EXC.RATE_2),CURRENCY.FORMAT_2),CURRENCY.FORMAT_2,0)),'DICTIONARY-5'!$A$2))</f>
        <v/>
      </c>
      <c r="L1056" s="670" t="str">
        <f>IFERROR(IF(CURRENCY.FORMAT_1=0,CONCATENATE(TEXT(FIXED(ROUND((C1056*(1-I1056)*(1-ADD.DISCOUNT)*(1+MAT.SURCHARGE)/EXC.RATE_1),CURRENCY.FORMAT_1),CURRENCY.FORMAT_1,1),"# ##0;-# ##0"),",-"),FIXED(ROUND((C1056*(1-I1056)*(1-ADD.DISCOUNT)*(1+MAT.SURCHARGE)/EXC.RATE_1),CURRENCY.FORMAT_1),CURRENCY.FORMAT_1,0)),'DICTIONARY-5'!$A$2)</f>
        <v>159,-</v>
      </c>
      <c r="M1056" s="670" t="str">
        <f>IF(EXC.RATE_2=0,"",IFERROR(IF(CURRENCY.FORMAT_2=0,CONCATENATE(TEXT(FIXED(ROUND(IF(EXC.RATE.SWITCH=1,C1056*(1-I1056)*(1-ADD.DISCOUNT)*(1+MAT.SURCHARGE)/EXC.RATE_2,C1056*(1-I1056)*(1-ADD.DISCOUNT)*(1+MAT.SURCHARGE)*EXC.RATE_2),CURRENCY.FORMAT_2),CURRENCY.FORMAT_2,1),"# ##0;-# ##0"),",-"),FIXED(ROUND(IF(EXC.RATE.SWITCH=1,C1056*(1-I1056)*(1-ADD.DISCOUNT)*(1+MAT.SURCHARGE)/EXC.RATE_2,C1056*(1-I1056)*(1-ADD.DISCOUNT)*(1+MAT.SURCHARGE)*EXC.RATE_2),CURRENCY.FORMAT_2),CURRENCY.FORMAT_2,0)),'DICTIONARY-5'!$A$2))</f>
        <v/>
      </c>
      <c r="N1056" s="542">
        <v>4</v>
      </c>
      <c r="O1056" s="542"/>
      <c r="P1056" s="731" t="str">
        <f>'DICTIONARY-3'!$A$58</f>
        <v>HOD-K</v>
      </c>
      <c r="Q1056" s="732" t="str">
        <f>'DICTIONARY-3'!$A$196</f>
        <v>Mostek nawiertowy</v>
      </c>
      <c r="R1056" s="732" t="str">
        <f>CONCATENATE('DICTIONARY-3'!$A$55,'DICTIONARY-3'!$A$78," ",'DICTIONARY-6'!$A$21," ",'DICTIONARY-2'!$A$2,"100"," ",'DICTIONARY-2'!$A$5,"110 G2"," ",'DICTIONARY-6'!$A$62,", ",'DICTIONARY-6'!$A$76," ",'DICTIONARY-5'!$A$57,"+",'DICTIONARY-5'!$A$56)</f>
        <v>HOD-K506 Mostek nawiert. DN100 Da110 G2 z zaw. kul., ruroc. PE+PVC</v>
      </c>
      <c r="S1056" s="733" t="str">
        <f>'DICTIONARY-4'!$A$2</f>
        <v>WW</v>
      </c>
      <c r="T1056" s="732" t="str">
        <f>'DICTIONARY-4'!$A$18</f>
        <v>Wolny wałek</v>
      </c>
      <c r="U1056" s="734" t="s">
        <v>5749</v>
      </c>
      <c r="V1056" s="735"/>
      <c r="W1056" s="744" t="s">
        <v>7340</v>
      </c>
      <c r="X1056" s="750" t="s">
        <v>50</v>
      </c>
      <c r="Y1056" s="738"/>
      <c r="Z1056" s="739"/>
      <c r="AA1056" s="739"/>
      <c r="AB1056" s="740">
        <v>16</v>
      </c>
      <c r="AC1056" s="741"/>
      <c r="AD1056" s="741" t="str">
        <f>'DICTIONARY-5'!$A$13</f>
        <v>woda pitna</v>
      </c>
      <c r="AE1056" s="742">
        <v>50</v>
      </c>
      <c r="AF1056" s="743">
        <v>8.1999999999999993</v>
      </c>
      <c r="AG1056" s="741" t="str">
        <f>'DICTIONARY-5'!$A$23</f>
        <v>powłoka epoksydowa</v>
      </c>
    </row>
    <row r="1057" spans="1:33" x14ac:dyDescent="0.25">
      <c r="A1057" s="856" t="s">
        <v>994</v>
      </c>
      <c r="B1057" s="856" t="s">
        <v>4025</v>
      </c>
      <c r="C1057" s="836">
        <v>209</v>
      </c>
      <c r="D1057" s="836"/>
      <c r="E1057" s="836"/>
      <c r="F1057" s="836"/>
      <c r="G1057" s="496" t="s">
        <v>7812</v>
      </c>
      <c r="H1057" s="797" t="str">
        <f>VLOOKUP(G1057,SETTINGS!$B$7:$D$97,2,0)</f>
        <v>HOD</v>
      </c>
      <c r="I1057" s="796">
        <f>VLOOKUP(G1057,SETTINGS!$B$7:$D$97,3,0)</f>
        <v>0</v>
      </c>
      <c r="J1057" s="670" t="str">
        <f>IFERROR(IF(CURRENCY.FORMAT_1=0,CONCATENATE(TEXT(FIXED(ROUND((C1057/EXC.RATE_1),CURRENCY.FORMAT_1),CURRENCY.FORMAT_1,1),"# ##0;-# ##0"),",-"),FIXED(ROUND((C1057/EXC.RATE_1),CURRENCY.FORMAT_1),CURRENCY.FORMAT_1,0)),'DICTIONARY-5'!$A$2)</f>
        <v>209,-</v>
      </c>
      <c r="K1057" s="670" t="str">
        <f>IF(EXC.RATE_2=0,"",IFERROR(IF(CURRENCY.FORMAT_2=0,CONCATENATE(TEXT(FIXED(ROUND(IF(EXC.RATE.SWITCH=1,C1057/EXC.RATE_2,C1057*EXC.RATE_2),CURRENCY.FORMAT_2),CURRENCY.FORMAT_2,1),"# ##0;-# ##0"),",-"),FIXED(ROUND(IF(EXC.RATE.SWITCH=1,C1057/EXC.RATE_2,C1057*EXC.RATE_2),CURRENCY.FORMAT_2),CURRENCY.FORMAT_2,0)),'DICTIONARY-5'!$A$2))</f>
        <v/>
      </c>
      <c r="L1057" s="670" t="str">
        <f>IFERROR(IF(CURRENCY.FORMAT_1=0,CONCATENATE(TEXT(FIXED(ROUND((C1057*(1-I1057)*(1-ADD.DISCOUNT)*(1+MAT.SURCHARGE)/EXC.RATE_1),CURRENCY.FORMAT_1),CURRENCY.FORMAT_1,1),"# ##0;-# ##0"),",-"),FIXED(ROUND((C1057*(1-I1057)*(1-ADD.DISCOUNT)*(1+MAT.SURCHARGE)/EXC.RATE_1),CURRENCY.FORMAT_1),CURRENCY.FORMAT_1,0)),'DICTIONARY-5'!$A$2)</f>
        <v>217,-</v>
      </c>
      <c r="M1057" s="670" t="str">
        <f>IF(EXC.RATE_2=0,"",IFERROR(IF(CURRENCY.FORMAT_2=0,CONCATENATE(TEXT(FIXED(ROUND(IF(EXC.RATE.SWITCH=1,C1057*(1-I1057)*(1-ADD.DISCOUNT)*(1+MAT.SURCHARGE)/EXC.RATE_2,C1057*(1-I1057)*(1-ADD.DISCOUNT)*(1+MAT.SURCHARGE)*EXC.RATE_2),CURRENCY.FORMAT_2),CURRENCY.FORMAT_2,1),"# ##0;-# ##0"),",-"),FIXED(ROUND(IF(EXC.RATE.SWITCH=1,C1057*(1-I1057)*(1-ADD.DISCOUNT)*(1+MAT.SURCHARGE)/EXC.RATE_2,C1057*(1-I1057)*(1-ADD.DISCOUNT)*(1+MAT.SURCHARGE)*EXC.RATE_2),CURRENCY.FORMAT_2),CURRENCY.FORMAT_2,0)),'DICTIONARY-5'!$A$2))</f>
        <v/>
      </c>
      <c r="N1057" s="542">
        <v>4</v>
      </c>
      <c r="O1057" s="542"/>
      <c r="P1057" s="731" t="str">
        <f>'DICTIONARY-3'!$A$58</f>
        <v>HOD-K</v>
      </c>
      <c r="Q1057" s="732" t="str">
        <f>'DICTIONARY-3'!$A$196</f>
        <v>Mostek nawiertowy</v>
      </c>
      <c r="R1057" s="732" t="str">
        <f>CONCATENATE('DICTIONARY-3'!$A$55,'DICTIONARY-3'!$A$78," ",'DICTIONARY-6'!$A$21," ",'DICTIONARY-2'!$A$2,"125"," ",'DICTIONARY-2'!$A$5,"140 G2"," ",'DICTIONARY-6'!$A$62,", ",'DICTIONARY-6'!$A$76," ",'DICTIONARY-5'!$A$57,"+",'DICTIONARY-5'!$A$56)</f>
        <v>HOD-K506 Mostek nawiert. DN125 Da140 G2 z zaw. kul., ruroc. PE+PVC</v>
      </c>
      <c r="S1057" s="733" t="str">
        <f>'DICTIONARY-4'!$A$2</f>
        <v>WW</v>
      </c>
      <c r="T1057" s="732" t="str">
        <f>'DICTIONARY-4'!$A$18</f>
        <v>Wolny wałek</v>
      </c>
      <c r="U1057" s="734" t="s">
        <v>5761</v>
      </c>
      <c r="V1057" s="735"/>
      <c r="W1057" s="744" t="s">
        <v>7341</v>
      </c>
      <c r="X1057" s="750" t="s">
        <v>50</v>
      </c>
      <c r="Y1057" s="738"/>
      <c r="Z1057" s="739"/>
      <c r="AA1057" s="739"/>
      <c r="AB1057" s="740">
        <v>16</v>
      </c>
      <c r="AC1057" s="741"/>
      <c r="AD1057" s="741" t="str">
        <f>'DICTIONARY-5'!$A$13</f>
        <v>woda pitna</v>
      </c>
      <c r="AE1057" s="742">
        <v>50</v>
      </c>
      <c r="AF1057" s="743">
        <v>11.1</v>
      </c>
      <c r="AG1057" s="741" t="str">
        <f>'DICTIONARY-5'!$A$23</f>
        <v>powłoka epoksydowa</v>
      </c>
    </row>
    <row r="1058" spans="1:33" x14ac:dyDescent="0.25">
      <c r="A1058" s="856" t="s">
        <v>996</v>
      </c>
      <c r="B1058" s="856" t="s">
        <v>4026</v>
      </c>
      <c r="C1058" s="836">
        <v>175</v>
      </c>
      <c r="D1058" s="836"/>
      <c r="E1058" s="836"/>
      <c r="F1058" s="836"/>
      <c r="G1058" s="496" t="s">
        <v>7812</v>
      </c>
      <c r="H1058" s="797" t="str">
        <f>VLOOKUP(G1058,SETTINGS!$B$7:$D$97,2,0)</f>
        <v>HOD</v>
      </c>
      <c r="I1058" s="796">
        <f>VLOOKUP(G1058,SETTINGS!$B$7:$D$97,3,0)</f>
        <v>0</v>
      </c>
      <c r="J1058" s="670" t="str">
        <f>IFERROR(IF(CURRENCY.FORMAT_1=0,CONCATENATE(TEXT(FIXED(ROUND((C1058/EXC.RATE_1),CURRENCY.FORMAT_1),CURRENCY.FORMAT_1,1),"# ##0;-# ##0"),",-"),FIXED(ROUND((C1058/EXC.RATE_1),CURRENCY.FORMAT_1),CURRENCY.FORMAT_1,0)),'DICTIONARY-5'!$A$2)</f>
        <v>175,-</v>
      </c>
      <c r="K1058" s="670" t="str">
        <f>IF(EXC.RATE_2=0,"",IFERROR(IF(CURRENCY.FORMAT_2=0,CONCATENATE(TEXT(FIXED(ROUND(IF(EXC.RATE.SWITCH=1,C1058/EXC.RATE_2,C1058*EXC.RATE_2),CURRENCY.FORMAT_2),CURRENCY.FORMAT_2,1),"# ##0;-# ##0"),",-"),FIXED(ROUND(IF(EXC.RATE.SWITCH=1,C1058/EXC.RATE_2,C1058*EXC.RATE_2),CURRENCY.FORMAT_2),CURRENCY.FORMAT_2,0)),'DICTIONARY-5'!$A$2))</f>
        <v/>
      </c>
      <c r="L1058" s="670" t="str">
        <f>IFERROR(IF(CURRENCY.FORMAT_1=0,CONCATENATE(TEXT(FIXED(ROUND((C1058*(1-I1058)*(1-ADD.DISCOUNT)*(1+MAT.SURCHARGE)/EXC.RATE_1),CURRENCY.FORMAT_1),CURRENCY.FORMAT_1,1),"# ##0;-# ##0"),",-"),FIXED(ROUND((C1058*(1-I1058)*(1-ADD.DISCOUNT)*(1+MAT.SURCHARGE)/EXC.RATE_1),CURRENCY.FORMAT_1),CURRENCY.FORMAT_1,0)),'DICTIONARY-5'!$A$2)</f>
        <v>182,-</v>
      </c>
      <c r="M1058" s="670" t="str">
        <f>IF(EXC.RATE_2=0,"",IFERROR(IF(CURRENCY.FORMAT_2=0,CONCATENATE(TEXT(FIXED(ROUND(IF(EXC.RATE.SWITCH=1,C1058*(1-I1058)*(1-ADD.DISCOUNT)*(1+MAT.SURCHARGE)/EXC.RATE_2,C1058*(1-I1058)*(1-ADD.DISCOUNT)*(1+MAT.SURCHARGE)*EXC.RATE_2),CURRENCY.FORMAT_2),CURRENCY.FORMAT_2,1),"# ##0;-# ##0"),",-"),FIXED(ROUND(IF(EXC.RATE.SWITCH=1,C1058*(1-I1058)*(1-ADD.DISCOUNT)*(1+MAT.SURCHARGE)/EXC.RATE_2,C1058*(1-I1058)*(1-ADD.DISCOUNT)*(1+MAT.SURCHARGE)*EXC.RATE_2),CURRENCY.FORMAT_2),CURRENCY.FORMAT_2,0)),'DICTIONARY-5'!$A$2))</f>
        <v/>
      </c>
      <c r="N1058" s="542">
        <v>4</v>
      </c>
      <c r="O1058" s="542"/>
      <c r="P1058" s="731" t="str">
        <f>'DICTIONARY-3'!$A$58</f>
        <v>HOD-K</v>
      </c>
      <c r="Q1058" s="732" t="str">
        <f>'DICTIONARY-3'!$A$196</f>
        <v>Mostek nawiertowy</v>
      </c>
      <c r="R1058" s="732" t="str">
        <f>CONCATENATE('DICTIONARY-3'!$A$55,'DICTIONARY-3'!$A$78," ",'DICTIONARY-6'!$A$21," ",'DICTIONARY-2'!$A$2,"150"," ",'DICTIONARY-2'!$A$5,"160 G2"," ",'DICTIONARY-6'!$A$62,", ",'DICTIONARY-6'!$A$76," ",'DICTIONARY-5'!$A$57,"+",'DICTIONARY-5'!$A$56)</f>
        <v>HOD-K506 Mostek nawiert. DN150 Da160 G2 z zaw. kul., ruroc. PE+PVC</v>
      </c>
      <c r="S1058" s="733" t="str">
        <f>'DICTIONARY-4'!$A$2</f>
        <v>WW</v>
      </c>
      <c r="T1058" s="732" t="str">
        <f>'DICTIONARY-4'!$A$18</f>
        <v>Wolny wałek</v>
      </c>
      <c r="U1058" s="734" t="s">
        <v>5572</v>
      </c>
      <c r="V1058" s="735"/>
      <c r="W1058" s="744" t="s">
        <v>7342</v>
      </c>
      <c r="X1058" s="750" t="s">
        <v>50</v>
      </c>
      <c r="Y1058" s="738"/>
      <c r="Z1058" s="739"/>
      <c r="AA1058" s="739"/>
      <c r="AB1058" s="740">
        <v>16</v>
      </c>
      <c r="AC1058" s="741"/>
      <c r="AD1058" s="741" t="str">
        <f>'DICTIONARY-5'!$A$13</f>
        <v>woda pitna</v>
      </c>
      <c r="AE1058" s="742">
        <v>50</v>
      </c>
      <c r="AF1058" s="743">
        <v>9.5</v>
      </c>
      <c r="AG1058" s="741" t="str">
        <f>'DICTIONARY-5'!$A$23</f>
        <v>powłoka epoksydowa</v>
      </c>
    </row>
    <row r="1059" spans="1:33" x14ac:dyDescent="0.25">
      <c r="A1059" s="856" t="s">
        <v>998</v>
      </c>
      <c r="B1059" s="856" t="s">
        <v>4027</v>
      </c>
      <c r="C1059" s="836">
        <v>247</v>
      </c>
      <c r="D1059" s="836"/>
      <c r="E1059" s="836"/>
      <c r="F1059" s="836"/>
      <c r="G1059" s="496" t="s">
        <v>7812</v>
      </c>
      <c r="H1059" s="797" t="str">
        <f>VLOOKUP(G1059,SETTINGS!$B$7:$D$97,2,0)</f>
        <v>HOD</v>
      </c>
      <c r="I1059" s="796">
        <f>VLOOKUP(G1059,SETTINGS!$B$7:$D$97,3,0)</f>
        <v>0</v>
      </c>
      <c r="J1059" s="670" t="str">
        <f>IFERROR(IF(CURRENCY.FORMAT_1=0,CONCATENATE(TEXT(FIXED(ROUND((C1059/EXC.RATE_1),CURRENCY.FORMAT_1),CURRENCY.FORMAT_1,1),"# ##0;-# ##0"),",-"),FIXED(ROUND((C1059/EXC.RATE_1),CURRENCY.FORMAT_1),CURRENCY.FORMAT_1,0)),'DICTIONARY-5'!$A$2)</f>
        <v>247,-</v>
      </c>
      <c r="K1059" s="670" t="str">
        <f>IF(EXC.RATE_2=0,"",IFERROR(IF(CURRENCY.FORMAT_2=0,CONCATENATE(TEXT(FIXED(ROUND(IF(EXC.RATE.SWITCH=1,C1059/EXC.RATE_2,C1059*EXC.RATE_2),CURRENCY.FORMAT_2),CURRENCY.FORMAT_2,1),"# ##0;-# ##0"),",-"),FIXED(ROUND(IF(EXC.RATE.SWITCH=1,C1059/EXC.RATE_2,C1059*EXC.RATE_2),CURRENCY.FORMAT_2),CURRENCY.FORMAT_2,0)),'DICTIONARY-5'!$A$2))</f>
        <v/>
      </c>
      <c r="L1059" s="670" t="str">
        <f>IFERROR(IF(CURRENCY.FORMAT_1=0,CONCATENATE(TEXT(FIXED(ROUND((C1059*(1-I1059)*(1-ADD.DISCOUNT)*(1+MAT.SURCHARGE)/EXC.RATE_1),CURRENCY.FORMAT_1),CURRENCY.FORMAT_1,1),"# ##0;-# ##0"),",-"),FIXED(ROUND((C1059*(1-I1059)*(1-ADD.DISCOUNT)*(1+MAT.SURCHARGE)/EXC.RATE_1),CURRENCY.FORMAT_1),CURRENCY.FORMAT_1,0)),'DICTIONARY-5'!$A$2)</f>
        <v>257,-</v>
      </c>
      <c r="M1059" s="670" t="str">
        <f>IF(EXC.RATE_2=0,"",IFERROR(IF(CURRENCY.FORMAT_2=0,CONCATENATE(TEXT(FIXED(ROUND(IF(EXC.RATE.SWITCH=1,C1059*(1-I1059)*(1-ADD.DISCOUNT)*(1+MAT.SURCHARGE)/EXC.RATE_2,C1059*(1-I1059)*(1-ADD.DISCOUNT)*(1+MAT.SURCHARGE)*EXC.RATE_2),CURRENCY.FORMAT_2),CURRENCY.FORMAT_2,1),"# ##0;-# ##0"),",-"),FIXED(ROUND(IF(EXC.RATE.SWITCH=1,C1059*(1-I1059)*(1-ADD.DISCOUNT)*(1+MAT.SURCHARGE)/EXC.RATE_2,C1059*(1-I1059)*(1-ADD.DISCOUNT)*(1+MAT.SURCHARGE)*EXC.RATE_2),CURRENCY.FORMAT_2),CURRENCY.FORMAT_2,0)),'DICTIONARY-5'!$A$2))</f>
        <v/>
      </c>
      <c r="N1059" s="542">
        <v>4</v>
      </c>
      <c r="O1059" s="542"/>
      <c r="P1059" s="731" t="str">
        <f>'DICTIONARY-3'!$A$58</f>
        <v>HOD-K</v>
      </c>
      <c r="Q1059" s="732" t="str">
        <f>'DICTIONARY-3'!$A$196</f>
        <v>Mostek nawiertowy</v>
      </c>
      <c r="R1059" s="732" t="str">
        <f>CONCATENATE('DICTIONARY-3'!$A$55,'DICTIONARY-3'!$A$78," ",'DICTIONARY-6'!$A$21," ",'DICTIONARY-2'!$A$2,"200"," ",'DICTIONARY-2'!$A$5,"225 G2"," ",'DICTIONARY-6'!$A$62,", ",'DICTIONARY-6'!$A$76," ",'DICTIONARY-5'!$A$57,"+",'DICTIONARY-5'!$A$56)</f>
        <v>HOD-K506 Mostek nawiert. DN200 Da225 G2 z zaw. kul., ruroc. PE+PVC</v>
      </c>
      <c r="S1059" s="733" t="str">
        <f>'DICTIONARY-4'!$A$2</f>
        <v>WW</v>
      </c>
      <c r="T1059" s="732" t="str">
        <f>'DICTIONARY-4'!$A$18</f>
        <v>Wolny wałek</v>
      </c>
      <c r="U1059" s="734" t="s">
        <v>5750</v>
      </c>
      <c r="V1059" s="735"/>
      <c r="W1059" s="744" t="s">
        <v>5833</v>
      </c>
      <c r="X1059" s="750" t="s">
        <v>50</v>
      </c>
      <c r="Y1059" s="738"/>
      <c r="Z1059" s="739"/>
      <c r="AA1059" s="739"/>
      <c r="AB1059" s="740">
        <v>16</v>
      </c>
      <c r="AC1059" s="741"/>
      <c r="AD1059" s="741" t="str">
        <f>'DICTIONARY-5'!$A$13</f>
        <v>woda pitna</v>
      </c>
      <c r="AE1059" s="742">
        <v>50</v>
      </c>
      <c r="AF1059" s="743">
        <v>13.5</v>
      </c>
      <c r="AG1059" s="741" t="str">
        <f>'DICTIONARY-5'!$A$23</f>
        <v>powłoka epoksydowa</v>
      </c>
    </row>
    <row r="1060" spans="1:33" x14ac:dyDescent="0.25">
      <c r="A1060" s="856" t="s">
        <v>1000</v>
      </c>
      <c r="B1060" s="856" t="s">
        <v>4028</v>
      </c>
      <c r="C1060" s="836">
        <v>611</v>
      </c>
      <c r="D1060" s="836"/>
      <c r="E1060" s="836"/>
      <c r="F1060" s="836"/>
      <c r="G1060" s="496" t="s">
        <v>7812</v>
      </c>
      <c r="H1060" s="797" t="str">
        <f>VLOOKUP(G1060,SETTINGS!$B$7:$D$97,2,0)</f>
        <v>HOD</v>
      </c>
      <c r="I1060" s="796">
        <f>VLOOKUP(G1060,SETTINGS!$B$7:$D$97,3,0)</f>
        <v>0</v>
      </c>
      <c r="J1060" s="670" t="str">
        <f>IFERROR(IF(CURRENCY.FORMAT_1=0,CONCATENATE(TEXT(FIXED(ROUND((C1060/EXC.RATE_1),CURRENCY.FORMAT_1),CURRENCY.FORMAT_1,1),"# ##0;-# ##0"),",-"),FIXED(ROUND((C1060/EXC.RATE_1),CURRENCY.FORMAT_1),CURRENCY.FORMAT_1,0)),'DICTIONARY-5'!$A$2)</f>
        <v>611,-</v>
      </c>
      <c r="K1060" s="670" t="str">
        <f>IF(EXC.RATE_2=0,"",IFERROR(IF(CURRENCY.FORMAT_2=0,CONCATENATE(TEXT(FIXED(ROUND(IF(EXC.RATE.SWITCH=1,C1060/EXC.RATE_2,C1060*EXC.RATE_2),CURRENCY.FORMAT_2),CURRENCY.FORMAT_2,1),"# ##0;-# ##0"),",-"),FIXED(ROUND(IF(EXC.RATE.SWITCH=1,C1060/EXC.RATE_2,C1060*EXC.RATE_2),CURRENCY.FORMAT_2),CURRENCY.FORMAT_2,0)),'DICTIONARY-5'!$A$2))</f>
        <v/>
      </c>
      <c r="L1060" s="670" t="str">
        <f>IFERROR(IF(CURRENCY.FORMAT_1=0,CONCATENATE(TEXT(FIXED(ROUND((C1060*(1-I1060)*(1-ADD.DISCOUNT)*(1+MAT.SURCHARGE)/EXC.RATE_1),CURRENCY.FORMAT_1),CURRENCY.FORMAT_1,1),"# ##0;-# ##0"),",-"),FIXED(ROUND((C1060*(1-I1060)*(1-ADD.DISCOUNT)*(1+MAT.SURCHARGE)/EXC.RATE_1),CURRENCY.FORMAT_1),CURRENCY.FORMAT_1,0)),'DICTIONARY-5'!$A$2)</f>
        <v>635,-</v>
      </c>
      <c r="M1060" s="670" t="str">
        <f>IF(EXC.RATE_2=0,"",IFERROR(IF(CURRENCY.FORMAT_2=0,CONCATENATE(TEXT(FIXED(ROUND(IF(EXC.RATE.SWITCH=1,C1060*(1-I1060)*(1-ADD.DISCOUNT)*(1+MAT.SURCHARGE)/EXC.RATE_2,C1060*(1-I1060)*(1-ADD.DISCOUNT)*(1+MAT.SURCHARGE)*EXC.RATE_2),CURRENCY.FORMAT_2),CURRENCY.FORMAT_2,1),"# ##0;-# ##0"),",-"),FIXED(ROUND(IF(EXC.RATE.SWITCH=1,C1060*(1-I1060)*(1-ADD.DISCOUNT)*(1+MAT.SURCHARGE)/EXC.RATE_2,C1060*(1-I1060)*(1-ADD.DISCOUNT)*(1+MAT.SURCHARGE)*EXC.RATE_2),CURRENCY.FORMAT_2),CURRENCY.FORMAT_2,0)),'DICTIONARY-5'!$A$2))</f>
        <v/>
      </c>
      <c r="N1060" s="542">
        <v>4</v>
      </c>
      <c r="O1060" s="542"/>
      <c r="P1060" s="731" t="str">
        <f>'DICTIONARY-3'!$A$58</f>
        <v>HOD-K</v>
      </c>
      <c r="Q1060" s="732" t="str">
        <f>'DICTIONARY-3'!$A$196</f>
        <v>Mostek nawiertowy</v>
      </c>
      <c r="R1060" s="732" t="str">
        <f>CONCATENATE('DICTIONARY-3'!$A$55,'DICTIONARY-3'!$A$78," ",'DICTIONARY-6'!$A$21," ",'DICTIONARY-2'!$A$2,"250"," ",'DICTIONARY-2'!$A$5,"280 G2"," ",'DICTIONARY-6'!$A$62,", ",'DICTIONARY-6'!$A$76," ",'DICTIONARY-5'!$A$57,"+",'DICTIONARY-5'!$A$56)</f>
        <v>HOD-K506 Mostek nawiert. DN250 Da280 G2 z zaw. kul., ruroc. PE+PVC</v>
      </c>
      <c r="S1060" s="733" t="str">
        <f>'DICTIONARY-4'!$A$2</f>
        <v>WW</v>
      </c>
      <c r="T1060" s="732" t="str">
        <f>'DICTIONARY-4'!$A$18</f>
        <v>Wolny wałek</v>
      </c>
      <c r="U1060" s="734" t="s">
        <v>5751</v>
      </c>
      <c r="V1060" s="735"/>
      <c r="W1060" s="744" t="s">
        <v>7344</v>
      </c>
      <c r="X1060" s="750" t="s">
        <v>50</v>
      </c>
      <c r="Y1060" s="738"/>
      <c r="Z1060" s="739"/>
      <c r="AA1060" s="739"/>
      <c r="AB1060" s="740">
        <v>16</v>
      </c>
      <c r="AC1060" s="741"/>
      <c r="AD1060" s="741" t="str">
        <f>'DICTIONARY-5'!$A$13</f>
        <v>woda pitna</v>
      </c>
      <c r="AE1060" s="742">
        <v>50</v>
      </c>
      <c r="AF1060" s="743">
        <v>16</v>
      </c>
      <c r="AG1060" s="741" t="str">
        <f>'DICTIONARY-5'!$A$23</f>
        <v>powłoka epoksydowa</v>
      </c>
    </row>
    <row r="1061" spans="1:33" x14ac:dyDescent="0.25">
      <c r="A1061" s="856" t="s">
        <v>1002</v>
      </c>
      <c r="B1061" s="856" t="s">
        <v>4029</v>
      </c>
      <c r="C1061" s="836">
        <v>615</v>
      </c>
      <c r="D1061" s="836"/>
      <c r="E1061" s="836"/>
      <c r="F1061" s="836"/>
      <c r="G1061" s="496" t="s">
        <v>7812</v>
      </c>
      <c r="H1061" s="797" t="str">
        <f>VLOOKUP(G1061,SETTINGS!$B$7:$D$97,2,0)</f>
        <v>HOD</v>
      </c>
      <c r="I1061" s="796">
        <f>VLOOKUP(G1061,SETTINGS!$B$7:$D$97,3,0)</f>
        <v>0</v>
      </c>
      <c r="J1061" s="670" t="str">
        <f>IFERROR(IF(CURRENCY.FORMAT_1=0,CONCATENATE(TEXT(FIXED(ROUND((C1061/EXC.RATE_1),CURRENCY.FORMAT_1),CURRENCY.FORMAT_1,1),"# ##0;-# ##0"),",-"),FIXED(ROUND((C1061/EXC.RATE_1),CURRENCY.FORMAT_1),CURRENCY.FORMAT_1,0)),'DICTIONARY-5'!$A$2)</f>
        <v>615,-</v>
      </c>
      <c r="K1061" s="670" t="str">
        <f>IF(EXC.RATE_2=0,"",IFERROR(IF(CURRENCY.FORMAT_2=0,CONCATENATE(TEXT(FIXED(ROUND(IF(EXC.RATE.SWITCH=1,C1061/EXC.RATE_2,C1061*EXC.RATE_2),CURRENCY.FORMAT_2),CURRENCY.FORMAT_2,1),"# ##0;-# ##0"),",-"),FIXED(ROUND(IF(EXC.RATE.SWITCH=1,C1061/EXC.RATE_2,C1061*EXC.RATE_2),CURRENCY.FORMAT_2),CURRENCY.FORMAT_2,0)),'DICTIONARY-5'!$A$2))</f>
        <v/>
      </c>
      <c r="L1061" s="670" t="str">
        <f>IFERROR(IF(CURRENCY.FORMAT_1=0,CONCATENATE(TEXT(FIXED(ROUND((C1061*(1-I1061)*(1-ADD.DISCOUNT)*(1+MAT.SURCHARGE)/EXC.RATE_1),CURRENCY.FORMAT_1),CURRENCY.FORMAT_1,1),"# ##0;-# ##0"),",-"),FIXED(ROUND((C1061*(1-I1061)*(1-ADD.DISCOUNT)*(1+MAT.SURCHARGE)/EXC.RATE_1),CURRENCY.FORMAT_1),CURRENCY.FORMAT_1,0)),'DICTIONARY-5'!$A$2)</f>
        <v>639,-</v>
      </c>
      <c r="M1061" s="670" t="str">
        <f>IF(EXC.RATE_2=0,"",IFERROR(IF(CURRENCY.FORMAT_2=0,CONCATENATE(TEXT(FIXED(ROUND(IF(EXC.RATE.SWITCH=1,C1061*(1-I1061)*(1-ADD.DISCOUNT)*(1+MAT.SURCHARGE)/EXC.RATE_2,C1061*(1-I1061)*(1-ADD.DISCOUNT)*(1+MAT.SURCHARGE)*EXC.RATE_2),CURRENCY.FORMAT_2),CURRENCY.FORMAT_2,1),"# ##0;-# ##0"),",-"),FIXED(ROUND(IF(EXC.RATE.SWITCH=1,C1061*(1-I1061)*(1-ADD.DISCOUNT)*(1+MAT.SURCHARGE)/EXC.RATE_2,C1061*(1-I1061)*(1-ADD.DISCOUNT)*(1+MAT.SURCHARGE)*EXC.RATE_2),CURRENCY.FORMAT_2),CURRENCY.FORMAT_2,0)),'DICTIONARY-5'!$A$2))</f>
        <v/>
      </c>
      <c r="N1061" s="542">
        <v>4</v>
      </c>
      <c r="O1061" s="542"/>
      <c r="P1061" s="731" t="str">
        <f>'DICTIONARY-3'!$A$58</f>
        <v>HOD-K</v>
      </c>
      <c r="Q1061" s="732" t="str">
        <f>'DICTIONARY-3'!$A$196</f>
        <v>Mostek nawiertowy</v>
      </c>
      <c r="R1061" s="732" t="str">
        <f>CONCATENATE('DICTIONARY-3'!$A$55,'DICTIONARY-3'!$A$78," ",'DICTIONARY-6'!$A$21," ",'DICTIONARY-2'!$A$2,"300"," ",'DICTIONARY-2'!$A$5,"315 G2"," ",'DICTIONARY-6'!$A$62,", ",'DICTIONARY-6'!$A$76," ",'DICTIONARY-5'!$A$57,"+",'DICTIONARY-5'!$A$56)</f>
        <v>HOD-K506 Mostek nawiert. DN300 Da315 G2 z zaw. kul., ruroc. PE+PVC</v>
      </c>
      <c r="S1061" s="733" t="str">
        <f>'DICTIONARY-4'!$A$2</f>
        <v>WW</v>
      </c>
      <c r="T1061" s="732" t="str">
        <f>'DICTIONARY-4'!$A$18</f>
        <v>Wolny wałek</v>
      </c>
      <c r="U1061" s="734" t="s">
        <v>5752</v>
      </c>
      <c r="V1061" s="735"/>
      <c r="W1061" s="744" t="s">
        <v>7345</v>
      </c>
      <c r="X1061" s="750" t="s">
        <v>50</v>
      </c>
      <c r="Y1061" s="738"/>
      <c r="Z1061" s="739"/>
      <c r="AA1061" s="739"/>
      <c r="AB1061" s="740">
        <v>16</v>
      </c>
      <c r="AC1061" s="741"/>
      <c r="AD1061" s="741" t="str">
        <f>'DICTIONARY-5'!$A$13</f>
        <v>woda pitna</v>
      </c>
      <c r="AE1061" s="742">
        <v>50</v>
      </c>
      <c r="AF1061" s="743">
        <v>17</v>
      </c>
      <c r="AG1061" s="741" t="str">
        <f>'DICTIONARY-5'!$A$23</f>
        <v>powłoka epoksydowa</v>
      </c>
    </row>
    <row r="1062" spans="1:33" x14ac:dyDescent="0.25">
      <c r="A1062" s="856" t="s">
        <v>1003</v>
      </c>
      <c r="B1062" s="856" t="s">
        <v>4030</v>
      </c>
      <c r="C1062" s="836">
        <v>137</v>
      </c>
      <c r="D1062" s="836"/>
      <c r="E1062" s="836"/>
      <c r="F1062" s="836"/>
      <c r="G1062" s="496" t="s">
        <v>7812</v>
      </c>
      <c r="H1062" s="797" t="str">
        <f>VLOOKUP(G1062,SETTINGS!$B$7:$D$97,2,0)</f>
        <v>HOD</v>
      </c>
      <c r="I1062" s="796">
        <f>VLOOKUP(G1062,SETTINGS!$B$7:$D$97,3,0)</f>
        <v>0</v>
      </c>
      <c r="J1062" s="670" t="str">
        <f>IFERROR(IF(CURRENCY.FORMAT_1=0,CONCATENATE(TEXT(FIXED(ROUND((C1062/EXC.RATE_1),CURRENCY.FORMAT_1),CURRENCY.FORMAT_1,1),"# ##0;-# ##0"),",-"),FIXED(ROUND((C1062/EXC.RATE_1),CURRENCY.FORMAT_1),CURRENCY.FORMAT_1,0)),'DICTIONARY-5'!$A$2)</f>
        <v>137,-</v>
      </c>
      <c r="K1062" s="670" t="str">
        <f>IF(EXC.RATE_2=0,"",IFERROR(IF(CURRENCY.FORMAT_2=0,CONCATENATE(TEXT(FIXED(ROUND(IF(EXC.RATE.SWITCH=1,C1062/EXC.RATE_2,C1062*EXC.RATE_2),CURRENCY.FORMAT_2),CURRENCY.FORMAT_2,1),"# ##0;-# ##0"),",-"),FIXED(ROUND(IF(EXC.RATE.SWITCH=1,C1062/EXC.RATE_2,C1062*EXC.RATE_2),CURRENCY.FORMAT_2),CURRENCY.FORMAT_2,0)),'DICTIONARY-5'!$A$2))</f>
        <v/>
      </c>
      <c r="L1062" s="670" t="str">
        <f>IFERROR(IF(CURRENCY.FORMAT_1=0,CONCATENATE(TEXT(FIXED(ROUND((C1062*(1-I1062)*(1-ADD.DISCOUNT)*(1+MAT.SURCHARGE)/EXC.RATE_1),CURRENCY.FORMAT_1),CURRENCY.FORMAT_1,1),"# ##0;-# ##0"),",-"),FIXED(ROUND((C1062*(1-I1062)*(1-ADD.DISCOUNT)*(1+MAT.SURCHARGE)/EXC.RATE_1),CURRENCY.FORMAT_1),CURRENCY.FORMAT_1,0)),'DICTIONARY-5'!$A$2)</f>
        <v>142,-</v>
      </c>
      <c r="M1062" s="670" t="str">
        <f>IF(EXC.RATE_2=0,"",IFERROR(IF(CURRENCY.FORMAT_2=0,CONCATENATE(TEXT(FIXED(ROUND(IF(EXC.RATE.SWITCH=1,C1062*(1-I1062)*(1-ADD.DISCOUNT)*(1+MAT.SURCHARGE)/EXC.RATE_2,C1062*(1-I1062)*(1-ADD.DISCOUNT)*(1+MAT.SURCHARGE)*EXC.RATE_2),CURRENCY.FORMAT_2),CURRENCY.FORMAT_2,1),"# ##0;-# ##0"),",-"),FIXED(ROUND(IF(EXC.RATE.SWITCH=1,C1062*(1-I1062)*(1-ADD.DISCOUNT)*(1+MAT.SURCHARGE)/EXC.RATE_2,C1062*(1-I1062)*(1-ADD.DISCOUNT)*(1+MAT.SURCHARGE)*EXC.RATE_2),CURRENCY.FORMAT_2),CURRENCY.FORMAT_2,0)),'DICTIONARY-5'!$A$2))</f>
        <v/>
      </c>
      <c r="N1062" s="542">
        <v>4</v>
      </c>
      <c r="O1062" s="542"/>
      <c r="P1062" s="731" t="str">
        <f>'DICTIONARY-3'!$A$58</f>
        <v>HOD-K</v>
      </c>
      <c r="Q1062" s="732" t="str">
        <f>'DICTIONARY-3'!$A$196</f>
        <v>Mostek nawiertowy</v>
      </c>
      <c r="R1062" s="732" t="str">
        <f>CONCATENATE('DICTIONARY-3'!$A$55,'DICTIONARY-3'!$A$80," ",'DICTIONARY-6'!$A$21," ",'DICTIONARY-2'!$A$2,"50"," ",'DICTIONARY-2'!$A$5,"63 G1"," ",'DICTIONARY-6'!$A$60,", ",'DICTIONARY-6'!$A$76," ",'DICTIONARY-5'!$A$57,"+",'DICTIONARY-5'!$A$56)</f>
        <v>HOD-K510 Mostek nawiert. DN50 Da63 G1 z zasuwa mosiężna, ruroc. PE+PVC</v>
      </c>
      <c r="S1062" s="733" t="str">
        <f>'DICTIONARY-4'!$A$2</f>
        <v>WW</v>
      </c>
      <c r="T1062" s="732" t="str">
        <f>'DICTIONARY-4'!$A$18</f>
        <v>Wolny wałek</v>
      </c>
      <c r="U1062" s="734" t="s">
        <v>5748</v>
      </c>
      <c r="V1062" s="735"/>
      <c r="W1062" s="744" t="s">
        <v>7338</v>
      </c>
      <c r="X1062" s="750" t="s">
        <v>49</v>
      </c>
      <c r="Y1062" s="738"/>
      <c r="Z1062" s="739"/>
      <c r="AA1062" s="739"/>
      <c r="AB1062" s="740">
        <v>16</v>
      </c>
      <c r="AC1062" s="741"/>
      <c r="AD1062" s="741" t="str">
        <f>'DICTIONARY-5'!$A$13</f>
        <v>woda pitna</v>
      </c>
      <c r="AE1062" s="742">
        <v>50</v>
      </c>
      <c r="AF1062" s="743">
        <v>3.5</v>
      </c>
      <c r="AG1062" s="741" t="str">
        <f>'DICTIONARY-5'!$A$23</f>
        <v>powłoka epoksydowa</v>
      </c>
    </row>
    <row r="1063" spans="1:33" x14ac:dyDescent="0.25">
      <c r="A1063" s="856" t="s">
        <v>1005</v>
      </c>
      <c r="B1063" s="856" t="s">
        <v>4031</v>
      </c>
      <c r="C1063" s="836">
        <v>156</v>
      </c>
      <c r="D1063" s="836"/>
      <c r="E1063" s="836"/>
      <c r="F1063" s="836"/>
      <c r="G1063" s="496" t="s">
        <v>7812</v>
      </c>
      <c r="H1063" s="797" t="str">
        <f>VLOOKUP(G1063,SETTINGS!$B$7:$D$97,2,0)</f>
        <v>HOD</v>
      </c>
      <c r="I1063" s="796">
        <f>VLOOKUP(G1063,SETTINGS!$B$7:$D$97,3,0)</f>
        <v>0</v>
      </c>
      <c r="J1063" s="670" t="str">
        <f>IFERROR(IF(CURRENCY.FORMAT_1=0,CONCATENATE(TEXT(FIXED(ROUND((C1063/EXC.RATE_1),CURRENCY.FORMAT_1),CURRENCY.FORMAT_1,1),"# ##0;-# ##0"),",-"),FIXED(ROUND((C1063/EXC.RATE_1),CURRENCY.FORMAT_1),CURRENCY.FORMAT_1,0)),'DICTIONARY-5'!$A$2)</f>
        <v>156,-</v>
      </c>
      <c r="K1063" s="670" t="str">
        <f>IF(EXC.RATE_2=0,"",IFERROR(IF(CURRENCY.FORMAT_2=0,CONCATENATE(TEXT(FIXED(ROUND(IF(EXC.RATE.SWITCH=1,C1063/EXC.RATE_2,C1063*EXC.RATE_2),CURRENCY.FORMAT_2),CURRENCY.FORMAT_2,1),"# ##0;-# ##0"),",-"),FIXED(ROUND(IF(EXC.RATE.SWITCH=1,C1063/EXC.RATE_2,C1063*EXC.RATE_2),CURRENCY.FORMAT_2),CURRENCY.FORMAT_2,0)),'DICTIONARY-5'!$A$2))</f>
        <v/>
      </c>
      <c r="L1063" s="670" t="str">
        <f>IFERROR(IF(CURRENCY.FORMAT_1=0,CONCATENATE(TEXT(FIXED(ROUND((C1063*(1-I1063)*(1-ADD.DISCOUNT)*(1+MAT.SURCHARGE)/EXC.RATE_1),CURRENCY.FORMAT_1),CURRENCY.FORMAT_1,1),"# ##0;-# ##0"),",-"),FIXED(ROUND((C1063*(1-I1063)*(1-ADD.DISCOUNT)*(1+MAT.SURCHARGE)/EXC.RATE_1),CURRENCY.FORMAT_1),CURRENCY.FORMAT_1,0)),'DICTIONARY-5'!$A$2)</f>
        <v>162,-</v>
      </c>
      <c r="M1063" s="670" t="str">
        <f>IF(EXC.RATE_2=0,"",IFERROR(IF(CURRENCY.FORMAT_2=0,CONCATENATE(TEXT(FIXED(ROUND(IF(EXC.RATE.SWITCH=1,C1063*(1-I1063)*(1-ADD.DISCOUNT)*(1+MAT.SURCHARGE)/EXC.RATE_2,C1063*(1-I1063)*(1-ADD.DISCOUNT)*(1+MAT.SURCHARGE)*EXC.RATE_2),CURRENCY.FORMAT_2),CURRENCY.FORMAT_2,1),"# ##0;-# ##0"),",-"),FIXED(ROUND(IF(EXC.RATE.SWITCH=1,C1063*(1-I1063)*(1-ADD.DISCOUNT)*(1+MAT.SURCHARGE)/EXC.RATE_2,C1063*(1-I1063)*(1-ADD.DISCOUNT)*(1+MAT.SURCHARGE)*EXC.RATE_2),CURRENCY.FORMAT_2),CURRENCY.FORMAT_2,0)),'DICTIONARY-5'!$A$2))</f>
        <v/>
      </c>
      <c r="N1063" s="542">
        <v>4</v>
      </c>
      <c r="O1063" s="542"/>
      <c r="P1063" s="731" t="str">
        <f>'DICTIONARY-3'!$A$58</f>
        <v>HOD-K</v>
      </c>
      <c r="Q1063" s="732" t="str">
        <f>'DICTIONARY-3'!$A$196</f>
        <v>Mostek nawiertowy</v>
      </c>
      <c r="R1063" s="732" t="str">
        <f>CONCATENATE('DICTIONARY-3'!$A$55,'DICTIONARY-3'!$A$80," ",'DICTIONARY-6'!$A$21," ",'DICTIONARY-2'!$A$2,"65"," ",'DICTIONARY-2'!$A$5,"75 G1"," ",'DICTIONARY-6'!$A$60,", ",'DICTIONARY-6'!$A$76," ",'DICTIONARY-5'!$A$57,"+",'DICTIONARY-5'!$A$56)</f>
        <v>HOD-K510 Mostek nawiert. DN65 Da75 G1 z zasuwa mosiężna, ruroc. PE+PVC</v>
      </c>
      <c r="S1063" s="733" t="str">
        <f>'DICTIONARY-4'!$A$2</f>
        <v>WW</v>
      </c>
      <c r="T1063" s="732" t="str">
        <f>'DICTIONARY-4'!$A$18</f>
        <v>Wolny wałek</v>
      </c>
      <c r="U1063" s="734" t="s">
        <v>5759</v>
      </c>
      <c r="V1063" s="735"/>
      <c r="W1063" s="744" t="s">
        <v>7359</v>
      </c>
      <c r="X1063" s="750" t="s">
        <v>49</v>
      </c>
      <c r="Y1063" s="738"/>
      <c r="Z1063" s="739"/>
      <c r="AA1063" s="739"/>
      <c r="AB1063" s="740">
        <v>16</v>
      </c>
      <c r="AC1063" s="741"/>
      <c r="AD1063" s="741" t="str">
        <f>'DICTIONARY-5'!$A$13</f>
        <v>woda pitna</v>
      </c>
      <c r="AE1063" s="742">
        <v>50</v>
      </c>
      <c r="AF1063" s="743">
        <v>4</v>
      </c>
      <c r="AG1063" s="741" t="str">
        <f>'DICTIONARY-5'!$A$23</f>
        <v>powłoka epoksydowa</v>
      </c>
    </row>
    <row r="1064" spans="1:33" x14ac:dyDescent="0.25">
      <c r="A1064" s="856" t="s">
        <v>1007</v>
      </c>
      <c r="B1064" s="856" t="s">
        <v>4032</v>
      </c>
      <c r="C1064" s="836">
        <v>147</v>
      </c>
      <c r="D1064" s="836"/>
      <c r="E1064" s="836"/>
      <c r="F1064" s="836"/>
      <c r="G1064" s="496" t="s">
        <v>7812</v>
      </c>
      <c r="H1064" s="797" t="str">
        <f>VLOOKUP(G1064,SETTINGS!$B$7:$D$97,2,0)</f>
        <v>HOD</v>
      </c>
      <c r="I1064" s="796">
        <f>VLOOKUP(G1064,SETTINGS!$B$7:$D$97,3,0)</f>
        <v>0</v>
      </c>
      <c r="J1064" s="670" t="str">
        <f>IFERROR(IF(CURRENCY.FORMAT_1=0,CONCATENATE(TEXT(FIXED(ROUND((C1064/EXC.RATE_1),CURRENCY.FORMAT_1),CURRENCY.FORMAT_1,1),"# ##0;-# ##0"),",-"),FIXED(ROUND((C1064/EXC.RATE_1),CURRENCY.FORMAT_1),CURRENCY.FORMAT_1,0)),'DICTIONARY-5'!$A$2)</f>
        <v>147,-</v>
      </c>
      <c r="K1064" s="670" t="str">
        <f>IF(EXC.RATE_2=0,"",IFERROR(IF(CURRENCY.FORMAT_2=0,CONCATENATE(TEXT(FIXED(ROUND(IF(EXC.RATE.SWITCH=1,C1064/EXC.RATE_2,C1064*EXC.RATE_2),CURRENCY.FORMAT_2),CURRENCY.FORMAT_2,1),"# ##0;-# ##0"),",-"),FIXED(ROUND(IF(EXC.RATE.SWITCH=1,C1064/EXC.RATE_2,C1064*EXC.RATE_2),CURRENCY.FORMAT_2),CURRENCY.FORMAT_2,0)),'DICTIONARY-5'!$A$2))</f>
        <v/>
      </c>
      <c r="L1064" s="670" t="str">
        <f>IFERROR(IF(CURRENCY.FORMAT_1=0,CONCATENATE(TEXT(FIXED(ROUND((C1064*(1-I1064)*(1-ADD.DISCOUNT)*(1+MAT.SURCHARGE)/EXC.RATE_1),CURRENCY.FORMAT_1),CURRENCY.FORMAT_1,1),"# ##0;-# ##0"),",-"),FIXED(ROUND((C1064*(1-I1064)*(1-ADD.DISCOUNT)*(1+MAT.SURCHARGE)/EXC.RATE_1),CURRENCY.FORMAT_1),CURRENCY.FORMAT_1,0)),'DICTIONARY-5'!$A$2)</f>
        <v>153,-</v>
      </c>
      <c r="M1064" s="670" t="str">
        <f>IF(EXC.RATE_2=0,"",IFERROR(IF(CURRENCY.FORMAT_2=0,CONCATENATE(TEXT(FIXED(ROUND(IF(EXC.RATE.SWITCH=1,C1064*(1-I1064)*(1-ADD.DISCOUNT)*(1+MAT.SURCHARGE)/EXC.RATE_2,C1064*(1-I1064)*(1-ADD.DISCOUNT)*(1+MAT.SURCHARGE)*EXC.RATE_2),CURRENCY.FORMAT_2),CURRENCY.FORMAT_2,1),"# ##0;-# ##0"),",-"),FIXED(ROUND(IF(EXC.RATE.SWITCH=1,C1064*(1-I1064)*(1-ADD.DISCOUNT)*(1+MAT.SURCHARGE)/EXC.RATE_2,C1064*(1-I1064)*(1-ADD.DISCOUNT)*(1+MAT.SURCHARGE)*EXC.RATE_2),CURRENCY.FORMAT_2),CURRENCY.FORMAT_2,0)),'DICTIONARY-5'!$A$2))</f>
        <v/>
      </c>
      <c r="N1064" s="542">
        <v>4</v>
      </c>
      <c r="O1064" s="542"/>
      <c r="P1064" s="731" t="str">
        <f>'DICTIONARY-3'!$A$58</f>
        <v>HOD-K</v>
      </c>
      <c r="Q1064" s="732" t="str">
        <f>'DICTIONARY-3'!$A$196</f>
        <v>Mostek nawiertowy</v>
      </c>
      <c r="R1064" s="732" t="str">
        <f>CONCATENATE('DICTIONARY-3'!$A$55,'DICTIONARY-3'!$A$80," ",'DICTIONARY-6'!$A$21," ",'DICTIONARY-2'!$A$2,"80"," ",'DICTIONARY-2'!$A$5,"90 G1"," ",'DICTIONARY-6'!$A$60,", ",'DICTIONARY-6'!$A$76," ",'DICTIONARY-5'!$A$57,"+",'DICTIONARY-5'!$A$56)</f>
        <v>HOD-K510 Mostek nawiert. DN80 Da90 G1 z zasuwa mosiężna, ruroc. PE+PVC</v>
      </c>
      <c r="S1064" s="733" t="str">
        <f>'DICTIONARY-4'!$A$2</f>
        <v>WW</v>
      </c>
      <c r="T1064" s="732" t="str">
        <f>'DICTIONARY-4'!$A$18</f>
        <v>Wolny wałek</v>
      </c>
      <c r="U1064" s="734" t="s">
        <v>5760</v>
      </c>
      <c r="V1064" s="735"/>
      <c r="W1064" s="744" t="s">
        <v>7339</v>
      </c>
      <c r="X1064" s="750" t="s">
        <v>49</v>
      </c>
      <c r="Y1064" s="738"/>
      <c r="Z1064" s="739"/>
      <c r="AA1064" s="739"/>
      <c r="AB1064" s="740">
        <v>16</v>
      </c>
      <c r="AC1064" s="741"/>
      <c r="AD1064" s="741" t="str">
        <f>'DICTIONARY-5'!$A$13</f>
        <v>woda pitna</v>
      </c>
      <c r="AE1064" s="742">
        <v>50</v>
      </c>
      <c r="AF1064" s="743">
        <v>7</v>
      </c>
      <c r="AG1064" s="741" t="str">
        <f>'DICTIONARY-5'!$A$23</f>
        <v>powłoka epoksydowa</v>
      </c>
    </row>
    <row r="1065" spans="1:33" x14ac:dyDescent="0.25">
      <c r="A1065" s="856" t="s">
        <v>1009</v>
      </c>
      <c r="B1065" s="856" t="s">
        <v>4033</v>
      </c>
      <c r="C1065" s="836">
        <v>150</v>
      </c>
      <c r="D1065" s="836"/>
      <c r="E1065" s="836"/>
      <c r="F1065" s="836"/>
      <c r="G1065" s="496" t="s">
        <v>7812</v>
      </c>
      <c r="H1065" s="797" t="str">
        <f>VLOOKUP(G1065,SETTINGS!$B$7:$D$97,2,0)</f>
        <v>HOD</v>
      </c>
      <c r="I1065" s="796">
        <f>VLOOKUP(G1065,SETTINGS!$B$7:$D$97,3,0)</f>
        <v>0</v>
      </c>
      <c r="J1065" s="670" t="str">
        <f>IFERROR(IF(CURRENCY.FORMAT_1=0,CONCATENATE(TEXT(FIXED(ROUND((C1065/EXC.RATE_1),CURRENCY.FORMAT_1),CURRENCY.FORMAT_1,1),"# ##0;-# ##0"),",-"),FIXED(ROUND((C1065/EXC.RATE_1),CURRENCY.FORMAT_1),CURRENCY.FORMAT_1,0)),'DICTIONARY-5'!$A$2)</f>
        <v>150,-</v>
      </c>
      <c r="K1065" s="670" t="str">
        <f>IF(EXC.RATE_2=0,"",IFERROR(IF(CURRENCY.FORMAT_2=0,CONCATENATE(TEXT(FIXED(ROUND(IF(EXC.RATE.SWITCH=1,C1065/EXC.RATE_2,C1065*EXC.RATE_2),CURRENCY.FORMAT_2),CURRENCY.FORMAT_2,1),"# ##0;-# ##0"),",-"),FIXED(ROUND(IF(EXC.RATE.SWITCH=1,C1065/EXC.RATE_2,C1065*EXC.RATE_2),CURRENCY.FORMAT_2),CURRENCY.FORMAT_2,0)),'DICTIONARY-5'!$A$2))</f>
        <v/>
      </c>
      <c r="L1065" s="670" t="str">
        <f>IFERROR(IF(CURRENCY.FORMAT_1=0,CONCATENATE(TEXT(FIXED(ROUND((C1065*(1-I1065)*(1-ADD.DISCOUNT)*(1+MAT.SURCHARGE)/EXC.RATE_1),CURRENCY.FORMAT_1),CURRENCY.FORMAT_1,1),"# ##0;-# ##0"),",-"),FIXED(ROUND((C1065*(1-I1065)*(1-ADD.DISCOUNT)*(1+MAT.SURCHARGE)/EXC.RATE_1),CURRENCY.FORMAT_1),CURRENCY.FORMAT_1,0)),'DICTIONARY-5'!$A$2)</f>
        <v>156,-</v>
      </c>
      <c r="M1065" s="670" t="str">
        <f>IF(EXC.RATE_2=0,"",IFERROR(IF(CURRENCY.FORMAT_2=0,CONCATENATE(TEXT(FIXED(ROUND(IF(EXC.RATE.SWITCH=1,C1065*(1-I1065)*(1-ADD.DISCOUNT)*(1+MAT.SURCHARGE)/EXC.RATE_2,C1065*(1-I1065)*(1-ADD.DISCOUNT)*(1+MAT.SURCHARGE)*EXC.RATE_2),CURRENCY.FORMAT_2),CURRENCY.FORMAT_2,1),"# ##0;-# ##0"),",-"),FIXED(ROUND(IF(EXC.RATE.SWITCH=1,C1065*(1-I1065)*(1-ADD.DISCOUNT)*(1+MAT.SURCHARGE)/EXC.RATE_2,C1065*(1-I1065)*(1-ADD.DISCOUNT)*(1+MAT.SURCHARGE)*EXC.RATE_2),CURRENCY.FORMAT_2),CURRENCY.FORMAT_2,0)),'DICTIONARY-5'!$A$2))</f>
        <v/>
      </c>
      <c r="N1065" s="542">
        <v>4</v>
      </c>
      <c r="O1065" s="542"/>
      <c r="P1065" s="731" t="str">
        <f>'DICTIONARY-3'!$A$58</f>
        <v>HOD-K</v>
      </c>
      <c r="Q1065" s="732" t="str">
        <f>'DICTIONARY-3'!$A$196</f>
        <v>Mostek nawiertowy</v>
      </c>
      <c r="R1065" s="732" t="str">
        <f>CONCATENATE('DICTIONARY-3'!$A$55,'DICTIONARY-3'!$A$80," ",'DICTIONARY-6'!$A$21," ",'DICTIONARY-2'!$A$2,"100"," ",'DICTIONARY-2'!$A$5,"110 G1"," ",'DICTIONARY-6'!$A$60,", ",'DICTIONARY-6'!$A$76," ",'DICTIONARY-5'!$A$57,"+",'DICTIONARY-5'!$A$56)</f>
        <v>HOD-K510 Mostek nawiert. DN100 Da110 G1 z zasuwa mosiężna, ruroc. PE+PVC</v>
      </c>
      <c r="S1065" s="733" t="str">
        <f>'DICTIONARY-4'!$A$2</f>
        <v>WW</v>
      </c>
      <c r="T1065" s="732" t="str">
        <f>'DICTIONARY-4'!$A$18</f>
        <v>Wolny wałek</v>
      </c>
      <c r="U1065" s="734" t="s">
        <v>5749</v>
      </c>
      <c r="V1065" s="735"/>
      <c r="W1065" s="744" t="s">
        <v>7340</v>
      </c>
      <c r="X1065" s="750" t="s">
        <v>49</v>
      </c>
      <c r="Y1065" s="738"/>
      <c r="Z1065" s="739"/>
      <c r="AA1065" s="739"/>
      <c r="AB1065" s="740">
        <v>16</v>
      </c>
      <c r="AC1065" s="741"/>
      <c r="AD1065" s="741" t="str">
        <f>'DICTIONARY-5'!$A$13</f>
        <v>woda pitna</v>
      </c>
      <c r="AE1065" s="742">
        <v>50</v>
      </c>
      <c r="AF1065" s="743">
        <v>8</v>
      </c>
      <c r="AG1065" s="741" t="str">
        <f>'DICTIONARY-5'!$A$23</f>
        <v>powłoka epoksydowa</v>
      </c>
    </row>
    <row r="1066" spans="1:33" x14ac:dyDescent="0.25">
      <c r="A1066" s="856" t="s">
        <v>1011</v>
      </c>
      <c r="B1066" s="856" t="s">
        <v>4034</v>
      </c>
      <c r="C1066" s="836">
        <v>177</v>
      </c>
      <c r="D1066" s="836"/>
      <c r="E1066" s="836"/>
      <c r="F1066" s="836"/>
      <c r="G1066" s="496" t="s">
        <v>7812</v>
      </c>
      <c r="H1066" s="797" t="str">
        <f>VLOOKUP(G1066,SETTINGS!$B$7:$D$97,2,0)</f>
        <v>HOD</v>
      </c>
      <c r="I1066" s="796">
        <f>VLOOKUP(G1066,SETTINGS!$B$7:$D$97,3,0)</f>
        <v>0</v>
      </c>
      <c r="J1066" s="670" t="str">
        <f>IFERROR(IF(CURRENCY.FORMAT_1=0,CONCATENATE(TEXT(FIXED(ROUND((C1066/EXC.RATE_1),CURRENCY.FORMAT_1),CURRENCY.FORMAT_1,1),"# ##0;-# ##0"),",-"),FIXED(ROUND((C1066/EXC.RATE_1),CURRENCY.FORMAT_1),CURRENCY.FORMAT_1,0)),'DICTIONARY-5'!$A$2)</f>
        <v>177,-</v>
      </c>
      <c r="K1066" s="670" t="str">
        <f>IF(EXC.RATE_2=0,"",IFERROR(IF(CURRENCY.FORMAT_2=0,CONCATENATE(TEXT(FIXED(ROUND(IF(EXC.RATE.SWITCH=1,C1066/EXC.RATE_2,C1066*EXC.RATE_2),CURRENCY.FORMAT_2),CURRENCY.FORMAT_2,1),"# ##0;-# ##0"),",-"),FIXED(ROUND(IF(EXC.RATE.SWITCH=1,C1066/EXC.RATE_2,C1066*EXC.RATE_2),CURRENCY.FORMAT_2),CURRENCY.FORMAT_2,0)),'DICTIONARY-5'!$A$2))</f>
        <v/>
      </c>
      <c r="L1066" s="670" t="str">
        <f>IFERROR(IF(CURRENCY.FORMAT_1=0,CONCATENATE(TEXT(FIXED(ROUND((C1066*(1-I1066)*(1-ADD.DISCOUNT)*(1+MAT.SURCHARGE)/EXC.RATE_1),CURRENCY.FORMAT_1),CURRENCY.FORMAT_1,1),"# ##0;-# ##0"),",-"),FIXED(ROUND((C1066*(1-I1066)*(1-ADD.DISCOUNT)*(1+MAT.SURCHARGE)/EXC.RATE_1),CURRENCY.FORMAT_1),CURRENCY.FORMAT_1,0)),'DICTIONARY-5'!$A$2)</f>
        <v>184,-</v>
      </c>
      <c r="M1066" s="670" t="str">
        <f>IF(EXC.RATE_2=0,"",IFERROR(IF(CURRENCY.FORMAT_2=0,CONCATENATE(TEXT(FIXED(ROUND(IF(EXC.RATE.SWITCH=1,C1066*(1-I1066)*(1-ADD.DISCOUNT)*(1+MAT.SURCHARGE)/EXC.RATE_2,C1066*(1-I1066)*(1-ADD.DISCOUNT)*(1+MAT.SURCHARGE)*EXC.RATE_2),CURRENCY.FORMAT_2),CURRENCY.FORMAT_2,1),"# ##0;-# ##0"),",-"),FIXED(ROUND(IF(EXC.RATE.SWITCH=1,C1066*(1-I1066)*(1-ADD.DISCOUNT)*(1+MAT.SURCHARGE)/EXC.RATE_2,C1066*(1-I1066)*(1-ADD.DISCOUNT)*(1+MAT.SURCHARGE)*EXC.RATE_2),CURRENCY.FORMAT_2),CURRENCY.FORMAT_2,0)),'DICTIONARY-5'!$A$2))</f>
        <v/>
      </c>
      <c r="N1066" s="542">
        <v>4</v>
      </c>
      <c r="O1066" s="542"/>
      <c r="P1066" s="731" t="str">
        <f>'DICTIONARY-3'!$A$58</f>
        <v>HOD-K</v>
      </c>
      <c r="Q1066" s="732" t="str">
        <f>'DICTIONARY-3'!$A$196</f>
        <v>Mostek nawiertowy</v>
      </c>
      <c r="R1066" s="732" t="str">
        <f>CONCATENATE('DICTIONARY-3'!$A$55,'DICTIONARY-3'!$A$80," ",'DICTIONARY-6'!$A$21," ",'DICTIONARY-2'!$A$2,"150"," ",'DICTIONARY-2'!$A$5,"160 G1"," ",'DICTIONARY-6'!$A$60,", ",'DICTIONARY-6'!$A$76," ",'DICTIONARY-5'!$A$57,"+",'DICTIONARY-5'!$A$56)</f>
        <v>HOD-K510 Mostek nawiert. DN150 Da160 G1 z zasuwa mosiężna, ruroc. PE+PVC</v>
      </c>
      <c r="S1066" s="733" t="str">
        <f>'DICTIONARY-4'!$A$2</f>
        <v>WW</v>
      </c>
      <c r="T1066" s="732" t="str">
        <f>'DICTIONARY-4'!$A$18</f>
        <v>Wolny wałek</v>
      </c>
      <c r="U1066" s="734" t="s">
        <v>5572</v>
      </c>
      <c r="V1066" s="735"/>
      <c r="W1066" s="744" t="s">
        <v>7342</v>
      </c>
      <c r="X1066" s="750" t="s">
        <v>49</v>
      </c>
      <c r="Y1066" s="738"/>
      <c r="Z1066" s="739"/>
      <c r="AA1066" s="739"/>
      <c r="AB1066" s="740">
        <v>16</v>
      </c>
      <c r="AC1066" s="741"/>
      <c r="AD1066" s="741" t="str">
        <f>'DICTIONARY-5'!$A$13</f>
        <v>woda pitna</v>
      </c>
      <c r="AE1066" s="742">
        <v>50</v>
      </c>
      <c r="AF1066" s="743">
        <v>9.5</v>
      </c>
      <c r="AG1066" s="741" t="str">
        <f>'DICTIONARY-5'!$A$23</f>
        <v>powłoka epoksydowa</v>
      </c>
    </row>
    <row r="1067" spans="1:33" x14ac:dyDescent="0.25">
      <c r="A1067" s="856" t="s">
        <v>1013</v>
      </c>
      <c r="B1067" s="856" t="s">
        <v>4035</v>
      </c>
      <c r="C1067" s="836">
        <v>231</v>
      </c>
      <c r="D1067" s="836"/>
      <c r="E1067" s="836"/>
      <c r="F1067" s="836"/>
      <c r="G1067" s="496" t="s">
        <v>7812</v>
      </c>
      <c r="H1067" s="797" t="str">
        <f>VLOOKUP(G1067,SETTINGS!$B$7:$D$97,2,0)</f>
        <v>HOD</v>
      </c>
      <c r="I1067" s="796">
        <f>VLOOKUP(G1067,SETTINGS!$B$7:$D$97,3,0)</f>
        <v>0</v>
      </c>
      <c r="J1067" s="670" t="str">
        <f>IFERROR(IF(CURRENCY.FORMAT_1=0,CONCATENATE(TEXT(FIXED(ROUND((C1067/EXC.RATE_1),CURRENCY.FORMAT_1),CURRENCY.FORMAT_1,1),"# ##0;-# ##0"),",-"),FIXED(ROUND((C1067/EXC.RATE_1),CURRENCY.FORMAT_1),CURRENCY.FORMAT_1,0)),'DICTIONARY-5'!$A$2)</f>
        <v>231,-</v>
      </c>
      <c r="K1067" s="670" t="str">
        <f>IF(EXC.RATE_2=0,"",IFERROR(IF(CURRENCY.FORMAT_2=0,CONCATENATE(TEXT(FIXED(ROUND(IF(EXC.RATE.SWITCH=1,C1067/EXC.RATE_2,C1067*EXC.RATE_2),CURRENCY.FORMAT_2),CURRENCY.FORMAT_2,1),"# ##0;-# ##0"),",-"),FIXED(ROUND(IF(EXC.RATE.SWITCH=1,C1067/EXC.RATE_2,C1067*EXC.RATE_2),CURRENCY.FORMAT_2),CURRENCY.FORMAT_2,0)),'DICTIONARY-5'!$A$2))</f>
        <v/>
      </c>
      <c r="L1067" s="670" t="str">
        <f>IFERROR(IF(CURRENCY.FORMAT_1=0,CONCATENATE(TEXT(FIXED(ROUND((C1067*(1-I1067)*(1-ADD.DISCOUNT)*(1+MAT.SURCHARGE)/EXC.RATE_1),CURRENCY.FORMAT_1),CURRENCY.FORMAT_1,1),"# ##0;-# ##0"),",-"),FIXED(ROUND((C1067*(1-I1067)*(1-ADD.DISCOUNT)*(1+MAT.SURCHARGE)/EXC.RATE_1),CURRENCY.FORMAT_1),CURRENCY.FORMAT_1,0)),'DICTIONARY-5'!$A$2)</f>
        <v>240,-</v>
      </c>
      <c r="M1067" s="670" t="str">
        <f>IF(EXC.RATE_2=0,"",IFERROR(IF(CURRENCY.FORMAT_2=0,CONCATENATE(TEXT(FIXED(ROUND(IF(EXC.RATE.SWITCH=1,C1067*(1-I1067)*(1-ADD.DISCOUNT)*(1+MAT.SURCHARGE)/EXC.RATE_2,C1067*(1-I1067)*(1-ADD.DISCOUNT)*(1+MAT.SURCHARGE)*EXC.RATE_2),CURRENCY.FORMAT_2),CURRENCY.FORMAT_2,1),"# ##0;-# ##0"),",-"),FIXED(ROUND(IF(EXC.RATE.SWITCH=1,C1067*(1-I1067)*(1-ADD.DISCOUNT)*(1+MAT.SURCHARGE)/EXC.RATE_2,C1067*(1-I1067)*(1-ADD.DISCOUNT)*(1+MAT.SURCHARGE)*EXC.RATE_2),CURRENCY.FORMAT_2),CURRENCY.FORMAT_2,0)),'DICTIONARY-5'!$A$2))</f>
        <v/>
      </c>
      <c r="N1067" s="542">
        <v>4</v>
      </c>
      <c r="O1067" s="542"/>
      <c r="P1067" s="731" t="str">
        <f>'DICTIONARY-3'!$A$58</f>
        <v>HOD-K</v>
      </c>
      <c r="Q1067" s="732" t="str">
        <f>'DICTIONARY-3'!$A$196</f>
        <v>Mostek nawiertowy</v>
      </c>
      <c r="R1067" s="732" t="str">
        <f>CONCATENATE('DICTIONARY-3'!$A$55,'DICTIONARY-3'!$A$80," ",'DICTIONARY-6'!$A$21," ",'DICTIONARY-2'!$A$2,"200"," ",'DICTIONARY-2'!$A$5,"225 G1"," ",'DICTIONARY-6'!$A$60,", ",'DICTIONARY-6'!$A$76," ",'DICTIONARY-5'!$A$57,"+",'DICTIONARY-5'!$A$56)</f>
        <v>HOD-K510 Mostek nawiert. DN200 Da225 G1 z zasuwa mosiężna, ruroc. PE+PVC</v>
      </c>
      <c r="S1067" s="733" t="str">
        <f>'DICTIONARY-4'!$A$2</f>
        <v>WW</v>
      </c>
      <c r="T1067" s="732" t="str">
        <f>'DICTIONARY-4'!$A$18</f>
        <v>Wolny wałek</v>
      </c>
      <c r="U1067" s="734" t="s">
        <v>5750</v>
      </c>
      <c r="V1067" s="735"/>
      <c r="W1067" s="744" t="s">
        <v>5833</v>
      </c>
      <c r="X1067" s="750" t="s">
        <v>49</v>
      </c>
      <c r="Y1067" s="738"/>
      <c r="Z1067" s="739"/>
      <c r="AA1067" s="739"/>
      <c r="AB1067" s="740">
        <v>16</v>
      </c>
      <c r="AC1067" s="741"/>
      <c r="AD1067" s="741" t="str">
        <f>'DICTIONARY-5'!$A$13</f>
        <v>woda pitna</v>
      </c>
      <c r="AE1067" s="742">
        <v>50</v>
      </c>
      <c r="AF1067" s="743">
        <v>12</v>
      </c>
      <c r="AG1067" s="741" t="str">
        <f>'DICTIONARY-5'!$A$23</f>
        <v>powłoka epoksydowa</v>
      </c>
    </row>
    <row r="1068" spans="1:33" x14ac:dyDescent="0.25">
      <c r="A1068" s="856" t="s">
        <v>1004</v>
      </c>
      <c r="B1068" s="856" t="s">
        <v>4036</v>
      </c>
      <c r="C1068" s="836">
        <v>139</v>
      </c>
      <c r="D1068" s="836"/>
      <c r="E1068" s="836"/>
      <c r="F1068" s="836"/>
      <c r="G1068" s="496" t="s">
        <v>7812</v>
      </c>
      <c r="H1068" s="797" t="str">
        <f>VLOOKUP(G1068,SETTINGS!$B$7:$D$97,2,0)</f>
        <v>HOD</v>
      </c>
      <c r="I1068" s="796">
        <f>VLOOKUP(G1068,SETTINGS!$B$7:$D$97,3,0)</f>
        <v>0</v>
      </c>
      <c r="J1068" s="670" t="str">
        <f>IFERROR(IF(CURRENCY.FORMAT_1=0,CONCATENATE(TEXT(FIXED(ROUND((C1068/EXC.RATE_1),CURRENCY.FORMAT_1),CURRENCY.FORMAT_1,1),"# ##0;-# ##0"),",-"),FIXED(ROUND((C1068/EXC.RATE_1),CURRENCY.FORMAT_1),CURRENCY.FORMAT_1,0)),'DICTIONARY-5'!$A$2)</f>
        <v>139,-</v>
      </c>
      <c r="K1068" s="670" t="str">
        <f>IF(EXC.RATE_2=0,"",IFERROR(IF(CURRENCY.FORMAT_2=0,CONCATENATE(TEXT(FIXED(ROUND(IF(EXC.RATE.SWITCH=1,C1068/EXC.RATE_2,C1068*EXC.RATE_2),CURRENCY.FORMAT_2),CURRENCY.FORMAT_2,1),"# ##0;-# ##0"),",-"),FIXED(ROUND(IF(EXC.RATE.SWITCH=1,C1068/EXC.RATE_2,C1068*EXC.RATE_2),CURRENCY.FORMAT_2),CURRENCY.FORMAT_2,0)),'DICTIONARY-5'!$A$2))</f>
        <v/>
      </c>
      <c r="L1068" s="670" t="str">
        <f>IFERROR(IF(CURRENCY.FORMAT_1=0,CONCATENATE(TEXT(FIXED(ROUND((C1068*(1-I1068)*(1-ADD.DISCOUNT)*(1+MAT.SURCHARGE)/EXC.RATE_1),CURRENCY.FORMAT_1),CURRENCY.FORMAT_1,1),"# ##0;-# ##0"),",-"),FIXED(ROUND((C1068*(1-I1068)*(1-ADD.DISCOUNT)*(1+MAT.SURCHARGE)/EXC.RATE_1),CURRENCY.FORMAT_1),CURRENCY.FORMAT_1,0)),'DICTIONARY-5'!$A$2)</f>
        <v>144,-</v>
      </c>
      <c r="M1068" s="670" t="str">
        <f>IF(EXC.RATE_2=0,"",IFERROR(IF(CURRENCY.FORMAT_2=0,CONCATENATE(TEXT(FIXED(ROUND(IF(EXC.RATE.SWITCH=1,C1068*(1-I1068)*(1-ADD.DISCOUNT)*(1+MAT.SURCHARGE)/EXC.RATE_2,C1068*(1-I1068)*(1-ADD.DISCOUNT)*(1+MAT.SURCHARGE)*EXC.RATE_2),CURRENCY.FORMAT_2),CURRENCY.FORMAT_2,1),"# ##0;-# ##0"),",-"),FIXED(ROUND(IF(EXC.RATE.SWITCH=1,C1068*(1-I1068)*(1-ADD.DISCOUNT)*(1+MAT.SURCHARGE)/EXC.RATE_2,C1068*(1-I1068)*(1-ADD.DISCOUNT)*(1+MAT.SURCHARGE)*EXC.RATE_2),CURRENCY.FORMAT_2),CURRENCY.FORMAT_2,0)),'DICTIONARY-5'!$A$2))</f>
        <v/>
      </c>
      <c r="N1068" s="542">
        <v>4</v>
      </c>
      <c r="O1068" s="542"/>
      <c r="P1068" s="731" t="str">
        <f>'DICTIONARY-3'!$A$58</f>
        <v>HOD-K</v>
      </c>
      <c r="Q1068" s="732" t="str">
        <f>'DICTIONARY-3'!$A$196</f>
        <v>Mostek nawiertowy</v>
      </c>
      <c r="R1068" s="732" t="str">
        <f>CONCATENATE('DICTIONARY-3'!$A$55,'DICTIONARY-3'!$A$80," ",'DICTIONARY-6'!$A$21," ",'DICTIONARY-2'!$A$2,"50"," ",'DICTIONARY-2'!$A$5,"63 G1¼"," ",'DICTIONARY-6'!$A$60,", ",'DICTIONARY-6'!$A$76," ",'DICTIONARY-5'!$A$57,"+",'DICTIONARY-5'!$A$56)</f>
        <v>HOD-K510 Mostek nawiert. DN50 Da63 G1¼ z zasuwa mosiężna, ruroc. PE+PVC</v>
      </c>
      <c r="S1068" s="733" t="str">
        <f>'DICTIONARY-4'!$A$2</f>
        <v>WW</v>
      </c>
      <c r="T1068" s="732" t="str">
        <f>'DICTIONARY-4'!$A$18</f>
        <v>Wolny wałek</v>
      </c>
      <c r="U1068" s="734" t="s">
        <v>5748</v>
      </c>
      <c r="V1068" s="735"/>
      <c r="W1068" s="744" t="s">
        <v>7338</v>
      </c>
      <c r="X1068" s="737" t="s">
        <v>5740</v>
      </c>
      <c r="Y1068" s="738"/>
      <c r="Z1068" s="739"/>
      <c r="AA1068" s="739"/>
      <c r="AB1068" s="740">
        <v>16</v>
      </c>
      <c r="AC1068" s="741"/>
      <c r="AD1068" s="741" t="str">
        <f>'DICTIONARY-5'!$A$13</f>
        <v>woda pitna</v>
      </c>
      <c r="AE1068" s="742">
        <v>50</v>
      </c>
      <c r="AF1068" s="743">
        <v>3.5</v>
      </c>
      <c r="AG1068" s="741" t="str">
        <f>'DICTIONARY-5'!$A$23</f>
        <v>powłoka epoksydowa</v>
      </c>
    </row>
    <row r="1069" spans="1:33" x14ac:dyDescent="0.25">
      <c r="A1069" s="856" t="s">
        <v>1006</v>
      </c>
      <c r="B1069" s="856" t="s">
        <v>4037</v>
      </c>
      <c r="C1069" s="836">
        <v>156</v>
      </c>
      <c r="D1069" s="836"/>
      <c r="E1069" s="836"/>
      <c r="F1069" s="836"/>
      <c r="G1069" s="496" t="s">
        <v>7812</v>
      </c>
      <c r="H1069" s="797" t="str">
        <f>VLOOKUP(G1069,SETTINGS!$B$7:$D$97,2,0)</f>
        <v>HOD</v>
      </c>
      <c r="I1069" s="796">
        <f>VLOOKUP(G1069,SETTINGS!$B$7:$D$97,3,0)</f>
        <v>0</v>
      </c>
      <c r="J1069" s="670" t="str">
        <f>IFERROR(IF(CURRENCY.FORMAT_1=0,CONCATENATE(TEXT(FIXED(ROUND((C1069/EXC.RATE_1),CURRENCY.FORMAT_1),CURRENCY.FORMAT_1,1),"# ##0;-# ##0"),",-"),FIXED(ROUND((C1069/EXC.RATE_1),CURRENCY.FORMAT_1),CURRENCY.FORMAT_1,0)),'DICTIONARY-5'!$A$2)</f>
        <v>156,-</v>
      </c>
      <c r="K1069" s="670" t="str">
        <f>IF(EXC.RATE_2=0,"",IFERROR(IF(CURRENCY.FORMAT_2=0,CONCATENATE(TEXT(FIXED(ROUND(IF(EXC.RATE.SWITCH=1,C1069/EXC.RATE_2,C1069*EXC.RATE_2),CURRENCY.FORMAT_2),CURRENCY.FORMAT_2,1),"# ##0;-# ##0"),",-"),FIXED(ROUND(IF(EXC.RATE.SWITCH=1,C1069/EXC.RATE_2,C1069*EXC.RATE_2),CURRENCY.FORMAT_2),CURRENCY.FORMAT_2,0)),'DICTIONARY-5'!$A$2))</f>
        <v/>
      </c>
      <c r="L1069" s="670" t="str">
        <f>IFERROR(IF(CURRENCY.FORMAT_1=0,CONCATENATE(TEXT(FIXED(ROUND((C1069*(1-I1069)*(1-ADD.DISCOUNT)*(1+MAT.SURCHARGE)/EXC.RATE_1),CURRENCY.FORMAT_1),CURRENCY.FORMAT_1,1),"# ##0;-# ##0"),",-"),FIXED(ROUND((C1069*(1-I1069)*(1-ADD.DISCOUNT)*(1+MAT.SURCHARGE)/EXC.RATE_1),CURRENCY.FORMAT_1),CURRENCY.FORMAT_1,0)),'DICTIONARY-5'!$A$2)</f>
        <v>162,-</v>
      </c>
      <c r="M1069" s="670" t="str">
        <f>IF(EXC.RATE_2=0,"",IFERROR(IF(CURRENCY.FORMAT_2=0,CONCATENATE(TEXT(FIXED(ROUND(IF(EXC.RATE.SWITCH=1,C1069*(1-I1069)*(1-ADD.DISCOUNT)*(1+MAT.SURCHARGE)/EXC.RATE_2,C1069*(1-I1069)*(1-ADD.DISCOUNT)*(1+MAT.SURCHARGE)*EXC.RATE_2),CURRENCY.FORMAT_2),CURRENCY.FORMAT_2,1),"# ##0;-# ##0"),",-"),FIXED(ROUND(IF(EXC.RATE.SWITCH=1,C1069*(1-I1069)*(1-ADD.DISCOUNT)*(1+MAT.SURCHARGE)/EXC.RATE_2,C1069*(1-I1069)*(1-ADD.DISCOUNT)*(1+MAT.SURCHARGE)*EXC.RATE_2),CURRENCY.FORMAT_2),CURRENCY.FORMAT_2,0)),'DICTIONARY-5'!$A$2))</f>
        <v/>
      </c>
      <c r="N1069" s="542">
        <v>4</v>
      </c>
      <c r="O1069" s="542"/>
      <c r="P1069" s="731" t="str">
        <f>'DICTIONARY-3'!$A$58</f>
        <v>HOD-K</v>
      </c>
      <c r="Q1069" s="732" t="str">
        <f>'DICTIONARY-3'!$A$196</f>
        <v>Mostek nawiertowy</v>
      </c>
      <c r="R1069" s="732" t="str">
        <f>CONCATENATE('DICTIONARY-3'!$A$55,'DICTIONARY-3'!$A$80," ",'DICTIONARY-6'!$A$21," ",'DICTIONARY-2'!$A$2,"65"," ",'DICTIONARY-2'!$A$5,"75 G1¼"," ",'DICTIONARY-6'!$A$60,", ",'DICTIONARY-6'!$A$76," ",'DICTIONARY-5'!$A$57,"+",'DICTIONARY-5'!$A$56)</f>
        <v>HOD-K510 Mostek nawiert. DN65 Da75 G1¼ z zasuwa mosiężna, ruroc. PE+PVC</v>
      </c>
      <c r="S1069" s="733" t="str">
        <f>'DICTIONARY-4'!$A$2</f>
        <v>WW</v>
      </c>
      <c r="T1069" s="732" t="str">
        <f>'DICTIONARY-4'!$A$18</f>
        <v>Wolny wałek</v>
      </c>
      <c r="U1069" s="734" t="s">
        <v>5759</v>
      </c>
      <c r="V1069" s="735"/>
      <c r="W1069" s="744" t="s">
        <v>7359</v>
      </c>
      <c r="X1069" s="737" t="s">
        <v>5740</v>
      </c>
      <c r="Y1069" s="738"/>
      <c r="Z1069" s="739"/>
      <c r="AA1069" s="739"/>
      <c r="AB1069" s="740">
        <v>16</v>
      </c>
      <c r="AC1069" s="741"/>
      <c r="AD1069" s="741" t="str">
        <f>'DICTIONARY-5'!$A$13</f>
        <v>woda pitna</v>
      </c>
      <c r="AE1069" s="742">
        <v>50</v>
      </c>
      <c r="AF1069" s="743">
        <v>3.5</v>
      </c>
      <c r="AG1069" s="741" t="str">
        <f>'DICTIONARY-5'!$A$23</f>
        <v>powłoka epoksydowa</v>
      </c>
    </row>
    <row r="1070" spans="1:33" x14ac:dyDescent="0.25">
      <c r="A1070" s="856" t="s">
        <v>1008</v>
      </c>
      <c r="B1070" s="856" t="s">
        <v>4038</v>
      </c>
      <c r="C1070" s="836">
        <v>147</v>
      </c>
      <c r="D1070" s="836"/>
      <c r="E1070" s="836"/>
      <c r="F1070" s="836"/>
      <c r="G1070" s="496" t="s">
        <v>7812</v>
      </c>
      <c r="H1070" s="797" t="str">
        <f>VLOOKUP(G1070,SETTINGS!$B$7:$D$97,2,0)</f>
        <v>HOD</v>
      </c>
      <c r="I1070" s="796">
        <f>VLOOKUP(G1070,SETTINGS!$B$7:$D$97,3,0)</f>
        <v>0</v>
      </c>
      <c r="J1070" s="670" t="str">
        <f>IFERROR(IF(CURRENCY.FORMAT_1=0,CONCATENATE(TEXT(FIXED(ROUND((C1070/EXC.RATE_1),CURRENCY.FORMAT_1),CURRENCY.FORMAT_1,1),"# ##0;-# ##0"),",-"),FIXED(ROUND((C1070/EXC.RATE_1),CURRENCY.FORMAT_1),CURRENCY.FORMAT_1,0)),'DICTIONARY-5'!$A$2)</f>
        <v>147,-</v>
      </c>
      <c r="K1070" s="670" t="str">
        <f>IF(EXC.RATE_2=0,"",IFERROR(IF(CURRENCY.FORMAT_2=0,CONCATENATE(TEXT(FIXED(ROUND(IF(EXC.RATE.SWITCH=1,C1070/EXC.RATE_2,C1070*EXC.RATE_2),CURRENCY.FORMAT_2),CURRENCY.FORMAT_2,1),"# ##0;-# ##0"),",-"),FIXED(ROUND(IF(EXC.RATE.SWITCH=1,C1070/EXC.RATE_2,C1070*EXC.RATE_2),CURRENCY.FORMAT_2),CURRENCY.FORMAT_2,0)),'DICTIONARY-5'!$A$2))</f>
        <v/>
      </c>
      <c r="L1070" s="670" t="str">
        <f>IFERROR(IF(CURRENCY.FORMAT_1=0,CONCATENATE(TEXT(FIXED(ROUND((C1070*(1-I1070)*(1-ADD.DISCOUNT)*(1+MAT.SURCHARGE)/EXC.RATE_1),CURRENCY.FORMAT_1),CURRENCY.FORMAT_1,1),"# ##0;-# ##0"),",-"),FIXED(ROUND((C1070*(1-I1070)*(1-ADD.DISCOUNT)*(1+MAT.SURCHARGE)/EXC.RATE_1),CURRENCY.FORMAT_1),CURRENCY.FORMAT_1,0)),'DICTIONARY-5'!$A$2)</f>
        <v>153,-</v>
      </c>
      <c r="M1070" s="670" t="str">
        <f>IF(EXC.RATE_2=0,"",IFERROR(IF(CURRENCY.FORMAT_2=0,CONCATENATE(TEXT(FIXED(ROUND(IF(EXC.RATE.SWITCH=1,C1070*(1-I1070)*(1-ADD.DISCOUNT)*(1+MAT.SURCHARGE)/EXC.RATE_2,C1070*(1-I1070)*(1-ADD.DISCOUNT)*(1+MAT.SURCHARGE)*EXC.RATE_2),CURRENCY.FORMAT_2),CURRENCY.FORMAT_2,1),"# ##0;-# ##0"),",-"),FIXED(ROUND(IF(EXC.RATE.SWITCH=1,C1070*(1-I1070)*(1-ADD.DISCOUNT)*(1+MAT.SURCHARGE)/EXC.RATE_2,C1070*(1-I1070)*(1-ADD.DISCOUNT)*(1+MAT.SURCHARGE)*EXC.RATE_2),CURRENCY.FORMAT_2),CURRENCY.FORMAT_2,0)),'DICTIONARY-5'!$A$2))</f>
        <v/>
      </c>
      <c r="N1070" s="542">
        <v>4</v>
      </c>
      <c r="O1070" s="542"/>
      <c r="P1070" s="731" t="str">
        <f>'DICTIONARY-3'!$A$58</f>
        <v>HOD-K</v>
      </c>
      <c r="Q1070" s="732" t="str">
        <f>'DICTIONARY-3'!$A$196</f>
        <v>Mostek nawiertowy</v>
      </c>
      <c r="R1070" s="732" t="str">
        <f>CONCATENATE('DICTIONARY-3'!$A$55,'DICTIONARY-3'!$A$80," ",'DICTIONARY-6'!$A$21," ",'DICTIONARY-2'!$A$2,"80"," ",'DICTIONARY-2'!$A$5,"90 G1¼"," ",'DICTIONARY-6'!$A$60,", ",'DICTIONARY-6'!$A$76," ",'DICTIONARY-5'!$A$57,"+",'DICTIONARY-5'!$A$56)</f>
        <v>HOD-K510 Mostek nawiert. DN80 Da90 G1¼ z zasuwa mosiężna, ruroc. PE+PVC</v>
      </c>
      <c r="S1070" s="733" t="str">
        <f>'DICTIONARY-4'!$A$2</f>
        <v>WW</v>
      </c>
      <c r="T1070" s="732" t="str">
        <f>'DICTIONARY-4'!$A$18</f>
        <v>Wolny wałek</v>
      </c>
      <c r="U1070" s="734" t="s">
        <v>5760</v>
      </c>
      <c r="V1070" s="735"/>
      <c r="W1070" s="744" t="s">
        <v>7339</v>
      </c>
      <c r="X1070" s="737" t="s">
        <v>5740</v>
      </c>
      <c r="Y1070" s="738"/>
      <c r="Z1070" s="739"/>
      <c r="AA1070" s="739"/>
      <c r="AB1070" s="740">
        <v>16</v>
      </c>
      <c r="AC1070" s="741"/>
      <c r="AD1070" s="741" t="str">
        <f>'DICTIONARY-5'!$A$13</f>
        <v>woda pitna</v>
      </c>
      <c r="AE1070" s="742">
        <v>50</v>
      </c>
      <c r="AF1070" s="743">
        <v>6.5</v>
      </c>
      <c r="AG1070" s="741" t="str">
        <f>'DICTIONARY-5'!$A$23</f>
        <v>powłoka epoksydowa</v>
      </c>
    </row>
    <row r="1071" spans="1:33" x14ac:dyDescent="0.25">
      <c r="A1071" s="856" t="s">
        <v>1010</v>
      </c>
      <c r="B1071" s="856" t="s">
        <v>4039</v>
      </c>
      <c r="C1071" s="836">
        <v>151</v>
      </c>
      <c r="D1071" s="836"/>
      <c r="E1071" s="836"/>
      <c r="F1071" s="836"/>
      <c r="G1071" s="496" t="s">
        <v>7812</v>
      </c>
      <c r="H1071" s="797" t="str">
        <f>VLOOKUP(G1071,SETTINGS!$B$7:$D$97,2,0)</f>
        <v>HOD</v>
      </c>
      <c r="I1071" s="796">
        <f>VLOOKUP(G1071,SETTINGS!$B$7:$D$97,3,0)</f>
        <v>0</v>
      </c>
      <c r="J1071" s="670" t="str">
        <f>IFERROR(IF(CURRENCY.FORMAT_1=0,CONCATENATE(TEXT(FIXED(ROUND((C1071/EXC.RATE_1),CURRENCY.FORMAT_1),CURRENCY.FORMAT_1,1),"# ##0;-# ##0"),",-"),FIXED(ROUND((C1071/EXC.RATE_1),CURRENCY.FORMAT_1),CURRENCY.FORMAT_1,0)),'DICTIONARY-5'!$A$2)</f>
        <v>151,-</v>
      </c>
      <c r="K1071" s="670" t="str">
        <f>IF(EXC.RATE_2=0,"",IFERROR(IF(CURRENCY.FORMAT_2=0,CONCATENATE(TEXT(FIXED(ROUND(IF(EXC.RATE.SWITCH=1,C1071/EXC.RATE_2,C1071*EXC.RATE_2),CURRENCY.FORMAT_2),CURRENCY.FORMAT_2,1),"# ##0;-# ##0"),",-"),FIXED(ROUND(IF(EXC.RATE.SWITCH=1,C1071/EXC.RATE_2,C1071*EXC.RATE_2),CURRENCY.FORMAT_2),CURRENCY.FORMAT_2,0)),'DICTIONARY-5'!$A$2))</f>
        <v/>
      </c>
      <c r="L1071" s="670" t="str">
        <f>IFERROR(IF(CURRENCY.FORMAT_1=0,CONCATENATE(TEXT(FIXED(ROUND((C1071*(1-I1071)*(1-ADD.DISCOUNT)*(1+MAT.SURCHARGE)/EXC.RATE_1),CURRENCY.FORMAT_1),CURRENCY.FORMAT_1,1),"# ##0;-# ##0"),",-"),FIXED(ROUND((C1071*(1-I1071)*(1-ADD.DISCOUNT)*(1+MAT.SURCHARGE)/EXC.RATE_1),CURRENCY.FORMAT_1),CURRENCY.FORMAT_1,0)),'DICTIONARY-5'!$A$2)</f>
        <v>157,-</v>
      </c>
      <c r="M1071" s="670" t="str">
        <f>IF(EXC.RATE_2=0,"",IFERROR(IF(CURRENCY.FORMAT_2=0,CONCATENATE(TEXT(FIXED(ROUND(IF(EXC.RATE.SWITCH=1,C1071*(1-I1071)*(1-ADD.DISCOUNT)*(1+MAT.SURCHARGE)/EXC.RATE_2,C1071*(1-I1071)*(1-ADD.DISCOUNT)*(1+MAT.SURCHARGE)*EXC.RATE_2),CURRENCY.FORMAT_2),CURRENCY.FORMAT_2,1),"# ##0;-# ##0"),",-"),FIXED(ROUND(IF(EXC.RATE.SWITCH=1,C1071*(1-I1071)*(1-ADD.DISCOUNT)*(1+MAT.SURCHARGE)/EXC.RATE_2,C1071*(1-I1071)*(1-ADD.DISCOUNT)*(1+MAT.SURCHARGE)*EXC.RATE_2),CURRENCY.FORMAT_2),CURRENCY.FORMAT_2,0)),'DICTIONARY-5'!$A$2))</f>
        <v/>
      </c>
      <c r="N1071" s="542">
        <v>4</v>
      </c>
      <c r="O1071" s="542"/>
      <c r="P1071" s="731" t="str">
        <f>'DICTIONARY-3'!$A$58</f>
        <v>HOD-K</v>
      </c>
      <c r="Q1071" s="732" t="str">
        <f>'DICTIONARY-3'!$A$196</f>
        <v>Mostek nawiertowy</v>
      </c>
      <c r="R1071" s="732" t="str">
        <f>CONCATENATE('DICTIONARY-3'!$A$55,'DICTIONARY-3'!$A$80," ",'DICTIONARY-6'!$A$21," ",'DICTIONARY-2'!$A$2,"100"," ",'DICTIONARY-2'!$A$5,"110 G1¼"," ",'DICTIONARY-6'!$A$60,", ",'DICTIONARY-6'!$A$76," ",'DICTIONARY-5'!$A$57,"+",'DICTIONARY-5'!$A$56)</f>
        <v>HOD-K510 Mostek nawiert. DN100 Da110 G1¼ z zasuwa mosiężna, ruroc. PE+PVC</v>
      </c>
      <c r="S1071" s="733" t="str">
        <f>'DICTIONARY-4'!$A$2</f>
        <v>WW</v>
      </c>
      <c r="T1071" s="732" t="str">
        <f>'DICTIONARY-4'!$A$18</f>
        <v>Wolny wałek</v>
      </c>
      <c r="U1071" s="734" t="s">
        <v>5749</v>
      </c>
      <c r="V1071" s="735"/>
      <c r="W1071" s="744" t="s">
        <v>7340</v>
      </c>
      <c r="X1071" s="737" t="s">
        <v>5740</v>
      </c>
      <c r="Y1071" s="738"/>
      <c r="Z1071" s="739"/>
      <c r="AA1071" s="739"/>
      <c r="AB1071" s="740">
        <v>16</v>
      </c>
      <c r="AC1071" s="741"/>
      <c r="AD1071" s="741" t="str">
        <f>'DICTIONARY-5'!$A$13</f>
        <v>woda pitna</v>
      </c>
      <c r="AE1071" s="742">
        <v>50</v>
      </c>
      <c r="AF1071" s="743">
        <v>8</v>
      </c>
      <c r="AG1071" s="741" t="str">
        <f>'DICTIONARY-5'!$A$23</f>
        <v>powłoka epoksydowa</v>
      </c>
    </row>
    <row r="1072" spans="1:33" x14ac:dyDescent="0.25">
      <c r="A1072" s="856" t="s">
        <v>1012</v>
      </c>
      <c r="B1072" s="856" t="s">
        <v>4040</v>
      </c>
      <c r="C1072" s="836">
        <v>178</v>
      </c>
      <c r="D1072" s="836"/>
      <c r="E1072" s="836"/>
      <c r="F1072" s="836"/>
      <c r="G1072" s="496" t="s">
        <v>7812</v>
      </c>
      <c r="H1072" s="797" t="str">
        <f>VLOOKUP(G1072,SETTINGS!$B$7:$D$97,2,0)</f>
        <v>HOD</v>
      </c>
      <c r="I1072" s="796">
        <f>VLOOKUP(G1072,SETTINGS!$B$7:$D$97,3,0)</f>
        <v>0</v>
      </c>
      <c r="J1072" s="670" t="str">
        <f>IFERROR(IF(CURRENCY.FORMAT_1=0,CONCATENATE(TEXT(FIXED(ROUND((C1072/EXC.RATE_1),CURRENCY.FORMAT_1),CURRENCY.FORMAT_1,1),"# ##0;-# ##0"),",-"),FIXED(ROUND((C1072/EXC.RATE_1),CURRENCY.FORMAT_1),CURRENCY.FORMAT_1,0)),'DICTIONARY-5'!$A$2)</f>
        <v>178,-</v>
      </c>
      <c r="K1072" s="670" t="str">
        <f>IF(EXC.RATE_2=0,"",IFERROR(IF(CURRENCY.FORMAT_2=0,CONCATENATE(TEXT(FIXED(ROUND(IF(EXC.RATE.SWITCH=1,C1072/EXC.RATE_2,C1072*EXC.RATE_2),CURRENCY.FORMAT_2),CURRENCY.FORMAT_2,1),"# ##0;-# ##0"),",-"),FIXED(ROUND(IF(EXC.RATE.SWITCH=1,C1072/EXC.RATE_2,C1072*EXC.RATE_2),CURRENCY.FORMAT_2),CURRENCY.FORMAT_2,0)),'DICTIONARY-5'!$A$2))</f>
        <v/>
      </c>
      <c r="L1072" s="670" t="str">
        <f>IFERROR(IF(CURRENCY.FORMAT_1=0,CONCATENATE(TEXT(FIXED(ROUND((C1072*(1-I1072)*(1-ADD.DISCOUNT)*(1+MAT.SURCHARGE)/EXC.RATE_1),CURRENCY.FORMAT_1),CURRENCY.FORMAT_1,1),"# ##0;-# ##0"),",-"),FIXED(ROUND((C1072*(1-I1072)*(1-ADD.DISCOUNT)*(1+MAT.SURCHARGE)/EXC.RATE_1),CURRENCY.FORMAT_1),CURRENCY.FORMAT_1,0)),'DICTIONARY-5'!$A$2)</f>
        <v>185,-</v>
      </c>
      <c r="M1072" s="670" t="str">
        <f>IF(EXC.RATE_2=0,"",IFERROR(IF(CURRENCY.FORMAT_2=0,CONCATENATE(TEXT(FIXED(ROUND(IF(EXC.RATE.SWITCH=1,C1072*(1-I1072)*(1-ADD.DISCOUNT)*(1+MAT.SURCHARGE)/EXC.RATE_2,C1072*(1-I1072)*(1-ADD.DISCOUNT)*(1+MAT.SURCHARGE)*EXC.RATE_2),CURRENCY.FORMAT_2),CURRENCY.FORMAT_2,1),"# ##0;-# ##0"),",-"),FIXED(ROUND(IF(EXC.RATE.SWITCH=1,C1072*(1-I1072)*(1-ADD.DISCOUNT)*(1+MAT.SURCHARGE)/EXC.RATE_2,C1072*(1-I1072)*(1-ADD.DISCOUNT)*(1+MAT.SURCHARGE)*EXC.RATE_2),CURRENCY.FORMAT_2),CURRENCY.FORMAT_2,0)),'DICTIONARY-5'!$A$2))</f>
        <v/>
      </c>
      <c r="N1072" s="542">
        <v>4</v>
      </c>
      <c r="O1072" s="542"/>
      <c r="P1072" s="731" t="str">
        <f>'DICTIONARY-3'!$A$58</f>
        <v>HOD-K</v>
      </c>
      <c r="Q1072" s="732" t="str">
        <f>'DICTIONARY-3'!$A$196</f>
        <v>Mostek nawiertowy</v>
      </c>
      <c r="R1072" s="732" t="str">
        <f>CONCATENATE('DICTIONARY-3'!$A$55,'DICTIONARY-3'!$A$80," ",'DICTIONARY-6'!$A$21," ",'DICTIONARY-2'!$A$2,"150"," ",'DICTIONARY-2'!$A$5,"160 G1¼"," ",'DICTIONARY-6'!$A$60,", ",'DICTIONARY-6'!$A$76," ",'DICTIONARY-5'!$A$57,"+",'DICTIONARY-5'!$A$56)</f>
        <v>HOD-K510 Mostek nawiert. DN150 Da160 G1¼ z zasuwa mosiężna, ruroc. PE+PVC</v>
      </c>
      <c r="S1072" s="733" t="str">
        <f>'DICTIONARY-4'!$A$2</f>
        <v>WW</v>
      </c>
      <c r="T1072" s="732" t="str">
        <f>'DICTIONARY-4'!$A$18</f>
        <v>Wolny wałek</v>
      </c>
      <c r="U1072" s="734" t="s">
        <v>5572</v>
      </c>
      <c r="V1072" s="735"/>
      <c r="W1072" s="744" t="s">
        <v>7342</v>
      </c>
      <c r="X1072" s="737" t="s">
        <v>5740</v>
      </c>
      <c r="Y1072" s="738"/>
      <c r="Z1072" s="739"/>
      <c r="AA1072" s="739"/>
      <c r="AB1072" s="740">
        <v>16</v>
      </c>
      <c r="AC1072" s="741"/>
      <c r="AD1072" s="741" t="str">
        <f>'DICTIONARY-5'!$A$13</f>
        <v>woda pitna</v>
      </c>
      <c r="AE1072" s="742">
        <v>50</v>
      </c>
      <c r="AF1072" s="743">
        <v>10</v>
      </c>
      <c r="AG1072" s="741" t="str">
        <f>'DICTIONARY-5'!$A$23</f>
        <v>powłoka epoksydowa</v>
      </c>
    </row>
    <row r="1073" spans="1:33" x14ac:dyDescent="0.25">
      <c r="A1073" s="856" t="s">
        <v>1014</v>
      </c>
      <c r="B1073" s="856" t="s">
        <v>4041</v>
      </c>
      <c r="C1073" s="836">
        <v>231</v>
      </c>
      <c r="D1073" s="836"/>
      <c r="E1073" s="836"/>
      <c r="F1073" s="836"/>
      <c r="G1073" s="496" t="s">
        <v>7812</v>
      </c>
      <c r="H1073" s="797" t="str">
        <f>VLOOKUP(G1073,SETTINGS!$B$7:$D$97,2,0)</f>
        <v>HOD</v>
      </c>
      <c r="I1073" s="796">
        <f>VLOOKUP(G1073,SETTINGS!$B$7:$D$97,3,0)</f>
        <v>0</v>
      </c>
      <c r="J1073" s="670" t="str">
        <f>IFERROR(IF(CURRENCY.FORMAT_1=0,CONCATENATE(TEXT(FIXED(ROUND((C1073/EXC.RATE_1),CURRENCY.FORMAT_1),CURRENCY.FORMAT_1,1),"# ##0;-# ##0"),",-"),FIXED(ROUND((C1073/EXC.RATE_1),CURRENCY.FORMAT_1),CURRENCY.FORMAT_1,0)),'DICTIONARY-5'!$A$2)</f>
        <v>231,-</v>
      </c>
      <c r="K1073" s="670" t="str">
        <f>IF(EXC.RATE_2=0,"",IFERROR(IF(CURRENCY.FORMAT_2=0,CONCATENATE(TEXT(FIXED(ROUND(IF(EXC.RATE.SWITCH=1,C1073/EXC.RATE_2,C1073*EXC.RATE_2),CURRENCY.FORMAT_2),CURRENCY.FORMAT_2,1),"# ##0;-# ##0"),",-"),FIXED(ROUND(IF(EXC.RATE.SWITCH=1,C1073/EXC.RATE_2,C1073*EXC.RATE_2),CURRENCY.FORMAT_2),CURRENCY.FORMAT_2,0)),'DICTIONARY-5'!$A$2))</f>
        <v/>
      </c>
      <c r="L1073" s="670" t="str">
        <f>IFERROR(IF(CURRENCY.FORMAT_1=0,CONCATENATE(TEXT(FIXED(ROUND((C1073*(1-I1073)*(1-ADD.DISCOUNT)*(1+MAT.SURCHARGE)/EXC.RATE_1),CURRENCY.FORMAT_1),CURRENCY.FORMAT_1,1),"# ##0;-# ##0"),",-"),FIXED(ROUND((C1073*(1-I1073)*(1-ADD.DISCOUNT)*(1+MAT.SURCHARGE)/EXC.RATE_1),CURRENCY.FORMAT_1),CURRENCY.FORMAT_1,0)),'DICTIONARY-5'!$A$2)</f>
        <v>240,-</v>
      </c>
      <c r="M1073" s="670" t="str">
        <f>IF(EXC.RATE_2=0,"",IFERROR(IF(CURRENCY.FORMAT_2=0,CONCATENATE(TEXT(FIXED(ROUND(IF(EXC.RATE.SWITCH=1,C1073*(1-I1073)*(1-ADD.DISCOUNT)*(1+MAT.SURCHARGE)/EXC.RATE_2,C1073*(1-I1073)*(1-ADD.DISCOUNT)*(1+MAT.SURCHARGE)*EXC.RATE_2),CURRENCY.FORMAT_2),CURRENCY.FORMAT_2,1),"# ##0;-# ##0"),",-"),FIXED(ROUND(IF(EXC.RATE.SWITCH=1,C1073*(1-I1073)*(1-ADD.DISCOUNT)*(1+MAT.SURCHARGE)/EXC.RATE_2,C1073*(1-I1073)*(1-ADD.DISCOUNT)*(1+MAT.SURCHARGE)*EXC.RATE_2),CURRENCY.FORMAT_2),CURRENCY.FORMAT_2,0)),'DICTIONARY-5'!$A$2))</f>
        <v/>
      </c>
      <c r="N1073" s="542">
        <v>4</v>
      </c>
      <c r="O1073" s="542"/>
      <c r="P1073" s="731" t="str">
        <f>'DICTIONARY-3'!$A$58</f>
        <v>HOD-K</v>
      </c>
      <c r="Q1073" s="732" t="str">
        <f>'DICTIONARY-3'!$A$196</f>
        <v>Mostek nawiertowy</v>
      </c>
      <c r="R1073" s="732" t="str">
        <f>CONCATENATE('DICTIONARY-3'!$A$55,'DICTIONARY-3'!$A$80," ",'DICTIONARY-6'!$A$21," ",'DICTIONARY-2'!$A$2,"200"," ",'DICTIONARY-2'!$A$5,"225 G1¼"," ",'DICTIONARY-6'!$A$60,", ",'DICTIONARY-6'!$A$76," ",'DICTIONARY-5'!$A$57,"+",'DICTIONARY-5'!$A$56)</f>
        <v>HOD-K510 Mostek nawiert. DN200 Da225 G1¼ z zasuwa mosiężna, ruroc. PE+PVC</v>
      </c>
      <c r="S1073" s="733" t="str">
        <f>'DICTIONARY-4'!$A$2</f>
        <v>WW</v>
      </c>
      <c r="T1073" s="732" t="str">
        <f>'DICTIONARY-4'!$A$18</f>
        <v>Wolny wałek</v>
      </c>
      <c r="U1073" s="734" t="s">
        <v>5750</v>
      </c>
      <c r="V1073" s="735"/>
      <c r="W1073" s="744" t="s">
        <v>5833</v>
      </c>
      <c r="X1073" s="737" t="s">
        <v>5740</v>
      </c>
      <c r="Y1073" s="738"/>
      <c r="Z1073" s="739"/>
      <c r="AA1073" s="739"/>
      <c r="AB1073" s="740">
        <v>16</v>
      </c>
      <c r="AC1073" s="741"/>
      <c r="AD1073" s="741" t="str">
        <f>'DICTIONARY-5'!$A$13</f>
        <v>woda pitna</v>
      </c>
      <c r="AE1073" s="742">
        <v>50</v>
      </c>
      <c r="AF1073" s="743">
        <v>12</v>
      </c>
      <c r="AG1073" s="741" t="str">
        <f>'DICTIONARY-5'!$A$23</f>
        <v>powłoka epoksydowa</v>
      </c>
    </row>
    <row r="1074" spans="1:33" x14ac:dyDescent="0.25">
      <c r="A1074" s="856" t="s">
        <v>1015</v>
      </c>
      <c r="B1074" s="856" t="s">
        <v>4054</v>
      </c>
      <c r="C1074" s="836">
        <v>175</v>
      </c>
      <c r="D1074" s="836"/>
      <c r="E1074" s="836"/>
      <c r="F1074" s="836"/>
      <c r="G1074" s="496" t="s">
        <v>7812</v>
      </c>
      <c r="H1074" s="797" t="str">
        <f>VLOOKUP(G1074,SETTINGS!$B$7:$D$97,2,0)</f>
        <v>HOD</v>
      </c>
      <c r="I1074" s="796">
        <f>VLOOKUP(G1074,SETTINGS!$B$7:$D$97,3,0)</f>
        <v>0</v>
      </c>
      <c r="J1074" s="670" t="str">
        <f>IFERROR(IF(CURRENCY.FORMAT_1=0,CONCATENATE(TEXT(FIXED(ROUND((C1074/EXC.RATE_1),CURRENCY.FORMAT_1),CURRENCY.FORMAT_1,1),"# ##0;-# ##0"),",-"),FIXED(ROUND((C1074/EXC.RATE_1),CURRENCY.FORMAT_1),CURRENCY.FORMAT_1,0)),'DICTIONARY-5'!$A$2)</f>
        <v>175,-</v>
      </c>
      <c r="K1074" s="670" t="str">
        <f>IF(EXC.RATE_2=0,"",IFERROR(IF(CURRENCY.FORMAT_2=0,CONCATENATE(TEXT(FIXED(ROUND(IF(EXC.RATE.SWITCH=1,C1074/EXC.RATE_2,C1074*EXC.RATE_2),CURRENCY.FORMAT_2),CURRENCY.FORMAT_2,1),"# ##0;-# ##0"),",-"),FIXED(ROUND(IF(EXC.RATE.SWITCH=1,C1074/EXC.RATE_2,C1074*EXC.RATE_2),CURRENCY.FORMAT_2),CURRENCY.FORMAT_2,0)),'DICTIONARY-5'!$A$2))</f>
        <v/>
      </c>
      <c r="L1074" s="670" t="str">
        <f>IFERROR(IF(CURRENCY.FORMAT_1=0,CONCATENATE(TEXT(FIXED(ROUND((C1074*(1-I1074)*(1-ADD.DISCOUNT)*(1+MAT.SURCHARGE)/EXC.RATE_1),CURRENCY.FORMAT_1),CURRENCY.FORMAT_1,1),"# ##0;-# ##0"),",-"),FIXED(ROUND((C1074*(1-I1074)*(1-ADD.DISCOUNT)*(1+MAT.SURCHARGE)/EXC.RATE_1),CURRENCY.FORMAT_1),CURRENCY.FORMAT_1,0)),'DICTIONARY-5'!$A$2)</f>
        <v>182,-</v>
      </c>
      <c r="M1074" s="670" t="str">
        <f>IF(EXC.RATE_2=0,"",IFERROR(IF(CURRENCY.FORMAT_2=0,CONCATENATE(TEXT(FIXED(ROUND(IF(EXC.RATE.SWITCH=1,C1074*(1-I1074)*(1-ADD.DISCOUNT)*(1+MAT.SURCHARGE)/EXC.RATE_2,C1074*(1-I1074)*(1-ADD.DISCOUNT)*(1+MAT.SURCHARGE)*EXC.RATE_2),CURRENCY.FORMAT_2),CURRENCY.FORMAT_2,1),"# ##0;-# ##0"),",-"),FIXED(ROUND(IF(EXC.RATE.SWITCH=1,C1074*(1-I1074)*(1-ADD.DISCOUNT)*(1+MAT.SURCHARGE)/EXC.RATE_2,C1074*(1-I1074)*(1-ADD.DISCOUNT)*(1+MAT.SURCHARGE)*EXC.RATE_2),CURRENCY.FORMAT_2),CURRENCY.FORMAT_2,0)),'DICTIONARY-5'!$A$2))</f>
        <v/>
      </c>
      <c r="N1074" s="542">
        <v>4</v>
      </c>
      <c r="O1074" s="542"/>
      <c r="P1074" s="731" t="str">
        <f>'DICTIONARY-3'!$A$58</f>
        <v>HOD-K</v>
      </c>
      <c r="Q1074" s="732" t="str">
        <f>'DICTIONARY-3'!$A$196</f>
        <v>Mostek nawiertowy</v>
      </c>
      <c r="R1074" s="732" t="str">
        <f>CONCATENATE('DICTIONARY-3'!$A$55,'DICTIONARY-3'!$A$77," ",'DICTIONARY-6'!$A$21," ",'DICTIONARY-2'!$A$2,"50"," ",'DICTIONARY-2'!$A$5,"63 G1"," ",'DICTIONARY-6'!$A$61,", ",'DICTIONARY-6'!$A$76," ",'DICTIONARY-5'!$A$57,"+",'DICTIONARY-5'!$A$56)</f>
        <v>HOD-K504 Mostek nawiert. DN50 Da63 G1 z zasuwa, ruroc. PE+PVC</v>
      </c>
      <c r="S1074" s="733" t="str">
        <f>'DICTIONARY-4'!$A$2</f>
        <v>WW</v>
      </c>
      <c r="T1074" s="732" t="str">
        <f>'DICTIONARY-4'!$A$18</f>
        <v>Wolny wałek</v>
      </c>
      <c r="U1074" s="734" t="s">
        <v>5748</v>
      </c>
      <c r="V1074" s="735"/>
      <c r="W1074" s="744" t="s">
        <v>7338</v>
      </c>
      <c r="X1074" s="750" t="s">
        <v>49</v>
      </c>
      <c r="Y1074" s="738"/>
      <c r="Z1074" s="739"/>
      <c r="AA1074" s="739"/>
      <c r="AB1074" s="740">
        <v>16</v>
      </c>
      <c r="AC1074" s="741"/>
      <c r="AD1074" s="741" t="str">
        <f>'DICTIONARY-5'!$A$13</f>
        <v>woda pitna</v>
      </c>
      <c r="AE1074" s="742">
        <v>50</v>
      </c>
      <c r="AF1074" s="743">
        <v>5.5</v>
      </c>
      <c r="AG1074" s="741" t="str">
        <f>'DICTIONARY-5'!$A$23</f>
        <v>powłoka epoksydowa</v>
      </c>
    </row>
    <row r="1075" spans="1:33" x14ac:dyDescent="0.25">
      <c r="A1075" s="856" t="s">
        <v>1017</v>
      </c>
      <c r="B1075" s="856" t="s">
        <v>4055</v>
      </c>
      <c r="C1075" s="836">
        <v>194</v>
      </c>
      <c r="D1075" s="836"/>
      <c r="E1075" s="836"/>
      <c r="F1075" s="836"/>
      <c r="G1075" s="496" t="s">
        <v>7812</v>
      </c>
      <c r="H1075" s="797" t="str">
        <f>VLOOKUP(G1075,SETTINGS!$B$7:$D$97,2,0)</f>
        <v>HOD</v>
      </c>
      <c r="I1075" s="796">
        <f>VLOOKUP(G1075,SETTINGS!$B$7:$D$97,3,0)</f>
        <v>0</v>
      </c>
      <c r="J1075" s="670" t="str">
        <f>IFERROR(IF(CURRENCY.FORMAT_1=0,CONCATENATE(TEXT(FIXED(ROUND((C1075/EXC.RATE_1),CURRENCY.FORMAT_1),CURRENCY.FORMAT_1,1),"# ##0;-# ##0"),",-"),FIXED(ROUND((C1075/EXC.RATE_1),CURRENCY.FORMAT_1),CURRENCY.FORMAT_1,0)),'DICTIONARY-5'!$A$2)</f>
        <v>194,-</v>
      </c>
      <c r="K1075" s="670" t="str">
        <f>IF(EXC.RATE_2=0,"",IFERROR(IF(CURRENCY.FORMAT_2=0,CONCATENATE(TEXT(FIXED(ROUND(IF(EXC.RATE.SWITCH=1,C1075/EXC.RATE_2,C1075*EXC.RATE_2),CURRENCY.FORMAT_2),CURRENCY.FORMAT_2,1),"# ##0;-# ##0"),",-"),FIXED(ROUND(IF(EXC.RATE.SWITCH=1,C1075/EXC.RATE_2,C1075*EXC.RATE_2),CURRENCY.FORMAT_2),CURRENCY.FORMAT_2,0)),'DICTIONARY-5'!$A$2))</f>
        <v/>
      </c>
      <c r="L1075" s="670" t="str">
        <f>IFERROR(IF(CURRENCY.FORMAT_1=0,CONCATENATE(TEXT(FIXED(ROUND((C1075*(1-I1075)*(1-ADD.DISCOUNT)*(1+MAT.SURCHARGE)/EXC.RATE_1),CURRENCY.FORMAT_1),CURRENCY.FORMAT_1,1),"# ##0;-# ##0"),",-"),FIXED(ROUND((C1075*(1-I1075)*(1-ADD.DISCOUNT)*(1+MAT.SURCHARGE)/EXC.RATE_1),CURRENCY.FORMAT_1),CURRENCY.FORMAT_1,0)),'DICTIONARY-5'!$A$2)</f>
        <v>202,-</v>
      </c>
      <c r="M1075" s="670" t="str">
        <f>IF(EXC.RATE_2=0,"",IFERROR(IF(CURRENCY.FORMAT_2=0,CONCATENATE(TEXT(FIXED(ROUND(IF(EXC.RATE.SWITCH=1,C1075*(1-I1075)*(1-ADD.DISCOUNT)*(1+MAT.SURCHARGE)/EXC.RATE_2,C1075*(1-I1075)*(1-ADD.DISCOUNT)*(1+MAT.SURCHARGE)*EXC.RATE_2),CURRENCY.FORMAT_2),CURRENCY.FORMAT_2,1),"# ##0;-# ##0"),",-"),FIXED(ROUND(IF(EXC.RATE.SWITCH=1,C1075*(1-I1075)*(1-ADD.DISCOUNT)*(1+MAT.SURCHARGE)/EXC.RATE_2,C1075*(1-I1075)*(1-ADD.DISCOUNT)*(1+MAT.SURCHARGE)*EXC.RATE_2),CURRENCY.FORMAT_2),CURRENCY.FORMAT_2,0)),'DICTIONARY-5'!$A$2))</f>
        <v/>
      </c>
      <c r="N1075" s="542">
        <v>4</v>
      </c>
      <c r="O1075" s="542"/>
      <c r="P1075" s="731" t="str">
        <f>'DICTIONARY-3'!$A$58</f>
        <v>HOD-K</v>
      </c>
      <c r="Q1075" s="732" t="str">
        <f>'DICTIONARY-3'!$A$196</f>
        <v>Mostek nawiertowy</v>
      </c>
      <c r="R1075" s="732" t="str">
        <f>CONCATENATE('DICTIONARY-3'!$A$55,'DICTIONARY-3'!$A$77," ",'DICTIONARY-6'!$A$21," ",'DICTIONARY-2'!$A$2,"65"," ",'DICTIONARY-2'!$A$5,"75 G1"," ",'DICTIONARY-6'!$A$61,", ",'DICTIONARY-6'!$A$76," ",'DICTIONARY-5'!$A$57,"+",'DICTIONARY-5'!$A$56)</f>
        <v>HOD-K504 Mostek nawiert. DN65 Da75 G1 z zasuwa, ruroc. PE+PVC</v>
      </c>
      <c r="S1075" s="733" t="str">
        <f>'DICTIONARY-4'!$A$2</f>
        <v>WW</v>
      </c>
      <c r="T1075" s="732" t="str">
        <f>'DICTIONARY-4'!$A$18</f>
        <v>Wolny wałek</v>
      </c>
      <c r="U1075" s="734" t="s">
        <v>5759</v>
      </c>
      <c r="V1075" s="735"/>
      <c r="W1075" s="744" t="s">
        <v>7359</v>
      </c>
      <c r="X1075" s="750" t="s">
        <v>49</v>
      </c>
      <c r="Y1075" s="738"/>
      <c r="Z1075" s="739"/>
      <c r="AA1075" s="739"/>
      <c r="AB1075" s="740">
        <v>16</v>
      </c>
      <c r="AC1075" s="741"/>
      <c r="AD1075" s="741" t="str">
        <f>'DICTIONARY-5'!$A$13</f>
        <v>woda pitna</v>
      </c>
      <c r="AE1075" s="742">
        <v>50</v>
      </c>
      <c r="AF1075" s="743">
        <v>5.75</v>
      </c>
      <c r="AG1075" s="741" t="str">
        <f>'DICTIONARY-5'!$A$23</f>
        <v>powłoka epoksydowa</v>
      </c>
    </row>
    <row r="1076" spans="1:33" x14ac:dyDescent="0.25">
      <c r="A1076" s="856" t="s">
        <v>1019</v>
      </c>
      <c r="B1076" s="856" t="s">
        <v>4056</v>
      </c>
      <c r="C1076" s="836">
        <v>186</v>
      </c>
      <c r="D1076" s="836"/>
      <c r="E1076" s="836"/>
      <c r="F1076" s="836"/>
      <c r="G1076" s="496" t="s">
        <v>7812</v>
      </c>
      <c r="H1076" s="797" t="str">
        <f>VLOOKUP(G1076,SETTINGS!$B$7:$D$97,2,0)</f>
        <v>HOD</v>
      </c>
      <c r="I1076" s="796">
        <f>VLOOKUP(G1076,SETTINGS!$B$7:$D$97,3,0)</f>
        <v>0</v>
      </c>
      <c r="J1076" s="670" t="str">
        <f>IFERROR(IF(CURRENCY.FORMAT_1=0,CONCATENATE(TEXT(FIXED(ROUND((C1076/EXC.RATE_1),CURRENCY.FORMAT_1),CURRENCY.FORMAT_1,1),"# ##0;-# ##0"),",-"),FIXED(ROUND((C1076/EXC.RATE_1),CURRENCY.FORMAT_1),CURRENCY.FORMAT_1,0)),'DICTIONARY-5'!$A$2)</f>
        <v>186,-</v>
      </c>
      <c r="K1076" s="670" t="str">
        <f>IF(EXC.RATE_2=0,"",IFERROR(IF(CURRENCY.FORMAT_2=0,CONCATENATE(TEXT(FIXED(ROUND(IF(EXC.RATE.SWITCH=1,C1076/EXC.RATE_2,C1076*EXC.RATE_2),CURRENCY.FORMAT_2),CURRENCY.FORMAT_2,1),"# ##0;-# ##0"),",-"),FIXED(ROUND(IF(EXC.RATE.SWITCH=1,C1076/EXC.RATE_2,C1076*EXC.RATE_2),CURRENCY.FORMAT_2),CURRENCY.FORMAT_2,0)),'DICTIONARY-5'!$A$2))</f>
        <v/>
      </c>
      <c r="L1076" s="670" t="str">
        <f>IFERROR(IF(CURRENCY.FORMAT_1=0,CONCATENATE(TEXT(FIXED(ROUND((C1076*(1-I1076)*(1-ADD.DISCOUNT)*(1+MAT.SURCHARGE)/EXC.RATE_1),CURRENCY.FORMAT_1),CURRENCY.FORMAT_1,1),"# ##0;-# ##0"),",-"),FIXED(ROUND((C1076*(1-I1076)*(1-ADD.DISCOUNT)*(1+MAT.SURCHARGE)/EXC.RATE_1),CURRENCY.FORMAT_1),CURRENCY.FORMAT_1,0)),'DICTIONARY-5'!$A$2)</f>
        <v>193,-</v>
      </c>
      <c r="M1076" s="670" t="str">
        <f>IF(EXC.RATE_2=0,"",IFERROR(IF(CURRENCY.FORMAT_2=0,CONCATENATE(TEXT(FIXED(ROUND(IF(EXC.RATE.SWITCH=1,C1076*(1-I1076)*(1-ADD.DISCOUNT)*(1+MAT.SURCHARGE)/EXC.RATE_2,C1076*(1-I1076)*(1-ADD.DISCOUNT)*(1+MAT.SURCHARGE)*EXC.RATE_2),CURRENCY.FORMAT_2),CURRENCY.FORMAT_2,1),"# ##0;-# ##0"),",-"),FIXED(ROUND(IF(EXC.RATE.SWITCH=1,C1076*(1-I1076)*(1-ADD.DISCOUNT)*(1+MAT.SURCHARGE)/EXC.RATE_2,C1076*(1-I1076)*(1-ADD.DISCOUNT)*(1+MAT.SURCHARGE)*EXC.RATE_2),CURRENCY.FORMAT_2),CURRENCY.FORMAT_2,0)),'DICTIONARY-5'!$A$2))</f>
        <v/>
      </c>
      <c r="N1076" s="542">
        <v>4</v>
      </c>
      <c r="O1076" s="542"/>
      <c r="P1076" s="731" t="str">
        <f>'DICTIONARY-3'!$A$58</f>
        <v>HOD-K</v>
      </c>
      <c r="Q1076" s="732" t="str">
        <f>'DICTIONARY-3'!$A$196</f>
        <v>Mostek nawiertowy</v>
      </c>
      <c r="R1076" s="732" t="str">
        <f>CONCATENATE('DICTIONARY-3'!$A$55,'DICTIONARY-3'!$A$77," ",'DICTIONARY-6'!$A$21," ",'DICTIONARY-2'!$A$2,"80"," ",'DICTIONARY-2'!$A$5,"90 G1"," ",'DICTIONARY-6'!$A$61,", ",'DICTIONARY-6'!$A$76," ",'DICTIONARY-5'!$A$57,"+",'DICTIONARY-5'!$A$56)</f>
        <v>HOD-K504 Mostek nawiert. DN80 Da90 G1 z zasuwa, ruroc. PE+PVC</v>
      </c>
      <c r="S1076" s="733" t="str">
        <f>'DICTIONARY-4'!$A$2</f>
        <v>WW</v>
      </c>
      <c r="T1076" s="732" t="str">
        <f>'DICTIONARY-4'!$A$18</f>
        <v>Wolny wałek</v>
      </c>
      <c r="U1076" s="734" t="s">
        <v>5760</v>
      </c>
      <c r="V1076" s="735"/>
      <c r="W1076" s="744" t="s">
        <v>7339</v>
      </c>
      <c r="X1076" s="750" t="s">
        <v>49</v>
      </c>
      <c r="Y1076" s="738"/>
      <c r="Z1076" s="739"/>
      <c r="AA1076" s="739"/>
      <c r="AB1076" s="740">
        <v>16</v>
      </c>
      <c r="AC1076" s="741"/>
      <c r="AD1076" s="741" t="str">
        <f>'DICTIONARY-5'!$A$13</f>
        <v>woda pitna</v>
      </c>
      <c r="AE1076" s="742">
        <v>50</v>
      </c>
      <c r="AF1076" s="743">
        <v>7</v>
      </c>
      <c r="AG1076" s="741" t="str">
        <f>'DICTIONARY-5'!$A$23</f>
        <v>powłoka epoksydowa</v>
      </c>
    </row>
    <row r="1077" spans="1:33" x14ac:dyDescent="0.25">
      <c r="A1077" s="856" t="s">
        <v>1021</v>
      </c>
      <c r="B1077" s="856" t="s">
        <v>4057</v>
      </c>
      <c r="C1077" s="836">
        <v>189</v>
      </c>
      <c r="D1077" s="836"/>
      <c r="E1077" s="836"/>
      <c r="F1077" s="836"/>
      <c r="G1077" s="496" t="s">
        <v>7812</v>
      </c>
      <c r="H1077" s="797" t="str">
        <f>VLOOKUP(G1077,SETTINGS!$B$7:$D$97,2,0)</f>
        <v>HOD</v>
      </c>
      <c r="I1077" s="796">
        <f>VLOOKUP(G1077,SETTINGS!$B$7:$D$97,3,0)</f>
        <v>0</v>
      </c>
      <c r="J1077" s="670" t="str">
        <f>IFERROR(IF(CURRENCY.FORMAT_1=0,CONCATENATE(TEXT(FIXED(ROUND((C1077/EXC.RATE_1),CURRENCY.FORMAT_1),CURRENCY.FORMAT_1,1),"# ##0;-# ##0"),",-"),FIXED(ROUND((C1077/EXC.RATE_1),CURRENCY.FORMAT_1),CURRENCY.FORMAT_1,0)),'DICTIONARY-5'!$A$2)</f>
        <v>189,-</v>
      </c>
      <c r="K1077" s="670" t="str">
        <f>IF(EXC.RATE_2=0,"",IFERROR(IF(CURRENCY.FORMAT_2=0,CONCATENATE(TEXT(FIXED(ROUND(IF(EXC.RATE.SWITCH=1,C1077/EXC.RATE_2,C1077*EXC.RATE_2),CURRENCY.FORMAT_2),CURRENCY.FORMAT_2,1),"# ##0;-# ##0"),",-"),FIXED(ROUND(IF(EXC.RATE.SWITCH=1,C1077/EXC.RATE_2,C1077*EXC.RATE_2),CURRENCY.FORMAT_2),CURRENCY.FORMAT_2,0)),'DICTIONARY-5'!$A$2))</f>
        <v/>
      </c>
      <c r="L1077" s="670" t="str">
        <f>IFERROR(IF(CURRENCY.FORMAT_1=0,CONCATENATE(TEXT(FIXED(ROUND((C1077*(1-I1077)*(1-ADD.DISCOUNT)*(1+MAT.SURCHARGE)/EXC.RATE_1),CURRENCY.FORMAT_1),CURRENCY.FORMAT_1,1),"# ##0;-# ##0"),",-"),FIXED(ROUND((C1077*(1-I1077)*(1-ADD.DISCOUNT)*(1+MAT.SURCHARGE)/EXC.RATE_1),CURRENCY.FORMAT_1),CURRENCY.FORMAT_1,0)),'DICTIONARY-5'!$A$2)</f>
        <v>196,-</v>
      </c>
      <c r="M1077" s="670" t="str">
        <f>IF(EXC.RATE_2=0,"",IFERROR(IF(CURRENCY.FORMAT_2=0,CONCATENATE(TEXT(FIXED(ROUND(IF(EXC.RATE.SWITCH=1,C1077*(1-I1077)*(1-ADD.DISCOUNT)*(1+MAT.SURCHARGE)/EXC.RATE_2,C1077*(1-I1077)*(1-ADD.DISCOUNT)*(1+MAT.SURCHARGE)*EXC.RATE_2),CURRENCY.FORMAT_2),CURRENCY.FORMAT_2,1),"# ##0;-# ##0"),",-"),FIXED(ROUND(IF(EXC.RATE.SWITCH=1,C1077*(1-I1077)*(1-ADD.DISCOUNT)*(1+MAT.SURCHARGE)/EXC.RATE_2,C1077*(1-I1077)*(1-ADD.DISCOUNT)*(1+MAT.SURCHARGE)*EXC.RATE_2),CURRENCY.FORMAT_2),CURRENCY.FORMAT_2,0)),'DICTIONARY-5'!$A$2))</f>
        <v/>
      </c>
      <c r="N1077" s="542">
        <v>4</v>
      </c>
      <c r="O1077" s="542"/>
      <c r="P1077" s="731" t="str">
        <f>'DICTIONARY-3'!$A$58</f>
        <v>HOD-K</v>
      </c>
      <c r="Q1077" s="732" t="str">
        <f>'DICTIONARY-3'!$A$196</f>
        <v>Mostek nawiertowy</v>
      </c>
      <c r="R1077" s="732" t="str">
        <f>CONCATENATE('DICTIONARY-3'!$A$55,'DICTIONARY-3'!$A$77," ",'DICTIONARY-6'!$A$21," ",'DICTIONARY-2'!$A$2,"100"," ",'DICTIONARY-2'!$A$5,"110 G1"," ",'DICTIONARY-6'!$A$61,", ",'DICTIONARY-6'!$A$76," ",'DICTIONARY-5'!$A$57,"+",'DICTIONARY-5'!$A$56)</f>
        <v>HOD-K504 Mostek nawiert. DN100 Da110 G1 z zasuwa, ruroc. PE+PVC</v>
      </c>
      <c r="S1077" s="733" t="str">
        <f>'DICTIONARY-4'!$A$2</f>
        <v>WW</v>
      </c>
      <c r="T1077" s="732" t="str">
        <f>'DICTIONARY-4'!$A$18</f>
        <v>Wolny wałek</v>
      </c>
      <c r="U1077" s="734" t="s">
        <v>5749</v>
      </c>
      <c r="V1077" s="735"/>
      <c r="W1077" s="744" t="s">
        <v>7340</v>
      </c>
      <c r="X1077" s="750" t="s">
        <v>49</v>
      </c>
      <c r="Y1077" s="738"/>
      <c r="Z1077" s="739"/>
      <c r="AA1077" s="739"/>
      <c r="AB1077" s="740">
        <v>16</v>
      </c>
      <c r="AC1077" s="741"/>
      <c r="AD1077" s="741" t="str">
        <f>'DICTIONARY-5'!$A$13</f>
        <v>woda pitna</v>
      </c>
      <c r="AE1077" s="742">
        <v>50</v>
      </c>
      <c r="AF1077" s="743">
        <v>9.5</v>
      </c>
      <c r="AG1077" s="741" t="str">
        <f>'DICTIONARY-5'!$A$23</f>
        <v>powłoka epoksydowa</v>
      </c>
    </row>
    <row r="1078" spans="1:33" x14ac:dyDescent="0.25">
      <c r="A1078" s="856" t="s">
        <v>1023</v>
      </c>
      <c r="B1078" s="856" t="s">
        <v>4058</v>
      </c>
      <c r="C1078" s="836">
        <v>216</v>
      </c>
      <c r="D1078" s="836"/>
      <c r="E1078" s="836"/>
      <c r="F1078" s="836"/>
      <c r="G1078" s="496" t="s">
        <v>7812</v>
      </c>
      <c r="H1078" s="797" t="str">
        <f>VLOOKUP(G1078,SETTINGS!$B$7:$D$97,2,0)</f>
        <v>HOD</v>
      </c>
      <c r="I1078" s="796">
        <f>VLOOKUP(G1078,SETTINGS!$B$7:$D$97,3,0)</f>
        <v>0</v>
      </c>
      <c r="J1078" s="670" t="str">
        <f>IFERROR(IF(CURRENCY.FORMAT_1=0,CONCATENATE(TEXT(FIXED(ROUND((C1078/EXC.RATE_1),CURRENCY.FORMAT_1),CURRENCY.FORMAT_1,1),"# ##0;-# ##0"),",-"),FIXED(ROUND((C1078/EXC.RATE_1),CURRENCY.FORMAT_1),CURRENCY.FORMAT_1,0)),'DICTIONARY-5'!$A$2)</f>
        <v>216,-</v>
      </c>
      <c r="K1078" s="670" t="str">
        <f>IF(EXC.RATE_2=0,"",IFERROR(IF(CURRENCY.FORMAT_2=0,CONCATENATE(TEXT(FIXED(ROUND(IF(EXC.RATE.SWITCH=1,C1078/EXC.RATE_2,C1078*EXC.RATE_2),CURRENCY.FORMAT_2),CURRENCY.FORMAT_2,1),"# ##0;-# ##0"),",-"),FIXED(ROUND(IF(EXC.RATE.SWITCH=1,C1078/EXC.RATE_2,C1078*EXC.RATE_2),CURRENCY.FORMAT_2),CURRENCY.FORMAT_2,0)),'DICTIONARY-5'!$A$2))</f>
        <v/>
      </c>
      <c r="L1078" s="670" t="str">
        <f>IFERROR(IF(CURRENCY.FORMAT_1=0,CONCATENATE(TEXT(FIXED(ROUND((C1078*(1-I1078)*(1-ADD.DISCOUNT)*(1+MAT.SURCHARGE)/EXC.RATE_1),CURRENCY.FORMAT_1),CURRENCY.FORMAT_1,1),"# ##0;-# ##0"),",-"),FIXED(ROUND((C1078*(1-I1078)*(1-ADD.DISCOUNT)*(1+MAT.SURCHARGE)/EXC.RATE_1),CURRENCY.FORMAT_1),CURRENCY.FORMAT_1,0)),'DICTIONARY-5'!$A$2)</f>
        <v>224,-</v>
      </c>
      <c r="M1078" s="670" t="str">
        <f>IF(EXC.RATE_2=0,"",IFERROR(IF(CURRENCY.FORMAT_2=0,CONCATENATE(TEXT(FIXED(ROUND(IF(EXC.RATE.SWITCH=1,C1078*(1-I1078)*(1-ADD.DISCOUNT)*(1+MAT.SURCHARGE)/EXC.RATE_2,C1078*(1-I1078)*(1-ADD.DISCOUNT)*(1+MAT.SURCHARGE)*EXC.RATE_2),CURRENCY.FORMAT_2),CURRENCY.FORMAT_2,1),"# ##0;-# ##0"),",-"),FIXED(ROUND(IF(EXC.RATE.SWITCH=1,C1078*(1-I1078)*(1-ADD.DISCOUNT)*(1+MAT.SURCHARGE)/EXC.RATE_2,C1078*(1-I1078)*(1-ADD.DISCOUNT)*(1+MAT.SURCHARGE)*EXC.RATE_2),CURRENCY.FORMAT_2),CURRENCY.FORMAT_2,0)),'DICTIONARY-5'!$A$2))</f>
        <v/>
      </c>
      <c r="N1078" s="542">
        <v>4</v>
      </c>
      <c r="O1078" s="542"/>
      <c r="P1078" s="731" t="str">
        <f>'DICTIONARY-3'!$A$58</f>
        <v>HOD-K</v>
      </c>
      <c r="Q1078" s="732" t="str">
        <f>'DICTIONARY-3'!$A$196</f>
        <v>Mostek nawiertowy</v>
      </c>
      <c r="R1078" s="732" t="str">
        <f>CONCATENATE('DICTIONARY-3'!$A$55,'DICTIONARY-3'!$A$77," ",'DICTIONARY-6'!$A$21," ",'DICTIONARY-2'!$A$2,"150"," ",'DICTIONARY-2'!$A$5,"160 G1"," ",'DICTIONARY-6'!$A$61,", ",'DICTIONARY-6'!$A$76," ",'DICTIONARY-5'!$A$57,"+",'DICTIONARY-5'!$A$56)</f>
        <v>HOD-K504 Mostek nawiert. DN150 Da160 G1 z zasuwa, ruroc. PE+PVC</v>
      </c>
      <c r="S1078" s="733" t="str">
        <f>'DICTIONARY-4'!$A$2</f>
        <v>WW</v>
      </c>
      <c r="T1078" s="732" t="str">
        <f>'DICTIONARY-4'!$A$18</f>
        <v>Wolny wałek</v>
      </c>
      <c r="U1078" s="734" t="s">
        <v>5572</v>
      </c>
      <c r="V1078" s="735"/>
      <c r="W1078" s="744" t="s">
        <v>7342</v>
      </c>
      <c r="X1078" s="750" t="s">
        <v>49</v>
      </c>
      <c r="Y1078" s="738"/>
      <c r="Z1078" s="739"/>
      <c r="AA1078" s="739"/>
      <c r="AB1078" s="740">
        <v>16</v>
      </c>
      <c r="AC1078" s="741"/>
      <c r="AD1078" s="741" t="str">
        <f>'DICTIONARY-5'!$A$13</f>
        <v>woda pitna</v>
      </c>
      <c r="AE1078" s="742">
        <v>50</v>
      </c>
      <c r="AF1078" s="743">
        <v>10</v>
      </c>
      <c r="AG1078" s="741" t="str">
        <f>'DICTIONARY-5'!$A$23</f>
        <v>powłoka epoksydowa</v>
      </c>
    </row>
    <row r="1079" spans="1:33" x14ac:dyDescent="0.25">
      <c r="A1079" s="856" t="s">
        <v>1025</v>
      </c>
      <c r="B1079" s="856" t="s">
        <v>4059</v>
      </c>
      <c r="C1079" s="836">
        <v>270</v>
      </c>
      <c r="D1079" s="836"/>
      <c r="E1079" s="836"/>
      <c r="F1079" s="836"/>
      <c r="G1079" s="496" t="s">
        <v>7812</v>
      </c>
      <c r="H1079" s="797" t="str">
        <f>VLOOKUP(G1079,SETTINGS!$B$7:$D$97,2,0)</f>
        <v>HOD</v>
      </c>
      <c r="I1079" s="796">
        <f>VLOOKUP(G1079,SETTINGS!$B$7:$D$97,3,0)</f>
        <v>0</v>
      </c>
      <c r="J1079" s="670" t="str">
        <f>IFERROR(IF(CURRENCY.FORMAT_1=0,CONCATENATE(TEXT(FIXED(ROUND((C1079/EXC.RATE_1),CURRENCY.FORMAT_1),CURRENCY.FORMAT_1,1),"# ##0;-# ##0"),",-"),FIXED(ROUND((C1079/EXC.RATE_1),CURRENCY.FORMAT_1),CURRENCY.FORMAT_1,0)),'DICTIONARY-5'!$A$2)</f>
        <v>270,-</v>
      </c>
      <c r="K1079" s="670" t="str">
        <f>IF(EXC.RATE_2=0,"",IFERROR(IF(CURRENCY.FORMAT_2=0,CONCATENATE(TEXT(FIXED(ROUND(IF(EXC.RATE.SWITCH=1,C1079/EXC.RATE_2,C1079*EXC.RATE_2),CURRENCY.FORMAT_2),CURRENCY.FORMAT_2,1),"# ##0;-# ##0"),",-"),FIXED(ROUND(IF(EXC.RATE.SWITCH=1,C1079/EXC.RATE_2,C1079*EXC.RATE_2),CURRENCY.FORMAT_2),CURRENCY.FORMAT_2,0)),'DICTIONARY-5'!$A$2))</f>
        <v/>
      </c>
      <c r="L1079" s="670" t="str">
        <f>IFERROR(IF(CURRENCY.FORMAT_1=0,CONCATENATE(TEXT(FIXED(ROUND((C1079*(1-I1079)*(1-ADD.DISCOUNT)*(1+MAT.SURCHARGE)/EXC.RATE_1),CURRENCY.FORMAT_1),CURRENCY.FORMAT_1,1),"# ##0;-# ##0"),",-"),FIXED(ROUND((C1079*(1-I1079)*(1-ADD.DISCOUNT)*(1+MAT.SURCHARGE)/EXC.RATE_1),CURRENCY.FORMAT_1),CURRENCY.FORMAT_1,0)),'DICTIONARY-5'!$A$2)</f>
        <v>281,-</v>
      </c>
      <c r="M1079" s="670" t="str">
        <f>IF(EXC.RATE_2=0,"",IFERROR(IF(CURRENCY.FORMAT_2=0,CONCATENATE(TEXT(FIXED(ROUND(IF(EXC.RATE.SWITCH=1,C1079*(1-I1079)*(1-ADD.DISCOUNT)*(1+MAT.SURCHARGE)/EXC.RATE_2,C1079*(1-I1079)*(1-ADD.DISCOUNT)*(1+MAT.SURCHARGE)*EXC.RATE_2),CURRENCY.FORMAT_2),CURRENCY.FORMAT_2,1),"# ##0;-# ##0"),",-"),FIXED(ROUND(IF(EXC.RATE.SWITCH=1,C1079*(1-I1079)*(1-ADD.DISCOUNT)*(1+MAT.SURCHARGE)/EXC.RATE_2,C1079*(1-I1079)*(1-ADD.DISCOUNT)*(1+MAT.SURCHARGE)*EXC.RATE_2),CURRENCY.FORMAT_2),CURRENCY.FORMAT_2,0)),'DICTIONARY-5'!$A$2))</f>
        <v/>
      </c>
      <c r="N1079" s="542">
        <v>4</v>
      </c>
      <c r="O1079" s="542"/>
      <c r="P1079" s="731" t="str">
        <f>'DICTIONARY-3'!$A$58</f>
        <v>HOD-K</v>
      </c>
      <c r="Q1079" s="732" t="str">
        <f>'DICTIONARY-3'!$A$196</f>
        <v>Mostek nawiertowy</v>
      </c>
      <c r="R1079" s="732" t="str">
        <f>CONCATENATE('DICTIONARY-3'!$A$55,'DICTIONARY-3'!$A$77," ",'DICTIONARY-6'!$A$21," ",'DICTIONARY-2'!$A$2,"200"," ",'DICTIONARY-2'!$A$5,"225 G1"," ",'DICTIONARY-6'!$A$61,", ",'DICTIONARY-6'!$A$76," ",'DICTIONARY-5'!$A$57,"+",'DICTIONARY-5'!$A$56)</f>
        <v>HOD-K504 Mostek nawiert. DN200 Da225 G1 z zasuwa, ruroc. PE+PVC</v>
      </c>
      <c r="S1079" s="733" t="str">
        <f>'DICTIONARY-4'!$A$2</f>
        <v>WW</v>
      </c>
      <c r="T1079" s="732" t="str">
        <f>'DICTIONARY-4'!$A$18</f>
        <v>Wolny wałek</v>
      </c>
      <c r="U1079" s="734" t="s">
        <v>5750</v>
      </c>
      <c r="V1079" s="735"/>
      <c r="W1079" s="744" t="s">
        <v>5833</v>
      </c>
      <c r="X1079" s="750" t="s">
        <v>49</v>
      </c>
      <c r="Y1079" s="738"/>
      <c r="Z1079" s="739"/>
      <c r="AA1079" s="739"/>
      <c r="AB1079" s="740">
        <v>16</v>
      </c>
      <c r="AC1079" s="741"/>
      <c r="AD1079" s="741" t="str">
        <f>'DICTIONARY-5'!$A$13</f>
        <v>woda pitna</v>
      </c>
      <c r="AE1079" s="742">
        <v>50</v>
      </c>
      <c r="AF1079" s="743">
        <v>14.4</v>
      </c>
      <c r="AG1079" s="741" t="str">
        <f>'DICTIONARY-5'!$A$23</f>
        <v>powłoka epoksydowa</v>
      </c>
    </row>
    <row r="1080" spans="1:33" x14ac:dyDescent="0.25">
      <c r="A1080" s="856" t="s">
        <v>1016</v>
      </c>
      <c r="B1080" s="856" t="s">
        <v>4060</v>
      </c>
      <c r="C1080" s="836">
        <v>178</v>
      </c>
      <c r="D1080" s="836"/>
      <c r="E1080" s="836"/>
      <c r="F1080" s="836"/>
      <c r="G1080" s="496" t="s">
        <v>7812</v>
      </c>
      <c r="H1080" s="797" t="str">
        <f>VLOOKUP(G1080,SETTINGS!$B$7:$D$97,2,0)</f>
        <v>HOD</v>
      </c>
      <c r="I1080" s="796">
        <f>VLOOKUP(G1080,SETTINGS!$B$7:$D$97,3,0)</f>
        <v>0</v>
      </c>
      <c r="J1080" s="670" t="str">
        <f>IFERROR(IF(CURRENCY.FORMAT_1=0,CONCATENATE(TEXT(FIXED(ROUND((C1080/EXC.RATE_1),CURRENCY.FORMAT_1),CURRENCY.FORMAT_1,1),"# ##0;-# ##0"),",-"),FIXED(ROUND((C1080/EXC.RATE_1),CURRENCY.FORMAT_1),CURRENCY.FORMAT_1,0)),'DICTIONARY-5'!$A$2)</f>
        <v>178,-</v>
      </c>
      <c r="K1080" s="670" t="str">
        <f>IF(EXC.RATE_2=0,"",IFERROR(IF(CURRENCY.FORMAT_2=0,CONCATENATE(TEXT(FIXED(ROUND(IF(EXC.RATE.SWITCH=1,C1080/EXC.RATE_2,C1080*EXC.RATE_2),CURRENCY.FORMAT_2),CURRENCY.FORMAT_2,1),"# ##0;-# ##0"),",-"),FIXED(ROUND(IF(EXC.RATE.SWITCH=1,C1080/EXC.RATE_2,C1080*EXC.RATE_2),CURRENCY.FORMAT_2),CURRENCY.FORMAT_2,0)),'DICTIONARY-5'!$A$2))</f>
        <v/>
      </c>
      <c r="L1080" s="670" t="str">
        <f>IFERROR(IF(CURRENCY.FORMAT_1=0,CONCATENATE(TEXT(FIXED(ROUND((C1080*(1-I1080)*(1-ADD.DISCOUNT)*(1+MAT.SURCHARGE)/EXC.RATE_1),CURRENCY.FORMAT_1),CURRENCY.FORMAT_1,1),"# ##0;-# ##0"),",-"),FIXED(ROUND((C1080*(1-I1080)*(1-ADD.DISCOUNT)*(1+MAT.SURCHARGE)/EXC.RATE_1),CURRENCY.FORMAT_1),CURRENCY.FORMAT_1,0)),'DICTIONARY-5'!$A$2)</f>
        <v>185,-</v>
      </c>
      <c r="M1080" s="670" t="str">
        <f>IF(EXC.RATE_2=0,"",IFERROR(IF(CURRENCY.FORMAT_2=0,CONCATENATE(TEXT(FIXED(ROUND(IF(EXC.RATE.SWITCH=1,C1080*(1-I1080)*(1-ADD.DISCOUNT)*(1+MAT.SURCHARGE)/EXC.RATE_2,C1080*(1-I1080)*(1-ADD.DISCOUNT)*(1+MAT.SURCHARGE)*EXC.RATE_2),CURRENCY.FORMAT_2),CURRENCY.FORMAT_2,1),"# ##0;-# ##0"),",-"),FIXED(ROUND(IF(EXC.RATE.SWITCH=1,C1080*(1-I1080)*(1-ADD.DISCOUNT)*(1+MAT.SURCHARGE)/EXC.RATE_2,C1080*(1-I1080)*(1-ADD.DISCOUNT)*(1+MAT.SURCHARGE)*EXC.RATE_2),CURRENCY.FORMAT_2),CURRENCY.FORMAT_2,0)),'DICTIONARY-5'!$A$2))</f>
        <v/>
      </c>
      <c r="N1080" s="542">
        <v>4</v>
      </c>
      <c r="O1080" s="542"/>
      <c r="P1080" s="731" t="str">
        <f>'DICTIONARY-3'!$A$58</f>
        <v>HOD-K</v>
      </c>
      <c r="Q1080" s="732" t="str">
        <f>'DICTIONARY-3'!$A$196</f>
        <v>Mostek nawiertowy</v>
      </c>
      <c r="R1080" s="732" t="str">
        <f>CONCATENATE('DICTIONARY-3'!$A$55,'DICTIONARY-3'!$A$77," ",'DICTIONARY-6'!$A$21," ",'DICTIONARY-2'!$A$2,"50"," ",'DICTIONARY-2'!$A$5,"63 G1¼"," ",'DICTIONARY-6'!$A$61,", ",'DICTIONARY-6'!$A$76," ",'DICTIONARY-5'!$A$57,"+",'DICTIONARY-5'!$A$56)</f>
        <v>HOD-K504 Mostek nawiert. DN50 Da63 G1¼ z zasuwa, ruroc. PE+PVC</v>
      </c>
      <c r="S1080" s="733" t="str">
        <f>'DICTIONARY-4'!$A$2</f>
        <v>WW</v>
      </c>
      <c r="T1080" s="732" t="str">
        <f>'DICTIONARY-4'!$A$18</f>
        <v>Wolny wałek</v>
      </c>
      <c r="U1080" s="734" t="s">
        <v>5748</v>
      </c>
      <c r="V1080" s="735"/>
      <c r="W1080" s="744" t="s">
        <v>7338</v>
      </c>
      <c r="X1080" s="750" t="s">
        <v>5740</v>
      </c>
      <c r="Y1080" s="738"/>
      <c r="Z1080" s="739"/>
      <c r="AA1080" s="739"/>
      <c r="AB1080" s="740">
        <v>16</v>
      </c>
      <c r="AC1080" s="741"/>
      <c r="AD1080" s="741" t="str">
        <f>'DICTIONARY-5'!$A$13</f>
        <v>woda pitna</v>
      </c>
      <c r="AE1080" s="742">
        <v>50</v>
      </c>
      <c r="AF1080" s="743">
        <v>5.5</v>
      </c>
      <c r="AG1080" s="741" t="str">
        <f>'DICTIONARY-5'!$A$23</f>
        <v>powłoka epoksydowa</v>
      </c>
    </row>
    <row r="1081" spans="1:33" x14ac:dyDescent="0.25">
      <c r="A1081" s="856" t="s">
        <v>1018</v>
      </c>
      <c r="B1081" s="856" t="s">
        <v>4061</v>
      </c>
      <c r="C1081" s="836">
        <v>196</v>
      </c>
      <c r="D1081" s="836"/>
      <c r="E1081" s="836"/>
      <c r="F1081" s="836"/>
      <c r="G1081" s="496" t="s">
        <v>7812</v>
      </c>
      <c r="H1081" s="797" t="str">
        <f>VLOOKUP(G1081,SETTINGS!$B$7:$D$97,2,0)</f>
        <v>HOD</v>
      </c>
      <c r="I1081" s="796">
        <f>VLOOKUP(G1081,SETTINGS!$B$7:$D$97,3,0)</f>
        <v>0</v>
      </c>
      <c r="J1081" s="670" t="str">
        <f>IFERROR(IF(CURRENCY.FORMAT_1=0,CONCATENATE(TEXT(FIXED(ROUND((C1081/EXC.RATE_1),CURRENCY.FORMAT_1),CURRENCY.FORMAT_1,1),"# ##0;-# ##0"),",-"),FIXED(ROUND((C1081/EXC.RATE_1),CURRENCY.FORMAT_1),CURRENCY.FORMAT_1,0)),'DICTIONARY-5'!$A$2)</f>
        <v>196,-</v>
      </c>
      <c r="K1081" s="670" t="str">
        <f>IF(EXC.RATE_2=0,"",IFERROR(IF(CURRENCY.FORMAT_2=0,CONCATENATE(TEXT(FIXED(ROUND(IF(EXC.RATE.SWITCH=1,C1081/EXC.RATE_2,C1081*EXC.RATE_2),CURRENCY.FORMAT_2),CURRENCY.FORMAT_2,1),"# ##0;-# ##0"),",-"),FIXED(ROUND(IF(EXC.RATE.SWITCH=1,C1081/EXC.RATE_2,C1081*EXC.RATE_2),CURRENCY.FORMAT_2),CURRENCY.FORMAT_2,0)),'DICTIONARY-5'!$A$2))</f>
        <v/>
      </c>
      <c r="L1081" s="670" t="str">
        <f>IFERROR(IF(CURRENCY.FORMAT_1=0,CONCATENATE(TEXT(FIXED(ROUND((C1081*(1-I1081)*(1-ADD.DISCOUNT)*(1+MAT.SURCHARGE)/EXC.RATE_1),CURRENCY.FORMAT_1),CURRENCY.FORMAT_1,1),"# ##0;-# ##0"),",-"),FIXED(ROUND((C1081*(1-I1081)*(1-ADD.DISCOUNT)*(1+MAT.SURCHARGE)/EXC.RATE_1),CURRENCY.FORMAT_1),CURRENCY.FORMAT_1,0)),'DICTIONARY-5'!$A$2)</f>
        <v>204,-</v>
      </c>
      <c r="M1081" s="670" t="str">
        <f>IF(EXC.RATE_2=0,"",IFERROR(IF(CURRENCY.FORMAT_2=0,CONCATENATE(TEXT(FIXED(ROUND(IF(EXC.RATE.SWITCH=1,C1081*(1-I1081)*(1-ADD.DISCOUNT)*(1+MAT.SURCHARGE)/EXC.RATE_2,C1081*(1-I1081)*(1-ADD.DISCOUNT)*(1+MAT.SURCHARGE)*EXC.RATE_2),CURRENCY.FORMAT_2),CURRENCY.FORMAT_2,1),"# ##0;-# ##0"),",-"),FIXED(ROUND(IF(EXC.RATE.SWITCH=1,C1081*(1-I1081)*(1-ADD.DISCOUNT)*(1+MAT.SURCHARGE)/EXC.RATE_2,C1081*(1-I1081)*(1-ADD.DISCOUNT)*(1+MAT.SURCHARGE)*EXC.RATE_2),CURRENCY.FORMAT_2),CURRENCY.FORMAT_2,0)),'DICTIONARY-5'!$A$2))</f>
        <v/>
      </c>
      <c r="N1081" s="542">
        <v>4</v>
      </c>
      <c r="O1081" s="542"/>
      <c r="P1081" s="731" t="str">
        <f>'DICTIONARY-3'!$A$58</f>
        <v>HOD-K</v>
      </c>
      <c r="Q1081" s="732" t="str">
        <f>'DICTIONARY-3'!$A$196</f>
        <v>Mostek nawiertowy</v>
      </c>
      <c r="R1081" s="732" t="str">
        <f>CONCATENATE('DICTIONARY-3'!$A$55,'DICTIONARY-3'!$A$77," ",'DICTIONARY-6'!$A$21," ",'DICTIONARY-2'!$A$2,"65"," ",'DICTIONARY-2'!$A$5,"75 G1¼"," ",'DICTIONARY-6'!$A$61,", ",'DICTIONARY-6'!$A$76," ",'DICTIONARY-5'!$A$57,"+",'DICTIONARY-5'!$A$56)</f>
        <v>HOD-K504 Mostek nawiert. DN65 Da75 G1¼ z zasuwa, ruroc. PE+PVC</v>
      </c>
      <c r="S1081" s="733" t="str">
        <f>'DICTIONARY-4'!$A$2</f>
        <v>WW</v>
      </c>
      <c r="T1081" s="732" t="str">
        <f>'DICTIONARY-4'!$A$18</f>
        <v>Wolny wałek</v>
      </c>
      <c r="U1081" s="734" t="s">
        <v>5759</v>
      </c>
      <c r="V1081" s="735"/>
      <c r="W1081" s="744" t="s">
        <v>7359</v>
      </c>
      <c r="X1081" s="737" t="s">
        <v>5740</v>
      </c>
      <c r="Y1081" s="738"/>
      <c r="Z1081" s="739"/>
      <c r="AA1081" s="739"/>
      <c r="AB1081" s="740">
        <v>16</v>
      </c>
      <c r="AC1081" s="741"/>
      <c r="AD1081" s="741" t="str">
        <f>'DICTIONARY-5'!$A$13</f>
        <v>woda pitna</v>
      </c>
      <c r="AE1081" s="742">
        <v>50</v>
      </c>
      <c r="AF1081" s="743">
        <v>5.75</v>
      </c>
      <c r="AG1081" s="741" t="str">
        <f>'DICTIONARY-5'!$A$23</f>
        <v>powłoka epoksydowa</v>
      </c>
    </row>
    <row r="1082" spans="1:33" x14ac:dyDescent="0.25">
      <c r="A1082" s="856" t="s">
        <v>1020</v>
      </c>
      <c r="B1082" s="856" t="s">
        <v>4062</v>
      </c>
      <c r="C1082" s="836">
        <v>188</v>
      </c>
      <c r="D1082" s="836"/>
      <c r="E1082" s="836"/>
      <c r="F1082" s="836"/>
      <c r="G1082" s="496" t="s">
        <v>7812</v>
      </c>
      <c r="H1082" s="797" t="str">
        <f>VLOOKUP(G1082,SETTINGS!$B$7:$D$97,2,0)</f>
        <v>HOD</v>
      </c>
      <c r="I1082" s="796">
        <f>VLOOKUP(G1082,SETTINGS!$B$7:$D$97,3,0)</f>
        <v>0</v>
      </c>
      <c r="J1082" s="670" t="str">
        <f>IFERROR(IF(CURRENCY.FORMAT_1=0,CONCATENATE(TEXT(FIXED(ROUND((C1082/EXC.RATE_1),CURRENCY.FORMAT_1),CURRENCY.FORMAT_1,1),"# ##0;-# ##0"),",-"),FIXED(ROUND((C1082/EXC.RATE_1),CURRENCY.FORMAT_1),CURRENCY.FORMAT_1,0)),'DICTIONARY-5'!$A$2)</f>
        <v>188,-</v>
      </c>
      <c r="K1082" s="670" t="str">
        <f>IF(EXC.RATE_2=0,"",IFERROR(IF(CURRENCY.FORMAT_2=0,CONCATENATE(TEXT(FIXED(ROUND(IF(EXC.RATE.SWITCH=1,C1082/EXC.RATE_2,C1082*EXC.RATE_2),CURRENCY.FORMAT_2),CURRENCY.FORMAT_2,1),"# ##0;-# ##0"),",-"),FIXED(ROUND(IF(EXC.RATE.SWITCH=1,C1082/EXC.RATE_2,C1082*EXC.RATE_2),CURRENCY.FORMAT_2),CURRENCY.FORMAT_2,0)),'DICTIONARY-5'!$A$2))</f>
        <v/>
      </c>
      <c r="L1082" s="670" t="str">
        <f>IFERROR(IF(CURRENCY.FORMAT_1=0,CONCATENATE(TEXT(FIXED(ROUND((C1082*(1-I1082)*(1-ADD.DISCOUNT)*(1+MAT.SURCHARGE)/EXC.RATE_1),CURRENCY.FORMAT_1),CURRENCY.FORMAT_1,1),"# ##0;-# ##0"),",-"),FIXED(ROUND((C1082*(1-I1082)*(1-ADD.DISCOUNT)*(1+MAT.SURCHARGE)/EXC.RATE_1),CURRENCY.FORMAT_1),CURRENCY.FORMAT_1,0)),'DICTIONARY-5'!$A$2)</f>
        <v>195,-</v>
      </c>
      <c r="M1082" s="670" t="str">
        <f>IF(EXC.RATE_2=0,"",IFERROR(IF(CURRENCY.FORMAT_2=0,CONCATENATE(TEXT(FIXED(ROUND(IF(EXC.RATE.SWITCH=1,C1082*(1-I1082)*(1-ADD.DISCOUNT)*(1+MAT.SURCHARGE)/EXC.RATE_2,C1082*(1-I1082)*(1-ADD.DISCOUNT)*(1+MAT.SURCHARGE)*EXC.RATE_2),CURRENCY.FORMAT_2),CURRENCY.FORMAT_2,1),"# ##0;-# ##0"),",-"),FIXED(ROUND(IF(EXC.RATE.SWITCH=1,C1082*(1-I1082)*(1-ADD.DISCOUNT)*(1+MAT.SURCHARGE)/EXC.RATE_2,C1082*(1-I1082)*(1-ADD.DISCOUNT)*(1+MAT.SURCHARGE)*EXC.RATE_2),CURRENCY.FORMAT_2),CURRENCY.FORMAT_2,0)),'DICTIONARY-5'!$A$2))</f>
        <v/>
      </c>
      <c r="N1082" s="542">
        <v>4</v>
      </c>
      <c r="O1082" s="542"/>
      <c r="P1082" s="731" t="str">
        <f>'DICTIONARY-3'!$A$58</f>
        <v>HOD-K</v>
      </c>
      <c r="Q1082" s="732" t="str">
        <f>'DICTIONARY-3'!$A$196</f>
        <v>Mostek nawiertowy</v>
      </c>
      <c r="R1082" s="732" t="str">
        <f>CONCATENATE('DICTIONARY-3'!$A$55,'DICTIONARY-3'!$A$77," ",'DICTIONARY-6'!$A$21," ",'DICTIONARY-2'!$A$2,"80"," ",'DICTIONARY-2'!$A$5,"90 G1¼"," ",'DICTIONARY-6'!$A$61,", ",'DICTIONARY-6'!$A$76," ",'DICTIONARY-5'!$A$57,"+",'DICTIONARY-5'!$A$56)</f>
        <v>HOD-K504 Mostek nawiert. DN80 Da90 G1¼ z zasuwa, ruroc. PE+PVC</v>
      </c>
      <c r="S1082" s="733" t="str">
        <f>'DICTIONARY-4'!$A$2</f>
        <v>WW</v>
      </c>
      <c r="T1082" s="732" t="str">
        <f>'DICTIONARY-4'!$A$18</f>
        <v>Wolny wałek</v>
      </c>
      <c r="U1082" s="734" t="s">
        <v>5760</v>
      </c>
      <c r="V1082" s="735"/>
      <c r="W1082" s="744" t="s">
        <v>7339</v>
      </c>
      <c r="X1082" s="737" t="s">
        <v>5740</v>
      </c>
      <c r="Y1082" s="738"/>
      <c r="Z1082" s="739"/>
      <c r="AA1082" s="739"/>
      <c r="AB1082" s="740">
        <v>16</v>
      </c>
      <c r="AC1082" s="741"/>
      <c r="AD1082" s="741" t="str">
        <f>'DICTIONARY-5'!$A$13</f>
        <v>woda pitna</v>
      </c>
      <c r="AE1082" s="742">
        <v>50</v>
      </c>
      <c r="AF1082" s="743">
        <v>9.3000000000000007</v>
      </c>
      <c r="AG1082" s="741" t="str">
        <f>'DICTIONARY-5'!$A$23</f>
        <v>powłoka epoksydowa</v>
      </c>
    </row>
    <row r="1083" spans="1:33" x14ac:dyDescent="0.25">
      <c r="A1083" s="856" t="s">
        <v>1022</v>
      </c>
      <c r="B1083" s="856" t="s">
        <v>4063</v>
      </c>
      <c r="C1083" s="836">
        <v>191</v>
      </c>
      <c r="D1083" s="836"/>
      <c r="E1083" s="836"/>
      <c r="F1083" s="836"/>
      <c r="G1083" s="496" t="s">
        <v>7812</v>
      </c>
      <c r="H1083" s="797" t="str">
        <f>VLOOKUP(G1083,SETTINGS!$B$7:$D$97,2,0)</f>
        <v>HOD</v>
      </c>
      <c r="I1083" s="796">
        <f>VLOOKUP(G1083,SETTINGS!$B$7:$D$97,3,0)</f>
        <v>0</v>
      </c>
      <c r="J1083" s="670" t="str">
        <f>IFERROR(IF(CURRENCY.FORMAT_1=0,CONCATENATE(TEXT(FIXED(ROUND((C1083/EXC.RATE_1),CURRENCY.FORMAT_1),CURRENCY.FORMAT_1,1),"# ##0;-# ##0"),",-"),FIXED(ROUND((C1083/EXC.RATE_1),CURRENCY.FORMAT_1),CURRENCY.FORMAT_1,0)),'DICTIONARY-5'!$A$2)</f>
        <v>191,-</v>
      </c>
      <c r="K1083" s="670" t="str">
        <f>IF(EXC.RATE_2=0,"",IFERROR(IF(CURRENCY.FORMAT_2=0,CONCATENATE(TEXT(FIXED(ROUND(IF(EXC.RATE.SWITCH=1,C1083/EXC.RATE_2,C1083*EXC.RATE_2),CURRENCY.FORMAT_2),CURRENCY.FORMAT_2,1),"# ##0;-# ##0"),",-"),FIXED(ROUND(IF(EXC.RATE.SWITCH=1,C1083/EXC.RATE_2,C1083*EXC.RATE_2),CURRENCY.FORMAT_2),CURRENCY.FORMAT_2,0)),'DICTIONARY-5'!$A$2))</f>
        <v/>
      </c>
      <c r="L1083" s="670" t="str">
        <f>IFERROR(IF(CURRENCY.FORMAT_1=0,CONCATENATE(TEXT(FIXED(ROUND((C1083*(1-I1083)*(1-ADD.DISCOUNT)*(1+MAT.SURCHARGE)/EXC.RATE_1),CURRENCY.FORMAT_1),CURRENCY.FORMAT_1,1),"# ##0;-# ##0"),",-"),FIXED(ROUND((C1083*(1-I1083)*(1-ADD.DISCOUNT)*(1+MAT.SURCHARGE)/EXC.RATE_1),CURRENCY.FORMAT_1),CURRENCY.FORMAT_1,0)),'DICTIONARY-5'!$A$2)</f>
        <v>198,-</v>
      </c>
      <c r="M1083" s="670" t="str">
        <f>IF(EXC.RATE_2=0,"",IFERROR(IF(CURRENCY.FORMAT_2=0,CONCATENATE(TEXT(FIXED(ROUND(IF(EXC.RATE.SWITCH=1,C1083*(1-I1083)*(1-ADD.DISCOUNT)*(1+MAT.SURCHARGE)/EXC.RATE_2,C1083*(1-I1083)*(1-ADD.DISCOUNT)*(1+MAT.SURCHARGE)*EXC.RATE_2),CURRENCY.FORMAT_2),CURRENCY.FORMAT_2,1),"# ##0;-# ##0"),",-"),FIXED(ROUND(IF(EXC.RATE.SWITCH=1,C1083*(1-I1083)*(1-ADD.DISCOUNT)*(1+MAT.SURCHARGE)/EXC.RATE_2,C1083*(1-I1083)*(1-ADD.DISCOUNT)*(1+MAT.SURCHARGE)*EXC.RATE_2),CURRENCY.FORMAT_2),CURRENCY.FORMAT_2,0)),'DICTIONARY-5'!$A$2))</f>
        <v/>
      </c>
      <c r="N1083" s="542">
        <v>4</v>
      </c>
      <c r="O1083" s="542"/>
      <c r="P1083" s="731" t="str">
        <f>'DICTIONARY-3'!$A$58</f>
        <v>HOD-K</v>
      </c>
      <c r="Q1083" s="732" t="str">
        <f>'DICTIONARY-3'!$A$196</f>
        <v>Mostek nawiertowy</v>
      </c>
      <c r="R1083" s="732" t="str">
        <f>CONCATENATE('DICTIONARY-3'!$A$55,'DICTIONARY-3'!$A$77," ",'DICTIONARY-6'!$A$21," ",'DICTIONARY-2'!$A$2,"100"," ",'DICTIONARY-2'!$A$5,"110 G1¼"," ",'DICTIONARY-6'!$A$61,", ",'DICTIONARY-6'!$A$76," ",'DICTIONARY-5'!$A$57,"+",'DICTIONARY-5'!$A$56)</f>
        <v>HOD-K504 Mostek nawiert. DN100 Da110 G1¼ z zasuwa, ruroc. PE+PVC</v>
      </c>
      <c r="S1083" s="733" t="str">
        <f>'DICTIONARY-4'!$A$2</f>
        <v>WW</v>
      </c>
      <c r="T1083" s="732" t="str">
        <f>'DICTIONARY-4'!$A$18</f>
        <v>Wolny wałek</v>
      </c>
      <c r="U1083" s="734" t="s">
        <v>5749</v>
      </c>
      <c r="V1083" s="735"/>
      <c r="W1083" s="744" t="s">
        <v>7340</v>
      </c>
      <c r="X1083" s="737" t="s">
        <v>5740</v>
      </c>
      <c r="Y1083" s="738"/>
      <c r="Z1083" s="739"/>
      <c r="AA1083" s="739"/>
      <c r="AB1083" s="740">
        <v>16</v>
      </c>
      <c r="AC1083" s="741"/>
      <c r="AD1083" s="741" t="str">
        <f>'DICTIONARY-5'!$A$13</f>
        <v>woda pitna</v>
      </c>
      <c r="AE1083" s="742">
        <v>50</v>
      </c>
      <c r="AF1083" s="743">
        <v>8.5</v>
      </c>
      <c r="AG1083" s="741" t="str">
        <f>'DICTIONARY-5'!$A$23</f>
        <v>powłoka epoksydowa</v>
      </c>
    </row>
    <row r="1084" spans="1:33" x14ac:dyDescent="0.25">
      <c r="A1084" s="856" t="s">
        <v>1024</v>
      </c>
      <c r="B1084" s="856" t="s">
        <v>4064</v>
      </c>
      <c r="C1084" s="836">
        <v>220</v>
      </c>
      <c r="D1084" s="836"/>
      <c r="E1084" s="836"/>
      <c r="F1084" s="836"/>
      <c r="G1084" s="496" t="s">
        <v>7812</v>
      </c>
      <c r="H1084" s="797" t="str">
        <f>VLOOKUP(G1084,SETTINGS!$B$7:$D$97,2,0)</f>
        <v>HOD</v>
      </c>
      <c r="I1084" s="796">
        <f>VLOOKUP(G1084,SETTINGS!$B$7:$D$97,3,0)</f>
        <v>0</v>
      </c>
      <c r="J1084" s="670" t="str">
        <f>IFERROR(IF(CURRENCY.FORMAT_1=0,CONCATENATE(TEXT(FIXED(ROUND((C1084/EXC.RATE_1),CURRENCY.FORMAT_1),CURRENCY.FORMAT_1,1),"# ##0;-# ##0"),",-"),FIXED(ROUND((C1084/EXC.RATE_1),CURRENCY.FORMAT_1),CURRENCY.FORMAT_1,0)),'DICTIONARY-5'!$A$2)</f>
        <v>220,-</v>
      </c>
      <c r="K1084" s="670" t="str">
        <f>IF(EXC.RATE_2=0,"",IFERROR(IF(CURRENCY.FORMAT_2=0,CONCATENATE(TEXT(FIXED(ROUND(IF(EXC.RATE.SWITCH=1,C1084/EXC.RATE_2,C1084*EXC.RATE_2),CURRENCY.FORMAT_2),CURRENCY.FORMAT_2,1),"# ##0;-# ##0"),",-"),FIXED(ROUND(IF(EXC.RATE.SWITCH=1,C1084/EXC.RATE_2,C1084*EXC.RATE_2),CURRENCY.FORMAT_2),CURRENCY.FORMAT_2,0)),'DICTIONARY-5'!$A$2))</f>
        <v/>
      </c>
      <c r="L1084" s="670" t="str">
        <f>IFERROR(IF(CURRENCY.FORMAT_1=0,CONCATENATE(TEXT(FIXED(ROUND((C1084*(1-I1084)*(1-ADD.DISCOUNT)*(1+MAT.SURCHARGE)/EXC.RATE_1),CURRENCY.FORMAT_1),CURRENCY.FORMAT_1,1),"# ##0;-# ##0"),",-"),FIXED(ROUND((C1084*(1-I1084)*(1-ADD.DISCOUNT)*(1+MAT.SURCHARGE)/EXC.RATE_1),CURRENCY.FORMAT_1),CURRENCY.FORMAT_1,0)),'DICTIONARY-5'!$A$2)</f>
        <v>229,-</v>
      </c>
      <c r="M1084" s="670" t="str">
        <f>IF(EXC.RATE_2=0,"",IFERROR(IF(CURRENCY.FORMAT_2=0,CONCATENATE(TEXT(FIXED(ROUND(IF(EXC.RATE.SWITCH=1,C1084*(1-I1084)*(1-ADD.DISCOUNT)*(1+MAT.SURCHARGE)/EXC.RATE_2,C1084*(1-I1084)*(1-ADD.DISCOUNT)*(1+MAT.SURCHARGE)*EXC.RATE_2),CURRENCY.FORMAT_2),CURRENCY.FORMAT_2,1),"# ##0;-# ##0"),",-"),FIXED(ROUND(IF(EXC.RATE.SWITCH=1,C1084*(1-I1084)*(1-ADD.DISCOUNT)*(1+MAT.SURCHARGE)/EXC.RATE_2,C1084*(1-I1084)*(1-ADD.DISCOUNT)*(1+MAT.SURCHARGE)*EXC.RATE_2),CURRENCY.FORMAT_2),CURRENCY.FORMAT_2,0)),'DICTIONARY-5'!$A$2))</f>
        <v/>
      </c>
      <c r="N1084" s="542">
        <v>4</v>
      </c>
      <c r="O1084" s="542"/>
      <c r="P1084" s="731" t="str">
        <f>'DICTIONARY-3'!$A$58</f>
        <v>HOD-K</v>
      </c>
      <c r="Q1084" s="732" t="str">
        <f>'DICTIONARY-3'!$A$196</f>
        <v>Mostek nawiertowy</v>
      </c>
      <c r="R1084" s="732" t="str">
        <f>CONCATENATE('DICTIONARY-3'!$A$55,'DICTIONARY-3'!$A$77," ",'DICTIONARY-6'!$A$21," ",'DICTIONARY-2'!$A$2,"150"," ",'DICTIONARY-2'!$A$5,"160 G1¼"," ",'DICTIONARY-6'!$A$61,", ",'DICTIONARY-6'!$A$76," ",'DICTIONARY-5'!$A$57,"+",'DICTIONARY-5'!$A$56)</f>
        <v>HOD-K504 Mostek nawiert. DN150 Da160 G1¼ z zasuwa, ruroc. PE+PVC</v>
      </c>
      <c r="S1084" s="733" t="str">
        <f>'DICTIONARY-4'!$A$2</f>
        <v>WW</v>
      </c>
      <c r="T1084" s="732" t="str">
        <f>'DICTIONARY-4'!$A$18</f>
        <v>Wolny wałek</v>
      </c>
      <c r="U1084" s="734" t="s">
        <v>5572</v>
      </c>
      <c r="V1084" s="735"/>
      <c r="W1084" s="744" t="s">
        <v>7342</v>
      </c>
      <c r="X1084" s="737" t="s">
        <v>5740</v>
      </c>
      <c r="Y1084" s="738"/>
      <c r="Z1084" s="739"/>
      <c r="AA1084" s="739"/>
      <c r="AB1084" s="740">
        <v>16</v>
      </c>
      <c r="AC1084" s="741"/>
      <c r="AD1084" s="741" t="str">
        <f>'DICTIONARY-5'!$A$13</f>
        <v>woda pitna</v>
      </c>
      <c r="AE1084" s="742">
        <v>50</v>
      </c>
      <c r="AF1084" s="743">
        <v>12</v>
      </c>
      <c r="AG1084" s="741" t="str">
        <f>'DICTIONARY-5'!$A$23</f>
        <v>powłoka epoksydowa</v>
      </c>
    </row>
    <row r="1085" spans="1:33" x14ac:dyDescent="0.25">
      <c r="A1085" s="856" t="s">
        <v>1026</v>
      </c>
      <c r="B1085" s="856" t="s">
        <v>4065</v>
      </c>
      <c r="C1085" s="836">
        <v>272</v>
      </c>
      <c r="D1085" s="836"/>
      <c r="E1085" s="836"/>
      <c r="F1085" s="836"/>
      <c r="G1085" s="496" t="s">
        <v>7812</v>
      </c>
      <c r="H1085" s="797" t="str">
        <f>VLOOKUP(G1085,SETTINGS!$B$7:$D$97,2,0)</f>
        <v>HOD</v>
      </c>
      <c r="I1085" s="796">
        <f>VLOOKUP(G1085,SETTINGS!$B$7:$D$97,3,0)</f>
        <v>0</v>
      </c>
      <c r="J1085" s="670" t="str">
        <f>IFERROR(IF(CURRENCY.FORMAT_1=0,CONCATENATE(TEXT(FIXED(ROUND((C1085/EXC.RATE_1),CURRENCY.FORMAT_1),CURRENCY.FORMAT_1,1),"# ##0;-# ##0"),",-"),FIXED(ROUND((C1085/EXC.RATE_1),CURRENCY.FORMAT_1),CURRENCY.FORMAT_1,0)),'DICTIONARY-5'!$A$2)</f>
        <v>272,-</v>
      </c>
      <c r="K1085" s="670" t="str">
        <f>IF(EXC.RATE_2=0,"",IFERROR(IF(CURRENCY.FORMAT_2=0,CONCATENATE(TEXT(FIXED(ROUND(IF(EXC.RATE.SWITCH=1,C1085/EXC.RATE_2,C1085*EXC.RATE_2),CURRENCY.FORMAT_2),CURRENCY.FORMAT_2,1),"# ##0;-# ##0"),",-"),FIXED(ROUND(IF(EXC.RATE.SWITCH=1,C1085/EXC.RATE_2,C1085*EXC.RATE_2),CURRENCY.FORMAT_2),CURRENCY.FORMAT_2,0)),'DICTIONARY-5'!$A$2))</f>
        <v/>
      </c>
      <c r="L1085" s="670" t="str">
        <f>IFERROR(IF(CURRENCY.FORMAT_1=0,CONCATENATE(TEXT(FIXED(ROUND((C1085*(1-I1085)*(1-ADD.DISCOUNT)*(1+MAT.SURCHARGE)/EXC.RATE_1),CURRENCY.FORMAT_1),CURRENCY.FORMAT_1,1),"# ##0;-# ##0"),",-"),FIXED(ROUND((C1085*(1-I1085)*(1-ADD.DISCOUNT)*(1+MAT.SURCHARGE)/EXC.RATE_1),CURRENCY.FORMAT_1),CURRENCY.FORMAT_1,0)),'DICTIONARY-5'!$A$2)</f>
        <v>283,-</v>
      </c>
      <c r="M1085" s="670" t="str">
        <f>IF(EXC.RATE_2=0,"",IFERROR(IF(CURRENCY.FORMAT_2=0,CONCATENATE(TEXT(FIXED(ROUND(IF(EXC.RATE.SWITCH=1,C1085*(1-I1085)*(1-ADD.DISCOUNT)*(1+MAT.SURCHARGE)/EXC.RATE_2,C1085*(1-I1085)*(1-ADD.DISCOUNT)*(1+MAT.SURCHARGE)*EXC.RATE_2),CURRENCY.FORMAT_2),CURRENCY.FORMAT_2,1),"# ##0;-# ##0"),",-"),FIXED(ROUND(IF(EXC.RATE.SWITCH=1,C1085*(1-I1085)*(1-ADD.DISCOUNT)*(1+MAT.SURCHARGE)/EXC.RATE_2,C1085*(1-I1085)*(1-ADD.DISCOUNT)*(1+MAT.SURCHARGE)*EXC.RATE_2),CURRENCY.FORMAT_2),CURRENCY.FORMAT_2,0)),'DICTIONARY-5'!$A$2))</f>
        <v/>
      </c>
      <c r="N1085" s="542">
        <v>4</v>
      </c>
      <c r="O1085" s="542"/>
      <c r="P1085" s="731" t="str">
        <f>'DICTIONARY-3'!$A$58</f>
        <v>HOD-K</v>
      </c>
      <c r="Q1085" s="732" t="str">
        <f>'DICTIONARY-3'!$A$196</f>
        <v>Mostek nawiertowy</v>
      </c>
      <c r="R1085" s="732" t="str">
        <f>CONCATENATE('DICTIONARY-3'!$A$55,'DICTIONARY-3'!$A$77," ",'DICTIONARY-6'!$A$21," ",'DICTIONARY-2'!$A$2,"200"," ",'DICTIONARY-2'!$A$5,"225 G1¼"," ",'DICTIONARY-6'!$A$61,", ",'DICTIONARY-6'!$A$76," ",'DICTIONARY-5'!$A$57,"+",'DICTIONARY-5'!$A$56)</f>
        <v>HOD-K504 Mostek nawiert. DN200 Da225 G1¼ z zasuwa, ruroc. PE+PVC</v>
      </c>
      <c r="S1085" s="733" t="str">
        <f>'DICTIONARY-4'!$A$2</f>
        <v>WW</v>
      </c>
      <c r="T1085" s="732" t="str">
        <f>'DICTIONARY-4'!$A$18</f>
        <v>Wolny wałek</v>
      </c>
      <c r="U1085" s="734" t="s">
        <v>5750</v>
      </c>
      <c r="V1085" s="735"/>
      <c r="W1085" s="744" t="s">
        <v>5833</v>
      </c>
      <c r="X1085" s="737" t="s">
        <v>5740</v>
      </c>
      <c r="Y1085" s="738"/>
      <c r="Z1085" s="739"/>
      <c r="AA1085" s="739"/>
      <c r="AB1085" s="740">
        <v>16</v>
      </c>
      <c r="AC1085" s="741"/>
      <c r="AD1085" s="741" t="str">
        <f>'DICTIONARY-5'!$A$13</f>
        <v>woda pitna</v>
      </c>
      <c r="AE1085" s="742">
        <v>50</v>
      </c>
      <c r="AF1085" s="743">
        <v>14.4</v>
      </c>
      <c r="AG1085" s="741" t="str">
        <f>'DICTIONARY-5'!$A$23</f>
        <v>powłoka epoksydowa</v>
      </c>
    </row>
    <row r="1086" spans="1:33" x14ac:dyDescent="0.25">
      <c r="A1086" s="856" t="s">
        <v>1027</v>
      </c>
      <c r="B1086" s="856" t="s">
        <v>4066</v>
      </c>
      <c r="C1086" s="836">
        <v>236</v>
      </c>
      <c r="D1086" s="836"/>
      <c r="E1086" s="836"/>
      <c r="F1086" s="836"/>
      <c r="G1086" s="496" t="s">
        <v>7812</v>
      </c>
      <c r="H1086" s="797" t="str">
        <f>VLOOKUP(G1086,SETTINGS!$B$7:$D$97,2,0)</f>
        <v>HOD</v>
      </c>
      <c r="I1086" s="796">
        <f>VLOOKUP(G1086,SETTINGS!$B$7:$D$97,3,0)</f>
        <v>0</v>
      </c>
      <c r="J1086" s="670" t="str">
        <f>IFERROR(IF(CURRENCY.FORMAT_1=0,CONCATENATE(TEXT(FIXED(ROUND((C1086/EXC.RATE_1),CURRENCY.FORMAT_1),CURRENCY.FORMAT_1,1),"# ##0;-# ##0"),",-"),FIXED(ROUND((C1086/EXC.RATE_1),CURRENCY.FORMAT_1),CURRENCY.FORMAT_1,0)),'DICTIONARY-5'!$A$2)</f>
        <v>236,-</v>
      </c>
      <c r="K1086" s="670" t="str">
        <f>IF(EXC.RATE_2=0,"",IFERROR(IF(CURRENCY.FORMAT_2=0,CONCATENATE(TEXT(FIXED(ROUND(IF(EXC.RATE.SWITCH=1,C1086/EXC.RATE_2,C1086*EXC.RATE_2),CURRENCY.FORMAT_2),CURRENCY.FORMAT_2,1),"# ##0;-# ##0"),",-"),FIXED(ROUND(IF(EXC.RATE.SWITCH=1,C1086/EXC.RATE_2,C1086*EXC.RATE_2),CURRENCY.FORMAT_2),CURRENCY.FORMAT_2,0)),'DICTIONARY-5'!$A$2))</f>
        <v/>
      </c>
      <c r="L1086" s="670" t="str">
        <f>IFERROR(IF(CURRENCY.FORMAT_1=0,CONCATENATE(TEXT(FIXED(ROUND((C1086*(1-I1086)*(1-ADD.DISCOUNT)*(1+MAT.SURCHARGE)/EXC.RATE_1),CURRENCY.FORMAT_1),CURRENCY.FORMAT_1,1),"# ##0;-# ##0"),",-"),FIXED(ROUND((C1086*(1-I1086)*(1-ADD.DISCOUNT)*(1+MAT.SURCHARGE)/EXC.RATE_1),CURRENCY.FORMAT_1),CURRENCY.FORMAT_1,0)),'DICTIONARY-5'!$A$2)</f>
        <v>245,-</v>
      </c>
      <c r="M1086" s="670" t="str">
        <f>IF(EXC.RATE_2=0,"",IFERROR(IF(CURRENCY.FORMAT_2=0,CONCATENATE(TEXT(FIXED(ROUND(IF(EXC.RATE.SWITCH=1,C1086*(1-I1086)*(1-ADD.DISCOUNT)*(1+MAT.SURCHARGE)/EXC.RATE_2,C1086*(1-I1086)*(1-ADD.DISCOUNT)*(1+MAT.SURCHARGE)*EXC.RATE_2),CURRENCY.FORMAT_2),CURRENCY.FORMAT_2,1),"# ##0;-# ##0"),",-"),FIXED(ROUND(IF(EXC.RATE.SWITCH=1,C1086*(1-I1086)*(1-ADD.DISCOUNT)*(1+MAT.SURCHARGE)/EXC.RATE_2,C1086*(1-I1086)*(1-ADD.DISCOUNT)*(1+MAT.SURCHARGE)*EXC.RATE_2),CURRENCY.FORMAT_2),CURRENCY.FORMAT_2,0)),'DICTIONARY-5'!$A$2))</f>
        <v/>
      </c>
      <c r="N1086" s="542">
        <v>4</v>
      </c>
      <c r="O1086" s="542"/>
      <c r="P1086" s="731" t="str">
        <f>'DICTIONARY-3'!$A$58</f>
        <v>HOD-K</v>
      </c>
      <c r="Q1086" s="732" t="str">
        <f>'DICTIONARY-3'!$A$196</f>
        <v>Mostek nawiertowy</v>
      </c>
      <c r="R1086" s="732" t="str">
        <f>CONCATENATE('DICTIONARY-3'!$A$55,'DICTIONARY-3'!$A$77," ",'DICTIONARY-6'!$A$21," ",'DICTIONARY-2'!$A$2,"80"," ",'DICTIONARY-2'!$A$5,"90 G1½"," ",'DICTIONARY-6'!$A$61,", ",'DICTIONARY-6'!$A$76," ",'DICTIONARY-5'!$A$57,"+",'DICTIONARY-5'!$A$56)</f>
        <v>HOD-K504 Mostek nawiert. DN80 Da90 G1½ z zasuwa, ruroc. PE+PVC</v>
      </c>
      <c r="S1086" s="733" t="str">
        <f>'DICTIONARY-4'!$A$2</f>
        <v>WW</v>
      </c>
      <c r="T1086" s="732" t="str">
        <f>'DICTIONARY-4'!$A$18</f>
        <v>Wolny wałek</v>
      </c>
      <c r="U1086" s="734" t="s">
        <v>5760</v>
      </c>
      <c r="V1086" s="735"/>
      <c r="W1086" s="744" t="s">
        <v>7339</v>
      </c>
      <c r="X1086" s="737" t="s">
        <v>5769</v>
      </c>
      <c r="Y1086" s="738"/>
      <c r="Z1086" s="739"/>
      <c r="AA1086" s="739"/>
      <c r="AB1086" s="740">
        <v>16</v>
      </c>
      <c r="AC1086" s="741"/>
      <c r="AD1086" s="741" t="str">
        <f>'DICTIONARY-5'!$A$13</f>
        <v>woda pitna</v>
      </c>
      <c r="AE1086" s="742">
        <v>50</v>
      </c>
      <c r="AF1086" s="743">
        <v>10.8</v>
      </c>
      <c r="AG1086" s="741" t="str">
        <f>'DICTIONARY-5'!$A$23</f>
        <v>powłoka epoksydowa</v>
      </c>
    </row>
    <row r="1087" spans="1:33" x14ac:dyDescent="0.25">
      <c r="A1087" s="856" t="s">
        <v>1029</v>
      </c>
      <c r="B1087" s="856" t="s">
        <v>4067</v>
      </c>
      <c r="C1087" s="836">
        <v>242</v>
      </c>
      <c r="D1087" s="836"/>
      <c r="E1087" s="836"/>
      <c r="F1087" s="836"/>
      <c r="G1087" s="496" t="s">
        <v>7812</v>
      </c>
      <c r="H1087" s="797" t="str">
        <f>VLOOKUP(G1087,SETTINGS!$B$7:$D$97,2,0)</f>
        <v>HOD</v>
      </c>
      <c r="I1087" s="796">
        <f>VLOOKUP(G1087,SETTINGS!$B$7:$D$97,3,0)</f>
        <v>0</v>
      </c>
      <c r="J1087" s="670" t="str">
        <f>IFERROR(IF(CURRENCY.FORMAT_1=0,CONCATENATE(TEXT(FIXED(ROUND((C1087/EXC.RATE_1),CURRENCY.FORMAT_1),CURRENCY.FORMAT_1,1),"# ##0;-# ##0"),",-"),FIXED(ROUND((C1087/EXC.RATE_1),CURRENCY.FORMAT_1),CURRENCY.FORMAT_1,0)),'DICTIONARY-5'!$A$2)</f>
        <v>242,-</v>
      </c>
      <c r="K1087" s="670" t="str">
        <f>IF(EXC.RATE_2=0,"",IFERROR(IF(CURRENCY.FORMAT_2=0,CONCATENATE(TEXT(FIXED(ROUND(IF(EXC.RATE.SWITCH=1,C1087/EXC.RATE_2,C1087*EXC.RATE_2),CURRENCY.FORMAT_2),CURRENCY.FORMAT_2,1),"# ##0;-# ##0"),",-"),FIXED(ROUND(IF(EXC.RATE.SWITCH=1,C1087/EXC.RATE_2,C1087*EXC.RATE_2),CURRENCY.FORMAT_2),CURRENCY.FORMAT_2,0)),'DICTIONARY-5'!$A$2))</f>
        <v/>
      </c>
      <c r="L1087" s="670" t="str">
        <f>IFERROR(IF(CURRENCY.FORMAT_1=0,CONCATENATE(TEXT(FIXED(ROUND((C1087*(1-I1087)*(1-ADD.DISCOUNT)*(1+MAT.SURCHARGE)/EXC.RATE_1),CURRENCY.FORMAT_1),CURRENCY.FORMAT_1,1),"# ##0;-# ##0"),",-"),FIXED(ROUND((C1087*(1-I1087)*(1-ADD.DISCOUNT)*(1+MAT.SURCHARGE)/EXC.RATE_1),CURRENCY.FORMAT_1),CURRENCY.FORMAT_1,0)),'DICTIONARY-5'!$A$2)</f>
        <v>251,-</v>
      </c>
      <c r="M1087" s="670" t="str">
        <f>IF(EXC.RATE_2=0,"",IFERROR(IF(CURRENCY.FORMAT_2=0,CONCATENATE(TEXT(FIXED(ROUND(IF(EXC.RATE.SWITCH=1,C1087*(1-I1087)*(1-ADD.DISCOUNT)*(1+MAT.SURCHARGE)/EXC.RATE_2,C1087*(1-I1087)*(1-ADD.DISCOUNT)*(1+MAT.SURCHARGE)*EXC.RATE_2),CURRENCY.FORMAT_2),CURRENCY.FORMAT_2,1),"# ##0;-# ##0"),",-"),FIXED(ROUND(IF(EXC.RATE.SWITCH=1,C1087*(1-I1087)*(1-ADD.DISCOUNT)*(1+MAT.SURCHARGE)/EXC.RATE_2,C1087*(1-I1087)*(1-ADD.DISCOUNT)*(1+MAT.SURCHARGE)*EXC.RATE_2),CURRENCY.FORMAT_2),CURRENCY.FORMAT_2,0)),'DICTIONARY-5'!$A$2))</f>
        <v/>
      </c>
      <c r="N1087" s="542">
        <v>4</v>
      </c>
      <c r="O1087" s="542"/>
      <c r="P1087" s="731" t="str">
        <f>'DICTIONARY-3'!$A$58</f>
        <v>HOD-K</v>
      </c>
      <c r="Q1087" s="732" t="str">
        <f>'DICTIONARY-3'!$A$196</f>
        <v>Mostek nawiertowy</v>
      </c>
      <c r="R1087" s="732" t="str">
        <f>CONCATENATE('DICTIONARY-3'!$A$55,'DICTIONARY-3'!$A$77," ",'DICTIONARY-6'!$A$21," ",'DICTIONARY-2'!$A$2,"100"," ",'DICTIONARY-2'!$A$5,"110 G1½"," ",'DICTIONARY-6'!$A$61,", ",'DICTIONARY-6'!$A$76," ",'DICTIONARY-5'!$A$57,"+",'DICTIONARY-5'!$A$56)</f>
        <v>HOD-K504 Mostek nawiert. DN100 Da110 G1½ z zasuwa, ruroc. PE+PVC</v>
      </c>
      <c r="S1087" s="733" t="str">
        <f>'DICTIONARY-4'!$A$2</f>
        <v>WW</v>
      </c>
      <c r="T1087" s="732" t="str">
        <f>'DICTIONARY-4'!$A$18</f>
        <v>Wolny wałek</v>
      </c>
      <c r="U1087" s="734" t="s">
        <v>5749</v>
      </c>
      <c r="V1087" s="735"/>
      <c r="W1087" s="744" t="s">
        <v>7340</v>
      </c>
      <c r="X1087" s="737" t="s">
        <v>5769</v>
      </c>
      <c r="Y1087" s="738"/>
      <c r="Z1087" s="739"/>
      <c r="AA1087" s="739"/>
      <c r="AB1087" s="740">
        <v>16</v>
      </c>
      <c r="AC1087" s="741"/>
      <c r="AD1087" s="741" t="str">
        <f>'DICTIONARY-5'!$A$13</f>
        <v>woda pitna</v>
      </c>
      <c r="AE1087" s="742">
        <v>50</v>
      </c>
      <c r="AF1087" s="743">
        <v>11.5</v>
      </c>
      <c r="AG1087" s="741" t="str">
        <f>'DICTIONARY-5'!$A$23</f>
        <v>powłoka epoksydowa</v>
      </c>
    </row>
    <row r="1088" spans="1:33" x14ac:dyDescent="0.25">
      <c r="A1088" s="856" t="s">
        <v>1031</v>
      </c>
      <c r="B1088" s="856" t="s">
        <v>4068</v>
      </c>
      <c r="C1088" s="836">
        <v>297</v>
      </c>
      <c r="D1088" s="836"/>
      <c r="E1088" s="836"/>
      <c r="F1088" s="836"/>
      <c r="G1088" s="496" t="s">
        <v>7812</v>
      </c>
      <c r="H1088" s="797" t="str">
        <f>VLOOKUP(G1088,SETTINGS!$B$7:$D$97,2,0)</f>
        <v>HOD</v>
      </c>
      <c r="I1088" s="796">
        <f>VLOOKUP(G1088,SETTINGS!$B$7:$D$97,3,0)</f>
        <v>0</v>
      </c>
      <c r="J1088" s="670" t="str">
        <f>IFERROR(IF(CURRENCY.FORMAT_1=0,CONCATENATE(TEXT(FIXED(ROUND((C1088/EXC.RATE_1),CURRENCY.FORMAT_1),CURRENCY.FORMAT_1,1),"# ##0;-# ##0"),",-"),FIXED(ROUND((C1088/EXC.RATE_1),CURRENCY.FORMAT_1),CURRENCY.FORMAT_1,0)),'DICTIONARY-5'!$A$2)</f>
        <v>297,-</v>
      </c>
      <c r="K1088" s="670" t="str">
        <f>IF(EXC.RATE_2=0,"",IFERROR(IF(CURRENCY.FORMAT_2=0,CONCATENATE(TEXT(FIXED(ROUND(IF(EXC.RATE.SWITCH=1,C1088/EXC.RATE_2,C1088*EXC.RATE_2),CURRENCY.FORMAT_2),CURRENCY.FORMAT_2,1),"# ##0;-# ##0"),",-"),FIXED(ROUND(IF(EXC.RATE.SWITCH=1,C1088/EXC.RATE_2,C1088*EXC.RATE_2),CURRENCY.FORMAT_2),CURRENCY.FORMAT_2,0)),'DICTIONARY-5'!$A$2))</f>
        <v/>
      </c>
      <c r="L1088" s="670" t="str">
        <f>IFERROR(IF(CURRENCY.FORMAT_1=0,CONCATENATE(TEXT(FIXED(ROUND((C1088*(1-I1088)*(1-ADD.DISCOUNT)*(1+MAT.SURCHARGE)/EXC.RATE_1),CURRENCY.FORMAT_1),CURRENCY.FORMAT_1,1),"# ##0;-# ##0"),",-"),FIXED(ROUND((C1088*(1-I1088)*(1-ADD.DISCOUNT)*(1+MAT.SURCHARGE)/EXC.RATE_1),CURRENCY.FORMAT_1),CURRENCY.FORMAT_1,0)),'DICTIONARY-5'!$A$2)</f>
        <v>309,-</v>
      </c>
      <c r="M1088" s="670" t="str">
        <f>IF(EXC.RATE_2=0,"",IFERROR(IF(CURRENCY.FORMAT_2=0,CONCATENATE(TEXT(FIXED(ROUND(IF(EXC.RATE.SWITCH=1,C1088*(1-I1088)*(1-ADD.DISCOUNT)*(1+MAT.SURCHARGE)/EXC.RATE_2,C1088*(1-I1088)*(1-ADD.DISCOUNT)*(1+MAT.SURCHARGE)*EXC.RATE_2),CURRENCY.FORMAT_2),CURRENCY.FORMAT_2,1),"# ##0;-# ##0"),",-"),FIXED(ROUND(IF(EXC.RATE.SWITCH=1,C1088*(1-I1088)*(1-ADD.DISCOUNT)*(1+MAT.SURCHARGE)/EXC.RATE_2,C1088*(1-I1088)*(1-ADD.DISCOUNT)*(1+MAT.SURCHARGE)*EXC.RATE_2),CURRENCY.FORMAT_2),CURRENCY.FORMAT_2,0)),'DICTIONARY-5'!$A$2))</f>
        <v/>
      </c>
      <c r="N1088" s="542">
        <v>4</v>
      </c>
      <c r="O1088" s="542"/>
      <c r="P1088" s="731" t="str">
        <f>'DICTIONARY-3'!$A$58</f>
        <v>HOD-K</v>
      </c>
      <c r="Q1088" s="732" t="str">
        <f>'DICTIONARY-3'!$A$196</f>
        <v>Mostek nawiertowy</v>
      </c>
      <c r="R1088" s="732" t="str">
        <f>CONCATENATE('DICTIONARY-3'!$A$55,'DICTIONARY-3'!$A$77," ",'DICTIONARY-6'!$A$21," ",'DICTIONARY-2'!$A$2,"125"," ",'DICTIONARY-2'!$A$5,"140 G1½"," ",'DICTIONARY-6'!$A$61,", ",'DICTIONARY-6'!$A$76," ",'DICTIONARY-5'!$A$57,"+",'DICTIONARY-5'!$A$56)</f>
        <v>HOD-K504 Mostek nawiert. DN125 Da140 G1½ z zasuwa, ruroc. PE+PVC</v>
      </c>
      <c r="S1088" s="733" t="str">
        <f>'DICTIONARY-4'!$A$2</f>
        <v>WW</v>
      </c>
      <c r="T1088" s="732" t="str">
        <f>'DICTIONARY-4'!$A$18</f>
        <v>Wolny wałek</v>
      </c>
      <c r="U1088" s="734" t="s">
        <v>5761</v>
      </c>
      <c r="V1088" s="735"/>
      <c r="W1088" s="744" t="s">
        <v>7341</v>
      </c>
      <c r="X1088" s="737" t="s">
        <v>5769</v>
      </c>
      <c r="Y1088" s="738"/>
      <c r="Z1088" s="739"/>
      <c r="AA1088" s="739"/>
      <c r="AB1088" s="740">
        <v>16</v>
      </c>
      <c r="AC1088" s="741"/>
      <c r="AD1088" s="741" t="str">
        <f>'DICTIONARY-5'!$A$13</f>
        <v>woda pitna</v>
      </c>
      <c r="AE1088" s="742">
        <v>50</v>
      </c>
      <c r="AF1088" s="743">
        <v>12.9</v>
      </c>
      <c r="AG1088" s="741" t="str">
        <f>'DICTIONARY-5'!$A$23</f>
        <v>powłoka epoksydowa</v>
      </c>
    </row>
    <row r="1089" spans="1:33" x14ac:dyDescent="0.25">
      <c r="A1089" s="856" t="s">
        <v>1033</v>
      </c>
      <c r="B1089" s="856" t="s">
        <v>4069</v>
      </c>
      <c r="C1089" s="836">
        <v>265</v>
      </c>
      <c r="D1089" s="836"/>
      <c r="E1089" s="836"/>
      <c r="F1089" s="836"/>
      <c r="G1089" s="496" t="s">
        <v>7812</v>
      </c>
      <c r="H1089" s="797" t="str">
        <f>VLOOKUP(G1089,SETTINGS!$B$7:$D$97,2,0)</f>
        <v>HOD</v>
      </c>
      <c r="I1089" s="796">
        <f>VLOOKUP(G1089,SETTINGS!$B$7:$D$97,3,0)</f>
        <v>0</v>
      </c>
      <c r="J1089" s="670" t="str">
        <f>IFERROR(IF(CURRENCY.FORMAT_1=0,CONCATENATE(TEXT(FIXED(ROUND((C1089/EXC.RATE_1),CURRENCY.FORMAT_1),CURRENCY.FORMAT_1,1),"# ##0;-# ##0"),",-"),FIXED(ROUND((C1089/EXC.RATE_1),CURRENCY.FORMAT_1),CURRENCY.FORMAT_1,0)),'DICTIONARY-5'!$A$2)</f>
        <v>265,-</v>
      </c>
      <c r="K1089" s="670" t="str">
        <f>IF(EXC.RATE_2=0,"",IFERROR(IF(CURRENCY.FORMAT_2=0,CONCATENATE(TEXT(FIXED(ROUND(IF(EXC.RATE.SWITCH=1,C1089/EXC.RATE_2,C1089*EXC.RATE_2),CURRENCY.FORMAT_2),CURRENCY.FORMAT_2,1),"# ##0;-# ##0"),",-"),FIXED(ROUND(IF(EXC.RATE.SWITCH=1,C1089/EXC.RATE_2,C1089*EXC.RATE_2),CURRENCY.FORMAT_2),CURRENCY.FORMAT_2,0)),'DICTIONARY-5'!$A$2))</f>
        <v/>
      </c>
      <c r="L1089" s="670" t="str">
        <f>IFERROR(IF(CURRENCY.FORMAT_1=0,CONCATENATE(TEXT(FIXED(ROUND((C1089*(1-I1089)*(1-ADD.DISCOUNT)*(1+MAT.SURCHARGE)/EXC.RATE_1),CURRENCY.FORMAT_1),CURRENCY.FORMAT_1,1),"# ##0;-# ##0"),",-"),FIXED(ROUND((C1089*(1-I1089)*(1-ADD.DISCOUNT)*(1+MAT.SURCHARGE)/EXC.RATE_1),CURRENCY.FORMAT_1),CURRENCY.FORMAT_1,0)),'DICTIONARY-5'!$A$2)</f>
        <v>275,-</v>
      </c>
      <c r="M1089" s="670" t="str">
        <f>IF(EXC.RATE_2=0,"",IFERROR(IF(CURRENCY.FORMAT_2=0,CONCATENATE(TEXT(FIXED(ROUND(IF(EXC.RATE.SWITCH=1,C1089*(1-I1089)*(1-ADD.DISCOUNT)*(1+MAT.SURCHARGE)/EXC.RATE_2,C1089*(1-I1089)*(1-ADD.DISCOUNT)*(1+MAT.SURCHARGE)*EXC.RATE_2),CURRENCY.FORMAT_2),CURRENCY.FORMAT_2,1),"# ##0;-# ##0"),",-"),FIXED(ROUND(IF(EXC.RATE.SWITCH=1,C1089*(1-I1089)*(1-ADD.DISCOUNT)*(1+MAT.SURCHARGE)/EXC.RATE_2,C1089*(1-I1089)*(1-ADD.DISCOUNT)*(1+MAT.SURCHARGE)*EXC.RATE_2),CURRENCY.FORMAT_2),CURRENCY.FORMAT_2,0)),'DICTIONARY-5'!$A$2))</f>
        <v/>
      </c>
      <c r="N1089" s="542">
        <v>4</v>
      </c>
      <c r="O1089" s="542"/>
      <c r="P1089" s="731" t="str">
        <f>'DICTIONARY-3'!$A$58</f>
        <v>HOD-K</v>
      </c>
      <c r="Q1089" s="732" t="str">
        <f>'DICTIONARY-3'!$A$196</f>
        <v>Mostek nawiertowy</v>
      </c>
      <c r="R1089" s="732" t="str">
        <f>CONCATENATE('DICTIONARY-3'!$A$55,'DICTIONARY-3'!$A$77," ",'DICTIONARY-6'!$A$21," ",'DICTIONARY-2'!$A$2,"150"," ",'DICTIONARY-2'!$A$5,"160 G1½"," ",'DICTIONARY-6'!$A$61,", ",'DICTIONARY-6'!$A$76," ",'DICTIONARY-5'!$A$57,"+",'DICTIONARY-5'!$A$56)</f>
        <v>HOD-K504 Mostek nawiert. DN150 Da160 G1½ z zasuwa, ruroc. PE+PVC</v>
      </c>
      <c r="S1089" s="733" t="str">
        <f>'DICTIONARY-4'!$A$2</f>
        <v>WW</v>
      </c>
      <c r="T1089" s="732" t="str">
        <f>'DICTIONARY-4'!$A$18</f>
        <v>Wolny wałek</v>
      </c>
      <c r="U1089" s="734" t="s">
        <v>5572</v>
      </c>
      <c r="V1089" s="735"/>
      <c r="W1089" s="744" t="s">
        <v>7342</v>
      </c>
      <c r="X1089" s="737" t="s">
        <v>5769</v>
      </c>
      <c r="Y1089" s="738"/>
      <c r="Z1089" s="739"/>
      <c r="AA1089" s="739"/>
      <c r="AB1089" s="740">
        <v>16</v>
      </c>
      <c r="AC1089" s="741"/>
      <c r="AD1089" s="741" t="str">
        <f>'DICTIONARY-5'!$A$13</f>
        <v>woda pitna</v>
      </c>
      <c r="AE1089" s="742">
        <v>50</v>
      </c>
      <c r="AF1089" s="743">
        <v>14.2</v>
      </c>
      <c r="AG1089" s="741" t="str">
        <f>'DICTIONARY-5'!$A$23</f>
        <v>powłoka epoksydowa</v>
      </c>
    </row>
    <row r="1090" spans="1:33" x14ac:dyDescent="0.25">
      <c r="A1090" s="856" t="s">
        <v>1035</v>
      </c>
      <c r="B1090" s="856" t="s">
        <v>4070</v>
      </c>
      <c r="C1090" s="836">
        <v>337</v>
      </c>
      <c r="D1090" s="836"/>
      <c r="E1090" s="836"/>
      <c r="F1090" s="836"/>
      <c r="G1090" s="496" t="s">
        <v>7812</v>
      </c>
      <c r="H1090" s="797" t="str">
        <f>VLOOKUP(G1090,SETTINGS!$B$7:$D$97,2,0)</f>
        <v>HOD</v>
      </c>
      <c r="I1090" s="796">
        <f>VLOOKUP(G1090,SETTINGS!$B$7:$D$97,3,0)</f>
        <v>0</v>
      </c>
      <c r="J1090" s="670" t="str">
        <f>IFERROR(IF(CURRENCY.FORMAT_1=0,CONCATENATE(TEXT(FIXED(ROUND((C1090/EXC.RATE_1),CURRENCY.FORMAT_1),CURRENCY.FORMAT_1,1),"# ##0;-# ##0"),",-"),FIXED(ROUND((C1090/EXC.RATE_1),CURRENCY.FORMAT_1),CURRENCY.FORMAT_1,0)),'DICTIONARY-5'!$A$2)</f>
        <v>337,-</v>
      </c>
      <c r="K1090" s="670" t="str">
        <f>IF(EXC.RATE_2=0,"",IFERROR(IF(CURRENCY.FORMAT_2=0,CONCATENATE(TEXT(FIXED(ROUND(IF(EXC.RATE.SWITCH=1,C1090/EXC.RATE_2,C1090*EXC.RATE_2),CURRENCY.FORMAT_2),CURRENCY.FORMAT_2,1),"# ##0;-# ##0"),",-"),FIXED(ROUND(IF(EXC.RATE.SWITCH=1,C1090/EXC.RATE_2,C1090*EXC.RATE_2),CURRENCY.FORMAT_2),CURRENCY.FORMAT_2,0)),'DICTIONARY-5'!$A$2))</f>
        <v/>
      </c>
      <c r="L1090" s="670" t="str">
        <f>IFERROR(IF(CURRENCY.FORMAT_1=0,CONCATENATE(TEXT(FIXED(ROUND((C1090*(1-I1090)*(1-ADD.DISCOUNT)*(1+MAT.SURCHARGE)/EXC.RATE_1),CURRENCY.FORMAT_1),CURRENCY.FORMAT_1,1),"# ##0;-# ##0"),",-"),FIXED(ROUND((C1090*(1-I1090)*(1-ADD.DISCOUNT)*(1+MAT.SURCHARGE)/EXC.RATE_1),CURRENCY.FORMAT_1),CURRENCY.FORMAT_1,0)),'DICTIONARY-5'!$A$2)</f>
        <v>350,-</v>
      </c>
      <c r="M1090" s="670" t="str">
        <f>IF(EXC.RATE_2=0,"",IFERROR(IF(CURRENCY.FORMAT_2=0,CONCATENATE(TEXT(FIXED(ROUND(IF(EXC.RATE.SWITCH=1,C1090*(1-I1090)*(1-ADD.DISCOUNT)*(1+MAT.SURCHARGE)/EXC.RATE_2,C1090*(1-I1090)*(1-ADD.DISCOUNT)*(1+MAT.SURCHARGE)*EXC.RATE_2),CURRENCY.FORMAT_2),CURRENCY.FORMAT_2,1),"# ##0;-# ##0"),",-"),FIXED(ROUND(IF(EXC.RATE.SWITCH=1,C1090*(1-I1090)*(1-ADD.DISCOUNT)*(1+MAT.SURCHARGE)/EXC.RATE_2,C1090*(1-I1090)*(1-ADD.DISCOUNT)*(1+MAT.SURCHARGE)*EXC.RATE_2),CURRENCY.FORMAT_2),CURRENCY.FORMAT_2,0)),'DICTIONARY-5'!$A$2))</f>
        <v/>
      </c>
      <c r="N1090" s="542">
        <v>4</v>
      </c>
      <c r="O1090" s="542"/>
      <c r="P1090" s="731" t="str">
        <f>'DICTIONARY-3'!$A$58</f>
        <v>HOD-K</v>
      </c>
      <c r="Q1090" s="732" t="str">
        <f>'DICTIONARY-3'!$A$196</f>
        <v>Mostek nawiertowy</v>
      </c>
      <c r="R1090" s="732" t="str">
        <f>CONCATENATE('DICTIONARY-3'!$A$55,'DICTIONARY-3'!$A$77," ",'DICTIONARY-6'!$A$21," ",'DICTIONARY-2'!$A$2,"200"," ",'DICTIONARY-2'!$A$5,"225 G1½"," ",'DICTIONARY-6'!$A$61,", ",'DICTIONARY-6'!$A$76," ",'DICTIONARY-5'!$A$57,"+",'DICTIONARY-5'!$A$56)</f>
        <v>HOD-K504 Mostek nawiert. DN200 Da225 G1½ z zasuwa, ruroc. PE+PVC</v>
      </c>
      <c r="S1090" s="733" t="str">
        <f>'DICTIONARY-4'!$A$2</f>
        <v>WW</v>
      </c>
      <c r="T1090" s="732" t="str">
        <f>'DICTIONARY-4'!$A$18</f>
        <v>Wolny wałek</v>
      </c>
      <c r="U1090" s="734" t="s">
        <v>5750</v>
      </c>
      <c r="V1090" s="735"/>
      <c r="W1090" s="744" t="s">
        <v>5833</v>
      </c>
      <c r="X1090" s="737" t="s">
        <v>5769</v>
      </c>
      <c r="Y1090" s="738"/>
      <c r="Z1090" s="739"/>
      <c r="AA1090" s="739"/>
      <c r="AB1090" s="740">
        <v>16</v>
      </c>
      <c r="AC1090" s="741"/>
      <c r="AD1090" s="741" t="str">
        <f>'DICTIONARY-5'!$A$13</f>
        <v>woda pitna</v>
      </c>
      <c r="AE1090" s="742">
        <v>50</v>
      </c>
      <c r="AF1090" s="743">
        <v>16.5</v>
      </c>
      <c r="AG1090" s="741" t="str">
        <f>'DICTIONARY-5'!$A$23</f>
        <v>powłoka epoksydowa</v>
      </c>
    </row>
    <row r="1091" spans="1:33" x14ac:dyDescent="0.25">
      <c r="A1091" s="856" t="s">
        <v>1037</v>
      </c>
      <c r="B1091" s="856" t="s">
        <v>4071</v>
      </c>
      <c r="C1091" s="836">
        <v>701</v>
      </c>
      <c r="D1091" s="836"/>
      <c r="E1091" s="836"/>
      <c r="F1091" s="836"/>
      <c r="G1091" s="496" t="s">
        <v>7812</v>
      </c>
      <c r="H1091" s="797" t="str">
        <f>VLOOKUP(G1091,SETTINGS!$B$7:$D$97,2,0)</f>
        <v>HOD</v>
      </c>
      <c r="I1091" s="796">
        <f>VLOOKUP(G1091,SETTINGS!$B$7:$D$97,3,0)</f>
        <v>0</v>
      </c>
      <c r="J1091" s="670" t="str">
        <f>IFERROR(IF(CURRENCY.FORMAT_1=0,CONCATENATE(TEXT(FIXED(ROUND((C1091/EXC.RATE_1),CURRENCY.FORMAT_1),CURRENCY.FORMAT_1,1),"# ##0;-# ##0"),",-"),FIXED(ROUND((C1091/EXC.RATE_1),CURRENCY.FORMAT_1),CURRENCY.FORMAT_1,0)),'DICTIONARY-5'!$A$2)</f>
        <v>701,-</v>
      </c>
      <c r="K1091" s="670" t="str">
        <f>IF(EXC.RATE_2=0,"",IFERROR(IF(CURRENCY.FORMAT_2=0,CONCATENATE(TEXT(FIXED(ROUND(IF(EXC.RATE.SWITCH=1,C1091/EXC.RATE_2,C1091*EXC.RATE_2),CURRENCY.FORMAT_2),CURRENCY.FORMAT_2,1),"# ##0;-# ##0"),",-"),FIXED(ROUND(IF(EXC.RATE.SWITCH=1,C1091/EXC.RATE_2,C1091*EXC.RATE_2),CURRENCY.FORMAT_2),CURRENCY.FORMAT_2,0)),'DICTIONARY-5'!$A$2))</f>
        <v/>
      </c>
      <c r="L1091" s="670" t="str">
        <f>IFERROR(IF(CURRENCY.FORMAT_1=0,CONCATENATE(TEXT(FIXED(ROUND((C1091*(1-I1091)*(1-ADD.DISCOUNT)*(1+MAT.SURCHARGE)/EXC.RATE_1),CURRENCY.FORMAT_1),CURRENCY.FORMAT_1,1),"# ##0;-# ##0"),",-"),FIXED(ROUND((C1091*(1-I1091)*(1-ADD.DISCOUNT)*(1+MAT.SURCHARGE)/EXC.RATE_1),CURRENCY.FORMAT_1),CURRENCY.FORMAT_1,0)),'DICTIONARY-5'!$A$2)</f>
        <v>728,-</v>
      </c>
      <c r="M1091" s="670" t="str">
        <f>IF(EXC.RATE_2=0,"",IFERROR(IF(CURRENCY.FORMAT_2=0,CONCATENATE(TEXT(FIXED(ROUND(IF(EXC.RATE.SWITCH=1,C1091*(1-I1091)*(1-ADD.DISCOUNT)*(1+MAT.SURCHARGE)/EXC.RATE_2,C1091*(1-I1091)*(1-ADD.DISCOUNT)*(1+MAT.SURCHARGE)*EXC.RATE_2),CURRENCY.FORMAT_2),CURRENCY.FORMAT_2,1),"# ##0;-# ##0"),",-"),FIXED(ROUND(IF(EXC.RATE.SWITCH=1,C1091*(1-I1091)*(1-ADD.DISCOUNT)*(1+MAT.SURCHARGE)/EXC.RATE_2,C1091*(1-I1091)*(1-ADD.DISCOUNT)*(1+MAT.SURCHARGE)*EXC.RATE_2),CURRENCY.FORMAT_2),CURRENCY.FORMAT_2,0)),'DICTIONARY-5'!$A$2))</f>
        <v/>
      </c>
      <c r="N1091" s="542">
        <v>4</v>
      </c>
      <c r="O1091" s="542"/>
      <c r="P1091" s="731" t="str">
        <f>'DICTIONARY-3'!$A$58</f>
        <v>HOD-K</v>
      </c>
      <c r="Q1091" s="732" t="str">
        <f>'DICTIONARY-3'!$A$196</f>
        <v>Mostek nawiertowy</v>
      </c>
      <c r="R1091" s="732" t="str">
        <f>CONCATENATE('DICTIONARY-3'!$A$55,'DICTIONARY-3'!$A$77," ",'DICTIONARY-6'!$A$21," ",'DICTIONARY-2'!$A$2,"250"," ",'DICTIONARY-2'!$A$5,"280 G1½"," ",'DICTIONARY-6'!$A$61,", ",'DICTIONARY-6'!$A$76," ",'DICTIONARY-5'!$A$57,"+",'DICTIONARY-5'!$A$56)</f>
        <v>HOD-K504 Mostek nawiert. DN250 Da280 G1½ z zasuwa, ruroc. PE+PVC</v>
      </c>
      <c r="S1091" s="733" t="str">
        <f>'DICTIONARY-4'!$A$2</f>
        <v>WW</v>
      </c>
      <c r="T1091" s="732" t="str">
        <f>'DICTIONARY-4'!$A$18</f>
        <v>Wolny wałek</v>
      </c>
      <c r="U1091" s="734" t="s">
        <v>5751</v>
      </c>
      <c r="V1091" s="735"/>
      <c r="W1091" s="744" t="s">
        <v>7344</v>
      </c>
      <c r="X1091" s="737" t="s">
        <v>5769</v>
      </c>
      <c r="Y1091" s="738"/>
      <c r="Z1091" s="739"/>
      <c r="AA1091" s="739"/>
      <c r="AB1091" s="740">
        <v>16</v>
      </c>
      <c r="AC1091" s="741"/>
      <c r="AD1091" s="741" t="str">
        <f>'DICTIONARY-5'!$A$13</f>
        <v>woda pitna</v>
      </c>
      <c r="AE1091" s="742">
        <v>50</v>
      </c>
      <c r="AF1091" s="743">
        <v>18.399999999999999</v>
      </c>
      <c r="AG1091" s="741" t="str">
        <f>'DICTIONARY-5'!$A$23</f>
        <v>powłoka epoksydowa</v>
      </c>
    </row>
    <row r="1092" spans="1:33" x14ac:dyDescent="0.25">
      <c r="A1092" s="856" t="s">
        <v>1039</v>
      </c>
      <c r="B1092" s="856" t="s">
        <v>4072</v>
      </c>
      <c r="C1092" s="836">
        <v>706</v>
      </c>
      <c r="D1092" s="836"/>
      <c r="E1092" s="836"/>
      <c r="F1092" s="836"/>
      <c r="G1092" s="496" t="s">
        <v>7812</v>
      </c>
      <c r="H1092" s="797" t="str">
        <f>VLOOKUP(G1092,SETTINGS!$B$7:$D$97,2,0)</f>
        <v>HOD</v>
      </c>
      <c r="I1092" s="796">
        <f>VLOOKUP(G1092,SETTINGS!$B$7:$D$97,3,0)</f>
        <v>0</v>
      </c>
      <c r="J1092" s="670" t="str">
        <f>IFERROR(IF(CURRENCY.FORMAT_1=0,CONCATENATE(TEXT(FIXED(ROUND((C1092/EXC.RATE_1),CURRENCY.FORMAT_1),CURRENCY.FORMAT_1,1),"# ##0;-# ##0"),",-"),FIXED(ROUND((C1092/EXC.RATE_1),CURRENCY.FORMAT_1),CURRENCY.FORMAT_1,0)),'DICTIONARY-5'!$A$2)</f>
        <v>706,-</v>
      </c>
      <c r="K1092" s="670" t="str">
        <f>IF(EXC.RATE_2=0,"",IFERROR(IF(CURRENCY.FORMAT_2=0,CONCATENATE(TEXT(FIXED(ROUND(IF(EXC.RATE.SWITCH=1,C1092/EXC.RATE_2,C1092*EXC.RATE_2),CURRENCY.FORMAT_2),CURRENCY.FORMAT_2,1),"# ##0;-# ##0"),",-"),FIXED(ROUND(IF(EXC.RATE.SWITCH=1,C1092/EXC.RATE_2,C1092*EXC.RATE_2),CURRENCY.FORMAT_2),CURRENCY.FORMAT_2,0)),'DICTIONARY-5'!$A$2))</f>
        <v/>
      </c>
      <c r="L1092" s="670" t="str">
        <f>IFERROR(IF(CURRENCY.FORMAT_1=0,CONCATENATE(TEXT(FIXED(ROUND((C1092*(1-I1092)*(1-ADD.DISCOUNT)*(1+MAT.SURCHARGE)/EXC.RATE_1),CURRENCY.FORMAT_1),CURRENCY.FORMAT_1,1),"# ##0;-# ##0"),",-"),FIXED(ROUND((C1092*(1-I1092)*(1-ADD.DISCOUNT)*(1+MAT.SURCHARGE)/EXC.RATE_1),CURRENCY.FORMAT_1),CURRENCY.FORMAT_1,0)),'DICTIONARY-5'!$A$2)</f>
        <v>734,-</v>
      </c>
      <c r="M1092" s="670" t="str">
        <f>IF(EXC.RATE_2=0,"",IFERROR(IF(CURRENCY.FORMAT_2=0,CONCATENATE(TEXT(FIXED(ROUND(IF(EXC.RATE.SWITCH=1,C1092*(1-I1092)*(1-ADD.DISCOUNT)*(1+MAT.SURCHARGE)/EXC.RATE_2,C1092*(1-I1092)*(1-ADD.DISCOUNT)*(1+MAT.SURCHARGE)*EXC.RATE_2),CURRENCY.FORMAT_2),CURRENCY.FORMAT_2,1),"# ##0;-# ##0"),",-"),FIXED(ROUND(IF(EXC.RATE.SWITCH=1,C1092*(1-I1092)*(1-ADD.DISCOUNT)*(1+MAT.SURCHARGE)/EXC.RATE_2,C1092*(1-I1092)*(1-ADD.DISCOUNT)*(1+MAT.SURCHARGE)*EXC.RATE_2),CURRENCY.FORMAT_2),CURRENCY.FORMAT_2,0)),'DICTIONARY-5'!$A$2))</f>
        <v/>
      </c>
      <c r="N1092" s="542">
        <v>4</v>
      </c>
      <c r="O1092" s="542"/>
      <c r="P1092" s="731" t="str">
        <f>'DICTIONARY-3'!$A$58</f>
        <v>HOD-K</v>
      </c>
      <c r="Q1092" s="732" t="str">
        <f>'DICTIONARY-3'!$A$196</f>
        <v>Mostek nawiertowy</v>
      </c>
      <c r="R1092" s="732" t="str">
        <f>CONCATENATE('DICTIONARY-3'!$A$55,'DICTIONARY-3'!$A$77," ",'DICTIONARY-6'!$A$21," ",'DICTIONARY-2'!$A$2,"300"," ",'DICTIONARY-2'!$A$5,"315 G1½"," ",'DICTIONARY-6'!$A$61,", ",'DICTIONARY-6'!$A$76," ",'DICTIONARY-5'!$A$57,"+",'DICTIONARY-5'!$A$56)</f>
        <v>HOD-K504 Mostek nawiert. DN300 Da315 G1½ z zasuwa, ruroc. PE+PVC</v>
      </c>
      <c r="S1092" s="733" t="str">
        <f>'DICTIONARY-4'!$A$2</f>
        <v>WW</v>
      </c>
      <c r="T1092" s="732" t="str">
        <f>'DICTIONARY-4'!$A$18</f>
        <v>Wolny wałek</v>
      </c>
      <c r="U1092" s="734" t="s">
        <v>5752</v>
      </c>
      <c r="V1092" s="735"/>
      <c r="W1092" s="744" t="s">
        <v>7345</v>
      </c>
      <c r="X1092" s="737" t="s">
        <v>5769</v>
      </c>
      <c r="Y1092" s="738"/>
      <c r="Z1092" s="739"/>
      <c r="AA1092" s="739"/>
      <c r="AB1092" s="740">
        <v>16</v>
      </c>
      <c r="AC1092" s="741"/>
      <c r="AD1092" s="741" t="str">
        <f>'DICTIONARY-5'!$A$13</f>
        <v>woda pitna</v>
      </c>
      <c r="AE1092" s="742">
        <v>50</v>
      </c>
      <c r="AF1092" s="743">
        <v>19.8</v>
      </c>
      <c r="AG1092" s="741" t="str">
        <f>'DICTIONARY-5'!$A$23</f>
        <v>powłoka epoksydowa</v>
      </c>
    </row>
    <row r="1093" spans="1:33" x14ac:dyDescent="0.25">
      <c r="A1093" s="856" t="s">
        <v>1028</v>
      </c>
      <c r="B1093" s="856" t="s">
        <v>4073</v>
      </c>
      <c r="C1093" s="836">
        <v>237</v>
      </c>
      <c r="D1093" s="836"/>
      <c r="E1093" s="836"/>
      <c r="F1093" s="836"/>
      <c r="G1093" s="496" t="s">
        <v>7812</v>
      </c>
      <c r="H1093" s="797" t="str">
        <f>VLOOKUP(G1093,SETTINGS!$B$7:$D$97,2,0)</f>
        <v>HOD</v>
      </c>
      <c r="I1093" s="796">
        <f>VLOOKUP(G1093,SETTINGS!$B$7:$D$97,3,0)</f>
        <v>0</v>
      </c>
      <c r="J1093" s="670" t="str">
        <f>IFERROR(IF(CURRENCY.FORMAT_1=0,CONCATENATE(TEXT(FIXED(ROUND((C1093/EXC.RATE_1),CURRENCY.FORMAT_1),CURRENCY.FORMAT_1,1),"# ##0;-# ##0"),",-"),FIXED(ROUND((C1093/EXC.RATE_1),CURRENCY.FORMAT_1),CURRENCY.FORMAT_1,0)),'DICTIONARY-5'!$A$2)</f>
        <v>237,-</v>
      </c>
      <c r="K1093" s="670" t="str">
        <f>IF(EXC.RATE_2=0,"",IFERROR(IF(CURRENCY.FORMAT_2=0,CONCATENATE(TEXT(FIXED(ROUND(IF(EXC.RATE.SWITCH=1,C1093/EXC.RATE_2,C1093*EXC.RATE_2),CURRENCY.FORMAT_2),CURRENCY.FORMAT_2,1),"# ##0;-# ##0"),",-"),FIXED(ROUND(IF(EXC.RATE.SWITCH=1,C1093/EXC.RATE_2,C1093*EXC.RATE_2),CURRENCY.FORMAT_2),CURRENCY.FORMAT_2,0)),'DICTIONARY-5'!$A$2))</f>
        <v/>
      </c>
      <c r="L1093" s="670" t="str">
        <f>IFERROR(IF(CURRENCY.FORMAT_1=0,CONCATENATE(TEXT(FIXED(ROUND((C1093*(1-I1093)*(1-ADD.DISCOUNT)*(1+MAT.SURCHARGE)/EXC.RATE_1),CURRENCY.FORMAT_1),CURRENCY.FORMAT_1,1),"# ##0;-# ##0"),",-"),FIXED(ROUND((C1093*(1-I1093)*(1-ADD.DISCOUNT)*(1+MAT.SURCHARGE)/EXC.RATE_1),CURRENCY.FORMAT_1),CURRENCY.FORMAT_1,0)),'DICTIONARY-5'!$A$2)</f>
        <v>246,-</v>
      </c>
      <c r="M1093" s="670" t="str">
        <f>IF(EXC.RATE_2=0,"",IFERROR(IF(CURRENCY.FORMAT_2=0,CONCATENATE(TEXT(FIXED(ROUND(IF(EXC.RATE.SWITCH=1,C1093*(1-I1093)*(1-ADD.DISCOUNT)*(1+MAT.SURCHARGE)/EXC.RATE_2,C1093*(1-I1093)*(1-ADD.DISCOUNT)*(1+MAT.SURCHARGE)*EXC.RATE_2),CURRENCY.FORMAT_2),CURRENCY.FORMAT_2,1),"# ##0;-# ##0"),",-"),FIXED(ROUND(IF(EXC.RATE.SWITCH=1,C1093*(1-I1093)*(1-ADD.DISCOUNT)*(1+MAT.SURCHARGE)/EXC.RATE_2,C1093*(1-I1093)*(1-ADD.DISCOUNT)*(1+MAT.SURCHARGE)*EXC.RATE_2),CURRENCY.FORMAT_2),CURRENCY.FORMAT_2,0)),'DICTIONARY-5'!$A$2))</f>
        <v/>
      </c>
      <c r="N1093" s="542">
        <v>4</v>
      </c>
      <c r="O1093" s="542"/>
      <c r="P1093" s="731" t="str">
        <f>'DICTIONARY-3'!$A$58</f>
        <v>HOD-K</v>
      </c>
      <c r="Q1093" s="732" t="str">
        <f>'DICTIONARY-3'!$A$196</f>
        <v>Mostek nawiertowy</v>
      </c>
      <c r="R1093" s="732" t="str">
        <f>CONCATENATE('DICTIONARY-3'!$A$55,'DICTIONARY-3'!$A$77," ",'DICTIONARY-6'!$A$21," ",'DICTIONARY-2'!$A$2,"80"," ",'DICTIONARY-2'!$A$5,"90 G2"," ",'DICTIONARY-6'!$A$61,", ",'DICTIONARY-6'!$A$76," ",'DICTIONARY-5'!$A$57,"+",'DICTIONARY-5'!$A$56)</f>
        <v>HOD-K504 Mostek nawiert. DN80 Da90 G2 z zasuwa, ruroc. PE+PVC</v>
      </c>
      <c r="S1093" s="733" t="str">
        <f>'DICTIONARY-4'!$A$2</f>
        <v>WW</v>
      </c>
      <c r="T1093" s="732" t="str">
        <f>'DICTIONARY-4'!$A$18</f>
        <v>Wolny wałek</v>
      </c>
      <c r="U1093" s="734" t="s">
        <v>5760</v>
      </c>
      <c r="V1093" s="735"/>
      <c r="W1093" s="744" t="s">
        <v>7339</v>
      </c>
      <c r="X1093" s="750" t="s">
        <v>50</v>
      </c>
      <c r="Y1093" s="738"/>
      <c r="Z1093" s="739"/>
      <c r="AA1093" s="739"/>
      <c r="AB1093" s="740">
        <v>16</v>
      </c>
      <c r="AC1093" s="741"/>
      <c r="AD1093" s="741" t="str">
        <f>'DICTIONARY-5'!$A$13</f>
        <v>woda pitna</v>
      </c>
      <c r="AE1093" s="742">
        <v>50</v>
      </c>
      <c r="AF1093" s="743">
        <v>10</v>
      </c>
      <c r="AG1093" s="741" t="str">
        <f>'DICTIONARY-5'!$A$23</f>
        <v>powłoka epoksydowa</v>
      </c>
    </row>
    <row r="1094" spans="1:33" x14ac:dyDescent="0.25">
      <c r="A1094" s="856" t="s">
        <v>1030</v>
      </c>
      <c r="B1094" s="856" t="s">
        <v>4074</v>
      </c>
      <c r="C1094" s="836">
        <v>243</v>
      </c>
      <c r="D1094" s="836"/>
      <c r="E1094" s="836"/>
      <c r="F1094" s="836"/>
      <c r="G1094" s="496" t="s">
        <v>7812</v>
      </c>
      <c r="H1094" s="797" t="str">
        <f>VLOOKUP(G1094,SETTINGS!$B$7:$D$97,2,0)</f>
        <v>HOD</v>
      </c>
      <c r="I1094" s="796">
        <f>VLOOKUP(G1094,SETTINGS!$B$7:$D$97,3,0)</f>
        <v>0</v>
      </c>
      <c r="J1094" s="670" t="str">
        <f>IFERROR(IF(CURRENCY.FORMAT_1=0,CONCATENATE(TEXT(FIXED(ROUND((C1094/EXC.RATE_1),CURRENCY.FORMAT_1),CURRENCY.FORMAT_1,1),"# ##0;-# ##0"),",-"),FIXED(ROUND((C1094/EXC.RATE_1),CURRENCY.FORMAT_1),CURRENCY.FORMAT_1,0)),'DICTIONARY-5'!$A$2)</f>
        <v>243,-</v>
      </c>
      <c r="K1094" s="670" t="str">
        <f>IF(EXC.RATE_2=0,"",IFERROR(IF(CURRENCY.FORMAT_2=0,CONCATENATE(TEXT(FIXED(ROUND(IF(EXC.RATE.SWITCH=1,C1094/EXC.RATE_2,C1094*EXC.RATE_2),CURRENCY.FORMAT_2),CURRENCY.FORMAT_2,1),"# ##0;-# ##0"),",-"),FIXED(ROUND(IF(EXC.RATE.SWITCH=1,C1094/EXC.RATE_2,C1094*EXC.RATE_2),CURRENCY.FORMAT_2),CURRENCY.FORMAT_2,0)),'DICTIONARY-5'!$A$2))</f>
        <v/>
      </c>
      <c r="L1094" s="670" t="str">
        <f>IFERROR(IF(CURRENCY.FORMAT_1=0,CONCATENATE(TEXT(FIXED(ROUND((C1094*(1-I1094)*(1-ADD.DISCOUNT)*(1+MAT.SURCHARGE)/EXC.RATE_1),CURRENCY.FORMAT_1),CURRENCY.FORMAT_1,1),"# ##0;-# ##0"),",-"),FIXED(ROUND((C1094*(1-I1094)*(1-ADD.DISCOUNT)*(1+MAT.SURCHARGE)/EXC.RATE_1),CURRENCY.FORMAT_1),CURRENCY.FORMAT_1,0)),'DICTIONARY-5'!$A$2)</f>
        <v>252,-</v>
      </c>
      <c r="M1094" s="670" t="str">
        <f>IF(EXC.RATE_2=0,"",IFERROR(IF(CURRENCY.FORMAT_2=0,CONCATENATE(TEXT(FIXED(ROUND(IF(EXC.RATE.SWITCH=1,C1094*(1-I1094)*(1-ADD.DISCOUNT)*(1+MAT.SURCHARGE)/EXC.RATE_2,C1094*(1-I1094)*(1-ADD.DISCOUNT)*(1+MAT.SURCHARGE)*EXC.RATE_2),CURRENCY.FORMAT_2),CURRENCY.FORMAT_2,1),"# ##0;-# ##0"),",-"),FIXED(ROUND(IF(EXC.RATE.SWITCH=1,C1094*(1-I1094)*(1-ADD.DISCOUNT)*(1+MAT.SURCHARGE)/EXC.RATE_2,C1094*(1-I1094)*(1-ADD.DISCOUNT)*(1+MAT.SURCHARGE)*EXC.RATE_2),CURRENCY.FORMAT_2),CURRENCY.FORMAT_2,0)),'DICTIONARY-5'!$A$2))</f>
        <v/>
      </c>
      <c r="N1094" s="542">
        <v>4</v>
      </c>
      <c r="O1094" s="542"/>
      <c r="P1094" s="731" t="str">
        <f>'DICTIONARY-3'!$A$58</f>
        <v>HOD-K</v>
      </c>
      <c r="Q1094" s="732" t="str">
        <f>'DICTIONARY-3'!$A$196</f>
        <v>Mostek nawiertowy</v>
      </c>
      <c r="R1094" s="732" t="str">
        <f>CONCATENATE('DICTIONARY-3'!$A$55,'DICTIONARY-3'!$A$77," ",'DICTIONARY-6'!$A$21," ",'DICTIONARY-2'!$A$2,"100"," ",'DICTIONARY-2'!$A$5,"110 G2"," ",'DICTIONARY-6'!$A$61,", ",'DICTIONARY-6'!$A$76," ",'DICTIONARY-5'!$A$57,"+",'DICTIONARY-5'!$A$56)</f>
        <v>HOD-K504 Mostek nawiert. DN100 Da110 G2 z zasuwa, ruroc. PE+PVC</v>
      </c>
      <c r="S1094" s="733" t="str">
        <f>'DICTIONARY-4'!$A$2</f>
        <v>WW</v>
      </c>
      <c r="T1094" s="732" t="str">
        <f>'DICTIONARY-4'!$A$18</f>
        <v>Wolny wałek</v>
      </c>
      <c r="U1094" s="734" t="s">
        <v>5749</v>
      </c>
      <c r="V1094" s="735"/>
      <c r="W1094" s="744" t="s">
        <v>7340</v>
      </c>
      <c r="X1094" s="750" t="s">
        <v>50</v>
      </c>
      <c r="Y1094" s="738"/>
      <c r="Z1094" s="739"/>
      <c r="AA1094" s="739"/>
      <c r="AB1094" s="740">
        <v>16</v>
      </c>
      <c r="AC1094" s="741"/>
      <c r="AD1094" s="741" t="str">
        <f>'DICTIONARY-5'!$A$13</f>
        <v>woda pitna</v>
      </c>
      <c r="AE1094" s="742">
        <v>50</v>
      </c>
      <c r="AF1094" s="743">
        <v>11</v>
      </c>
      <c r="AG1094" s="741" t="str">
        <f>'DICTIONARY-5'!$A$23</f>
        <v>powłoka epoksydowa</v>
      </c>
    </row>
    <row r="1095" spans="1:33" x14ac:dyDescent="0.25">
      <c r="A1095" s="856" t="s">
        <v>1032</v>
      </c>
      <c r="B1095" s="856" t="s">
        <v>4075</v>
      </c>
      <c r="C1095" s="836">
        <v>298</v>
      </c>
      <c r="D1095" s="836"/>
      <c r="E1095" s="836"/>
      <c r="F1095" s="836"/>
      <c r="G1095" s="496" t="s">
        <v>7812</v>
      </c>
      <c r="H1095" s="797" t="str">
        <f>VLOOKUP(G1095,SETTINGS!$B$7:$D$97,2,0)</f>
        <v>HOD</v>
      </c>
      <c r="I1095" s="796">
        <f>VLOOKUP(G1095,SETTINGS!$B$7:$D$97,3,0)</f>
        <v>0</v>
      </c>
      <c r="J1095" s="670" t="str">
        <f>IFERROR(IF(CURRENCY.FORMAT_1=0,CONCATENATE(TEXT(FIXED(ROUND((C1095/EXC.RATE_1),CURRENCY.FORMAT_1),CURRENCY.FORMAT_1,1),"# ##0;-# ##0"),",-"),FIXED(ROUND((C1095/EXC.RATE_1),CURRENCY.FORMAT_1),CURRENCY.FORMAT_1,0)),'DICTIONARY-5'!$A$2)</f>
        <v>298,-</v>
      </c>
      <c r="K1095" s="670" t="str">
        <f>IF(EXC.RATE_2=0,"",IFERROR(IF(CURRENCY.FORMAT_2=0,CONCATENATE(TEXT(FIXED(ROUND(IF(EXC.RATE.SWITCH=1,C1095/EXC.RATE_2,C1095*EXC.RATE_2),CURRENCY.FORMAT_2),CURRENCY.FORMAT_2,1),"# ##0;-# ##0"),",-"),FIXED(ROUND(IF(EXC.RATE.SWITCH=1,C1095/EXC.RATE_2,C1095*EXC.RATE_2),CURRENCY.FORMAT_2),CURRENCY.FORMAT_2,0)),'DICTIONARY-5'!$A$2))</f>
        <v/>
      </c>
      <c r="L1095" s="670" t="str">
        <f>IFERROR(IF(CURRENCY.FORMAT_1=0,CONCATENATE(TEXT(FIXED(ROUND((C1095*(1-I1095)*(1-ADD.DISCOUNT)*(1+MAT.SURCHARGE)/EXC.RATE_1),CURRENCY.FORMAT_1),CURRENCY.FORMAT_1,1),"# ##0;-# ##0"),",-"),FIXED(ROUND((C1095*(1-I1095)*(1-ADD.DISCOUNT)*(1+MAT.SURCHARGE)/EXC.RATE_1),CURRENCY.FORMAT_1),CURRENCY.FORMAT_1,0)),'DICTIONARY-5'!$A$2)</f>
        <v>310,-</v>
      </c>
      <c r="M1095" s="670" t="str">
        <f>IF(EXC.RATE_2=0,"",IFERROR(IF(CURRENCY.FORMAT_2=0,CONCATENATE(TEXT(FIXED(ROUND(IF(EXC.RATE.SWITCH=1,C1095*(1-I1095)*(1-ADD.DISCOUNT)*(1+MAT.SURCHARGE)/EXC.RATE_2,C1095*(1-I1095)*(1-ADD.DISCOUNT)*(1+MAT.SURCHARGE)*EXC.RATE_2),CURRENCY.FORMAT_2),CURRENCY.FORMAT_2,1),"# ##0;-# ##0"),",-"),FIXED(ROUND(IF(EXC.RATE.SWITCH=1,C1095*(1-I1095)*(1-ADD.DISCOUNT)*(1+MAT.SURCHARGE)/EXC.RATE_2,C1095*(1-I1095)*(1-ADD.DISCOUNT)*(1+MAT.SURCHARGE)*EXC.RATE_2),CURRENCY.FORMAT_2),CURRENCY.FORMAT_2,0)),'DICTIONARY-5'!$A$2))</f>
        <v/>
      </c>
      <c r="N1095" s="542">
        <v>4</v>
      </c>
      <c r="O1095" s="542"/>
      <c r="P1095" s="731" t="str">
        <f>'DICTIONARY-3'!$A$58</f>
        <v>HOD-K</v>
      </c>
      <c r="Q1095" s="732" t="str">
        <f>'DICTIONARY-3'!$A$196</f>
        <v>Mostek nawiertowy</v>
      </c>
      <c r="R1095" s="732" t="str">
        <f>CONCATENATE('DICTIONARY-3'!$A$55,'DICTIONARY-3'!$A$77," ",'DICTIONARY-6'!$A$21," ",'DICTIONARY-2'!$A$2,"125"," ",'DICTIONARY-2'!$A$5,"140 G2"," ",'DICTIONARY-6'!$A$61,", ",'DICTIONARY-6'!$A$76," ",'DICTIONARY-5'!$A$57,"+",'DICTIONARY-5'!$A$56)</f>
        <v>HOD-K504 Mostek nawiert. DN125 Da140 G2 z zasuwa, ruroc. PE+PVC</v>
      </c>
      <c r="S1095" s="733" t="str">
        <f>'DICTIONARY-4'!$A$2</f>
        <v>WW</v>
      </c>
      <c r="T1095" s="732" t="str">
        <f>'DICTIONARY-4'!$A$18</f>
        <v>Wolny wałek</v>
      </c>
      <c r="U1095" s="734" t="s">
        <v>5761</v>
      </c>
      <c r="V1095" s="735"/>
      <c r="W1095" s="744" t="s">
        <v>7341</v>
      </c>
      <c r="X1095" s="750" t="s">
        <v>50</v>
      </c>
      <c r="Y1095" s="738"/>
      <c r="Z1095" s="739"/>
      <c r="AA1095" s="739"/>
      <c r="AB1095" s="740">
        <v>16</v>
      </c>
      <c r="AC1095" s="741"/>
      <c r="AD1095" s="741" t="str">
        <f>'DICTIONARY-5'!$A$13</f>
        <v>woda pitna</v>
      </c>
      <c r="AE1095" s="742">
        <v>50</v>
      </c>
      <c r="AF1095" s="743">
        <v>12.4</v>
      </c>
      <c r="AG1095" s="741" t="str">
        <f>'DICTIONARY-5'!$A$23</f>
        <v>powłoka epoksydowa</v>
      </c>
    </row>
    <row r="1096" spans="1:33" x14ac:dyDescent="0.25">
      <c r="A1096" s="856" t="s">
        <v>1034</v>
      </c>
      <c r="B1096" s="856" t="s">
        <v>4076</v>
      </c>
      <c r="C1096" s="836">
        <v>267</v>
      </c>
      <c r="D1096" s="836"/>
      <c r="E1096" s="836"/>
      <c r="F1096" s="836"/>
      <c r="G1096" s="496" t="s">
        <v>7812</v>
      </c>
      <c r="H1096" s="797" t="str">
        <f>VLOOKUP(G1096,SETTINGS!$B$7:$D$97,2,0)</f>
        <v>HOD</v>
      </c>
      <c r="I1096" s="796">
        <f>VLOOKUP(G1096,SETTINGS!$B$7:$D$97,3,0)</f>
        <v>0</v>
      </c>
      <c r="J1096" s="670" t="str">
        <f>IFERROR(IF(CURRENCY.FORMAT_1=0,CONCATENATE(TEXT(FIXED(ROUND((C1096/EXC.RATE_1),CURRENCY.FORMAT_1),CURRENCY.FORMAT_1,1),"# ##0;-# ##0"),",-"),FIXED(ROUND((C1096/EXC.RATE_1),CURRENCY.FORMAT_1),CURRENCY.FORMAT_1,0)),'DICTIONARY-5'!$A$2)</f>
        <v>267,-</v>
      </c>
      <c r="K1096" s="670" t="str">
        <f>IF(EXC.RATE_2=0,"",IFERROR(IF(CURRENCY.FORMAT_2=0,CONCATENATE(TEXT(FIXED(ROUND(IF(EXC.RATE.SWITCH=1,C1096/EXC.RATE_2,C1096*EXC.RATE_2),CURRENCY.FORMAT_2),CURRENCY.FORMAT_2,1),"# ##0;-# ##0"),",-"),FIXED(ROUND(IF(EXC.RATE.SWITCH=1,C1096/EXC.RATE_2,C1096*EXC.RATE_2),CURRENCY.FORMAT_2),CURRENCY.FORMAT_2,0)),'DICTIONARY-5'!$A$2))</f>
        <v/>
      </c>
      <c r="L1096" s="670" t="str">
        <f>IFERROR(IF(CURRENCY.FORMAT_1=0,CONCATENATE(TEXT(FIXED(ROUND((C1096*(1-I1096)*(1-ADD.DISCOUNT)*(1+MAT.SURCHARGE)/EXC.RATE_1),CURRENCY.FORMAT_1),CURRENCY.FORMAT_1,1),"# ##0;-# ##0"),",-"),FIXED(ROUND((C1096*(1-I1096)*(1-ADD.DISCOUNT)*(1+MAT.SURCHARGE)/EXC.RATE_1),CURRENCY.FORMAT_1),CURRENCY.FORMAT_1,0)),'DICTIONARY-5'!$A$2)</f>
        <v>277,-</v>
      </c>
      <c r="M1096" s="670" t="str">
        <f>IF(EXC.RATE_2=0,"",IFERROR(IF(CURRENCY.FORMAT_2=0,CONCATENATE(TEXT(FIXED(ROUND(IF(EXC.RATE.SWITCH=1,C1096*(1-I1096)*(1-ADD.DISCOUNT)*(1+MAT.SURCHARGE)/EXC.RATE_2,C1096*(1-I1096)*(1-ADD.DISCOUNT)*(1+MAT.SURCHARGE)*EXC.RATE_2),CURRENCY.FORMAT_2),CURRENCY.FORMAT_2,1),"# ##0;-# ##0"),",-"),FIXED(ROUND(IF(EXC.RATE.SWITCH=1,C1096*(1-I1096)*(1-ADD.DISCOUNT)*(1+MAT.SURCHARGE)/EXC.RATE_2,C1096*(1-I1096)*(1-ADD.DISCOUNT)*(1+MAT.SURCHARGE)*EXC.RATE_2),CURRENCY.FORMAT_2),CURRENCY.FORMAT_2,0)),'DICTIONARY-5'!$A$2))</f>
        <v/>
      </c>
      <c r="N1096" s="542">
        <v>4</v>
      </c>
      <c r="O1096" s="542"/>
      <c r="P1096" s="731" t="str">
        <f>'DICTIONARY-3'!$A$58</f>
        <v>HOD-K</v>
      </c>
      <c r="Q1096" s="732" t="str">
        <f>'DICTIONARY-3'!$A$196</f>
        <v>Mostek nawiertowy</v>
      </c>
      <c r="R1096" s="732" t="str">
        <f>CONCATENATE('DICTIONARY-3'!$A$55,'DICTIONARY-3'!$A$77," ",'DICTIONARY-6'!$A$21," ",'DICTIONARY-2'!$A$2,"150"," ",'DICTIONARY-2'!$A$5,"160 G2"," ",'DICTIONARY-6'!$A$61,", ",'DICTIONARY-6'!$A$76," ",'DICTIONARY-5'!$A$57,"+",'DICTIONARY-5'!$A$56)</f>
        <v>HOD-K504 Mostek nawiert. DN150 Da160 G2 z zasuwa, ruroc. PE+PVC</v>
      </c>
      <c r="S1096" s="733" t="str">
        <f>'DICTIONARY-4'!$A$2</f>
        <v>WW</v>
      </c>
      <c r="T1096" s="732" t="str">
        <f>'DICTIONARY-4'!$A$18</f>
        <v>Wolny wałek</v>
      </c>
      <c r="U1096" s="734" t="s">
        <v>5572</v>
      </c>
      <c r="V1096" s="735"/>
      <c r="W1096" s="744" t="s">
        <v>7342</v>
      </c>
      <c r="X1096" s="750" t="s">
        <v>50</v>
      </c>
      <c r="Y1096" s="738"/>
      <c r="Z1096" s="739"/>
      <c r="AA1096" s="739"/>
      <c r="AB1096" s="740">
        <v>16</v>
      </c>
      <c r="AC1096" s="741"/>
      <c r="AD1096" s="741" t="str">
        <f>'DICTIONARY-5'!$A$13</f>
        <v>woda pitna</v>
      </c>
      <c r="AE1096" s="742">
        <v>50</v>
      </c>
      <c r="AF1096" s="743">
        <v>13.6</v>
      </c>
      <c r="AG1096" s="741" t="str">
        <f>'DICTIONARY-5'!$A$23</f>
        <v>powłoka epoksydowa</v>
      </c>
    </row>
    <row r="1097" spans="1:33" x14ac:dyDescent="0.25">
      <c r="A1097" s="856" t="s">
        <v>1036</v>
      </c>
      <c r="B1097" s="856" t="s">
        <v>4077</v>
      </c>
      <c r="C1097" s="836">
        <v>337</v>
      </c>
      <c r="D1097" s="836"/>
      <c r="E1097" s="836"/>
      <c r="F1097" s="836"/>
      <c r="G1097" s="496" t="s">
        <v>7812</v>
      </c>
      <c r="H1097" s="797" t="str">
        <f>VLOOKUP(G1097,SETTINGS!$B$7:$D$97,2,0)</f>
        <v>HOD</v>
      </c>
      <c r="I1097" s="796">
        <f>VLOOKUP(G1097,SETTINGS!$B$7:$D$97,3,0)</f>
        <v>0</v>
      </c>
      <c r="J1097" s="670" t="str">
        <f>IFERROR(IF(CURRENCY.FORMAT_1=0,CONCATENATE(TEXT(FIXED(ROUND((C1097/EXC.RATE_1),CURRENCY.FORMAT_1),CURRENCY.FORMAT_1,1),"# ##0;-# ##0"),",-"),FIXED(ROUND((C1097/EXC.RATE_1),CURRENCY.FORMAT_1),CURRENCY.FORMAT_1,0)),'DICTIONARY-5'!$A$2)</f>
        <v>337,-</v>
      </c>
      <c r="K1097" s="670" t="str">
        <f>IF(EXC.RATE_2=0,"",IFERROR(IF(CURRENCY.FORMAT_2=0,CONCATENATE(TEXT(FIXED(ROUND(IF(EXC.RATE.SWITCH=1,C1097/EXC.RATE_2,C1097*EXC.RATE_2),CURRENCY.FORMAT_2),CURRENCY.FORMAT_2,1),"# ##0;-# ##0"),",-"),FIXED(ROUND(IF(EXC.RATE.SWITCH=1,C1097/EXC.RATE_2,C1097*EXC.RATE_2),CURRENCY.FORMAT_2),CURRENCY.FORMAT_2,0)),'DICTIONARY-5'!$A$2))</f>
        <v/>
      </c>
      <c r="L1097" s="670" t="str">
        <f>IFERROR(IF(CURRENCY.FORMAT_1=0,CONCATENATE(TEXT(FIXED(ROUND((C1097*(1-I1097)*(1-ADD.DISCOUNT)*(1+MAT.SURCHARGE)/EXC.RATE_1),CURRENCY.FORMAT_1),CURRENCY.FORMAT_1,1),"# ##0;-# ##0"),",-"),FIXED(ROUND((C1097*(1-I1097)*(1-ADD.DISCOUNT)*(1+MAT.SURCHARGE)/EXC.RATE_1),CURRENCY.FORMAT_1),CURRENCY.FORMAT_1,0)),'DICTIONARY-5'!$A$2)</f>
        <v>350,-</v>
      </c>
      <c r="M1097" s="670" t="str">
        <f>IF(EXC.RATE_2=0,"",IFERROR(IF(CURRENCY.FORMAT_2=0,CONCATENATE(TEXT(FIXED(ROUND(IF(EXC.RATE.SWITCH=1,C1097*(1-I1097)*(1-ADD.DISCOUNT)*(1+MAT.SURCHARGE)/EXC.RATE_2,C1097*(1-I1097)*(1-ADD.DISCOUNT)*(1+MAT.SURCHARGE)*EXC.RATE_2),CURRENCY.FORMAT_2),CURRENCY.FORMAT_2,1),"# ##0;-# ##0"),",-"),FIXED(ROUND(IF(EXC.RATE.SWITCH=1,C1097*(1-I1097)*(1-ADD.DISCOUNT)*(1+MAT.SURCHARGE)/EXC.RATE_2,C1097*(1-I1097)*(1-ADD.DISCOUNT)*(1+MAT.SURCHARGE)*EXC.RATE_2),CURRENCY.FORMAT_2),CURRENCY.FORMAT_2,0)),'DICTIONARY-5'!$A$2))</f>
        <v/>
      </c>
      <c r="N1097" s="542">
        <v>4</v>
      </c>
      <c r="O1097" s="542"/>
      <c r="P1097" s="731" t="str">
        <f>'DICTIONARY-3'!$A$58</f>
        <v>HOD-K</v>
      </c>
      <c r="Q1097" s="732" t="str">
        <f>'DICTIONARY-3'!$A$196</f>
        <v>Mostek nawiertowy</v>
      </c>
      <c r="R1097" s="732" t="str">
        <f>CONCATENATE('DICTIONARY-3'!$A$55,'DICTIONARY-3'!$A$77," ",'DICTIONARY-6'!$A$21," ",'DICTIONARY-2'!$A$2,"200"," ",'DICTIONARY-2'!$A$5,"225 G2"," ",'DICTIONARY-6'!$A$61,", ",'DICTIONARY-6'!$A$76," ",'DICTIONARY-5'!$A$57,"+",'DICTIONARY-5'!$A$56)</f>
        <v>HOD-K504 Mostek nawiert. DN200 Da225 G2 z zasuwa, ruroc. PE+PVC</v>
      </c>
      <c r="S1097" s="733" t="str">
        <f>'DICTIONARY-4'!$A$2</f>
        <v>WW</v>
      </c>
      <c r="T1097" s="732" t="str">
        <f>'DICTIONARY-4'!$A$18</f>
        <v>Wolny wałek</v>
      </c>
      <c r="U1097" s="734" t="s">
        <v>5750</v>
      </c>
      <c r="V1097" s="735"/>
      <c r="W1097" s="744" t="s">
        <v>5833</v>
      </c>
      <c r="X1097" s="750" t="s">
        <v>50</v>
      </c>
      <c r="Y1097" s="738"/>
      <c r="Z1097" s="739"/>
      <c r="AA1097" s="739"/>
      <c r="AB1097" s="740">
        <v>16</v>
      </c>
      <c r="AC1097" s="741"/>
      <c r="AD1097" s="741" t="str">
        <f>'DICTIONARY-5'!$A$13</f>
        <v>woda pitna</v>
      </c>
      <c r="AE1097" s="742">
        <v>50</v>
      </c>
      <c r="AF1097" s="743">
        <v>16</v>
      </c>
      <c r="AG1097" s="741" t="str">
        <f>'DICTIONARY-5'!$A$23</f>
        <v>powłoka epoksydowa</v>
      </c>
    </row>
    <row r="1098" spans="1:33" x14ac:dyDescent="0.25">
      <c r="A1098" s="856" t="s">
        <v>1038</v>
      </c>
      <c r="B1098" s="856" t="s">
        <v>4078</v>
      </c>
      <c r="C1098" s="836">
        <v>702</v>
      </c>
      <c r="D1098" s="836"/>
      <c r="E1098" s="836"/>
      <c r="F1098" s="836"/>
      <c r="G1098" s="496" t="s">
        <v>7812</v>
      </c>
      <c r="H1098" s="797" t="str">
        <f>VLOOKUP(G1098,SETTINGS!$B$7:$D$97,2,0)</f>
        <v>HOD</v>
      </c>
      <c r="I1098" s="796">
        <f>VLOOKUP(G1098,SETTINGS!$B$7:$D$97,3,0)</f>
        <v>0</v>
      </c>
      <c r="J1098" s="670" t="str">
        <f>IFERROR(IF(CURRENCY.FORMAT_1=0,CONCATENATE(TEXT(FIXED(ROUND((C1098/EXC.RATE_1),CURRENCY.FORMAT_1),CURRENCY.FORMAT_1,1),"# ##0;-# ##0"),",-"),FIXED(ROUND((C1098/EXC.RATE_1),CURRENCY.FORMAT_1),CURRENCY.FORMAT_1,0)),'DICTIONARY-5'!$A$2)</f>
        <v>702,-</v>
      </c>
      <c r="K1098" s="670" t="str">
        <f>IF(EXC.RATE_2=0,"",IFERROR(IF(CURRENCY.FORMAT_2=0,CONCATENATE(TEXT(FIXED(ROUND(IF(EXC.RATE.SWITCH=1,C1098/EXC.RATE_2,C1098*EXC.RATE_2),CURRENCY.FORMAT_2),CURRENCY.FORMAT_2,1),"# ##0;-# ##0"),",-"),FIXED(ROUND(IF(EXC.RATE.SWITCH=1,C1098/EXC.RATE_2,C1098*EXC.RATE_2),CURRENCY.FORMAT_2),CURRENCY.FORMAT_2,0)),'DICTIONARY-5'!$A$2))</f>
        <v/>
      </c>
      <c r="L1098" s="670" t="str">
        <f>IFERROR(IF(CURRENCY.FORMAT_1=0,CONCATENATE(TEXT(FIXED(ROUND((C1098*(1-I1098)*(1-ADD.DISCOUNT)*(1+MAT.SURCHARGE)/EXC.RATE_1),CURRENCY.FORMAT_1),CURRENCY.FORMAT_1,1),"# ##0;-# ##0"),",-"),FIXED(ROUND((C1098*(1-I1098)*(1-ADD.DISCOUNT)*(1+MAT.SURCHARGE)/EXC.RATE_1),CURRENCY.FORMAT_1),CURRENCY.FORMAT_1,0)),'DICTIONARY-5'!$A$2)</f>
        <v>729,-</v>
      </c>
      <c r="M1098" s="670" t="str">
        <f>IF(EXC.RATE_2=0,"",IFERROR(IF(CURRENCY.FORMAT_2=0,CONCATENATE(TEXT(FIXED(ROUND(IF(EXC.RATE.SWITCH=1,C1098*(1-I1098)*(1-ADD.DISCOUNT)*(1+MAT.SURCHARGE)/EXC.RATE_2,C1098*(1-I1098)*(1-ADD.DISCOUNT)*(1+MAT.SURCHARGE)*EXC.RATE_2),CURRENCY.FORMAT_2),CURRENCY.FORMAT_2,1),"# ##0;-# ##0"),",-"),FIXED(ROUND(IF(EXC.RATE.SWITCH=1,C1098*(1-I1098)*(1-ADD.DISCOUNT)*(1+MAT.SURCHARGE)/EXC.RATE_2,C1098*(1-I1098)*(1-ADD.DISCOUNT)*(1+MAT.SURCHARGE)*EXC.RATE_2),CURRENCY.FORMAT_2),CURRENCY.FORMAT_2,0)),'DICTIONARY-5'!$A$2))</f>
        <v/>
      </c>
      <c r="N1098" s="542">
        <v>4</v>
      </c>
      <c r="O1098" s="542"/>
      <c r="P1098" s="731" t="str">
        <f>'DICTIONARY-3'!$A$58</f>
        <v>HOD-K</v>
      </c>
      <c r="Q1098" s="732" t="str">
        <f>'DICTIONARY-3'!$A$196</f>
        <v>Mostek nawiertowy</v>
      </c>
      <c r="R1098" s="732" t="str">
        <f>CONCATENATE('DICTIONARY-3'!$A$55,'DICTIONARY-3'!$A$77," ",'DICTIONARY-6'!$A$21," ",'DICTIONARY-2'!$A$2,"250"," ",'DICTIONARY-2'!$A$5,"280 G2"," ",'DICTIONARY-6'!$A$61,", ",'DICTIONARY-6'!$A$76," ",'DICTIONARY-5'!$A$57,"+",'DICTIONARY-5'!$A$56)</f>
        <v>HOD-K504 Mostek nawiert. DN250 Da280 G2 z zasuwa, ruroc. PE+PVC</v>
      </c>
      <c r="S1098" s="733" t="str">
        <f>'DICTIONARY-4'!$A$2</f>
        <v>WW</v>
      </c>
      <c r="T1098" s="732" t="str">
        <f>'DICTIONARY-4'!$A$18</f>
        <v>Wolny wałek</v>
      </c>
      <c r="U1098" s="734" t="s">
        <v>5751</v>
      </c>
      <c r="V1098" s="735"/>
      <c r="W1098" s="744" t="s">
        <v>7344</v>
      </c>
      <c r="X1098" s="750" t="s">
        <v>50</v>
      </c>
      <c r="Y1098" s="738"/>
      <c r="Z1098" s="739"/>
      <c r="AA1098" s="739"/>
      <c r="AB1098" s="740">
        <v>16</v>
      </c>
      <c r="AC1098" s="741"/>
      <c r="AD1098" s="741" t="str">
        <f>'DICTIONARY-5'!$A$13</f>
        <v>woda pitna</v>
      </c>
      <c r="AE1098" s="742">
        <v>50</v>
      </c>
      <c r="AF1098" s="743">
        <v>18</v>
      </c>
      <c r="AG1098" s="741" t="str">
        <f>'DICTIONARY-5'!$A$23</f>
        <v>powłoka epoksydowa</v>
      </c>
    </row>
    <row r="1099" spans="1:33" x14ac:dyDescent="0.25">
      <c r="A1099" s="856" t="s">
        <v>1040</v>
      </c>
      <c r="B1099" s="856" t="s">
        <v>4079</v>
      </c>
      <c r="C1099" s="836">
        <v>706</v>
      </c>
      <c r="D1099" s="836"/>
      <c r="E1099" s="836"/>
      <c r="F1099" s="836"/>
      <c r="G1099" s="496" t="s">
        <v>7812</v>
      </c>
      <c r="H1099" s="797" t="str">
        <f>VLOOKUP(G1099,SETTINGS!$B$7:$D$97,2,0)</f>
        <v>HOD</v>
      </c>
      <c r="I1099" s="796">
        <f>VLOOKUP(G1099,SETTINGS!$B$7:$D$97,3,0)</f>
        <v>0</v>
      </c>
      <c r="J1099" s="670" t="str">
        <f>IFERROR(IF(CURRENCY.FORMAT_1=0,CONCATENATE(TEXT(FIXED(ROUND((C1099/EXC.RATE_1),CURRENCY.FORMAT_1),CURRENCY.FORMAT_1,1),"# ##0;-# ##0"),",-"),FIXED(ROUND((C1099/EXC.RATE_1),CURRENCY.FORMAT_1),CURRENCY.FORMAT_1,0)),'DICTIONARY-5'!$A$2)</f>
        <v>706,-</v>
      </c>
      <c r="K1099" s="670" t="str">
        <f>IF(EXC.RATE_2=0,"",IFERROR(IF(CURRENCY.FORMAT_2=0,CONCATENATE(TEXT(FIXED(ROUND(IF(EXC.RATE.SWITCH=1,C1099/EXC.RATE_2,C1099*EXC.RATE_2),CURRENCY.FORMAT_2),CURRENCY.FORMAT_2,1),"# ##0;-# ##0"),",-"),FIXED(ROUND(IF(EXC.RATE.SWITCH=1,C1099/EXC.RATE_2,C1099*EXC.RATE_2),CURRENCY.FORMAT_2),CURRENCY.FORMAT_2,0)),'DICTIONARY-5'!$A$2))</f>
        <v/>
      </c>
      <c r="L1099" s="670" t="str">
        <f>IFERROR(IF(CURRENCY.FORMAT_1=0,CONCATENATE(TEXT(FIXED(ROUND((C1099*(1-I1099)*(1-ADD.DISCOUNT)*(1+MAT.SURCHARGE)/EXC.RATE_1),CURRENCY.FORMAT_1),CURRENCY.FORMAT_1,1),"# ##0;-# ##0"),",-"),FIXED(ROUND((C1099*(1-I1099)*(1-ADD.DISCOUNT)*(1+MAT.SURCHARGE)/EXC.RATE_1),CURRENCY.FORMAT_1),CURRENCY.FORMAT_1,0)),'DICTIONARY-5'!$A$2)</f>
        <v>734,-</v>
      </c>
      <c r="M1099" s="670" t="str">
        <f>IF(EXC.RATE_2=0,"",IFERROR(IF(CURRENCY.FORMAT_2=0,CONCATENATE(TEXT(FIXED(ROUND(IF(EXC.RATE.SWITCH=1,C1099*(1-I1099)*(1-ADD.DISCOUNT)*(1+MAT.SURCHARGE)/EXC.RATE_2,C1099*(1-I1099)*(1-ADD.DISCOUNT)*(1+MAT.SURCHARGE)*EXC.RATE_2),CURRENCY.FORMAT_2),CURRENCY.FORMAT_2,1),"# ##0;-# ##0"),",-"),FIXED(ROUND(IF(EXC.RATE.SWITCH=1,C1099*(1-I1099)*(1-ADD.DISCOUNT)*(1+MAT.SURCHARGE)/EXC.RATE_2,C1099*(1-I1099)*(1-ADD.DISCOUNT)*(1+MAT.SURCHARGE)*EXC.RATE_2),CURRENCY.FORMAT_2),CURRENCY.FORMAT_2,0)),'DICTIONARY-5'!$A$2))</f>
        <v/>
      </c>
      <c r="N1099" s="542">
        <v>4</v>
      </c>
      <c r="O1099" s="542"/>
      <c r="P1099" s="731" t="str">
        <f>'DICTIONARY-3'!$A$58</f>
        <v>HOD-K</v>
      </c>
      <c r="Q1099" s="732" t="str">
        <f>'DICTIONARY-3'!$A$196</f>
        <v>Mostek nawiertowy</v>
      </c>
      <c r="R1099" s="732" t="str">
        <f>CONCATENATE('DICTIONARY-3'!$A$55,'DICTIONARY-3'!$A$77," ",'DICTIONARY-6'!$A$21," ",'DICTIONARY-2'!$A$2,"300"," ",'DICTIONARY-2'!$A$5,"315 G2"," ",'DICTIONARY-6'!$A$61,", ",'DICTIONARY-6'!$A$76," ",'DICTIONARY-5'!$A$57,"+",'DICTIONARY-5'!$A$56)</f>
        <v>HOD-K504 Mostek nawiert. DN300 Da315 G2 z zasuwa, ruroc. PE+PVC</v>
      </c>
      <c r="S1099" s="733" t="str">
        <f>'DICTIONARY-4'!$A$2</f>
        <v>WW</v>
      </c>
      <c r="T1099" s="732" t="str">
        <f>'DICTIONARY-4'!$A$18</f>
        <v>Wolny wałek</v>
      </c>
      <c r="U1099" s="734" t="s">
        <v>5752</v>
      </c>
      <c r="V1099" s="735"/>
      <c r="W1099" s="744" t="s">
        <v>7345</v>
      </c>
      <c r="X1099" s="750" t="s">
        <v>50</v>
      </c>
      <c r="Y1099" s="738"/>
      <c r="Z1099" s="739"/>
      <c r="AA1099" s="739"/>
      <c r="AB1099" s="740">
        <v>16</v>
      </c>
      <c r="AC1099" s="741"/>
      <c r="AD1099" s="741" t="str">
        <f>'DICTIONARY-5'!$A$13</f>
        <v>woda pitna</v>
      </c>
      <c r="AE1099" s="742">
        <v>50</v>
      </c>
      <c r="AF1099" s="743">
        <v>19.3</v>
      </c>
      <c r="AG1099" s="741" t="str">
        <f>'DICTIONARY-5'!$A$23</f>
        <v>powłoka epoksydowa</v>
      </c>
    </row>
    <row r="1100" spans="1:33" x14ac:dyDescent="0.25">
      <c r="A1100" s="856" t="s">
        <v>1041</v>
      </c>
      <c r="B1100" s="859" t="s">
        <v>4048</v>
      </c>
      <c r="C1100" s="836">
        <v>108</v>
      </c>
      <c r="D1100" s="836"/>
      <c r="E1100" s="836"/>
      <c r="F1100" s="836"/>
      <c r="G1100" s="496" t="s">
        <v>7812</v>
      </c>
      <c r="H1100" s="797" t="str">
        <f>VLOOKUP(G1100,SETTINGS!$B$7:$D$97,2,0)</f>
        <v>HOD</v>
      </c>
      <c r="I1100" s="796">
        <f>VLOOKUP(G1100,SETTINGS!$B$7:$D$97,3,0)</f>
        <v>0</v>
      </c>
      <c r="J1100" s="670" t="str">
        <f>IFERROR(IF(CURRENCY.FORMAT_1=0,CONCATENATE(TEXT(FIXED(ROUND((C1100/EXC.RATE_1),CURRENCY.FORMAT_1),CURRENCY.FORMAT_1,1),"# ##0;-# ##0"),",-"),FIXED(ROUND((C1100/EXC.RATE_1),CURRENCY.FORMAT_1),CURRENCY.FORMAT_1,0)),'DICTIONARY-5'!$A$2)</f>
        <v>108,-</v>
      </c>
      <c r="K1100" s="670" t="str">
        <f>IF(EXC.RATE_2=0,"",IFERROR(IF(CURRENCY.FORMAT_2=0,CONCATENATE(TEXT(FIXED(ROUND(IF(EXC.RATE.SWITCH=1,C1100/EXC.RATE_2,C1100*EXC.RATE_2),CURRENCY.FORMAT_2),CURRENCY.FORMAT_2,1),"# ##0;-# ##0"),",-"),FIXED(ROUND(IF(EXC.RATE.SWITCH=1,C1100/EXC.RATE_2,C1100*EXC.RATE_2),CURRENCY.FORMAT_2),CURRENCY.FORMAT_2,0)),'DICTIONARY-5'!$A$2))</f>
        <v/>
      </c>
      <c r="L1100" s="670" t="str">
        <f>IFERROR(IF(CURRENCY.FORMAT_1=0,CONCATENATE(TEXT(FIXED(ROUND((C1100*(1-I1100)*(1-ADD.DISCOUNT)*(1+MAT.SURCHARGE)/EXC.RATE_1),CURRENCY.FORMAT_1),CURRENCY.FORMAT_1,1),"# ##0;-# ##0"),",-"),FIXED(ROUND((C1100*(1-I1100)*(1-ADD.DISCOUNT)*(1+MAT.SURCHARGE)/EXC.RATE_1),CURRENCY.FORMAT_1),CURRENCY.FORMAT_1,0)),'DICTIONARY-5'!$A$2)</f>
        <v>112,-</v>
      </c>
      <c r="M1100" s="670" t="str">
        <f>IF(EXC.RATE_2=0,"",IFERROR(IF(CURRENCY.FORMAT_2=0,CONCATENATE(TEXT(FIXED(ROUND(IF(EXC.RATE.SWITCH=1,C1100*(1-I1100)*(1-ADD.DISCOUNT)*(1+MAT.SURCHARGE)/EXC.RATE_2,C1100*(1-I1100)*(1-ADD.DISCOUNT)*(1+MAT.SURCHARGE)*EXC.RATE_2),CURRENCY.FORMAT_2),CURRENCY.FORMAT_2,1),"# ##0;-# ##0"),",-"),FIXED(ROUND(IF(EXC.RATE.SWITCH=1,C1100*(1-I1100)*(1-ADD.DISCOUNT)*(1+MAT.SURCHARGE)/EXC.RATE_2,C1100*(1-I1100)*(1-ADD.DISCOUNT)*(1+MAT.SURCHARGE)*EXC.RATE_2),CURRENCY.FORMAT_2),CURRENCY.FORMAT_2,0)),'DICTIONARY-5'!$A$2))</f>
        <v/>
      </c>
      <c r="N1100" s="542">
        <v>4</v>
      </c>
      <c r="O1100" s="542"/>
      <c r="P1100" s="731" t="str">
        <f>'DICTIONARY-3'!$A$58</f>
        <v>HOD-K</v>
      </c>
      <c r="Q1100" s="732" t="str">
        <f>'DICTIONARY-3'!$A$196</f>
        <v>Mostek nawiertowy</v>
      </c>
      <c r="R1100" s="732" t="str">
        <f>CONCATENATE('DICTIONARY-3'!$A$55,'DICTIONARY-3'!$A$81," ",'DICTIONARY-6'!$A$21," ",'DICTIONARY-2'!$A$2,"50"," ",'DICTIONARY-2'!$A$5,"63"," ",'DICTIONARY-6'!$A$62,"+",'DICTIONARY-6'!$A$63," ","d32",", ",'DICTIONARY-6'!$A$76," ",'DICTIONARY-5'!$A$57,"+",'DICTIONARY-5'!$A$56)</f>
        <v>HOD-K515 Mostek nawiert. DN50 Da63 z zaw. kul.+końc. d32, ruroc. PE+PVC</v>
      </c>
      <c r="S1100" s="733" t="str">
        <f>'DICTIONARY-4'!$A$2</f>
        <v>WW</v>
      </c>
      <c r="T1100" s="732" t="str">
        <f>'DICTIONARY-4'!$A$18</f>
        <v>Wolny wałek</v>
      </c>
      <c r="U1100" s="734" t="s">
        <v>5748</v>
      </c>
      <c r="V1100" s="735"/>
      <c r="W1100" s="744" t="s">
        <v>7338</v>
      </c>
      <c r="X1100" s="737"/>
      <c r="Y1100" s="738"/>
      <c r="Z1100" s="739"/>
      <c r="AA1100" s="739"/>
      <c r="AB1100" s="740">
        <v>16</v>
      </c>
      <c r="AC1100" s="741"/>
      <c r="AD1100" s="741" t="str">
        <f>'DICTIONARY-5'!$A$13</f>
        <v>woda pitna</v>
      </c>
      <c r="AE1100" s="742">
        <v>50</v>
      </c>
      <c r="AF1100" s="743">
        <v>3</v>
      </c>
      <c r="AG1100" s="741" t="str">
        <f>'DICTIONARY-5'!$A$23</f>
        <v>powłoka epoksydowa</v>
      </c>
    </row>
    <row r="1101" spans="1:33" x14ac:dyDescent="0.25">
      <c r="A1101" s="856" t="s">
        <v>1043</v>
      </c>
      <c r="B1101" s="856" t="s">
        <v>4049</v>
      </c>
      <c r="C1101" s="836">
        <v>126</v>
      </c>
      <c r="D1101" s="836"/>
      <c r="E1101" s="836"/>
      <c r="F1101" s="836"/>
      <c r="G1101" s="496" t="s">
        <v>7812</v>
      </c>
      <c r="H1101" s="797" t="str">
        <f>VLOOKUP(G1101,SETTINGS!$B$7:$D$97,2,0)</f>
        <v>HOD</v>
      </c>
      <c r="I1101" s="796">
        <f>VLOOKUP(G1101,SETTINGS!$B$7:$D$97,3,0)</f>
        <v>0</v>
      </c>
      <c r="J1101" s="670" t="str">
        <f>IFERROR(IF(CURRENCY.FORMAT_1=0,CONCATENATE(TEXT(FIXED(ROUND((C1101/EXC.RATE_1),CURRENCY.FORMAT_1),CURRENCY.FORMAT_1,1),"# ##0;-# ##0"),",-"),FIXED(ROUND((C1101/EXC.RATE_1),CURRENCY.FORMAT_1),CURRENCY.FORMAT_1,0)),'DICTIONARY-5'!$A$2)</f>
        <v>126,-</v>
      </c>
      <c r="K1101" s="670" t="str">
        <f>IF(EXC.RATE_2=0,"",IFERROR(IF(CURRENCY.FORMAT_2=0,CONCATENATE(TEXT(FIXED(ROUND(IF(EXC.RATE.SWITCH=1,C1101/EXC.RATE_2,C1101*EXC.RATE_2),CURRENCY.FORMAT_2),CURRENCY.FORMAT_2,1),"# ##0;-# ##0"),",-"),FIXED(ROUND(IF(EXC.RATE.SWITCH=1,C1101/EXC.RATE_2,C1101*EXC.RATE_2),CURRENCY.FORMAT_2),CURRENCY.FORMAT_2,0)),'DICTIONARY-5'!$A$2))</f>
        <v/>
      </c>
      <c r="L1101" s="670" t="str">
        <f>IFERROR(IF(CURRENCY.FORMAT_1=0,CONCATENATE(TEXT(FIXED(ROUND((C1101*(1-I1101)*(1-ADD.DISCOUNT)*(1+MAT.SURCHARGE)/EXC.RATE_1),CURRENCY.FORMAT_1),CURRENCY.FORMAT_1,1),"# ##0;-# ##0"),",-"),FIXED(ROUND((C1101*(1-I1101)*(1-ADD.DISCOUNT)*(1+MAT.SURCHARGE)/EXC.RATE_1),CURRENCY.FORMAT_1),CURRENCY.FORMAT_1,0)),'DICTIONARY-5'!$A$2)</f>
        <v>131,-</v>
      </c>
      <c r="M1101" s="670" t="str">
        <f>IF(EXC.RATE_2=0,"",IFERROR(IF(CURRENCY.FORMAT_2=0,CONCATENATE(TEXT(FIXED(ROUND(IF(EXC.RATE.SWITCH=1,C1101*(1-I1101)*(1-ADD.DISCOUNT)*(1+MAT.SURCHARGE)/EXC.RATE_2,C1101*(1-I1101)*(1-ADD.DISCOUNT)*(1+MAT.SURCHARGE)*EXC.RATE_2),CURRENCY.FORMAT_2),CURRENCY.FORMAT_2,1),"# ##0;-# ##0"),",-"),FIXED(ROUND(IF(EXC.RATE.SWITCH=1,C1101*(1-I1101)*(1-ADD.DISCOUNT)*(1+MAT.SURCHARGE)/EXC.RATE_2,C1101*(1-I1101)*(1-ADD.DISCOUNT)*(1+MAT.SURCHARGE)*EXC.RATE_2),CURRENCY.FORMAT_2),CURRENCY.FORMAT_2,0)),'DICTIONARY-5'!$A$2))</f>
        <v/>
      </c>
      <c r="N1101" s="542">
        <v>4</v>
      </c>
      <c r="O1101" s="542"/>
      <c r="P1101" s="731" t="str">
        <f>'DICTIONARY-3'!$A$58</f>
        <v>HOD-K</v>
      </c>
      <c r="Q1101" s="732" t="str">
        <f>'DICTIONARY-3'!$A$196</f>
        <v>Mostek nawiertowy</v>
      </c>
      <c r="R1101" s="732" t="str">
        <f>CONCATENATE('DICTIONARY-3'!$A$55,'DICTIONARY-3'!$A$81," ",'DICTIONARY-6'!$A$21," ",'DICTIONARY-2'!$A$2,"65"," ",'DICTIONARY-2'!$A$5,"75"," ",'DICTIONARY-6'!$A$62,"+",'DICTIONARY-6'!$A$63," ","d32",", ",'DICTIONARY-6'!$A$76," ",'DICTIONARY-5'!$A$57,"+",'DICTIONARY-5'!$A$56)</f>
        <v>HOD-K515 Mostek nawiert. DN65 Da75 z zaw. kul.+końc. d32, ruroc. PE+PVC</v>
      </c>
      <c r="S1101" s="733" t="str">
        <f>'DICTIONARY-4'!$A$2</f>
        <v>WW</v>
      </c>
      <c r="T1101" s="732" t="str">
        <f>'DICTIONARY-4'!$A$18</f>
        <v>Wolny wałek</v>
      </c>
      <c r="U1101" s="734" t="s">
        <v>5759</v>
      </c>
      <c r="V1101" s="735"/>
      <c r="W1101" s="744" t="s">
        <v>7359</v>
      </c>
      <c r="X1101" s="737"/>
      <c r="Y1101" s="738"/>
      <c r="Z1101" s="739"/>
      <c r="AA1101" s="739"/>
      <c r="AB1101" s="740">
        <v>16</v>
      </c>
      <c r="AC1101" s="741"/>
      <c r="AD1101" s="741" t="str">
        <f>'DICTIONARY-5'!$A$13</f>
        <v>woda pitna</v>
      </c>
      <c r="AE1101" s="742">
        <v>50</v>
      </c>
      <c r="AF1101" s="743">
        <v>3.5</v>
      </c>
      <c r="AG1101" s="741" t="str">
        <f>'DICTIONARY-5'!$A$23</f>
        <v>powłoka epoksydowa</v>
      </c>
    </row>
    <row r="1102" spans="1:33" x14ac:dyDescent="0.25">
      <c r="A1102" s="856" t="s">
        <v>1045</v>
      </c>
      <c r="B1102" s="856" t="s">
        <v>4050</v>
      </c>
      <c r="C1102" s="836">
        <v>116</v>
      </c>
      <c r="D1102" s="836"/>
      <c r="E1102" s="836"/>
      <c r="F1102" s="836"/>
      <c r="G1102" s="496" t="s">
        <v>7812</v>
      </c>
      <c r="H1102" s="797" t="str">
        <f>VLOOKUP(G1102,SETTINGS!$B$7:$D$97,2,0)</f>
        <v>HOD</v>
      </c>
      <c r="I1102" s="796">
        <f>VLOOKUP(G1102,SETTINGS!$B$7:$D$97,3,0)</f>
        <v>0</v>
      </c>
      <c r="J1102" s="670" t="str">
        <f>IFERROR(IF(CURRENCY.FORMAT_1=0,CONCATENATE(TEXT(FIXED(ROUND((C1102/EXC.RATE_1),CURRENCY.FORMAT_1),CURRENCY.FORMAT_1,1),"# ##0;-# ##0"),",-"),FIXED(ROUND((C1102/EXC.RATE_1),CURRENCY.FORMAT_1),CURRENCY.FORMAT_1,0)),'DICTIONARY-5'!$A$2)</f>
        <v>116,-</v>
      </c>
      <c r="K1102" s="670" t="str">
        <f>IF(EXC.RATE_2=0,"",IFERROR(IF(CURRENCY.FORMAT_2=0,CONCATENATE(TEXT(FIXED(ROUND(IF(EXC.RATE.SWITCH=1,C1102/EXC.RATE_2,C1102*EXC.RATE_2),CURRENCY.FORMAT_2),CURRENCY.FORMAT_2,1),"# ##0;-# ##0"),",-"),FIXED(ROUND(IF(EXC.RATE.SWITCH=1,C1102/EXC.RATE_2,C1102*EXC.RATE_2),CURRENCY.FORMAT_2),CURRENCY.FORMAT_2,0)),'DICTIONARY-5'!$A$2))</f>
        <v/>
      </c>
      <c r="L1102" s="670" t="str">
        <f>IFERROR(IF(CURRENCY.FORMAT_1=0,CONCATENATE(TEXT(FIXED(ROUND((C1102*(1-I1102)*(1-ADD.DISCOUNT)*(1+MAT.SURCHARGE)/EXC.RATE_1),CURRENCY.FORMAT_1),CURRENCY.FORMAT_1,1),"# ##0;-# ##0"),",-"),FIXED(ROUND((C1102*(1-I1102)*(1-ADD.DISCOUNT)*(1+MAT.SURCHARGE)/EXC.RATE_1),CURRENCY.FORMAT_1),CURRENCY.FORMAT_1,0)),'DICTIONARY-5'!$A$2)</f>
        <v>121,-</v>
      </c>
      <c r="M1102" s="670" t="str">
        <f>IF(EXC.RATE_2=0,"",IFERROR(IF(CURRENCY.FORMAT_2=0,CONCATENATE(TEXT(FIXED(ROUND(IF(EXC.RATE.SWITCH=1,C1102*(1-I1102)*(1-ADD.DISCOUNT)*(1+MAT.SURCHARGE)/EXC.RATE_2,C1102*(1-I1102)*(1-ADD.DISCOUNT)*(1+MAT.SURCHARGE)*EXC.RATE_2),CURRENCY.FORMAT_2),CURRENCY.FORMAT_2,1),"# ##0;-# ##0"),",-"),FIXED(ROUND(IF(EXC.RATE.SWITCH=1,C1102*(1-I1102)*(1-ADD.DISCOUNT)*(1+MAT.SURCHARGE)/EXC.RATE_2,C1102*(1-I1102)*(1-ADD.DISCOUNT)*(1+MAT.SURCHARGE)*EXC.RATE_2),CURRENCY.FORMAT_2),CURRENCY.FORMAT_2,0)),'DICTIONARY-5'!$A$2))</f>
        <v/>
      </c>
      <c r="N1102" s="542">
        <v>4</v>
      </c>
      <c r="O1102" s="542"/>
      <c r="P1102" s="731" t="str">
        <f>'DICTIONARY-3'!$A$58</f>
        <v>HOD-K</v>
      </c>
      <c r="Q1102" s="732" t="str">
        <f>'DICTIONARY-3'!$A$196</f>
        <v>Mostek nawiertowy</v>
      </c>
      <c r="R1102" s="732" t="str">
        <f>CONCATENATE('DICTIONARY-3'!$A$55,'DICTIONARY-3'!$A$81," ",'DICTIONARY-6'!$A$21," ",'DICTIONARY-2'!$A$2,"80"," ",'DICTIONARY-2'!$A$5,"90"," ",'DICTIONARY-6'!$A$62,"+",'DICTIONARY-6'!$A$63," ","d32",", ",'DICTIONARY-6'!$A$76," ",'DICTIONARY-5'!$A$57,"+",'DICTIONARY-5'!$A$56)</f>
        <v>HOD-K515 Mostek nawiert. DN80 Da90 z zaw. kul.+końc. d32, ruroc. PE+PVC</v>
      </c>
      <c r="S1102" s="733" t="str">
        <f>'DICTIONARY-4'!$A$2</f>
        <v>WW</v>
      </c>
      <c r="T1102" s="732" t="str">
        <f>'DICTIONARY-4'!$A$18</f>
        <v>Wolny wałek</v>
      </c>
      <c r="U1102" s="734" t="s">
        <v>5760</v>
      </c>
      <c r="V1102" s="735"/>
      <c r="W1102" s="744" t="s">
        <v>7339</v>
      </c>
      <c r="X1102" s="737"/>
      <c r="Y1102" s="738"/>
      <c r="Z1102" s="739"/>
      <c r="AA1102" s="739"/>
      <c r="AB1102" s="740">
        <v>16</v>
      </c>
      <c r="AC1102" s="741"/>
      <c r="AD1102" s="741" t="str">
        <f>'DICTIONARY-5'!$A$13</f>
        <v>woda pitna</v>
      </c>
      <c r="AE1102" s="742">
        <v>50</v>
      </c>
      <c r="AF1102" s="743">
        <v>6.5</v>
      </c>
      <c r="AG1102" s="741" t="str">
        <f>'DICTIONARY-5'!$A$23</f>
        <v>powłoka epoksydowa</v>
      </c>
    </row>
    <row r="1103" spans="1:33" x14ac:dyDescent="0.25">
      <c r="A1103" s="856" t="s">
        <v>1047</v>
      </c>
      <c r="B1103" s="856" t="s">
        <v>4051</v>
      </c>
      <c r="C1103" s="836">
        <v>120</v>
      </c>
      <c r="D1103" s="836"/>
      <c r="E1103" s="836"/>
      <c r="F1103" s="836"/>
      <c r="G1103" s="496" t="s">
        <v>7812</v>
      </c>
      <c r="H1103" s="797" t="str">
        <f>VLOOKUP(G1103,SETTINGS!$B$7:$D$97,2,0)</f>
        <v>HOD</v>
      </c>
      <c r="I1103" s="796">
        <f>VLOOKUP(G1103,SETTINGS!$B$7:$D$97,3,0)</f>
        <v>0</v>
      </c>
      <c r="J1103" s="670" t="str">
        <f>IFERROR(IF(CURRENCY.FORMAT_1=0,CONCATENATE(TEXT(FIXED(ROUND((C1103/EXC.RATE_1),CURRENCY.FORMAT_1),CURRENCY.FORMAT_1,1),"# ##0;-# ##0"),",-"),FIXED(ROUND((C1103/EXC.RATE_1),CURRENCY.FORMAT_1),CURRENCY.FORMAT_1,0)),'DICTIONARY-5'!$A$2)</f>
        <v>120,-</v>
      </c>
      <c r="K1103" s="670" t="str">
        <f>IF(EXC.RATE_2=0,"",IFERROR(IF(CURRENCY.FORMAT_2=0,CONCATENATE(TEXT(FIXED(ROUND(IF(EXC.RATE.SWITCH=1,C1103/EXC.RATE_2,C1103*EXC.RATE_2),CURRENCY.FORMAT_2),CURRENCY.FORMAT_2,1),"# ##0;-# ##0"),",-"),FIXED(ROUND(IF(EXC.RATE.SWITCH=1,C1103/EXC.RATE_2,C1103*EXC.RATE_2),CURRENCY.FORMAT_2),CURRENCY.FORMAT_2,0)),'DICTIONARY-5'!$A$2))</f>
        <v/>
      </c>
      <c r="L1103" s="670" t="str">
        <f>IFERROR(IF(CURRENCY.FORMAT_1=0,CONCATENATE(TEXT(FIXED(ROUND((C1103*(1-I1103)*(1-ADD.DISCOUNT)*(1+MAT.SURCHARGE)/EXC.RATE_1),CURRENCY.FORMAT_1),CURRENCY.FORMAT_1,1),"# ##0;-# ##0"),",-"),FIXED(ROUND((C1103*(1-I1103)*(1-ADD.DISCOUNT)*(1+MAT.SURCHARGE)/EXC.RATE_1),CURRENCY.FORMAT_1),CURRENCY.FORMAT_1,0)),'DICTIONARY-5'!$A$2)</f>
        <v>125,-</v>
      </c>
      <c r="M1103" s="670" t="str">
        <f>IF(EXC.RATE_2=0,"",IFERROR(IF(CURRENCY.FORMAT_2=0,CONCATENATE(TEXT(FIXED(ROUND(IF(EXC.RATE.SWITCH=1,C1103*(1-I1103)*(1-ADD.DISCOUNT)*(1+MAT.SURCHARGE)/EXC.RATE_2,C1103*(1-I1103)*(1-ADD.DISCOUNT)*(1+MAT.SURCHARGE)*EXC.RATE_2),CURRENCY.FORMAT_2),CURRENCY.FORMAT_2,1),"# ##0;-# ##0"),",-"),FIXED(ROUND(IF(EXC.RATE.SWITCH=1,C1103*(1-I1103)*(1-ADD.DISCOUNT)*(1+MAT.SURCHARGE)/EXC.RATE_2,C1103*(1-I1103)*(1-ADD.DISCOUNT)*(1+MAT.SURCHARGE)*EXC.RATE_2),CURRENCY.FORMAT_2),CURRENCY.FORMAT_2,0)),'DICTIONARY-5'!$A$2))</f>
        <v/>
      </c>
      <c r="N1103" s="542">
        <v>4</v>
      </c>
      <c r="O1103" s="542"/>
      <c r="P1103" s="731" t="str">
        <f>'DICTIONARY-3'!$A$58</f>
        <v>HOD-K</v>
      </c>
      <c r="Q1103" s="732" t="str">
        <f>'DICTIONARY-3'!$A$196</f>
        <v>Mostek nawiertowy</v>
      </c>
      <c r="R1103" s="732" t="str">
        <f>CONCATENATE('DICTIONARY-3'!$A$55,'DICTIONARY-3'!$A$81," ",'DICTIONARY-6'!$A$21," ",'DICTIONARY-2'!$A$2,"100"," ",'DICTIONARY-2'!$A$5,"110"," ",'DICTIONARY-6'!$A$62,"+",'DICTIONARY-6'!$A$63," ","d32",", ",'DICTIONARY-6'!$A$76," ",'DICTIONARY-5'!$A$57,"+",'DICTIONARY-5'!$A$56)</f>
        <v>HOD-K515 Mostek nawiert. DN100 Da110 z zaw. kul.+końc. d32, ruroc. PE+PVC</v>
      </c>
      <c r="S1103" s="733" t="str">
        <f>'DICTIONARY-4'!$A$2</f>
        <v>WW</v>
      </c>
      <c r="T1103" s="732" t="str">
        <f>'DICTIONARY-4'!$A$18</f>
        <v>Wolny wałek</v>
      </c>
      <c r="U1103" s="734" t="s">
        <v>5749</v>
      </c>
      <c r="V1103" s="735"/>
      <c r="W1103" s="744" t="s">
        <v>7340</v>
      </c>
      <c r="X1103" s="737"/>
      <c r="Y1103" s="738"/>
      <c r="Z1103" s="739"/>
      <c r="AA1103" s="739"/>
      <c r="AB1103" s="740">
        <v>16</v>
      </c>
      <c r="AC1103" s="741"/>
      <c r="AD1103" s="741" t="str">
        <f>'DICTIONARY-5'!$A$13</f>
        <v>woda pitna</v>
      </c>
      <c r="AE1103" s="742">
        <v>50</v>
      </c>
      <c r="AF1103" s="743">
        <v>7</v>
      </c>
      <c r="AG1103" s="741" t="str">
        <f>'DICTIONARY-5'!$A$23</f>
        <v>powłoka epoksydowa</v>
      </c>
    </row>
    <row r="1104" spans="1:33" x14ac:dyDescent="0.25">
      <c r="A1104" s="856" t="s">
        <v>1049</v>
      </c>
      <c r="B1104" s="856" t="s">
        <v>4052</v>
      </c>
      <c r="C1104" s="836">
        <v>148</v>
      </c>
      <c r="D1104" s="836"/>
      <c r="E1104" s="836"/>
      <c r="F1104" s="836"/>
      <c r="G1104" s="496" t="s">
        <v>7812</v>
      </c>
      <c r="H1104" s="797" t="str">
        <f>VLOOKUP(G1104,SETTINGS!$B$7:$D$97,2,0)</f>
        <v>HOD</v>
      </c>
      <c r="I1104" s="796">
        <f>VLOOKUP(G1104,SETTINGS!$B$7:$D$97,3,0)</f>
        <v>0</v>
      </c>
      <c r="J1104" s="670" t="str">
        <f>IFERROR(IF(CURRENCY.FORMAT_1=0,CONCATENATE(TEXT(FIXED(ROUND((C1104/EXC.RATE_1),CURRENCY.FORMAT_1),CURRENCY.FORMAT_1,1),"# ##0;-# ##0"),",-"),FIXED(ROUND((C1104/EXC.RATE_1),CURRENCY.FORMAT_1),CURRENCY.FORMAT_1,0)),'DICTIONARY-5'!$A$2)</f>
        <v>148,-</v>
      </c>
      <c r="K1104" s="670" t="str">
        <f>IF(EXC.RATE_2=0,"",IFERROR(IF(CURRENCY.FORMAT_2=0,CONCATENATE(TEXT(FIXED(ROUND(IF(EXC.RATE.SWITCH=1,C1104/EXC.RATE_2,C1104*EXC.RATE_2),CURRENCY.FORMAT_2),CURRENCY.FORMAT_2,1),"# ##0;-# ##0"),",-"),FIXED(ROUND(IF(EXC.RATE.SWITCH=1,C1104/EXC.RATE_2,C1104*EXC.RATE_2),CURRENCY.FORMAT_2),CURRENCY.FORMAT_2,0)),'DICTIONARY-5'!$A$2))</f>
        <v/>
      </c>
      <c r="L1104" s="670" t="str">
        <f>IFERROR(IF(CURRENCY.FORMAT_1=0,CONCATENATE(TEXT(FIXED(ROUND((C1104*(1-I1104)*(1-ADD.DISCOUNT)*(1+MAT.SURCHARGE)/EXC.RATE_1),CURRENCY.FORMAT_1),CURRENCY.FORMAT_1,1),"# ##0;-# ##0"),",-"),FIXED(ROUND((C1104*(1-I1104)*(1-ADD.DISCOUNT)*(1+MAT.SURCHARGE)/EXC.RATE_1),CURRENCY.FORMAT_1),CURRENCY.FORMAT_1,0)),'DICTIONARY-5'!$A$2)</f>
        <v>154,-</v>
      </c>
      <c r="M1104" s="670" t="str">
        <f>IF(EXC.RATE_2=0,"",IFERROR(IF(CURRENCY.FORMAT_2=0,CONCATENATE(TEXT(FIXED(ROUND(IF(EXC.RATE.SWITCH=1,C1104*(1-I1104)*(1-ADD.DISCOUNT)*(1+MAT.SURCHARGE)/EXC.RATE_2,C1104*(1-I1104)*(1-ADD.DISCOUNT)*(1+MAT.SURCHARGE)*EXC.RATE_2),CURRENCY.FORMAT_2),CURRENCY.FORMAT_2,1),"# ##0;-# ##0"),",-"),FIXED(ROUND(IF(EXC.RATE.SWITCH=1,C1104*(1-I1104)*(1-ADD.DISCOUNT)*(1+MAT.SURCHARGE)/EXC.RATE_2,C1104*(1-I1104)*(1-ADD.DISCOUNT)*(1+MAT.SURCHARGE)*EXC.RATE_2),CURRENCY.FORMAT_2),CURRENCY.FORMAT_2,0)),'DICTIONARY-5'!$A$2))</f>
        <v/>
      </c>
      <c r="N1104" s="542">
        <v>4</v>
      </c>
      <c r="O1104" s="542"/>
      <c r="P1104" s="731" t="str">
        <f>'DICTIONARY-3'!$A$58</f>
        <v>HOD-K</v>
      </c>
      <c r="Q1104" s="732" t="str">
        <f>'DICTIONARY-3'!$A$196</f>
        <v>Mostek nawiertowy</v>
      </c>
      <c r="R1104" s="732" t="str">
        <f>CONCATENATE('DICTIONARY-3'!$A$55,'DICTIONARY-3'!$A$81," ",'DICTIONARY-6'!$A$21," ",'DICTIONARY-2'!$A$2,"150"," ",'DICTIONARY-2'!$A$5,"160"," ",'DICTIONARY-6'!$A$62,"+",'DICTIONARY-6'!$A$63," ","d32",", ",'DICTIONARY-6'!$A$76," ",'DICTIONARY-5'!$A$57,"+",'DICTIONARY-5'!$A$56)</f>
        <v>HOD-K515 Mostek nawiert. DN150 Da160 z zaw. kul.+końc. d32, ruroc. PE+PVC</v>
      </c>
      <c r="S1104" s="733" t="str">
        <f>'DICTIONARY-4'!$A$2</f>
        <v>WW</v>
      </c>
      <c r="T1104" s="732" t="str">
        <f>'DICTIONARY-4'!$A$18</f>
        <v>Wolny wałek</v>
      </c>
      <c r="U1104" s="734" t="s">
        <v>5572</v>
      </c>
      <c r="V1104" s="735"/>
      <c r="W1104" s="744" t="s">
        <v>7342</v>
      </c>
      <c r="X1104" s="737"/>
      <c r="Y1104" s="738"/>
      <c r="Z1104" s="739"/>
      <c r="AA1104" s="739"/>
      <c r="AB1104" s="740">
        <v>16</v>
      </c>
      <c r="AC1104" s="741"/>
      <c r="AD1104" s="741" t="str">
        <f>'DICTIONARY-5'!$A$13</f>
        <v>woda pitna</v>
      </c>
      <c r="AE1104" s="742">
        <v>50</v>
      </c>
      <c r="AF1104" s="743">
        <v>9</v>
      </c>
      <c r="AG1104" s="741" t="str">
        <f>'DICTIONARY-5'!$A$23</f>
        <v>powłoka epoksydowa</v>
      </c>
    </row>
    <row r="1105" spans="1:33" x14ac:dyDescent="0.25">
      <c r="A1105" s="856" t="s">
        <v>1051</v>
      </c>
      <c r="B1105" s="856" t="s">
        <v>4053</v>
      </c>
      <c r="C1105" s="836">
        <v>201</v>
      </c>
      <c r="D1105" s="836"/>
      <c r="E1105" s="836"/>
      <c r="F1105" s="836"/>
      <c r="G1105" s="496" t="s">
        <v>7812</v>
      </c>
      <c r="H1105" s="797" t="str">
        <f>VLOOKUP(G1105,SETTINGS!$B$7:$D$97,2,0)</f>
        <v>HOD</v>
      </c>
      <c r="I1105" s="796">
        <f>VLOOKUP(G1105,SETTINGS!$B$7:$D$97,3,0)</f>
        <v>0</v>
      </c>
      <c r="J1105" s="670" t="str">
        <f>IFERROR(IF(CURRENCY.FORMAT_1=0,CONCATENATE(TEXT(FIXED(ROUND((C1105/EXC.RATE_1),CURRENCY.FORMAT_1),CURRENCY.FORMAT_1,1),"# ##0;-# ##0"),",-"),FIXED(ROUND((C1105/EXC.RATE_1),CURRENCY.FORMAT_1),CURRENCY.FORMAT_1,0)),'DICTIONARY-5'!$A$2)</f>
        <v>201,-</v>
      </c>
      <c r="K1105" s="670" t="str">
        <f>IF(EXC.RATE_2=0,"",IFERROR(IF(CURRENCY.FORMAT_2=0,CONCATENATE(TEXT(FIXED(ROUND(IF(EXC.RATE.SWITCH=1,C1105/EXC.RATE_2,C1105*EXC.RATE_2),CURRENCY.FORMAT_2),CURRENCY.FORMAT_2,1),"# ##0;-# ##0"),",-"),FIXED(ROUND(IF(EXC.RATE.SWITCH=1,C1105/EXC.RATE_2,C1105*EXC.RATE_2),CURRENCY.FORMAT_2),CURRENCY.FORMAT_2,0)),'DICTIONARY-5'!$A$2))</f>
        <v/>
      </c>
      <c r="L1105" s="670" t="str">
        <f>IFERROR(IF(CURRENCY.FORMAT_1=0,CONCATENATE(TEXT(FIXED(ROUND((C1105*(1-I1105)*(1-ADD.DISCOUNT)*(1+MAT.SURCHARGE)/EXC.RATE_1),CURRENCY.FORMAT_1),CURRENCY.FORMAT_1,1),"# ##0;-# ##0"),",-"),FIXED(ROUND((C1105*(1-I1105)*(1-ADD.DISCOUNT)*(1+MAT.SURCHARGE)/EXC.RATE_1),CURRENCY.FORMAT_1),CURRENCY.FORMAT_1,0)),'DICTIONARY-5'!$A$2)</f>
        <v>209,-</v>
      </c>
      <c r="M1105" s="670" t="str">
        <f>IF(EXC.RATE_2=0,"",IFERROR(IF(CURRENCY.FORMAT_2=0,CONCATENATE(TEXT(FIXED(ROUND(IF(EXC.RATE.SWITCH=1,C1105*(1-I1105)*(1-ADD.DISCOUNT)*(1+MAT.SURCHARGE)/EXC.RATE_2,C1105*(1-I1105)*(1-ADD.DISCOUNT)*(1+MAT.SURCHARGE)*EXC.RATE_2),CURRENCY.FORMAT_2),CURRENCY.FORMAT_2,1),"# ##0;-# ##0"),",-"),FIXED(ROUND(IF(EXC.RATE.SWITCH=1,C1105*(1-I1105)*(1-ADD.DISCOUNT)*(1+MAT.SURCHARGE)/EXC.RATE_2,C1105*(1-I1105)*(1-ADD.DISCOUNT)*(1+MAT.SURCHARGE)*EXC.RATE_2),CURRENCY.FORMAT_2),CURRENCY.FORMAT_2,0)),'DICTIONARY-5'!$A$2))</f>
        <v/>
      </c>
      <c r="N1105" s="542">
        <v>4</v>
      </c>
      <c r="O1105" s="542"/>
      <c r="P1105" s="731" t="str">
        <f>'DICTIONARY-3'!$A$58</f>
        <v>HOD-K</v>
      </c>
      <c r="Q1105" s="732" t="str">
        <f>'DICTIONARY-3'!$A$196</f>
        <v>Mostek nawiertowy</v>
      </c>
      <c r="R1105" s="732" t="str">
        <f>CONCATENATE('DICTIONARY-3'!$A$55,'DICTIONARY-3'!$A$81," ",'DICTIONARY-6'!$A$21," ",'DICTIONARY-2'!$A$2,"200"," ",'DICTIONARY-2'!$A$5,"225"," ",'DICTIONARY-6'!$A$62,"+",'DICTIONARY-6'!$A$63," ","d32",", ",'DICTIONARY-6'!$A$76," ",'DICTIONARY-5'!$A$57,"+",'DICTIONARY-5'!$A$56)</f>
        <v>HOD-K515 Mostek nawiert. DN200 Da225 z zaw. kul.+końc. d32, ruroc. PE+PVC</v>
      </c>
      <c r="S1105" s="733" t="str">
        <f>'DICTIONARY-4'!$A$2</f>
        <v>WW</v>
      </c>
      <c r="T1105" s="732" t="str">
        <f>'DICTIONARY-4'!$A$18</f>
        <v>Wolny wałek</v>
      </c>
      <c r="U1105" s="734" t="s">
        <v>5750</v>
      </c>
      <c r="V1105" s="735"/>
      <c r="W1105" s="744" t="s">
        <v>5833</v>
      </c>
      <c r="X1105" s="737"/>
      <c r="Y1105" s="738"/>
      <c r="Z1105" s="739"/>
      <c r="AA1105" s="739"/>
      <c r="AB1105" s="740">
        <v>16</v>
      </c>
      <c r="AC1105" s="741"/>
      <c r="AD1105" s="741" t="str">
        <f>'DICTIONARY-5'!$A$13</f>
        <v>woda pitna</v>
      </c>
      <c r="AE1105" s="742">
        <v>50</v>
      </c>
      <c r="AF1105" s="743">
        <v>11.5</v>
      </c>
      <c r="AG1105" s="741" t="str">
        <f>'DICTIONARY-5'!$A$23</f>
        <v>powłoka epoksydowa</v>
      </c>
    </row>
    <row r="1106" spans="1:33" x14ac:dyDescent="0.25">
      <c r="A1106" s="856" t="s">
        <v>1042</v>
      </c>
      <c r="B1106" s="856" t="s">
        <v>4042</v>
      </c>
      <c r="C1106" s="836">
        <v>143</v>
      </c>
      <c r="D1106" s="836"/>
      <c r="E1106" s="836"/>
      <c r="F1106" s="836"/>
      <c r="G1106" s="496" t="s">
        <v>7812</v>
      </c>
      <c r="H1106" s="797" t="str">
        <f>VLOOKUP(G1106,SETTINGS!$B$7:$D$97,2,0)</f>
        <v>HOD</v>
      </c>
      <c r="I1106" s="796">
        <f>VLOOKUP(G1106,SETTINGS!$B$7:$D$97,3,0)</f>
        <v>0</v>
      </c>
      <c r="J1106" s="670" t="str">
        <f>IFERROR(IF(CURRENCY.FORMAT_1=0,CONCATENATE(TEXT(FIXED(ROUND((C1106/EXC.RATE_1),CURRENCY.FORMAT_1),CURRENCY.FORMAT_1,1),"# ##0;-# ##0"),",-"),FIXED(ROUND((C1106/EXC.RATE_1),CURRENCY.FORMAT_1),CURRENCY.FORMAT_1,0)),'DICTIONARY-5'!$A$2)</f>
        <v>143,-</v>
      </c>
      <c r="K1106" s="670" t="str">
        <f>IF(EXC.RATE_2=0,"",IFERROR(IF(CURRENCY.FORMAT_2=0,CONCATENATE(TEXT(FIXED(ROUND(IF(EXC.RATE.SWITCH=1,C1106/EXC.RATE_2,C1106*EXC.RATE_2),CURRENCY.FORMAT_2),CURRENCY.FORMAT_2,1),"# ##0;-# ##0"),",-"),FIXED(ROUND(IF(EXC.RATE.SWITCH=1,C1106/EXC.RATE_2,C1106*EXC.RATE_2),CURRENCY.FORMAT_2),CURRENCY.FORMAT_2,0)),'DICTIONARY-5'!$A$2))</f>
        <v/>
      </c>
      <c r="L1106" s="670" t="str">
        <f>IFERROR(IF(CURRENCY.FORMAT_1=0,CONCATENATE(TEXT(FIXED(ROUND((C1106*(1-I1106)*(1-ADD.DISCOUNT)*(1+MAT.SURCHARGE)/EXC.RATE_1),CURRENCY.FORMAT_1),CURRENCY.FORMAT_1,1),"# ##0;-# ##0"),",-"),FIXED(ROUND((C1106*(1-I1106)*(1-ADD.DISCOUNT)*(1+MAT.SURCHARGE)/EXC.RATE_1),CURRENCY.FORMAT_1),CURRENCY.FORMAT_1,0)),'DICTIONARY-5'!$A$2)</f>
        <v>149,-</v>
      </c>
      <c r="M1106" s="670" t="str">
        <f>IF(EXC.RATE_2=0,"",IFERROR(IF(CURRENCY.FORMAT_2=0,CONCATENATE(TEXT(FIXED(ROUND(IF(EXC.RATE.SWITCH=1,C1106*(1-I1106)*(1-ADD.DISCOUNT)*(1+MAT.SURCHARGE)/EXC.RATE_2,C1106*(1-I1106)*(1-ADD.DISCOUNT)*(1+MAT.SURCHARGE)*EXC.RATE_2),CURRENCY.FORMAT_2),CURRENCY.FORMAT_2,1),"# ##0;-# ##0"),",-"),FIXED(ROUND(IF(EXC.RATE.SWITCH=1,C1106*(1-I1106)*(1-ADD.DISCOUNT)*(1+MAT.SURCHARGE)/EXC.RATE_2,C1106*(1-I1106)*(1-ADD.DISCOUNT)*(1+MAT.SURCHARGE)*EXC.RATE_2),CURRENCY.FORMAT_2),CURRENCY.FORMAT_2,0)),'DICTIONARY-5'!$A$2))</f>
        <v/>
      </c>
      <c r="N1106" s="542">
        <v>4</v>
      </c>
      <c r="O1106" s="542"/>
      <c r="P1106" s="731" t="str">
        <f>'DICTIONARY-3'!$A$58</f>
        <v>HOD-K</v>
      </c>
      <c r="Q1106" s="732" t="str">
        <f>'DICTIONARY-3'!$A$196</f>
        <v>Mostek nawiertowy</v>
      </c>
      <c r="R1106" s="732" t="str">
        <f>CONCATENATE('DICTIONARY-3'!$A$55,'DICTIONARY-3'!$A$82," ",'DICTIONARY-6'!$A$21," ",'DICTIONARY-2'!$A$2,"50"," ",'DICTIONARY-2'!$A$5,"63"," ",'DICTIONARY-6'!$A$60,"+",'DICTIONARY-6'!$A$63," ","d32",", ",'DICTIONARY-6'!$A$76," ",'DICTIONARY-5'!$A$57,"+",'DICTIONARY-5'!$A$56)</f>
        <v>HOD-K516 Mostek nawiert. DN50 Da63 z zasuwa mosiężna+końc. d32, ruroc. PE+PVC</v>
      </c>
      <c r="S1106" s="733" t="str">
        <f>'DICTIONARY-4'!$A$2</f>
        <v>WW</v>
      </c>
      <c r="T1106" s="732" t="str">
        <f>'DICTIONARY-4'!$A$18</f>
        <v>Wolny wałek</v>
      </c>
      <c r="U1106" s="734" t="s">
        <v>5748</v>
      </c>
      <c r="V1106" s="735"/>
      <c r="W1106" s="744" t="s">
        <v>7338</v>
      </c>
      <c r="X1106" s="737"/>
      <c r="Y1106" s="738"/>
      <c r="Z1106" s="739"/>
      <c r="AA1106" s="739"/>
      <c r="AB1106" s="740">
        <v>16</v>
      </c>
      <c r="AC1106" s="741"/>
      <c r="AD1106" s="741" t="str">
        <f>'DICTIONARY-5'!$A$13</f>
        <v>woda pitna</v>
      </c>
      <c r="AE1106" s="742">
        <v>50</v>
      </c>
      <c r="AF1106" s="743">
        <v>3.8</v>
      </c>
      <c r="AG1106" s="741" t="str">
        <f>'DICTIONARY-5'!$A$23</f>
        <v>powłoka epoksydowa</v>
      </c>
    </row>
    <row r="1107" spans="1:33" x14ac:dyDescent="0.25">
      <c r="A1107" s="856" t="s">
        <v>1044</v>
      </c>
      <c r="B1107" s="856" t="s">
        <v>4043</v>
      </c>
      <c r="C1107" s="836">
        <v>161</v>
      </c>
      <c r="D1107" s="836"/>
      <c r="E1107" s="836"/>
      <c r="F1107" s="836"/>
      <c r="G1107" s="496" t="s">
        <v>7812</v>
      </c>
      <c r="H1107" s="797" t="str">
        <f>VLOOKUP(G1107,SETTINGS!$B$7:$D$97,2,0)</f>
        <v>HOD</v>
      </c>
      <c r="I1107" s="796">
        <f>VLOOKUP(G1107,SETTINGS!$B$7:$D$97,3,0)</f>
        <v>0</v>
      </c>
      <c r="J1107" s="670" t="str">
        <f>IFERROR(IF(CURRENCY.FORMAT_1=0,CONCATENATE(TEXT(FIXED(ROUND((C1107/EXC.RATE_1),CURRENCY.FORMAT_1),CURRENCY.FORMAT_1,1),"# ##0;-# ##0"),",-"),FIXED(ROUND((C1107/EXC.RATE_1),CURRENCY.FORMAT_1),CURRENCY.FORMAT_1,0)),'DICTIONARY-5'!$A$2)</f>
        <v>161,-</v>
      </c>
      <c r="K1107" s="670" t="str">
        <f>IF(EXC.RATE_2=0,"",IFERROR(IF(CURRENCY.FORMAT_2=0,CONCATENATE(TEXT(FIXED(ROUND(IF(EXC.RATE.SWITCH=1,C1107/EXC.RATE_2,C1107*EXC.RATE_2),CURRENCY.FORMAT_2),CURRENCY.FORMAT_2,1),"# ##0;-# ##0"),",-"),FIXED(ROUND(IF(EXC.RATE.SWITCH=1,C1107/EXC.RATE_2,C1107*EXC.RATE_2),CURRENCY.FORMAT_2),CURRENCY.FORMAT_2,0)),'DICTIONARY-5'!$A$2))</f>
        <v/>
      </c>
      <c r="L1107" s="670" t="str">
        <f>IFERROR(IF(CURRENCY.FORMAT_1=0,CONCATENATE(TEXT(FIXED(ROUND((C1107*(1-I1107)*(1-ADD.DISCOUNT)*(1+MAT.SURCHARGE)/EXC.RATE_1),CURRENCY.FORMAT_1),CURRENCY.FORMAT_1,1),"# ##0;-# ##0"),",-"),FIXED(ROUND((C1107*(1-I1107)*(1-ADD.DISCOUNT)*(1+MAT.SURCHARGE)/EXC.RATE_1),CURRENCY.FORMAT_1),CURRENCY.FORMAT_1,0)),'DICTIONARY-5'!$A$2)</f>
        <v>167,-</v>
      </c>
      <c r="M1107" s="670" t="str">
        <f>IF(EXC.RATE_2=0,"",IFERROR(IF(CURRENCY.FORMAT_2=0,CONCATENATE(TEXT(FIXED(ROUND(IF(EXC.RATE.SWITCH=1,C1107*(1-I1107)*(1-ADD.DISCOUNT)*(1+MAT.SURCHARGE)/EXC.RATE_2,C1107*(1-I1107)*(1-ADD.DISCOUNT)*(1+MAT.SURCHARGE)*EXC.RATE_2),CURRENCY.FORMAT_2),CURRENCY.FORMAT_2,1),"# ##0;-# ##0"),",-"),FIXED(ROUND(IF(EXC.RATE.SWITCH=1,C1107*(1-I1107)*(1-ADD.DISCOUNT)*(1+MAT.SURCHARGE)/EXC.RATE_2,C1107*(1-I1107)*(1-ADD.DISCOUNT)*(1+MAT.SURCHARGE)*EXC.RATE_2),CURRENCY.FORMAT_2),CURRENCY.FORMAT_2,0)),'DICTIONARY-5'!$A$2))</f>
        <v/>
      </c>
      <c r="N1107" s="542">
        <v>4</v>
      </c>
      <c r="O1107" s="542"/>
      <c r="P1107" s="731" t="str">
        <f>'DICTIONARY-3'!$A$58</f>
        <v>HOD-K</v>
      </c>
      <c r="Q1107" s="732" t="str">
        <f>'DICTIONARY-3'!$A$196</f>
        <v>Mostek nawiertowy</v>
      </c>
      <c r="R1107" s="732" t="str">
        <f>CONCATENATE('DICTIONARY-3'!$A$55,'DICTIONARY-3'!$A$82," ",'DICTIONARY-6'!$A$21," ",'DICTIONARY-2'!$A$2,"65"," ",'DICTIONARY-2'!$A$5,"75"," ",'DICTIONARY-6'!$A$60,"+",'DICTIONARY-6'!$A$63," ","d32",", ",'DICTIONARY-6'!$A$76," ",'DICTIONARY-5'!$A$57,"+",'DICTIONARY-5'!$A$56)</f>
        <v>HOD-K516 Mostek nawiert. DN65 Da75 z zasuwa mosiężna+końc. d32, ruroc. PE+PVC</v>
      </c>
      <c r="S1107" s="733" t="str">
        <f>'DICTIONARY-4'!$A$2</f>
        <v>WW</v>
      </c>
      <c r="T1107" s="732" t="str">
        <f>'DICTIONARY-4'!$A$18</f>
        <v>Wolny wałek</v>
      </c>
      <c r="U1107" s="734" t="s">
        <v>5759</v>
      </c>
      <c r="V1107" s="735"/>
      <c r="W1107" s="744" t="s">
        <v>7359</v>
      </c>
      <c r="X1107" s="737"/>
      <c r="Y1107" s="738"/>
      <c r="Z1107" s="739"/>
      <c r="AA1107" s="739"/>
      <c r="AB1107" s="740">
        <v>16</v>
      </c>
      <c r="AC1107" s="741"/>
      <c r="AD1107" s="741" t="str">
        <f>'DICTIONARY-5'!$A$13</f>
        <v>woda pitna</v>
      </c>
      <c r="AE1107" s="742">
        <v>50</v>
      </c>
      <c r="AF1107" s="743">
        <v>4</v>
      </c>
      <c r="AG1107" s="741" t="str">
        <f>'DICTIONARY-5'!$A$23</f>
        <v>powłoka epoksydowa</v>
      </c>
    </row>
    <row r="1108" spans="1:33" x14ac:dyDescent="0.25">
      <c r="A1108" s="856" t="s">
        <v>1046</v>
      </c>
      <c r="B1108" s="856" t="s">
        <v>4044</v>
      </c>
      <c r="C1108" s="836">
        <v>151</v>
      </c>
      <c r="D1108" s="836"/>
      <c r="E1108" s="836"/>
      <c r="F1108" s="836"/>
      <c r="G1108" s="496" t="s">
        <v>7812</v>
      </c>
      <c r="H1108" s="797" t="str">
        <f>VLOOKUP(G1108,SETTINGS!$B$7:$D$97,2,0)</f>
        <v>HOD</v>
      </c>
      <c r="I1108" s="796">
        <f>VLOOKUP(G1108,SETTINGS!$B$7:$D$97,3,0)</f>
        <v>0</v>
      </c>
      <c r="J1108" s="670" t="str">
        <f>IFERROR(IF(CURRENCY.FORMAT_1=0,CONCATENATE(TEXT(FIXED(ROUND((C1108/EXC.RATE_1),CURRENCY.FORMAT_1),CURRENCY.FORMAT_1,1),"# ##0;-# ##0"),",-"),FIXED(ROUND((C1108/EXC.RATE_1),CURRENCY.FORMAT_1),CURRENCY.FORMAT_1,0)),'DICTIONARY-5'!$A$2)</f>
        <v>151,-</v>
      </c>
      <c r="K1108" s="670" t="str">
        <f>IF(EXC.RATE_2=0,"",IFERROR(IF(CURRENCY.FORMAT_2=0,CONCATENATE(TEXT(FIXED(ROUND(IF(EXC.RATE.SWITCH=1,C1108/EXC.RATE_2,C1108*EXC.RATE_2),CURRENCY.FORMAT_2),CURRENCY.FORMAT_2,1),"# ##0;-# ##0"),",-"),FIXED(ROUND(IF(EXC.RATE.SWITCH=1,C1108/EXC.RATE_2,C1108*EXC.RATE_2),CURRENCY.FORMAT_2),CURRENCY.FORMAT_2,0)),'DICTIONARY-5'!$A$2))</f>
        <v/>
      </c>
      <c r="L1108" s="670" t="str">
        <f>IFERROR(IF(CURRENCY.FORMAT_1=0,CONCATENATE(TEXT(FIXED(ROUND((C1108*(1-I1108)*(1-ADD.DISCOUNT)*(1+MAT.SURCHARGE)/EXC.RATE_1),CURRENCY.FORMAT_1),CURRENCY.FORMAT_1,1),"# ##0;-# ##0"),",-"),FIXED(ROUND((C1108*(1-I1108)*(1-ADD.DISCOUNT)*(1+MAT.SURCHARGE)/EXC.RATE_1),CURRENCY.FORMAT_1),CURRENCY.FORMAT_1,0)),'DICTIONARY-5'!$A$2)</f>
        <v>157,-</v>
      </c>
      <c r="M1108" s="670" t="str">
        <f>IF(EXC.RATE_2=0,"",IFERROR(IF(CURRENCY.FORMAT_2=0,CONCATENATE(TEXT(FIXED(ROUND(IF(EXC.RATE.SWITCH=1,C1108*(1-I1108)*(1-ADD.DISCOUNT)*(1+MAT.SURCHARGE)/EXC.RATE_2,C1108*(1-I1108)*(1-ADD.DISCOUNT)*(1+MAT.SURCHARGE)*EXC.RATE_2),CURRENCY.FORMAT_2),CURRENCY.FORMAT_2,1),"# ##0;-# ##0"),",-"),FIXED(ROUND(IF(EXC.RATE.SWITCH=1,C1108*(1-I1108)*(1-ADD.DISCOUNT)*(1+MAT.SURCHARGE)/EXC.RATE_2,C1108*(1-I1108)*(1-ADD.DISCOUNT)*(1+MAT.SURCHARGE)*EXC.RATE_2),CURRENCY.FORMAT_2),CURRENCY.FORMAT_2,0)),'DICTIONARY-5'!$A$2))</f>
        <v/>
      </c>
      <c r="N1108" s="542">
        <v>4</v>
      </c>
      <c r="O1108" s="542"/>
      <c r="P1108" s="731" t="str">
        <f>'DICTIONARY-3'!$A$58</f>
        <v>HOD-K</v>
      </c>
      <c r="Q1108" s="732" t="str">
        <f>'DICTIONARY-3'!$A$196</f>
        <v>Mostek nawiertowy</v>
      </c>
      <c r="R1108" s="732" t="str">
        <f>CONCATENATE('DICTIONARY-3'!$A$55,'DICTIONARY-3'!$A$82," ",'DICTIONARY-6'!$A$21," ",'DICTIONARY-2'!$A$2,"80"," ",'DICTIONARY-2'!$A$5,"90"," ",'DICTIONARY-6'!$A$60,"+",'DICTIONARY-6'!$A$63," ","d32",", ",'DICTIONARY-6'!$A$76," ",'DICTIONARY-5'!$A$57,"+",'DICTIONARY-5'!$A$56)</f>
        <v>HOD-K516 Mostek nawiert. DN80 Da90 z zasuwa mosiężna+końc. d32, ruroc. PE+PVC</v>
      </c>
      <c r="S1108" s="733" t="str">
        <f>'DICTIONARY-4'!$A$2</f>
        <v>WW</v>
      </c>
      <c r="T1108" s="732" t="str">
        <f>'DICTIONARY-4'!$A$18</f>
        <v>Wolny wałek</v>
      </c>
      <c r="U1108" s="734" t="s">
        <v>5760</v>
      </c>
      <c r="V1108" s="735"/>
      <c r="W1108" s="744" t="s">
        <v>7339</v>
      </c>
      <c r="X1108" s="737"/>
      <c r="Y1108" s="738"/>
      <c r="Z1108" s="739"/>
      <c r="AA1108" s="739"/>
      <c r="AB1108" s="740">
        <v>16</v>
      </c>
      <c r="AC1108" s="741"/>
      <c r="AD1108" s="741" t="str">
        <f>'DICTIONARY-5'!$A$13</f>
        <v>woda pitna</v>
      </c>
      <c r="AE1108" s="742">
        <v>50</v>
      </c>
      <c r="AF1108" s="743">
        <v>7.3</v>
      </c>
      <c r="AG1108" s="741" t="str">
        <f>'DICTIONARY-5'!$A$23</f>
        <v>powłoka epoksydowa</v>
      </c>
    </row>
    <row r="1109" spans="1:33" x14ac:dyDescent="0.25">
      <c r="A1109" s="856" t="s">
        <v>1048</v>
      </c>
      <c r="B1109" s="856" t="s">
        <v>4045</v>
      </c>
      <c r="C1109" s="836">
        <v>155</v>
      </c>
      <c r="D1109" s="836"/>
      <c r="E1109" s="836"/>
      <c r="F1109" s="836"/>
      <c r="G1109" s="496" t="s">
        <v>7812</v>
      </c>
      <c r="H1109" s="797" t="str">
        <f>VLOOKUP(G1109,SETTINGS!$B$7:$D$97,2,0)</f>
        <v>HOD</v>
      </c>
      <c r="I1109" s="796">
        <f>VLOOKUP(G1109,SETTINGS!$B$7:$D$97,3,0)</f>
        <v>0</v>
      </c>
      <c r="J1109" s="670" t="str">
        <f>IFERROR(IF(CURRENCY.FORMAT_1=0,CONCATENATE(TEXT(FIXED(ROUND((C1109/EXC.RATE_1),CURRENCY.FORMAT_1),CURRENCY.FORMAT_1,1),"# ##0;-# ##0"),",-"),FIXED(ROUND((C1109/EXC.RATE_1),CURRENCY.FORMAT_1),CURRENCY.FORMAT_1,0)),'DICTIONARY-5'!$A$2)</f>
        <v>155,-</v>
      </c>
      <c r="K1109" s="670" t="str">
        <f>IF(EXC.RATE_2=0,"",IFERROR(IF(CURRENCY.FORMAT_2=0,CONCATENATE(TEXT(FIXED(ROUND(IF(EXC.RATE.SWITCH=1,C1109/EXC.RATE_2,C1109*EXC.RATE_2),CURRENCY.FORMAT_2),CURRENCY.FORMAT_2,1),"# ##0;-# ##0"),",-"),FIXED(ROUND(IF(EXC.RATE.SWITCH=1,C1109/EXC.RATE_2,C1109*EXC.RATE_2),CURRENCY.FORMAT_2),CURRENCY.FORMAT_2,0)),'DICTIONARY-5'!$A$2))</f>
        <v/>
      </c>
      <c r="L1109" s="670" t="str">
        <f>IFERROR(IF(CURRENCY.FORMAT_1=0,CONCATENATE(TEXT(FIXED(ROUND((C1109*(1-I1109)*(1-ADD.DISCOUNT)*(1+MAT.SURCHARGE)/EXC.RATE_1),CURRENCY.FORMAT_1),CURRENCY.FORMAT_1,1),"# ##0;-# ##0"),",-"),FIXED(ROUND((C1109*(1-I1109)*(1-ADD.DISCOUNT)*(1+MAT.SURCHARGE)/EXC.RATE_1),CURRENCY.FORMAT_1),CURRENCY.FORMAT_1,0)),'DICTIONARY-5'!$A$2)</f>
        <v>161,-</v>
      </c>
      <c r="M1109" s="670" t="str">
        <f>IF(EXC.RATE_2=0,"",IFERROR(IF(CURRENCY.FORMAT_2=0,CONCATENATE(TEXT(FIXED(ROUND(IF(EXC.RATE.SWITCH=1,C1109*(1-I1109)*(1-ADD.DISCOUNT)*(1+MAT.SURCHARGE)/EXC.RATE_2,C1109*(1-I1109)*(1-ADD.DISCOUNT)*(1+MAT.SURCHARGE)*EXC.RATE_2),CURRENCY.FORMAT_2),CURRENCY.FORMAT_2,1),"# ##0;-# ##0"),",-"),FIXED(ROUND(IF(EXC.RATE.SWITCH=1,C1109*(1-I1109)*(1-ADD.DISCOUNT)*(1+MAT.SURCHARGE)/EXC.RATE_2,C1109*(1-I1109)*(1-ADD.DISCOUNT)*(1+MAT.SURCHARGE)*EXC.RATE_2),CURRENCY.FORMAT_2),CURRENCY.FORMAT_2,0)),'DICTIONARY-5'!$A$2))</f>
        <v/>
      </c>
      <c r="N1109" s="542">
        <v>4</v>
      </c>
      <c r="O1109" s="542"/>
      <c r="P1109" s="731" t="str">
        <f>'DICTIONARY-3'!$A$58</f>
        <v>HOD-K</v>
      </c>
      <c r="Q1109" s="732" t="str">
        <f>'DICTIONARY-3'!$A$196</f>
        <v>Mostek nawiertowy</v>
      </c>
      <c r="R1109" s="732" t="str">
        <f>CONCATENATE('DICTIONARY-3'!$A$55,'DICTIONARY-3'!$A$82," ",'DICTIONARY-6'!$A$21," ",'DICTIONARY-2'!$A$2,"100"," ",'DICTIONARY-2'!$A$5,"110"," ",'DICTIONARY-6'!$A$60,"+",'DICTIONARY-6'!$A$63," ","d32",", ",'DICTIONARY-6'!$A$76," ",'DICTIONARY-5'!$A$57,"+",'DICTIONARY-5'!$A$56)</f>
        <v>HOD-K516 Mostek nawiert. DN100 Da110 z zasuwa mosiężna+końc. d32, ruroc. PE+PVC</v>
      </c>
      <c r="S1109" s="733" t="str">
        <f>'DICTIONARY-4'!$A$2</f>
        <v>WW</v>
      </c>
      <c r="T1109" s="732" t="str">
        <f>'DICTIONARY-4'!$A$18</f>
        <v>Wolny wałek</v>
      </c>
      <c r="U1109" s="734" t="s">
        <v>5749</v>
      </c>
      <c r="V1109" s="735"/>
      <c r="W1109" s="744" t="s">
        <v>7340</v>
      </c>
      <c r="X1109" s="737"/>
      <c r="Y1109" s="738"/>
      <c r="Z1109" s="739"/>
      <c r="AA1109" s="739"/>
      <c r="AB1109" s="740">
        <v>16</v>
      </c>
      <c r="AC1109" s="741"/>
      <c r="AD1109" s="741" t="str">
        <f>'DICTIONARY-5'!$A$13</f>
        <v>woda pitna</v>
      </c>
      <c r="AE1109" s="742">
        <v>50</v>
      </c>
      <c r="AF1109" s="743">
        <v>8</v>
      </c>
      <c r="AG1109" s="741" t="str">
        <f>'DICTIONARY-5'!$A$23</f>
        <v>powłoka epoksydowa</v>
      </c>
    </row>
    <row r="1110" spans="1:33" x14ac:dyDescent="0.25">
      <c r="A1110" s="856" t="s">
        <v>1050</v>
      </c>
      <c r="B1110" s="856" t="s">
        <v>4046</v>
      </c>
      <c r="C1110" s="836">
        <v>183</v>
      </c>
      <c r="D1110" s="836"/>
      <c r="E1110" s="836"/>
      <c r="F1110" s="836"/>
      <c r="G1110" s="496" t="s">
        <v>7812</v>
      </c>
      <c r="H1110" s="797" t="str">
        <f>VLOOKUP(G1110,SETTINGS!$B$7:$D$97,2,0)</f>
        <v>HOD</v>
      </c>
      <c r="I1110" s="796">
        <f>VLOOKUP(G1110,SETTINGS!$B$7:$D$97,3,0)</f>
        <v>0</v>
      </c>
      <c r="J1110" s="670" t="str">
        <f>IFERROR(IF(CURRENCY.FORMAT_1=0,CONCATENATE(TEXT(FIXED(ROUND((C1110/EXC.RATE_1),CURRENCY.FORMAT_1),CURRENCY.FORMAT_1,1),"# ##0;-# ##0"),",-"),FIXED(ROUND((C1110/EXC.RATE_1),CURRENCY.FORMAT_1),CURRENCY.FORMAT_1,0)),'DICTIONARY-5'!$A$2)</f>
        <v>183,-</v>
      </c>
      <c r="K1110" s="670" t="str">
        <f>IF(EXC.RATE_2=0,"",IFERROR(IF(CURRENCY.FORMAT_2=0,CONCATENATE(TEXT(FIXED(ROUND(IF(EXC.RATE.SWITCH=1,C1110/EXC.RATE_2,C1110*EXC.RATE_2),CURRENCY.FORMAT_2),CURRENCY.FORMAT_2,1),"# ##0;-# ##0"),",-"),FIXED(ROUND(IF(EXC.RATE.SWITCH=1,C1110/EXC.RATE_2,C1110*EXC.RATE_2),CURRENCY.FORMAT_2),CURRENCY.FORMAT_2,0)),'DICTIONARY-5'!$A$2))</f>
        <v/>
      </c>
      <c r="L1110" s="670" t="str">
        <f>IFERROR(IF(CURRENCY.FORMAT_1=0,CONCATENATE(TEXT(FIXED(ROUND((C1110*(1-I1110)*(1-ADD.DISCOUNT)*(1+MAT.SURCHARGE)/EXC.RATE_1),CURRENCY.FORMAT_1),CURRENCY.FORMAT_1,1),"# ##0;-# ##0"),",-"),FIXED(ROUND((C1110*(1-I1110)*(1-ADD.DISCOUNT)*(1+MAT.SURCHARGE)/EXC.RATE_1),CURRENCY.FORMAT_1),CURRENCY.FORMAT_1,0)),'DICTIONARY-5'!$A$2)</f>
        <v>190,-</v>
      </c>
      <c r="M1110" s="670" t="str">
        <f>IF(EXC.RATE_2=0,"",IFERROR(IF(CURRENCY.FORMAT_2=0,CONCATENATE(TEXT(FIXED(ROUND(IF(EXC.RATE.SWITCH=1,C1110*(1-I1110)*(1-ADD.DISCOUNT)*(1+MAT.SURCHARGE)/EXC.RATE_2,C1110*(1-I1110)*(1-ADD.DISCOUNT)*(1+MAT.SURCHARGE)*EXC.RATE_2),CURRENCY.FORMAT_2),CURRENCY.FORMAT_2,1),"# ##0;-# ##0"),",-"),FIXED(ROUND(IF(EXC.RATE.SWITCH=1,C1110*(1-I1110)*(1-ADD.DISCOUNT)*(1+MAT.SURCHARGE)/EXC.RATE_2,C1110*(1-I1110)*(1-ADD.DISCOUNT)*(1+MAT.SURCHARGE)*EXC.RATE_2),CURRENCY.FORMAT_2),CURRENCY.FORMAT_2,0)),'DICTIONARY-5'!$A$2))</f>
        <v/>
      </c>
      <c r="N1110" s="542">
        <v>4</v>
      </c>
      <c r="O1110" s="542"/>
      <c r="P1110" s="731" t="str">
        <f>'DICTIONARY-3'!$A$58</f>
        <v>HOD-K</v>
      </c>
      <c r="Q1110" s="732" t="str">
        <f>'DICTIONARY-3'!$A$196</f>
        <v>Mostek nawiertowy</v>
      </c>
      <c r="R1110" s="732" t="str">
        <f>CONCATENATE('DICTIONARY-3'!$A$55,'DICTIONARY-3'!$A$82," ",'DICTIONARY-6'!$A$21," ",'DICTIONARY-2'!$A$2,"150"," ",'DICTIONARY-2'!$A$5,"160"," ",'DICTIONARY-6'!$A$60,"+",'DICTIONARY-6'!$A$63," ","d32",", ",'DICTIONARY-6'!$A$76," ",'DICTIONARY-5'!$A$57,"+",'DICTIONARY-5'!$A$56)</f>
        <v>HOD-K516 Mostek nawiert. DN150 Da160 z zasuwa mosiężna+końc. d32, ruroc. PE+PVC</v>
      </c>
      <c r="S1110" s="733" t="str">
        <f>'DICTIONARY-4'!$A$2</f>
        <v>WW</v>
      </c>
      <c r="T1110" s="732" t="str">
        <f>'DICTIONARY-4'!$A$18</f>
        <v>Wolny wałek</v>
      </c>
      <c r="U1110" s="734" t="s">
        <v>5572</v>
      </c>
      <c r="V1110" s="735"/>
      <c r="W1110" s="744" t="s">
        <v>7342</v>
      </c>
      <c r="X1110" s="737"/>
      <c r="Y1110" s="738"/>
      <c r="Z1110" s="739"/>
      <c r="AA1110" s="739"/>
      <c r="AB1110" s="740">
        <v>16</v>
      </c>
      <c r="AC1110" s="741"/>
      <c r="AD1110" s="741" t="str">
        <f>'DICTIONARY-5'!$A$13</f>
        <v>woda pitna</v>
      </c>
      <c r="AE1110" s="742">
        <v>50</v>
      </c>
      <c r="AF1110" s="743">
        <v>9.5</v>
      </c>
      <c r="AG1110" s="741" t="str">
        <f>'DICTIONARY-5'!$A$23</f>
        <v>powłoka epoksydowa</v>
      </c>
    </row>
    <row r="1111" spans="1:33" x14ac:dyDescent="0.25">
      <c r="A1111" s="856" t="s">
        <v>1052</v>
      </c>
      <c r="B1111" s="856" t="s">
        <v>4047</v>
      </c>
      <c r="C1111" s="836">
        <v>236</v>
      </c>
      <c r="D1111" s="836"/>
      <c r="E1111" s="836"/>
      <c r="F1111" s="836"/>
      <c r="G1111" s="496" t="s">
        <v>7812</v>
      </c>
      <c r="H1111" s="797" t="str">
        <f>VLOOKUP(G1111,SETTINGS!$B$7:$D$97,2,0)</f>
        <v>HOD</v>
      </c>
      <c r="I1111" s="796">
        <f>VLOOKUP(G1111,SETTINGS!$B$7:$D$97,3,0)</f>
        <v>0</v>
      </c>
      <c r="J1111" s="670" t="str">
        <f>IFERROR(IF(CURRENCY.FORMAT_1=0,CONCATENATE(TEXT(FIXED(ROUND((C1111/EXC.RATE_1),CURRENCY.FORMAT_1),CURRENCY.FORMAT_1,1),"# ##0;-# ##0"),",-"),FIXED(ROUND((C1111/EXC.RATE_1),CURRENCY.FORMAT_1),CURRENCY.FORMAT_1,0)),'DICTIONARY-5'!$A$2)</f>
        <v>236,-</v>
      </c>
      <c r="K1111" s="670" t="str">
        <f>IF(EXC.RATE_2=0,"",IFERROR(IF(CURRENCY.FORMAT_2=0,CONCATENATE(TEXT(FIXED(ROUND(IF(EXC.RATE.SWITCH=1,C1111/EXC.RATE_2,C1111*EXC.RATE_2),CURRENCY.FORMAT_2),CURRENCY.FORMAT_2,1),"# ##0;-# ##0"),",-"),FIXED(ROUND(IF(EXC.RATE.SWITCH=1,C1111/EXC.RATE_2,C1111*EXC.RATE_2),CURRENCY.FORMAT_2),CURRENCY.FORMAT_2,0)),'DICTIONARY-5'!$A$2))</f>
        <v/>
      </c>
      <c r="L1111" s="670" t="str">
        <f>IFERROR(IF(CURRENCY.FORMAT_1=0,CONCATENATE(TEXT(FIXED(ROUND((C1111*(1-I1111)*(1-ADD.DISCOUNT)*(1+MAT.SURCHARGE)/EXC.RATE_1),CURRENCY.FORMAT_1),CURRENCY.FORMAT_1,1),"# ##0;-# ##0"),",-"),FIXED(ROUND((C1111*(1-I1111)*(1-ADD.DISCOUNT)*(1+MAT.SURCHARGE)/EXC.RATE_1),CURRENCY.FORMAT_1),CURRENCY.FORMAT_1,0)),'DICTIONARY-5'!$A$2)</f>
        <v>245,-</v>
      </c>
      <c r="M1111" s="670" t="str">
        <f>IF(EXC.RATE_2=0,"",IFERROR(IF(CURRENCY.FORMAT_2=0,CONCATENATE(TEXT(FIXED(ROUND(IF(EXC.RATE.SWITCH=1,C1111*(1-I1111)*(1-ADD.DISCOUNT)*(1+MAT.SURCHARGE)/EXC.RATE_2,C1111*(1-I1111)*(1-ADD.DISCOUNT)*(1+MAT.SURCHARGE)*EXC.RATE_2),CURRENCY.FORMAT_2),CURRENCY.FORMAT_2,1),"# ##0;-# ##0"),",-"),FIXED(ROUND(IF(EXC.RATE.SWITCH=1,C1111*(1-I1111)*(1-ADD.DISCOUNT)*(1+MAT.SURCHARGE)/EXC.RATE_2,C1111*(1-I1111)*(1-ADD.DISCOUNT)*(1+MAT.SURCHARGE)*EXC.RATE_2),CURRENCY.FORMAT_2),CURRENCY.FORMAT_2,0)),'DICTIONARY-5'!$A$2))</f>
        <v/>
      </c>
      <c r="N1111" s="542">
        <v>4</v>
      </c>
      <c r="O1111" s="542"/>
      <c r="P1111" s="731" t="str">
        <f>'DICTIONARY-3'!$A$58</f>
        <v>HOD-K</v>
      </c>
      <c r="Q1111" s="732" t="str">
        <f>'DICTIONARY-3'!$A$196</f>
        <v>Mostek nawiertowy</v>
      </c>
      <c r="R1111" s="732" t="str">
        <f>CONCATENATE('DICTIONARY-3'!$A$55,'DICTIONARY-3'!$A$82," ",'DICTIONARY-6'!$A$21," ",'DICTIONARY-2'!$A$2,"200"," ",'DICTIONARY-2'!$A$5,"225"," ",'DICTIONARY-6'!$A$60,"+",'DICTIONARY-6'!$A$63," ","d32",", ",'DICTIONARY-6'!$A$76," ",'DICTIONARY-5'!$A$57,"+",'DICTIONARY-5'!$A$56)</f>
        <v>HOD-K516 Mostek nawiert. DN200 Da225 z zasuwa mosiężna+końc. d32, ruroc. PE+PVC</v>
      </c>
      <c r="S1111" s="733" t="str">
        <f>'DICTIONARY-4'!$A$2</f>
        <v>WW</v>
      </c>
      <c r="T1111" s="732" t="str">
        <f>'DICTIONARY-4'!$A$18</f>
        <v>Wolny wałek</v>
      </c>
      <c r="U1111" s="734" t="s">
        <v>5750</v>
      </c>
      <c r="V1111" s="735"/>
      <c r="W1111" s="744" t="s">
        <v>5833</v>
      </c>
      <c r="X1111" s="737"/>
      <c r="Y1111" s="738"/>
      <c r="Z1111" s="739"/>
      <c r="AA1111" s="739"/>
      <c r="AB1111" s="740">
        <v>16</v>
      </c>
      <c r="AC1111" s="741"/>
      <c r="AD1111" s="741" t="str">
        <f>'DICTIONARY-5'!$A$13</f>
        <v>woda pitna</v>
      </c>
      <c r="AE1111" s="742">
        <v>50</v>
      </c>
      <c r="AF1111" s="743">
        <v>12.7</v>
      </c>
      <c r="AG1111" s="741" t="str">
        <f>'DICTIONARY-5'!$A$23</f>
        <v>powłoka epoksydowa</v>
      </c>
    </row>
    <row r="1112" spans="1:33" x14ac:dyDescent="0.25">
      <c r="A1112" s="856" t="s">
        <v>1110</v>
      </c>
      <c r="B1112" s="856" t="s">
        <v>4104</v>
      </c>
      <c r="C1112" s="836">
        <v>182</v>
      </c>
      <c r="D1112" s="836"/>
      <c r="E1112" s="836"/>
      <c r="F1112" s="836"/>
      <c r="G1112" s="496" t="s">
        <v>7813</v>
      </c>
      <c r="H1112" s="797" t="str">
        <f>VLOOKUP(G1112,SETTINGS!$B$7:$D$97,2,0)</f>
        <v>TERRA M1/TERRAlock</v>
      </c>
      <c r="I1112" s="796">
        <f>VLOOKUP(G1112,SETTINGS!$B$7:$D$97,3,0)</f>
        <v>0</v>
      </c>
      <c r="J1112" s="670" t="str">
        <f>IFERROR(IF(CURRENCY.FORMAT_1=0,CONCATENATE(TEXT(FIXED(ROUND((C1112/EXC.RATE_1),CURRENCY.FORMAT_1),CURRENCY.FORMAT_1,1),"# ##0;-# ##0"),",-"),FIXED(ROUND((C1112/EXC.RATE_1),CURRENCY.FORMAT_1),CURRENCY.FORMAT_1,0)),'DICTIONARY-5'!$A$2)</f>
        <v>182,-</v>
      </c>
      <c r="K1112" s="670" t="str">
        <f>IF(EXC.RATE_2=0,"",IFERROR(IF(CURRENCY.FORMAT_2=0,CONCATENATE(TEXT(FIXED(ROUND(IF(EXC.RATE.SWITCH=1,C1112/EXC.RATE_2,C1112*EXC.RATE_2),CURRENCY.FORMAT_2),CURRENCY.FORMAT_2,1),"# ##0;-# ##0"),",-"),FIXED(ROUND(IF(EXC.RATE.SWITCH=1,C1112/EXC.RATE_2,C1112*EXC.RATE_2),CURRENCY.FORMAT_2),CURRENCY.FORMAT_2,0)),'DICTIONARY-5'!$A$2))</f>
        <v/>
      </c>
      <c r="L1112" s="670" t="str">
        <f>IFERROR(IF(CURRENCY.FORMAT_1=0,CONCATENATE(TEXT(FIXED(ROUND((C1112*(1-I1112)*(1-ADD.DISCOUNT)*(1+MAT.SURCHARGE)/EXC.RATE_1),CURRENCY.FORMAT_1),CURRENCY.FORMAT_1,1),"# ##0;-# ##0"),",-"),FIXED(ROUND((C1112*(1-I1112)*(1-ADD.DISCOUNT)*(1+MAT.SURCHARGE)/EXC.RATE_1),CURRENCY.FORMAT_1),CURRENCY.FORMAT_1,0)),'DICTIONARY-5'!$A$2)</f>
        <v>189,-</v>
      </c>
      <c r="M1112" s="670" t="str">
        <f>IF(EXC.RATE_2=0,"",IFERROR(IF(CURRENCY.FORMAT_2=0,CONCATENATE(TEXT(FIXED(ROUND(IF(EXC.RATE.SWITCH=1,C1112*(1-I1112)*(1-ADD.DISCOUNT)*(1+MAT.SURCHARGE)/EXC.RATE_2,C1112*(1-I1112)*(1-ADD.DISCOUNT)*(1+MAT.SURCHARGE)*EXC.RATE_2),CURRENCY.FORMAT_2),CURRENCY.FORMAT_2,1),"# ##0;-# ##0"),",-"),FIXED(ROUND(IF(EXC.RATE.SWITCH=1,C1112*(1-I1112)*(1-ADD.DISCOUNT)*(1+MAT.SURCHARGE)/EXC.RATE_2,C1112*(1-I1112)*(1-ADD.DISCOUNT)*(1+MAT.SURCHARGE)*EXC.RATE_2),CURRENCY.FORMAT_2),CURRENCY.FORMAT_2,0)),'DICTIONARY-5'!$A$2))</f>
        <v/>
      </c>
      <c r="N1112" s="542">
        <v>4</v>
      </c>
      <c r="O1112" s="542"/>
      <c r="P1112" s="732" t="str">
        <f>'DICTIONARY-3'!$A$60</f>
        <v>TERRA-M</v>
      </c>
      <c r="Q1112" s="732" t="str">
        <f>'DICTIONARY-3'!$A$196</f>
        <v>Mostek nawiertowy</v>
      </c>
      <c r="R1112" s="732" t="str">
        <f>CONCATENATE('DICTIONARY-3'!$A$59,'DICTIONARY-3'!$A$83," ",'DICTIONARY-6'!$A$21," ",'DICTIONARY-2'!$A$2,"80-500 G1½",", ",'DICTIONARY-6'!$A$76," ",UPPER('DICTIONARY-5'!$A$40),"+",'DICTIONARY-5'!$A$49)</f>
        <v>TERRA-M1 Mostek nawiert. DN80-500 G1½, ruroc. STAL+ŻEL.</v>
      </c>
      <c r="S1112" s="733" t="str">
        <f>'DICTIONARY-4'!$A$2</f>
        <v>WW</v>
      </c>
      <c r="T1112" s="732" t="str">
        <f>'DICTIONARY-4'!$A$18</f>
        <v>Wolny wałek</v>
      </c>
      <c r="U1112" s="734" t="s">
        <v>5762</v>
      </c>
      <c r="V1112" s="735"/>
      <c r="W1112" s="736"/>
      <c r="X1112" s="750" t="s">
        <v>5738</v>
      </c>
      <c r="Y1112" s="738"/>
      <c r="Z1112" s="739"/>
      <c r="AA1112" s="739"/>
      <c r="AB1112" s="740">
        <v>16</v>
      </c>
      <c r="AC1112" s="741"/>
      <c r="AD1112" s="741" t="str">
        <f>'DICTIONARY-5'!$A$13</f>
        <v>woda pitna</v>
      </c>
      <c r="AE1112" s="742">
        <v>50</v>
      </c>
      <c r="AF1112" s="743">
        <v>6.5</v>
      </c>
      <c r="AG1112" s="741" t="str">
        <f>'DICTIONARY-5'!$A$23</f>
        <v>powłoka epoksydowa</v>
      </c>
    </row>
    <row r="1113" spans="1:33" x14ac:dyDescent="0.25">
      <c r="A1113" s="856" t="s">
        <v>1111</v>
      </c>
      <c r="B1113" s="856" t="s">
        <v>4158</v>
      </c>
      <c r="C1113" s="836">
        <v>144</v>
      </c>
      <c r="D1113" s="836"/>
      <c r="E1113" s="836"/>
      <c r="F1113" s="836"/>
      <c r="G1113" s="496" t="s">
        <v>7813</v>
      </c>
      <c r="H1113" s="797" t="str">
        <f>VLOOKUP(G1113,SETTINGS!$B$7:$D$97,2,0)</f>
        <v>TERRA M1/TERRAlock</v>
      </c>
      <c r="I1113" s="796">
        <f>VLOOKUP(G1113,SETTINGS!$B$7:$D$97,3,0)</f>
        <v>0</v>
      </c>
      <c r="J1113" s="670" t="str">
        <f>IFERROR(IF(CURRENCY.FORMAT_1=0,CONCATENATE(TEXT(FIXED(ROUND((C1113/EXC.RATE_1),CURRENCY.FORMAT_1),CURRENCY.FORMAT_1,1),"# ##0;-# ##0"),",-"),FIXED(ROUND((C1113/EXC.RATE_1),CURRENCY.FORMAT_1),CURRENCY.FORMAT_1,0)),'DICTIONARY-5'!$A$2)</f>
        <v>144,-</v>
      </c>
      <c r="K1113" s="670" t="str">
        <f>IF(EXC.RATE_2=0,"",IFERROR(IF(CURRENCY.FORMAT_2=0,CONCATENATE(TEXT(FIXED(ROUND(IF(EXC.RATE.SWITCH=1,C1113/EXC.RATE_2,C1113*EXC.RATE_2),CURRENCY.FORMAT_2),CURRENCY.FORMAT_2,1),"# ##0;-# ##0"),",-"),FIXED(ROUND(IF(EXC.RATE.SWITCH=1,C1113/EXC.RATE_2,C1113*EXC.RATE_2),CURRENCY.FORMAT_2),CURRENCY.FORMAT_2,0)),'DICTIONARY-5'!$A$2))</f>
        <v/>
      </c>
      <c r="L1113" s="670" t="str">
        <f>IFERROR(IF(CURRENCY.FORMAT_1=0,CONCATENATE(TEXT(FIXED(ROUND((C1113*(1-I1113)*(1-ADD.DISCOUNT)*(1+MAT.SURCHARGE)/EXC.RATE_1),CURRENCY.FORMAT_1),CURRENCY.FORMAT_1,1),"# ##0;-# ##0"),",-"),FIXED(ROUND((C1113*(1-I1113)*(1-ADD.DISCOUNT)*(1+MAT.SURCHARGE)/EXC.RATE_1),CURRENCY.FORMAT_1),CURRENCY.FORMAT_1,0)),'DICTIONARY-5'!$A$2)</f>
        <v>150,-</v>
      </c>
      <c r="M1113" s="670" t="str">
        <f>IF(EXC.RATE_2=0,"",IFERROR(IF(CURRENCY.FORMAT_2=0,CONCATENATE(TEXT(FIXED(ROUND(IF(EXC.RATE.SWITCH=1,C1113*(1-I1113)*(1-ADD.DISCOUNT)*(1+MAT.SURCHARGE)/EXC.RATE_2,C1113*(1-I1113)*(1-ADD.DISCOUNT)*(1+MAT.SURCHARGE)*EXC.RATE_2),CURRENCY.FORMAT_2),CURRENCY.FORMAT_2,1),"# ##0;-# ##0"),",-"),FIXED(ROUND(IF(EXC.RATE.SWITCH=1,C1113*(1-I1113)*(1-ADD.DISCOUNT)*(1+MAT.SURCHARGE)/EXC.RATE_2,C1113*(1-I1113)*(1-ADD.DISCOUNT)*(1+MAT.SURCHARGE)*EXC.RATE_2),CURRENCY.FORMAT_2),CURRENCY.FORMAT_2,0)),'DICTIONARY-5'!$A$2))</f>
        <v/>
      </c>
      <c r="N1113" s="542">
        <v>4</v>
      </c>
      <c r="O1113" s="542"/>
      <c r="P1113" s="732" t="str">
        <f>'DICTIONARY-3'!$A$60</f>
        <v>TERRA-M</v>
      </c>
      <c r="Q1113" s="732" t="str">
        <f>'DICTIONARY-3'!$A$196</f>
        <v>Mostek nawiertowy</v>
      </c>
      <c r="R1113" s="732" t="str">
        <f>CONCATENATE('DICTIONARY-3'!$A$59,'DICTIONARY-3'!$A$84," ",'DICTIONARY-6'!$A$21," ",'DICTIONARY-2'!$A$2,"80-500 G1½"," ",'DICTIONARY-6'!$A$59,", ",'DICTIONARY-6'!$A$76," ",UPPER('DICTIONARY-5'!$A$40),"+",'DICTIONARY-5'!$A$49)</f>
        <v>TERRA-M11 Mostek nawiert. DN80-500 G1½ bez zaw., ruroc. STAL+ŻEL.</v>
      </c>
      <c r="S1113" s="733" t="str">
        <f>'DICTIONARY-4'!$A$2</f>
        <v>WW</v>
      </c>
      <c r="T1113" s="732"/>
      <c r="U1113" s="734" t="s">
        <v>5762</v>
      </c>
      <c r="V1113" s="735"/>
      <c r="W1113" s="736"/>
      <c r="X1113" s="750" t="s">
        <v>5738</v>
      </c>
      <c r="Y1113" s="738"/>
      <c r="Z1113" s="739"/>
      <c r="AA1113" s="739"/>
      <c r="AB1113" s="740">
        <v>16</v>
      </c>
      <c r="AC1113" s="741"/>
      <c r="AD1113" s="741" t="str">
        <f>'DICTIONARY-5'!$A$13</f>
        <v>woda pitna</v>
      </c>
      <c r="AE1113" s="742">
        <v>50</v>
      </c>
      <c r="AF1113" s="743">
        <v>4.5</v>
      </c>
      <c r="AG1113" s="741" t="str">
        <f>'DICTIONARY-5'!$A$23</f>
        <v>powłoka epoksydowa</v>
      </c>
    </row>
    <row r="1114" spans="1:33" x14ac:dyDescent="0.25">
      <c r="A1114" s="860" t="s">
        <v>1112</v>
      </c>
      <c r="B1114" s="860" t="s">
        <v>4169</v>
      </c>
      <c r="C1114" s="836">
        <v>218</v>
      </c>
      <c r="D1114" s="836"/>
      <c r="E1114" s="836"/>
      <c r="F1114" s="836"/>
      <c r="G1114" s="496" t="s">
        <v>7814</v>
      </c>
      <c r="H1114" s="797" t="str">
        <f>VLOOKUP(G1114,SETTINGS!$B$7:$D$97,2,0)</f>
        <v>TERRA K1 PVC</v>
      </c>
      <c r="I1114" s="796">
        <f>VLOOKUP(G1114,SETTINGS!$B$7:$D$97,3,0)</f>
        <v>0</v>
      </c>
      <c r="J1114" s="670" t="str">
        <f>IFERROR(IF(CURRENCY.FORMAT_1=0,CONCATENATE(TEXT(FIXED(ROUND((C1114/EXC.RATE_1),CURRENCY.FORMAT_1),CURRENCY.FORMAT_1,1),"# ##0;-# ##0"),",-"),FIXED(ROUND((C1114/EXC.RATE_1),CURRENCY.FORMAT_1),CURRENCY.FORMAT_1,0)),'DICTIONARY-5'!$A$2)</f>
        <v>218,-</v>
      </c>
      <c r="K1114" s="670" t="str">
        <f>IF(EXC.RATE_2=0,"",IFERROR(IF(CURRENCY.FORMAT_2=0,CONCATENATE(TEXT(FIXED(ROUND(IF(EXC.RATE.SWITCH=1,C1114/EXC.RATE_2,C1114*EXC.RATE_2),CURRENCY.FORMAT_2),CURRENCY.FORMAT_2,1),"# ##0;-# ##0"),",-"),FIXED(ROUND(IF(EXC.RATE.SWITCH=1,C1114/EXC.RATE_2,C1114*EXC.RATE_2),CURRENCY.FORMAT_2),CURRENCY.FORMAT_2,0)),'DICTIONARY-5'!$A$2))</f>
        <v/>
      </c>
      <c r="L1114" s="670" t="str">
        <f>IFERROR(IF(CURRENCY.FORMAT_1=0,CONCATENATE(TEXT(FIXED(ROUND((C1114*(1-I1114)*(1-ADD.DISCOUNT)*(1+MAT.SURCHARGE)/EXC.RATE_1),CURRENCY.FORMAT_1),CURRENCY.FORMAT_1,1),"# ##0;-# ##0"),",-"),FIXED(ROUND((C1114*(1-I1114)*(1-ADD.DISCOUNT)*(1+MAT.SURCHARGE)/EXC.RATE_1),CURRENCY.FORMAT_1),CURRENCY.FORMAT_1,0)),'DICTIONARY-5'!$A$2)</f>
        <v>227,-</v>
      </c>
      <c r="M1114" s="670" t="str">
        <f>IF(EXC.RATE_2=0,"",IFERROR(IF(CURRENCY.FORMAT_2=0,CONCATENATE(TEXT(FIXED(ROUND(IF(EXC.RATE.SWITCH=1,C1114*(1-I1114)*(1-ADD.DISCOUNT)*(1+MAT.SURCHARGE)/EXC.RATE_2,C1114*(1-I1114)*(1-ADD.DISCOUNT)*(1+MAT.SURCHARGE)*EXC.RATE_2),CURRENCY.FORMAT_2),CURRENCY.FORMAT_2,1),"# ##0;-# ##0"),",-"),FIXED(ROUND(IF(EXC.RATE.SWITCH=1,C1114*(1-I1114)*(1-ADD.DISCOUNT)*(1+MAT.SURCHARGE)/EXC.RATE_2,C1114*(1-I1114)*(1-ADD.DISCOUNT)*(1+MAT.SURCHARGE)*EXC.RATE_2),CURRENCY.FORMAT_2),CURRENCY.FORMAT_2,0)),'DICTIONARY-5'!$A$2))</f>
        <v/>
      </c>
      <c r="N1114" s="542">
        <v>4</v>
      </c>
      <c r="O1114" s="542"/>
      <c r="P1114" s="732" t="str">
        <f>'DICTIONARY-3'!$A$61</f>
        <v>TERRA-K</v>
      </c>
      <c r="Q1114" s="732" t="str">
        <f>'DICTIONARY-3'!$A$196</f>
        <v>Mostek nawiertowy</v>
      </c>
      <c r="R1114" s="732" t="str">
        <f>CONCATENATE('DICTIONARY-3'!$A$59,'DICTIONARY-3'!$A$85," ",'DICTIONARY-6'!$A$21," ",'DICTIONARY-2'!$A$2,"80"," ",'DICTIONARY-2'!$A$5,"90 G1½",", ",'DICTIONARY-6'!$A$64," ","27",", ",'DICTIONARY-6'!$A$76," ",'DICTIONARY-5'!$A$57,"+",'DICTIONARY-5'!$A$56)</f>
        <v>TERRA-K1 Mostek nawiert. DN80 Da90 G1½, wiertło 27, ruroc. PE+PVC</v>
      </c>
      <c r="S1114" s="733" t="str">
        <f>'DICTIONARY-4'!$A$2</f>
        <v>WW</v>
      </c>
      <c r="T1114" s="732" t="str">
        <f>'DICTIONARY-4'!$A$18</f>
        <v>Wolny wałek</v>
      </c>
      <c r="U1114" s="734" t="s">
        <v>5760</v>
      </c>
      <c r="V1114" s="735"/>
      <c r="W1114" s="744" t="s">
        <v>7339</v>
      </c>
      <c r="X1114" s="750" t="s">
        <v>5738</v>
      </c>
      <c r="Y1114" s="738"/>
      <c r="Z1114" s="739"/>
      <c r="AA1114" s="739"/>
      <c r="AB1114" s="740">
        <v>16</v>
      </c>
      <c r="AC1114" s="741"/>
      <c r="AD1114" s="741" t="str">
        <f>'DICTIONARY-5'!$A$13</f>
        <v>woda pitna</v>
      </c>
      <c r="AE1114" s="742">
        <v>50</v>
      </c>
      <c r="AF1114" s="743">
        <v>9</v>
      </c>
      <c r="AG1114" s="741" t="str">
        <f>'DICTIONARY-5'!$A$23</f>
        <v>powłoka epoksydowa</v>
      </c>
    </row>
    <row r="1115" spans="1:33" x14ac:dyDescent="0.25">
      <c r="A1115" s="860" t="s">
        <v>1113</v>
      </c>
      <c r="B1115" s="860" t="s">
        <v>4170</v>
      </c>
      <c r="C1115" s="836">
        <v>222</v>
      </c>
      <c r="D1115" s="836"/>
      <c r="E1115" s="836"/>
      <c r="F1115" s="836"/>
      <c r="G1115" s="496" t="s">
        <v>7814</v>
      </c>
      <c r="H1115" s="797" t="str">
        <f>VLOOKUP(G1115,SETTINGS!$B$7:$D$97,2,0)</f>
        <v>TERRA K1 PVC</v>
      </c>
      <c r="I1115" s="796">
        <f>VLOOKUP(G1115,SETTINGS!$B$7:$D$97,3,0)</f>
        <v>0</v>
      </c>
      <c r="J1115" s="670" t="str">
        <f>IFERROR(IF(CURRENCY.FORMAT_1=0,CONCATENATE(TEXT(FIXED(ROUND((C1115/EXC.RATE_1),CURRENCY.FORMAT_1),CURRENCY.FORMAT_1,1),"# ##0;-# ##0"),",-"),FIXED(ROUND((C1115/EXC.RATE_1),CURRENCY.FORMAT_1),CURRENCY.FORMAT_1,0)),'DICTIONARY-5'!$A$2)</f>
        <v>222,-</v>
      </c>
      <c r="K1115" s="670" t="str">
        <f>IF(EXC.RATE_2=0,"",IFERROR(IF(CURRENCY.FORMAT_2=0,CONCATENATE(TEXT(FIXED(ROUND(IF(EXC.RATE.SWITCH=1,C1115/EXC.RATE_2,C1115*EXC.RATE_2),CURRENCY.FORMAT_2),CURRENCY.FORMAT_2,1),"# ##0;-# ##0"),",-"),FIXED(ROUND(IF(EXC.RATE.SWITCH=1,C1115/EXC.RATE_2,C1115*EXC.RATE_2),CURRENCY.FORMAT_2),CURRENCY.FORMAT_2,0)),'DICTIONARY-5'!$A$2))</f>
        <v/>
      </c>
      <c r="L1115" s="670" t="str">
        <f>IFERROR(IF(CURRENCY.FORMAT_1=0,CONCATENATE(TEXT(FIXED(ROUND((C1115*(1-I1115)*(1-ADD.DISCOUNT)*(1+MAT.SURCHARGE)/EXC.RATE_1),CURRENCY.FORMAT_1),CURRENCY.FORMAT_1,1),"# ##0;-# ##0"),",-"),FIXED(ROUND((C1115*(1-I1115)*(1-ADD.DISCOUNT)*(1+MAT.SURCHARGE)/EXC.RATE_1),CURRENCY.FORMAT_1),CURRENCY.FORMAT_1,0)),'DICTIONARY-5'!$A$2)</f>
        <v>231,-</v>
      </c>
      <c r="M1115" s="670" t="str">
        <f>IF(EXC.RATE_2=0,"",IFERROR(IF(CURRENCY.FORMAT_2=0,CONCATENATE(TEXT(FIXED(ROUND(IF(EXC.RATE.SWITCH=1,C1115*(1-I1115)*(1-ADD.DISCOUNT)*(1+MAT.SURCHARGE)/EXC.RATE_2,C1115*(1-I1115)*(1-ADD.DISCOUNT)*(1+MAT.SURCHARGE)*EXC.RATE_2),CURRENCY.FORMAT_2),CURRENCY.FORMAT_2,1),"# ##0;-# ##0"),",-"),FIXED(ROUND(IF(EXC.RATE.SWITCH=1,C1115*(1-I1115)*(1-ADD.DISCOUNT)*(1+MAT.SURCHARGE)/EXC.RATE_2,C1115*(1-I1115)*(1-ADD.DISCOUNT)*(1+MAT.SURCHARGE)*EXC.RATE_2),CURRENCY.FORMAT_2),CURRENCY.FORMAT_2,0)),'DICTIONARY-5'!$A$2))</f>
        <v/>
      </c>
      <c r="N1115" s="542">
        <v>4</v>
      </c>
      <c r="O1115" s="542"/>
      <c r="P1115" s="732" t="str">
        <f>'DICTIONARY-3'!$A$61</f>
        <v>TERRA-K</v>
      </c>
      <c r="Q1115" s="732" t="str">
        <f>'DICTIONARY-3'!$A$196</f>
        <v>Mostek nawiertowy</v>
      </c>
      <c r="R1115" s="732" t="str">
        <f>CONCATENATE('DICTIONARY-3'!$A$59,'DICTIONARY-3'!$A$85," ",'DICTIONARY-6'!$A$21," ",'DICTIONARY-2'!$A$2,"100"," ",'DICTIONARY-2'!$A$5,"110 G1½",", ",'DICTIONARY-6'!$A$64," ","27",", ",'DICTIONARY-6'!$A$76," ",'DICTIONARY-5'!$A$57,"+",'DICTIONARY-5'!$A$56)</f>
        <v>TERRA-K1 Mostek nawiert. DN100 Da110 G1½, wiertło 27, ruroc. PE+PVC</v>
      </c>
      <c r="S1115" s="733" t="str">
        <f>'DICTIONARY-4'!$A$2</f>
        <v>WW</v>
      </c>
      <c r="T1115" s="732" t="str">
        <f>'DICTIONARY-4'!$A$18</f>
        <v>Wolny wałek</v>
      </c>
      <c r="U1115" s="734" t="s">
        <v>5749</v>
      </c>
      <c r="V1115" s="735"/>
      <c r="W1115" s="744" t="s">
        <v>7340</v>
      </c>
      <c r="X1115" s="750" t="s">
        <v>5738</v>
      </c>
      <c r="Y1115" s="738"/>
      <c r="Z1115" s="739"/>
      <c r="AA1115" s="739"/>
      <c r="AB1115" s="740">
        <v>16</v>
      </c>
      <c r="AC1115" s="741"/>
      <c r="AD1115" s="741" t="str">
        <f>'DICTIONARY-5'!$A$13</f>
        <v>woda pitna</v>
      </c>
      <c r="AE1115" s="742">
        <v>50</v>
      </c>
      <c r="AF1115" s="743">
        <v>10</v>
      </c>
      <c r="AG1115" s="741" t="str">
        <f>'DICTIONARY-5'!$A$23</f>
        <v>powłoka epoksydowa</v>
      </c>
    </row>
    <row r="1116" spans="1:33" x14ac:dyDescent="0.25">
      <c r="A1116" s="860" t="s">
        <v>1114</v>
      </c>
      <c r="B1116" s="860" t="s">
        <v>4171</v>
      </c>
      <c r="C1116" s="836">
        <v>288</v>
      </c>
      <c r="D1116" s="836"/>
      <c r="E1116" s="836"/>
      <c r="F1116" s="836"/>
      <c r="G1116" s="496" t="s">
        <v>7814</v>
      </c>
      <c r="H1116" s="797" t="str">
        <f>VLOOKUP(G1116,SETTINGS!$B$7:$D$97,2,0)</f>
        <v>TERRA K1 PVC</v>
      </c>
      <c r="I1116" s="796">
        <f>VLOOKUP(G1116,SETTINGS!$B$7:$D$97,3,0)</f>
        <v>0</v>
      </c>
      <c r="J1116" s="670" t="str">
        <f>IFERROR(IF(CURRENCY.FORMAT_1=0,CONCATENATE(TEXT(FIXED(ROUND((C1116/EXC.RATE_1),CURRENCY.FORMAT_1),CURRENCY.FORMAT_1,1),"# ##0;-# ##0"),",-"),FIXED(ROUND((C1116/EXC.RATE_1),CURRENCY.FORMAT_1),CURRENCY.FORMAT_1,0)),'DICTIONARY-5'!$A$2)</f>
        <v>288,-</v>
      </c>
      <c r="K1116" s="670" t="str">
        <f>IF(EXC.RATE_2=0,"",IFERROR(IF(CURRENCY.FORMAT_2=0,CONCATENATE(TEXT(FIXED(ROUND(IF(EXC.RATE.SWITCH=1,C1116/EXC.RATE_2,C1116*EXC.RATE_2),CURRENCY.FORMAT_2),CURRENCY.FORMAT_2,1),"# ##0;-# ##0"),",-"),FIXED(ROUND(IF(EXC.RATE.SWITCH=1,C1116/EXC.RATE_2,C1116*EXC.RATE_2),CURRENCY.FORMAT_2),CURRENCY.FORMAT_2,0)),'DICTIONARY-5'!$A$2))</f>
        <v/>
      </c>
      <c r="L1116" s="670" t="str">
        <f>IFERROR(IF(CURRENCY.FORMAT_1=0,CONCATENATE(TEXT(FIXED(ROUND((C1116*(1-I1116)*(1-ADD.DISCOUNT)*(1+MAT.SURCHARGE)/EXC.RATE_1),CURRENCY.FORMAT_1),CURRENCY.FORMAT_1,1),"# ##0;-# ##0"),",-"),FIXED(ROUND((C1116*(1-I1116)*(1-ADD.DISCOUNT)*(1+MAT.SURCHARGE)/EXC.RATE_1),CURRENCY.FORMAT_1),CURRENCY.FORMAT_1,0)),'DICTIONARY-5'!$A$2)</f>
        <v>299,-</v>
      </c>
      <c r="M1116" s="670" t="str">
        <f>IF(EXC.RATE_2=0,"",IFERROR(IF(CURRENCY.FORMAT_2=0,CONCATENATE(TEXT(FIXED(ROUND(IF(EXC.RATE.SWITCH=1,C1116*(1-I1116)*(1-ADD.DISCOUNT)*(1+MAT.SURCHARGE)/EXC.RATE_2,C1116*(1-I1116)*(1-ADD.DISCOUNT)*(1+MAT.SURCHARGE)*EXC.RATE_2),CURRENCY.FORMAT_2),CURRENCY.FORMAT_2,1),"# ##0;-# ##0"),",-"),FIXED(ROUND(IF(EXC.RATE.SWITCH=1,C1116*(1-I1116)*(1-ADD.DISCOUNT)*(1+MAT.SURCHARGE)/EXC.RATE_2,C1116*(1-I1116)*(1-ADD.DISCOUNT)*(1+MAT.SURCHARGE)*EXC.RATE_2),CURRENCY.FORMAT_2),CURRENCY.FORMAT_2,0)),'DICTIONARY-5'!$A$2))</f>
        <v/>
      </c>
      <c r="N1116" s="542">
        <v>4</v>
      </c>
      <c r="O1116" s="542"/>
      <c r="P1116" s="732" t="str">
        <f>'DICTIONARY-3'!$A$61</f>
        <v>TERRA-K</v>
      </c>
      <c r="Q1116" s="732" t="str">
        <f>'DICTIONARY-3'!$A$196</f>
        <v>Mostek nawiertowy</v>
      </c>
      <c r="R1116" s="732" t="str">
        <f>CONCATENATE('DICTIONARY-3'!$A$59,'DICTIONARY-3'!$A$85," ",'DICTIONARY-6'!$A$21," ",'DICTIONARY-2'!$A$2,"125"," ",'DICTIONARY-2'!$A$5,"140 G1½",", ",'DICTIONARY-6'!$A$64," ","38",", ",'DICTIONARY-6'!$A$76," ",'DICTIONARY-5'!$A$57,"+",'DICTIONARY-5'!$A$56)</f>
        <v>TERRA-K1 Mostek nawiert. DN125 Da140 G1½, wiertło 38, ruroc. PE+PVC</v>
      </c>
      <c r="S1116" s="733" t="str">
        <f>'DICTIONARY-4'!$A$2</f>
        <v>WW</v>
      </c>
      <c r="T1116" s="732" t="str">
        <f>'DICTIONARY-4'!$A$18</f>
        <v>Wolny wałek</v>
      </c>
      <c r="U1116" s="734" t="s">
        <v>5761</v>
      </c>
      <c r="V1116" s="735"/>
      <c r="W1116" s="744" t="s">
        <v>7341</v>
      </c>
      <c r="X1116" s="750" t="s">
        <v>5738</v>
      </c>
      <c r="Y1116" s="738"/>
      <c r="Z1116" s="739"/>
      <c r="AA1116" s="739"/>
      <c r="AB1116" s="740">
        <v>16</v>
      </c>
      <c r="AC1116" s="741"/>
      <c r="AD1116" s="741" t="str">
        <f>'DICTIONARY-5'!$A$13</f>
        <v>woda pitna</v>
      </c>
      <c r="AE1116" s="742">
        <v>50</v>
      </c>
      <c r="AF1116" s="743">
        <v>11</v>
      </c>
      <c r="AG1116" s="741" t="str">
        <f>'DICTIONARY-5'!$A$23</f>
        <v>powłoka epoksydowa</v>
      </c>
    </row>
    <row r="1117" spans="1:33" x14ac:dyDescent="0.25">
      <c r="A1117" s="860" t="s">
        <v>1115</v>
      </c>
      <c r="B1117" s="860" t="s">
        <v>4172</v>
      </c>
      <c r="C1117" s="836">
        <v>254</v>
      </c>
      <c r="D1117" s="836"/>
      <c r="E1117" s="836"/>
      <c r="F1117" s="836"/>
      <c r="G1117" s="496" t="s">
        <v>7814</v>
      </c>
      <c r="H1117" s="797" t="str">
        <f>VLOOKUP(G1117,SETTINGS!$B$7:$D$97,2,0)</f>
        <v>TERRA K1 PVC</v>
      </c>
      <c r="I1117" s="796">
        <f>VLOOKUP(G1117,SETTINGS!$B$7:$D$97,3,0)</f>
        <v>0</v>
      </c>
      <c r="J1117" s="670" t="str">
        <f>IFERROR(IF(CURRENCY.FORMAT_1=0,CONCATENATE(TEXT(FIXED(ROUND((C1117/EXC.RATE_1),CURRENCY.FORMAT_1),CURRENCY.FORMAT_1,1),"# ##0;-# ##0"),",-"),FIXED(ROUND((C1117/EXC.RATE_1),CURRENCY.FORMAT_1),CURRENCY.FORMAT_1,0)),'DICTIONARY-5'!$A$2)</f>
        <v>254,-</v>
      </c>
      <c r="K1117" s="670" t="str">
        <f>IF(EXC.RATE_2=0,"",IFERROR(IF(CURRENCY.FORMAT_2=0,CONCATENATE(TEXT(FIXED(ROUND(IF(EXC.RATE.SWITCH=1,C1117/EXC.RATE_2,C1117*EXC.RATE_2),CURRENCY.FORMAT_2),CURRENCY.FORMAT_2,1),"# ##0;-# ##0"),",-"),FIXED(ROUND(IF(EXC.RATE.SWITCH=1,C1117/EXC.RATE_2,C1117*EXC.RATE_2),CURRENCY.FORMAT_2),CURRENCY.FORMAT_2,0)),'DICTIONARY-5'!$A$2))</f>
        <v/>
      </c>
      <c r="L1117" s="670" t="str">
        <f>IFERROR(IF(CURRENCY.FORMAT_1=0,CONCATENATE(TEXT(FIXED(ROUND((C1117*(1-I1117)*(1-ADD.DISCOUNT)*(1+MAT.SURCHARGE)/EXC.RATE_1),CURRENCY.FORMAT_1),CURRENCY.FORMAT_1,1),"# ##0;-# ##0"),",-"),FIXED(ROUND((C1117*(1-I1117)*(1-ADD.DISCOUNT)*(1+MAT.SURCHARGE)/EXC.RATE_1),CURRENCY.FORMAT_1),CURRENCY.FORMAT_1,0)),'DICTIONARY-5'!$A$2)</f>
        <v>264,-</v>
      </c>
      <c r="M1117" s="670" t="str">
        <f>IF(EXC.RATE_2=0,"",IFERROR(IF(CURRENCY.FORMAT_2=0,CONCATENATE(TEXT(FIXED(ROUND(IF(EXC.RATE.SWITCH=1,C1117*(1-I1117)*(1-ADD.DISCOUNT)*(1+MAT.SURCHARGE)/EXC.RATE_2,C1117*(1-I1117)*(1-ADD.DISCOUNT)*(1+MAT.SURCHARGE)*EXC.RATE_2),CURRENCY.FORMAT_2),CURRENCY.FORMAT_2,1),"# ##0;-# ##0"),",-"),FIXED(ROUND(IF(EXC.RATE.SWITCH=1,C1117*(1-I1117)*(1-ADD.DISCOUNT)*(1+MAT.SURCHARGE)/EXC.RATE_2,C1117*(1-I1117)*(1-ADD.DISCOUNT)*(1+MAT.SURCHARGE)*EXC.RATE_2),CURRENCY.FORMAT_2),CURRENCY.FORMAT_2,0)),'DICTIONARY-5'!$A$2))</f>
        <v/>
      </c>
      <c r="N1117" s="542">
        <v>4</v>
      </c>
      <c r="O1117" s="542"/>
      <c r="P1117" s="732" t="str">
        <f>'DICTIONARY-3'!$A$61</f>
        <v>TERRA-K</v>
      </c>
      <c r="Q1117" s="732" t="str">
        <f>'DICTIONARY-3'!$A$196</f>
        <v>Mostek nawiertowy</v>
      </c>
      <c r="R1117" s="732" t="str">
        <f>CONCATENATE('DICTIONARY-3'!$A$59,'DICTIONARY-3'!$A$85," ",'DICTIONARY-6'!$A$21," ",'DICTIONARY-2'!$A$2,"150"," ",'DICTIONARY-2'!$A$5,"160 G1½",", ",'DICTIONARY-6'!$A$64," ","38",", ",'DICTIONARY-6'!$A$76," ",'DICTIONARY-5'!$A$57,"+",'DICTIONARY-5'!$A$56)</f>
        <v>TERRA-K1 Mostek nawiert. DN150 Da160 G1½, wiertło 38, ruroc. PE+PVC</v>
      </c>
      <c r="S1117" s="733" t="str">
        <f>'DICTIONARY-4'!$A$2</f>
        <v>WW</v>
      </c>
      <c r="T1117" s="732" t="str">
        <f>'DICTIONARY-4'!$A$18</f>
        <v>Wolny wałek</v>
      </c>
      <c r="U1117" s="734" t="s">
        <v>5572</v>
      </c>
      <c r="V1117" s="735"/>
      <c r="W1117" s="744" t="s">
        <v>7342</v>
      </c>
      <c r="X1117" s="750" t="s">
        <v>5738</v>
      </c>
      <c r="Y1117" s="738"/>
      <c r="Z1117" s="739"/>
      <c r="AA1117" s="739"/>
      <c r="AB1117" s="740">
        <v>16</v>
      </c>
      <c r="AC1117" s="741"/>
      <c r="AD1117" s="741" t="str">
        <f>'DICTIONARY-5'!$A$13</f>
        <v>woda pitna</v>
      </c>
      <c r="AE1117" s="742">
        <v>50</v>
      </c>
      <c r="AF1117" s="743">
        <v>11.5</v>
      </c>
      <c r="AG1117" s="741" t="str">
        <f>'DICTIONARY-5'!$A$23</f>
        <v>powłoka epoksydowa</v>
      </c>
    </row>
    <row r="1118" spans="1:33" x14ac:dyDescent="0.25">
      <c r="A1118" s="860" t="s">
        <v>1116</v>
      </c>
      <c r="B1118" s="860" t="s">
        <v>4173</v>
      </c>
      <c r="C1118" s="836">
        <v>324</v>
      </c>
      <c r="D1118" s="836"/>
      <c r="E1118" s="836"/>
      <c r="F1118" s="836"/>
      <c r="G1118" s="496" t="s">
        <v>7814</v>
      </c>
      <c r="H1118" s="797" t="str">
        <f>VLOOKUP(G1118,SETTINGS!$B$7:$D$97,2,0)</f>
        <v>TERRA K1 PVC</v>
      </c>
      <c r="I1118" s="796">
        <f>VLOOKUP(G1118,SETTINGS!$B$7:$D$97,3,0)</f>
        <v>0</v>
      </c>
      <c r="J1118" s="670" t="str">
        <f>IFERROR(IF(CURRENCY.FORMAT_1=0,CONCATENATE(TEXT(FIXED(ROUND((C1118/EXC.RATE_1),CURRENCY.FORMAT_1),CURRENCY.FORMAT_1,1),"# ##0;-# ##0"),",-"),FIXED(ROUND((C1118/EXC.RATE_1),CURRENCY.FORMAT_1),CURRENCY.FORMAT_1,0)),'DICTIONARY-5'!$A$2)</f>
        <v>324,-</v>
      </c>
      <c r="K1118" s="670" t="str">
        <f>IF(EXC.RATE_2=0,"",IFERROR(IF(CURRENCY.FORMAT_2=0,CONCATENATE(TEXT(FIXED(ROUND(IF(EXC.RATE.SWITCH=1,C1118/EXC.RATE_2,C1118*EXC.RATE_2),CURRENCY.FORMAT_2),CURRENCY.FORMAT_2,1),"# ##0;-# ##0"),",-"),FIXED(ROUND(IF(EXC.RATE.SWITCH=1,C1118/EXC.RATE_2,C1118*EXC.RATE_2),CURRENCY.FORMAT_2),CURRENCY.FORMAT_2,0)),'DICTIONARY-5'!$A$2))</f>
        <v/>
      </c>
      <c r="L1118" s="670" t="str">
        <f>IFERROR(IF(CURRENCY.FORMAT_1=0,CONCATENATE(TEXT(FIXED(ROUND((C1118*(1-I1118)*(1-ADD.DISCOUNT)*(1+MAT.SURCHARGE)/EXC.RATE_1),CURRENCY.FORMAT_1),CURRENCY.FORMAT_1,1),"# ##0;-# ##0"),",-"),FIXED(ROUND((C1118*(1-I1118)*(1-ADD.DISCOUNT)*(1+MAT.SURCHARGE)/EXC.RATE_1),CURRENCY.FORMAT_1),CURRENCY.FORMAT_1,0)),'DICTIONARY-5'!$A$2)</f>
        <v>337,-</v>
      </c>
      <c r="M1118" s="670" t="str">
        <f>IF(EXC.RATE_2=0,"",IFERROR(IF(CURRENCY.FORMAT_2=0,CONCATENATE(TEXT(FIXED(ROUND(IF(EXC.RATE.SWITCH=1,C1118*(1-I1118)*(1-ADD.DISCOUNT)*(1+MAT.SURCHARGE)/EXC.RATE_2,C1118*(1-I1118)*(1-ADD.DISCOUNT)*(1+MAT.SURCHARGE)*EXC.RATE_2),CURRENCY.FORMAT_2),CURRENCY.FORMAT_2,1),"# ##0;-# ##0"),",-"),FIXED(ROUND(IF(EXC.RATE.SWITCH=1,C1118*(1-I1118)*(1-ADD.DISCOUNT)*(1+MAT.SURCHARGE)/EXC.RATE_2,C1118*(1-I1118)*(1-ADD.DISCOUNT)*(1+MAT.SURCHARGE)*EXC.RATE_2),CURRENCY.FORMAT_2),CURRENCY.FORMAT_2,0)),'DICTIONARY-5'!$A$2))</f>
        <v/>
      </c>
      <c r="N1118" s="542">
        <v>4</v>
      </c>
      <c r="O1118" s="542"/>
      <c r="P1118" s="732" t="str">
        <f>'DICTIONARY-3'!$A$61</f>
        <v>TERRA-K</v>
      </c>
      <c r="Q1118" s="732" t="str">
        <f>'DICTIONARY-3'!$A$196</f>
        <v>Mostek nawiertowy</v>
      </c>
      <c r="R1118" s="732" t="str">
        <f>CONCATENATE('DICTIONARY-3'!$A$59,'DICTIONARY-3'!$A$85," ",'DICTIONARY-6'!$A$21," ",'DICTIONARY-2'!$A$2,"200"," ",'DICTIONARY-2'!$A$5,"225 G1½",", ",'DICTIONARY-6'!$A$64," ","38",", ",'DICTIONARY-6'!$A$76," ",'DICTIONARY-5'!$A$57,"+",'DICTIONARY-5'!$A$56)</f>
        <v>TERRA-K1 Mostek nawiert. DN200 Da225 G1½, wiertło 38, ruroc. PE+PVC</v>
      </c>
      <c r="S1118" s="733" t="str">
        <f>'DICTIONARY-4'!$A$2</f>
        <v>WW</v>
      </c>
      <c r="T1118" s="732" t="str">
        <f>'DICTIONARY-4'!$A$18</f>
        <v>Wolny wałek</v>
      </c>
      <c r="U1118" s="734" t="s">
        <v>5750</v>
      </c>
      <c r="V1118" s="735"/>
      <c r="W1118" s="744" t="s">
        <v>5833</v>
      </c>
      <c r="X1118" s="750" t="s">
        <v>5738</v>
      </c>
      <c r="Y1118" s="738"/>
      <c r="Z1118" s="739"/>
      <c r="AA1118" s="739"/>
      <c r="AB1118" s="740">
        <v>16</v>
      </c>
      <c r="AC1118" s="741"/>
      <c r="AD1118" s="741" t="str">
        <f>'DICTIONARY-5'!$A$13</f>
        <v>woda pitna</v>
      </c>
      <c r="AE1118" s="742">
        <v>50</v>
      </c>
      <c r="AF1118" s="743">
        <v>15</v>
      </c>
      <c r="AG1118" s="741" t="str">
        <f>'DICTIONARY-5'!$A$23</f>
        <v>powłoka epoksydowa</v>
      </c>
    </row>
    <row r="1119" spans="1:33" x14ac:dyDescent="0.25">
      <c r="A1119" s="856" t="s">
        <v>1118</v>
      </c>
      <c r="B1119" s="856" t="s">
        <v>2867</v>
      </c>
      <c r="C1119" s="836">
        <v>189</v>
      </c>
      <c r="D1119" s="836"/>
      <c r="E1119" s="836"/>
      <c r="F1119" s="836"/>
      <c r="G1119" s="496" t="s">
        <v>7815</v>
      </c>
      <c r="H1119" s="797" t="str">
        <f>VLOOKUP(G1119,SETTINGS!$B$7:$D$97,2,0)</f>
        <v>TERRA-K12</v>
      </c>
      <c r="I1119" s="796">
        <f>VLOOKUP(G1119,SETTINGS!$B$7:$D$97,3,0)</f>
        <v>0</v>
      </c>
      <c r="J1119" s="670" t="str">
        <f>IFERROR(IF(CURRENCY.FORMAT_1=0,CONCATENATE(TEXT(FIXED(ROUND((C1119/EXC.RATE_1),CURRENCY.FORMAT_1),CURRENCY.FORMAT_1,1),"# ##0;-# ##0"),",-"),FIXED(ROUND((C1119/EXC.RATE_1),CURRENCY.FORMAT_1),CURRENCY.FORMAT_1,0)),'DICTIONARY-5'!$A$2)</f>
        <v>189,-</v>
      </c>
      <c r="K1119" s="670" t="str">
        <f>IF(EXC.RATE_2=0,"",IFERROR(IF(CURRENCY.FORMAT_2=0,CONCATENATE(TEXT(FIXED(ROUND(IF(EXC.RATE.SWITCH=1,C1119/EXC.RATE_2,C1119*EXC.RATE_2),CURRENCY.FORMAT_2),CURRENCY.FORMAT_2,1),"# ##0;-# ##0"),",-"),FIXED(ROUND(IF(EXC.RATE.SWITCH=1,C1119/EXC.RATE_2,C1119*EXC.RATE_2),CURRENCY.FORMAT_2),CURRENCY.FORMAT_2,0)),'DICTIONARY-5'!$A$2))</f>
        <v/>
      </c>
      <c r="L1119" s="670" t="str">
        <f>IFERROR(IF(CURRENCY.FORMAT_1=0,CONCATENATE(TEXT(FIXED(ROUND((C1119*(1-I1119)*(1-ADD.DISCOUNT)*(1+MAT.SURCHARGE)/EXC.RATE_1),CURRENCY.FORMAT_1),CURRENCY.FORMAT_1,1),"# ##0;-# ##0"),",-"),FIXED(ROUND((C1119*(1-I1119)*(1-ADD.DISCOUNT)*(1+MAT.SURCHARGE)/EXC.RATE_1),CURRENCY.FORMAT_1),CURRENCY.FORMAT_1,0)),'DICTIONARY-5'!$A$2)</f>
        <v>196,-</v>
      </c>
      <c r="M1119" s="670" t="str">
        <f>IF(EXC.RATE_2=0,"",IFERROR(IF(CURRENCY.FORMAT_2=0,CONCATENATE(TEXT(FIXED(ROUND(IF(EXC.RATE.SWITCH=1,C1119*(1-I1119)*(1-ADD.DISCOUNT)*(1+MAT.SURCHARGE)/EXC.RATE_2,C1119*(1-I1119)*(1-ADD.DISCOUNT)*(1+MAT.SURCHARGE)*EXC.RATE_2),CURRENCY.FORMAT_2),CURRENCY.FORMAT_2,1),"# ##0;-# ##0"),",-"),FIXED(ROUND(IF(EXC.RATE.SWITCH=1,C1119*(1-I1119)*(1-ADD.DISCOUNT)*(1+MAT.SURCHARGE)/EXC.RATE_2,C1119*(1-I1119)*(1-ADD.DISCOUNT)*(1+MAT.SURCHARGE)*EXC.RATE_2),CURRENCY.FORMAT_2),CURRENCY.FORMAT_2,0)),'DICTIONARY-5'!$A$2))</f>
        <v/>
      </c>
      <c r="N1119" s="542">
        <v>4</v>
      </c>
      <c r="O1119" s="542"/>
      <c r="P1119" s="732" t="str">
        <f>'DICTIONARY-3'!$A$61</f>
        <v>TERRA-K</v>
      </c>
      <c r="Q1119" s="732" t="str">
        <f>'DICTIONARY-3'!$A$196</f>
        <v>Mostek nawiertowy</v>
      </c>
      <c r="R1119" s="732" t="str">
        <f>CONCATENATE('DICTIONARY-3'!$A$59,'DICTIONARY-3'!$A$87," ",'DICTIONARY-6'!$A$21," ",'DICTIONARY-2'!$A$2,"80-300"," ",'DICTIONARY-6'!$A$65,"Da40",", ",'DICTIONARY-6'!$A$64," ","30",", ",'DICTIONARY-6'!$A$76," ",'DICTIONARY-5'!$A$57,"+",'DICTIONARY-5'!$A$56)</f>
        <v>TERRA-K12 Mostek nawiert. DN80-300 zewn.Da40, wiertło 30, ruroc. PE+PVC</v>
      </c>
      <c r="S1119" s="733" t="str">
        <f>'DICTIONARY-4'!$A$2</f>
        <v>WW</v>
      </c>
      <c r="T1119" s="732" t="str">
        <f>'DICTIONARY-4'!$A$18</f>
        <v>Wolny wałek</v>
      </c>
      <c r="U1119" s="734" t="s">
        <v>5747</v>
      </c>
      <c r="V1119" s="735"/>
      <c r="W1119" s="744" t="s">
        <v>5758</v>
      </c>
      <c r="X1119" s="737"/>
      <c r="Y1119" s="738"/>
      <c r="Z1119" s="739"/>
      <c r="AA1119" s="739"/>
      <c r="AB1119" s="740">
        <v>16</v>
      </c>
      <c r="AC1119" s="741"/>
      <c r="AD1119" s="741" t="str">
        <f>'DICTIONARY-5'!$A$13</f>
        <v>woda pitna</v>
      </c>
      <c r="AE1119" s="742">
        <v>50</v>
      </c>
      <c r="AF1119" s="743">
        <v>2.411</v>
      </c>
      <c r="AG1119" s="741"/>
    </row>
    <row r="1120" spans="1:33" x14ac:dyDescent="0.25">
      <c r="A1120" s="860" t="s">
        <v>1120</v>
      </c>
      <c r="B1120" s="860" t="s">
        <v>4788</v>
      </c>
      <c r="C1120" s="836">
        <v>42</v>
      </c>
      <c r="D1120" s="836"/>
      <c r="E1120" s="836"/>
      <c r="F1120" s="836"/>
      <c r="G1120" s="496" t="s">
        <v>7816</v>
      </c>
      <c r="H1120" s="797" t="str">
        <f>VLOOKUP(G1120,SETTINGS!$B$7:$D$97,2,0)</f>
        <v>PE Sleeve (TERRA-K12)</v>
      </c>
      <c r="I1120" s="796">
        <f>VLOOKUP(G1120,SETTINGS!$B$7:$D$97,3,0)</f>
        <v>0</v>
      </c>
      <c r="J1120" s="670" t="str">
        <f>IFERROR(IF(CURRENCY.FORMAT_1=0,CONCATENATE(TEXT(FIXED(ROUND((C1120/EXC.RATE_1),CURRENCY.FORMAT_1),CURRENCY.FORMAT_1,1),"# ##0;-# ##0"),",-"),FIXED(ROUND((C1120/EXC.RATE_1),CURRENCY.FORMAT_1),CURRENCY.FORMAT_1,0)),'DICTIONARY-5'!$A$2)</f>
        <v>42,-</v>
      </c>
      <c r="K1120" s="670" t="str">
        <f>IF(EXC.RATE_2=0,"",IFERROR(IF(CURRENCY.FORMAT_2=0,CONCATENATE(TEXT(FIXED(ROUND(IF(EXC.RATE.SWITCH=1,C1120/EXC.RATE_2,C1120*EXC.RATE_2),CURRENCY.FORMAT_2),CURRENCY.FORMAT_2,1),"# ##0;-# ##0"),",-"),FIXED(ROUND(IF(EXC.RATE.SWITCH=1,C1120/EXC.RATE_2,C1120*EXC.RATE_2),CURRENCY.FORMAT_2),CURRENCY.FORMAT_2,0)),'DICTIONARY-5'!$A$2))</f>
        <v/>
      </c>
      <c r="L1120" s="670" t="str">
        <f>IFERROR(IF(CURRENCY.FORMAT_1=0,CONCATENATE(TEXT(FIXED(ROUND((C1120*(1-I1120)*(1-ADD.DISCOUNT)*(1+MAT.SURCHARGE)/EXC.RATE_1),CURRENCY.FORMAT_1),CURRENCY.FORMAT_1,1),"# ##0;-# ##0"),",-"),FIXED(ROUND((C1120*(1-I1120)*(1-ADD.DISCOUNT)*(1+MAT.SURCHARGE)/EXC.RATE_1),CURRENCY.FORMAT_1),CURRENCY.FORMAT_1,0)),'DICTIONARY-5'!$A$2)</f>
        <v>44,-</v>
      </c>
      <c r="M1120" s="670" t="str">
        <f>IF(EXC.RATE_2=0,"",IFERROR(IF(CURRENCY.FORMAT_2=0,CONCATENATE(TEXT(FIXED(ROUND(IF(EXC.RATE.SWITCH=1,C1120*(1-I1120)*(1-ADD.DISCOUNT)*(1+MAT.SURCHARGE)/EXC.RATE_2,C1120*(1-I1120)*(1-ADD.DISCOUNT)*(1+MAT.SURCHARGE)*EXC.RATE_2),CURRENCY.FORMAT_2),CURRENCY.FORMAT_2,1),"# ##0;-# ##0"),",-"),FIXED(ROUND(IF(EXC.RATE.SWITCH=1,C1120*(1-I1120)*(1-ADD.DISCOUNT)*(1+MAT.SURCHARGE)/EXC.RATE_2,C1120*(1-I1120)*(1-ADD.DISCOUNT)*(1+MAT.SURCHARGE)*EXC.RATE_2),CURRENCY.FORMAT_2),CURRENCY.FORMAT_2,0)),'DICTIONARY-5'!$A$2))</f>
        <v/>
      </c>
      <c r="N1120" s="542">
        <v>4</v>
      </c>
      <c r="O1120" s="542"/>
      <c r="P1120" s="732" t="str">
        <f>'DICTIONARY-3'!$A$89</f>
        <v>PE obejma</v>
      </c>
      <c r="Q1120" s="732" t="str">
        <f>'DICTIONARY-3'!$A$199</f>
        <v>PE obejma</v>
      </c>
      <c r="R1120" s="732" t="str">
        <f>CONCATENATE('DICTIONARY-6'!$A$25," ",'DICTIONARY-5'!$A$59," ",'DICTIONARY-2'!$A$5,"90")</f>
        <v>PE obejma PE100 SDR 11 Da90</v>
      </c>
      <c r="S1120" s="733" t="s">
        <v>5569</v>
      </c>
      <c r="T1120" s="732" t="s">
        <v>5569</v>
      </c>
      <c r="U1120" s="734" t="s">
        <v>5760</v>
      </c>
      <c r="V1120" s="735"/>
      <c r="W1120" s="744" t="s">
        <v>7339</v>
      </c>
      <c r="X1120" s="737"/>
      <c r="Y1120" s="738"/>
      <c r="Z1120" s="739"/>
      <c r="AA1120" s="739"/>
      <c r="AB1120" s="740">
        <v>16</v>
      </c>
      <c r="AC1120" s="741"/>
      <c r="AD1120" s="741" t="str">
        <f>'DICTIONARY-5'!$A$13</f>
        <v>woda pitna</v>
      </c>
      <c r="AE1120" s="742">
        <v>50</v>
      </c>
      <c r="AF1120" s="743">
        <v>0.40799999999999997</v>
      </c>
      <c r="AG1120" s="741" t="s">
        <v>5569</v>
      </c>
    </row>
    <row r="1121" spans="1:33" x14ac:dyDescent="0.25">
      <c r="A1121" s="860" t="s">
        <v>1121</v>
      </c>
      <c r="B1121" s="860" t="s">
        <v>4789</v>
      </c>
      <c r="C1121" s="836">
        <v>49</v>
      </c>
      <c r="D1121" s="836"/>
      <c r="E1121" s="836"/>
      <c r="F1121" s="836"/>
      <c r="G1121" s="496" t="s">
        <v>7811</v>
      </c>
      <c r="H1121" s="797" t="str">
        <f>VLOOKUP(G1121,SETTINGS!$B$7:$D$97,2,0)</f>
        <v>House Connection Bracket</v>
      </c>
      <c r="I1121" s="796">
        <f>VLOOKUP(G1121,SETTINGS!$B$7:$D$97,3,0)</f>
        <v>0</v>
      </c>
      <c r="J1121" s="670" t="str">
        <f>IFERROR(IF(CURRENCY.FORMAT_1=0,CONCATENATE(TEXT(FIXED(ROUND((C1121/EXC.RATE_1),CURRENCY.FORMAT_1),CURRENCY.FORMAT_1,1),"# ##0;-# ##0"),",-"),FIXED(ROUND((C1121/EXC.RATE_1),CURRENCY.FORMAT_1),CURRENCY.FORMAT_1,0)),'DICTIONARY-5'!$A$2)</f>
        <v>49,-</v>
      </c>
      <c r="K1121" s="670" t="str">
        <f>IF(EXC.RATE_2=0,"",IFERROR(IF(CURRENCY.FORMAT_2=0,CONCATENATE(TEXT(FIXED(ROUND(IF(EXC.RATE.SWITCH=1,C1121/EXC.RATE_2,C1121*EXC.RATE_2),CURRENCY.FORMAT_2),CURRENCY.FORMAT_2,1),"# ##0;-# ##0"),",-"),FIXED(ROUND(IF(EXC.RATE.SWITCH=1,C1121/EXC.RATE_2,C1121*EXC.RATE_2),CURRENCY.FORMAT_2),CURRENCY.FORMAT_2,0)),'DICTIONARY-5'!$A$2))</f>
        <v/>
      </c>
      <c r="L1121" s="670" t="str">
        <f>IFERROR(IF(CURRENCY.FORMAT_1=0,CONCATENATE(TEXT(FIXED(ROUND((C1121*(1-I1121)*(1-ADD.DISCOUNT)*(1+MAT.SURCHARGE)/EXC.RATE_1),CURRENCY.FORMAT_1),CURRENCY.FORMAT_1,1),"# ##0;-# ##0"),",-"),FIXED(ROUND((C1121*(1-I1121)*(1-ADD.DISCOUNT)*(1+MAT.SURCHARGE)/EXC.RATE_1),CURRENCY.FORMAT_1),CURRENCY.FORMAT_1,0)),'DICTIONARY-5'!$A$2)</f>
        <v>51,-</v>
      </c>
      <c r="M1121" s="670" t="str">
        <f>IF(EXC.RATE_2=0,"",IFERROR(IF(CURRENCY.FORMAT_2=0,CONCATENATE(TEXT(FIXED(ROUND(IF(EXC.RATE.SWITCH=1,C1121*(1-I1121)*(1-ADD.DISCOUNT)*(1+MAT.SURCHARGE)/EXC.RATE_2,C1121*(1-I1121)*(1-ADD.DISCOUNT)*(1+MAT.SURCHARGE)*EXC.RATE_2),CURRENCY.FORMAT_2),CURRENCY.FORMAT_2,1),"# ##0;-# ##0"),",-"),FIXED(ROUND(IF(EXC.RATE.SWITCH=1,C1121*(1-I1121)*(1-ADD.DISCOUNT)*(1+MAT.SURCHARGE)/EXC.RATE_2,C1121*(1-I1121)*(1-ADD.DISCOUNT)*(1+MAT.SURCHARGE)*EXC.RATE_2),CURRENCY.FORMAT_2),CURRENCY.FORMAT_2,0)),'DICTIONARY-5'!$A$2))</f>
        <v/>
      </c>
      <c r="N1121" s="542">
        <v>4</v>
      </c>
      <c r="O1121" s="542"/>
      <c r="P1121" s="732" t="str">
        <f>'DICTIONARY-3'!$A$89</f>
        <v>PE obejma</v>
      </c>
      <c r="Q1121" s="732" t="str">
        <f>'DICTIONARY-3'!$A$199</f>
        <v>PE obejma</v>
      </c>
      <c r="R1121" s="732" t="str">
        <f>CONCATENATE('DICTIONARY-6'!$A$25," ",'DICTIONARY-5'!$A$59," ",'DICTIONARY-2'!$A$5,"110")</f>
        <v>PE obejma PE100 SDR 11 Da110</v>
      </c>
      <c r="S1121" s="733" t="s">
        <v>5569</v>
      </c>
      <c r="T1121" s="732" t="s">
        <v>5569</v>
      </c>
      <c r="U1121" s="734" t="s">
        <v>5749</v>
      </c>
      <c r="V1121" s="735"/>
      <c r="W1121" s="744" t="s">
        <v>7340</v>
      </c>
      <c r="X1121" s="737"/>
      <c r="Y1121" s="738"/>
      <c r="Z1121" s="739"/>
      <c r="AA1121" s="739"/>
      <c r="AB1121" s="740">
        <v>16</v>
      </c>
      <c r="AC1121" s="741"/>
      <c r="AD1121" s="741" t="str">
        <f>'DICTIONARY-5'!$A$13</f>
        <v>woda pitna</v>
      </c>
      <c r="AE1121" s="742">
        <v>50</v>
      </c>
      <c r="AF1121" s="743">
        <v>0.35</v>
      </c>
      <c r="AG1121" s="741" t="s">
        <v>5569</v>
      </c>
    </row>
    <row r="1122" spans="1:33" x14ac:dyDescent="0.25">
      <c r="A1122" s="860" t="s">
        <v>1122</v>
      </c>
      <c r="B1122" s="860" t="s">
        <v>4790</v>
      </c>
      <c r="C1122" s="836">
        <v>61</v>
      </c>
      <c r="D1122" s="836"/>
      <c r="E1122" s="836"/>
      <c r="F1122" s="836"/>
      <c r="G1122" s="496" t="s">
        <v>7811</v>
      </c>
      <c r="H1122" s="797" t="str">
        <f>VLOOKUP(G1122,SETTINGS!$B$7:$D$97,2,0)</f>
        <v>House Connection Bracket</v>
      </c>
      <c r="I1122" s="796">
        <f>VLOOKUP(G1122,SETTINGS!$B$7:$D$97,3,0)</f>
        <v>0</v>
      </c>
      <c r="J1122" s="670" t="str">
        <f>IFERROR(IF(CURRENCY.FORMAT_1=0,CONCATENATE(TEXT(FIXED(ROUND((C1122/EXC.RATE_1),CURRENCY.FORMAT_1),CURRENCY.FORMAT_1,1),"# ##0;-# ##0"),",-"),FIXED(ROUND((C1122/EXC.RATE_1),CURRENCY.FORMAT_1),CURRENCY.FORMAT_1,0)),'DICTIONARY-5'!$A$2)</f>
        <v>61,-</v>
      </c>
      <c r="K1122" s="670" t="str">
        <f>IF(EXC.RATE_2=0,"",IFERROR(IF(CURRENCY.FORMAT_2=0,CONCATENATE(TEXT(FIXED(ROUND(IF(EXC.RATE.SWITCH=1,C1122/EXC.RATE_2,C1122*EXC.RATE_2),CURRENCY.FORMAT_2),CURRENCY.FORMAT_2,1),"# ##0;-# ##0"),",-"),FIXED(ROUND(IF(EXC.RATE.SWITCH=1,C1122/EXC.RATE_2,C1122*EXC.RATE_2),CURRENCY.FORMAT_2),CURRENCY.FORMAT_2,0)),'DICTIONARY-5'!$A$2))</f>
        <v/>
      </c>
      <c r="L1122" s="670" t="str">
        <f>IFERROR(IF(CURRENCY.FORMAT_1=0,CONCATENATE(TEXT(FIXED(ROUND((C1122*(1-I1122)*(1-ADD.DISCOUNT)*(1+MAT.SURCHARGE)/EXC.RATE_1),CURRENCY.FORMAT_1),CURRENCY.FORMAT_1,1),"# ##0;-# ##0"),",-"),FIXED(ROUND((C1122*(1-I1122)*(1-ADD.DISCOUNT)*(1+MAT.SURCHARGE)/EXC.RATE_1),CURRENCY.FORMAT_1),CURRENCY.FORMAT_1,0)),'DICTIONARY-5'!$A$2)</f>
        <v>63,-</v>
      </c>
      <c r="M1122" s="670" t="str">
        <f>IF(EXC.RATE_2=0,"",IFERROR(IF(CURRENCY.FORMAT_2=0,CONCATENATE(TEXT(FIXED(ROUND(IF(EXC.RATE.SWITCH=1,C1122*(1-I1122)*(1-ADD.DISCOUNT)*(1+MAT.SURCHARGE)/EXC.RATE_2,C1122*(1-I1122)*(1-ADD.DISCOUNT)*(1+MAT.SURCHARGE)*EXC.RATE_2),CURRENCY.FORMAT_2),CURRENCY.FORMAT_2,1),"# ##0;-# ##0"),",-"),FIXED(ROUND(IF(EXC.RATE.SWITCH=1,C1122*(1-I1122)*(1-ADD.DISCOUNT)*(1+MAT.SURCHARGE)/EXC.RATE_2,C1122*(1-I1122)*(1-ADD.DISCOUNT)*(1+MAT.SURCHARGE)*EXC.RATE_2),CURRENCY.FORMAT_2),CURRENCY.FORMAT_2,0)),'DICTIONARY-5'!$A$2))</f>
        <v/>
      </c>
      <c r="N1122" s="542">
        <v>4</v>
      </c>
      <c r="O1122" s="542"/>
      <c r="P1122" s="732" t="str">
        <f>'DICTIONARY-3'!$A$89</f>
        <v>PE obejma</v>
      </c>
      <c r="Q1122" s="732" t="str">
        <f>'DICTIONARY-3'!$A$199</f>
        <v>PE obejma</v>
      </c>
      <c r="R1122" s="732" t="str">
        <f>CONCATENATE('DICTIONARY-6'!$A$25," ",'DICTIONARY-5'!$A$59," ",'DICTIONARY-2'!$A$5,"125")</f>
        <v>PE obejma PE100 SDR 11 Da125</v>
      </c>
      <c r="S1122" s="733" t="s">
        <v>5569</v>
      </c>
      <c r="T1122" s="732" t="s">
        <v>5569</v>
      </c>
      <c r="U1122" s="734" t="s">
        <v>5761</v>
      </c>
      <c r="V1122" s="735"/>
      <c r="W1122" s="744" t="s">
        <v>5761</v>
      </c>
      <c r="X1122" s="737"/>
      <c r="Y1122" s="738"/>
      <c r="Z1122" s="739"/>
      <c r="AA1122" s="739"/>
      <c r="AB1122" s="740">
        <v>16</v>
      </c>
      <c r="AC1122" s="741"/>
      <c r="AD1122" s="741" t="str">
        <f>'DICTIONARY-5'!$A$13</f>
        <v>woda pitna</v>
      </c>
      <c r="AE1122" s="742">
        <v>50</v>
      </c>
      <c r="AF1122" s="743">
        <v>0.7</v>
      </c>
      <c r="AG1122" s="741" t="s">
        <v>5569</v>
      </c>
    </row>
    <row r="1123" spans="1:33" x14ac:dyDescent="0.25">
      <c r="A1123" s="860" t="s">
        <v>1123</v>
      </c>
      <c r="B1123" s="860" t="s">
        <v>4791</v>
      </c>
      <c r="C1123" s="836">
        <v>88</v>
      </c>
      <c r="D1123" s="836"/>
      <c r="E1123" s="836"/>
      <c r="F1123" s="836"/>
      <c r="G1123" s="496" t="s">
        <v>7811</v>
      </c>
      <c r="H1123" s="797" t="str">
        <f>VLOOKUP(G1123,SETTINGS!$B$7:$D$97,2,0)</f>
        <v>House Connection Bracket</v>
      </c>
      <c r="I1123" s="796">
        <f>VLOOKUP(G1123,SETTINGS!$B$7:$D$97,3,0)</f>
        <v>0</v>
      </c>
      <c r="J1123" s="670" t="str">
        <f>IFERROR(IF(CURRENCY.FORMAT_1=0,CONCATENATE(TEXT(FIXED(ROUND((C1123/EXC.RATE_1),CURRENCY.FORMAT_1),CURRENCY.FORMAT_1,1),"# ##0;-# ##0"),",-"),FIXED(ROUND((C1123/EXC.RATE_1),CURRENCY.FORMAT_1),CURRENCY.FORMAT_1,0)),'DICTIONARY-5'!$A$2)</f>
        <v>88,-</v>
      </c>
      <c r="K1123" s="670" t="str">
        <f>IF(EXC.RATE_2=0,"",IFERROR(IF(CURRENCY.FORMAT_2=0,CONCATENATE(TEXT(FIXED(ROUND(IF(EXC.RATE.SWITCH=1,C1123/EXC.RATE_2,C1123*EXC.RATE_2),CURRENCY.FORMAT_2),CURRENCY.FORMAT_2,1),"# ##0;-# ##0"),",-"),FIXED(ROUND(IF(EXC.RATE.SWITCH=1,C1123/EXC.RATE_2,C1123*EXC.RATE_2),CURRENCY.FORMAT_2),CURRENCY.FORMAT_2,0)),'DICTIONARY-5'!$A$2))</f>
        <v/>
      </c>
      <c r="L1123" s="670" t="str">
        <f>IFERROR(IF(CURRENCY.FORMAT_1=0,CONCATENATE(TEXT(FIXED(ROUND((C1123*(1-I1123)*(1-ADD.DISCOUNT)*(1+MAT.SURCHARGE)/EXC.RATE_1),CURRENCY.FORMAT_1),CURRENCY.FORMAT_1,1),"# ##0;-# ##0"),",-"),FIXED(ROUND((C1123*(1-I1123)*(1-ADD.DISCOUNT)*(1+MAT.SURCHARGE)/EXC.RATE_1),CURRENCY.FORMAT_1),CURRENCY.FORMAT_1,0)),'DICTIONARY-5'!$A$2)</f>
        <v>91,-</v>
      </c>
      <c r="M1123" s="670" t="str">
        <f>IF(EXC.RATE_2=0,"",IFERROR(IF(CURRENCY.FORMAT_2=0,CONCATENATE(TEXT(FIXED(ROUND(IF(EXC.RATE.SWITCH=1,C1123*(1-I1123)*(1-ADD.DISCOUNT)*(1+MAT.SURCHARGE)/EXC.RATE_2,C1123*(1-I1123)*(1-ADD.DISCOUNT)*(1+MAT.SURCHARGE)*EXC.RATE_2),CURRENCY.FORMAT_2),CURRENCY.FORMAT_2,1),"# ##0;-# ##0"),",-"),FIXED(ROUND(IF(EXC.RATE.SWITCH=1,C1123*(1-I1123)*(1-ADD.DISCOUNT)*(1+MAT.SURCHARGE)/EXC.RATE_2,C1123*(1-I1123)*(1-ADD.DISCOUNT)*(1+MAT.SURCHARGE)*EXC.RATE_2),CURRENCY.FORMAT_2),CURRENCY.FORMAT_2,0)),'DICTIONARY-5'!$A$2))</f>
        <v/>
      </c>
      <c r="N1123" s="542">
        <v>4</v>
      </c>
      <c r="O1123" s="542"/>
      <c r="P1123" s="732" t="str">
        <f>'DICTIONARY-3'!$A$89</f>
        <v>PE obejma</v>
      </c>
      <c r="Q1123" s="732" t="str">
        <f>'DICTIONARY-3'!$A$199</f>
        <v>PE obejma</v>
      </c>
      <c r="R1123" s="732" t="str">
        <f>CONCATENATE('DICTIONARY-6'!$A$25," ",'DICTIONARY-5'!$A$59," ",'DICTIONARY-2'!$A$5,"140")</f>
        <v>PE obejma PE100 SDR 11 Da140</v>
      </c>
      <c r="S1123" s="733" t="s">
        <v>5569</v>
      </c>
      <c r="T1123" s="732" t="s">
        <v>5569</v>
      </c>
      <c r="U1123" s="734" t="s">
        <v>5761</v>
      </c>
      <c r="V1123" s="735"/>
      <c r="W1123" s="744" t="s">
        <v>7341</v>
      </c>
      <c r="X1123" s="737"/>
      <c r="Y1123" s="738"/>
      <c r="Z1123" s="739"/>
      <c r="AA1123" s="739"/>
      <c r="AB1123" s="740">
        <v>16</v>
      </c>
      <c r="AC1123" s="741"/>
      <c r="AD1123" s="741" t="str">
        <f>'DICTIONARY-5'!$A$13</f>
        <v>woda pitna</v>
      </c>
      <c r="AE1123" s="742">
        <v>50</v>
      </c>
      <c r="AF1123" s="743">
        <v>0.5</v>
      </c>
      <c r="AG1123" s="741" t="s">
        <v>5569</v>
      </c>
    </row>
    <row r="1124" spans="1:33" x14ac:dyDescent="0.25">
      <c r="A1124" s="860" t="s">
        <v>1124</v>
      </c>
      <c r="B1124" s="860" t="s">
        <v>4792</v>
      </c>
      <c r="C1124" s="836">
        <v>101</v>
      </c>
      <c r="D1124" s="836"/>
      <c r="E1124" s="836"/>
      <c r="F1124" s="836"/>
      <c r="G1124" s="496" t="s">
        <v>7811</v>
      </c>
      <c r="H1124" s="797" t="str">
        <f>VLOOKUP(G1124,SETTINGS!$B$7:$D$97,2,0)</f>
        <v>House Connection Bracket</v>
      </c>
      <c r="I1124" s="796">
        <f>VLOOKUP(G1124,SETTINGS!$B$7:$D$97,3,0)</f>
        <v>0</v>
      </c>
      <c r="J1124" s="670" t="str">
        <f>IFERROR(IF(CURRENCY.FORMAT_1=0,CONCATENATE(TEXT(FIXED(ROUND((C1124/EXC.RATE_1),CURRENCY.FORMAT_1),CURRENCY.FORMAT_1,1),"# ##0;-# ##0"),",-"),FIXED(ROUND((C1124/EXC.RATE_1),CURRENCY.FORMAT_1),CURRENCY.FORMAT_1,0)),'DICTIONARY-5'!$A$2)</f>
        <v>101,-</v>
      </c>
      <c r="K1124" s="670" t="str">
        <f>IF(EXC.RATE_2=0,"",IFERROR(IF(CURRENCY.FORMAT_2=0,CONCATENATE(TEXT(FIXED(ROUND(IF(EXC.RATE.SWITCH=1,C1124/EXC.RATE_2,C1124*EXC.RATE_2),CURRENCY.FORMAT_2),CURRENCY.FORMAT_2,1),"# ##0;-# ##0"),",-"),FIXED(ROUND(IF(EXC.RATE.SWITCH=1,C1124/EXC.RATE_2,C1124*EXC.RATE_2),CURRENCY.FORMAT_2),CURRENCY.FORMAT_2,0)),'DICTIONARY-5'!$A$2))</f>
        <v/>
      </c>
      <c r="L1124" s="670" t="str">
        <f>IFERROR(IF(CURRENCY.FORMAT_1=0,CONCATENATE(TEXT(FIXED(ROUND((C1124*(1-I1124)*(1-ADD.DISCOUNT)*(1+MAT.SURCHARGE)/EXC.RATE_1),CURRENCY.FORMAT_1),CURRENCY.FORMAT_1,1),"# ##0;-# ##0"),",-"),FIXED(ROUND((C1124*(1-I1124)*(1-ADD.DISCOUNT)*(1+MAT.SURCHARGE)/EXC.RATE_1),CURRENCY.FORMAT_1),CURRENCY.FORMAT_1,0)),'DICTIONARY-5'!$A$2)</f>
        <v>105,-</v>
      </c>
      <c r="M1124" s="670" t="str">
        <f>IF(EXC.RATE_2=0,"",IFERROR(IF(CURRENCY.FORMAT_2=0,CONCATENATE(TEXT(FIXED(ROUND(IF(EXC.RATE.SWITCH=1,C1124*(1-I1124)*(1-ADD.DISCOUNT)*(1+MAT.SURCHARGE)/EXC.RATE_2,C1124*(1-I1124)*(1-ADD.DISCOUNT)*(1+MAT.SURCHARGE)*EXC.RATE_2),CURRENCY.FORMAT_2),CURRENCY.FORMAT_2,1),"# ##0;-# ##0"),",-"),FIXED(ROUND(IF(EXC.RATE.SWITCH=1,C1124*(1-I1124)*(1-ADD.DISCOUNT)*(1+MAT.SURCHARGE)/EXC.RATE_2,C1124*(1-I1124)*(1-ADD.DISCOUNT)*(1+MAT.SURCHARGE)*EXC.RATE_2),CURRENCY.FORMAT_2),CURRENCY.FORMAT_2,0)),'DICTIONARY-5'!$A$2))</f>
        <v/>
      </c>
      <c r="N1124" s="542">
        <v>4</v>
      </c>
      <c r="O1124" s="542"/>
      <c r="P1124" s="732" t="str">
        <f>'DICTIONARY-3'!$A$89</f>
        <v>PE obejma</v>
      </c>
      <c r="Q1124" s="732" t="str">
        <f>'DICTIONARY-3'!$A$199</f>
        <v>PE obejma</v>
      </c>
      <c r="R1124" s="732" t="str">
        <f>CONCATENATE('DICTIONARY-6'!$A$25," ",'DICTIONARY-5'!$A$59," ",'DICTIONARY-2'!$A$5,"160")</f>
        <v>PE obejma PE100 SDR 11 Da160</v>
      </c>
      <c r="S1124" s="733" t="s">
        <v>5569</v>
      </c>
      <c r="T1124" s="732" t="s">
        <v>5569</v>
      </c>
      <c r="U1124" s="734" t="s">
        <v>5572</v>
      </c>
      <c r="V1124" s="735"/>
      <c r="W1124" s="744" t="s">
        <v>7342</v>
      </c>
      <c r="X1124" s="737"/>
      <c r="Y1124" s="738"/>
      <c r="Z1124" s="739"/>
      <c r="AA1124" s="739"/>
      <c r="AB1124" s="740">
        <v>16</v>
      </c>
      <c r="AC1124" s="741"/>
      <c r="AD1124" s="741" t="str">
        <f>'DICTIONARY-5'!$A$13</f>
        <v>woda pitna</v>
      </c>
      <c r="AE1124" s="742">
        <v>50</v>
      </c>
      <c r="AF1124" s="743">
        <v>0.55800000000000005</v>
      </c>
      <c r="AG1124" s="741" t="s">
        <v>5569</v>
      </c>
    </row>
    <row r="1125" spans="1:33" x14ac:dyDescent="0.25">
      <c r="A1125" s="860" t="s">
        <v>1125</v>
      </c>
      <c r="B1125" s="860" t="s">
        <v>4793</v>
      </c>
      <c r="C1125" s="836">
        <v>105</v>
      </c>
      <c r="D1125" s="836"/>
      <c r="E1125" s="836"/>
      <c r="F1125" s="836"/>
      <c r="G1125" s="496" t="s">
        <v>7811</v>
      </c>
      <c r="H1125" s="797" t="str">
        <f>VLOOKUP(G1125,SETTINGS!$B$7:$D$97,2,0)</f>
        <v>House Connection Bracket</v>
      </c>
      <c r="I1125" s="796">
        <f>VLOOKUP(G1125,SETTINGS!$B$7:$D$97,3,0)</f>
        <v>0</v>
      </c>
      <c r="J1125" s="670" t="str">
        <f>IFERROR(IF(CURRENCY.FORMAT_1=0,CONCATENATE(TEXT(FIXED(ROUND((C1125/EXC.RATE_1),CURRENCY.FORMAT_1),CURRENCY.FORMAT_1,1),"# ##0;-# ##0"),",-"),FIXED(ROUND((C1125/EXC.RATE_1),CURRENCY.FORMAT_1),CURRENCY.FORMAT_1,0)),'DICTIONARY-5'!$A$2)</f>
        <v>105,-</v>
      </c>
      <c r="K1125" s="670" t="str">
        <f>IF(EXC.RATE_2=0,"",IFERROR(IF(CURRENCY.FORMAT_2=0,CONCATENATE(TEXT(FIXED(ROUND(IF(EXC.RATE.SWITCH=1,C1125/EXC.RATE_2,C1125*EXC.RATE_2),CURRENCY.FORMAT_2),CURRENCY.FORMAT_2,1),"# ##0;-# ##0"),",-"),FIXED(ROUND(IF(EXC.RATE.SWITCH=1,C1125/EXC.RATE_2,C1125*EXC.RATE_2),CURRENCY.FORMAT_2),CURRENCY.FORMAT_2,0)),'DICTIONARY-5'!$A$2))</f>
        <v/>
      </c>
      <c r="L1125" s="670" t="str">
        <f>IFERROR(IF(CURRENCY.FORMAT_1=0,CONCATENATE(TEXT(FIXED(ROUND((C1125*(1-I1125)*(1-ADD.DISCOUNT)*(1+MAT.SURCHARGE)/EXC.RATE_1),CURRENCY.FORMAT_1),CURRENCY.FORMAT_1,1),"# ##0;-# ##0"),",-"),FIXED(ROUND((C1125*(1-I1125)*(1-ADD.DISCOUNT)*(1+MAT.SURCHARGE)/EXC.RATE_1),CURRENCY.FORMAT_1),CURRENCY.FORMAT_1,0)),'DICTIONARY-5'!$A$2)</f>
        <v>109,-</v>
      </c>
      <c r="M1125" s="670" t="str">
        <f>IF(EXC.RATE_2=0,"",IFERROR(IF(CURRENCY.FORMAT_2=0,CONCATENATE(TEXT(FIXED(ROUND(IF(EXC.RATE.SWITCH=1,C1125*(1-I1125)*(1-ADD.DISCOUNT)*(1+MAT.SURCHARGE)/EXC.RATE_2,C1125*(1-I1125)*(1-ADD.DISCOUNT)*(1+MAT.SURCHARGE)*EXC.RATE_2),CURRENCY.FORMAT_2),CURRENCY.FORMAT_2,1),"# ##0;-# ##0"),",-"),FIXED(ROUND(IF(EXC.RATE.SWITCH=1,C1125*(1-I1125)*(1-ADD.DISCOUNT)*(1+MAT.SURCHARGE)/EXC.RATE_2,C1125*(1-I1125)*(1-ADD.DISCOUNT)*(1+MAT.SURCHARGE)*EXC.RATE_2),CURRENCY.FORMAT_2),CURRENCY.FORMAT_2,0)),'DICTIONARY-5'!$A$2))</f>
        <v/>
      </c>
      <c r="N1125" s="542">
        <v>4</v>
      </c>
      <c r="O1125" s="542"/>
      <c r="P1125" s="732" t="str">
        <f>'DICTIONARY-3'!$A$89</f>
        <v>PE obejma</v>
      </c>
      <c r="Q1125" s="732" t="str">
        <f>'DICTIONARY-3'!$A$199</f>
        <v>PE obejma</v>
      </c>
      <c r="R1125" s="732" t="str">
        <f>CONCATENATE('DICTIONARY-6'!$A$25," ",'DICTIONARY-5'!$A$59," ",'DICTIONARY-2'!$A$5,"180")</f>
        <v>PE obejma PE100 SDR 11 Da180</v>
      </c>
      <c r="S1125" s="733" t="s">
        <v>5569</v>
      </c>
      <c r="T1125" s="732" t="s">
        <v>5569</v>
      </c>
      <c r="U1125" s="734" t="s">
        <v>5572</v>
      </c>
      <c r="V1125" s="735"/>
      <c r="W1125" s="744" t="s">
        <v>7343</v>
      </c>
      <c r="X1125" s="737"/>
      <c r="Y1125" s="738"/>
      <c r="Z1125" s="739"/>
      <c r="AA1125" s="739"/>
      <c r="AB1125" s="740">
        <v>16</v>
      </c>
      <c r="AC1125" s="741"/>
      <c r="AD1125" s="741" t="str">
        <f>'DICTIONARY-5'!$A$13</f>
        <v>woda pitna</v>
      </c>
      <c r="AE1125" s="742">
        <v>50</v>
      </c>
      <c r="AF1125" s="743">
        <v>0.6</v>
      </c>
      <c r="AG1125" s="741" t="s">
        <v>5569</v>
      </c>
    </row>
    <row r="1126" spans="1:33" x14ac:dyDescent="0.25">
      <c r="A1126" s="860" t="s">
        <v>1126</v>
      </c>
      <c r="B1126" s="860" t="s">
        <v>4794</v>
      </c>
      <c r="C1126" s="836">
        <v>124</v>
      </c>
      <c r="D1126" s="836"/>
      <c r="E1126" s="836"/>
      <c r="F1126" s="836"/>
      <c r="G1126" s="496" t="s">
        <v>7811</v>
      </c>
      <c r="H1126" s="797" t="str">
        <f>VLOOKUP(G1126,SETTINGS!$B$7:$D$97,2,0)</f>
        <v>House Connection Bracket</v>
      </c>
      <c r="I1126" s="796">
        <f>VLOOKUP(G1126,SETTINGS!$B$7:$D$97,3,0)</f>
        <v>0</v>
      </c>
      <c r="J1126" s="670" t="str">
        <f>IFERROR(IF(CURRENCY.FORMAT_1=0,CONCATENATE(TEXT(FIXED(ROUND((C1126/EXC.RATE_1),CURRENCY.FORMAT_1),CURRENCY.FORMAT_1,1),"# ##0;-# ##0"),",-"),FIXED(ROUND((C1126/EXC.RATE_1),CURRENCY.FORMAT_1),CURRENCY.FORMAT_1,0)),'DICTIONARY-5'!$A$2)</f>
        <v>124,-</v>
      </c>
      <c r="K1126" s="670" t="str">
        <f>IF(EXC.RATE_2=0,"",IFERROR(IF(CURRENCY.FORMAT_2=0,CONCATENATE(TEXT(FIXED(ROUND(IF(EXC.RATE.SWITCH=1,C1126/EXC.RATE_2,C1126*EXC.RATE_2),CURRENCY.FORMAT_2),CURRENCY.FORMAT_2,1),"# ##0;-# ##0"),",-"),FIXED(ROUND(IF(EXC.RATE.SWITCH=1,C1126/EXC.RATE_2,C1126*EXC.RATE_2),CURRENCY.FORMAT_2),CURRENCY.FORMAT_2,0)),'DICTIONARY-5'!$A$2))</f>
        <v/>
      </c>
      <c r="L1126" s="670" t="str">
        <f>IFERROR(IF(CURRENCY.FORMAT_1=0,CONCATENATE(TEXT(FIXED(ROUND((C1126*(1-I1126)*(1-ADD.DISCOUNT)*(1+MAT.SURCHARGE)/EXC.RATE_1),CURRENCY.FORMAT_1),CURRENCY.FORMAT_1,1),"# ##0;-# ##0"),",-"),FIXED(ROUND((C1126*(1-I1126)*(1-ADD.DISCOUNT)*(1+MAT.SURCHARGE)/EXC.RATE_1),CURRENCY.FORMAT_1),CURRENCY.FORMAT_1,0)),'DICTIONARY-5'!$A$2)</f>
        <v>129,-</v>
      </c>
      <c r="M1126" s="670" t="str">
        <f>IF(EXC.RATE_2=0,"",IFERROR(IF(CURRENCY.FORMAT_2=0,CONCATENATE(TEXT(FIXED(ROUND(IF(EXC.RATE.SWITCH=1,C1126*(1-I1126)*(1-ADD.DISCOUNT)*(1+MAT.SURCHARGE)/EXC.RATE_2,C1126*(1-I1126)*(1-ADD.DISCOUNT)*(1+MAT.SURCHARGE)*EXC.RATE_2),CURRENCY.FORMAT_2),CURRENCY.FORMAT_2,1),"# ##0;-# ##0"),",-"),FIXED(ROUND(IF(EXC.RATE.SWITCH=1,C1126*(1-I1126)*(1-ADD.DISCOUNT)*(1+MAT.SURCHARGE)/EXC.RATE_2,C1126*(1-I1126)*(1-ADD.DISCOUNT)*(1+MAT.SURCHARGE)*EXC.RATE_2),CURRENCY.FORMAT_2),CURRENCY.FORMAT_2,0)),'DICTIONARY-5'!$A$2))</f>
        <v/>
      </c>
      <c r="N1126" s="542">
        <v>4</v>
      </c>
      <c r="O1126" s="542"/>
      <c r="P1126" s="732" t="str">
        <f>'DICTIONARY-3'!$A$89</f>
        <v>PE obejma</v>
      </c>
      <c r="Q1126" s="732" t="str">
        <f>'DICTIONARY-3'!$A$199</f>
        <v>PE obejma</v>
      </c>
      <c r="R1126" s="732" t="str">
        <f>CONCATENATE('DICTIONARY-6'!$A$25," ",'DICTIONARY-5'!$A$59," ",'DICTIONARY-2'!$A$5,"200")</f>
        <v>PE obejma PE100 SDR 11 Da200</v>
      </c>
      <c r="S1126" s="733" t="s">
        <v>5569</v>
      </c>
      <c r="T1126" s="732" t="s">
        <v>5569</v>
      </c>
      <c r="U1126" s="734" t="s">
        <v>5750</v>
      </c>
      <c r="V1126" s="735"/>
      <c r="W1126" s="744" t="s">
        <v>5750</v>
      </c>
      <c r="X1126" s="737"/>
      <c r="Y1126" s="738"/>
      <c r="Z1126" s="739"/>
      <c r="AA1126" s="739"/>
      <c r="AB1126" s="740">
        <v>16</v>
      </c>
      <c r="AC1126" s="741"/>
      <c r="AD1126" s="741" t="str">
        <f>'DICTIONARY-5'!$A$13</f>
        <v>woda pitna</v>
      </c>
      <c r="AE1126" s="742">
        <v>50</v>
      </c>
      <c r="AF1126" s="743">
        <v>0.63300000000000001</v>
      </c>
      <c r="AG1126" s="741" t="s">
        <v>5569</v>
      </c>
    </row>
    <row r="1127" spans="1:33" x14ac:dyDescent="0.25">
      <c r="A1127" s="860" t="s">
        <v>1127</v>
      </c>
      <c r="B1127" s="860" t="s">
        <v>4795</v>
      </c>
      <c r="C1127" s="836">
        <v>141</v>
      </c>
      <c r="D1127" s="836"/>
      <c r="E1127" s="836"/>
      <c r="F1127" s="836"/>
      <c r="G1127" s="496" t="s">
        <v>7811</v>
      </c>
      <c r="H1127" s="797" t="str">
        <f>VLOOKUP(G1127,SETTINGS!$B$7:$D$97,2,0)</f>
        <v>House Connection Bracket</v>
      </c>
      <c r="I1127" s="796">
        <f>VLOOKUP(G1127,SETTINGS!$B$7:$D$97,3,0)</f>
        <v>0</v>
      </c>
      <c r="J1127" s="670" t="str">
        <f>IFERROR(IF(CURRENCY.FORMAT_1=0,CONCATENATE(TEXT(FIXED(ROUND((C1127/EXC.RATE_1),CURRENCY.FORMAT_1),CURRENCY.FORMAT_1,1),"# ##0;-# ##0"),",-"),FIXED(ROUND((C1127/EXC.RATE_1),CURRENCY.FORMAT_1),CURRENCY.FORMAT_1,0)),'DICTIONARY-5'!$A$2)</f>
        <v>141,-</v>
      </c>
      <c r="K1127" s="670" t="str">
        <f>IF(EXC.RATE_2=0,"",IFERROR(IF(CURRENCY.FORMAT_2=0,CONCATENATE(TEXT(FIXED(ROUND(IF(EXC.RATE.SWITCH=1,C1127/EXC.RATE_2,C1127*EXC.RATE_2),CURRENCY.FORMAT_2),CURRENCY.FORMAT_2,1),"# ##0;-# ##0"),",-"),FIXED(ROUND(IF(EXC.RATE.SWITCH=1,C1127/EXC.RATE_2,C1127*EXC.RATE_2),CURRENCY.FORMAT_2),CURRENCY.FORMAT_2,0)),'DICTIONARY-5'!$A$2))</f>
        <v/>
      </c>
      <c r="L1127" s="670" t="str">
        <f>IFERROR(IF(CURRENCY.FORMAT_1=0,CONCATENATE(TEXT(FIXED(ROUND((C1127*(1-I1127)*(1-ADD.DISCOUNT)*(1+MAT.SURCHARGE)/EXC.RATE_1),CURRENCY.FORMAT_1),CURRENCY.FORMAT_1,1),"# ##0;-# ##0"),",-"),FIXED(ROUND((C1127*(1-I1127)*(1-ADD.DISCOUNT)*(1+MAT.SURCHARGE)/EXC.RATE_1),CURRENCY.FORMAT_1),CURRENCY.FORMAT_1,0)),'DICTIONARY-5'!$A$2)</f>
        <v>146,-</v>
      </c>
      <c r="M1127" s="670" t="str">
        <f>IF(EXC.RATE_2=0,"",IFERROR(IF(CURRENCY.FORMAT_2=0,CONCATENATE(TEXT(FIXED(ROUND(IF(EXC.RATE.SWITCH=1,C1127*(1-I1127)*(1-ADD.DISCOUNT)*(1+MAT.SURCHARGE)/EXC.RATE_2,C1127*(1-I1127)*(1-ADD.DISCOUNT)*(1+MAT.SURCHARGE)*EXC.RATE_2),CURRENCY.FORMAT_2),CURRENCY.FORMAT_2,1),"# ##0;-# ##0"),",-"),FIXED(ROUND(IF(EXC.RATE.SWITCH=1,C1127*(1-I1127)*(1-ADD.DISCOUNT)*(1+MAT.SURCHARGE)/EXC.RATE_2,C1127*(1-I1127)*(1-ADD.DISCOUNT)*(1+MAT.SURCHARGE)*EXC.RATE_2),CURRENCY.FORMAT_2),CURRENCY.FORMAT_2,0)),'DICTIONARY-5'!$A$2))</f>
        <v/>
      </c>
      <c r="N1127" s="542">
        <v>4</v>
      </c>
      <c r="O1127" s="542"/>
      <c r="P1127" s="732" t="str">
        <f>'DICTIONARY-3'!$A$89</f>
        <v>PE obejma</v>
      </c>
      <c r="Q1127" s="732" t="str">
        <f>'DICTIONARY-3'!$A$199</f>
        <v>PE obejma</v>
      </c>
      <c r="R1127" s="732" t="str">
        <f>CONCATENATE('DICTIONARY-6'!$A$25," ",'DICTIONARY-5'!$A$59," ",'DICTIONARY-2'!$A$5,"225")</f>
        <v>PE obejma PE100 SDR 11 Da225</v>
      </c>
      <c r="S1127" s="733" t="s">
        <v>5569</v>
      </c>
      <c r="T1127" s="732" t="s">
        <v>5569</v>
      </c>
      <c r="U1127" s="734" t="s">
        <v>5750</v>
      </c>
      <c r="V1127" s="735"/>
      <c r="W1127" s="744" t="s">
        <v>5833</v>
      </c>
      <c r="X1127" s="737"/>
      <c r="Y1127" s="738"/>
      <c r="Z1127" s="739"/>
      <c r="AA1127" s="739"/>
      <c r="AB1127" s="740">
        <v>16</v>
      </c>
      <c r="AC1127" s="741"/>
      <c r="AD1127" s="741" t="str">
        <f>'DICTIONARY-5'!$A$13</f>
        <v>woda pitna</v>
      </c>
      <c r="AE1127" s="742">
        <v>50</v>
      </c>
      <c r="AF1127" s="743">
        <v>0.64</v>
      </c>
      <c r="AG1127" s="741" t="s">
        <v>5569</v>
      </c>
    </row>
    <row r="1128" spans="1:33" x14ac:dyDescent="0.25">
      <c r="A1128" s="856" t="s">
        <v>1128</v>
      </c>
      <c r="B1128" s="856" t="s">
        <v>4796</v>
      </c>
      <c r="C1128" s="836">
        <v>205</v>
      </c>
      <c r="D1128" s="836"/>
      <c r="E1128" s="836"/>
      <c r="F1128" s="836"/>
      <c r="G1128" s="496" t="s">
        <v>7811</v>
      </c>
      <c r="H1128" s="797" t="str">
        <f>VLOOKUP(G1128,SETTINGS!$B$7:$D$97,2,0)</f>
        <v>House Connection Bracket</v>
      </c>
      <c r="I1128" s="796">
        <f>VLOOKUP(G1128,SETTINGS!$B$7:$D$97,3,0)</f>
        <v>0</v>
      </c>
      <c r="J1128" s="670" t="str">
        <f>IFERROR(IF(CURRENCY.FORMAT_1=0,CONCATENATE(TEXT(FIXED(ROUND((C1128/EXC.RATE_1),CURRENCY.FORMAT_1),CURRENCY.FORMAT_1,1),"# ##0;-# ##0"),",-"),FIXED(ROUND((C1128/EXC.RATE_1),CURRENCY.FORMAT_1),CURRENCY.FORMAT_1,0)),'DICTIONARY-5'!$A$2)</f>
        <v>205,-</v>
      </c>
      <c r="K1128" s="670" t="str">
        <f>IF(EXC.RATE_2=0,"",IFERROR(IF(CURRENCY.FORMAT_2=0,CONCATENATE(TEXT(FIXED(ROUND(IF(EXC.RATE.SWITCH=1,C1128/EXC.RATE_2,C1128*EXC.RATE_2),CURRENCY.FORMAT_2),CURRENCY.FORMAT_2,1),"# ##0;-# ##0"),",-"),FIXED(ROUND(IF(EXC.RATE.SWITCH=1,C1128/EXC.RATE_2,C1128*EXC.RATE_2),CURRENCY.FORMAT_2),CURRENCY.FORMAT_2,0)),'DICTIONARY-5'!$A$2))</f>
        <v/>
      </c>
      <c r="L1128" s="670" t="str">
        <f>IFERROR(IF(CURRENCY.FORMAT_1=0,CONCATENATE(TEXT(FIXED(ROUND((C1128*(1-I1128)*(1-ADD.DISCOUNT)*(1+MAT.SURCHARGE)/EXC.RATE_1),CURRENCY.FORMAT_1),CURRENCY.FORMAT_1,1),"# ##0;-# ##0"),",-"),FIXED(ROUND((C1128*(1-I1128)*(1-ADD.DISCOUNT)*(1+MAT.SURCHARGE)/EXC.RATE_1),CURRENCY.FORMAT_1),CURRENCY.FORMAT_1,0)),'DICTIONARY-5'!$A$2)</f>
        <v>213,-</v>
      </c>
      <c r="M1128" s="670" t="str">
        <f>IF(EXC.RATE_2=0,"",IFERROR(IF(CURRENCY.FORMAT_2=0,CONCATENATE(TEXT(FIXED(ROUND(IF(EXC.RATE.SWITCH=1,C1128*(1-I1128)*(1-ADD.DISCOUNT)*(1+MAT.SURCHARGE)/EXC.RATE_2,C1128*(1-I1128)*(1-ADD.DISCOUNT)*(1+MAT.SURCHARGE)*EXC.RATE_2),CURRENCY.FORMAT_2),CURRENCY.FORMAT_2,1),"# ##0;-# ##0"),",-"),FIXED(ROUND(IF(EXC.RATE.SWITCH=1,C1128*(1-I1128)*(1-ADD.DISCOUNT)*(1+MAT.SURCHARGE)/EXC.RATE_2,C1128*(1-I1128)*(1-ADD.DISCOUNT)*(1+MAT.SURCHARGE)*EXC.RATE_2),CURRENCY.FORMAT_2),CURRENCY.FORMAT_2,0)),'DICTIONARY-5'!$A$2))</f>
        <v/>
      </c>
      <c r="N1128" s="542">
        <v>4</v>
      </c>
      <c r="O1128" s="542"/>
      <c r="P1128" s="732" t="str">
        <f>'DICTIONARY-3'!$A$89</f>
        <v>PE obejma</v>
      </c>
      <c r="Q1128" s="732" t="str">
        <f>'DICTIONARY-3'!$A$199</f>
        <v>PE obejma</v>
      </c>
      <c r="R1128" s="732" t="str">
        <f>CONCATENATE('DICTIONARY-6'!$A$25," ",'DICTIONARY-5'!$A$59," ",'DICTIONARY-2'!$A$5,"315")</f>
        <v>PE obejma PE100 SDR 11 Da315</v>
      </c>
      <c r="S1128" s="733" t="s">
        <v>5569</v>
      </c>
      <c r="T1128" s="732" t="s">
        <v>5569</v>
      </c>
      <c r="U1128" s="734" t="s">
        <v>5752</v>
      </c>
      <c r="V1128" s="735"/>
      <c r="W1128" s="744" t="s">
        <v>7345</v>
      </c>
      <c r="X1128" s="737"/>
      <c r="Y1128" s="738"/>
      <c r="Z1128" s="739"/>
      <c r="AA1128" s="739"/>
      <c r="AB1128" s="740">
        <v>16</v>
      </c>
      <c r="AC1128" s="741"/>
      <c r="AD1128" s="741" t="str">
        <f>'DICTIONARY-5'!$A$13</f>
        <v>woda pitna</v>
      </c>
      <c r="AE1128" s="742">
        <v>50</v>
      </c>
      <c r="AF1128" s="743">
        <v>0.95</v>
      </c>
      <c r="AG1128" s="741" t="s">
        <v>5569</v>
      </c>
    </row>
    <row r="1129" spans="1:33" x14ac:dyDescent="0.25">
      <c r="A1129" s="861" t="s">
        <v>1130</v>
      </c>
      <c r="B1129" s="861" t="s">
        <v>3002</v>
      </c>
      <c r="C1129" s="836">
        <v>117</v>
      </c>
      <c r="D1129" s="836"/>
      <c r="E1129" s="836"/>
      <c r="F1129" s="836"/>
      <c r="G1129" s="496" t="s">
        <v>7817</v>
      </c>
      <c r="H1129" s="797" t="str">
        <f>VLOOKUP(G1129,SETTINGS!$B$7:$D$97,2,0)</f>
        <v xml:space="preserve">BETA HA, BETA-ZZ, BETA-Z (cast iron) </v>
      </c>
      <c r="I1129" s="796">
        <f>VLOOKUP(G1129,SETTINGS!$B$7:$D$97,3,0)</f>
        <v>0</v>
      </c>
      <c r="J1129" s="670" t="str">
        <f>IFERROR(IF(CURRENCY.FORMAT_1=0,CONCATENATE(TEXT(FIXED(ROUND((C1129/EXC.RATE_1),CURRENCY.FORMAT_1),CURRENCY.FORMAT_1,1),"# ##0;-# ##0"),",-"),FIXED(ROUND((C1129/EXC.RATE_1),CURRENCY.FORMAT_1),CURRENCY.FORMAT_1,0)),'DICTIONARY-5'!$A$2)</f>
        <v>117,-</v>
      </c>
      <c r="K1129" s="670" t="str">
        <f>IF(EXC.RATE_2=0,"",IFERROR(IF(CURRENCY.FORMAT_2=0,CONCATENATE(TEXT(FIXED(ROUND(IF(EXC.RATE.SWITCH=1,C1129/EXC.RATE_2,C1129*EXC.RATE_2),CURRENCY.FORMAT_2),CURRENCY.FORMAT_2,1),"# ##0;-# ##0"),",-"),FIXED(ROUND(IF(EXC.RATE.SWITCH=1,C1129/EXC.RATE_2,C1129*EXC.RATE_2),CURRENCY.FORMAT_2),CURRENCY.FORMAT_2,0)),'DICTIONARY-5'!$A$2))</f>
        <v/>
      </c>
      <c r="L1129" s="670" t="str">
        <f>IFERROR(IF(CURRENCY.FORMAT_1=0,CONCATENATE(TEXT(FIXED(ROUND((C1129*(1-I1129)*(1-ADD.DISCOUNT)*(1+MAT.SURCHARGE)/EXC.RATE_1),CURRENCY.FORMAT_1),CURRENCY.FORMAT_1,1),"# ##0;-# ##0"),",-"),FIXED(ROUND((C1129*(1-I1129)*(1-ADD.DISCOUNT)*(1+MAT.SURCHARGE)/EXC.RATE_1),CURRENCY.FORMAT_1),CURRENCY.FORMAT_1,0)),'DICTIONARY-5'!$A$2)</f>
        <v>122,-</v>
      </c>
      <c r="M1129" s="670" t="str">
        <f>IF(EXC.RATE_2=0,"",IFERROR(IF(CURRENCY.FORMAT_2=0,CONCATENATE(TEXT(FIXED(ROUND(IF(EXC.RATE.SWITCH=1,C1129*(1-I1129)*(1-ADD.DISCOUNT)*(1+MAT.SURCHARGE)/EXC.RATE_2,C1129*(1-I1129)*(1-ADD.DISCOUNT)*(1+MAT.SURCHARGE)*EXC.RATE_2),CURRENCY.FORMAT_2),CURRENCY.FORMAT_2,1),"# ##0;-# ##0"),",-"),FIXED(ROUND(IF(EXC.RATE.SWITCH=1,C1129*(1-I1129)*(1-ADD.DISCOUNT)*(1+MAT.SURCHARGE)/EXC.RATE_2,C1129*(1-I1129)*(1-ADD.DISCOUNT)*(1+MAT.SURCHARGE)*EXC.RATE_2),CURRENCY.FORMAT_2),CURRENCY.FORMAT_2,0)),'DICTIONARY-5'!$A$2))</f>
        <v/>
      </c>
      <c r="N1129" s="539">
        <v>4</v>
      </c>
      <c r="O1129" s="539"/>
      <c r="P1129" s="731" t="str">
        <f>'DICTIONARY-3'!$A$90&amp;'DICTIONARY-3'!$A$91</f>
        <v>BETA-HA</v>
      </c>
      <c r="Q1129" s="732" t="str">
        <f>'DICTIONARY-3'!$A$187</f>
        <v>Zasuwa klinowa</v>
      </c>
      <c r="R1129" s="732" t="str">
        <f>CONCATENATE('DICTIONARY-3'!$A$90,'DICTIONARY-3'!$A$91," ",'DICTIONARY-6'!$A$3," ",'DICTIONARY-2'!$A$2,"20 G3/4",", ",'DICTIONARY-5'!$A$51,"+",'DICTIONARY-6'!$A$37)</f>
        <v>BETA-HA Zasuwa DN20 G3/4, GGG+EPOX.</v>
      </c>
      <c r="S1129" s="733" t="str">
        <f>'DICTIONARY-4'!$A$2</f>
        <v>WW</v>
      </c>
      <c r="T1129" s="732" t="str">
        <f>'DICTIONARY-4'!$A$18</f>
        <v>Wolny wałek</v>
      </c>
      <c r="U1129" s="734" t="s">
        <v>5847</v>
      </c>
      <c r="V1129" s="735"/>
      <c r="W1129" s="736"/>
      <c r="X1129" s="750" t="s">
        <v>5736</v>
      </c>
      <c r="Y1129" s="738"/>
      <c r="Z1129" s="739"/>
      <c r="AA1129" s="739"/>
      <c r="AB1129" s="740">
        <v>16</v>
      </c>
      <c r="AC1129" s="741">
        <v>115</v>
      </c>
      <c r="AD1129" s="741" t="str">
        <f>'DICTIONARY-5'!$A$13</f>
        <v>woda pitna</v>
      </c>
      <c r="AE1129" s="742">
        <v>50</v>
      </c>
      <c r="AF1129" s="743">
        <v>2.4329999999999998</v>
      </c>
      <c r="AG1129" s="741" t="str">
        <f>'DICTIONARY-5'!$A$23</f>
        <v>powłoka epoksydowa</v>
      </c>
    </row>
    <row r="1130" spans="1:33" x14ac:dyDescent="0.25">
      <c r="A1130" s="861" t="s">
        <v>1131</v>
      </c>
      <c r="B1130" s="861" t="s">
        <v>3003</v>
      </c>
      <c r="C1130" s="836">
        <v>114</v>
      </c>
      <c r="D1130" s="836"/>
      <c r="E1130" s="836"/>
      <c r="F1130" s="836"/>
      <c r="G1130" s="496" t="s">
        <v>7817</v>
      </c>
      <c r="H1130" s="797" t="str">
        <f>VLOOKUP(G1130,SETTINGS!$B$7:$D$97,2,0)</f>
        <v xml:space="preserve">BETA HA, BETA-ZZ, BETA-Z (cast iron) </v>
      </c>
      <c r="I1130" s="796">
        <f>VLOOKUP(G1130,SETTINGS!$B$7:$D$97,3,0)</f>
        <v>0</v>
      </c>
      <c r="J1130" s="670" t="str">
        <f>IFERROR(IF(CURRENCY.FORMAT_1=0,CONCATENATE(TEXT(FIXED(ROUND((C1130/EXC.RATE_1),CURRENCY.FORMAT_1),CURRENCY.FORMAT_1,1),"# ##0;-# ##0"),",-"),FIXED(ROUND((C1130/EXC.RATE_1),CURRENCY.FORMAT_1),CURRENCY.FORMAT_1,0)),'DICTIONARY-5'!$A$2)</f>
        <v>114,-</v>
      </c>
      <c r="K1130" s="670" t="str">
        <f>IF(EXC.RATE_2=0,"",IFERROR(IF(CURRENCY.FORMAT_2=0,CONCATENATE(TEXT(FIXED(ROUND(IF(EXC.RATE.SWITCH=1,C1130/EXC.RATE_2,C1130*EXC.RATE_2),CURRENCY.FORMAT_2),CURRENCY.FORMAT_2,1),"# ##0;-# ##0"),",-"),FIXED(ROUND(IF(EXC.RATE.SWITCH=1,C1130/EXC.RATE_2,C1130*EXC.RATE_2),CURRENCY.FORMAT_2),CURRENCY.FORMAT_2,0)),'DICTIONARY-5'!$A$2))</f>
        <v/>
      </c>
      <c r="L1130" s="670" t="str">
        <f>IFERROR(IF(CURRENCY.FORMAT_1=0,CONCATENATE(TEXT(FIXED(ROUND((C1130*(1-I1130)*(1-ADD.DISCOUNT)*(1+MAT.SURCHARGE)/EXC.RATE_1),CURRENCY.FORMAT_1),CURRENCY.FORMAT_1,1),"# ##0;-# ##0"),",-"),FIXED(ROUND((C1130*(1-I1130)*(1-ADD.DISCOUNT)*(1+MAT.SURCHARGE)/EXC.RATE_1),CURRENCY.FORMAT_1),CURRENCY.FORMAT_1,0)),'DICTIONARY-5'!$A$2)</f>
        <v>118,-</v>
      </c>
      <c r="M1130" s="670" t="str">
        <f>IF(EXC.RATE_2=0,"",IFERROR(IF(CURRENCY.FORMAT_2=0,CONCATENATE(TEXT(FIXED(ROUND(IF(EXC.RATE.SWITCH=1,C1130*(1-I1130)*(1-ADD.DISCOUNT)*(1+MAT.SURCHARGE)/EXC.RATE_2,C1130*(1-I1130)*(1-ADD.DISCOUNT)*(1+MAT.SURCHARGE)*EXC.RATE_2),CURRENCY.FORMAT_2),CURRENCY.FORMAT_2,1),"# ##0;-# ##0"),",-"),FIXED(ROUND(IF(EXC.RATE.SWITCH=1,C1130*(1-I1130)*(1-ADD.DISCOUNT)*(1+MAT.SURCHARGE)/EXC.RATE_2,C1130*(1-I1130)*(1-ADD.DISCOUNT)*(1+MAT.SURCHARGE)*EXC.RATE_2),CURRENCY.FORMAT_2),CURRENCY.FORMAT_2,0)),'DICTIONARY-5'!$A$2))</f>
        <v/>
      </c>
      <c r="N1130" s="539">
        <v>4</v>
      </c>
      <c r="O1130" s="539"/>
      <c r="P1130" s="731" t="str">
        <f>'DICTIONARY-3'!$A$90&amp;'DICTIONARY-3'!$A$91</f>
        <v>BETA-HA</v>
      </c>
      <c r="Q1130" s="732" t="str">
        <f>'DICTIONARY-3'!$A$187</f>
        <v>Zasuwa klinowa</v>
      </c>
      <c r="R1130" s="732" t="str">
        <f>CONCATENATE('DICTIONARY-3'!$A$90,'DICTIONARY-3'!$A$91," ",'DICTIONARY-6'!$A$3," ",'DICTIONARY-2'!$A$2,"25 G1",", ",'DICTIONARY-5'!$A$51,"+",'DICTIONARY-6'!$A$37)</f>
        <v>BETA-HA Zasuwa DN25 G1, GGG+EPOX.</v>
      </c>
      <c r="S1130" s="733" t="str">
        <f>'DICTIONARY-4'!$A$2</f>
        <v>WW</v>
      </c>
      <c r="T1130" s="732" t="str">
        <f>'DICTIONARY-4'!$A$18</f>
        <v>Wolny wałek</v>
      </c>
      <c r="U1130" s="734" t="s">
        <v>44</v>
      </c>
      <c r="V1130" s="735"/>
      <c r="W1130" s="736"/>
      <c r="X1130" s="750" t="s">
        <v>49</v>
      </c>
      <c r="Y1130" s="738"/>
      <c r="Z1130" s="739"/>
      <c r="AA1130" s="739"/>
      <c r="AB1130" s="740">
        <v>16</v>
      </c>
      <c r="AC1130" s="741">
        <v>115</v>
      </c>
      <c r="AD1130" s="741" t="str">
        <f>'DICTIONARY-5'!$A$13</f>
        <v>woda pitna</v>
      </c>
      <c r="AE1130" s="742">
        <v>50</v>
      </c>
      <c r="AF1130" s="743">
        <v>2.4</v>
      </c>
      <c r="AG1130" s="741" t="str">
        <f>'DICTIONARY-5'!$A$23</f>
        <v>powłoka epoksydowa</v>
      </c>
    </row>
    <row r="1131" spans="1:33" x14ac:dyDescent="0.25">
      <c r="A1131" s="861" t="s">
        <v>1133</v>
      </c>
      <c r="B1131" s="861" t="s">
        <v>3004</v>
      </c>
      <c r="C1131" s="836">
        <v>120</v>
      </c>
      <c r="D1131" s="836"/>
      <c r="E1131" s="836"/>
      <c r="F1131" s="836"/>
      <c r="G1131" s="496" t="s">
        <v>7817</v>
      </c>
      <c r="H1131" s="797" t="str">
        <f>VLOOKUP(G1131,SETTINGS!$B$7:$D$97,2,0)</f>
        <v xml:space="preserve">BETA HA, BETA-ZZ, BETA-Z (cast iron) </v>
      </c>
      <c r="I1131" s="796">
        <f>VLOOKUP(G1131,SETTINGS!$B$7:$D$97,3,0)</f>
        <v>0</v>
      </c>
      <c r="J1131" s="670" t="str">
        <f>IFERROR(IF(CURRENCY.FORMAT_1=0,CONCATENATE(TEXT(FIXED(ROUND((C1131/EXC.RATE_1),CURRENCY.FORMAT_1),CURRENCY.FORMAT_1,1),"# ##0;-# ##0"),",-"),FIXED(ROUND((C1131/EXC.RATE_1),CURRENCY.FORMAT_1),CURRENCY.FORMAT_1,0)),'DICTIONARY-5'!$A$2)</f>
        <v>120,-</v>
      </c>
      <c r="K1131" s="670" t="str">
        <f>IF(EXC.RATE_2=0,"",IFERROR(IF(CURRENCY.FORMAT_2=0,CONCATENATE(TEXT(FIXED(ROUND(IF(EXC.RATE.SWITCH=1,C1131/EXC.RATE_2,C1131*EXC.RATE_2),CURRENCY.FORMAT_2),CURRENCY.FORMAT_2,1),"# ##0;-# ##0"),",-"),FIXED(ROUND(IF(EXC.RATE.SWITCH=1,C1131/EXC.RATE_2,C1131*EXC.RATE_2),CURRENCY.FORMAT_2),CURRENCY.FORMAT_2,0)),'DICTIONARY-5'!$A$2))</f>
        <v/>
      </c>
      <c r="L1131" s="670" t="str">
        <f>IFERROR(IF(CURRENCY.FORMAT_1=0,CONCATENATE(TEXT(FIXED(ROUND((C1131*(1-I1131)*(1-ADD.DISCOUNT)*(1+MAT.SURCHARGE)/EXC.RATE_1),CURRENCY.FORMAT_1),CURRENCY.FORMAT_1,1),"# ##0;-# ##0"),",-"),FIXED(ROUND((C1131*(1-I1131)*(1-ADD.DISCOUNT)*(1+MAT.SURCHARGE)/EXC.RATE_1),CURRENCY.FORMAT_1),CURRENCY.FORMAT_1,0)),'DICTIONARY-5'!$A$2)</f>
        <v>125,-</v>
      </c>
      <c r="M1131" s="670" t="str">
        <f>IF(EXC.RATE_2=0,"",IFERROR(IF(CURRENCY.FORMAT_2=0,CONCATENATE(TEXT(FIXED(ROUND(IF(EXC.RATE.SWITCH=1,C1131*(1-I1131)*(1-ADD.DISCOUNT)*(1+MAT.SURCHARGE)/EXC.RATE_2,C1131*(1-I1131)*(1-ADD.DISCOUNT)*(1+MAT.SURCHARGE)*EXC.RATE_2),CURRENCY.FORMAT_2),CURRENCY.FORMAT_2,1),"# ##0;-# ##0"),",-"),FIXED(ROUND(IF(EXC.RATE.SWITCH=1,C1131*(1-I1131)*(1-ADD.DISCOUNT)*(1+MAT.SURCHARGE)/EXC.RATE_2,C1131*(1-I1131)*(1-ADD.DISCOUNT)*(1+MAT.SURCHARGE)*EXC.RATE_2),CURRENCY.FORMAT_2),CURRENCY.FORMAT_2,0)),'DICTIONARY-5'!$A$2))</f>
        <v/>
      </c>
      <c r="N1131" s="539">
        <v>4</v>
      </c>
      <c r="O1131" s="539"/>
      <c r="P1131" s="731" t="str">
        <f>'DICTIONARY-3'!$A$90&amp;'DICTIONARY-3'!$A$91</f>
        <v>BETA-HA</v>
      </c>
      <c r="Q1131" s="732" t="str">
        <f>'DICTIONARY-3'!$A$187</f>
        <v>Zasuwa klinowa</v>
      </c>
      <c r="R1131" s="732" t="str">
        <f>CONCATENATE('DICTIONARY-3'!$A$90,'DICTIONARY-3'!$A$91," ",'DICTIONARY-6'!$A$3," ",'DICTIONARY-2'!$A$2,"32 G1¼",", ",'DICTIONARY-5'!$A$51,"+",'DICTIONARY-6'!$A$37)</f>
        <v>BETA-HA Zasuwa DN32 G1¼, GGG+EPOX.</v>
      </c>
      <c r="S1131" s="733" t="str">
        <f>'DICTIONARY-4'!$A$2</f>
        <v>WW</v>
      </c>
      <c r="T1131" s="732" t="str">
        <f>'DICTIONARY-4'!$A$18</f>
        <v>Wolny wałek</v>
      </c>
      <c r="U1131" s="734" t="s">
        <v>5846</v>
      </c>
      <c r="V1131" s="735"/>
      <c r="W1131" s="736"/>
      <c r="X1131" s="750" t="s">
        <v>5739</v>
      </c>
      <c r="Y1131" s="738"/>
      <c r="Z1131" s="739"/>
      <c r="AA1131" s="739"/>
      <c r="AB1131" s="740">
        <v>16</v>
      </c>
      <c r="AC1131" s="741">
        <v>130</v>
      </c>
      <c r="AD1131" s="741" t="str">
        <f>'DICTIONARY-5'!$A$13</f>
        <v>woda pitna</v>
      </c>
      <c r="AE1131" s="742">
        <v>50</v>
      </c>
      <c r="AF1131" s="743">
        <v>2.5</v>
      </c>
      <c r="AG1131" s="741" t="str">
        <f>'DICTIONARY-5'!$A$23</f>
        <v>powłoka epoksydowa</v>
      </c>
    </row>
    <row r="1132" spans="1:33" x14ac:dyDescent="0.25">
      <c r="A1132" s="861" t="s">
        <v>1135</v>
      </c>
      <c r="B1132" s="861" t="s">
        <v>3005</v>
      </c>
      <c r="C1132" s="836">
        <v>182</v>
      </c>
      <c r="D1132" s="836"/>
      <c r="E1132" s="836"/>
      <c r="F1132" s="836"/>
      <c r="G1132" s="496" t="s">
        <v>7817</v>
      </c>
      <c r="H1132" s="797" t="str">
        <f>VLOOKUP(G1132,SETTINGS!$B$7:$D$97,2,0)</f>
        <v xml:space="preserve">BETA HA, BETA-ZZ, BETA-Z (cast iron) </v>
      </c>
      <c r="I1132" s="796">
        <f>VLOOKUP(G1132,SETTINGS!$B$7:$D$97,3,0)</f>
        <v>0</v>
      </c>
      <c r="J1132" s="670" t="str">
        <f>IFERROR(IF(CURRENCY.FORMAT_1=0,CONCATENATE(TEXT(FIXED(ROUND((C1132/EXC.RATE_1),CURRENCY.FORMAT_1),CURRENCY.FORMAT_1,1),"# ##0;-# ##0"),",-"),FIXED(ROUND((C1132/EXC.RATE_1),CURRENCY.FORMAT_1),CURRENCY.FORMAT_1,0)),'DICTIONARY-5'!$A$2)</f>
        <v>182,-</v>
      </c>
      <c r="K1132" s="670" t="str">
        <f>IF(EXC.RATE_2=0,"",IFERROR(IF(CURRENCY.FORMAT_2=0,CONCATENATE(TEXT(FIXED(ROUND(IF(EXC.RATE.SWITCH=1,C1132/EXC.RATE_2,C1132*EXC.RATE_2),CURRENCY.FORMAT_2),CURRENCY.FORMAT_2,1),"# ##0;-# ##0"),",-"),FIXED(ROUND(IF(EXC.RATE.SWITCH=1,C1132/EXC.RATE_2,C1132*EXC.RATE_2),CURRENCY.FORMAT_2),CURRENCY.FORMAT_2,0)),'DICTIONARY-5'!$A$2))</f>
        <v/>
      </c>
      <c r="L1132" s="670" t="str">
        <f>IFERROR(IF(CURRENCY.FORMAT_1=0,CONCATENATE(TEXT(FIXED(ROUND((C1132*(1-I1132)*(1-ADD.DISCOUNT)*(1+MAT.SURCHARGE)/EXC.RATE_1),CURRENCY.FORMAT_1),CURRENCY.FORMAT_1,1),"# ##0;-# ##0"),",-"),FIXED(ROUND((C1132*(1-I1132)*(1-ADD.DISCOUNT)*(1+MAT.SURCHARGE)/EXC.RATE_1),CURRENCY.FORMAT_1),CURRENCY.FORMAT_1,0)),'DICTIONARY-5'!$A$2)</f>
        <v>189,-</v>
      </c>
      <c r="M1132" s="670" t="str">
        <f>IF(EXC.RATE_2=0,"",IFERROR(IF(CURRENCY.FORMAT_2=0,CONCATENATE(TEXT(FIXED(ROUND(IF(EXC.RATE.SWITCH=1,C1132*(1-I1132)*(1-ADD.DISCOUNT)*(1+MAT.SURCHARGE)/EXC.RATE_2,C1132*(1-I1132)*(1-ADD.DISCOUNT)*(1+MAT.SURCHARGE)*EXC.RATE_2),CURRENCY.FORMAT_2),CURRENCY.FORMAT_2,1),"# ##0;-# ##0"),",-"),FIXED(ROUND(IF(EXC.RATE.SWITCH=1,C1132*(1-I1132)*(1-ADD.DISCOUNT)*(1+MAT.SURCHARGE)/EXC.RATE_2,C1132*(1-I1132)*(1-ADD.DISCOUNT)*(1+MAT.SURCHARGE)*EXC.RATE_2),CURRENCY.FORMAT_2),CURRENCY.FORMAT_2,0)),'DICTIONARY-5'!$A$2))</f>
        <v/>
      </c>
      <c r="N1132" s="539">
        <v>4</v>
      </c>
      <c r="O1132" s="539"/>
      <c r="P1132" s="731" t="str">
        <f>'DICTIONARY-3'!$A$90&amp;'DICTIONARY-3'!$A$91</f>
        <v>BETA-HA</v>
      </c>
      <c r="Q1132" s="732" t="str">
        <f>'DICTIONARY-3'!$A$187</f>
        <v>Zasuwa klinowa</v>
      </c>
      <c r="R1132" s="732" t="str">
        <f>CONCATENATE('DICTIONARY-3'!$A$90,'DICTIONARY-3'!$A$91," ",'DICTIONARY-6'!$A$3," ",'DICTIONARY-2'!$A$2,"40 G1½",", ",'DICTIONARY-5'!$A$51,"+",'DICTIONARY-6'!$A$37)</f>
        <v>BETA-HA Zasuwa DN40 G1½, GGG+EPOX.</v>
      </c>
      <c r="S1132" s="733" t="str">
        <f>'DICTIONARY-4'!$A$2</f>
        <v>WW</v>
      </c>
      <c r="T1132" s="732" t="str">
        <f>'DICTIONARY-4'!$A$18</f>
        <v>Wolny wałek</v>
      </c>
      <c r="U1132" s="734" t="s">
        <v>5758</v>
      </c>
      <c r="V1132" s="735"/>
      <c r="W1132" s="736"/>
      <c r="X1132" s="750" t="s">
        <v>5738</v>
      </c>
      <c r="Y1132" s="738"/>
      <c r="Z1132" s="739"/>
      <c r="AA1132" s="739"/>
      <c r="AB1132" s="740">
        <v>16</v>
      </c>
      <c r="AC1132" s="741">
        <v>150</v>
      </c>
      <c r="AD1132" s="741" t="str">
        <f>'DICTIONARY-5'!$A$13</f>
        <v>woda pitna</v>
      </c>
      <c r="AE1132" s="742">
        <v>50</v>
      </c>
      <c r="AF1132" s="743">
        <v>5</v>
      </c>
      <c r="AG1132" s="741" t="str">
        <f>'DICTIONARY-5'!$A$23</f>
        <v>powłoka epoksydowa</v>
      </c>
    </row>
    <row r="1133" spans="1:33" x14ac:dyDescent="0.25">
      <c r="A1133" s="861" t="s">
        <v>1136</v>
      </c>
      <c r="B1133" s="861" t="s">
        <v>3006</v>
      </c>
      <c r="C1133" s="836">
        <v>186</v>
      </c>
      <c r="D1133" s="836"/>
      <c r="E1133" s="836"/>
      <c r="F1133" s="836"/>
      <c r="G1133" s="496" t="s">
        <v>7817</v>
      </c>
      <c r="H1133" s="797" t="str">
        <f>VLOOKUP(G1133,SETTINGS!$B$7:$D$97,2,0)</f>
        <v xml:space="preserve">BETA HA, BETA-ZZ, BETA-Z (cast iron) </v>
      </c>
      <c r="I1133" s="796">
        <f>VLOOKUP(G1133,SETTINGS!$B$7:$D$97,3,0)</f>
        <v>0</v>
      </c>
      <c r="J1133" s="670" t="str">
        <f>IFERROR(IF(CURRENCY.FORMAT_1=0,CONCATENATE(TEXT(FIXED(ROUND((C1133/EXC.RATE_1),CURRENCY.FORMAT_1),CURRENCY.FORMAT_1,1),"# ##0;-# ##0"),",-"),FIXED(ROUND((C1133/EXC.RATE_1),CURRENCY.FORMAT_1),CURRENCY.FORMAT_1,0)),'DICTIONARY-5'!$A$2)</f>
        <v>186,-</v>
      </c>
      <c r="K1133" s="670" t="str">
        <f>IF(EXC.RATE_2=0,"",IFERROR(IF(CURRENCY.FORMAT_2=0,CONCATENATE(TEXT(FIXED(ROUND(IF(EXC.RATE.SWITCH=1,C1133/EXC.RATE_2,C1133*EXC.RATE_2),CURRENCY.FORMAT_2),CURRENCY.FORMAT_2,1),"# ##0;-# ##0"),",-"),FIXED(ROUND(IF(EXC.RATE.SWITCH=1,C1133/EXC.RATE_2,C1133*EXC.RATE_2),CURRENCY.FORMAT_2),CURRENCY.FORMAT_2,0)),'DICTIONARY-5'!$A$2))</f>
        <v/>
      </c>
      <c r="L1133" s="670" t="str">
        <f>IFERROR(IF(CURRENCY.FORMAT_1=0,CONCATENATE(TEXT(FIXED(ROUND((C1133*(1-I1133)*(1-ADD.DISCOUNT)*(1+MAT.SURCHARGE)/EXC.RATE_1),CURRENCY.FORMAT_1),CURRENCY.FORMAT_1,1),"# ##0;-# ##0"),",-"),FIXED(ROUND((C1133*(1-I1133)*(1-ADD.DISCOUNT)*(1+MAT.SURCHARGE)/EXC.RATE_1),CURRENCY.FORMAT_1),CURRENCY.FORMAT_1,0)),'DICTIONARY-5'!$A$2)</f>
        <v>193,-</v>
      </c>
      <c r="M1133" s="670" t="str">
        <f>IF(EXC.RATE_2=0,"",IFERROR(IF(CURRENCY.FORMAT_2=0,CONCATENATE(TEXT(FIXED(ROUND(IF(EXC.RATE.SWITCH=1,C1133*(1-I1133)*(1-ADD.DISCOUNT)*(1+MAT.SURCHARGE)/EXC.RATE_2,C1133*(1-I1133)*(1-ADD.DISCOUNT)*(1+MAT.SURCHARGE)*EXC.RATE_2),CURRENCY.FORMAT_2),CURRENCY.FORMAT_2,1),"# ##0;-# ##0"),",-"),FIXED(ROUND(IF(EXC.RATE.SWITCH=1,C1133*(1-I1133)*(1-ADD.DISCOUNT)*(1+MAT.SURCHARGE)/EXC.RATE_2,C1133*(1-I1133)*(1-ADD.DISCOUNT)*(1+MAT.SURCHARGE)*EXC.RATE_2),CURRENCY.FORMAT_2),CURRENCY.FORMAT_2,0)),'DICTIONARY-5'!$A$2))</f>
        <v/>
      </c>
      <c r="N1133" s="539">
        <v>4</v>
      </c>
      <c r="O1133" s="539"/>
      <c r="P1133" s="731" t="str">
        <f>'DICTIONARY-3'!$A$90&amp;'DICTIONARY-3'!$A$91</f>
        <v>BETA-HA</v>
      </c>
      <c r="Q1133" s="732" t="str">
        <f>'DICTIONARY-3'!$A$187</f>
        <v>Zasuwa klinowa</v>
      </c>
      <c r="R1133" s="732" t="str">
        <f>CONCATENATE('DICTIONARY-3'!$A$90,'DICTIONARY-3'!$A$91," ",'DICTIONARY-6'!$A$3," ",'DICTIONARY-2'!$A$2,"50 G2",", ",'DICTIONARY-5'!$A$51,"+",'DICTIONARY-6'!$A$37)</f>
        <v>BETA-HA Zasuwa DN50 G2, GGG+EPOX.</v>
      </c>
      <c r="S1133" s="733" t="str">
        <f>'DICTIONARY-4'!$A$2</f>
        <v>WW</v>
      </c>
      <c r="T1133" s="732" t="str">
        <f>'DICTIONARY-4'!$A$18</f>
        <v>Wolny wałek</v>
      </c>
      <c r="U1133" s="734" t="s">
        <v>5748</v>
      </c>
      <c r="V1133" s="735"/>
      <c r="W1133" s="736"/>
      <c r="X1133" s="750" t="s">
        <v>50</v>
      </c>
      <c r="Y1133" s="738"/>
      <c r="Z1133" s="739"/>
      <c r="AA1133" s="739"/>
      <c r="AB1133" s="740">
        <v>16</v>
      </c>
      <c r="AC1133" s="741">
        <v>150</v>
      </c>
      <c r="AD1133" s="741" t="str">
        <f>'DICTIONARY-5'!$A$13</f>
        <v>woda pitna</v>
      </c>
      <c r="AE1133" s="742">
        <v>50</v>
      </c>
      <c r="AF1133" s="743">
        <v>4.5</v>
      </c>
      <c r="AG1133" s="741" t="str">
        <f>'DICTIONARY-5'!$A$23</f>
        <v>powłoka epoksydowa</v>
      </c>
    </row>
    <row r="1134" spans="1:33" x14ac:dyDescent="0.25">
      <c r="A1134" s="861" t="s">
        <v>1132</v>
      </c>
      <c r="B1134" s="861" t="s">
        <v>4825</v>
      </c>
      <c r="C1134" s="836">
        <v>81</v>
      </c>
      <c r="D1134" s="836"/>
      <c r="E1134" s="836"/>
      <c r="F1134" s="836"/>
      <c r="G1134" s="862" t="s">
        <v>8155</v>
      </c>
      <c r="H1134" s="797" t="str">
        <f>VLOOKUP(G1134,SETTINGS!$B$7:$D$97,2,0)</f>
        <v xml:space="preserve">BETA-K, BETA-Z (brass) </v>
      </c>
      <c r="I1134" s="796">
        <f>VLOOKUP(G1134,SETTINGS!$B$7:$D$97,3,0)</f>
        <v>0</v>
      </c>
      <c r="J1134" s="670" t="str">
        <f>IFERROR(IF(CURRENCY.FORMAT_1=0,CONCATENATE(TEXT(FIXED(ROUND((C1134/EXC.RATE_1),CURRENCY.FORMAT_1),CURRENCY.FORMAT_1,1),"# ##0;-# ##0"),",-"),FIXED(ROUND((C1134/EXC.RATE_1),CURRENCY.FORMAT_1),CURRENCY.FORMAT_1,0)),'DICTIONARY-5'!$A$2)</f>
        <v>81,-</v>
      </c>
      <c r="K1134" s="670" t="str">
        <f>IF(EXC.RATE_2=0,"",IFERROR(IF(CURRENCY.FORMAT_2=0,CONCATENATE(TEXT(FIXED(ROUND(IF(EXC.RATE.SWITCH=1,C1134/EXC.RATE_2,C1134*EXC.RATE_2),CURRENCY.FORMAT_2),CURRENCY.FORMAT_2,1),"# ##0;-# ##0"),",-"),FIXED(ROUND(IF(EXC.RATE.SWITCH=1,C1134/EXC.RATE_2,C1134*EXC.RATE_2),CURRENCY.FORMAT_2),CURRENCY.FORMAT_2,0)),'DICTIONARY-5'!$A$2))</f>
        <v/>
      </c>
      <c r="L1134" s="670" t="str">
        <f>IFERROR(IF(CURRENCY.FORMAT_1=0,CONCATENATE(TEXT(FIXED(ROUND((C1134*(1-I1134)*(1-ADD.DISCOUNT)*(1+MAT.SURCHARGE)/EXC.RATE_1),CURRENCY.FORMAT_1),CURRENCY.FORMAT_1,1),"# ##0;-# ##0"),",-"),FIXED(ROUND((C1134*(1-I1134)*(1-ADD.DISCOUNT)*(1+MAT.SURCHARGE)/EXC.RATE_1),CURRENCY.FORMAT_1),CURRENCY.FORMAT_1,0)),'DICTIONARY-5'!$A$2)</f>
        <v>84,-</v>
      </c>
      <c r="M1134" s="670" t="str">
        <f>IF(EXC.RATE_2=0,"",IFERROR(IF(CURRENCY.FORMAT_2=0,CONCATENATE(TEXT(FIXED(ROUND(IF(EXC.RATE.SWITCH=1,C1134*(1-I1134)*(1-ADD.DISCOUNT)*(1+MAT.SURCHARGE)/EXC.RATE_2,C1134*(1-I1134)*(1-ADD.DISCOUNT)*(1+MAT.SURCHARGE)*EXC.RATE_2),CURRENCY.FORMAT_2),CURRENCY.FORMAT_2,1),"# ##0;-# ##0"),",-"),FIXED(ROUND(IF(EXC.RATE.SWITCH=1,C1134*(1-I1134)*(1-ADD.DISCOUNT)*(1+MAT.SURCHARGE)/EXC.RATE_2,C1134*(1-I1134)*(1-ADD.DISCOUNT)*(1+MAT.SURCHARGE)*EXC.RATE_2),CURRENCY.FORMAT_2),CURRENCY.FORMAT_2,0)),'DICTIONARY-5'!$A$2))</f>
        <v/>
      </c>
      <c r="N1134" s="539">
        <v>4</v>
      </c>
      <c r="O1134" s="539"/>
      <c r="P1134" s="731" t="str">
        <f>'DICTIONARY-3'!$A$90&amp;'DICTIONARY-3'!$A$91</f>
        <v>BETA-HA</v>
      </c>
      <c r="Q1134" s="732" t="str">
        <f>'DICTIONARY-3'!$A$187</f>
        <v>Zasuwa klinowa</v>
      </c>
      <c r="R1134" s="732" t="str">
        <f>CONCATENATE('DICTIONARY-3'!$A$90,'DICTIONARY-3'!$A$91," ",'DICTIONARY-6'!$A$3," ",'DICTIONARY-2'!$A$2,"25 G1",", ",'DICTIONARY-5'!$A$52)</f>
        <v>BETA-HA Zasuwa DN25 G1, mosiądz</v>
      </c>
      <c r="S1134" s="733" t="str">
        <f>'DICTIONARY-4'!$A$2</f>
        <v>WW</v>
      </c>
      <c r="T1134" s="732" t="str">
        <f>'DICTIONARY-4'!$A$18</f>
        <v>Wolny wałek</v>
      </c>
      <c r="U1134" s="734" t="s">
        <v>44</v>
      </c>
      <c r="V1134" s="735"/>
      <c r="W1134" s="736"/>
      <c r="X1134" s="750" t="s">
        <v>49</v>
      </c>
      <c r="Y1134" s="738"/>
      <c r="Z1134" s="739"/>
      <c r="AA1134" s="739"/>
      <c r="AB1134" s="740">
        <v>16</v>
      </c>
      <c r="AC1134" s="741">
        <v>115</v>
      </c>
      <c r="AD1134" s="741" t="str">
        <f>'DICTIONARY-5'!$A$13</f>
        <v>woda pitna</v>
      </c>
      <c r="AE1134" s="742">
        <v>50</v>
      </c>
      <c r="AF1134" s="743">
        <v>2.1469999999999998</v>
      </c>
      <c r="AG1134" s="741" t="str">
        <f>'DICTIONARY-5'!$A$23</f>
        <v>powłoka epoksydowa</v>
      </c>
    </row>
    <row r="1135" spans="1:33" x14ac:dyDescent="0.25">
      <c r="A1135" s="861" t="s">
        <v>1134</v>
      </c>
      <c r="B1135" s="861" t="s">
        <v>4826</v>
      </c>
      <c r="C1135" s="836">
        <v>82</v>
      </c>
      <c r="D1135" s="836"/>
      <c r="E1135" s="836"/>
      <c r="F1135" s="836"/>
      <c r="G1135" s="862" t="s">
        <v>8155</v>
      </c>
      <c r="H1135" s="797" t="str">
        <f>VLOOKUP(G1135,SETTINGS!$B$7:$D$97,2,0)</f>
        <v xml:space="preserve">BETA-K, BETA-Z (brass) </v>
      </c>
      <c r="I1135" s="796">
        <f>VLOOKUP(G1135,SETTINGS!$B$7:$D$97,3,0)</f>
        <v>0</v>
      </c>
      <c r="J1135" s="670" t="str">
        <f>IFERROR(IF(CURRENCY.FORMAT_1=0,CONCATENATE(TEXT(FIXED(ROUND((C1135/EXC.RATE_1),CURRENCY.FORMAT_1),CURRENCY.FORMAT_1,1),"# ##0;-# ##0"),",-"),FIXED(ROUND((C1135/EXC.RATE_1),CURRENCY.FORMAT_1),CURRENCY.FORMAT_1,0)),'DICTIONARY-5'!$A$2)</f>
        <v>82,-</v>
      </c>
      <c r="K1135" s="670" t="str">
        <f>IF(EXC.RATE_2=0,"",IFERROR(IF(CURRENCY.FORMAT_2=0,CONCATENATE(TEXT(FIXED(ROUND(IF(EXC.RATE.SWITCH=1,C1135/EXC.RATE_2,C1135*EXC.RATE_2),CURRENCY.FORMAT_2),CURRENCY.FORMAT_2,1),"# ##0;-# ##0"),",-"),FIXED(ROUND(IF(EXC.RATE.SWITCH=1,C1135/EXC.RATE_2,C1135*EXC.RATE_2),CURRENCY.FORMAT_2),CURRENCY.FORMAT_2,0)),'DICTIONARY-5'!$A$2))</f>
        <v/>
      </c>
      <c r="L1135" s="670" t="str">
        <f>IFERROR(IF(CURRENCY.FORMAT_1=0,CONCATENATE(TEXT(FIXED(ROUND((C1135*(1-I1135)*(1-ADD.DISCOUNT)*(1+MAT.SURCHARGE)/EXC.RATE_1),CURRENCY.FORMAT_1),CURRENCY.FORMAT_1,1),"# ##0;-# ##0"),",-"),FIXED(ROUND((C1135*(1-I1135)*(1-ADD.DISCOUNT)*(1+MAT.SURCHARGE)/EXC.RATE_1),CURRENCY.FORMAT_1),CURRENCY.FORMAT_1,0)),'DICTIONARY-5'!$A$2)</f>
        <v>85,-</v>
      </c>
      <c r="M1135" s="670" t="str">
        <f>IF(EXC.RATE_2=0,"",IFERROR(IF(CURRENCY.FORMAT_2=0,CONCATENATE(TEXT(FIXED(ROUND(IF(EXC.RATE.SWITCH=1,C1135*(1-I1135)*(1-ADD.DISCOUNT)*(1+MAT.SURCHARGE)/EXC.RATE_2,C1135*(1-I1135)*(1-ADD.DISCOUNT)*(1+MAT.SURCHARGE)*EXC.RATE_2),CURRENCY.FORMAT_2),CURRENCY.FORMAT_2,1),"# ##0;-# ##0"),",-"),FIXED(ROUND(IF(EXC.RATE.SWITCH=1,C1135*(1-I1135)*(1-ADD.DISCOUNT)*(1+MAT.SURCHARGE)/EXC.RATE_2,C1135*(1-I1135)*(1-ADD.DISCOUNT)*(1+MAT.SURCHARGE)*EXC.RATE_2),CURRENCY.FORMAT_2),CURRENCY.FORMAT_2,0)),'DICTIONARY-5'!$A$2))</f>
        <v/>
      </c>
      <c r="N1135" s="539">
        <v>4</v>
      </c>
      <c r="O1135" s="539"/>
      <c r="P1135" s="731" t="str">
        <f>'DICTIONARY-3'!$A$90&amp;'DICTIONARY-3'!$A$91</f>
        <v>BETA-HA</v>
      </c>
      <c r="Q1135" s="732" t="str">
        <f>'DICTIONARY-3'!$A$187</f>
        <v>Zasuwa klinowa</v>
      </c>
      <c r="R1135" s="732" t="str">
        <f>CONCATENATE('DICTIONARY-3'!$A$90,'DICTIONARY-3'!$A$91," ",'DICTIONARY-6'!$A$3," ",'DICTIONARY-2'!$A$2,"32 G1¼",", ",'DICTIONARY-5'!$A$52)</f>
        <v>BETA-HA Zasuwa DN32 G1¼, mosiądz</v>
      </c>
      <c r="S1135" s="733" t="str">
        <f>'DICTIONARY-4'!$A$2</f>
        <v>WW</v>
      </c>
      <c r="T1135" s="732" t="str">
        <f>'DICTIONARY-4'!$A$18</f>
        <v>Wolny wałek</v>
      </c>
      <c r="U1135" s="734" t="s">
        <v>5846</v>
      </c>
      <c r="V1135" s="735"/>
      <c r="W1135" s="736"/>
      <c r="X1135" s="750" t="s">
        <v>5740</v>
      </c>
      <c r="Y1135" s="738"/>
      <c r="Z1135" s="739"/>
      <c r="AA1135" s="739"/>
      <c r="AB1135" s="740">
        <v>16</v>
      </c>
      <c r="AC1135" s="741">
        <v>130</v>
      </c>
      <c r="AD1135" s="741" t="str">
        <f>'DICTIONARY-5'!$A$13</f>
        <v>woda pitna</v>
      </c>
      <c r="AE1135" s="742">
        <v>50</v>
      </c>
      <c r="AF1135" s="743">
        <v>2.089</v>
      </c>
      <c r="AG1135" s="741" t="str">
        <f>'DICTIONARY-5'!$A$23</f>
        <v>powłoka epoksydowa</v>
      </c>
    </row>
    <row r="1136" spans="1:33" x14ac:dyDescent="0.25">
      <c r="A1136" s="861" t="s">
        <v>1139</v>
      </c>
      <c r="B1136" s="861" t="s">
        <v>3009</v>
      </c>
      <c r="C1136" s="836">
        <v>129</v>
      </c>
      <c r="D1136" s="836"/>
      <c r="E1136" s="836"/>
      <c r="F1136" s="836"/>
      <c r="G1136" s="496" t="s">
        <v>7817</v>
      </c>
      <c r="H1136" s="797" t="str">
        <f>VLOOKUP(G1136,SETTINGS!$B$7:$D$97,2,0)</f>
        <v xml:space="preserve">BETA HA, BETA-ZZ, BETA-Z (cast iron) </v>
      </c>
      <c r="I1136" s="796">
        <f>VLOOKUP(G1136,SETTINGS!$B$7:$D$97,3,0)</f>
        <v>0</v>
      </c>
      <c r="J1136" s="670" t="str">
        <f>IFERROR(IF(CURRENCY.FORMAT_1=0,CONCATENATE(TEXT(FIXED(ROUND((C1136/EXC.RATE_1),CURRENCY.FORMAT_1),CURRENCY.FORMAT_1,1),"# ##0;-# ##0"),",-"),FIXED(ROUND((C1136/EXC.RATE_1),CURRENCY.FORMAT_1),CURRENCY.FORMAT_1,0)),'DICTIONARY-5'!$A$2)</f>
        <v>129,-</v>
      </c>
      <c r="K1136" s="670" t="str">
        <f>IF(EXC.RATE_2=0,"",IFERROR(IF(CURRENCY.FORMAT_2=0,CONCATENATE(TEXT(FIXED(ROUND(IF(EXC.RATE.SWITCH=1,C1136/EXC.RATE_2,C1136*EXC.RATE_2),CURRENCY.FORMAT_2),CURRENCY.FORMAT_2,1),"# ##0;-# ##0"),",-"),FIXED(ROUND(IF(EXC.RATE.SWITCH=1,C1136/EXC.RATE_2,C1136*EXC.RATE_2),CURRENCY.FORMAT_2),CURRENCY.FORMAT_2,0)),'DICTIONARY-5'!$A$2))</f>
        <v/>
      </c>
      <c r="L1136" s="670" t="str">
        <f>IFERROR(IF(CURRENCY.FORMAT_1=0,CONCATENATE(TEXT(FIXED(ROUND((C1136*(1-I1136)*(1-ADD.DISCOUNT)*(1+MAT.SURCHARGE)/EXC.RATE_1),CURRENCY.FORMAT_1),CURRENCY.FORMAT_1,1),"# ##0;-# ##0"),",-"),FIXED(ROUND((C1136*(1-I1136)*(1-ADD.DISCOUNT)*(1+MAT.SURCHARGE)/EXC.RATE_1),CURRENCY.FORMAT_1),CURRENCY.FORMAT_1,0)),'DICTIONARY-5'!$A$2)</f>
        <v>134,-</v>
      </c>
      <c r="M1136" s="670" t="str">
        <f>IF(EXC.RATE_2=0,"",IFERROR(IF(CURRENCY.FORMAT_2=0,CONCATENATE(TEXT(FIXED(ROUND(IF(EXC.RATE.SWITCH=1,C1136*(1-I1136)*(1-ADD.DISCOUNT)*(1+MAT.SURCHARGE)/EXC.RATE_2,C1136*(1-I1136)*(1-ADD.DISCOUNT)*(1+MAT.SURCHARGE)*EXC.RATE_2),CURRENCY.FORMAT_2),CURRENCY.FORMAT_2,1),"# ##0;-# ##0"),",-"),FIXED(ROUND(IF(EXC.RATE.SWITCH=1,C1136*(1-I1136)*(1-ADD.DISCOUNT)*(1+MAT.SURCHARGE)/EXC.RATE_2,C1136*(1-I1136)*(1-ADD.DISCOUNT)*(1+MAT.SURCHARGE)*EXC.RATE_2),CURRENCY.FORMAT_2),CURRENCY.FORMAT_2,0)),'DICTIONARY-5'!$A$2))</f>
        <v/>
      </c>
      <c r="N1136" s="539">
        <v>4</v>
      </c>
      <c r="O1136" s="539"/>
      <c r="P1136" s="731" t="str">
        <f>'DICTIONARY-3'!$A$90&amp;'DICTIONARY-3'!$A$92</f>
        <v>BETA-HA</v>
      </c>
      <c r="Q1136" s="732" t="str">
        <f>'DICTIONARY-3'!$A$187</f>
        <v>Zasuwa klinowa</v>
      </c>
      <c r="R1136" s="732" t="str">
        <f>CONCATENATE('DICTIONARY-3'!$A$90,'DICTIONARY-3'!$A$92," ",'DICTIONARY-6'!$A$3," ",'DICTIONARY-2'!$A$2,"25"," ",'DICTIONARY-6'!$A$66," ","G1"," + ",'DICTIONARY-6'!$A$67," ","G1¼",", ",'DICTIONARY-5'!$A$51,"+",'DICTIONARY-6'!$A$37)</f>
        <v>BETA-HA Zasuwa DN25 wewn. G1 + zewn. G1¼, GGG+EPOX.</v>
      </c>
      <c r="S1136" s="733" t="str">
        <f>'DICTIONARY-4'!$A$2</f>
        <v>WW</v>
      </c>
      <c r="T1136" s="732" t="str">
        <f>'DICTIONARY-4'!$A$18</f>
        <v>Wolny wałek</v>
      </c>
      <c r="U1136" s="734" t="s">
        <v>44</v>
      </c>
      <c r="V1136" s="735"/>
      <c r="W1136" s="736"/>
      <c r="X1136" s="750" t="s">
        <v>5741</v>
      </c>
      <c r="Y1136" s="738"/>
      <c r="Z1136" s="739"/>
      <c r="AA1136" s="739"/>
      <c r="AB1136" s="740">
        <v>16</v>
      </c>
      <c r="AC1136" s="741">
        <v>130</v>
      </c>
      <c r="AD1136" s="741" t="str">
        <f>'DICTIONARY-5'!$A$13</f>
        <v>woda pitna</v>
      </c>
      <c r="AE1136" s="742">
        <v>50</v>
      </c>
      <c r="AF1136" s="743">
        <v>2.5</v>
      </c>
      <c r="AG1136" s="741" t="str">
        <f>'DICTIONARY-5'!$A$23</f>
        <v>powłoka epoksydowa</v>
      </c>
    </row>
    <row r="1137" spans="1:33" x14ac:dyDescent="0.25">
      <c r="A1137" s="861" t="s">
        <v>1141</v>
      </c>
      <c r="B1137" s="861" t="s">
        <v>3010</v>
      </c>
      <c r="C1137" s="836">
        <v>132</v>
      </c>
      <c r="D1137" s="836"/>
      <c r="E1137" s="836"/>
      <c r="F1137" s="836"/>
      <c r="G1137" s="496" t="s">
        <v>7817</v>
      </c>
      <c r="H1137" s="797" t="str">
        <f>VLOOKUP(G1137,SETTINGS!$B$7:$D$97,2,0)</f>
        <v xml:space="preserve">BETA HA, BETA-ZZ, BETA-Z (cast iron) </v>
      </c>
      <c r="I1137" s="796">
        <f>VLOOKUP(G1137,SETTINGS!$B$7:$D$97,3,0)</f>
        <v>0</v>
      </c>
      <c r="J1137" s="670" t="str">
        <f>IFERROR(IF(CURRENCY.FORMAT_1=0,CONCATENATE(TEXT(FIXED(ROUND((C1137/EXC.RATE_1),CURRENCY.FORMAT_1),CURRENCY.FORMAT_1,1),"# ##0;-# ##0"),",-"),FIXED(ROUND((C1137/EXC.RATE_1),CURRENCY.FORMAT_1),CURRENCY.FORMAT_1,0)),'DICTIONARY-5'!$A$2)</f>
        <v>132,-</v>
      </c>
      <c r="K1137" s="670" t="str">
        <f>IF(EXC.RATE_2=0,"",IFERROR(IF(CURRENCY.FORMAT_2=0,CONCATENATE(TEXT(FIXED(ROUND(IF(EXC.RATE.SWITCH=1,C1137/EXC.RATE_2,C1137*EXC.RATE_2),CURRENCY.FORMAT_2),CURRENCY.FORMAT_2,1),"# ##0;-# ##0"),",-"),FIXED(ROUND(IF(EXC.RATE.SWITCH=1,C1137/EXC.RATE_2,C1137*EXC.RATE_2),CURRENCY.FORMAT_2),CURRENCY.FORMAT_2,0)),'DICTIONARY-5'!$A$2))</f>
        <v/>
      </c>
      <c r="L1137" s="670" t="str">
        <f>IFERROR(IF(CURRENCY.FORMAT_1=0,CONCATENATE(TEXT(FIXED(ROUND((C1137*(1-I1137)*(1-ADD.DISCOUNT)*(1+MAT.SURCHARGE)/EXC.RATE_1),CURRENCY.FORMAT_1),CURRENCY.FORMAT_1,1),"# ##0;-# ##0"),",-"),FIXED(ROUND((C1137*(1-I1137)*(1-ADD.DISCOUNT)*(1+MAT.SURCHARGE)/EXC.RATE_1),CURRENCY.FORMAT_1),CURRENCY.FORMAT_1,0)),'DICTIONARY-5'!$A$2)</f>
        <v>137,-</v>
      </c>
      <c r="M1137" s="670" t="str">
        <f>IF(EXC.RATE_2=0,"",IFERROR(IF(CURRENCY.FORMAT_2=0,CONCATENATE(TEXT(FIXED(ROUND(IF(EXC.RATE.SWITCH=1,C1137*(1-I1137)*(1-ADD.DISCOUNT)*(1+MAT.SURCHARGE)/EXC.RATE_2,C1137*(1-I1137)*(1-ADD.DISCOUNT)*(1+MAT.SURCHARGE)*EXC.RATE_2),CURRENCY.FORMAT_2),CURRENCY.FORMAT_2,1),"# ##0;-# ##0"),",-"),FIXED(ROUND(IF(EXC.RATE.SWITCH=1,C1137*(1-I1137)*(1-ADD.DISCOUNT)*(1+MAT.SURCHARGE)/EXC.RATE_2,C1137*(1-I1137)*(1-ADD.DISCOUNT)*(1+MAT.SURCHARGE)*EXC.RATE_2),CURRENCY.FORMAT_2),CURRENCY.FORMAT_2,0)),'DICTIONARY-5'!$A$2))</f>
        <v/>
      </c>
      <c r="N1137" s="539">
        <v>4</v>
      </c>
      <c r="O1137" s="539"/>
      <c r="P1137" s="731" t="str">
        <f>'DICTIONARY-3'!$A$90&amp;'DICTIONARY-3'!$A$92</f>
        <v>BETA-HA</v>
      </c>
      <c r="Q1137" s="732" t="str">
        <f>'DICTIONARY-3'!$A$187</f>
        <v>Zasuwa klinowa</v>
      </c>
      <c r="R1137" s="732" t="str">
        <f>CONCATENATE('DICTIONARY-3'!$A$90,'DICTIONARY-3'!$A$92," ",'DICTIONARY-6'!$A$3," ",'DICTIONARY-2'!$A$2,"32"," ",'DICTIONARY-6'!$A$66," ","G1¼"," + ",'DICTIONARY-6'!$A$67," ","G1¼",", ",'DICTIONARY-5'!$A$51,"+",'DICTIONARY-6'!$A$37)</f>
        <v>BETA-HA Zasuwa DN32 wewn. G1¼ + zewn. G1¼, GGG+EPOX.</v>
      </c>
      <c r="S1137" s="733" t="str">
        <f>'DICTIONARY-4'!$A$2</f>
        <v>WW</v>
      </c>
      <c r="T1137" s="732" t="str">
        <f>'DICTIONARY-4'!$A$18</f>
        <v>Wolny wałek</v>
      </c>
      <c r="U1137" s="734" t="s">
        <v>5846</v>
      </c>
      <c r="V1137" s="735"/>
      <c r="W1137" s="736"/>
      <c r="X1137" s="750" t="s">
        <v>5742</v>
      </c>
      <c r="Y1137" s="738"/>
      <c r="Z1137" s="739"/>
      <c r="AA1137" s="739"/>
      <c r="AB1137" s="740">
        <v>16</v>
      </c>
      <c r="AC1137" s="741">
        <v>130</v>
      </c>
      <c r="AD1137" s="741" t="str">
        <f>'DICTIONARY-5'!$A$13</f>
        <v>woda pitna</v>
      </c>
      <c r="AE1137" s="742">
        <v>50</v>
      </c>
      <c r="AF1137" s="743">
        <v>2.5</v>
      </c>
      <c r="AG1137" s="741" t="str">
        <f>'DICTIONARY-5'!$A$23</f>
        <v>powłoka epoksydowa</v>
      </c>
    </row>
    <row r="1138" spans="1:33" x14ac:dyDescent="0.25">
      <c r="A1138" s="861" t="s">
        <v>1143</v>
      </c>
      <c r="B1138" s="861" t="s">
        <v>3007</v>
      </c>
      <c r="C1138" s="836">
        <v>184</v>
      </c>
      <c r="D1138" s="836"/>
      <c r="E1138" s="836"/>
      <c r="F1138" s="836"/>
      <c r="G1138" s="496" t="s">
        <v>7817</v>
      </c>
      <c r="H1138" s="797" t="str">
        <f>VLOOKUP(G1138,SETTINGS!$B$7:$D$97,2,0)</f>
        <v xml:space="preserve">BETA HA, BETA-ZZ, BETA-Z (cast iron) </v>
      </c>
      <c r="I1138" s="796">
        <f>VLOOKUP(G1138,SETTINGS!$B$7:$D$97,3,0)</f>
        <v>0</v>
      </c>
      <c r="J1138" s="670" t="str">
        <f>IFERROR(IF(CURRENCY.FORMAT_1=0,CONCATENATE(TEXT(FIXED(ROUND((C1138/EXC.RATE_1),CURRENCY.FORMAT_1),CURRENCY.FORMAT_1,1),"# ##0;-# ##0"),",-"),FIXED(ROUND((C1138/EXC.RATE_1),CURRENCY.FORMAT_1),CURRENCY.FORMAT_1,0)),'DICTIONARY-5'!$A$2)</f>
        <v>184,-</v>
      </c>
      <c r="K1138" s="670" t="str">
        <f>IF(EXC.RATE_2=0,"",IFERROR(IF(CURRENCY.FORMAT_2=0,CONCATENATE(TEXT(FIXED(ROUND(IF(EXC.RATE.SWITCH=1,C1138/EXC.RATE_2,C1138*EXC.RATE_2),CURRENCY.FORMAT_2),CURRENCY.FORMAT_2,1),"# ##0;-# ##0"),",-"),FIXED(ROUND(IF(EXC.RATE.SWITCH=1,C1138/EXC.RATE_2,C1138*EXC.RATE_2),CURRENCY.FORMAT_2),CURRENCY.FORMAT_2,0)),'DICTIONARY-5'!$A$2))</f>
        <v/>
      </c>
      <c r="L1138" s="670" t="str">
        <f>IFERROR(IF(CURRENCY.FORMAT_1=0,CONCATENATE(TEXT(FIXED(ROUND((C1138*(1-I1138)*(1-ADD.DISCOUNT)*(1+MAT.SURCHARGE)/EXC.RATE_1),CURRENCY.FORMAT_1),CURRENCY.FORMAT_1,1),"# ##0;-# ##0"),",-"),FIXED(ROUND((C1138*(1-I1138)*(1-ADD.DISCOUNT)*(1+MAT.SURCHARGE)/EXC.RATE_1),CURRENCY.FORMAT_1),CURRENCY.FORMAT_1,0)),'DICTIONARY-5'!$A$2)</f>
        <v>191,-</v>
      </c>
      <c r="M1138" s="670" t="str">
        <f>IF(EXC.RATE_2=0,"",IFERROR(IF(CURRENCY.FORMAT_2=0,CONCATENATE(TEXT(FIXED(ROUND(IF(EXC.RATE.SWITCH=1,C1138*(1-I1138)*(1-ADD.DISCOUNT)*(1+MAT.SURCHARGE)/EXC.RATE_2,C1138*(1-I1138)*(1-ADD.DISCOUNT)*(1+MAT.SURCHARGE)*EXC.RATE_2),CURRENCY.FORMAT_2),CURRENCY.FORMAT_2,1),"# ##0;-# ##0"),",-"),FIXED(ROUND(IF(EXC.RATE.SWITCH=1,C1138*(1-I1138)*(1-ADD.DISCOUNT)*(1+MAT.SURCHARGE)/EXC.RATE_2,C1138*(1-I1138)*(1-ADD.DISCOUNT)*(1+MAT.SURCHARGE)*EXC.RATE_2),CURRENCY.FORMAT_2),CURRENCY.FORMAT_2,0)),'DICTIONARY-5'!$A$2))</f>
        <v/>
      </c>
      <c r="N1138" s="539">
        <v>4</v>
      </c>
      <c r="O1138" s="539"/>
      <c r="P1138" s="731" t="str">
        <f>'DICTIONARY-3'!$A$90&amp;'DICTIONARY-3'!$A$92</f>
        <v>BETA-HA</v>
      </c>
      <c r="Q1138" s="732" t="str">
        <f>'DICTIONARY-3'!$A$187</f>
        <v>Zasuwa klinowa</v>
      </c>
      <c r="R1138" s="732" t="str">
        <f>CONCATENATE('DICTIONARY-3'!$A$90,'DICTIONARY-3'!$A$92," ",'DICTIONARY-6'!$A$3," ",'DICTIONARY-2'!$A$2,"40"," ",'DICTIONARY-6'!$A$66," ","G1½"," + ",'DICTIONARY-6'!$A$67," ","G2",", ",'DICTIONARY-5'!$A$51,"+",'DICTIONARY-6'!$A$37)</f>
        <v>BETA-HA Zasuwa DN40 wewn. G1½ + zewn. G2, GGG+EPOX.</v>
      </c>
      <c r="S1138" s="733" t="str">
        <f>'DICTIONARY-4'!$A$2</f>
        <v>WW</v>
      </c>
      <c r="T1138" s="732" t="str">
        <f>'DICTIONARY-4'!$A$18</f>
        <v>Wolny wałek</v>
      </c>
      <c r="U1138" s="734" t="s">
        <v>5758</v>
      </c>
      <c r="V1138" s="735"/>
      <c r="W1138" s="736"/>
      <c r="X1138" s="750" t="s">
        <v>5743</v>
      </c>
      <c r="Y1138" s="738"/>
      <c r="Z1138" s="739"/>
      <c r="AA1138" s="739"/>
      <c r="AB1138" s="740">
        <v>16</v>
      </c>
      <c r="AC1138" s="741">
        <v>150</v>
      </c>
      <c r="AD1138" s="741" t="str">
        <f>'DICTIONARY-5'!$A$13</f>
        <v>woda pitna</v>
      </c>
      <c r="AE1138" s="742">
        <v>50</v>
      </c>
      <c r="AF1138" s="743">
        <v>4.5</v>
      </c>
      <c r="AG1138" s="741" t="str">
        <f>'DICTIONARY-5'!$A$23</f>
        <v>powłoka epoksydowa</v>
      </c>
    </row>
    <row r="1139" spans="1:33" x14ac:dyDescent="0.25">
      <c r="A1139" s="861" t="s">
        <v>1145</v>
      </c>
      <c r="B1139" s="861" t="s">
        <v>3008</v>
      </c>
      <c r="C1139" s="836">
        <v>186</v>
      </c>
      <c r="D1139" s="836"/>
      <c r="E1139" s="836"/>
      <c r="F1139" s="836"/>
      <c r="G1139" s="496" t="s">
        <v>7817</v>
      </c>
      <c r="H1139" s="797" t="str">
        <f>VLOOKUP(G1139,SETTINGS!$B$7:$D$97,2,0)</f>
        <v xml:space="preserve">BETA HA, BETA-ZZ, BETA-Z (cast iron) </v>
      </c>
      <c r="I1139" s="796">
        <f>VLOOKUP(G1139,SETTINGS!$B$7:$D$97,3,0)</f>
        <v>0</v>
      </c>
      <c r="J1139" s="670" t="str">
        <f>IFERROR(IF(CURRENCY.FORMAT_1=0,CONCATENATE(TEXT(FIXED(ROUND((C1139/EXC.RATE_1),CURRENCY.FORMAT_1),CURRENCY.FORMAT_1,1),"# ##0;-# ##0"),",-"),FIXED(ROUND((C1139/EXC.RATE_1),CURRENCY.FORMAT_1),CURRENCY.FORMAT_1,0)),'DICTIONARY-5'!$A$2)</f>
        <v>186,-</v>
      </c>
      <c r="K1139" s="670" t="str">
        <f>IF(EXC.RATE_2=0,"",IFERROR(IF(CURRENCY.FORMAT_2=0,CONCATENATE(TEXT(FIXED(ROUND(IF(EXC.RATE.SWITCH=1,C1139/EXC.RATE_2,C1139*EXC.RATE_2),CURRENCY.FORMAT_2),CURRENCY.FORMAT_2,1),"# ##0;-# ##0"),",-"),FIXED(ROUND(IF(EXC.RATE.SWITCH=1,C1139/EXC.RATE_2,C1139*EXC.RATE_2),CURRENCY.FORMAT_2),CURRENCY.FORMAT_2,0)),'DICTIONARY-5'!$A$2))</f>
        <v/>
      </c>
      <c r="L1139" s="670" t="str">
        <f>IFERROR(IF(CURRENCY.FORMAT_1=0,CONCATENATE(TEXT(FIXED(ROUND((C1139*(1-I1139)*(1-ADD.DISCOUNT)*(1+MAT.SURCHARGE)/EXC.RATE_1),CURRENCY.FORMAT_1),CURRENCY.FORMAT_1,1),"# ##0;-# ##0"),",-"),FIXED(ROUND((C1139*(1-I1139)*(1-ADD.DISCOUNT)*(1+MAT.SURCHARGE)/EXC.RATE_1),CURRENCY.FORMAT_1),CURRENCY.FORMAT_1,0)),'DICTIONARY-5'!$A$2)</f>
        <v>193,-</v>
      </c>
      <c r="M1139" s="670" t="str">
        <f>IF(EXC.RATE_2=0,"",IFERROR(IF(CURRENCY.FORMAT_2=0,CONCATENATE(TEXT(FIXED(ROUND(IF(EXC.RATE.SWITCH=1,C1139*(1-I1139)*(1-ADD.DISCOUNT)*(1+MAT.SURCHARGE)/EXC.RATE_2,C1139*(1-I1139)*(1-ADD.DISCOUNT)*(1+MAT.SURCHARGE)*EXC.RATE_2),CURRENCY.FORMAT_2),CURRENCY.FORMAT_2,1),"# ##0;-# ##0"),",-"),FIXED(ROUND(IF(EXC.RATE.SWITCH=1,C1139*(1-I1139)*(1-ADD.DISCOUNT)*(1+MAT.SURCHARGE)/EXC.RATE_2,C1139*(1-I1139)*(1-ADD.DISCOUNT)*(1+MAT.SURCHARGE)*EXC.RATE_2),CURRENCY.FORMAT_2),CURRENCY.FORMAT_2,0)),'DICTIONARY-5'!$A$2))</f>
        <v/>
      </c>
      <c r="N1139" s="539">
        <v>4</v>
      </c>
      <c r="O1139" s="539"/>
      <c r="P1139" s="731" t="str">
        <f>'DICTIONARY-3'!$A$90&amp;'DICTIONARY-3'!$A$92</f>
        <v>BETA-HA</v>
      </c>
      <c r="Q1139" s="732" t="str">
        <f>'DICTIONARY-3'!$A$187</f>
        <v>Zasuwa klinowa</v>
      </c>
      <c r="R1139" s="732" t="str">
        <f>CONCATENATE('DICTIONARY-3'!$A$90,'DICTIONARY-3'!$A$92," ",'DICTIONARY-6'!$A$3," ",'DICTIONARY-2'!$A$2,"50"," ",'DICTIONARY-6'!$A$66," ","G2"," + ",'DICTIONARY-6'!$A$67," ","G2",", ",'DICTIONARY-5'!$A$51,"+",'DICTIONARY-6'!$A$37)</f>
        <v>BETA-HA Zasuwa DN50 wewn. G2 + zewn. G2, GGG+EPOX.</v>
      </c>
      <c r="S1139" s="733" t="str">
        <f>'DICTIONARY-4'!$A$2</f>
        <v>WW</v>
      </c>
      <c r="T1139" s="732" t="str">
        <f>'DICTIONARY-4'!$A$18</f>
        <v>Wolny wałek</v>
      </c>
      <c r="U1139" s="734" t="s">
        <v>5748</v>
      </c>
      <c r="V1139" s="735"/>
      <c r="W1139" s="736"/>
      <c r="X1139" s="750" t="s">
        <v>5737</v>
      </c>
      <c r="Y1139" s="738"/>
      <c r="Z1139" s="739"/>
      <c r="AA1139" s="739"/>
      <c r="AB1139" s="740">
        <v>16</v>
      </c>
      <c r="AC1139" s="741">
        <v>150</v>
      </c>
      <c r="AD1139" s="741" t="str">
        <f>'DICTIONARY-5'!$A$13</f>
        <v>woda pitna</v>
      </c>
      <c r="AE1139" s="742">
        <v>50</v>
      </c>
      <c r="AF1139" s="743">
        <v>4.25</v>
      </c>
      <c r="AG1139" s="741" t="str">
        <f>'DICTIONARY-5'!$A$23</f>
        <v>powłoka epoksydowa</v>
      </c>
    </row>
    <row r="1140" spans="1:33" x14ac:dyDescent="0.25">
      <c r="A1140" s="861" t="s">
        <v>1146</v>
      </c>
      <c r="B1140" s="861" t="s">
        <v>4827</v>
      </c>
      <c r="C1140" s="836">
        <v>88</v>
      </c>
      <c r="D1140" s="836"/>
      <c r="E1140" s="836"/>
      <c r="F1140" s="836"/>
      <c r="G1140" s="862" t="s">
        <v>8155</v>
      </c>
      <c r="H1140" s="797" t="str">
        <f>VLOOKUP(G1140,SETTINGS!$B$7:$D$97,2,0)</f>
        <v xml:space="preserve">BETA-K, BETA-Z (brass) </v>
      </c>
      <c r="I1140" s="796">
        <f>VLOOKUP(G1140,SETTINGS!$B$7:$D$97,3,0)</f>
        <v>0</v>
      </c>
      <c r="J1140" s="670" t="str">
        <f>IFERROR(IF(CURRENCY.FORMAT_1=0,CONCATENATE(TEXT(FIXED(ROUND((C1140/EXC.RATE_1),CURRENCY.FORMAT_1),CURRENCY.FORMAT_1,1),"# ##0;-# ##0"),",-"),FIXED(ROUND((C1140/EXC.RATE_1),CURRENCY.FORMAT_1),CURRENCY.FORMAT_1,0)),'DICTIONARY-5'!$A$2)</f>
        <v>88,-</v>
      </c>
      <c r="K1140" s="670" t="str">
        <f>IF(EXC.RATE_2=0,"",IFERROR(IF(CURRENCY.FORMAT_2=0,CONCATENATE(TEXT(FIXED(ROUND(IF(EXC.RATE.SWITCH=1,C1140/EXC.RATE_2,C1140*EXC.RATE_2),CURRENCY.FORMAT_2),CURRENCY.FORMAT_2,1),"# ##0;-# ##0"),",-"),FIXED(ROUND(IF(EXC.RATE.SWITCH=1,C1140/EXC.RATE_2,C1140*EXC.RATE_2),CURRENCY.FORMAT_2),CURRENCY.FORMAT_2,0)),'DICTIONARY-5'!$A$2))</f>
        <v/>
      </c>
      <c r="L1140" s="670" t="str">
        <f>IFERROR(IF(CURRENCY.FORMAT_1=0,CONCATENATE(TEXT(FIXED(ROUND((C1140*(1-I1140)*(1-ADD.DISCOUNT)*(1+MAT.SURCHARGE)/EXC.RATE_1),CURRENCY.FORMAT_1),CURRENCY.FORMAT_1,1),"# ##0;-# ##0"),",-"),FIXED(ROUND((C1140*(1-I1140)*(1-ADD.DISCOUNT)*(1+MAT.SURCHARGE)/EXC.RATE_1),CURRENCY.FORMAT_1),CURRENCY.FORMAT_1,0)),'DICTIONARY-5'!$A$2)</f>
        <v>91,-</v>
      </c>
      <c r="M1140" s="670" t="str">
        <f>IF(EXC.RATE_2=0,"",IFERROR(IF(CURRENCY.FORMAT_2=0,CONCATENATE(TEXT(FIXED(ROUND(IF(EXC.RATE.SWITCH=1,C1140*(1-I1140)*(1-ADD.DISCOUNT)*(1+MAT.SURCHARGE)/EXC.RATE_2,C1140*(1-I1140)*(1-ADD.DISCOUNT)*(1+MAT.SURCHARGE)*EXC.RATE_2),CURRENCY.FORMAT_2),CURRENCY.FORMAT_2,1),"# ##0;-# ##0"),",-"),FIXED(ROUND(IF(EXC.RATE.SWITCH=1,C1140*(1-I1140)*(1-ADD.DISCOUNT)*(1+MAT.SURCHARGE)/EXC.RATE_2,C1140*(1-I1140)*(1-ADD.DISCOUNT)*(1+MAT.SURCHARGE)*EXC.RATE_2),CURRENCY.FORMAT_2),CURRENCY.FORMAT_2,0)),'DICTIONARY-5'!$A$2))</f>
        <v/>
      </c>
      <c r="N1140" s="539">
        <v>4</v>
      </c>
      <c r="O1140" s="539"/>
      <c r="P1140" s="731" t="str">
        <f>'DICTIONARY-3'!$A$90&amp;'DICTIONARY-3'!$A$94</f>
        <v>BETA-HA</v>
      </c>
      <c r="Q1140" s="732" t="str">
        <f>'DICTIONARY-3'!$A$187</f>
        <v>Zasuwa klinowa</v>
      </c>
      <c r="R1140" s="732" t="str">
        <f>CONCATENATE('DICTIONARY-3'!$A$90,'DICTIONARY-3'!$A$94," ",'DICTIONARY-6'!$A$3," ",'DICTIONARY-2'!$A$2,"25"," ",'DICTIONARY-6'!$A$63," ","d32",", ",'DICTIONARY-5'!$A$52)</f>
        <v>BETA-HA Zasuwa DN25 końc. d32, mosiądz</v>
      </c>
      <c r="S1140" s="733" t="str">
        <f>'DICTIONARY-4'!$A$2</f>
        <v>WW</v>
      </c>
      <c r="T1140" s="732" t="str">
        <f>'DICTIONARY-4'!$A$18</f>
        <v>Wolny wałek</v>
      </c>
      <c r="U1140" s="734" t="s">
        <v>44</v>
      </c>
      <c r="V1140" s="735"/>
      <c r="W1140" s="736"/>
      <c r="X1140" s="737"/>
      <c r="Y1140" s="738"/>
      <c r="Z1140" s="739"/>
      <c r="AA1140" s="739"/>
      <c r="AB1140" s="740">
        <v>16</v>
      </c>
      <c r="AC1140" s="741">
        <v>123</v>
      </c>
      <c r="AD1140" s="741" t="str">
        <f>'DICTIONARY-5'!$A$13</f>
        <v>woda pitna</v>
      </c>
      <c r="AE1140" s="742">
        <v>50</v>
      </c>
      <c r="AF1140" s="743">
        <v>2.2320000000000002</v>
      </c>
      <c r="AG1140" s="741" t="s">
        <v>5569</v>
      </c>
    </row>
    <row r="1141" spans="1:33" x14ac:dyDescent="0.25">
      <c r="A1141" s="861" t="s">
        <v>1147</v>
      </c>
      <c r="B1141" s="861" t="s">
        <v>4837</v>
      </c>
      <c r="C1141" s="836">
        <v>60</v>
      </c>
      <c r="D1141" s="836"/>
      <c r="E1141" s="836"/>
      <c r="F1141" s="836"/>
      <c r="G1141" s="496" t="s">
        <v>7818</v>
      </c>
      <c r="H1141" s="797" t="str">
        <f>VLOOKUP(G1141,SETTINGS!$B$7:$D$97,2,0)</f>
        <v>BALL VALVES</v>
      </c>
      <c r="I1141" s="796">
        <f>VLOOKUP(G1141,SETTINGS!$B$7:$D$97,3,0)</f>
        <v>0</v>
      </c>
      <c r="J1141" s="670" t="str">
        <f>IFERROR(IF(CURRENCY.FORMAT_1=0,CONCATENATE(TEXT(FIXED(ROUND((C1141/EXC.RATE_1),CURRENCY.FORMAT_1),CURRENCY.FORMAT_1,1),"# ##0;-# ##0"),",-"),FIXED(ROUND((C1141/EXC.RATE_1),CURRENCY.FORMAT_1),CURRENCY.FORMAT_1,0)),'DICTIONARY-5'!$A$2)</f>
        <v>60,-</v>
      </c>
      <c r="K1141" s="670" t="str">
        <f>IF(EXC.RATE_2=0,"",IFERROR(IF(CURRENCY.FORMAT_2=0,CONCATENATE(TEXT(FIXED(ROUND(IF(EXC.RATE.SWITCH=1,C1141/EXC.RATE_2,C1141*EXC.RATE_2),CURRENCY.FORMAT_2),CURRENCY.FORMAT_2,1),"# ##0;-# ##0"),",-"),FIXED(ROUND(IF(EXC.RATE.SWITCH=1,C1141/EXC.RATE_2,C1141*EXC.RATE_2),CURRENCY.FORMAT_2),CURRENCY.FORMAT_2,0)),'DICTIONARY-5'!$A$2))</f>
        <v/>
      </c>
      <c r="L1141" s="670" t="str">
        <f>IFERROR(IF(CURRENCY.FORMAT_1=0,CONCATENATE(TEXT(FIXED(ROUND((C1141*(1-I1141)*(1-ADD.DISCOUNT)*(1+MAT.SURCHARGE)/EXC.RATE_1),CURRENCY.FORMAT_1),CURRENCY.FORMAT_1,1),"# ##0;-# ##0"),",-"),FIXED(ROUND((C1141*(1-I1141)*(1-ADD.DISCOUNT)*(1+MAT.SURCHARGE)/EXC.RATE_1),CURRENCY.FORMAT_1),CURRENCY.FORMAT_1,0)),'DICTIONARY-5'!$A$2)</f>
        <v>62,-</v>
      </c>
      <c r="M1141" s="670" t="str">
        <f>IF(EXC.RATE_2=0,"",IFERROR(IF(CURRENCY.FORMAT_2=0,CONCATENATE(TEXT(FIXED(ROUND(IF(EXC.RATE.SWITCH=1,C1141*(1-I1141)*(1-ADD.DISCOUNT)*(1+MAT.SURCHARGE)/EXC.RATE_2,C1141*(1-I1141)*(1-ADD.DISCOUNT)*(1+MAT.SURCHARGE)*EXC.RATE_2),CURRENCY.FORMAT_2),CURRENCY.FORMAT_2,1),"# ##0;-# ##0"),",-"),FIXED(ROUND(IF(EXC.RATE.SWITCH=1,C1141*(1-I1141)*(1-ADD.DISCOUNT)*(1+MAT.SURCHARGE)/EXC.RATE_2,C1141*(1-I1141)*(1-ADD.DISCOUNT)*(1+MAT.SURCHARGE)*EXC.RATE_2),CURRENCY.FORMAT_2),CURRENCY.FORMAT_2,0)),'DICTIONARY-5'!$A$2))</f>
        <v/>
      </c>
      <c r="N1141" s="539">
        <v>4</v>
      </c>
      <c r="O1141" s="539"/>
      <c r="P1141" s="732" t="str">
        <f>'DICTIONARY-3'!$A$95</f>
        <v>K248-Z</v>
      </c>
      <c r="Q1141" s="732" t="str">
        <f>'DICTIONARY-3'!$A$205</f>
        <v>Zawór kulowy</v>
      </c>
      <c r="R1141" s="732" t="str">
        <f>CONCATENATE('DICTIONARY-3'!$A$95," ",'DICTIONARY-6'!$A$18," ",'DICTIONARY-2'!$A$2,"32 G1¼",", ",'DICTIONARY-5'!$A$52)</f>
        <v>K248-Z Zaw. kul. DN32 G1¼, mosiądz</v>
      </c>
      <c r="S1141" s="733" t="str">
        <f>'DICTIONARY-4'!$A$2</f>
        <v>WW</v>
      </c>
      <c r="T1141" s="732" t="str">
        <f>'DICTIONARY-4'!$A$18</f>
        <v>Wolny wałek</v>
      </c>
      <c r="U1141" s="734" t="s">
        <v>5846</v>
      </c>
      <c r="V1141" s="735"/>
      <c r="W1141" s="736"/>
      <c r="X1141" s="737"/>
      <c r="Y1141" s="738"/>
      <c r="Z1141" s="739"/>
      <c r="AA1141" s="739"/>
      <c r="AB1141" s="740">
        <v>16</v>
      </c>
      <c r="AC1141" s="741">
        <v>102</v>
      </c>
      <c r="AD1141" s="741" t="str">
        <f>'DICTIONARY-5'!$A$13</f>
        <v>woda pitna</v>
      </c>
      <c r="AE1141" s="742">
        <v>50</v>
      </c>
      <c r="AF1141" s="743">
        <v>1.298</v>
      </c>
      <c r="AG1141" s="741" t="s">
        <v>5569</v>
      </c>
    </row>
    <row r="1142" spans="1:33" x14ac:dyDescent="0.25">
      <c r="A1142" s="861" t="s">
        <v>1148</v>
      </c>
      <c r="B1142" s="861" t="s">
        <v>4836</v>
      </c>
      <c r="C1142" s="836">
        <v>55</v>
      </c>
      <c r="D1142" s="836"/>
      <c r="E1142" s="836"/>
      <c r="F1142" s="836"/>
      <c r="G1142" s="496" t="s">
        <v>7818</v>
      </c>
      <c r="H1142" s="797" t="str">
        <f>VLOOKUP(G1142,SETTINGS!$B$7:$D$97,2,0)</f>
        <v>BALL VALVES</v>
      </c>
      <c r="I1142" s="796">
        <f>VLOOKUP(G1142,SETTINGS!$B$7:$D$97,3,0)</f>
        <v>0</v>
      </c>
      <c r="J1142" s="670" t="str">
        <f>IFERROR(IF(CURRENCY.FORMAT_1=0,CONCATENATE(TEXT(FIXED(ROUND((C1142/EXC.RATE_1),CURRENCY.FORMAT_1),CURRENCY.FORMAT_1,1),"# ##0;-# ##0"),",-"),FIXED(ROUND((C1142/EXC.RATE_1),CURRENCY.FORMAT_1),CURRENCY.FORMAT_1,0)),'DICTIONARY-5'!$A$2)</f>
        <v>55,-</v>
      </c>
      <c r="K1142" s="670" t="str">
        <f>IF(EXC.RATE_2=0,"",IFERROR(IF(CURRENCY.FORMAT_2=0,CONCATENATE(TEXT(FIXED(ROUND(IF(EXC.RATE.SWITCH=1,C1142/EXC.RATE_2,C1142*EXC.RATE_2),CURRENCY.FORMAT_2),CURRENCY.FORMAT_2,1),"# ##0;-# ##0"),",-"),FIXED(ROUND(IF(EXC.RATE.SWITCH=1,C1142/EXC.RATE_2,C1142*EXC.RATE_2),CURRENCY.FORMAT_2),CURRENCY.FORMAT_2,0)),'DICTIONARY-5'!$A$2))</f>
        <v/>
      </c>
      <c r="L1142" s="670" t="str">
        <f>IFERROR(IF(CURRENCY.FORMAT_1=0,CONCATENATE(TEXT(FIXED(ROUND((C1142*(1-I1142)*(1-ADD.DISCOUNT)*(1+MAT.SURCHARGE)/EXC.RATE_1),CURRENCY.FORMAT_1),CURRENCY.FORMAT_1,1),"# ##0;-# ##0"),",-"),FIXED(ROUND((C1142*(1-I1142)*(1-ADD.DISCOUNT)*(1+MAT.SURCHARGE)/EXC.RATE_1),CURRENCY.FORMAT_1),CURRENCY.FORMAT_1,0)),'DICTIONARY-5'!$A$2)</f>
        <v>57,-</v>
      </c>
      <c r="M1142" s="670" t="str">
        <f>IF(EXC.RATE_2=0,"",IFERROR(IF(CURRENCY.FORMAT_2=0,CONCATENATE(TEXT(FIXED(ROUND(IF(EXC.RATE.SWITCH=1,C1142*(1-I1142)*(1-ADD.DISCOUNT)*(1+MAT.SURCHARGE)/EXC.RATE_2,C1142*(1-I1142)*(1-ADD.DISCOUNT)*(1+MAT.SURCHARGE)*EXC.RATE_2),CURRENCY.FORMAT_2),CURRENCY.FORMAT_2,1),"# ##0;-# ##0"),",-"),FIXED(ROUND(IF(EXC.RATE.SWITCH=1,C1142*(1-I1142)*(1-ADD.DISCOUNT)*(1+MAT.SURCHARGE)/EXC.RATE_2,C1142*(1-I1142)*(1-ADD.DISCOUNT)*(1+MAT.SURCHARGE)*EXC.RATE_2),CURRENCY.FORMAT_2),CURRENCY.FORMAT_2,0)),'DICTIONARY-5'!$A$2))</f>
        <v/>
      </c>
      <c r="N1142" s="539">
        <v>4</v>
      </c>
      <c r="O1142" s="539"/>
      <c r="P1142" s="732" t="str">
        <f>'DICTIONARY-3'!$A$96</f>
        <v>K246-K</v>
      </c>
      <c r="Q1142" s="732" t="str">
        <f>'DICTIONARY-3'!$A$205</f>
        <v>Zawór kulowy</v>
      </c>
      <c r="R1142" s="732" t="str">
        <f>CONCATENATE('DICTIONARY-3'!$A$96," ",'DICTIONARY-6'!$A$18," ",'DICTIONARY-2'!$A$2,"25"," ",'DICTIONARY-6'!$A$63," ","d32",", ",'DICTIONARY-5'!$A$52)</f>
        <v>K246-K Zaw. kul. DN25 końc. d32, mosiądz</v>
      </c>
      <c r="S1142" s="733" t="str">
        <f>'DICTIONARY-4'!$A$2</f>
        <v>WW</v>
      </c>
      <c r="T1142" s="732" t="str">
        <f>'DICTIONARY-4'!$A$18</f>
        <v>Wolny wałek</v>
      </c>
      <c r="U1142" s="734" t="s">
        <v>44</v>
      </c>
      <c r="V1142" s="735"/>
      <c r="W1142" s="736"/>
      <c r="X1142" s="737"/>
      <c r="Y1142" s="738"/>
      <c r="Z1142" s="739"/>
      <c r="AA1142" s="739"/>
      <c r="AB1142" s="740">
        <v>16</v>
      </c>
      <c r="AC1142" s="741">
        <v>123</v>
      </c>
      <c r="AD1142" s="741" t="str">
        <f>'DICTIONARY-5'!$A$13</f>
        <v>woda pitna</v>
      </c>
      <c r="AE1142" s="742">
        <v>50</v>
      </c>
      <c r="AF1142" s="743">
        <v>1.597</v>
      </c>
      <c r="AG1142" s="741"/>
    </row>
    <row r="1143" spans="1:33" x14ac:dyDescent="0.25">
      <c r="A1143" s="861" t="s">
        <v>1149</v>
      </c>
      <c r="B1143" s="861" t="s">
        <v>4178</v>
      </c>
      <c r="C1143" s="836">
        <v>195</v>
      </c>
      <c r="D1143" s="836"/>
      <c r="E1143" s="836"/>
      <c r="F1143" s="836"/>
      <c r="G1143" s="496" t="s">
        <v>7819</v>
      </c>
      <c r="H1143" s="797" t="str">
        <f>VLOOKUP(G1143,SETTINGS!$B$7:$D$97,2,0)</f>
        <v>HODlock</v>
      </c>
      <c r="I1143" s="796">
        <f>VLOOKUP(G1143,SETTINGS!$B$7:$D$97,3,0)</f>
        <v>0</v>
      </c>
      <c r="J1143" s="670" t="str">
        <f>IFERROR(IF(CURRENCY.FORMAT_1=0,CONCATENATE(TEXT(FIXED(ROUND((C1143/EXC.RATE_1),CURRENCY.FORMAT_1),CURRENCY.FORMAT_1,1),"# ##0;-# ##0"),",-"),FIXED(ROUND((C1143/EXC.RATE_1),CURRENCY.FORMAT_1),CURRENCY.FORMAT_1,0)),'DICTIONARY-5'!$A$2)</f>
        <v>195,-</v>
      </c>
      <c r="K1143" s="670" t="str">
        <f>IF(EXC.RATE_2=0,"",IFERROR(IF(CURRENCY.FORMAT_2=0,CONCATENATE(TEXT(FIXED(ROUND(IF(EXC.RATE.SWITCH=1,C1143/EXC.RATE_2,C1143*EXC.RATE_2),CURRENCY.FORMAT_2),CURRENCY.FORMAT_2,1),"# ##0;-# ##0"),",-"),FIXED(ROUND(IF(EXC.RATE.SWITCH=1,C1143/EXC.RATE_2,C1143*EXC.RATE_2),CURRENCY.FORMAT_2),CURRENCY.FORMAT_2,0)),'DICTIONARY-5'!$A$2))</f>
        <v/>
      </c>
      <c r="L1143" s="670" t="str">
        <f>IFERROR(IF(CURRENCY.FORMAT_1=0,CONCATENATE(TEXT(FIXED(ROUND((C1143*(1-I1143)*(1-ADD.DISCOUNT)*(1+MAT.SURCHARGE)/EXC.RATE_1),CURRENCY.FORMAT_1),CURRENCY.FORMAT_1,1),"# ##0;-# ##0"),",-"),FIXED(ROUND((C1143*(1-I1143)*(1-ADD.DISCOUNT)*(1+MAT.SURCHARGE)/EXC.RATE_1),CURRENCY.FORMAT_1),CURRENCY.FORMAT_1,0)),'DICTIONARY-5'!$A$2)</f>
        <v>203,-</v>
      </c>
      <c r="M1143" s="670" t="str">
        <f>IF(EXC.RATE_2=0,"",IFERROR(IF(CURRENCY.FORMAT_2=0,CONCATENATE(TEXT(FIXED(ROUND(IF(EXC.RATE.SWITCH=1,C1143*(1-I1143)*(1-ADD.DISCOUNT)*(1+MAT.SURCHARGE)/EXC.RATE_2,C1143*(1-I1143)*(1-ADD.DISCOUNT)*(1+MAT.SURCHARGE)*EXC.RATE_2),CURRENCY.FORMAT_2),CURRENCY.FORMAT_2,1),"# ##0;-# ##0"),",-"),FIXED(ROUND(IF(EXC.RATE.SWITCH=1,C1143*(1-I1143)*(1-ADD.DISCOUNT)*(1+MAT.SURCHARGE)/EXC.RATE_2,C1143*(1-I1143)*(1-ADD.DISCOUNT)*(1+MAT.SURCHARGE)*EXC.RATE_2),CURRENCY.FORMAT_2),CURRENCY.FORMAT_2,0)),'DICTIONARY-5'!$A$2))</f>
        <v/>
      </c>
      <c r="N1143" s="539">
        <v>4</v>
      </c>
      <c r="O1143" s="539"/>
      <c r="P1143" s="731" t="str">
        <f>'DICTIONARY-3'!$A$62</f>
        <v>HODlock</v>
      </c>
      <c r="Q1143" s="732" t="str">
        <f>'DICTIONARY-3'!$A$196</f>
        <v>Mostek nawiertowy</v>
      </c>
      <c r="R1143" s="732" t="str">
        <f>CONCATENATE('DICTIONARY-3'!$A$62," ",'DICTIONARY-6'!$A$21," ",'DICTIONARY-2'!$A$2,"80-500"," ",'DICTIONARY-6'!$A$62,", ",'DICTIONARY-6'!$A$76," ",UPPER('DICTIONARY-5'!$A$40),"+",'DICTIONARY-5'!$A$49)</f>
        <v>HODlock Mostek nawiert. DN80-500 z zaw. kul., ruroc. STAL+ŻEL.</v>
      </c>
      <c r="S1143" s="733" t="str">
        <f>'DICTIONARY-4'!$A$2</f>
        <v>WW</v>
      </c>
      <c r="T1143" s="732" t="str">
        <f>'DICTIONARY-4'!$A$18</f>
        <v>Wolny wałek</v>
      </c>
      <c r="U1143" s="734" t="s">
        <v>5846</v>
      </c>
      <c r="V1143" s="735"/>
      <c r="W1143" s="736"/>
      <c r="X1143" s="737"/>
      <c r="Y1143" s="738"/>
      <c r="Z1143" s="739"/>
      <c r="AA1143" s="739"/>
      <c r="AB1143" s="740">
        <v>16</v>
      </c>
      <c r="AC1143" s="741"/>
      <c r="AD1143" s="741" t="str">
        <f>'DICTIONARY-5'!$A$13</f>
        <v>woda pitna</v>
      </c>
      <c r="AE1143" s="742">
        <v>50</v>
      </c>
      <c r="AF1143" s="743">
        <v>5</v>
      </c>
      <c r="AG1143" s="741" t="str">
        <f>'DICTIONARY-5'!$A$23</f>
        <v>powłoka epoksydowa</v>
      </c>
    </row>
    <row r="1144" spans="1:33" x14ac:dyDescent="0.25">
      <c r="A1144" s="861" t="s">
        <v>1150</v>
      </c>
      <c r="B1144" s="861" t="s">
        <v>4179</v>
      </c>
      <c r="C1144" s="836">
        <v>174</v>
      </c>
      <c r="D1144" s="836"/>
      <c r="E1144" s="836"/>
      <c r="F1144" s="836"/>
      <c r="G1144" s="496" t="s">
        <v>7820</v>
      </c>
      <c r="H1144" s="797" t="str">
        <f>VLOOKUP(G1144,SETTINGS!$B$7:$D$97,2,0)</f>
        <v>TERRA M1 BAIO</v>
      </c>
      <c r="I1144" s="796">
        <f>VLOOKUP(G1144,SETTINGS!$B$7:$D$97,3,0)</f>
        <v>0</v>
      </c>
      <c r="J1144" s="670" t="str">
        <f>IFERROR(IF(CURRENCY.FORMAT_1=0,CONCATENATE(TEXT(FIXED(ROUND((C1144/EXC.RATE_1),CURRENCY.FORMAT_1),CURRENCY.FORMAT_1,1),"# ##0;-# ##0"),",-"),FIXED(ROUND((C1144/EXC.RATE_1),CURRENCY.FORMAT_1),CURRENCY.FORMAT_1,0)),'DICTIONARY-5'!$A$2)</f>
        <v>174,-</v>
      </c>
      <c r="K1144" s="670" t="str">
        <f>IF(EXC.RATE_2=0,"",IFERROR(IF(CURRENCY.FORMAT_2=0,CONCATENATE(TEXT(FIXED(ROUND(IF(EXC.RATE.SWITCH=1,C1144/EXC.RATE_2,C1144*EXC.RATE_2),CURRENCY.FORMAT_2),CURRENCY.FORMAT_2,1),"# ##0;-# ##0"),",-"),FIXED(ROUND(IF(EXC.RATE.SWITCH=1,C1144/EXC.RATE_2,C1144*EXC.RATE_2),CURRENCY.FORMAT_2),CURRENCY.FORMAT_2,0)),'DICTIONARY-5'!$A$2))</f>
        <v/>
      </c>
      <c r="L1144" s="670" t="str">
        <f>IFERROR(IF(CURRENCY.FORMAT_1=0,CONCATENATE(TEXT(FIXED(ROUND((C1144*(1-I1144)*(1-ADD.DISCOUNT)*(1+MAT.SURCHARGE)/EXC.RATE_1),CURRENCY.FORMAT_1),CURRENCY.FORMAT_1,1),"# ##0;-# ##0"),",-"),FIXED(ROUND((C1144*(1-I1144)*(1-ADD.DISCOUNT)*(1+MAT.SURCHARGE)/EXC.RATE_1),CURRENCY.FORMAT_1),CURRENCY.FORMAT_1,0)),'DICTIONARY-5'!$A$2)</f>
        <v>181,-</v>
      </c>
      <c r="M1144" s="670" t="str">
        <f>IF(EXC.RATE_2=0,"",IFERROR(IF(CURRENCY.FORMAT_2=0,CONCATENATE(TEXT(FIXED(ROUND(IF(EXC.RATE.SWITCH=1,C1144*(1-I1144)*(1-ADD.DISCOUNT)*(1+MAT.SURCHARGE)/EXC.RATE_2,C1144*(1-I1144)*(1-ADD.DISCOUNT)*(1+MAT.SURCHARGE)*EXC.RATE_2),CURRENCY.FORMAT_2),CURRENCY.FORMAT_2,1),"# ##0;-# ##0"),",-"),FIXED(ROUND(IF(EXC.RATE.SWITCH=1,C1144*(1-I1144)*(1-ADD.DISCOUNT)*(1+MAT.SURCHARGE)/EXC.RATE_2,C1144*(1-I1144)*(1-ADD.DISCOUNT)*(1+MAT.SURCHARGE)*EXC.RATE_2),CURRENCY.FORMAT_2),CURRENCY.FORMAT_2,0)),'DICTIONARY-5'!$A$2))</f>
        <v/>
      </c>
      <c r="N1144" s="539">
        <v>4</v>
      </c>
      <c r="O1144" s="539"/>
      <c r="P1144" s="731" t="str">
        <f>'DICTIONARY-3'!$A$63</f>
        <v>TERRAlock</v>
      </c>
      <c r="Q1144" s="732" t="str">
        <f>'DICTIONARY-3'!$A$196</f>
        <v>Mostek nawiertowy</v>
      </c>
      <c r="R1144" s="732" t="str">
        <f>CONCATENATE('DICTIONARY-3'!$A$63," ",'DICTIONARY-6'!$A$21," ",'DICTIONARY-2'!$A$2,"80-500"," ",'DICTIONARY-6'!$A$62,", ",'DICTIONARY-6'!$A$76," ",UPPER('DICTIONARY-5'!$A$40),"+",'DICTIONARY-5'!$A$49)</f>
        <v>TERRAlock Mostek nawiert. DN80-500 z zaw. kul., ruroc. STAL+ŻEL.</v>
      </c>
      <c r="S1144" s="733" t="str">
        <f>'DICTIONARY-4'!$A$2</f>
        <v>WW</v>
      </c>
      <c r="T1144" s="732" t="str">
        <f>'DICTIONARY-4'!$A$18</f>
        <v>Wolny wałek</v>
      </c>
      <c r="U1144" s="734" t="s">
        <v>5846</v>
      </c>
      <c r="V1144" s="735"/>
      <c r="W1144" s="736"/>
      <c r="X1144" s="737"/>
      <c r="Y1144" s="738"/>
      <c r="Z1144" s="739"/>
      <c r="AA1144" s="739"/>
      <c r="AB1144" s="740">
        <v>16</v>
      </c>
      <c r="AC1144" s="741"/>
      <c r="AD1144" s="741" t="str">
        <f>'DICTIONARY-5'!$A$13</f>
        <v>woda pitna</v>
      </c>
      <c r="AE1144" s="742">
        <v>50</v>
      </c>
      <c r="AF1144" s="743">
        <v>4.5</v>
      </c>
      <c r="AG1144" s="741" t="str">
        <f>'DICTIONARY-5'!$A$23</f>
        <v>powłoka epoksydowa</v>
      </c>
    </row>
    <row r="1145" spans="1:33" x14ac:dyDescent="0.25">
      <c r="A1145" s="861" t="s">
        <v>1151</v>
      </c>
      <c r="B1145" s="861" t="s">
        <v>4177</v>
      </c>
      <c r="C1145" s="836">
        <v>80</v>
      </c>
      <c r="D1145" s="836"/>
      <c r="E1145" s="836"/>
      <c r="F1145" s="836"/>
      <c r="G1145" s="496" t="s">
        <v>7820</v>
      </c>
      <c r="H1145" s="797" t="str">
        <f>VLOOKUP(G1145,SETTINGS!$B$7:$D$97,2,0)</f>
        <v>TERRA M1 BAIO</v>
      </c>
      <c r="I1145" s="796">
        <f>VLOOKUP(G1145,SETTINGS!$B$7:$D$97,3,0)</f>
        <v>0</v>
      </c>
      <c r="J1145" s="670" t="str">
        <f>IFERROR(IF(CURRENCY.FORMAT_1=0,CONCATENATE(TEXT(FIXED(ROUND((C1145/EXC.RATE_1),CURRENCY.FORMAT_1),CURRENCY.FORMAT_1,1),"# ##0;-# ##0"),",-"),FIXED(ROUND((C1145/EXC.RATE_1),CURRENCY.FORMAT_1),CURRENCY.FORMAT_1,0)),'DICTIONARY-5'!$A$2)</f>
        <v>80,-</v>
      </c>
      <c r="K1145" s="670" t="str">
        <f>IF(EXC.RATE_2=0,"",IFERROR(IF(CURRENCY.FORMAT_2=0,CONCATENATE(TEXT(FIXED(ROUND(IF(EXC.RATE.SWITCH=1,C1145/EXC.RATE_2,C1145*EXC.RATE_2),CURRENCY.FORMAT_2),CURRENCY.FORMAT_2,1),"# ##0;-# ##0"),",-"),FIXED(ROUND(IF(EXC.RATE.SWITCH=1,C1145/EXC.RATE_2,C1145*EXC.RATE_2),CURRENCY.FORMAT_2),CURRENCY.FORMAT_2,0)),'DICTIONARY-5'!$A$2))</f>
        <v/>
      </c>
      <c r="L1145" s="670" t="str">
        <f>IFERROR(IF(CURRENCY.FORMAT_1=0,CONCATENATE(TEXT(FIXED(ROUND((C1145*(1-I1145)*(1-ADD.DISCOUNT)*(1+MAT.SURCHARGE)/EXC.RATE_1),CURRENCY.FORMAT_1),CURRENCY.FORMAT_1,1),"# ##0;-# ##0"),",-"),FIXED(ROUND((C1145*(1-I1145)*(1-ADD.DISCOUNT)*(1+MAT.SURCHARGE)/EXC.RATE_1),CURRENCY.FORMAT_1),CURRENCY.FORMAT_1,0)),'DICTIONARY-5'!$A$2)</f>
        <v>83,-</v>
      </c>
      <c r="M1145" s="670" t="str">
        <f>IF(EXC.RATE_2=0,"",IFERROR(IF(CURRENCY.FORMAT_2=0,CONCATENATE(TEXT(FIXED(ROUND(IF(EXC.RATE.SWITCH=1,C1145*(1-I1145)*(1-ADD.DISCOUNT)*(1+MAT.SURCHARGE)/EXC.RATE_2,C1145*(1-I1145)*(1-ADD.DISCOUNT)*(1+MAT.SURCHARGE)*EXC.RATE_2),CURRENCY.FORMAT_2),CURRENCY.FORMAT_2,1),"# ##0;-# ##0"),",-"),FIXED(ROUND(IF(EXC.RATE.SWITCH=1,C1145*(1-I1145)*(1-ADD.DISCOUNT)*(1+MAT.SURCHARGE)/EXC.RATE_2,C1145*(1-I1145)*(1-ADD.DISCOUNT)*(1+MAT.SURCHARGE)*EXC.RATE_2),CURRENCY.FORMAT_2),CURRENCY.FORMAT_2,0)),'DICTIONARY-5'!$A$2))</f>
        <v/>
      </c>
      <c r="N1145" s="539">
        <v>4</v>
      </c>
      <c r="O1145" s="539"/>
      <c r="P1145" s="731" t="str">
        <f>'DICTIONARY-3'!$A$63</f>
        <v>TERRAlock</v>
      </c>
      <c r="Q1145" s="732" t="str">
        <f>'DICTIONARY-3'!$A$196</f>
        <v>Mostek nawiertowy</v>
      </c>
      <c r="R1145" s="732" t="str">
        <f>CONCATENATE('DICTIONARY-3'!$A$64,'DICTIONARY-3'!$A$83," ",'DICTIONARY-6'!$A$21," ",'DICTIONARY-2'!$A$2,"80-500"," ",'DICTIONARY-6'!$A$59,", ",'DICTIONARY-6'!$A$76," ",UPPER('DICTIONARY-5'!$A$40),"+",'DICTIONARY-5'!$A$49)</f>
        <v>HODlock/TERRAlock-M1 Mostek nawiert. DN80-500 bez zaw., ruroc. STAL+ŻEL.</v>
      </c>
      <c r="S1145" s="733" t="str">
        <f>'DICTIONARY-4'!$A$2</f>
        <v>WW</v>
      </c>
      <c r="T1145" s="732"/>
      <c r="U1145" s="734" t="s">
        <v>5846</v>
      </c>
      <c r="V1145" s="735"/>
      <c r="W1145" s="736"/>
      <c r="X1145" s="737"/>
      <c r="Y1145" s="738"/>
      <c r="Z1145" s="739"/>
      <c r="AA1145" s="739"/>
      <c r="AB1145" s="740">
        <v>16</v>
      </c>
      <c r="AC1145" s="741"/>
      <c r="AD1145" s="741" t="str">
        <f>'DICTIONARY-5'!$A$13</f>
        <v>woda pitna</v>
      </c>
      <c r="AE1145" s="742">
        <v>50</v>
      </c>
      <c r="AF1145" s="743">
        <v>3</v>
      </c>
      <c r="AG1145" s="741" t="str">
        <f>'DICTIONARY-5'!$A$23</f>
        <v>powłoka epoksydowa</v>
      </c>
    </row>
    <row r="1146" spans="1:33" x14ac:dyDescent="0.25">
      <c r="A1146" s="861" t="s">
        <v>1152</v>
      </c>
      <c r="B1146" s="861" t="s">
        <v>4159</v>
      </c>
      <c r="C1146" s="836">
        <v>211</v>
      </c>
      <c r="D1146" s="836"/>
      <c r="E1146" s="836"/>
      <c r="F1146" s="836"/>
      <c r="G1146" s="496" t="s">
        <v>7821</v>
      </c>
      <c r="H1146" s="797" t="str">
        <f>VLOOKUP(G1146,SETTINGS!$B$7:$D$97,2,0)</f>
        <v>TERRA K3 BAIO</v>
      </c>
      <c r="I1146" s="796">
        <f>VLOOKUP(G1146,SETTINGS!$B$7:$D$97,3,0)</f>
        <v>0</v>
      </c>
      <c r="J1146" s="670" t="str">
        <f>IFERROR(IF(CURRENCY.FORMAT_1=0,CONCATENATE(TEXT(FIXED(ROUND((C1146/EXC.RATE_1),CURRENCY.FORMAT_1),CURRENCY.FORMAT_1,1),"# ##0;-# ##0"),",-"),FIXED(ROUND((C1146/EXC.RATE_1),CURRENCY.FORMAT_1),CURRENCY.FORMAT_1,0)),'DICTIONARY-5'!$A$2)</f>
        <v>211,-</v>
      </c>
      <c r="K1146" s="670" t="str">
        <f>IF(EXC.RATE_2=0,"",IFERROR(IF(CURRENCY.FORMAT_2=0,CONCATENATE(TEXT(FIXED(ROUND(IF(EXC.RATE.SWITCH=1,C1146/EXC.RATE_2,C1146*EXC.RATE_2),CURRENCY.FORMAT_2),CURRENCY.FORMAT_2,1),"# ##0;-# ##0"),",-"),FIXED(ROUND(IF(EXC.RATE.SWITCH=1,C1146/EXC.RATE_2,C1146*EXC.RATE_2),CURRENCY.FORMAT_2),CURRENCY.FORMAT_2,0)),'DICTIONARY-5'!$A$2))</f>
        <v/>
      </c>
      <c r="L1146" s="670" t="str">
        <f>IFERROR(IF(CURRENCY.FORMAT_1=0,CONCATENATE(TEXT(FIXED(ROUND((C1146*(1-I1146)*(1-ADD.DISCOUNT)*(1+MAT.SURCHARGE)/EXC.RATE_1),CURRENCY.FORMAT_1),CURRENCY.FORMAT_1,1),"# ##0;-# ##0"),",-"),FIXED(ROUND((C1146*(1-I1146)*(1-ADD.DISCOUNT)*(1+MAT.SURCHARGE)/EXC.RATE_1),CURRENCY.FORMAT_1),CURRENCY.FORMAT_1,0)),'DICTIONARY-5'!$A$2)</f>
        <v>219,-</v>
      </c>
      <c r="M1146" s="670" t="str">
        <f>IF(EXC.RATE_2=0,"",IFERROR(IF(CURRENCY.FORMAT_2=0,CONCATENATE(TEXT(FIXED(ROUND(IF(EXC.RATE.SWITCH=1,C1146*(1-I1146)*(1-ADD.DISCOUNT)*(1+MAT.SURCHARGE)/EXC.RATE_2,C1146*(1-I1146)*(1-ADD.DISCOUNT)*(1+MAT.SURCHARGE)*EXC.RATE_2),CURRENCY.FORMAT_2),CURRENCY.FORMAT_2,1),"# ##0;-# ##0"),",-"),FIXED(ROUND(IF(EXC.RATE.SWITCH=1,C1146*(1-I1146)*(1-ADD.DISCOUNT)*(1+MAT.SURCHARGE)/EXC.RATE_2,C1146*(1-I1146)*(1-ADD.DISCOUNT)*(1+MAT.SURCHARGE)*EXC.RATE_2),CURRENCY.FORMAT_2),CURRENCY.FORMAT_2,0)),'DICTIONARY-5'!$A$2))</f>
        <v/>
      </c>
      <c r="N1146" s="539">
        <v>4</v>
      </c>
      <c r="O1146" s="539"/>
      <c r="P1146" s="732" t="str">
        <f>'DICTIONARY-3'!$A$64</f>
        <v>HODlock/TERRAlock</v>
      </c>
      <c r="Q1146" s="732" t="str">
        <f>'DICTIONARY-3'!$A$196</f>
        <v>Mostek nawiertowy</v>
      </c>
      <c r="R1146" s="732" t="str">
        <f>CONCATENATE('DICTIONARY-3'!$A$64," ",'DICTIONARY-6'!$A$21," ",'DICTIONARY-2'!$A$2,"80"," ",'DICTIONARY-6'!$A$62,", ",'DICTIONARY-6'!$A$76," ",'DICTIONARY-5'!$A$57,"+",'DICTIONARY-5'!$A$56)</f>
        <v>HODlock/TERRAlock Mostek nawiert. DN80 z zaw. kul., ruroc. PE+PVC</v>
      </c>
      <c r="S1146" s="733" t="str">
        <f>'DICTIONARY-4'!$A$2</f>
        <v>WW</v>
      </c>
      <c r="T1146" s="732" t="str">
        <f>'DICTIONARY-4'!$A$18</f>
        <v>Wolny wałek</v>
      </c>
      <c r="U1146" s="734" t="s">
        <v>5760</v>
      </c>
      <c r="V1146" s="735"/>
      <c r="W1146" s="736"/>
      <c r="X1146" s="737"/>
      <c r="Y1146" s="738"/>
      <c r="Z1146" s="739"/>
      <c r="AA1146" s="739"/>
      <c r="AB1146" s="740">
        <v>16</v>
      </c>
      <c r="AC1146" s="741"/>
      <c r="AD1146" s="741" t="str">
        <f>'DICTIONARY-5'!$A$13</f>
        <v>woda pitna</v>
      </c>
      <c r="AE1146" s="742">
        <v>50</v>
      </c>
      <c r="AF1146" s="743">
        <v>7.5</v>
      </c>
      <c r="AG1146" s="741" t="str">
        <f>'DICTIONARY-5'!$A$23</f>
        <v>powłoka epoksydowa</v>
      </c>
    </row>
    <row r="1147" spans="1:33" x14ac:dyDescent="0.25">
      <c r="A1147" s="861" t="s">
        <v>1153</v>
      </c>
      <c r="B1147" s="861" t="s">
        <v>4160</v>
      </c>
      <c r="C1147" s="836">
        <v>215</v>
      </c>
      <c r="D1147" s="836"/>
      <c r="E1147" s="836"/>
      <c r="F1147" s="836"/>
      <c r="G1147" s="496" t="s">
        <v>7821</v>
      </c>
      <c r="H1147" s="797" t="str">
        <f>VLOOKUP(G1147,SETTINGS!$B$7:$D$97,2,0)</f>
        <v>TERRA K3 BAIO</v>
      </c>
      <c r="I1147" s="796">
        <f>VLOOKUP(G1147,SETTINGS!$B$7:$D$97,3,0)</f>
        <v>0</v>
      </c>
      <c r="J1147" s="670" t="str">
        <f>IFERROR(IF(CURRENCY.FORMAT_1=0,CONCATENATE(TEXT(FIXED(ROUND((C1147/EXC.RATE_1),CURRENCY.FORMAT_1),CURRENCY.FORMAT_1,1),"# ##0;-# ##0"),",-"),FIXED(ROUND((C1147/EXC.RATE_1),CURRENCY.FORMAT_1),CURRENCY.FORMAT_1,0)),'DICTIONARY-5'!$A$2)</f>
        <v>215,-</v>
      </c>
      <c r="K1147" s="670" t="str">
        <f>IF(EXC.RATE_2=0,"",IFERROR(IF(CURRENCY.FORMAT_2=0,CONCATENATE(TEXT(FIXED(ROUND(IF(EXC.RATE.SWITCH=1,C1147/EXC.RATE_2,C1147*EXC.RATE_2),CURRENCY.FORMAT_2),CURRENCY.FORMAT_2,1),"# ##0;-# ##0"),",-"),FIXED(ROUND(IF(EXC.RATE.SWITCH=1,C1147/EXC.RATE_2,C1147*EXC.RATE_2),CURRENCY.FORMAT_2),CURRENCY.FORMAT_2,0)),'DICTIONARY-5'!$A$2))</f>
        <v/>
      </c>
      <c r="L1147" s="670" t="str">
        <f>IFERROR(IF(CURRENCY.FORMAT_1=0,CONCATENATE(TEXT(FIXED(ROUND((C1147*(1-I1147)*(1-ADD.DISCOUNT)*(1+MAT.SURCHARGE)/EXC.RATE_1),CURRENCY.FORMAT_1),CURRENCY.FORMAT_1,1),"# ##0;-# ##0"),",-"),FIXED(ROUND((C1147*(1-I1147)*(1-ADD.DISCOUNT)*(1+MAT.SURCHARGE)/EXC.RATE_1),CURRENCY.FORMAT_1),CURRENCY.FORMAT_1,0)),'DICTIONARY-5'!$A$2)</f>
        <v>223,-</v>
      </c>
      <c r="M1147" s="670" t="str">
        <f>IF(EXC.RATE_2=0,"",IFERROR(IF(CURRENCY.FORMAT_2=0,CONCATENATE(TEXT(FIXED(ROUND(IF(EXC.RATE.SWITCH=1,C1147*(1-I1147)*(1-ADD.DISCOUNT)*(1+MAT.SURCHARGE)/EXC.RATE_2,C1147*(1-I1147)*(1-ADD.DISCOUNT)*(1+MAT.SURCHARGE)*EXC.RATE_2),CURRENCY.FORMAT_2),CURRENCY.FORMAT_2,1),"# ##0;-# ##0"),",-"),FIXED(ROUND(IF(EXC.RATE.SWITCH=1,C1147*(1-I1147)*(1-ADD.DISCOUNT)*(1+MAT.SURCHARGE)/EXC.RATE_2,C1147*(1-I1147)*(1-ADD.DISCOUNT)*(1+MAT.SURCHARGE)*EXC.RATE_2),CURRENCY.FORMAT_2),CURRENCY.FORMAT_2,0)),'DICTIONARY-5'!$A$2))</f>
        <v/>
      </c>
      <c r="N1147" s="539">
        <v>4</v>
      </c>
      <c r="O1147" s="539"/>
      <c r="P1147" s="732" t="str">
        <f>'DICTIONARY-3'!$A$64</f>
        <v>HODlock/TERRAlock</v>
      </c>
      <c r="Q1147" s="732" t="str">
        <f>'DICTIONARY-3'!$A$196</f>
        <v>Mostek nawiertowy</v>
      </c>
      <c r="R1147" s="732" t="str">
        <f>CONCATENATE('DICTIONARY-3'!$A$64," ",'DICTIONARY-6'!$A$21," ",'DICTIONARY-2'!$A$2,"100"," ",'DICTIONARY-6'!$A$62,", ",'DICTIONARY-6'!$A$76," ",'DICTIONARY-5'!$A$57,"+",'DICTIONARY-5'!$A$56)</f>
        <v>HODlock/TERRAlock Mostek nawiert. DN100 z zaw. kul., ruroc. PE+PVC</v>
      </c>
      <c r="S1147" s="733" t="str">
        <f>'DICTIONARY-4'!$A$2</f>
        <v>WW</v>
      </c>
      <c r="T1147" s="732" t="str">
        <f>'DICTIONARY-4'!$A$18</f>
        <v>Wolny wałek</v>
      </c>
      <c r="U1147" s="734" t="s">
        <v>5749</v>
      </c>
      <c r="V1147" s="735"/>
      <c r="W1147" s="736"/>
      <c r="X1147" s="737"/>
      <c r="Y1147" s="738"/>
      <c r="Z1147" s="739"/>
      <c r="AA1147" s="739"/>
      <c r="AB1147" s="740">
        <v>16</v>
      </c>
      <c r="AC1147" s="741"/>
      <c r="AD1147" s="741" t="str">
        <f>'DICTIONARY-5'!$A$13</f>
        <v>woda pitna</v>
      </c>
      <c r="AE1147" s="742">
        <v>50</v>
      </c>
      <c r="AF1147" s="743">
        <v>7.5</v>
      </c>
      <c r="AG1147" s="741" t="str">
        <f>'DICTIONARY-5'!$A$23</f>
        <v>powłoka epoksydowa</v>
      </c>
    </row>
    <row r="1148" spans="1:33" x14ac:dyDescent="0.25">
      <c r="A1148" s="861" t="s">
        <v>1154</v>
      </c>
      <c r="B1148" s="861" t="s">
        <v>4161</v>
      </c>
      <c r="C1148" s="836">
        <v>237</v>
      </c>
      <c r="D1148" s="836"/>
      <c r="E1148" s="836"/>
      <c r="F1148" s="836"/>
      <c r="G1148" s="496" t="s">
        <v>7821</v>
      </c>
      <c r="H1148" s="797" t="str">
        <f>VLOOKUP(G1148,SETTINGS!$B$7:$D$97,2,0)</f>
        <v>TERRA K3 BAIO</v>
      </c>
      <c r="I1148" s="796">
        <f>VLOOKUP(G1148,SETTINGS!$B$7:$D$97,3,0)</f>
        <v>0</v>
      </c>
      <c r="J1148" s="670" t="str">
        <f>IFERROR(IF(CURRENCY.FORMAT_1=0,CONCATENATE(TEXT(FIXED(ROUND((C1148/EXC.RATE_1),CURRENCY.FORMAT_1),CURRENCY.FORMAT_1,1),"# ##0;-# ##0"),",-"),FIXED(ROUND((C1148/EXC.RATE_1),CURRENCY.FORMAT_1),CURRENCY.FORMAT_1,0)),'DICTIONARY-5'!$A$2)</f>
        <v>237,-</v>
      </c>
      <c r="K1148" s="670" t="str">
        <f>IF(EXC.RATE_2=0,"",IFERROR(IF(CURRENCY.FORMAT_2=0,CONCATENATE(TEXT(FIXED(ROUND(IF(EXC.RATE.SWITCH=1,C1148/EXC.RATE_2,C1148*EXC.RATE_2),CURRENCY.FORMAT_2),CURRENCY.FORMAT_2,1),"# ##0;-# ##0"),",-"),FIXED(ROUND(IF(EXC.RATE.SWITCH=1,C1148/EXC.RATE_2,C1148*EXC.RATE_2),CURRENCY.FORMAT_2),CURRENCY.FORMAT_2,0)),'DICTIONARY-5'!$A$2))</f>
        <v/>
      </c>
      <c r="L1148" s="670" t="str">
        <f>IFERROR(IF(CURRENCY.FORMAT_1=0,CONCATENATE(TEXT(FIXED(ROUND((C1148*(1-I1148)*(1-ADD.DISCOUNT)*(1+MAT.SURCHARGE)/EXC.RATE_1),CURRENCY.FORMAT_1),CURRENCY.FORMAT_1,1),"# ##0;-# ##0"),",-"),FIXED(ROUND((C1148*(1-I1148)*(1-ADD.DISCOUNT)*(1+MAT.SURCHARGE)/EXC.RATE_1),CURRENCY.FORMAT_1),CURRENCY.FORMAT_1,0)),'DICTIONARY-5'!$A$2)</f>
        <v>246,-</v>
      </c>
      <c r="M1148" s="670" t="str">
        <f>IF(EXC.RATE_2=0,"",IFERROR(IF(CURRENCY.FORMAT_2=0,CONCATENATE(TEXT(FIXED(ROUND(IF(EXC.RATE.SWITCH=1,C1148*(1-I1148)*(1-ADD.DISCOUNT)*(1+MAT.SURCHARGE)/EXC.RATE_2,C1148*(1-I1148)*(1-ADD.DISCOUNT)*(1+MAT.SURCHARGE)*EXC.RATE_2),CURRENCY.FORMAT_2),CURRENCY.FORMAT_2,1),"# ##0;-# ##0"),",-"),FIXED(ROUND(IF(EXC.RATE.SWITCH=1,C1148*(1-I1148)*(1-ADD.DISCOUNT)*(1+MAT.SURCHARGE)/EXC.RATE_2,C1148*(1-I1148)*(1-ADD.DISCOUNT)*(1+MAT.SURCHARGE)*EXC.RATE_2),CURRENCY.FORMAT_2),CURRENCY.FORMAT_2,0)),'DICTIONARY-5'!$A$2))</f>
        <v/>
      </c>
      <c r="N1148" s="539">
        <v>4</v>
      </c>
      <c r="O1148" s="539"/>
      <c r="P1148" s="732" t="str">
        <f>'DICTIONARY-3'!$A$64</f>
        <v>HODlock/TERRAlock</v>
      </c>
      <c r="Q1148" s="732" t="str">
        <f>'DICTIONARY-3'!$A$196</f>
        <v>Mostek nawiertowy</v>
      </c>
      <c r="R1148" s="732" t="str">
        <f>CONCATENATE('DICTIONARY-3'!$A$64," ",'DICTIONARY-6'!$A$21," ",'DICTIONARY-2'!$A$2,"125"," ",'DICTIONARY-6'!$A$62,", ",'DICTIONARY-6'!$A$76," ",'DICTIONARY-5'!$A$57,"+",'DICTIONARY-5'!$A$56)</f>
        <v>HODlock/TERRAlock Mostek nawiert. DN125 z zaw. kul., ruroc. PE+PVC</v>
      </c>
      <c r="S1148" s="733" t="str">
        <f>'DICTIONARY-4'!$A$2</f>
        <v>WW</v>
      </c>
      <c r="T1148" s="732" t="str">
        <f>'DICTIONARY-4'!$A$18</f>
        <v>Wolny wałek</v>
      </c>
      <c r="U1148" s="734" t="s">
        <v>5761</v>
      </c>
      <c r="V1148" s="735"/>
      <c r="W1148" s="736"/>
      <c r="X1148" s="737"/>
      <c r="Y1148" s="738"/>
      <c r="Z1148" s="739"/>
      <c r="AA1148" s="739"/>
      <c r="AB1148" s="740">
        <v>16</v>
      </c>
      <c r="AC1148" s="741"/>
      <c r="AD1148" s="741" t="str">
        <f>'DICTIONARY-5'!$A$13</f>
        <v>woda pitna</v>
      </c>
      <c r="AE1148" s="742">
        <v>50</v>
      </c>
      <c r="AF1148" s="743">
        <v>9.5</v>
      </c>
      <c r="AG1148" s="741" t="str">
        <f>'DICTIONARY-5'!$A$23</f>
        <v>powłoka epoksydowa</v>
      </c>
    </row>
    <row r="1149" spans="1:33" x14ac:dyDescent="0.25">
      <c r="A1149" s="861" t="s">
        <v>1155</v>
      </c>
      <c r="B1149" s="861" t="s">
        <v>4162</v>
      </c>
      <c r="C1149" s="836">
        <v>247</v>
      </c>
      <c r="D1149" s="836"/>
      <c r="E1149" s="836"/>
      <c r="F1149" s="836"/>
      <c r="G1149" s="496" t="s">
        <v>7821</v>
      </c>
      <c r="H1149" s="797" t="str">
        <f>VLOOKUP(G1149,SETTINGS!$B$7:$D$97,2,0)</f>
        <v>TERRA K3 BAIO</v>
      </c>
      <c r="I1149" s="796">
        <f>VLOOKUP(G1149,SETTINGS!$B$7:$D$97,3,0)</f>
        <v>0</v>
      </c>
      <c r="J1149" s="670" t="str">
        <f>IFERROR(IF(CURRENCY.FORMAT_1=0,CONCATENATE(TEXT(FIXED(ROUND((C1149/EXC.RATE_1),CURRENCY.FORMAT_1),CURRENCY.FORMAT_1,1),"# ##0;-# ##0"),",-"),FIXED(ROUND((C1149/EXC.RATE_1),CURRENCY.FORMAT_1),CURRENCY.FORMAT_1,0)),'DICTIONARY-5'!$A$2)</f>
        <v>247,-</v>
      </c>
      <c r="K1149" s="670" t="str">
        <f>IF(EXC.RATE_2=0,"",IFERROR(IF(CURRENCY.FORMAT_2=0,CONCATENATE(TEXT(FIXED(ROUND(IF(EXC.RATE.SWITCH=1,C1149/EXC.RATE_2,C1149*EXC.RATE_2),CURRENCY.FORMAT_2),CURRENCY.FORMAT_2,1),"# ##0;-# ##0"),",-"),FIXED(ROUND(IF(EXC.RATE.SWITCH=1,C1149/EXC.RATE_2,C1149*EXC.RATE_2),CURRENCY.FORMAT_2),CURRENCY.FORMAT_2,0)),'DICTIONARY-5'!$A$2))</f>
        <v/>
      </c>
      <c r="L1149" s="670" t="str">
        <f>IFERROR(IF(CURRENCY.FORMAT_1=0,CONCATENATE(TEXT(FIXED(ROUND((C1149*(1-I1149)*(1-ADD.DISCOUNT)*(1+MAT.SURCHARGE)/EXC.RATE_1),CURRENCY.FORMAT_1),CURRENCY.FORMAT_1,1),"# ##0;-# ##0"),",-"),FIXED(ROUND((C1149*(1-I1149)*(1-ADD.DISCOUNT)*(1+MAT.SURCHARGE)/EXC.RATE_1),CURRENCY.FORMAT_1),CURRENCY.FORMAT_1,0)),'DICTIONARY-5'!$A$2)</f>
        <v>257,-</v>
      </c>
      <c r="M1149" s="670" t="str">
        <f>IF(EXC.RATE_2=0,"",IFERROR(IF(CURRENCY.FORMAT_2=0,CONCATENATE(TEXT(FIXED(ROUND(IF(EXC.RATE.SWITCH=1,C1149*(1-I1149)*(1-ADD.DISCOUNT)*(1+MAT.SURCHARGE)/EXC.RATE_2,C1149*(1-I1149)*(1-ADD.DISCOUNT)*(1+MAT.SURCHARGE)*EXC.RATE_2),CURRENCY.FORMAT_2),CURRENCY.FORMAT_2,1),"# ##0;-# ##0"),",-"),FIXED(ROUND(IF(EXC.RATE.SWITCH=1,C1149*(1-I1149)*(1-ADD.DISCOUNT)*(1+MAT.SURCHARGE)/EXC.RATE_2,C1149*(1-I1149)*(1-ADD.DISCOUNT)*(1+MAT.SURCHARGE)*EXC.RATE_2),CURRENCY.FORMAT_2),CURRENCY.FORMAT_2,0)),'DICTIONARY-5'!$A$2))</f>
        <v/>
      </c>
      <c r="N1149" s="539">
        <v>4</v>
      </c>
      <c r="O1149" s="539"/>
      <c r="P1149" s="732" t="str">
        <f>'DICTIONARY-3'!$A$64</f>
        <v>HODlock/TERRAlock</v>
      </c>
      <c r="Q1149" s="732" t="str">
        <f>'DICTIONARY-3'!$A$196</f>
        <v>Mostek nawiertowy</v>
      </c>
      <c r="R1149" s="732" t="str">
        <f>CONCATENATE('DICTIONARY-3'!$A$64," ",'DICTIONARY-6'!$A$21," ",'DICTIONARY-2'!$A$2,"150"," ",'DICTIONARY-6'!$A$62,", ",'DICTIONARY-6'!$A$76," ",'DICTIONARY-5'!$A$57,"+",'DICTIONARY-5'!$A$56)</f>
        <v>HODlock/TERRAlock Mostek nawiert. DN150 z zaw. kul., ruroc. PE+PVC</v>
      </c>
      <c r="S1149" s="733" t="str">
        <f>'DICTIONARY-4'!$A$2</f>
        <v>WW</v>
      </c>
      <c r="T1149" s="732" t="str">
        <f>'DICTIONARY-4'!$A$18</f>
        <v>Wolny wałek</v>
      </c>
      <c r="U1149" s="734" t="s">
        <v>5572</v>
      </c>
      <c r="V1149" s="735"/>
      <c r="W1149" s="736"/>
      <c r="X1149" s="737"/>
      <c r="Y1149" s="738"/>
      <c r="Z1149" s="739"/>
      <c r="AA1149" s="739"/>
      <c r="AB1149" s="740">
        <v>16</v>
      </c>
      <c r="AC1149" s="741"/>
      <c r="AD1149" s="741" t="str">
        <f>'DICTIONARY-5'!$A$13</f>
        <v>woda pitna</v>
      </c>
      <c r="AE1149" s="742">
        <v>50</v>
      </c>
      <c r="AF1149" s="743">
        <v>10</v>
      </c>
      <c r="AG1149" s="741" t="str">
        <f>'DICTIONARY-5'!$A$23</f>
        <v>powłoka epoksydowa</v>
      </c>
    </row>
    <row r="1150" spans="1:33" x14ac:dyDescent="0.25">
      <c r="A1150" s="861" t="s">
        <v>1156</v>
      </c>
      <c r="B1150" s="861" t="s">
        <v>4163</v>
      </c>
      <c r="C1150" s="836">
        <v>318</v>
      </c>
      <c r="D1150" s="836"/>
      <c r="E1150" s="836"/>
      <c r="F1150" s="836"/>
      <c r="G1150" s="496" t="s">
        <v>7821</v>
      </c>
      <c r="H1150" s="797" t="str">
        <f>VLOOKUP(G1150,SETTINGS!$B$7:$D$97,2,0)</f>
        <v>TERRA K3 BAIO</v>
      </c>
      <c r="I1150" s="796">
        <f>VLOOKUP(G1150,SETTINGS!$B$7:$D$97,3,0)</f>
        <v>0</v>
      </c>
      <c r="J1150" s="670" t="str">
        <f>IFERROR(IF(CURRENCY.FORMAT_1=0,CONCATENATE(TEXT(FIXED(ROUND((C1150/EXC.RATE_1),CURRENCY.FORMAT_1),CURRENCY.FORMAT_1,1),"# ##0;-# ##0"),",-"),FIXED(ROUND((C1150/EXC.RATE_1),CURRENCY.FORMAT_1),CURRENCY.FORMAT_1,0)),'DICTIONARY-5'!$A$2)</f>
        <v>318,-</v>
      </c>
      <c r="K1150" s="670" t="str">
        <f>IF(EXC.RATE_2=0,"",IFERROR(IF(CURRENCY.FORMAT_2=0,CONCATENATE(TEXT(FIXED(ROUND(IF(EXC.RATE.SWITCH=1,C1150/EXC.RATE_2,C1150*EXC.RATE_2),CURRENCY.FORMAT_2),CURRENCY.FORMAT_2,1),"# ##0;-# ##0"),",-"),FIXED(ROUND(IF(EXC.RATE.SWITCH=1,C1150/EXC.RATE_2,C1150*EXC.RATE_2),CURRENCY.FORMAT_2),CURRENCY.FORMAT_2,0)),'DICTIONARY-5'!$A$2))</f>
        <v/>
      </c>
      <c r="L1150" s="670" t="str">
        <f>IFERROR(IF(CURRENCY.FORMAT_1=0,CONCATENATE(TEXT(FIXED(ROUND((C1150*(1-I1150)*(1-ADD.DISCOUNT)*(1+MAT.SURCHARGE)/EXC.RATE_1),CURRENCY.FORMAT_1),CURRENCY.FORMAT_1,1),"# ##0;-# ##0"),",-"),FIXED(ROUND((C1150*(1-I1150)*(1-ADD.DISCOUNT)*(1+MAT.SURCHARGE)/EXC.RATE_1),CURRENCY.FORMAT_1),CURRENCY.FORMAT_1,0)),'DICTIONARY-5'!$A$2)</f>
        <v>330,-</v>
      </c>
      <c r="M1150" s="670" t="str">
        <f>IF(EXC.RATE_2=0,"",IFERROR(IF(CURRENCY.FORMAT_2=0,CONCATENATE(TEXT(FIXED(ROUND(IF(EXC.RATE.SWITCH=1,C1150*(1-I1150)*(1-ADD.DISCOUNT)*(1+MAT.SURCHARGE)/EXC.RATE_2,C1150*(1-I1150)*(1-ADD.DISCOUNT)*(1+MAT.SURCHARGE)*EXC.RATE_2),CURRENCY.FORMAT_2),CURRENCY.FORMAT_2,1),"# ##0;-# ##0"),",-"),FIXED(ROUND(IF(EXC.RATE.SWITCH=1,C1150*(1-I1150)*(1-ADD.DISCOUNT)*(1+MAT.SURCHARGE)/EXC.RATE_2,C1150*(1-I1150)*(1-ADD.DISCOUNT)*(1+MAT.SURCHARGE)*EXC.RATE_2),CURRENCY.FORMAT_2),CURRENCY.FORMAT_2,0)),'DICTIONARY-5'!$A$2))</f>
        <v/>
      </c>
      <c r="N1150" s="539">
        <v>4</v>
      </c>
      <c r="O1150" s="539"/>
      <c r="P1150" s="732" t="str">
        <f>'DICTIONARY-3'!$A$64</f>
        <v>HODlock/TERRAlock</v>
      </c>
      <c r="Q1150" s="732" t="str">
        <f>'DICTIONARY-3'!$A$196</f>
        <v>Mostek nawiertowy</v>
      </c>
      <c r="R1150" s="732" t="str">
        <f>CONCATENATE('DICTIONARY-3'!$A$64," ",'DICTIONARY-6'!$A$21," ",'DICTIONARY-2'!$A$2,"200"," ",'DICTIONARY-6'!$A$62,", ",'DICTIONARY-6'!$A$76," ",'DICTIONARY-5'!$A$57,"+",'DICTIONARY-5'!$A$56)</f>
        <v>HODlock/TERRAlock Mostek nawiert. DN200 z zaw. kul., ruroc. PE+PVC</v>
      </c>
      <c r="S1150" s="733" t="str">
        <f>'DICTIONARY-4'!$A$2</f>
        <v>WW</v>
      </c>
      <c r="T1150" s="732" t="str">
        <f>'DICTIONARY-4'!$A$18</f>
        <v>Wolny wałek</v>
      </c>
      <c r="U1150" s="734" t="s">
        <v>5750</v>
      </c>
      <c r="V1150" s="735"/>
      <c r="W1150" s="736"/>
      <c r="X1150" s="737"/>
      <c r="Y1150" s="738"/>
      <c r="Z1150" s="739"/>
      <c r="AA1150" s="739"/>
      <c r="AB1150" s="740">
        <v>16</v>
      </c>
      <c r="AC1150" s="741"/>
      <c r="AD1150" s="741" t="str">
        <f>'DICTIONARY-5'!$A$13</f>
        <v>woda pitna</v>
      </c>
      <c r="AE1150" s="742">
        <v>50</v>
      </c>
      <c r="AF1150" s="743">
        <v>11.505000000000001</v>
      </c>
      <c r="AG1150" s="741" t="str">
        <f>'DICTIONARY-5'!$A$23</f>
        <v>powłoka epoksydowa</v>
      </c>
    </row>
    <row r="1151" spans="1:33" x14ac:dyDescent="0.25">
      <c r="A1151" s="861" t="s">
        <v>1157</v>
      </c>
      <c r="B1151" s="861" t="s">
        <v>4164</v>
      </c>
      <c r="C1151" s="836">
        <v>114</v>
      </c>
      <c r="D1151" s="836"/>
      <c r="E1151" s="836"/>
      <c r="F1151" s="836"/>
      <c r="G1151" s="496" t="s">
        <v>7821</v>
      </c>
      <c r="H1151" s="797" t="str">
        <f>VLOOKUP(G1151,SETTINGS!$B$7:$D$97,2,0)</f>
        <v>TERRA K3 BAIO</v>
      </c>
      <c r="I1151" s="796">
        <f>VLOOKUP(G1151,SETTINGS!$B$7:$D$97,3,0)</f>
        <v>0</v>
      </c>
      <c r="J1151" s="670" t="str">
        <f>IFERROR(IF(CURRENCY.FORMAT_1=0,CONCATENATE(TEXT(FIXED(ROUND((C1151/EXC.RATE_1),CURRENCY.FORMAT_1),CURRENCY.FORMAT_1,1),"# ##0;-# ##0"),",-"),FIXED(ROUND((C1151/EXC.RATE_1),CURRENCY.FORMAT_1),CURRENCY.FORMAT_1,0)),'DICTIONARY-5'!$A$2)</f>
        <v>114,-</v>
      </c>
      <c r="K1151" s="670" t="str">
        <f>IF(EXC.RATE_2=0,"",IFERROR(IF(CURRENCY.FORMAT_2=0,CONCATENATE(TEXT(FIXED(ROUND(IF(EXC.RATE.SWITCH=1,C1151/EXC.RATE_2,C1151*EXC.RATE_2),CURRENCY.FORMAT_2),CURRENCY.FORMAT_2,1),"# ##0;-# ##0"),",-"),FIXED(ROUND(IF(EXC.RATE.SWITCH=1,C1151/EXC.RATE_2,C1151*EXC.RATE_2),CURRENCY.FORMAT_2),CURRENCY.FORMAT_2,0)),'DICTIONARY-5'!$A$2))</f>
        <v/>
      </c>
      <c r="L1151" s="670" t="str">
        <f>IFERROR(IF(CURRENCY.FORMAT_1=0,CONCATENATE(TEXT(FIXED(ROUND((C1151*(1-I1151)*(1-ADD.DISCOUNT)*(1+MAT.SURCHARGE)/EXC.RATE_1),CURRENCY.FORMAT_1),CURRENCY.FORMAT_1,1),"# ##0;-# ##0"),",-"),FIXED(ROUND((C1151*(1-I1151)*(1-ADD.DISCOUNT)*(1+MAT.SURCHARGE)/EXC.RATE_1),CURRENCY.FORMAT_1),CURRENCY.FORMAT_1,0)),'DICTIONARY-5'!$A$2)</f>
        <v>118,-</v>
      </c>
      <c r="M1151" s="670" t="str">
        <f>IF(EXC.RATE_2=0,"",IFERROR(IF(CURRENCY.FORMAT_2=0,CONCATENATE(TEXT(FIXED(ROUND(IF(EXC.RATE.SWITCH=1,C1151*(1-I1151)*(1-ADD.DISCOUNT)*(1+MAT.SURCHARGE)/EXC.RATE_2,C1151*(1-I1151)*(1-ADD.DISCOUNT)*(1+MAT.SURCHARGE)*EXC.RATE_2),CURRENCY.FORMAT_2),CURRENCY.FORMAT_2,1),"# ##0;-# ##0"),",-"),FIXED(ROUND(IF(EXC.RATE.SWITCH=1,C1151*(1-I1151)*(1-ADD.DISCOUNT)*(1+MAT.SURCHARGE)/EXC.RATE_2,C1151*(1-I1151)*(1-ADD.DISCOUNT)*(1+MAT.SURCHARGE)*EXC.RATE_2),CURRENCY.FORMAT_2),CURRENCY.FORMAT_2,0)),'DICTIONARY-5'!$A$2))</f>
        <v/>
      </c>
      <c r="N1151" s="539">
        <v>4</v>
      </c>
      <c r="O1151" s="539"/>
      <c r="P1151" s="732" t="str">
        <f>'DICTIONARY-3'!$A$64</f>
        <v>HODlock/TERRAlock</v>
      </c>
      <c r="Q1151" s="732" t="str">
        <f>'DICTIONARY-3'!$A$196</f>
        <v>Mostek nawiertowy</v>
      </c>
      <c r="R1151" s="732" t="str">
        <f>CONCATENATE('DICTIONARY-3'!$A$64,'DICTIONARY-3'!$A$86," ",'DICTIONARY-6'!$A$21," ",'DICTIONARY-2'!$A$2,"80"," ",'DICTIONARY-6'!$A$59,", ",'DICTIONARY-6'!$A$76," ",'DICTIONARY-5'!$A$57,"+",'DICTIONARY-5'!$A$56)</f>
        <v>HODlock/TERRAlock-K3 Mostek nawiert. DN80 bez zaw., ruroc. PE+PVC</v>
      </c>
      <c r="S1151" s="733" t="str">
        <f>'DICTIONARY-4'!$A$2</f>
        <v>WW</v>
      </c>
      <c r="T1151" s="732"/>
      <c r="U1151" s="734" t="s">
        <v>5760</v>
      </c>
      <c r="V1151" s="735"/>
      <c r="W1151" s="736"/>
      <c r="X1151" s="737"/>
      <c r="Y1151" s="738"/>
      <c r="Z1151" s="739"/>
      <c r="AA1151" s="739"/>
      <c r="AB1151" s="740">
        <v>16</v>
      </c>
      <c r="AC1151" s="741"/>
      <c r="AD1151" s="741" t="str">
        <f>'DICTIONARY-5'!$A$13</f>
        <v>woda pitna</v>
      </c>
      <c r="AE1151" s="742">
        <v>50</v>
      </c>
      <c r="AF1151" s="743">
        <v>6</v>
      </c>
      <c r="AG1151" s="741" t="str">
        <f>'DICTIONARY-5'!$A$23</f>
        <v>powłoka epoksydowa</v>
      </c>
    </row>
    <row r="1152" spans="1:33" x14ac:dyDescent="0.25">
      <c r="A1152" s="861" t="s">
        <v>1158</v>
      </c>
      <c r="B1152" s="861" t="s">
        <v>4165</v>
      </c>
      <c r="C1152" s="836">
        <v>119</v>
      </c>
      <c r="D1152" s="836"/>
      <c r="E1152" s="836"/>
      <c r="F1152" s="836"/>
      <c r="G1152" s="496" t="s">
        <v>7821</v>
      </c>
      <c r="H1152" s="797" t="str">
        <f>VLOOKUP(G1152,SETTINGS!$B$7:$D$97,2,0)</f>
        <v>TERRA K3 BAIO</v>
      </c>
      <c r="I1152" s="796">
        <f>VLOOKUP(G1152,SETTINGS!$B$7:$D$97,3,0)</f>
        <v>0</v>
      </c>
      <c r="J1152" s="670" t="str">
        <f>IFERROR(IF(CURRENCY.FORMAT_1=0,CONCATENATE(TEXT(FIXED(ROUND((C1152/EXC.RATE_1),CURRENCY.FORMAT_1),CURRENCY.FORMAT_1,1),"# ##0;-# ##0"),",-"),FIXED(ROUND((C1152/EXC.RATE_1),CURRENCY.FORMAT_1),CURRENCY.FORMAT_1,0)),'DICTIONARY-5'!$A$2)</f>
        <v>119,-</v>
      </c>
      <c r="K1152" s="670" t="str">
        <f>IF(EXC.RATE_2=0,"",IFERROR(IF(CURRENCY.FORMAT_2=0,CONCATENATE(TEXT(FIXED(ROUND(IF(EXC.RATE.SWITCH=1,C1152/EXC.RATE_2,C1152*EXC.RATE_2),CURRENCY.FORMAT_2),CURRENCY.FORMAT_2,1),"# ##0;-# ##0"),",-"),FIXED(ROUND(IF(EXC.RATE.SWITCH=1,C1152/EXC.RATE_2,C1152*EXC.RATE_2),CURRENCY.FORMAT_2),CURRENCY.FORMAT_2,0)),'DICTIONARY-5'!$A$2))</f>
        <v/>
      </c>
      <c r="L1152" s="670" t="str">
        <f>IFERROR(IF(CURRENCY.FORMAT_1=0,CONCATENATE(TEXT(FIXED(ROUND((C1152*(1-I1152)*(1-ADD.DISCOUNT)*(1+MAT.SURCHARGE)/EXC.RATE_1),CURRENCY.FORMAT_1),CURRENCY.FORMAT_1,1),"# ##0;-# ##0"),",-"),FIXED(ROUND((C1152*(1-I1152)*(1-ADD.DISCOUNT)*(1+MAT.SURCHARGE)/EXC.RATE_1),CURRENCY.FORMAT_1),CURRENCY.FORMAT_1,0)),'DICTIONARY-5'!$A$2)</f>
        <v>124,-</v>
      </c>
      <c r="M1152" s="670" t="str">
        <f>IF(EXC.RATE_2=0,"",IFERROR(IF(CURRENCY.FORMAT_2=0,CONCATENATE(TEXT(FIXED(ROUND(IF(EXC.RATE.SWITCH=1,C1152*(1-I1152)*(1-ADD.DISCOUNT)*(1+MAT.SURCHARGE)/EXC.RATE_2,C1152*(1-I1152)*(1-ADD.DISCOUNT)*(1+MAT.SURCHARGE)*EXC.RATE_2),CURRENCY.FORMAT_2),CURRENCY.FORMAT_2,1),"# ##0;-# ##0"),",-"),FIXED(ROUND(IF(EXC.RATE.SWITCH=1,C1152*(1-I1152)*(1-ADD.DISCOUNT)*(1+MAT.SURCHARGE)/EXC.RATE_2,C1152*(1-I1152)*(1-ADD.DISCOUNT)*(1+MAT.SURCHARGE)*EXC.RATE_2),CURRENCY.FORMAT_2),CURRENCY.FORMAT_2,0)),'DICTIONARY-5'!$A$2))</f>
        <v/>
      </c>
      <c r="N1152" s="539">
        <v>4</v>
      </c>
      <c r="O1152" s="539"/>
      <c r="P1152" s="732" t="str">
        <f>'DICTIONARY-3'!$A$64</f>
        <v>HODlock/TERRAlock</v>
      </c>
      <c r="Q1152" s="732" t="str">
        <f>'DICTIONARY-3'!$A$196</f>
        <v>Mostek nawiertowy</v>
      </c>
      <c r="R1152" s="732" t="str">
        <f>CONCATENATE('DICTIONARY-3'!$A$64,'DICTIONARY-3'!$A$86," ",'DICTIONARY-6'!$A$21," ",'DICTIONARY-2'!$A$2,"100"," ",'DICTIONARY-6'!$A$59,", ",'DICTIONARY-6'!$A$76," ",'DICTIONARY-5'!$A$57,"+",'DICTIONARY-5'!$A$56)</f>
        <v>HODlock/TERRAlock-K3 Mostek nawiert. DN100 bez zaw., ruroc. PE+PVC</v>
      </c>
      <c r="S1152" s="733" t="str">
        <f>'DICTIONARY-4'!$A$2</f>
        <v>WW</v>
      </c>
      <c r="T1152" s="732"/>
      <c r="U1152" s="734" t="s">
        <v>5749</v>
      </c>
      <c r="V1152" s="735"/>
      <c r="W1152" s="736"/>
      <c r="X1152" s="737"/>
      <c r="Y1152" s="738"/>
      <c r="Z1152" s="739"/>
      <c r="AA1152" s="739"/>
      <c r="AB1152" s="740">
        <v>16</v>
      </c>
      <c r="AC1152" s="741"/>
      <c r="AD1152" s="741" t="str">
        <f>'DICTIONARY-5'!$A$13</f>
        <v>woda pitna</v>
      </c>
      <c r="AE1152" s="742">
        <v>50</v>
      </c>
      <c r="AF1152" s="743">
        <v>7</v>
      </c>
      <c r="AG1152" s="741" t="str">
        <f>'DICTIONARY-5'!$A$23</f>
        <v>powłoka epoksydowa</v>
      </c>
    </row>
    <row r="1153" spans="1:33" x14ac:dyDescent="0.25">
      <c r="A1153" s="861" t="s">
        <v>1159</v>
      </c>
      <c r="B1153" s="861" t="s">
        <v>4166</v>
      </c>
      <c r="C1153" s="836">
        <v>164</v>
      </c>
      <c r="D1153" s="836"/>
      <c r="E1153" s="836"/>
      <c r="F1153" s="836"/>
      <c r="G1153" s="496" t="s">
        <v>7821</v>
      </c>
      <c r="H1153" s="797" t="str">
        <f>VLOOKUP(G1153,SETTINGS!$B$7:$D$97,2,0)</f>
        <v>TERRA K3 BAIO</v>
      </c>
      <c r="I1153" s="796">
        <f>VLOOKUP(G1153,SETTINGS!$B$7:$D$97,3,0)</f>
        <v>0</v>
      </c>
      <c r="J1153" s="670" t="str">
        <f>IFERROR(IF(CURRENCY.FORMAT_1=0,CONCATENATE(TEXT(FIXED(ROUND((C1153/EXC.RATE_1),CURRENCY.FORMAT_1),CURRENCY.FORMAT_1,1),"# ##0;-# ##0"),",-"),FIXED(ROUND((C1153/EXC.RATE_1),CURRENCY.FORMAT_1),CURRENCY.FORMAT_1,0)),'DICTIONARY-5'!$A$2)</f>
        <v>164,-</v>
      </c>
      <c r="K1153" s="670" t="str">
        <f>IF(EXC.RATE_2=0,"",IFERROR(IF(CURRENCY.FORMAT_2=0,CONCATENATE(TEXT(FIXED(ROUND(IF(EXC.RATE.SWITCH=1,C1153/EXC.RATE_2,C1153*EXC.RATE_2),CURRENCY.FORMAT_2),CURRENCY.FORMAT_2,1),"# ##0;-# ##0"),",-"),FIXED(ROUND(IF(EXC.RATE.SWITCH=1,C1153/EXC.RATE_2,C1153*EXC.RATE_2),CURRENCY.FORMAT_2),CURRENCY.FORMAT_2,0)),'DICTIONARY-5'!$A$2))</f>
        <v/>
      </c>
      <c r="L1153" s="670" t="str">
        <f>IFERROR(IF(CURRENCY.FORMAT_1=0,CONCATENATE(TEXT(FIXED(ROUND((C1153*(1-I1153)*(1-ADD.DISCOUNT)*(1+MAT.SURCHARGE)/EXC.RATE_1),CURRENCY.FORMAT_1),CURRENCY.FORMAT_1,1),"# ##0;-# ##0"),",-"),FIXED(ROUND((C1153*(1-I1153)*(1-ADD.DISCOUNT)*(1+MAT.SURCHARGE)/EXC.RATE_1),CURRENCY.FORMAT_1),CURRENCY.FORMAT_1,0)),'DICTIONARY-5'!$A$2)</f>
        <v>170,-</v>
      </c>
      <c r="M1153" s="670" t="str">
        <f>IF(EXC.RATE_2=0,"",IFERROR(IF(CURRENCY.FORMAT_2=0,CONCATENATE(TEXT(FIXED(ROUND(IF(EXC.RATE.SWITCH=1,C1153*(1-I1153)*(1-ADD.DISCOUNT)*(1+MAT.SURCHARGE)/EXC.RATE_2,C1153*(1-I1153)*(1-ADD.DISCOUNT)*(1+MAT.SURCHARGE)*EXC.RATE_2),CURRENCY.FORMAT_2),CURRENCY.FORMAT_2,1),"# ##0;-# ##0"),",-"),FIXED(ROUND(IF(EXC.RATE.SWITCH=1,C1153*(1-I1153)*(1-ADD.DISCOUNT)*(1+MAT.SURCHARGE)/EXC.RATE_2,C1153*(1-I1153)*(1-ADD.DISCOUNT)*(1+MAT.SURCHARGE)*EXC.RATE_2),CURRENCY.FORMAT_2),CURRENCY.FORMAT_2,0)),'DICTIONARY-5'!$A$2))</f>
        <v/>
      </c>
      <c r="N1153" s="539">
        <v>4</v>
      </c>
      <c r="O1153" s="539"/>
      <c r="P1153" s="732" t="str">
        <f>'DICTIONARY-3'!$A$64</f>
        <v>HODlock/TERRAlock</v>
      </c>
      <c r="Q1153" s="732" t="str">
        <f>'DICTIONARY-3'!$A$196</f>
        <v>Mostek nawiertowy</v>
      </c>
      <c r="R1153" s="732" t="str">
        <f>CONCATENATE('DICTIONARY-3'!$A$64,'DICTIONARY-3'!$A$86," ",'DICTIONARY-6'!$A$21," ",'DICTIONARY-2'!$A$2,"125"," ",'DICTIONARY-6'!$A$59,", ",'DICTIONARY-6'!$A$76," ",'DICTIONARY-5'!$A$57,"+",'DICTIONARY-5'!$A$56)</f>
        <v>HODlock/TERRAlock-K3 Mostek nawiert. DN125 bez zaw., ruroc. PE+PVC</v>
      </c>
      <c r="S1153" s="733" t="str">
        <f>'DICTIONARY-4'!$A$2</f>
        <v>WW</v>
      </c>
      <c r="T1153" s="732"/>
      <c r="U1153" s="734" t="s">
        <v>5761</v>
      </c>
      <c r="V1153" s="735"/>
      <c r="W1153" s="736"/>
      <c r="X1153" s="737"/>
      <c r="Y1153" s="738"/>
      <c r="Z1153" s="739"/>
      <c r="AA1153" s="739"/>
      <c r="AB1153" s="740">
        <v>16</v>
      </c>
      <c r="AC1153" s="741"/>
      <c r="AD1153" s="741" t="str">
        <f>'DICTIONARY-5'!$A$13</f>
        <v>woda pitna</v>
      </c>
      <c r="AE1153" s="742">
        <v>50</v>
      </c>
      <c r="AF1153" s="743">
        <v>8</v>
      </c>
      <c r="AG1153" s="741" t="str">
        <f>'DICTIONARY-5'!$A$23</f>
        <v>powłoka epoksydowa</v>
      </c>
    </row>
    <row r="1154" spans="1:33" x14ac:dyDescent="0.25">
      <c r="A1154" s="861" t="s">
        <v>1160</v>
      </c>
      <c r="B1154" s="861" t="s">
        <v>4167</v>
      </c>
      <c r="C1154" s="836">
        <v>141</v>
      </c>
      <c r="D1154" s="836"/>
      <c r="E1154" s="836"/>
      <c r="F1154" s="836"/>
      <c r="G1154" s="862" t="s">
        <v>7821</v>
      </c>
      <c r="H1154" s="797" t="str">
        <f>VLOOKUP(G1154,SETTINGS!$B$7:$D$97,2,0)</f>
        <v>TERRA K3 BAIO</v>
      </c>
      <c r="I1154" s="796">
        <f>VLOOKUP(G1154,SETTINGS!$B$7:$D$97,3,0)</f>
        <v>0</v>
      </c>
      <c r="J1154" s="670" t="str">
        <f>IFERROR(IF(CURRENCY.FORMAT_1=0,CONCATENATE(TEXT(FIXED(ROUND((C1154/EXC.RATE_1),CURRENCY.FORMAT_1),CURRENCY.FORMAT_1,1),"# ##0;-# ##0"),",-"),FIXED(ROUND((C1154/EXC.RATE_1),CURRENCY.FORMAT_1),CURRENCY.FORMAT_1,0)),'DICTIONARY-5'!$A$2)</f>
        <v>141,-</v>
      </c>
      <c r="K1154" s="670" t="str">
        <f>IF(EXC.RATE_2=0,"",IFERROR(IF(CURRENCY.FORMAT_2=0,CONCATENATE(TEXT(FIXED(ROUND(IF(EXC.RATE.SWITCH=1,C1154/EXC.RATE_2,C1154*EXC.RATE_2),CURRENCY.FORMAT_2),CURRENCY.FORMAT_2,1),"# ##0;-# ##0"),",-"),FIXED(ROUND(IF(EXC.RATE.SWITCH=1,C1154/EXC.RATE_2,C1154*EXC.RATE_2),CURRENCY.FORMAT_2),CURRENCY.FORMAT_2,0)),'DICTIONARY-5'!$A$2))</f>
        <v/>
      </c>
      <c r="L1154" s="670" t="str">
        <f>IFERROR(IF(CURRENCY.FORMAT_1=0,CONCATENATE(TEXT(FIXED(ROUND((C1154*(1-I1154)*(1-ADD.DISCOUNT)*(1+MAT.SURCHARGE)/EXC.RATE_1),CURRENCY.FORMAT_1),CURRENCY.FORMAT_1,1),"# ##0;-# ##0"),",-"),FIXED(ROUND((C1154*(1-I1154)*(1-ADD.DISCOUNT)*(1+MAT.SURCHARGE)/EXC.RATE_1),CURRENCY.FORMAT_1),CURRENCY.FORMAT_1,0)),'DICTIONARY-5'!$A$2)</f>
        <v>146,-</v>
      </c>
      <c r="M1154" s="670" t="str">
        <f>IF(EXC.RATE_2=0,"",IFERROR(IF(CURRENCY.FORMAT_2=0,CONCATENATE(TEXT(FIXED(ROUND(IF(EXC.RATE.SWITCH=1,C1154*(1-I1154)*(1-ADD.DISCOUNT)*(1+MAT.SURCHARGE)/EXC.RATE_2,C1154*(1-I1154)*(1-ADD.DISCOUNT)*(1+MAT.SURCHARGE)*EXC.RATE_2),CURRENCY.FORMAT_2),CURRENCY.FORMAT_2,1),"# ##0;-# ##0"),",-"),FIXED(ROUND(IF(EXC.RATE.SWITCH=1,C1154*(1-I1154)*(1-ADD.DISCOUNT)*(1+MAT.SURCHARGE)/EXC.RATE_2,C1154*(1-I1154)*(1-ADD.DISCOUNT)*(1+MAT.SURCHARGE)*EXC.RATE_2),CURRENCY.FORMAT_2),CURRENCY.FORMAT_2,0)),'DICTIONARY-5'!$A$2))</f>
        <v/>
      </c>
      <c r="N1154" s="539">
        <v>4</v>
      </c>
      <c r="O1154" s="539"/>
      <c r="P1154" s="732" t="str">
        <f>'DICTIONARY-3'!$A$64</f>
        <v>HODlock/TERRAlock</v>
      </c>
      <c r="Q1154" s="732" t="str">
        <f>'DICTIONARY-3'!$A$196</f>
        <v>Mostek nawiertowy</v>
      </c>
      <c r="R1154" s="732" t="str">
        <f>CONCATENATE('DICTIONARY-3'!$A$64,'DICTIONARY-3'!$A$86," ",'DICTIONARY-6'!$A$21," ",'DICTIONARY-2'!$A$2,"150"," ",'DICTIONARY-6'!$A$59,", ",'DICTIONARY-6'!$A$76," ",'DICTIONARY-5'!$A$57,"+",'DICTIONARY-5'!$A$56)</f>
        <v>HODlock/TERRAlock-K3 Mostek nawiert. DN150 bez zaw., ruroc. PE+PVC</v>
      </c>
      <c r="S1154" s="733" t="str">
        <f>'DICTIONARY-4'!$A$2</f>
        <v>WW</v>
      </c>
      <c r="T1154" s="732"/>
      <c r="U1154" s="734" t="s">
        <v>5572</v>
      </c>
      <c r="V1154" s="735"/>
      <c r="W1154" s="736"/>
      <c r="X1154" s="737"/>
      <c r="Y1154" s="738"/>
      <c r="Z1154" s="739"/>
      <c r="AA1154" s="739"/>
      <c r="AB1154" s="740">
        <v>16</v>
      </c>
      <c r="AC1154" s="741"/>
      <c r="AD1154" s="741" t="str">
        <f>'DICTIONARY-5'!$A$13</f>
        <v>woda pitna</v>
      </c>
      <c r="AE1154" s="742">
        <v>50</v>
      </c>
      <c r="AF1154" s="743">
        <v>8.5</v>
      </c>
      <c r="AG1154" s="741" t="str">
        <f>'DICTIONARY-5'!$A$23</f>
        <v>powłoka epoksydowa</v>
      </c>
    </row>
    <row r="1155" spans="1:33" x14ac:dyDescent="0.25">
      <c r="A1155" s="861" t="s">
        <v>1161</v>
      </c>
      <c r="B1155" s="861" t="s">
        <v>4168</v>
      </c>
      <c r="C1155" s="836">
        <v>207</v>
      </c>
      <c r="D1155" s="836"/>
      <c r="E1155" s="836"/>
      <c r="F1155" s="836"/>
      <c r="G1155" s="496" t="s">
        <v>7821</v>
      </c>
      <c r="H1155" s="797" t="str">
        <f>VLOOKUP(G1155,SETTINGS!$B$7:$D$97,2,0)</f>
        <v>TERRA K3 BAIO</v>
      </c>
      <c r="I1155" s="796">
        <f>VLOOKUP(G1155,SETTINGS!$B$7:$D$97,3,0)</f>
        <v>0</v>
      </c>
      <c r="J1155" s="670" t="str">
        <f>IFERROR(IF(CURRENCY.FORMAT_1=0,CONCATENATE(TEXT(FIXED(ROUND((C1155/EXC.RATE_1),CURRENCY.FORMAT_1),CURRENCY.FORMAT_1,1),"# ##0;-# ##0"),",-"),FIXED(ROUND((C1155/EXC.RATE_1),CURRENCY.FORMAT_1),CURRENCY.FORMAT_1,0)),'DICTIONARY-5'!$A$2)</f>
        <v>207,-</v>
      </c>
      <c r="K1155" s="670" t="str">
        <f>IF(EXC.RATE_2=0,"",IFERROR(IF(CURRENCY.FORMAT_2=0,CONCATENATE(TEXT(FIXED(ROUND(IF(EXC.RATE.SWITCH=1,C1155/EXC.RATE_2,C1155*EXC.RATE_2),CURRENCY.FORMAT_2),CURRENCY.FORMAT_2,1),"# ##0;-# ##0"),",-"),FIXED(ROUND(IF(EXC.RATE.SWITCH=1,C1155/EXC.RATE_2,C1155*EXC.RATE_2),CURRENCY.FORMAT_2),CURRENCY.FORMAT_2,0)),'DICTIONARY-5'!$A$2))</f>
        <v/>
      </c>
      <c r="L1155" s="670" t="str">
        <f>IFERROR(IF(CURRENCY.FORMAT_1=0,CONCATENATE(TEXT(FIXED(ROUND((C1155*(1-I1155)*(1-ADD.DISCOUNT)*(1+MAT.SURCHARGE)/EXC.RATE_1),CURRENCY.FORMAT_1),CURRENCY.FORMAT_1,1),"# ##0;-# ##0"),",-"),FIXED(ROUND((C1155*(1-I1155)*(1-ADD.DISCOUNT)*(1+MAT.SURCHARGE)/EXC.RATE_1),CURRENCY.FORMAT_1),CURRENCY.FORMAT_1,0)),'DICTIONARY-5'!$A$2)</f>
        <v>215,-</v>
      </c>
      <c r="M1155" s="670" t="str">
        <f>IF(EXC.RATE_2=0,"",IFERROR(IF(CURRENCY.FORMAT_2=0,CONCATENATE(TEXT(FIXED(ROUND(IF(EXC.RATE.SWITCH=1,C1155*(1-I1155)*(1-ADD.DISCOUNT)*(1+MAT.SURCHARGE)/EXC.RATE_2,C1155*(1-I1155)*(1-ADD.DISCOUNT)*(1+MAT.SURCHARGE)*EXC.RATE_2),CURRENCY.FORMAT_2),CURRENCY.FORMAT_2,1),"# ##0;-# ##0"),",-"),FIXED(ROUND(IF(EXC.RATE.SWITCH=1,C1155*(1-I1155)*(1-ADD.DISCOUNT)*(1+MAT.SURCHARGE)/EXC.RATE_2,C1155*(1-I1155)*(1-ADD.DISCOUNT)*(1+MAT.SURCHARGE)*EXC.RATE_2),CURRENCY.FORMAT_2),CURRENCY.FORMAT_2,0)),'DICTIONARY-5'!$A$2))</f>
        <v/>
      </c>
      <c r="N1155" s="539">
        <v>4</v>
      </c>
      <c r="O1155" s="539"/>
      <c r="P1155" s="732" t="str">
        <f>'DICTIONARY-3'!$A$64</f>
        <v>HODlock/TERRAlock</v>
      </c>
      <c r="Q1155" s="732" t="str">
        <f>'DICTIONARY-3'!$A$196</f>
        <v>Mostek nawiertowy</v>
      </c>
      <c r="R1155" s="732" t="str">
        <f>CONCATENATE('DICTIONARY-3'!$A$64,'DICTIONARY-3'!$A$86," ",'DICTIONARY-6'!$A$21," ",'DICTIONARY-2'!$A$2,"200",", ",'DICTIONARY-6'!$A$76," ",'DICTIONARY-5'!$A$57,"+",'DICTIONARY-5'!$A$56)</f>
        <v>HODlock/TERRAlock-K3 Mostek nawiert. DN200, ruroc. PE+PVC</v>
      </c>
      <c r="S1155" s="733" t="str">
        <f>'DICTIONARY-4'!$A$2</f>
        <v>WW</v>
      </c>
      <c r="T1155" s="732"/>
      <c r="U1155" s="734" t="s">
        <v>5750</v>
      </c>
      <c r="V1155" s="735"/>
      <c r="W1155" s="736"/>
      <c r="X1155" s="737"/>
      <c r="Y1155" s="738"/>
      <c r="Z1155" s="739"/>
      <c r="AA1155" s="739"/>
      <c r="AB1155" s="740">
        <v>16</v>
      </c>
      <c r="AC1155" s="741"/>
      <c r="AD1155" s="741" t="str">
        <f>'DICTIONARY-5'!$A$13</f>
        <v>woda pitna</v>
      </c>
      <c r="AE1155" s="742">
        <v>50</v>
      </c>
      <c r="AF1155" s="743">
        <v>11</v>
      </c>
      <c r="AG1155" s="741" t="str">
        <f>'DICTIONARY-5'!$A$23</f>
        <v>powłoka epoksydowa</v>
      </c>
    </row>
    <row r="1156" spans="1:33" x14ac:dyDescent="0.25">
      <c r="A1156" s="861" t="s">
        <v>1162</v>
      </c>
      <c r="B1156" s="861" t="s">
        <v>4183</v>
      </c>
      <c r="C1156" s="836">
        <v>69</v>
      </c>
      <c r="D1156" s="836"/>
      <c r="E1156" s="836"/>
      <c r="F1156" s="836"/>
      <c r="G1156" s="496" t="s">
        <v>7821</v>
      </c>
      <c r="H1156" s="797" t="str">
        <f>VLOOKUP(G1156,SETTINGS!$B$7:$D$97,2,0)</f>
        <v>TERRA K3 BAIO</v>
      </c>
      <c r="I1156" s="796">
        <f>VLOOKUP(G1156,SETTINGS!$B$7:$D$97,3,0)</f>
        <v>0</v>
      </c>
      <c r="J1156" s="670" t="str">
        <f>IFERROR(IF(CURRENCY.FORMAT_1=0,CONCATENATE(TEXT(FIXED(ROUND((C1156/EXC.RATE_1),CURRENCY.FORMAT_1),CURRENCY.FORMAT_1,1),"# ##0;-# ##0"),",-"),FIXED(ROUND((C1156/EXC.RATE_1),CURRENCY.FORMAT_1),CURRENCY.FORMAT_1,0)),'DICTIONARY-5'!$A$2)</f>
        <v>69,-</v>
      </c>
      <c r="K1156" s="670" t="str">
        <f>IF(EXC.RATE_2=0,"",IFERROR(IF(CURRENCY.FORMAT_2=0,CONCATENATE(TEXT(FIXED(ROUND(IF(EXC.RATE.SWITCH=1,C1156/EXC.RATE_2,C1156*EXC.RATE_2),CURRENCY.FORMAT_2),CURRENCY.FORMAT_2,1),"# ##0;-# ##0"),",-"),FIXED(ROUND(IF(EXC.RATE.SWITCH=1,C1156/EXC.RATE_2,C1156*EXC.RATE_2),CURRENCY.FORMAT_2),CURRENCY.FORMAT_2,0)),'DICTIONARY-5'!$A$2))</f>
        <v/>
      </c>
      <c r="L1156" s="670" t="str">
        <f>IFERROR(IF(CURRENCY.FORMAT_1=0,CONCATENATE(TEXT(FIXED(ROUND((C1156*(1-I1156)*(1-ADD.DISCOUNT)*(1+MAT.SURCHARGE)/EXC.RATE_1),CURRENCY.FORMAT_1),CURRENCY.FORMAT_1,1),"# ##0;-# ##0"),",-"),FIXED(ROUND((C1156*(1-I1156)*(1-ADD.DISCOUNT)*(1+MAT.SURCHARGE)/EXC.RATE_1),CURRENCY.FORMAT_1),CURRENCY.FORMAT_1,0)),'DICTIONARY-5'!$A$2)</f>
        <v>72,-</v>
      </c>
      <c r="M1156" s="670" t="str">
        <f>IF(EXC.RATE_2=0,"",IFERROR(IF(CURRENCY.FORMAT_2=0,CONCATENATE(TEXT(FIXED(ROUND(IF(EXC.RATE.SWITCH=1,C1156*(1-I1156)*(1-ADD.DISCOUNT)*(1+MAT.SURCHARGE)/EXC.RATE_2,C1156*(1-I1156)*(1-ADD.DISCOUNT)*(1+MAT.SURCHARGE)*EXC.RATE_2),CURRENCY.FORMAT_2),CURRENCY.FORMAT_2,1),"# ##0;-# ##0"),",-"),FIXED(ROUND(IF(EXC.RATE.SWITCH=1,C1156*(1-I1156)*(1-ADD.DISCOUNT)*(1+MAT.SURCHARGE)/EXC.RATE_2,C1156*(1-I1156)*(1-ADD.DISCOUNT)*(1+MAT.SURCHARGE)*EXC.RATE_2),CURRENCY.FORMAT_2),CURRENCY.FORMAT_2,0)),'DICTIONARY-5'!$A$2))</f>
        <v/>
      </c>
      <c r="N1156" s="539">
        <v>4</v>
      </c>
      <c r="O1156" s="539"/>
      <c r="P1156" s="732" t="str">
        <f>'DICTIONARY-3'!$A$64</f>
        <v>HODlock/TERRAlock</v>
      </c>
      <c r="Q1156" s="732" t="str">
        <f>'DICTIONARY-3'!$A$216</f>
        <v xml:space="preserve">Łącznik </v>
      </c>
      <c r="R1156" s="732" t="str">
        <f>CONCATENATE('DICTIONARY-3'!$A$64," ",'DICTIONARY-6'!$A$24," ",'DICTIONARY-2'!$A$2,"25"," ",'DICTIONARY-2'!$A$5,"32"," ",'DICTIONARY-5'!$A$199,"-",'DICTIONARY-5'!$A$200)</f>
        <v>HODlock/TERRAlock Kształtka DN25 Da32 końcówka bosa-szybkozłaczka wciskana</v>
      </c>
      <c r="S1156" s="733" t="s">
        <v>5569</v>
      </c>
      <c r="T1156" s="732" t="s">
        <v>5569</v>
      </c>
      <c r="U1156" s="734" t="s">
        <v>44</v>
      </c>
      <c r="V1156" s="735"/>
      <c r="W1156" s="744" t="s">
        <v>5846</v>
      </c>
      <c r="X1156" s="737"/>
      <c r="Y1156" s="738"/>
      <c r="Z1156" s="739"/>
      <c r="AA1156" s="739"/>
      <c r="AB1156" s="740">
        <v>16</v>
      </c>
      <c r="AC1156" s="741" t="s">
        <v>5569</v>
      </c>
      <c r="AD1156" s="741" t="str">
        <f>'DICTIONARY-5'!$A$13</f>
        <v>woda pitna</v>
      </c>
      <c r="AE1156" s="742">
        <v>50</v>
      </c>
      <c r="AF1156" s="743">
        <v>1.5</v>
      </c>
      <c r="AG1156" s="741" t="s">
        <v>5569</v>
      </c>
    </row>
    <row r="1157" spans="1:33" x14ac:dyDescent="0.25">
      <c r="A1157" s="861" t="s">
        <v>1163</v>
      </c>
      <c r="B1157" s="861" t="s">
        <v>4184</v>
      </c>
      <c r="C1157" s="836">
        <v>73</v>
      </c>
      <c r="D1157" s="836"/>
      <c r="E1157" s="836"/>
      <c r="F1157" s="836"/>
      <c r="G1157" s="496" t="s">
        <v>7821</v>
      </c>
      <c r="H1157" s="797" t="str">
        <f>VLOOKUP(G1157,SETTINGS!$B$7:$D$97,2,0)</f>
        <v>TERRA K3 BAIO</v>
      </c>
      <c r="I1157" s="796">
        <f>VLOOKUP(G1157,SETTINGS!$B$7:$D$97,3,0)</f>
        <v>0</v>
      </c>
      <c r="J1157" s="670" t="str">
        <f>IFERROR(IF(CURRENCY.FORMAT_1=0,CONCATENATE(TEXT(FIXED(ROUND((C1157/EXC.RATE_1),CURRENCY.FORMAT_1),CURRENCY.FORMAT_1,1),"# ##0;-# ##0"),",-"),FIXED(ROUND((C1157/EXC.RATE_1),CURRENCY.FORMAT_1),CURRENCY.FORMAT_1,0)),'DICTIONARY-5'!$A$2)</f>
        <v>73,-</v>
      </c>
      <c r="K1157" s="670" t="str">
        <f>IF(EXC.RATE_2=0,"",IFERROR(IF(CURRENCY.FORMAT_2=0,CONCATENATE(TEXT(FIXED(ROUND(IF(EXC.RATE.SWITCH=1,C1157/EXC.RATE_2,C1157*EXC.RATE_2),CURRENCY.FORMAT_2),CURRENCY.FORMAT_2,1),"# ##0;-# ##0"),",-"),FIXED(ROUND(IF(EXC.RATE.SWITCH=1,C1157/EXC.RATE_2,C1157*EXC.RATE_2),CURRENCY.FORMAT_2),CURRENCY.FORMAT_2,0)),'DICTIONARY-5'!$A$2))</f>
        <v/>
      </c>
      <c r="L1157" s="670" t="str">
        <f>IFERROR(IF(CURRENCY.FORMAT_1=0,CONCATENATE(TEXT(FIXED(ROUND((C1157*(1-I1157)*(1-ADD.DISCOUNT)*(1+MAT.SURCHARGE)/EXC.RATE_1),CURRENCY.FORMAT_1),CURRENCY.FORMAT_1,1),"# ##0;-# ##0"),",-"),FIXED(ROUND((C1157*(1-I1157)*(1-ADD.DISCOUNT)*(1+MAT.SURCHARGE)/EXC.RATE_1),CURRENCY.FORMAT_1),CURRENCY.FORMAT_1,0)),'DICTIONARY-5'!$A$2)</f>
        <v>76,-</v>
      </c>
      <c r="M1157" s="670" t="str">
        <f>IF(EXC.RATE_2=0,"",IFERROR(IF(CURRENCY.FORMAT_2=0,CONCATENATE(TEXT(FIXED(ROUND(IF(EXC.RATE.SWITCH=1,C1157*(1-I1157)*(1-ADD.DISCOUNT)*(1+MAT.SURCHARGE)/EXC.RATE_2,C1157*(1-I1157)*(1-ADD.DISCOUNT)*(1+MAT.SURCHARGE)*EXC.RATE_2),CURRENCY.FORMAT_2),CURRENCY.FORMAT_2,1),"# ##0;-# ##0"),",-"),FIXED(ROUND(IF(EXC.RATE.SWITCH=1,C1157*(1-I1157)*(1-ADD.DISCOUNT)*(1+MAT.SURCHARGE)/EXC.RATE_2,C1157*(1-I1157)*(1-ADD.DISCOUNT)*(1+MAT.SURCHARGE)*EXC.RATE_2),CURRENCY.FORMAT_2),CURRENCY.FORMAT_2,0)),'DICTIONARY-5'!$A$2))</f>
        <v/>
      </c>
      <c r="N1157" s="539">
        <v>4</v>
      </c>
      <c r="O1157" s="539"/>
      <c r="P1157" s="732" t="str">
        <f>'DICTIONARY-3'!$A$64</f>
        <v>HODlock/TERRAlock</v>
      </c>
      <c r="Q1157" s="732" t="str">
        <f>'DICTIONARY-3'!$A$216</f>
        <v xml:space="preserve">Łącznik </v>
      </c>
      <c r="R1157" s="732" t="str">
        <f>CONCATENATE('DICTIONARY-3'!$A$64," ",'DICTIONARY-6'!$A$24," ",'DICTIONARY-2'!$A$2,"32"," ",'DICTIONARY-2'!$A$5,"40"," ",'DICTIONARY-5'!$A$199,"-",'DICTIONARY-5'!$A$200)</f>
        <v>HODlock/TERRAlock Kształtka DN32 Da40 końcówka bosa-szybkozłaczka wciskana</v>
      </c>
      <c r="S1157" s="733" t="s">
        <v>5569</v>
      </c>
      <c r="T1157" s="732" t="s">
        <v>5569</v>
      </c>
      <c r="U1157" s="734" t="s">
        <v>5846</v>
      </c>
      <c r="V1157" s="735"/>
      <c r="W1157" s="744" t="s">
        <v>5758</v>
      </c>
      <c r="X1157" s="737"/>
      <c r="Y1157" s="738"/>
      <c r="Z1157" s="739"/>
      <c r="AA1157" s="739"/>
      <c r="AB1157" s="740">
        <v>16</v>
      </c>
      <c r="AC1157" s="741" t="s">
        <v>5569</v>
      </c>
      <c r="AD1157" s="741" t="str">
        <f>'DICTIONARY-5'!$A$13</f>
        <v>woda pitna</v>
      </c>
      <c r="AE1157" s="742">
        <v>50</v>
      </c>
      <c r="AF1157" s="743">
        <v>1.2949999999999999</v>
      </c>
      <c r="AG1157" s="741" t="s">
        <v>5569</v>
      </c>
    </row>
    <row r="1158" spans="1:33" x14ac:dyDescent="0.25">
      <c r="A1158" s="861" t="s">
        <v>1164</v>
      </c>
      <c r="B1158" s="861" t="s">
        <v>4185</v>
      </c>
      <c r="C1158" s="836">
        <v>72</v>
      </c>
      <c r="D1158" s="836"/>
      <c r="E1158" s="836"/>
      <c r="F1158" s="836"/>
      <c r="G1158" s="496" t="s">
        <v>7821</v>
      </c>
      <c r="H1158" s="797" t="str">
        <f>VLOOKUP(G1158,SETTINGS!$B$7:$D$97,2,0)</f>
        <v>TERRA K3 BAIO</v>
      </c>
      <c r="I1158" s="796">
        <f>VLOOKUP(G1158,SETTINGS!$B$7:$D$97,3,0)</f>
        <v>0</v>
      </c>
      <c r="J1158" s="670" t="str">
        <f>IFERROR(IF(CURRENCY.FORMAT_1=0,CONCATENATE(TEXT(FIXED(ROUND((C1158/EXC.RATE_1),CURRENCY.FORMAT_1),CURRENCY.FORMAT_1,1),"# ##0;-# ##0"),",-"),FIXED(ROUND((C1158/EXC.RATE_1),CURRENCY.FORMAT_1),CURRENCY.FORMAT_1,0)),'DICTIONARY-5'!$A$2)</f>
        <v>72,-</v>
      </c>
      <c r="K1158" s="670" t="str">
        <f>IF(EXC.RATE_2=0,"",IFERROR(IF(CURRENCY.FORMAT_2=0,CONCATENATE(TEXT(FIXED(ROUND(IF(EXC.RATE.SWITCH=1,C1158/EXC.RATE_2,C1158*EXC.RATE_2),CURRENCY.FORMAT_2),CURRENCY.FORMAT_2,1),"# ##0;-# ##0"),",-"),FIXED(ROUND(IF(EXC.RATE.SWITCH=1,C1158/EXC.RATE_2,C1158*EXC.RATE_2),CURRENCY.FORMAT_2),CURRENCY.FORMAT_2,0)),'DICTIONARY-5'!$A$2))</f>
        <v/>
      </c>
      <c r="L1158" s="670" t="str">
        <f>IFERROR(IF(CURRENCY.FORMAT_1=0,CONCATENATE(TEXT(FIXED(ROUND((C1158*(1-I1158)*(1-ADD.DISCOUNT)*(1+MAT.SURCHARGE)/EXC.RATE_1),CURRENCY.FORMAT_1),CURRENCY.FORMAT_1,1),"# ##0;-# ##0"),",-"),FIXED(ROUND((C1158*(1-I1158)*(1-ADD.DISCOUNT)*(1+MAT.SURCHARGE)/EXC.RATE_1),CURRENCY.FORMAT_1),CURRENCY.FORMAT_1,0)),'DICTIONARY-5'!$A$2)</f>
        <v>75,-</v>
      </c>
      <c r="M1158" s="670" t="str">
        <f>IF(EXC.RATE_2=0,"",IFERROR(IF(CURRENCY.FORMAT_2=0,CONCATENATE(TEXT(FIXED(ROUND(IF(EXC.RATE.SWITCH=1,C1158*(1-I1158)*(1-ADD.DISCOUNT)*(1+MAT.SURCHARGE)/EXC.RATE_2,C1158*(1-I1158)*(1-ADD.DISCOUNT)*(1+MAT.SURCHARGE)*EXC.RATE_2),CURRENCY.FORMAT_2),CURRENCY.FORMAT_2,1),"# ##0;-# ##0"),",-"),FIXED(ROUND(IF(EXC.RATE.SWITCH=1,C1158*(1-I1158)*(1-ADD.DISCOUNT)*(1+MAT.SURCHARGE)/EXC.RATE_2,C1158*(1-I1158)*(1-ADD.DISCOUNT)*(1+MAT.SURCHARGE)*EXC.RATE_2),CURRENCY.FORMAT_2),CURRENCY.FORMAT_2,0)),'DICTIONARY-5'!$A$2))</f>
        <v/>
      </c>
      <c r="N1158" s="539">
        <v>4</v>
      </c>
      <c r="O1158" s="539"/>
      <c r="P1158" s="732" t="str">
        <f>'DICTIONARY-3'!$A$64</f>
        <v>HODlock/TERRAlock</v>
      </c>
      <c r="Q1158" s="732" t="str">
        <f>'DICTIONARY-3'!$A$216</f>
        <v xml:space="preserve">Łącznik </v>
      </c>
      <c r="R1158" s="732" t="str">
        <f>CONCATENATE('DICTIONARY-3'!$A$64," ",'DICTIONARY-6'!$A$24," ",'DICTIONARY-2'!$A$2,"40"," ",'DICTIONARY-2'!$A$5,"50"," ",'DICTIONARY-5'!$A$199,"-",'DICTIONARY-5'!$A$200)</f>
        <v>HODlock/TERRAlock Kształtka DN40 Da50 końcówka bosa-szybkozłaczka wciskana</v>
      </c>
      <c r="S1158" s="733" t="s">
        <v>5569</v>
      </c>
      <c r="T1158" s="732" t="s">
        <v>5569</v>
      </c>
      <c r="U1158" s="734" t="s">
        <v>5758</v>
      </c>
      <c r="V1158" s="735"/>
      <c r="W1158" s="744" t="s">
        <v>5748</v>
      </c>
      <c r="X1158" s="737"/>
      <c r="Y1158" s="738"/>
      <c r="Z1158" s="739"/>
      <c r="AA1158" s="739"/>
      <c r="AB1158" s="740">
        <v>16</v>
      </c>
      <c r="AC1158" s="741" t="s">
        <v>5569</v>
      </c>
      <c r="AD1158" s="741" t="str">
        <f>'DICTIONARY-5'!$A$13</f>
        <v>woda pitna</v>
      </c>
      <c r="AE1158" s="742">
        <v>50</v>
      </c>
      <c r="AF1158" s="743">
        <v>1.56</v>
      </c>
      <c r="AG1158" s="741" t="s">
        <v>5569</v>
      </c>
    </row>
    <row r="1159" spans="1:33" x14ac:dyDescent="0.25">
      <c r="A1159" s="861" t="s">
        <v>1165</v>
      </c>
      <c r="B1159" s="861" t="s">
        <v>4180</v>
      </c>
      <c r="C1159" s="836">
        <v>97</v>
      </c>
      <c r="D1159" s="836"/>
      <c r="E1159" s="836"/>
      <c r="F1159" s="836"/>
      <c r="G1159" s="496" t="s">
        <v>7821</v>
      </c>
      <c r="H1159" s="797" t="str">
        <f>VLOOKUP(G1159,SETTINGS!$B$7:$D$97,2,0)</f>
        <v>TERRA K3 BAIO</v>
      </c>
      <c r="I1159" s="796">
        <f>VLOOKUP(G1159,SETTINGS!$B$7:$D$97,3,0)</f>
        <v>0</v>
      </c>
      <c r="J1159" s="670" t="str">
        <f>IFERROR(IF(CURRENCY.FORMAT_1=0,CONCATENATE(TEXT(FIXED(ROUND((C1159/EXC.RATE_1),CURRENCY.FORMAT_1),CURRENCY.FORMAT_1,1),"# ##0;-# ##0"),",-"),FIXED(ROUND((C1159/EXC.RATE_1),CURRENCY.FORMAT_1),CURRENCY.FORMAT_1,0)),'DICTIONARY-5'!$A$2)</f>
        <v>97,-</v>
      </c>
      <c r="K1159" s="670" t="str">
        <f>IF(EXC.RATE_2=0,"",IFERROR(IF(CURRENCY.FORMAT_2=0,CONCATENATE(TEXT(FIXED(ROUND(IF(EXC.RATE.SWITCH=1,C1159/EXC.RATE_2,C1159*EXC.RATE_2),CURRENCY.FORMAT_2),CURRENCY.FORMAT_2,1),"# ##0;-# ##0"),",-"),FIXED(ROUND(IF(EXC.RATE.SWITCH=1,C1159/EXC.RATE_2,C1159*EXC.RATE_2),CURRENCY.FORMAT_2),CURRENCY.FORMAT_2,0)),'DICTIONARY-5'!$A$2))</f>
        <v/>
      </c>
      <c r="L1159" s="670" t="str">
        <f>IFERROR(IF(CURRENCY.FORMAT_1=0,CONCATENATE(TEXT(FIXED(ROUND((C1159*(1-I1159)*(1-ADD.DISCOUNT)*(1+MAT.SURCHARGE)/EXC.RATE_1),CURRENCY.FORMAT_1),CURRENCY.FORMAT_1,1),"# ##0;-# ##0"),",-"),FIXED(ROUND((C1159*(1-I1159)*(1-ADD.DISCOUNT)*(1+MAT.SURCHARGE)/EXC.RATE_1),CURRENCY.FORMAT_1),CURRENCY.FORMAT_1,0)),'DICTIONARY-5'!$A$2)</f>
        <v>101,-</v>
      </c>
      <c r="M1159" s="670" t="str">
        <f>IF(EXC.RATE_2=0,"",IFERROR(IF(CURRENCY.FORMAT_2=0,CONCATENATE(TEXT(FIXED(ROUND(IF(EXC.RATE.SWITCH=1,C1159*(1-I1159)*(1-ADD.DISCOUNT)*(1+MAT.SURCHARGE)/EXC.RATE_2,C1159*(1-I1159)*(1-ADD.DISCOUNT)*(1+MAT.SURCHARGE)*EXC.RATE_2),CURRENCY.FORMAT_2),CURRENCY.FORMAT_2,1),"# ##0;-# ##0"),",-"),FIXED(ROUND(IF(EXC.RATE.SWITCH=1,C1159*(1-I1159)*(1-ADD.DISCOUNT)*(1+MAT.SURCHARGE)/EXC.RATE_2,C1159*(1-I1159)*(1-ADD.DISCOUNT)*(1+MAT.SURCHARGE)*EXC.RATE_2),CURRENCY.FORMAT_2),CURRENCY.FORMAT_2,0)),'DICTIONARY-5'!$A$2))</f>
        <v/>
      </c>
      <c r="N1159" s="539">
        <v>4</v>
      </c>
      <c r="O1159" s="539"/>
      <c r="P1159" s="732" t="str">
        <f>'DICTIONARY-3'!$A$64</f>
        <v>HODlock/TERRAlock</v>
      </c>
      <c r="Q1159" s="732" t="str">
        <f>'DICTIONARY-3'!$A$216</f>
        <v xml:space="preserve">Łącznik </v>
      </c>
      <c r="R1159" s="732" t="str">
        <f>CONCATENATE('DICTIONARY-3'!$A$64," ",'DICTIONARY-6'!$A$24," ",'DICTIONARY-2'!$A$2,"25"," ",'DICTIONARY-2'!$A$5,"32"," ",'DICTIONARY-5'!$A$199,"-",'DICTIONARY-5'!$A$202)</f>
        <v>HODlock/TERRAlock Kształtka DN25 Da32 końcówka bosa-PE-końcówka</v>
      </c>
      <c r="S1159" s="733" t="s">
        <v>5569</v>
      </c>
      <c r="T1159" s="732" t="s">
        <v>5569</v>
      </c>
      <c r="U1159" s="734" t="s">
        <v>44</v>
      </c>
      <c r="V1159" s="735"/>
      <c r="W1159" s="744" t="s">
        <v>5846</v>
      </c>
      <c r="X1159" s="737"/>
      <c r="Y1159" s="738"/>
      <c r="Z1159" s="739"/>
      <c r="AA1159" s="739"/>
      <c r="AB1159" s="740">
        <v>16</v>
      </c>
      <c r="AC1159" s="741" t="s">
        <v>5569</v>
      </c>
      <c r="AD1159" s="741" t="str">
        <f>'DICTIONARY-5'!$A$13</f>
        <v>woda pitna</v>
      </c>
      <c r="AE1159" s="742">
        <v>50</v>
      </c>
      <c r="AF1159" s="743">
        <v>1.5</v>
      </c>
      <c r="AG1159" s="741" t="s">
        <v>5569</v>
      </c>
    </row>
    <row r="1160" spans="1:33" x14ac:dyDescent="0.25">
      <c r="A1160" s="861" t="s">
        <v>1166</v>
      </c>
      <c r="B1160" s="861" t="s">
        <v>4181</v>
      </c>
      <c r="C1160" s="836">
        <v>97</v>
      </c>
      <c r="D1160" s="836"/>
      <c r="E1160" s="836"/>
      <c r="F1160" s="836"/>
      <c r="G1160" s="496" t="s">
        <v>7821</v>
      </c>
      <c r="H1160" s="797" t="str">
        <f>VLOOKUP(G1160,SETTINGS!$B$7:$D$97,2,0)</f>
        <v>TERRA K3 BAIO</v>
      </c>
      <c r="I1160" s="796">
        <f>VLOOKUP(G1160,SETTINGS!$B$7:$D$97,3,0)</f>
        <v>0</v>
      </c>
      <c r="J1160" s="670" t="str">
        <f>IFERROR(IF(CURRENCY.FORMAT_1=0,CONCATENATE(TEXT(FIXED(ROUND((C1160/EXC.RATE_1),CURRENCY.FORMAT_1),CURRENCY.FORMAT_1,1),"# ##0;-# ##0"),",-"),FIXED(ROUND((C1160/EXC.RATE_1),CURRENCY.FORMAT_1),CURRENCY.FORMAT_1,0)),'DICTIONARY-5'!$A$2)</f>
        <v>97,-</v>
      </c>
      <c r="K1160" s="670" t="str">
        <f>IF(EXC.RATE_2=0,"",IFERROR(IF(CURRENCY.FORMAT_2=0,CONCATENATE(TEXT(FIXED(ROUND(IF(EXC.RATE.SWITCH=1,C1160/EXC.RATE_2,C1160*EXC.RATE_2),CURRENCY.FORMAT_2),CURRENCY.FORMAT_2,1),"# ##0;-# ##0"),",-"),FIXED(ROUND(IF(EXC.RATE.SWITCH=1,C1160/EXC.RATE_2,C1160*EXC.RATE_2),CURRENCY.FORMAT_2),CURRENCY.FORMAT_2,0)),'DICTIONARY-5'!$A$2))</f>
        <v/>
      </c>
      <c r="L1160" s="670" t="str">
        <f>IFERROR(IF(CURRENCY.FORMAT_1=0,CONCATENATE(TEXT(FIXED(ROUND((C1160*(1-I1160)*(1-ADD.DISCOUNT)*(1+MAT.SURCHARGE)/EXC.RATE_1),CURRENCY.FORMAT_1),CURRENCY.FORMAT_1,1),"# ##0;-# ##0"),",-"),FIXED(ROUND((C1160*(1-I1160)*(1-ADD.DISCOUNT)*(1+MAT.SURCHARGE)/EXC.RATE_1),CURRENCY.FORMAT_1),CURRENCY.FORMAT_1,0)),'DICTIONARY-5'!$A$2)</f>
        <v>101,-</v>
      </c>
      <c r="M1160" s="670" t="str">
        <f>IF(EXC.RATE_2=0,"",IFERROR(IF(CURRENCY.FORMAT_2=0,CONCATENATE(TEXT(FIXED(ROUND(IF(EXC.RATE.SWITCH=1,C1160*(1-I1160)*(1-ADD.DISCOUNT)*(1+MAT.SURCHARGE)/EXC.RATE_2,C1160*(1-I1160)*(1-ADD.DISCOUNT)*(1+MAT.SURCHARGE)*EXC.RATE_2),CURRENCY.FORMAT_2),CURRENCY.FORMAT_2,1),"# ##0;-# ##0"),",-"),FIXED(ROUND(IF(EXC.RATE.SWITCH=1,C1160*(1-I1160)*(1-ADD.DISCOUNT)*(1+MAT.SURCHARGE)/EXC.RATE_2,C1160*(1-I1160)*(1-ADD.DISCOUNT)*(1+MAT.SURCHARGE)*EXC.RATE_2),CURRENCY.FORMAT_2),CURRENCY.FORMAT_2,0)),'DICTIONARY-5'!$A$2))</f>
        <v/>
      </c>
      <c r="N1160" s="539">
        <v>4</v>
      </c>
      <c r="O1160" s="539"/>
      <c r="P1160" s="732" t="str">
        <f>'DICTIONARY-3'!$A$64</f>
        <v>HODlock/TERRAlock</v>
      </c>
      <c r="Q1160" s="732" t="str">
        <f>'DICTIONARY-3'!$A$216</f>
        <v xml:space="preserve">Łącznik </v>
      </c>
      <c r="R1160" s="732" t="str">
        <f>CONCATENATE('DICTIONARY-3'!$A$64," ",'DICTIONARY-6'!$A$24," ",'DICTIONARY-2'!$A$2,"32"," ",'DICTIONARY-2'!$A$5,"40"," ",'DICTIONARY-5'!$A$199,"-",'DICTIONARY-5'!$A$202)</f>
        <v>HODlock/TERRAlock Kształtka DN32 Da40 końcówka bosa-PE-końcówka</v>
      </c>
      <c r="S1160" s="733" t="s">
        <v>5569</v>
      </c>
      <c r="T1160" s="732" t="s">
        <v>5569</v>
      </c>
      <c r="U1160" s="734" t="s">
        <v>5846</v>
      </c>
      <c r="V1160" s="735"/>
      <c r="W1160" s="744" t="s">
        <v>5758</v>
      </c>
      <c r="X1160" s="737"/>
      <c r="Y1160" s="738"/>
      <c r="Z1160" s="739"/>
      <c r="AA1160" s="739"/>
      <c r="AB1160" s="740">
        <v>16</v>
      </c>
      <c r="AC1160" s="741" t="s">
        <v>5569</v>
      </c>
      <c r="AD1160" s="741" t="str">
        <f>'DICTIONARY-5'!$A$13</f>
        <v>woda pitna</v>
      </c>
      <c r="AE1160" s="742">
        <v>50</v>
      </c>
      <c r="AF1160" s="743">
        <v>1.34</v>
      </c>
      <c r="AG1160" s="741" t="s">
        <v>5569</v>
      </c>
    </row>
    <row r="1161" spans="1:33" x14ac:dyDescent="0.25">
      <c r="A1161" s="863" t="s">
        <v>1167</v>
      </c>
      <c r="B1161" s="863" t="s">
        <v>4182</v>
      </c>
      <c r="C1161" s="836">
        <v>94</v>
      </c>
      <c r="D1161" s="836"/>
      <c r="E1161" s="836"/>
      <c r="F1161" s="836"/>
      <c r="G1161" s="496" t="s">
        <v>7821</v>
      </c>
      <c r="H1161" s="797" t="str">
        <f>VLOOKUP(G1161,SETTINGS!$B$7:$D$97,2,0)</f>
        <v>TERRA K3 BAIO</v>
      </c>
      <c r="I1161" s="796">
        <f>VLOOKUP(G1161,SETTINGS!$B$7:$D$97,3,0)</f>
        <v>0</v>
      </c>
      <c r="J1161" s="670" t="str">
        <f>IFERROR(IF(CURRENCY.FORMAT_1=0,CONCATENATE(TEXT(FIXED(ROUND((C1161/EXC.RATE_1),CURRENCY.FORMAT_1),CURRENCY.FORMAT_1,1),"# ##0;-# ##0"),",-"),FIXED(ROUND((C1161/EXC.RATE_1),CURRENCY.FORMAT_1),CURRENCY.FORMAT_1,0)),'DICTIONARY-5'!$A$2)</f>
        <v>94,-</v>
      </c>
      <c r="K1161" s="670" t="str">
        <f>IF(EXC.RATE_2=0,"",IFERROR(IF(CURRENCY.FORMAT_2=0,CONCATENATE(TEXT(FIXED(ROUND(IF(EXC.RATE.SWITCH=1,C1161/EXC.RATE_2,C1161*EXC.RATE_2),CURRENCY.FORMAT_2),CURRENCY.FORMAT_2,1),"# ##0;-# ##0"),",-"),FIXED(ROUND(IF(EXC.RATE.SWITCH=1,C1161/EXC.RATE_2,C1161*EXC.RATE_2),CURRENCY.FORMAT_2),CURRENCY.FORMAT_2,0)),'DICTIONARY-5'!$A$2))</f>
        <v/>
      </c>
      <c r="L1161" s="670" t="str">
        <f>IFERROR(IF(CURRENCY.FORMAT_1=0,CONCATENATE(TEXT(FIXED(ROUND((C1161*(1-I1161)*(1-ADD.DISCOUNT)*(1+MAT.SURCHARGE)/EXC.RATE_1),CURRENCY.FORMAT_1),CURRENCY.FORMAT_1,1),"# ##0;-# ##0"),",-"),FIXED(ROUND((C1161*(1-I1161)*(1-ADD.DISCOUNT)*(1+MAT.SURCHARGE)/EXC.RATE_1),CURRENCY.FORMAT_1),CURRENCY.FORMAT_1,0)),'DICTIONARY-5'!$A$2)</f>
        <v>98,-</v>
      </c>
      <c r="M1161" s="670" t="str">
        <f>IF(EXC.RATE_2=0,"",IFERROR(IF(CURRENCY.FORMAT_2=0,CONCATENATE(TEXT(FIXED(ROUND(IF(EXC.RATE.SWITCH=1,C1161*(1-I1161)*(1-ADD.DISCOUNT)*(1+MAT.SURCHARGE)/EXC.RATE_2,C1161*(1-I1161)*(1-ADD.DISCOUNT)*(1+MAT.SURCHARGE)*EXC.RATE_2),CURRENCY.FORMAT_2),CURRENCY.FORMAT_2,1),"# ##0;-# ##0"),",-"),FIXED(ROUND(IF(EXC.RATE.SWITCH=1,C1161*(1-I1161)*(1-ADD.DISCOUNT)*(1+MAT.SURCHARGE)/EXC.RATE_2,C1161*(1-I1161)*(1-ADD.DISCOUNT)*(1+MAT.SURCHARGE)*EXC.RATE_2),CURRENCY.FORMAT_2),CURRENCY.FORMAT_2,0)),'DICTIONARY-5'!$A$2))</f>
        <v/>
      </c>
      <c r="N1161" s="539">
        <v>4</v>
      </c>
      <c r="O1161" s="539"/>
      <c r="P1161" s="732" t="str">
        <f>'DICTIONARY-3'!$A$64</f>
        <v>HODlock/TERRAlock</v>
      </c>
      <c r="Q1161" s="732" t="str">
        <f>'DICTIONARY-3'!$A$216</f>
        <v xml:space="preserve">Łącznik </v>
      </c>
      <c r="R1161" s="732" t="str">
        <f>CONCATENATE('DICTIONARY-3'!$A$64," ",'DICTIONARY-6'!$A$24," ",'DICTIONARY-2'!$A$2,"40"," ",'DICTIONARY-2'!$A$5,"50"," ",'DICTIONARY-5'!$A$199,"-",'DICTIONARY-5'!$A$202)</f>
        <v>HODlock/TERRAlock Kształtka DN40 Da50 końcówka bosa-PE-końcówka</v>
      </c>
      <c r="S1161" s="733" t="s">
        <v>5569</v>
      </c>
      <c r="T1161" s="732" t="s">
        <v>5569</v>
      </c>
      <c r="U1161" s="734" t="s">
        <v>5758</v>
      </c>
      <c r="V1161" s="735"/>
      <c r="W1161" s="744" t="s">
        <v>5748</v>
      </c>
      <c r="X1161" s="737"/>
      <c r="Y1161" s="738"/>
      <c r="Z1161" s="739"/>
      <c r="AA1161" s="739"/>
      <c r="AB1161" s="740">
        <v>16</v>
      </c>
      <c r="AC1161" s="741"/>
      <c r="AD1161" s="741" t="str">
        <f>'DICTIONARY-5'!$A$13</f>
        <v>woda pitna</v>
      </c>
      <c r="AE1161" s="742">
        <v>50</v>
      </c>
      <c r="AF1161" s="743">
        <v>1.5</v>
      </c>
      <c r="AG1161" s="741" t="s">
        <v>5569</v>
      </c>
    </row>
    <row r="1162" spans="1:33" x14ac:dyDescent="0.25">
      <c r="A1162" s="861" t="s">
        <v>1168</v>
      </c>
      <c r="B1162" s="861" t="s">
        <v>4174</v>
      </c>
      <c r="C1162" s="836">
        <v>156</v>
      </c>
      <c r="D1162" s="836"/>
      <c r="E1162" s="836"/>
      <c r="F1162" s="836"/>
      <c r="G1162" s="496" t="s">
        <v>7820</v>
      </c>
      <c r="H1162" s="797" t="str">
        <f>VLOOKUP(G1162,SETTINGS!$B$7:$D$97,2,0)</f>
        <v>TERRA M1 BAIO</v>
      </c>
      <c r="I1162" s="796">
        <f>VLOOKUP(G1162,SETTINGS!$B$7:$D$97,3,0)</f>
        <v>0</v>
      </c>
      <c r="J1162" s="670" t="str">
        <f>IFERROR(IF(CURRENCY.FORMAT_1=0,CONCATENATE(TEXT(FIXED(ROUND((C1162/EXC.RATE_1),CURRENCY.FORMAT_1),CURRENCY.FORMAT_1,1),"# ##0;-# ##0"),",-"),FIXED(ROUND((C1162/EXC.RATE_1),CURRENCY.FORMAT_1),CURRENCY.FORMAT_1,0)),'DICTIONARY-5'!$A$2)</f>
        <v>156,-</v>
      </c>
      <c r="K1162" s="670" t="str">
        <f>IF(EXC.RATE_2=0,"",IFERROR(IF(CURRENCY.FORMAT_2=0,CONCATENATE(TEXT(FIXED(ROUND(IF(EXC.RATE.SWITCH=1,C1162/EXC.RATE_2,C1162*EXC.RATE_2),CURRENCY.FORMAT_2),CURRENCY.FORMAT_2,1),"# ##0;-# ##0"),",-"),FIXED(ROUND(IF(EXC.RATE.SWITCH=1,C1162/EXC.RATE_2,C1162*EXC.RATE_2),CURRENCY.FORMAT_2),CURRENCY.FORMAT_2,0)),'DICTIONARY-5'!$A$2))</f>
        <v/>
      </c>
      <c r="L1162" s="670" t="str">
        <f>IFERROR(IF(CURRENCY.FORMAT_1=0,CONCATENATE(TEXT(FIXED(ROUND((C1162*(1-I1162)*(1-ADD.DISCOUNT)*(1+MAT.SURCHARGE)/EXC.RATE_1),CURRENCY.FORMAT_1),CURRENCY.FORMAT_1,1),"# ##0;-# ##0"),",-"),FIXED(ROUND((C1162*(1-I1162)*(1-ADD.DISCOUNT)*(1+MAT.SURCHARGE)/EXC.RATE_1),CURRENCY.FORMAT_1),CURRENCY.FORMAT_1,0)),'DICTIONARY-5'!$A$2)</f>
        <v>162,-</v>
      </c>
      <c r="M1162" s="670" t="str">
        <f>IF(EXC.RATE_2=0,"",IFERROR(IF(CURRENCY.FORMAT_2=0,CONCATENATE(TEXT(FIXED(ROUND(IF(EXC.RATE.SWITCH=1,C1162*(1-I1162)*(1-ADD.DISCOUNT)*(1+MAT.SURCHARGE)/EXC.RATE_2,C1162*(1-I1162)*(1-ADD.DISCOUNT)*(1+MAT.SURCHARGE)*EXC.RATE_2),CURRENCY.FORMAT_2),CURRENCY.FORMAT_2,1),"# ##0;-# ##0"),",-"),FIXED(ROUND(IF(EXC.RATE.SWITCH=1,C1162*(1-I1162)*(1-ADD.DISCOUNT)*(1+MAT.SURCHARGE)/EXC.RATE_2,C1162*(1-I1162)*(1-ADD.DISCOUNT)*(1+MAT.SURCHARGE)*EXC.RATE_2),CURRENCY.FORMAT_2),CURRENCY.FORMAT_2,0)),'DICTIONARY-5'!$A$2))</f>
        <v/>
      </c>
      <c r="N1162" s="539">
        <v>4</v>
      </c>
      <c r="O1162" s="539"/>
      <c r="P1162" s="732" t="str">
        <f>'DICTIONARY-3'!$A$64</f>
        <v>HODlock/TERRAlock</v>
      </c>
      <c r="Q1162" s="732" t="str">
        <f>'DICTIONARY-3'!$A$187</f>
        <v>Zasuwa klinowa</v>
      </c>
      <c r="R1162" s="732" t="str">
        <f>CONCATENATE('DICTIONARY-3'!$A$64," ",'DICTIONARY-6'!$A$3," ",'DICTIONARY-2'!$A$2,"32"," ",'DICTIONARY-5'!$A$203," ",'DICTIONARY-5'!$A$52)</f>
        <v>HODlock/TERRAlock Zasuwa DN32 pokrywa mosiądz</v>
      </c>
      <c r="S1162" s="733" t="str">
        <f>'DICTIONARY-4'!$A$2</f>
        <v>WW</v>
      </c>
      <c r="T1162" s="732" t="str">
        <f>'DICTIONARY-4'!$A$18</f>
        <v>Wolny wałek</v>
      </c>
      <c r="U1162" s="734" t="s">
        <v>5846</v>
      </c>
      <c r="V1162" s="735"/>
      <c r="W1162" s="736"/>
      <c r="X1162" s="737"/>
      <c r="Y1162" s="738"/>
      <c r="Z1162" s="739"/>
      <c r="AA1162" s="739"/>
      <c r="AB1162" s="740">
        <v>16</v>
      </c>
      <c r="AC1162" s="741"/>
      <c r="AD1162" s="741" t="str">
        <f>'DICTIONARY-5'!$A$13</f>
        <v>woda pitna</v>
      </c>
      <c r="AE1162" s="742">
        <v>50</v>
      </c>
      <c r="AF1162" s="743">
        <v>3.3</v>
      </c>
      <c r="AG1162" s="741" t="str">
        <f>'DICTIONARY-5'!$A$23</f>
        <v>powłoka epoksydowa</v>
      </c>
    </row>
    <row r="1163" spans="1:33" x14ac:dyDescent="0.25">
      <c r="A1163" s="861" t="s">
        <v>1169</v>
      </c>
      <c r="B1163" s="861" t="s">
        <v>4175</v>
      </c>
      <c r="C1163" s="836">
        <v>237</v>
      </c>
      <c r="D1163" s="836"/>
      <c r="E1163" s="836"/>
      <c r="F1163" s="836"/>
      <c r="G1163" s="496" t="s">
        <v>7820</v>
      </c>
      <c r="H1163" s="797" t="str">
        <f>VLOOKUP(G1163,SETTINGS!$B$7:$D$97,2,0)</f>
        <v>TERRA M1 BAIO</v>
      </c>
      <c r="I1163" s="796">
        <f>VLOOKUP(G1163,SETTINGS!$B$7:$D$97,3,0)</f>
        <v>0</v>
      </c>
      <c r="J1163" s="670" t="str">
        <f>IFERROR(IF(CURRENCY.FORMAT_1=0,CONCATENATE(TEXT(FIXED(ROUND((C1163/EXC.RATE_1),CURRENCY.FORMAT_1),CURRENCY.FORMAT_1,1),"# ##0;-# ##0"),",-"),FIXED(ROUND((C1163/EXC.RATE_1),CURRENCY.FORMAT_1),CURRENCY.FORMAT_1,0)),'DICTIONARY-5'!$A$2)</f>
        <v>237,-</v>
      </c>
      <c r="K1163" s="670" t="str">
        <f>IF(EXC.RATE_2=0,"",IFERROR(IF(CURRENCY.FORMAT_2=0,CONCATENATE(TEXT(FIXED(ROUND(IF(EXC.RATE.SWITCH=1,C1163/EXC.RATE_2,C1163*EXC.RATE_2),CURRENCY.FORMAT_2),CURRENCY.FORMAT_2,1),"# ##0;-# ##0"),",-"),FIXED(ROUND(IF(EXC.RATE.SWITCH=1,C1163/EXC.RATE_2,C1163*EXC.RATE_2),CURRENCY.FORMAT_2),CURRENCY.FORMAT_2,0)),'DICTIONARY-5'!$A$2))</f>
        <v/>
      </c>
      <c r="L1163" s="670" t="str">
        <f>IFERROR(IF(CURRENCY.FORMAT_1=0,CONCATENATE(TEXT(FIXED(ROUND((C1163*(1-I1163)*(1-ADD.DISCOUNT)*(1+MAT.SURCHARGE)/EXC.RATE_1),CURRENCY.FORMAT_1),CURRENCY.FORMAT_1,1),"# ##0;-# ##0"),",-"),FIXED(ROUND((C1163*(1-I1163)*(1-ADD.DISCOUNT)*(1+MAT.SURCHARGE)/EXC.RATE_1),CURRENCY.FORMAT_1),CURRENCY.FORMAT_1,0)),'DICTIONARY-5'!$A$2)</f>
        <v>246,-</v>
      </c>
      <c r="M1163" s="670" t="str">
        <f>IF(EXC.RATE_2=0,"",IFERROR(IF(CURRENCY.FORMAT_2=0,CONCATENATE(TEXT(FIXED(ROUND(IF(EXC.RATE.SWITCH=1,C1163*(1-I1163)*(1-ADD.DISCOUNT)*(1+MAT.SURCHARGE)/EXC.RATE_2,C1163*(1-I1163)*(1-ADD.DISCOUNT)*(1+MAT.SURCHARGE)*EXC.RATE_2),CURRENCY.FORMAT_2),CURRENCY.FORMAT_2,1),"# ##0;-# ##0"),",-"),FIXED(ROUND(IF(EXC.RATE.SWITCH=1,C1163*(1-I1163)*(1-ADD.DISCOUNT)*(1+MAT.SURCHARGE)/EXC.RATE_2,C1163*(1-I1163)*(1-ADD.DISCOUNT)*(1+MAT.SURCHARGE)*EXC.RATE_2),CURRENCY.FORMAT_2),CURRENCY.FORMAT_2,0)),'DICTIONARY-5'!$A$2))</f>
        <v/>
      </c>
      <c r="N1163" s="539">
        <v>4</v>
      </c>
      <c r="O1163" s="539"/>
      <c r="P1163" s="731" t="str">
        <f>'DICTIONARY-3'!$A$64</f>
        <v>HODlock/TERRAlock</v>
      </c>
      <c r="Q1163" s="732" t="str">
        <f>'DICTIONARY-3'!$A$187</f>
        <v>Zasuwa klinowa</v>
      </c>
      <c r="R1163" s="732" t="str">
        <f>CONCATENATE('DICTIONARY-3'!$A$64," ",'DICTIONARY-6'!$A$3," ",'DICTIONARY-2'!$A$2,"32"," ",'DICTIONARY-5'!$A$203,", ",'DICTIONARY-5'!$A$48)</f>
        <v>HODlock/TERRAlock Zasuwa DN32 pokrywa, żeliwo</v>
      </c>
      <c r="S1163" s="733" t="str">
        <f>'DICTIONARY-4'!$A$2</f>
        <v>WW</v>
      </c>
      <c r="T1163" s="732" t="str">
        <f>'DICTIONARY-4'!$A$18</f>
        <v>Wolny wałek</v>
      </c>
      <c r="U1163" s="734" t="s">
        <v>5846</v>
      </c>
      <c r="V1163" s="735"/>
      <c r="W1163" s="736"/>
      <c r="X1163" s="737"/>
      <c r="Y1163" s="738"/>
      <c r="Z1163" s="739"/>
      <c r="AA1163" s="739"/>
      <c r="AB1163" s="740">
        <v>16</v>
      </c>
      <c r="AC1163" s="741"/>
      <c r="AD1163" s="741" t="str">
        <f>'DICTIONARY-5'!$A$13</f>
        <v>woda pitna</v>
      </c>
      <c r="AE1163" s="742">
        <v>50</v>
      </c>
      <c r="AF1163" s="743">
        <v>3.6</v>
      </c>
      <c r="AG1163" s="741" t="str">
        <f>'DICTIONARY-5'!$A$23</f>
        <v>powłoka epoksydowa</v>
      </c>
    </row>
    <row r="1164" spans="1:33" x14ac:dyDescent="0.25">
      <c r="A1164" s="754" t="s">
        <v>5537</v>
      </c>
      <c r="B1164" s="754" t="s">
        <v>5538</v>
      </c>
      <c r="C1164" s="836">
        <v>196</v>
      </c>
      <c r="D1164" s="836"/>
      <c r="E1164" s="836"/>
      <c r="F1164" s="836"/>
      <c r="G1164" s="496" t="s">
        <v>7820</v>
      </c>
      <c r="H1164" s="797" t="str">
        <f>VLOOKUP(G1164,SETTINGS!$B$7:$D$97,2,0)</f>
        <v>TERRA M1 BAIO</v>
      </c>
      <c r="I1164" s="796">
        <f>VLOOKUP(G1164,SETTINGS!$B$7:$D$97,3,0)</f>
        <v>0</v>
      </c>
      <c r="J1164" s="670" t="str">
        <f>IFERROR(IF(CURRENCY.FORMAT_1=0,CONCATENATE(TEXT(FIXED(ROUND((C1164/EXC.RATE_1),CURRENCY.FORMAT_1),CURRENCY.FORMAT_1,1),"# ##0;-# ##0"),",-"),FIXED(ROUND((C1164/EXC.RATE_1),CURRENCY.FORMAT_1),CURRENCY.FORMAT_1,0)),'DICTIONARY-5'!$A$2)</f>
        <v>196,-</v>
      </c>
      <c r="K1164" s="670" t="str">
        <f>IF(EXC.RATE_2=0,"",IFERROR(IF(CURRENCY.FORMAT_2=0,CONCATENATE(TEXT(FIXED(ROUND(IF(EXC.RATE.SWITCH=1,C1164/EXC.RATE_2,C1164*EXC.RATE_2),CURRENCY.FORMAT_2),CURRENCY.FORMAT_2,1),"# ##0;-# ##0"),",-"),FIXED(ROUND(IF(EXC.RATE.SWITCH=1,C1164/EXC.RATE_2,C1164*EXC.RATE_2),CURRENCY.FORMAT_2),CURRENCY.FORMAT_2,0)),'DICTIONARY-5'!$A$2))</f>
        <v/>
      </c>
      <c r="L1164" s="670" t="str">
        <f>IFERROR(IF(CURRENCY.FORMAT_1=0,CONCATENATE(TEXT(FIXED(ROUND((C1164*(1-I1164)*(1-ADD.DISCOUNT)*(1+MAT.SURCHARGE)/EXC.RATE_1),CURRENCY.FORMAT_1),CURRENCY.FORMAT_1,1),"# ##0;-# ##0"),",-"),FIXED(ROUND((C1164*(1-I1164)*(1-ADD.DISCOUNT)*(1+MAT.SURCHARGE)/EXC.RATE_1),CURRENCY.FORMAT_1),CURRENCY.FORMAT_1,0)),'DICTIONARY-5'!$A$2)</f>
        <v>204,-</v>
      </c>
      <c r="M1164" s="670" t="str">
        <f>IF(EXC.RATE_2=0,"",IFERROR(IF(CURRENCY.FORMAT_2=0,CONCATENATE(TEXT(FIXED(ROUND(IF(EXC.RATE.SWITCH=1,C1164*(1-I1164)*(1-ADD.DISCOUNT)*(1+MAT.SURCHARGE)/EXC.RATE_2,C1164*(1-I1164)*(1-ADD.DISCOUNT)*(1+MAT.SURCHARGE)*EXC.RATE_2),CURRENCY.FORMAT_2),CURRENCY.FORMAT_2,1),"# ##0;-# ##0"),",-"),FIXED(ROUND(IF(EXC.RATE.SWITCH=1,C1164*(1-I1164)*(1-ADD.DISCOUNT)*(1+MAT.SURCHARGE)/EXC.RATE_2,C1164*(1-I1164)*(1-ADD.DISCOUNT)*(1+MAT.SURCHARGE)*EXC.RATE_2),CURRENCY.FORMAT_2),CURRENCY.FORMAT_2,0)),'DICTIONARY-5'!$A$2))</f>
        <v/>
      </c>
      <c r="N1164" s="539">
        <v>4</v>
      </c>
      <c r="O1164" s="539"/>
      <c r="P1164" s="731" t="str">
        <f>'DICTIONARY-3'!$A$64</f>
        <v>HODlock/TERRAlock</v>
      </c>
      <c r="Q1164" s="732" t="str">
        <f>'DICTIONARY-3'!$A$187</f>
        <v>Zasuwa klinowa</v>
      </c>
      <c r="R1164" s="732" t="str">
        <f>CONCATENATE('DICTIONARY-3'!$A$64," ",'DICTIONARY-6'!$A$3," ",'DICTIONARY-5'!$A$201," ",'DICTIONARY-2'!$A$2,"32"," ",'DICTIONARY-2'!$A$5,"32 ")</f>
        <v xml:space="preserve">HODlock/TERRAlock Zasuwa szybkozłączki wciskane DN32 Da32 </v>
      </c>
      <c r="S1164" s="733" t="str">
        <f>'DICTIONARY-4'!$A$2</f>
        <v>WW</v>
      </c>
      <c r="T1164" s="732" t="str">
        <f>'DICTIONARY-4'!$A$18</f>
        <v>Wolny wałek</v>
      </c>
      <c r="U1164" s="734" t="s">
        <v>5846</v>
      </c>
      <c r="V1164" s="735"/>
      <c r="W1164" s="744" t="s">
        <v>5846</v>
      </c>
      <c r="X1164" s="737"/>
      <c r="Y1164" s="738"/>
      <c r="Z1164" s="739"/>
      <c r="AA1164" s="739"/>
      <c r="AB1164" s="740">
        <v>16</v>
      </c>
      <c r="AC1164" s="741"/>
      <c r="AD1164" s="741" t="str">
        <f>'DICTIONARY-5'!$A$13</f>
        <v>woda pitna</v>
      </c>
      <c r="AE1164" s="742">
        <v>50</v>
      </c>
      <c r="AF1164" s="743">
        <v>4</v>
      </c>
      <c r="AG1164" s="741" t="str">
        <f>'DICTIONARY-5'!$A$23</f>
        <v>powłoka epoksydowa</v>
      </c>
    </row>
    <row r="1165" spans="1:33" x14ac:dyDescent="0.25">
      <c r="A1165" s="754" t="s">
        <v>5539</v>
      </c>
      <c r="B1165" s="754" t="s">
        <v>5540</v>
      </c>
      <c r="C1165" s="836">
        <v>193</v>
      </c>
      <c r="D1165" s="836"/>
      <c r="E1165" s="836"/>
      <c r="F1165" s="836"/>
      <c r="G1165" s="496" t="s">
        <v>7820</v>
      </c>
      <c r="H1165" s="797" t="str">
        <f>VLOOKUP(G1165,SETTINGS!$B$7:$D$97,2,0)</f>
        <v>TERRA M1 BAIO</v>
      </c>
      <c r="I1165" s="796">
        <f>VLOOKUP(G1165,SETTINGS!$B$7:$D$97,3,0)</f>
        <v>0</v>
      </c>
      <c r="J1165" s="670" t="str">
        <f>IFERROR(IF(CURRENCY.FORMAT_1=0,CONCATENATE(TEXT(FIXED(ROUND((C1165/EXC.RATE_1),CURRENCY.FORMAT_1),CURRENCY.FORMAT_1,1),"# ##0;-# ##0"),",-"),FIXED(ROUND((C1165/EXC.RATE_1),CURRENCY.FORMAT_1),CURRENCY.FORMAT_1,0)),'DICTIONARY-5'!$A$2)</f>
        <v>193,-</v>
      </c>
      <c r="K1165" s="670" t="str">
        <f>IF(EXC.RATE_2=0,"",IFERROR(IF(CURRENCY.FORMAT_2=0,CONCATENATE(TEXT(FIXED(ROUND(IF(EXC.RATE.SWITCH=1,C1165/EXC.RATE_2,C1165*EXC.RATE_2),CURRENCY.FORMAT_2),CURRENCY.FORMAT_2,1),"# ##0;-# ##0"),",-"),FIXED(ROUND(IF(EXC.RATE.SWITCH=1,C1165/EXC.RATE_2,C1165*EXC.RATE_2),CURRENCY.FORMAT_2),CURRENCY.FORMAT_2,0)),'DICTIONARY-5'!$A$2))</f>
        <v/>
      </c>
      <c r="L1165" s="670" t="str">
        <f>IFERROR(IF(CURRENCY.FORMAT_1=0,CONCATENATE(TEXT(FIXED(ROUND((C1165*(1-I1165)*(1-ADD.DISCOUNT)*(1+MAT.SURCHARGE)/EXC.RATE_1),CURRENCY.FORMAT_1),CURRENCY.FORMAT_1,1),"# ##0;-# ##0"),",-"),FIXED(ROUND((C1165*(1-I1165)*(1-ADD.DISCOUNT)*(1+MAT.SURCHARGE)/EXC.RATE_1),CURRENCY.FORMAT_1),CURRENCY.FORMAT_1,0)),'DICTIONARY-5'!$A$2)</f>
        <v>201,-</v>
      </c>
      <c r="M1165" s="670" t="str">
        <f>IF(EXC.RATE_2=0,"",IFERROR(IF(CURRENCY.FORMAT_2=0,CONCATENATE(TEXT(FIXED(ROUND(IF(EXC.RATE.SWITCH=1,C1165*(1-I1165)*(1-ADD.DISCOUNT)*(1+MAT.SURCHARGE)/EXC.RATE_2,C1165*(1-I1165)*(1-ADD.DISCOUNT)*(1+MAT.SURCHARGE)*EXC.RATE_2),CURRENCY.FORMAT_2),CURRENCY.FORMAT_2,1),"# ##0;-# ##0"),",-"),FIXED(ROUND(IF(EXC.RATE.SWITCH=1,C1165*(1-I1165)*(1-ADD.DISCOUNT)*(1+MAT.SURCHARGE)/EXC.RATE_2,C1165*(1-I1165)*(1-ADD.DISCOUNT)*(1+MAT.SURCHARGE)*EXC.RATE_2),CURRENCY.FORMAT_2),CURRENCY.FORMAT_2,0)),'DICTIONARY-5'!$A$2))</f>
        <v/>
      </c>
      <c r="N1165" s="539">
        <v>4</v>
      </c>
      <c r="O1165" s="539"/>
      <c r="P1165" s="731" t="str">
        <f>'DICTIONARY-3'!$A$64</f>
        <v>HODlock/TERRAlock</v>
      </c>
      <c r="Q1165" s="732" t="str">
        <f>'DICTIONARY-3'!$A$187</f>
        <v>Zasuwa klinowa</v>
      </c>
      <c r="R1165" s="732" t="str">
        <f>CONCATENATE('DICTIONARY-3'!$A$64," ",'DICTIONARY-6'!$A$3," ",'DICTIONARY-5'!$A$201," ",'DICTIONARY-2'!$A$2,"32"," ",'DICTIONARY-2'!$A$5,"40")</f>
        <v>HODlock/TERRAlock Zasuwa szybkozłączki wciskane DN32 Da40</v>
      </c>
      <c r="S1165" s="733" t="str">
        <f>'DICTIONARY-4'!$A$2</f>
        <v>WW</v>
      </c>
      <c r="T1165" s="732" t="str">
        <f>'DICTIONARY-4'!$A$18</f>
        <v>Wolny wałek</v>
      </c>
      <c r="U1165" s="734" t="s">
        <v>5846</v>
      </c>
      <c r="V1165" s="735"/>
      <c r="W1165" s="744" t="s">
        <v>5758</v>
      </c>
      <c r="X1165" s="737"/>
      <c r="Y1165" s="738"/>
      <c r="Z1165" s="739"/>
      <c r="AA1165" s="739"/>
      <c r="AB1165" s="740">
        <v>16</v>
      </c>
      <c r="AC1165" s="741"/>
      <c r="AD1165" s="741" t="str">
        <f>'DICTIONARY-5'!$A$13</f>
        <v>woda pitna</v>
      </c>
      <c r="AE1165" s="742">
        <v>50</v>
      </c>
      <c r="AF1165" s="743">
        <v>4.3</v>
      </c>
      <c r="AG1165" s="741" t="str">
        <f>'DICTIONARY-5'!$A$23</f>
        <v>powłoka epoksydowa</v>
      </c>
    </row>
    <row r="1166" spans="1:33" x14ac:dyDescent="0.25">
      <c r="A1166" s="754" t="s">
        <v>5541</v>
      </c>
      <c r="B1166" s="754" t="s">
        <v>5542</v>
      </c>
      <c r="C1166" s="836">
        <v>204</v>
      </c>
      <c r="D1166" s="836"/>
      <c r="E1166" s="836"/>
      <c r="F1166" s="836"/>
      <c r="G1166" s="496" t="s">
        <v>7820</v>
      </c>
      <c r="H1166" s="797" t="str">
        <f>VLOOKUP(G1166,SETTINGS!$B$7:$D$97,2,0)</f>
        <v>TERRA M1 BAIO</v>
      </c>
      <c r="I1166" s="796">
        <f>VLOOKUP(G1166,SETTINGS!$B$7:$D$97,3,0)</f>
        <v>0</v>
      </c>
      <c r="J1166" s="670" t="str">
        <f>IFERROR(IF(CURRENCY.FORMAT_1=0,CONCATENATE(TEXT(FIXED(ROUND((C1166/EXC.RATE_1),CURRENCY.FORMAT_1),CURRENCY.FORMAT_1,1),"# ##0;-# ##0"),",-"),FIXED(ROUND((C1166/EXC.RATE_1),CURRENCY.FORMAT_1),CURRENCY.FORMAT_1,0)),'DICTIONARY-5'!$A$2)</f>
        <v>204,-</v>
      </c>
      <c r="K1166" s="670" t="str">
        <f>IF(EXC.RATE_2=0,"",IFERROR(IF(CURRENCY.FORMAT_2=0,CONCATENATE(TEXT(FIXED(ROUND(IF(EXC.RATE.SWITCH=1,C1166/EXC.RATE_2,C1166*EXC.RATE_2),CURRENCY.FORMAT_2),CURRENCY.FORMAT_2,1),"# ##0;-# ##0"),",-"),FIXED(ROUND(IF(EXC.RATE.SWITCH=1,C1166/EXC.RATE_2,C1166*EXC.RATE_2),CURRENCY.FORMAT_2),CURRENCY.FORMAT_2,0)),'DICTIONARY-5'!$A$2))</f>
        <v/>
      </c>
      <c r="L1166" s="670" t="str">
        <f>IFERROR(IF(CURRENCY.FORMAT_1=0,CONCATENATE(TEXT(FIXED(ROUND((C1166*(1-I1166)*(1-ADD.DISCOUNT)*(1+MAT.SURCHARGE)/EXC.RATE_1),CURRENCY.FORMAT_1),CURRENCY.FORMAT_1,1),"# ##0;-# ##0"),",-"),FIXED(ROUND((C1166*(1-I1166)*(1-ADD.DISCOUNT)*(1+MAT.SURCHARGE)/EXC.RATE_1),CURRENCY.FORMAT_1),CURRENCY.FORMAT_1,0)),'DICTIONARY-5'!$A$2)</f>
        <v>212,-</v>
      </c>
      <c r="M1166" s="670" t="str">
        <f>IF(EXC.RATE_2=0,"",IFERROR(IF(CURRENCY.FORMAT_2=0,CONCATENATE(TEXT(FIXED(ROUND(IF(EXC.RATE.SWITCH=1,C1166*(1-I1166)*(1-ADD.DISCOUNT)*(1+MAT.SURCHARGE)/EXC.RATE_2,C1166*(1-I1166)*(1-ADD.DISCOUNT)*(1+MAT.SURCHARGE)*EXC.RATE_2),CURRENCY.FORMAT_2),CURRENCY.FORMAT_2,1),"# ##0;-# ##0"),",-"),FIXED(ROUND(IF(EXC.RATE.SWITCH=1,C1166*(1-I1166)*(1-ADD.DISCOUNT)*(1+MAT.SURCHARGE)/EXC.RATE_2,C1166*(1-I1166)*(1-ADD.DISCOUNT)*(1+MAT.SURCHARGE)*EXC.RATE_2),CURRENCY.FORMAT_2),CURRENCY.FORMAT_2,0)),'DICTIONARY-5'!$A$2))</f>
        <v/>
      </c>
      <c r="N1166" s="539">
        <v>4</v>
      </c>
      <c r="O1166" s="539"/>
      <c r="P1166" s="731" t="str">
        <f>'DICTIONARY-3'!$A$64</f>
        <v>HODlock/TERRAlock</v>
      </c>
      <c r="Q1166" s="732" t="str">
        <f>'DICTIONARY-3'!$A$187</f>
        <v>Zasuwa klinowa</v>
      </c>
      <c r="R1166" s="732" t="str">
        <f>CONCATENATE('DICTIONARY-3'!$A$64," ",'DICTIONARY-6'!$A$3," ",'DICTIONARY-5'!$A$201," ",'DICTIONARY-2'!$A$2,"32"," ",'DICTIONARY-2'!$A$5,"50")</f>
        <v>HODlock/TERRAlock Zasuwa szybkozłączki wciskane DN32 Da50</v>
      </c>
      <c r="S1166" s="733" t="str">
        <f>'DICTIONARY-4'!$A$2</f>
        <v>WW</v>
      </c>
      <c r="T1166" s="732" t="str">
        <f>'DICTIONARY-4'!$A$18</f>
        <v>Wolny wałek</v>
      </c>
      <c r="U1166" s="734" t="s">
        <v>5846</v>
      </c>
      <c r="V1166" s="735"/>
      <c r="W1166" s="744" t="s">
        <v>5748</v>
      </c>
      <c r="X1166" s="737"/>
      <c r="Y1166" s="738"/>
      <c r="Z1166" s="739"/>
      <c r="AA1166" s="739"/>
      <c r="AB1166" s="740">
        <v>16</v>
      </c>
      <c r="AC1166" s="741"/>
      <c r="AD1166" s="741" t="str">
        <f>'DICTIONARY-5'!$A$13</f>
        <v>woda pitna</v>
      </c>
      <c r="AE1166" s="742">
        <v>50</v>
      </c>
      <c r="AF1166" s="743">
        <v>4.9000000000000004</v>
      </c>
      <c r="AG1166" s="741" t="str">
        <f>'DICTIONARY-5'!$A$23</f>
        <v>powłoka epoksydowa</v>
      </c>
    </row>
    <row r="1167" spans="1:33" x14ac:dyDescent="0.25">
      <c r="A1167" s="861" t="s">
        <v>1171</v>
      </c>
      <c r="B1167" s="861" t="s">
        <v>4176</v>
      </c>
      <c r="C1167" s="836">
        <v>151</v>
      </c>
      <c r="D1167" s="836"/>
      <c r="E1167" s="836"/>
      <c r="F1167" s="836"/>
      <c r="G1167" s="496" t="s">
        <v>7820</v>
      </c>
      <c r="H1167" s="797" t="str">
        <f>VLOOKUP(G1167,SETTINGS!$B$7:$D$97,2,0)</f>
        <v>TERRA M1 BAIO</v>
      </c>
      <c r="I1167" s="796">
        <f>VLOOKUP(G1167,SETTINGS!$B$7:$D$97,3,0)</f>
        <v>0</v>
      </c>
      <c r="J1167" s="670" t="str">
        <f>IFERROR(IF(CURRENCY.FORMAT_1=0,CONCATENATE(TEXT(FIXED(ROUND((C1167/EXC.RATE_1),CURRENCY.FORMAT_1),CURRENCY.FORMAT_1,1),"# ##0;-# ##0"),",-"),FIXED(ROUND((C1167/EXC.RATE_1),CURRENCY.FORMAT_1),CURRENCY.FORMAT_1,0)),'DICTIONARY-5'!$A$2)</f>
        <v>151,-</v>
      </c>
      <c r="K1167" s="670" t="str">
        <f>IF(EXC.RATE_2=0,"",IFERROR(IF(CURRENCY.FORMAT_2=0,CONCATENATE(TEXT(FIXED(ROUND(IF(EXC.RATE.SWITCH=1,C1167/EXC.RATE_2,C1167*EXC.RATE_2),CURRENCY.FORMAT_2),CURRENCY.FORMAT_2,1),"# ##0;-# ##0"),",-"),FIXED(ROUND(IF(EXC.RATE.SWITCH=1,C1167/EXC.RATE_2,C1167*EXC.RATE_2),CURRENCY.FORMAT_2),CURRENCY.FORMAT_2,0)),'DICTIONARY-5'!$A$2))</f>
        <v/>
      </c>
      <c r="L1167" s="670" t="str">
        <f>IFERROR(IF(CURRENCY.FORMAT_1=0,CONCATENATE(TEXT(FIXED(ROUND((C1167*(1-I1167)*(1-ADD.DISCOUNT)*(1+MAT.SURCHARGE)/EXC.RATE_1),CURRENCY.FORMAT_1),CURRENCY.FORMAT_1,1),"# ##0;-# ##0"),",-"),FIXED(ROUND((C1167*(1-I1167)*(1-ADD.DISCOUNT)*(1+MAT.SURCHARGE)/EXC.RATE_1),CURRENCY.FORMAT_1),CURRENCY.FORMAT_1,0)),'DICTIONARY-5'!$A$2)</f>
        <v>157,-</v>
      </c>
      <c r="M1167" s="670" t="str">
        <f>IF(EXC.RATE_2=0,"",IFERROR(IF(CURRENCY.FORMAT_2=0,CONCATENATE(TEXT(FIXED(ROUND(IF(EXC.RATE.SWITCH=1,C1167*(1-I1167)*(1-ADD.DISCOUNT)*(1+MAT.SURCHARGE)/EXC.RATE_2,C1167*(1-I1167)*(1-ADD.DISCOUNT)*(1+MAT.SURCHARGE)*EXC.RATE_2),CURRENCY.FORMAT_2),CURRENCY.FORMAT_2,1),"# ##0;-# ##0"),",-"),FIXED(ROUND(IF(EXC.RATE.SWITCH=1,C1167*(1-I1167)*(1-ADD.DISCOUNT)*(1+MAT.SURCHARGE)/EXC.RATE_2,C1167*(1-I1167)*(1-ADD.DISCOUNT)*(1+MAT.SURCHARGE)*EXC.RATE_2),CURRENCY.FORMAT_2),CURRENCY.FORMAT_2,0)),'DICTIONARY-5'!$A$2))</f>
        <v/>
      </c>
      <c r="N1167" s="539">
        <v>4</v>
      </c>
      <c r="O1167" s="539"/>
      <c r="P1167" s="731" t="str">
        <f>'DICTIONARY-3'!$A$63</f>
        <v>TERRAlock</v>
      </c>
      <c r="Q1167" s="732" t="str">
        <f>'DICTIONARY-3'!$A$230</f>
        <v>Zawór kątowy</v>
      </c>
      <c r="R1167" s="732" t="str">
        <f>CONCATENATE('DICTIONARY-3'!$A$63," ",'DICTIONARY-3'!$A$230,," ",'DICTIONARY-2'!$A$2,"32")</f>
        <v>TERRAlock Zawór kątowy DN32</v>
      </c>
      <c r="S1167" s="733" t="str">
        <f>'DICTIONARY-4'!$A$2</f>
        <v>WW</v>
      </c>
      <c r="T1167" s="732" t="str">
        <f>'DICTIONARY-4'!$A$18</f>
        <v>Wolny wałek</v>
      </c>
      <c r="U1167" s="734" t="s">
        <v>5846</v>
      </c>
      <c r="V1167" s="735"/>
      <c r="W1167" s="736"/>
      <c r="X1167" s="737"/>
      <c r="Y1167" s="738"/>
      <c r="Z1167" s="739"/>
      <c r="AA1167" s="739"/>
      <c r="AB1167" s="740">
        <v>16</v>
      </c>
      <c r="AC1167" s="741"/>
      <c r="AD1167" s="741" t="str">
        <f>'DICTIONARY-5'!$A$13</f>
        <v>woda pitna</v>
      </c>
      <c r="AE1167" s="742">
        <v>50</v>
      </c>
      <c r="AF1167" s="743">
        <v>3</v>
      </c>
      <c r="AG1167" s="741" t="str">
        <f>'DICTIONARY-5'!$A$23</f>
        <v>powłoka epoksydowa</v>
      </c>
    </row>
    <row r="1168" spans="1:33" x14ac:dyDescent="0.25">
      <c r="A1168" s="861" t="s">
        <v>1174</v>
      </c>
      <c r="B1168" s="861" t="s">
        <v>4664</v>
      </c>
      <c r="C1168" s="836">
        <v>4215</v>
      </c>
      <c r="D1168" s="836"/>
      <c r="E1168" s="836"/>
      <c r="F1168" s="836"/>
      <c r="G1168" s="496" t="s">
        <v>7822</v>
      </c>
      <c r="H1168" s="797" t="str">
        <f>VLOOKUP(G1168,SETTINGS!$B$7:$D$97,2,0)</f>
        <v>SKR</v>
      </c>
      <c r="I1168" s="796">
        <f>VLOOKUP(G1168,SETTINGS!$B$7:$D$97,3,0)</f>
        <v>0</v>
      </c>
      <c r="J1168" s="670" t="str">
        <f>IFERROR(IF(CURRENCY.FORMAT_1=0,CONCATENATE(TEXT(FIXED(ROUND((C1168/EXC.RATE_1),CURRENCY.FORMAT_1),CURRENCY.FORMAT_1,1),"# ##0;-# ##0"),",-"),FIXED(ROUND((C1168/EXC.RATE_1),CURRENCY.FORMAT_1),CURRENCY.FORMAT_1,0)),'DICTIONARY-5'!$A$2)</f>
        <v>4 215,-</v>
      </c>
      <c r="K1168" s="670" t="str">
        <f>IF(EXC.RATE_2=0,"",IFERROR(IF(CURRENCY.FORMAT_2=0,CONCATENATE(TEXT(FIXED(ROUND(IF(EXC.RATE.SWITCH=1,C1168/EXC.RATE_2,C1168*EXC.RATE_2),CURRENCY.FORMAT_2),CURRENCY.FORMAT_2,1),"# ##0;-# ##0"),",-"),FIXED(ROUND(IF(EXC.RATE.SWITCH=1,C1168/EXC.RATE_2,C1168*EXC.RATE_2),CURRENCY.FORMAT_2),CURRENCY.FORMAT_2,0)),'DICTIONARY-5'!$A$2))</f>
        <v/>
      </c>
      <c r="L1168" s="670" t="str">
        <f>IFERROR(IF(CURRENCY.FORMAT_1=0,CONCATENATE(TEXT(FIXED(ROUND((C1168*(1-I1168)*(1-ADD.DISCOUNT)*(1+MAT.SURCHARGE)/EXC.RATE_1),CURRENCY.FORMAT_1),CURRENCY.FORMAT_1,1),"# ##0;-# ##0"),",-"),FIXED(ROUND((C1168*(1-I1168)*(1-ADD.DISCOUNT)*(1+MAT.SURCHARGE)/EXC.RATE_1),CURRENCY.FORMAT_1),CURRENCY.FORMAT_1,0)),'DICTIONARY-5'!$A$2)</f>
        <v>4 379,-</v>
      </c>
      <c r="M1168" s="670" t="str">
        <f>IF(EXC.RATE_2=0,"",IFERROR(IF(CURRENCY.FORMAT_2=0,CONCATENATE(TEXT(FIXED(ROUND(IF(EXC.RATE.SWITCH=1,C1168*(1-I1168)*(1-ADD.DISCOUNT)*(1+MAT.SURCHARGE)/EXC.RATE_2,C1168*(1-I1168)*(1-ADD.DISCOUNT)*(1+MAT.SURCHARGE)*EXC.RATE_2),CURRENCY.FORMAT_2),CURRENCY.FORMAT_2,1),"# ##0;-# ##0"),",-"),FIXED(ROUND(IF(EXC.RATE.SWITCH=1,C1168*(1-I1168)*(1-ADD.DISCOUNT)*(1+MAT.SURCHARGE)/EXC.RATE_2,C1168*(1-I1168)*(1-ADD.DISCOUNT)*(1+MAT.SURCHARGE)*EXC.RATE_2),CURRENCY.FORMAT_2),CURRENCY.FORMAT_2,0)),'DICTIONARY-5'!$A$2))</f>
        <v/>
      </c>
      <c r="N1168" s="539">
        <v>5</v>
      </c>
      <c r="O1168" s="539"/>
      <c r="P1168" s="731" t="str">
        <f>'DICTIONARY-3'!$A$97</f>
        <v>SKR</v>
      </c>
      <c r="Q1168" s="732" t="str">
        <f>'DICTIONARY-3'!$A$200</f>
        <v>Zawór zwrotny</v>
      </c>
      <c r="R1168" s="732" t="str">
        <f>CONCATENATE('DICTIONARY-3'!$A$97," ",'DICTIONARY-6'!$A$20," ",'DICTIONARY-2'!$A$2,"200"," ",'DICTIONARY-2'!$A$3,"10"," ","R14"," ",'DICTIONARY-6'!$A$68)</f>
        <v>SKR Zaw. zwrotny DN200 PN10 R14 spawane Ni-Cr siodło</v>
      </c>
      <c r="S1168" s="733"/>
      <c r="T1168" s="732"/>
      <c r="U1168" s="734" t="s">
        <v>5750</v>
      </c>
      <c r="V1168" s="735">
        <v>10</v>
      </c>
      <c r="W1168" s="736"/>
      <c r="X1168" s="737"/>
      <c r="Y1168" s="738"/>
      <c r="Z1168" s="739"/>
      <c r="AA1168" s="739"/>
      <c r="AB1168" s="740">
        <v>10</v>
      </c>
      <c r="AC1168" s="741" t="str">
        <f>'DICTIONARY-5'!$A$11&amp;" 14"</f>
        <v>EN 558 szereg 14</v>
      </c>
      <c r="AD1168" s="741" t="str">
        <f>'DICTIONARY-5'!$A$13&amp;", "&amp;'DICTIONARY-5'!$A$14</f>
        <v>woda pitna, ścieki</v>
      </c>
      <c r="AE1168" s="742">
        <v>50</v>
      </c>
      <c r="AF1168" s="743">
        <v>40</v>
      </c>
      <c r="AG1168" s="733" t="str">
        <f>'DICTIONARY-5'!$A$23</f>
        <v>powłoka epoksydowa</v>
      </c>
    </row>
    <row r="1169" spans="1:33" x14ac:dyDescent="0.25">
      <c r="A1169" s="861" t="s">
        <v>1175</v>
      </c>
      <c r="B1169" s="861" t="s">
        <v>4667</v>
      </c>
      <c r="C1169" s="836">
        <v>4222</v>
      </c>
      <c r="D1169" s="836"/>
      <c r="E1169" s="836"/>
      <c r="F1169" s="836"/>
      <c r="G1169" s="496" t="s">
        <v>7822</v>
      </c>
      <c r="H1169" s="797" t="str">
        <f>VLOOKUP(G1169,SETTINGS!$B$7:$D$97,2,0)</f>
        <v>SKR</v>
      </c>
      <c r="I1169" s="796">
        <f>VLOOKUP(G1169,SETTINGS!$B$7:$D$97,3,0)</f>
        <v>0</v>
      </c>
      <c r="J1169" s="670" t="str">
        <f>IFERROR(IF(CURRENCY.FORMAT_1=0,CONCATENATE(TEXT(FIXED(ROUND((C1169/EXC.RATE_1),CURRENCY.FORMAT_1),CURRENCY.FORMAT_1,1),"# ##0;-# ##0"),",-"),FIXED(ROUND((C1169/EXC.RATE_1),CURRENCY.FORMAT_1),CURRENCY.FORMAT_1,0)),'DICTIONARY-5'!$A$2)</f>
        <v>4 222,-</v>
      </c>
      <c r="K1169" s="670" t="str">
        <f>IF(EXC.RATE_2=0,"",IFERROR(IF(CURRENCY.FORMAT_2=0,CONCATENATE(TEXT(FIXED(ROUND(IF(EXC.RATE.SWITCH=1,C1169/EXC.RATE_2,C1169*EXC.RATE_2),CURRENCY.FORMAT_2),CURRENCY.FORMAT_2,1),"# ##0;-# ##0"),",-"),FIXED(ROUND(IF(EXC.RATE.SWITCH=1,C1169/EXC.RATE_2,C1169*EXC.RATE_2),CURRENCY.FORMAT_2),CURRENCY.FORMAT_2,0)),'DICTIONARY-5'!$A$2))</f>
        <v/>
      </c>
      <c r="L1169" s="670" t="str">
        <f>IFERROR(IF(CURRENCY.FORMAT_1=0,CONCATENATE(TEXT(FIXED(ROUND((C1169*(1-I1169)*(1-ADD.DISCOUNT)*(1+MAT.SURCHARGE)/EXC.RATE_1),CURRENCY.FORMAT_1),CURRENCY.FORMAT_1,1),"# ##0;-# ##0"),",-"),FIXED(ROUND((C1169*(1-I1169)*(1-ADD.DISCOUNT)*(1+MAT.SURCHARGE)/EXC.RATE_1),CURRENCY.FORMAT_1),CURRENCY.FORMAT_1,0)),'DICTIONARY-5'!$A$2)</f>
        <v>4 387,-</v>
      </c>
      <c r="M1169" s="670" t="str">
        <f>IF(EXC.RATE_2=0,"",IFERROR(IF(CURRENCY.FORMAT_2=0,CONCATENATE(TEXT(FIXED(ROUND(IF(EXC.RATE.SWITCH=1,C1169*(1-I1169)*(1-ADD.DISCOUNT)*(1+MAT.SURCHARGE)/EXC.RATE_2,C1169*(1-I1169)*(1-ADD.DISCOUNT)*(1+MAT.SURCHARGE)*EXC.RATE_2),CURRENCY.FORMAT_2),CURRENCY.FORMAT_2,1),"# ##0;-# ##0"),",-"),FIXED(ROUND(IF(EXC.RATE.SWITCH=1,C1169*(1-I1169)*(1-ADD.DISCOUNT)*(1+MAT.SURCHARGE)/EXC.RATE_2,C1169*(1-I1169)*(1-ADD.DISCOUNT)*(1+MAT.SURCHARGE)*EXC.RATE_2),CURRENCY.FORMAT_2),CURRENCY.FORMAT_2,0)),'DICTIONARY-5'!$A$2))</f>
        <v/>
      </c>
      <c r="N1169" s="539">
        <v>5</v>
      </c>
      <c r="O1169" s="539"/>
      <c r="P1169" s="731" t="str">
        <f>'DICTIONARY-3'!$A$97</f>
        <v>SKR</v>
      </c>
      <c r="Q1169" s="732" t="str">
        <f>'DICTIONARY-3'!$A$200</f>
        <v>Zawór zwrotny</v>
      </c>
      <c r="R1169" s="732" t="str">
        <f>CONCATENATE('DICTIONARY-3'!$A$97," ",'DICTIONARY-6'!$A$20," ",'DICTIONARY-2'!$A$2,"250"," ",'DICTIONARY-2'!$A$3,"10"," ","R14"," ",'DICTIONARY-6'!$A$68)</f>
        <v>SKR Zaw. zwrotny DN250 PN10 R14 spawane Ni-Cr siodło</v>
      </c>
      <c r="S1169" s="733" t="s">
        <v>5569</v>
      </c>
      <c r="T1169" s="732" t="s">
        <v>5569</v>
      </c>
      <c r="U1169" s="734" t="s">
        <v>5751</v>
      </c>
      <c r="V1169" s="735">
        <v>10</v>
      </c>
      <c r="W1169" s="736"/>
      <c r="X1169" s="737"/>
      <c r="Y1169" s="738"/>
      <c r="Z1169" s="739"/>
      <c r="AA1169" s="739"/>
      <c r="AB1169" s="740">
        <v>10</v>
      </c>
      <c r="AC1169" s="741" t="str">
        <f>'DICTIONARY-5'!$A$11&amp;" 14"</f>
        <v>EN 558 szereg 14</v>
      </c>
      <c r="AD1169" s="741" t="str">
        <f>'DICTIONARY-5'!$A$13&amp;", "&amp;'DICTIONARY-5'!$A$14</f>
        <v>woda pitna, ścieki</v>
      </c>
      <c r="AE1169" s="742">
        <v>50</v>
      </c>
      <c r="AF1169" s="743">
        <v>40</v>
      </c>
      <c r="AG1169" s="741" t="str">
        <f>'DICTIONARY-5'!$A$23</f>
        <v>powłoka epoksydowa</v>
      </c>
    </row>
    <row r="1170" spans="1:33" x14ac:dyDescent="0.25">
      <c r="A1170" s="861" t="s">
        <v>1176</v>
      </c>
      <c r="B1170" s="861" t="s">
        <v>4669</v>
      </c>
      <c r="C1170" s="836">
        <v>4667</v>
      </c>
      <c r="D1170" s="836"/>
      <c r="E1170" s="836"/>
      <c r="F1170" s="836"/>
      <c r="G1170" s="496" t="s">
        <v>7822</v>
      </c>
      <c r="H1170" s="797" t="str">
        <f>VLOOKUP(G1170,SETTINGS!$B$7:$D$97,2,0)</f>
        <v>SKR</v>
      </c>
      <c r="I1170" s="796">
        <f>VLOOKUP(G1170,SETTINGS!$B$7:$D$97,3,0)</f>
        <v>0</v>
      </c>
      <c r="J1170" s="670" t="str">
        <f>IFERROR(IF(CURRENCY.FORMAT_1=0,CONCATENATE(TEXT(FIXED(ROUND((C1170/EXC.RATE_1),CURRENCY.FORMAT_1),CURRENCY.FORMAT_1,1),"# ##0;-# ##0"),",-"),FIXED(ROUND((C1170/EXC.RATE_1),CURRENCY.FORMAT_1),CURRENCY.FORMAT_1,0)),'DICTIONARY-5'!$A$2)</f>
        <v>4 667,-</v>
      </c>
      <c r="K1170" s="670" t="str">
        <f>IF(EXC.RATE_2=0,"",IFERROR(IF(CURRENCY.FORMAT_2=0,CONCATENATE(TEXT(FIXED(ROUND(IF(EXC.RATE.SWITCH=1,C1170/EXC.RATE_2,C1170*EXC.RATE_2),CURRENCY.FORMAT_2),CURRENCY.FORMAT_2,1),"# ##0;-# ##0"),",-"),FIXED(ROUND(IF(EXC.RATE.SWITCH=1,C1170/EXC.RATE_2,C1170*EXC.RATE_2),CURRENCY.FORMAT_2),CURRENCY.FORMAT_2,0)),'DICTIONARY-5'!$A$2))</f>
        <v/>
      </c>
      <c r="L1170" s="670" t="str">
        <f>IFERROR(IF(CURRENCY.FORMAT_1=0,CONCATENATE(TEXT(FIXED(ROUND((C1170*(1-I1170)*(1-ADD.DISCOUNT)*(1+MAT.SURCHARGE)/EXC.RATE_1),CURRENCY.FORMAT_1),CURRENCY.FORMAT_1,1),"# ##0;-# ##0"),",-"),FIXED(ROUND((C1170*(1-I1170)*(1-ADD.DISCOUNT)*(1+MAT.SURCHARGE)/EXC.RATE_1),CURRENCY.FORMAT_1),CURRENCY.FORMAT_1,0)),'DICTIONARY-5'!$A$2)</f>
        <v>4 849,-</v>
      </c>
      <c r="M1170" s="670" t="str">
        <f>IF(EXC.RATE_2=0,"",IFERROR(IF(CURRENCY.FORMAT_2=0,CONCATENATE(TEXT(FIXED(ROUND(IF(EXC.RATE.SWITCH=1,C1170*(1-I1170)*(1-ADD.DISCOUNT)*(1+MAT.SURCHARGE)/EXC.RATE_2,C1170*(1-I1170)*(1-ADD.DISCOUNT)*(1+MAT.SURCHARGE)*EXC.RATE_2),CURRENCY.FORMAT_2),CURRENCY.FORMAT_2,1),"# ##0;-# ##0"),",-"),FIXED(ROUND(IF(EXC.RATE.SWITCH=1,C1170*(1-I1170)*(1-ADD.DISCOUNT)*(1+MAT.SURCHARGE)/EXC.RATE_2,C1170*(1-I1170)*(1-ADD.DISCOUNT)*(1+MAT.SURCHARGE)*EXC.RATE_2),CURRENCY.FORMAT_2),CURRENCY.FORMAT_2,0)),'DICTIONARY-5'!$A$2))</f>
        <v/>
      </c>
      <c r="N1170" s="539">
        <v>5</v>
      </c>
      <c r="O1170" s="539"/>
      <c r="P1170" s="731" t="str">
        <f>'DICTIONARY-3'!$A$97</f>
        <v>SKR</v>
      </c>
      <c r="Q1170" s="732" t="str">
        <f>'DICTIONARY-3'!$A$200</f>
        <v>Zawór zwrotny</v>
      </c>
      <c r="R1170" s="732" t="str">
        <f>CONCATENATE('DICTIONARY-3'!$A$97," ",'DICTIONARY-6'!$A$20," ",'DICTIONARY-2'!$A$2,"300"," ",'DICTIONARY-2'!$A$3,"10"," ","R14"," ",'DICTIONARY-6'!$A$68)</f>
        <v>SKR Zaw. zwrotny DN300 PN10 R14 spawane Ni-Cr siodło</v>
      </c>
      <c r="S1170" s="733" t="s">
        <v>5569</v>
      </c>
      <c r="T1170" s="732" t="s">
        <v>5569</v>
      </c>
      <c r="U1170" s="734" t="s">
        <v>5752</v>
      </c>
      <c r="V1170" s="735">
        <v>10</v>
      </c>
      <c r="W1170" s="736"/>
      <c r="X1170" s="737"/>
      <c r="Y1170" s="738"/>
      <c r="Z1170" s="739"/>
      <c r="AA1170" s="739"/>
      <c r="AB1170" s="740">
        <v>10</v>
      </c>
      <c r="AC1170" s="741" t="str">
        <f>'DICTIONARY-5'!$A$11&amp;" 14"</f>
        <v>EN 558 szereg 14</v>
      </c>
      <c r="AD1170" s="741" t="str">
        <f>'DICTIONARY-5'!$A$13&amp;", "&amp;'DICTIONARY-5'!$A$14</f>
        <v>woda pitna, ścieki</v>
      </c>
      <c r="AE1170" s="742">
        <v>50</v>
      </c>
      <c r="AF1170" s="743">
        <v>65</v>
      </c>
      <c r="AG1170" s="741" t="str">
        <f>'DICTIONARY-5'!$A$23</f>
        <v>powłoka epoksydowa</v>
      </c>
    </row>
    <row r="1171" spans="1:33" x14ac:dyDescent="0.25">
      <c r="A1171" s="861" t="s">
        <v>1177</v>
      </c>
      <c r="B1171" s="861" t="s">
        <v>4672</v>
      </c>
      <c r="C1171" s="836">
        <v>5084</v>
      </c>
      <c r="D1171" s="836"/>
      <c r="E1171" s="836"/>
      <c r="F1171" s="836"/>
      <c r="G1171" s="496" t="s">
        <v>7822</v>
      </c>
      <c r="H1171" s="797" t="str">
        <f>VLOOKUP(G1171,SETTINGS!$B$7:$D$97,2,0)</f>
        <v>SKR</v>
      </c>
      <c r="I1171" s="796">
        <f>VLOOKUP(G1171,SETTINGS!$B$7:$D$97,3,0)</f>
        <v>0</v>
      </c>
      <c r="J1171" s="670" t="str">
        <f>IFERROR(IF(CURRENCY.FORMAT_1=0,CONCATENATE(TEXT(FIXED(ROUND((C1171/EXC.RATE_1),CURRENCY.FORMAT_1),CURRENCY.FORMAT_1,1),"# ##0;-# ##0"),",-"),FIXED(ROUND((C1171/EXC.RATE_1),CURRENCY.FORMAT_1),CURRENCY.FORMAT_1,0)),'DICTIONARY-5'!$A$2)</f>
        <v>5 084,-</v>
      </c>
      <c r="K1171" s="670" t="str">
        <f>IF(EXC.RATE_2=0,"",IFERROR(IF(CURRENCY.FORMAT_2=0,CONCATENATE(TEXT(FIXED(ROUND(IF(EXC.RATE.SWITCH=1,C1171/EXC.RATE_2,C1171*EXC.RATE_2),CURRENCY.FORMAT_2),CURRENCY.FORMAT_2,1),"# ##0;-# ##0"),",-"),FIXED(ROUND(IF(EXC.RATE.SWITCH=1,C1171/EXC.RATE_2,C1171*EXC.RATE_2),CURRENCY.FORMAT_2),CURRENCY.FORMAT_2,0)),'DICTIONARY-5'!$A$2))</f>
        <v/>
      </c>
      <c r="L1171" s="670" t="str">
        <f>IFERROR(IF(CURRENCY.FORMAT_1=0,CONCATENATE(TEXT(FIXED(ROUND((C1171*(1-I1171)*(1-ADD.DISCOUNT)*(1+MAT.SURCHARGE)/EXC.RATE_1),CURRENCY.FORMAT_1),CURRENCY.FORMAT_1,1),"# ##0;-# ##0"),",-"),FIXED(ROUND((C1171*(1-I1171)*(1-ADD.DISCOUNT)*(1+MAT.SURCHARGE)/EXC.RATE_1),CURRENCY.FORMAT_1),CURRENCY.FORMAT_1,0)),'DICTIONARY-5'!$A$2)</f>
        <v>5 282,-</v>
      </c>
      <c r="M1171" s="670" t="str">
        <f>IF(EXC.RATE_2=0,"",IFERROR(IF(CURRENCY.FORMAT_2=0,CONCATENATE(TEXT(FIXED(ROUND(IF(EXC.RATE.SWITCH=1,C1171*(1-I1171)*(1-ADD.DISCOUNT)*(1+MAT.SURCHARGE)/EXC.RATE_2,C1171*(1-I1171)*(1-ADD.DISCOUNT)*(1+MAT.SURCHARGE)*EXC.RATE_2),CURRENCY.FORMAT_2),CURRENCY.FORMAT_2,1),"# ##0;-# ##0"),",-"),FIXED(ROUND(IF(EXC.RATE.SWITCH=1,C1171*(1-I1171)*(1-ADD.DISCOUNT)*(1+MAT.SURCHARGE)/EXC.RATE_2,C1171*(1-I1171)*(1-ADD.DISCOUNT)*(1+MAT.SURCHARGE)*EXC.RATE_2),CURRENCY.FORMAT_2),CURRENCY.FORMAT_2,0)),'DICTIONARY-5'!$A$2))</f>
        <v/>
      </c>
      <c r="N1171" s="539">
        <v>5</v>
      </c>
      <c r="O1171" s="539"/>
      <c r="P1171" s="731" t="str">
        <f>'DICTIONARY-3'!$A$97</f>
        <v>SKR</v>
      </c>
      <c r="Q1171" s="732" t="str">
        <f>'DICTIONARY-3'!$A$200</f>
        <v>Zawór zwrotny</v>
      </c>
      <c r="R1171" s="732" t="str">
        <f>CONCATENATE('DICTIONARY-3'!$A$97," ",'DICTIONARY-6'!$A$20," ",'DICTIONARY-2'!$A$2,"350"," ",'DICTIONARY-2'!$A$3,"10"," ","R14"," ",'DICTIONARY-6'!$A$68)</f>
        <v>SKR Zaw. zwrotny DN350 PN10 R14 spawane Ni-Cr siodło</v>
      </c>
      <c r="S1171" s="733" t="s">
        <v>5569</v>
      </c>
      <c r="T1171" s="732" t="s">
        <v>5569</v>
      </c>
      <c r="U1171" s="734" t="s">
        <v>5753</v>
      </c>
      <c r="V1171" s="735">
        <v>10</v>
      </c>
      <c r="W1171" s="736"/>
      <c r="X1171" s="737"/>
      <c r="Y1171" s="738"/>
      <c r="Z1171" s="739"/>
      <c r="AA1171" s="739"/>
      <c r="AB1171" s="740">
        <v>10</v>
      </c>
      <c r="AC1171" s="741" t="str">
        <f>'DICTIONARY-5'!$A$11&amp;" 14"</f>
        <v>EN 558 szereg 14</v>
      </c>
      <c r="AD1171" s="741" t="str">
        <f>'DICTIONARY-5'!$A$13&amp;", "&amp;'DICTIONARY-5'!$A$14</f>
        <v>woda pitna, ścieki</v>
      </c>
      <c r="AE1171" s="742">
        <v>50</v>
      </c>
      <c r="AF1171" s="743">
        <v>107</v>
      </c>
      <c r="AG1171" s="741" t="str">
        <f>'DICTIONARY-5'!$A$23</f>
        <v>powłoka epoksydowa</v>
      </c>
    </row>
    <row r="1172" spans="1:33" x14ac:dyDescent="0.25">
      <c r="A1172" s="861" t="s">
        <v>1178</v>
      </c>
      <c r="B1172" s="861" t="s">
        <v>4675</v>
      </c>
      <c r="C1172" s="836">
        <v>5484</v>
      </c>
      <c r="D1172" s="836"/>
      <c r="E1172" s="836"/>
      <c r="F1172" s="836"/>
      <c r="G1172" s="496" t="s">
        <v>7822</v>
      </c>
      <c r="H1172" s="797" t="str">
        <f>VLOOKUP(G1172,SETTINGS!$B$7:$D$97,2,0)</f>
        <v>SKR</v>
      </c>
      <c r="I1172" s="796">
        <f>VLOOKUP(G1172,SETTINGS!$B$7:$D$97,3,0)</f>
        <v>0</v>
      </c>
      <c r="J1172" s="670" t="str">
        <f>IFERROR(IF(CURRENCY.FORMAT_1=0,CONCATENATE(TEXT(FIXED(ROUND((C1172/EXC.RATE_1),CURRENCY.FORMAT_1),CURRENCY.FORMAT_1,1),"# ##0;-# ##0"),",-"),FIXED(ROUND((C1172/EXC.RATE_1),CURRENCY.FORMAT_1),CURRENCY.FORMAT_1,0)),'DICTIONARY-5'!$A$2)</f>
        <v>5 484,-</v>
      </c>
      <c r="K1172" s="670" t="str">
        <f>IF(EXC.RATE_2=0,"",IFERROR(IF(CURRENCY.FORMAT_2=0,CONCATENATE(TEXT(FIXED(ROUND(IF(EXC.RATE.SWITCH=1,C1172/EXC.RATE_2,C1172*EXC.RATE_2),CURRENCY.FORMAT_2),CURRENCY.FORMAT_2,1),"# ##0;-# ##0"),",-"),FIXED(ROUND(IF(EXC.RATE.SWITCH=1,C1172/EXC.RATE_2,C1172*EXC.RATE_2),CURRENCY.FORMAT_2),CURRENCY.FORMAT_2,0)),'DICTIONARY-5'!$A$2))</f>
        <v/>
      </c>
      <c r="L1172" s="670" t="str">
        <f>IFERROR(IF(CURRENCY.FORMAT_1=0,CONCATENATE(TEXT(FIXED(ROUND((C1172*(1-I1172)*(1-ADD.DISCOUNT)*(1+MAT.SURCHARGE)/EXC.RATE_1),CURRENCY.FORMAT_1),CURRENCY.FORMAT_1,1),"# ##0;-# ##0"),",-"),FIXED(ROUND((C1172*(1-I1172)*(1-ADD.DISCOUNT)*(1+MAT.SURCHARGE)/EXC.RATE_1),CURRENCY.FORMAT_1),CURRENCY.FORMAT_1,0)),'DICTIONARY-5'!$A$2)</f>
        <v>5 698,-</v>
      </c>
      <c r="M1172" s="670" t="str">
        <f>IF(EXC.RATE_2=0,"",IFERROR(IF(CURRENCY.FORMAT_2=0,CONCATENATE(TEXT(FIXED(ROUND(IF(EXC.RATE.SWITCH=1,C1172*(1-I1172)*(1-ADD.DISCOUNT)*(1+MAT.SURCHARGE)/EXC.RATE_2,C1172*(1-I1172)*(1-ADD.DISCOUNT)*(1+MAT.SURCHARGE)*EXC.RATE_2),CURRENCY.FORMAT_2),CURRENCY.FORMAT_2,1),"# ##0;-# ##0"),",-"),FIXED(ROUND(IF(EXC.RATE.SWITCH=1,C1172*(1-I1172)*(1-ADD.DISCOUNT)*(1+MAT.SURCHARGE)/EXC.RATE_2,C1172*(1-I1172)*(1-ADD.DISCOUNT)*(1+MAT.SURCHARGE)*EXC.RATE_2),CURRENCY.FORMAT_2),CURRENCY.FORMAT_2,0)),'DICTIONARY-5'!$A$2))</f>
        <v/>
      </c>
      <c r="N1172" s="539">
        <v>5</v>
      </c>
      <c r="O1172" s="539"/>
      <c r="P1172" s="731" t="str">
        <f>'DICTIONARY-3'!$A$97</f>
        <v>SKR</v>
      </c>
      <c r="Q1172" s="732" t="str">
        <f>'DICTIONARY-3'!$A$200</f>
        <v>Zawór zwrotny</v>
      </c>
      <c r="R1172" s="732" t="str">
        <f>CONCATENATE('DICTIONARY-3'!$A$97," ",'DICTIONARY-6'!$A$20," ",'DICTIONARY-2'!$A$2,"400"," ",'DICTIONARY-2'!$A$3,"10"," ","R14"," ",'DICTIONARY-6'!$A$68)</f>
        <v>SKR Zaw. zwrotny DN400 PN10 R14 spawane Ni-Cr siodło</v>
      </c>
      <c r="S1172" s="733" t="s">
        <v>5569</v>
      </c>
      <c r="T1172" s="732" t="s">
        <v>5569</v>
      </c>
      <c r="U1172" s="734" t="s">
        <v>5754</v>
      </c>
      <c r="V1172" s="735">
        <v>10</v>
      </c>
      <c r="W1172" s="736"/>
      <c r="X1172" s="737"/>
      <c r="Y1172" s="738"/>
      <c r="Z1172" s="739"/>
      <c r="AA1172" s="739"/>
      <c r="AB1172" s="740">
        <v>10</v>
      </c>
      <c r="AC1172" s="741" t="str">
        <f>'DICTIONARY-5'!$A$11&amp;" 14"</f>
        <v>EN 558 szereg 14</v>
      </c>
      <c r="AD1172" s="741" t="str">
        <f>'DICTIONARY-5'!$A$13&amp;", "&amp;'DICTIONARY-5'!$A$14</f>
        <v>woda pitna, ścieki</v>
      </c>
      <c r="AE1172" s="742">
        <v>50</v>
      </c>
      <c r="AF1172" s="743">
        <v>135</v>
      </c>
      <c r="AG1172" s="741" t="str">
        <f>'DICTIONARY-5'!$A$23</f>
        <v>powłoka epoksydowa</v>
      </c>
    </row>
    <row r="1173" spans="1:33" x14ac:dyDescent="0.25">
      <c r="A1173" s="861" t="s">
        <v>1179</v>
      </c>
      <c r="B1173" s="861" t="s">
        <v>4678</v>
      </c>
      <c r="C1173" s="836">
        <v>8360</v>
      </c>
      <c r="D1173" s="836"/>
      <c r="E1173" s="836"/>
      <c r="F1173" s="836"/>
      <c r="G1173" s="496" t="s">
        <v>7822</v>
      </c>
      <c r="H1173" s="797" t="str">
        <f>VLOOKUP(G1173,SETTINGS!$B$7:$D$97,2,0)</f>
        <v>SKR</v>
      </c>
      <c r="I1173" s="796">
        <f>VLOOKUP(G1173,SETTINGS!$B$7:$D$97,3,0)</f>
        <v>0</v>
      </c>
      <c r="J1173" s="670" t="str">
        <f>IFERROR(IF(CURRENCY.FORMAT_1=0,CONCATENATE(TEXT(FIXED(ROUND((C1173/EXC.RATE_1),CURRENCY.FORMAT_1),CURRENCY.FORMAT_1,1),"# ##0;-# ##0"),",-"),FIXED(ROUND((C1173/EXC.RATE_1),CURRENCY.FORMAT_1),CURRENCY.FORMAT_1,0)),'DICTIONARY-5'!$A$2)</f>
        <v>8 360,-</v>
      </c>
      <c r="K1173" s="670" t="str">
        <f>IF(EXC.RATE_2=0,"",IFERROR(IF(CURRENCY.FORMAT_2=0,CONCATENATE(TEXT(FIXED(ROUND(IF(EXC.RATE.SWITCH=1,C1173/EXC.RATE_2,C1173*EXC.RATE_2),CURRENCY.FORMAT_2),CURRENCY.FORMAT_2,1),"# ##0;-# ##0"),",-"),FIXED(ROUND(IF(EXC.RATE.SWITCH=1,C1173/EXC.RATE_2,C1173*EXC.RATE_2),CURRENCY.FORMAT_2),CURRENCY.FORMAT_2,0)),'DICTIONARY-5'!$A$2))</f>
        <v/>
      </c>
      <c r="L1173" s="670" t="str">
        <f>IFERROR(IF(CURRENCY.FORMAT_1=0,CONCATENATE(TEXT(FIXED(ROUND((C1173*(1-I1173)*(1-ADD.DISCOUNT)*(1+MAT.SURCHARGE)/EXC.RATE_1),CURRENCY.FORMAT_1),CURRENCY.FORMAT_1,1),"# ##0;-# ##0"),",-"),FIXED(ROUND((C1173*(1-I1173)*(1-ADD.DISCOUNT)*(1+MAT.SURCHARGE)/EXC.RATE_1),CURRENCY.FORMAT_1),CURRENCY.FORMAT_1,0)),'DICTIONARY-5'!$A$2)</f>
        <v>8 686,-</v>
      </c>
      <c r="M1173" s="670" t="str">
        <f>IF(EXC.RATE_2=0,"",IFERROR(IF(CURRENCY.FORMAT_2=0,CONCATENATE(TEXT(FIXED(ROUND(IF(EXC.RATE.SWITCH=1,C1173*(1-I1173)*(1-ADD.DISCOUNT)*(1+MAT.SURCHARGE)/EXC.RATE_2,C1173*(1-I1173)*(1-ADD.DISCOUNT)*(1+MAT.SURCHARGE)*EXC.RATE_2),CURRENCY.FORMAT_2),CURRENCY.FORMAT_2,1),"# ##0;-# ##0"),",-"),FIXED(ROUND(IF(EXC.RATE.SWITCH=1,C1173*(1-I1173)*(1-ADD.DISCOUNT)*(1+MAT.SURCHARGE)/EXC.RATE_2,C1173*(1-I1173)*(1-ADD.DISCOUNT)*(1+MAT.SURCHARGE)*EXC.RATE_2),CURRENCY.FORMAT_2),CURRENCY.FORMAT_2,0)),'DICTIONARY-5'!$A$2))</f>
        <v/>
      </c>
      <c r="N1173" s="539">
        <v>5</v>
      </c>
      <c r="O1173" s="539"/>
      <c r="P1173" s="731" t="str">
        <f>'DICTIONARY-3'!$A$97</f>
        <v>SKR</v>
      </c>
      <c r="Q1173" s="732" t="str">
        <f>'DICTIONARY-3'!$A$200</f>
        <v>Zawór zwrotny</v>
      </c>
      <c r="R1173" s="732" t="str">
        <f>CONCATENATE('DICTIONARY-3'!$A$97," ",'DICTIONARY-6'!$A$20," ",'DICTIONARY-2'!$A$2,"450"," ",'DICTIONARY-2'!$A$3,"10"," ","R14"," ",'DICTIONARY-6'!$A$68)</f>
        <v>SKR Zaw. zwrotny DN450 PN10 R14 spawane Ni-Cr siodło</v>
      </c>
      <c r="S1173" s="733" t="s">
        <v>5569</v>
      </c>
      <c r="T1173" s="732" t="s">
        <v>5569</v>
      </c>
      <c r="U1173" s="734" t="s">
        <v>5755</v>
      </c>
      <c r="V1173" s="735">
        <v>10</v>
      </c>
      <c r="W1173" s="736"/>
      <c r="X1173" s="737"/>
      <c r="Y1173" s="738"/>
      <c r="Z1173" s="739"/>
      <c r="AA1173" s="739"/>
      <c r="AB1173" s="740">
        <v>10</v>
      </c>
      <c r="AC1173" s="741" t="str">
        <f>'DICTIONARY-5'!$A$11&amp;" 14"</f>
        <v>EN 558 szereg 14</v>
      </c>
      <c r="AD1173" s="741" t="str">
        <f>'DICTIONARY-5'!$A$13&amp;", "&amp;'DICTIONARY-5'!$A$14</f>
        <v>woda pitna, ścieki</v>
      </c>
      <c r="AE1173" s="742">
        <v>50</v>
      </c>
      <c r="AF1173" s="743">
        <v>145</v>
      </c>
      <c r="AG1173" s="741" t="str">
        <f>'DICTIONARY-5'!$A$23</f>
        <v>powłoka epoksydowa</v>
      </c>
    </row>
    <row r="1174" spans="1:33" x14ac:dyDescent="0.25">
      <c r="A1174" s="861" t="s">
        <v>1180</v>
      </c>
      <c r="B1174" s="861" t="s">
        <v>4681</v>
      </c>
      <c r="C1174" s="836">
        <v>6030</v>
      </c>
      <c r="D1174" s="836"/>
      <c r="E1174" s="836"/>
      <c r="F1174" s="836"/>
      <c r="G1174" s="496" t="s">
        <v>7822</v>
      </c>
      <c r="H1174" s="797" t="str">
        <f>VLOOKUP(G1174,SETTINGS!$B$7:$D$97,2,0)</f>
        <v>SKR</v>
      </c>
      <c r="I1174" s="796">
        <f>VLOOKUP(G1174,SETTINGS!$B$7:$D$97,3,0)</f>
        <v>0</v>
      </c>
      <c r="J1174" s="670" t="str">
        <f>IFERROR(IF(CURRENCY.FORMAT_1=0,CONCATENATE(TEXT(FIXED(ROUND((C1174/EXC.RATE_1),CURRENCY.FORMAT_1),CURRENCY.FORMAT_1,1),"# ##0;-# ##0"),",-"),FIXED(ROUND((C1174/EXC.RATE_1),CURRENCY.FORMAT_1),CURRENCY.FORMAT_1,0)),'DICTIONARY-5'!$A$2)</f>
        <v>6 030,-</v>
      </c>
      <c r="K1174" s="670" t="str">
        <f>IF(EXC.RATE_2=0,"",IFERROR(IF(CURRENCY.FORMAT_2=0,CONCATENATE(TEXT(FIXED(ROUND(IF(EXC.RATE.SWITCH=1,C1174/EXC.RATE_2,C1174*EXC.RATE_2),CURRENCY.FORMAT_2),CURRENCY.FORMAT_2,1),"# ##0;-# ##0"),",-"),FIXED(ROUND(IF(EXC.RATE.SWITCH=1,C1174/EXC.RATE_2,C1174*EXC.RATE_2),CURRENCY.FORMAT_2),CURRENCY.FORMAT_2,0)),'DICTIONARY-5'!$A$2))</f>
        <v/>
      </c>
      <c r="L1174" s="670" t="str">
        <f>IFERROR(IF(CURRENCY.FORMAT_1=0,CONCATENATE(TEXT(FIXED(ROUND((C1174*(1-I1174)*(1-ADD.DISCOUNT)*(1+MAT.SURCHARGE)/EXC.RATE_1),CURRENCY.FORMAT_1),CURRENCY.FORMAT_1,1),"# ##0;-# ##0"),",-"),FIXED(ROUND((C1174*(1-I1174)*(1-ADD.DISCOUNT)*(1+MAT.SURCHARGE)/EXC.RATE_1),CURRENCY.FORMAT_1),CURRENCY.FORMAT_1,0)),'DICTIONARY-5'!$A$2)</f>
        <v>6 265,-</v>
      </c>
      <c r="M1174" s="670" t="str">
        <f>IF(EXC.RATE_2=0,"",IFERROR(IF(CURRENCY.FORMAT_2=0,CONCATENATE(TEXT(FIXED(ROUND(IF(EXC.RATE.SWITCH=1,C1174*(1-I1174)*(1-ADD.DISCOUNT)*(1+MAT.SURCHARGE)/EXC.RATE_2,C1174*(1-I1174)*(1-ADD.DISCOUNT)*(1+MAT.SURCHARGE)*EXC.RATE_2),CURRENCY.FORMAT_2),CURRENCY.FORMAT_2,1),"# ##0;-# ##0"),",-"),FIXED(ROUND(IF(EXC.RATE.SWITCH=1,C1174*(1-I1174)*(1-ADD.DISCOUNT)*(1+MAT.SURCHARGE)/EXC.RATE_2,C1174*(1-I1174)*(1-ADD.DISCOUNT)*(1+MAT.SURCHARGE)*EXC.RATE_2),CURRENCY.FORMAT_2),CURRENCY.FORMAT_2,0)),'DICTIONARY-5'!$A$2))</f>
        <v/>
      </c>
      <c r="N1174" s="539">
        <v>5</v>
      </c>
      <c r="O1174" s="539"/>
      <c r="P1174" s="731" t="str">
        <f>'DICTIONARY-3'!$A$97</f>
        <v>SKR</v>
      </c>
      <c r="Q1174" s="732" t="str">
        <f>'DICTIONARY-3'!$A$200</f>
        <v>Zawór zwrotny</v>
      </c>
      <c r="R1174" s="732" t="str">
        <f>CONCATENATE('DICTIONARY-3'!$A$97," ",'DICTIONARY-6'!$A$20," ",'DICTIONARY-2'!$A$2,"500"," ",'DICTIONARY-2'!$A$3,"10"," ","R14"," ",'DICTIONARY-6'!$A$68)</f>
        <v>SKR Zaw. zwrotny DN500 PN10 R14 spawane Ni-Cr siodło</v>
      </c>
      <c r="S1174" s="733" t="s">
        <v>5569</v>
      </c>
      <c r="T1174" s="732" t="s">
        <v>5569</v>
      </c>
      <c r="U1174" s="734" t="s">
        <v>5756</v>
      </c>
      <c r="V1174" s="735">
        <v>10</v>
      </c>
      <c r="W1174" s="736"/>
      <c r="X1174" s="737"/>
      <c r="Y1174" s="738"/>
      <c r="Z1174" s="739"/>
      <c r="AA1174" s="739"/>
      <c r="AB1174" s="740">
        <v>10</v>
      </c>
      <c r="AC1174" s="741" t="str">
        <f>'DICTIONARY-5'!$A$11&amp;" 14"</f>
        <v>EN 558 szereg 14</v>
      </c>
      <c r="AD1174" s="741" t="str">
        <f>'DICTIONARY-5'!$A$13&amp;", "&amp;'DICTIONARY-5'!$A$14</f>
        <v>woda pitna, ścieki</v>
      </c>
      <c r="AE1174" s="742">
        <v>50</v>
      </c>
      <c r="AF1174" s="743">
        <v>210</v>
      </c>
      <c r="AG1174" s="741" t="str">
        <f>'DICTIONARY-5'!$A$23</f>
        <v>powłoka epoksydowa</v>
      </c>
    </row>
    <row r="1175" spans="1:33" x14ac:dyDescent="0.25">
      <c r="A1175" s="861" t="s">
        <v>1181</v>
      </c>
      <c r="B1175" s="861" t="s">
        <v>4684</v>
      </c>
      <c r="C1175" s="836">
        <v>8680</v>
      </c>
      <c r="D1175" s="836"/>
      <c r="E1175" s="836"/>
      <c r="F1175" s="836"/>
      <c r="G1175" s="496" t="s">
        <v>7822</v>
      </c>
      <c r="H1175" s="797" t="str">
        <f>VLOOKUP(G1175,SETTINGS!$B$7:$D$97,2,0)</f>
        <v>SKR</v>
      </c>
      <c r="I1175" s="796">
        <f>VLOOKUP(G1175,SETTINGS!$B$7:$D$97,3,0)</f>
        <v>0</v>
      </c>
      <c r="J1175" s="670" t="str">
        <f>IFERROR(IF(CURRENCY.FORMAT_1=0,CONCATENATE(TEXT(FIXED(ROUND((C1175/EXC.RATE_1),CURRENCY.FORMAT_1),CURRENCY.FORMAT_1,1),"# ##0;-# ##0"),",-"),FIXED(ROUND((C1175/EXC.RATE_1),CURRENCY.FORMAT_1),CURRENCY.FORMAT_1,0)),'DICTIONARY-5'!$A$2)</f>
        <v>8 680,-</v>
      </c>
      <c r="K1175" s="670" t="str">
        <f>IF(EXC.RATE_2=0,"",IFERROR(IF(CURRENCY.FORMAT_2=0,CONCATENATE(TEXT(FIXED(ROUND(IF(EXC.RATE.SWITCH=1,C1175/EXC.RATE_2,C1175*EXC.RATE_2),CURRENCY.FORMAT_2),CURRENCY.FORMAT_2,1),"# ##0;-# ##0"),",-"),FIXED(ROUND(IF(EXC.RATE.SWITCH=1,C1175/EXC.RATE_2,C1175*EXC.RATE_2),CURRENCY.FORMAT_2),CURRENCY.FORMAT_2,0)),'DICTIONARY-5'!$A$2))</f>
        <v/>
      </c>
      <c r="L1175" s="670" t="str">
        <f>IFERROR(IF(CURRENCY.FORMAT_1=0,CONCATENATE(TEXT(FIXED(ROUND((C1175*(1-I1175)*(1-ADD.DISCOUNT)*(1+MAT.SURCHARGE)/EXC.RATE_1),CURRENCY.FORMAT_1),CURRENCY.FORMAT_1,1),"# ##0;-# ##0"),",-"),FIXED(ROUND((C1175*(1-I1175)*(1-ADD.DISCOUNT)*(1+MAT.SURCHARGE)/EXC.RATE_1),CURRENCY.FORMAT_1),CURRENCY.FORMAT_1,0)),'DICTIONARY-5'!$A$2)</f>
        <v>9 019,-</v>
      </c>
      <c r="M1175" s="670" t="str">
        <f>IF(EXC.RATE_2=0,"",IFERROR(IF(CURRENCY.FORMAT_2=0,CONCATENATE(TEXT(FIXED(ROUND(IF(EXC.RATE.SWITCH=1,C1175*(1-I1175)*(1-ADD.DISCOUNT)*(1+MAT.SURCHARGE)/EXC.RATE_2,C1175*(1-I1175)*(1-ADD.DISCOUNT)*(1+MAT.SURCHARGE)*EXC.RATE_2),CURRENCY.FORMAT_2),CURRENCY.FORMAT_2,1),"# ##0;-# ##0"),",-"),FIXED(ROUND(IF(EXC.RATE.SWITCH=1,C1175*(1-I1175)*(1-ADD.DISCOUNT)*(1+MAT.SURCHARGE)/EXC.RATE_2,C1175*(1-I1175)*(1-ADD.DISCOUNT)*(1+MAT.SURCHARGE)*EXC.RATE_2),CURRENCY.FORMAT_2),CURRENCY.FORMAT_2,0)),'DICTIONARY-5'!$A$2))</f>
        <v/>
      </c>
      <c r="N1175" s="539">
        <v>5</v>
      </c>
      <c r="O1175" s="539"/>
      <c r="P1175" s="731" t="str">
        <f>'DICTIONARY-3'!$A$97</f>
        <v>SKR</v>
      </c>
      <c r="Q1175" s="732" t="str">
        <f>'DICTIONARY-3'!$A$200</f>
        <v>Zawór zwrotny</v>
      </c>
      <c r="R1175" s="732" t="str">
        <f>CONCATENATE('DICTIONARY-3'!$A$97," ",'DICTIONARY-6'!$A$20," ",'DICTIONARY-2'!$A$2,"600"," ",'DICTIONARY-2'!$A$3,"10"," ","R14"," ",'DICTIONARY-6'!$A$68)</f>
        <v>SKR Zaw. zwrotny DN600 PN10 R14 spawane Ni-Cr siodło</v>
      </c>
      <c r="S1175" s="733" t="s">
        <v>5569</v>
      </c>
      <c r="T1175" s="732" t="s">
        <v>5569</v>
      </c>
      <c r="U1175" s="734" t="s">
        <v>5757</v>
      </c>
      <c r="V1175" s="735">
        <v>10</v>
      </c>
      <c r="W1175" s="736"/>
      <c r="X1175" s="737"/>
      <c r="Y1175" s="738"/>
      <c r="Z1175" s="739"/>
      <c r="AA1175" s="739"/>
      <c r="AB1175" s="740">
        <v>10</v>
      </c>
      <c r="AC1175" s="741" t="str">
        <f>'DICTIONARY-5'!$A$11&amp;" 14"</f>
        <v>EN 558 szereg 14</v>
      </c>
      <c r="AD1175" s="741" t="str">
        <f>'DICTIONARY-5'!$A$13&amp;", "&amp;'DICTIONARY-5'!$A$14</f>
        <v>woda pitna, ścieki</v>
      </c>
      <c r="AE1175" s="742">
        <v>50</v>
      </c>
      <c r="AF1175" s="743">
        <v>290</v>
      </c>
      <c r="AG1175" s="741" t="str">
        <f>'DICTIONARY-5'!$A$23</f>
        <v>powłoka epoksydowa</v>
      </c>
    </row>
    <row r="1176" spans="1:33" x14ac:dyDescent="0.25">
      <c r="A1176" s="861" t="s">
        <v>1182</v>
      </c>
      <c r="B1176" s="861" t="s">
        <v>4687</v>
      </c>
      <c r="C1176" s="836">
        <v>18834</v>
      </c>
      <c r="D1176" s="836"/>
      <c r="E1176" s="836"/>
      <c r="F1176" s="836"/>
      <c r="G1176" s="496" t="s">
        <v>7822</v>
      </c>
      <c r="H1176" s="797" t="str">
        <f>VLOOKUP(G1176,SETTINGS!$B$7:$D$97,2,0)</f>
        <v>SKR</v>
      </c>
      <c r="I1176" s="796">
        <f>VLOOKUP(G1176,SETTINGS!$B$7:$D$97,3,0)</f>
        <v>0</v>
      </c>
      <c r="J1176" s="670" t="str">
        <f>IFERROR(IF(CURRENCY.FORMAT_1=0,CONCATENATE(TEXT(FIXED(ROUND((C1176/EXC.RATE_1),CURRENCY.FORMAT_1),CURRENCY.FORMAT_1,1),"# ##0;-# ##0"),",-"),FIXED(ROUND((C1176/EXC.RATE_1),CURRENCY.FORMAT_1),CURRENCY.FORMAT_1,0)),'DICTIONARY-5'!$A$2)</f>
        <v>18 834,-</v>
      </c>
      <c r="K1176" s="670" t="str">
        <f>IF(EXC.RATE_2=0,"",IFERROR(IF(CURRENCY.FORMAT_2=0,CONCATENATE(TEXT(FIXED(ROUND(IF(EXC.RATE.SWITCH=1,C1176/EXC.RATE_2,C1176*EXC.RATE_2),CURRENCY.FORMAT_2),CURRENCY.FORMAT_2,1),"# ##0;-# ##0"),",-"),FIXED(ROUND(IF(EXC.RATE.SWITCH=1,C1176/EXC.RATE_2,C1176*EXC.RATE_2),CURRENCY.FORMAT_2),CURRENCY.FORMAT_2,0)),'DICTIONARY-5'!$A$2))</f>
        <v/>
      </c>
      <c r="L1176" s="670" t="str">
        <f>IFERROR(IF(CURRENCY.FORMAT_1=0,CONCATENATE(TEXT(FIXED(ROUND((C1176*(1-I1176)*(1-ADD.DISCOUNT)*(1+MAT.SURCHARGE)/EXC.RATE_1),CURRENCY.FORMAT_1),CURRENCY.FORMAT_1,1),"# ##0;-# ##0"),",-"),FIXED(ROUND((C1176*(1-I1176)*(1-ADD.DISCOUNT)*(1+MAT.SURCHARGE)/EXC.RATE_1),CURRENCY.FORMAT_1),CURRENCY.FORMAT_1,0)),'DICTIONARY-5'!$A$2)</f>
        <v>19 569,-</v>
      </c>
      <c r="M1176" s="670" t="str">
        <f>IF(EXC.RATE_2=0,"",IFERROR(IF(CURRENCY.FORMAT_2=0,CONCATENATE(TEXT(FIXED(ROUND(IF(EXC.RATE.SWITCH=1,C1176*(1-I1176)*(1-ADD.DISCOUNT)*(1+MAT.SURCHARGE)/EXC.RATE_2,C1176*(1-I1176)*(1-ADD.DISCOUNT)*(1+MAT.SURCHARGE)*EXC.RATE_2),CURRENCY.FORMAT_2),CURRENCY.FORMAT_2,1),"# ##0;-# ##0"),",-"),FIXED(ROUND(IF(EXC.RATE.SWITCH=1,C1176*(1-I1176)*(1-ADD.DISCOUNT)*(1+MAT.SURCHARGE)/EXC.RATE_2,C1176*(1-I1176)*(1-ADD.DISCOUNT)*(1+MAT.SURCHARGE)*EXC.RATE_2),CURRENCY.FORMAT_2),CURRENCY.FORMAT_2,0)),'DICTIONARY-5'!$A$2))</f>
        <v/>
      </c>
      <c r="N1176" s="539">
        <v>5</v>
      </c>
      <c r="O1176" s="539"/>
      <c r="P1176" s="731" t="str">
        <f>'DICTIONARY-3'!$A$97</f>
        <v>SKR</v>
      </c>
      <c r="Q1176" s="732" t="str">
        <f>'DICTIONARY-3'!$A$200</f>
        <v>Zawór zwrotny</v>
      </c>
      <c r="R1176" s="732" t="str">
        <f>CONCATENATE('DICTIONARY-3'!$A$97," ",'DICTIONARY-6'!$A$20," ",'DICTIONARY-2'!$A$2,"700"," ",'DICTIONARY-2'!$A$3,"10"," ","R14"," ",'DICTIONARY-6'!$A$68)</f>
        <v>SKR Zaw. zwrotny DN700 PN10 R14 spawane Ni-Cr siodło</v>
      </c>
      <c r="S1176" s="733" t="s">
        <v>5569</v>
      </c>
      <c r="T1176" s="732" t="s">
        <v>5569</v>
      </c>
      <c r="U1176" s="734" t="s">
        <v>5834</v>
      </c>
      <c r="V1176" s="735">
        <v>10</v>
      </c>
      <c r="W1176" s="736"/>
      <c r="X1176" s="737"/>
      <c r="Y1176" s="738"/>
      <c r="Z1176" s="739"/>
      <c r="AA1176" s="739"/>
      <c r="AB1176" s="740">
        <v>10</v>
      </c>
      <c r="AC1176" s="741" t="str">
        <f>'DICTIONARY-5'!$A$11&amp;" 14"</f>
        <v>EN 558 szereg 14</v>
      </c>
      <c r="AD1176" s="741" t="str">
        <f>'DICTIONARY-5'!$A$13&amp;", "&amp;'DICTIONARY-5'!$A$14</f>
        <v>woda pitna, ścieki</v>
      </c>
      <c r="AE1176" s="742">
        <v>50</v>
      </c>
      <c r="AF1176" s="743">
        <v>315</v>
      </c>
      <c r="AG1176" s="741" t="str">
        <f>'DICTIONARY-5'!$A$23</f>
        <v>powłoka epoksydowa</v>
      </c>
    </row>
    <row r="1177" spans="1:33" x14ac:dyDescent="0.25">
      <c r="A1177" s="861" t="s">
        <v>1183</v>
      </c>
      <c r="B1177" s="861" t="s">
        <v>4690</v>
      </c>
      <c r="C1177" s="836">
        <v>21523</v>
      </c>
      <c r="D1177" s="836"/>
      <c r="E1177" s="836"/>
      <c r="F1177" s="836"/>
      <c r="G1177" s="496" t="s">
        <v>7822</v>
      </c>
      <c r="H1177" s="797" t="str">
        <f>VLOOKUP(G1177,SETTINGS!$B$7:$D$97,2,0)</f>
        <v>SKR</v>
      </c>
      <c r="I1177" s="796">
        <f>VLOOKUP(G1177,SETTINGS!$B$7:$D$97,3,0)</f>
        <v>0</v>
      </c>
      <c r="J1177" s="670" t="str">
        <f>IFERROR(IF(CURRENCY.FORMAT_1=0,CONCATENATE(TEXT(FIXED(ROUND((C1177/EXC.RATE_1),CURRENCY.FORMAT_1),CURRENCY.FORMAT_1,1),"# ##0;-# ##0"),",-"),FIXED(ROUND((C1177/EXC.RATE_1),CURRENCY.FORMAT_1),CURRENCY.FORMAT_1,0)),'DICTIONARY-5'!$A$2)</f>
        <v>21 523,-</v>
      </c>
      <c r="K1177" s="670" t="str">
        <f>IF(EXC.RATE_2=0,"",IFERROR(IF(CURRENCY.FORMAT_2=0,CONCATENATE(TEXT(FIXED(ROUND(IF(EXC.RATE.SWITCH=1,C1177/EXC.RATE_2,C1177*EXC.RATE_2),CURRENCY.FORMAT_2),CURRENCY.FORMAT_2,1),"# ##0;-# ##0"),",-"),FIXED(ROUND(IF(EXC.RATE.SWITCH=1,C1177/EXC.RATE_2,C1177*EXC.RATE_2),CURRENCY.FORMAT_2),CURRENCY.FORMAT_2,0)),'DICTIONARY-5'!$A$2))</f>
        <v/>
      </c>
      <c r="L1177" s="670" t="str">
        <f>IFERROR(IF(CURRENCY.FORMAT_1=0,CONCATENATE(TEXT(FIXED(ROUND((C1177*(1-I1177)*(1-ADD.DISCOUNT)*(1+MAT.SURCHARGE)/EXC.RATE_1),CURRENCY.FORMAT_1),CURRENCY.FORMAT_1,1),"# ##0;-# ##0"),",-"),FIXED(ROUND((C1177*(1-I1177)*(1-ADD.DISCOUNT)*(1+MAT.SURCHARGE)/EXC.RATE_1),CURRENCY.FORMAT_1),CURRENCY.FORMAT_1,0)),'DICTIONARY-5'!$A$2)</f>
        <v>22 362,-</v>
      </c>
      <c r="M1177" s="670" t="str">
        <f>IF(EXC.RATE_2=0,"",IFERROR(IF(CURRENCY.FORMAT_2=0,CONCATENATE(TEXT(FIXED(ROUND(IF(EXC.RATE.SWITCH=1,C1177*(1-I1177)*(1-ADD.DISCOUNT)*(1+MAT.SURCHARGE)/EXC.RATE_2,C1177*(1-I1177)*(1-ADD.DISCOUNT)*(1+MAT.SURCHARGE)*EXC.RATE_2),CURRENCY.FORMAT_2),CURRENCY.FORMAT_2,1),"# ##0;-# ##0"),",-"),FIXED(ROUND(IF(EXC.RATE.SWITCH=1,C1177*(1-I1177)*(1-ADD.DISCOUNT)*(1+MAT.SURCHARGE)/EXC.RATE_2,C1177*(1-I1177)*(1-ADD.DISCOUNT)*(1+MAT.SURCHARGE)*EXC.RATE_2),CURRENCY.FORMAT_2),CURRENCY.FORMAT_2,0)),'DICTIONARY-5'!$A$2))</f>
        <v/>
      </c>
      <c r="N1177" s="539">
        <v>5</v>
      </c>
      <c r="O1177" s="539"/>
      <c r="P1177" s="731" t="str">
        <f>'DICTIONARY-3'!$A$97</f>
        <v>SKR</v>
      </c>
      <c r="Q1177" s="732" t="str">
        <f>'DICTIONARY-3'!$A$200</f>
        <v>Zawór zwrotny</v>
      </c>
      <c r="R1177" s="732" t="str">
        <f>CONCATENATE('DICTIONARY-3'!$A$97," ",'DICTIONARY-6'!$A$20," ",'DICTIONARY-2'!$A$2,"800"," ",'DICTIONARY-2'!$A$3,"10"," ","R14"," ",'DICTIONARY-6'!$A$68)</f>
        <v>SKR Zaw. zwrotny DN800 PN10 R14 spawane Ni-Cr siodło</v>
      </c>
      <c r="S1177" s="733" t="s">
        <v>5569</v>
      </c>
      <c r="T1177" s="732" t="s">
        <v>5569</v>
      </c>
      <c r="U1177" s="734" t="s">
        <v>5835</v>
      </c>
      <c r="V1177" s="735">
        <v>10</v>
      </c>
      <c r="W1177" s="736"/>
      <c r="X1177" s="737"/>
      <c r="Y1177" s="738"/>
      <c r="Z1177" s="739"/>
      <c r="AA1177" s="739"/>
      <c r="AB1177" s="740">
        <v>10</v>
      </c>
      <c r="AC1177" s="741" t="str">
        <f>'DICTIONARY-5'!$A$11&amp;" 14"</f>
        <v>EN 558 szereg 14</v>
      </c>
      <c r="AD1177" s="741" t="str">
        <f>'DICTIONARY-5'!$A$13&amp;", "&amp;'DICTIONARY-5'!$A$14</f>
        <v>woda pitna, ścieki</v>
      </c>
      <c r="AE1177" s="742">
        <v>50</v>
      </c>
      <c r="AF1177" s="743">
        <v>420</v>
      </c>
      <c r="AG1177" s="741" t="str">
        <f>'DICTIONARY-5'!$A$23</f>
        <v>powłoka epoksydowa</v>
      </c>
    </row>
    <row r="1178" spans="1:33" x14ac:dyDescent="0.25">
      <c r="A1178" s="861" t="s">
        <v>1184</v>
      </c>
      <c r="B1178" s="861" t="s">
        <v>4693</v>
      </c>
      <c r="C1178" s="836">
        <v>24999</v>
      </c>
      <c r="D1178" s="836"/>
      <c r="E1178" s="836"/>
      <c r="F1178" s="836"/>
      <c r="G1178" s="496" t="s">
        <v>7822</v>
      </c>
      <c r="H1178" s="797" t="str">
        <f>VLOOKUP(G1178,SETTINGS!$B$7:$D$97,2,0)</f>
        <v>SKR</v>
      </c>
      <c r="I1178" s="796">
        <f>VLOOKUP(G1178,SETTINGS!$B$7:$D$97,3,0)</f>
        <v>0</v>
      </c>
      <c r="J1178" s="670" t="str">
        <f>IFERROR(IF(CURRENCY.FORMAT_1=0,CONCATENATE(TEXT(FIXED(ROUND((C1178/EXC.RATE_1),CURRENCY.FORMAT_1),CURRENCY.FORMAT_1,1),"# ##0;-# ##0"),",-"),FIXED(ROUND((C1178/EXC.RATE_1),CURRENCY.FORMAT_1),CURRENCY.FORMAT_1,0)),'DICTIONARY-5'!$A$2)</f>
        <v>24 999,-</v>
      </c>
      <c r="K1178" s="670" t="str">
        <f>IF(EXC.RATE_2=0,"",IFERROR(IF(CURRENCY.FORMAT_2=0,CONCATENATE(TEXT(FIXED(ROUND(IF(EXC.RATE.SWITCH=1,C1178/EXC.RATE_2,C1178*EXC.RATE_2),CURRENCY.FORMAT_2),CURRENCY.FORMAT_2,1),"# ##0;-# ##0"),",-"),FIXED(ROUND(IF(EXC.RATE.SWITCH=1,C1178/EXC.RATE_2,C1178*EXC.RATE_2),CURRENCY.FORMAT_2),CURRENCY.FORMAT_2,0)),'DICTIONARY-5'!$A$2))</f>
        <v/>
      </c>
      <c r="L1178" s="670" t="str">
        <f>IFERROR(IF(CURRENCY.FORMAT_1=0,CONCATENATE(TEXT(FIXED(ROUND((C1178*(1-I1178)*(1-ADD.DISCOUNT)*(1+MAT.SURCHARGE)/EXC.RATE_1),CURRENCY.FORMAT_1),CURRENCY.FORMAT_1,1),"# ##0;-# ##0"),",-"),FIXED(ROUND((C1178*(1-I1178)*(1-ADD.DISCOUNT)*(1+MAT.SURCHARGE)/EXC.RATE_1),CURRENCY.FORMAT_1),CURRENCY.FORMAT_1,0)),'DICTIONARY-5'!$A$2)</f>
        <v>25 974,-</v>
      </c>
      <c r="M1178" s="670" t="str">
        <f>IF(EXC.RATE_2=0,"",IFERROR(IF(CURRENCY.FORMAT_2=0,CONCATENATE(TEXT(FIXED(ROUND(IF(EXC.RATE.SWITCH=1,C1178*(1-I1178)*(1-ADD.DISCOUNT)*(1+MAT.SURCHARGE)/EXC.RATE_2,C1178*(1-I1178)*(1-ADD.DISCOUNT)*(1+MAT.SURCHARGE)*EXC.RATE_2),CURRENCY.FORMAT_2),CURRENCY.FORMAT_2,1),"# ##0;-# ##0"),",-"),FIXED(ROUND(IF(EXC.RATE.SWITCH=1,C1178*(1-I1178)*(1-ADD.DISCOUNT)*(1+MAT.SURCHARGE)/EXC.RATE_2,C1178*(1-I1178)*(1-ADD.DISCOUNT)*(1+MAT.SURCHARGE)*EXC.RATE_2),CURRENCY.FORMAT_2),CURRENCY.FORMAT_2,0)),'DICTIONARY-5'!$A$2))</f>
        <v/>
      </c>
      <c r="N1178" s="539">
        <v>5</v>
      </c>
      <c r="O1178" s="539"/>
      <c r="P1178" s="731" t="str">
        <f>'DICTIONARY-3'!$A$97</f>
        <v>SKR</v>
      </c>
      <c r="Q1178" s="732" t="str">
        <f>'DICTIONARY-3'!$A$200</f>
        <v>Zawór zwrotny</v>
      </c>
      <c r="R1178" s="732" t="str">
        <f>CONCATENATE('DICTIONARY-3'!$A$97," ",'DICTIONARY-6'!$A$20," ",'DICTIONARY-2'!$A$2,"900"," ",'DICTIONARY-2'!$A$3,"10"," ","R14"," ",'DICTIONARY-6'!$A$68)</f>
        <v>SKR Zaw. zwrotny DN900 PN10 R14 spawane Ni-Cr siodło</v>
      </c>
      <c r="S1178" s="733" t="s">
        <v>5569</v>
      </c>
      <c r="T1178" s="732" t="s">
        <v>5569</v>
      </c>
      <c r="U1178" s="734" t="s">
        <v>5837</v>
      </c>
      <c r="V1178" s="735">
        <v>10</v>
      </c>
      <c r="W1178" s="736"/>
      <c r="X1178" s="737"/>
      <c r="Y1178" s="738"/>
      <c r="Z1178" s="739"/>
      <c r="AA1178" s="739"/>
      <c r="AB1178" s="740">
        <v>10</v>
      </c>
      <c r="AC1178" s="741" t="str">
        <f>'DICTIONARY-5'!$A$11&amp;" 14"</f>
        <v>EN 558 szereg 14</v>
      </c>
      <c r="AD1178" s="741" t="str">
        <f>'DICTIONARY-5'!$A$13&amp;", "&amp;'DICTIONARY-5'!$A$14</f>
        <v>woda pitna, ścieki</v>
      </c>
      <c r="AE1178" s="742">
        <v>50</v>
      </c>
      <c r="AF1178" s="743">
        <v>640</v>
      </c>
      <c r="AG1178" s="741" t="str">
        <f>'DICTIONARY-5'!$A$23</f>
        <v>powłoka epoksydowa</v>
      </c>
    </row>
    <row r="1179" spans="1:33" x14ac:dyDescent="0.25">
      <c r="A1179" s="861" t="s">
        <v>1185</v>
      </c>
      <c r="B1179" s="861" t="s">
        <v>4696</v>
      </c>
      <c r="C1179" s="836">
        <v>29401</v>
      </c>
      <c r="D1179" s="836"/>
      <c r="E1179" s="836"/>
      <c r="F1179" s="836"/>
      <c r="G1179" s="496" t="s">
        <v>7822</v>
      </c>
      <c r="H1179" s="797" t="str">
        <f>VLOOKUP(G1179,SETTINGS!$B$7:$D$97,2,0)</f>
        <v>SKR</v>
      </c>
      <c r="I1179" s="796">
        <f>VLOOKUP(G1179,SETTINGS!$B$7:$D$97,3,0)</f>
        <v>0</v>
      </c>
      <c r="J1179" s="670" t="str">
        <f>IFERROR(IF(CURRENCY.FORMAT_1=0,CONCATENATE(TEXT(FIXED(ROUND((C1179/EXC.RATE_1),CURRENCY.FORMAT_1),CURRENCY.FORMAT_1,1),"# ##0;-# ##0"),",-"),FIXED(ROUND((C1179/EXC.RATE_1),CURRENCY.FORMAT_1),CURRENCY.FORMAT_1,0)),'DICTIONARY-5'!$A$2)</f>
        <v>29 401,-</v>
      </c>
      <c r="K1179" s="670" t="str">
        <f>IF(EXC.RATE_2=0,"",IFERROR(IF(CURRENCY.FORMAT_2=0,CONCATENATE(TEXT(FIXED(ROUND(IF(EXC.RATE.SWITCH=1,C1179/EXC.RATE_2,C1179*EXC.RATE_2),CURRENCY.FORMAT_2),CURRENCY.FORMAT_2,1),"# ##0;-# ##0"),",-"),FIXED(ROUND(IF(EXC.RATE.SWITCH=1,C1179/EXC.RATE_2,C1179*EXC.RATE_2),CURRENCY.FORMAT_2),CURRENCY.FORMAT_2,0)),'DICTIONARY-5'!$A$2))</f>
        <v/>
      </c>
      <c r="L1179" s="670" t="str">
        <f>IFERROR(IF(CURRENCY.FORMAT_1=0,CONCATENATE(TEXT(FIXED(ROUND((C1179*(1-I1179)*(1-ADD.DISCOUNT)*(1+MAT.SURCHARGE)/EXC.RATE_1),CURRENCY.FORMAT_1),CURRENCY.FORMAT_1,1),"# ##0;-# ##0"),",-"),FIXED(ROUND((C1179*(1-I1179)*(1-ADD.DISCOUNT)*(1+MAT.SURCHARGE)/EXC.RATE_1),CURRENCY.FORMAT_1),CURRENCY.FORMAT_1,0)),'DICTIONARY-5'!$A$2)</f>
        <v>30 548,-</v>
      </c>
      <c r="M1179" s="670" t="str">
        <f>IF(EXC.RATE_2=0,"",IFERROR(IF(CURRENCY.FORMAT_2=0,CONCATENATE(TEXT(FIXED(ROUND(IF(EXC.RATE.SWITCH=1,C1179*(1-I1179)*(1-ADD.DISCOUNT)*(1+MAT.SURCHARGE)/EXC.RATE_2,C1179*(1-I1179)*(1-ADD.DISCOUNT)*(1+MAT.SURCHARGE)*EXC.RATE_2),CURRENCY.FORMAT_2),CURRENCY.FORMAT_2,1),"# ##0;-# ##0"),",-"),FIXED(ROUND(IF(EXC.RATE.SWITCH=1,C1179*(1-I1179)*(1-ADD.DISCOUNT)*(1+MAT.SURCHARGE)/EXC.RATE_2,C1179*(1-I1179)*(1-ADD.DISCOUNT)*(1+MAT.SURCHARGE)*EXC.RATE_2),CURRENCY.FORMAT_2),CURRENCY.FORMAT_2,0)),'DICTIONARY-5'!$A$2))</f>
        <v/>
      </c>
      <c r="N1179" s="539">
        <v>5</v>
      </c>
      <c r="O1179" s="539"/>
      <c r="P1179" s="731" t="str">
        <f>'DICTIONARY-3'!$A$97</f>
        <v>SKR</v>
      </c>
      <c r="Q1179" s="732" t="str">
        <f>'DICTIONARY-3'!$A$200</f>
        <v>Zawór zwrotny</v>
      </c>
      <c r="R1179" s="732" t="str">
        <f>CONCATENATE('DICTIONARY-3'!$A$97," ",'DICTIONARY-6'!$A$20," ",'DICTIONARY-2'!$A$2,"1000"," ",'DICTIONARY-2'!$A$3,"10"," ","R14"," ",'DICTIONARY-6'!$A$68)</f>
        <v>SKR Zaw. zwrotny DN1000 PN10 R14 spawane Ni-Cr siodło</v>
      </c>
      <c r="S1179" s="733" t="s">
        <v>5569</v>
      </c>
      <c r="T1179" s="732" t="s">
        <v>5569</v>
      </c>
      <c r="U1179" s="734" t="s">
        <v>5836</v>
      </c>
      <c r="V1179" s="735">
        <v>10</v>
      </c>
      <c r="W1179" s="736"/>
      <c r="X1179" s="737"/>
      <c r="Y1179" s="738"/>
      <c r="Z1179" s="739"/>
      <c r="AA1179" s="739"/>
      <c r="AB1179" s="740">
        <v>10</v>
      </c>
      <c r="AC1179" s="741" t="str">
        <f>'DICTIONARY-5'!$A$11&amp;" 14"</f>
        <v>EN 558 szereg 14</v>
      </c>
      <c r="AD1179" s="741" t="str">
        <f>'DICTIONARY-5'!$A$13&amp;", "&amp;'DICTIONARY-5'!$A$14</f>
        <v>woda pitna, ścieki</v>
      </c>
      <c r="AE1179" s="742">
        <v>50</v>
      </c>
      <c r="AF1179" s="743">
        <v>1150</v>
      </c>
      <c r="AG1179" s="741" t="str">
        <f>'DICTIONARY-5'!$A$23</f>
        <v>powłoka epoksydowa</v>
      </c>
    </row>
    <row r="1180" spans="1:33" x14ac:dyDescent="0.25">
      <c r="A1180" s="861" t="s">
        <v>1186</v>
      </c>
      <c r="B1180" s="861" t="s">
        <v>4665</v>
      </c>
      <c r="C1180" s="836">
        <v>4680</v>
      </c>
      <c r="D1180" s="836"/>
      <c r="E1180" s="836"/>
      <c r="F1180" s="836"/>
      <c r="G1180" s="496" t="s">
        <v>7822</v>
      </c>
      <c r="H1180" s="797" t="str">
        <f>VLOOKUP(G1180,SETTINGS!$B$7:$D$97,2,0)</f>
        <v>SKR</v>
      </c>
      <c r="I1180" s="796">
        <f>VLOOKUP(G1180,SETTINGS!$B$7:$D$97,3,0)</f>
        <v>0</v>
      </c>
      <c r="J1180" s="670" t="str">
        <f>IFERROR(IF(CURRENCY.FORMAT_1=0,CONCATENATE(TEXT(FIXED(ROUND((C1180/EXC.RATE_1),CURRENCY.FORMAT_1),CURRENCY.FORMAT_1,1),"# ##0;-# ##0"),",-"),FIXED(ROUND((C1180/EXC.RATE_1),CURRENCY.FORMAT_1),CURRENCY.FORMAT_1,0)),'DICTIONARY-5'!$A$2)</f>
        <v>4 680,-</v>
      </c>
      <c r="K1180" s="670" t="str">
        <f>IF(EXC.RATE_2=0,"",IFERROR(IF(CURRENCY.FORMAT_2=0,CONCATENATE(TEXT(FIXED(ROUND(IF(EXC.RATE.SWITCH=1,C1180/EXC.RATE_2,C1180*EXC.RATE_2),CURRENCY.FORMAT_2),CURRENCY.FORMAT_2,1),"# ##0;-# ##0"),",-"),FIXED(ROUND(IF(EXC.RATE.SWITCH=1,C1180/EXC.RATE_2,C1180*EXC.RATE_2),CURRENCY.FORMAT_2),CURRENCY.FORMAT_2,0)),'DICTIONARY-5'!$A$2))</f>
        <v/>
      </c>
      <c r="L1180" s="670" t="str">
        <f>IFERROR(IF(CURRENCY.FORMAT_1=0,CONCATENATE(TEXT(FIXED(ROUND((C1180*(1-I1180)*(1-ADD.DISCOUNT)*(1+MAT.SURCHARGE)/EXC.RATE_1),CURRENCY.FORMAT_1),CURRENCY.FORMAT_1,1),"# ##0;-# ##0"),",-"),FIXED(ROUND((C1180*(1-I1180)*(1-ADD.DISCOUNT)*(1+MAT.SURCHARGE)/EXC.RATE_1),CURRENCY.FORMAT_1),CURRENCY.FORMAT_1,0)),'DICTIONARY-5'!$A$2)</f>
        <v>4 863,-</v>
      </c>
      <c r="M1180" s="670" t="str">
        <f>IF(EXC.RATE_2=0,"",IFERROR(IF(CURRENCY.FORMAT_2=0,CONCATENATE(TEXT(FIXED(ROUND(IF(EXC.RATE.SWITCH=1,C1180*(1-I1180)*(1-ADD.DISCOUNT)*(1+MAT.SURCHARGE)/EXC.RATE_2,C1180*(1-I1180)*(1-ADD.DISCOUNT)*(1+MAT.SURCHARGE)*EXC.RATE_2),CURRENCY.FORMAT_2),CURRENCY.FORMAT_2,1),"# ##0;-# ##0"),",-"),FIXED(ROUND(IF(EXC.RATE.SWITCH=1,C1180*(1-I1180)*(1-ADD.DISCOUNT)*(1+MAT.SURCHARGE)/EXC.RATE_2,C1180*(1-I1180)*(1-ADD.DISCOUNT)*(1+MAT.SURCHARGE)*EXC.RATE_2),CURRENCY.FORMAT_2),CURRENCY.FORMAT_2,0)),'DICTIONARY-5'!$A$2))</f>
        <v/>
      </c>
      <c r="N1180" s="539">
        <v>5</v>
      </c>
      <c r="O1180" s="539"/>
      <c r="P1180" s="731" t="str">
        <f>'DICTIONARY-3'!$A$97</f>
        <v>SKR</v>
      </c>
      <c r="Q1180" s="732" t="str">
        <f>'DICTIONARY-3'!$A$200</f>
        <v>Zawór zwrotny</v>
      </c>
      <c r="R1180" s="732" t="str">
        <f>CONCATENATE('DICTIONARY-3'!$A$97," ",'DICTIONARY-6'!$A$20," ",'DICTIONARY-2'!$A$2,"200"," ",'DICTIONARY-2'!$A$3,"16"," ","R14"," ",'DICTIONARY-6'!$A$68)</f>
        <v>SKR Zaw. zwrotny DN200 PN16 R14 spawane Ni-Cr siodło</v>
      </c>
      <c r="S1180" s="733" t="s">
        <v>5569</v>
      </c>
      <c r="T1180" s="732" t="s">
        <v>5569</v>
      </c>
      <c r="U1180" s="734" t="s">
        <v>5750</v>
      </c>
      <c r="V1180" s="735">
        <v>16</v>
      </c>
      <c r="W1180" s="736"/>
      <c r="X1180" s="737"/>
      <c r="Y1180" s="738"/>
      <c r="Z1180" s="739"/>
      <c r="AA1180" s="739"/>
      <c r="AB1180" s="740">
        <v>16</v>
      </c>
      <c r="AC1180" s="741" t="str">
        <f>'DICTIONARY-5'!$A$11&amp;" 14"</f>
        <v>EN 558 szereg 14</v>
      </c>
      <c r="AD1180" s="741" t="str">
        <f>'DICTIONARY-5'!$A$13&amp;", "&amp;'DICTIONARY-5'!$A$14</f>
        <v>woda pitna, ścieki</v>
      </c>
      <c r="AE1180" s="742">
        <v>50</v>
      </c>
      <c r="AF1180" s="743">
        <v>38</v>
      </c>
      <c r="AG1180" s="741" t="str">
        <f>'DICTIONARY-5'!$A$23</f>
        <v>powłoka epoksydowa</v>
      </c>
    </row>
    <row r="1181" spans="1:33" x14ac:dyDescent="0.25">
      <c r="A1181" s="861"/>
      <c r="B1181" s="861" t="s">
        <v>5732</v>
      </c>
      <c r="C1181" s="836">
        <v>4779</v>
      </c>
      <c r="D1181" s="836"/>
      <c r="E1181" s="836"/>
      <c r="F1181" s="836"/>
      <c r="G1181" s="496" t="s">
        <v>7822</v>
      </c>
      <c r="H1181" s="797" t="str">
        <f>VLOOKUP(G1181,SETTINGS!$B$7:$D$97,2,0)</f>
        <v>SKR</v>
      </c>
      <c r="I1181" s="796">
        <f>VLOOKUP(G1181,SETTINGS!$B$7:$D$97,3,0)</f>
        <v>0</v>
      </c>
      <c r="J1181" s="670" t="str">
        <f>IFERROR(IF(CURRENCY.FORMAT_1=0,CONCATENATE(TEXT(FIXED(ROUND((C1181/EXC.RATE_1),CURRENCY.FORMAT_1),CURRENCY.FORMAT_1,1),"# ##0;-# ##0"),",-"),FIXED(ROUND((C1181/EXC.RATE_1),CURRENCY.FORMAT_1),CURRENCY.FORMAT_1,0)),'DICTIONARY-5'!$A$2)</f>
        <v>4 779,-</v>
      </c>
      <c r="K1181" s="670" t="str">
        <f>IF(EXC.RATE_2=0,"",IFERROR(IF(CURRENCY.FORMAT_2=0,CONCATENATE(TEXT(FIXED(ROUND(IF(EXC.RATE.SWITCH=1,C1181/EXC.RATE_2,C1181*EXC.RATE_2),CURRENCY.FORMAT_2),CURRENCY.FORMAT_2,1),"# ##0;-# ##0"),",-"),FIXED(ROUND(IF(EXC.RATE.SWITCH=1,C1181/EXC.RATE_2,C1181*EXC.RATE_2),CURRENCY.FORMAT_2),CURRENCY.FORMAT_2,0)),'DICTIONARY-5'!$A$2))</f>
        <v/>
      </c>
      <c r="L1181" s="670" t="str">
        <f>IFERROR(IF(CURRENCY.FORMAT_1=0,CONCATENATE(TEXT(FIXED(ROUND((C1181*(1-I1181)*(1-ADD.DISCOUNT)*(1+MAT.SURCHARGE)/EXC.RATE_1),CURRENCY.FORMAT_1),CURRENCY.FORMAT_1,1),"# ##0;-# ##0"),",-"),FIXED(ROUND((C1181*(1-I1181)*(1-ADD.DISCOUNT)*(1+MAT.SURCHARGE)/EXC.RATE_1),CURRENCY.FORMAT_1),CURRENCY.FORMAT_1,0)),'DICTIONARY-5'!$A$2)</f>
        <v>4 965,-</v>
      </c>
      <c r="M1181" s="670" t="str">
        <f>IF(EXC.RATE_2=0,"",IFERROR(IF(CURRENCY.FORMAT_2=0,CONCATENATE(TEXT(FIXED(ROUND(IF(EXC.RATE.SWITCH=1,C1181*(1-I1181)*(1-ADD.DISCOUNT)*(1+MAT.SURCHARGE)/EXC.RATE_2,C1181*(1-I1181)*(1-ADD.DISCOUNT)*(1+MAT.SURCHARGE)*EXC.RATE_2),CURRENCY.FORMAT_2),CURRENCY.FORMAT_2,1),"# ##0;-# ##0"),",-"),FIXED(ROUND(IF(EXC.RATE.SWITCH=1,C1181*(1-I1181)*(1-ADD.DISCOUNT)*(1+MAT.SURCHARGE)/EXC.RATE_2,C1181*(1-I1181)*(1-ADD.DISCOUNT)*(1+MAT.SURCHARGE)*EXC.RATE_2),CURRENCY.FORMAT_2),CURRENCY.FORMAT_2,0)),'DICTIONARY-5'!$A$2))</f>
        <v/>
      </c>
      <c r="N1181" s="539">
        <v>5</v>
      </c>
      <c r="O1181" s="539"/>
      <c r="P1181" s="731" t="str">
        <f>'DICTIONARY-3'!$A$97</f>
        <v>SKR</v>
      </c>
      <c r="Q1181" s="732" t="str">
        <f>'DICTIONARY-3'!$A$200</f>
        <v>Zawór zwrotny</v>
      </c>
      <c r="R1181" s="732" t="str">
        <f>CONCATENATE('DICTIONARY-3'!$A$97," ",'DICTIONARY-6'!$A$20," ",'DICTIONARY-2'!$A$2,"250"," ",'DICTIONARY-2'!$A$3,"16"," ","R14"," ",'DICTIONARY-6'!$A$68)</f>
        <v>SKR Zaw. zwrotny DN250 PN16 R14 spawane Ni-Cr siodło</v>
      </c>
      <c r="S1181" s="733" t="s">
        <v>5569</v>
      </c>
      <c r="T1181" s="732" t="s">
        <v>5569</v>
      </c>
      <c r="U1181" s="734" t="s">
        <v>5751</v>
      </c>
      <c r="V1181" s="735">
        <v>16</v>
      </c>
      <c r="W1181" s="736"/>
      <c r="X1181" s="737"/>
      <c r="Y1181" s="738"/>
      <c r="Z1181" s="739"/>
      <c r="AA1181" s="739"/>
      <c r="AB1181" s="740">
        <v>16</v>
      </c>
      <c r="AC1181" s="741" t="str">
        <f>'DICTIONARY-5'!$A$11&amp;" 14"</f>
        <v>EN 558 szereg 14</v>
      </c>
      <c r="AD1181" s="741" t="str">
        <f>'DICTIONARY-5'!$A$13&amp;", "&amp;'DICTIONARY-5'!$A$14</f>
        <v>woda pitna, ścieki</v>
      </c>
      <c r="AE1181" s="742">
        <v>50</v>
      </c>
      <c r="AF1181" s="743">
        <v>40</v>
      </c>
      <c r="AG1181" s="741" t="str">
        <f>'DICTIONARY-5'!$A$23</f>
        <v>powłoka epoksydowa</v>
      </c>
    </row>
    <row r="1182" spans="1:33" x14ac:dyDescent="0.25">
      <c r="A1182" s="861" t="s">
        <v>1187</v>
      </c>
      <c r="B1182" s="861" t="s">
        <v>4670</v>
      </c>
      <c r="C1182" s="836">
        <v>4685</v>
      </c>
      <c r="D1182" s="836"/>
      <c r="E1182" s="836"/>
      <c r="F1182" s="836"/>
      <c r="G1182" s="496" t="s">
        <v>7822</v>
      </c>
      <c r="H1182" s="797" t="str">
        <f>VLOOKUP(G1182,SETTINGS!$B$7:$D$97,2,0)</f>
        <v>SKR</v>
      </c>
      <c r="I1182" s="796">
        <f>VLOOKUP(G1182,SETTINGS!$B$7:$D$97,3,0)</f>
        <v>0</v>
      </c>
      <c r="J1182" s="670" t="str">
        <f>IFERROR(IF(CURRENCY.FORMAT_1=0,CONCATENATE(TEXT(FIXED(ROUND((C1182/EXC.RATE_1),CURRENCY.FORMAT_1),CURRENCY.FORMAT_1,1),"# ##0;-# ##0"),",-"),FIXED(ROUND((C1182/EXC.RATE_1),CURRENCY.FORMAT_1),CURRENCY.FORMAT_1,0)),'DICTIONARY-5'!$A$2)</f>
        <v>4 685,-</v>
      </c>
      <c r="K1182" s="670" t="str">
        <f>IF(EXC.RATE_2=0,"",IFERROR(IF(CURRENCY.FORMAT_2=0,CONCATENATE(TEXT(FIXED(ROUND(IF(EXC.RATE.SWITCH=1,C1182/EXC.RATE_2,C1182*EXC.RATE_2),CURRENCY.FORMAT_2),CURRENCY.FORMAT_2,1),"# ##0;-# ##0"),",-"),FIXED(ROUND(IF(EXC.RATE.SWITCH=1,C1182/EXC.RATE_2,C1182*EXC.RATE_2),CURRENCY.FORMAT_2),CURRENCY.FORMAT_2,0)),'DICTIONARY-5'!$A$2))</f>
        <v/>
      </c>
      <c r="L1182" s="670" t="str">
        <f>IFERROR(IF(CURRENCY.FORMAT_1=0,CONCATENATE(TEXT(FIXED(ROUND((C1182*(1-I1182)*(1-ADD.DISCOUNT)*(1+MAT.SURCHARGE)/EXC.RATE_1),CURRENCY.FORMAT_1),CURRENCY.FORMAT_1,1),"# ##0;-# ##0"),",-"),FIXED(ROUND((C1182*(1-I1182)*(1-ADD.DISCOUNT)*(1+MAT.SURCHARGE)/EXC.RATE_1),CURRENCY.FORMAT_1),CURRENCY.FORMAT_1,0)),'DICTIONARY-5'!$A$2)</f>
        <v>4 868,-</v>
      </c>
      <c r="M1182" s="670" t="str">
        <f>IF(EXC.RATE_2=0,"",IFERROR(IF(CURRENCY.FORMAT_2=0,CONCATENATE(TEXT(FIXED(ROUND(IF(EXC.RATE.SWITCH=1,C1182*(1-I1182)*(1-ADD.DISCOUNT)*(1+MAT.SURCHARGE)/EXC.RATE_2,C1182*(1-I1182)*(1-ADD.DISCOUNT)*(1+MAT.SURCHARGE)*EXC.RATE_2),CURRENCY.FORMAT_2),CURRENCY.FORMAT_2,1),"# ##0;-# ##0"),",-"),FIXED(ROUND(IF(EXC.RATE.SWITCH=1,C1182*(1-I1182)*(1-ADD.DISCOUNT)*(1+MAT.SURCHARGE)/EXC.RATE_2,C1182*(1-I1182)*(1-ADD.DISCOUNT)*(1+MAT.SURCHARGE)*EXC.RATE_2),CURRENCY.FORMAT_2),CURRENCY.FORMAT_2,0)),'DICTIONARY-5'!$A$2))</f>
        <v/>
      </c>
      <c r="N1182" s="539">
        <v>5</v>
      </c>
      <c r="O1182" s="539"/>
      <c r="P1182" s="731" t="str">
        <f>'DICTIONARY-3'!$A$97</f>
        <v>SKR</v>
      </c>
      <c r="Q1182" s="732" t="str">
        <f>'DICTIONARY-3'!$A$200</f>
        <v>Zawór zwrotny</v>
      </c>
      <c r="R1182" s="732" t="str">
        <f>CONCATENATE('DICTIONARY-3'!$A$97," ",'DICTIONARY-6'!$A$20," ",'DICTIONARY-2'!$A$2,"300"," ",'DICTIONARY-2'!$A$3,"16"," ","R14"," ",'DICTIONARY-6'!$A$68)</f>
        <v>SKR Zaw. zwrotny DN300 PN16 R14 spawane Ni-Cr siodło</v>
      </c>
      <c r="S1182" s="733" t="s">
        <v>5569</v>
      </c>
      <c r="T1182" s="732" t="s">
        <v>5569</v>
      </c>
      <c r="U1182" s="734" t="s">
        <v>5752</v>
      </c>
      <c r="V1182" s="735">
        <v>16</v>
      </c>
      <c r="W1182" s="736"/>
      <c r="X1182" s="737"/>
      <c r="Y1182" s="738"/>
      <c r="Z1182" s="739"/>
      <c r="AA1182" s="739"/>
      <c r="AB1182" s="740">
        <v>16</v>
      </c>
      <c r="AC1182" s="741" t="str">
        <f>'DICTIONARY-5'!$A$11&amp;" 14"</f>
        <v>EN 558 szereg 14</v>
      </c>
      <c r="AD1182" s="741" t="str">
        <f>'DICTIONARY-5'!$A$13&amp;", "&amp;'DICTIONARY-5'!$A$14</f>
        <v>woda pitna, ścieki</v>
      </c>
      <c r="AE1182" s="742">
        <v>50</v>
      </c>
      <c r="AF1182" s="743">
        <v>65</v>
      </c>
      <c r="AG1182" s="741" t="str">
        <f>'DICTIONARY-5'!$A$23</f>
        <v>powłoka epoksydowa</v>
      </c>
    </row>
    <row r="1183" spans="1:33" x14ac:dyDescent="0.25">
      <c r="A1183" s="861" t="s">
        <v>1188</v>
      </c>
      <c r="B1183" s="861" t="s">
        <v>4673</v>
      </c>
      <c r="C1183" s="836">
        <v>5249</v>
      </c>
      <c r="D1183" s="836"/>
      <c r="E1183" s="836"/>
      <c r="F1183" s="836"/>
      <c r="G1183" s="496" t="s">
        <v>7822</v>
      </c>
      <c r="H1183" s="797" t="str">
        <f>VLOOKUP(G1183,SETTINGS!$B$7:$D$97,2,0)</f>
        <v>SKR</v>
      </c>
      <c r="I1183" s="796">
        <f>VLOOKUP(G1183,SETTINGS!$B$7:$D$97,3,0)</f>
        <v>0</v>
      </c>
      <c r="J1183" s="670" t="str">
        <f>IFERROR(IF(CURRENCY.FORMAT_1=0,CONCATENATE(TEXT(FIXED(ROUND((C1183/EXC.RATE_1),CURRENCY.FORMAT_1),CURRENCY.FORMAT_1,1),"# ##0;-# ##0"),",-"),FIXED(ROUND((C1183/EXC.RATE_1),CURRENCY.FORMAT_1),CURRENCY.FORMAT_1,0)),'DICTIONARY-5'!$A$2)</f>
        <v>5 249,-</v>
      </c>
      <c r="K1183" s="670" t="str">
        <f>IF(EXC.RATE_2=0,"",IFERROR(IF(CURRENCY.FORMAT_2=0,CONCATENATE(TEXT(FIXED(ROUND(IF(EXC.RATE.SWITCH=1,C1183/EXC.RATE_2,C1183*EXC.RATE_2),CURRENCY.FORMAT_2),CURRENCY.FORMAT_2,1),"# ##0;-# ##0"),",-"),FIXED(ROUND(IF(EXC.RATE.SWITCH=1,C1183/EXC.RATE_2,C1183*EXC.RATE_2),CURRENCY.FORMAT_2),CURRENCY.FORMAT_2,0)),'DICTIONARY-5'!$A$2))</f>
        <v/>
      </c>
      <c r="L1183" s="670" t="str">
        <f>IFERROR(IF(CURRENCY.FORMAT_1=0,CONCATENATE(TEXT(FIXED(ROUND((C1183*(1-I1183)*(1-ADD.DISCOUNT)*(1+MAT.SURCHARGE)/EXC.RATE_1),CURRENCY.FORMAT_1),CURRENCY.FORMAT_1,1),"# ##0;-# ##0"),",-"),FIXED(ROUND((C1183*(1-I1183)*(1-ADD.DISCOUNT)*(1+MAT.SURCHARGE)/EXC.RATE_1),CURRENCY.FORMAT_1),CURRENCY.FORMAT_1,0)),'DICTIONARY-5'!$A$2)</f>
        <v>5 454,-</v>
      </c>
      <c r="M1183" s="670" t="str">
        <f>IF(EXC.RATE_2=0,"",IFERROR(IF(CURRENCY.FORMAT_2=0,CONCATENATE(TEXT(FIXED(ROUND(IF(EXC.RATE.SWITCH=1,C1183*(1-I1183)*(1-ADD.DISCOUNT)*(1+MAT.SURCHARGE)/EXC.RATE_2,C1183*(1-I1183)*(1-ADD.DISCOUNT)*(1+MAT.SURCHARGE)*EXC.RATE_2),CURRENCY.FORMAT_2),CURRENCY.FORMAT_2,1),"# ##0;-# ##0"),",-"),FIXED(ROUND(IF(EXC.RATE.SWITCH=1,C1183*(1-I1183)*(1-ADD.DISCOUNT)*(1+MAT.SURCHARGE)/EXC.RATE_2,C1183*(1-I1183)*(1-ADD.DISCOUNT)*(1+MAT.SURCHARGE)*EXC.RATE_2),CURRENCY.FORMAT_2),CURRENCY.FORMAT_2,0)),'DICTIONARY-5'!$A$2))</f>
        <v/>
      </c>
      <c r="N1183" s="539">
        <v>5</v>
      </c>
      <c r="O1183" s="539"/>
      <c r="P1183" s="731" t="str">
        <f>'DICTIONARY-3'!$A$97</f>
        <v>SKR</v>
      </c>
      <c r="Q1183" s="732" t="str">
        <f>'DICTIONARY-3'!$A$200</f>
        <v>Zawór zwrotny</v>
      </c>
      <c r="R1183" s="732" t="str">
        <f>CONCATENATE('DICTIONARY-3'!$A$97," ",'DICTIONARY-6'!$A$20," ",'DICTIONARY-2'!$A$2,"350"," ",'DICTIONARY-2'!$A$3,"16"," ","R14"," ",'DICTIONARY-6'!$A$68)</f>
        <v>SKR Zaw. zwrotny DN350 PN16 R14 spawane Ni-Cr siodło</v>
      </c>
      <c r="S1183" s="733" t="s">
        <v>5569</v>
      </c>
      <c r="T1183" s="732" t="s">
        <v>5569</v>
      </c>
      <c r="U1183" s="734" t="s">
        <v>5753</v>
      </c>
      <c r="V1183" s="735">
        <v>16</v>
      </c>
      <c r="W1183" s="736"/>
      <c r="X1183" s="737"/>
      <c r="Y1183" s="738"/>
      <c r="Z1183" s="739"/>
      <c r="AA1183" s="739"/>
      <c r="AB1183" s="740">
        <v>16</v>
      </c>
      <c r="AC1183" s="741" t="str">
        <f>'DICTIONARY-5'!$A$11&amp;" 14"</f>
        <v>EN 558 szereg 14</v>
      </c>
      <c r="AD1183" s="741" t="str">
        <f>'DICTIONARY-5'!$A$13&amp;", "&amp;'DICTIONARY-5'!$A$14</f>
        <v>woda pitna, ścieki</v>
      </c>
      <c r="AE1183" s="742">
        <v>50</v>
      </c>
      <c r="AF1183" s="743">
        <v>107</v>
      </c>
      <c r="AG1183" s="741" t="str">
        <f>'DICTIONARY-5'!$A$23</f>
        <v>powłoka epoksydowa</v>
      </c>
    </row>
    <row r="1184" spans="1:33" x14ac:dyDescent="0.25">
      <c r="A1184" s="861" t="s">
        <v>1189</v>
      </c>
      <c r="B1184" s="861" t="s">
        <v>4676</v>
      </c>
      <c r="C1184" s="836">
        <v>5624</v>
      </c>
      <c r="D1184" s="836"/>
      <c r="E1184" s="836"/>
      <c r="F1184" s="836"/>
      <c r="G1184" s="496" t="s">
        <v>7822</v>
      </c>
      <c r="H1184" s="797" t="str">
        <f>VLOOKUP(G1184,SETTINGS!$B$7:$D$97,2,0)</f>
        <v>SKR</v>
      </c>
      <c r="I1184" s="796">
        <f>VLOOKUP(G1184,SETTINGS!$B$7:$D$97,3,0)</f>
        <v>0</v>
      </c>
      <c r="J1184" s="670" t="str">
        <f>IFERROR(IF(CURRENCY.FORMAT_1=0,CONCATENATE(TEXT(FIXED(ROUND((C1184/EXC.RATE_1),CURRENCY.FORMAT_1),CURRENCY.FORMAT_1,1),"# ##0;-# ##0"),",-"),FIXED(ROUND((C1184/EXC.RATE_1),CURRENCY.FORMAT_1),CURRENCY.FORMAT_1,0)),'DICTIONARY-5'!$A$2)</f>
        <v>5 624,-</v>
      </c>
      <c r="K1184" s="670" t="str">
        <f>IF(EXC.RATE_2=0,"",IFERROR(IF(CURRENCY.FORMAT_2=0,CONCATENATE(TEXT(FIXED(ROUND(IF(EXC.RATE.SWITCH=1,C1184/EXC.RATE_2,C1184*EXC.RATE_2),CURRENCY.FORMAT_2),CURRENCY.FORMAT_2,1),"# ##0;-# ##0"),",-"),FIXED(ROUND(IF(EXC.RATE.SWITCH=1,C1184/EXC.RATE_2,C1184*EXC.RATE_2),CURRENCY.FORMAT_2),CURRENCY.FORMAT_2,0)),'DICTIONARY-5'!$A$2))</f>
        <v/>
      </c>
      <c r="L1184" s="670" t="str">
        <f>IFERROR(IF(CURRENCY.FORMAT_1=0,CONCATENATE(TEXT(FIXED(ROUND((C1184*(1-I1184)*(1-ADD.DISCOUNT)*(1+MAT.SURCHARGE)/EXC.RATE_1),CURRENCY.FORMAT_1),CURRENCY.FORMAT_1,1),"# ##0;-# ##0"),",-"),FIXED(ROUND((C1184*(1-I1184)*(1-ADD.DISCOUNT)*(1+MAT.SURCHARGE)/EXC.RATE_1),CURRENCY.FORMAT_1),CURRENCY.FORMAT_1,0)),'DICTIONARY-5'!$A$2)</f>
        <v>5 843,-</v>
      </c>
      <c r="M1184" s="670" t="str">
        <f>IF(EXC.RATE_2=0,"",IFERROR(IF(CURRENCY.FORMAT_2=0,CONCATENATE(TEXT(FIXED(ROUND(IF(EXC.RATE.SWITCH=1,C1184*(1-I1184)*(1-ADD.DISCOUNT)*(1+MAT.SURCHARGE)/EXC.RATE_2,C1184*(1-I1184)*(1-ADD.DISCOUNT)*(1+MAT.SURCHARGE)*EXC.RATE_2),CURRENCY.FORMAT_2),CURRENCY.FORMAT_2,1),"# ##0;-# ##0"),",-"),FIXED(ROUND(IF(EXC.RATE.SWITCH=1,C1184*(1-I1184)*(1-ADD.DISCOUNT)*(1+MAT.SURCHARGE)/EXC.RATE_2,C1184*(1-I1184)*(1-ADD.DISCOUNT)*(1+MAT.SURCHARGE)*EXC.RATE_2),CURRENCY.FORMAT_2),CURRENCY.FORMAT_2,0)),'DICTIONARY-5'!$A$2))</f>
        <v/>
      </c>
      <c r="N1184" s="539">
        <v>5</v>
      </c>
      <c r="O1184" s="539"/>
      <c r="P1184" s="731" t="str">
        <f>'DICTIONARY-3'!$A$97</f>
        <v>SKR</v>
      </c>
      <c r="Q1184" s="732" t="str">
        <f>'DICTIONARY-3'!$A$200</f>
        <v>Zawór zwrotny</v>
      </c>
      <c r="R1184" s="732" t="str">
        <f>CONCATENATE('DICTIONARY-3'!$A$97," ",'DICTIONARY-6'!$A$20," ",'DICTIONARY-2'!$A$2,"400"," ",'DICTIONARY-2'!$A$3,"16"," ","R14"," ",'DICTIONARY-6'!$A$68)</f>
        <v>SKR Zaw. zwrotny DN400 PN16 R14 spawane Ni-Cr siodło</v>
      </c>
      <c r="S1184" s="733" t="s">
        <v>5569</v>
      </c>
      <c r="T1184" s="732" t="s">
        <v>5569</v>
      </c>
      <c r="U1184" s="734" t="s">
        <v>5754</v>
      </c>
      <c r="V1184" s="735">
        <v>16</v>
      </c>
      <c r="W1184" s="736"/>
      <c r="X1184" s="737"/>
      <c r="Y1184" s="738"/>
      <c r="Z1184" s="739"/>
      <c r="AA1184" s="739"/>
      <c r="AB1184" s="740">
        <v>16</v>
      </c>
      <c r="AC1184" s="741" t="str">
        <f>'DICTIONARY-5'!$A$11&amp;" 14"</f>
        <v>EN 558 szereg 14</v>
      </c>
      <c r="AD1184" s="741" t="str">
        <f>'DICTIONARY-5'!$A$13&amp;", "&amp;'DICTIONARY-5'!$A$14</f>
        <v>woda pitna, ścieki</v>
      </c>
      <c r="AE1184" s="742">
        <v>50</v>
      </c>
      <c r="AF1184" s="743">
        <v>135</v>
      </c>
      <c r="AG1184" s="741" t="str">
        <f>'DICTIONARY-5'!$A$23</f>
        <v>powłoka epoksydowa</v>
      </c>
    </row>
    <row r="1185" spans="1:33" x14ac:dyDescent="0.25">
      <c r="A1185" s="861" t="s">
        <v>1190</v>
      </c>
      <c r="B1185" s="861" t="s">
        <v>4679</v>
      </c>
      <c r="C1185" s="836">
        <v>8391</v>
      </c>
      <c r="D1185" s="836"/>
      <c r="E1185" s="836"/>
      <c r="F1185" s="836"/>
      <c r="G1185" s="496" t="s">
        <v>7822</v>
      </c>
      <c r="H1185" s="797" t="str">
        <f>VLOOKUP(G1185,SETTINGS!$B$7:$D$97,2,0)</f>
        <v>SKR</v>
      </c>
      <c r="I1185" s="796">
        <f>VLOOKUP(G1185,SETTINGS!$B$7:$D$97,3,0)</f>
        <v>0</v>
      </c>
      <c r="J1185" s="670" t="str">
        <f>IFERROR(IF(CURRENCY.FORMAT_1=0,CONCATENATE(TEXT(FIXED(ROUND((C1185/EXC.RATE_1),CURRENCY.FORMAT_1),CURRENCY.FORMAT_1,1),"# ##0;-# ##0"),",-"),FIXED(ROUND((C1185/EXC.RATE_1),CURRENCY.FORMAT_1),CURRENCY.FORMAT_1,0)),'DICTIONARY-5'!$A$2)</f>
        <v>8 391,-</v>
      </c>
      <c r="K1185" s="670" t="str">
        <f>IF(EXC.RATE_2=0,"",IFERROR(IF(CURRENCY.FORMAT_2=0,CONCATENATE(TEXT(FIXED(ROUND(IF(EXC.RATE.SWITCH=1,C1185/EXC.RATE_2,C1185*EXC.RATE_2),CURRENCY.FORMAT_2),CURRENCY.FORMAT_2,1),"# ##0;-# ##0"),",-"),FIXED(ROUND(IF(EXC.RATE.SWITCH=1,C1185/EXC.RATE_2,C1185*EXC.RATE_2),CURRENCY.FORMAT_2),CURRENCY.FORMAT_2,0)),'DICTIONARY-5'!$A$2))</f>
        <v/>
      </c>
      <c r="L1185" s="670" t="str">
        <f>IFERROR(IF(CURRENCY.FORMAT_1=0,CONCATENATE(TEXT(FIXED(ROUND((C1185*(1-I1185)*(1-ADD.DISCOUNT)*(1+MAT.SURCHARGE)/EXC.RATE_1),CURRENCY.FORMAT_1),CURRENCY.FORMAT_1,1),"# ##0;-# ##0"),",-"),FIXED(ROUND((C1185*(1-I1185)*(1-ADD.DISCOUNT)*(1+MAT.SURCHARGE)/EXC.RATE_1),CURRENCY.FORMAT_1),CURRENCY.FORMAT_1,0)),'DICTIONARY-5'!$A$2)</f>
        <v>8 718,-</v>
      </c>
      <c r="M1185" s="670" t="str">
        <f>IF(EXC.RATE_2=0,"",IFERROR(IF(CURRENCY.FORMAT_2=0,CONCATENATE(TEXT(FIXED(ROUND(IF(EXC.RATE.SWITCH=1,C1185*(1-I1185)*(1-ADD.DISCOUNT)*(1+MAT.SURCHARGE)/EXC.RATE_2,C1185*(1-I1185)*(1-ADD.DISCOUNT)*(1+MAT.SURCHARGE)*EXC.RATE_2),CURRENCY.FORMAT_2),CURRENCY.FORMAT_2,1),"# ##0;-# ##0"),",-"),FIXED(ROUND(IF(EXC.RATE.SWITCH=1,C1185*(1-I1185)*(1-ADD.DISCOUNT)*(1+MAT.SURCHARGE)/EXC.RATE_2,C1185*(1-I1185)*(1-ADD.DISCOUNT)*(1+MAT.SURCHARGE)*EXC.RATE_2),CURRENCY.FORMAT_2),CURRENCY.FORMAT_2,0)),'DICTIONARY-5'!$A$2))</f>
        <v/>
      </c>
      <c r="N1185" s="539">
        <v>5</v>
      </c>
      <c r="O1185" s="539"/>
      <c r="P1185" s="731" t="str">
        <f>'DICTIONARY-3'!$A$97</f>
        <v>SKR</v>
      </c>
      <c r="Q1185" s="732" t="str">
        <f>'DICTIONARY-3'!$A$200</f>
        <v>Zawór zwrotny</v>
      </c>
      <c r="R1185" s="732" t="str">
        <f>CONCATENATE('DICTIONARY-3'!$A$97," ",'DICTIONARY-6'!$A$20," ",'DICTIONARY-2'!$A$2,"450"," ",'DICTIONARY-2'!$A$3,"16"," ","R14"," ",'DICTIONARY-6'!$A$68)</f>
        <v>SKR Zaw. zwrotny DN450 PN16 R14 spawane Ni-Cr siodło</v>
      </c>
      <c r="S1185" s="733" t="s">
        <v>5569</v>
      </c>
      <c r="T1185" s="732" t="s">
        <v>5569</v>
      </c>
      <c r="U1185" s="734" t="s">
        <v>5755</v>
      </c>
      <c r="V1185" s="735">
        <v>16</v>
      </c>
      <c r="W1185" s="736"/>
      <c r="X1185" s="737"/>
      <c r="Y1185" s="738"/>
      <c r="Z1185" s="739"/>
      <c r="AA1185" s="739"/>
      <c r="AB1185" s="740">
        <v>16</v>
      </c>
      <c r="AC1185" s="741" t="str">
        <f>'DICTIONARY-5'!$A$11&amp;" 14"</f>
        <v>EN 558 szereg 14</v>
      </c>
      <c r="AD1185" s="741" t="str">
        <f>'DICTIONARY-5'!$A$13&amp;", "&amp;'DICTIONARY-5'!$A$14</f>
        <v>woda pitna, ścieki</v>
      </c>
      <c r="AE1185" s="742">
        <v>50</v>
      </c>
      <c r="AF1185" s="743">
        <v>145</v>
      </c>
      <c r="AG1185" s="741" t="str">
        <f>'DICTIONARY-5'!$A$23</f>
        <v>powłoka epoksydowa</v>
      </c>
    </row>
    <row r="1186" spans="1:33" x14ac:dyDescent="0.25">
      <c r="A1186" s="861" t="s">
        <v>1191</v>
      </c>
      <c r="B1186" s="861" t="s">
        <v>4682</v>
      </c>
      <c r="C1186" s="836">
        <v>8529</v>
      </c>
      <c r="D1186" s="836"/>
      <c r="E1186" s="836"/>
      <c r="F1186" s="836"/>
      <c r="G1186" s="496" t="s">
        <v>7822</v>
      </c>
      <c r="H1186" s="797" t="str">
        <f>VLOOKUP(G1186,SETTINGS!$B$7:$D$97,2,0)</f>
        <v>SKR</v>
      </c>
      <c r="I1186" s="796">
        <f>VLOOKUP(G1186,SETTINGS!$B$7:$D$97,3,0)</f>
        <v>0</v>
      </c>
      <c r="J1186" s="670" t="str">
        <f>IFERROR(IF(CURRENCY.FORMAT_1=0,CONCATENATE(TEXT(FIXED(ROUND((C1186/EXC.RATE_1),CURRENCY.FORMAT_1),CURRENCY.FORMAT_1,1),"# ##0;-# ##0"),",-"),FIXED(ROUND((C1186/EXC.RATE_1),CURRENCY.FORMAT_1),CURRENCY.FORMAT_1,0)),'DICTIONARY-5'!$A$2)</f>
        <v>8 529,-</v>
      </c>
      <c r="K1186" s="670" t="str">
        <f>IF(EXC.RATE_2=0,"",IFERROR(IF(CURRENCY.FORMAT_2=0,CONCATENATE(TEXT(FIXED(ROUND(IF(EXC.RATE.SWITCH=1,C1186/EXC.RATE_2,C1186*EXC.RATE_2),CURRENCY.FORMAT_2),CURRENCY.FORMAT_2,1),"# ##0;-# ##0"),",-"),FIXED(ROUND(IF(EXC.RATE.SWITCH=1,C1186/EXC.RATE_2,C1186*EXC.RATE_2),CURRENCY.FORMAT_2),CURRENCY.FORMAT_2,0)),'DICTIONARY-5'!$A$2))</f>
        <v/>
      </c>
      <c r="L1186" s="670" t="str">
        <f>IFERROR(IF(CURRENCY.FORMAT_1=0,CONCATENATE(TEXT(FIXED(ROUND((C1186*(1-I1186)*(1-ADD.DISCOUNT)*(1+MAT.SURCHARGE)/EXC.RATE_1),CURRENCY.FORMAT_1),CURRENCY.FORMAT_1,1),"# ##0;-# ##0"),",-"),FIXED(ROUND((C1186*(1-I1186)*(1-ADD.DISCOUNT)*(1+MAT.SURCHARGE)/EXC.RATE_1),CURRENCY.FORMAT_1),CURRENCY.FORMAT_1,0)),'DICTIONARY-5'!$A$2)</f>
        <v>8 862,-</v>
      </c>
      <c r="M1186" s="670" t="str">
        <f>IF(EXC.RATE_2=0,"",IFERROR(IF(CURRENCY.FORMAT_2=0,CONCATENATE(TEXT(FIXED(ROUND(IF(EXC.RATE.SWITCH=1,C1186*(1-I1186)*(1-ADD.DISCOUNT)*(1+MAT.SURCHARGE)/EXC.RATE_2,C1186*(1-I1186)*(1-ADD.DISCOUNT)*(1+MAT.SURCHARGE)*EXC.RATE_2),CURRENCY.FORMAT_2),CURRENCY.FORMAT_2,1),"# ##0;-# ##0"),",-"),FIXED(ROUND(IF(EXC.RATE.SWITCH=1,C1186*(1-I1186)*(1-ADD.DISCOUNT)*(1+MAT.SURCHARGE)/EXC.RATE_2,C1186*(1-I1186)*(1-ADD.DISCOUNT)*(1+MAT.SURCHARGE)*EXC.RATE_2),CURRENCY.FORMAT_2),CURRENCY.FORMAT_2,0)),'DICTIONARY-5'!$A$2))</f>
        <v/>
      </c>
      <c r="N1186" s="539">
        <v>5</v>
      </c>
      <c r="O1186" s="539"/>
      <c r="P1186" s="731" t="str">
        <f>'DICTIONARY-3'!$A$97</f>
        <v>SKR</v>
      </c>
      <c r="Q1186" s="732" t="str">
        <f>'DICTIONARY-3'!$A$200</f>
        <v>Zawór zwrotny</v>
      </c>
      <c r="R1186" s="732" t="str">
        <f>CONCATENATE('DICTIONARY-3'!$A$97," ",'DICTIONARY-6'!$A$20," ",'DICTIONARY-2'!$A$2,"500"," ",'DICTIONARY-2'!$A$3,"16"," ","R14"," ",'DICTIONARY-6'!$A$68)</f>
        <v>SKR Zaw. zwrotny DN500 PN16 R14 spawane Ni-Cr siodło</v>
      </c>
      <c r="S1186" s="733" t="s">
        <v>5569</v>
      </c>
      <c r="T1186" s="732" t="s">
        <v>5569</v>
      </c>
      <c r="U1186" s="734" t="s">
        <v>5756</v>
      </c>
      <c r="V1186" s="735">
        <v>16</v>
      </c>
      <c r="W1186" s="736"/>
      <c r="X1186" s="737"/>
      <c r="Y1186" s="738"/>
      <c r="Z1186" s="739"/>
      <c r="AA1186" s="739"/>
      <c r="AB1186" s="740">
        <v>16</v>
      </c>
      <c r="AC1186" s="741" t="str">
        <f>'DICTIONARY-5'!$A$11&amp;" 14"</f>
        <v>EN 558 szereg 14</v>
      </c>
      <c r="AD1186" s="741" t="str">
        <f>'DICTIONARY-5'!$A$13&amp;", "&amp;'DICTIONARY-5'!$A$14</f>
        <v>woda pitna, ścieki</v>
      </c>
      <c r="AE1186" s="742">
        <v>50</v>
      </c>
      <c r="AF1186" s="743">
        <v>210</v>
      </c>
      <c r="AG1186" s="741" t="str">
        <f>'DICTIONARY-5'!$A$23</f>
        <v>powłoka epoksydowa</v>
      </c>
    </row>
    <row r="1187" spans="1:33" x14ac:dyDescent="0.25">
      <c r="A1187" s="861" t="s">
        <v>1192</v>
      </c>
      <c r="B1187" s="861" t="s">
        <v>4685</v>
      </c>
      <c r="C1187" s="836">
        <v>11494</v>
      </c>
      <c r="D1187" s="836"/>
      <c r="E1187" s="836"/>
      <c r="F1187" s="836"/>
      <c r="G1187" s="496" t="s">
        <v>7822</v>
      </c>
      <c r="H1187" s="797" t="str">
        <f>VLOOKUP(G1187,SETTINGS!$B$7:$D$97,2,0)</f>
        <v>SKR</v>
      </c>
      <c r="I1187" s="796">
        <f>VLOOKUP(G1187,SETTINGS!$B$7:$D$97,3,0)</f>
        <v>0</v>
      </c>
      <c r="J1187" s="670" t="str">
        <f>IFERROR(IF(CURRENCY.FORMAT_1=0,CONCATENATE(TEXT(FIXED(ROUND((C1187/EXC.RATE_1),CURRENCY.FORMAT_1),CURRENCY.FORMAT_1,1),"# ##0;-# ##0"),",-"),FIXED(ROUND((C1187/EXC.RATE_1),CURRENCY.FORMAT_1),CURRENCY.FORMAT_1,0)),'DICTIONARY-5'!$A$2)</f>
        <v>11 494,-</v>
      </c>
      <c r="K1187" s="670" t="str">
        <f>IF(EXC.RATE_2=0,"",IFERROR(IF(CURRENCY.FORMAT_2=0,CONCATENATE(TEXT(FIXED(ROUND(IF(EXC.RATE.SWITCH=1,C1187/EXC.RATE_2,C1187*EXC.RATE_2),CURRENCY.FORMAT_2),CURRENCY.FORMAT_2,1),"# ##0;-# ##0"),",-"),FIXED(ROUND(IF(EXC.RATE.SWITCH=1,C1187/EXC.RATE_2,C1187*EXC.RATE_2),CURRENCY.FORMAT_2),CURRENCY.FORMAT_2,0)),'DICTIONARY-5'!$A$2))</f>
        <v/>
      </c>
      <c r="L1187" s="670" t="str">
        <f>IFERROR(IF(CURRENCY.FORMAT_1=0,CONCATENATE(TEXT(FIXED(ROUND((C1187*(1-I1187)*(1-ADD.DISCOUNT)*(1+MAT.SURCHARGE)/EXC.RATE_1),CURRENCY.FORMAT_1),CURRENCY.FORMAT_1,1),"# ##0;-# ##0"),",-"),FIXED(ROUND((C1187*(1-I1187)*(1-ADD.DISCOUNT)*(1+MAT.SURCHARGE)/EXC.RATE_1),CURRENCY.FORMAT_1),CURRENCY.FORMAT_1,0)),'DICTIONARY-5'!$A$2)</f>
        <v>11 942,-</v>
      </c>
      <c r="M1187" s="670" t="str">
        <f>IF(EXC.RATE_2=0,"",IFERROR(IF(CURRENCY.FORMAT_2=0,CONCATENATE(TEXT(FIXED(ROUND(IF(EXC.RATE.SWITCH=1,C1187*(1-I1187)*(1-ADD.DISCOUNT)*(1+MAT.SURCHARGE)/EXC.RATE_2,C1187*(1-I1187)*(1-ADD.DISCOUNT)*(1+MAT.SURCHARGE)*EXC.RATE_2),CURRENCY.FORMAT_2),CURRENCY.FORMAT_2,1),"# ##0;-# ##0"),",-"),FIXED(ROUND(IF(EXC.RATE.SWITCH=1,C1187*(1-I1187)*(1-ADD.DISCOUNT)*(1+MAT.SURCHARGE)/EXC.RATE_2,C1187*(1-I1187)*(1-ADD.DISCOUNT)*(1+MAT.SURCHARGE)*EXC.RATE_2),CURRENCY.FORMAT_2),CURRENCY.FORMAT_2,0)),'DICTIONARY-5'!$A$2))</f>
        <v/>
      </c>
      <c r="N1187" s="539">
        <v>5</v>
      </c>
      <c r="O1187" s="539"/>
      <c r="P1187" s="731" t="str">
        <f>'DICTIONARY-3'!$A$97</f>
        <v>SKR</v>
      </c>
      <c r="Q1187" s="732" t="str">
        <f>'DICTIONARY-3'!$A$200</f>
        <v>Zawór zwrotny</v>
      </c>
      <c r="R1187" s="732" t="str">
        <f>CONCATENATE('DICTIONARY-3'!$A$97," ",'DICTIONARY-6'!$A$20," ",'DICTIONARY-2'!$A$2,"600"," ",'DICTIONARY-2'!$A$3,"16"," ","R14"," ",'DICTIONARY-6'!$A$68)</f>
        <v>SKR Zaw. zwrotny DN600 PN16 R14 spawane Ni-Cr siodło</v>
      </c>
      <c r="S1187" s="733" t="s">
        <v>5569</v>
      </c>
      <c r="T1187" s="732" t="s">
        <v>5569</v>
      </c>
      <c r="U1187" s="734" t="s">
        <v>5757</v>
      </c>
      <c r="V1187" s="735">
        <v>16</v>
      </c>
      <c r="W1187" s="736"/>
      <c r="X1187" s="737"/>
      <c r="Y1187" s="738"/>
      <c r="Z1187" s="739"/>
      <c r="AA1187" s="739"/>
      <c r="AB1187" s="740">
        <v>16</v>
      </c>
      <c r="AC1187" s="741" t="str">
        <f>'DICTIONARY-5'!$A$11&amp;" 14"</f>
        <v>EN 558 szereg 14</v>
      </c>
      <c r="AD1187" s="741" t="str">
        <f>'DICTIONARY-5'!$A$13&amp;", "&amp;'DICTIONARY-5'!$A$14</f>
        <v>woda pitna, ścieki</v>
      </c>
      <c r="AE1187" s="742">
        <v>50</v>
      </c>
      <c r="AF1187" s="743">
        <v>328</v>
      </c>
      <c r="AG1187" s="741" t="str">
        <f>'DICTIONARY-5'!$A$23</f>
        <v>powłoka epoksydowa</v>
      </c>
    </row>
    <row r="1188" spans="1:33" x14ac:dyDescent="0.25">
      <c r="A1188" s="861" t="s">
        <v>1193</v>
      </c>
      <c r="B1188" s="861" t="s">
        <v>4688</v>
      </c>
      <c r="C1188" s="836">
        <v>19363</v>
      </c>
      <c r="D1188" s="836"/>
      <c r="E1188" s="836"/>
      <c r="F1188" s="836"/>
      <c r="G1188" s="496" t="s">
        <v>7822</v>
      </c>
      <c r="H1188" s="797" t="str">
        <f>VLOOKUP(G1188,SETTINGS!$B$7:$D$97,2,0)</f>
        <v>SKR</v>
      </c>
      <c r="I1188" s="796">
        <f>VLOOKUP(G1188,SETTINGS!$B$7:$D$97,3,0)</f>
        <v>0</v>
      </c>
      <c r="J1188" s="670" t="str">
        <f>IFERROR(IF(CURRENCY.FORMAT_1=0,CONCATENATE(TEXT(FIXED(ROUND((C1188/EXC.RATE_1),CURRENCY.FORMAT_1),CURRENCY.FORMAT_1,1),"# ##0;-# ##0"),",-"),FIXED(ROUND((C1188/EXC.RATE_1),CURRENCY.FORMAT_1),CURRENCY.FORMAT_1,0)),'DICTIONARY-5'!$A$2)</f>
        <v>19 363,-</v>
      </c>
      <c r="K1188" s="670" t="str">
        <f>IF(EXC.RATE_2=0,"",IFERROR(IF(CURRENCY.FORMAT_2=0,CONCATENATE(TEXT(FIXED(ROUND(IF(EXC.RATE.SWITCH=1,C1188/EXC.RATE_2,C1188*EXC.RATE_2),CURRENCY.FORMAT_2),CURRENCY.FORMAT_2,1),"# ##0;-# ##0"),",-"),FIXED(ROUND(IF(EXC.RATE.SWITCH=1,C1188/EXC.RATE_2,C1188*EXC.RATE_2),CURRENCY.FORMAT_2),CURRENCY.FORMAT_2,0)),'DICTIONARY-5'!$A$2))</f>
        <v/>
      </c>
      <c r="L1188" s="670" t="str">
        <f>IFERROR(IF(CURRENCY.FORMAT_1=0,CONCATENATE(TEXT(FIXED(ROUND((C1188*(1-I1188)*(1-ADD.DISCOUNT)*(1+MAT.SURCHARGE)/EXC.RATE_1),CURRENCY.FORMAT_1),CURRENCY.FORMAT_1,1),"# ##0;-# ##0"),",-"),FIXED(ROUND((C1188*(1-I1188)*(1-ADD.DISCOUNT)*(1+MAT.SURCHARGE)/EXC.RATE_1),CURRENCY.FORMAT_1),CURRENCY.FORMAT_1,0)),'DICTIONARY-5'!$A$2)</f>
        <v>20 118,-</v>
      </c>
      <c r="M1188" s="670" t="str">
        <f>IF(EXC.RATE_2=0,"",IFERROR(IF(CURRENCY.FORMAT_2=0,CONCATENATE(TEXT(FIXED(ROUND(IF(EXC.RATE.SWITCH=1,C1188*(1-I1188)*(1-ADD.DISCOUNT)*(1+MAT.SURCHARGE)/EXC.RATE_2,C1188*(1-I1188)*(1-ADD.DISCOUNT)*(1+MAT.SURCHARGE)*EXC.RATE_2),CURRENCY.FORMAT_2),CURRENCY.FORMAT_2,1),"# ##0;-# ##0"),",-"),FIXED(ROUND(IF(EXC.RATE.SWITCH=1,C1188*(1-I1188)*(1-ADD.DISCOUNT)*(1+MAT.SURCHARGE)/EXC.RATE_2,C1188*(1-I1188)*(1-ADD.DISCOUNT)*(1+MAT.SURCHARGE)*EXC.RATE_2),CURRENCY.FORMAT_2),CURRENCY.FORMAT_2,0)),'DICTIONARY-5'!$A$2))</f>
        <v/>
      </c>
      <c r="N1188" s="539">
        <v>5</v>
      </c>
      <c r="O1188" s="539"/>
      <c r="P1188" s="731" t="str">
        <f>'DICTIONARY-3'!$A$97</f>
        <v>SKR</v>
      </c>
      <c r="Q1188" s="732" t="str">
        <f>'DICTIONARY-3'!$A$200</f>
        <v>Zawór zwrotny</v>
      </c>
      <c r="R1188" s="732" t="str">
        <f>CONCATENATE('DICTIONARY-3'!$A$97," ",'DICTIONARY-6'!$A$20," ",'DICTIONARY-2'!$A$2,"700"," ",'DICTIONARY-2'!$A$3,"16"," ","R14"," ",'DICTIONARY-6'!$A$68)</f>
        <v>SKR Zaw. zwrotny DN700 PN16 R14 spawane Ni-Cr siodło</v>
      </c>
      <c r="S1188" s="733" t="s">
        <v>5569</v>
      </c>
      <c r="T1188" s="732" t="s">
        <v>5569</v>
      </c>
      <c r="U1188" s="734" t="s">
        <v>5834</v>
      </c>
      <c r="V1188" s="735">
        <v>16</v>
      </c>
      <c r="W1188" s="736"/>
      <c r="X1188" s="737"/>
      <c r="Y1188" s="738"/>
      <c r="Z1188" s="739"/>
      <c r="AA1188" s="739"/>
      <c r="AB1188" s="740">
        <v>16</v>
      </c>
      <c r="AC1188" s="741" t="str">
        <f>'DICTIONARY-5'!$A$11&amp;" 14"</f>
        <v>EN 558 szereg 14</v>
      </c>
      <c r="AD1188" s="741" t="str">
        <f>'DICTIONARY-5'!$A$13&amp;", "&amp;'DICTIONARY-5'!$A$14</f>
        <v>woda pitna, ścieki</v>
      </c>
      <c r="AE1188" s="742">
        <v>50</v>
      </c>
      <c r="AF1188" s="743">
        <v>365</v>
      </c>
      <c r="AG1188" s="741" t="str">
        <f>'DICTIONARY-5'!$A$23</f>
        <v>powłoka epoksydowa</v>
      </c>
    </row>
    <row r="1189" spans="1:33" x14ac:dyDescent="0.25">
      <c r="A1189" s="861" t="s">
        <v>1194</v>
      </c>
      <c r="B1189" s="861" t="s">
        <v>4691</v>
      </c>
      <c r="C1189" s="836">
        <v>23880</v>
      </c>
      <c r="D1189" s="836"/>
      <c r="E1189" s="836"/>
      <c r="F1189" s="836"/>
      <c r="G1189" s="496" t="s">
        <v>7822</v>
      </c>
      <c r="H1189" s="797" t="str">
        <f>VLOOKUP(G1189,SETTINGS!$B$7:$D$97,2,0)</f>
        <v>SKR</v>
      </c>
      <c r="I1189" s="796">
        <f>VLOOKUP(G1189,SETTINGS!$B$7:$D$97,3,0)</f>
        <v>0</v>
      </c>
      <c r="J1189" s="670" t="str">
        <f>IFERROR(IF(CURRENCY.FORMAT_1=0,CONCATENATE(TEXT(FIXED(ROUND((C1189/EXC.RATE_1),CURRENCY.FORMAT_1),CURRENCY.FORMAT_1,1),"# ##0;-# ##0"),",-"),FIXED(ROUND((C1189/EXC.RATE_1),CURRENCY.FORMAT_1),CURRENCY.FORMAT_1,0)),'DICTIONARY-5'!$A$2)</f>
        <v>23 880,-</v>
      </c>
      <c r="K1189" s="670" t="str">
        <f>IF(EXC.RATE_2=0,"",IFERROR(IF(CURRENCY.FORMAT_2=0,CONCATENATE(TEXT(FIXED(ROUND(IF(EXC.RATE.SWITCH=1,C1189/EXC.RATE_2,C1189*EXC.RATE_2),CURRENCY.FORMAT_2),CURRENCY.FORMAT_2,1),"# ##0;-# ##0"),",-"),FIXED(ROUND(IF(EXC.RATE.SWITCH=1,C1189/EXC.RATE_2,C1189*EXC.RATE_2),CURRENCY.FORMAT_2),CURRENCY.FORMAT_2,0)),'DICTIONARY-5'!$A$2))</f>
        <v/>
      </c>
      <c r="L1189" s="670" t="str">
        <f>IFERROR(IF(CURRENCY.FORMAT_1=0,CONCATENATE(TEXT(FIXED(ROUND((C1189*(1-I1189)*(1-ADD.DISCOUNT)*(1+MAT.SURCHARGE)/EXC.RATE_1),CURRENCY.FORMAT_1),CURRENCY.FORMAT_1,1),"# ##0;-# ##0"),",-"),FIXED(ROUND((C1189*(1-I1189)*(1-ADD.DISCOUNT)*(1+MAT.SURCHARGE)/EXC.RATE_1),CURRENCY.FORMAT_1),CURRENCY.FORMAT_1,0)),'DICTIONARY-5'!$A$2)</f>
        <v>24 811,-</v>
      </c>
      <c r="M1189" s="670" t="str">
        <f>IF(EXC.RATE_2=0,"",IFERROR(IF(CURRENCY.FORMAT_2=0,CONCATENATE(TEXT(FIXED(ROUND(IF(EXC.RATE.SWITCH=1,C1189*(1-I1189)*(1-ADD.DISCOUNT)*(1+MAT.SURCHARGE)/EXC.RATE_2,C1189*(1-I1189)*(1-ADD.DISCOUNT)*(1+MAT.SURCHARGE)*EXC.RATE_2),CURRENCY.FORMAT_2),CURRENCY.FORMAT_2,1),"# ##0;-# ##0"),",-"),FIXED(ROUND(IF(EXC.RATE.SWITCH=1,C1189*(1-I1189)*(1-ADD.DISCOUNT)*(1+MAT.SURCHARGE)/EXC.RATE_2,C1189*(1-I1189)*(1-ADD.DISCOUNT)*(1+MAT.SURCHARGE)*EXC.RATE_2),CURRENCY.FORMAT_2),CURRENCY.FORMAT_2,0)),'DICTIONARY-5'!$A$2))</f>
        <v/>
      </c>
      <c r="N1189" s="539">
        <v>5</v>
      </c>
      <c r="O1189" s="539"/>
      <c r="P1189" s="731" t="str">
        <f>'DICTIONARY-3'!$A$97</f>
        <v>SKR</v>
      </c>
      <c r="Q1189" s="732" t="str">
        <f>'DICTIONARY-3'!$A$200</f>
        <v>Zawór zwrotny</v>
      </c>
      <c r="R1189" s="732" t="str">
        <f>CONCATENATE('DICTIONARY-3'!$A$97," ",'DICTIONARY-6'!$A$20," ",'DICTIONARY-2'!$A$2,"800"," ",'DICTIONARY-2'!$A$3,"16"," ","R14"," ",'DICTIONARY-6'!$A$68)</f>
        <v>SKR Zaw. zwrotny DN800 PN16 R14 spawane Ni-Cr siodło</v>
      </c>
      <c r="S1189" s="733" t="s">
        <v>5569</v>
      </c>
      <c r="T1189" s="732" t="s">
        <v>5569</v>
      </c>
      <c r="U1189" s="734" t="s">
        <v>5835</v>
      </c>
      <c r="V1189" s="735">
        <v>16</v>
      </c>
      <c r="W1189" s="736"/>
      <c r="X1189" s="737"/>
      <c r="Y1189" s="738"/>
      <c r="Z1189" s="739"/>
      <c r="AA1189" s="739"/>
      <c r="AB1189" s="740">
        <v>16</v>
      </c>
      <c r="AC1189" s="741" t="str">
        <f>'DICTIONARY-5'!$A$11&amp;" 14"</f>
        <v>EN 558 szereg 14</v>
      </c>
      <c r="AD1189" s="741" t="str">
        <f>'DICTIONARY-5'!$A$13&amp;", "&amp;'DICTIONARY-5'!$A$14</f>
        <v>woda pitna, ścieki</v>
      </c>
      <c r="AE1189" s="742">
        <v>50</v>
      </c>
      <c r="AF1189" s="743">
        <v>617</v>
      </c>
      <c r="AG1189" s="741" t="str">
        <f>'DICTIONARY-5'!$A$23</f>
        <v>powłoka epoksydowa</v>
      </c>
    </row>
    <row r="1190" spans="1:33" x14ac:dyDescent="0.25">
      <c r="A1190" s="861" t="s">
        <v>1195</v>
      </c>
      <c r="B1190" s="861" t="s">
        <v>4694</v>
      </c>
      <c r="C1190" s="836">
        <v>26126</v>
      </c>
      <c r="D1190" s="836"/>
      <c r="E1190" s="836"/>
      <c r="F1190" s="836"/>
      <c r="G1190" s="496" t="s">
        <v>7822</v>
      </c>
      <c r="H1190" s="797" t="str">
        <f>VLOOKUP(G1190,SETTINGS!$B$7:$D$97,2,0)</f>
        <v>SKR</v>
      </c>
      <c r="I1190" s="796">
        <f>VLOOKUP(G1190,SETTINGS!$B$7:$D$97,3,0)</f>
        <v>0</v>
      </c>
      <c r="J1190" s="670" t="str">
        <f>IFERROR(IF(CURRENCY.FORMAT_1=0,CONCATENATE(TEXT(FIXED(ROUND((C1190/EXC.RATE_1),CURRENCY.FORMAT_1),CURRENCY.FORMAT_1,1),"# ##0;-# ##0"),",-"),FIXED(ROUND((C1190/EXC.RATE_1),CURRENCY.FORMAT_1),CURRENCY.FORMAT_1,0)),'DICTIONARY-5'!$A$2)</f>
        <v>26 126,-</v>
      </c>
      <c r="K1190" s="670" t="str">
        <f>IF(EXC.RATE_2=0,"",IFERROR(IF(CURRENCY.FORMAT_2=0,CONCATENATE(TEXT(FIXED(ROUND(IF(EXC.RATE.SWITCH=1,C1190/EXC.RATE_2,C1190*EXC.RATE_2),CURRENCY.FORMAT_2),CURRENCY.FORMAT_2,1),"# ##0;-# ##0"),",-"),FIXED(ROUND(IF(EXC.RATE.SWITCH=1,C1190/EXC.RATE_2,C1190*EXC.RATE_2),CURRENCY.FORMAT_2),CURRENCY.FORMAT_2,0)),'DICTIONARY-5'!$A$2))</f>
        <v/>
      </c>
      <c r="L1190" s="670" t="str">
        <f>IFERROR(IF(CURRENCY.FORMAT_1=0,CONCATENATE(TEXT(FIXED(ROUND((C1190*(1-I1190)*(1-ADD.DISCOUNT)*(1+MAT.SURCHARGE)/EXC.RATE_1),CURRENCY.FORMAT_1),CURRENCY.FORMAT_1,1),"# ##0;-# ##0"),",-"),FIXED(ROUND((C1190*(1-I1190)*(1-ADD.DISCOUNT)*(1+MAT.SURCHARGE)/EXC.RATE_1),CURRENCY.FORMAT_1),CURRENCY.FORMAT_1,0)),'DICTIONARY-5'!$A$2)</f>
        <v>27 145,-</v>
      </c>
      <c r="M1190" s="670" t="str">
        <f>IF(EXC.RATE_2=0,"",IFERROR(IF(CURRENCY.FORMAT_2=0,CONCATENATE(TEXT(FIXED(ROUND(IF(EXC.RATE.SWITCH=1,C1190*(1-I1190)*(1-ADD.DISCOUNT)*(1+MAT.SURCHARGE)/EXC.RATE_2,C1190*(1-I1190)*(1-ADD.DISCOUNT)*(1+MAT.SURCHARGE)*EXC.RATE_2),CURRENCY.FORMAT_2),CURRENCY.FORMAT_2,1),"# ##0;-# ##0"),",-"),FIXED(ROUND(IF(EXC.RATE.SWITCH=1,C1190*(1-I1190)*(1-ADD.DISCOUNT)*(1+MAT.SURCHARGE)/EXC.RATE_2,C1190*(1-I1190)*(1-ADD.DISCOUNT)*(1+MAT.SURCHARGE)*EXC.RATE_2),CURRENCY.FORMAT_2),CURRENCY.FORMAT_2,0)),'DICTIONARY-5'!$A$2))</f>
        <v/>
      </c>
      <c r="N1190" s="539">
        <v>5</v>
      </c>
      <c r="O1190" s="539"/>
      <c r="P1190" s="731" t="str">
        <f>'DICTIONARY-3'!$A$97</f>
        <v>SKR</v>
      </c>
      <c r="Q1190" s="732" t="str">
        <f>'DICTIONARY-3'!$A$200</f>
        <v>Zawór zwrotny</v>
      </c>
      <c r="R1190" s="732" t="str">
        <f>CONCATENATE('DICTIONARY-3'!$A$97," ",'DICTIONARY-6'!$A$20," ",'DICTIONARY-2'!$A$2,"900"," ",'DICTIONARY-2'!$A$3,"16"," ","R14"," ",'DICTIONARY-6'!$A$68)</f>
        <v>SKR Zaw. zwrotny DN900 PN16 R14 spawane Ni-Cr siodło</v>
      </c>
      <c r="S1190" s="733" t="s">
        <v>5569</v>
      </c>
      <c r="T1190" s="732" t="s">
        <v>5569</v>
      </c>
      <c r="U1190" s="734" t="s">
        <v>5837</v>
      </c>
      <c r="V1190" s="735">
        <v>16</v>
      </c>
      <c r="W1190" s="736"/>
      <c r="X1190" s="737"/>
      <c r="Y1190" s="738"/>
      <c r="Z1190" s="739"/>
      <c r="AA1190" s="739"/>
      <c r="AB1190" s="740">
        <v>16</v>
      </c>
      <c r="AC1190" s="741" t="str">
        <f>'DICTIONARY-5'!$A$11&amp;" 14"</f>
        <v>EN 558 szereg 14</v>
      </c>
      <c r="AD1190" s="741" t="str">
        <f>'DICTIONARY-5'!$A$13&amp;", "&amp;'DICTIONARY-5'!$A$14</f>
        <v>woda pitna, ścieki</v>
      </c>
      <c r="AE1190" s="742">
        <v>50</v>
      </c>
      <c r="AF1190" s="743">
        <v>750</v>
      </c>
      <c r="AG1190" s="741" t="str">
        <f>'DICTIONARY-5'!$A$23</f>
        <v>powłoka epoksydowa</v>
      </c>
    </row>
    <row r="1191" spans="1:33" x14ac:dyDescent="0.25">
      <c r="A1191" s="861" t="s">
        <v>1196</v>
      </c>
      <c r="B1191" s="861" t="s">
        <v>4697</v>
      </c>
      <c r="C1191" s="836">
        <v>29329</v>
      </c>
      <c r="D1191" s="836"/>
      <c r="E1191" s="836"/>
      <c r="F1191" s="836"/>
      <c r="G1191" s="496" t="s">
        <v>7822</v>
      </c>
      <c r="H1191" s="797" t="str">
        <f>VLOOKUP(G1191,SETTINGS!$B$7:$D$97,2,0)</f>
        <v>SKR</v>
      </c>
      <c r="I1191" s="796">
        <f>VLOOKUP(G1191,SETTINGS!$B$7:$D$97,3,0)</f>
        <v>0</v>
      </c>
      <c r="J1191" s="670" t="str">
        <f>IFERROR(IF(CURRENCY.FORMAT_1=0,CONCATENATE(TEXT(FIXED(ROUND((C1191/EXC.RATE_1),CURRENCY.FORMAT_1),CURRENCY.FORMAT_1,1),"# ##0;-# ##0"),",-"),FIXED(ROUND((C1191/EXC.RATE_1),CURRENCY.FORMAT_1),CURRENCY.FORMAT_1,0)),'DICTIONARY-5'!$A$2)</f>
        <v>29 329,-</v>
      </c>
      <c r="K1191" s="670" t="str">
        <f>IF(EXC.RATE_2=0,"",IFERROR(IF(CURRENCY.FORMAT_2=0,CONCATENATE(TEXT(FIXED(ROUND(IF(EXC.RATE.SWITCH=1,C1191/EXC.RATE_2,C1191*EXC.RATE_2),CURRENCY.FORMAT_2),CURRENCY.FORMAT_2,1),"# ##0;-# ##0"),",-"),FIXED(ROUND(IF(EXC.RATE.SWITCH=1,C1191/EXC.RATE_2,C1191*EXC.RATE_2),CURRENCY.FORMAT_2),CURRENCY.FORMAT_2,0)),'DICTIONARY-5'!$A$2))</f>
        <v/>
      </c>
      <c r="L1191" s="670" t="str">
        <f>IFERROR(IF(CURRENCY.FORMAT_1=0,CONCATENATE(TEXT(FIXED(ROUND((C1191*(1-I1191)*(1-ADD.DISCOUNT)*(1+MAT.SURCHARGE)/EXC.RATE_1),CURRENCY.FORMAT_1),CURRENCY.FORMAT_1,1),"# ##0;-# ##0"),",-"),FIXED(ROUND((C1191*(1-I1191)*(1-ADD.DISCOUNT)*(1+MAT.SURCHARGE)/EXC.RATE_1),CURRENCY.FORMAT_1),CURRENCY.FORMAT_1,0)),'DICTIONARY-5'!$A$2)</f>
        <v>30 473,-</v>
      </c>
      <c r="M1191" s="670" t="str">
        <f>IF(EXC.RATE_2=0,"",IFERROR(IF(CURRENCY.FORMAT_2=0,CONCATENATE(TEXT(FIXED(ROUND(IF(EXC.RATE.SWITCH=1,C1191*(1-I1191)*(1-ADD.DISCOUNT)*(1+MAT.SURCHARGE)/EXC.RATE_2,C1191*(1-I1191)*(1-ADD.DISCOUNT)*(1+MAT.SURCHARGE)*EXC.RATE_2),CURRENCY.FORMAT_2),CURRENCY.FORMAT_2,1),"# ##0;-# ##0"),",-"),FIXED(ROUND(IF(EXC.RATE.SWITCH=1,C1191*(1-I1191)*(1-ADD.DISCOUNT)*(1+MAT.SURCHARGE)/EXC.RATE_2,C1191*(1-I1191)*(1-ADD.DISCOUNT)*(1+MAT.SURCHARGE)*EXC.RATE_2),CURRENCY.FORMAT_2),CURRENCY.FORMAT_2,0)),'DICTIONARY-5'!$A$2))</f>
        <v/>
      </c>
      <c r="N1191" s="539">
        <v>5</v>
      </c>
      <c r="O1191" s="539"/>
      <c r="P1191" s="731" t="str">
        <f>'DICTIONARY-3'!$A$97</f>
        <v>SKR</v>
      </c>
      <c r="Q1191" s="732" t="str">
        <f>'DICTIONARY-3'!$A$200</f>
        <v>Zawór zwrotny</v>
      </c>
      <c r="R1191" s="732" t="str">
        <f>CONCATENATE('DICTIONARY-3'!$A$97," ",'DICTIONARY-6'!$A$20," ",'DICTIONARY-2'!$A$2,"1000"," ",'DICTIONARY-2'!$A$3,"16"," ","R14"," ",'DICTIONARY-6'!$A$68)</f>
        <v>SKR Zaw. zwrotny DN1000 PN16 R14 spawane Ni-Cr siodło</v>
      </c>
      <c r="S1191" s="733" t="s">
        <v>5569</v>
      </c>
      <c r="T1191" s="732" t="s">
        <v>5569</v>
      </c>
      <c r="U1191" s="734" t="s">
        <v>5836</v>
      </c>
      <c r="V1191" s="735">
        <v>16</v>
      </c>
      <c r="W1191" s="736"/>
      <c r="X1191" s="737"/>
      <c r="Y1191" s="738"/>
      <c r="Z1191" s="739"/>
      <c r="AA1191" s="739"/>
      <c r="AB1191" s="740">
        <v>16</v>
      </c>
      <c r="AC1191" s="741" t="str">
        <f>'DICTIONARY-5'!$A$11&amp;" 14"</f>
        <v>EN 558 szereg 14</v>
      </c>
      <c r="AD1191" s="741" t="str">
        <f>'DICTIONARY-5'!$A$13&amp;", "&amp;'DICTIONARY-5'!$A$14</f>
        <v>woda pitna, ścieki</v>
      </c>
      <c r="AE1191" s="742">
        <v>50</v>
      </c>
      <c r="AF1191" s="743">
        <v>980</v>
      </c>
      <c r="AG1191" s="741" t="str">
        <f>'DICTIONARY-5'!$A$23</f>
        <v>powłoka epoksydowa</v>
      </c>
    </row>
    <row r="1192" spans="1:33" x14ac:dyDescent="0.25">
      <c r="A1192" s="861" t="s">
        <v>1197</v>
      </c>
      <c r="B1192" s="861" t="s">
        <v>4666</v>
      </c>
      <c r="C1192" s="836">
        <v>5039</v>
      </c>
      <c r="D1192" s="836"/>
      <c r="E1192" s="836"/>
      <c r="F1192" s="836"/>
      <c r="G1192" s="496" t="s">
        <v>7822</v>
      </c>
      <c r="H1192" s="797" t="str">
        <f>VLOOKUP(G1192,SETTINGS!$B$7:$D$97,2,0)</f>
        <v>SKR</v>
      </c>
      <c r="I1192" s="796">
        <f>VLOOKUP(G1192,SETTINGS!$B$7:$D$97,3,0)</f>
        <v>0</v>
      </c>
      <c r="J1192" s="670" t="str">
        <f>IFERROR(IF(CURRENCY.FORMAT_1=0,CONCATENATE(TEXT(FIXED(ROUND((C1192/EXC.RATE_1),CURRENCY.FORMAT_1),CURRENCY.FORMAT_1,1),"# ##0;-# ##0"),",-"),FIXED(ROUND((C1192/EXC.RATE_1),CURRENCY.FORMAT_1),CURRENCY.FORMAT_1,0)),'DICTIONARY-5'!$A$2)</f>
        <v>5 039,-</v>
      </c>
      <c r="K1192" s="670" t="str">
        <f>IF(EXC.RATE_2=0,"",IFERROR(IF(CURRENCY.FORMAT_2=0,CONCATENATE(TEXT(FIXED(ROUND(IF(EXC.RATE.SWITCH=1,C1192/EXC.RATE_2,C1192*EXC.RATE_2),CURRENCY.FORMAT_2),CURRENCY.FORMAT_2,1),"# ##0;-# ##0"),",-"),FIXED(ROUND(IF(EXC.RATE.SWITCH=1,C1192/EXC.RATE_2,C1192*EXC.RATE_2),CURRENCY.FORMAT_2),CURRENCY.FORMAT_2,0)),'DICTIONARY-5'!$A$2))</f>
        <v/>
      </c>
      <c r="L1192" s="670" t="str">
        <f>IFERROR(IF(CURRENCY.FORMAT_1=0,CONCATENATE(TEXT(FIXED(ROUND((C1192*(1-I1192)*(1-ADD.DISCOUNT)*(1+MAT.SURCHARGE)/EXC.RATE_1),CURRENCY.FORMAT_1),CURRENCY.FORMAT_1,1),"# ##0;-# ##0"),",-"),FIXED(ROUND((C1192*(1-I1192)*(1-ADD.DISCOUNT)*(1+MAT.SURCHARGE)/EXC.RATE_1),CURRENCY.FORMAT_1),CURRENCY.FORMAT_1,0)),'DICTIONARY-5'!$A$2)</f>
        <v>5 236,-</v>
      </c>
      <c r="M1192" s="670" t="str">
        <f>IF(EXC.RATE_2=0,"",IFERROR(IF(CURRENCY.FORMAT_2=0,CONCATENATE(TEXT(FIXED(ROUND(IF(EXC.RATE.SWITCH=1,C1192*(1-I1192)*(1-ADD.DISCOUNT)*(1+MAT.SURCHARGE)/EXC.RATE_2,C1192*(1-I1192)*(1-ADD.DISCOUNT)*(1+MAT.SURCHARGE)*EXC.RATE_2),CURRENCY.FORMAT_2),CURRENCY.FORMAT_2,1),"# ##0;-# ##0"),",-"),FIXED(ROUND(IF(EXC.RATE.SWITCH=1,C1192*(1-I1192)*(1-ADD.DISCOUNT)*(1+MAT.SURCHARGE)/EXC.RATE_2,C1192*(1-I1192)*(1-ADD.DISCOUNT)*(1+MAT.SURCHARGE)*EXC.RATE_2),CURRENCY.FORMAT_2),CURRENCY.FORMAT_2,0)),'DICTIONARY-5'!$A$2))</f>
        <v/>
      </c>
      <c r="N1192" s="539">
        <v>5</v>
      </c>
      <c r="O1192" s="539"/>
      <c r="P1192" s="731" t="str">
        <f>'DICTIONARY-3'!$A$97</f>
        <v>SKR</v>
      </c>
      <c r="Q1192" s="732" t="str">
        <f>'DICTIONARY-3'!$A$200</f>
        <v>Zawór zwrotny</v>
      </c>
      <c r="R1192" s="732" t="str">
        <f>CONCATENATE('DICTIONARY-3'!$A$97," ",'DICTIONARY-6'!$A$20," ",'DICTIONARY-2'!$A$2,"200"," ",'DICTIONARY-2'!$A$3,"25"," ","R14"," ",'DICTIONARY-6'!$A$68)</f>
        <v>SKR Zaw. zwrotny DN200 PN25 R14 spawane Ni-Cr siodło</v>
      </c>
      <c r="S1192" s="733" t="s">
        <v>5569</v>
      </c>
      <c r="T1192" s="732" t="s">
        <v>5569</v>
      </c>
      <c r="U1192" s="734" t="s">
        <v>5750</v>
      </c>
      <c r="V1192" s="735">
        <v>25</v>
      </c>
      <c r="W1192" s="736"/>
      <c r="X1192" s="737"/>
      <c r="Y1192" s="738"/>
      <c r="Z1192" s="739"/>
      <c r="AA1192" s="739"/>
      <c r="AB1192" s="740">
        <v>25</v>
      </c>
      <c r="AC1192" s="741" t="str">
        <f>'DICTIONARY-5'!$A$11&amp;" 14"</f>
        <v>EN 558 szereg 14</v>
      </c>
      <c r="AD1192" s="741" t="str">
        <f>'DICTIONARY-5'!$A$13&amp;", "&amp;'DICTIONARY-5'!$A$14</f>
        <v>woda pitna, ścieki</v>
      </c>
      <c r="AE1192" s="742">
        <v>50</v>
      </c>
      <c r="AF1192" s="743">
        <v>40</v>
      </c>
      <c r="AG1192" s="741" t="str">
        <f>'DICTIONARY-5'!$A$23</f>
        <v>powłoka epoksydowa</v>
      </c>
    </row>
    <row r="1193" spans="1:33" x14ac:dyDescent="0.25">
      <c r="A1193" s="861" t="s">
        <v>1198</v>
      </c>
      <c r="B1193" s="861" t="s">
        <v>4668</v>
      </c>
      <c r="C1193" s="836">
        <v>5484</v>
      </c>
      <c r="D1193" s="836"/>
      <c r="E1193" s="836"/>
      <c r="F1193" s="836"/>
      <c r="G1193" s="496" t="s">
        <v>7822</v>
      </c>
      <c r="H1193" s="797" t="str">
        <f>VLOOKUP(G1193,SETTINGS!$B$7:$D$97,2,0)</f>
        <v>SKR</v>
      </c>
      <c r="I1193" s="796">
        <f>VLOOKUP(G1193,SETTINGS!$B$7:$D$97,3,0)</f>
        <v>0</v>
      </c>
      <c r="J1193" s="670" t="str">
        <f>IFERROR(IF(CURRENCY.FORMAT_1=0,CONCATENATE(TEXT(FIXED(ROUND((C1193/EXC.RATE_1),CURRENCY.FORMAT_1),CURRENCY.FORMAT_1,1),"# ##0;-# ##0"),",-"),FIXED(ROUND((C1193/EXC.RATE_1),CURRENCY.FORMAT_1),CURRENCY.FORMAT_1,0)),'DICTIONARY-5'!$A$2)</f>
        <v>5 484,-</v>
      </c>
      <c r="K1193" s="670" t="str">
        <f>IF(EXC.RATE_2=0,"",IFERROR(IF(CURRENCY.FORMAT_2=0,CONCATENATE(TEXT(FIXED(ROUND(IF(EXC.RATE.SWITCH=1,C1193/EXC.RATE_2,C1193*EXC.RATE_2),CURRENCY.FORMAT_2),CURRENCY.FORMAT_2,1),"# ##0;-# ##0"),",-"),FIXED(ROUND(IF(EXC.RATE.SWITCH=1,C1193/EXC.RATE_2,C1193*EXC.RATE_2),CURRENCY.FORMAT_2),CURRENCY.FORMAT_2,0)),'DICTIONARY-5'!$A$2))</f>
        <v/>
      </c>
      <c r="L1193" s="670" t="str">
        <f>IFERROR(IF(CURRENCY.FORMAT_1=0,CONCATENATE(TEXT(FIXED(ROUND((C1193*(1-I1193)*(1-ADD.DISCOUNT)*(1+MAT.SURCHARGE)/EXC.RATE_1),CURRENCY.FORMAT_1),CURRENCY.FORMAT_1,1),"# ##0;-# ##0"),",-"),FIXED(ROUND((C1193*(1-I1193)*(1-ADD.DISCOUNT)*(1+MAT.SURCHARGE)/EXC.RATE_1),CURRENCY.FORMAT_1),CURRENCY.FORMAT_1,0)),'DICTIONARY-5'!$A$2)</f>
        <v>5 698,-</v>
      </c>
      <c r="M1193" s="670" t="str">
        <f>IF(EXC.RATE_2=0,"",IFERROR(IF(CURRENCY.FORMAT_2=0,CONCATENATE(TEXT(FIXED(ROUND(IF(EXC.RATE.SWITCH=1,C1193*(1-I1193)*(1-ADD.DISCOUNT)*(1+MAT.SURCHARGE)/EXC.RATE_2,C1193*(1-I1193)*(1-ADD.DISCOUNT)*(1+MAT.SURCHARGE)*EXC.RATE_2),CURRENCY.FORMAT_2),CURRENCY.FORMAT_2,1),"# ##0;-# ##0"),",-"),FIXED(ROUND(IF(EXC.RATE.SWITCH=1,C1193*(1-I1193)*(1-ADD.DISCOUNT)*(1+MAT.SURCHARGE)/EXC.RATE_2,C1193*(1-I1193)*(1-ADD.DISCOUNT)*(1+MAT.SURCHARGE)*EXC.RATE_2),CURRENCY.FORMAT_2),CURRENCY.FORMAT_2,0)),'DICTIONARY-5'!$A$2))</f>
        <v/>
      </c>
      <c r="N1193" s="539">
        <v>5</v>
      </c>
      <c r="O1193" s="539"/>
      <c r="P1193" s="731" t="str">
        <f>'DICTIONARY-3'!$A$97</f>
        <v>SKR</v>
      </c>
      <c r="Q1193" s="732" t="str">
        <f>'DICTIONARY-3'!$A$200</f>
        <v>Zawór zwrotny</v>
      </c>
      <c r="R1193" s="732" t="str">
        <f>CONCATENATE('DICTIONARY-3'!$A$97," ",'DICTIONARY-6'!$A$20," ",'DICTIONARY-2'!$A$2,"250"," ",'DICTIONARY-2'!$A$3,"25"," ","R14"," ",'DICTIONARY-6'!$A$68)</f>
        <v>SKR Zaw. zwrotny DN250 PN25 R14 spawane Ni-Cr siodło</v>
      </c>
      <c r="S1193" s="733" t="s">
        <v>5569</v>
      </c>
      <c r="T1193" s="732" t="s">
        <v>5569</v>
      </c>
      <c r="U1193" s="734" t="s">
        <v>5751</v>
      </c>
      <c r="V1193" s="735">
        <v>25</v>
      </c>
      <c r="W1193" s="736"/>
      <c r="X1193" s="737"/>
      <c r="Y1193" s="738"/>
      <c r="Z1193" s="739"/>
      <c r="AA1193" s="739"/>
      <c r="AB1193" s="740">
        <v>25</v>
      </c>
      <c r="AC1193" s="741" t="str">
        <f>'DICTIONARY-5'!$A$11&amp;" 14"</f>
        <v>EN 558 szereg 14</v>
      </c>
      <c r="AD1193" s="741" t="str">
        <f>'DICTIONARY-5'!$A$13&amp;", "&amp;'DICTIONARY-5'!$A$14</f>
        <v>woda pitna, ścieki</v>
      </c>
      <c r="AE1193" s="742">
        <v>50</v>
      </c>
      <c r="AF1193" s="743">
        <v>65</v>
      </c>
      <c r="AG1193" s="741" t="str">
        <f>'DICTIONARY-5'!$A$23</f>
        <v>powłoka epoksydowa</v>
      </c>
    </row>
    <row r="1194" spans="1:33" x14ac:dyDescent="0.25">
      <c r="A1194" s="861" t="s">
        <v>1199</v>
      </c>
      <c r="B1194" s="861" t="s">
        <v>4671</v>
      </c>
      <c r="C1194" s="836">
        <v>10267</v>
      </c>
      <c r="D1194" s="836"/>
      <c r="E1194" s="836"/>
      <c r="F1194" s="836"/>
      <c r="G1194" s="496" t="s">
        <v>7822</v>
      </c>
      <c r="H1194" s="797" t="str">
        <f>VLOOKUP(G1194,SETTINGS!$B$7:$D$97,2,0)</f>
        <v>SKR</v>
      </c>
      <c r="I1194" s="796">
        <f>VLOOKUP(G1194,SETTINGS!$B$7:$D$97,3,0)</f>
        <v>0</v>
      </c>
      <c r="J1194" s="670" t="str">
        <f>IFERROR(IF(CURRENCY.FORMAT_1=0,CONCATENATE(TEXT(FIXED(ROUND((C1194/EXC.RATE_1),CURRENCY.FORMAT_1),CURRENCY.FORMAT_1,1),"# ##0;-# ##0"),",-"),FIXED(ROUND((C1194/EXC.RATE_1),CURRENCY.FORMAT_1),CURRENCY.FORMAT_1,0)),'DICTIONARY-5'!$A$2)</f>
        <v>10 267,-</v>
      </c>
      <c r="K1194" s="670" t="str">
        <f>IF(EXC.RATE_2=0,"",IFERROR(IF(CURRENCY.FORMAT_2=0,CONCATENATE(TEXT(FIXED(ROUND(IF(EXC.RATE.SWITCH=1,C1194/EXC.RATE_2,C1194*EXC.RATE_2),CURRENCY.FORMAT_2),CURRENCY.FORMAT_2,1),"# ##0;-# ##0"),",-"),FIXED(ROUND(IF(EXC.RATE.SWITCH=1,C1194/EXC.RATE_2,C1194*EXC.RATE_2),CURRENCY.FORMAT_2),CURRENCY.FORMAT_2,0)),'DICTIONARY-5'!$A$2))</f>
        <v/>
      </c>
      <c r="L1194" s="670" t="str">
        <f>IFERROR(IF(CURRENCY.FORMAT_1=0,CONCATENATE(TEXT(FIXED(ROUND((C1194*(1-I1194)*(1-ADD.DISCOUNT)*(1+MAT.SURCHARGE)/EXC.RATE_1),CURRENCY.FORMAT_1),CURRENCY.FORMAT_1,1),"# ##0;-# ##0"),",-"),FIXED(ROUND((C1194*(1-I1194)*(1-ADD.DISCOUNT)*(1+MAT.SURCHARGE)/EXC.RATE_1),CURRENCY.FORMAT_1),CURRENCY.FORMAT_1,0)),'DICTIONARY-5'!$A$2)</f>
        <v>10 667,-</v>
      </c>
      <c r="M1194" s="670" t="str">
        <f>IF(EXC.RATE_2=0,"",IFERROR(IF(CURRENCY.FORMAT_2=0,CONCATENATE(TEXT(FIXED(ROUND(IF(EXC.RATE.SWITCH=1,C1194*(1-I1194)*(1-ADD.DISCOUNT)*(1+MAT.SURCHARGE)/EXC.RATE_2,C1194*(1-I1194)*(1-ADD.DISCOUNT)*(1+MAT.SURCHARGE)*EXC.RATE_2),CURRENCY.FORMAT_2),CURRENCY.FORMAT_2,1),"# ##0;-# ##0"),",-"),FIXED(ROUND(IF(EXC.RATE.SWITCH=1,C1194*(1-I1194)*(1-ADD.DISCOUNT)*(1+MAT.SURCHARGE)/EXC.RATE_2,C1194*(1-I1194)*(1-ADD.DISCOUNT)*(1+MAT.SURCHARGE)*EXC.RATE_2),CURRENCY.FORMAT_2),CURRENCY.FORMAT_2,0)),'DICTIONARY-5'!$A$2))</f>
        <v/>
      </c>
      <c r="N1194" s="539">
        <v>5</v>
      </c>
      <c r="O1194" s="539"/>
      <c r="P1194" s="731" t="str">
        <f>'DICTIONARY-3'!$A$97</f>
        <v>SKR</v>
      </c>
      <c r="Q1194" s="732" t="str">
        <f>'DICTIONARY-3'!$A$200</f>
        <v>Zawór zwrotny</v>
      </c>
      <c r="R1194" s="732" t="str">
        <f>CONCATENATE('DICTIONARY-3'!$A$97," ",'DICTIONARY-6'!$A$20," ",'DICTIONARY-2'!$A$2,"300"," ",'DICTIONARY-2'!$A$3,"25"," ","R14"," ",'DICTIONARY-6'!$A$68)</f>
        <v>SKR Zaw. zwrotny DN300 PN25 R14 spawane Ni-Cr siodło</v>
      </c>
      <c r="S1194" s="733" t="s">
        <v>5569</v>
      </c>
      <c r="T1194" s="732" t="s">
        <v>5569</v>
      </c>
      <c r="U1194" s="734" t="s">
        <v>5752</v>
      </c>
      <c r="V1194" s="735">
        <v>25</v>
      </c>
      <c r="W1194" s="736"/>
      <c r="X1194" s="737"/>
      <c r="Y1194" s="738"/>
      <c r="Z1194" s="739"/>
      <c r="AA1194" s="739"/>
      <c r="AB1194" s="740">
        <v>25</v>
      </c>
      <c r="AC1194" s="741" t="str">
        <f>'DICTIONARY-5'!$A$11&amp;" 14"</f>
        <v>EN 558 szereg 14</v>
      </c>
      <c r="AD1194" s="741" t="str">
        <f>'DICTIONARY-5'!$A$13&amp;", "&amp;'DICTIONARY-5'!$A$14</f>
        <v>woda pitna, ścieki</v>
      </c>
      <c r="AE1194" s="742">
        <v>50</v>
      </c>
      <c r="AF1194" s="743">
        <v>83</v>
      </c>
      <c r="AG1194" s="741" t="str">
        <f>'DICTIONARY-5'!$A$23</f>
        <v>powłoka epoksydowa</v>
      </c>
    </row>
    <row r="1195" spans="1:33" x14ac:dyDescent="0.25">
      <c r="A1195" s="861" t="s">
        <v>1200</v>
      </c>
      <c r="B1195" s="861" t="s">
        <v>4674</v>
      </c>
      <c r="C1195" s="836">
        <v>7967</v>
      </c>
      <c r="D1195" s="836"/>
      <c r="E1195" s="836"/>
      <c r="F1195" s="836"/>
      <c r="G1195" s="496" t="s">
        <v>7822</v>
      </c>
      <c r="H1195" s="797" t="str">
        <f>VLOOKUP(G1195,SETTINGS!$B$7:$D$97,2,0)</f>
        <v>SKR</v>
      </c>
      <c r="I1195" s="796">
        <f>VLOOKUP(G1195,SETTINGS!$B$7:$D$97,3,0)</f>
        <v>0</v>
      </c>
      <c r="J1195" s="670" t="str">
        <f>IFERROR(IF(CURRENCY.FORMAT_1=0,CONCATENATE(TEXT(FIXED(ROUND((C1195/EXC.RATE_1),CURRENCY.FORMAT_1),CURRENCY.FORMAT_1,1),"# ##0;-# ##0"),",-"),FIXED(ROUND((C1195/EXC.RATE_1),CURRENCY.FORMAT_1),CURRENCY.FORMAT_1,0)),'DICTIONARY-5'!$A$2)</f>
        <v>7 967,-</v>
      </c>
      <c r="K1195" s="670" t="str">
        <f>IF(EXC.RATE_2=0,"",IFERROR(IF(CURRENCY.FORMAT_2=0,CONCATENATE(TEXT(FIXED(ROUND(IF(EXC.RATE.SWITCH=1,C1195/EXC.RATE_2,C1195*EXC.RATE_2),CURRENCY.FORMAT_2),CURRENCY.FORMAT_2,1),"# ##0;-# ##0"),",-"),FIXED(ROUND(IF(EXC.RATE.SWITCH=1,C1195/EXC.RATE_2,C1195*EXC.RATE_2),CURRENCY.FORMAT_2),CURRENCY.FORMAT_2,0)),'DICTIONARY-5'!$A$2))</f>
        <v/>
      </c>
      <c r="L1195" s="670" t="str">
        <f>IFERROR(IF(CURRENCY.FORMAT_1=0,CONCATENATE(TEXT(FIXED(ROUND((C1195*(1-I1195)*(1-ADD.DISCOUNT)*(1+MAT.SURCHARGE)/EXC.RATE_1),CURRENCY.FORMAT_1),CURRENCY.FORMAT_1,1),"# ##0;-# ##0"),",-"),FIXED(ROUND((C1195*(1-I1195)*(1-ADD.DISCOUNT)*(1+MAT.SURCHARGE)/EXC.RATE_1),CURRENCY.FORMAT_1),CURRENCY.FORMAT_1,0)),'DICTIONARY-5'!$A$2)</f>
        <v>8 278,-</v>
      </c>
      <c r="M1195" s="670" t="str">
        <f>IF(EXC.RATE_2=0,"",IFERROR(IF(CURRENCY.FORMAT_2=0,CONCATENATE(TEXT(FIXED(ROUND(IF(EXC.RATE.SWITCH=1,C1195*(1-I1195)*(1-ADD.DISCOUNT)*(1+MAT.SURCHARGE)/EXC.RATE_2,C1195*(1-I1195)*(1-ADD.DISCOUNT)*(1+MAT.SURCHARGE)*EXC.RATE_2),CURRENCY.FORMAT_2),CURRENCY.FORMAT_2,1),"# ##0;-# ##0"),",-"),FIXED(ROUND(IF(EXC.RATE.SWITCH=1,C1195*(1-I1195)*(1-ADD.DISCOUNT)*(1+MAT.SURCHARGE)/EXC.RATE_2,C1195*(1-I1195)*(1-ADD.DISCOUNT)*(1+MAT.SURCHARGE)*EXC.RATE_2),CURRENCY.FORMAT_2),CURRENCY.FORMAT_2,0)),'DICTIONARY-5'!$A$2))</f>
        <v/>
      </c>
      <c r="N1195" s="539">
        <v>5</v>
      </c>
      <c r="O1195" s="539"/>
      <c r="P1195" s="731" t="str">
        <f>'DICTIONARY-3'!$A$97</f>
        <v>SKR</v>
      </c>
      <c r="Q1195" s="732" t="str">
        <f>'DICTIONARY-3'!$A$200</f>
        <v>Zawór zwrotny</v>
      </c>
      <c r="R1195" s="732" t="str">
        <f>CONCATENATE('DICTIONARY-3'!$A$97," ",'DICTIONARY-6'!$A$20," ",'DICTIONARY-2'!$A$2,"350"," ",'DICTIONARY-2'!$A$3,"25"," ","R14"," ",'DICTIONARY-6'!$A$68)</f>
        <v>SKR Zaw. zwrotny DN350 PN25 R14 spawane Ni-Cr siodło</v>
      </c>
      <c r="S1195" s="733" t="s">
        <v>5569</v>
      </c>
      <c r="T1195" s="732" t="s">
        <v>5569</v>
      </c>
      <c r="U1195" s="734" t="s">
        <v>5753</v>
      </c>
      <c r="V1195" s="735">
        <v>25</v>
      </c>
      <c r="W1195" s="736"/>
      <c r="X1195" s="737"/>
      <c r="Y1195" s="738"/>
      <c r="Z1195" s="739"/>
      <c r="AA1195" s="739"/>
      <c r="AB1195" s="740">
        <v>25</v>
      </c>
      <c r="AC1195" s="741" t="str">
        <f>'DICTIONARY-5'!$A$11&amp;" 14"</f>
        <v>EN 558 szereg 14</v>
      </c>
      <c r="AD1195" s="741" t="str">
        <f>'DICTIONARY-5'!$A$13&amp;", "&amp;'DICTIONARY-5'!$A$14</f>
        <v>woda pitna, ścieki</v>
      </c>
      <c r="AE1195" s="742">
        <v>50</v>
      </c>
      <c r="AF1195" s="743">
        <v>83</v>
      </c>
      <c r="AG1195" s="741" t="str">
        <f>'DICTIONARY-5'!$A$23</f>
        <v>powłoka epoksydowa</v>
      </c>
    </row>
    <row r="1196" spans="1:33" x14ac:dyDescent="0.25">
      <c r="A1196" s="861" t="s">
        <v>1201</v>
      </c>
      <c r="B1196" s="861" t="s">
        <v>4677</v>
      </c>
      <c r="C1196" s="836">
        <v>9402</v>
      </c>
      <c r="D1196" s="836"/>
      <c r="E1196" s="836"/>
      <c r="F1196" s="836"/>
      <c r="G1196" s="496" t="s">
        <v>7822</v>
      </c>
      <c r="H1196" s="797" t="str">
        <f>VLOOKUP(G1196,SETTINGS!$B$7:$D$97,2,0)</f>
        <v>SKR</v>
      </c>
      <c r="I1196" s="796">
        <f>VLOOKUP(G1196,SETTINGS!$B$7:$D$97,3,0)</f>
        <v>0</v>
      </c>
      <c r="J1196" s="670" t="str">
        <f>IFERROR(IF(CURRENCY.FORMAT_1=0,CONCATENATE(TEXT(FIXED(ROUND((C1196/EXC.RATE_1),CURRENCY.FORMAT_1),CURRENCY.FORMAT_1,1),"# ##0;-# ##0"),",-"),FIXED(ROUND((C1196/EXC.RATE_1),CURRENCY.FORMAT_1),CURRENCY.FORMAT_1,0)),'DICTIONARY-5'!$A$2)</f>
        <v>9 402,-</v>
      </c>
      <c r="K1196" s="670" t="str">
        <f>IF(EXC.RATE_2=0,"",IFERROR(IF(CURRENCY.FORMAT_2=0,CONCATENATE(TEXT(FIXED(ROUND(IF(EXC.RATE.SWITCH=1,C1196/EXC.RATE_2,C1196*EXC.RATE_2),CURRENCY.FORMAT_2),CURRENCY.FORMAT_2,1),"# ##0;-# ##0"),",-"),FIXED(ROUND(IF(EXC.RATE.SWITCH=1,C1196/EXC.RATE_2,C1196*EXC.RATE_2),CURRENCY.FORMAT_2),CURRENCY.FORMAT_2,0)),'DICTIONARY-5'!$A$2))</f>
        <v/>
      </c>
      <c r="L1196" s="670" t="str">
        <f>IFERROR(IF(CURRENCY.FORMAT_1=0,CONCATENATE(TEXT(FIXED(ROUND((C1196*(1-I1196)*(1-ADD.DISCOUNT)*(1+MAT.SURCHARGE)/EXC.RATE_1),CURRENCY.FORMAT_1),CURRENCY.FORMAT_1,1),"# ##0;-# ##0"),",-"),FIXED(ROUND((C1196*(1-I1196)*(1-ADD.DISCOUNT)*(1+MAT.SURCHARGE)/EXC.RATE_1),CURRENCY.FORMAT_1),CURRENCY.FORMAT_1,0)),'DICTIONARY-5'!$A$2)</f>
        <v>9 769,-</v>
      </c>
      <c r="M1196" s="670" t="str">
        <f>IF(EXC.RATE_2=0,"",IFERROR(IF(CURRENCY.FORMAT_2=0,CONCATENATE(TEXT(FIXED(ROUND(IF(EXC.RATE.SWITCH=1,C1196*(1-I1196)*(1-ADD.DISCOUNT)*(1+MAT.SURCHARGE)/EXC.RATE_2,C1196*(1-I1196)*(1-ADD.DISCOUNT)*(1+MAT.SURCHARGE)*EXC.RATE_2),CURRENCY.FORMAT_2),CURRENCY.FORMAT_2,1),"# ##0;-# ##0"),",-"),FIXED(ROUND(IF(EXC.RATE.SWITCH=1,C1196*(1-I1196)*(1-ADD.DISCOUNT)*(1+MAT.SURCHARGE)/EXC.RATE_2,C1196*(1-I1196)*(1-ADD.DISCOUNT)*(1+MAT.SURCHARGE)*EXC.RATE_2),CURRENCY.FORMAT_2),CURRENCY.FORMAT_2,0)),'DICTIONARY-5'!$A$2))</f>
        <v/>
      </c>
      <c r="N1196" s="539">
        <v>5</v>
      </c>
      <c r="O1196" s="539"/>
      <c r="P1196" s="731" t="str">
        <f>'DICTIONARY-3'!$A$97</f>
        <v>SKR</v>
      </c>
      <c r="Q1196" s="732" t="str">
        <f>'DICTIONARY-3'!$A$200</f>
        <v>Zawór zwrotny</v>
      </c>
      <c r="R1196" s="732" t="str">
        <f>CONCATENATE('DICTIONARY-3'!$A$97," ",'DICTIONARY-6'!$A$20," ",'DICTIONARY-2'!$A$2,"400"," ",'DICTIONARY-2'!$A$3,"25"," ","R14"," ",'DICTIONARY-6'!$A$68)</f>
        <v>SKR Zaw. zwrotny DN400 PN25 R14 spawane Ni-Cr siodło</v>
      </c>
      <c r="S1196" s="733" t="s">
        <v>5569</v>
      </c>
      <c r="T1196" s="732" t="s">
        <v>5569</v>
      </c>
      <c r="U1196" s="734" t="s">
        <v>5754</v>
      </c>
      <c r="V1196" s="735">
        <v>25</v>
      </c>
      <c r="W1196" s="736"/>
      <c r="X1196" s="737"/>
      <c r="Y1196" s="738"/>
      <c r="Z1196" s="739"/>
      <c r="AA1196" s="739"/>
      <c r="AB1196" s="740">
        <v>25</v>
      </c>
      <c r="AC1196" s="741" t="str">
        <f>'DICTIONARY-5'!$A$11&amp;" 14"</f>
        <v>EN 558 szereg 14</v>
      </c>
      <c r="AD1196" s="741" t="str">
        <f>'DICTIONARY-5'!$A$13&amp;", "&amp;'DICTIONARY-5'!$A$14</f>
        <v>woda pitna, ścieki</v>
      </c>
      <c r="AE1196" s="742">
        <v>50</v>
      </c>
      <c r="AF1196" s="743">
        <v>118</v>
      </c>
      <c r="AG1196" s="741" t="str">
        <f>'DICTIONARY-5'!$A$23</f>
        <v>powłoka epoksydowa</v>
      </c>
    </row>
    <row r="1197" spans="1:33" x14ac:dyDescent="0.25">
      <c r="A1197" s="861" t="s">
        <v>1202</v>
      </c>
      <c r="B1197" s="861" t="s">
        <v>4680</v>
      </c>
      <c r="C1197" s="836" t="s">
        <v>5967</v>
      </c>
      <c r="D1197" s="836"/>
      <c r="E1197" s="836"/>
      <c r="F1197" s="836"/>
      <c r="G1197" s="496" t="s">
        <v>7822</v>
      </c>
      <c r="H1197" s="797" t="str">
        <f>VLOOKUP(G1197,SETTINGS!$B$7:$D$97,2,0)</f>
        <v>SKR</v>
      </c>
      <c r="I1197" s="796">
        <f>VLOOKUP(G1197,SETTINGS!$B$7:$D$97,3,0)</f>
        <v>0</v>
      </c>
      <c r="J1197" s="670" t="str">
        <f>IFERROR(IF(CURRENCY.FORMAT_1=0,CONCATENATE(TEXT(FIXED(ROUND((C1197/EXC.RATE_1),CURRENCY.FORMAT_1),CURRENCY.FORMAT_1,1),"# ##0;-# ##0"),",-"),FIXED(ROUND((C1197/EXC.RATE_1),CURRENCY.FORMAT_1),CURRENCY.FORMAT_1,0)),'DICTIONARY-5'!$A$2)</f>
        <v>na zapytanie</v>
      </c>
      <c r="K1197" s="670" t="str">
        <f>IF(EXC.RATE_2=0,"",IFERROR(IF(CURRENCY.FORMAT_2=0,CONCATENATE(TEXT(FIXED(ROUND(IF(EXC.RATE.SWITCH=1,C1197/EXC.RATE_2,C1197*EXC.RATE_2),CURRENCY.FORMAT_2),CURRENCY.FORMAT_2,1),"# ##0;-# ##0"),",-"),FIXED(ROUND(IF(EXC.RATE.SWITCH=1,C1197/EXC.RATE_2,C1197*EXC.RATE_2),CURRENCY.FORMAT_2),CURRENCY.FORMAT_2,0)),'DICTIONARY-5'!$A$2))</f>
        <v/>
      </c>
      <c r="L1197" s="670" t="str">
        <f>IFERROR(IF(CURRENCY.FORMAT_1=0,CONCATENATE(TEXT(FIXED(ROUND((C1197*(1-I1197)*(1-ADD.DISCOUNT)*(1+MAT.SURCHARGE)/EXC.RATE_1),CURRENCY.FORMAT_1),CURRENCY.FORMAT_1,1),"# ##0;-# ##0"),",-"),FIXED(ROUND((C1197*(1-I1197)*(1-ADD.DISCOUNT)*(1+MAT.SURCHARGE)/EXC.RATE_1),CURRENCY.FORMAT_1),CURRENCY.FORMAT_1,0)),'DICTIONARY-5'!$A$2)</f>
        <v>na zapytanie</v>
      </c>
      <c r="M1197" s="670" t="str">
        <f>IF(EXC.RATE_2=0,"",IFERROR(IF(CURRENCY.FORMAT_2=0,CONCATENATE(TEXT(FIXED(ROUND(IF(EXC.RATE.SWITCH=1,C1197*(1-I1197)*(1-ADD.DISCOUNT)*(1+MAT.SURCHARGE)/EXC.RATE_2,C1197*(1-I1197)*(1-ADD.DISCOUNT)*(1+MAT.SURCHARGE)*EXC.RATE_2),CURRENCY.FORMAT_2),CURRENCY.FORMAT_2,1),"# ##0;-# ##0"),",-"),FIXED(ROUND(IF(EXC.RATE.SWITCH=1,C1197*(1-I1197)*(1-ADD.DISCOUNT)*(1+MAT.SURCHARGE)/EXC.RATE_2,C1197*(1-I1197)*(1-ADD.DISCOUNT)*(1+MAT.SURCHARGE)*EXC.RATE_2),CURRENCY.FORMAT_2),CURRENCY.FORMAT_2,0)),'DICTIONARY-5'!$A$2))</f>
        <v/>
      </c>
      <c r="N1197" s="539">
        <v>5</v>
      </c>
      <c r="O1197" s="539"/>
      <c r="P1197" s="731" t="str">
        <f>'DICTIONARY-3'!$A$97</f>
        <v>SKR</v>
      </c>
      <c r="Q1197" s="732" t="str">
        <f>'DICTIONARY-3'!$A$200</f>
        <v>Zawór zwrotny</v>
      </c>
      <c r="R1197" s="732" t="str">
        <f>CONCATENATE('DICTIONARY-3'!$A$97," ",'DICTIONARY-6'!$A$20," ",'DICTIONARY-2'!$A$2,"450"," ",'DICTIONARY-2'!$A$3,"25"," ","R14"," ",'DICTIONARY-6'!$A$68)</f>
        <v>SKR Zaw. zwrotny DN450 PN25 R14 spawane Ni-Cr siodło</v>
      </c>
      <c r="S1197" s="733" t="s">
        <v>5569</v>
      </c>
      <c r="T1197" s="732" t="s">
        <v>5569</v>
      </c>
      <c r="U1197" s="734" t="s">
        <v>5755</v>
      </c>
      <c r="V1197" s="735">
        <v>25</v>
      </c>
      <c r="W1197" s="736"/>
      <c r="X1197" s="737"/>
      <c r="Y1197" s="738"/>
      <c r="Z1197" s="739"/>
      <c r="AA1197" s="739"/>
      <c r="AB1197" s="740">
        <v>25</v>
      </c>
      <c r="AC1197" s="741" t="str">
        <f>'DICTIONARY-5'!$A$11&amp;" 14"</f>
        <v>EN 558 szereg 14</v>
      </c>
      <c r="AD1197" s="741" t="str">
        <f>'DICTIONARY-5'!$A$13&amp;", "&amp;'DICTIONARY-5'!$A$14</f>
        <v>woda pitna, ścieki</v>
      </c>
      <c r="AE1197" s="742">
        <v>50</v>
      </c>
      <c r="AF1197" s="743">
        <v>210</v>
      </c>
      <c r="AG1197" s="741" t="str">
        <f>'DICTIONARY-5'!$A$23</f>
        <v>powłoka epoksydowa</v>
      </c>
    </row>
    <row r="1198" spans="1:33" x14ac:dyDescent="0.25">
      <c r="A1198" s="861" t="s">
        <v>1203</v>
      </c>
      <c r="B1198" s="861" t="s">
        <v>4683</v>
      </c>
      <c r="C1198" s="836">
        <v>11377</v>
      </c>
      <c r="D1198" s="836"/>
      <c r="E1198" s="836"/>
      <c r="F1198" s="836"/>
      <c r="G1198" s="496" t="s">
        <v>7822</v>
      </c>
      <c r="H1198" s="797" t="str">
        <f>VLOOKUP(G1198,SETTINGS!$B$7:$D$97,2,0)</f>
        <v>SKR</v>
      </c>
      <c r="I1198" s="796">
        <f>VLOOKUP(G1198,SETTINGS!$B$7:$D$97,3,0)</f>
        <v>0</v>
      </c>
      <c r="J1198" s="670" t="str">
        <f>IFERROR(IF(CURRENCY.FORMAT_1=0,CONCATENATE(TEXT(FIXED(ROUND((C1198/EXC.RATE_1),CURRENCY.FORMAT_1),CURRENCY.FORMAT_1,1),"# ##0;-# ##0"),",-"),FIXED(ROUND((C1198/EXC.RATE_1),CURRENCY.FORMAT_1),CURRENCY.FORMAT_1,0)),'DICTIONARY-5'!$A$2)</f>
        <v>11 377,-</v>
      </c>
      <c r="K1198" s="670" t="str">
        <f>IF(EXC.RATE_2=0,"",IFERROR(IF(CURRENCY.FORMAT_2=0,CONCATENATE(TEXT(FIXED(ROUND(IF(EXC.RATE.SWITCH=1,C1198/EXC.RATE_2,C1198*EXC.RATE_2),CURRENCY.FORMAT_2),CURRENCY.FORMAT_2,1),"# ##0;-# ##0"),",-"),FIXED(ROUND(IF(EXC.RATE.SWITCH=1,C1198/EXC.RATE_2,C1198*EXC.RATE_2),CURRENCY.FORMAT_2),CURRENCY.FORMAT_2,0)),'DICTIONARY-5'!$A$2))</f>
        <v/>
      </c>
      <c r="L1198" s="670" t="str">
        <f>IFERROR(IF(CURRENCY.FORMAT_1=0,CONCATENATE(TEXT(FIXED(ROUND((C1198*(1-I1198)*(1-ADD.DISCOUNT)*(1+MAT.SURCHARGE)/EXC.RATE_1),CURRENCY.FORMAT_1),CURRENCY.FORMAT_1,1),"# ##0;-# ##0"),",-"),FIXED(ROUND((C1198*(1-I1198)*(1-ADD.DISCOUNT)*(1+MAT.SURCHARGE)/EXC.RATE_1),CURRENCY.FORMAT_1),CURRENCY.FORMAT_1,0)),'DICTIONARY-5'!$A$2)</f>
        <v>11 821,-</v>
      </c>
      <c r="M1198" s="670" t="str">
        <f>IF(EXC.RATE_2=0,"",IFERROR(IF(CURRENCY.FORMAT_2=0,CONCATENATE(TEXT(FIXED(ROUND(IF(EXC.RATE.SWITCH=1,C1198*(1-I1198)*(1-ADD.DISCOUNT)*(1+MAT.SURCHARGE)/EXC.RATE_2,C1198*(1-I1198)*(1-ADD.DISCOUNT)*(1+MAT.SURCHARGE)*EXC.RATE_2),CURRENCY.FORMAT_2),CURRENCY.FORMAT_2,1),"# ##0;-# ##0"),",-"),FIXED(ROUND(IF(EXC.RATE.SWITCH=1,C1198*(1-I1198)*(1-ADD.DISCOUNT)*(1+MAT.SURCHARGE)/EXC.RATE_2,C1198*(1-I1198)*(1-ADD.DISCOUNT)*(1+MAT.SURCHARGE)*EXC.RATE_2),CURRENCY.FORMAT_2),CURRENCY.FORMAT_2,0)),'DICTIONARY-5'!$A$2))</f>
        <v/>
      </c>
      <c r="N1198" s="539">
        <v>5</v>
      </c>
      <c r="O1198" s="539"/>
      <c r="P1198" s="731" t="str">
        <f>'DICTIONARY-3'!$A$97</f>
        <v>SKR</v>
      </c>
      <c r="Q1198" s="732" t="str">
        <f>'DICTIONARY-3'!$A$200</f>
        <v>Zawór zwrotny</v>
      </c>
      <c r="R1198" s="732" t="str">
        <f>CONCATENATE('DICTIONARY-3'!$A$97," ",'DICTIONARY-6'!$A$20," ",'DICTIONARY-2'!$A$2,"500"," ",'DICTIONARY-2'!$A$3,"25"," ","R14"," ",'DICTIONARY-6'!$A$68)</f>
        <v>SKR Zaw. zwrotny DN500 PN25 R14 spawane Ni-Cr siodło</v>
      </c>
      <c r="S1198" s="733" t="s">
        <v>5569</v>
      </c>
      <c r="T1198" s="732" t="s">
        <v>5569</v>
      </c>
      <c r="U1198" s="734" t="s">
        <v>5756</v>
      </c>
      <c r="V1198" s="735">
        <v>25</v>
      </c>
      <c r="W1198" s="736"/>
      <c r="X1198" s="737"/>
      <c r="Y1198" s="738"/>
      <c r="Z1198" s="739"/>
      <c r="AA1198" s="739"/>
      <c r="AB1198" s="740">
        <v>25</v>
      </c>
      <c r="AC1198" s="741" t="str">
        <f>'DICTIONARY-5'!$A$11&amp;" 14"</f>
        <v>EN 558 szereg 14</v>
      </c>
      <c r="AD1198" s="741" t="str">
        <f>'DICTIONARY-5'!$A$13&amp;", "&amp;'DICTIONARY-5'!$A$14</f>
        <v>woda pitna, ścieki</v>
      </c>
      <c r="AE1198" s="742">
        <v>50</v>
      </c>
      <c r="AF1198" s="743">
        <v>210</v>
      </c>
      <c r="AG1198" s="741" t="str">
        <f>'DICTIONARY-5'!$A$23</f>
        <v>powłoka epoksydowa</v>
      </c>
    </row>
    <row r="1199" spans="1:33" x14ac:dyDescent="0.25">
      <c r="A1199" s="861" t="s">
        <v>1204</v>
      </c>
      <c r="B1199" s="861" t="s">
        <v>4686</v>
      </c>
      <c r="C1199" s="836">
        <v>13603</v>
      </c>
      <c r="D1199" s="836"/>
      <c r="E1199" s="836"/>
      <c r="F1199" s="836"/>
      <c r="G1199" s="496" t="s">
        <v>7822</v>
      </c>
      <c r="H1199" s="797" t="str">
        <f>VLOOKUP(G1199,SETTINGS!$B$7:$D$97,2,0)</f>
        <v>SKR</v>
      </c>
      <c r="I1199" s="796">
        <f>VLOOKUP(G1199,SETTINGS!$B$7:$D$97,3,0)</f>
        <v>0</v>
      </c>
      <c r="J1199" s="670" t="str">
        <f>IFERROR(IF(CURRENCY.FORMAT_1=0,CONCATENATE(TEXT(FIXED(ROUND((C1199/EXC.RATE_1),CURRENCY.FORMAT_1),CURRENCY.FORMAT_1,1),"# ##0;-# ##0"),",-"),FIXED(ROUND((C1199/EXC.RATE_1),CURRENCY.FORMAT_1),CURRENCY.FORMAT_1,0)),'DICTIONARY-5'!$A$2)</f>
        <v>13 603,-</v>
      </c>
      <c r="K1199" s="670" t="str">
        <f>IF(EXC.RATE_2=0,"",IFERROR(IF(CURRENCY.FORMAT_2=0,CONCATENATE(TEXT(FIXED(ROUND(IF(EXC.RATE.SWITCH=1,C1199/EXC.RATE_2,C1199*EXC.RATE_2),CURRENCY.FORMAT_2),CURRENCY.FORMAT_2,1),"# ##0;-# ##0"),",-"),FIXED(ROUND(IF(EXC.RATE.SWITCH=1,C1199/EXC.RATE_2,C1199*EXC.RATE_2),CURRENCY.FORMAT_2),CURRENCY.FORMAT_2,0)),'DICTIONARY-5'!$A$2))</f>
        <v/>
      </c>
      <c r="L1199" s="670" t="str">
        <f>IFERROR(IF(CURRENCY.FORMAT_1=0,CONCATENATE(TEXT(FIXED(ROUND((C1199*(1-I1199)*(1-ADD.DISCOUNT)*(1+MAT.SURCHARGE)/EXC.RATE_1),CURRENCY.FORMAT_1),CURRENCY.FORMAT_1,1),"# ##0;-# ##0"),",-"),FIXED(ROUND((C1199*(1-I1199)*(1-ADD.DISCOUNT)*(1+MAT.SURCHARGE)/EXC.RATE_1),CURRENCY.FORMAT_1),CURRENCY.FORMAT_1,0)),'DICTIONARY-5'!$A$2)</f>
        <v>14 134,-</v>
      </c>
      <c r="M1199" s="670" t="str">
        <f>IF(EXC.RATE_2=0,"",IFERROR(IF(CURRENCY.FORMAT_2=0,CONCATENATE(TEXT(FIXED(ROUND(IF(EXC.RATE.SWITCH=1,C1199*(1-I1199)*(1-ADD.DISCOUNT)*(1+MAT.SURCHARGE)/EXC.RATE_2,C1199*(1-I1199)*(1-ADD.DISCOUNT)*(1+MAT.SURCHARGE)*EXC.RATE_2),CURRENCY.FORMAT_2),CURRENCY.FORMAT_2,1),"# ##0;-# ##0"),",-"),FIXED(ROUND(IF(EXC.RATE.SWITCH=1,C1199*(1-I1199)*(1-ADD.DISCOUNT)*(1+MAT.SURCHARGE)/EXC.RATE_2,C1199*(1-I1199)*(1-ADD.DISCOUNT)*(1+MAT.SURCHARGE)*EXC.RATE_2),CURRENCY.FORMAT_2),CURRENCY.FORMAT_2,0)),'DICTIONARY-5'!$A$2))</f>
        <v/>
      </c>
      <c r="N1199" s="539">
        <v>5</v>
      </c>
      <c r="O1199" s="539"/>
      <c r="P1199" s="731" t="str">
        <f>'DICTIONARY-3'!$A$97</f>
        <v>SKR</v>
      </c>
      <c r="Q1199" s="732" t="str">
        <f>'DICTIONARY-3'!$A$200</f>
        <v>Zawór zwrotny</v>
      </c>
      <c r="R1199" s="732" t="str">
        <f>CONCATENATE('DICTIONARY-3'!$A$97," ",'DICTIONARY-6'!$A$20," ",'DICTIONARY-2'!$A$2,"600"," ",'DICTIONARY-2'!$A$3,"25"," ","R14"," ",'DICTIONARY-6'!$A$68)</f>
        <v>SKR Zaw. zwrotny DN600 PN25 R14 spawane Ni-Cr siodło</v>
      </c>
      <c r="S1199" s="733" t="s">
        <v>5569</v>
      </c>
      <c r="T1199" s="732" t="s">
        <v>5569</v>
      </c>
      <c r="U1199" s="734" t="s">
        <v>5757</v>
      </c>
      <c r="V1199" s="735">
        <v>25</v>
      </c>
      <c r="W1199" s="736"/>
      <c r="X1199" s="737"/>
      <c r="Y1199" s="738"/>
      <c r="Z1199" s="739"/>
      <c r="AA1199" s="739"/>
      <c r="AB1199" s="740">
        <v>25</v>
      </c>
      <c r="AC1199" s="741" t="str">
        <f>'DICTIONARY-5'!$A$11&amp;" 14"</f>
        <v>EN 558 szereg 14</v>
      </c>
      <c r="AD1199" s="741" t="str">
        <f>'DICTIONARY-5'!$A$13&amp;", "&amp;'DICTIONARY-5'!$A$14</f>
        <v>woda pitna, ścieki</v>
      </c>
      <c r="AE1199" s="742">
        <v>50</v>
      </c>
      <c r="AF1199" s="743">
        <v>250</v>
      </c>
      <c r="AG1199" s="741" t="str">
        <f>'DICTIONARY-5'!$A$23</f>
        <v>powłoka epoksydowa</v>
      </c>
    </row>
    <row r="1200" spans="1:33" x14ac:dyDescent="0.25">
      <c r="A1200" s="861" t="s">
        <v>1205</v>
      </c>
      <c r="B1200" s="861" t="s">
        <v>4689</v>
      </c>
      <c r="C1200" s="836">
        <v>22956</v>
      </c>
      <c r="D1200" s="836"/>
      <c r="E1200" s="836"/>
      <c r="F1200" s="836"/>
      <c r="G1200" s="496" t="s">
        <v>7822</v>
      </c>
      <c r="H1200" s="797" t="str">
        <f>VLOOKUP(G1200,SETTINGS!$B$7:$D$97,2,0)</f>
        <v>SKR</v>
      </c>
      <c r="I1200" s="796">
        <f>VLOOKUP(G1200,SETTINGS!$B$7:$D$97,3,0)</f>
        <v>0</v>
      </c>
      <c r="J1200" s="670" t="str">
        <f>IFERROR(IF(CURRENCY.FORMAT_1=0,CONCATENATE(TEXT(FIXED(ROUND((C1200/EXC.RATE_1),CURRENCY.FORMAT_1),CURRENCY.FORMAT_1,1),"# ##0;-# ##0"),",-"),FIXED(ROUND((C1200/EXC.RATE_1),CURRENCY.FORMAT_1),CURRENCY.FORMAT_1,0)),'DICTIONARY-5'!$A$2)</f>
        <v>22 956,-</v>
      </c>
      <c r="K1200" s="670" t="str">
        <f>IF(EXC.RATE_2=0,"",IFERROR(IF(CURRENCY.FORMAT_2=0,CONCATENATE(TEXT(FIXED(ROUND(IF(EXC.RATE.SWITCH=1,C1200/EXC.RATE_2,C1200*EXC.RATE_2),CURRENCY.FORMAT_2),CURRENCY.FORMAT_2,1),"# ##0;-# ##0"),",-"),FIXED(ROUND(IF(EXC.RATE.SWITCH=1,C1200/EXC.RATE_2,C1200*EXC.RATE_2),CURRENCY.FORMAT_2),CURRENCY.FORMAT_2,0)),'DICTIONARY-5'!$A$2))</f>
        <v/>
      </c>
      <c r="L1200" s="670" t="str">
        <f>IFERROR(IF(CURRENCY.FORMAT_1=0,CONCATENATE(TEXT(FIXED(ROUND((C1200*(1-I1200)*(1-ADD.DISCOUNT)*(1+MAT.SURCHARGE)/EXC.RATE_1),CURRENCY.FORMAT_1),CURRENCY.FORMAT_1,1),"# ##0;-# ##0"),",-"),FIXED(ROUND((C1200*(1-I1200)*(1-ADD.DISCOUNT)*(1+MAT.SURCHARGE)/EXC.RATE_1),CURRENCY.FORMAT_1),CURRENCY.FORMAT_1,0)),'DICTIONARY-5'!$A$2)</f>
        <v>23 851,-</v>
      </c>
      <c r="M1200" s="670" t="str">
        <f>IF(EXC.RATE_2=0,"",IFERROR(IF(CURRENCY.FORMAT_2=0,CONCATENATE(TEXT(FIXED(ROUND(IF(EXC.RATE.SWITCH=1,C1200*(1-I1200)*(1-ADD.DISCOUNT)*(1+MAT.SURCHARGE)/EXC.RATE_2,C1200*(1-I1200)*(1-ADD.DISCOUNT)*(1+MAT.SURCHARGE)*EXC.RATE_2),CURRENCY.FORMAT_2),CURRENCY.FORMAT_2,1),"# ##0;-# ##0"),",-"),FIXED(ROUND(IF(EXC.RATE.SWITCH=1,C1200*(1-I1200)*(1-ADD.DISCOUNT)*(1+MAT.SURCHARGE)/EXC.RATE_2,C1200*(1-I1200)*(1-ADD.DISCOUNT)*(1+MAT.SURCHARGE)*EXC.RATE_2),CURRENCY.FORMAT_2),CURRENCY.FORMAT_2,0)),'DICTIONARY-5'!$A$2))</f>
        <v/>
      </c>
      <c r="N1200" s="539">
        <v>5</v>
      </c>
      <c r="O1200" s="539"/>
      <c r="P1200" s="731" t="str">
        <f>'DICTIONARY-3'!$A$97</f>
        <v>SKR</v>
      </c>
      <c r="Q1200" s="732" t="str">
        <f>'DICTIONARY-3'!$A$200</f>
        <v>Zawór zwrotny</v>
      </c>
      <c r="R1200" s="732" t="str">
        <f>CONCATENATE('DICTIONARY-3'!$A$97," ",'DICTIONARY-6'!$A$20," ",'DICTIONARY-2'!$A$2,"700"," ",'DICTIONARY-2'!$A$3,"25"," ","R14"," ",'DICTIONARY-6'!$A$68)</f>
        <v>SKR Zaw. zwrotny DN700 PN25 R14 spawane Ni-Cr siodło</v>
      </c>
      <c r="S1200" s="733" t="s">
        <v>5569</v>
      </c>
      <c r="T1200" s="732" t="s">
        <v>5569</v>
      </c>
      <c r="U1200" s="734" t="s">
        <v>5834</v>
      </c>
      <c r="V1200" s="735">
        <v>25</v>
      </c>
      <c r="W1200" s="736"/>
      <c r="X1200" s="737"/>
      <c r="Y1200" s="738"/>
      <c r="Z1200" s="739"/>
      <c r="AA1200" s="739"/>
      <c r="AB1200" s="740">
        <v>25</v>
      </c>
      <c r="AC1200" s="741" t="str">
        <f>'DICTIONARY-5'!$A$11&amp;" 14"</f>
        <v>EN 558 szereg 14</v>
      </c>
      <c r="AD1200" s="741" t="str">
        <f>'DICTIONARY-5'!$A$13&amp;", "&amp;'DICTIONARY-5'!$A$14</f>
        <v>woda pitna, ścieki</v>
      </c>
      <c r="AE1200" s="742">
        <v>50</v>
      </c>
      <c r="AF1200" s="743">
        <v>365</v>
      </c>
      <c r="AG1200" s="741" t="str">
        <f>'DICTIONARY-5'!$A$23</f>
        <v>powłoka epoksydowa</v>
      </c>
    </row>
    <row r="1201" spans="1:33" x14ac:dyDescent="0.25">
      <c r="A1201" s="861" t="s">
        <v>1206</v>
      </c>
      <c r="B1201" s="861" t="s">
        <v>4692</v>
      </c>
      <c r="C1201" s="836">
        <v>35531</v>
      </c>
      <c r="D1201" s="836"/>
      <c r="E1201" s="836"/>
      <c r="F1201" s="836"/>
      <c r="G1201" s="496" t="s">
        <v>7822</v>
      </c>
      <c r="H1201" s="797" t="str">
        <f>VLOOKUP(G1201,SETTINGS!$B$7:$D$97,2,0)</f>
        <v>SKR</v>
      </c>
      <c r="I1201" s="796">
        <f>VLOOKUP(G1201,SETTINGS!$B$7:$D$97,3,0)</f>
        <v>0</v>
      </c>
      <c r="J1201" s="670" t="str">
        <f>IFERROR(IF(CURRENCY.FORMAT_1=0,CONCATENATE(TEXT(FIXED(ROUND((C1201/EXC.RATE_1),CURRENCY.FORMAT_1),CURRENCY.FORMAT_1,1),"# ##0;-# ##0"),",-"),FIXED(ROUND((C1201/EXC.RATE_1),CURRENCY.FORMAT_1),CURRENCY.FORMAT_1,0)),'DICTIONARY-5'!$A$2)</f>
        <v>35 531,-</v>
      </c>
      <c r="K1201" s="670" t="str">
        <f>IF(EXC.RATE_2=0,"",IFERROR(IF(CURRENCY.FORMAT_2=0,CONCATENATE(TEXT(FIXED(ROUND(IF(EXC.RATE.SWITCH=1,C1201/EXC.RATE_2,C1201*EXC.RATE_2),CURRENCY.FORMAT_2),CURRENCY.FORMAT_2,1),"# ##0;-# ##0"),",-"),FIXED(ROUND(IF(EXC.RATE.SWITCH=1,C1201/EXC.RATE_2,C1201*EXC.RATE_2),CURRENCY.FORMAT_2),CURRENCY.FORMAT_2,0)),'DICTIONARY-5'!$A$2))</f>
        <v/>
      </c>
      <c r="L1201" s="670" t="str">
        <f>IFERROR(IF(CURRENCY.FORMAT_1=0,CONCATENATE(TEXT(FIXED(ROUND((C1201*(1-I1201)*(1-ADD.DISCOUNT)*(1+MAT.SURCHARGE)/EXC.RATE_1),CURRENCY.FORMAT_1),CURRENCY.FORMAT_1,1),"# ##0;-# ##0"),",-"),FIXED(ROUND((C1201*(1-I1201)*(1-ADD.DISCOUNT)*(1+MAT.SURCHARGE)/EXC.RATE_1),CURRENCY.FORMAT_1),CURRENCY.FORMAT_1,0)),'DICTIONARY-5'!$A$2)</f>
        <v>36 917,-</v>
      </c>
      <c r="M1201" s="670" t="str">
        <f>IF(EXC.RATE_2=0,"",IFERROR(IF(CURRENCY.FORMAT_2=0,CONCATENATE(TEXT(FIXED(ROUND(IF(EXC.RATE.SWITCH=1,C1201*(1-I1201)*(1-ADD.DISCOUNT)*(1+MAT.SURCHARGE)/EXC.RATE_2,C1201*(1-I1201)*(1-ADD.DISCOUNT)*(1+MAT.SURCHARGE)*EXC.RATE_2),CURRENCY.FORMAT_2),CURRENCY.FORMAT_2,1),"# ##0;-# ##0"),",-"),FIXED(ROUND(IF(EXC.RATE.SWITCH=1,C1201*(1-I1201)*(1-ADD.DISCOUNT)*(1+MAT.SURCHARGE)/EXC.RATE_2,C1201*(1-I1201)*(1-ADD.DISCOUNT)*(1+MAT.SURCHARGE)*EXC.RATE_2),CURRENCY.FORMAT_2),CURRENCY.FORMAT_2,0)),'DICTIONARY-5'!$A$2))</f>
        <v/>
      </c>
      <c r="N1201" s="539">
        <v>5</v>
      </c>
      <c r="O1201" s="539"/>
      <c r="P1201" s="731" t="str">
        <f>'DICTIONARY-3'!$A$97</f>
        <v>SKR</v>
      </c>
      <c r="Q1201" s="732" t="str">
        <f>'DICTIONARY-3'!$A$200</f>
        <v>Zawór zwrotny</v>
      </c>
      <c r="R1201" s="732" t="str">
        <f>CONCATENATE('DICTIONARY-3'!$A$97," ",'DICTIONARY-6'!$A$20," ",'DICTIONARY-2'!$A$2,"800"," ",'DICTIONARY-2'!$A$3,"25"," ","R14"," ",'DICTIONARY-6'!$A$68)</f>
        <v>SKR Zaw. zwrotny DN800 PN25 R14 spawane Ni-Cr siodło</v>
      </c>
      <c r="S1201" s="733" t="s">
        <v>5569</v>
      </c>
      <c r="T1201" s="732" t="s">
        <v>5569</v>
      </c>
      <c r="U1201" s="734" t="s">
        <v>5835</v>
      </c>
      <c r="V1201" s="735">
        <v>25</v>
      </c>
      <c r="W1201" s="736"/>
      <c r="X1201" s="737"/>
      <c r="Y1201" s="738"/>
      <c r="Z1201" s="739"/>
      <c r="AA1201" s="739"/>
      <c r="AB1201" s="740">
        <v>25</v>
      </c>
      <c r="AC1201" s="741" t="str">
        <f>'DICTIONARY-5'!$A$11&amp;" 14"</f>
        <v>EN 558 szereg 14</v>
      </c>
      <c r="AD1201" s="741" t="str">
        <f>'DICTIONARY-5'!$A$13&amp;", "&amp;'DICTIONARY-5'!$A$14</f>
        <v>woda pitna, ścieki</v>
      </c>
      <c r="AE1201" s="742">
        <v>50</v>
      </c>
      <c r="AF1201" s="743">
        <v>470</v>
      </c>
      <c r="AG1201" s="741" t="str">
        <f>'DICTIONARY-5'!$A$23</f>
        <v>powłoka epoksydowa</v>
      </c>
    </row>
    <row r="1202" spans="1:33" x14ac:dyDescent="0.25">
      <c r="A1202" s="861" t="s">
        <v>1207</v>
      </c>
      <c r="B1202" s="861" t="s">
        <v>4695</v>
      </c>
      <c r="C1202" s="836">
        <v>42723</v>
      </c>
      <c r="D1202" s="836"/>
      <c r="E1202" s="836"/>
      <c r="F1202" s="836"/>
      <c r="G1202" s="496" t="s">
        <v>7822</v>
      </c>
      <c r="H1202" s="797" t="str">
        <f>VLOOKUP(G1202,SETTINGS!$B$7:$D$97,2,0)</f>
        <v>SKR</v>
      </c>
      <c r="I1202" s="796">
        <f>VLOOKUP(G1202,SETTINGS!$B$7:$D$97,3,0)</f>
        <v>0</v>
      </c>
      <c r="J1202" s="670" t="str">
        <f>IFERROR(IF(CURRENCY.FORMAT_1=0,CONCATENATE(TEXT(FIXED(ROUND((C1202/EXC.RATE_1),CURRENCY.FORMAT_1),CURRENCY.FORMAT_1,1),"# ##0;-# ##0"),",-"),FIXED(ROUND((C1202/EXC.RATE_1),CURRENCY.FORMAT_1),CURRENCY.FORMAT_1,0)),'DICTIONARY-5'!$A$2)</f>
        <v>42 723,-</v>
      </c>
      <c r="K1202" s="670" t="str">
        <f>IF(EXC.RATE_2=0,"",IFERROR(IF(CURRENCY.FORMAT_2=0,CONCATENATE(TEXT(FIXED(ROUND(IF(EXC.RATE.SWITCH=1,C1202/EXC.RATE_2,C1202*EXC.RATE_2),CURRENCY.FORMAT_2),CURRENCY.FORMAT_2,1),"# ##0;-# ##0"),",-"),FIXED(ROUND(IF(EXC.RATE.SWITCH=1,C1202/EXC.RATE_2,C1202*EXC.RATE_2),CURRENCY.FORMAT_2),CURRENCY.FORMAT_2,0)),'DICTIONARY-5'!$A$2))</f>
        <v/>
      </c>
      <c r="L1202" s="670" t="str">
        <f>IFERROR(IF(CURRENCY.FORMAT_1=0,CONCATENATE(TEXT(FIXED(ROUND((C1202*(1-I1202)*(1-ADD.DISCOUNT)*(1+MAT.SURCHARGE)/EXC.RATE_1),CURRENCY.FORMAT_1),CURRENCY.FORMAT_1,1),"# ##0;-# ##0"),",-"),FIXED(ROUND((C1202*(1-I1202)*(1-ADD.DISCOUNT)*(1+MAT.SURCHARGE)/EXC.RATE_1),CURRENCY.FORMAT_1),CURRENCY.FORMAT_1,0)),'DICTIONARY-5'!$A$2)</f>
        <v>44 389,-</v>
      </c>
      <c r="M1202" s="670" t="str">
        <f>IF(EXC.RATE_2=0,"",IFERROR(IF(CURRENCY.FORMAT_2=0,CONCATENATE(TEXT(FIXED(ROUND(IF(EXC.RATE.SWITCH=1,C1202*(1-I1202)*(1-ADD.DISCOUNT)*(1+MAT.SURCHARGE)/EXC.RATE_2,C1202*(1-I1202)*(1-ADD.DISCOUNT)*(1+MAT.SURCHARGE)*EXC.RATE_2),CURRENCY.FORMAT_2),CURRENCY.FORMAT_2,1),"# ##0;-# ##0"),",-"),FIXED(ROUND(IF(EXC.RATE.SWITCH=1,C1202*(1-I1202)*(1-ADD.DISCOUNT)*(1+MAT.SURCHARGE)/EXC.RATE_2,C1202*(1-I1202)*(1-ADD.DISCOUNT)*(1+MAT.SURCHARGE)*EXC.RATE_2),CURRENCY.FORMAT_2),CURRENCY.FORMAT_2,0)),'DICTIONARY-5'!$A$2))</f>
        <v/>
      </c>
      <c r="N1202" s="539">
        <v>5</v>
      </c>
      <c r="O1202" s="539"/>
      <c r="P1202" s="731" t="str">
        <f>'DICTIONARY-3'!$A$97</f>
        <v>SKR</v>
      </c>
      <c r="Q1202" s="732" t="str">
        <f>'DICTIONARY-3'!$A$200</f>
        <v>Zawór zwrotny</v>
      </c>
      <c r="R1202" s="732" t="str">
        <f>CONCATENATE('DICTIONARY-3'!$A$97," ",'DICTIONARY-6'!$A$20," ",'DICTIONARY-2'!$A$2,"900"," ",'DICTIONARY-2'!$A$3,"25"," ","R14"," ",'DICTIONARY-6'!$A$68)</f>
        <v>SKR Zaw. zwrotny DN900 PN25 R14 spawane Ni-Cr siodło</v>
      </c>
      <c r="S1202" s="733" t="s">
        <v>5569</v>
      </c>
      <c r="T1202" s="732" t="s">
        <v>5569</v>
      </c>
      <c r="U1202" s="734" t="s">
        <v>5837</v>
      </c>
      <c r="V1202" s="735">
        <v>25</v>
      </c>
      <c r="W1202" s="736"/>
      <c r="X1202" s="737"/>
      <c r="Y1202" s="738"/>
      <c r="Z1202" s="739"/>
      <c r="AA1202" s="739"/>
      <c r="AB1202" s="740">
        <v>25</v>
      </c>
      <c r="AC1202" s="741" t="str">
        <f>'DICTIONARY-5'!$A$11&amp;" 14"</f>
        <v>EN 558 szereg 14</v>
      </c>
      <c r="AD1202" s="741" t="str">
        <f>'DICTIONARY-5'!$A$13&amp;", "&amp;'DICTIONARY-5'!$A$14</f>
        <v>woda pitna, ścieki</v>
      </c>
      <c r="AE1202" s="742">
        <v>50</v>
      </c>
      <c r="AF1202" s="743">
        <v>750</v>
      </c>
      <c r="AG1202" s="741" t="str">
        <f>'DICTIONARY-5'!$A$23</f>
        <v>powłoka epoksydowa</v>
      </c>
    </row>
    <row r="1203" spans="1:33" x14ac:dyDescent="0.25">
      <c r="A1203" s="861" t="s">
        <v>1208</v>
      </c>
      <c r="B1203" s="861" t="s">
        <v>4698</v>
      </c>
      <c r="C1203" s="836">
        <v>54356</v>
      </c>
      <c r="D1203" s="836"/>
      <c r="E1203" s="836"/>
      <c r="F1203" s="836"/>
      <c r="G1203" s="496" t="s">
        <v>7822</v>
      </c>
      <c r="H1203" s="797" t="str">
        <f>VLOOKUP(G1203,SETTINGS!$B$7:$D$97,2,0)</f>
        <v>SKR</v>
      </c>
      <c r="I1203" s="796">
        <f>VLOOKUP(G1203,SETTINGS!$B$7:$D$97,3,0)</f>
        <v>0</v>
      </c>
      <c r="J1203" s="670" t="str">
        <f>IFERROR(IF(CURRENCY.FORMAT_1=0,CONCATENATE(TEXT(FIXED(ROUND((C1203/EXC.RATE_1),CURRENCY.FORMAT_1),CURRENCY.FORMAT_1,1),"# ##0;-# ##0"),",-"),FIXED(ROUND((C1203/EXC.RATE_1),CURRENCY.FORMAT_1),CURRENCY.FORMAT_1,0)),'DICTIONARY-5'!$A$2)</f>
        <v>54 356,-</v>
      </c>
      <c r="K1203" s="670" t="str">
        <f>IF(EXC.RATE_2=0,"",IFERROR(IF(CURRENCY.FORMAT_2=0,CONCATENATE(TEXT(FIXED(ROUND(IF(EXC.RATE.SWITCH=1,C1203/EXC.RATE_2,C1203*EXC.RATE_2),CURRENCY.FORMAT_2),CURRENCY.FORMAT_2,1),"# ##0;-# ##0"),",-"),FIXED(ROUND(IF(EXC.RATE.SWITCH=1,C1203/EXC.RATE_2,C1203*EXC.RATE_2),CURRENCY.FORMAT_2),CURRENCY.FORMAT_2,0)),'DICTIONARY-5'!$A$2))</f>
        <v/>
      </c>
      <c r="L1203" s="670" t="str">
        <f>IFERROR(IF(CURRENCY.FORMAT_1=0,CONCATENATE(TEXT(FIXED(ROUND((C1203*(1-I1203)*(1-ADD.DISCOUNT)*(1+MAT.SURCHARGE)/EXC.RATE_1),CURRENCY.FORMAT_1),CURRENCY.FORMAT_1,1),"# ##0;-# ##0"),",-"),FIXED(ROUND((C1203*(1-I1203)*(1-ADD.DISCOUNT)*(1+MAT.SURCHARGE)/EXC.RATE_1),CURRENCY.FORMAT_1),CURRENCY.FORMAT_1,0)),'DICTIONARY-5'!$A$2)</f>
        <v>56 476,-</v>
      </c>
      <c r="M1203" s="670" t="str">
        <f>IF(EXC.RATE_2=0,"",IFERROR(IF(CURRENCY.FORMAT_2=0,CONCATENATE(TEXT(FIXED(ROUND(IF(EXC.RATE.SWITCH=1,C1203*(1-I1203)*(1-ADD.DISCOUNT)*(1+MAT.SURCHARGE)/EXC.RATE_2,C1203*(1-I1203)*(1-ADD.DISCOUNT)*(1+MAT.SURCHARGE)*EXC.RATE_2),CURRENCY.FORMAT_2),CURRENCY.FORMAT_2,1),"# ##0;-# ##0"),",-"),FIXED(ROUND(IF(EXC.RATE.SWITCH=1,C1203*(1-I1203)*(1-ADD.DISCOUNT)*(1+MAT.SURCHARGE)/EXC.RATE_2,C1203*(1-I1203)*(1-ADD.DISCOUNT)*(1+MAT.SURCHARGE)*EXC.RATE_2),CURRENCY.FORMAT_2),CURRENCY.FORMAT_2,0)),'DICTIONARY-5'!$A$2))</f>
        <v/>
      </c>
      <c r="N1203" s="539">
        <v>5</v>
      </c>
      <c r="O1203" s="539"/>
      <c r="P1203" s="731" t="str">
        <f>'DICTIONARY-3'!$A$97</f>
        <v>SKR</v>
      </c>
      <c r="Q1203" s="732" t="str">
        <f>'DICTIONARY-3'!$A$200</f>
        <v>Zawór zwrotny</v>
      </c>
      <c r="R1203" s="732" t="str">
        <f>CONCATENATE('DICTIONARY-3'!$A$97," ",'DICTIONARY-6'!$A$20," ",'DICTIONARY-2'!$A$2,"1000"," ",'DICTIONARY-2'!$A$3,"25"," ","R14"," ",'DICTIONARY-6'!$A$68)</f>
        <v>SKR Zaw. zwrotny DN1000 PN25 R14 spawane Ni-Cr siodło</v>
      </c>
      <c r="S1203" s="733" t="s">
        <v>5569</v>
      </c>
      <c r="T1203" s="732" t="s">
        <v>5569</v>
      </c>
      <c r="U1203" s="734" t="s">
        <v>5836</v>
      </c>
      <c r="V1203" s="735">
        <v>25</v>
      </c>
      <c r="W1203" s="736"/>
      <c r="X1203" s="737"/>
      <c r="Y1203" s="738"/>
      <c r="Z1203" s="739"/>
      <c r="AA1203" s="739"/>
      <c r="AB1203" s="740">
        <v>25</v>
      </c>
      <c r="AC1203" s="741" t="str">
        <f>'DICTIONARY-5'!$A$11&amp;" 14"</f>
        <v>EN 558 szereg 14</v>
      </c>
      <c r="AD1203" s="741" t="str">
        <f>'DICTIONARY-5'!$A$13&amp;", "&amp;'DICTIONARY-5'!$A$14</f>
        <v>woda pitna, ścieki</v>
      </c>
      <c r="AE1203" s="742">
        <v>50</v>
      </c>
      <c r="AF1203" s="743">
        <v>980</v>
      </c>
      <c r="AG1203" s="741" t="str">
        <f>'DICTIONARY-5'!$A$23</f>
        <v>powłoka epoksydowa</v>
      </c>
    </row>
    <row r="1204" spans="1:33" x14ac:dyDescent="0.25">
      <c r="A1204" s="861" t="s">
        <v>1209</v>
      </c>
      <c r="B1204" s="861" t="s">
        <v>4374</v>
      </c>
      <c r="C1204" s="836">
        <v>146</v>
      </c>
      <c r="D1204" s="836"/>
      <c r="E1204" s="836"/>
      <c r="F1204" s="836"/>
      <c r="G1204" s="496" t="s">
        <v>7823</v>
      </c>
      <c r="H1204" s="797" t="str">
        <f>VLOOKUP(G1204,SETTINGS!$B$7:$D$97,2,0)</f>
        <v>RETO-STOP</v>
      </c>
      <c r="I1204" s="796">
        <f>VLOOKUP(G1204,SETTINGS!$B$7:$D$97,3,0)</f>
        <v>0</v>
      </c>
      <c r="J1204" s="670" t="str">
        <f>IFERROR(IF(CURRENCY.FORMAT_1=0,CONCATENATE(TEXT(FIXED(ROUND((C1204/EXC.RATE_1),CURRENCY.FORMAT_1),CURRENCY.FORMAT_1,1),"# ##0;-# ##0"),",-"),FIXED(ROUND((C1204/EXC.RATE_1),CURRENCY.FORMAT_1),CURRENCY.FORMAT_1,0)),'DICTIONARY-5'!$A$2)</f>
        <v>146,-</v>
      </c>
      <c r="K1204" s="670" t="str">
        <f>IF(EXC.RATE_2=0,"",IFERROR(IF(CURRENCY.FORMAT_2=0,CONCATENATE(TEXT(FIXED(ROUND(IF(EXC.RATE.SWITCH=1,C1204/EXC.RATE_2,C1204*EXC.RATE_2),CURRENCY.FORMAT_2),CURRENCY.FORMAT_2,1),"# ##0;-# ##0"),",-"),FIXED(ROUND(IF(EXC.RATE.SWITCH=1,C1204/EXC.RATE_2,C1204*EXC.RATE_2),CURRENCY.FORMAT_2),CURRENCY.FORMAT_2,0)),'DICTIONARY-5'!$A$2))</f>
        <v/>
      </c>
      <c r="L1204" s="670" t="str">
        <f>IFERROR(IF(CURRENCY.FORMAT_1=0,CONCATENATE(TEXT(FIXED(ROUND((C1204*(1-I1204)*(1-ADD.DISCOUNT)*(1+MAT.SURCHARGE)/EXC.RATE_1),CURRENCY.FORMAT_1),CURRENCY.FORMAT_1,1),"# ##0;-# ##0"),",-"),FIXED(ROUND((C1204*(1-I1204)*(1-ADD.DISCOUNT)*(1+MAT.SURCHARGE)/EXC.RATE_1),CURRENCY.FORMAT_1),CURRENCY.FORMAT_1,0)),'DICTIONARY-5'!$A$2)</f>
        <v>152,-</v>
      </c>
      <c r="M1204" s="670" t="str">
        <f>IF(EXC.RATE_2=0,"",IFERROR(IF(CURRENCY.FORMAT_2=0,CONCATENATE(TEXT(FIXED(ROUND(IF(EXC.RATE.SWITCH=1,C1204*(1-I1204)*(1-ADD.DISCOUNT)*(1+MAT.SURCHARGE)/EXC.RATE_2,C1204*(1-I1204)*(1-ADD.DISCOUNT)*(1+MAT.SURCHARGE)*EXC.RATE_2),CURRENCY.FORMAT_2),CURRENCY.FORMAT_2,1),"# ##0;-# ##0"),",-"),FIXED(ROUND(IF(EXC.RATE.SWITCH=1,C1204*(1-I1204)*(1-ADD.DISCOUNT)*(1+MAT.SURCHARGE)/EXC.RATE_2,C1204*(1-I1204)*(1-ADD.DISCOUNT)*(1+MAT.SURCHARGE)*EXC.RATE_2),CURRENCY.FORMAT_2),CURRENCY.FORMAT_2,0)),'DICTIONARY-5'!$A$2))</f>
        <v/>
      </c>
      <c r="N1204" s="539">
        <v>5</v>
      </c>
      <c r="O1204" s="539"/>
      <c r="P1204" s="731" t="str">
        <f>'DICTIONARY-3'!$A$98</f>
        <v>RETO-STOP</v>
      </c>
      <c r="Q1204" s="732" t="str">
        <f>'DICTIONARY-3'!$A$200</f>
        <v>Zawór zwrotny</v>
      </c>
      <c r="R1204" s="732" t="str">
        <f>CONCATENATE('DICTIONARY-3'!$A$98," ",'DICTIONARY-6'!$A$20," ",'DICTIONARY-2'!$A$2,"40"," ",'DICTIONARY-2'!$A$3,"10/16"," ","R48",", ",'DICTIONARY-5'!$A$44)</f>
        <v>RETO-STOP Zaw. zwrotny DN40 PN10/16 R48, EPDM</v>
      </c>
      <c r="S1204" s="733"/>
      <c r="T1204" s="732"/>
      <c r="U1204" s="734" t="s">
        <v>5758</v>
      </c>
      <c r="V1204" s="735">
        <v>16</v>
      </c>
      <c r="W1204" s="736"/>
      <c r="X1204" s="737"/>
      <c r="Y1204" s="738"/>
      <c r="Z1204" s="739"/>
      <c r="AA1204" s="739"/>
      <c r="AB1204" s="740">
        <v>16</v>
      </c>
      <c r="AC1204" s="741" t="str">
        <f>'DICTIONARY-5'!$A$11&amp;" 48"</f>
        <v>EN 558 szereg 48</v>
      </c>
      <c r="AD1204" s="741" t="str">
        <f>'DICTIONARY-5'!$A$13&amp;", "&amp;'DICTIONARY-5'!$A$14</f>
        <v>woda pitna, ścieki</v>
      </c>
      <c r="AE1204" s="742">
        <v>80</v>
      </c>
      <c r="AF1204" s="743">
        <v>8.5</v>
      </c>
      <c r="AG1204" s="741" t="str">
        <f>'DICTIONARY-5'!$A$23</f>
        <v>powłoka epoksydowa</v>
      </c>
    </row>
    <row r="1205" spans="1:33" x14ac:dyDescent="0.25">
      <c r="A1205" s="861" t="s">
        <v>1210</v>
      </c>
      <c r="B1205" s="861" t="s">
        <v>4375</v>
      </c>
      <c r="C1205" s="836">
        <v>159</v>
      </c>
      <c r="D1205" s="836"/>
      <c r="E1205" s="836"/>
      <c r="F1205" s="836"/>
      <c r="G1205" s="496" t="s">
        <v>7823</v>
      </c>
      <c r="H1205" s="797" t="str">
        <f>VLOOKUP(G1205,SETTINGS!$B$7:$D$97,2,0)</f>
        <v>RETO-STOP</v>
      </c>
      <c r="I1205" s="796">
        <f>VLOOKUP(G1205,SETTINGS!$B$7:$D$97,3,0)</f>
        <v>0</v>
      </c>
      <c r="J1205" s="670" t="str">
        <f>IFERROR(IF(CURRENCY.FORMAT_1=0,CONCATENATE(TEXT(FIXED(ROUND((C1205/EXC.RATE_1),CURRENCY.FORMAT_1),CURRENCY.FORMAT_1,1),"# ##0;-# ##0"),",-"),FIXED(ROUND((C1205/EXC.RATE_1),CURRENCY.FORMAT_1),CURRENCY.FORMAT_1,0)),'DICTIONARY-5'!$A$2)</f>
        <v>159,-</v>
      </c>
      <c r="K1205" s="670" t="str">
        <f>IF(EXC.RATE_2=0,"",IFERROR(IF(CURRENCY.FORMAT_2=0,CONCATENATE(TEXT(FIXED(ROUND(IF(EXC.RATE.SWITCH=1,C1205/EXC.RATE_2,C1205*EXC.RATE_2),CURRENCY.FORMAT_2),CURRENCY.FORMAT_2,1),"# ##0;-# ##0"),",-"),FIXED(ROUND(IF(EXC.RATE.SWITCH=1,C1205/EXC.RATE_2,C1205*EXC.RATE_2),CURRENCY.FORMAT_2),CURRENCY.FORMAT_2,0)),'DICTIONARY-5'!$A$2))</f>
        <v/>
      </c>
      <c r="L1205" s="670" t="str">
        <f>IFERROR(IF(CURRENCY.FORMAT_1=0,CONCATENATE(TEXT(FIXED(ROUND((C1205*(1-I1205)*(1-ADD.DISCOUNT)*(1+MAT.SURCHARGE)/EXC.RATE_1),CURRENCY.FORMAT_1),CURRENCY.FORMAT_1,1),"# ##0;-# ##0"),",-"),FIXED(ROUND((C1205*(1-I1205)*(1-ADD.DISCOUNT)*(1+MAT.SURCHARGE)/EXC.RATE_1),CURRENCY.FORMAT_1),CURRENCY.FORMAT_1,0)),'DICTIONARY-5'!$A$2)</f>
        <v>165,-</v>
      </c>
      <c r="M1205" s="670" t="str">
        <f>IF(EXC.RATE_2=0,"",IFERROR(IF(CURRENCY.FORMAT_2=0,CONCATENATE(TEXT(FIXED(ROUND(IF(EXC.RATE.SWITCH=1,C1205*(1-I1205)*(1-ADD.DISCOUNT)*(1+MAT.SURCHARGE)/EXC.RATE_2,C1205*(1-I1205)*(1-ADD.DISCOUNT)*(1+MAT.SURCHARGE)*EXC.RATE_2),CURRENCY.FORMAT_2),CURRENCY.FORMAT_2,1),"# ##0;-# ##0"),",-"),FIXED(ROUND(IF(EXC.RATE.SWITCH=1,C1205*(1-I1205)*(1-ADD.DISCOUNT)*(1+MAT.SURCHARGE)/EXC.RATE_2,C1205*(1-I1205)*(1-ADD.DISCOUNT)*(1+MAT.SURCHARGE)*EXC.RATE_2),CURRENCY.FORMAT_2),CURRENCY.FORMAT_2,0)),'DICTIONARY-5'!$A$2))</f>
        <v/>
      </c>
      <c r="N1205" s="539">
        <v>5</v>
      </c>
      <c r="O1205" s="539"/>
      <c r="P1205" s="731" t="str">
        <f>'DICTIONARY-3'!$A$98</f>
        <v>RETO-STOP</v>
      </c>
      <c r="Q1205" s="732" t="str">
        <f>'DICTIONARY-3'!$A$200</f>
        <v>Zawór zwrotny</v>
      </c>
      <c r="R1205" s="732" t="str">
        <f>CONCATENATE('DICTIONARY-3'!$A$98," ",'DICTIONARY-6'!$A$20," ",'DICTIONARY-2'!$A$2,"50"," ",'DICTIONARY-2'!$A$3,"10/16"," ","R48",", ",'DICTIONARY-5'!$A$44)</f>
        <v>RETO-STOP Zaw. zwrotny DN50 PN10/16 R48, EPDM</v>
      </c>
      <c r="S1205" s="733"/>
      <c r="T1205" s="732"/>
      <c r="U1205" s="734" t="s">
        <v>5748</v>
      </c>
      <c r="V1205" s="735">
        <v>16</v>
      </c>
      <c r="W1205" s="736"/>
      <c r="X1205" s="737"/>
      <c r="Y1205" s="738"/>
      <c r="Z1205" s="739"/>
      <c r="AA1205" s="739"/>
      <c r="AB1205" s="740">
        <v>16</v>
      </c>
      <c r="AC1205" s="741" t="str">
        <f>'DICTIONARY-5'!$A$11&amp;" 48"</f>
        <v>EN 558 szereg 48</v>
      </c>
      <c r="AD1205" s="741" t="str">
        <f>'DICTIONARY-5'!$A$13&amp;", "&amp;'DICTIONARY-5'!$A$14</f>
        <v>woda pitna, ścieki</v>
      </c>
      <c r="AE1205" s="742">
        <v>80</v>
      </c>
      <c r="AF1205" s="743">
        <v>10</v>
      </c>
      <c r="AG1205" s="741" t="str">
        <f>'DICTIONARY-5'!$A$23</f>
        <v>powłoka epoksydowa</v>
      </c>
    </row>
    <row r="1206" spans="1:33" x14ac:dyDescent="0.25">
      <c r="A1206" s="861" t="s">
        <v>1211</v>
      </c>
      <c r="B1206" s="861" t="s">
        <v>4376</v>
      </c>
      <c r="C1206" s="836">
        <v>186</v>
      </c>
      <c r="D1206" s="836"/>
      <c r="E1206" s="836"/>
      <c r="F1206" s="836"/>
      <c r="G1206" s="496" t="s">
        <v>7823</v>
      </c>
      <c r="H1206" s="797" t="str">
        <f>VLOOKUP(G1206,SETTINGS!$B$7:$D$97,2,0)</f>
        <v>RETO-STOP</v>
      </c>
      <c r="I1206" s="796">
        <f>VLOOKUP(G1206,SETTINGS!$B$7:$D$97,3,0)</f>
        <v>0</v>
      </c>
      <c r="J1206" s="670" t="str">
        <f>IFERROR(IF(CURRENCY.FORMAT_1=0,CONCATENATE(TEXT(FIXED(ROUND((C1206/EXC.RATE_1),CURRENCY.FORMAT_1),CURRENCY.FORMAT_1,1),"# ##0;-# ##0"),",-"),FIXED(ROUND((C1206/EXC.RATE_1),CURRENCY.FORMAT_1),CURRENCY.FORMAT_1,0)),'DICTIONARY-5'!$A$2)</f>
        <v>186,-</v>
      </c>
      <c r="K1206" s="670" t="str">
        <f>IF(EXC.RATE_2=0,"",IFERROR(IF(CURRENCY.FORMAT_2=0,CONCATENATE(TEXT(FIXED(ROUND(IF(EXC.RATE.SWITCH=1,C1206/EXC.RATE_2,C1206*EXC.RATE_2),CURRENCY.FORMAT_2),CURRENCY.FORMAT_2,1),"# ##0;-# ##0"),",-"),FIXED(ROUND(IF(EXC.RATE.SWITCH=1,C1206/EXC.RATE_2,C1206*EXC.RATE_2),CURRENCY.FORMAT_2),CURRENCY.FORMAT_2,0)),'DICTIONARY-5'!$A$2))</f>
        <v/>
      </c>
      <c r="L1206" s="670" t="str">
        <f>IFERROR(IF(CURRENCY.FORMAT_1=0,CONCATENATE(TEXT(FIXED(ROUND((C1206*(1-I1206)*(1-ADD.DISCOUNT)*(1+MAT.SURCHARGE)/EXC.RATE_1),CURRENCY.FORMAT_1),CURRENCY.FORMAT_1,1),"# ##0;-# ##0"),",-"),FIXED(ROUND((C1206*(1-I1206)*(1-ADD.DISCOUNT)*(1+MAT.SURCHARGE)/EXC.RATE_1),CURRENCY.FORMAT_1),CURRENCY.FORMAT_1,0)),'DICTIONARY-5'!$A$2)</f>
        <v>193,-</v>
      </c>
      <c r="M1206" s="670" t="str">
        <f>IF(EXC.RATE_2=0,"",IFERROR(IF(CURRENCY.FORMAT_2=0,CONCATENATE(TEXT(FIXED(ROUND(IF(EXC.RATE.SWITCH=1,C1206*(1-I1206)*(1-ADD.DISCOUNT)*(1+MAT.SURCHARGE)/EXC.RATE_2,C1206*(1-I1206)*(1-ADD.DISCOUNT)*(1+MAT.SURCHARGE)*EXC.RATE_2),CURRENCY.FORMAT_2),CURRENCY.FORMAT_2,1),"# ##0;-# ##0"),",-"),FIXED(ROUND(IF(EXC.RATE.SWITCH=1,C1206*(1-I1206)*(1-ADD.DISCOUNT)*(1+MAT.SURCHARGE)/EXC.RATE_2,C1206*(1-I1206)*(1-ADD.DISCOUNT)*(1+MAT.SURCHARGE)*EXC.RATE_2),CURRENCY.FORMAT_2),CURRENCY.FORMAT_2,0)),'DICTIONARY-5'!$A$2))</f>
        <v/>
      </c>
      <c r="N1206" s="539">
        <v>5</v>
      </c>
      <c r="O1206" s="539"/>
      <c r="P1206" s="731" t="str">
        <f>'DICTIONARY-3'!$A$98</f>
        <v>RETO-STOP</v>
      </c>
      <c r="Q1206" s="732" t="str">
        <f>'DICTIONARY-3'!$A$200</f>
        <v>Zawór zwrotny</v>
      </c>
      <c r="R1206" s="732" t="str">
        <f>CONCATENATE('DICTIONARY-3'!$A$98," ",'DICTIONARY-6'!$A$20," ",'DICTIONARY-2'!$A$2,"65"," ",'DICTIONARY-2'!$A$3,"10/16"," ","R48",", ",'DICTIONARY-5'!$A$44)</f>
        <v>RETO-STOP Zaw. zwrotny DN65 PN10/16 R48, EPDM</v>
      </c>
      <c r="S1206" s="733"/>
      <c r="T1206" s="732"/>
      <c r="U1206" s="734" t="s">
        <v>5759</v>
      </c>
      <c r="V1206" s="735">
        <v>16</v>
      </c>
      <c r="W1206" s="736"/>
      <c r="X1206" s="737"/>
      <c r="Y1206" s="738"/>
      <c r="Z1206" s="739"/>
      <c r="AA1206" s="739"/>
      <c r="AB1206" s="740">
        <v>16</v>
      </c>
      <c r="AC1206" s="741" t="str">
        <f>'DICTIONARY-5'!$A$11&amp;" 48"</f>
        <v>EN 558 szereg 48</v>
      </c>
      <c r="AD1206" s="741" t="str">
        <f>'DICTIONARY-5'!$A$13&amp;", "&amp;'DICTIONARY-5'!$A$14</f>
        <v>woda pitna, ścieki</v>
      </c>
      <c r="AE1206" s="742">
        <v>80</v>
      </c>
      <c r="AF1206" s="743">
        <v>14.5</v>
      </c>
      <c r="AG1206" s="741" t="str">
        <f>'DICTIONARY-5'!$A$23</f>
        <v>powłoka epoksydowa</v>
      </c>
    </row>
    <row r="1207" spans="1:33" x14ac:dyDescent="0.25">
      <c r="A1207" s="861" t="s">
        <v>1212</v>
      </c>
      <c r="B1207" s="861" t="s">
        <v>4377</v>
      </c>
      <c r="C1207" s="836">
        <v>211</v>
      </c>
      <c r="D1207" s="836"/>
      <c r="E1207" s="836"/>
      <c r="F1207" s="836"/>
      <c r="G1207" s="496" t="s">
        <v>7823</v>
      </c>
      <c r="H1207" s="797" t="str">
        <f>VLOOKUP(G1207,SETTINGS!$B$7:$D$97,2,0)</f>
        <v>RETO-STOP</v>
      </c>
      <c r="I1207" s="796">
        <f>VLOOKUP(G1207,SETTINGS!$B$7:$D$97,3,0)</f>
        <v>0</v>
      </c>
      <c r="J1207" s="670" t="str">
        <f>IFERROR(IF(CURRENCY.FORMAT_1=0,CONCATENATE(TEXT(FIXED(ROUND((C1207/EXC.RATE_1),CURRENCY.FORMAT_1),CURRENCY.FORMAT_1,1),"# ##0;-# ##0"),",-"),FIXED(ROUND((C1207/EXC.RATE_1),CURRENCY.FORMAT_1),CURRENCY.FORMAT_1,0)),'DICTIONARY-5'!$A$2)</f>
        <v>211,-</v>
      </c>
      <c r="K1207" s="670" t="str">
        <f>IF(EXC.RATE_2=0,"",IFERROR(IF(CURRENCY.FORMAT_2=0,CONCATENATE(TEXT(FIXED(ROUND(IF(EXC.RATE.SWITCH=1,C1207/EXC.RATE_2,C1207*EXC.RATE_2),CURRENCY.FORMAT_2),CURRENCY.FORMAT_2,1),"# ##0;-# ##0"),",-"),FIXED(ROUND(IF(EXC.RATE.SWITCH=1,C1207/EXC.RATE_2,C1207*EXC.RATE_2),CURRENCY.FORMAT_2),CURRENCY.FORMAT_2,0)),'DICTIONARY-5'!$A$2))</f>
        <v/>
      </c>
      <c r="L1207" s="670" t="str">
        <f>IFERROR(IF(CURRENCY.FORMAT_1=0,CONCATENATE(TEXT(FIXED(ROUND((C1207*(1-I1207)*(1-ADD.DISCOUNT)*(1+MAT.SURCHARGE)/EXC.RATE_1),CURRENCY.FORMAT_1),CURRENCY.FORMAT_1,1),"# ##0;-# ##0"),",-"),FIXED(ROUND((C1207*(1-I1207)*(1-ADD.DISCOUNT)*(1+MAT.SURCHARGE)/EXC.RATE_1),CURRENCY.FORMAT_1),CURRENCY.FORMAT_1,0)),'DICTIONARY-5'!$A$2)</f>
        <v>219,-</v>
      </c>
      <c r="M1207" s="670" t="str">
        <f>IF(EXC.RATE_2=0,"",IFERROR(IF(CURRENCY.FORMAT_2=0,CONCATENATE(TEXT(FIXED(ROUND(IF(EXC.RATE.SWITCH=1,C1207*(1-I1207)*(1-ADD.DISCOUNT)*(1+MAT.SURCHARGE)/EXC.RATE_2,C1207*(1-I1207)*(1-ADD.DISCOUNT)*(1+MAT.SURCHARGE)*EXC.RATE_2),CURRENCY.FORMAT_2),CURRENCY.FORMAT_2,1),"# ##0;-# ##0"),",-"),FIXED(ROUND(IF(EXC.RATE.SWITCH=1,C1207*(1-I1207)*(1-ADD.DISCOUNT)*(1+MAT.SURCHARGE)/EXC.RATE_2,C1207*(1-I1207)*(1-ADD.DISCOUNT)*(1+MAT.SURCHARGE)*EXC.RATE_2),CURRENCY.FORMAT_2),CURRENCY.FORMAT_2,0)),'DICTIONARY-5'!$A$2))</f>
        <v/>
      </c>
      <c r="N1207" s="539">
        <v>5</v>
      </c>
      <c r="O1207" s="539"/>
      <c r="P1207" s="731" t="str">
        <f>'DICTIONARY-3'!$A$98</f>
        <v>RETO-STOP</v>
      </c>
      <c r="Q1207" s="732" t="str">
        <f>'DICTIONARY-3'!$A$200</f>
        <v>Zawór zwrotny</v>
      </c>
      <c r="R1207" s="732" t="str">
        <f>CONCATENATE('DICTIONARY-3'!$A$98," ",'DICTIONARY-6'!$A$20," ",'DICTIONARY-2'!$A$2,"80"," ",'DICTIONARY-2'!$A$3,"10/16"," ","R48",", ",'DICTIONARY-5'!$A$44)</f>
        <v>RETO-STOP Zaw. zwrotny DN80 PN10/16 R48, EPDM</v>
      </c>
      <c r="S1207" s="733"/>
      <c r="T1207" s="732"/>
      <c r="U1207" s="734" t="s">
        <v>5760</v>
      </c>
      <c r="V1207" s="735">
        <v>16</v>
      </c>
      <c r="W1207" s="736"/>
      <c r="X1207" s="737"/>
      <c r="Y1207" s="738"/>
      <c r="Z1207" s="739"/>
      <c r="AA1207" s="739"/>
      <c r="AB1207" s="740">
        <v>16</v>
      </c>
      <c r="AC1207" s="741" t="str">
        <f>'DICTIONARY-5'!$A$11&amp;" 48"</f>
        <v>EN 558 szereg 48</v>
      </c>
      <c r="AD1207" s="741" t="str">
        <f>'DICTIONARY-5'!$A$13&amp;", "&amp;'DICTIONARY-5'!$A$14</f>
        <v>woda pitna, ścieki</v>
      </c>
      <c r="AE1207" s="742">
        <v>80</v>
      </c>
      <c r="AF1207" s="743">
        <v>16</v>
      </c>
      <c r="AG1207" s="741" t="str">
        <f>'DICTIONARY-5'!$A$23</f>
        <v>powłoka epoksydowa</v>
      </c>
    </row>
    <row r="1208" spans="1:33" x14ac:dyDescent="0.25">
      <c r="A1208" s="861" t="s">
        <v>1213</v>
      </c>
      <c r="B1208" s="861" t="s">
        <v>4378</v>
      </c>
      <c r="C1208" s="836">
        <v>259</v>
      </c>
      <c r="D1208" s="836"/>
      <c r="E1208" s="836"/>
      <c r="F1208" s="836"/>
      <c r="G1208" s="496" t="s">
        <v>7823</v>
      </c>
      <c r="H1208" s="797" t="str">
        <f>VLOOKUP(G1208,SETTINGS!$B$7:$D$97,2,0)</f>
        <v>RETO-STOP</v>
      </c>
      <c r="I1208" s="796">
        <f>VLOOKUP(G1208,SETTINGS!$B$7:$D$97,3,0)</f>
        <v>0</v>
      </c>
      <c r="J1208" s="670" t="str">
        <f>IFERROR(IF(CURRENCY.FORMAT_1=0,CONCATENATE(TEXT(FIXED(ROUND((C1208/EXC.RATE_1),CURRENCY.FORMAT_1),CURRENCY.FORMAT_1,1),"# ##0;-# ##0"),",-"),FIXED(ROUND((C1208/EXC.RATE_1),CURRENCY.FORMAT_1),CURRENCY.FORMAT_1,0)),'DICTIONARY-5'!$A$2)</f>
        <v>259,-</v>
      </c>
      <c r="K1208" s="670" t="str">
        <f>IF(EXC.RATE_2=0,"",IFERROR(IF(CURRENCY.FORMAT_2=0,CONCATENATE(TEXT(FIXED(ROUND(IF(EXC.RATE.SWITCH=1,C1208/EXC.RATE_2,C1208*EXC.RATE_2),CURRENCY.FORMAT_2),CURRENCY.FORMAT_2,1),"# ##0;-# ##0"),",-"),FIXED(ROUND(IF(EXC.RATE.SWITCH=1,C1208/EXC.RATE_2,C1208*EXC.RATE_2),CURRENCY.FORMAT_2),CURRENCY.FORMAT_2,0)),'DICTIONARY-5'!$A$2))</f>
        <v/>
      </c>
      <c r="L1208" s="670" t="str">
        <f>IFERROR(IF(CURRENCY.FORMAT_1=0,CONCATENATE(TEXT(FIXED(ROUND((C1208*(1-I1208)*(1-ADD.DISCOUNT)*(1+MAT.SURCHARGE)/EXC.RATE_1),CURRENCY.FORMAT_1),CURRENCY.FORMAT_1,1),"# ##0;-# ##0"),",-"),FIXED(ROUND((C1208*(1-I1208)*(1-ADD.DISCOUNT)*(1+MAT.SURCHARGE)/EXC.RATE_1),CURRENCY.FORMAT_1),CURRENCY.FORMAT_1,0)),'DICTIONARY-5'!$A$2)</f>
        <v>269,-</v>
      </c>
      <c r="M1208" s="670" t="str">
        <f>IF(EXC.RATE_2=0,"",IFERROR(IF(CURRENCY.FORMAT_2=0,CONCATENATE(TEXT(FIXED(ROUND(IF(EXC.RATE.SWITCH=1,C1208*(1-I1208)*(1-ADD.DISCOUNT)*(1+MAT.SURCHARGE)/EXC.RATE_2,C1208*(1-I1208)*(1-ADD.DISCOUNT)*(1+MAT.SURCHARGE)*EXC.RATE_2),CURRENCY.FORMAT_2),CURRENCY.FORMAT_2,1),"# ##0;-# ##0"),",-"),FIXED(ROUND(IF(EXC.RATE.SWITCH=1,C1208*(1-I1208)*(1-ADD.DISCOUNT)*(1+MAT.SURCHARGE)/EXC.RATE_2,C1208*(1-I1208)*(1-ADD.DISCOUNT)*(1+MAT.SURCHARGE)*EXC.RATE_2),CURRENCY.FORMAT_2),CURRENCY.FORMAT_2,0)),'DICTIONARY-5'!$A$2))</f>
        <v/>
      </c>
      <c r="N1208" s="539">
        <v>5</v>
      </c>
      <c r="O1208" s="539"/>
      <c r="P1208" s="731" t="str">
        <f>'DICTIONARY-3'!$A$98</f>
        <v>RETO-STOP</v>
      </c>
      <c r="Q1208" s="732" t="str">
        <f>'DICTIONARY-3'!$A$200</f>
        <v>Zawór zwrotny</v>
      </c>
      <c r="R1208" s="732" t="str">
        <f>CONCATENATE('DICTIONARY-3'!$A$98," ",'DICTIONARY-6'!$A$20," ",'DICTIONARY-2'!$A$2,"100"," ",'DICTIONARY-2'!$A$3,"10/16"," ","R48",", ",'DICTIONARY-5'!$A$44)</f>
        <v>RETO-STOP Zaw. zwrotny DN100 PN10/16 R48, EPDM</v>
      </c>
      <c r="S1208" s="733"/>
      <c r="T1208" s="732"/>
      <c r="U1208" s="734" t="s">
        <v>5749</v>
      </c>
      <c r="V1208" s="735">
        <v>16</v>
      </c>
      <c r="W1208" s="736"/>
      <c r="X1208" s="737"/>
      <c r="Y1208" s="738"/>
      <c r="Z1208" s="739"/>
      <c r="AA1208" s="739"/>
      <c r="AB1208" s="740">
        <v>16</v>
      </c>
      <c r="AC1208" s="741" t="str">
        <f>'DICTIONARY-5'!$A$11&amp;" 48"</f>
        <v>EN 558 szereg 48</v>
      </c>
      <c r="AD1208" s="741" t="str">
        <f>'DICTIONARY-5'!$A$13&amp;", "&amp;'DICTIONARY-5'!$A$14</f>
        <v>woda pitna, ścieki</v>
      </c>
      <c r="AE1208" s="742">
        <v>80</v>
      </c>
      <c r="AF1208" s="743">
        <v>21</v>
      </c>
      <c r="AG1208" s="741" t="str">
        <f>'DICTIONARY-5'!$A$23</f>
        <v>powłoka epoksydowa</v>
      </c>
    </row>
    <row r="1209" spans="1:33" x14ac:dyDescent="0.25">
      <c r="A1209" s="861" t="s">
        <v>1214</v>
      </c>
      <c r="B1209" s="861" t="s">
        <v>4379</v>
      </c>
      <c r="C1209" s="836">
        <v>333</v>
      </c>
      <c r="D1209" s="836"/>
      <c r="E1209" s="836"/>
      <c r="F1209" s="836"/>
      <c r="G1209" s="496" t="s">
        <v>7823</v>
      </c>
      <c r="H1209" s="797" t="str">
        <f>VLOOKUP(G1209,SETTINGS!$B$7:$D$97,2,0)</f>
        <v>RETO-STOP</v>
      </c>
      <c r="I1209" s="796">
        <f>VLOOKUP(G1209,SETTINGS!$B$7:$D$97,3,0)</f>
        <v>0</v>
      </c>
      <c r="J1209" s="670" t="str">
        <f>IFERROR(IF(CURRENCY.FORMAT_1=0,CONCATENATE(TEXT(FIXED(ROUND((C1209/EXC.RATE_1),CURRENCY.FORMAT_1),CURRENCY.FORMAT_1,1),"# ##0;-# ##0"),",-"),FIXED(ROUND((C1209/EXC.RATE_1),CURRENCY.FORMAT_1),CURRENCY.FORMAT_1,0)),'DICTIONARY-5'!$A$2)</f>
        <v>333,-</v>
      </c>
      <c r="K1209" s="670" t="str">
        <f>IF(EXC.RATE_2=0,"",IFERROR(IF(CURRENCY.FORMAT_2=0,CONCATENATE(TEXT(FIXED(ROUND(IF(EXC.RATE.SWITCH=1,C1209/EXC.RATE_2,C1209*EXC.RATE_2),CURRENCY.FORMAT_2),CURRENCY.FORMAT_2,1),"# ##0;-# ##0"),",-"),FIXED(ROUND(IF(EXC.RATE.SWITCH=1,C1209/EXC.RATE_2,C1209*EXC.RATE_2),CURRENCY.FORMAT_2),CURRENCY.FORMAT_2,0)),'DICTIONARY-5'!$A$2))</f>
        <v/>
      </c>
      <c r="L1209" s="670" t="str">
        <f>IFERROR(IF(CURRENCY.FORMAT_1=0,CONCATENATE(TEXT(FIXED(ROUND((C1209*(1-I1209)*(1-ADD.DISCOUNT)*(1+MAT.SURCHARGE)/EXC.RATE_1),CURRENCY.FORMAT_1),CURRENCY.FORMAT_1,1),"# ##0;-# ##0"),",-"),FIXED(ROUND((C1209*(1-I1209)*(1-ADD.DISCOUNT)*(1+MAT.SURCHARGE)/EXC.RATE_1),CURRENCY.FORMAT_1),CURRENCY.FORMAT_1,0)),'DICTIONARY-5'!$A$2)</f>
        <v>346,-</v>
      </c>
      <c r="M1209" s="670" t="str">
        <f>IF(EXC.RATE_2=0,"",IFERROR(IF(CURRENCY.FORMAT_2=0,CONCATENATE(TEXT(FIXED(ROUND(IF(EXC.RATE.SWITCH=1,C1209*(1-I1209)*(1-ADD.DISCOUNT)*(1+MAT.SURCHARGE)/EXC.RATE_2,C1209*(1-I1209)*(1-ADD.DISCOUNT)*(1+MAT.SURCHARGE)*EXC.RATE_2),CURRENCY.FORMAT_2),CURRENCY.FORMAT_2,1),"# ##0;-# ##0"),",-"),FIXED(ROUND(IF(EXC.RATE.SWITCH=1,C1209*(1-I1209)*(1-ADD.DISCOUNT)*(1+MAT.SURCHARGE)/EXC.RATE_2,C1209*(1-I1209)*(1-ADD.DISCOUNT)*(1+MAT.SURCHARGE)*EXC.RATE_2),CURRENCY.FORMAT_2),CURRENCY.FORMAT_2,0)),'DICTIONARY-5'!$A$2))</f>
        <v/>
      </c>
      <c r="N1209" s="539">
        <v>5</v>
      </c>
      <c r="O1209" s="539"/>
      <c r="P1209" s="731" t="str">
        <f>'DICTIONARY-3'!$A$98</f>
        <v>RETO-STOP</v>
      </c>
      <c r="Q1209" s="732" t="str">
        <f>'DICTIONARY-3'!$A$200</f>
        <v>Zawór zwrotny</v>
      </c>
      <c r="R1209" s="732" t="str">
        <f>CONCATENATE('DICTIONARY-3'!$A$98," ",'DICTIONARY-6'!$A$20," ",'DICTIONARY-2'!$A$2,"125"," ",'DICTIONARY-2'!$A$3,"10/16"," ","R48",", ",'DICTIONARY-5'!$A$44)</f>
        <v>RETO-STOP Zaw. zwrotny DN125 PN10/16 R48, EPDM</v>
      </c>
      <c r="S1209" s="733"/>
      <c r="T1209" s="732"/>
      <c r="U1209" s="734" t="s">
        <v>5761</v>
      </c>
      <c r="V1209" s="735">
        <v>16</v>
      </c>
      <c r="W1209" s="736"/>
      <c r="X1209" s="737"/>
      <c r="Y1209" s="738"/>
      <c r="Z1209" s="739"/>
      <c r="AA1209" s="739"/>
      <c r="AB1209" s="740">
        <v>16</v>
      </c>
      <c r="AC1209" s="741" t="str">
        <f>'DICTIONARY-5'!$A$11&amp;" 48"</f>
        <v>EN 558 szereg 48</v>
      </c>
      <c r="AD1209" s="741" t="str">
        <f>'DICTIONARY-5'!$A$13&amp;", "&amp;'DICTIONARY-5'!$A$14</f>
        <v>woda pitna, ścieki</v>
      </c>
      <c r="AE1209" s="742">
        <v>80</v>
      </c>
      <c r="AF1209" s="743">
        <v>34.5</v>
      </c>
      <c r="AG1209" s="741" t="str">
        <f>'DICTIONARY-5'!$A$23</f>
        <v>powłoka epoksydowa</v>
      </c>
    </row>
    <row r="1210" spans="1:33" x14ac:dyDescent="0.25">
      <c r="A1210" s="861" t="s">
        <v>1215</v>
      </c>
      <c r="B1210" s="861" t="s">
        <v>4380</v>
      </c>
      <c r="C1210" s="836">
        <v>440</v>
      </c>
      <c r="D1210" s="836"/>
      <c r="E1210" s="836"/>
      <c r="F1210" s="836"/>
      <c r="G1210" s="496" t="s">
        <v>7823</v>
      </c>
      <c r="H1210" s="797" t="str">
        <f>VLOOKUP(G1210,SETTINGS!$B$7:$D$97,2,0)</f>
        <v>RETO-STOP</v>
      </c>
      <c r="I1210" s="796">
        <f>VLOOKUP(G1210,SETTINGS!$B$7:$D$97,3,0)</f>
        <v>0</v>
      </c>
      <c r="J1210" s="670" t="str">
        <f>IFERROR(IF(CURRENCY.FORMAT_1=0,CONCATENATE(TEXT(FIXED(ROUND((C1210/EXC.RATE_1),CURRENCY.FORMAT_1),CURRENCY.FORMAT_1,1),"# ##0;-# ##0"),",-"),FIXED(ROUND((C1210/EXC.RATE_1),CURRENCY.FORMAT_1),CURRENCY.FORMAT_1,0)),'DICTIONARY-5'!$A$2)</f>
        <v>440,-</v>
      </c>
      <c r="K1210" s="670" t="str">
        <f>IF(EXC.RATE_2=0,"",IFERROR(IF(CURRENCY.FORMAT_2=0,CONCATENATE(TEXT(FIXED(ROUND(IF(EXC.RATE.SWITCH=1,C1210/EXC.RATE_2,C1210*EXC.RATE_2),CURRENCY.FORMAT_2),CURRENCY.FORMAT_2,1),"# ##0;-# ##0"),",-"),FIXED(ROUND(IF(EXC.RATE.SWITCH=1,C1210/EXC.RATE_2,C1210*EXC.RATE_2),CURRENCY.FORMAT_2),CURRENCY.FORMAT_2,0)),'DICTIONARY-5'!$A$2))</f>
        <v/>
      </c>
      <c r="L1210" s="670" t="str">
        <f>IFERROR(IF(CURRENCY.FORMAT_1=0,CONCATENATE(TEXT(FIXED(ROUND((C1210*(1-I1210)*(1-ADD.DISCOUNT)*(1+MAT.SURCHARGE)/EXC.RATE_1),CURRENCY.FORMAT_1),CURRENCY.FORMAT_1,1),"# ##0;-# ##0"),",-"),FIXED(ROUND((C1210*(1-I1210)*(1-ADD.DISCOUNT)*(1+MAT.SURCHARGE)/EXC.RATE_1),CURRENCY.FORMAT_1),CURRENCY.FORMAT_1,0)),'DICTIONARY-5'!$A$2)</f>
        <v>457,-</v>
      </c>
      <c r="M1210" s="670" t="str">
        <f>IF(EXC.RATE_2=0,"",IFERROR(IF(CURRENCY.FORMAT_2=0,CONCATENATE(TEXT(FIXED(ROUND(IF(EXC.RATE.SWITCH=1,C1210*(1-I1210)*(1-ADD.DISCOUNT)*(1+MAT.SURCHARGE)/EXC.RATE_2,C1210*(1-I1210)*(1-ADD.DISCOUNT)*(1+MAT.SURCHARGE)*EXC.RATE_2),CURRENCY.FORMAT_2),CURRENCY.FORMAT_2,1),"# ##0;-# ##0"),",-"),FIXED(ROUND(IF(EXC.RATE.SWITCH=1,C1210*(1-I1210)*(1-ADD.DISCOUNT)*(1+MAT.SURCHARGE)/EXC.RATE_2,C1210*(1-I1210)*(1-ADD.DISCOUNT)*(1+MAT.SURCHARGE)*EXC.RATE_2),CURRENCY.FORMAT_2),CURRENCY.FORMAT_2,0)),'DICTIONARY-5'!$A$2))</f>
        <v/>
      </c>
      <c r="N1210" s="539">
        <v>5</v>
      </c>
      <c r="O1210" s="539"/>
      <c r="P1210" s="731" t="str">
        <f>'DICTIONARY-3'!$A$98</f>
        <v>RETO-STOP</v>
      </c>
      <c r="Q1210" s="732" t="str">
        <f>'DICTIONARY-3'!$A$200</f>
        <v>Zawór zwrotny</v>
      </c>
      <c r="R1210" s="732" t="str">
        <f>CONCATENATE('DICTIONARY-3'!$A$98," ",'DICTIONARY-6'!$A$20," ",'DICTIONARY-2'!$A$2,"150"," ",'DICTIONARY-2'!$A$3,"10/16"," ","R48",", ",'DICTIONARY-5'!$A$44)</f>
        <v>RETO-STOP Zaw. zwrotny DN150 PN10/16 R48, EPDM</v>
      </c>
      <c r="S1210" s="733"/>
      <c r="T1210" s="732"/>
      <c r="U1210" s="734" t="s">
        <v>5572</v>
      </c>
      <c r="V1210" s="735">
        <v>16</v>
      </c>
      <c r="W1210" s="736"/>
      <c r="X1210" s="737"/>
      <c r="Y1210" s="738"/>
      <c r="Z1210" s="739"/>
      <c r="AA1210" s="739"/>
      <c r="AB1210" s="740">
        <v>16</v>
      </c>
      <c r="AC1210" s="741" t="str">
        <f>'DICTIONARY-5'!$A$11&amp;" 48"</f>
        <v>EN 558 szereg 48</v>
      </c>
      <c r="AD1210" s="741" t="str">
        <f>'DICTIONARY-5'!$A$13&amp;", "&amp;'DICTIONARY-5'!$A$14</f>
        <v>woda pitna, ścieki</v>
      </c>
      <c r="AE1210" s="742">
        <v>80</v>
      </c>
      <c r="AF1210" s="743">
        <v>45</v>
      </c>
      <c r="AG1210" s="741" t="str">
        <f>'DICTIONARY-5'!$A$23</f>
        <v>powłoka epoksydowa</v>
      </c>
    </row>
    <row r="1211" spans="1:33" x14ac:dyDescent="0.25">
      <c r="A1211" s="861" t="s">
        <v>1216</v>
      </c>
      <c r="B1211" s="861" t="s">
        <v>4384</v>
      </c>
      <c r="C1211" s="836">
        <v>688</v>
      </c>
      <c r="D1211" s="836"/>
      <c r="E1211" s="836"/>
      <c r="F1211" s="836"/>
      <c r="G1211" s="496" t="s">
        <v>7823</v>
      </c>
      <c r="H1211" s="797" t="str">
        <f>VLOOKUP(G1211,SETTINGS!$B$7:$D$97,2,0)</f>
        <v>RETO-STOP</v>
      </c>
      <c r="I1211" s="796">
        <f>VLOOKUP(G1211,SETTINGS!$B$7:$D$97,3,0)</f>
        <v>0</v>
      </c>
      <c r="J1211" s="670" t="str">
        <f>IFERROR(IF(CURRENCY.FORMAT_1=0,CONCATENATE(TEXT(FIXED(ROUND((C1211/EXC.RATE_1),CURRENCY.FORMAT_1),CURRENCY.FORMAT_1,1),"# ##0;-# ##0"),",-"),FIXED(ROUND((C1211/EXC.RATE_1),CURRENCY.FORMAT_1),CURRENCY.FORMAT_1,0)),'DICTIONARY-5'!$A$2)</f>
        <v>688,-</v>
      </c>
      <c r="K1211" s="670" t="str">
        <f>IF(EXC.RATE_2=0,"",IFERROR(IF(CURRENCY.FORMAT_2=0,CONCATENATE(TEXT(FIXED(ROUND(IF(EXC.RATE.SWITCH=1,C1211/EXC.RATE_2,C1211*EXC.RATE_2),CURRENCY.FORMAT_2),CURRENCY.FORMAT_2,1),"# ##0;-# ##0"),",-"),FIXED(ROUND(IF(EXC.RATE.SWITCH=1,C1211/EXC.RATE_2,C1211*EXC.RATE_2),CURRENCY.FORMAT_2),CURRENCY.FORMAT_2,0)),'DICTIONARY-5'!$A$2))</f>
        <v/>
      </c>
      <c r="L1211" s="670" t="str">
        <f>IFERROR(IF(CURRENCY.FORMAT_1=0,CONCATENATE(TEXT(FIXED(ROUND((C1211*(1-I1211)*(1-ADD.DISCOUNT)*(1+MAT.SURCHARGE)/EXC.RATE_1),CURRENCY.FORMAT_1),CURRENCY.FORMAT_1,1),"# ##0;-# ##0"),",-"),FIXED(ROUND((C1211*(1-I1211)*(1-ADD.DISCOUNT)*(1+MAT.SURCHARGE)/EXC.RATE_1),CURRENCY.FORMAT_1),CURRENCY.FORMAT_1,0)),'DICTIONARY-5'!$A$2)</f>
        <v>715,-</v>
      </c>
      <c r="M1211" s="670" t="str">
        <f>IF(EXC.RATE_2=0,"",IFERROR(IF(CURRENCY.FORMAT_2=0,CONCATENATE(TEXT(FIXED(ROUND(IF(EXC.RATE.SWITCH=1,C1211*(1-I1211)*(1-ADD.DISCOUNT)*(1+MAT.SURCHARGE)/EXC.RATE_2,C1211*(1-I1211)*(1-ADD.DISCOUNT)*(1+MAT.SURCHARGE)*EXC.RATE_2),CURRENCY.FORMAT_2),CURRENCY.FORMAT_2,1),"# ##0;-# ##0"),",-"),FIXED(ROUND(IF(EXC.RATE.SWITCH=1,C1211*(1-I1211)*(1-ADD.DISCOUNT)*(1+MAT.SURCHARGE)/EXC.RATE_2,C1211*(1-I1211)*(1-ADD.DISCOUNT)*(1+MAT.SURCHARGE)*EXC.RATE_2),CURRENCY.FORMAT_2),CURRENCY.FORMAT_2,0)),'DICTIONARY-5'!$A$2))</f>
        <v/>
      </c>
      <c r="N1211" s="539">
        <v>5</v>
      </c>
      <c r="O1211" s="539"/>
      <c r="P1211" s="731" t="str">
        <f>'DICTIONARY-3'!$A$98</f>
        <v>RETO-STOP</v>
      </c>
      <c r="Q1211" s="732" t="str">
        <f>'DICTIONARY-3'!$A$200</f>
        <v>Zawór zwrotny</v>
      </c>
      <c r="R1211" s="732" t="str">
        <f>CONCATENATE('DICTIONARY-3'!$A$98," ",'DICTIONARY-6'!$A$20," ",'DICTIONARY-2'!$A$2,"200"," ",'DICTIONARY-2'!$A$3,"10"," ","R48",", ",'DICTIONARY-5'!$A$44)</f>
        <v>RETO-STOP Zaw. zwrotny DN200 PN10 R48, EPDM</v>
      </c>
      <c r="S1211" s="733"/>
      <c r="T1211" s="732"/>
      <c r="U1211" s="734" t="s">
        <v>5750</v>
      </c>
      <c r="V1211" s="735">
        <v>10</v>
      </c>
      <c r="W1211" s="736"/>
      <c r="X1211" s="737"/>
      <c r="Y1211" s="738"/>
      <c r="Z1211" s="739"/>
      <c r="AA1211" s="739"/>
      <c r="AB1211" s="740">
        <v>10</v>
      </c>
      <c r="AC1211" s="741" t="str">
        <f>'DICTIONARY-5'!$A$11&amp;" 48"</f>
        <v>EN 558 szereg 48</v>
      </c>
      <c r="AD1211" s="741" t="str">
        <f>'DICTIONARY-5'!$A$13&amp;", "&amp;'DICTIONARY-5'!$A$14</f>
        <v>woda pitna, ścieki</v>
      </c>
      <c r="AE1211" s="742">
        <v>80</v>
      </c>
      <c r="AF1211" s="743">
        <v>85</v>
      </c>
      <c r="AG1211" s="741" t="str">
        <f>'DICTIONARY-5'!$A$23</f>
        <v>powłoka epoksydowa</v>
      </c>
    </row>
    <row r="1212" spans="1:33" x14ac:dyDescent="0.25">
      <c r="A1212" s="861" t="s">
        <v>1217</v>
      </c>
      <c r="B1212" s="861" t="s">
        <v>4381</v>
      </c>
      <c r="C1212" s="836">
        <v>679</v>
      </c>
      <c r="D1212" s="836"/>
      <c r="E1212" s="836"/>
      <c r="F1212" s="836"/>
      <c r="G1212" s="496" t="s">
        <v>7823</v>
      </c>
      <c r="H1212" s="797" t="str">
        <f>VLOOKUP(G1212,SETTINGS!$B$7:$D$97,2,0)</f>
        <v>RETO-STOP</v>
      </c>
      <c r="I1212" s="796">
        <f>VLOOKUP(G1212,SETTINGS!$B$7:$D$97,3,0)</f>
        <v>0</v>
      </c>
      <c r="J1212" s="670" t="str">
        <f>IFERROR(IF(CURRENCY.FORMAT_1=0,CONCATENATE(TEXT(FIXED(ROUND((C1212/EXC.RATE_1),CURRENCY.FORMAT_1),CURRENCY.FORMAT_1,1),"# ##0;-# ##0"),",-"),FIXED(ROUND((C1212/EXC.RATE_1),CURRENCY.FORMAT_1),CURRENCY.FORMAT_1,0)),'DICTIONARY-5'!$A$2)</f>
        <v>679,-</v>
      </c>
      <c r="K1212" s="670" t="str">
        <f>IF(EXC.RATE_2=0,"",IFERROR(IF(CURRENCY.FORMAT_2=0,CONCATENATE(TEXT(FIXED(ROUND(IF(EXC.RATE.SWITCH=1,C1212/EXC.RATE_2,C1212*EXC.RATE_2),CURRENCY.FORMAT_2),CURRENCY.FORMAT_2,1),"# ##0;-# ##0"),",-"),FIXED(ROUND(IF(EXC.RATE.SWITCH=1,C1212/EXC.RATE_2,C1212*EXC.RATE_2),CURRENCY.FORMAT_2),CURRENCY.FORMAT_2,0)),'DICTIONARY-5'!$A$2))</f>
        <v/>
      </c>
      <c r="L1212" s="670" t="str">
        <f>IFERROR(IF(CURRENCY.FORMAT_1=0,CONCATENATE(TEXT(FIXED(ROUND((C1212*(1-I1212)*(1-ADD.DISCOUNT)*(1+MAT.SURCHARGE)/EXC.RATE_1),CURRENCY.FORMAT_1),CURRENCY.FORMAT_1,1),"# ##0;-# ##0"),",-"),FIXED(ROUND((C1212*(1-I1212)*(1-ADD.DISCOUNT)*(1+MAT.SURCHARGE)/EXC.RATE_1),CURRENCY.FORMAT_1),CURRENCY.FORMAT_1,0)),'DICTIONARY-5'!$A$2)</f>
        <v>705,-</v>
      </c>
      <c r="M1212" s="670" t="str">
        <f>IF(EXC.RATE_2=0,"",IFERROR(IF(CURRENCY.FORMAT_2=0,CONCATENATE(TEXT(FIXED(ROUND(IF(EXC.RATE.SWITCH=1,C1212*(1-I1212)*(1-ADD.DISCOUNT)*(1+MAT.SURCHARGE)/EXC.RATE_2,C1212*(1-I1212)*(1-ADD.DISCOUNT)*(1+MAT.SURCHARGE)*EXC.RATE_2),CURRENCY.FORMAT_2),CURRENCY.FORMAT_2,1),"# ##0;-# ##0"),",-"),FIXED(ROUND(IF(EXC.RATE.SWITCH=1,C1212*(1-I1212)*(1-ADD.DISCOUNT)*(1+MAT.SURCHARGE)/EXC.RATE_2,C1212*(1-I1212)*(1-ADD.DISCOUNT)*(1+MAT.SURCHARGE)*EXC.RATE_2),CURRENCY.FORMAT_2),CURRENCY.FORMAT_2,0)),'DICTIONARY-5'!$A$2))</f>
        <v/>
      </c>
      <c r="N1212" s="539">
        <v>5</v>
      </c>
      <c r="O1212" s="539"/>
      <c r="P1212" s="731" t="str">
        <f>'DICTIONARY-3'!$A$98</f>
        <v>RETO-STOP</v>
      </c>
      <c r="Q1212" s="732" t="str">
        <f>'DICTIONARY-3'!$A$200</f>
        <v>Zawór zwrotny</v>
      </c>
      <c r="R1212" s="732" t="str">
        <f>CONCATENATE('DICTIONARY-3'!$A$98," ",'DICTIONARY-6'!$A$20," ",'DICTIONARY-2'!$A$2,"200"," ",'DICTIONARY-2'!$A$3,"16"," ","R48",", ",'DICTIONARY-5'!$A$44)</f>
        <v>RETO-STOP Zaw. zwrotny DN200 PN16 R48, EPDM</v>
      </c>
      <c r="S1212" s="733"/>
      <c r="T1212" s="732"/>
      <c r="U1212" s="734" t="s">
        <v>5750</v>
      </c>
      <c r="V1212" s="735">
        <v>16</v>
      </c>
      <c r="W1212" s="736"/>
      <c r="X1212" s="737"/>
      <c r="Y1212" s="738"/>
      <c r="Z1212" s="739"/>
      <c r="AA1212" s="739"/>
      <c r="AB1212" s="740">
        <v>16</v>
      </c>
      <c r="AC1212" s="741" t="str">
        <f>'DICTIONARY-5'!$A$11&amp;" 48"</f>
        <v>EN 558 szereg 48</v>
      </c>
      <c r="AD1212" s="741" t="str">
        <f>'DICTIONARY-5'!$A$13&amp;", "&amp;'DICTIONARY-5'!$A$14</f>
        <v>woda pitna, ścieki</v>
      </c>
      <c r="AE1212" s="742">
        <v>80</v>
      </c>
      <c r="AF1212" s="743">
        <v>80</v>
      </c>
      <c r="AG1212" s="741" t="str">
        <f>'DICTIONARY-5'!$A$23</f>
        <v>powłoka epoksydowa</v>
      </c>
    </row>
    <row r="1213" spans="1:33" x14ac:dyDescent="0.25">
      <c r="A1213" s="861" t="s">
        <v>1218</v>
      </c>
      <c r="B1213" s="861" t="s">
        <v>4385</v>
      </c>
      <c r="C1213" s="836">
        <v>951</v>
      </c>
      <c r="D1213" s="836"/>
      <c r="E1213" s="836"/>
      <c r="F1213" s="836"/>
      <c r="G1213" s="496" t="s">
        <v>7823</v>
      </c>
      <c r="H1213" s="797" t="str">
        <f>VLOOKUP(G1213,SETTINGS!$B$7:$D$97,2,0)</f>
        <v>RETO-STOP</v>
      </c>
      <c r="I1213" s="796">
        <f>VLOOKUP(G1213,SETTINGS!$B$7:$D$97,3,0)</f>
        <v>0</v>
      </c>
      <c r="J1213" s="670" t="str">
        <f>IFERROR(IF(CURRENCY.FORMAT_1=0,CONCATENATE(TEXT(FIXED(ROUND((C1213/EXC.RATE_1),CURRENCY.FORMAT_1),CURRENCY.FORMAT_1,1),"# ##0;-# ##0"),",-"),FIXED(ROUND((C1213/EXC.RATE_1),CURRENCY.FORMAT_1),CURRENCY.FORMAT_1,0)),'DICTIONARY-5'!$A$2)</f>
        <v>951,-</v>
      </c>
      <c r="K1213" s="670" t="str">
        <f>IF(EXC.RATE_2=0,"",IFERROR(IF(CURRENCY.FORMAT_2=0,CONCATENATE(TEXT(FIXED(ROUND(IF(EXC.RATE.SWITCH=1,C1213/EXC.RATE_2,C1213*EXC.RATE_2),CURRENCY.FORMAT_2),CURRENCY.FORMAT_2,1),"# ##0;-# ##0"),",-"),FIXED(ROUND(IF(EXC.RATE.SWITCH=1,C1213/EXC.RATE_2,C1213*EXC.RATE_2),CURRENCY.FORMAT_2),CURRENCY.FORMAT_2,0)),'DICTIONARY-5'!$A$2))</f>
        <v/>
      </c>
      <c r="L1213" s="670" t="str">
        <f>IFERROR(IF(CURRENCY.FORMAT_1=0,CONCATENATE(TEXT(FIXED(ROUND((C1213*(1-I1213)*(1-ADD.DISCOUNT)*(1+MAT.SURCHARGE)/EXC.RATE_1),CURRENCY.FORMAT_1),CURRENCY.FORMAT_1,1),"# ##0;-# ##0"),",-"),FIXED(ROUND((C1213*(1-I1213)*(1-ADD.DISCOUNT)*(1+MAT.SURCHARGE)/EXC.RATE_1),CURRENCY.FORMAT_1),CURRENCY.FORMAT_1,0)),'DICTIONARY-5'!$A$2)</f>
        <v>988,-</v>
      </c>
      <c r="M1213" s="670" t="str">
        <f>IF(EXC.RATE_2=0,"",IFERROR(IF(CURRENCY.FORMAT_2=0,CONCATENATE(TEXT(FIXED(ROUND(IF(EXC.RATE.SWITCH=1,C1213*(1-I1213)*(1-ADD.DISCOUNT)*(1+MAT.SURCHARGE)/EXC.RATE_2,C1213*(1-I1213)*(1-ADD.DISCOUNT)*(1+MAT.SURCHARGE)*EXC.RATE_2),CURRENCY.FORMAT_2),CURRENCY.FORMAT_2,1),"# ##0;-# ##0"),",-"),FIXED(ROUND(IF(EXC.RATE.SWITCH=1,C1213*(1-I1213)*(1-ADD.DISCOUNT)*(1+MAT.SURCHARGE)/EXC.RATE_2,C1213*(1-I1213)*(1-ADD.DISCOUNT)*(1+MAT.SURCHARGE)*EXC.RATE_2),CURRENCY.FORMAT_2),CURRENCY.FORMAT_2,0)),'DICTIONARY-5'!$A$2))</f>
        <v/>
      </c>
      <c r="N1213" s="539">
        <v>5</v>
      </c>
      <c r="O1213" s="539"/>
      <c r="P1213" s="731" t="str">
        <f>'DICTIONARY-3'!$A$98</f>
        <v>RETO-STOP</v>
      </c>
      <c r="Q1213" s="732" t="str">
        <f>'DICTIONARY-3'!$A$200</f>
        <v>Zawór zwrotny</v>
      </c>
      <c r="R1213" s="732" t="str">
        <f>CONCATENATE('DICTIONARY-3'!$A$98," ",'DICTIONARY-6'!$A$20," ",'DICTIONARY-2'!$A$2,"250"," ",'DICTIONARY-2'!$A$3,"10"," ","R48",", ",'DICTIONARY-5'!$A$44)</f>
        <v>RETO-STOP Zaw. zwrotny DN250 PN10 R48, EPDM</v>
      </c>
      <c r="S1213" s="733"/>
      <c r="T1213" s="732"/>
      <c r="U1213" s="734" t="s">
        <v>5751</v>
      </c>
      <c r="V1213" s="735">
        <v>10</v>
      </c>
      <c r="W1213" s="736"/>
      <c r="X1213" s="737"/>
      <c r="Y1213" s="738"/>
      <c r="Z1213" s="739"/>
      <c r="AA1213" s="739"/>
      <c r="AB1213" s="740">
        <v>10</v>
      </c>
      <c r="AC1213" s="741" t="str">
        <f>'DICTIONARY-5'!$A$11&amp;" 48"</f>
        <v>EN 558 szereg 48</v>
      </c>
      <c r="AD1213" s="741" t="str">
        <f>'DICTIONARY-5'!$A$13&amp;", "&amp;'DICTIONARY-5'!$A$14</f>
        <v>woda pitna, ścieki</v>
      </c>
      <c r="AE1213" s="742">
        <v>80</v>
      </c>
      <c r="AF1213" s="743">
        <v>135</v>
      </c>
      <c r="AG1213" s="741" t="str">
        <f>'DICTIONARY-5'!$A$23</f>
        <v>powłoka epoksydowa</v>
      </c>
    </row>
    <row r="1214" spans="1:33" x14ac:dyDescent="0.25">
      <c r="A1214" s="861" t="s">
        <v>1219</v>
      </c>
      <c r="B1214" s="861" t="s">
        <v>4382</v>
      </c>
      <c r="C1214" s="836">
        <v>951</v>
      </c>
      <c r="D1214" s="836"/>
      <c r="E1214" s="836"/>
      <c r="F1214" s="836"/>
      <c r="G1214" s="496" t="s">
        <v>7823</v>
      </c>
      <c r="H1214" s="797" t="str">
        <f>VLOOKUP(G1214,SETTINGS!$B$7:$D$97,2,0)</f>
        <v>RETO-STOP</v>
      </c>
      <c r="I1214" s="796">
        <f>VLOOKUP(G1214,SETTINGS!$B$7:$D$97,3,0)</f>
        <v>0</v>
      </c>
      <c r="J1214" s="670" t="str">
        <f>IFERROR(IF(CURRENCY.FORMAT_1=0,CONCATENATE(TEXT(FIXED(ROUND((C1214/EXC.RATE_1),CURRENCY.FORMAT_1),CURRENCY.FORMAT_1,1),"# ##0;-# ##0"),",-"),FIXED(ROUND((C1214/EXC.RATE_1),CURRENCY.FORMAT_1),CURRENCY.FORMAT_1,0)),'DICTIONARY-5'!$A$2)</f>
        <v>951,-</v>
      </c>
      <c r="K1214" s="670" t="str">
        <f>IF(EXC.RATE_2=0,"",IFERROR(IF(CURRENCY.FORMAT_2=0,CONCATENATE(TEXT(FIXED(ROUND(IF(EXC.RATE.SWITCH=1,C1214/EXC.RATE_2,C1214*EXC.RATE_2),CURRENCY.FORMAT_2),CURRENCY.FORMAT_2,1),"# ##0;-# ##0"),",-"),FIXED(ROUND(IF(EXC.RATE.SWITCH=1,C1214/EXC.RATE_2,C1214*EXC.RATE_2),CURRENCY.FORMAT_2),CURRENCY.FORMAT_2,0)),'DICTIONARY-5'!$A$2))</f>
        <v/>
      </c>
      <c r="L1214" s="670" t="str">
        <f>IFERROR(IF(CURRENCY.FORMAT_1=0,CONCATENATE(TEXT(FIXED(ROUND((C1214*(1-I1214)*(1-ADD.DISCOUNT)*(1+MAT.SURCHARGE)/EXC.RATE_1),CURRENCY.FORMAT_1),CURRENCY.FORMAT_1,1),"# ##0;-# ##0"),",-"),FIXED(ROUND((C1214*(1-I1214)*(1-ADD.DISCOUNT)*(1+MAT.SURCHARGE)/EXC.RATE_1),CURRENCY.FORMAT_1),CURRENCY.FORMAT_1,0)),'DICTIONARY-5'!$A$2)</f>
        <v>988,-</v>
      </c>
      <c r="M1214" s="670" t="str">
        <f>IF(EXC.RATE_2=0,"",IFERROR(IF(CURRENCY.FORMAT_2=0,CONCATENATE(TEXT(FIXED(ROUND(IF(EXC.RATE.SWITCH=1,C1214*(1-I1214)*(1-ADD.DISCOUNT)*(1+MAT.SURCHARGE)/EXC.RATE_2,C1214*(1-I1214)*(1-ADD.DISCOUNT)*(1+MAT.SURCHARGE)*EXC.RATE_2),CURRENCY.FORMAT_2),CURRENCY.FORMAT_2,1),"# ##0;-# ##0"),",-"),FIXED(ROUND(IF(EXC.RATE.SWITCH=1,C1214*(1-I1214)*(1-ADD.DISCOUNT)*(1+MAT.SURCHARGE)/EXC.RATE_2,C1214*(1-I1214)*(1-ADD.DISCOUNT)*(1+MAT.SURCHARGE)*EXC.RATE_2),CURRENCY.FORMAT_2),CURRENCY.FORMAT_2,0)),'DICTIONARY-5'!$A$2))</f>
        <v/>
      </c>
      <c r="N1214" s="539">
        <v>5</v>
      </c>
      <c r="O1214" s="539"/>
      <c r="P1214" s="731" t="str">
        <f>'DICTIONARY-3'!$A$98</f>
        <v>RETO-STOP</v>
      </c>
      <c r="Q1214" s="732" t="str">
        <f>'DICTIONARY-3'!$A$200</f>
        <v>Zawór zwrotny</v>
      </c>
      <c r="R1214" s="732" t="str">
        <f>CONCATENATE('DICTIONARY-3'!$A$98," ",'DICTIONARY-6'!$A$20," ",'DICTIONARY-2'!$A$2,"250"," ",'DICTIONARY-2'!$A$3,"16"," ","R48",", ",'DICTIONARY-5'!$A$44)</f>
        <v>RETO-STOP Zaw. zwrotny DN250 PN16 R48, EPDM</v>
      </c>
      <c r="S1214" s="733"/>
      <c r="T1214" s="732"/>
      <c r="U1214" s="734" t="s">
        <v>5751</v>
      </c>
      <c r="V1214" s="735">
        <v>16</v>
      </c>
      <c r="W1214" s="736"/>
      <c r="X1214" s="737"/>
      <c r="Y1214" s="738"/>
      <c r="Z1214" s="739"/>
      <c r="AA1214" s="739"/>
      <c r="AB1214" s="740">
        <v>16</v>
      </c>
      <c r="AC1214" s="741" t="str">
        <f>'DICTIONARY-5'!$A$11&amp;" 48"</f>
        <v>EN 558 szereg 48</v>
      </c>
      <c r="AD1214" s="741" t="str">
        <f>'DICTIONARY-5'!$A$13&amp;", "&amp;'DICTIONARY-5'!$A$14</f>
        <v>woda pitna, ścieki</v>
      </c>
      <c r="AE1214" s="742">
        <v>80</v>
      </c>
      <c r="AF1214" s="743">
        <v>131.5</v>
      </c>
      <c r="AG1214" s="741" t="str">
        <f>'DICTIONARY-5'!$A$23</f>
        <v>powłoka epoksydowa</v>
      </c>
    </row>
    <row r="1215" spans="1:33" x14ac:dyDescent="0.25">
      <c r="A1215" s="861" t="s">
        <v>1220</v>
      </c>
      <c r="B1215" s="861" t="s">
        <v>4386</v>
      </c>
      <c r="C1215" s="836">
        <v>1300</v>
      </c>
      <c r="D1215" s="836"/>
      <c r="E1215" s="836"/>
      <c r="F1215" s="836"/>
      <c r="G1215" s="496" t="s">
        <v>7823</v>
      </c>
      <c r="H1215" s="797" t="str">
        <f>VLOOKUP(G1215,SETTINGS!$B$7:$D$97,2,0)</f>
        <v>RETO-STOP</v>
      </c>
      <c r="I1215" s="796">
        <f>VLOOKUP(G1215,SETTINGS!$B$7:$D$97,3,0)</f>
        <v>0</v>
      </c>
      <c r="J1215" s="670" t="str">
        <f>IFERROR(IF(CURRENCY.FORMAT_1=0,CONCATENATE(TEXT(FIXED(ROUND((C1215/EXC.RATE_1),CURRENCY.FORMAT_1),CURRENCY.FORMAT_1,1),"# ##0;-# ##0"),",-"),FIXED(ROUND((C1215/EXC.RATE_1),CURRENCY.FORMAT_1),CURRENCY.FORMAT_1,0)),'DICTIONARY-5'!$A$2)</f>
        <v>1 300,-</v>
      </c>
      <c r="K1215" s="670" t="str">
        <f>IF(EXC.RATE_2=0,"",IFERROR(IF(CURRENCY.FORMAT_2=0,CONCATENATE(TEXT(FIXED(ROUND(IF(EXC.RATE.SWITCH=1,C1215/EXC.RATE_2,C1215*EXC.RATE_2),CURRENCY.FORMAT_2),CURRENCY.FORMAT_2,1),"# ##0;-# ##0"),",-"),FIXED(ROUND(IF(EXC.RATE.SWITCH=1,C1215/EXC.RATE_2,C1215*EXC.RATE_2),CURRENCY.FORMAT_2),CURRENCY.FORMAT_2,0)),'DICTIONARY-5'!$A$2))</f>
        <v/>
      </c>
      <c r="L1215" s="670" t="str">
        <f>IFERROR(IF(CURRENCY.FORMAT_1=0,CONCATENATE(TEXT(FIXED(ROUND((C1215*(1-I1215)*(1-ADD.DISCOUNT)*(1+MAT.SURCHARGE)/EXC.RATE_1),CURRENCY.FORMAT_1),CURRENCY.FORMAT_1,1),"# ##0;-# ##0"),",-"),FIXED(ROUND((C1215*(1-I1215)*(1-ADD.DISCOUNT)*(1+MAT.SURCHARGE)/EXC.RATE_1),CURRENCY.FORMAT_1),CURRENCY.FORMAT_1,0)),'DICTIONARY-5'!$A$2)</f>
        <v>1 351,-</v>
      </c>
      <c r="M1215" s="670" t="str">
        <f>IF(EXC.RATE_2=0,"",IFERROR(IF(CURRENCY.FORMAT_2=0,CONCATENATE(TEXT(FIXED(ROUND(IF(EXC.RATE.SWITCH=1,C1215*(1-I1215)*(1-ADD.DISCOUNT)*(1+MAT.SURCHARGE)/EXC.RATE_2,C1215*(1-I1215)*(1-ADD.DISCOUNT)*(1+MAT.SURCHARGE)*EXC.RATE_2),CURRENCY.FORMAT_2),CURRENCY.FORMAT_2,1),"# ##0;-# ##0"),",-"),FIXED(ROUND(IF(EXC.RATE.SWITCH=1,C1215*(1-I1215)*(1-ADD.DISCOUNT)*(1+MAT.SURCHARGE)/EXC.RATE_2,C1215*(1-I1215)*(1-ADD.DISCOUNT)*(1+MAT.SURCHARGE)*EXC.RATE_2),CURRENCY.FORMAT_2),CURRENCY.FORMAT_2,0)),'DICTIONARY-5'!$A$2))</f>
        <v/>
      </c>
      <c r="N1215" s="539">
        <v>5</v>
      </c>
      <c r="O1215" s="539"/>
      <c r="P1215" s="731" t="str">
        <f>'DICTIONARY-3'!$A$98</f>
        <v>RETO-STOP</v>
      </c>
      <c r="Q1215" s="732" t="str">
        <f>'DICTIONARY-3'!$A$200</f>
        <v>Zawór zwrotny</v>
      </c>
      <c r="R1215" s="732" t="str">
        <f>CONCATENATE('DICTIONARY-3'!$A$98," ",'DICTIONARY-6'!$A$20," ",'DICTIONARY-2'!$A$2,"300"," ",'DICTIONARY-2'!$A$3,"10"," ","R48",", ",'DICTIONARY-5'!$A$44)</f>
        <v>RETO-STOP Zaw. zwrotny DN300 PN10 R48, EPDM</v>
      </c>
      <c r="S1215" s="733"/>
      <c r="T1215" s="732"/>
      <c r="U1215" s="734" t="s">
        <v>5752</v>
      </c>
      <c r="V1215" s="735">
        <v>10</v>
      </c>
      <c r="W1215" s="736"/>
      <c r="X1215" s="737"/>
      <c r="Y1215" s="738"/>
      <c r="Z1215" s="739"/>
      <c r="AA1215" s="739"/>
      <c r="AB1215" s="740">
        <v>10</v>
      </c>
      <c r="AC1215" s="741" t="str">
        <f>'DICTIONARY-5'!$A$11&amp;" 48"</f>
        <v>EN 558 szereg 48</v>
      </c>
      <c r="AD1215" s="741" t="str">
        <f>'DICTIONARY-5'!$A$13&amp;", "&amp;'DICTIONARY-5'!$A$14</f>
        <v>woda pitna, ścieki</v>
      </c>
      <c r="AE1215" s="742">
        <v>80</v>
      </c>
      <c r="AF1215" s="743">
        <v>180</v>
      </c>
      <c r="AG1215" s="741" t="str">
        <f>'DICTIONARY-5'!$A$23</f>
        <v>powłoka epoksydowa</v>
      </c>
    </row>
    <row r="1216" spans="1:33" x14ac:dyDescent="0.25">
      <c r="A1216" s="861" t="s">
        <v>1221</v>
      </c>
      <c r="B1216" s="861" t="s">
        <v>4383</v>
      </c>
      <c r="C1216" s="836">
        <v>1300</v>
      </c>
      <c r="D1216" s="836"/>
      <c r="E1216" s="836"/>
      <c r="F1216" s="836"/>
      <c r="G1216" s="496" t="s">
        <v>7823</v>
      </c>
      <c r="H1216" s="797" t="str">
        <f>VLOOKUP(G1216,SETTINGS!$B$7:$D$97,2,0)</f>
        <v>RETO-STOP</v>
      </c>
      <c r="I1216" s="796">
        <f>VLOOKUP(G1216,SETTINGS!$B$7:$D$97,3,0)</f>
        <v>0</v>
      </c>
      <c r="J1216" s="670" t="str">
        <f>IFERROR(IF(CURRENCY.FORMAT_1=0,CONCATENATE(TEXT(FIXED(ROUND((C1216/EXC.RATE_1),CURRENCY.FORMAT_1),CURRENCY.FORMAT_1,1),"# ##0;-# ##0"),",-"),FIXED(ROUND((C1216/EXC.RATE_1),CURRENCY.FORMAT_1),CURRENCY.FORMAT_1,0)),'DICTIONARY-5'!$A$2)</f>
        <v>1 300,-</v>
      </c>
      <c r="K1216" s="670" t="str">
        <f>IF(EXC.RATE_2=0,"",IFERROR(IF(CURRENCY.FORMAT_2=0,CONCATENATE(TEXT(FIXED(ROUND(IF(EXC.RATE.SWITCH=1,C1216/EXC.RATE_2,C1216*EXC.RATE_2),CURRENCY.FORMAT_2),CURRENCY.FORMAT_2,1),"# ##0;-# ##0"),",-"),FIXED(ROUND(IF(EXC.RATE.SWITCH=1,C1216/EXC.RATE_2,C1216*EXC.RATE_2),CURRENCY.FORMAT_2),CURRENCY.FORMAT_2,0)),'DICTIONARY-5'!$A$2))</f>
        <v/>
      </c>
      <c r="L1216" s="670" t="str">
        <f>IFERROR(IF(CURRENCY.FORMAT_1=0,CONCATENATE(TEXT(FIXED(ROUND((C1216*(1-I1216)*(1-ADD.DISCOUNT)*(1+MAT.SURCHARGE)/EXC.RATE_1),CURRENCY.FORMAT_1),CURRENCY.FORMAT_1,1),"# ##0;-# ##0"),",-"),FIXED(ROUND((C1216*(1-I1216)*(1-ADD.DISCOUNT)*(1+MAT.SURCHARGE)/EXC.RATE_1),CURRENCY.FORMAT_1),CURRENCY.FORMAT_1,0)),'DICTIONARY-5'!$A$2)</f>
        <v>1 351,-</v>
      </c>
      <c r="M1216" s="670" t="str">
        <f>IF(EXC.RATE_2=0,"",IFERROR(IF(CURRENCY.FORMAT_2=0,CONCATENATE(TEXT(FIXED(ROUND(IF(EXC.RATE.SWITCH=1,C1216*(1-I1216)*(1-ADD.DISCOUNT)*(1+MAT.SURCHARGE)/EXC.RATE_2,C1216*(1-I1216)*(1-ADD.DISCOUNT)*(1+MAT.SURCHARGE)*EXC.RATE_2),CURRENCY.FORMAT_2),CURRENCY.FORMAT_2,1),"# ##0;-# ##0"),",-"),FIXED(ROUND(IF(EXC.RATE.SWITCH=1,C1216*(1-I1216)*(1-ADD.DISCOUNT)*(1+MAT.SURCHARGE)/EXC.RATE_2,C1216*(1-I1216)*(1-ADD.DISCOUNT)*(1+MAT.SURCHARGE)*EXC.RATE_2),CURRENCY.FORMAT_2),CURRENCY.FORMAT_2,0)),'DICTIONARY-5'!$A$2))</f>
        <v/>
      </c>
      <c r="N1216" s="539">
        <v>5</v>
      </c>
      <c r="O1216" s="539"/>
      <c r="P1216" s="731" t="str">
        <f>'DICTIONARY-3'!$A$98</f>
        <v>RETO-STOP</v>
      </c>
      <c r="Q1216" s="732" t="str">
        <f>'DICTIONARY-3'!$A$200</f>
        <v>Zawór zwrotny</v>
      </c>
      <c r="R1216" s="732" t="str">
        <f>CONCATENATE('DICTIONARY-3'!$A$98," ",'DICTIONARY-6'!$A$20," ",'DICTIONARY-2'!$A$2,"300"," ",'DICTIONARY-2'!$A$3,"16"," ","R48",", ",'DICTIONARY-5'!$A$44)</f>
        <v>RETO-STOP Zaw. zwrotny DN300 PN16 R48, EPDM</v>
      </c>
      <c r="S1216" s="733"/>
      <c r="T1216" s="732"/>
      <c r="U1216" s="734" t="s">
        <v>5752</v>
      </c>
      <c r="V1216" s="735">
        <v>16</v>
      </c>
      <c r="W1216" s="736"/>
      <c r="X1216" s="737"/>
      <c r="Y1216" s="738"/>
      <c r="Z1216" s="739"/>
      <c r="AA1216" s="739"/>
      <c r="AB1216" s="740">
        <v>16</v>
      </c>
      <c r="AC1216" s="741" t="str">
        <f>'DICTIONARY-5'!$A$11&amp;" 48"</f>
        <v>EN 558 szereg 48</v>
      </c>
      <c r="AD1216" s="741" t="str">
        <f>'DICTIONARY-5'!$A$13&amp;", "&amp;'DICTIONARY-5'!$A$14</f>
        <v>woda pitna, ścieki</v>
      </c>
      <c r="AE1216" s="742">
        <v>80</v>
      </c>
      <c r="AF1216" s="743">
        <v>178.5</v>
      </c>
      <c r="AG1216" s="741" t="str">
        <f>'DICTIONARY-5'!$A$23</f>
        <v>powłoka epoksydowa</v>
      </c>
    </row>
    <row r="1217" spans="1:33" x14ac:dyDescent="0.25">
      <c r="A1217" s="861" t="s">
        <v>1222</v>
      </c>
      <c r="B1217" s="861" t="str">
        <f>'DICTIONARY-5'!$A$2</f>
        <v>na zapytanie</v>
      </c>
      <c r="C1217" s="836" t="s">
        <v>5967</v>
      </c>
      <c r="D1217" s="836"/>
      <c r="E1217" s="836"/>
      <c r="F1217" s="836"/>
      <c r="G1217" s="496" t="s">
        <v>7823</v>
      </c>
      <c r="H1217" s="797" t="str">
        <f>VLOOKUP(G1217,SETTINGS!$B$7:$D$97,2,0)</f>
        <v>RETO-STOP</v>
      </c>
      <c r="I1217" s="796">
        <f>VLOOKUP(G1217,SETTINGS!$B$7:$D$97,3,0)</f>
        <v>0</v>
      </c>
      <c r="J1217" s="670" t="str">
        <f>IFERROR(IF(CURRENCY.FORMAT_1=0,CONCATENATE(TEXT(FIXED(ROUND((C1217/EXC.RATE_1),CURRENCY.FORMAT_1),CURRENCY.FORMAT_1,1),"# ##0;-# ##0"),",-"),FIXED(ROUND((C1217/EXC.RATE_1),CURRENCY.FORMAT_1),CURRENCY.FORMAT_1,0)),'DICTIONARY-5'!$A$2)</f>
        <v>na zapytanie</v>
      </c>
      <c r="K1217" s="670" t="str">
        <f>IF(EXC.RATE_2=0,"",IFERROR(IF(CURRENCY.FORMAT_2=0,CONCATENATE(TEXT(FIXED(ROUND(IF(EXC.RATE.SWITCH=1,C1217/EXC.RATE_2,C1217*EXC.RATE_2),CURRENCY.FORMAT_2),CURRENCY.FORMAT_2,1),"# ##0;-# ##0"),",-"),FIXED(ROUND(IF(EXC.RATE.SWITCH=1,C1217/EXC.RATE_2,C1217*EXC.RATE_2),CURRENCY.FORMAT_2),CURRENCY.FORMAT_2,0)),'DICTIONARY-5'!$A$2))</f>
        <v/>
      </c>
      <c r="L1217" s="670" t="str">
        <f>IFERROR(IF(CURRENCY.FORMAT_1=0,CONCATENATE(TEXT(FIXED(ROUND((C1217*(1-I1217)*(1-ADD.DISCOUNT)*(1+MAT.SURCHARGE)/EXC.RATE_1),CURRENCY.FORMAT_1),CURRENCY.FORMAT_1,1),"# ##0;-# ##0"),",-"),FIXED(ROUND((C1217*(1-I1217)*(1-ADD.DISCOUNT)*(1+MAT.SURCHARGE)/EXC.RATE_1),CURRENCY.FORMAT_1),CURRENCY.FORMAT_1,0)),'DICTIONARY-5'!$A$2)</f>
        <v>na zapytanie</v>
      </c>
      <c r="M1217" s="670" t="str">
        <f>IF(EXC.RATE_2=0,"",IFERROR(IF(CURRENCY.FORMAT_2=0,CONCATENATE(TEXT(FIXED(ROUND(IF(EXC.RATE.SWITCH=1,C1217*(1-I1217)*(1-ADD.DISCOUNT)*(1+MAT.SURCHARGE)/EXC.RATE_2,C1217*(1-I1217)*(1-ADD.DISCOUNT)*(1+MAT.SURCHARGE)*EXC.RATE_2),CURRENCY.FORMAT_2),CURRENCY.FORMAT_2,1),"# ##0;-# ##0"),",-"),FIXED(ROUND(IF(EXC.RATE.SWITCH=1,C1217*(1-I1217)*(1-ADD.DISCOUNT)*(1+MAT.SURCHARGE)/EXC.RATE_2,C1217*(1-I1217)*(1-ADD.DISCOUNT)*(1+MAT.SURCHARGE)*EXC.RATE_2),CURRENCY.FORMAT_2),CURRENCY.FORMAT_2,0)),'DICTIONARY-5'!$A$2))</f>
        <v/>
      </c>
      <c r="N1217" s="539">
        <v>5</v>
      </c>
      <c r="O1217" s="539"/>
      <c r="P1217" s="731" t="str">
        <f>'DICTIONARY-3'!$A$98</f>
        <v>RETO-STOP</v>
      </c>
      <c r="Q1217" s="732" t="str">
        <f>'DICTIONARY-3'!$A$200</f>
        <v>Zawór zwrotny</v>
      </c>
      <c r="R1217" s="732" t="str">
        <f>CONCATENATE('DICTIONARY-3'!$A$98," ",'DICTIONARY-6'!$A$20," ",'DICTIONARY-2'!$A$2,"40"," ",'DICTIONARY-2'!$A$3,"10/16"," ","R48",", ",'DICTIONARY-5'!$A$44,," ",'DICTIONARY-3'!$A$313)</f>
        <v>RETO-STOP Zaw. zwrotny DN40 PN10/16 R48, EPDM urządz. do podnos. dysku</v>
      </c>
      <c r="S1217" s="733"/>
      <c r="T1217" s="732"/>
      <c r="U1217" s="734" t="s">
        <v>5758</v>
      </c>
      <c r="V1217" s="735">
        <v>16</v>
      </c>
      <c r="W1217" s="736"/>
      <c r="X1217" s="737"/>
      <c r="Y1217" s="738"/>
      <c r="Z1217" s="739"/>
      <c r="AA1217" s="739"/>
      <c r="AB1217" s="740">
        <v>16</v>
      </c>
      <c r="AC1217" s="741" t="str">
        <f>'DICTIONARY-5'!$A$11&amp;" 48"</f>
        <v>EN 558 szereg 48</v>
      </c>
      <c r="AD1217" s="733" t="str">
        <f>'DICTIONARY-5'!$A$13&amp;", "&amp;'DICTIONARY-5'!$A$14</f>
        <v>woda pitna, ścieki</v>
      </c>
      <c r="AE1217" s="742">
        <v>80</v>
      </c>
      <c r="AF1217" s="743"/>
      <c r="AG1217" s="741" t="str">
        <f>'DICTIONARY-5'!$A$23</f>
        <v>powłoka epoksydowa</v>
      </c>
    </row>
    <row r="1218" spans="1:33" x14ac:dyDescent="0.25">
      <c r="A1218" s="861" t="s">
        <v>1223</v>
      </c>
      <c r="B1218" s="861" t="s">
        <v>4387</v>
      </c>
      <c r="C1218" s="836">
        <v>133</v>
      </c>
      <c r="D1218" s="836"/>
      <c r="E1218" s="836"/>
      <c r="F1218" s="836"/>
      <c r="G1218" s="496" t="s">
        <v>7823</v>
      </c>
      <c r="H1218" s="797" t="str">
        <f>VLOOKUP(G1218,SETTINGS!$B$7:$D$97,2,0)</f>
        <v>RETO-STOP</v>
      </c>
      <c r="I1218" s="796">
        <f>VLOOKUP(G1218,SETTINGS!$B$7:$D$97,3,0)</f>
        <v>0</v>
      </c>
      <c r="J1218" s="670" t="str">
        <f>IFERROR(IF(CURRENCY.FORMAT_1=0,CONCATENATE(TEXT(FIXED(ROUND((C1218/EXC.RATE_1),CURRENCY.FORMAT_1),CURRENCY.FORMAT_1,1),"# ##0;-# ##0"),",-"),FIXED(ROUND((C1218/EXC.RATE_1),CURRENCY.FORMAT_1),CURRENCY.FORMAT_1,0)),'DICTIONARY-5'!$A$2)</f>
        <v>133,-</v>
      </c>
      <c r="K1218" s="670" t="str">
        <f>IF(EXC.RATE_2=0,"",IFERROR(IF(CURRENCY.FORMAT_2=0,CONCATENATE(TEXT(FIXED(ROUND(IF(EXC.RATE.SWITCH=1,C1218/EXC.RATE_2,C1218*EXC.RATE_2),CURRENCY.FORMAT_2),CURRENCY.FORMAT_2,1),"# ##0;-# ##0"),",-"),FIXED(ROUND(IF(EXC.RATE.SWITCH=1,C1218/EXC.RATE_2,C1218*EXC.RATE_2),CURRENCY.FORMAT_2),CURRENCY.FORMAT_2,0)),'DICTIONARY-5'!$A$2))</f>
        <v/>
      </c>
      <c r="L1218" s="670" t="str">
        <f>IFERROR(IF(CURRENCY.FORMAT_1=0,CONCATENATE(TEXT(FIXED(ROUND((C1218*(1-I1218)*(1-ADD.DISCOUNT)*(1+MAT.SURCHARGE)/EXC.RATE_1),CURRENCY.FORMAT_1),CURRENCY.FORMAT_1,1),"# ##0;-# ##0"),",-"),FIXED(ROUND((C1218*(1-I1218)*(1-ADD.DISCOUNT)*(1+MAT.SURCHARGE)/EXC.RATE_1),CURRENCY.FORMAT_1),CURRENCY.FORMAT_1,0)),'DICTIONARY-5'!$A$2)</f>
        <v>138,-</v>
      </c>
      <c r="M1218" s="670" t="str">
        <f>IF(EXC.RATE_2=0,"",IFERROR(IF(CURRENCY.FORMAT_2=0,CONCATENATE(TEXT(FIXED(ROUND(IF(EXC.RATE.SWITCH=1,C1218*(1-I1218)*(1-ADD.DISCOUNT)*(1+MAT.SURCHARGE)/EXC.RATE_2,C1218*(1-I1218)*(1-ADD.DISCOUNT)*(1+MAT.SURCHARGE)*EXC.RATE_2),CURRENCY.FORMAT_2),CURRENCY.FORMAT_2,1),"# ##0;-# ##0"),",-"),FIXED(ROUND(IF(EXC.RATE.SWITCH=1,C1218*(1-I1218)*(1-ADD.DISCOUNT)*(1+MAT.SURCHARGE)/EXC.RATE_2,C1218*(1-I1218)*(1-ADD.DISCOUNT)*(1+MAT.SURCHARGE)*EXC.RATE_2),CURRENCY.FORMAT_2),CURRENCY.FORMAT_2,0)),'DICTIONARY-5'!$A$2))</f>
        <v/>
      </c>
      <c r="N1218" s="539">
        <v>5</v>
      </c>
      <c r="O1218" s="539"/>
      <c r="P1218" s="731" t="str">
        <f>'DICTIONARY-3'!$A$98</f>
        <v>RETO-STOP</v>
      </c>
      <c r="Q1218" s="732" t="str">
        <f>'DICTIONARY-3'!$A$200</f>
        <v>Zawór zwrotny</v>
      </c>
      <c r="R1218" s="732" t="str">
        <f>CONCATENATE('DICTIONARY-3'!$A$98," ",'DICTIONARY-6'!$A$20," ",'DICTIONARY-2'!$A$2,"50"," ",'DICTIONARY-2'!$A$3,"10/16"," ","R48",", ",'DICTIONARY-5'!$A$44,," ",'DICTIONARY-3'!$A$313)</f>
        <v>RETO-STOP Zaw. zwrotny DN50 PN10/16 R48, EPDM urządz. do podnos. dysku</v>
      </c>
      <c r="S1218" s="733"/>
      <c r="T1218" s="732"/>
      <c r="U1218" s="734" t="s">
        <v>5748</v>
      </c>
      <c r="V1218" s="735">
        <v>16</v>
      </c>
      <c r="W1218" s="736"/>
      <c r="X1218" s="737"/>
      <c r="Y1218" s="738"/>
      <c r="Z1218" s="739"/>
      <c r="AA1218" s="739"/>
      <c r="AB1218" s="740">
        <v>16</v>
      </c>
      <c r="AC1218" s="741" t="str">
        <f>'DICTIONARY-5'!$A$11&amp;" 48"</f>
        <v>EN 558 szereg 48</v>
      </c>
      <c r="AD1218" s="733" t="str">
        <f>'DICTIONARY-5'!$A$13&amp;", "&amp;'DICTIONARY-5'!$A$14</f>
        <v>woda pitna, ścieki</v>
      </c>
      <c r="AE1218" s="742">
        <v>80</v>
      </c>
      <c r="AF1218" s="743">
        <v>9.5</v>
      </c>
      <c r="AG1218" s="741" t="str">
        <f>'DICTIONARY-5'!$A$23</f>
        <v>powłoka epoksydowa</v>
      </c>
    </row>
    <row r="1219" spans="1:33" x14ac:dyDescent="0.25">
      <c r="A1219" s="861" t="s">
        <v>1224</v>
      </c>
      <c r="B1219" s="861" t="s">
        <v>4388</v>
      </c>
      <c r="C1219" s="836">
        <v>155</v>
      </c>
      <c r="D1219" s="836"/>
      <c r="E1219" s="836"/>
      <c r="F1219" s="836"/>
      <c r="G1219" s="496" t="s">
        <v>7823</v>
      </c>
      <c r="H1219" s="797" t="str">
        <f>VLOOKUP(G1219,SETTINGS!$B$7:$D$97,2,0)</f>
        <v>RETO-STOP</v>
      </c>
      <c r="I1219" s="796">
        <f>VLOOKUP(G1219,SETTINGS!$B$7:$D$97,3,0)</f>
        <v>0</v>
      </c>
      <c r="J1219" s="670" t="str">
        <f>IFERROR(IF(CURRENCY.FORMAT_1=0,CONCATENATE(TEXT(FIXED(ROUND((C1219/EXC.RATE_1),CURRENCY.FORMAT_1),CURRENCY.FORMAT_1,1),"# ##0;-# ##0"),",-"),FIXED(ROUND((C1219/EXC.RATE_1),CURRENCY.FORMAT_1),CURRENCY.FORMAT_1,0)),'DICTIONARY-5'!$A$2)</f>
        <v>155,-</v>
      </c>
      <c r="K1219" s="670" t="str">
        <f>IF(EXC.RATE_2=0,"",IFERROR(IF(CURRENCY.FORMAT_2=0,CONCATENATE(TEXT(FIXED(ROUND(IF(EXC.RATE.SWITCH=1,C1219/EXC.RATE_2,C1219*EXC.RATE_2),CURRENCY.FORMAT_2),CURRENCY.FORMAT_2,1),"# ##0;-# ##0"),",-"),FIXED(ROUND(IF(EXC.RATE.SWITCH=1,C1219/EXC.RATE_2,C1219*EXC.RATE_2),CURRENCY.FORMAT_2),CURRENCY.FORMAT_2,0)),'DICTIONARY-5'!$A$2))</f>
        <v/>
      </c>
      <c r="L1219" s="670" t="str">
        <f>IFERROR(IF(CURRENCY.FORMAT_1=0,CONCATENATE(TEXT(FIXED(ROUND((C1219*(1-I1219)*(1-ADD.DISCOUNT)*(1+MAT.SURCHARGE)/EXC.RATE_1),CURRENCY.FORMAT_1),CURRENCY.FORMAT_1,1),"# ##0;-# ##0"),",-"),FIXED(ROUND((C1219*(1-I1219)*(1-ADD.DISCOUNT)*(1+MAT.SURCHARGE)/EXC.RATE_1),CURRENCY.FORMAT_1),CURRENCY.FORMAT_1,0)),'DICTIONARY-5'!$A$2)</f>
        <v>161,-</v>
      </c>
      <c r="M1219" s="670" t="str">
        <f>IF(EXC.RATE_2=0,"",IFERROR(IF(CURRENCY.FORMAT_2=0,CONCATENATE(TEXT(FIXED(ROUND(IF(EXC.RATE.SWITCH=1,C1219*(1-I1219)*(1-ADD.DISCOUNT)*(1+MAT.SURCHARGE)/EXC.RATE_2,C1219*(1-I1219)*(1-ADD.DISCOUNT)*(1+MAT.SURCHARGE)*EXC.RATE_2),CURRENCY.FORMAT_2),CURRENCY.FORMAT_2,1),"# ##0;-# ##0"),",-"),FIXED(ROUND(IF(EXC.RATE.SWITCH=1,C1219*(1-I1219)*(1-ADD.DISCOUNT)*(1+MAT.SURCHARGE)/EXC.RATE_2,C1219*(1-I1219)*(1-ADD.DISCOUNT)*(1+MAT.SURCHARGE)*EXC.RATE_2),CURRENCY.FORMAT_2),CURRENCY.FORMAT_2,0)),'DICTIONARY-5'!$A$2))</f>
        <v/>
      </c>
      <c r="N1219" s="539">
        <v>5</v>
      </c>
      <c r="O1219" s="539"/>
      <c r="P1219" s="731" t="str">
        <f>'DICTIONARY-3'!$A$98</f>
        <v>RETO-STOP</v>
      </c>
      <c r="Q1219" s="732" t="str">
        <f>'DICTIONARY-3'!$A$200</f>
        <v>Zawór zwrotny</v>
      </c>
      <c r="R1219" s="732" t="str">
        <f>CONCATENATE('DICTIONARY-3'!$A$98," ",'DICTIONARY-6'!$A$20," ",'DICTIONARY-2'!$A$2,"65"," ",'DICTIONARY-2'!$A$3,"10/16"," ","R48",", ",'DICTIONARY-5'!$A$44,," ",'DICTIONARY-3'!$A$313)</f>
        <v>RETO-STOP Zaw. zwrotny DN65 PN10/16 R48, EPDM urządz. do podnos. dysku</v>
      </c>
      <c r="S1219" s="733"/>
      <c r="T1219" s="732"/>
      <c r="U1219" s="734" t="s">
        <v>5759</v>
      </c>
      <c r="V1219" s="735">
        <v>16</v>
      </c>
      <c r="W1219" s="736"/>
      <c r="X1219" s="737"/>
      <c r="Y1219" s="738"/>
      <c r="Z1219" s="739"/>
      <c r="AA1219" s="739"/>
      <c r="AB1219" s="740">
        <v>16</v>
      </c>
      <c r="AC1219" s="741" t="str">
        <f>'DICTIONARY-5'!$A$11&amp;" 48"</f>
        <v>EN 558 szereg 48</v>
      </c>
      <c r="AD1219" s="733" t="str">
        <f>'DICTIONARY-5'!$A$13&amp;", "&amp;'DICTIONARY-5'!$A$14</f>
        <v>woda pitna, ścieki</v>
      </c>
      <c r="AE1219" s="742">
        <v>80</v>
      </c>
      <c r="AF1219" s="743">
        <v>13.5</v>
      </c>
      <c r="AG1219" s="741" t="str">
        <f>'DICTIONARY-5'!$A$23</f>
        <v>powłoka epoksydowa</v>
      </c>
    </row>
    <row r="1220" spans="1:33" x14ac:dyDescent="0.25">
      <c r="A1220" s="861" t="s">
        <v>1225</v>
      </c>
      <c r="B1220" s="861" t="s">
        <v>4389</v>
      </c>
      <c r="C1220" s="836">
        <v>177</v>
      </c>
      <c r="D1220" s="836"/>
      <c r="E1220" s="836"/>
      <c r="F1220" s="836"/>
      <c r="G1220" s="496" t="s">
        <v>7823</v>
      </c>
      <c r="H1220" s="797" t="str">
        <f>VLOOKUP(G1220,SETTINGS!$B$7:$D$97,2,0)</f>
        <v>RETO-STOP</v>
      </c>
      <c r="I1220" s="796">
        <f>VLOOKUP(G1220,SETTINGS!$B$7:$D$97,3,0)</f>
        <v>0</v>
      </c>
      <c r="J1220" s="670" t="str">
        <f>IFERROR(IF(CURRENCY.FORMAT_1=0,CONCATENATE(TEXT(FIXED(ROUND((C1220/EXC.RATE_1),CURRENCY.FORMAT_1),CURRENCY.FORMAT_1,1),"# ##0;-# ##0"),",-"),FIXED(ROUND((C1220/EXC.RATE_1),CURRENCY.FORMAT_1),CURRENCY.FORMAT_1,0)),'DICTIONARY-5'!$A$2)</f>
        <v>177,-</v>
      </c>
      <c r="K1220" s="670" t="str">
        <f>IF(EXC.RATE_2=0,"",IFERROR(IF(CURRENCY.FORMAT_2=0,CONCATENATE(TEXT(FIXED(ROUND(IF(EXC.RATE.SWITCH=1,C1220/EXC.RATE_2,C1220*EXC.RATE_2),CURRENCY.FORMAT_2),CURRENCY.FORMAT_2,1),"# ##0;-# ##0"),",-"),FIXED(ROUND(IF(EXC.RATE.SWITCH=1,C1220/EXC.RATE_2,C1220*EXC.RATE_2),CURRENCY.FORMAT_2),CURRENCY.FORMAT_2,0)),'DICTIONARY-5'!$A$2))</f>
        <v/>
      </c>
      <c r="L1220" s="670" t="str">
        <f>IFERROR(IF(CURRENCY.FORMAT_1=0,CONCATENATE(TEXT(FIXED(ROUND((C1220*(1-I1220)*(1-ADD.DISCOUNT)*(1+MAT.SURCHARGE)/EXC.RATE_1),CURRENCY.FORMAT_1),CURRENCY.FORMAT_1,1),"# ##0;-# ##0"),",-"),FIXED(ROUND((C1220*(1-I1220)*(1-ADD.DISCOUNT)*(1+MAT.SURCHARGE)/EXC.RATE_1),CURRENCY.FORMAT_1),CURRENCY.FORMAT_1,0)),'DICTIONARY-5'!$A$2)</f>
        <v>184,-</v>
      </c>
      <c r="M1220" s="670" t="str">
        <f>IF(EXC.RATE_2=0,"",IFERROR(IF(CURRENCY.FORMAT_2=0,CONCATENATE(TEXT(FIXED(ROUND(IF(EXC.RATE.SWITCH=1,C1220*(1-I1220)*(1-ADD.DISCOUNT)*(1+MAT.SURCHARGE)/EXC.RATE_2,C1220*(1-I1220)*(1-ADD.DISCOUNT)*(1+MAT.SURCHARGE)*EXC.RATE_2),CURRENCY.FORMAT_2),CURRENCY.FORMAT_2,1),"# ##0;-# ##0"),",-"),FIXED(ROUND(IF(EXC.RATE.SWITCH=1,C1220*(1-I1220)*(1-ADD.DISCOUNT)*(1+MAT.SURCHARGE)/EXC.RATE_2,C1220*(1-I1220)*(1-ADD.DISCOUNT)*(1+MAT.SURCHARGE)*EXC.RATE_2),CURRENCY.FORMAT_2),CURRENCY.FORMAT_2,0)),'DICTIONARY-5'!$A$2))</f>
        <v/>
      </c>
      <c r="N1220" s="539">
        <v>5</v>
      </c>
      <c r="O1220" s="539"/>
      <c r="P1220" s="731" t="str">
        <f>'DICTIONARY-3'!$A$98</f>
        <v>RETO-STOP</v>
      </c>
      <c r="Q1220" s="732" t="str">
        <f>'DICTIONARY-3'!$A$200</f>
        <v>Zawór zwrotny</v>
      </c>
      <c r="R1220" s="732" t="str">
        <f>CONCATENATE('DICTIONARY-3'!$A$98," ",'DICTIONARY-6'!$A$20," ",'DICTIONARY-2'!$A$2,"80"," ",'DICTIONARY-2'!$A$3,"10/16"," ","R48",", ",'DICTIONARY-5'!$A$44,," ",'DICTIONARY-3'!$A$313)</f>
        <v>RETO-STOP Zaw. zwrotny DN80 PN10/16 R48, EPDM urządz. do podnos. dysku</v>
      </c>
      <c r="S1220" s="733"/>
      <c r="T1220" s="732"/>
      <c r="U1220" s="734" t="s">
        <v>5760</v>
      </c>
      <c r="V1220" s="735">
        <v>16</v>
      </c>
      <c r="W1220" s="736"/>
      <c r="X1220" s="737"/>
      <c r="Y1220" s="738"/>
      <c r="Z1220" s="739"/>
      <c r="AA1220" s="739"/>
      <c r="AB1220" s="740">
        <v>16</v>
      </c>
      <c r="AC1220" s="741" t="str">
        <f>'DICTIONARY-5'!$A$11&amp;" 48"</f>
        <v>EN 558 szereg 48</v>
      </c>
      <c r="AD1220" s="733" t="str">
        <f>'DICTIONARY-5'!$A$13&amp;", "&amp;'DICTIONARY-5'!$A$14</f>
        <v>woda pitna, ścieki</v>
      </c>
      <c r="AE1220" s="742">
        <v>80</v>
      </c>
      <c r="AF1220" s="743">
        <v>15.5</v>
      </c>
      <c r="AG1220" s="741" t="str">
        <f>'DICTIONARY-5'!$A$23</f>
        <v>powłoka epoksydowa</v>
      </c>
    </row>
    <row r="1221" spans="1:33" x14ac:dyDescent="0.25">
      <c r="A1221" s="861" t="s">
        <v>1226</v>
      </c>
      <c r="B1221" s="861" t="s">
        <v>4390</v>
      </c>
      <c r="C1221" s="836">
        <v>209</v>
      </c>
      <c r="D1221" s="836"/>
      <c r="E1221" s="836"/>
      <c r="F1221" s="836"/>
      <c r="G1221" s="496" t="s">
        <v>7823</v>
      </c>
      <c r="H1221" s="797" t="str">
        <f>VLOOKUP(G1221,SETTINGS!$B$7:$D$97,2,0)</f>
        <v>RETO-STOP</v>
      </c>
      <c r="I1221" s="796">
        <f>VLOOKUP(G1221,SETTINGS!$B$7:$D$97,3,0)</f>
        <v>0</v>
      </c>
      <c r="J1221" s="670" t="str">
        <f>IFERROR(IF(CURRENCY.FORMAT_1=0,CONCATENATE(TEXT(FIXED(ROUND((C1221/EXC.RATE_1),CURRENCY.FORMAT_1),CURRENCY.FORMAT_1,1),"# ##0;-# ##0"),",-"),FIXED(ROUND((C1221/EXC.RATE_1),CURRENCY.FORMAT_1),CURRENCY.FORMAT_1,0)),'DICTIONARY-5'!$A$2)</f>
        <v>209,-</v>
      </c>
      <c r="K1221" s="670" t="str">
        <f>IF(EXC.RATE_2=0,"",IFERROR(IF(CURRENCY.FORMAT_2=0,CONCATENATE(TEXT(FIXED(ROUND(IF(EXC.RATE.SWITCH=1,C1221/EXC.RATE_2,C1221*EXC.RATE_2),CURRENCY.FORMAT_2),CURRENCY.FORMAT_2,1),"# ##0;-# ##0"),",-"),FIXED(ROUND(IF(EXC.RATE.SWITCH=1,C1221/EXC.RATE_2,C1221*EXC.RATE_2),CURRENCY.FORMAT_2),CURRENCY.FORMAT_2,0)),'DICTIONARY-5'!$A$2))</f>
        <v/>
      </c>
      <c r="L1221" s="670" t="str">
        <f>IFERROR(IF(CURRENCY.FORMAT_1=0,CONCATENATE(TEXT(FIXED(ROUND((C1221*(1-I1221)*(1-ADD.DISCOUNT)*(1+MAT.SURCHARGE)/EXC.RATE_1),CURRENCY.FORMAT_1),CURRENCY.FORMAT_1,1),"# ##0;-# ##0"),",-"),FIXED(ROUND((C1221*(1-I1221)*(1-ADD.DISCOUNT)*(1+MAT.SURCHARGE)/EXC.RATE_1),CURRENCY.FORMAT_1),CURRENCY.FORMAT_1,0)),'DICTIONARY-5'!$A$2)</f>
        <v>217,-</v>
      </c>
      <c r="M1221" s="670" t="str">
        <f>IF(EXC.RATE_2=0,"",IFERROR(IF(CURRENCY.FORMAT_2=0,CONCATENATE(TEXT(FIXED(ROUND(IF(EXC.RATE.SWITCH=1,C1221*(1-I1221)*(1-ADD.DISCOUNT)*(1+MAT.SURCHARGE)/EXC.RATE_2,C1221*(1-I1221)*(1-ADD.DISCOUNT)*(1+MAT.SURCHARGE)*EXC.RATE_2),CURRENCY.FORMAT_2),CURRENCY.FORMAT_2,1),"# ##0;-# ##0"),",-"),FIXED(ROUND(IF(EXC.RATE.SWITCH=1,C1221*(1-I1221)*(1-ADD.DISCOUNT)*(1+MAT.SURCHARGE)/EXC.RATE_2,C1221*(1-I1221)*(1-ADD.DISCOUNT)*(1+MAT.SURCHARGE)*EXC.RATE_2),CURRENCY.FORMAT_2),CURRENCY.FORMAT_2,0)),'DICTIONARY-5'!$A$2))</f>
        <v/>
      </c>
      <c r="N1221" s="539">
        <v>5</v>
      </c>
      <c r="O1221" s="539"/>
      <c r="P1221" s="731" t="str">
        <f>'DICTIONARY-3'!$A$98</f>
        <v>RETO-STOP</v>
      </c>
      <c r="Q1221" s="732" t="str">
        <f>'DICTIONARY-3'!$A$200</f>
        <v>Zawór zwrotny</v>
      </c>
      <c r="R1221" s="732" t="str">
        <f>CONCATENATE('DICTIONARY-3'!$A$98," ",'DICTIONARY-6'!$A$20," ",'DICTIONARY-2'!$A$2,"100"," ",'DICTIONARY-2'!$A$3,"10/16"," ","R48",", ",'DICTIONARY-5'!$A$44,," ",'DICTIONARY-3'!$A$313)</f>
        <v>RETO-STOP Zaw. zwrotny DN100 PN10/16 R48, EPDM urządz. do podnos. dysku</v>
      </c>
      <c r="S1221" s="733"/>
      <c r="T1221" s="732"/>
      <c r="U1221" s="734" t="s">
        <v>5749</v>
      </c>
      <c r="V1221" s="735">
        <v>16</v>
      </c>
      <c r="W1221" s="736"/>
      <c r="X1221" s="737"/>
      <c r="Y1221" s="738"/>
      <c r="Z1221" s="739"/>
      <c r="AA1221" s="739"/>
      <c r="AB1221" s="740">
        <v>16</v>
      </c>
      <c r="AC1221" s="741" t="str">
        <f>'DICTIONARY-5'!$A$11&amp;" 48"</f>
        <v>EN 558 szereg 48</v>
      </c>
      <c r="AD1221" s="733" t="str">
        <f>'DICTIONARY-5'!$A$13&amp;", "&amp;'DICTIONARY-5'!$A$14</f>
        <v>woda pitna, ścieki</v>
      </c>
      <c r="AE1221" s="742">
        <v>80</v>
      </c>
      <c r="AF1221" s="743">
        <v>20</v>
      </c>
      <c r="AG1221" s="741" t="str">
        <f>'DICTIONARY-5'!$A$23</f>
        <v>powłoka epoksydowa</v>
      </c>
    </row>
    <row r="1222" spans="1:33" x14ac:dyDescent="0.25">
      <c r="A1222" s="861" t="s">
        <v>1227</v>
      </c>
      <c r="B1222" s="861" t="str">
        <f>'DICTIONARY-5'!$A$2</f>
        <v>na zapytanie</v>
      </c>
      <c r="C1222" s="836" t="s">
        <v>5967</v>
      </c>
      <c r="D1222" s="836"/>
      <c r="E1222" s="836"/>
      <c r="F1222" s="836"/>
      <c r="G1222" s="496" t="s">
        <v>7823</v>
      </c>
      <c r="H1222" s="797" t="str">
        <f>VLOOKUP(G1222,SETTINGS!$B$7:$D$97,2,0)</f>
        <v>RETO-STOP</v>
      </c>
      <c r="I1222" s="796">
        <f>VLOOKUP(G1222,SETTINGS!$B$7:$D$97,3,0)</f>
        <v>0</v>
      </c>
      <c r="J1222" s="670" t="str">
        <f>IFERROR(IF(CURRENCY.FORMAT_1=0,CONCATENATE(TEXT(FIXED(ROUND((C1222/EXC.RATE_1),CURRENCY.FORMAT_1),CURRENCY.FORMAT_1,1),"# ##0;-# ##0"),",-"),FIXED(ROUND((C1222/EXC.RATE_1),CURRENCY.FORMAT_1),CURRENCY.FORMAT_1,0)),'DICTIONARY-5'!$A$2)</f>
        <v>na zapytanie</v>
      </c>
      <c r="K1222" s="670" t="str">
        <f>IF(EXC.RATE_2=0,"",IFERROR(IF(CURRENCY.FORMAT_2=0,CONCATENATE(TEXT(FIXED(ROUND(IF(EXC.RATE.SWITCH=1,C1222/EXC.RATE_2,C1222*EXC.RATE_2),CURRENCY.FORMAT_2),CURRENCY.FORMAT_2,1),"# ##0;-# ##0"),",-"),FIXED(ROUND(IF(EXC.RATE.SWITCH=1,C1222/EXC.RATE_2,C1222*EXC.RATE_2),CURRENCY.FORMAT_2),CURRENCY.FORMAT_2,0)),'DICTIONARY-5'!$A$2))</f>
        <v/>
      </c>
      <c r="L1222" s="670" t="str">
        <f>IFERROR(IF(CURRENCY.FORMAT_1=0,CONCATENATE(TEXT(FIXED(ROUND((C1222*(1-I1222)*(1-ADD.DISCOUNT)*(1+MAT.SURCHARGE)/EXC.RATE_1),CURRENCY.FORMAT_1),CURRENCY.FORMAT_1,1),"# ##0;-# ##0"),",-"),FIXED(ROUND((C1222*(1-I1222)*(1-ADD.DISCOUNT)*(1+MAT.SURCHARGE)/EXC.RATE_1),CURRENCY.FORMAT_1),CURRENCY.FORMAT_1,0)),'DICTIONARY-5'!$A$2)</f>
        <v>na zapytanie</v>
      </c>
      <c r="M1222" s="670" t="str">
        <f>IF(EXC.RATE_2=0,"",IFERROR(IF(CURRENCY.FORMAT_2=0,CONCATENATE(TEXT(FIXED(ROUND(IF(EXC.RATE.SWITCH=1,C1222*(1-I1222)*(1-ADD.DISCOUNT)*(1+MAT.SURCHARGE)/EXC.RATE_2,C1222*(1-I1222)*(1-ADD.DISCOUNT)*(1+MAT.SURCHARGE)*EXC.RATE_2),CURRENCY.FORMAT_2),CURRENCY.FORMAT_2,1),"# ##0;-# ##0"),",-"),FIXED(ROUND(IF(EXC.RATE.SWITCH=1,C1222*(1-I1222)*(1-ADD.DISCOUNT)*(1+MAT.SURCHARGE)/EXC.RATE_2,C1222*(1-I1222)*(1-ADD.DISCOUNT)*(1+MAT.SURCHARGE)*EXC.RATE_2),CURRENCY.FORMAT_2),CURRENCY.FORMAT_2,0)),'DICTIONARY-5'!$A$2))</f>
        <v/>
      </c>
      <c r="N1222" s="539">
        <v>5</v>
      </c>
      <c r="O1222" s="539"/>
      <c r="P1222" s="731" t="str">
        <f>'DICTIONARY-3'!$A$98</f>
        <v>RETO-STOP</v>
      </c>
      <c r="Q1222" s="732" t="str">
        <f>'DICTIONARY-3'!$A$200</f>
        <v>Zawór zwrotny</v>
      </c>
      <c r="R1222" s="732" t="str">
        <f>CONCATENATE('DICTIONARY-3'!$A$98," ",'DICTIONARY-6'!$A$20," ",'DICTIONARY-2'!$A$2,"125"," ",'DICTIONARY-2'!$A$3,"10/16"," ","R48",", ",'DICTIONARY-5'!$A$44,," ",'DICTIONARY-3'!$A$313)</f>
        <v>RETO-STOP Zaw. zwrotny DN125 PN10/16 R48, EPDM urządz. do podnos. dysku</v>
      </c>
      <c r="S1222" s="733"/>
      <c r="T1222" s="732"/>
      <c r="U1222" s="734" t="s">
        <v>5761</v>
      </c>
      <c r="V1222" s="735">
        <v>16</v>
      </c>
      <c r="W1222" s="736"/>
      <c r="X1222" s="737"/>
      <c r="Y1222" s="738"/>
      <c r="Z1222" s="739"/>
      <c r="AA1222" s="739"/>
      <c r="AB1222" s="740">
        <v>16</v>
      </c>
      <c r="AC1222" s="741" t="str">
        <f>'DICTIONARY-5'!$A$11&amp;" 48"</f>
        <v>EN 558 szereg 48</v>
      </c>
      <c r="AD1222" s="733" t="str">
        <f>'DICTIONARY-5'!$A$13&amp;", "&amp;'DICTIONARY-5'!$A$14</f>
        <v>woda pitna, ścieki</v>
      </c>
      <c r="AE1222" s="742">
        <v>80</v>
      </c>
      <c r="AF1222" s="743"/>
      <c r="AG1222" s="741" t="str">
        <f>'DICTIONARY-5'!$A$23</f>
        <v>powłoka epoksydowa</v>
      </c>
    </row>
    <row r="1223" spans="1:33" x14ac:dyDescent="0.25">
      <c r="A1223" s="861" t="s">
        <v>1228</v>
      </c>
      <c r="B1223" s="861" t="s">
        <v>4391</v>
      </c>
      <c r="C1223" s="836">
        <v>356</v>
      </c>
      <c r="D1223" s="836"/>
      <c r="E1223" s="836"/>
      <c r="F1223" s="836"/>
      <c r="G1223" s="496" t="s">
        <v>7823</v>
      </c>
      <c r="H1223" s="797" t="str">
        <f>VLOOKUP(G1223,SETTINGS!$B$7:$D$97,2,0)</f>
        <v>RETO-STOP</v>
      </c>
      <c r="I1223" s="796">
        <f>VLOOKUP(G1223,SETTINGS!$B$7:$D$97,3,0)</f>
        <v>0</v>
      </c>
      <c r="J1223" s="670" t="str">
        <f>IFERROR(IF(CURRENCY.FORMAT_1=0,CONCATENATE(TEXT(FIXED(ROUND((C1223/EXC.RATE_1),CURRENCY.FORMAT_1),CURRENCY.FORMAT_1,1),"# ##0;-# ##0"),",-"),FIXED(ROUND((C1223/EXC.RATE_1),CURRENCY.FORMAT_1),CURRENCY.FORMAT_1,0)),'DICTIONARY-5'!$A$2)</f>
        <v>356,-</v>
      </c>
      <c r="K1223" s="670" t="str">
        <f>IF(EXC.RATE_2=0,"",IFERROR(IF(CURRENCY.FORMAT_2=0,CONCATENATE(TEXT(FIXED(ROUND(IF(EXC.RATE.SWITCH=1,C1223/EXC.RATE_2,C1223*EXC.RATE_2),CURRENCY.FORMAT_2),CURRENCY.FORMAT_2,1),"# ##0;-# ##0"),",-"),FIXED(ROUND(IF(EXC.RATE.SWITCH=1,C1223/EXC.RATE_2,C1223*EXC.RATE_2),CURRENCY.FORMAT_2),CURRENCY.FORMAT_2,0)),'DICTIONARY-5'!$A$2))</f>
        <v/>
      </c>
      <c r="L1223" s="670" t="str">
        <f>IFERROR(IF(CURRENCY.FORMAT_1=0,CONCATENATE(TEXT(FIXED(ROUND((C1223*(1-I1223)*(1-ADD.DISCOUNT)*(1+MAT.SURCHARGE)/EXC.RATE_1),CURRENCY.FORMAT_1),CURRENCY.FORMAT_1,1),"# ##0;-# ##0"),",-"),FIXED(ROUND((C1223*(1-I1223)*(1-ADD.DISCOUNT)*(1+MAT.SURCHARGE)/EXC.RATE_1),CURRENCY.FORMAT_1),CURRENCY.FORMAT_1,0)),'DICTIONARY-5'!$A$2)</f>
        <v>370,-</v>
      </c>
      <c r="M1223" s="670" t="str">
        <f>IF(EXC.RATE_2=0,"",IFERROR(IF(CURRENCY.FORMAT_2=0,CONCATENATE(TEXT(FIXED(ROUND(IF(EXC.RATE.SWITCH=1,C1223*(1-I1223)*(1-ADD.DISCOUNT)*(1+MAT.SURCHARGE)/EXC.RATE_2,C1223*(1-I1223)*(1-ADD.DISCOUNT)*(1+MAT.SURCHARGE)*EXC.RATE_2),CURRENCY.FORMAT_2),CURRENCY.FORMAT_2,1),"# ##0;-# ##0"),",-"),FIXED(ROUND(IF(EXC.RATE.SWITCH=1,C1223*(1-I1223)*(1-ADD.DISCOUNT)*(1+MAT.SURCHARGE)/EXC.RATE_2,C1223*(1-I1223)*(1-ADD.DISCOUNT)*(1+MAT.SURCHARGE)*EXC.RATE_2),CURRENCY.FORMAT_2),CURRENCY.FORMAT_2,0)),'DICTIONARY-5'!$A$2))</f>
        <v/>
      </c>
      <c r="N1223" s="539">
        <v>5</v>
      </c>
      <c r="O1223" s="539"/>
      <c r="P1223" s="731" t="str">
        <f>'DICTIONARY-3'!$A$98</f>
        <v>RETO-STOP</v>
      </c>
      <c r="Q1223" s="732" t="str">
        <f>'DICTIONARY-3'!$A$200</f>
        <v>Zawór zwrotny</v>
      </c>
      <c r="R1223" s="732" t="str">
        <f>CONCATENATE('DICTIONARY-3'!$A$98," ",'DICTIONARY-6'!$A$20," ",'DICTIONARY-2'!$A$2,"150"," ",'DICTIONARY-2'!$A$3,"10/16"," ","R48",", ",'DICTIONARY-5'!$A$44,," ",'DICTIONARY-3'!$A$313)</f>
        <v>RETO-STOP Zaw. zwrotny DN150 PN10/16 R48, EPDM urządz. do podnos. dysku</v>
      </c>
      <c r="S1223" s="733"/>
      <c r="T1223" s="732"/>
      <c r="U1223" s="734" t="s">
        <v>5572</v>
      </c>
      <c r="V1223" s="735">
        <v>16</v>
      </c>
      <c r="W1223" s="736"/>
      <c r="X1223" s="737"/>
      <c r="Y1223" s="738"/>
      <c r="Z1223" s="739"/>
      <c r="AA1223" s="739"/>
      <c r="AB1223" s="740">
        <v>16</v>
      </c>
      <c r="AC1223" s="741" t="str">
        <f>'DICTIONARY-5'!$A$11&amp;" 48"</f>
        <v>EN 558 szereg 48</v>
      </c>
      <c r="AD1223" s="733" t="str">
        <f>'DICTIONARY-5'!$A$13&amp;", "&amp;'DICTIONARY-5'!$A$14</f>
        <v>woda pitna, ścieki</v>
      </c>
      <c r="AE1223" s="742">
        <v>80</v>
      </c>
      <c r="AF1223" s="743">
        <v>46.2</v>
      </c>
      <c r="AG1223" s="741" t="str">
        <f>'DICTIONARY-5'!$A$23</f>
        <v>powłoka epoksydowa</v>
      </c>
    </row>
    <row r="1224" spans="1:33" x14ac:dyDescent="0.25">
      <c r="A1224" s="861" t="s">
        <v>1229</v>
      </c>
      <c r="B1224" s="861" t="str">
        <f>'DICTIONARY-5'!$A$2</f>
        <v>na zapytanie</v>
      </c>
      <c r="C1224" s="836" t="s">
        <v>5967</v>
      </c>
      <c r="D1224" s="836"/>
      <c r="E1224" s="836"/>
      <c r="F1224" s="836"/>
      <c r="G1224" s="496" t="s">
        <v>7823</v>
      </c>
      <c r="H1224" s="797" t="str">
        <f>VLOOKUP(G1224,SETTINGS!$B$7:$D$97,2,0)</f>
        <v>RETO-STOP</v>
      </c>
      <c r="I1224" s="796">
        <f>VLOOKUP(G1224,SETTINGS!$B$7:$D$97,3,0)</f>
        <v>0</v>
      </c>
      <c r="J1224" s="670" t="str">
        <f>IFERROR(IF(CURRENCY.FORMAT_1=0,CONCATENATE(TEXT(FIXED(ROUND((C1224/EXC.RATE_1),CURRENCY.FORMAT_1),CURRENCY.FORMAT_1,1),"# ##0;-# ##0"),",-"),FIXED(ROUND((C1224/EXC.RATE_1),CURRENCY.FORMAT_1),CURRENCY.FORMAT_1,0)),'DICTIONARY-5'!$A$2)</f>
        <v>na zapytanie</v>
      </c>
      <c r="K1224" s="670" t="str">
        <f>IF(EXC.RATE_2=0,"",IFERROR(IF(CURRENCY.FORMAT_2=0,CONCATENATE(TEXT(FIXED(ROUND(IF(EXC.RATE.SWITCH=1,C1224/EXC.RATE_2,C1224*EXC.RATE_2),CURRENCY.FORMAT_2),CURRENCY.FORMAT_2,1),"# ##0;-# ##0"),",-"),FIXED(ROUND(IF(EXC.RATE.SWITCH=1,C1224/EXC.RATE_2,C1224*EXC.RATE_2),CURRENCY.FORMAT_2),CURRENCY.FORMAT_2,0)),'DICTIONARY-5'!$A$2))</f>
        <v/>
      </c>
      <c r="L1224" s="670" t="str">
        <f>IFERROR(IF(CURRENCY.FORMAT_1=0,CONCATENATE(TEXT(FIXED(ROUND((C1224*(1-I1224)*(1-ADD.DISCOUNT)*(1+MAT.SURCHARGE)/EXC.RATE_1),CURRENCY.FORMAT_1),CURRENCY.FORMAT_1,1),"# ##0;-# ##0"),",-"),FIXED(ROUND((C1224*(1-I1224)*(1-ADD.DISCOUNT)*(1+MAT.SURCHARGE)/EXC.RATE_1),CURRENCY.FORMAT_1),CURRENCY.FORMAT_1,0)),'DICTIONARY-5'!$A$2)</f>
        <v>na zapytanie</v>
      </c>
      <c r="M1224" s="670" t="str">
        <f>IF(EXC.RATE_2=0,"",IFERROR(IF(CURRENCY.FORMAT_2=0,CONCATENATE(TEXT(FIXED(ROUND(IF(EXC.RATE.SWITCH=1,C1224*(1-I1224)*(1-ADD.DISCOUNT)*(1+MAT.SURCHARGE)/EXC.RATE_2,C1224*(1-I1224)*(1-ADD.DISCOUNT)*(1+MAT.SURCHARGE)*EXC.RATE_2),CURRENCY.FORMAT_2),CURRENCY.FORMAT_2,1),"# ##0;-# ##0"),",-"),FIXED(ROUND(IF(EXC.RATE.SWITCH=1,C1224*(1-I1224)*(1-ADD.DISCOUNT)*(1+MAT.SURCHARGE)/EXC.RATE_2,C1224*(1-I1224)*(1-ADD.DISCOUNT)*(1+MAT.SURCHARGE)*EXC.RATE_2),CURRENCY.FORMAT_2),CURRENCY.FORMAT_2,0)),'DICTIONARY-5'!$A$2))</f>
        <v/>
      </c>
      <c r="N1224" s="539">
        <v>5</v>
      </c>
      <c r="O1224" s="539"/>
      <c r="P1224" s="731" t="str">
        <f>'DICTIONARY-3'!$A$98</f>
        <v>RETO-STOP</v>
      </c>
      <c r="Q1224" s="732" t="str">
        <f>'DICTIONARY-3'!$A$200</f>
        <v>Zawór zwrotny</v>
      </c>
      <c r="R1224" s="732" t="str">
        <f>CONCATENATE('DICTIONARY-3'!$A$98," ",'DICTIONARY-6'!$A$20," ",'DICTIONARY-2'!$A$2,"200"," ",'DICTIONARY-2'!$A$3,"10"," ","R48",", ",'DICTIONARY-5'!$A$44,," ",'DICTIONARY-3'!$A$313)</f>
        <v>RETO-STOP Zaw. zwrotny DN200 PN10 R48, EPDM urządz. do podnos. dysku</v>
      </c>
      <c r="S1224" s="733"/>
      <c r="T1224" s="732"/>
      <c r="U1224" s="734" t="s">
        <v>5750</v>
      </c>
      <c r="V1224" s="735">
        <v>10</v>
      </c>
      <c r="W1224" s="736"/>
      <c r="X1224" s="737"/>
      <c r="Y1224" s="738"/>
      <c r="Z1224" s="739"/>
      <c r="AA1224" s="739"/>
      <c r="AB1224" s="740">
        <v>10</v>
      </c>
      <c r="AC1224" s="741" t="str">
        <f>'DICTIONARY-5'!$A$11&amp;" 48"</f>
        <v>EN 558 szereg 48</v>
      </c>
      <c r="AD1224" s="733" t="str">
        <f>'DICTIONARY-5'!$A$13&amp;", "&amp;'DICTIONARY-5'!$A$14</f>
        <v>woda pitna, ścieki</v>
      </c>
      <c r="AE1224" s="742">
        <v>80</v>
      </c>
      <c r="AF1224" s="743"/>
      <c r="AG1224" s="741" t="str">
        <f>'DICTIONARY-5'!$A$23</f>
        <v>powłoka epoksydowa</v>
      </c>
    </row>
    <row r="1225" spans="1:33" x14ac:dyDescent="0.25">
      <c r="A1225" s="861" t="s">
        <v>1230</v>
      </c>
      <c r="B1225" s="861" t="str">
        <f>'DICTIONARY-5'!$A$2</f>
        <v>na zapytanie</v>
      </c>
      <c r="C1225" s="836" t="s">
        <v>5967</v>
      </c>
      <c r="D1225" s="836"/>
      <c r="E1225" s="836"/>
      <c r="F1225" s="836"/>
      <c r="G1225" s="496" t="s">
        <v>7823</v>
      </c>
      <c r="H1225" s="797" t="str">
        <f>VLOOKUP(G1225,SETTINGS!$B$7:$D$97,2,0)</f>
        <v>RETO-STOP</v>
      </c>
      <c r="I1225" s="796">
        <f>VLOOKUP(G1225,SETTINGS!$B$7:$D$97,3,0)</f>
        <v>0</v>
      </c>
      <c r="J1225" s="670" t="str">
        <f>IFERROR(IF(CURRENCY.FORMAT_1=0,CONCATENATE(TEXT(FIXED(ROUND((C1225/EXC.RATE_1),CURRENCY.FORMAT_1),CURRENCY.FORMAT_1,1),"# ##0;-# ##0"),",-"),FIXED(ROUND((C1225/EXC.RATE_1),CURRENCY.FORMAT_1),CURRENCY.FORMAT_1,0)),'DICTIONARY-5'!$A$2)</f>
        <v>na zapytanie</v>
      </c>
      <c r="K1225" s="670" t="str">
        <f>IF(EXC.RATE_2=0,"",IFERROR(IF(CURRENCY.FORMAT_2=0,CONCATENATE(TEXT(FIXED(ROUND(IF(EXC.RATE.SWITCH=1,C1225/EXC.RATE_2,C1225*EXC.RATE_2),CURRENCY.FORMAT_2),CURRENCY.FORMAT_2,1),"# ##0;-# ##0"),",-"),FIXED(ROUND(IF(EXC.RATE.SWITCH=1,C1225/EXC.RATE_2,C1225*EXC.RATE_2),CURRENCY.FORMAT_2),CURRENCY.FORMAT_2,0)),'DICTIONARY-5'!$A$2))</f>
        <v/>
      </c>
      <c r="L1225" s="670" t="str">
        <f>IFERROR(IF(CURRENCY.FORMAT_1=0,CONCATENATE(TEXT(FIXED(ROUND((C1225*(1-I1225)*(1-ADD.DISCOUNT)*(1+MAT.SURCHARGE)/EXC.RATE_1),CURRENCY.FORMAT_1),CURRENCY.FORMAT_1,1),"# ##0;-# ##0"),",-"),FIXED(ROUND((C1225*(1-I1225)*(1-ADD.DISCOUNT)*(1+MAT.SURCHARGE)/EXC.RATE_1),CURRENCY.FORMAT_1),CURRENCY.FORMAT_1,0)),'DICTIONARY-5'!$A$2)</f>
        <v>na zapytanie</v>
      </c>
      <c r="M1225" s="670" t="str">
        <f>IF(EXC.RATE_2=0,"",IFERROR(IF(CURRENCY.FORMAT_2=0,CONCATENATE(TEXT(FIXED(ROUND(IF(EXC.RATE.SWITCH=1,C1225*(1-I1225)*(1-ADD.DISCOUNT)*(1+MAT.SURCHARGE)/EXC.RATE_2,C1225*(1-I1225)*(1-ADD.DISCOUNT)*(1+MAT.SURCHARGE)*EXC.RATE_2),CURRENCY.FORMAT_2),CURRENCY.FORMAT_2,1),"# ##0;-# ##0"),",-"),FIXED(ROUND(IF(EXC.RATE.SWITCH=1,C1225*(1-I1225)*(1-ADD.DISCOUNT)*(1+MAT.SURCHARGE)/EXC.RATE_2,C1225*(1-I1225)*(1-ADD.DISCOUNT)*(1+MAT.SURCHARGE)*EXC.RATE_2),CURRENCY.FORMAT_2),CURRENCY.FORMAT_2,0)),'DICTIONARY-5'!$A$2))</f>
        <v/>
      </c>
      <c r="N1225" s="539">
        <v>5</v>
      </c>
      <c r="O1225" s="539"/>
      <c r="P1225" s="731" t="str">
        <f>'DICTIONARY-3'!$A$98</f>
        <v>RETO-STOP</v>
      </c>
      <c r="Q1225" s="732" t="str">
        <f>'DICTIONARY-3'!$A$200</f>
        <v>Zawór zwrotny</v>
      </c>
      <c r="R1225" s="732" t="str">
        <f>CONCATENATE('DICTIONARY-3'!$A$98," ",'DICTIONARY-6'!$A$20," ",'DICTIONARY-2'!$A$2,"200"," ",'DICTIONARY-2'!$A$3,"16"," ","R48",", ",'DICTIONARY-5'!$A$44,," ",'DICTIONARY-3'!$A$313)</f>
        <v>RETO-STOP Zaw. zwrotny DN200 PN16 R48, EPDM urządz. do podnos. dysku</v>
      </c>
      <c r="S1225" s="733"/>
      <c r="T1225" s="732"/>
      <c r="U1225" s="734" t="s">
        <v>5750</v>
      </c>
      <c r="V1225" s="735">
        <v>16</v>
      </c>
      <c r="W1225" s="736"/>
      <c r="X1225" s="737"/>
      <c r="Y1225" s="738"/>
      <c r="Z1225" s="739"/>
      <c r="AA1225" s="739"/>
      <c r="AB1225" s="740">
        <v>16</v>
      </c>
      <c r="AC1225" s="741" t="str">
        <f>'DICTIONARY-5'!$A$11&amp;" 48"</f>
        <v>EN 558 szereg 48</v>
      </c>
      <c r="AD1225" s="733" t="str">
        <f>'DICTIONARY-5'!$A$13&amp;", "&amp;'DICTIONARY-5'!$A$14</f>
        <v>woda pitna, ścieki</v>
      </c>
      <c r="AE1225" s="742">
        <v>80</v>
      </c>
      <c r="AF1225" s="743"/>
      <c r="AG1225" s="741" t="str">
        <f>'DICTIONARY-5'!$A$23</f>
        <v>powłoka epoksydowa</v>
      </c>
    </row>
    <row r="1226" spans="1:33" x14ac:dyDescent="0.25">
      <c r="A1226" s="861" t="s">
        <v>1231</v>
      </c>
      <c r="B1226" s="861" t="str">
        <f>'DICTIONARY-5'!$A$2</f>
        <v>na zapytanie</v>
      </c>
      <c r="C1226" s="836" t="s">
        <v>5967</v>
      </c>
      <c r="D1226" s="836"/>
      <c r="E1226" s="836"/>
      <c r="F1226" s="836"/>
      <c r="G1226" s="496" t="s">
        <v>7823</v>
      </c>
      <c r="H1226" s="797" t="str">
        <f>VLOOKUP(G1226,SETTINGS!$B$7:$D$97,2,0)</f>
        <v>RETO-STOP</v>
      </c>
      <c r="I1226" s="796">
        <f>VLOOKUP(G1226,SETTINGS!$B$7:$D$97,3,0)</f>
        <v>0</v>
      </c>
      <c r="J1226" s="670" t="str">
        <f>IFERROR(IF(CURRENCY.FORMAT_1=0,CONCATENATE(TEXT(FIXED(ROUND((C1226/EXC.RATE_1),CURRENCY.FORMAT_1),CURRENCY.FORMAT_1,1),"# ##0;-# ##0"),",-"),FIXED(ROUND((C1226/EXC.RATE_1),CURRENCY.FORMAT_1),CURRENCY.FORMAT_1,0)),'DICTIONARY-5'!$A$2)</f>
        <v>na zapytanie</v>
      </c>
      <c r="K1226" s="670" t="str">
        <f>IF(EXC.RATE_2=0,"",IFERROR(IF(CURRENCY.FORMAT_2=0,CONCATENATE(TEXT(FIXED(ROUND(IF(EXC.RATE.SWITCH=1,C1226/EXC.RATE_2,C1226*EXC.RATE_2),CURRENCY.FORMAT_2),CURRENCY.FORMAT_2,1),"# ##0;-# ##0"),",-"),FIXED(ROUND(IF(EXC.RATE.SWITCH=1,C1226/EXC.RATE_2,C1226*EXC.RATE_2),CURRENCY.FORMAT_2),CURRENCY.FORMAT_2,0)),'DICTIONARY-5'!$A$2))</f>
        <v/>
      </c>
      <c r="L1226" s="670" t="str">
        <f>IFERROR(IF(CURRENCY.FORMAT_1=0,CONCATENATE(TEXT(FIXED(ROUND((C1226*(1-I1226)*(1-ADD.DISCOUNT)*(1+MAT.SURCHARGE)/EXC.RATE_1),CURRENCY.FORMAT_1),CURRENCY.FORMAT_1,1),"# ##0;-# ##0"),",-"),FIXED(ROUND((C1226*(1-I1226)*(1-ADD.DISCOUNT)*(1+MAT.SURCHARGE)/EXC.RATE_1),CURRENCY.FORMAT_1),CURRENCY.FORMAT_1,0)),'DICTIONARY-5'!$A$2)</f>
        <v>na zapytanie</v>
      </c>
      <c r="M1226" s="670" t="str">
        <f>IF(EXC.RATE_2=0,"",IFERROR(IF(CURRENCY.FORMAT_2=0,CONCATENATE(TEXT(FIXED(ROUND(IF(EXC.RATE.SWITCH=1,C1226*(1-I1226)*(1-ADD.DISCOUNT)*(1+MAT.SURCHARGE)/EXC.RATE_2,C1226*(1-I1226)*(1-ADD.DISCOUNT)*(1+MAT.SURCHARGE)*EXC.RATE_2),CURRENCY.FORMAT_2),CURRENCY.FORMAT_2,1),"# ##0;-# ##0"),",-"),FIXED(ROUND(IF(EXC.RATE.SWITCH=1,C1226*(1-I1226)*(1-ADD.DISCOUNT)*(1+MAT.SURCHARGE)/EXC.RATE_2,C1226*(1-I1226)*(1-ADD.DISCOUNT)*(1+MAT.SURCHARGE)*EXC.RATE_2),CURRENCY.FORMAT_2),CURRENCY.FORMAT_2,0)),'DICTIONARY-5'!$A$2))</f>
        <v/>
      </c>
      <c r="N1226" s="539">
        <v>5</v>
      </c>
      <c r="O1226" s="539"/>
      <c r="P1226" s="731" t="str">
        <f>'DICTIONARY-3'!$A$98</f>
        <v>RETO-STOP</v>
      </c>
      <c r="Q1226" s="732" t="str">
        <f>'DICTIONARY-3'!$A$200</f>
        <v>Zawór zwrotny</v>
      </c>
      <c r="R1226" s="732" t="str">
        <f>CONCATENATE('DICTIONARY-3'!$A$98," ",'DICTIONARY-6'!$A$20," ",'DICTIONARY-2'!$A$2,"250"," ",'DICTIONARY-2'!$A$3,"10"," ","R48",", ",'DICTIONARY-5'!$A$44,," ",'DICTIONARY-3'!$A$313)</f>
        <v>RETO-STOP Zaw. zwrotny DN250 PN10 R48, EPDM urządz. do podnos. dysku</v>
      </c>
      <c r="S1226" s="733"/>
      <c r="T1226" s="732"/>
      <c r="U1226" s="734" t="s">
        <v>5751</v>
      </c>
      <c r="V1226" s="735">
        <v>10</v>
      </c>
      <c r="W1226" s="736"/>
      <c r="X1226" s="737"/>
      <c r="Y1226" s="738"/>
      <c r="Z1226" s="739"/>
      <c r="AA1226" s="739"/>
      <c r="AB1226" s="740">
        <v>10</v>
      </c>
      <c r="AC1226" s="741" t="str">
        <f>'DICTIONARY-5'!$A$11&amp;" 48"</f>
        <v>EN 558 szereg 48</v>
      </c>
      <c r="AD1226" s="733" t="str">
        <f>'DICTIONARY-5'!$A$13&amp;", "&amp;'DICTIONARY-5'!$A$14</f>
        <v>woda pitna, ścieki</v>
      </c>
      <c r="AE1226" s="742">
        <v>80</v>
      </c>
      <c r="AF1226" s="743"/>
      <c r="AG1226" s="741" t="str">
        <f>'DICTIONARY-5'!$A$23</f>
        <v>powłoka epoksydowa</v>
      </c>
    </row>
    <row r="1227" spans="1:33" x14ac:dyDescent="0.25">
      <c r="A1227" s="861" t="s">
        <v>1232</v>
      </c>
      <c r="B1227" s="861" t="str">
        <f>'DICTIONARY-5'!$A$2</f>
        <v>na zapytanie</v>
      </c>
      <c r="C1227" s="836" t="s">
        <v>5967</v>
      </c>
      <c r="D1227" s="836"/>
      <c r="E1227" s="836"/>
      <c r="F1227" s="836"/>
      <c r="G1227" s="496" t="s">
        <v>7823</v>
      </c>
      <c r="H1227" s="797" t="str">
        <f>VLOOKUP(G1227,SETTINGS!$B$7:$D$97,2,0)</f>
        <v>RETO-STOP</v>
      </c>
      <c r="I1227" s="796">
        <f>VLOOKUP(G1227,SETTINGS!$B$7:$D$97,3,0)</f>
        <v>0</v>
      </c>
      <c r="J1227" s="670" t="str">
        <f>IFERROR(IF(CURRENCY.FORMAT_1=0,CONCATENATE(TEXT(FIXED(ROUND((C1227/EXC.RATE_1),CURRENCY.FORMAT_1),CURRENCY.FORMAT_1,1),"# ##0;-# ##0"),",-"),FIXED(ROUND((C1227/EXC.RATE_1),CURRENCY.FORMAT_1),CURRENCY.FORMAT_1,0)),'DICTIONARY-5'!$A$2)</f>
        <v>na zapytanie</v>
      </c>
      <c r="K1227" s="670" t="str">
        <f>IF(EXC.RATE_2=0,"",IFERROR(IF(CURRENCY.FORMAT_2=0,CONCATENATE(TEXT(FIXED(ROUND(IF(EXC.RATE.SWITCH=1,C1227/EXC.RATE_2,C1227*EXC.RATE_2),CURRENCY.FORMAT_2),CURRENCY.FORMAT_2,1),"# ##0;-# ##0"),",-"),FIXED(ROUND(IF(EXC.RATE.SWITCH=1,C1227/EXC.RATE_2,C1227*EXC.RATE_2),CURRENCY.FORMAT_2),CURRENCY.FORMAT_2,0)),'DICTIONARY-5'!$A$2))</f>
        <v/>
      </c>
      <c r="L1227" s="670" t="str">
        <f>IFERROR(IF(CURRENCY.FORMAT_1=0,CONCATENATE(TEXT(FIXED(ROUND((C1227*(1-I1227)*(1-ADD.DISCOUNT)*(1+MAT.SURCHARGE)/EXC.RATE_1),CURRENCY.FORMAT_1),CURRENCY.FORMAT_1,1),"# ##0;-# ##0"),",-"),FIXED(ROUND((C1227*(1-I1227)*(1-ADD.DISCOUNT)*(1+MAT.SURCHARGE)/EXC.RATE_1),CURRENCY.FORMAT_1),CURRENCY.FORMAT_1,0)),'DICTIONARY-5'!$A$2)</f>
        <v>na zapytanie</v>
      </c>
      <c r="M1227" s="670" t="str">
        <f>IF(EXC.RATE_2=0,"",IFERROR(IF(CURRENCY.FORMAT_2=0,CONCATENATE(TEXT(FIXED(ROUND(IF(EXC.RATE.SWITCH=1,C1227*(1-I1227)*(1-ADD.DISCOUNT)*(1+MAT.SURCHARGE)/EXC.RATE_2,C1227*(1-I1227)*(1-ADD.DISCOUNT)*(1+MAT.SURCHARGE)*EXC.RATE_2),CURRENCY.FORMAT_2),CURRENCY.FORMAT_2,1),"# ##0;-# ##0"),",-"),FIXED(ROUND(IF(EXC.RATE.SWITCH=1,C1227*(1-I1227)*(1-ADD.DISCOUNT)*(1+MAT.SURCHARGE)/EXC.RATE_2,C1227*(1-I1227)*(1-ADD.DISCOUNT)*(1+MAT.SURCHARGE)*EXC.RATE_2),CURRENCY.FORMAT_2),CURRENCY.FORMAT_2,0)),'DICTIONARY-5'!$A$2))</f>
        <v/>
      </c>
      <c r="N1227" s="539">
        <v>5</v>
      </c>
      <c r="O1227" s="539"/>
      <c r="P1227" s="731" t="str">
        <f>'DICTIONARY-3'!$A$98</f>
        <v>RETO-STOP</v>
      </c>
      <c r="Q1227" s="732" t="str">
        <f>'DICTIONARY-3'!$A$200</f>
        <v>Zawór zwrotny</v>
      </c>
      <c r="R1227" s="732" t="str">
        <f>CONCATENATE('DICTIONARY-3'!$A$98," ",'DICTIONARY-6'!$A$20," ",'DICTIONARY-2'!$A$2,"250"," ",'DICTIONARY-2'!$A$3,"16"," ","R48",", ",'DICTIONARY-5'!$A$44,," ",'DICTIONARY-3'!$A$313)</f>
        <v>RETO-STOP Zaw. zwrotny DN250 PN16 R48, EPDM urządz. do podnos. dysku</v>
      </c>
      <c r="S1227" s="733"/>
      <c r="T1227" s="732"/>
      <c r="U1227" s="734" t="s">
        <v>5751</v>
      </c>
      <c r="V1227" s="735">
        <v>16</v>
      </c>
      <c r="W1227" s="736"/>
      <c r="X1227" s="737"/>
      <c r="Y1227" s="738"/>
      <c r="Z1227" s="739"/>
      <c r="AA1227" s="739"/>
      <c r="AB1227" s="740">
        <v>16</v>
      </c>
      <c r="AC1227" s="741" t="str">
        <f>'DICTIONARY-5'!$A$11&amp;" 48"</f>
        <v>EN 558 szereg 48</v>
      </c>
      <c r="AD1227" s="733" t="str">
        <f>'DICTIONARY-5'!$A$13&amp;", "&amp;'DICTIONARY-5'!$A$14</f>
        <v>woda pitna, ścieki</v>
      </c>
      <c r="AE1227" s="742">
        <v>80</v>
      </c>
      <c r="AF1227" s="743"/>
      <c r="AG1227" s="741" t="str">
        <f>'DICTIONARY-5'!$A$23</f>
        <v>powłoka epoksydowa</v>
      </c>
    </row>
    <row r="1228" spans="1:33" x14ac:dyDescent="0.25">
      <c r="A1228" s="861" t="s">
        <v>1233</v>
      </c>
      <c r="B1228" s="861" t="str">
        <f>'DICTIONARY-5'!$A$2</f>
        <v>na zapytanie</v>
      </c>
      <c r="C1228" s="836" t="s">
        <v>5967</v>
      </c>
      <c r="D1228" s="836"/>
      <c r="E1228" s="836"/>
      <c r="F1228" s="836"/>
      <c r="G1228" s="496" t="s">
        <v>7823</v>
      </c>
      <c r="H1228" s="797" t="str">
        <f>VLOOKUP(G1228,SETTINGS!$B$7:$D$97,2,0)</f>
        <v>RETO-STOP</v>
      </c>
      <c r="I1228" s="796">
        <f>VLOOKUP(G1228,SETTINGS!$B$7:$D$97,3,0)</f>
        <v>0</v>
      </c>
      <c r="J1228" s="670" t="str">
        <f>IFERROR(IF(CURRENCY.FORMAT_1=0,CONCATENATE(TEXT(FIXED(ROUND((C1228/EXC.RATE_1),CURRENCY.FORMAT_1),CURRENCY.FORMAT_1,1),"# ##0;-# ##0"),",-"),FIXED(ROUND((C1228/EXC.RATE_1),CURRENCY.FORMAT_1),CURRENCY.FORMAT_1,0)),'DICTIONARY-5'!$A$2)</f>
        <v>na zapytanie</v>
      </c>
      <c r="K1228" s="670" t="str">
        <f>IF(EXC.RATE_2=0,"",IFERROR(IF(CURRENCY.FORMAT_2=0,CONCATENATE(TEXT(FIXED(ROUND(IF(EXC.RATE.SWITCH=1,C1228/EXC.RATE_2,C1228*EXC.RATE_2),CURRENCY.FORMAT_2),CURRENCY.FORMAT_2,1),"# ##0;-# ##0"),",-"),FIXED(ROUND(IF(EXC.RATE.SWITCH=1,C1228/EXC.RATE_2,C1228*EXC.RATE_2),CURRENCY.FORMAT_2),CURRENCY.FORMAT_2,0)),'DICTIONARY-5'!$A$2))</f>
        <v/>
      </c>
      <c r="L1228" s="670" t="str">
        <f>IFERROR(IF(CURRENCY.FORMAT_1=0,CONCATENATE(TEXT(FIXED(ROUND((C1228*(1-I1228)*(1-ADD.DISCOUNT)*(1+MAT.SURCHARGE)/EXC.RATE_1),CURRENCY.FORMAT_1),CURRENCY.FORMAT_1,1),"# ##0;-# ##0"),",-"),FIXED(ROUND((C1228*(1-I1228)*(1-ADD.DISCOUNT)*(1+MAT.SURCHARGE)/EXC.RATE_1),CURRENCY.FORMAT_1),CURRENCY.FORMAT_1,0)),'DICTIONARY-5'!$A$2)</f>
        <v>na zapytanie</v>
      </c>
      <c r="M1228" s="670" t="str">
        <f>IF(EXC.RATE_2=0,"",IFERROR(IF(CURRENCY.FORMAT_2=0,CONCATENATE(TEXT(FIXED(ROUND(IF(EXC.RATE.SWITCH=1,C1228*(1-I1228)*(1-ADD.DISCOUNT)*(1+MAT.SURCHARGE)/EXC.RATE_2,C1228*(1-I1228)*(1-ADD.DISCOUNT)*(1+MAT.SURCHARGE)*EXC.RATE_2),CURRENCY.FORMAT_2),CURRENCY.FORMAT_2,1),"# ##0;-# ##0"),",-"),FIXED(ROUND(IF(EXC.RATE.SWITCH=1,C1228*(1-I1228)*(1-ADD.DISCOUNT)*(1+MAT.SURCHARGE)/EXC.RATE_2,C1228*(1-I1228)*(1-ADD.DISCOUNT)*(1+MAT.SURCHARGE)*EXC.RATE_2),CURRENCY.FORMAT_2),CURRENCY.FORMAT_2,0)),'DICTIONARY-5'!$A$2))</f>
        <v/>
      </c>
      <c r="N1228" s="539">
        <v>5</v>
      </c>
      <c r="O1228" s="539"/>
      <c r="P1228" s="731" t="str">
        <f>'DICTIONARY-3'!$A$98</f>
        <v>RETO-STOP</v>
      </c>
      <c r="Q1228" s="732" t="str">
        <f>'DICTIONARY-3'!$A$200</f>
        <v>Zawór zwrotny</v>
      </c>
      <c r="R1228" s="732" t="str">
        <f>CONCATENATE('DICTIONARY-3'!$A$98," ",'DICTIONARY-6'!$A$20," ",'DICTIONARY-2'!$A$2,"300"," ",'DICTIONARY-2'!$A$3,"10"," ","R48",", ",'DICTIONARY-5'!$A$44,," ",'DICTIONARY-3'!$A$313)</f>
        <v>RETO-STOP Zaw. zwrotny DN300 PN10 R48, EPDM urządz. do podnos. dysku</v>
      </c>
      <c r="S1228" s="733"/>
      <c r="T1228" s="732"/>
      <c r="U1228" s="734" t="s">
        <v>5752</v>
      </c>
      <c r="V1228" s="735">
        <v>10</v>
      </c>
      <c r="W1228" s="736"/>
      <c r="X1228" s="737"/>
      <c r="Y1228" s="738"/>
      <c r="Z1228" s="739"/>
      <c r="AA1228" s="739"/>
      <c r="AB1228" s="740">
        <v>10</v>
      </c>
      <c r="AC1228" s="741" t="str">
        <f>'DICTIONARY-5'!$A$11&amp;" 48"</f>
        <v>EN 558 szereg 48</v>
      </c>
      <c r="AD1228" s="733" t="str">
        <f>'DICTIONARY-5'!$A$13&amp;", "&amp;'DICTIONARY-5'!$A$14</f>
        <v>woda pitna, ścieki</v>
      </c>
      <c r="AE1228" s="742">
        <v>80</v>
      </c>
      <c r="AF1228" s="743"/>
      <c r="AG1228" s="741" t="str">
        <f>'DICTIONARY-5'!$A$23</f>
        <v>powłoka epoksydowa</v>
      </c>
    </row>
    <row r="1229" spans="1:33" x14ac:dyDescent="0.25">
      <c r="A1229" s="861" t="s">
        <v>1234</v>
      </c>
      <c r="B1229" s="861" t="str">
        <f>'DICTIONARY-5'!$A$2</f>
        <v>na zapytanie</v>
      </c>
      <c r="C1229" s="836" t="s">
        <v>5967</v>
      </c>
      <c r="D1229" s="836"/>
      <c r="E1229" s="836"/>
      <c r="F1229" s="836"/>
      <c r="G1229" s="496" t="s">
        <v>7823</v>
      </c>
      <c r="H1229" s="797" t="str">
        <f>VLOOKUP(G1229,SETTINGS!$B$7:$D$97,2,0)</f>
        <v>RETO-STOP</v>
      </c>
      <c r="I1229" s="796">
        <f>VLOOKUP(G1229,SETTINGS!$B$7:$D$97,3,0)</f>
        <v>0</v>
      </c>
      <c r="J1229" s="670" t="str">
        <f>IFERROR(IF(CURRENCY.FORMAT_1=0,CONCATENATE(TEXT(FIXED(ROUND((C1229/EXC.RATE_1),CURRENCY.FORMAT_1),CURRENCY.FORMAT_1,1),"# ##0;-# ##0"),",-"),FIXED(ROUND((C1229/EXC.RATE_1),CURRENCY.FORMAT_1),CURRENCY.FORMAT_1,0)),'DICTIONARY-5'!$A$2)</f>
        <v>na zapytanie</v>
      </c>
      <c r="K1229" s="670" t="str">
        <f>IF(EXC.RATE_2=0,"",IFERROR(IF(CURRENCY.FORMAT_2=0,CONCATENATE(TEXT(FIXED(ROUND(IF(EXC.RATE.SWITCH=1,C1229/EXC.RATE_2,C1229*EXC.RATE_2),CURRENCY.FORMAT_2),CURRENCY.FORMAT_2,1),"# ##0;-# ##0"),",-"),FIXED(ROUND(IF(EXC.RATE.SWITCH=1,C1229/EXC.RATE_2,C1229*EXC.RATE_2),CURRENCY.FORMAT_2),CURRENCY.FORMAT_2,0)),'DICTIONARY-5'!$A$2))</f>
        <v/>
      </c>
      <c r="L1229" s="670" t="str">
        <f>IFERROR(IF(CURRENCY.FORMAT_1=0,CONCATENATE(TEXT(FIXED(ROUND((C1229*(1-I1229)*(1-ADD.DISCOUNT)*(1+MAT.SURCHARGE)/EXC.RATE_1),CURRENCY.FORMAT_1),CURRENCY.FORMAT_1,1),"# ##0;-# ##0"),",-"),FIXED(ROUND((C1229*(1-I1229)*(1-ADD.DISCOUNT)*(1+MAT.SURCHARGE)/EXC.RATE_1),CURRENCY.FORMAT_1),CURRENCY.FORMAT_1,0)),'DICTIONARY-5'!$A$2)</f>
        <v>na zapytanie</v>
      </c>
      <c r="M1229" s="670" t="str">
        <f>IF(EXC.RATE_2=0,"",IFERROR(IF(CURRENCY.FORMAT_2=0,CONCATENATE(TEXT(FIXED(ROUND(IF(EXC.RATE.SWITCH=1,C1229*(1-I1229)*(1-ADD.DISCOUNT)*(1+MAT.SURCHARGE)/EXC.RATE_2,C1229*(1-I1229)*(1-ADD.DISCOUNT)*(1+MAT.SURCHARGE)*EXC.RATE_2),CURRENCY.FORMAT_2),CURRENCY.FORMAT_2,1),"# ##0;-# ##0"),",-"),FIXED(ROUND(IF(EXC.RATE.SWITCH=1,C1229*(1-I1229)*(1-ADD.DISCOUNT)*(1+MAT.SURCHARGE)/EXC.RATE_2,C1229*(1-I1229)*(1-ADD.DISCOUNT)*(1+MAT.SURCHARGE)*EXC.RATE_2),CURRENCY.FORMAT_2),CURRENCY.FORMAT_2,0)),'DICTIONARY-5'!$A$2))</f>
        <v/>
      </c>
      <c r="N1229" s="539">
        <v>5</v>
      </c>
      <c r="O1229" s="539"/>
      <c r="P1229" s="731" t="str">
        <f>'DICTIONARY-3'!$A$98</f>
        <v>RETO-STOP</v>
      </c>
      <c r="Q1229" s="732" t="str">
        <f>'DICTIONARY-3'!$A$200</f>
        <v>Zawór zwrotny</v>
      </c>
      <c r="R1229" s="732" t="str">
        <f>CONCATENATE('DICTIONARY-3'!$A$98," ",'DICTIONARY-6'!$A$20," ",'DICTIONARY-2'!$A$2,"300"," ",'DICTIONARY-2'!$A$3,"16"," ","R48",", ",'DICTIONARY-5'!$A$44,," ",'DICTIONARY-3'!$A$313)</f>
        <v>RETO-STOP Zaw. zwrotny DN300 PN16 R48, EPDM urządz. do podnos. dysku</v>
      </c>
      <c r="S1229" s="733"/>
      <c r="T1229" s="732"/>
      <c r="U1229" s="734" t="s">
        <v>5752</v>
      </c>
      <c r="V1229" s="735">
        <v>16</v>
      </c>
      <c r="W1229" s="736"/>
      <c r="X1229" s="737"/>
      <c r="Y1229" s="738"/>
      <c r="Z1229" s="739"/>
      <c r="AA1229" s="739"/>
      <c r="AB1229" s="740">
        <v>16</v>
      </c>
      <c r="AC1229" s="741" t="str">
        <f>'DICTIONARY-5'!$A$11&amp;" 48"</f>
        <v>EN 558 szereg 48</v>
      </c>
      <c r="AD1229" s="733" t="str">
        <f>'DICTIONARY-5'!$A$13&amp;", "&amp;'DICTIONARY-5'!$A$14</f>
        <v>woda pitna, ścieki</v>
      </c>
      <c r="AE1229" s="742">
        <v>80</v>
      </c>
      <c r="AF1229" s="743"/>
      <c r="AG1229" s="741" t="str">
        <f>'DICTIONARY-5'!$A$23</f>
        <v>powłoka epoksydowa</v>
      </c>
    </row>
    <row r="1230" spans="1:33" x14ac:dyDescent="0.25">
      <c r="A1230" s="861" t="s">
        <v>1235</v>
      </c>
      <c r="B1230" s="861" t="s">
        <v>4425</v>
      </c>
      <c r="C1230" s="836">
        <v>269</v>
      </c>
      <c r="D1230" s="836"/>
      <c r="E1230" s="836"/>
      <c r="F1230" s="836"/>
      <c r="G1230" s="496" t="s">
        <v>7824</v>
      </c>
      <c r="H1230" s="797" t="str">
        <f>VLOOKUP(G1230,SETTINGS!$B$7:$D$97,2,0)</f>
        <v>RETA</v>
      </c>
      <c r="I1230" s="796">
        <f>VLOOKUP(G1230,SETTINGS!$B$7:$D$97,3,0)</f>
        <v>0</v>
      </c>
      <c r="J1230" s="670" t="str">
        <f>IFERROR(IF(CURRENCY.FORMAT_1=0,CONCATENATE(TEXT(FIXED(ROUND((C1230/EXC.RATE_1),CURRENCY.FORMAT_1),CURRENCY.FORMAT_1,1),"# ##0;-# ##0"),",-"),FIXED(ROUND((C1230/EXC.RATE_1),CURRENCY.FORMAT_1),CURRENCY.FORMAT_1,0)),'DICTIONARY-5'!$A$2)</f>
        <v>269,-</v>
      </c>
      <c r="K1230" s="670" t="str">
        <f>IF(EXC.RATE_2=0,"",IFERROR(IF(CURRENCY.FORMAT_2=0,CONCATENATE(TEXT(FIXED(ROUND(IF(EXC.RATE.SWITCH=1,C1230/EXC.RATE_2,C1230*EXC.RATE_2),CURRENCY.FORMAT_2),CURRENCY.FORMAT_2,1),"# ##0;-# ##0"),",-"),FIXED(ROUND(IF(EXC.RATE.SWITCH=1,C1230/EXC.RATE_2,C1230*EXC.RATE_2),CURRENCY.FORMAT_2),CURRENCY.FORMAT_2,0)),'DICTIONARY-5'!$A$2))</f>
        <v/>
      </c>
      <c r="L1230" s="670" t="str">
        <f>IFERROR(IF(CURRENCY.FORMAT_1=0,CONCATENATE(TEXT(FIXED(ROUND((C1230*(1-I1230)*(1-ADD.DISCOUNT)*(1+MAT.SURCHARGE)/EXC.RATE_1),CURRENCY.FORMAT_1),CURRENCY.FORMAT_1,1),"# ##0;-# ##0"),",-"),FIXED(ROUND((C1230*(1-I1230)*(1-ADD.DISCOUNT)*(1+MAT.SURCHARGE)/EXC.RATE_1),CURRENCY.FORMAT_1),CURRENCY.FORMAT_1,0)),'DICTIONARY-5'!$A$2)</f>
        <v>279,-</v>
      </c>
      <c r="M1230" s="670" t="str">
        <f>IF(EXC.RATE_2=0,"",IFERROR(IF(CURRENCY.FORMAT_2=0,CONCATENATE(TEXT(FIXED(ROUND(IF(EXC.RATE.SWITCH=1,C1230*(1-I1230)*(1-ADD.DISCOUNT)*(1+MAT.SURCHARGE)/EXC.RATE_2,C1230*(1-I1230)*(1-ADD.DISCOUNT)*(1+MAT.SURCHARGE)*EXC.RATE_2),CURRENCY.FORMAT_2),CURRENCY.FORMAT_2,1),"# ##0;-# ##0"),",-"),FIXED(ROUND(IF(EXC.RATE.SWITCH=1,C1230*(1-I1230)*(1-ADD.DISCOUNT)*(1+MAT.SURCHARGE)/EXC.RATE_2,C1230*(1-I1230)*(1-ADD.DISCOUNT)*(1+MAT.SURCHARGE)*EXC.RATE_2),CURRENCY.FORMAT_2),CURRENCY.FORMAT_2,0)),'DICTIONARY-5'!$A$2))</f>
        <v/>
      </c>
      <c r="N1230" s="539">
        <v>5</v>
      </c>
      <c r="O1230" s="539"/>
      <c r="P1230" s="731" t="str">
        <f>'DICTIONARY-3'!$A$99</f>
        <v>RETA</v>
      </c>
      <c r="Q1230" s="732" t="str">
        <f>'DICTIONARY-3'!$A$200</f>
        <v>Zawór zwrotny</v>
      </c>
      <c r="R1230" s="732" t="str">
        <f>CONCATENATE('DICTIONARY-3'!$A$99," ",'DICTIONARY-6'!$A$20," ",'DICTIONARY-2'!$A$2,"40"," ",'DICTIONARY-2'!$A$3,"10/16"," ","R48"," ",'DICTIONARY-5'!$A$34,"/",'DICTIONARY-5'!$A$34)</f>
        <v>RETA Zaw. zwrotny DN40 PN10/16 R48 A2/A2</v>
      </c>
      <c r="S1230" s="733" t="s">
        <v>5569</v>
      </c>
      <c r="T1230" s="732" t="s">
        <v>5569</v>
      </c>
      <c r="U1230" s="734" t="s">
        <v>5758</v>
      </c>
      <c r="V1230" s="735">
        <v>16</v>
      </c>
      <c r="W1230" s="736"/>
      <c r="X1230" s="737"/>
      <c r="Y1230" s="738"/>
      <c r="Z1230" s="739"/>
      <c r="AA1230" s="739"/>
      <c r="AB1230" s="740">
        <v>16</v>
      </c>
      <c r="AC1230" s="741" t="str">
        <f>'DICTIONARY-5'!$A$11&amp;" 48"</f>
        <v>EN 558 szereg 48</v>
      </c>
      <c r="AD1230" s="741" t="str">
        <f>'DICTIONARY-5'!$A$13&amp;", "&amp;'DICTIONARY-5'!$A$14</f>
        <v>woda pitna, ścieki</v>
      </c>
      <c r="AE1230" s="742">
        <v>70</v>
      </c>
      <c r="AF1230" s="743">
        <v>8</v>
      </c>
      <c r="AG1230" s="741" t="str">
        <f>'DICTIONARY-5'!$A$23</f>
        <v>powłoka epoksydowa</v>
      </c>
    </row>
    <row r="1231" spans="1:33" x14ac:dyDescent="0.25">
      <c r="A1231" s="861" t="s">
        <v>1237</v>
      </c>
      <c r="B1231" s="861" t="s">
        <v>4427</v>
      </c>
      <c r="C1231" s="836">
        <v>269</v>
      </c>
      <c r="D1231" s="836"/>
      <c r="E1231" s="836"/>
      <c r="F1231" s="836"/>
      <c r="G1231" s="496" t="s">
        <v>7824</v>
      </c>
      <c r="H1231" s="797" t="str">
        <f>VLOOKUP(G1231,SETTINGS!$B$7:$D$97,2,0)</f>
        <v>RETA</v>
      </c>
      <c r="I1231" s="796">
        <f>VLOOKUP(G1231,SETTINGS!$B$7:$D$97,3,0)</f>
        <v>0</v>
      </c>
      <c r="J1231" s="670" t="str">
        <f>IFERROR(IF(CURRENCY.FORMAT_1=0,CONCATENATE(TEXT(FIXED(ROUND((C1231/EXC.RATE_1),CURRENCY.FORMAT_1),CURRENCY.FORMAT_1,1),"# ##0;-# ##0"),",-"),FIXED(ROUND((C1231/EXC.RATE_1),CURRENCY.FORMAT_1),CURRENCY.FORMAT_1,0)),'DICTIONARY-5'!$A$2)</f>
        <v>269,-</v>
      </c>
      <c r="K1231" s="670" t="str">
        <f>IF(EXC.RATE_2=0,"",IFERROR(IF(CURRENCY.FORMAT_2=0,CONCATENATE(TEXT(FIXED(ROUND(IF(EXC.RATE.SWITCH=1,C1231/EXC.RATE_2,C1231*EXC.RATE_2),CURRENCY.FORMAT_2),CURRENCY.FORMAT_2,1),"# ##0;-# ##0"),",-"),FIXED(ROUND(IF(EXC.RATE.SWITCH=1,C1231/EXC.RATE_2,C1231*EXC.RATE_2),CURRENCY.FORMAT_2),CURRENCY.FORMAT_2,0)),'DICTIONARY-5'!$A$2))</f>
        <v/>
      </c>
      <c r="L1231" s="670" t="str">
        <f>IFERROR(IF(CURRENCY.FORMAT_1=0,CONCATENATE(TEXT(FIXED(ROUND((C1231*(1-I1231)*(1-ADD.DISCOUNT)*(1+MAT.SURCHARGE)/EXC.RATE_1),CURRENCY.FORMAT_1),CURRENCY.FORMAT_1,1),"# ##0;-# ##0"),",-"),FIXED(ROUND((C1231*(1-I1231)*(1-ADD.DISCOUNT)*(1+MAT.SURCHARGE)/EXC.RATE_1),CURRENCY.FORMAT_1),CURRENCY.FORMAT_1,0)),'DICTIONARY-5'!$A$2)</f>
        <v>279,-</v>
      </c>
      <c r="M1231" s="670" t="str">
        <f>IF(EXC.RATE_2=0,"",IFERROR(IF(CURRENCY.FORMAT_2=0,CONCATENATE(TEXT(FIXED(ROUND(IF(EXC.RATE.SWITCH=1,C1231*(1-I1231)*(1-ADD.DISCOUNT)*(1+MAT.SURCHARGE)/EXC.RATE_2,C1231*(1-I1231)*(1-ADD.DISCOUNT)*(1+MAT.SURCHARGE)*EXC.RATE_2),CURRENCY.FORMAT_2),CURRENCY.FORMAT_2,1),"# ##0;-# ##0"),",-"),FIXED(ROUND(IF(EXC.RATE.SWITCH=1,C1231*(1-I1231)*(1-ADD.DISCOUNT)*(1+MAT.SURCHARGE)/EXC.RATE_2,C1231*(1-I1231)*(1-ADD.DISCOUNT)*(1+MAT.SURCHARGE)*EXC.RATE_2),CURRENCY.FORMAT_2),CURRENCY.FORMAT_2,0)),'DICTIONARY-5'!$A$2))</f>
        <v/>
      </c>
      <c r="N1231" s="539">
        <v>5</v>
      </c>
      <c r="O1231" s="539"/>
      <c r="P1231" s="731" t="str">
        <f>'DICTIONARY-3'!$A$99</f>
        <v>RETA</v>
      </c>
      <c r="Q1231" s="732" t="str">
        <f>'DICTIONARY-3'!$A$200</f>
        <v>Zawór zwrotny</v>
      </c>
      <c r="R1231" s="732" t="str">
        <f>CONCATENATE('DICTIONARY-3'!$A$99," ",'DICTIONARY-6'!$A$20," ",'DICTIONARY-2'!$A$2,"50"," ",'DICTIONARY-2'!$A$3,"10/16"," ","R48"," ",'DICTIONARY-5'!$A$34,"/",'DICTIONARY-5'!$A$34)</f>
        <v>RETA Zaw. zwrotny DN50 PN10/16 R48 A2/A2</v>
      </c>
      <c r="S1231" s="733" t="s">
        <v>5569</v>
      </c>
      <c r="T1231" s="732" t="s">
        <v>5569</v>
      </c>
      <c r="U1231" s="734" t="s">
        <v>5748</v>
      </c>
      <c r="V1231" s="735">
        <v>16</v>
      </c>
      <c r="W1231" s="736"/>
      <c r="X1231" s="737"/>
      <c r="Y1231" s="738"/>
      <c r="Z1231" s="739"/>
      <c r="AA1231" s="739"/>
      <c r="AB1231" s="740">
        <v>16</v>
      </c>
      <c r="AC1231" s="741" t="str">
        <f>'DICTIONARY-5'!$A$11&amp;" 48"</f>
        <v>EN 558 szereg 48</v>
      </c>
      <c r="AD1231" s="741" t="str">
        <f>'DICTIONARY-5'!$A$13&amp;", "&amp;'DICTIONARY-5'!$A$14</f>
        <v>woda pitna, ścieki</v>
      </c>
      <c r="AE1231" s="742">
        <v>70</v>
      </c>
      <c r="AF1231" s="743">
        <v>10</v>
      </c>
      <c r="AG1231" s="741" t="str">
        <f>'DICTIONARY-5'!$A$23</f>
        <v>powłoka epoksydowa</v>
      </c>
    </row>
    <row r="1232" spans="1:33" x14ac:dyDescent="0.25">
      <c r="A1232" s="861" t="s">
        <v>1239</v>
      </c>
      <c r="B1232" s="861" t="s">
        <v>4429</v>
      </c>
      <c r="C1232" s="836">
        <v>329</v>
      </c>
      <c r="D1232" s="836"/>
      <c r="E1232" s="836"/>
      <c r="F1232" s="836"/>
      <c r="G1232" s="496" t="s">
        <v>7824</v>
      </c>
      <c r="H1232" s="797" t="str">
        <f>VLOOKUP(G1232,SETTINGS!$B$7:$D$97,2,0)</f>
        <v>RETA</v>
      </c>
      <c r="I1232" s="796">
        <f>VLOOKUP(G1232,SETTINGS!$B$7:$D$97,3,0)</f>
        <v>0</v>
      </c>
      <c r="J1232" s="670" t="str">
        <f>IFERROR(IF(CURRENCY.FORMAT_1=0,CONCATENATE(TEXT(FIXED(ROUND((C1232/EXC.RATE_1),CURRENCY.FORMAT_1),CURRENCY.FORMAT_1,1),"# ##0;-# ##0"),",-"),FIXED(ROUND((C1232/EXC.RATE_1),CURRENCY.FORMAT_1),CURRENCY.FORMAT_1,0)),'DICTIONARY-5'!$A$2)</f>
        <v>329,-</v>
      </c>
      <c r="K1232" s="670" t="str">
        <f>IF(EXC.RATE_2=0,"",IFERROR(IF(CURRENCY.FORMAT_2=0,CONCATENATE(TEXT(FIXED(ROUND(IF(EXC.RATE.SWITCH=1,C1232/EXC.RATE_2,C1232*EXC.RATE_2),CURRENCY.FORMAT_2),CURRENCY.FORMAT_2,1),"# ##0;-# ##0"),",-"),FIXED(ROUND(IF(EXC.RATE.SWITCH=1,C1232/EXC.RATE_2,C1232*EXC.RATE_2),CURRENCY.FORMAT_2),CURRENCY.FORMAT_2,0)),'DICTIONARY-5'!$A$2))</f>
        <v/>
      </c>
      <c r="L1232" s="670" t="str">
        <f>IFERROR(IF(CURRENCY.FORMAT_1=0,CONCATENATE(TEXT(FIXED(ROUND((C1232*(1-I1232)*(1-ADD.DISCOUNT)*(1+MAT.SURCHARGE)/EXC.RATE_1),CURRENCY.FORMAT_1),CURRENCY.FORMAT_1,1),"# ##0;-# ##0"),",-"),FIXED(ROUND((C1232*(1-I1232)*(1-ADD.DISCOUNT)*(1+MAT.SURCHARGE)/EXC.RATE_1),CURRENCY.FORMAT_1),CURRENCY.FORMAT_1,0)),'DICTIONARY-5'!$A$2)</f>
        <v>342,-</v>
      </c>
      <c r="M1232" s="670" t="str">
        <f>IF(EXC.RATE_2=0,"",IFERROR(IF(CURRENCY.FORMAT_2=0,CONCATENATE(TEXT(FIXED(ROUND(IF(EXC.RATE.SWITCH=1,C1232*(1-I1232)*(1-ADD.DISCOUNT)*(1+MAT.SURCHARGE)/EXC.RATE_2,C1232*(1-I1232)*(1-ADD.DISCOUNT)*(1+MAT.SURCHARGE)*EXC.RATE_2),CURRENCY.FORMAT_2),CURRENCY.FORMAT_2,1),"# ##0;-# ##0"),",-"),FIXED(ROUND(IF(EXC.RATE.SWITCH=1,C1232*(1-I1232)*(1-ADD.DISCOUNT)*(1+MAT.SURCHARGE)/EXC.RATE_2,C1232*(1-I1232)*(1-ADD.DISCOUNT)*(1+MAT.SURCHARGE)*EXC.RATE_2),CURRENCY.FORMAT_2),CURRENCY.FORMAT_2,0)),'DICTIONARY-5'!$A$2))</f>
        <v/>
      </c>
      <c r="N1232" s="539">
        <v>5</v>
      </c>
      <c r="O1232" s="539"/>
      <c r="P1232" s="731" t="str">
        <f>'DICTIONARY-3'!$A$99</f>
        <v>RETA</v>
      </c>
      <c r="Q1232" s="732" t="str">
        <f>'DICTIONARY-3'!$A$200</f>
        <v>Zawór zwrotny</v>
      </c>
      <c r="R1232" s="732" t="str">
        <f>CONCATENATE('DICTIONARY-3'!$A$99," ",'DICTIONARY-6'!$A$20," ",'DICTIONARY-2'!$A$2,"65"," ",'DICTIONARY-2'!$A$3,"10/16"," ","R48"," ",'DICTIONARY-5'!$A$34,"/",'DICTIONARY-5'!$A$34)</f>
        <v>RETA Zaw. zwrotny DN65 PN10/16 R48 A2/A2</v>
      </c>
      <c r="S1232" s="733" t="s">
        <v>5569</v>
      </c>
      <c r="T1232" s="732" t="s">
        <v>5569</v>
      </c>
      <c r="U1232" s="734" t="s">
        <v>5759</v>
      </c>
      <c r="V1232" s="735">
        <v>16</v>
      </c>
      <c r="W1232" s="736"/>
      <c r="X1232" s="737"/>
      <c r="Y1232" s="738"/>
      <c r="Z1232" s="739"/>
      <c r="AA1232" s="739"/>
      <c r="AB1232" s="740">
        <v>16</v>
      </c>
      <c r="AC1232" s="741" t="str">
        <f>'DICTIONARY-5'!$A$11&amp;" 48"</f>
        <v>EN 558 szereg 48</v>
      </c>
      <c r="AD1232" s="741" t="str">
        <f>'DICTIONARY-5'!$A$13&amp;", "&amp;'DICTIONARY-5'!$A$14</f>
        <v>woda pitna, ścieki</v>
      </c>
      <c r="AE1232" s="742">
        <v>70</v>
      </c>
      <c r="AF1232" s="743">
        <v>14.5</v>
      </c>
      <c r="AG1232" s="741" t="str">
        <f>'DICTIONARY-5'!$A$23</f>
        <v>powłoka epoksydowa</v>
      </c>
    </row>
    <row r="1233" spans="1:33" x14ac:dyDescent="0.25">
      <c r="A1233" s="861" t="s">
        <v>1241</v>
      </c>
      <c r="B1233" s="861" t="s">
        <v>4431</v>
      </c>
      <c r="C1233" s="836">
        <v>343</v>
      </c>
      <c r="D1233" s="836"/>
      <c r="E1233" s="836"/>
      <c r="F1233" s="836"/>
      <c r="G1233" s="496" t="s">
        <v>7824</v>
      </c>
      <c r="H1233" s="797" t="str">
        <f>VLOOKUP(G1233,SETTINGS!$B$7:$D$97,2,0)</f>
        <v>RETA</v>
      </c>
      <c r="I1233" s="796">
        <f>VLOOKUP(G1233,SETTINGS!$B$7:$D$97,3,0)</f>
        <v>0</v>
      </c>
      <c r="J1233" s="670" t="str">
        <f>IFERROR(IF(CURRENCY.FORMAT_1=0,CONCATENATE(TEXT(FIXED(ROUND((C1233/EXC.RATE_1),CURRENCY.FORMAT_1),CURRENCY.FORMAT_1,1),"# ##0;-# ##0"),",-"),FIXED(ROUND((C1233/EXC.RATE_1),CURRENCY.FORMAT_1),CURRENCY.FORMAT_1,0)),'DICTIONARY-5'!$A$2)</f>
        <v>343,-</v>
      </c>
      <c r="K1233" s="670" t="str">
        <f>IF(EXC.RATE_2=0,"",IFERROR(IF(CURRENCY.FORMAT_2=0,CONCATENATE(TEXT(FIXED(ROUND(IF(EXC.RATE.SWITCH=1,C1233/EXC.RATE_2,C1233*EXC.RATE_2),CURRENCY.FORMAT_2),CURRENCY.FORMAT_2,1),"# ##0;-# ##0"),",-"),FIXED(ROUND(IF(EXC.RATE.SWITCH=1,C1233/EXC.RATE_2,C1233*EXC.RATE_2),CURRENCY.FORMAT_2),CURRENCY.FORMAT_2,0)),'DICTIONARY-5'!$A$2))</f>
        <v/>
      </c>
      <c r="L1233" s="670" t="str">
        <f>IFERROR(IF(CURRENCY.FORMAT_1=0,CONCATENATE(TEXT(FIXED(ROUND((C1233*(1-I1233)*(1-ADD.DISCOUNT)*(1+MAT.SURCHARGE)/EXC.RATE_1),CURRENCY.FORMAT_1),CURRENCY.FORMAT_1,1),"# ##0;-# ##0"),",-"),FIXED(ROUND((C1233*(1-I1233)*(1-ADD.DISCOUNT)*(1+MAT.SURCHARGE)/EXC.RATE_1),CURRENCY.FORMAT_1),CURRENCY.FORMAT_1,0)),'DICTIONARY-5'!$A$2)</f>
        <v>356,-</v>
      </c>
      <c r="M1233" s="670" t="str">
        <f>IF(EXC.RATE_2=0,"",IFERROR(IF(CURRENCY.FORMAT_2=0,CONCATENATE(TEXT(FIXED(ROUND(IF(EXC.RATE.SWITCH=1,C1233*(1-I1233)*(1-ADD.DISCOUNT)*(1+MAT.SURCHARGE)/EXC.RATE_2,C1233*(1-I1233)*(1-ADD.DISCOUNT)*(1+MAT.SURCHARGE)*EXC.RATE_2),CURRENCY.FORMAT_2),CURRENCY.FORMAT_2,1),"# ##0;-# ##0"),",-"),FIXED(ROUND(IF(EXC.RATE.SWITCH=1,C1233*(1-I1233)*(1-ADD.DISCOUNT)*(1+MAT.SURCHARGE)/EXC.RATE_2,C1233*(1-I1233)*(1-ADD.DISCOUNT)*(1+MAT.SURCHARGE)*EXC.RATE_2),CURRENCY.FORMAT_2),CURRENCY.FORMAT_2,0)),'DICTIONARY-5'!$A$2))</f>
        <v/>
      </c>
      <c r="N1233" s="539">
        <v>5</v>
      </c>
      <c r="O1233" s="539"/>
      <c r="P1233" s="731" t="str">
        <f>'DICTIONARY-3'!$A$99</f>
        <v>RETA</v>
      </c>
      <c r="Q1233" s="732" t="str">
        <f>'DICTIONARY-3'!$A$200</f>
        <v>Zawór zwrotny</v>
      </c>
      <c r="R1233" s="732" t="str">
        <f>CONCATENATE('DICTIONARY-3'!$A$99," ",'DICTIONARY-6'!$A$20," ",'DICTIONARY-2'!$A$2,"80"," ",'DICTIONARY-2'!$A$3,"10/16"," ","R48"," ",'DICTIONARY-5'!$A$34,"/",'DICTIONARY-5'!$A$34)</f>
        <v>RETA Zaw. zwrotny DN80 PN10/16 R48 A2/A2</v>
      </c>
      <c r="S1233" s="733" t="s">
        <v>5569</v>
      </c>
      <c r="T1233" s="732" t="s">
        <v>5569</v>
      </c>
      <c r="U1233" s="734" t="s">
        <v>5760</v>
      </c>
      <c r="V1233" s="735">
        <v>16</v>
      </c>
      <c r="W1233" s="736"/>
      <c r="X1233" s="737"/>
      <c r="Y1233" s="738"/>
      <c r="Z1233" s="739"/>
      <c r="AA1233" s="739"/>
      <c r="AB1233" s="740">
        <v>16</v>
      </c>
      <c r="AC1233" s="741" t="str">
        <f>'DICTIONARY-5'!$A$11&amp;" 48"</f>
        <v>EN 558 szereg 48</v>
      </c>
      <c r="AD1233" s="741" t="str">
        <f>'DICTIONARY-5'!$A$13&amp;", "&amp;'DICTIONARY-5'!$A$14</f>
        <v>woda pitna, ścieki</v>
      </c>
      <c r="AE1233" s="742">
        <v>70</v>
      </c>
      <c r="AF1233" s="743">
        <v>18</v>
      </c>
      <c r="AG1233" s="741" t="str">
        <f>'DICTIONARY-5'!$A$23</f>
        <v>powłoka epoksydowa</v>
      </c>
    </row>
    <row r="1234" spans="1:33" x14ac:dyDescent="0.25">
      <c r="A1234" s="861" t="s">
        <v>1243</v>
      </c>
      <c r="B1234" s="861" t="s">
        <v>4393</v>
      </c>
      <c r="C1234" s="836">
        <v>409</v>
      </c>
      <c r="D1234" s="836"/>
      <c r="E1234" s="836"/>
      <c r="F1234" s="836"/>
      <c r="G1234" s="496" t="s">
        <v>7824</v>
      </c>
      <c r="H1234" s="797" t="str">
        <f>VLOOKUP(G1234,SETTINGS!$B$7:$D$97,2,0)</f>
        <v>RETA</v>
      </c>
      <c r="I1234" s="796">
        <f>VLOOKUP(G1234,SETTINGS!$B$7:$D$97,3,0)</f>
        <v>0</v>
      </c>
      <c r="J1234" s="670" t="str">
        <f>IFERROR(IF(CURRENCY.FORMAT_1=0,CONCATENATE(TEXT(FIXED(ROUND((C1234/EXC.RATE_1),CURRENCY.FORMAT_1),CURRENCY.FORMAT_1,1),"# ##0;-# ##0"),",-"),FIXED(ROUND((C1234/EXC.RATE_1),CURRENCY.FORMAT_1),CURRENCY.FORMAT_1,0)),'DICTIONARY-5'!$A$2)</f>
        <v>409,-</v>
      </c>
      <c r="K1234" s="670" t="str">
        <f>IF(EXC.RATE_2=0,"",IFERROR(IF(CURRENCY.FORMAT_2=0,CONCATENATE(TEXT(FIXED(ROUND(IF(EXC.RATE.SWITCH=1,C1234/EXC.RATE_2,C1234*EXC.RATE_2),CURRENCY.FORMAT_2),CURRENCY.FORMAT_2,1),"# ##0;-# ##0"),",-"),FIXED(ROUND(IF(EXC.RATE.SWITCH=1,C1234/EXC.RATE_2,C1234*EXC.RATE_2),CURRENCY.FORMAT_2),CURRENCY.FORMAT_2,0)),'DICTIONARY-5'!$A$2))</f>
        <v/>
      </c>
      <c r="L1234" s="670" t="str">
        <f>IFERROR(IF(CURRENCY.FORMAT_1=0,CONCATENATE(TEXT(FIXED(ROUND((C1234*(1-I1234)*(1-ADD.DISCOUNT)*(1+MAT.SURCHARGE)/EXC.RATE_1),CURRENCY.FORMAT_1),CURRENCY.FORMAT_1,1),"# ##0;-# ##0"),",-"),FIXED(ROUND((C1234*(1-I1234)*(1-ADD.DISCOUNT)*(1+MAT.SURCHARGE)/EXC.RATE_1),CURRENCY.FORMAT_1),CURRENCY.FORMAT_1,0)),'DICTIONARY-5'!$A$2)</f>
        <v>425,-</v>
      </c>
      <c r="M1234" s="670" t="str">
        <f>IF(EXC.RATE_2=0,"",IFERROR(IF(CURRENCY.FORMAT_2=0,CONCATENATE(TEXT(FIXED(ROUND(IF(EXC.RATE.SWITCH=1,C1234*(1-I1234)*(1-ADD.DISCOUNT)*(1+MAT.SURCHARGE)/EXC.RATE_2,C1234*(1-I1234)*(1-ADD.DISCOUNT)*(1+MAT.SURCHARGE)*EXC.RATE_2),CURRENCY.FORMAT_2),CURRENCY.FORMAT_2,1),"# ##0;-# ##0"),",-"),FIXED(ROUND(IF(EXC.RATE.SWITCH=1,C1234*(1-I1234)*(1-ADD.DISCOUNT)*(1+MAT.SURCHARGE)/EXC.RATE_2,C1234*(1-I1234)*(1-ADD.DISCOUNT)*(1+MAT.SURCHARGE)*EXC.RATE_2),CURRENCY.FORMAT_2),CURRENCY.FORMAT_2,0)),'DICTIONARY-5'!$A$2))</f>
        <v/>
      </c>
      <c r="N1234" s="539">
        <v>5</v>
      </c>
      <c r="O1234" s="539"/>
      <c r="P1234" s="731" t="str">
        <f>'DICTIONARY-3'!$A$99</f>
        <v>RETA</v>
      </c>
      <c r="Q1234" s="732" t="str">
        <f>'DICTIONARY-3'!$A$200</f>
        <v>Zawór zwrotny</v>
      </c>
      <c r="R1234" s="732" t="str">
        <f>CONCATENATE('DICTIONARY-3'!$A$99," ",'DICTIONARY-6'!$A$20," ",'DICTIONARY-2'!$A$2,"100"," ",'DICTIONARY-2'!$A$3,"10/16"," ","R48"," ",'DICTIONARY-5'!$A$34,"/",'DICTIONARY-5'!$A$34)</f>
        <v>RETA Zaw. zwrotny DN100 PN10/16 R48 A2/A2</v>
      </c>
      <c r="S1234" s="733" t="s">
        <v>5569</v>
      </c>
      <c r="T1234" s="732" t="s">
        <v>5569</v>
      </c>
      <c r="U1234" s="734" t="s">
        <v>5749</v>
      </c>
      <c r="V1234" s="735">
        <v>16</v>
      </c>
      <c r="W1234" s="736"/>
      <c r="X1234" s="737"/>
      <c r="Y1234" s="738"/>
      <c r="Z1234" s="739"/>
      <c r="AA1234" s="739"/>
      <c r="AB1234" s="740">
        <v>16</v>
      </c>
      <c r="AC1234" s="741" t="str">
        <f>'DICTIONARY-5'!$A$11&amp;" 48"</f>
        <v>EN 558 szereg 48</v>
      </c>
      <c r="AD1234" s="741" t="str">
        <f>'DICTIONARY-5'!$A$13&amp;", "&amp;'DICTIONARY-5'!$A$14</f>
        <v>woda pitna, ścieki</v>
      </c>
      <c r="AE1234" s="742">
        <v>70</v>
      </c>
      <c r="AF1234" s="743">
        <v>25</v>
      </c>
      <c r="AG1234" s="741" t="str">
        <f>'DICTIONARY-5'!$A$23</f>
        <v>powłoka epoksydowa</v>
      </c>
    </row>
    <row r="1235" spans="1:33" x14ac:dyDescent="0.25">
      <c r="A1235" s="861" t="s">
        <v>1245</v>
      </c>
      <c r="B1235" s="861" t="s">
        <v>4395</v>
      </c>
      <c r="C1235" s="836">
        <v>523</v>
      </c>
      <c r="D1235" s="836"/>
      <c r="E1235" s="836"/>
      <c r="F1235" s="836"/>
      <c r="G1235" s="496" t="s">
        <v>7824</v>
      </c>
      <c r="H1235" s="797" t="str">
        <f>VLOOKUP(G1235,SETTINGS!$B$7:$D$97,2,0)</f>
        <v>RETA</v>
      </c>
      <c r="I1235" s="796">
        <f>VLOOKUP(G1235,SETTINGS!$B$7:$D$97,3,0)</f>
        <v>0</v>
      </c>
      <c r="J1235" s="670" t="str">
        <f>IFERROR(IF(CURRENCY.FORMAT_1=0,CONCATENATE(TEXT(FIXED(ROUND((C1235/EXC.RATE_1),CURRENCY.FORMAT_1),CURRENCY.FORMAT_1,1),"# ##0;-# ##0"),",-"),FIXED(ROUND((C1235/EXC.RATE_1),CURRENCY.FORMAT_1),CURRENCY.FORMAT_1,0)),'DICTIONARY-5'!$A$2)</f>
        <v>523,-</v>
      </c>
      <c r="K1235" s="670" t="str">
        <f>IF(EXC.RATE_2=0,"",IFERROR(IF(CURRENCY.FORMAT_2=0,CONCATENATE(TEXT(FIXED(ROUND(IF(EXC.RATE.SWITCH=1,C1235/EXC.RATE_2,C1235*EXC.RATE_2),CURRENCY.FORMAT_2),CURRENCY.FORMAT_2,1),"# ##0;-# ##0"),",-"),FIXED(ROUND(IF(EXC.RATE.SWITCH=1,C1235/EXC.RATE_2,C1235*EXC.RATE_2),CURRENCY.FORMAT_2),CURRENCY.FORMAT_2,0)),'DICTIONARY-5'!$A$2))</f>
        <v/>
      </c>
      <c r="L1235" s="670" t="str">
        <f>IFERROR(IF(CURRENCY.FORMAT_1=0,CONCATENATE(TEXT(FIXED(ROUND((C1235*(1-I1235)*(1-ADD.DISCOUNT)*(1+MAT.SURCHARGE)/EXC.RATE_1),CURRENCY.FORMAT_1),CURRENCY.FORMAT_1,1),"# ##0;-# ##0"),",-"),FIXED(ROUND((C1235*(1-I1235)*(1-ADD.DISCOUNT)*(1+MAT.SURCHARGE)/EXC.RATE_1),CURRENCY.FORMAT_1),CURRENCY.FORMAT_1,0)),'DICTIONARY-5'!$A$2)</f>
        <v>543,-</v>
      </c>
      <c r="M1235" s="670" t="str">
        <f>IF(EXC.RATE_2=0,"",IFERROR(IF(CURRENCY.FORMAT_2=0,CONCATENATE(TEXT(FIXED(ROUND(IF(EXC.RATE.SWITCH=1,C1235*(1-I1235)*(1-ADD.DISCOUNT)*(1+MAT.SURCHARGE)/EXC.RATE_2,C1235*(1-I1235)*(1-ADD.DISCOUNT)*(1+MAT.SURCHARGE)*EXC.RATE_2),CURRENCY.FORMAT_2),CURRENCY.FORMAT_2,1),"# ##0;-# ##0"),",-"),FIXED(ROUND(IF(EXC.RATE.SWITCH=1,C1235*(1-I1235)*(1-ADD.DISCOUNT)*(1+MAT.SURCHARGE)/EXC.RATE_2,C1235*(1-I1235)*(1-ADD.DISCOUNT)*(1+MAT.SURCHARGE)*EXC.RATE_2),CURRENCY.FORMAT_2),CURRENCY.FORMAT_2,0)),'DICTIONARY-5'!$A$2))</f>
        <v/>
      </c>
      <c r="N1235" s="539">
        <v>5</v>
      </c>
      <c r="O1235" s="539"/>
      <c r="P1235" s="731" t="str">
        <f>'DICTIONARY-3'!$A$99</f>
        <v>RETA</v>
      </c>
      <c r="Q1235" s="732" t="str">
        <f>'DICTIONARY-3'!$A$200</f>
        <v>Zawór zwrotny</v>
      </c>
      <c r="R1235" s="732" t="str">
        <f>CONCATENATE('DICTIONARY-3'!$A$99," ",'DICTIONARY-6'!$A$20," ",'DICTIONARY-2'!$A$2,"125"," ",'DICTIONARY-2'!$A$3,"10/16"," ","R48"," ",'DICTIONARY-5'!$A$34,"/",'DICTIONARY-5'!$A$34)</f>
        <v>RETA Zaw. zwrotny DN125 PN10/16 R48 A2/A2</v>
      </c>
      <c r="S1235" s="733" t="s">
        <v>5569</v>
      </c>
      <c r="T1235" s="732" t="s">
        <v>5569</v>
      </c>
      <c r="U1235" s="734" t="s">
        <v>5761</v>
      </c>
      <c r="V1235" s="735">
        <v>16</v>
      </c>
      <c r="W1235" s="736"/>
      <c r="X1235" s="737"/>
      <c r="Y1235" s="738"/>
      <c r="Z1235" s="739"/>
      <c r="AA1235" s="739"/>
      <c r="AB1235" s="740">
        <v>16</v>
      </c>
      <c r="AC1235" s="741" t="str">
        <f>'DICTIONARY-5'!$A$11&amp;" 48"</f>
        <v>EN 558 szereg 48</v>
      </c>
      <c r="AD1235" s="741" t="str">
        <f>'DICTIONARY-5'!$A$13&amp;", "&amp;'DICTIONARY-5'!$A$14</f>
        <v>woda pitna, ścieki</v>
      </c>
      <c r="AE1235" s="742">
        <v>70</v>
      </c>
      <c r="AF1235" s="743">
        <v>36</v>
      </c>
      <c r="AG1235" s="741" t="str">
        <f>'DICTIONARY-5'!$A$23</f>
        <v>powłoka epoksydowa</v>
      </c>
    </row>
    <row r="1236" spans="1:33" x14ac:dyDescent="0.25">
      <c r="A1236" s="861" t="s">
        <v>1247</v>
      </c>
      <c r="B1236" s="861" t="s">
        <v>4397</v>
      </c>
      <c r="C1236" s="836">
        <v>707</v>
      </c>
      <c r="D1236" s="836"/>
      <c r="E1236" s="836"/>
      <c r="F1236" s="836"/>
      <c r="G1236" s="496" t="s">
        <v>7824</v>
      </c>
      <c r="H1236" s="797" t="str">
        <f>VLOOKUP(G1236,SETTINGS!$B$7:$D$97,2,0)</f>
        <v>RETA</v>
      </c>
      <c r="I1236" s="796">
        <f>VLOOKUP(G1236,SETTINGS!$B$7:$D$97,3,0)</f>
        <v>0</v>
      </c>
      <c r="J1236" s="670" t="str">
        <f>IFERROR(IF(CURRENCY.FORMAT_1=0,CONCATENATE(TEXT(FIXED(ROUND((C1236/EXC.RATE_1),CURRENCY.FORMAT_1),CURRENCY.FORMAT_1,1),"# ##0;-# ##0"),",-"),FIXED(ROUND((C1236/EXC.RATE_1),CURRENCY.FORMAT_1),CURRENCY.FORMAT_1,0)),'DICTIONARY-5'!$A$2)</f>
        <v>707,-</v>
      </c>
      <c r="K1236" s="670" t="str">
        <f>IF(EXC.RATE_2=0,"",IFERROR(IF(CURRENCY.FORMAT_2=0,CONCATENATE(TEXT(FIXED(ROUND(IF(EXC.RATE.SWITCH=1,C1236/EXC.RATE_2,C1236*EXC.RATE_2),CURRENCY.FORMAT_2),CURRENCY.FORMAT_2,1),"# ##0;-# ##0"),",-"),FIXED(ROUND(IF(EXC.RATE.SWITCH=1,C1236/EXC.RATE_2,C1236*EXC.RATE_2),CURRENCY.FORMAT_2),CURRENCY.FORMAT_2,0)),'DICTIONARY-5'!$A$2))</f>
        <v/>
      </c>
      <c r="L1236" s="670" t="str">
        <f>IFERROR(IF(CURRENCY.FORMAT_1=0,CONCATENATE(TEXT(FIXED(ROUND((C1236*(1-I1236)*(1-ADD.DISCOUNT)*(1+MAT.SURCHARGE)/EXC.RATE_1),CURRENCY.FORMAT_1),CURRENCY.FORMAT_1,1),"# ##0;-# ##0"),",-"),FIXED(ROUND((C1236*(1-I1236)*(1-ADD.DISCOUNT)*(1+MAT.SURCHARGE)/EXC.RATE_1),CURRENCY.FORMAT_1),CURRENCY.FORMAT_1,0)),'DICTIONARY-5'!$A$2)</f>
        <v>735,-</v>
      </c>
      <c r="M1236" s="670" t="str">
        <f>IF(EXC.RATE_2=0,"",IFERROR(IF(CURRENCY.FORMAT_2=0,CONCATENATE(TEXT(FIXED(ROUND(IF(EXC.RATE.SWITCH=1,C1236*(1-I1236)*(1-ADD.DISCOUNT)*(1+MAT.SURCHARGE)/EXC.RATE_2,C1236*(1-I1236)*(1-ADD.DISCOUNT)*(1+MAT.SURCHARGE)*EXC.RATE_2),CURRENCY.FORMAT_2),CURRENCY.FORMAT_2,1),"# ##0;-# ##0"),",-"),FIXED(ROUND(IF(EXC.RATE.SWITCH=1,C1236*(1-I1236)*(1-ADD.DISCOUNT)*(1+MAT.SURCHARGE)/EXC.RATE_2,C1236*(1-I1236)*(1-ADD.DISCOUNT)*(1+MAT.SURCHARGE)*EXC.RATE_2),CURRENCY.FORMAT_2),CURRENCY.FORMAT_2,0)),'DICTIONARY-5'!$A$2))</f>
        <v/>
      </c>
      <c r="N1236" s="539">
        <v>5</v>
      </c>
      <c r="O1236" s="539"/>
      <c r="P1236" s="731" t="str">
        <f>'DICTIONARY-3'!$A$99</f>
        <v>RETA</v>
      </c>
      <c r="Q1236" s="732" t="str">
        <f>'DICTIONARY-3'!$A$200</f>
        <v>Zawór zwrotny</v>
      </c>
      <c r="R1236" s="732" t="str">
        <f>CONCATENATE('DICTIONARY-3'!$A$99," ",'DICTIONARY-6'!$A$20," ",'DICTIONARY-2'!$A$2,"150"," ",'DICTIONARY-2'!$A$3,"10/16"," ","R48"," ",'DICTIONARY-5'!$A$34,"/",'DICTIONARY-5'!$A$34)</f>
        <v>RETA Zaw. zwrotny DN150 PN10/16 R48 A2/A2</v>
      </c>
      <c r="S1236" s="733" t="s">
        <v>5569</v>
      </c>
      <c r="T1236" s="732" t="s">
        <v>5569</v>
      </c>
      <c r="U1236" s="734" t="s">
        <v>5572</v>
      </c>
      <c r="V1236" s="735">
        <v>16</v>
      </c>
      <c r="W1236" s="736"/>
      <c r="X1236" s="737"/>
      <c r="Y1236" s="738"/>
      <c r="Z1236" s="739"/>
      <c r="AA1236" s="739"/>
      <c r="AB1236" s="740">
        <v>16</v>
      </c>
      <c r="AC1236" s="741" t="str">
        <f>'DICTIONARY-5'!$A$11&amp;" 48"</f>
        <v>EN 558 szereg 48</v>
      </c>
      <c r="AD1236" s="741" t="str">
        <f>'DICTIONARY-5'!$A$13&amp;", "&amp;'DICTIONARY-5'!$A$14</f>
        <v>woda pitna, ścieki</v>
      </c>
      <c r="AE1236" s="742">
        <v>70</v>
      </c>
      <c r="AF1236" s="743">
        <v>49.5</v>
      </c>
      <c r="AG1236" s="741" t="str">
        <f>'DICTIONARY-5'!$A$23</f>
        <v>powłoka epoksydowa</v>
      </c>
    </row>
    <row r="1237" spans="1:33" x14ac:dyDescent="0.25">
      <c r="A1237" s="861" t="s">
        <v>1249</v>
      </c>
      <c r="B1237" s="861" t="s">
        <v>4399</v>
      </c>
      <c r="C1237" s="836">
        <v>892</v>
      </c>
      <c r="D1237" s="836"/>
      <c r="E1237" s="836"/>
      <c r="F1237" s="836"/>
      <c r="G1237" s="496" t="s">
        <v>7824</v>
      </c>
      <c r="H1237" s="797" t="str">
        <f>VLOOKUP(G1237,SETTINGS!$B$7:$D$97,2,0)</f>
        <v>RETA</v>
      </c>
      <c r="I1237" s="796">
        <f>VLOOKUP(G1237,SETTINGS!$B$7:$D$97,3,0)</f>
        <v>0</v>
      </c>
      <c r="J1237" s="670" t="str">
        <f>IFERROR(IF(CURRENCY.FORMAT_1=0,CONCATENATE(TEXT(FIXED(ROUND((C1237/EXC.RATE_1),CURRENCY.FORMAT_1),CURRENCY.FORMAT_1,1),"# ##0;-# ##0"),",-"),FIXED(ROUND((C1237/EXC.RATE_1),CURRENCY.FORMAT_1),CURRENCY.FORMAT_1,0)),'DICTIONARY-5'!$A$2)</f>
        <v>892,-</v>
      </c>
      <c r="K1237" s="670" t="str">
        <f>IF(EXC.RATE_2=0,"",IFERROR(IF(CURRENCY.FORMAT_2=0,CONCATENATE(TEXT(FIXED(ROUND(IF(EXC.RATE.SWITCH=1,C1237/EXC.RATE_2,C1237*EXC.RATE_2),CURRENCY.FORMAT_2),CURRENCY.FORMAT_2,1),"# ##0;-# ##0"),",-"),FIXED(ROUND(IF(EXC.RATE.SWITCH=1,C1237/EXC.RATE_2,C1237*EXC.RATE_2),CURRENCY.FORMAT_2),CURRENCY.FORMAT_2,0)),'DICTIONARY-5'!$A$2))</f>
        <v/>
      </c>
      <c r="L1237" s="670" t="str">
        <f>IFERROR(IF(CURRENCY.FORMAT_1=0,CONCATENATE(TEXT(FIXED(ROUND((C1237*(1-I1237)*(1-ADD.DISCOUNT)*(1+MAT.SURCHARGE)/EXC.RATE_1),CURRENCY.FORMAT_1),CURRENCY.FORMAT_1,1),"# ##0;-# ##0"),",-"),FIXED(ROUND((C1237*(1-I1237)*(1-ADD.DISCOUNT)*(1+MAT.SURCHARGE)/EXC.RATE_1),CURRENCY.FORMAT_1),CURRENCY.FORMAT_1,0)),'DICTIONARY-5'!$A$2)</f>
        <v>927,-</v>
      </c>
      <c r="M1237" s="670" t="str">
        <f>IF(EXC.RATE_2=0,"",IFERROR(IF(CURRENCY.FORMAT_2=0,CONCATENATE(TEXT(FIXED(ROUND(IF(EXC.RATE.SWITCH=1,C1237*(1-I1237)*(1-ADD.DISCOUNT)*(1+MAT.SURCHARGE)/EXC.RATE_2,C1237*(1-I1237)*(1-ADD.DISCOUNT)*(1+MAT.SURCHARGE)*EXC.RATE_2),CURRENCY.FORMAT_2),CURRENCY.FORMAT_2,1),"# ##0;-# ##0"),",-"),FIXED(ROUND(IF(EXC.RATE.SWITCH=1,C1237*(1-I1237)*(1-ADD.DISCOUNT)*(1+MAT.SURCHARGE)/EXC.RATE_2,C1237*(1-I1237)*(1-ADD.DISCOUNT)*(1+MAT.SURCHARGE)*EXC.RATE_2),CURRENCY.FORMAT_2),CURRENCY.FORMAT_2,0)),'DICTIONARY-5'!$A$2))</f>
        <v/>
      </c>
      <c r="N1237" s="539">
        <v>5</v>
      </c>
      <c r="O1237" s="539"/>
      <c r="P1237" s="731" t="str">
        <f>'DICTIONARY-3'!$A$99</f>
        <v>RETA</v>
      </c>
      <c r="Q1237" s="732" t="str">
        <f>'DICTIONARY-3'!$A$200</f>
        <v>Zawór zwrotny</v>
      </c>
      <c r="R1237" s="732" t="str">
        <f>CONCATENATE('DICTIONARY-3'!$A$99," ",'DICTIONARY-6'!$A$20," ",'DICTIONARY-2'!$A$2,"200"," ",'DICTIONARY-2'!$A$3,"16"," ","R48"," ",'DICTIONARY-5'!$A$34,"/",'DICTIONARY-5'!$A$34)</f>
        <v>RETA Zaw. zwrotny DN200 PN16 R48 A2/A2</v>
      </c>
      <c r="S1237" s="733" t="s">
        <v>5569</v>
      </c>
      <c r="T1237" s="732" t="s">
        <v>5569</v>
      </c>
      <c r="U1237" s="734" t="s">
        <v>5750</v>
      </c>
      <c r="V1237" s="735">
        <v>16</v>
      </c>
      <c r="W1237" s="736"/>
      <c r="X1237" s="737"/>
      <c r="Y1237" s="738"/>
      <c r="Z1237" s="739"/>
      <c r="AA1237" s="739"/>
      <c r="AB1237" s="740">
        <v>16</v>
      </c>
      <c r="AC1237" s="741" t="str">
        <f>'DICTIONARY-5'!$A$11&amp;" 48"</f>
        <v>EN 558 szereg 48</v>
      </c>
      <c r="AD1237" s="741" t="str">
        <f>'DICTIONARY-5'!$A$13&amp;", "&amp;'DICTIONARY-5'!$A$14</f>
        <v>woda pitna, ścieki</v>
      </c>
      <c r="AE1237" s="742">
        <v>70</v>
      </c>
      <c r="AF1237" s="743">
        <v>82</v>
      </c>
      <c r="AG1237" s="741" t="str">
        <f>'DICTIONARY-5'!$A$23</f>
        <v>powłoka epoksydowa</v>
      </c>
    </row>
    <row r="1238" spans="1:33" x14ac:dyDescent="0.25">
      <c r="A1238" s="861" t="s">
        <v>1251</v>
      </c>
      <c r="B1238" s="861" t="s">
        <v>4401</v>
      </c>
      <c r="C1238" s="836">
        <v>1429</v>
      </c>
      <c r="D1238" s="836"/>
      <c r="E1238" s="836"/>
      <c r="F1238" s="836"/>
      <c r="G1238" s="496" t="s">
        <v>7824</v>
      </c>
      <c r="H1238" s="797" t="str">
        <f>VLOOKUP(G1238,SETTINGS!$B$7:$D$97,2,0)</f>
        <v>RETA</v>
      </c>
      <c r="I1238" s="796">
        <f>VLOOKUP(G1238,SETTINGS!$B$7:$D$97,3,0)</f>
        <v>0</v>
      </c>
      <c r="J1238" s="670" t="str">
        <f>IFERROR(IF(CURRENCY.FORMAT_1=0,CONCATENATE(TEXT(FIXED(ROUND((C1238/EXC.RATE_1),CURRENCY.FORMAT_1),CURRENCY.FORMAT_1,1),"# ##0;-# ##0"),",-"),FIXED(ROUND((C1238/EXC.RATE_1),CURRENCY.FORMAT_1),CURRENCY.FORMAT_1,0)),'DICTIONARY-5'!$A$2)</f>
        <v>1 429,-</v>
      </c>
      <c r="K1238" s="670" t="str">
        <f>IF(EXC.RATE_2=0,"",IFERROR(IF(CURRENCY.FORMAT_2=0,CONCATENATE(TEXT(FIXED(ROUND(IF(EXC.RATE.SWITCH=1,C1238/EXC.RATE_2,C1238*EXC.RATE_2),CURRENCY.FORMAT_2),CURRENCY.FORMAT_2,1),"# ##0;-# ##0"),",-"),FIXED(ROUND(IF(EXC.RATE.SWITCH=1,C1238/EXC.RATE_2,C1238*EXC.RATE_2),CURRENCY.FORMAT_2),CURRENCY.FORMAT_2,0)),'DICTIONARY-5'!$A$2))</f>
        <v/>
      </c>
      <c r="L1238" s="670" t="str">
        <f>IFERROR(IF(CURRENCY.FORMAT_1=0,CONCATENATE(TEXT(FIXED(ROUND((C1238*(1-I1238)*(1-ADD.DISCOUNT)*(1+MAT.SURCHARGE)/EXC.RATE_1),CURRENCY.FORMAT_1),CURRENCY.FORMAT_1,1),"# ##0;-# ##0"),",-"),FIXED(ROUND((C1238*(1-I1238)*(1-ADD.DISCOUNT)*(1+MAT.SURCHARGE)/EXC.RATE_1),CURRENCY.FORMAT_1),CURRENCY.FORMAT_1,0)),'DICTIONARY-5'!$A$2)</f>
        <v>1 485,-</v>
      </c>
      <c r="M1238" s="670" t="str">
        <f>IF(EXC.RATE_2=0,"",IFERROR(IF(CURRENCY.FORMAT_2=0,CONCATENATE(TEXT(FIXED(ROUND(IF(EXC.RATE.SWITCH=1,C1238*(1-I1238)*(1-ADD.DISCOUNT)*(1+MAT.SURCHARGE)/EXC.RATE_2,C1238*(1-I1238)*(1-ADD.DISCOUNT)*(1+MAT.SURCHARGE)*EXC.RATE_2),CURRENCY.FORMAT_2),CURRENCY.FORMAT_2,1),"# ##0;-# ##0"),",-"),FIXED(ROUND(IF(EXC.RATE.SWITCH=1,C1238*(1-I1238)*(1-ADD.DISCOUNT)*(1+MAT.SURCHARGE)/EXC.RATE_2,C1238*(1-I1238)*(1-ADD.DISCOUNT)*(1+MAT.SURCHARGE)*EXC.RATE_2),CURRENCY.FORMAT_2),CURRENCY.FORMAT_2,0)),'DICTIONARY-5'!$A$2))</f>
        <v/>
      </c>
      <c r="N1238" s="539">
        <v>5</v>
      </c>
      <c r="O1238" s="539"/>
      <c r="P1238" s="731" t="str">
        <f>'DICTIONARY-3'!$A$99</f>
        <v>RETA</v>
      </c>
      <c r="Q1238" s="732" t="str">
        <f>'DICTIONARY-3'!$A$200</f>
        <v>Zawór zwrotny</v>
      </c>
      <c r="R1238" s="732" t="str">
        <f>CONCATENATE('DICTIONARY-3'!$A$99," ",'DICTIONARY-6'!$A$20," ",'DICTIONARY-2'!$A$2,"250"," ",'DICTIONARY-2'!$A$3,"16"," ","R48"," ",'DICTIONARY-5'!$A$34,"/",'DICTIONARY-5'!$A$34)</f>
        <v>RETA Zaw. zwrotny DN250 PN16 R48 A2/A2</v>
      </c>
      <c r="S1238" s="733" t="s">
        <v>5569</v>
      </c>
      <c r="T1238" s="732" t="s">
        <v>5569</v>
      </c>
      <c r="U1238" s="734" t="s">
        <v>5751</v>
      </c>
      <c r="V1238" s="735">
        <v>16</v>
      </c>
      <c r="W1238" s="736"/>
      <c r="X1238" s="737"/>
      <c r="Y1238" s="738"/>
      <c r="Z1238" s="739"/>
      <c r="AA1238" s="739"/>
      <c r="AB1238" s="740">
        <v>16</v>
      </c>
      <c r="AC1238" s="741" t="str">
        <f>'DICTIONARY-5'!$A$11&amp;" 48"</f>
        <v>EN 558 szereg 48</v>
      </c>
      <c r="AD1238" s="741" t="str">
        <f>'DICTIONARY-5'!$A$13&amp;", "&amp;'DICTIONARY-5'!$A$14</f>
        <v>woda pitna, ścieki</v>
      </c>
      <c r="AE1238" s="742">
        <v>70</v>
      </c>
      <c r="AF1238" s="743">
        <v>142</v>
      </c>
      <c r="AG1238" s="741" t="str">
        <f>'DICTIONARY-5'!$A$23</f>
        <v>powłoka epoksydowa</v>
      </c>
    </row>
    <row r="1239" spans="1:33" x14ac:dyDescent="0.25">
      <c r="A1239" s="861" t="s">
        <v>1236</v>
      </c>
      <c r="B1239" s="861" t="s">
        <v>4433</v>
      </c>
      <c r="C1239" s="836">
        <v>220</v>
      </c>
      <c r="D1239" s="836"/>
      <c r="E1239" s="836"/>
      <c r="F1239" s="836"/>
      <c r="G1239" s="496" t="s">
        <v>7824</v>
      </c>
      <c r="H1239" s="797" t="str">
        <f>VLOOKUP(G1239,SETTINGS!$B$7:$D$97,2,0)</f>
        <v>RETA</v>
      </c>
      <c r="I1239" s="796">
        <f>VLOOKUP(G1239,SETTINGS!$B$7:$D$97,3,0)</f>
        <v>0</v>
      </c>
      <c r="J1239" s="670" t="str">
        <f>IFERROR(IF(CURRENCY.FORMAT_1=0,CONCATENATE(TEXT(FIXED(ROUND((C1239/EXC.RATE_1),CURRENCY.FORMAT_1),CURRENCY.FORMAT_1,1),"# ##0;-# ##0"),",-"),FIXED(ROUND((C1239/EXC.RATE_1),CURRENCY.FORMAT_1),CURRENCY.FORMAT_1,0)),'DICTIONARY-5'!$A$2)</f>
        <v>220,-</v>
      </c>
      <c r="K1239" s="670" t="str">
        <f>IF(EXC.RATE_2=0,"",IFERROR(IF(CURRENCY.FORMAT_2=0,CONCATENATE(TEXT(FIXED(ROUND(IF(EXC.RATE.SWITCH=1,C1239/EXC.RATE_2,C1239*EXC.RATE_2),CURRENCY.FORMAT_2),CURRENCY.FORMAT_2,1),"# ##0;-# ##0"),",-"),FIXED(ROUND(IF(EXC.RATE.SWITCH=1,C1239/EXC.RATE_2,C1239*EXC.RATE_2),CURRENCY.FORMAT_2),CURRENCY.FORMAT_2,0)),'DICTIONARY-5'!$A$2))</f>
        <v/>
      </c>
      <c r="L1239" s="670" t="str">
        <f>IFERROR(IF(CURRENCY.FORMAT_1=0,CONCATENATE(TEXT(FIXED(ROUND((C1239*(1-I1239)*(1-ADD.DISCOUNT)*(1+MAT.SURCHARGE)/EXC.RATE_1),CURRENCY.FORMAT_1),CURRENCY.FORMAT_1,1),"# ##0;-# ##0"),",-"),FIXED(ROUND((C1239*(1-I1239)*(1-ADD.DISCOUNT)*(1+MAT.SURCHARGE)/EXC.RATE_1),CURRENCY.FORMAT_1),CURRENCY.FORMAT_1,0)),'DICTIONARY-5'!$A$2)</f>
        <v>229,-</v>
      </c>
      <c r="M1239" s="670" t="str">
        <f>IF(EXC.RATE_2=0,"",IFERROR(IF(CURRENCY.FORMAT_2=0,CONCATENATE(TEXT(FIXED(ROUND(IF(EXC.RATE.SWITCH=1,C1239*(1-I1239)*(1-ADD.DISCOUNT)*(1+MAT.SURCHARGE)/EXC.RATE_2,C1239*(1-I1239)*(1-ADD.DISCOUNT)*(1+MAT.SURCHARGE)*EXC.RATE_2),CURRENCY.FORMAT_2),CURRENCY.FORMAT_2,1),"# ##0;-# ##0"),",-"),FIXED(ROUND(IF(EXC.RATE.SWITCH=1,C1239*(1-I1239)*(1-ADD.DISCOUNT)*(1+MAT.SURCHARGE)/EXC.RATE_2,C1239*(1-I1239)*(1-ADD.DISCOUNT)*(1+MAT.SURCHARGE)*EXC.RATE_2),CURRENCY.FORMAT_2),CURRENCY.FORMAT_2,0)),'DICTIONARY-5'!$A$2))</f>
        <v/>
      </c>
      <c r="N1239" s="539">
        <v>5</v>
      </c>
      <c r="O1239" s="539"/>
      <c r="P1239" s="731" t="str">
        <f>'DICTIONARY-3'!$A$99</f>
        <v>RETA</v>
      </c>
      <c r="Q1239" s="732" t="str">
        <f>'DICTIONARY-3'!$A$200</f>
        <v>Zawór zwrotny</v>
      </c>
      <c r="R1239" s="732" t="str">
        <f>CONCATENATE('DICTIONARY-3'!$A$99," ",'DICTIONARY-6'!$A$20," ",'DICTIONARY-2'!$A$2,"40"," ",'DICTIONARY-2'!$A$3,"10/16"," ","R48"," ",'DICTIONARY-5'!$A$34,"/",'DICTIONARY-5'!$A$44)</f>
        <v>RETA Zaw. zwrotny DN40 PN10/16 R48 A2/EPDM</v>
      </c>
      <c r="S1239" s="733"/>
      <c r="T1239" s="732"/>
      <c r="U1239" s="734" t="s">
        <v>5758</v>
      </c>
      <c r="V1239" s="735">
        <v>16</v>
      </c>
      <c r="W1239" s="736"/>
      <c r="X1239" s="737"/>
      <c r="Y1239" s="738"/>
      <c r="Z1239" s="739"/>
      <c r="AA1239" s="739"/>
      <c r="AB1239" s="740">
        <v>16</v>
      </c>
      <c r="AC1239" s="741" t="str">
        <f>'DICTIONARY-5'!$A$11&amp;" 48"</f>
        <v>EN 558 szereg 48</v>
      </c>
      <c r="AD1239" s="741" t="str">
        <f>'DICTIONARY-5'!$A$13&amp;", "&amp;'DICTIONARY-5'!$A$14</f>
        <v>woda pitna, ścieki</v>
      </c>
      <c r="AE1239" s="742">
        <v>70</v>
      </c>
      <c r="AF1239" s="743">
        <v>8</v>
      </c>
      <c r="AG1239" s="741" t="str">
        <f>'DICTIONARY-5'!$A$23</f>
        <v>powłoka epoksydowa</v>
      </c>
    </row>
    <row r="1240" spans="1:33" x14ac:dyDescent="0.25">
      <c r="A1240" s="861" t="s">
        <v>1238</v>
      </c>
      <c r="B1240" s="861" t="s">
        <v>4435</v>
      </c>
      <c r="C1240" s="836">
        <v>218</v>
      </c>
      <c r="D1240" s="836"/>
      <c r="E1240" s="836"/>
      <c r="F1240" s="836"/>
      <c r="G1240" s="496" t="s">
        <v>7824</v>
      </c>
      <c r="H1240" s="797" t="str">
        <f>VLOOKUP(G1240,SETTINGS!$B$7:$D$97,2,0)</f>
        <v>RETA</v>
      </c>
      <c r="I1240" s="796">
        <f>VLOOKUP(G1240,SETTINGS!$B$7:$D$97,3,0)</f>
        <v>0</v>
      </c>
      <c r="J1240" s="670" t="str">
        <f>IFERROR(IF(CURRENCY.FORMAT_1=0,CONCATENATE(TEXT(FIXED(ROUND((C1240/EXC.RATE_1),CURRENCY.FORMAT_1),CURRENCY.FORMAT_1,1),"# ##0;-# ##0"),",-"),FIXED(ROUND((C1240/EXC.RATE_1),CURRENCY.FORMAT_1),CURRENCY.FORMAT_1,0)),'DICTIONARY-5'!$A$2)</f>
        <v>218,-</v>
      </c>
      <c r="K1240" s="670" t="str">
        <f>IF(EXC.RATE_2=0,"",IFERROR(IF(CURRENCY.FORMAT_2=0,CONCATENATE(TEXT(FIXED(ROUND(IF(EXC.RATE.SWITCH=1,C1240/EXC.RATE_2,C1240*EXC.RATE_2),CURRENCY.FORMAT_2),CURRENCY.FORMAT_2,1),"# ##0;-# ##0"),",-"),FIXED(ROUND(IF(EXC.RATE.SWITCH=1,C1240/EXC.RATE_2,C1240*EXC.RATE_2),CURRENCY.FORMAT_2),CURRENCY.FORMAT_2,0)),'DICTIONARY-5'!$A$2))</f>
        <v/>
      </c>
      <c r="L1240" s="670" t="str">
        <f>IFERROR(IF(CURRENCY.FORMAT_1=0,CONCATENATE(TEXT(FIXED(ROUND((C1240*(1-I1240)*(1-ADD.DISCOUNT)*(1+MAT.SURCHARGE)/EXC.RATE_1),CURRENCY.FORMAT_1),CURRENCY.FORMAT_1,1),"# ##0;-# ##0"),",-"),FIXED(ROUND((C1240*(1-I1240)*(1-ADD.DISCOUNT)*(1+MAT.SURCHARGE)/EXC.RATE_1),CURRENCY.FORMAT_1),CURRENCY.FORMAT_1,0)),'DICTIONARY-5'!$A$2)</f>
        <v>227,-</v>
      </c>
      <c r="M1240" s="670" t="str">
        <f>IF(EXC.RATE_2=0,"",IFERROR(IF(CURRENCY.FORMAT_2=0,CONCATENATE(TEXT(FIXED(ROUND(IF(EXC.RATE.SWITCH=1,C1240*(1-I1240)*(1-ADD.DISCOUNT)*(1+MAT.SURCHARGE)/EXC.RATE_2,C1240*(1-I1240)*(1-ADD.DISCOUNT)*(1+MAT.SURCHARGE)*EXC.RATE_2),CURRENCY.FORMAT_2),CURRENCY.FORMAT_2,1),"# ##0;-# ##0"),",-"),FIXED(ROUND(IF(EXC.RATE.SWITCH=1,C1240*(1-I1240)*(1-ADD.DISCOUNT)*(1+MAT.SURCHARGE)/EXC.RATE_2,C1240*(1-I1240)*(1-ADD.DISCOUNT)*(1+MAT.SURCHARGE)*EXC.RATE_2),CURRENCY.FORMAT_2),CURRENCY.FORMAT_2,0)),'DICTIONARY-5'!$A$2))</f>
        <v/>
      </c>
      <c r="N1240" s="539">
        <v>5</v>
      </c>
      <c r="O1240" s="539"/>
      <c r="P1240" s="731" t="str">
        <f>'DICTIONARY-3'!$A$99</f>
        <v>RETA</v>
      </c>
      <c r="Q1240" s="732" t="str">
        <f>'DICTIONARY-3'!$A$200</f>
        <v>Zawór zwrotny</v>
      </c>
      <c r="R1240" s="732" t="str">
        <f>CONCATENATE('DICTIONARY-3'!$A$99," ",'DICTIONARY-6'!$A$20," ",'DICTIONARY-2'!$A$2,"50"," ",'DICTIONARY-2'!$A$3,"10/16"," ","R48"," ",'DICTIONARY-5'!$A$34,"/",'DICTIONARY-5'!$A$44)</f>
        <v>RETA Zaw. zwrotny DN50 PN10/16 R48 A2/EPDM</v>
      </c>
      <c r="S1240" s="733"/>
      <c r="T1240" s="732"/>
      <c r="U1240" s="734" t="s">
        <v>5748</v>
      </c>
      <c r="V1240" s="735">
        <v>16</v>
      </c>
      <c r="W1240" s="736"/>
      <c r="X1240" s="737"/>
      <c r="Y1240" s="738"/>
      <c r="Z1240" s="739"/>
      <c r="AA1240" s="739"/>
      <c r="AB1240" s="740">
        <v>16</v>
      </c>
      <c r="AC1240" s="741" t="str">
        <f>'DICTIONARY-5'!$A$11&amp;" 48"</f>
        <v>EN 558 szereg 48</v>
      </c>
      <c r="AD1240" s="741" t="str">
        <f>'DICTIONARY-5'!$A$13&amp;", "&amp;'DICTIONARY-5'!$A$14</f>
        <v>woda pitna, ścieki</v>
      </c>
      <c r="AE1240" s="742">
        <v>70</v>
      </c>
      <c r="AF1240" s="743">
        <v>10.5</v>
      </c>
      <c r="AG1240" s="741" t="str">
        <f>'DICTIONARY-5'!$A$23</f>
        <v>powłoka epoksydowa</v>
      </c>
    </row>
    <row r="1241" spans="1:33" x14ac:dyDescent="0.25">
      <c r="A1241" s="861" t="s">
        <v>1240</v>
      </c>
      <c r="B1241" s="861" t="s">
        <v>4437</v>
      </c>
      <c r="C1241" s="836">
        <v>279</v>
      </c>
      <c r="D1241" s="836"/>
      <c r="E1241" s="836"/>
      <c r="F1241" s="836"/>
      <c r="G1241" s="496" t="s">
        <v>7824</v>
      </c>
      <c r="H1241" s="797" t="str">
        <f>VLOOKUP(G1241,SETTINGS!$B$7:$D$97,2,0)</f>
        <v>RETA</v>
      </c>
      <c r="I1241" s="796">
        <f>VLOOKUP(G1241,SETTINGS!$B$7:$D$97,3,0)</f>
        <v>0</v>
      </c>
      <c r="J1241" s="670" t="str">
        <f>IFERROR(IF(CURRENCY.FORMAT_1=0,CONCATENATE(TEXT(FIXED(ROUND((C1241/EXC.RATE_1),CURRENCY.FORMAT_1),CURRENCY.FORMAT_1,1),"# ##0;-# ##0"),",-"),FIXED(ROUND((C1241/EXC.RATE_1),CURRENCY.FORMAT_1),CURRENCY.FORMAT_1,0)),'DICTIONARY-5'!$A$2)</f>
        <v>279,-</v>
      </c>
      <c r="K1241" s="670" t="str">
        <f>IF(EXC.RATE_2=0,"",IFERROR(IF(CURRENCY.FORMAT_2=0,CONCATENATE(TEXT(FIXED(ROUND(IF(EXC.RATE.SWITCH=1,C1241/EXC.RATE_2,C1241*EXC.RATE_2),CURRENCY.FORMAT_2),CURRENCY.FORMAT_2,1),"# ##0;-# ##0"),",-"),FIXED(ROUND(IF(EXC.RATE.SWITCH=1,C1241/EXC.RATE_2,C1241*EXC.RATE_2),CURRENCY.FORMAT_2),CURRENCY.FORMAT_2,0)),'DICTIONARY-5'!$A$2))</f>
        <v/>
      </c>
      <c r="L1241" s="670" t="str">
        <f>IFERROR(IF(CURRENCY.FORMAT_1=0,CONCATENATE(TEXT(FIXED(ROUND((C1241*(1-I1241)*(1-ADD.DISCOUNT)*(1+MAT.SURCHARGE)/EXC.RATE_1),CURRENCY.FORMAT_1),CURRENCY.FORMAT_1,1),"# ##0;-# ##0"),",-"),FIXED(ROUND((C1241*(1-I1241)*(1-ADD.DISCOUNT)*(1+MAT.SURCHARGE)/EXC.RATE_1),CURRENCY.FORMAT_1),CURRENCY.FORMAT_1,0)),'DICTIONARY-5'!$A$2)</f>
        <v>290,-</v>
      </c>
      <c r="M1241" s="670" t="str">
        <f>IF(EXC.RATE_2=0,"",IFERROR(IF(CURRENCY.FORMAT_2=0,CONCATENATE(TEXT(FIXED(ROUND(IF(EXC.RATE.SWITCH=1,C1241*(1-I1241)*(1-ADD.DISCOUNT)*(1+MAT.SURCHARGE)/EXC.RATE_2,C1241*(1-I1241)*(1-ADD.DISCOUNT)*(1+MAT.SURCHARGE)*EXC.RATE_2),CURRENCY.FORMAT_2),CURRENCY.FORMAT_2,1),"# ##0;-# ##0"),",-"),FIXED(ROUND(IF(EXC.RATE.SWITCH=1,C1241*(1-I1241)*(1-ADD.DISCOUNT)*(1+MAT.SURCHARGE)/EXC.RATE_2,C1241*(1-I1241)*(1-ADD.DISCOUNT)*(1+MAT.SURCHARGE)*EXC.RATE_2),CURRENCY.FORMAT_2),CURRENCY.FORMAT_2,0)),'DICTIONARY-5'!$A$2))</f>
        <v/>
      </c>
      <c r="N1241" s="539">
        <v>5</v>
      </c>
      <c r="O1241" s="539"/>
      <c r="P1241" s="731" t="str">
        <f>'DICTIONARY-3'!$A$99</f>
        <v>RETA</v>
      </c>
      <c r="Q1241" s="732" t="str">
        <f>'DICTIONARY-3'!$A$200</f>
        <v>Zawór zwrotny</v>
      </c>
      <c r="R1241" s="732" t="str">
        <f>CONCATENATE('DICTIONARY-3'!$A$99," ",'DICTIONARY-6'!$A$20," ",'DICTIONARY-2'!$A$2,"65"," ",'DICTIONARY-2'!$A$3,"10/16"," ","R48"," ",'DICTIONARY-5'!$A$34,"/",'DICTIONARY-5'!$A$44)</f>
        <v>RETA Zaw. zwrotny DN65 PN10/16 R48 A2/EPDM</v>
      </c>
      <c r="S1241" s="733"/>
      <c r="T1241" s="732"/>
      <c r="U1241" s="734" t="s">
        <v>5759</v>
      </c>
      <c r="V1241" s="735">
        <v>16</v>
      </c>
      <c r="W1241" s="736"/>
      <c r="X1241" s="737"/>
      <c r="Y1241" s="738"/>
      <c r="Z1241" s="739"/>
      <c r="AA1241" s="739"/>
      <c r="AB1241" s="740">
        <v>16</v>
      </c>
      <c r="AC1241" s="741" t="str">
        <f>'DICTIONARY-5'!$A$11&amp;" 48"</f>
        <v>EN 558 szereg 48</v>
      </c>
      <c r="AD1241" s="741" t="str">
        <f>'DICTIONARY-5'!$A$13&amp;", "&amp;'DICTIONARY-5'!$A$14</f>
        <v>woda pitna, ścieki</v>
      </c>
      <c r="AE1241" s="742">
        <v>70</v>
      </c>
      <c r="AF1241" s="743">
        <v>14</v>
      </c>
      <c r="AG1241" s="741" t="str">
        <f>'DICTIONARY-5'!$A$23</f>
        <v>powłoka epoksydowa</v>
      </c>
    </row>
    <row r="1242" spans="1:33" x14ac:dyDescent="0.25">
      <c r="A1242" s="861" t="s">
        <v>1242</v>
      </c>
      <c r="B1242" s="861" t="s">
        <v>4439</v>
      </c>
      <c r="C1242" s="836">
        <v>291</v>
      </c>
      <c r="D1242" s="836"/>
      <c r="E1242" s="836"/>
      <c r="F1242" s="836"/>
      <c r="G1242" s="496" t="s">
        <v>7824</v>
      </c>
      <c r="H1242" s="797" t="str">
        <f>VLOOKUP(G1242,SETTINGS!$B$7:$D$97,2,0)</f>
        <v>RETA</v>
      </c>
      <c r="I1242" s="796">
        <f>VLOOKUP(G1242,SETTINGS!$B$7:$D$97,3,0)</f>
        <v>0</v>
      </c>
      <c r="J1242" s="670" t="str">
        <f>IFERROR(IF(CURRENCY.FORMAT_1=0,CONCATENATE(TEXT(FIXED(ROUND((C1242/EXC.RATE_1),CURRENCY.FORMAT_1),CURRENCY.FORMAT_1,1),"# ##0;-# ##0"),",-"),FIXED(ROUND((C1242/EXC.RATE_1),CURRENCY.FORMAT_1),CURRENCY.FORMAT_1,0)),'DICTIONARY-5'!$A$2)</f>
        <v>291,-</v>
      </c>
      <c r="K1242" s="670" t="str">
        <f>IF(EXC.RATE_2=0,"",IFERROR(IF(CURRENCY.FORMAT_2=0,CONCATENATE(TEXT(FIXED(ROUND(IF(EXC.RATE.SWITCH=1,C1242/EXC.RATE_2,C1242*EXC.RATE_2),CURRENCY.FORMAT_2),CURRENCY.FORMAT_2,1),"# ##0;-# ##0"),",-"),FIXED(ROUND(IF(EXC.RATE.SWITCH=1,C1242/EXC.RATE_2,C1242*EXC.RATE_2),CURRENCY.FORMAT_2),CURRENCY.FORMAT_2,0)),'DICTIONARY-5'!$A$2))</f>
        <v/>
      </c>
      <c r="L1242" s="670" t="str">
        <f>IFERROR(IF(CURRENCY.FORMAT_1=0,CONCATENATE(TEXT(FIXED(ROUND((C1242*(1-I1242)*(1-ADD.DISCOUNT)*(1+MAT.SURCHARGE)/EXC.RATE_1),CURRENCY.FORMAT_1),CURRENCY.FORMAT_1,1),"# ##0;-# ##0"),",-"),FIXED(ROUND((C1242*(1-I1242)*(1-ADD.DISCOUNT)*(1+MAT.SURCHARGE)/EXC.RATE_1),CURRENCY.FORMAT_1),CURRENCY.FORMAT_1,0)),'DICTIONARY-5'!$A$2)</f>
        <v>302,-</v>
      </c>
      <c r="M1242" s="670" t="str">
        <f>IF(EXC.RATE_2=0,"",IFERROR(IF(CURRENCY.FORMAT_2=0,CONCATENATE(TEXT(FIXED(ROUND(IF(EXC.RATE.SWITCH=1,C1242*(1-I1242)*(1-ADD.DISCOUNT)*(1+MAT.SURCHARGE)/EXC.RATE_2,C1242*(1-I1242)*(1-ADD.DISCOUNT)*(1+MAT.SURCHARGE)*EXC.RATE_2),CURRENCY.FORMAT_2),CURRENCY.FORMAT_2,1),"# ##0;-# ##0"),",-"),FIXED(ROUND(IF(EXC.RATE.SWITCH=1,C1242*(1-I1242)*(1-ADD.DISCOUNT)*(1+MAT.SURCHARGE)/EXC.RATE_2,C1242*(1-I1242)*(1-ADD.DISCOUNT)*(1+MAT.SURCHARGE)*EXC.RATE_2),CURRENCY.FORMAT_2),CURRENCY.FORMAT_2,0)),'DICTIONARY-5'!$A$2))</f>
        <v/>
      </c>
      <c r="N1242" s="539">
        <v>5</v>
      </c>
      <c r="O1242" s="539"/>
      <c r="P1242" s="731" t="str">
        <f>'DICTIONARY-3'!$A$99</f>
        <v>RETA</v>
      </c>
      <c r="Q1242" s="732" t="str">
        <f>'DICTIONARY-3'!$A$200</f>
        <v>Zawór zwrotny</v>
      </c>
      <c r="R1242" s="732" t="str">
        <f>CONCATENATE('DICTIONARY-3'!$A$99," ",'DICTIONARY-6'!$A$20," ",'DICTIONARY-2'!$A$2,"80"," ",'DICTIONARY-2'!$A$3,"10/16"," ","R48"," ",'DICTIONARY-5'!$A$34,"/",'DICTIONARY-5'!$A$44)</f>
        <v>RETA Zaw. zwrotny DN80 PN10/16 R48 A2/EPDM</v>
      </c>
      <c r="S1242" s="733"/>
      <c r="T1242" s="732"/>
      <c r="U1242" s="734" t="s">
        <v>5760</v>
      </c>
      <c r="V1242" s="735">
        <v>16</v>
      </c>
      <c r="W1242" s="736"/>
      <c r="X1242" s="737"/>
      <c r="Y1242" s="738"/>
      <c r="Z1242" s="739"/>
      <c r="AA1242" s="739"/>
      <c r="AB1242" s="740">
        <v>16</v>
      </c>
      <c r="AC1242" s="741" t="str">
        <f>'DICTIONARY-5'!$A$11&amp;" 48"</f>
        <v>EN 558 szereg 48</v>
      </c>
      <c r="AD1242" s="741" t="str">
        <f>'DICTIONARY-5'!$A$13&amp;", "&amp;'DICTIONARY-5'!$A$14</f>
        <v>woda pitna, ścieki</v>
      </c>
      <c r="AE1242" s="742">
        <v>70</v>
      </c>
      <c r="AF1242" s="743">
        <v>17</v>
      </c>
      <c r="AG1242" s="741" t="str">
        <f>'DICTIONARY-5'!$A$23</f>
        <v>powłoka epoksydowa</v>
      </c>
    </row>
    <row r="1243" spans="1:33" x14ac:dyDescent="0.25">
      <c r="A1243" s="861" t="s">
        <v>1244</v>
      </c>
      <c r="B1243" s="861" t="s">
        <v>4403</v>
      </c>
      <c r="C1243" s="836">
        <v>324</v>
      </c>
      <c r="D1243" s="836"/>
      <c r="E1243" s="836"/>
      <c r="F1243" s="836"/>
      <c r="G1243" s="496" t="s">
        <v>7824</v>
      </c>
      <c r="H1243" s="797" t="str">
        <f>VLOOKUP(G1243,SETTINGS!$B$7:$D$97,2,0)</f>
        <v>RETA</v>
      </c>
      <c r="I1243" s="796">
        <f>VLOOKUP(G1243,SETTINGS!$B$7:$D$97,3,0)</f>
        <v>0</v>
      </c>
      <c r="J1243" s="670" t="str">
        <f>IFERROR(IF(CURRENCY.FORMAT_1=0,CONCATENATE(TEXT(FIXED(ROUND((C1243/EXC.RATE_1),CURRENCY.FORMAT_1),CURRENCY.FORMAT_1,1),"# ##0;-# ##0"),",-"),FIXED(ROUND((C1243/EXC.RATE_1),CURRENCY.FORMAT_1),CURRENCY.FORMAT_1,0)),'DICTIONARY-5'!$A$2)</f>
        <v>324,-</v>
      </c>
      <c r="K1243" s="670" t="str">
        <f>IF(EXC.RATE_2=0,"",IFERROR(IF(CURRENCY.FORMAT_2=0,CONCATENATE(TEXT(FIXED(ROUND(IF(EXC.RATE.SWITCH=1,C1243/EXC.RATE_2,C1243*EXC.RATE_2),CURRENCY.FORMAT_2),CURRENCY.FORMAT_2,1),"# ##0;-# ##0"),",-"),FIXED(ROUND(IF(EXC.RATE.SWITCH=1,C1243/EXC.RATE_2,C1243*EXC.RATE_2),CURRENCY.FORMAT_2),CURRENCY.FORMAT_2,0)),'DICTIONARY-5'!$A$2))</f>
        <v/>
      </c>
      <c r="L1243" s="670" t="str">
        <f>IFERROR(IF(CURRENCY.FORMAT_1=0,CONCATENATE(TEXT(FIXED(ROUND((C1243*(1-I1243)*(1-ADD.DISCOUNT)*(1+MAT.SURCHARGE)/EXC.RATE_1),CURRENCY.FORMAT_1),CURRENCY.FORMAT_1,1),"# ##0;-# ##0"),",-"),FIXED(ROUND((C1243*(1-I1243)*(1-ADD.DISCOUNT)*(1+MAT.SURCHARGE)/EXC.RATE_1),CURRENCY.FORMAT_1),CURRENCY.FORMAT_1,0)),'DICTIONARY-5'!$A$2)</f>
        <v>337,-</v>
      </c>
      <c r="M1243" s="670" t="str">
        <f>IF(EXC.RATE_2=0,"",IFERROR(IF(CURRENCY.FORMAT_2=0,CONCATENATE(TEXT(FIXED(ROUND(IF(EXC.RATE.SWITCH=1,C1243*(1-I1243)*(1-ADD.DISCOUNT)*(1+MAT.SURCHARGE)/EXC.RATE_2,C1243*(1-I1243)*(1-ADD.DISCOUNT)*(1+MAT.SURCHARGE)*EXC.RATE_2),CURRENCY.FORMAT_2),CURRENCY.FORMAT_2,1),"# ##0;-# ##0"),",-"),FIXED(ROUND(IF(EXC.RATE.SWITCH=1,C1243*(1-I1243)*(1-ADD.DISCOUNT)*(1+MAT.SURCHARGE)/EXC.RATE_2,C1243*(1-I1243)*(1-ADD.DISCOUNT)*(1+MAT.SURCHARGE)*EXC.RATE_2),CURRENCY.FORMAT_2),CURRENCY.FORMAT_2,0)),'DICTIONARY-5'!$A$2))</f>
        <v/>
      </c>
      <c r="N1243" s="539">
        <v>5</v>
      </c>
      <c r="O1243" s="539"/>
      <c r="P1243" s="731" t="str">
        <f>'DICTIONARY-3'!$A$99</f>
        <v>RETA</v>
      </c>
      <c r="Q1243" s="732" t="str">
        <f>'DICTIONARY-3'!$A$200</f>
        <v>Zawór zwrotny</v>
      </c>
      <c r="R1243" s="732" t="str">
        <f>CONCATENATE('DICTIONARY-3'!$A$99," ",'DICTIONARY-6'!$A$20," ",'DICTIONARY-2'!$A$2,"100"," ",'DICTIONARY-2'!$A$3,"10/16"," ","R48"," ",'DICTIONARY-5'!$A$34,"/",'DICTIONARY-5'!$A$44)</f>
        <v>RETA Zaw. zwrotny DN100 PN10/16 R48 A2/EPDM</v>
      </c>
      <c r="S1243" s="733"/>
      <c r="T1243" s="732"/>
      <c r="U1243" s="734" t="s">
        <v>5749</v>
      </c>
      <c r="V1243" s="735">
        <v>16</v>
      </c>
      <c r="W1243" s="736"/>
      <c r="X1243" s="737"/>
      <c r="Y1243" s="738"/>
      <c r="Z1243" s="739"/>
      <c r="AA1243" s="739"/>
      <c r="AB1243" s="740">
        <v>16</v>
      </c>
      <c r="AC1243" s="741" t="str">
        <f>'DICTIONARY-5'!$A$11&amp;" 48"</f>
        <v>EN 558 szereg 48</v>
      </c>
      <c r="AD1243" s="741" t="str">
        <f>'DICTIONARY-5'!$A$13&amp;", "&amp;'DICTIONARY-5'!$A$14</f>
        <v>woda pitna, ścieki</v>
      </c>
      <c r="AE1243" s="742">
        <v>70</v>
      </c>
      <c r="AF1243" s="743">
        <v>26.5</v>
      </c>
      <c r="AG1243" s="741" t="str">
        <f>'DICTIONARY-5'!$A$23</f>
        <v>powłoka epoksydowa</v>
      </c>
    </row>
    <row r="1244" spans="1:33" x14ac:dyDescent="0.25">
      <c r="A1244" s="861" t="s">
        <v>1246</v>
      </c>
      <c r="B1244" s="861" t="s">
        <v>4405</v>
      </c>
      <c r="C1244" s="836">
        <v>437</v>
      </c>
      <c r="D1244" s="836"/>
      <c r="E1244" s="836"/>
      <c r="F1244" s="836"/>
      <c r="G1244" s="496" t="s">
        <v>7824</v>
      </c>
      <c r="H1244" s="797" t="str">
        <f>VLOOKUP(G1244,SETTINGS!$B$7:$D$97,2,0)</f>
        <v>RETA</v>
      </c>
      <c r="I1244" s="796">
        <f>VLOOKUP(G1244,SETTINGS!$B$7:$D$97,3,0)</f>
        <v>0</v>
      </c>
      <c r="J1244" s="670" t="str">
        <f>IFERROR(IF(CURRENCY.FORMAT_1=0,CONCATENATE(TEXT(FIXED(ROUND((C1244/EXC.RATE_1),CURRENCY.FORMAT_1),CURRENCY.FORMAT_1,1),"# ##0;-# ##0"),",-"),FIXED(ROUND((C1244/EXC.RATE_1),CURRENCY.FORMAT_1),CURRENCY.FORMAT_1,0)),'DICTIONARY-5'!$A$2)</f>
        <v>437,-</v>
      </c>
      <c r="K1244" s="670" t="str">
        <f>IF(EXC.RATE_2=0,"",IFERROR(IF(CURRENCY.FORMAT_2=0,CONCATENATE(TEXT(FIXED(ROUND(IF(EXC.RATE.SWITCH=1,C1244/EXC.RATE_2,C1244*EXC.RATE_2),CURRENCY.FORMAT_2),CURRENCY.FORMAT_2,1),"# ##0;-# ##0"),",-"),FIXED(ROUND(IF(EXC.RATE.SWITCH=1,C1244/EXC.RATE_2,C1244*EXC.RATE_2),CURRENCY.FORMAT_2),CURRENCY.FORMAT_2,0)),'DICTIONARY-5'!$A$2))</f>
        <v/>
      </c>
      <c r="L1244" s="670" t="str">
        <f>IFERROR(IF(CURRENCY.FORMAT_1=0,CONCATENATE(TEXT(FIXED(ROUND((C1244*(1-I1244)*(1-ADD.DISCOUNT)*(1+MAT.SURCHARGE)/EXC.RATE_1),CURRENCY.FORMAT_1),CURRENCY.FORMAT_1,1),"# ##0;-# ##0"),",-"),FIXED(ROUND((C1244*(1-I1244)*(1-ADD.DISCOUNT)*(1+MAT.SURCHARGE)/EXC.RATE_1),CURRENCY.FORMAT_1),CURRENCY.FORMAT_1,0)),'DICTIONARY-5'!$A$2)</f>
        <v>454,-</v>
      </c>
      <c r="M1244" s="670" t="str">
        <f>IF(EXC.RATE_2=0,"",IFERROR(IF(CURRENCY.FORMAT_2=0,CONCATENATE(TEXT(FIXED(ROUND(IF(EXC.RATE.SWITCH=1,C1244*(1-I1244)*(1-ADD.DISCOUNT)*(1+MAT.SURCHARGE)/EXC.RATE_2,C1244*(1-I1244)*(1-ADD.DISCOUNT)*(1+MAT.SURCHARGE)*EXC.RATE_2),CURRENCY.FORMAT_2),CURRENCY.FORMAT_2,1),"# ##0;-# ##0"),",-"),FIXED(ROUND(IF(EXC.RATE.SWITCH=1,C1244*(1-I1244)*(1-ADD.DISCOUNT)*(1+MAT.SURCHARGE)/EXC.RATE_2,C1244*(1-I1244)*(1-ADD.DISCOUNT)*(1+MAT.SURCHARGE)*EXC.RATE_2),CURRENCY.FORMAT_2),CURRENCY.FORMAT_2,0)),'DICTIONARY-5'!$A$2))</f>
        <v/>
      </c>
      <c r="N1244" s="539">
        <v>5</v>
      </c>
      <c r="O1244" s="539"/>
      <c r="P1244" s="731" t="str">
        <f>'DICTIONARY-3'!$A$99</f>
        <v>RETA</v>
      </c>
      <c r="Q1244" s="732" t="str">
        <f>'DICTIONARY-3'!$A$200</f>
        <v>Zawór zwrotny</v>
      </c>
      <c r="R1244" s="732" t="str">
        <f>CONCATENATE('DICTIONARY-3'!$A$99," ",'DICTIONARY-6'!$A$20," ",'DICTIONARY-2'!$A$2,"125"," ",'DICTIONARY-2'!$A$3,"10/16"," ","R48"," ",'DICTIONARY-5'!$A$34,"/",'DICTIONARY-5'!$A$44)</f>
        <v>RETA Zaw. zwrotny DN125 PN10/16 R48 A2/EPDM</v>
      </c>
      <c r="S1244" s="733"/>
      <c r="T1244" s="732"/>
      <c r="U1244" s="734" t="s">
        <v>5761</v>
      </c>
      <c r="V1244" s="735">
        <v>16</v>
      </c>
      <c r="W1244" s="736"/>
      <c r="X1244" s="737"/>
      <c r="Y1244" s="738"/>
      <c r="Z1244" s="739"/>
      <c r="AA1244" s="739"/>
      <c r="AB1244" s="740">
        <v>16</v>
      </c>
      <c r="AC1244" s="741" t="str">
        <f>'DICTIONARY-5'!$A$11&amp;" 48"</f>
        <v>EN 558 szereg 48</v>
      </c>
      <c r="AD1244" s="741" t="str">
        <f>'DICTIONARY-5'!$A$13&amp;", "&amp;'DICTIONARY-5'!$A$14</f>
        <v>woda pitna, ścieki</v>
      </c>
      <c r="AE1244" s="742">
        <v>70</v>
      </c>
      <c r="AF1244" s="743">
        <v>34</v>
      </c>
      <c r="AG1244" s="741" t="str">
        <f>'DICTIONARY-5'!$A$23</f>
        <v>powłoka epoksydowa</v>
      </c>
    </row>
    <row r="1245" spans="1:33" x14ac:dyDescent="0.25">
      <c r="A1245" s="861" t="s">
        <v>1248</v>
      </c>
      <c r="B1245" s="861" t="s">
        <v>4407</v>
      </c>
      <c r="C1245" s="836">
        <v>608</v>
      </c>
      <c r="D1245" s="836"/>
      <c r="E1245" s="836"/>
      <c r="F1245" s="836"/>
      <c r="G1245" s="496" t="s">
        <v>7824</v>
      </c>
      <c r="H1245" s="797" t="str">
        <f>VLOOKUP(G1245,SETTINGS!$B$7:$D$97,2,0)</f>
        <v>RETA</v>
      </c>
      <c r="I1245" s="796">
        <f>VLOOKUP(G1245,SETTINGS!$B$7:$D$97,3,0)</f>
        <v>0</v>
      </c>
      <c r="J1245" s="670" t="str">
        <f>IFERROR(IF(CURRENCY.FORMAT_1=0,CONCATENATE(TEXT(FIXED(ROUND((C1245/EXC.RATE_1),CURRENCY.FORMAT_1),CURRENCY.FORMAT_1,1),"# ##0;-# ##0"),",-"),FIXED(ROUND((C1245/EXC.RATE_1),CURRENCY.FORMAT_1),CURRENCY.FORMAT_1,0)),'DICTIONARY-5'!$A$2)</f>
        <v>608,-</v>
      </c>
      <c r="K1245" s="670" t="str">
        <f>IF(EXC.RATE_2=0,"",IFERROR(IF(CURRENCY.FORMAT_2=0,CONCATENATE(TEXT(FIXED(ROUND(IF(EXC.RATE.SWITCH=1,C1245/EXC.RATE_2,C1245*EXC.RATE_2),CURRENCY.FORMAT_2),CURRENCY.FORMAT_2,1),"# ##0;-# ##0"),",-"),FIXED(ROUND(IF(EXC.RATE.SWITCH=1,C1245/EXC.RATE_2,C1245*EXC.RATE_2),CURRENCY.FORMAT_2),CURRENCY.FORMAT_2,0)),'DICTIONARY-5'!$A$2))</f>
        <v/>
      </c>
      <c r="L1245" s="670" t="str">
        <f>IFERROR(IF(CURRENCY.FORMAT_1=0,CONCATENATE(TEXT(FIXED(ROUND((C1245*(1-I1245)*(1-ADD.DISCOUNT)*(1+MAT.SURCHARGE)/EXC.RATE_1),CURRENCY.FORMAT_1),CURRENCY.FORMAT_1,1),"# ##0;-# ##0"),",-"),FIXED(ROUND((C1245*(1-I1245)*(1-ADD.DISCOUNT)*(1+MAT.SURCHARGE)/EXC.RATE_1),CURRENCY.FORMAT_1),CURRENCY.FORMAT_1,0)),'DICTIONARY-5'!$A$2)</f>
        <v>632,-</v>
      </c>
      <c r="M1245" s="670" t="str">
        <f>IF(EXC.RATE_2=0,"",IFERROR(IF(CURRENCY.FORMAT_2=0,CONCATENATE(TEXT(FIXED(ROUND(IF(EXC.RATE.SWITCH=1,C1245*(1-I1245)*(1-ADD.DISCOUNT)*(1+MAT.SURCHARGE)/EXC.RATE_2,C1245*(1-I1245)*(1-ADD.DISCOUNT)*(1+MAT.SURCHARGE)*EXC.RATE_2),CURRENCY.FORMAT_2),CURRENCY.FORMAT_2,1),"# ##0;-# ##0"),",-"),FIXED(ROUND(IF(EXC.RATE.SWITCH=1,C1245*(1-I1245)*(1-ADD.DISCOUNT)*(1+MAT.SURCHARGE)/EXC.RATE_2,C1245*(1-I1245)*(1-ADD.DISCOUNT)*(1+MAT.SURCHARGE)*EXC.RATE_2),CURRENCY.FORMAT_2),CURRENCY.FORMAT_2,0)),'DICTIONARY-5'!$A$2))</f>
        <v/>
      </c>
      <c r="N1245" s="539">
        <v>5</v>
      </c>
      <c r="O1245" s="539"/>
      <c r="P1245" s="731" t="str">
        <f>'DICTIONARY-3'!$A$99</f>
        <v>RETA</v>
      </c>
      <c r="Q1245" s="732" t="str">
        <f>'DICTIONARY-3'!$A$200</f>
        <v>Zawór zwrotny</v>
      </c>
      <c r="R1245" s="732" t="str">
        <f>CONCATENATE('DICTIONARY-3'!$A$99," ",'DICTIONARY-6'!$A$20," ",'DICTIONARY-2'!$A$2,"150"," ",'DICTIONARY-2'!$A$3,"10/16"," ","R48"," ",'DICTIONARY-5'!$A$34,"/",'DICTIONARY-5'!$A$44)</f>
        <v>RETA Zaw. zwrotny DN150 PN10/16 R48 A2/EPDM</v>
      </c>
      <c r="S1245" s="733"/>
      <c r="T1245" s="732"/>
      <c r="U1245" s="734" t="s">
        <v>5572</v>
      </c>
      <c r="V1245" s="735">
        <v>16</v>
      </c>
      <c r="W1245" s="736"/>
      <c r="X1245" s="737"/>
      <c r="Y1245" s="738"/>
      <c r="Z1245" s="739"/>
      <c r="AA1245" s="739"/>
      <c r="AB1245" s="740">
        <v>16</v>
      </c>
      <c r="AC1245" s="741" t="str">
        <f>'DICTIONARY-5'!$A$11&amp;" 48"</f>
        <v>EN 558 szereg 48</v>
      </c>
      <c r="AD1245" s="741" t="str">
        <f>'DICTIONARY-5'!$A$13&amp;", "&amp;'DICTIONARY-5'!$A$14</f>
        <v>woda pitna, ścieki</v>
      </c>
      <c r="AE1245" s="742">
        <v>70</v>
      </c>
      <c r="AF1245" s="743">
        <v>50</v>
      </c>
      <c r="AG1245" s="741" t="str">
        <f>'DICTIONARY-5'!$A$23</f>
        <v>powłoka epoksydowa</v>
      </c>
    </row>
    <row r="1246" spans="1:33" x14ac:dyDescent="0.25">
      <c r="A1246" s="861" t="s">
        <v>1250</v>
      </c>
      <c r="B1246" s="861" t="s">
        <v>4409</v>
      </c>
      <c r="C1246" s="836">
        <v>802</v>
      </c>
      <c r="D1246" s="836"/>
      <c r="E1246" s="836"/>
      <c r="F1246" s="836"/>
      <c r="G1246" s="496" t="s">
        <v>7824</v>
      </c>
      <c r="H1246" s="797" t="str">
        <f>VLOOKUP(G1246,SETTINGS!$B$7:$D$97,2,0)</f>
        <v>RETA</v>
      </c>
      <c r="I1246" s="796">
        <f>VLOOKUP(G1246,SETTINGS!$B$7:$D$97,3,0)</f>
        <v>0</v>
      </c>
      <c r="J1246" s="670" t="str">
        <f>IFERROR(IF(CURRENCY.FORMAT_1=0,CONCATENATE(TEXT(FIXED(ROUND((C1246/EXC.RATE_1),CURRENCY.FORMAT_1),CURRENCY.FORMAT_1,1),"# ##0;-# ##0"),",-"),FIXED(ROUND((C1246/EXC.RATE_1),CURRENCY.FORMAT_1),CURRENCY.FORMAT_1,0)),'DICTIONARY-5'!$A$2)</f>
        <v>802,-</v>
      </c>
      <c r="K1246" s="670" t="str">
        <f>IF(EXC.RATE_2=0,"",IFERROR(IF(CURRENCY.FORMAT_2=0,CONCATENATE(TEXT(FIXED(ROUND(IF(EXC.RATE.SWITCH=1,C1246/EXC.RATE_2,C1246*EXC.RATE_2),CURRENCY.FORMAT_2),CURRENCY.FORMAT_2,1),"# ##0;-# ##0"),",-"),FIXED(ROUND(IF(EXC.RATE.SWITCH=1,C1246/EXC.RATE_2,C1246*EXC.RATE_2),CURRENCY.FORMAT_2),CURRENCY.FORMAT_2,0)),'DICTIONARY-5'!$A$2))</f>
        <v/>
      </c>
      <c r="L1246" s="670" t="str">
        <f>IFERROR(IF(CURRENCY.FORMAT_1=0,CONCATENATE(TEXT(FIXED(ROUND((C1246*(1-I1246)*(1-ADD.DISCOUNT)*(1+MAT.SURCHARGE)/EXC.RATE_1),CURRENCY.FORMAT_1),CURRENCY.FORMAT_1,1),"# ##0;-# ##0"),",-"),FIXED(ROUND((C1246*(1-I1246)*(1-ADD.DISCOUNT)*(1+MAT.SURCHARGE)/EXC.RATE_1),CURRENCY.FORMAT_1),CURRENCY.FORMAT_1,0)),'DICTIONARY-5'!$A$2)</f>
        <v>833,-</v>
      </c>
      <c r="M1246" s="670" t="str">
        <f>IF(EXC.RATE_2=0,"",IFERROR(IF(CURRENCY.FORMAT_2=0,CONCATENATE(TEXT(FIXED(ROUND(IF(EXC.RATE.SWITCH=1,C1246*(1-I1246)*(1-ADD.DISCOUNT)*(1+MAT.SURCHARGE)/EXC.RATE_2,C1246*(1-I1246)*(1-ADD.DISCOUNT)*(1+MAT.SURCHARGE)*EXC.RATE_2),CURRENCY.FORMAT_2),CURRENCY.FORMAT_2,1),"# ##0;-# ##0"),",-"),FIXED(ROUND(IF(EXC.RATE.SWITCH=1,C1246*(1-I1246)*(1-ADD.DISCOUNT)*(1+MAT.SURCHARGE)/EXC.RATE_2,C1246*(1-I1246)*(1-ADD.DISCOUNT)*(1+MAT.SURCHARGE)*EXC.RATE_2),CURRENCY.FORMAT_2),CURRENCY.FORMAT_2,0)),'DICTIONARY-5'!$A$2))</f>
        <v/>
      </c>
      <c r="N1246" s="539">
        <v>5</v>
      </c>
      <c r="O1246" s="539"/>
      <c r="P1246" s="731" t="str">
        <f>'DICTIONARY-3'!$A$99</f>
        <v>RETA</v>
      </c>
      <c r="Q1246" s="732" t="str">
        <f>'DICTIONARY-3'!$A$200</f>
        <v>Zawór zwrotny</v>
      </c>
      <c r="R1246" s="732" t="str">
        <f>CONCATENATE('DICTIONARY-3'!$A$99," ",'DICTIONARY-6'!$A$20," ",'DICTIONARY-2'!$A$2,"200"," ",'DICTIONARY-2'!$A$3,"16"," ","R48"," ",'DICTIONARY-5'!$A$34,"/",'DICTIONARY-5'!$A$44)</f>
        <v>RETA Zaw. zwrotny DN200 PN16 R48 A2/EPDM</v>
      </c>
      <c r="S1246" s="733"/>
      <c r="T1246" s="732"/>
      <c r="U1246" s="734" t="s">
        <v>5750</v>
      </c>
      <c r="V1246" s="735">
        <v>16</v>
      </c>
      <c r="W1246" s="736"/>
      <c r="X1246" s="737"/>
      <c r="Y1246" s="738"/>
      <c r="Z1246" s="739"/>
      <c r="AA1246" s="739"/>
      <c r="AB1246" s="740">
        <v>16</v>
      </c>
      <c r="AC1246" s="741" t="str">
        <f>'DICTIONARY-5'!$A$11&amp;" 48"</f>
        <v>EN 558 szereg 48</v>
      </c>
      <c r="AD1246" s="741" t="str">
        <f>'DICTIONARY-5'!$A$13&amp;", "&amp;'DICTIONARY-5'!$A$14</f>
        <v>woda pitna, ścieki</v>
      </c>
      <c r="AE1246" s="742">
        <v>70</v>
      </c>
      <c r="AF1246" s="743">
        <v>84</v>
      </c>
      <c r="AG1246" s="741" t="str">
        <f>'DICTIONARY-5'!$A$23</f>
        <v>powłoka epoksydowa</v>
      </c>
    </row>
    <row r="1247" spans="1:33" x14ac:dyDescent="0.25">
      <c r="A1247" s="861" t="s">
        <v>1252</v>
      </c>
      <c r="B1247" s="861" t="s">
        <v>4411</v>
      </c>
      <c r="C1247" s="836">
        <v>1332</v>
      </c>
      <c r="D1247" s="836"/>
      <c r="E1247" s="836"/>
      <c r="F1247" s="836"/>
      <c r="G1247" s="496" t="s">
        <v>7824</v>
      </c>
      <c r="H1247" s="797" t="str">
        <f>VLOOKUP(G1247,SETTINGS!$B$7:$D$97,2,0)</f>
        <v>RETA</v>
      </c>
      <c r="I1247" s="796">
        <f>VLOOKUP(G1247,SETTINGS!$B$7:$D$97,3,0)</f>
        <v>0</v>
      </c>
      <c r="J1247" s="670" t="str">
        <f>IFERROR(IF(CURRENCY.FORMAT_1=0,CONCATENATE(TEXT(FIXED(ROUND((C1247/EXC.RATE_1),CURRENCY.FORMAT_1),CURRENCY.FORMAT_1,1),"# ##0;-# ##0"),",-"),FIXED(ROUND((C1247/EXC.RATE_1),CURRENCY.FORMAT_1),CURRENCY.FORMAT_1,0)),'DICTIONARY-5'!$A$2)</f>
        <v>1 332,-</v>
      </c>
      <c r="K1247" s="670" t="str">
        <f>IF(EXC.RATE_2=0,"",IFERROR(IF(CURRENCY.FORMAT_2=0,CONCATENATE(TEXT(FIXED(ROUND(IF(EXC.RATE.SWITCH=1,C1247/EXC.RATE_2,C1247*EXC.RATE_2),CURRENCY.FORMAT_2),CURRENCY.FORMAT_2,1),"# ##0;-# ##0"),",-"),FIXED(ROUND(IF(EXC.RATE.SWITCH=1,C1247/EXC.RATE_2,C1247*EXC.RATE_2),CURRENCY.FORMAT_2),CURRENCY.FORMAT_2,0)),'DICTIONARY-5'!$A$2))</f>
        <v/>
      </c>
      <c r="L1247" s="670" t="str">
        <f>IFERROR(IF(CURRENCY.FORMAT_1=0,CONCATENATE(TEXT(FIXED(ROUND((C1247*(1-I1247)*(1-ADD.DISCOUNT)*(1+MAT.SURCHARGE)/EXC.RATE_1),CURRENCY.FORMAT_1),CURRENCY.FORMAT_1,1),"# ##0;-# ##0"),",-"),FIXED(ROUND((C1247*(1-I1247)*(1-ADD.DISCOUNT)*(1+MAT.SURCHARGE)/EXC.RATE_1),CURRENCY.FORMAT_1),CURRENCY.FORMAT_1,0)),'DICTIONARY-5'!$A$2)</f>
        <v>1 384,-</v>
      </c>
      <c r="M1247" s="670" t="str">
        <f>IF(EXC.RATE_2=0,"",IFERROR(IF(CURRENCY.FORMAT_2=0,CONCATENATE(TEXT(FIXED(ROUND(IF(EXC.RATE.SWITCH=1,C1247*(1-I1247)*(1-ADD.DISCOUNT)*(1+MAT.SURCHARGE)/EXC.RATE_2,C1247*(1-I1247)*(1-ADD.DISCOUNT)*(1+MAT.SURCHARGE)*EXC.RATE_2),CURRENCY.FORMAT_2),CURRENCY.FORMAT_2,1),"# ##0;-# ##0"),",-"),FIXED(ROUND(IF(EXC.RATE.SWITCH=1,C1247*(1-I1247)*(1-ADD.DISCOUNT)*(1+MAT.SURCHARGE)/EXC.RATE_2,C1247*(1-I1247)*(1-ADD.DISCOUNT)*(1+MAT.SURCHARGE)*EXC.RATE_2),CURRENCY.FORMAT_2),CURRENCY.FORMAT_2,0)),'DICTIONARY-5'!$A$2))</f>
        <v/>
      </c>
      <c r="N1247" s="539">
        <v>5</v>
      </c>
      <c r="O1247" s="539"/>
      <c r="P1247" s="731" t="str">
        <f>'DICTIONARY-3'!$A$99</f>
        <v>RETA</v>
      </c>
      <c r="Q1247" s="732" t="str">
        <f>'DICTIONARY-3'!$A$200</f>
        <v>Zawór zwrotny</v>
      </c>
      <c r="R1247" s="732" t="str">
        <f>CONCATENATE('DICTIONARY-3'!$A$99," ",'DICTIONARY-6'!$A$20," ",'DICTIONARY-2'!$A$2,"250"," ",'DICTIONARY-2'!$A$3,"16"," ","R48"," ",'DICTIONARY-5'!$A$34,"/",'DICTIONARY-5'!$A$44)</f>
        <v>RETA Zaw. zwrotny DN250 PN16 R48 A2/EPDM</v>
      </c>
      <c r="S1247" s="733"/>
      <c r="T1247" s="732"/>
      <c r="U1247" s="734" t="s">
        <v>5751</v>
      </c>
      <c r="V1247" s="735">
        <v>16</v>
      </c>
      <c r="W1247" s="736"/>
      <c r="X1247" s="737"/>
      <c r="Y1247" s="738"/>
      <c r="Z1247" s="739"/>
      <c r="AA1247" s="739"/>
      <c r="AB1247" s="740">
        <v>16</v>
      </c>
      <c r="AC1247" s="741" t="str">
        <f>'DICTIONARY-5'!$A$11&amp;" 48"</f>
        <v>EN 558 szereg 48</v>
      </c>
      <c r="AD1247" s="741" t="str">
        <f>'DICTIONARY-5'!$A$13&amp;", "&amp;'DICTIONARY-5'!$A$14</f>
        <v>woda pitna, ścieki</v>
      </c>
      <c r="AE1247" s="742">
        <v>70</v>
      </c>
      <c r="AF1247" s="743">
        <v>146</v>
      </c>
      <c r="AG1247" s="741" t="str">
        <f>'DICTIONARY-5'!$A$23</f>
        <v>powłoka epoksydowa</v>
      </c>
    </row>
    <row r="1248" spans="1:33" x14ac:dyDescent="0.25">
      <c r="A1248" s="864" t="s">
        <v>1253</v>
      </c>
      <c r="B1248" s="864" t="s">
        <v>4424</v>
      </c>
      <c r="C1248" s="836">
        <v>284</v>
      </c>
      <c r="D1248" s="836"/>
      <c r="E1248" s="836"/>
      <c r="F1248" s="836"/>
      <c r="G1248" s="496" t="s">
        <v>7824</v>
      </c>
      <c r="H1248" s="797" t="str">
        <f>VLOOKUP(G1248,SETTINGS!$B$7:$D$97,2,0)</f>
        <v>RETA</v>
      </c>
      <c r="I1248" s="796">
        <f>VLOOKUP(G1248,SETTINGS!$B$7:$D$97,3,0)</f>
        <v>0</v>
      </c>
      <c r="J1248" s="670" t="str">
        <f>IFERROR(IF(CURRENCY.FORMAT_1=0,CONCATENATE(TEXT(FIXED(ROUND((C1248/EXC.RATE_1),CURRENCY.FORMAT_1),CURRENCY.FORMAT_1,1),"# ##0;-# ##0"),",-"),FIXED(ROUND((C1248/EXC.RATE_1),CURRENCY.FORMAT_1),CURRENCY.FORMAT_1,0)),'DICTIONARY-5'!$A$2)</f>
        <v>284,-</v>
      </c>
      <c r="K1248" s="670" t="str">
        <f>IF(EXC.RATE_2=0,"",IFERROR(IF(CURRENCY.FORMAT_2=0,CONCATENATE(TEXT(FIXED(ROUND(IF(EXC.RATE.SWITCH=1,C1248/EXC.RATE_2,C1248*EXC.RATE_2),CURRENCY.FORMAT_2),CURRENCY.FORMAT_2,1),"# ##0;-# ##0"),",-"),FIXED(ROUND(IF(EXC.RATE.SWITCH=1,C1248/EXC.RATE_2,C1248*EXC.RATE_2),CURRENCY.FORMAT_2),CURRENCY.FORMAT_2,0)),'DICTIONARY-5'!$A$2))</f>
        <v/>
      </c>
      <c r="L1248" s="670" t="str">
        <f>IFERROR(IF(CURRENCY.FORMAT_1=0,CONCATENATE(TEXT(FIXED(ROUND((C1248*(1-I1248)*(1-ADD.DISCOUNT)*(1+MAT.SURCHARGE)/EXC.RATE_1),CURRENCY.FORMAT_1),CURRENCY.FORMAT_1,1),"# ##0;-# ##0"),",-"),FIXED(ROUND((C1248*(1-I1248)*(1-ADD.DISCOUNT)*(1+MAT.SURCHARGE)/EXC.RATE_1),CURRENCY.FORMAT_1),CURRENCY.FORMAT_1,0)),'DICTIONARY-5'!$A$2)</f>
        <v>295,-</v>
      </c>
      <c r="M1248" s="670" t="str">
        <f>IF(EXC.RATE_2=0,"",IFERROR(IF(CURRENCY.FORMAT_2=0,CONCATENATE(TEXT(FIXED(ROUND(IF(EXC.RATE.SWITCH=1,C1248*(1-I1248)*(1-ADD.DISCOUNT)*(1+MAT.SURCHARGE)/EXC.RATE_2,C1248*(1-I1248)*(1-ADD.DISCOUNT)*(1+MAT.SURCHARGE)*EXC.RATE_2),CURRENCY.FORMAT_2),CURRENCY.FORMAT_2,1),"# ##0;-# ##0"),",-"),FIXED(ROUND(IF(EXC.RATE.SWITCH=1,C1248*(1-I1248)*(1-ADD.DISCOUNT)*(1+MAT.SURCHARGE)/EXC.RATE_2,C1248*(1-I1248)*(1-ADD.DISCOUNT)*(1+MAT.SURCHARGE)*EXC.RATE_2),CURRENCY.FORMAT_2),CURRENCY.FORMAT_2,0)),'DICTIONARY-5'!$A$2))</f>
        <v/>
      </c>
      <c r="N1248" s="539">
        <v>5</v>
      </c>
      <c r="O1248" s="539"/>
      <c r="P1248" s="731" t="str">
        <f>'DICTIONARY-3'!$A$99</f>
        <v>RETA</v>
      </c>
      <c r="Q1248" s="732" t="str">
        <f>'DICTIONARY-3'!$A$200</f>
        <v>Zawór zwrotny</v>
      </c>
      <c r="R1248" s="732" t="str">
        <f>CONCATENATE('DICTIONARY-3'!$A$99," ",'DICTIONARY-6'!$A$20," ",'DICTIONARY-2'!$A$2,"40"," ",'DICTIONARY-2'!$A$3,"10/16"," ","R48"," ",'DICTIONARY-5'!$A$34,"/",'DICTIONARY-5'!$A$34," ",'DICTIONARY-6'!$A$36)</f>
        <v>RETA Zaw. zwrotny DN40 PN10/16 R48 A2/A2 SYNT.</v>
      </c>
      <c r="S1248" s="733"/>
      <c r="T1248" s="732"/>
      <c r="U1248" s="734" t="s">
        <v>5758</v>
      </c>
      <c r="V1248" s="735">
        <v>16</v>
      </c>
      <c r="W1248" s="736"/>
      <c r="X1248" s="737"/>
      <c r="Y1248" s="738"/>
      <c r="Z1248" s="739"/>
      <c r="AA1248" s="739"/>
      <c r="AB1248" s="740">
        <v>16</v>
      </c>
      <c r="AC1248" s="741" t="str">
        <f>'DICTIONARY-5'!$A$11&amp;" 48"</f>
        <v>EN 558 szereg 48</v>
      </c>
      <c r="AD1248" s="733" t="str">
        <f>'DICTIONARY-5'!$A$17&amp;", "&amp;'DICTIONARY-5'!$A$21</f>
        <v>woda przemysłowa, olej</v>
      </c>
      <c r="AE1248" s="742">
        <v>120</v>
      </c>
      <c r="AF1248" s="743">
        <v>9</v>
      </c>
      <c r="AG1248" s="741" t="str">
        <f>'DICTIONARY-5'!$A$24</f>
        <v>powłoka syntetyczna</v>
      </c>
    </row>
    <row r="1249" spans="1:33" x14ac:dyDescent="0.25">
      <c r="A1249" s="864" t="s">
        <v>1255</v>
      </c>
      <c r="B1249" s="864" t="s">
        <v>4426</v>
      </c>
      <c r="C1249" s="836">
        <v>290</v>
      </c>
      <c r="D1249" s="836"/>
      <c r="E1249" s="836"/>
      <c r="F1249" s="836"/>
      <c r="G1249" s="496" t="s">
        <v>7824</v>
      </c>
      <c r="H1249" s="797" t="str">
        <f>VLOOKUP(G1249,SETTINGS!$B$7:$D$97,2,0)</f>
        <v>RETA</v>
      </c>
      <c r="I1249" s="796">
        <f>VLOOKUP(G1249,SETTINGS!$B$7:$D$97,3,0)</f>
        <v>0</v>
      </c>
      <c r="J1249" s="670" t="str">
        <f>IFERROR(IF(CURRENCY.FORMAT_1=0,CONCATENATE(TEXT(FIXED(ROUND((C1249/EXC.RATE_1),CURRENCY.FORMAT_1),CURRENCY.FORMAT_1,1),"# ##0;-# ##0"),",-"),FIXED(ROUND((C1249/EXC.RATE_1),CURRENCY.FORMAT_1),CURRENCY.FORMAT_1,0)),'DICTIONARY-5'!$A$2)</f>
        <v>290,-</v>
      </c>
      <c r="K1249" s="670" t="str">
        <f>IF(EXC.RATE_2=0,"",IFERROR(IF(CURRENCY.FORMAT_2=0,CONCATENATE(TEXT(FIXED(ROUND(IF(EXC.RATE.SWITCH=1,C1249/EXC.RATE_2,C1249*EXC.RATE_2),CURRENCY.FORMAT_2),CURRENCY.FORMAT_2,1),"# ##0;-# ##0"),",-"),FIXED(ROUND(IF(EXC.RATE.SWITCH=1,C1249/EXC.RATE_2,C1249*EXC.RATE_2),CURRENCY.FORMAT_2),CURRENCY.FORMAT_2,0)),'DICTIONARY-5'!$A$2))</f>
        <v/>
      </c>
      <c r="L1249" s="670" t="str">
        <f>IFERROR(IF(CURRENCY.FORMAT_1=0,CONCATENATE(TEXT(FIXED(ROUND((C1249*(1-I1249)*(1-ADD.DISCOUNT)*(1+MAT.SURCHARGE)/EXC.RATE_1),CURRENCY.FORMAT_1),CURRENCY.FORMAT_1,1),"# ##0;-# ##0"),",-"),FIXED(ROUND((C1249*(1-I1249)*(1-ADD.DISCOUNT)*(1+MAT.SURCHARGE)/EXC.RATE_1),CURRENCY.FORMAT_1),CURRENCY.FORMAT_1,0)),'DICTIONARY-5'!$A$2)</f>
        <v>301,-</v>
      </c>
      <c r="M1249" s="670" t="str">
        <f>IF(EXC.RATE_2=0,"",IFERROR(IF(CURRENCY.FORMAT_2=0,CONCATENATE(TEXT(FIXED(ROUND(IF(EXC.RATE.SWITCH=1,C1249*(1-I1249)*(1-ADD.DISCOUNT)*(1+MAT.SURCHARGE)/EXC.RATE_2,C1249*(1-I1249)*(1-ADD.DISCOUNT)*(1+MAT.SURCHARGE)*EXC.RATE_2),CURRENCY.FORMAT_2),CURRENCY.FORMAT_2,1),"# ##0;-# ##0"),",-"),FIXED(ROUND(IF(EXC.RATE.SWITCH=1,C1249*(1-I1249)*(1-ADD.DISCOUNT)*(1+MAT.SURCHARGE)/EXC.RATE_2,C1249*(1-I1249)*(1-ADD.DISCOUNT)*(1+MAT.SURCHARGE)*EXC.RATE_2),CURRENCY.FORMAT_2),CURRENCY.FORMAT_2,0)),'DICTIONARY-5'!$A$2))</f>
        <v/>
      </c>
      <c r="N1249" s="539">
        <v>5</v>
      </c>
      <c r="O1249" s="539"/>
      <c r="P1249" s="731" t="str">
        <f>'DICTIONARY-3'!$A$99</f>
        <v>RETA</v>
      </c>
      <c r="Q1249" s="732" t="str">
        <f>'DICTIONARY-3'!$A$200</f>
        <v>Zawór zwrotny</v>
      </c>
      <c r="R1249" s="732" t="str">
        <f>CONCATENATE('DICTIONARY-3'!$A$99," ",'DICTIONARY-6'!$A$20," ",'DICTIONARY-2'!$A$2,"50"," ",'DICTIONARY-2'!$A$3,"10/16"," ","R48"," ",'DICTIONARY-5'!$A$34,"/",'DICTIONARY-5'!$A$34," ",'DICTIONARY-6'!$A$36)</f>
        <v>RETA Zaw. zwrotny DN50 PN10/16 R48 A2/A2 SYNT.</v>
      </c>
      <c r="S1249" s="733" t="s">
        <v>5569</v>
      </c>
      <c r="T1249" s="732" t="s">
        <v>5569</v>
      </c>
      <c r="U1249" s="734" t="s">
        <v>5748</v>
      </c>
      <c r="V1249" s="735">
        <v>16</v>
      </c>
      <c r="W1249" s="736"/>
      <c r="X1249" s="737"/>
      <c r="Y1249" s="738"/>
      <c r="Z1249" s="739"/>
      <c r="AA1249" s="739"/>
      <c r="AB1249" s="740">
        <v>16</v>
      </c>
      <c r="AC1249" s="741" t="str">
        <f>'DICTIONARY-5'!$A$11&amp;" 48"</f>
        <v>EN 558 szereg 48</v>
      </c>
      <c r="AD1249" s="733" t="str">
        <f>'DICTIONARY-5'!$A$17&amp;", "&amp;'DICTIONARY-5'!$A$21</f>
        <v>woda przemysłowa, olej</v>
      </c>
      <c r="AE1249" s="742">
        <v>120</v>
      </c>
      <c r="AF1249" s="743">
        <v>10.5</v>
      </c>
      <c r="AG1249" s="741" t="str">
        <f>'DICTIONARY-5'!$A$24</f>
        <v>powłoka syntetyczna</v>
      </c>
    </row>
    <row r="1250" spans="1:33" x14ac:dyDescent="0.25">
      <c r="A1250" s="864" t="s">
        <v>1257</v>
      </c>
      <c r="B1250" s="864" t="s">
        <v>4428</v>
      </c>
      <c r="C1250" s="836">
        <v>353</v>
      </c>
      <c r="D1250" s="836"/>
      <c r="E1250" s="836"/>
      <c r="F1250" s="836"/>
      <c r="G1250" s="496" t="s">
        <v>7824</v>
      </c>
      <c r="H1250" s="797" t="str">
        <f>VLOOKUP(G1250,SETTINGS!$B$7:$D$97,2,0)</f>
        <v>RETA</v>
      </c>
      <c r="I1250" s="796">
        <f>VLOOKUP(G1250,SETTINGS!$B$7:$D$97,3,0)</f>
        <v>0</v>
      </c>
      <c r="J1250" s="670" t="str">
        <f>IFERROR(IF(CURRENCY.FORMAT_1=0,CONCATENATE(TEXT(FIXED(ROUND((C1250/EXC.RATE_1),CURRENCY.FORMAT_1),CURRENCY.FORMAT_1,1),"# ##0;-# ##0"),",-"),FIXED(ROUND((C1250/EXC.RATE_1),CURRENCY.FORMAT_1),CURRENCY.FORMAT_1,0)),'DICTIONARY-5'!$A$2)</f>
        <v>353,-</v>
      </c>
      <c r="K1250" s="670" t="str">
        <f>IF(EXC.RATE_2=0,"",IFERROR(IF(CURRENCY.FORMAT_2=0,CONCATENATE(TEXT(FIXED(ROUND(IF(EXC.RATE.SWITCH=1,C1250/EXC.RATE_2,C1250*EXC.RATE_2),CURRENCY.FORMAT_2),CURRENCY.FORMAT_2,1),"# ##0;-# ##0"),",-"),FIXED(ROUND(IF(EXC.RATE.SWITCH=1,C1250/EXC.RATE_2,C1250*EXC.RATE_2),CURRENCY.FORMAT_2),CURRENCY.FORMAT_2,0)),'DICTIONARY-5'!$A$2))</f>
        <v/>
      </c>
      <c r="L1250" s="670" t="str">
        <f>IFERROR(IF(CURRENCY.FORMAT_1=0,CONCATENATE(TEXT(FIXED(ROUND((C1250*(1-I1250)*(1-ADD.DISCOUNT)*(1+MAT.SURCHARGE)/EXC.RATE_1),CURRENCY.FORMAT_1),CURRENCY.FORMAT_1,1),"# ##0;-# ##0"),",-"),FIXED(ROUND((C1250*(1-I1250)*(1-ADD.DISCOUNT)*(1+MAT.SURCHARGE)/EXC.RATE_1),CURRENCY.FORMAT_1),CURRENCY.FORMAT_1,0)),'DICTIONARY-5'!$A$2)</f>
        <v>367,-</v>
      </c>
      <c r="M1250" s="670" t="str">
        <f>IF(EXC.RATE_2=0,"",IFERROR(IF(CURRENCY.FORMAT_2=0,CONCATENATE(TEXT(FIXED(ROUND(IF(EXC.RATE.SWITCH=1,C1250*(1-I1250)*(1-ADD.DISCOUNT)*(1+MAT.SURCHARGE)/EXC.RATE_2,C1250*(1-I1250)*(1-ADD.DISCOUNT)*(1+MAT.SURCHARGE)*EXC.RATE_2),CURRENCY.FORMAT_2),CURRENCY.FORMAT_2,1),"# ##0;-# ##0"),",-"),FIXED(ROUND(IF(EXC.RATE.SWITCH=1,C1250*(1-I1250)*(1-ADD.DISCOUNT)*(1+MAT.SURCHARGE)/EXC.RATE_2,C1250*(1-I1250)*(1-ADD.DISCOUNT)*(1+MAT.SURCHARGE)*EXC.RATE_2),CURRENCY.FORMAT_2),CURRENCY.FORMAT_2,0)),'DICTIONARY-5'!$A$2))</f>
        <v/>
      </c>
      <c r="N1250" s="539">
        <v>5</v>
      </c>
      <c r="O1250" s="539"/>
      <c r="P1250" s="731" t="str">
        <f>'DICTIONARY-3'!$A$99</f>
        <v>RETA</v>
      </c>
      <c r="Q1250" s="732" t="str">
        <f>'DICTIONARY-3'!$A$200</f>
        <v>Zawór zwrotny</v>
      </c>
      <c r="R1250" s="732" t="str">
        <f>CONCATENATE('DICTIONARY-3'!$A$99," ",'DICTIONARY-6'!$A$20," ",'DICTIONARY-2'!$A$2,"65"," ",'DICTIONARY-2'!$A$3,"10/16"," ","R48"," ",'DICTIONARY-5'!$A$34,"/",'DICTIONARY-5'!$A$34," ",'DICTIONARY-6'!$A$36)</f>
        <v>RETA Zaw. zwrotny DN65 PN10/16 R48 A2/A2 SYNT.</v>
      </c>
      <c r="S1250" s="733" t="s">
        <v>5569</v>
      </c>
      <c r="T1250" s="732" t="s">
        <v>5569</v>
      </c>
      <c r="U1250" s="734" t="s">
        <v>5759</v>
      </c>
      <c r="V1250" s="735">
        <v>16</v>
      </c>
      <c r="W1250" s="736"/>
      <c r="X1250" s="737"/>
      <c r="Y1250" s="738"/>
      <c r="Z1250" s="739"/>
      <c r="AA1250" s="739"/>
      <c r="AB1250" s="740">
        <v>16</v>
      </c>
      <c r="AC1250" s="741" t="str">
        <f>'DICTIONARY-5'!$A$11&amp;" 48"</f>
        <v>EN 558 szereg 48</v>
      </c>
      <c r="AD1250" s="733" t="str">
        <f>'DICTIONARY-5'!$A$17&amp;", "&amp;'DICTIONARY-5'!$A$21</f>
        <v>woda przemysłowa, olej</v>
      </c>
      <c r="AE1250" s="742">
        <v>120</v>
      </c>
      <c r="AF1250" s="743">
        <v>13.5</v>
      </c>
      <c r="AG1250" s="741" t="str">
        <f>'DICTIONARY-5'!$A$24</f>
        <v>powłoka syntetyczna</v>
      </c>
    </row>
    <row r="1251" spans="1:33" x14ac:dyDescent="0.25">
      <c r="A1251" s="864" t="s">
        <v>1259</v>
      </c>
      <c r="B1251" s="864" t="s">
        <v>4430</v>
      </c>
      <c r="C1251" s="836">
        <v>366</v>
      </c>
      <c r="D1251" s="836"/>
      <c r="E1251" s="836"/>
      <c r="F1251" s="836"/>
      <c r="G1251" s="496" t="s">
        <v>7824</v>
      </c>
      <c r="H1251" s="797" t="str">
        <f>VLOOKUP(G1251,SETTINGS!$B$7:$D$97,2,0)</f>
        <v>RETA</v>
      </c>
      <c r="I1251" s="796">
        <f>VLOOKUP(G1251,SETTINGS!$B$7:$D$97,3,0)</f>
        <v>0</v>
      </c>
      <c r="J1251" s="670" t="str">
        <f>IFERROR(IF(CURRENCY.FORMAT_1=0,CONCATENATE(TEXT(FIXED(ROUND((C1251/EXC.RATE_1),CURRENCY.FORMAT_1),CURRENCY.FORMAT_1,1),"# ##0;-# ##0"),",-"),FIXED(ROUND((C1251/EXC.RATE_1),CURRENCY.FORMAT_1),CURRENCY.FORMAT_1,0)),'DICTIONARY-5'!$A$2)</f>
        <v>366,-</v>
      </c>
      <c r="K1251" s="670" t="str">
        <f>IF(EXC.RATE_2=0,"",IFERROR(IF(CURRENCY.FORMAT_2=0,CONCATENATE(TEXT(FIXED(ROUND(IF(EXC.RATE.SWITCH=1,C1251/EXC.RATE_2,C1251*EXC.RATE_2),CURRENCY.FORMAT_2),CURRENCY.FORMAT_2,1),"# ##0;-# ##0"),",-"),FIXED(ROUND(IF(EXC.RATE.SWITCH=1,C1251/EXC.RATE_2,C1251*EXC.RATE_2),CURRENCY.FORMAT_2),CURRENCY.FORMAT_2,0)),'DICTIONARY-5'!$A$2))</f>
        <v/>
      </c>
      <c r="L1251" s="670" t="str">
        <f>IFERROR(IF(CURRENCY.FORMAT_1=0,CONCATENATE(TEXT(FIXED(ROUND((C1251*(1-I1251)*(1-ADD.DISCOUNT)*(1+MAT.SURCHARGE)/EXC.RATE_1),CURRENCY.FORMAT_1),CURRENCY.FORMAT_1,1),"# ##0;-# ##0"),",-"),FIXED(ROUND((C1251*(1-I1251)*(1-ADD.DISCOUNT)*(1+MAT.SURCHARGE)/EXC.RATE_1),CURRENCY.FORMAT_1),CURRENCY.FORMAT_1,0)),'DICTIONARY-5'!$A$2)</f>
        <v>380,-</v>
      </c>
      <c r="M1251" s="670" t="str">
        <f>IF(EXC.RATE_2=0,"",IFERROR(IF(CURRENCY.FORMAT_2=0,CONCATENATE(TEXT(FIXED(ROUND(IF(EXC.RATE.SWITCH=1,C1251*(1-I1251)*(1-ADD.DISCOUNT)*(1+MAT.SURCHARGE)/EXC.RATE_2,C1251*(1-I1251)*(1-ADD.DISCOUNT)*(1+MAT.SURCHARGE)*EXC.RATE_2),CURRENCY.FORMAT_2),CURRENCY.FORMAT_2,1),"# ##0;-# ##0"),",-"),FIXED(ROUND(IF(EXC.RATE.SWITCH=1,C1251*(1-I1251)*(1-ADD.DISCOUNT)*(1+MAT.SURCHARGE)/EXC.RATE_2,C1251*(1-I1251)*(1-ADD.DISCOUNT)*(1+MAT.SURCHARGE)*EXC.RATE_2),CURRENCY.FORMAT_2),CURRENCY.FORMAT_2,0)),'DICTIONARY-5'!$A$2))</f>
        <v/>
      </c>
      <c r="N1251" s="539">
        <v>5</v>
      </c>
      <c r="O1251" s="539"/>
      <c r="P1251" s="731" t="str">
        <f>'DICTIONARY-3'!$A$99</f>
        <v>RETA</v>
      </c>
      <c r="Q1251" s="732" t="str">
        <f>'DICTIONARY-3'!$A$200</f>
        <v>Zawór zwrotny</v>
      </c>
      <c r="R1251" s="732" t="str">
        <f>CONCATENATE('DICTIONARY-3'!$A$99," ",'DICTIONARY-6'!$A$20," ",'DICTIONARY-2'!$A$2,"80"," ",'DICTIONARY-2'!$A$3,"10/16"," ","R48"," ",'DICTIONARY-5'!$A$34,"/",'DICTIONARY-5'!$A$34," ",'DICTIONARY-6'!$A$36)</f>
        <v>RETA Zaw. zwrotny DN80 PN10/16 R48 A2/A2 SYNT.</v>
      </c>
      <c r="S1251" s="733" t="s">
        <v>5569</v>
      </c>
      <c r="T1251" s="732" t="s">
        <v>5569</v>
      </c>
      <c r="U1251" s="734" t="s">
        <v>5760</v>
      </c>
      <c r="V1251" s="735">
        <v>16</v>
      </c>
      <c r="W1251" s="736"/>
      <c r="X1251" s="737"/>
      <c r="Y1251" s="738"/>
      <c r="Z1251" s="739"/>
      <c r="AA1251" s="739"/>
      <c r="AB1251" s="740">
        <v>16</v>
      </c>
      <c r="AC1251" s="741" t="str">
        <f>'DICTIONARY-5'!$A$11&amp;" 48"</f>
        <v>EN 558 szereg 48</v>
      </c>
      <c r="AD1251" s="733" t="str">
        <f>'DICTIONARY-5'!$A$17&amp;", "&amp;'DICTIONARY-5'!$A$21</f>
        <v>woda przemysłowa, olej</v>
      </c>
      <c r="AE1251" s="742">
        <v>120</v>
      </c>
      <c r="AF1251" s="743">
        <v>17</v>
      </c>
      <c r="AG1251" s="741" t="str">
        <f>'DICTIONARY-5'!$A$24</f>
        <v>powłoka syntetyczna</v>
      </c>
    </row>
    <row r="1252" spans="1:33" x14ac:dyDescent="0.25">
      <c r="A1252" s="864" t="s">
        <v>1261</v>
      </c>
      <c r="B1252" s="864" t="s">
        <v>4392</v>
      </c>
      <c r="C1252" s="836">
        <v>411</v>
      </c>
      <c r="D1252" s="836"/>
      <c r="E1252" s="836"/>
      <c r="F1252" s="836"/>
      <c r="G1252" s="496" t="s">
        <v>7824</v>
      </c>
      <c r="H1252" s="797" t="str">
        <f>VLOOKUP(G1252,SETTINGS!$B$7:$D$97,2,0)</f>
        <v>RETA</v>
      </c>
      <c r="I1252" s="796">
        <f>VLOOKUP(G1252,SETTINGS!$B$7:$D$97,3,0)</f>
        <v>0</v>
      </c>
      <c r="J1252" s="670" t="str">
        <f>IFERROR(IF(CURRENCY.FORMAT_1=0,CONCATENATE(TEXT(FIXED(ROUND((C1252/EXC.RATE_1),CURRENCY.FORMAT_1),CURRENCY.FORMAT_1,1),"# ##0;-# ##0"),",-"),FIXED(ROUND((C1252/EXC.RATE_1),CURRENCY.FORMAT_1),CURRENCY.FORMAT_1,0)),'DICTIONARY-5'!$A$2)</f>
        <v>411,-</v>
      </c>
      <c r="K1252" s="670" t="str">
        <f>IF(EXC.RATE_2=0,"",IFERROR(IF(CURRENCY.FORMAT_2=0,CONCATENATE(TEXT(FIXED(ROUND(IF(EXC.RATE.SWITCH=1,C1252/EXC.RATE_2,C1252*EXC.RATE_2),CURRENCY.FORMAT_2),CURRENCY.FORMAT_2,1),"# ##0;-# ##0"),",-"),FIXED(ROUND(IF(EXC.RATE.SWITCH=1,C1252/EXC.RATE_2,C1252*EXC.RATE_2),CURRENCY.FORMAT_2),CURRENCY.FORMAT_2,0)),'DICTIONARY-5'!$A$2))</f>
        <v/>
      </c>
      <c r="L1252" s="670" t="str">
        <f>IFERROR(IF(CURRENCY.FORMAT_1=0,CONCATENATE(TEXT(FIXED(ROUND((C1252*(1-I1252)*(1-ADD.DISCOUNT)*(1+MAT.SURCHARGE)/EXC.RATE_1),CURRENCY.FORMAT_1),CURRENCY.FORMAT_1,1),"# ##0;-# ##0"),",-"),FIXED(ROUND((C1252*(1-I1252)*(1-ADD.DISCOUNT)*(1+MAT.SURCHARGE)/EXC.RATE_1),CURRENCY.FORMAT_1),CURRENCY.FORMAT_1,0)),'DICTIONARY-5'!$A$2)</f>
        <v>427,-</v>
      </c>
      <c r="M1252" s="670" t="str">
        <f>IF(EXC.RATE_2=0,"",IFERROR(IF(CURRENCY.FORMAT_2=0,CONCATENATE(TEXT(FIXED(ROUND(IF(EXC.RATE.SWITCH=1,C1252*(1-I1252)*(1-ADD.DISCOUNT)*(1+MAT.SURCHARGE)/EXC.RATE_2,C1252*(1-I1252)*(1-ADD.DISCOUNT)*(1+MAT.SURCHARGE)*EXC.RATE_2),CURRENCY.FORMAT_2),CURRENCY.FORMAT_2,1),"# ##0;-# ##0"),",-"),FIXED(ROUND(IF(EXC.RATE.SWITCH=1,C1252*(1-I1252)*(1-ADD.DISCOUNT)*(1+MAT.SURCHARGE)/EXC.RATE_2,C1252*(1-I1252)*(1-ADD.DISCOUNT)*(1+MAT.SURCHARGE)*EXC.RATE_2),CURRENCY.FORMAT_2),CURRENCY.FORMAT_2,0)),'DICTIONARY-5'!$A$2))</f>
        <v/>
      </c>
      <c r="N1252" s="539">
        <v>5</v>
      </c>
      <c r="O1252" s="539"/>
      <c r="P1252" s="731" t="str">
        <f>'DICTIONARY-3'!$A$99</f>
        <v>RETA</v>
      </c>
      <c r="Q1252" s="732" t="str">
        <f>'DICTIONARY-3'!$A$200</f>
        <v>Zawór zwrotny</v>
      </c>
      <c r="R1252" s="732" t="str">
        <f>CONCATENATE('DICTIONARY-3'!$A$99," ",'DICTIONARY-6'!$A$20," ",'DICTIONARY-2'!$A$2,"100"," ",'DICTIONARY-2'!$A$3,"10/16"," ","R48"," ",'DICTIONARY-5'!$A$34,"/",'DICTIONARY-5'!$A$34," ",'DICTIONARY-6'!$A$36)</f>
        <v>RETA Zaw. zwrotny DN100 PN10/16 R48 A2/A2 SYNT.</v>
      </c>
      <c r="S1252" s="733" t="s">
        <v>5569</v>
      </c>
      <c r="T1252" s="732" t="s">
        <v>5569</v>
      </c>
      <c r="U1252" s="734" t="s">
        <v>5749</v>
      </c>
      <c r="V1252" s="735">
        <v>16</v>
      </c>
      <c r="W1252" s="736"/>
      <c r="X1252" s="737"/>
      <c r="Y1252" s="738"/>
      <c r="Z1252" s="739"/>
      <c r="AA1252" s="739"/>
      <c r="AB1252" s="740">
        <v>16</v>
      </c>
      <c r="AC1252" s="741" t="str">
        <f>'DICTIONARY-5'!$A$11&amp;" 48"</f>
        <v>EN 558 szereg 48</v>
      </c>
      <c r="AD1252" s="733" t="str">
        <f>'DICTIONARY-5'!$A$17&amp;", "&amp;'DICTIONARY-5'!$A$21</f>
        <v>woda przemysłowa, olej</v>
      </c>
      <c r="AE1252" s="742">
        <v>120</v>
      </c>
      <c r="AF1252" s="743">
        <v>26</v>
      </c>
      <c r="AG1252" s="741" t="str">
        <f>'DICTIONARY-5'!$A$24</f>
        <v>powłoka syntetyczna</v>
      </c>
    </row>
    <row r="1253" spans="1:33" x14ac:dyDescent="0.25">
      <c r="A1253" s="864" t="s">
        <v>1263</v>
      </c>
      <c r="B1253" s="864" t="s">
        <v>4394</v>
      </c>
      <c r="C1253" s="836">
        <v>544</v>
      </c>
      <c r="D1253" s="836"/>
      <c r="E1253" s="836"/>
      <c r="F1253" s="836"/>
      <c r="G1253" s="496" t="s">
        <v>7824</v>
      </c>
      <c r="H1253" s="797" t="str">
        <f>VLOOKUP(G1253,SETTINGS!$B$7:$D$97,2,0)</f>
        <v>RETA</v>
      </c>
      <c r="I1253" s="796">
        <f>VLOOKUP(G1253,SETTINGS!$B$7:$D$97,3,0)</f>
        <v>0</v>
      </c>
      <c r="J1253" s="670" t="str">
        <f>IFERROR(IF(CURRENCY.FORMAT_1=0,CONCATENATE(TEXT(FIXED(ROUND((C1253/EXC.RATE_1),CURRENCY.FORMAT_1),CURRENCY.FORMAT_1,1),"# ##0;-# ##0"),",-"),FIXED(ROUND((C1253/EXC.RATE_1),CURRENCY.FORMAT_1),CURRENCY.FORMAT_1,0)),'DICTIONARY-5'!$A$2)</f>
        <v>544,-</v>
      </c>
      <c r="K1253" s="670" t="str">
        <f>IF(EXC.RATE_2=0,"",IFERROR(IF(CURRENCY.FORMAT_2=0,CONCATENATE(TEXT(FIXED(ROUND(IF(EXC.RATE.SWITCH=1,C1253/EXC.RATE_2,C1253*EXC.RATE_2),CURRENCY.FORMAT_2),CURRENCY.FORMAT_2,1),"# ##0;-# ##0"),",-"),FIXED(ROUND(IF(EXC.RATE.SWITCH=1,C1253/EXC.RATE_2,C1253*EXC.RATE_2),CURRENCY.FORMAT_2),CURRENCY.FORMAT_2,0)),'DICTIONARY-5'!$A$2))</f>
        <v/>
      </c>
      <c r="L1253" s="670" t="str">
        <f>IFERROR(IF(CURRENCY.FORMAT_1=0,CONCATENATE(TEXT(FIXED(ROUND((C1253*(1-I1253)*(1-ADD.DISCOUNT)*(1+MAT.SURCHARGE)/EXC.RATE_1),CURRENCY.FORMAT_1),CURRENCY.FORMAT_1,1),"# ##0;-# ##0"),",-"),FIXED(ROUND((C1253*(1-I1253)*(1-ADD.DISCOUNT)*(1+MAT.SURCHARGE)/EXC.RATE_1),CURRENCY.FORMAT_1),CURRENCY.FORMAT_1,0)),'DICTIONARY-5'!$A$2)</f>
        <v>565,-</v>
      </c>
      <c r="M1253" s="670" t="str">
        <f>IF(EXC.RATE_2=0,"",IFERROR(IF(CURRENCY.FORMAT_2=0,CONCATENATE(TEXT(FIXED(ROUND(IF(EXC.RATE.SWITCH=1,C1253*(1-I1253)*(1-ADD.DISCOUNT)*(1+MAT.SURCHARGE)/EXC.RATE_2,C1253*(1-I1253)*(1-ADD.DISCOUNT)*(1+MAT.SURCHARGE)*EXC.RATE_2),CURRENCY.FORMAT_2),CURRENCY.FORMAT_2,1),"# ##0;-# ##0"),",-"),FIXED(ROUND(IF(EXC.RATE.SWITCH=1,C1253*(1-I1253)*(1-ADD.DISCOUNT)*(1+MAT.SURCHARGE)/EXC.RATE_2,C1253*(1-I1253)*(1-ADD.DISCOUNT)*(1+MAT.SURCHARGE)*EXC.RATE_2),CURRENCY.FORMAT_2),CURRENCY.FORMAT_2,0)),'DICTIONARY-5'!$A$2))</f>
        <v/>
      </c>
      <c r="N1253" s="539">
        <v>5</v>
      </c>
      <c r="O1253" s="539"/>
      <c r="P1253" s="731" t="str">
        <f>'DICTIONARY-3'!$A$99</f>
        <v>RETA</v>
      </c>
      <c r="Q1253" s="732" t="str">
        <f>'DICTIONARY-3'!$A$200</f>
        <v>Zawór zwrotny</v>
      </c>
      <c r="R1253" s="732" t="str">
        <f>CONCATENATE('DICTIONARY-3'!$A$99," ",'DICTIONARY-6'!$A$20," ",'DICTIONARY-2'!$A$2,"125"," ",'DICTIONARY-2'!$A$3,"10/16"," ","R48"," ",'DICTIONARY-5'!$A$34,"/",'DICTIONARY-5'!$A$34," ",'DICTIONARY-6'!$A$36)</f>
        <v>RETA Zaw. zwrotny DN125 PN10/16 R48 A2/A2 SYNT.</v>
      </c>
      <c r="S1253" s="733" t="s">
        <v>5569</v>
      </c>
      <c r="T1253" s="732" t="s">
        <v>5569</v>
      </c>
      <c r="U1253" s="734" t="s">
        <v>5761</v>
      </c>
      <c r="V1253" s="735">
        <v>16</v>
      </c>
      <c r="W1253" s="736"/>
      <c r="X1253" s="737"/>
      <c r="Y1253" s="738"/>
      <c r="Z1253" s="739"/>
      <c r="AA1253" s="739"/>
      <c r="AB1253" s="740">
        <v>16</v>
      </c>
      <c r="AC1253" s="741" t="str">
        <f>'DICTIONARY-5'!$A$11&amp;" 48"</f>
        <v>EN 558 szereg 48</v>
      </c>
      <c r="AD1253" s="733" t="str">
        <f>'DICTIONARY-5'!$A$17&amp;", "&amp;'DICTIONARY-5'!$A$21</f>
        <v>woda przemysłowa, olej</v>
      </c>
      <c r="AE1253" s="742">
        <v>120</v>
      </c>
      <c r="AF1253" s="743">
        <v>35</v>
      </c>
      <c r="AG1253" s="741" t="str">
        <f>'DICTIONARY-5'!$A$24</f>
        <v>powłoka syntetyczna</v>
      </c>
    </row>
    <row r="1254" spans="1:33" x14ac:dyDescent="0.25">
      <c r="A1254" s="864" t="s">
        <v>1265</v>
      </c>
      <c r="B1254" s="864" t="s">
        <v>4396</v>
      </c>
      <c r="C1254" s="836">
        <v>680</v>
      </c>
      <c r="D1254" s="836"/>
      <c r="E1254" s="836"/>
      <c r="F1254" s="836"/>
      <c r="G1254" s="496" t="s">
        <v>7824</v>
      </c>
      <c r="H1254" s="797" t="str">
        <f>VLOOKUP(G1254,SETTINGS!$B$7:$D$97,2,0)</f>
        <v>RETA</v>
      </c>
      <c r="I1254" s="796">
        <f>VLOOKUP(G1254,SETTINGS!$B$7:$D$97,3,0)</f>
        <v>0</v>
      </c>
      <c r="J1254" s="670" t="str">
        <f>IFERROR(IF(CURRENCY.FORMAT_1=0,CONCATENATE(TEXT(FIXED(ROUND((C1254/EXC.RATE_1),CURRENCY.FORMAT_1),CURRENCY.FORMAT_1,1),"# ##0;-# ##0"),",-"),FIXED(ROUND((C1254/EXC.RATE_1),CURRENCY.FORMAT_1),CURRENCY.FORMAT_1,0)),'DICTIONARY-5'!$A$2)</f>
        <v>680,-</v>
      </c>
      <c r="K1254" s="670" t="str">
        <f>IF(EXC.RATE_2=0,"",IFERROR(IF(CURRENCY.FORMAT_2=0,CONCATENATE(TEXT(FIXED(ROUND(IF(EXC.RATE.SWITCH=1,C1254/EXC.RATE_2,C1254*EXC.RATE_2),CURRENCY.FORMAT_2),CURRENCY.FORMAT_2,1),"# ##0;-# ##0"),",-"),FIXED(ROUND(IF(EXC.RATE.SWITCH=1,C1254/EXC.RATE_2,C1254*EXC.RATE_2),CURRENCY.FORMAT_2),CURRENCY.FORMAT_2,0)),'DICTIONARY-5'!$A$2))</f>
        <v/>
      </c>
      <c r="L1254" s="670" t="str">
        <f>IFERROR(IF(CURRENCY.FORMAT_1=0,CONCATENATE(TEXT(FIXED(ROUND((C1254*(1-I1254)*(1-ADD.DISCOUNT)*(1+MAT.SURCHARGE)/EXC.RATE_1),CURRENCY.FORMAT_1),CURRENCY.FORMAT_1,1),"# ##0;-# ##0"),",-"),FIXED(ROUND((C1254*(1-I1254)*(1-ADD.DISCOUNT)*(1+MAT.SURCHARGE)/EXC.RATE_1),CURRENCY.FORMAT_1),CURRENCY.FORMAT_1,0)),'DICTIONARY-5'!$A$2)</f>
        <v>707,-</v>
      </c>
      <c r="M1254" s="670" t="str">
        <f>IF(EXC.RATE_2=0,"",IFERROR(IF(CURRENCY.FORMAT_2=0,CONCATENATE(TEXT(FIXED(ROUND(IF(EXC.RATE.SWITCH=1,C1254*(1-I1254)*(1-ADD.DISCOUNT)*(1+MAT.SURCHARGE)/EXC.RATE_2,C1254*(1-I1254)*(1-ADD.DISCOUNT)*(1+MAT.SURCHARGE)*EXC.RATE_2),CURRENCY.FORMAT_2),CURRENCY.FORMAT_2,1),"# ##0;-# ##0"),",-"),FIXED(ROUND(IF(EXC.RATE.SWITCH=1,C1254*(1-I1254)*(1-ADD.DISCOUNT)*(1+MAT.SURCHARGE)/EXC.RATE_2,C1254*(1-I1254)*(1-ADD.DISCOUNT)*(1+MAT.SURCHARGE)*EXC.RATE_2),CURRENCY.FORMAT_2),CURRENCY.FORMAT_2,0)),'DICTIONARY-5'!$A$2))</f>
        <v/>
      </c>
      <c r="N1254" s="539">
        <v>5</v>
      </c>
      <c r="O1254" s="539"/>
      <c r="P1254" s="731" t="str">
        <f>'DICTIONARY-3'!$A$99</f>
        <v>RETA</v>
      </c>
      <c r="Q1254" s="732" t="str">
        <f>'DICTIONARY-3'!$A$200</f>
        <v>Zawór zwrotny</v>
      </c>
      <c r="R1254" s="732" t="str">
        <f>CONCATENATE('DICTIONARY-3'!$A$99," ",'DICTIONARY-6'!$A$20," ",'DICTIONARY-2'!$A$2,"150"," ",'DICTIONARY-2'!$A$3,"10/16"," ","R48"," ",'DICTIONARY-5'!$A$34,"/",'DICTIONARY-5'!$A$34," ",'DICTIONARY-6'!$A$36)</f>
        <v>RETA Zaw. zwrotny DN150 PN10/16 R48 A2/A2 SYNT.</v>
      </c>
      <c r="S1254" s="733" t="s">
        <v>5569</v>
      </c>
      <c r="T1254" s="732" t="s">
        <v>5569</v>
      </c>
      <c r="U1254" s="734" t="s">
        <v>5572</v>
      </c>
      <c r="V1254" s="735">
        <v>16</v>
      </c>
      <c r="W1254" s="736"/>
      <c r="X1254" s="737"/>
      <c r="Y1254" s="738"/>
      <c r="Z1254" s="739"/>
      <c r="AA1254" s="739"/>
      <c r="AB1254" s="740">
        <v>16</v>
      </c>
      <c r="AC1254" s="741" t="str">
        <f>'DICTIONARY-5'!$A$11&amp;" 48"</f>
        <v>EN 558 szereg 48</v>
      </c>
      <c r="AD1254" s="733" t="str">
        <f>'DICTIONARY-5'!$A$17&amp;", "&amp;'DICTIONARY-5'!$A$21</f>
        <v>woda przemysłowa, olej</v>
      </c>
      <c r="AE1254" s="742">
        <v>120</v>
      </c>
      <c r="AF1254" s="743">
        <v>41</v>
      </c>
      <c r="AG1254" s="741" t="str">
        <f>'DICTIONARY-5'!$A$24</f>
        <v>powłoka syntetyczna</v>
      </c>
    </row>
    <row r="1255" spans="1:33" x14ac:dyDescent="0.25">
      <c r="A1255" s="864" t="s">
        <v>1267</v>
      </c>
      <c r="B1255" s="864" t="s">
        <v>4398</v>
      </c>
      <c r="C1255" s="836">
        <v>943</v>
      </c>
      <c r="D1255" s="836"/>
      <c r="E1255" s="836"/>
      <c r="F1255" s="836"/>
      <c r="G1255" s="496" t="s">
        <v>7824</v>
      </c>
      <c r="H1255" s="797" t="str">
        <f>VLOOKUP(G1255,SETTINGS!$B$7:$D$97,2,0)</f>
        <v>RETA</v>
      </c>
      <c r="I1255" s="796">
        <f>VLOOKUP(G1255,SETTINGS!$B$7:$D$97,3,0)</f>
        <v>0</v>
      </c>
      <c r="J1255" s="670" t="str">
        <f>IFERROR(IF(CURRENCY.FORMAT_1=0,CONCATENATE(TEXT(FIXED(ROUND((C1255/EXC.RATE_1),CURRENCY.FORMAT_1),CURRENCY.FORMAT_1,1),"# ##0;-# ##0"),",-"),FIXED(ROUND((C1255/EXC.RATE_1),CURRENCY.FORMAT_1),CURRENCY.FORMAT_1,0)),'DICTIONARY-5'!$A$2)</f>
        <v>943,-</v>
      </c>
      <c r="K1255" s="670" t="str">
        <f>IF(EXC.RATE_2=0,"",IFERROR(IF(CURRENCY.FORMAT_2=0,CONCATENATE(TEXT(FIXED(ROUND(IF(EXC.RATE.SWITCH=1,C1255/EXC.RATE_2,C1255*EXC.RATE_2),CURRENCY.FORMAT_2),CURRENCY.FORMAT_2,1),"# ##0;-# ##0"),",-"),FIXED(ROUND(IF(EXC.RATE.SWITCH=1,C1255/EXC.RATE_2,C1255*EXC.RATE_2),CURRENCY.FORMAT_2),CURRENCY.FORMAT_2,0)),'DICTIONARY-5'!$A$2))</f>
        <v/>
      </c>
      <c r="L1255" s="670" t="str">
        <f>IFERROR(IF(CURRENCY.FORMAT_1=0,CONCATENATE(TEXT(FIXED(ROUND((C1255*(1-I1255)*(1-ADD.DISCOUNT)*(1+MAT.SURCHARGE)/EXC.RATE_1),CURRENCY.FORMAT_1),CURRENCY.FORMAT_1,1),"# ##0;-# ##0"),",-"),FIXED(ROUND((C1255*(1-I1255)*(1-ADD.DISCOUNT)*(1+MAT.SURCHARGE)/EXC.RATE_1),CURRENCY.FORMAT_1),CURRENCY.FORMAT_1,0)),'DICTIONARY-5'!$A$2)</f>
        <v>980,-</v>
      </c>
      <c r="M1255" s="670" t="str">
        <f>IF(EXC.RATE_2=0,"",IFERROR(IF(CURRENCY.FORMAT_2=0,CONCATENATE(TEXT(FIXED(ROUND(IF(EXC.RATE.SWITCH=1,C1255*(1-I1255)*(1-ADD.DISCOUNT)*(1+MAT.SURCHARGE)/EXC.RATE_2,C1255*(1-I1255)*(1-ADD.DISCOUNT)*(1+MAT.SURCHARGE)*EXC.RATE_2),CURRENCY.FORMAT_2),CURRENCY.FORMAT_2,1),"# ##0;-# ##0"),",-"),FIXED(ROUND(IF(EXC.RATE.SWITCH=1,C1255*(1-I1255)*(1-ADD.DISCOUNT)*(1+MAT.SURCHARGE)/EXC.RATE_2,C1255*(1-I1255)*(1-ADD.DISCOUNT)*(1+MAT.SURCHARGE)*EXC.RATE_2),CURRENCY.FORMAT_2),CURRENCY.FORMAT_2,0)),'DICTIONARY-5'!$A$2))</f>
        <v/>
      </c>
      <c r="N1255" s="539">
        <v>5</v>
      </c>
      <c r="O1255" s="539"/>
      <c r="P1255" s="731" t="str">
        <f>'DICTIONARY-3'!$A$99</f>
        <v>RETA</v>
      </c>
      <c r="Q1255" s="732" t="str">
        <f>'DICTIONARY-3'!$A$200</f>
        <v>Zawór zwrotny</v>
      </c>
      <c r="R1255" s="732" t="str">
        <f>CONCATENATE('DICTIONARY-3'!$A$99," ",'DICTIONARY-6'!$A$20," ",'DICTIONARY-2'!$A$2,"200"," ",'DICTIONARY-2'!$A$3,"16"," ","R48"," ",'DICTIONARY-5'!$A$34,"/",'DICTIONARY-5'!$A$34," ",'DICTIONARY-6'!$A$36)</f>
        <v>RETA Zaw. zwrotny DN200 PN16 R48 A2/A2 SYNT.</v>
      </c>
      <c r="S1255" s="733" t="s">
        <v>5569</v>
      </c>
      <c r="T1255" s="732" t="s">
        <v>5569</v>
      </c>
      <c r="U1255" s="734" t="s">
        <v>5750</v>
      </c>
      <c r="V1255" s="735">
        <v>16</v>
      </c>
      <c r="W1255" s="736"/>
      <c r="X1255" s="737"/>
      <c r="Y1255" s="738"/>
      <c r="Z1255" s="739"/>
      <c r="AA1255" s="739"/>
      <c r="AB1255" s="740">
        <v>16</v>
      </c>
      <c r="AC1255" s="741" t="str">
        <f>'DICTIONARY-5'!$A$11&amp;" 48"</f>
        <v>EN 558 szereg 48</v>
      </c>
      <c r="AD1255" s="733" t="str">
        <f>'DICTIONARY-5'!$A$17&amp;", "&amp;'DICTIONARY-5'!$A$21</f>
        <v>woda przemysłowa, olej</v>
      </c>
      <c r="AE1255" s="742">
        <v>120</v>
      </c>
      <c r="AF1255" s="743">
        <v>84.5</v>
      </c>
      <c r="AG1255" s="741" t="str">
        <f>'DICTIONARY-5'!$A$24</f>
        <v>powłoka syntetyczna</v>
      </c>
    </row>
    <row r="1256" spans="1:33" x14ac:dyDescent="0.25">
      <c r="A1256" s="864" t="s">
        <v>1269</v>
      </c>
      <c r="B1256" s="864" t="s">
        <v>4400</v>
      </c>
      <c r="C1256" s="836">
        <v>1541</v>
      </c>
      <c r="D1256" s="836"/>
      <c r="E1256" s="836"/>
      <c r="F1256" s="836"/>
      <c r="G1256" s="496" t="s">
        <v>7824</v>
      </c>
      <c r="H1256" s="797" t="str">
        <f>VLOOKUP(G1256,SETTINGS!$B$7:$D$97,2,0)</f>
        <v>RETA</v>
      </c>
      <c r="I1256" s="796">
        <f>VLOOKUP(G1256,SETTINGS!$B$7:$D$97,3,0)</f>
        <v>0</v>
      </c>
      <c r="J1256" s="670" t="str">
        <f>IFERROR(IF(CURRENCY.FORMAT_1=0,CONCATENATE(TEXT(FIXED(ROUND((C1256/EXC.RATE_1),CURRENCY.FORMAT_1),CURRENCY.FORMAT_1,1),"# ##0;-# ##0"),",-"),FIXED(ROUND((C1256/EXC.RATE_1),CURRENCY.FORMAT_1),CURRENCY.FORMAT_1,0)),'DICTIONARY-5'!$A$2)</f>
        <v>1 541,-</v>
      </c>
      <c r="K1256" s="670" t="str">
        <f>IF(EXC.RATE_2=0,"",IFERROR(IF(CURRENCY.FORMAT_2=0,CONCATENATE(TEXT(FIXED(ROUND(IF(EXC.RATE.SWITCH=1,C1256/EXC.RATE_2,C1256*EXC.RATE_2),CURRENCY.FORMAT_2),CURRENCY.FORMAT_2,1),"# ##0;-# ##0"),",-"),FIXED(ROUND(IF(EXC.RATE.SWITCH=1,C1256/EXC.RATE_2,C1256*EXC.RATE_2),CURRENCY.FORMAT_2),CURRENCY.FORMAT_2,0)),'DICTIONARY-5'!$A$2))</f>
        <v/>
      </c>
      <c r="L1256" s="670" t="str">
        <f>IFERROR(IF(CURRENCY.FORMAT_1=0,CONCATENATE(TEXT(FIXED(ROUND((C1256*(1-I1256)*(1-ADD.DISCOUNT)*(1+MAT.SURCHARGE)/EXC.RATE_1),CURRENCY.FORMAT_1),CURRENCY.FORMAT_1,1),"# ##0;-# ##0"),",-"),FIXED(ROUND((C1256*(1-I1256)*(1-ADD.DISCOUNT)*(1+MAT.SURCHARGE)/EXC.RATE_1),CURRENCY.FORMAT_1),CURRENCY.FORMAT_1,0)),'DICTIONARY-5'!$A$2)</f>
        <v>1 601,-</v>
      </c>
      <c r="M1256" s="670" t="str">
        <f>IF(EXC.RATE_2=0,"",IFERROR(IF(CURRENCY.FORMAT_2=0,CONCATENATE(TEXT(FIXED(ROUND(IF(EXC.RATE.SWITCH=1,C1256*(1-I1256)*(1-ADD.DISCOUNT)*(1+MAT.SURCHARGE)/EXC.RATE_2,C1256*(1-I1256)*(1-ADD.DISCOUNT)*(1+MAT.SURCHARGE)*EXC.RATE_2),CURRENCY.FORMAT_2),CURRENCY.FORMAT_2,1),"# ##0;-# ##0"),",-"),FIXED(ROUND(IF(EXC.RATE.SWITCH=1,C1256*(1-I1256)*(1-ADD.DISCOUNT)*(1+MAT.SURCHARGE)/EXC.RATE_2,C1256*(1-I1256)*(1-ADD.DISCOUNT)*(1+MAT.SURCHARGE)*EXC.RATE_2),CURRENCY.FORMAT_2),CURRENCY.FORMAT_2,0)),'DICTIONARY-5'!$A$2))</f>
        <v/>
      </c>
      <c r="N1256" s="539">
        <v>5</v>
      </c>
      <c r="O1256" s="539"/>
      <c r="P1256" s="731" t="str">
        <f>'DICTIONARY-3'!$A$99</f>
        <v>RETA</v>
      </c>
      <c r="Q1256" s="732" t="str">
        <f>'DICTIONARY-3'!$A$200</f>
        <v>Zawór zwrotny</v>
      </c>
      <c r="R1256" s="732" t="str">
        <f>CONCATENATE('DICTIONARY-3'!$A$99," ",'DICTIONARY-6'!$A$20," ",'DICTIONARY-2'!$A$2,"250"," ",'DICTIONARY-2'!$A$3,"16"," ","R48"," ",'DICTIONARY-5'!$A$34,"/",'DICTIONARY-5'!$A$34," ",'DICTIONARY-6'!$A$36)</f>
        <v>RETA Zaw. zwrotny DN250 PN16 R48 A2/A2 SYNT.</v>
      </c>
      <c r="S1256" s="733" t="s">
        <v>5569</v>
      </c>
      <c r="T1256" s="732" t="s">
        <v>5569</v>
      </c>
      <c r="U1256" s="734" t="s">
        <v>5751</v>
      </c>
      <c r="V1256" s="735">
        <v>16</v>
      </c>
      <c r="W1256" s="736"/>
      <c r="X1256" s="737"/>
      <c r="Y1256" s="738"/>
      <c r="Z1256" s="739"/>
      <c r="AA1256" s="739"/>
      <c r="AB1256" s="740">
        <v>16</v>
      </c>
      <c r="AC1256" s="741" t="str">
        <f>'DICTIONARY-5'!$A$11&amp;" 48"</f>
        <v>EN 558 szereg 48</v>
      </c>
      <c r="AD1256" s="733" t="str">
        <f>'DICTIONARY-5'!$A$17&amp;", "&amp;'DICTIONARY-5'!$A$21</f>
        <v>woda przemysłowa, olej</v>
      </c>
      <c r="AE1256" s="742">
        <v>120</v>
      </c>
      <c r="AF1256" s="743">
        <v>122</v>
      </c>
      <c r="AG1256" s="741" t="str">
        <f>'DICTIONARY-5'!$A$24</f>
        <v>powłoka syntetyczna</v>
      </c>
    </row>
    <row r="1257" spans="1:33" x14ac:dyDescent="0.25">
      <c r="A1257" s="864" t="s">
        <v>1254</v>
      </c>
      <c r="B1257" s="864" t="s">
        <v>4432</v>
      </c>
      <c r="C1257" s="836">
        <v>236</v>
      </c>
      <c r="D1257" s="836"/>
      <c r="E1257" s="836"/>
      <c r="F1257" s="836"/>
      <c r="G1257" s="496" t="s">
        <v>7824</v>
      </c>
      <c r="H1257" s="797" t="str">
        <f>VLOOKUP(G1257,SETTINGS!$B$7:$D$97,2,0)</f>
        <v>RETA</v>
      </c>
      <c r="I1257" s="796">
        <f>VLOOKUP(G1257,SETTINGS!$B$7:$D$97,3,0)</f>
        <v>0</v>
      </c>
      <c r="J1257" s="670" t="str">
        <f>IFERROR(IF(CURRENCY.FORMAT_1=0,CONCATENATE(TEXT(FIXED(ROUND((C1257/EXC.RATE_1),CURRENCY.FORMAT_1),CURRENCY.FORMAT_1,1),"# ##0;-# ##0"),",-"),FIXED(ROUND((C1257/EXC.RATE_1),CURRENCY.FORMAT_1),CURRENCY.FORMAT_1,0)),'DICTIONARY-5'!$A$2)</f>
        <v>236,-</v>
      </c>
      <c r="K1257" s="670" t="str">
        <f>IF(EXC.RATE_2=0,"",IFERROR(IF(CURRENCY.FORMAT_2=0,CONCATENATE(TEXT(FIXED(ROUND(IF(EXC.RATE.SWITCH=1,C1257/EXC.RATE_2,C1257*EXC.RATE_2),CURRENCY.FORMAT_2),CURRENCY.FORMAT_2,1),"# ##0;-# ##0"),",-"),FIXED(ROUND(IF(EXC.RATE.SWITCH=1,C1257/EXC.RATE_2,C1257*EXC.RATE_2),CURRENCY.FORMAT_2),CURRENCY.FORMAT_2,0)),'DICTIONARY-5'!$A$2))</f>
        <v/>
      </c>
      <c r="L1257" s="670" t="str">
        <f>IFERROR(IF(CURRENCY.FORMAT_1=0,CONCATENATE(TEXT(FIXED(ROUND((C1257*(1-I1257)*(1-ADD.DISCOUNT)*(1+MAT.SURCHARGE)/EXC.RATE_1),CURRENCY.FORMAT_1),CURRENCY.FORMAT_1,1),"# ##0;-# ##0"),",-"),FIXED(ROUND((C1257*(1-I1257)*(1-ADD.DISCOUNT)*(1+MAT.SURCHARGE)/EXC.RATE_1),CURRENCY.FORMAT_1),CURRENCY.FORMAT_1,0)),'DICTIONARY-5'!$A$2)</f>
        <v>245,-</v>
      </c>
      <c r="M1257" s="670" t="str">
        <f>IF(EXC.RATE_2=0,"",IFERROR(IF(CURRENCY.FORMAT_2=0,CONCATENATE(TEXT(FIXED(ROUND(IF(EXC.RATE.SWITCH=1,C1257*(1-I1257)*(1-ADD.DISCOUNT)*(1+MAT.SURCHARGE)/EXC.RATE_2,C1257*(1-I1257)*(1-ADD.DISCOUNT)*(1+MAT.SURCHARGE)*EXC.RATE_2),CURRENCY.FORMAT_2),CURRENCY.FORMAT_2,1),"# ##0;-# ##0"),",-"),FIXED(ROUND(IF(EXC.RATE.SWITCH=1,C1257*(1-I1257)*(1-ADD.DISCOUNT)*(1+MAT.SURCHARGE)/EXC.RATE_2,C1257*(1-I1257)*(1-ADD.DISCOUNT)*(1+MAT.SURCHARGE)*EXC.RATE_2),CURRENCY.FORMAT_2),CURRENCY.FORMAT_2,0)),'DICTIONARY-5'!$A$2))</f>
        <v/>
      </c>
      <c r="N1257" s="539">
        <v>5</v>
      </c>
      <c r="O1257" s="539"/>
      <c r="P1257" s="731" t="str">
        <f>'DICTIONARY-3'!$A$99</f>
        <v>RETA</v>
      </c>
      <c r="Q1257" s="732" t="str">
        <f>'DICTIONARY-3'!$A$200</f>
        <v>Zawór zwrotny</v>
      </c>
      <c r="R1257" s="732" t="str">
        <f>CONCATENATE('DICTIONARY-3'!$A$99," ",'DICTIONARY-6'!$A$20," ",'DICTIONARY-2'!$A$2,"40"," ",'DICTIONARY-2'!$A$3,"10/16"," ","R48"," ",'DICTIONARY-5'!$A$34,"/",'DICTIONARY-5'!$A$44," ",'DICTIONARY-6'!$A$36)</f>
        <v>RETA Zaw. zwrotny DN40 PN10/16 R48 A2/EPDM SYNT.</v>
      </c>
      <c r="S1257" s="733"/>
      <c r="T1257" s="732"/>
      <c r="U1257" s="734" t="s">
        <v>5758</v>
      </c>
      <c r="V1257" s="735">
        <v>16</v>
      </c>
      <c r="W1257" s="736"/>
      <c r="X1257" s="737"/>
      <c r="Y1257" s="738"/>
      <c r="Z1257" s="739"/>
      <c r="AA1257" s="739"/>
      <c r="AB1257" s="740">
        <v>16</v>
      </c>
      <c r="AC1257" s="741" t="str">
        <f>'DICTIONARY-5'!$A$11&amp;" 48"</f>
        <v>EN 558 szereg 48</v>
      </c>
      <c r="AD1257" s="733" t="str">
        <f>'DICTIONARY-5'!$A$17&amp;", "&amp;'DICTIONARY-5'!$A$21</f>
        <v>woda przemysłowa, olej</v>
      </c>
      <c r="AE1257" s="742">
        <v>120</v>
      </c>
      <c r="AF1257" s="743">
        <v>9</v>
      </c>
      <c r="AG1257" s="741" t="str">
        <f>'DICTIONARY-5'!$A$24</f>
        <v>powłoka syntetyczna</v>
      </c>
    </row>
    <row r="1258" spans="1:33" x14ac:dyDescent="0.25">
      <c r="A1258" s="864" t="s">
        <v>1256</v>
      </c>
      <c r="B1258" s="864" t="s">
        <v>4434</v>
      </c>
      <c r="C1258" s="836">
        <v>241</v>
      </c>
      <c r="D1258" s="836"/>
      <c r="E1258" s="836"/>
      <c r="F1258" s="836"/>
      <c r="G1258" s="496" t="s">
        <v>7824</v>
      </c>
      <c r="H1258" s="797" t="str">
        <f>VLOOKUP(G1258,SETTINGS!$B$7:$D$97,2,0)</f>
        <v>RETA</v>
      </c>
      <c r="I1258" s="796">
        <f>VLOOKUP(G1258,SETTINGS!$B$7:$D$97,3,0)</f>
        <v>0</v>
      </c>
      <c r="J1258" s="670" t="str">
        <f>IFERROR(IF(CURRENCY.FORMAT_1=0,CONCATENATE(TEXT(FIXED(ROUND((C1258/EXC.RATE_1),CURRENCY.FORMAT_1),CURRENCY.FORMAT_1,1),"# ##0;-# ##0"),",-"),FIXED(ROUND((C1258/EXC.RATE_1),CURRENCY.FORMAT_1),CURRENCY.FORMAT_1,0)),'DICTIONARY-5'!$A$2)</f>
        <v>241,-</v>
      </c>
      <c r="K1258" s="670" t="str">
        <f>IF(EXC.RATE_2=0,"",IFERROR(IF(CURRENCY.FORMAT_2=0,CONCATENATE(TEXT(FIXED(ROUND(IF(EXC.RATE.SWITCH=1,C1258/EXC.RATE_2,C1258*EXC.RATE_2),CURRENCY.FORMAT_2),CURRENCY.FORMAT_2,1),"# ##0;-# ##0"),",-"),FIXED(ROUND(IF(EXC.RATE.SWITCH=1,C1258/EXC.RATE_2,C1258*EXC.RATE_2),CURRENCY.FORMAT_2),CURRENCY.FORMAT_2,0)),'DICTIONARY-5'!$A$2))</f>
        <v/>
      </c>
      <c r="L1258" s="670" t="str">
        <f>IFERROR(IF(CURRENCY.FORMAT_1=0,CONCATENATE(TEXT(FIXED(ROUND((C1258*(1-I1258)*(1-ADD.DISCOUNT)*(1+MAT.SURCHARGE)/EXC.RATE_1),CURRENCY.FORMAT_1),CURRENCY.FORMAT_1,1),"# ##0;-# ##0"),",-"),FIXED(ROUND((C1258*(1-I1258)*(1-ADD.DISCOUNT)*(1+MAT.SURCHARGE)/EXC.RATE_1),CURRENCY.FORMAT_1),CURRENCY.FORMAT_1,0)),'DICTIONARY-5'!$A$2)</f>
        <v>250,-</v>
      </c>
      <c r="M1258" s="670" t="str">
        <f>IF(EXC.RATE_2=0,"",IFERROR(IF(CURRENCY.FORMAT_2=0,CONCATENATE(TEXT(FIXED(ROUND(IF(EXC.RATE.SWITCH=1,C1258*(1-I1258)*(1-ADD.DISCOUNT)*(1+MAT.SURCHARGE)/EXC.RATE_2,C1258*(1-I1258)*(1-ADD.DISCOUNT)*(1+MAT.SURCHARGE)*EXC.RATE_2),CURRENCY.FORMAT_2),CURRENCY.FORMAT_2,1),"# ##0;-# ##0"),",-"),FIXED(ROUND(IF(EXC.RATE.SWITCH=1,C1258*(1-I1258)*(1-ADD.DISCOUNT)*(1+MAT.SURCHARGE)/EXC.RATE_2,C1258*(1-I1258)*(1-ADD.DISCOUNT)*(1+MAT.SURCHARGE)*EXC.RATE_2),CURRENCY.FORMAT_2),CURRENCY.FORMAT_2,0)),'DICTIONARY-5'!$A$2))</f>
        <v/>
      </c>
      <c r="N1258" s="539">
        <v>5</v>
      </c>
      <c r="O1258" s="539"/>
      <c r="P1258" s="731" t="str">
        <f>'DICTIONARY-3'!$A$99</f>
        <v>RETA</v>
      </c>
      <c r="Q1258" s="732" t="str">
        <f>'DICTIONARY-3'!$A$200</f>
        <v>Zawór zwrotny</v>
      </c>
      <c r="R1258" s="732" t="str">
        <f>CONCATENATE('DICTIONARY-3'!$A$99," ",'DICTIONARY-6'!$A$20," ",'DICTIONARY-2'!$A$2,"50"," ",'DICTIONARY-2'!$A$3,"10/16"," ","R48"," ",'DICTIONARY-5'!$A$34,"/",'DICTIONARY-5'!$A$44," ",'DICTIONARY-6'!$A$36)</f>
        <v>RETA Zaw. zwrotny DN50 PN10/16 R48 A2/EPDM SYNT.</v>
      </c>
      <c r="S1258" s="733"/>
      <c r="T1258" s="732"/>
      <c r="U1258" s="734" t="s">
        <v>5748</v>
      </c>
      <c r="V1258" s="735">
        <v>16</v>
      </c>
      <c r="W1258" s="736"/>
      <c r="X1258" s="737"/>
      <c r="Y1258" s="738"/>
      <c r="Z1258" s="739"/>
      <c r="AA1258" s="739"/>
      <c r="AB1258" s="740">
        <v>16</v>
      </c>
      <c r="AC1258" s="741" t="str">
        <f>'DICTIONARY-5'!$A$11&amp;" 48"</f>
        <v>EN 558 szereg 48</v>
      </c>
      <c r="AD1258" s="733" t="str">
        <f>'DICTIONARY-5'!$A$17&amp;", "&amp;'DICTIONARY-5'!$A$21</f>
        <v>woda przemysłowa, olej</v>
      </c>
      <c r="AE1258" s="742">
        <v>120</v>
      </c>
      <c r="AF1258" s="743">
        <v>10.5</v>
      </c>
      <c r="AG1258" s="741" t="str">
        <f>'DICTIONARY-5'!$A$24</f>
        <v>powłoka syntetyczna</v>
      </c>
    </row>
    <row r="1259" spans="1:33" x14ac:dyDescent="0.25">
      <c r="A1259" s="864" t="s">
        <v>1258</v>
      </c>
      <c r="B1259" s="864" t="s">
        <v>4436</v>
      </c>
      <c r="C1259" s="836">
        <v>304</v>
      </c>
      <c r="D1259" s="836"/>
      <c r="E1259" s="836"/>
      <c r="F1259" s="836"/>
      <c r="G1259" s="496" t="s">
        <v>7824</v>
      </c>
      <c r="H1259" s="797" t="str">
        <f>VLOOKUP(G1259,SETTINGS!$B$7:$D$97,2,0)</f>
        <v>RETA</v>
      </c>
      <c r="I1259" s="796">
        <f>VLOOKUP(G1259,SETTINGS!$B$7:$D$97,3,0)</f>
        <v>0</v>
      </c>
      <c r="J1259" s="670" t="str">
        <f>IFERROR(IF(CURRENCY.FORMAT_1=0,CONCATENATE(TEXT(FIXED(ROUND((C1259/EXC.RATE_1),CURRENCY.FORMAT_1),CURRENCY.FORMAT_1,1),"# ##0;-# ##0"),",-"),FIXED(ROUND((C1259/EXC.RATE_1),CURRENCY.FORMAT_1),CURRENCY.FORMAT_1,0)),'DICTIONARY-5'!$A$2)</f>
        <v>304,-</v>
      </c>
      <c r="K1259" s="670" t="str">
        <f>IF(EXC.RATE_2=0,"",IFERROR(IF(CURRENCY.FORMAT_2=0,CONCATENATE(TEXT(FIXED(ROUND(IF(EXC.RATE.SWITCH=1,C1259/EXC.RATE_2,C1259*EXC.RATE_2),CURRENCY.FORMAT_2),CURRENCY.FORMAT_2,1),"# ##0;-# ##0"),",-"),FIXED(ROUND(IF(EXC.RATE.SWITCH=1,C1259/EXC.RATE_2,C1259*EXC.RATE_2),CURRENCY.FORMAT_2),CURRENCY.FORMAT_2,0)),'DICTIONARY-5'!$A$2))</f>
        <v/>
      </c>
      <c r="L1259" s="670" t="str">
        <f>IFERROR(IF(CURRENCY.FORMAT_1=0,CONCATENATE(TEXT(FIXED(ROUND((C1259*(1-I1259)*(1-ADD.DISCOUNT)*(1+MAT.SURCHARGE)/EXC.RATE_1),CURRENCY.FORMAT_1),CURRENCY.FORMAT_1,1),"# ##0;-# ##0"),",-"),FIXED(ROUND((C1259*(1-I1259)*(1-ADD.DISCOUNT)*(1+MAT.SURCHARGE)/EXC.RATE_1),CURRENCY.FORMAT_1),CURRENCY.FORMAT_1,0)),'DICTIONARY-5'!$A$2)</f>
        <v>316,-</v>
      </c>
      <c r="M1259" s="670" t="str">
        <f>IF(EXC.RATE_2=0,"",IFERROR(IF(CURRENCY.FORMAT_2=0,CONCATENATE(TEXT(FIXED(ROUND(IF(EXC.RATE.SWITCH=1,C1259*(1-I1259)*(1-ADD.DISCOUNT)*(1+MAT.SURCHARGE)/EXC.RATE_2,C1259*(1-I1259)*(1-ADD.DISCOUNT)*(1+MAT.SURCHARGE)*EXC.RATE_2),CURRENCY.FORMAT_2),CURRENCY.FORMAT_2,1),"# ##0;-# ##0"),",-"),FIXED(ROUND(IF(EXC.RATE.SWITCH=1,C1259*(1-I1259)*(1-ADD.DISCOUNT)*(1+MAT.SURCHARGE)/EXC.RATE_2,C1259*(1-I1259)*(1-ADD.DISCOUNT)*(1+MAT.SURCHARGE)*EXC.RATE_2),CURRENCY.FORMAT_2),CURRENCY.FORMAT_2,0)),'DICTIONARY-5'!$A$2))</f>
        <v/>
      </c>
      <c r="N1259" s="539">
        <v>5</v>
      </c>
      <c r="O1259" s="539"/>
      <c r="P1259" s="731" t="str">
        <f>'DICTIONARY-3'!$A$99</f>
        <v>RETA</v>
      </c>
      <c r="Q1259" s="732" t="str">
        <f>'DICTIONARY-3'!$A$200</f>
        <v>Zawór zwrotny</v>
      </c>
      <c r="R1259" s="732" t="str">
        <f>CONCATENATE('DICTIONARY-3'!$A$99," ",'DICTIONARY-6'!$A$20," ",'DICTIONARY-2'!$A$2,"65"," ",'DICTIONARY-2'!$A$3,"10/16"," ","R48"," ",'DICTIONARY-5'!$A$34,"/",'DICTIONARY-5'!$A$44," ",'DICTIONARY-6'!$A$36)</f>
        <v>RETA Zaw. zwrotny DN65 PN10/16 R48 A2/EPDM SYNT.</v>
      </c>
      <c r="S1259" s="733"/>
      <c r="T1259" s="732"/>
      <c r="U1259" s="734" t="s">
        <v>5759</v>
      </c>
      <c r="V1259" s="735">
        <v>16</v>
      </c>
      <c r="W1259" s="736"/>
      <c r="X1259" s="737"/>
      <c r="Y1259" s="738"/>
      <c r="Z1259" s="739"/>
      <c r="AA1259" s="739"/>
      <c r="AB1259" s="740">
        <v>16</v>
      </c>
      <c r="AC1259" s="741" t="str">
        <f>'DICTIONARY-5'!$A$11&amp;" 48"</f>
        <v>EN 558 szereg 48</v>
      </c>
      <c r="AD1259" s="733" t="str">
        <f>'DICTIONARY-5'!$A$17&amp;", "&amp;'DICTIONARY-5'!$A$21</f>
        <v>woda przemysłowa, olej</v>
      </c>
      <c r="AE1259" s="742">
        <v>120</v>
      </c>
      <c r="AF1259" s="743">
        <v>13.5</v>
      </c>
      <c r="AG1259" s="741" t="str">
        <f>'DICTIONARY-5'!$A$24</f>
        <v>powłoka syntetyczna</v>
      </c>
    </row>
    <row r="1260" spans="1:33" x14ac:dyDescent="0.25">
      <c r="A1260" s="864" t="s">
        <v>1260</v>
      </c>
      <c r="B1260" s="864" t="s">
        <v>4438</v>
      </c>
      <c r="C1260" s="836">
        <v>314</v>
      </c>
      <c r="D1260" s="836"/>
      <c r="E1260" s="836"/>
      <c r="F1260" s="836"/>
      <c r="G1260" s="496" t="s">
        <v>7824</v>
      </c>
      <c r="H1260" s="797" t="str">
        <f>VLOOKUP(G1260,SETTINGS!$B$7:$D$97,2,0)</f>
        <v>RETA</v>
      </c>
      <c r="I1260" s="796">
        <f>VLOOKUP(G1260,SETTINGS!$B$7:$D$97,3,0)</f>
        <v>0</v>
      </c>
      <c r="J1260" s="670" t="str">
        <f>IFERROR(IF(CURRENCY.FORMAT_1=0,CONCATENATE(TEXT(FIXED(ROUND((C1260/EXC.RATE_1),CURRENCY.FORMAT_1),CURRENCY.FORMAT_1,1),"# ##0;-# ##0"),",-"),FIXED(ROUND((C1260/EXC.RATE_1),CURRENCY.FORMAT_1),CURRENCY.FORMAT_1,0)),'DICTIONARY-5'!$A$2)</f>
        <v>314,-</v>
      </c>
      <c r="K1260" s="670" t="str">
        <f>IF(EXC.RATE_2=0,"",IFERROR(IF(CURRENCY.FORMAT_2=0,CONCATENATE(TEXT(FIXED(ROUND(IF(EXC.RATE.SWITCH=1,C1260/EXC.RATE_2,C1260*EXC.RATE_2),CURRENCY.FORMAT_2),CURRENCY.FORMAT_2,1),"# ##0;-# ##0"),",-"),FIXED(ROUND(IF(EXC.RATE.SWITCH=1,C1260/EXC.RATE_2,C1260*EXC.RATE_2),CURRENCY.FORMAT_2),CURRENCY.FORMAT_2,0)),'DICTIONARY-5'!$A$2))</f>
        <v/>
      </c>
      <c r="L1260" s="670" t="str">
        <f>IFERROR(IF(CURRENCY.FORMAT_1=0,CONCATENATE(TEXT(FIXED(ROUND((C1260*(1-I1260)*(1-ADD.DISCOUNT)*(1+MAT.SURCHARGE)/EXC.RATE_1),CURRENCY.FORMAT_1),CURRENCY.FORMAT_1,1),"# ##0;-# ##0"),",-"),FIXED(ROUND((C1260*(1-I1260)*(1-ADD.DISCOUNT)*(1+MAT.SURCHARGE)/EXC.RATE_1),CURRENCY.FORMAT_1),CURRENCY.FORMAT_1,0)),'DICTIONARY-5'!$A$2)</f>
        <v>326,-</v>
      </c>
      <c r="M1260" s="670" t="str">
        <f>IF(EXC.RATE_2=0,"",IFERROR(IF(CURRENCY.FORMAT_2=0,CONCATENATE(TEXT(FIXED(ROUND(IF(EXC.RATE.SWITCH=1,C1260*(1-I1260)*(1-ADD.DISCOUNT)*(1+MAT.SURCHARGE)/EXC.RATE_2,C1260*(1-I1260)*(1-ADD.DISCOUNT)*(1+MAT.SURCHARGE)*EXC.RATE_2),CURRENCY.FORMAT_2),CURRENCY.FORMAT_2,1),"# ##0;-# ##0"),",-"),FIXED(ROUND(IF(EXC.RATE.SWITCH=1,C1260*(1-I1260)*(1-ADD.DISCOUNT)*(1+MAT.SURCHARGE)/EXC.RATE_2,C1260*(1-I1260)*(1-ADD.DISCOUNT)*(1+MAT.SURCHARGE)*EXC.RATE_2),CURRENCY.FORMAT_2),CURRENCY.FORMAT_2,0)),'DICTIONARY-5'!$A$2))</f>
        <v/>
      </c>
      <c r="N1260" s="539">
        <v>5</v>
      </c>
      <c r="O1260" s="539"/>
      <c r="P1260" s="731" t="str">
        <f>'DICTIONARY-3'!$A$99</f>
        <v>RETA</v>
      </c>
      <c r="Q1260" s="732" t="str">
        <f>'DICTIONARY-3'!$A$200</f>
        <v>Zawór zwrotny</v>
      </c>
      <c r="R1260" s="732" t="str">
        <f>CONCATENATE('DICTIONARY-3'!$A$99," ",'DICTIONARY-6'!$A$20," ",'DICTIONARY-2'!$A$2,"80"," ",'DICTIONARY-2'!$A$3,"10/16"," ","R48"," ",'DICTIONARY-5'!$A$34,"/",'DICTIONARY-5'!$A$44," ",'DICTIONARY-6'!$A$36)</f>
        <v>RETA Zaw. zwrotny DN80 PN10/16 R48 A2/EPDM SYNT.</v>
      </c>
      <c r="S1260" s="733"/>
      <c r="T1260" s="732"/>
      <c r="U1260" s="734" t="s">
        <v>5760</v>
      </c>
      <c r="V1260" s="735">
        <v>16</v>
      </c>
      <c r="W1260" s="736"/>
      <c r="X1260" s="737"/>
      <c r="Y1260" s="738"/>
      <c r="Z1260" s="739"/>
      <c r="AA1260" s="739"/>
      <c r="AB1260" s="740">
        <v>16</v>
      </c>
      <c r="AC1260" s="741" t="str">
        <f>'DICTIONARY-5'!$A$11&amp;" 48"</f>
        <v>EN 558 szereg 48</v>
      </c>
      <c r="AD1260" s="733" t="str">
        <f>'DICTIONARY-5'!$A$17&amp;", "&amp;'DICTIONARY-5'!$A$21</f>
        <v>woda przemysłowa, olej</v>
      </c>
      <c r="AE1260" s="742">
        <v>120</v>
      </c>
      <c r="AF1260" s="743">
        <v>17</v>
      </c>
      <c r="AG1260" s="741" t="str">
        <f>'DICTIONARY-5'!$A$24</f>
        <v>powłoka syntetyczna</v>
      </c>
    </row>
    <row r="1261" spans="1:33" x14ac:dyDescent="0.25">
      <c r="A1261" s="864" t="s">
        <v>1262</v>
      </c>
      <c r="B1261" s="864" t="s">
        <v>4402</v>
      </c>
      <c r="C1261" s="836">
        <v>359</v>
      </c>
      <c r="D1261" s="836"/>
      <c r="E1261" s="836"/>
      <c r="F1261" s="836"/>
      <c r="G1261" s="496" t="s">
        <v>7824</v>
      </c>
      <c r="H1261" s="797" t="str">
        <f>VLOOKUP(G1261,SETTINGS!$B$7:$D$97,2,0)</f>
        <v>RETA</v>
      </c>
      <c r="I1261" s="796">
        <f>VLOOKUP(G1261,SETTINGS!$B$7:$D$97,3,0)</f>
        <v>0</v>
      </c>
      <c r="J1261" s="670" t="str">
        <f>IFERROR(IF(CURRENCY.FORMAT_1=0,CONCATENATE(TEXT(FIXED(ROUND((C1261/EXC.RATE_1),CURRENCY.FORMAT_1),CURRENCY.FORMAT_1,1),"# ##0;-# ##0"),",-"),FIXED(ROUND((C1261/EXC.RATE_1),CURRENCY.FORMAT_1),CURRENCY.FORMAT_1,0)),'DICTIONARY-5'!$A$2)</f>
        <v>359,-</v>
      </c>
      <c r="K1261" s="670" t="str">
        <f>IF(EXC.RATE_2=0,"",IFERROR(IF(CURRENCY.FORMAT_2=0,CONCATENATE(TEXT(FIXED(ROUND(IF(EXC.RATE.SWITCH=1,C1261/EXC.RATE_2,C1261*EXC.RATE_2),CURRENCY.FORMAT_2),CURRENCY.FORMAT_2,1),"# ##0;-# ##0"),",-"),FIXED(ROUND(IF(EXC.RATE.SWITCH=1,C1261/EXC.RATE_2,C1261*EXC.RATE_2),CURRENCY.FORMAT_2),CURRENCY.FORMAT_2,0)),'DICTIONARY-5'!$A$2))</f>
        <v/>
      </c>
      <c r="L1261" s="670" t="str">
        <f>IFERROR(IF(CURRENCY.FORMAT_1=0,CONCATENATE(TEXT(FIXED(ROUND((C1261*(1-I1261)*(1-ADD.DISCOUNT)*(1+MAT.SURCHARGE)/EXC.RATE_1),CURRENCY.FORMAT_1),CURRENCY.FORMAT_1,1),"# ##0;-# ##0"),",-"),FIXED(ROUND((C1261*(1-I1261)*(1-ADD.DISCOUNT)*(1+MAT.SURCHARGE)/EXC.RATE_1),CURRENCY.FORMAT_1),CURRENCY.FORMAT_1,0)),'DICTIONARY-5'!$A$2)</f>
        <v>373,-</v>
      </c>
      <c r="M1261" s="670" t="str">
        <f>IF(EXC.RATE_2=0,"",IFERROR(IF(CURRENCY.FORMAT_2=0,CONCATENATE(TEXT(FIXED(ROUND(IF(EXC.RATE.SWITCH=1,C1261*(1-I1261)*(1-ADD.DISCOUNT)*(1+MAT.SURCHARGE)/EXC.RATE_2,C1261*(1-I1261)*(1-ADD.DISCOUNT)*(1+MAT.SURCHARGE)*EXC.RATE_2),CURRENCY.FORMAT_2),CURRENCY.FORMAT_2,1),"# ##0;-# ##0"),",-"),FIXED(ROUND(IF(EXC.RATE.SWITCH=1,C1261*(1-I1261)*(1-ADD.DISCOUNT)*(1+MAT.SURCHARGE)/EXC.RATE_2,C1261*(1-I1261)*(1-ADD.DISCOUNT)*(1+MAT.SURCHARGE)*EXC.RATE_2),CURRENCY.FORMAT_2),CURRENCY.FORMAT_2,0)),'DICTIONARY-5'!$A$2))</f>
        <v/>
      </c>
      <c r="N1261" s="539">
        <v>5</v>
      </c>
      <c r="O1261" s="539"/>
      <c r="P1261" s="731" t="str">
        <f>'DICTIONARY-3'!$A$99</f>
        <v>RETA</v>
      </c>
      <c r="Q1261" s="732" t="str">
        <f>'DICTIONARY-3'!$A$200</f>
        <v>Zawór zwrotny</v>
      </c>
      <c r="R1261" s="732" t="str">
        <f>CONCATENATE('DICTIONARY-3'!$A$99," ",'DICTIONARY-6'!$A$20," ",'DICTIONARY-2'!$A$2,"100"," ",'DICTIONARY-2'!$A$3,"10/16"," ","R48"," ",'DICTIONARY-5'!$A$34,"/",'DICTIONARY-5'!$A$44," ",'DICTIONARY-6'!$A$36)</f>
        <v>RETA Zaw. zwrotny DN100 PN10/16 R48 A2/EPDM SYNT.</v>
      </c>
      <c r="S1261" s="733"/>
      <c r="T1261" s="732"/>
      <c r="U1261" s="734" t="s">
        <v>5749</v>
      </c>
      <c r="V1261" s="735">
        <v>16</v>
      </c>
      <c r="W1261" s="736"/>
      <c r="X1261" s="737"/>
      <c r="Y1261" s="738"/>
      <c r="Z1261" s="739"/>
      <c r="AA1261" s="739"/>
      <c r="AB1261" s="740">
        <v>16</v>
      </c>
      <c r="AC1261" s="741" t="str">
        <f>'DICTIONARY-5'!$A$11&amp;" 48"</f>
        <v>EN 558 szereg 48</v>
      </c>
      <c r="AD1261" s="733" t="str">
        <f>'DICTIONARY-5'!$A$17&amp;", "&amp;'DICTIONARY-5'!$A$21</f>
        <v>woda przemysłowa, olej</v>
      </c>
      <c r="AE1261" s="742">
        <v>120</v>
      </c>
      <c r="AF1261" s="743">
        <v>26</v>
      </c>
      <c r="AG1261" s="741" t="str">
        <f>'DICTIONARY-5'!$A$24</f>
        <v>powłoka syntetyczna</v>
      </c>
    </row>
    <row r="1262" spans="1:33" x14ac:dyDescent="0.25">
      <c r="A1262" s="864" t="s">
        <v>1264</v>
      </c>
      <c r="B1262" s="864" t="s">
        <v>4404</v>
      </c>
      <c r="C1262" s="836">
        <v>503</v>
      </c>
      <c r="D1262" s="836"/>
      <c r="E1262" s="836"/>
      <c r="F1262" s="836"/>
      <c r="G1262" s="496" t="s">
        <v>7824</v>
      </c>
      <c r="H1262" s="797" t="str">
        <f>VLOOKUP(G1262,SETTINGS!$B$7:$D$97,2,0)</f>
        <v>RETA</v>
      </c>
      <c r="I1262" s="796">
        <f>VLOOKUP(G1262,SETTINGS!$B$7:$D$97,3,0)</f>
        <v>0</v>
      </c>
      <c r="J1262" s="670" t="str">
        <f>IFERROR(IF(CURRENCY.FORMAT_1=0,CONCATENATE(TEXT(FIXED(ROUND((C1262/EXC.RATE_1),CURRENCY.FORMAT_1),CURRENCY.FORMAT_1,1),"# ##0;-# ##0"),",-"),FIXED(ROUND((C1262/EXC.RATE_1),CURRENCY.FORMAT_1),CURRENCY.FORMAT_1,0)),'DICTIONARY-5'!$A$2)</f>
        <v>503,-</v>
      </c>
      <c r="K1262" s="670" t="str">
        <f>IF(EXC.RATE_2=0,"",IFERROR(IF(CURRENCY.FORMAT_2=0,CONCATENATE(TEXT(FIXED(ROUND(IF(EXC.RATE.SWITCH=1,C1262/EXC.RATE_2,C1262*EXC.RATE_2),CURRENCY.FORMAT_2),CURRENCY.FORMAT_2,1),"# ##0;-# ##0"),",-"),FIXED(ROUND(IF(EXC.RATE.SWITCH=1,C1262/EXC.RATE_2,C1262*EXC.RATE_2),CURRENCY.FORMAT_2),CURRENCY.FORMAT_2,0)),'DICTIONARY-5'!$A$2))</f>
        <v/>
      </c>
      <c r="L1262" s="670" t="str">
        <f>IFERROR(IF(CURRENCY.FORMAT_1=0,CONCATENATE(TEXT(FIXED(ROUND((C1262*(1-I1262)*(1-ADD.DISCOUNT)*(1+MAT.SURCHARGE)/EXC.RATE_1),CURRENCY.FORMAT_1),CURRENCY.FORMAT_1,1),"# ##0;-# ##0"),",-"),FIXED(ROUND((C1262*(1-I1262)*(1-ADD.DISCOUNT)*(1+MAT.SURCHARGE)/EXC.RATE_1),CURRENCY.FORMAT_1),CURRENCY.FORMAT_1,0)),'DICTIONARY-5'!$A$2)</f>
        <v>523,-</v>
      </c>
      <c r="M1262" s="670" t="str">
        <f>IF(EXC.RATE_2=0,"",IFERROR(IF(CURRENCY.FORMAT_2=0,CONCATENATE(TEXT(FIXED(ROUND(IF(EXC.RATE.SWITCH=1,C1262*(1-I1262)*(1-ADD.DISCOUNT)*(1+MAT.SURCHARGE)/EXC.RATE_2,C1262*(1-I1262)*(1-ADD.DISCOUNT)*(1+MAT.SURCHARGE)*EXC.RATE_2),CURRENCY.FORMAT_2),CURRENCY.FORMAT_2,1),"# ##0;-# ##0"),",-"),FIXED(ROUND(IF(EXC.RATE.SWITCH=1,C1262*(1-I1262)*(1-ADD.DISCOUNT)*(1+MAT.SURCHARGE)/EXC.RATE_2,C1262*(1-I1262)*(1-ADD.DISCOUNT)*(1+MAT.SURCHARGE)*EXC.RATE_2),CURRENCY.FORMAT_2),CURRENCY.FORMAT_2,0)),'DICTIONARY-5'!$A$2))</f>
        <v/>
      </c>
      <c r="N1262" s="539">
        <v>5</v>
      </c>
      <c r="O1262" s="539"/>
      <c r="P1262" s="731" t="str">
        <f>'DICTIONARY-3'!$A$99</f>
        <v>RETA</v>
      </c>
      <c r="Q1262" s="732" t="str">
        <f>'DICTIONARY-3'!$A$200</f>
        <v>Zawór zwrotny</v>
      </c>
      <c r="R1262" s="732" t="str">
        <f>CONCATENATE('DICTIONARY-3'!$A$99," ",'DICTIONARY-6'!$A$20," ",'DICTIONARY-2'!$A$2,"125"," ",'DICTIONARY-2'!$A$3,"10/16"," ","R48"," ",'DICTIONARY-5'!$A$34,"/",'DICTIONARY-5'!$A$44," ",'DICTIONARY-6'!$A$36)</f>
        <v>RETA Zaw. zwrotny DN125 PN10/16 R48 A2/EPDM SYNT.</v>
      </c>
      <c r="S1262" s="733"/>
      <c r="T1262" s="732"/>
      <c r="U1262" s="734" t="s">
        <v>5761</v>
      </c>
      <c r="V1262" s="735">
        <v>16</v>
      </c>
      <c r="W1262" s="736"/>
      <c r="X1262" s="737"/>
      <c r="Y1262" s="738"/>
      <c r="Z1262" s="739"/>
      <c r="AA1262" s="739"/>
      <c r="AB1262" s="740">
        <v>16</v>
      </c>
      <c r="AC1262" s="741" t="str">
        <f>'DICTIONARY-5'!$A$11&amp;" 48"</f>
        <v>EN 558 szereg 48</v>
      </c>
      <c r="AD1262" s="733" t="str">
        <f>'DICTIONARY-5'!$A$17&amp;", "&amp;'DICTIONARY-5'!$A$21</f>
        <v>woda przemysłowa, olej</v>
      </c>
      <c r="AE1262" s="742">
        <v>120</v>
      </c>
      <c r="AF1262" s="743">
        <v>34</v>
      </c>
      <c r="AG1262" s="741" t="str">
        <f>'DICTIONARY-5'!$A$24</f>
        <v>powłoka syntetyczna</v>
      </c>
    </row>
    <row r="1263" spans="1:33" x14ac:dyDescent="0.25">
      <c r="A1263" s="864" t="s">
        <v>1266</v>
      </c>
      <c r="B1263" s="864" t="s">
        <v>4406</v>
      </c>
      <c r="C1263" s="836">
        <v>626</v>
      </c>
      <c r="D1263" s="836"/>
      <c r="E1263" s="836"/>
      <c r="F1263" s="836"/>
      <c r="G1263" s="496" t="s">
        <v>7824</v>
      </c>
      <c r="H1263" s="797" t="str">
        <f>VLOOKUP(G1263,SETTINGS!$B$7:$D$97,2,0)</f>
        <v>RETA</v>
      </c>
      <c r="I1263" s="796">
        <f>VLOOKUP(G1263,SETTINGS!$B$7:$D$97,3,0)</f>
        <v>0</v>
      </c>
      <c r="J1263" s="670" t="str">
        <f>IFERROR(IF(CURRENCY.FORMAT_1=0,CONCATENATE(TEXT(FIXED(ROUND((C1263/EXC.RATE_1),CURRENCY.FORMAT_1),CURRENCY.FORMAT_1,1),"# ##0;-# ##0"),",-"),FIXED(ROUND((C1263/EXC.RATE_1),CURRENCY.FORMAT_1),CURRENCY.FORMAT_1,0)),'DICTIONARY-5'!$A$2)</f>
        <v>626,-</v>
      </c>
      <c r="K1263" s="670" t="str">
        <f>IF(EXC.RATE_2=0,"",IFERROR(IF(CURRENCY.FORMAT_2=0,CONCATENATE(TEXT(FIXED(ROUND(IF(EXC.RATE.SWITCH=1,C1263/EXC.RATE_2,C1263*EXC.RATE_2),CURRENCY.FORMAT_2),CURRENCY.FORMAT_2,1),"# ##0;-# ##0"),",-"),FIXED(ROUND(IF(EXC.RATE.SWITCH=1,C1263/EXC.RATE_2,C1263*EXC.RATE_2),CURRENCY.FORMAT_2),CURRENCY.FORMAT_2,0)),'DICTIONARY-5'!$A$2))</f>
        <v/>
      </c>
      <c r="L1263" s="670" t="str">
        <f>IFERROR(IF(CURRENCY.FORMAT_1=0,CONCATENATE(TEXT(FIXED(ROUND((C1263*(1-I1263)*(1-ADD.DISCOUNT)*(1+MAT.SURCHARGE)/EXC.RATE_1),CURRENCY.FORMAT_1),CURRENCY.FORMAT_1,1),"# ##0;-# ##0"),",-"),FIXED(ROUND((C1263*(1-I1263)*(1-ADD.DISCOUNT)*(1+MAT.SURCHARGE)/EXC.RATE_1),CURRENCY.FORMAT_1),CURRENCY.FORMAT_1,0)),'DICTIONARY-5'!$A$2)</f>
        <v>650,-</v>
      </c>
      <c r="M1263" s="670" t="str">
        <f>IF(EXC.RATE_2=0,"",IFERROR(IF(CURRENCY.FORMAT_2=0,CONCATENATE(TEXT(FIXED(ROUND(IF(EXC.RATE.SWITCH=1,C1263*(1-I1263)*(1-ADD.DISCOUNT)*(1+MAT.SURCHARGE)/EXC.RATE_2,C1263*(1-I1263)*(1-ADD.DISCOUNT)*(1+MAT.SURCHARGE)*EXC.RATE_2),CURRENCY.FORMAT_2),CURRENCY.FORMAT_2,1),"# ##0;-# ##0"),",-"),FIXED(ROUND(IF(EXC.RATE.SWITCH=1,C1263*(1-I1263)*(1-ADD.DISCOUNT)*(1+MAT.SURCHARGE)/EXC.RATE_2,C1263*(1-I1263)*(1-ADD.DISCOUNT)*(1+MAT.SURCHARGE)*EXC.RATE_2),CURRENCY.FORMAT_2),CURRENCY.FORMAT_2,0)),'DICTIONARY-5'!$A$2))</f>
        <v/>
      </c>
      <c r="N1263" s="539">
        <v>5</v>
      </c>
      <c r="O1263" s="539"/>
      <c r="P1263" s="731" t="str">
        <f>'DICTIONARY-3'!$A$99</f>
        <v>RETA</v>
      </c>
      <c r="Q1263" s="732" t="str">
        <f>'DICTIONARY-3'!$A$200</f>
        <v>Zawór zwrotny</v>
      </c>
      <c r="R1263" s="732" t="str">
        <f>CONCATENATE('DICTIONARY-3'!$A$99," ",'DICTIONARY-6'!$A$20," ",'DICTIONARY-2'!$A$2,"150"," ",'DICTIONARY-2'!$A$3,"10/16"," ","R48"," ",'DICTIONARY-5'!$A$34,"/",'DICTIONARY-5'!$A$44," ",'DICTIONARY-6'!$A$36)</f>
        <v>RETA Zaw. zwrotny DN150 PN10/16 R48 A2/EPDM SYNT.</v>
      </c>
      <c r="S1263" s="733"/>
      <c r="T1263" s="732"/>
      <c r="U1263" s="734" t="s">
        <v>5572</v>
      </c>
      <c r="V1263" s="735">
        <v>16</v>
      </c>
      <c r="W1263" s="736"/>
      <c r="X1263" s="737"/>
      <c r="Y1263" s="738"/>
      <c r="Z1263" s="739"/>
      <c r="AA1263" s="739"/>
      <c r="AB1263" s="740">
        <v>16</v>
      </c>
      <c r="AC1263" s="741" t="str">
        <f>'DICTIONARY-5'!$A$11&amp;" 48"</f>
        <v>EN 558 szereg 48</v>
      </c>
      <c r="AD1263" s="733" t="str">
        <f>'DICTIONARY-5'!$A$17&amp;", "&amp;'DICTIONARY-5'!$A$21</f>
        <v>woda przemysłowa, olej</v>
      </c>
      <c r="AE1263" s="742">
        <v>120</v>
      </c>
      <c r="AF1263" s="743">
        <v>50</v>
      </c>
      <c r="AG1263" s="741" t="str">
        <f>'DICTIONARY-5'!$A$24</f>
        <v>powłoka syntetyczna</v>
      </c>
    </row>
    <row r="1264" spans="1:33" x14ac:dyDescent="0.25">
      <c r="A1264" s="864" t="s">
        <v>1268</v>
      </c>
      <c r="B1264" s="864" t="s">
        <v>4408</v>
      </c>
      <c r="C1264" s="836">
        <v>888</v>
      </c>
      <c r="D1264" s="836"/>
      <c r="E1264" s="836"/>
      <c r="F1264" s="836"/>
      <c r="G1264" s="496" t="s">
        <v>7824</v>
      </c>
      <c r="H1264" s="797" t="str">
        <f>VLOOKUP(G1264,SETTINGS!$B$7:$D$97,2,0)</f>
        <v>RETA</v>
      </c>
      <c r="I1264" s="796">
        <f>VLOOKUP(G1264,SETTINGS!$B$7:$D$97,3,0)</f>
        <v>0</v>
      </c>
      <c r="J1264" s="670" t="str">
        <f>IFERROR(IF(CURRENCY.FORMAT_1=0,CONCATENATE(TEXT(FIXED(ROUND((C1264/EXC.RATE_1),CURRENCY.FORMAT_1),CURRENCY.FORMAT_1,1),"# ##0;-# ##0"),",-"),FIXED(ROUND((C1264/EXC.RATE_1),CURRENCY.FORMAT_1),CURRENCY.FORMAT_1,0)),'DICTIONARY-5'!$A$2)</f>
        <v>888,-</v>
      </c>
      <c r="K1264" s="670" t="str">
        <f>IF(EXC.RATE_2=0,"",IFERROR(IF(CURRENCY.FORMAT_2=0,CONCATENATE(TEXT(FIXED(ROUND(IF(EXC.RATE.SWITCH=1,C1264/EXC.RATE_2,C1264*EXC.RATE_2),CURRENCY.FORMAT_2),CURRENCY.FORMAT_2,1),"# ##0;-# ##0"),",-"),FIXED(ROUND(IF(EXC.RATE.SWITCH=1,C1264/EXC.RATE_2,C1264*EXC.RATE_2),CURRENCY.FORMAT_2),CURRENCY.FORMAT_2,0)),'DICTIONARY-5'!$A$2))</f>
        <v/>
      </c>
      <c r="L1264" s="670" t="str">
        <f>IFERROR(IF(CURRENCY.FORMAT_1=0,CONCATENATE(TEXT(FIXED(ROUND((C1264*(1-I1264)*(1-ADD.DISCOUNT)*(1+MAT.SURCHARGE)/EXC.RATE_1),CURRENCY.FORMAT_1),CURRENCY.FORMAT_1,1),"# ##0;-# ##0"),",-"),FIXED(ROUND((C1264*(1-I1264)*(1-ADD.DISCOUNT)*(1+MAT.SURCHARGE)/EXC.RATE_1),CURRENCY.FORMAT_1),CURRENCY.FORMAT_1,0)),'DICTIONARY-5'!$A$2)</f>
        <v>923,-</v>
      </c>
      <c r="M1264" s="670" t="str">
        <f>IF(EXC.RATE_2=0,"",IFERROR(IF(CURRENCY.FORMAT_2=0,CONCATENATE(TEXT(FIXED(ROUND(IF(EXC.RATE.SWITCH=1,C1264*(1-I1264)*(1-ADD.DISCOUNT)*(1+MAT.SURCHARGE)/EXC.RATE_2,C1264*(1-I1264)*(1-ADD.DISCOUNT)*(1+MAT.SURCHARGE)*EXC.RATE_2),CURRENCY.FORMAT_2),CURRENCY.FORMAT_2,1),"# ##0;-# ##0"),",-"),FIXED(ROUND(IF(EXC.RATE.SWITCH=1,C1264*(1-I1264)*(1-ADD.DISCOUNT)*(1+MAT.SURCHARGE)/EXC.RATE_2,C1264*(1-I1264)*(1-ADD.DISCOUNT)*(1+MAT.SURCHARGE)*EXC.RATE_2),CURRENCY.FORMAT_2),CURRENCY.FORMAT_2,0)),'DICTIONARY-5'!$A$2))</f>
        <v/>
      </c>
      <c r="N1264" s="539">
        <v>5</v>
      </c>
      <c r="O1264" s="539"/>
      <c r="P1264" s="731" t="str">
        <f>'DICTIONARY-3'!$A$99</f>
        <v>RETA</v>
      </c>
      <c r="Q1264" s="732" t="str">
        <f>'DICTIONARY-3'!$A$200</f>
        <v>Zawór zwrotny</v>
      </c>
      <c r="R1264" s="732" t="str">
        <f>CONCATENATE('DICTIONARY-3'!$A$99," ",'DICTIONARY-6'!$A$20," ",'DICTIONARY-2'!$A$2,"200"," ",'DICTIONARY-2'!$A$3,"16"," ","R48"," ",'DICTIONARY-5'!$A$34,"/",'DICTIONARY-5'!$A$44," ",'DICTIONARY-6'!$A$36)</f>
        <v>RETA Zaw. zwrotny DN200 PN16 R48 A2/EPDM SYNT.</v>
      </c>
      <c r="S1264" s="733"/>
      <c r="T1264" s="732"/>
      <c r="U1264" s="734" t="s">
        <v>5750</v>
      </c>
      <c r="V1264" s="735">
        <v>16</v>
      </c>
      <c r="W1264" s="736"/>
      <c r="X1264" s="737"/>
      <c r="Y1264" s="738"/>
      <c r="Z1264" s="739"/>
      <c r="AA1264" s="739"/>
      <c r="AB1264" s="740">
        <v>16</v>
      </c>
      <c r="AC1264" s="741" t="str">
        <f>'DICTIONARY-5'!$A$11&amp;" 48"</f>
        <v>EN 558 szereg 48</v>
      </c>
      <c r="AD1264" s="733" t="str">
        <f>'DICTIONARY-5'!$A$17&amp;", "&amp;'DICTIONARY-5'!$A$21</f>
        <v>woda przemysłowa, olej</v>
      </c>
      <c r="AE1264" s="742">
        <v>120</v>
      </c>
      <c r="AF1264" s="743">
        <v>84.5</v>
      </c>
      <c r="AG1264" s="741" t="str">
        <f>'DICTIONARY-5'!$A$24</f>
        <v>powłoka syntetyczna</v>
      </c>
    </row>
    <row r="1265" spans="1:33" x14ac:dyDescent="0.25">
      <c r="A1265" s="864" t="s">
        <v>1270</v>
      </c>
      <c r="B1265" s="864" t="s">
        <v>4410</v>
      </c>
      <c r="C1265" s="836">
        <v>1437</v>
      </c>
      <c r="D1265" s="836"/>
      <c r="E1265" s="836"/>
      <c r="F1265" s="836"/>
      <c r="G1265" s="496" t="s">
        <v>7824</v>
      </c>
      <c r="H1265" s="797" t="str">
        <f>VLOOKUP(G1265,SETTINGS!$B$7:$D$97,2,0)</f>
        <v>RETA</v>
      </c>
      <c r="I1265" s="796">
        <f>VLOOKUP(G1265,SETTINGS!$B$7:$D$97,3,0)</f>
        <v>0</v>
      </c>
      <c r="J1265" s="670" t="str">
        <f>IFERROR(IF(CURRENCY.FORMAT_1=0,CONCATENATE(TEXT(FIXED(ROUND((C1265/EXC.RATE_1),CURRENCY.FORMAT_1),CURRENCY.FORMAT_1,1),"# ##0;-# ##0"),",-"),FIXED(ROUND((C1265/EXC.RATE_1),CURRENCY.FORMAT_1),CURRENCY.FORMAT_1,0)),'DICTIONARY-5'!$A$2)</f>
        <v>1 437,-</v>
      </c>
      <c r="K1265" s="670" t="str">
        <f>IF(EXC.RATE_2=0,"",IFERROR(IF(CURRENCY.FORMAT_2=0,CONCATENATE(TEXT(FIXED(ROUND(IF(EXC.RATE.SWITCH=1,C1265/EXC.RATE_2,C1265*EXC.RATE_2),CURRENCY.FORMAT_2),CURRENCY.FORMAT_2,1),"# ##0;-# ##0"),",-"),FIXED(ROUND(IF(EXC.RATE.SWITCH=1,C1265/EXC.RATE_2,C1265*EXC.RATE_2),CURRENCY.FORMAT_2),CURRENCY.FORMAT_2,0)),'DICTIONARY-5'!$A$2))</f>
        <v/>
      </c>
      <c r="L1265" s="670" t="str">
        <f>IFERROR(IF(CURRENCY.FORMAT_1=0,CONCATENATE(TEXT(FIXED(ROUND((C1265*(1-I1265)*(1-ADD.DISCOUNT)*(1+MAT.SURCHARGE)/EXC.RATE_1),CURRENCY.FORMAT_1),CURRENCY.FORMAT_1,1),"# ##0;-# ##0"),",-"),FIXED(ROUND((C1265*(1-I1265)*(1-ADD.DISCOUNT)*(1+MAT.SURCHARGE)/EXC.RATE_1),CURRENCY.FORMAT_1),CURRENCY.FORMAT_1,0)),'DICTIONARY-5'!$A$2)</f>
        <v>1 493,-</v>
      </c>
      <c r="M1265" s="670" t="str">
        <f>IF(EXC.RATE_2=0,"",IFERROR(IF(CURRENCY.FORMAT_2=0,CONCATENATE(TEXT(FIXED(ROUND(IF(EXC.RATE.SWITCH=1,C1265*(1-I1265)*(1-ADD.DISCOUNT)*(1+MAT.SURCHARGE)/EXC.RATE_2,C1265*(1-I1265)*(1-ADD.DISCOUNT)*(1+MAT.SURCHARGE)*EXC.RATE_2),CURRENCY.FORMAT_2),CURRENCY.FORMAT_2,1),"# ##0;-# ##0"),",-"),FIXED(ROUND(IF(EXC.RATE.SWITCH=1,C1265*(1-I1265)*(1-ADD.DISCOUNT)*(1+MAT.SURCHARGE)/EXC.RATE_2,C1265*(1-I1265)*(1-ADD.DISCOUNT)*(1+MAT.SURCHARGE)*EXC.RATE_2),CURRENCY.FORMAT_2),CURRENCY.FORMAT_2,0)),'DICTIONARY-5'!$A$2))</f>
        <v/>
      </c>
      <c r="N1265" s="539">
        <v>5</v>
      </c>
      <c r="O1265" s="539"/>
      <c r="P1265" s="731" t="str">
        <f>'DICTIONARY-3'!$A$99</f>
        <v>RETA</v>
      </c>
      <c r="Q1265" s="732" t="str">
        <f>'DICTIONARY-3'!$A$200</f>
        <v>Zawór zwrotny</v>
      </c>
      <c r="R1265" s="732" t="str">
        <f>CONCATENATE('DICTIONARY-3'!$A$99," ",'DICTIONARY-6'!$A$20," ",'DICTIONARY-2'!$A$2,"250"," ",'DICTIONARY-2'!$A$3,"16"," ","R48"," ",'DICTIONARY-5'!$A$34,"/",'DICTIONARY-5'!$A$44," ",'DICTIONARY-6'!$A$36)</f>
        <v>RETA Zaw. zwrotny DN250 PN16 R48 A2/EPDM SYNT.</v>
      </c>
      <c r="S1265" s="733"/>
      <c r="T1265" s="732"/>
      <c r="U1265" s="734" t="s">
        <v>5751</v>
      </c>
      <c r="V1265" s="735">
        <v>16</v>
      </c>
      <c r="W1265" s="736"/>
      <c r="X1265" s="737"/>
      <c r="Y1265" s="738"/>
      <c r="Z1265" s="739"/>
      <c r="AA1265" s="739"/>
      <c r="AB1265" s="740">
        <v>16</v>
      </c>
      <c r="AC1265" s="741" t="str">
        <f>'DICTIONARY-5'!$A$11&amp;" 48"</f>
        <v>EN 558 szereg 48</v>
      </c>
      <c r="AD1265" s="733" t="str">
        <f>'DICTIONARY-5'!$A$17&amp;", "&amp;'DICTIONARY-5'!$A$21</f>
        <v>woda przemysłowa, olej</v>
      </c>
      <c r="AE1265" s="742">
        <v>120</v>
      </c>
      <c r="AF1265" s="743">
        <v>143</v>
      </c>
      <c r="AG1265" s="741" t="str">
        <f>'DICTIONARY-5'!$A$24</f>
        <v>powłoka syntetyczna</v>
      </c>
    </row>
    <row r="1266" spans="1:33" x14ac:dyDescent="0.25">
      <c r="A1266" s="861" t="s">
        <v>1271</v>
      </c>
      <c r="B1266" s="861" t="str">
        <f>'DICTIONARY-5'!$A$2</f>
        <v>na zapytanie</v>
      </c>
      <c r="C1266" s="836" t="s">
        <v>5967</v>
      </c>
      <c r="D1266" s="836"/>
      <c r="E1266" s="836"/>
      <c r="F1266" s="836"/>
      <c r="G1266" s="496" t="s">
        <v>7824</v>
      </c>
      <c r="H1266" s="797" t="str">
        <f>VLOOKUP(G1266,SETTINGS!$B$7:$D$97,2,0)</f>
        <v>RETA</v>
      </c>
      <c r="I1266" s="796">
        <f>VLOOKUP(G1266,SETTINGS!$B$7:$D$97,3,0)</f>
        <v>0</v>
      </c>
      <c r="J1266" s="670" t="str">
        <f>IFERROR(IF(CURRENCY.FORMAT_1=0,CONCATENATE(TEXT(FIXED(ROUND((C1266/EXC.RATE_1),CURRENCY.FORMAT_1),CURRENCY.FORMAT_1,1),"# ##0;-# ##0"),",-"),FIXED(ROUND((C1266/EXC.RATE_1),CURRENCY.FORMAT_1),CURRENCY.FORMAT_1,0)),'DICTIONARY-5'!$A$2)</f>
        <v>na zapytanie</v>
      </c>
      <c r="K1266" s="670" t="str">
        <f>IF(EXC.RATE_2=0,"",IFERROR(IF(CURRENCY.FORMAT_2=0,CONCATENATE(TEXT(FIXED(ROUND(IF(EXC.RATE.SWITCH=1,C1266/EXC.RATE_2,C1266*EXC.RATE_2),CURRENCY.FORMAT_2),CURRENCY.FORMAT_2,1),"# ##0;-# ##0"),",-"),FIXED(ROUND(IF(EXC.RATE.SWITCH=1,C1266/EXC.RATE_2,C1266*EXC.RATE_2),CURRENCY.FORMAT_2),CURRENCY.FORMAT_2,0)),'DICTIONARY-5'!$A$2))</f>
        <v/>
      </c>
      <c r="L1266" s="670" t="str">
        <f>IFERROR(IF(CURRENCY.FORMAT_1=0,CONCATENATE(TEXT(FIXED(ROUND((C1266*(1-I1266)*(1-ADD.DISCOUNT)*(1+MAT.SURCHARGE)/EXC.RATE_1),CURRENCY.FORMAT_1),CURRENCY.FORMAT_1,1),"# ##0;-# ##0"),",-"),FIXED(ROUND((C1266*(1-I1266)*(1-ADD.DISCOUNT)*(1+MAT.SURCHARGE)/EXC.RATE_1),CURRENCY.FORMAT_1),CURRENCY.FORMAT_1,0)),'DICTIONARY-5'!$A$2)</f>
        <v>na zapytanie</v>
      </c>
      <c r="M1266" s="670" t="str">
        <f>IF(EXC.RATE_2=0,"",IFERROR(IF(CURRENCY.FORMAT_2=0,CONCATENATE(TEXT(FIXED(ROUND(IF(EXC.RATE.SWITCH=1,C1266*(1-I1266)*(1-ADD.DISCOUNT)*(1+MAT.SURCHARGE)/EXC.RATE_2,C1266*(1-I1266)*(1-ADD.DISCOUNT)*(1+MAT.SURCHARGE)*EXC.RATE_2),CURRENCY.FORMAT_2),CURRENCY.FORMAT_2,1),"# ##0;-# ##0"),",-"),FIXED(ROUND(IF(EXC.RATE.SWITCH=1,C1266*(1-I1266)*(1-ADD.DISCOUNT)*(1+MAT.SURCHARGE)/EXC.RATE_2,C1266*(1-I1266)*(1-ADD.DISCOUNT)*(1+MAT.SURCHARGE)*EXC.RATE_2),CURRENCY.FORMAT_2),CURRENCY.FORMAT_2,0)),'DICTIONARY-5'!$A$2))</f>
        <v/>
      </c>
      <c r="N1266" s="539">
        <v>5</v>
      </c>
      <c r="O1266" s="539"/>
      <c r="P1266" s="731" t="str">
        <f>'DICTIONARY-3'!$A$99</f>
        <v>RETA</v>
      </c>
      <c r="Q1266" s="732" t="str">
        <f>'DICTIONARY-3'!$A$200</f>
        <v>Zawór zwrotny</v>
      </c>
      <c r="R1266" s="732" t="str">
        <f>CONCATENATE('DICTIONARY-3'!$A$99," ",'DICTIONARY-6'!$A$20," ",'DICTIONARY-2'!$A$2,"40"," ",'DICTIONARY-2'!$A$3,"10/16"," ","R48"," ",'DICTIONARY-5'!$A$34,"/",'DICTIONARY-5'!$A$34,", ",'DICTIONARY-4'!$A$16)</f>
        <v>RETA Zaw. zwrotny DN40 PN10/16 R48 A2/A2, DC</v>
      </c>
      <c r="S1266" s="733" t="str">
        <f>'DICTIONARY-4'!$A$16</f>
        <v>DC</v>
      </c>
      <c r="T1266" s="732" t="str">
        <f>'DICTIONARY-4'!$A$32</f>
        <v>Dżwignia z ciężarem</v>
      </c>
      <c r="U1266" s="734" t="s">
        <v>5758</v>
      </c>
      <c r="V1266" s="735">
        <v>16</v>
      </c>
      <c r="W1266" s="736"/>
      <c r="X1266" s="737"/>
      <c r="Y1266" s="738"/>
      <c r="Z1266" s="739"/>
      <c r="AA1266" s="739"/>
      <c r="AB1266" s="740">
        <v>16</v>
      </c>
      <c r="AC1266" s="741" t="str">
        <f>'DICTIONARY-5'!$A$11&amp;" 48"</f>
        <v>EN 558 szereg 48</v>
      </c>
      <c r="AD1266" s="741" t="str">
        <f>'DICTIONARY-5'!$A$13&amp;", "&amp;'DICTIONARY-5'!$A$14</f>
        <v>woda pitna, ścieki</v>
      </c>
      <c r="AE1266" s="742">
        <v>70</v>
      </c>
      <c r="AF1266" s="743"/>
      <c r="AG1266" s="741" t="str">
        <f>'DICTIONARY-5'!$A$23</f>
        <v>powłoka epoksydowa</v>
      </c>
    </row>
    <row r="1267" spans="1:33" x14ac:dyDescent="0.25">
      <c r="A1267" s="861" t="s">
        <v>1273</v>
      </c>
      <c r="B1267" s="861" t="str">
        <f>'DICTIONARY-5'!$A$2</f>
        <v>na zapytanie</v>
      </c>
      <c r="C1267" s="836" t="s">
        <v>5967</v>
      </c>
      <c r="D1267" s="836"/>
      <c r="E1267" s="836"/>
      <c r="F1267" s="836"/>
      <c r="G1267" s="496" t="s">
        <v>7824</v>
      </c>
      <c r="H1267" s="797" t="str">
        <f>VLOOKUP(G1267,SETTINGS!$B$7:$D$97,2,0)</f>
        <v>RETA</v>
      </c>
      <c r="I1267" s="796">
        <f>VLOOKUP(G1267,SETTINGS!$B$7:$D$97,3,0)</f>
        <v>0</v>
      </c>
      <c r="J1267" s="670" t="str">
        <f>IFERROR(IF(CURRENCY.FORMAT_1=0,CONCATENATE(TEXT(FIXED(ROUND((C1267/EXC.RATE_1),CURRENCY.FORMAT_1),CURRENCY.FORMAT_1,1),"# ##0;-# ##0"),",-"),FIXED(ROUND((C1267/EXC.RATE_1),CURRENCY.FORMAT_1),CURRENCY.FORMAT_1,0)),'DICTIONARY-5'!$A$2)</f>
        <v>na zapytanie</v>
      </c>
      <c r="K1267" s="670" t="str">
        <f>IF(EXC.RATE_2=0,"",IFERROR(IF(CURRENCY.FORMAT_2=0,CONCATENATE(TEXT(FIXED(ROUND(IF(EXC.RATE.SWITCH=1,C1267/EXC.RATE_2,C1267*EXC.RATE_2),CURRENCY.FORMAT_2),CURRENCY.FORMAT_2,1),"# ##0;-# ##0"),",-"),FIXED(ROUND(IF(EXC.RATE.SWITCH=1,C1267/EXC.RATE_2,C1267*EXC.RATE_2),CURRENCY.FORMAT_2),CURRENCY.FORMAT_2,0)),'DICTIONARY-5'!$A$2))</f>
        <v/>
      </c>
      <c r="L1267" s="670" t="str">
        <f>IFERROR(IF(CURRENCY.FORMAT_1=0,CONCATENATE(TEXT(FIXED(ROUND((C1267*(1-I1267)*(1-ADD.DISCOUNT)*(1+MAT.SURCHARGE)/EXC.RATE_1),CURRENCY.FORMAT_1),CURRENCY.FORMAT_1,1),"# ##0;-# ##0"),",-"),FIXED(ROUND((C1267*(1-I1267)*(1-ADD.DISCOUNT)*(1+MAT.SURCHARGE)/EXC.RATE_1),CURRENCY.FORMAT_1),CURRENCY.FORMAT_1,0)),'DICTIONARY-5'!$A$2)</f>
        <v>na zapytanie</v>
      </c>
      <c r="M1267" s="670" t="str">
        <f>IF(EXC.RATE_2=0,"",IFERROR(IF(CURRENCY.FORMAT_2=0,CONCATENATE(TEXT(FIXED(ROUND(IF(EXC.RATE.SWITCH=1,C1267*(1-I1267)*(1-ADD.DISCOUNT)*(1+MAT.SURCHARGE)/EXC.RATE_2,C1267*(1-I1267)*(1-ADD.DISCOUNT)*(1+MAT.SURCHARGE)*EXC.RATE_2),CURRENCY.FORMAT_2),CURRENCY.FORMAT_2,1),"# ##0;-# ##0"),",-"),FIXED(ROUND(IF(EXC.RATE.SWITCH=1,C1267*(1-I1267)*(1-ADD.DISCOUNT)*(1+MAT.SURCHARGE)/EXC.RATE_2,C1267*(1-I1267)*(1-ADD.DISCOUNT)*(1+MAT.SURCHARGE)*EXC.RATE_2),CURRENCY.FORMAT_2),CURRENCY.FORMAT_2,0)),'DICTIONARY-5'!$A$2))</f>
        <v/>
      </c>
      <c r="N1267" s="539">
        <v>5</v>
      </c>
      <c r="O1267" s="539"/>
      <c r="P1267" s="731" t="str">
        <f>'DICTIONARY-3'!$A$99</f>
        <v>RETA</v>
      </c>
      <c r="Q1267" s="732" t="str">
        <f>'DICTIONARY-3'!$A$200</f>
        <v>Zawór zwrotny</v>
      </c>
      <c r="R1267" s="732" t="str">
        <f>CONCATENATE('DICTIONARY-3'!$A$99," ",'DICTIONARY-6'!$A$20," ",'DICTIONARY-2'!$A$2,"50"," ",'DICTIONARY-2'!$A$3,"10/16"," ","R48"," ",'DICTIONARY-5'!$A$34,"/",'DICTIONARY-5'!$A$34,", ",'DICTIONARY-4'!$A$16)</f>
        <v>RETA Zaw. zwrotny DN50 PN10/16 R48 A2/A2, DC</v>
      </c>
      <c r="S1267" s="733" t="str">
        <f>'DICTIONARY-4'!$A$16</f>
        <v>DC</v>
      </c>
      <c r="T1267" s="732" t="str">
        <f>'DICTIONARY-4'!$A$32</f>
        <v>Dżwignia z ciężarem</v>
      </c>
      <c r="U1267" s="734" t="s">
        <v>5748</v>
      </c>
      <c r="V1267" s="735">
        <v>16</v>
      </c>
      <c r="W1267" s="736"/>
      <c r="X1267" s="737"/>
      <c r="Y1267" s="738"/>
      <c r="Z1267" s="739"/>
      <c r="AA1267" s="739"/>
      <c r="AB1267" s="740">
        <v>16</v>
      </c>
      <c r="AC1267" s="741" t="str">
        <f>'DICTIONARY-5'!$A$11&amp;" 48"</f>
        <v>EN 558 szereg 48</v>
      </c>
      <c r="AD1267" s="741" t="str">
        <f>'DICTIONARY-5'!$A$13&amp;", "&amp;'DICTIONARY-5'!$A$14</f>
        <v>woda pitna, ścieki</v>
      </c>
      <c r="AE1267" s="742">
        <v>70</v>
      </c>
      <c r="AF1267" s="743"/>
      <c r="AG1267" s="741" t="str">
        <f>'DICTIONARY-5'!$A$23</f>
        <v>powłoka epoksydowa</v>
      </c>
    </row>
    <row r="1268" spans="1:33" x14ac:dyDescent="0.25">
      <c r="A1268" s="861" t="s">
        <v>1275</v>
      </c>
      <c r="B1268" s="861" t="str">
        <f>'DICTIONARY-5'!$A$2</f>
        <v>na zapytanie</v>
      </c>
      <c r="C1268" s="836" t="s">
        <v>5967</v>
      </c>
      <c r="D1268" s="836"/>
      <c r="E1268" s="836"/>
      <c r="F1268" s="836"/>
      <c r="G1268" s="496" t="s">
        <v>7824</v>
      </c>
      <c r="H1268" s="797" t="str">
        <f>VLOOKUP(G1268,SETTINGS!$B$7:$D$97,2,0)</f>
        <v>RETA</v>
      </c>
      <c r="I1268" s="796">
        <f>VLOOKUP(G1268,SETTINGS!$B$7:$D$97,3,0)</f>
        <v>0</v>
      </c>
      <c r="J1268" s="670" t="str">
        <f>IFERROR(IF(CURRENCY.FORMAT_1=0,CONCATENATE(TEXT(FIXED(ROUND((C1268/EXC.RATE_1),CURRENCY.FORMAT_1),CURRENCY.FORMAT_1,1),"# ##0;-# ##0"),",-"),FIXED(ROUND((C1268/EXC.RATE_1),CURRENCY.FORMAT_1),CURRENCY.FORMAT_1,0)),'DICTIONARY-5'!$A$2)</f>
        <v>na zapytanie</v>
      </c>
      <c r="K1268" s="670" t="str">
        <f>IF(EXC.RATE_2=0,"",IFERROR(IF(CURRENCY.FORMAT_2=0,CONCATENATE(TEXT(FIXED(ROUND(IF(EXC.RATE.SWITCH=1,C1268/EXC.RATE_2,C1268*EXC.RATE_2),CURRENCY.FORMAT_2),CURRENCY.FORMAT_2,1),"# ##0;-# ##0"),",-"),FIXED(ROUND(IF(EXC.RATE.SWITCH=1,C1268/EXC.RATE_2,C1268*EXC.RATE_2),CURRENCY.FORMAT_2),CURRENCY.FORMAT_2,0)),'DICTIONARY-5'!$A$2))</f>
        <v/>
      </c>
      <c r="L1268" s="670" t="str">
        <f>IFERROR(IF(CURRENCY.FORMAT_1=0,CONCATENATE(TEXT(FIXED(ROUND((C1268*(1-I1268)*(1-ADD.DISCOUNT)*(1+MAT.SURCHARGE)/EXC.RATE_1),CURRENCY.FORMAT_1),CURRENCY.FORMAT_1,1),"# ##0;-# ##0"),",-"),FIXED(ROUND((C1268*(1-I1268)*(1-ADD.DISCOUNT)*(1+MAT.SURCHARGE)/EXC.RATE_1),CURRENCY.FORMAT_1),CURRENCY.FORMAT_1,0)),'DICTIONARY-5'!$A$2)</f>
        <v>na zapytanie</v>
      </c>
      <c r="M1268" s="670" t="str">
        <f>IF(EXC.RATE_2=0,"",IFERROR(IF(CURRENCY.FORMAT_2=0,CONCATENATE(TEXT(FIXED(ROUND(IF(EXC.RATE.SWITCH=1,C1268*(1-I1268)*(1-ADD.DISCOUNT)*(1+MAT.SURCHARGE)/EXC.RATE_2,C1268*(1-I1268)*(1-ADD.DISCOUNT)*(1+MAT.SURCHARGE)*EXC.RATE_2),CURRENCY.FORMAT_2),CURRENCY.FORMAT_2,1),"# ##0;-# ##0"),",-"),FIXED(ROUND(IF(EXC.RATE.SWITCH=1,C1268*(1-I1268)*(1-ADD.DISCOUNT)*(1+MAT.SURCHARGE)/EXC.RATE_2,C1268*(1-I1268)*(1-ADD.DISCOUNT)*(1+MAT.SURCHARGE)*EXC.RATE_2),CURRENCY.FORMAT_2),CURRENCY.FORMAT_2,0)),'DICTIONARY-5'!$A$2))</f>
        <v/>
      </c>
      <c r="N1268" s="539">
        <v>5</v>
      </c>
      <c r="O1268" s="539"/>
      <c r="P1268" s="731" t="str">
        <f>'DICTIONARY-3'!$A$99</f>
        <v>RETA</v>
      </c>
      <c r="Q1268" s="732" t="str">
        <f>'DICTIONARY-3'!$A$200</f>
        <v>Zawór zwrotny</v>
      </c>
      <c r="R1268" s="732" t="str">
        <f>CONCATENATE('DICTIONARY-3'!$A$99," ",'DICTIONARY-6'!$A$20," ",'DICTIONARY-2'!$A$2,"65"," ",'DICTIONARY-2'!$A$3,"10/16"," ","R48"," ",'DICTIONARY-5'!$A$34,"/",'DICTIONARY-5'!$A$34,", ",'DICTIONARY-4'!$A$16)</f>
        <v>RETA Zaw. zwrotny DN65 PN10/16 R48 A2/A2, DC</v>
      </c>
      <c r="S1268" s="733" t="str">
        <f>'DICTIONARY-4'!$A$16</f>
        <v>DC</v>
      </c>
      <c r="T1268" s="732" t="str">
        <f>'DICTIONARY-4'!$A$32</f>
        <v>Dżwignia z ciężarem</v>
      </c>
      <c r="U1268" s="734" t="s">
        <v>5759</v>
      </c>
      <c r="V1268" s="735">
        <v>16</v>
      </c>
      <c r="W1268" s="736"/>
      <c r="X1268" s="737"/>
      <c r="Y1268" s="738"/>
      <c r="Z1268" s="739"/>
      <c r="AA1268" s="739"/>
      <c r="AB1268" s="740">
        <v>16</v>
      </c>
      <c r="AC1268" s="741" t="str">
        <f>'DICTIONARY-5'!$A$11&amp;" 48"</f>
        <v>EN 558 szereg 48</v>
      </c>
      <c r="AD1268" s="741" t="str">
        <f>'DICTIONARY-5'!$A$13&amp;", "&amp;'DICTIONARY-5'!$A$14</f>
        <v>woda pitna, ścieki</v>
      </c>
      <c r="AE1268" s="742">
        <v>70</v>
      </c>
      <c r="AF1268" s="743"/>
      <c r="AG1268" s="741" t="str">
        <f>'DICTIONARY-5'!$A$23</f>
        <v>powłoka epoksydowa</v>
      </c>
    </row>
    <row r="1269" spans="1:33" x14ac:dyDescent="0.25">
      <c r="A1269" s="861" t="s">
        <v>1277</v>
      </c>
      <c r="B1269" s="861" t="str">
        <f>'DICTIONARY-5'!$A$2</f>
        <v>na zapytanie</v>
      </c>
      <c r="C1269" s="836" t="s">
        <v>5967</v>
      </c>
      <c r="D1269" s="836"/>
      <c r="E1269" s="836"/>
      <c r="F1269" s="836"/>
      <c r="G1269" s="496" t="s">
        <v>7824</v>
      </c>
      <c r="H1269" s="797" t="str">
        <f>VLOOKUP(G1269,SETTINGS!$B$7:$D$97,2,0)</f>
        <v>RETA</v>
      </c>
      <c r="I1269" s="796">
        <f>VLOOKUP(G1269,SETTINGS!$B$7:$D$97,3,0)</f>
        <v>0</v>
      </c>
      <c r="J1269" s="670" t="str">
        <f>IFERROR(IF(CURRENCY.FORMAT_1=0,CONCATENATE(TEXT(FIXED(ROUND((C1269/EXC.RATE_1),CURRENCY.FORMAT_1),CURRENCY.FORMAT_1,1),"# ##0;-# ##0"),",-"),FIXED(ROUND((C1269/EXC.RATE_1),CURRENCY.FORMAT_1),CURRENCY.FORMAT_1,0)),'DICTIONARY-5'!$A$2)</f>
        <v>na zapytanie</v>
      </c>
      <c r="K1269" s="670" t="str">
        <f>IF(EXC.RATE_2=0,"",IFERROR(IF(CURRENCY.FORMAT_2=0,CONCATENATE(TEXT(FIXED(ROUND(IF(EXC.RATE.SWITCH=1,C1269/EXC.RATE_2,C1269*EXC.RATE_2),CURRENCY.FORMAT_2),CURRENCY.FORMAT_2,1),"# ##0;-# ##0"),",-"),FIXED(ROUND(IF(EXC.RATE.SWITCH=1,C1269/EXC.RATE_2,C1269*EXC.RATE_2),CURRENCY.FORMAT_2),CURRENCY.FORMAT_2,0)),'DICTIONARY-5'!$A$2))</f>
        <v/>
      </c>
      <c r="L1269" s="670" t="str">
        <f>IFERROR(IF(CURRENCY.FORMAT_1=0,CONCATENATE(TEXT(FIXED(ROUND((C1269*(1-I1269)*(1-ADD.DISCOUNT)*(1+MAT.SURCHARGE)/EXC.RATE_1),CURRENCY.FORMAT_1),CURRENCY.FORMAT_1,1),"# ##0;-# ##0"),",-"),FIXED(ROUND((C1269*(1-I1269)*(1-ADD.DISCOUNT)*(1+MAT.SURCHARGE)/EXC.RATE_1),CURRENCY.FORMAT_1),CURRENCY.FORMAT_1,0)),'DICTIONARY-5'!$A$2)</f>
        <v>na zapytanie</v>
      </c>
      <c r="M1269" s="670" t="str">
        <f>IF(EXC.RATE_2=0,"",IFERROR(IF(CURRENCY.FORMAT_2=0,CONCATENATE(TEXT(FIXED(ROUND(IF(EXC.RATE.SWITCH=1,C1269*(1-I1269)*(1-ADD.DISCOUNT)*(1+MAT.SURCHARGE)/EXC.RATE_2,C1269*(1-I1269)*(1-ADD.DISCOUNT)*(1+MAT.SURCHARGE)*EXC.RATE_2),CURRENCY.FORMAT_2),CURRENCY.FORMAT_2,1),"# ##0;-# ##0"),",-"),FIXED(ROUND(IF(EXC.RATE.SWITCH=1,C1269*(1-I1269)*(1-ADD.DISCOUNT)*(1+MAT.SURCHARGE)/EXC.RATE_2,C1269*(1-I1269)*(1-ADD.DISCOUNT)*(1+MAT.SURCHARGE)*EXC.RATE_2),CURRENCY.FORMAT_2),CURRENCY.FORMAT_2,0)),'DICTIONARY-5'!$A$2))</f>
        <v/>
      </c>
      <c r="N1269" s="539">
        <v>5</v>
      </c>
      <c r="O1269" s="539"/>
      <c r="P1269" s="731" t="str">
        <f>'DICTIONARY-3'!$A$99</f>
        <v>RETA</v>
      </c>
      <c r="Q1269" s="732" t="str">
        <f>'DICTIONARY-3'!$A$200</f>
        <v>Zawór zwrotny</v>
      </c>
      <c r="R1269" s="732" t="str">
        <f>CONCATENATE('DICTIONARY-3'!$A$99," ",'DICTIONARY-6'!$A$20," ",'DICTIONARY-2'!$A$2,"80"," ",'DICTIONARY-2'!$A$3,"10/16"," ","R48"," ",'DICTIONARY-5'!$A$34,"/",'DICTIONARY-5'!$A$34,", ",'DICTIONARY-4'!$A$16)</f>
        <v>RETA Zaw. zwrotny DN80 PN10/16 R48 A2/A2, DC</v>
      </c>
      <c r="S1269" s="733" t="str">
        <f>'DICTIONARY-4'!$A$16</f>
        <v>DC</v>
      </c>
      <c r="T1269" s="732" t="str">
        <f>'DICTIONARY-4'!$A$32</f>
        <v>Dżwignia z ciężarem</v>
      </c>
      <c r="U1269" s="734" t="s">
        <v>5760</v>
      </c>
      <c r="V1269" s="735">
        <v>16</v>
      </c>
      <c r="W1269" s="736"/>
      <c r="X1269" s="737"/>
      <c r="Y1269" s="738"/>
      <c r="Z1269" s="739"/>
      <c r="AA1269" s="739"/>
      <c r="AB1269" s="740">
        <v>16</v>
      </c>
      <c r="AC1269" s="741" t="str">
        <f>'DICTIONARY-5'!$A$11&amp;" 48"</f>
        <v>EN 558 szereg 48</v>
      </c>
      <c r="AD1269" s="741" t="str">
        <f>'DICTIONARY-5'!$A$13&amp;", "&amp;'DICTIONARY-5'!$A$14</f>
        <v>woda pitna, ścieki</v>
      </c>
      <c r="AE1269" s="742">
        <v>70</v>
      </c>
      <c r="AF1269" s="743"/>
      <c r="AG1269" s="741" t="str">
        <f>'DICTIONARY-5'!$A$23</f>
        <v>powłoka epoksydowa</v>
      </c>
    </row>
    <row r="1270" spans="1:33" x14ac:dyDescent="0.25">
      <c r="A1270" s="861" t="s">
        <v>1279</v>
      </c>
      <c r="B1270" s="861" t="s">
        <v>4441</v>
      </c>
      <c r="C1270" s="836">
        <v>533</v>
      </c>
      <c r="D1270" s="836"/>
      <c r="E1270" s="836"/>
      <c r="F1270" s="836"/>
      <c r="G1270" s="496" t="s">
        <v>7824</v>
      </c>
      <c r="H1270" s="797" t="str">
        <f>VLOOKUP(G1270,SETTINGS!$B$7:$D$97,2,0)</f>
        <v>RETA</v>
      </c>
      <c r="I1270" s="796">
        <f>VLOOKUP(G1270,SETTINGS!$B$7:$D$97,3,0)</f>
        <v>0</v>
      </c>
      <c r="J1270" s="670" t="str">
        <f>IFERROR(IF(CURRENCY.FORMAT_1=0,CONCATENATE(TEXT(FIXED(ROUND((C1270/EXC.RATE_1),CURRENCY.FORMAT_1),CURRENCY.FORMAT_1,1),"# ##0;-# ##0"),",-"),FIXED(ROUND((C1270/EXC.RATE_1),CURRENCY.FORMAT_1),CURRENCY.FORMAT_1,0)),'DICTIONARY-5'!$A$2)</f>
        <v>533,-</v>
      </c>
      <c r="K1270" s="670" t="str">
        <f>IF(EXC.RATE_2=0,"",IFERROR(IF(CURRENCY.FORMAT_2=0,CONCATENATE(TEXT(FIXED(ROUND(IF(EXC.RATE.SWITCH=1,C1270/EXC.RATE_2,C1270*EXC.RATE_2),CURRENCY.FORMAT_2),CURRENCY.FORMAT_2,1),"# ##0;-# ##0"),",-"),FIXED(ROUND(IF(EXC.RATE.SWITCH=1,C1270/EXC.RATE_2,C1270*EXC.RATE_2),CURRENCY.FORMAT_2),CURRENCY.FORMAT_2,0)),'DICTIONARY-5'!$A$2))</f>
        <v/>
      </c>
      <c r="L1270" s="670" t="str">
        <f>IFERROR(IF(CURRENCY.FORMAT_1=0,CONCATENATE(TEXT(FIXED(ROUND((C1270*(1-I1270)*(1-ADD.DISCOUNT)*(1+MAT.SURCHARGE)/EXC.RATE_1),CURRENCY.FORMAT_1),CURRENCY.FORMAT_1,1),"# ##0;-# ##0"),",-"),FIXED(ROUND((C1270*(1-I1270)*(1-ADD.DISCOUNT)*(1+MAT.SURCHARGE)/EXC.RATE_1),CURRENCY.FORMAT_1),CURRENCY.FORMAT_1,0)),'DICTIONARY-5'!$A$2)</f>
        <v>554,-</v>
      </c>
      <c r="M1270" s="670" t="str">
        <f>IF(EXC.RATE_2=0,"",IFERROR(IF(CURRENCY.FORMAT_2=0,CONCATENATE(TEXT(FIXED(ROUND(IF(EXC.RATE.SWITCH=1,C1270*(1-I1270)*(1-ADD.DISCOUNT)*(1+MAT.SURCHARGE)/EXC.RATE_2,C1270*(1-I1270)*(1-ADD.DISCOUNT)*(1+MAT.SURCHARGE)*EXC.RATE_2),CURRENCY.FORMAT_2),CURRENCY.FORMAT_2,1),"# ##0;-# ##0"),",-"),FIXED(ROUND(IF(EXC.RATE.SWITCH=1,C1270*(1-I1270)*(1-ADD.DISCOUNT)*(1+MAT.SURCHARGE)/EXC.RATE_2,C1270*(1-I1270)*(1-ADD.DISCOUNT)*(1+MAT.SURCHARGE)*EXC.RATE_2),CURRENCY.FORMAT_2),CURRENCY.FORMAT_2,0)),'DICTIONARY-5'!$A$2))</f>
        <v/>
      </c>
      <c r="N1270" s="539">
        <v>5</v>
      </c>
      <c r="O1270" s="539"/>
      <c r="P1270" s="731" t="str">
        <f>'DICTIONARY-3'!$A$99</f>
        <v>RETA</v>
      </c>
      <c r="Q1270" s="732" t="str">
        <f>'DICTIONARY-3'!$A$200</f>
        <v>Zawór zwrotny</v>
      </c>
      <c r="R1270" s="732" t="str">
        <f>CONCATENATE('DICTIONARY-3'!$A$99," ",'DICTIONARY-6'!$A$20," ",'DICTIONARY-2'!$A$2,"100"," ",'DICTIONARY-2'!$A$3,"10/16"," ","R48"," ",'DICTIONARY-5'!$A$34,"/",'DICTIONARY-5'!$A$34,", ",'DICTIONARY-4'!$A$16)</f>
        <v>RETA Zaw. zwrotny DN100 PN10/16 R48 A2/A2, DC</v>
      </c>
      <c r="S1270" s="733" t="str">
        <f>'DICTIONARY-4'!$A$16</f>
        <v>DC</v>
      </c>
      <c r="T1270" s="732" t="str">
        <f>'DICTIONARY-4'!$A$32</f>
        <v>Dżwignia z ciężarem</v>
      </c>
      <c r="U1270" s="734" t="s">
        <v>5749</v>
      </c>
      <c r="V1270" s="735">
        <v>16</v>
      </c>
      <c r="W1270" s="736"/>
      <c r="X1270" s="737"/>
      <c r="Y1270" s="738"/>
      <c r="Z1270" s="739"/>
      <c r="AA1270" s="739"/>
      <c r="AB1270" s="740">
        <v>16</v>
      </c>
      <c r="AC1270" s="741" t="str">
        <f>'DICTIONARY-5'!$A$11&amp;" 48"</f>
        <v>EN 558 szereg 48</v>
      </c>
      <c r="AD1270" s="741" t="str">
        <f>'DICTIONARY-5'!$A$13&amp;", "&amp;'DICTIONARY-5'!$A$14</f>
        <v>woda pitna, ścieki</v>
      </c>
      <c r="AE1270" s="742">
        <v>70</v>
      </c>
      <c r="AF1270" s="743">
        <v>29</v>
      </c>
      <c r="AG1270" s="741" t="str">
        <f>'DICTIONARY-5'!$A$23</f>
        <v>powłoka epoksydowa</v>
      </c>
    </row>
    <row r="1271" spans="1:33" x14ac:dyDescent="0.25">
      <c r="A1271" s="861" t="s">
        <v>1281</v>
      </c>
      <c r="B1271" s="861" t="s">
        <v>4443</v>
      </c>
      <c r="C1271" s="836">
        <v>646</v>
      </c>
      <c r="D1271" s="836"/>
      <c r="E1271" s="836"/>
      <c r="F1271" s="836"/>
      <c r="G1271" s="496" t="s">
        <v>7824</v>
      </c>
      <c r="H1271" s="797" t="str">
        <f>VLOOKUP(G1271,SETTINGS!$B$7:$D$97,2,0)</f>
        <v>RETA</v>
      </c>
      <c r="I1271" s="796">
        <f>VLOOKUP(G1271,SETTINGS!$B$7:$D$97,3,0)</f>
        <v>0</v>
      </c>
      <c r="J1271" s="670" t="str">
        <f>IFERROR(IF(CURRENCY.FORMAT_1=0,CONCATENATE(TEXT(FIXED(ROUND((C1271/EXC.RATE_1),CURRENCY.FORMAT_1),CURRENCY.FORMAT_1,1),"# ##0;-# ##0"),",-"),FIXED(ROUND((C1271/EXC.RATE_1),CURRENCY.FORMAT_1),CURRENCY.FORMAT_1,0)),'DICTIONARY-5'!$A$2)</f>
        <v>646,-</v>
      </c>
      <c r="K1271" s="670" t="str">
        <f>IF(EXC.RATE_2=0,"",IFERROR(IF(CURRENCY.FORMAT_2=0,CONCATENATE(TEXT(FIXED(ROUND(IF(EXC.RATE.SWITCH=1,C1271/EXC.RATE_2,C1271*EXC.RATE_2),CURRENCY.FORMAT_2),CURRENCY.FORMAT_2,1),"# ##0;-# ##0"),",-"),FIXED(ROUND(IF(EXC.RATE.SWITCH=1,C1271/EXC.RATE_2,C1271*EXC.RATE_2),CURRENCY.FORMAT_2),CURRENCY.FORMAT_2,0)),'DICTIONARY-5'!$A$2))</f>
        <v/>
      </c>
      <c r="L1271" s="670" t="str">
        <f>IFERROR(IF(CURRENCY.FORMAT_1=0,CONCATENATE(TEXT(FIXED(ROUND((C1271*(1-I1271)*(1-ADD.DISCOUNT)*(1+MAT.SURCHARGE)/EXC.RATE_1),CURRENCY.FORMAT_1),CURRENCY.FORMAT_1,1),"# ##0;-# ##0"),",-"),FIXED(ROUND((C1271*(1-I1271)*(1-ADD.DISCOUNT)*(1+MAT.SURCHARGE)/EXC.RATE_1),CURRENCY.FORMAT_1),CURRENCY.FORMAT_1,0)),'DICTIONARY-5'!$A$2)</f>
        <v>671,-</v>
      </c>
      <c r="M1271" s="670" t="str">
        <f>IF(EXC.RATE_2=0,"",IFERROR(IF(CURRENCY.FORMAT_2=0,CONCATENATE(TEXT(FIXED(ROUND(IF(EXC.RATE.SWITCH=1,C1271*(1-I1271)*(1-ADD.DISCOUNT)*(1+MAT.SURCHARGE)/EXC.RATE_2,C1271*(1-I1271)*(1-ADD.DISCOUNT)*(1+MAT.SURCHARGE)*EXC.RATE_2),CURRENCY.FORMAT_2),CURRENCY.FORMAT_2,1),"# ##0;-# ##0"),",-"),FIXED(ROUND(IF(EXC.RATE.SWITCH=1,C1271*(1-I1271)*(1-ADD.DISCOUNT)*(1+MAT.SURCHARGE)/EXC.RATE_2,C1271*(1-I1271)*(1-ADD.DISCOUNT)*(1+MAT.SURCHARGE)*EXC.RATE_2),CURRENCY.FORMAT_2),CURRENCY.FORMAT_2,0)),'DICTIONARY-5'!$A$2))</f>
        <v/>
      </c>
      <c r="N1271" s="539">
        <v>5</v>
      </c>
      <c r="O1271" s="539"/>
      <c r="P1271" s="731" t="str">
        <f>'DICTIONARY-3'!$A$99</f>
        <v>RETA</v>
      </c>
      <c r="Q1271" s="732" t="str">
        <f>'DICTIONARY-3'!$A$200</f>
        <v>Zawór zwrotny</v>
      </c>
      <c r="R1271" s="732" t="str">
        <f>CONCATENATE('DICTIONARY-3'!$A$99," ",'DICTIONARY-6'!$A$20," ",'DICTIONARY-2'!$A$2,"125"," ",'DICTIONARY-2'!$A$3,"10/16"," ","R48"," ",'DICTIONARY-5'!$A$34,"/",'DICTIONARY-5'!$A$34,", ",'DICTIONARY-4'!$A$16)</f>
        <v>RETA Zaw. zwrotny DN125 PN10/16 R48 A2/A2, DC</v>
      </c>
      <c r="S1271" s="733" t="str">
        <f>'DICTIONARY-4'!$A$16</f>
        <v>DC</v>
      </c>
      <c r="T1271" s="732" t="str">
        <f>'DICTIONARY-4'!$A$32</f>
        <v>Dżwignia z ciężarem</v>
      </c>
      <c r="U1271" s="734" t="s">
        <v>5761</v>
      </c>
      <c r="V1271" s="735">
        <v>16</v>
      </c>
      <c r="W1271" s="736"/>
      <c r="X1271" s="737"/>
      <c r="Y1271" s="738"/>
      <c r="Z1271" s="739"/>
      <c r="AA1271" s="739"/>
      <c r="AB1271" s="740">
        <v>16</v>
      </c>
      <c r="AC1271" s="741" t="str">
        <f>'DICTIONARY-5'!$A$11&amp;" 48"</f>
        <v>EN 558 szereg 48</v>
      </c>
      <c r="AD1271" s="741" t="str">
        <f>'DICTIONARY-5'!$A$13&amp;", "&amp;'DICTIONARY-5'!$A$14</f>
        <v>woda pitna, ścieki</v>
      </c>
      <c r="AE1271" s="742">
        <v>70</v>
      </c>
      <c r="AF1271" s="743">
        <v>37.5</v>
      </c>
      <c r="AG1271" s="741" t="str">
        <f>'DICTIONARY-5'!$A$23</f>
        <v>powłoka epoksydowa</v>
      </c>
    </row>
    <row r="1272" spans="1:33" x14ac:dyDescent="0.25">
      <c r="A1272" s="861" t="s">
        <v>1283</v>
      </c>
      <c r="B1272" s="861" t="s">
        <v>4445</v>
      </c>
      <c r="C1272" s="836">
        <v>855</v>
      </c>
      <c r="D1272" s="836"/>
      <c r="E1272" s="836"/>
      <c r="F1272" s="836"/>
      <c r="G1272" s="496" t="s">
        <v>7824</v>
      </c>
      <c r="H1272" s="797" t="str">
        <f>VLOOKUP(G1272,SETTINGS!$B$7:$D$97,2,0)</f>
        <v>RETA</v>
      </c>
      <c r="I1272" s="796">
        <f>VLOOKUP(G1272,SETTINGS!$B$7:$D$97,3,0)</f>
        <v>0</v>
      </c>
      <c r="J1272" s="670" t="str">
        <f>IFERROR(IF(CURRENCY.FORMAT_1=0,CONCATENATE(TEXT(FIXED(ROUND((C1272/EXC.RATE_1),CURRENCY.FORMAT_1),CURRENCY.FORMAT_1,1),"# ##0;-# ##0"),",-"),FIXED(ROUND((C1272/EXC.RATE_1),CURRENCY.FORMAT_1),CURRENCY.FORMAT_1,0)),'DICTIONARY-5'!$A$2)</f>
        <v>855,-</v>
      </c>
      <c r="K1272" s="670" t="str">
        <f>IF(EXC.RATE_2=0,"",IFERROR(IF(CURRENCY.FORMAT_2=0,CONCATENATE(TEXT(FIXED(ROUND(IF(EXC.RATE.SWITCH=1,C1272/EXC.RATE_2,C1272*EXC.RATE_2),CURRENCY.FORMAT_2),CURRENCY.FORMAT_2,1),"# ##0;-# ##0"),",-"),FIXED(ROUND(IF(EXC.RATE.SWITCH=1,C1272/EXC.RATE_2,C1272*EXC.RATE_2),CURRENCY.FORMAT_2),CURRENCY.FORMAT_2,0)),'DICTIONARY-5'!$A$2))</f>
        <v/>
      </c>
      <c r="L1272" s="670" t="str">
        <f>IFERROR(IF(CURRENCY.FORMAT_1=0,CONCATENATE(TEXT(FIXED(ROUND((C1272*(1-I1272)*(1-ADD.DISCOUNT)*(1+MAT.SURCHARGE)/EXC.RATE_1),CURRENCY.FORMAT_1),CURRENCY.FORMAT_1,1),"# ##0;-# ##0"),",-"),FIXED(ROUND((C1272*(1-I1272)*(1-ADD.DISCOUNT)*(1+MAT.SURCHARGE)/EXC.RATE_1),CURRENCY.FORMAT_1),CURRENCY.FORMAT_1,0)),'DICTIONARY-5'!$A$2)</f>
        <v>888,-</v>
      </c>
      <c r="M1272" s="670" t="str">
        <f>IF(EXC.RATE_2=0,"",IFERROR(IF(CURRENCY.FORMAT_2=0,CONCATENATE(TEXT(FIXED(ROUND(IF(EXC.RATE.SWITCH=1,C1272*(1-I1272)*(1-ADD.DISCOUNT)*(1+MAT.SURCHARGE)/EXC.RATE_2,C1272*(1-I1272)*(1-ADD.DISCOUNT)*(1+MAT.SURCHARGE)*EXC.RATE_2),CURRENCY.FORMAT_2),CURRENCY.FORMAT_2,1),"# ##0;-# ##0"),",-"),FIXED(ROUND(IF(EXC.RATE.SWITCH=1,C1272*(1-I1272)*(1-ADD.DISCOUNT)*(1+MAT.SURCHARGE)/EXC.RATE_2,C1272*(1-I1272)*(1-ADD.DISCOUNT)*(1+MAT.SURCHARGE)*EXC.RATE_2),CURRENCY.FORMAT_2),CURRENCY.FORMAT_2,0)),'DICTIONARY-5'!$A$2))</f>
        <v/>
      </c>
      <c r="N1272" s="539">
        <v>5</v>
      </c>
      <c r="O1272" s="539"/>
      <c r="P1272" s="731" t="str">
        <f>'DICTIONARY-3'!$A$99</f>
        <v>RETA</v>
      </c>
      <c r="Q1272" s="732" t="str">
        <f>'DICTIONARY-3'!$A$200</f>
        <v>Zawór zwrotny</v>
      </c>
      <c r="R1272" s="732" t="str">
        <f>CONCATENATE('DICTIONARY-3'!$A$99," ",'DICTIONARY-6'!$A$20," ",'DICTIONARY-2'!$A$2,"150"," ",'DICTIONARY-2'!$A$3,"10/16"," ","R48"," ",'DICTIONARY-5'!$A$34,"/",'DICTIONARY-5'!$A$34,", ",'DICTIONARY-4'!$A$16)</f>
        <v>RETA Zaw. zwrotny DN150 PN10/16 R48 A2/A2, DC</v>
      </c>
      <c r="S1272" s="733" t="str">
        <f>'DICTIONARY-4'!$A$16</f>
        <v>DC</v>
      </c>
      <c r="T1272" s="732" t="str">
        <f>'DICTIONARY-4'!$A$32</f>
        <v>Dżwignia z ciężarem</v>
      </c>
      <c r="U1272" s="734" t="s">
        <v>5572</v>
      </c>
      <c r="V1272" s="735">
        <v>16</v>
      </c>
      <c r="W1272" s="736"/>
      <c r="X1272" s="737"/>
      <c r="Y1272" s="738"/>
      <c r="Z1272" s="739"/>
      <c r="AA1272" s="739"/>
      <c r="AB1272" s="740">
        <v>16</v>
      </c>
      <c r="AC1272" s="741" t="str">
        <f>'DICTIONARY-5'!$A$11&amp;" 48"</f>
        <v>EN 558 szereg 48</v>
      </c>
      <c r="AD1272" s="741" t="str">
        <f>'DICTIONARY-5'!$A$13&amp;", "&amp;'DICTIONARY-5'!$A$14</f>
        <v>woda pitna, ścieki</v>
      </c>
      <c r="AE1272" s="742">
        <v>70</v>
      </c>
      <c r="AF1272" s="743">
        <v>56</v>
      </c>
      <c r="AG1272" s="741" t="str">
        <f>'DICTIONARY-5'!$A$23</f>
        <v>powłoka epoksydowa</v>
      </c>
    </row>
    <row r="1273" spans="1:33" x14ac:dyDescent="0.25">
      <c r="A1273" s="861" t="s">
        <v>1285</v>
      </c>
      <c r="B1273" s="861" t="s">
        <v>4447</v>
      </c>
      <c r="C1273" s="836">
        <v>1125</v>
      </c>
      <c r="D1273" s="836"/>
      <c r="E1273" s="836"/>
      <c r="F1273" s="836"/>
      <c r="G1273" s="496" t="s">
        <v>7824</v>
      </c>
      <c r="H1273" s="797" t="str">
        <f>VLOOKUP(G1273,SETTINGS!$B$7:$D$97,2,0)</f>
        <v>RETA</v>
      </c>
      <c r="I1273" s="796">
        <f>VLOOKUP(G1273,SETTINGS!$B$7:$D$97,3,0)</f>
        <v>0</v>
      </c>
      <c r="J1273" s="670" t="str">
        <f>IFERROR(IF(CURRENCY.FORMAT_1=0,CONCATENATE(TEXT(FIXED(ROUND((C1273/EXC.RATE_1),CURRENCY.FORMAT_1),CURRENCY.FORMAT_1,1),"# ##0;-# ##0"),",-"),FIXED(ROUND((C1273/EXC.RATE_1),CURRENCY.FORMAT_1),CURRENCY.FORMAT_1,0)),'DICTIONARY-5'!$A$2)</f>
        <v>1 125,-</v>
      </c>
      <c r="K1273" s="670" t="str">
        <f>IF(EXC.RATE_2=0,"",IFERROR(IF(CURRENCY.FORMAT_2=0,CONCATENATE(TEXT(FIXED(ROUND(IF(EXC.RATE.SWITCH=1,C1273/EXC.RATE_2,C1273*EXC.RATE_2),CURRENCY.FORMAT_2),CURRENCY.FORMAT_2,1),"# ##0;-# ##0"),",-"),FIXED(ROUND(IF(EXC.RATE.SWITCH=1,C1273/EXC.RATE_2,C1273*EXC.RATE_2),CURRENCY.FORMAT_2),CURRENCY.FORMAT_2,0)),'DICTIONARY-5'!$A$2))</f>
        <v/>
      </c>
      <c r="L1273" s="670" t="str">
        <f>IFERROR(IF(CURRENCY.FORMAT_1=0,CONCATENATE(TEXT(FIXED(ROUND((C1273*(1-I1273)*(1-ADD.DISCOUNT)*(1+MAT.SURCHARGE)/EXC.RATE_1),CURRENCY.FORMAT_1),CURRENCY.FORMAT_1,1),"# ##0;-# ##0"),",-"),FIXED(ROUND((C1273*(1-I1273)*(1-ADD.DISCOUNT)*(1+MAT.SURCHARGE)/EXC.RATE_1),CURRENCY.FORMAT_1),CURRENCY.FORMAT_1,0)),'DICTIONARY-5'!$A$2)</f>
        <v>1 169,-</v>
      </c>
      <c r="M1273" s="670" t="str">
        <f>IF(EXC.RATE_2=0,"",IFERROR(IF(CURRENCY.FORMAT_2=0,CONCATENATE(TEXT(FIXED(ROUND(IF(EXC.RATE.SWITCH=1,C1273*(1-I1273)*(1-ADD.DISCOUNT)*(1+MAT.SURCHARGE)/EXC.RATE_2,C1273*(1-I1273)*(1-ADD.DISCOUNT)*(1+MAT.SURCHARGE)*EXC.RATE_2),CURRENCY.FORMAT_2),CURRENCY.FORMAT_2,1),"# ##0;-# ##0"),",-"),FIXED(ROUND(IF(EXC.RATE.SWITCH=1,C1273*(1-I1273)*(1-ADD.DISCOUNT)*(1+MAT.SURCHARGE)/EXC.RATE_2,C1273*(1-I1273)*(1-ADD.DISCOUNT)*(1+MAT.SURCHARGE)*EXC.RATE_2),CURRENCY.FORMAT_2),CURRENCY.FORMAT_2,0)),'DICTIONARY-5'!$A$2))</f>
        <v/>
      </c>
      <c r="N1273" s="539">
        <v>5</v>
      </c>
      <c r="O1273" s="539"/>
      <c r="P1273" s="731" t="str">
        <f>'DICTIONARY-3'!$A$99</f>
        <v>RETA</v>
      </c>
      <c r="Q1273" s="732" t="str">
        <f>'DICTIONARY-3'!$A$200</f>
        <v>Zawór zwrotny</v>
      </c>
      <c r="R1273" s="732" t="str">
        <f>CONCATENATE('DICTIONARY-3'!$A$99," ",'DICTIONARY-6'!$A$20," ",'DICTIONARY-2'!$A$2,"200"," ",'DICTIONARY-2'!$A$3,"16"," ","R48"," ",'DICTIONARY-5'!$A$34,"/",'DICTIONARY-5'!$A$34,", ",'DICTIONARY-4'!$A$16)</f>
        <v>RETA Zaw. zwrotny DN200 PN16 R48 A2/A2, DC</v>
      </c>
      <c r="S1273" s="733" t="str">
        <f>'DICTIONARY-4'!$A$16</f>
        <v>DC</v>
      </c>
      <c r="T1273" s="732" t="str">
        <f>'DICTIONARY-4'!$A$32</f>
        <v>Dżwignia z ciężarem</v>
      </c>
      <c r="U1273" s="734" t="s">
        <v>5750</v>
      </c>
      <c r="V1273" s="735">
        <v>16</v>
      </c>
      <c r="W1273" s="736"/>
      <c r="X1273" s="737"/>
      <c r="Y1273" s="738"/>
      <c r="Z1273" s="739"/>
      <c r="AA1273" s="739"/>
      <c r="AB1273" s="740">
        <v>16</v>
      </c>
      <c r="AC1273" s="741" t="str">
        <f>'DICTIONARY-5'!$A$11&amp;" 48"</f>
        <v>EN 558 szereg 48</v>
      </c>
      <c r="AD1273" s="741" t="str">
        <f>'DICTIONARY-5'!$A$13&amp;", "&amp;'DICTIONARY-5'!$A$14</f>
        <v>woda pitna, ścieki</v>
      </c>
      <c r="AE1273" s="742">
        <v>70</v>
      </c>
      <c r="AF1273" s="743">
        <v>95.5</v>
      </c>
      <c r="AG1273" s="741" t="str">
        <f>'DICTIONARY-5'!$A$23</f>
        <v>powłoka epoksydowa</v>
      </c>
    </row>
    <row r="1274" spans="1:33" x14ac:dyDescent="0.25">
      <c r="A1274" s="861" t="s">
        <v>1287</v>
      </c>
      <c r="B1274" s="861" t="s">
        <v>4449</v>
      </c>
      <c r="C1274" s="836">
        <v>1683</v>
      </c>
      <c r="D1274" s="836"/>
      <c r="E1274" s="836"/>
      <c r="F1274" s="836"/>
      <c r="G1274" s="496" t="s">
        <v>7824</v>
      </c>
      <c r="H1274" s="797" t="str">
        <f>VLOOKUP(G1274,SETTINGS!$B$7:$D$97,2,0)</f>
        <v>RETA</v>
      </c>
      <c r="I1274" s="796">
        <f>VLOOKUP(G1274,SETTINGS!$B$7:$D$97,3,0)</f>
        <v>0</v>
      </c>
      <c r="J1274" s="670" t="str">
        <f>IFERROR(IF(CURRENCY.FORMAT_1=0,CONCATENATE(TEXT(FIXED(ROUND((C1274/EXC.RATE_1),CURRENCY.FORMAT_1),CURRENCY.FORMAT_1,1),"# ##0;-# ##0"),",-"),FIXED(ROUND((C1274/EXC.RATE_1),CURRENCY.FORMAT_1),CURRENCY.FORMAT_1,0)),'DICTIONARY-5'!$A$2)</f>
        <v>1 683,-</v>
      </c>
      <c r="K1274" s="670" t="str">
        <f>IF(EXC.RATE_2=0,"",IFERROR(IF(CURRENCY.FORMAT_2=0,CONCATENATE(TEXT(FIXED(ROUND(IF(EXC.RATE.SWITCH=1,C1274/EXC.RATE_2,C1274*EXC.RATE_2),CURRENCY.FORMAT_2),CURRENCY.FORMAT_2,1),"# ##0;-# ##0"),",-"),FIXED(ROUND(IF(EXC.RATE.SWITCH=1,C1274/EXC.RATE_2,C1274*EXC.RATE_2),CURRENCY.FORMAT_2),CURRENCY.FORMAT_2,0)),'DICTIONARY-5'!$A$2))</f>
        <v/>
      </c>
      <c r="L1274" s="670" t="str">
        <f>IFERROR(IF(CURRENCY.FORMAT_1=0,CONCATENATE(TEXT(FIXED(ROUND((C1274*(1-I1274)*(1-ADD.DISCOUNT)*(1+MAT.SURCHARGE)/EXC.RATE_1),CURRENCY.FORMAT_1),CURRENCY.FORMAT_1,1),"# ##0;-# ##0"),",-"),FIXED(ROUND((C1274*(1-I1274)*(1-ADD.DISCOUNT)*(1+MAT.SURCHARGE)/EXC.RATE_1),CURRENCY.FORMAT_1),CURRENCY.FORMAT_1,0)),'DICTIONARY-5'!$A$2)</f>
        <v>1 749,-</v>
      </c>
      <c r="M1274" s="670" t="str">
        <f>IF(EXC.RATE_2=0,"",IFERROR(IF(CURRENCY.FORMAT_2=0,CONCATENATE(TEXT(FIXED(ROUND(IF(EXC.RATE.SWITCH=1,C1274*(1-I1274)*(1-ADD.DISCOUNT)*(1+MAT.SURCHARGE)/EXC.RATE_2,C1274*(1-I1274)*(1-ADD.DISCOUNT)*(1+MAT.SURCHARGE)*EXC.RATE_2),CURRENCY.FORMAT_2),CURRENCY.FORMAT_2,1),"# ##0;-# ##0"),",-"),FIXED(ROUND(IF(EXC.RATE.SWITCH=1,C1274*(1-I1274)*(1-ADD.DISCOUNT)*(1+MAT.SURCHARGE)/EXC.RATE_2,C1274*(1-I1274)*(1-ADD.DISCOUNT)*(1+MAT.SURCHARGE)*EXC.RATE_2),CURRENCY.FORMAT_2),CURRENCY.FORMAT_2,0)),'DICTIONARY-5'!$A$2))</f>
        <v/>
      </c>
      <c r="N1274" s="539">
        <v>5</v>
      </c>
      <c r="O1274" s="539"/>
      <c r="P1274" s="731" t="str">
        <f>'DICTIONARY-3'!$A$99</f>
        <v>RETA</v>
      </c>
      <c r="Q1274" s="732" t="str">
        <f>'DICTIONARY-3'!$A$200</f>
        <v>Zawór zwrotny</v>
      </c>
      <c r="R1274" s="732" t="str">
        <f>CONCATENATE('DICTIONARY-3'!$A$99," ",'DICTIONARY-6'!$A$20," ",'DICTIONARY-2'!$A$2,"250"," ",'DICTIONARY-2'!$A$3,"16"," ","R48"," ",'DICTIONARY-5'!$A$34,"/",'DICTIONARY-5'!$A$34,", ",'DICTIONARY-4'!$A$16)</f>
        <v>RETA Zaw. zwrotny DN250 PN16 R48 A2/A2, DC</v>
      </c>
      <c r="S1274" s="733" t="str">
        <f>'DICTIONARY-4'!$A$16</f>
        <v>DC</v>
      </c>
      <c r="T1274" s="732" t="str">
        <f>'DICTIONARY-4'!$A$32</f>
        <v>Dżwignia z ciężarem</v>
      </c>
      <c r="U1274" s="734" t="s">
        <v>5751</v>
      </c>
      <c r="V1274" s="735">
        <v>16</v>
      </c>
      <c r="W1274" s="736"/>
      <c r="X1274" s="737"/>
      <c r="Y1274" s="738"/>
      <c r="Z1274" s="739"/>
      <c r="AA1274" s="739"/>
      <c r="AB1274" s="740">
        <v>16</v>
      </c>
      <c r="AC1274" s="741" t="str">
        <f>'DICTIONARY-5'!$A$11&amp;" 48"</f>
        <v>EN 558 szereg 48</v>
      </c>
      <c r="AD1274" s="741" t="str">
        <f>'DICTIONARY-5'!$A$13&amp;", "&amp;'DICTIONARY-5'!$A$14</f>
        <v>woda pitna, ścieki</v>
      </c>
      <c r="AE1274" s="742">
        <v>70</v>
      </c>
      <c r="AF1274" s="743">
        <v>136</v>
      </c>
      <c r="AG1274" s="741" t="str">
        <f>'DICTIONARY-5'!$A$23</f>
        <v>powłoka epoksydowa</v>
      </c>
    </row>
    <row r="1275" spans="1:33" x14ac:dyDescent="0.25">
      <c r="A1275" s="861" t="s">
        <v>1272</v>
      </c>
      <c r="B1275" s="861" t="s">
        <v>4417</v>
      </c>
      <c r="C1275" s="836">
        <v>314</v>
      </c>
      <c r="D1275" s="836"/>
      <c r="E1275" s="836"/>
      <c r="F1275" s="836"/>
      <c r="G1275" s="496" t="s">
        <v>7824</v>
      </c>
      <c r="H1275" s="797" t="str">
        <f>VLOOKUP(G1275,SETTINGS!$B$7:$D$97,2,0)</f>
        <v>RETA</v>
      </c>
      <c r="I1275" s="796">
        <f>VLOOKUP(G1275,SETTINGS!$B$7:$D$97,3,0)</f>
        <v>0</v>
      </c>
      <c r="J1275" s="670" t="str">
        <f>IFERROR(IF(CURRENCY.FORMAT_1=0,CONCATENATE(TEXT(FIXED(ROUND((C1275/EXC.RATE_1),CURRENCY.FORMAT_1),CURRENCY.FORMAT_1,1),"# ##0;-# ##0"),",-"),FIXED(ROUND((C1275/EXC.RATE_1),CURRENCY.FORMAT_1),CURRENCY.FORMAT_1,0)),'DICTIONARY-5'!$A$2)</f>
        <v>314,-</v>
      </c>
      <c r="K1275" s="670" t="str">
        <f>IF(EXC.RATE_2=0,"",IFERROR(IF(CURRENCY.FORMAT_2=0,CONCATENATE(TEXT(FIXED(ROUND(IF(EXC.RATE.SWITCH=1,C1275/EXC.RATE_2,C1275*EXC.RATE_2),CURRENCY.FORMAT_2),CURRENCY.FORMAT_2,1),"# ##0;-# ##0"),",-"),FIXED(ROUND(IF(EXC.RATE.SWITCH=1,C1275/EXC.RATE_2,C1275*EXC.RATE_2),CURRENCY.FORMAT_2),CURRENCY.FORMAT_2,0)),'DICTIONARY-5'!$A$2))</f>
        <v/>
      </c>
      <c r="L1275" s="670" t="str">
        <f>IFERROR(IF(CURRENCY.FORMAT_1=0,CONCATENATE(TEXT(FIXED(ROUND((C1275*(1-I1275)*(1-ADD.DISCOUNT)*(1+MAT.SURCHARGE)/EXC.RATE_1),CURRENCY.FORMAT_1),CURRENCY.FORMAT_1,1),"# ##0;-# ##0"),",-"),FIXED(ROUND((C1275*(1-I1275)*(1-ADD.DISCOUNT)*(1+MAT.SURCHARGE)/EXC.RATE_1),CURRENCY.FORMAT_1),CURRENCY.FORMAT_1,0)),'DICTIONARY-5'!$A$2)</f>
        <v>326,-</v>
      </c>
      <c r="M1275" s="670" t="str">
        <f>IF(EXC.RATE_2=0,"",IFERROR(IF(CURRENCY.FORMAT_2=0,CONCATENATE(TEXT(FIXED(ROUND(IF(EXC.RATE.SWITCH=1,C1275*(1-I1275)*(1-ADD.DISCOUNT)*(1+MAT.SURCHARGE)/EXC.RATE_2,C1275*(1-I1275)*(1-ADD.DISCOUNT)*(1+MAT.SURCHARGE)*EXC.RATE_2),CURRENCY.FORMAT_2),CURRENCY.FORMAT_2,1),"# ##0;-# ##0"),",-"),FIXED(ROUND(IF(EXC.RATE.SWITCH=1,C1275*(1-I1275)*(1-ADD.DISCOUNT)*(1+MAT.SURCHARGE)/EXC.RATE_2,C1275*(1-I1275)*(1-ADD.DISCOUNT)*(1+MAT.SURCHARGE)*EXC.RATE_2),CURRENCY.FORMAT_2),CURRENCY.FORMAT_2,0)),'DICTIONARY-5'!$A$2))</f>
        <v/>
      </c>
      <c r="N1275" s="539">
        <v>5</v>
      </c>
      <c r="O1275" s="539"/>
      <c r="P1275" s="731" t="str">
        <f>'DICTIONARY-3'!$A$99</f>
        <v>RETA</v>
      </c>
      <c r="Q1275" s="732" t="str">
        <f>'DICTIONARY-3'!$A$200</f>
        <v>Zawór zwrotny</v>
      </c>
      <c r="R1275" s="732" t="str">
        <f>CONCATENATE('DICTIONARY-3'!$A$99," ",'DICTIONARY-6'!$A$20," ",'DICTIONARY-2'!$A$2,"40"," ",'DICTIONARY-2'!$A$3,"10/16"," ","R48"," ",'DICTIONARY-5'!$A$34,"/",'DICTIONARY-5'!$A$44,", ",'DICTIONARY-4'!$A$16)</f>
        <v>RETA Zaw. zwrotny DN40 PN10/16 R48 A2/EPDM, DC</v>
      </c>
      <c r="S1275" s="733" t="str">
        <f>'DICTIONARY-4'!$A$16</f>
        <v>DC</v>
      </c>
      <c r="T1275" s="732" t="str">
        <f>'DICTIONARY-4'!$A$32</f>
        <v>Dżwignia z ciężarem</v>
      </c>
      <c r="U1275" s="734" t="s">
        <v>5758</v>
      </c>
      <c r="V1275" s="735">
        <v>16</v>
      </c>
      <c r="W1275" s="736"/>
      <c r="X1275" s="737"/>
      <c r="Y1275" s="738"/>
      <c r="Z1275" s="739"/>
      <c r="AA1275" s="739"/>
      <c r="AB1275" s="740">
        <v>16</v>
      </c>
      <c r="AC1275" s="741" t="str">
        <f>'DICTIONARY-5'!$A$11&amp;" 48"</f>
        <v>EN 558 szereg 48</v>
      </c>
      <c r="AD1275" s="741" t="str">
        <f>'DICTIONARY-5'!$A$13&amp;", "&amp;'DICTIONARY-5'!$A$14</f>
        <v>woda pitna, ścieki</v>
      </c>
      <c r="AE1275" s="742">
        <v>70</v>
      </c>
      <c r="AF1275" s="743">
        <v>10</v>
      </c>
      <c r="AG1275" s="741" t="str">
        <f>'DICTIONARY-5'!$A$23</f>
        <v>powłoka epoksydowa</v>
      </c>
    </row>
    <row r="1276" spans="1:33" x14ac:dyDescent="0.25">
      <c r="A1276" s="861" t="s">
        <v>1274</v>
      </c>
      <c r="B1276" s="861" t="s">
        <v>4419</v>
      </c>
      <c r="C1276" s="836">
        <v>314</v>
      </c>
      <c r="D1276" s="836"/>
      <c r="E1276" s="836"/>
      <c r="F1276" s="836"/>
      <c r="G1276" s="496" t="s">
        <v>7824</v>
      </c>
      <c r="H1276" s="797" t="str">
        <f>VLOOKUP(G1276,SETTINGS!$B$7:$D$97,2,0)</f>
        <v>RETA</v>
      </c>
      <c r="I1276" s="796">
        <f>VLOOKUP(G1276,SETTINGS!$B$7:$D$97,3,0)</f>
        <v>0</v>
      </c>
      <c r="J1276" s="670" t="str">
        <f>IFERROR(IF(CURRENCY.FORMAT_1=0,CONCATENATE(TEXT(FIXED(ROUND((C1276/EXC.RATE_1),CURRENCY.FORMAT_1),CURRENCY.FORMAT_1,1),"# ##0;-# ##0"),",-"),FIXED(ROUND((C1276/EXC.RATE_1),CURRENCY.FORMAT_1),CURRENCY.FORMAT_1,0)),'DICTIONARY-5'!$A$2)</f>
        <v>314,-</v>
      </c>
      <c r="K1276" s="670" t="str">
        <f>IF(EXC.RATE_2=0,"",IFERROR(IF(CURRENCY.FORMAT_2=0,CONCATENATE(TEXT(FIXED(ROUND(IF(EXC.RATE.SWITCH=1,C1276/EXC.RATE_2,C1276*EXC.RATE_2),CURRENCY.FORMAT_2),CURRENCY.FORMAT_2,1),"# ##0;-# ##0"),",-"),FIXED(ROUND(IF(EXC.RATE.SWITCH=1,C1276/EXC.RATE_2,C1276*EXC.RATE_2),CURRENCY.FORMAT_2),CURRENCY.FORMAT_2,0)),'DICTIONARY-5'!$A$2))</f>
        <v/>
      </c>
      <c r="L1276" s="670" t="str">
        <f>IFERROR(IF(CURRENCY.FORMAT_1=0,CONCATENATE(TEXT(FIXED(ROUND((C1276*(1-I1276)*(1-ADD.DISCOUNT)*(1+MAT.SURCHARGE)/EXC.RATE_1),CURRENCY.FORMAT_1),CURRENCY.FORMAT_1,1),"# ##0;-# ##0"),",-"),FIXED(ROUND((C1276*(1-I1276)*(1-ADD.DISCOUNT)*(1+MAT.SURCHARGE)/EXC.RATE_1),CURRENCY.FORMAT_1),CURRENCY.FORMAT_1,0)),'DICTIONARY-5'!$A$2)</f>
        <v>326,-</v>
      </c>
      <c r="M1276" s="670" t="str">
        <f>IF(EXC.RATE_2=0,"",IFERROR(IF(CURRENCY.FORMAT_2=0,CONCATENATE(TEXT(FIXED(ROUND(IF(EXC.RATE.SWITCH=1,C1276*(1-I1276)*(1-ADD.DISCOUNT)*(1+MAT.SURCHARGE)/EXC.RATE_2,C1276*(1-I1276)*(1-ADD.DISCOUNT)*(1+MAT.SURCHARGE)*EXC.RATE_2),CURRENCY.FORMAT_2),CURRENCY.FORMAT_2,1),"# ##0;-# ##0"),",-"),FIXED(ROUND(IF(EXC.RATE.SWITCH=1,C1276*(1-I1276)*(1-ADD.DISCOUNT)*(1+MAT.SURCHARGE)/EXC.RATE_2,C1276*(1-I1276)*(1-ADD.DISCOUNT)*(1+MAT.SURCHARGE)*EXC.RATE_2),CURRENCY.FORMAT_2),CURRENCY.FORMAT_2,0)),'DICTIONARY-5'!$A$2))</f>
        <v/>
      </c>
      <c r="N1276" s="539">
        <v>5</v>
      </c>
      <c r="O1276" s="539"/>
      <c r="P1276" s="731" t="str">
        <f>'DICTIONARY-3'!$A$99</f>
        <v>RETA</v>
      </c>
      <c r="Q1276" s="732" t="str">
        <f>'DICTIONARY-3'!$A$200</f>
        <v>Zawór zwrotny</v>
      </c>
      <c r="R1276" s="732" t="str">
        <f>CONCATENATE('DICTIONARY-3'!$A$99," ",'DICTIONARY-6'!$A$20," ",'DICTIONARY-2'!$A$2,"50"," ",'DICTIONARY-2'!$A$3,"10/16"," ","R48"," ",'DICTIONARY-5'!$A$34,"/",'DICTIONARY-5'!$A$44,", ",'DICTIONARY-4'!$A$16)</f>
        <v>RETA Zaw. zwrotny DN50 PN10/16 R48 A2/EPDM, DC</v>
      </c>
      <c r="S1276" s="733" t="str">
        <f>'DICTIONARY-4'!$A$16</f>
        <v>DC</v>
      </c>
      <c r="T1276" s="732" t="str">
        <f>'DICTIONARY-4'!$A$32</f>
        <v>Dżwignia z ciężarem</v>
      </c>
      <c r="U1276" s="734" t="s">
        <v>5748</v>
      </c>
      <c r="V1276" s="735">
        <v>16</v>
      </c>
      <c r="W1276" s="736"/>
      <c r="X1276" s="737"/>
      <c r="Y1276" s="738"/>
      <c r="Z1276" s="739"/>
      <c r="AA1276" s="739"/>
      <c r="AB1276" s="740">
        <v>16</v>
      </c>
      <c r="AC1276" s="741" t="str">
        <f>'DICTIONARY-5'!$A$11&amp;" 48"</f>
        <v>EN 558 szereg 48</v>
      </c>
      <c r="AD1276" s="741" t="str">
        <f>'DICTIONARY-5'!$A$13&amp;", "&amp;'DICTIONARY-5'!$A$14</f>
        <v>woda pitna, ścieki</v>
      </c>
      <c r="AE1276" s="742">
        <v>70</v>
      </c>
      <c r="AF1276" s="743">
        <v>11.5</v>
      </c>
      <c r="AG1276" s="741" t="str">
        <f>'DICTIONARY-5'!$A$23</f>
        <v>powłoka epoksydowa</v>
      </c>
    </row>
    <row r="1277" spans="1:33" x14ac:dyDescent="0.25">
      <c r="A1277" s="861" t="s">
        <v>1276</v>
      </c>
      <c r="B1277" s="861" t="s">
        <v>4421</v>
      </c>
      <c r="C1277" s="836">
        <v>380</v>
      </c>
      <c r="D1277" s="836"/>
      <c r="E1277" s="836"/>
      <c r="F1277" s="836"/>
      <c r="G1277" s="496" t="s">
        <v>7824</v>
      </c>
      <c r="H1277" s="797" t="str">
        <f>VLOOKUP(G1277,SETTINGS!$B$7:$D$97,2,0)</f>
        <v>RETA</v>
      </c>
      <c r="I1277" s="796">
        <f>VLOOKUP(G1277,SETTINGS!$B$7:$D$97,3,0)</f>
        <v>0</v>
      </c>
      <c r="J1277" s="670" t="str">
        <f>IFERROR(IF(CURRENCY.FORMAT_1=0,CONCATENATE(TEXT(FIXED(ROUND((C1277/EXC.RATE_1),CURRENCY.FORMAT_1),CURRENCY.FORMAT_1,1),"# ##0;-# ##0"),",-"),FIXED(ROUND((C1277/EXC.RATE_1),CURRENCY.FORMAT_1),CURRENCY.FORMAT_1,0)),'DICTIONARY-5'!$A$2)</f>
        <v>380,-</v>
      </c>
      <c r="K1277" s="670" t="str">
        <f>IF(EXC.RATE_2=0,"",IFERROR(IF(CURRENCY.FORMAT_2=0,CONCATENATE(TEXT(FIXED(ROUND(IF(EXC.RATE.SWITCH=1,C1277/EXC.RATE_2,C1277*EXC.RATE_2),CURRENCY.FORMAT_2),CURRENCY.FORMAT_2,1),"# ##0;-# ##0"),",-"),FIXED(ROUND(IF(EXC.RATE.SWITCH=1,C1277/EXC.RATE_2,C1277*EXC.RATE_2),CURRENCY.FORMAT_2),CURRENCY.FORMAT_2,0)),'DICTIONARY-5'!$A$2))</f>
        <v/>
      </c>
      <c r="L1277" s="670" t="str">
        <f>IFERROR(IF(CURRENCY.FORMAT_1=0,CONCATENATE(TEXT(FIXED(ROUND((C1277*(1-I1277)*(1-ADD.DISCOUNT)*(1+MAT.SURCHARGE)/EXC.RATE_1),CURRENCY.FORMAT_1),CURRENCY.FORMAT_1,1),"# ##0;-# ##0"),",-"),FIXED(ROUND((C1277*(1-I1277)*(1-ADD.DISCOUNT)*(1+MAT.SURCHARGE)/EXC.RATE_1),CURRENCY.FORMAT_1),CURRENCY.FORMAT_1,0)),'DICTIONARY-5'!$A$2)</f>
        <v>395,-</v>
      </c>
      <c r="M1277" s="670" t="str">
        <f>IF(EXC.RATE_2=0,"",IFERROR(IF(CURRENCY.FORMAT_2=0,CONCATENATE(TEXT(FIXED(ROUND(IF(EXC.RATE.SWITCH=1,C1277*(1-I1277)*(1-ADD.DISCOUNT)*(1+MAT.SURCHARGE)/EXC.RATE_2,C1277*(1-I1277)*(1-ADD.DISCOUNT)*(1+MAT.SURCHARGE)*EXC.RATE_2),CURRENCY.FORMAT_2),CURRENCY.FORMAT_2,1),"# ##0;-# ##0"),",-"),FIXED(ROUND(IF(EXC.RATE.SWITCH=1,C1277*(1-I1277)*(1-ADD.DISCOUNT)*(1+MAT.SURCHARGE)/EXC.RATE_2,C1277*(1-I1277)*(1-ADD.DISCOUNT)*(1+MAT.SURCHARGE)*EXC.RATE_2),CURRENCY.FORMAT_2),CURRENCY.FORMAT_2,0)),'DICTIONARY-5'!$A$2))</f>
        <v/>
      </c>
      <c r="N1277" s="539">
        <v>5</v>
      </c>
      <c r="O1277" s="539"/>
      <c r="P1277" s="731" t="str">
        <f>'DICTIONARY-3'!$A$99</f>
        <v>RETA</v>
      </c>
      <c r="Q1277" s="732" t="str">
        <f>'DICTIONARY-3'!$A$200</f>
        <v>Zawór zwrotny</v>
      </c>
      <c r="R1277" s="732" t="str">
        <f>CONCATENATE('DICTIONARY-3'!$A$99," ",'DICTIONARY-6'!$A$20," ",'DICTIONARY-2'!$A$2,"65"," ",'DICTIONARY-2'!$A$3,"10/16"," ","R48"," ",'DICTIONARY-5'!$A$34,"/",'DICTIONARY-5'!$A$44,", ",'DICTIONARY-4'!$A$16)</f>
        <v>RETA Zaw. zwrotny DN65 PN10/16 R48 A2/EPDM, DC</v>
      </c>
      <c r="S1277" s="733" t="str">
        <f>'DICTIONARY-4'!$A$16</f>
        <v>DC</v>
      </c>
      <c r="T1277" s="732" t="str">
        <f>'DICTIONARY-4'!$A$32</f>
        <v>Dżwignia z ciężarem</v>
      </c>
      <c r="U1277" s="734" t="s">
        <v>5759</v>
      </c>
      <c r="V1277" s="735">
        <v>16</v>
      </c>
      <c r="W1277" s="736"/>
      <c r="X1277" s="737"/>
      <c r="Y1277" s="738"/>
      <c r="Z1277" s="739"/>
      <c r="AA1277" s="739"/>
      <c r="AB1277" s="740">
        <v>16</v>
      </c>
      <c r="AC1277" s="741" t="str">
        <f>'DICTIONARY-5'!$A$11&amp;" 48"</f>
        <v>EN 558 szereg 48</v>
      </c>
      <c r="AD1277" s="741" t="str">
        <f>'DICTIONARY-5'!$A$13&amp;", "&amp;'DICTIONARY-5'!$A$14</f>
        <v>woda pitna, ścieki</v>
      </c>
      <c r="AE1277" s="742">
        <v>70</v>
      </c>
      <c r="AF1277" s="743">
        <v>16</v>
      </c>
      <c r="AG1277" s="741" t="str">
        <f>'DICTIONARY-5'!$A$23</f>
        <v>powłoka epoksydowa</v>
      </c>
    </row>
    <row r="1278" spans="1:33" x14ac:dyDescent="0.25">
      <c r="A1278" s="861" t="s">
        <v>1278</v>
      </c>
      <c r="B1278" s="861" t="s">
        <v>4423</v>
      </c>
      <c r="C1278" s="836">
        <v>376</v>
      </c>
      <c r="D1278" s="836"/>
      <c r="E1278" s="836"/>
      <c r="F1278" s="836"/>
      <c r="G1278" s="496" t="s">
        <v>7824</v>
      </c>
      <c r="H1278" s="797" t="str">
        <f>VLOOKUP(G1278,SETTINGS!$B$7:$D$97,2,0)</f>
        <v>RETA</v>
      </c>
      <c r="I1278" s="796">
        <f>VLOOKUP(G1278,SETTINGS!$B$7:$D$97,3,0)</f>
        <v>0</v>
      </c>
      <c r="J1278" s="670" t="str">
        <f>IFERROR(IF(CURRENCY.FORMAT_1=0,CONCATENATE(TEXT(FIXED(ROUND((C1278/EXC.RATE_1),CURRENCY.FORMAT_1),CURRENCY.FORMAT_1,1),"# ##0;-# ##0"),",-"),FIXED(ROUND((C1278/EXC.RATE_1),CURRENCY.FORMAT_1),CURRENCY.FORMAT_1,0)),'DICTIONARY-5'!$A$2)</f>
        <v>376,-</v>
      </c>
      <c r="K1278" s="670" t="str">
        <f>IF(EXC.RATE_2=0,"",IFERROR(IF(CURRENCY.FORMAT_2=0,CONCATENATE(TEXT(FIXED(ROUND(IF(EXC.RATE.SWITCH=1,C1278/EXC.RATE_2,C1278*EXC.RATE_2),CURRENCY.FORMAT_2),CURRENCY.FORMAT_2,1),"# ##0;-# ##0"),",-"),FIXED(ROUND(IF(EXC.RATE.SWITCH=1,C1278/EXC.RATE_2,C1278*EXC.RATE_2),CURRENCY.FORMAT_2),CURRENCY.FORMAT_2,0)),'DICTIONARY-5'!$A$2))</f>
        <v/>
      </c>
      <c r="L1278" s="670" t="str">
        <f>IFERROR(IF(CURRENCY.FORMAT_1=0,CONCATENATE(TEXT(FIXED(ROUND((C1278*(1-I1278)*(1-ADD.DISCOUNT)*(1+MAT.SURCHARGE)/EXC.RATE_1),CURRENCY.FORMAT_1),CURRENCY.FORMAT_1,1),"# ##0;-# ##0"),",-"),FIXED(ROUND((C1278*(1-I1278)*(1-ADD.DISCOUNT)*(1+MAT.SURCHARGE)/EXC.RATE_1),CURRENCY.FORMAT_1),CURRENCY.FORMAT_1,0)),'DICTIONARY-5'!$A$2)</f>
        <v>391,-</v>
      </c>
      <c r="M1278" s="670" t="str">
        <f>IF(EXC.RATE_2=0,"",IFERROR(IF(CURRENCY.FORMAT_2=0,CONCATENATE(TEXT(FIXED(ROUND(IF(EXC.RATE.SWITCH=1,C1278*(1-I1278)*(1-ADD.DISCOUNT)*(1+MAT.SURCHARGE)/EXC.RATE_2,C1278*(1-I1278)*(1-ADD.DISCOUNT)*(1+MAT.SURCHARGE)*EXC.RATE_2),CURRENCY.FORMAT_2),CURRENCY.FORMAT_2,1),"# ##0;-# ##0"),",-"),FIXED(ROUND(IF(EXC.RATE.SWITCH=1,C1278*(1-I1278)*(1-ADD.DISCOUNT)*(1+MAT.SURCHARGE)/EXC.RATE_2,C1278*(1-I1278)*(1-ADD.DISCOUNT)*(1+MAT.SURCHARGE)*EXC.RATE_2),CURRENCY.FORMAT_2),CURRENCY.FORMAT_2,0)),'DICTIONARY-5'!$A$2))</f>
        <v/>
      </c>
      <c r="N1278" s="539">
        <v>5</v>
      </c>
      <c r="O1278" s="539"/>
      <c r="P1278" s="731" t="str">
        <f>'DICTIONARY-3'!$A$99</f>
        <v>RETA</v>
      </c>
      <c r="Q1278" s="732" t="str">
        <f>'DICTIONARY-3'!$A$200</f>
        <v>Zawór zwrotny</v>
      </c>
      <c r="R1278" s="732" t="str">
        <f>CONCATENATE('DICTIONARY-3'!$A$99," ",'DICTIONARY-6'!$A$20," ",'DICTIONARY-2'!$A$2,"80"," ",'DICTIONARY-2'!$A$3,"10/16"," ","R48"," ",'DICTIONARY-5'!$A$34,"/",'DICTIONARY-5'!$A$44,", ",'DICTIONARY-4'!$A$16)</f>
        <v>RETA Zaw. zwrotny DN80 PN10/16 R48 A2/EPDM, DC</v>
      </c>
      <c r="S1278" s="733" t="str">
        <f>'DICTIONARY-4'!$A$16</f>
        <v>DC</v>
      </c>
      <c r="T1278" s="732" t="str">
        <f>'DICTIONARY-4'!$A$32</f>
        <v>Dżwignia z ciężarem</v>
      </c>
      <c r="U1278" s="734" t="s">
        <v>5760</v>
      </c>
      <c r="V1278" s="735">
        <v>16</v>
      </c>
      <c r="W1278" s="736"/>
      <c r="X1278" s="737"/>
      <c r="Y1278" s="738"/>
      <c r="Z1278" s="739"/>
      <c r="AA1278" s="739"/>
      <c r="AB1278" s="740">
        <v>16</v>
      </c>
      <c r="AC1278" s="741" t="str">
        <f>'DICTIONARY-5'!$A$11&amp;" 48"</f>
        <v>EN 558 szereg 48</v>
      </c>
      <c r="AD1278" s="741" t="str">
        <f>'DICTIONARY-5'!$A$13&amp;", "&amp;'DICTIONARY-5'!$A$14</f>
        <v>woda pitna, ścieki</v>
      </c>
      <c r="AE1278" s="742">
        <v>70</v>
      </c>
      <c r="AF1278" s="743">
        <v>20</v>
      </c>
      <c r="AG1278" s="741" t="str">
        <f>'DICTIONARY-5'!$A$23</f>
        <v>powłoka epoksydowa</v>
      </c>
    </row>
    <row r="1279" spans="1:33" x14ac:dyDescent="0.25">
      <c r="A1279" s="861" t="s">
        <v>1280</v>
      </c>
      <c r="B1279" s="861" t="s">
        <v>4451</v>
      </c>
      <c r="C1279" s="836">
        <v>449</v>
      </c>
      <c r="D1279" s="836"/>
      <c r="E1279" s="836"/>
      <c r="F1279" s="836"/>
      <c r="G1279" s="496" t="s">
        <v>7824</v>
      </c>
      <c r="H1279" s="797" t="str">
        <f>VLOOKUP(G1279,SETTINGS!$B$7:$D$97,2,0)</f>
        <v>RETA</v>
      </c>
      <c r="I1279" s="796">
        <f>VLOOKUP(G1279,SETTINGS!$B$7:$D$97,3,0)</f>
        <v>0</v>
      </c>
      <c r="J1279" s="670" t="str">
        <f>IFERROR(IF(CURRENCY.FORMAT_1=0,CONCATENATE(TEXT(FIXED(ROUND((C1279/EXC.RATE_1),CURRENCY.FORMAT_1),CURRENCY.FORMAT_1,1),"# ##0;-# ##0"),",-"),FIXED(ROUND((C1279/EXC.RATE_1),CURRENCY.FORMAT_1),CURRENCY.FORMAT_1,0)),'DICTIONARY-5'!$A$2)</f>
        <v>449,-</v>
      </c>
      <c r="K1279" s="670" t="str">
        <f>IF(EXC.RATE_2=0,"",IFERROR(IF(CURRENCY.FORMAT_2=0,CONCATENATE(TEXT(FIXED(ROUND(IF(EXC.RATE.SWITCH=1,C1279/EXC.RATE_2,C1279*EXC.RATE_2),CURRENCY.FORMAT_2),CURRENCY.FORMAT_2,1),"# ##0;-# ##0"),",-"),FIXED(ROUND(IF(EXC.RATE.SWITCH=1,C1279/EXC.RATE_2,C1279*EXC.RATE_2),CURRENCY.FORMAT_2),CURRENCY.FORMAT_2,0)),'DICTIONARY-5'!$A$2))</f>
        <v/>
      </c>
      <c r="L1279" s="670" t="str">
        <f>IFERROR(IF(CURRENCY.FORMAT_1=0,CONCATENATE(TEXT(FIXED(ROUND((C1279*(1-I1279)*(1-ADD.DISCOUNT)*(1+MAT.SURCHARGE)/EXC.RATE_1),CURRENCY.FORMAT_1),CURRENCY.FORMAT_1,1),"# ##0;-# ##0"),",-"),FIXED(ROUND((C1279*(1-I1279)*(1-ADD.DISCOUNT)*(1+MAT.SURCHARGE)/EXC.RATE_1),CURRENCY.FORMAT_1),CURRENCY.FORMAT_1,0)),'DICTIONARY-5'!$A$2)</f>
        <v>467,-</v>
      </c>
      <c r="M1279" s="670" t="str">
        <f>IF(EXC.RATE_2=0,"",IFERROR(IF(CURRENCY.FORMAT_2=0,CONCATENATE(TEXT(FIXED(ROUND(IF(EXC.RATE.SWITCH=1,C1279*(1-I1279)*(1-ADD.DISCOUNT)*(1+MAT.SURCHARGE)/EXC.RATE_2,C1279*(1-I1279)*(1-ADD.DISCOUNT)*(1+MAT.SURCHARGE)*EXC.RATE_2),CURRENCY.FORMAT_2),CURRENCY.FORMAT_2,1),"# ##0;-# ##0"),",-"),FIXED(ROUND(IF(EXC.RATE.SWITCH=1,C1279*(1-I1279)*(1-ADD.DISCOUNT)*(1+MAT.SURCHARGE)/EXC.RATE_2,C1279*(1-I1279)*(1-ADD.DISCOUNT)*(1+MAT.SURCHARGE)*EXC.RATE_2),CURRENCY.FORMAT_2),CURRENCY.FORMAT_2,0)),'DICTIONARY-5'!$A$2))</f>
        <v/>
      </c>
      <c r="N1279" s="539">
        <v>5</v>
      </c>
      <c r="O1279" s="539"/>
      <c r="P1279" s="731" t="str">
        <f>'DICTIONARY-3'!$A$99</f>
        <v>RETA</v>
      </c>
      <c r="Q1279" s="732" t="str">
        <f>'DICTIONARY-3'!$A$200</f>
        <v>Zawór zwrotny</v>
      </c>
      <c r="R1279" s="732" t="str">
        <f>CONCATENATE('DICTIONARY-3'!$A$99," ",'DICTIONARY-6'!$A$20," ",'DICTIONARY-2'!$A$2,"100"," ",'DICTIONARY-2'!$A$3,"10/16"," ","R48"," ",'DICTIONARY-5'!$A$34,"/",'DICTIONARY-5'!$A$44,", ",'DICTIONARY-4'!$A$16)</f>
        <v>RETA Zaw. zwrotny DN100 PN10/16 R48 A2/EPDM, DC</v>
      </c>
      <c r="S1279" s="733" t="str">
        <f>'DICTIONARY-4'!$A$16</f>
        <v>DC</v>
      </c>
      <c r="T1279" s="732" t="str">
        <f>'DICTIONARY-4'!$A$32</f>
        <v>Dżwignia z ciężarem</v>
      </c>
      <c r="U1279" s="734" t="s">
        <v>5749</v>
      </c>
      <c r="V1279" s="735">
        <v>16</v>
      </c>
      <c r="W1279" s="736"/>
      <c r="X1279" s="737"/>
      <c r="Y1279" s="738"/>
      <c r="Z1279" s="739"/>
      <c r="AA1279" s="739"/>
      <c r="AB1279" s="740">
        <v>16</v>
      </c>
      <c r="AC1279" s="741" t="str">
        <f>'DICTIONARY-5'!$A$11&amp;" 48"</f>
        <v>EN 558 szereg 48</v>
      </c>
      <c r="AD1279" s="741" t="str">
        <f>'DICTIONARY-5'!$A$13&amp;", "&amp;'DICTIONARY-5'!$A$14</f>
        <v>woda pitna, ścieki</v>
      </c>
      <c r="AE1279" s="742">
        <v>70</v>
      </c>
      <c r="AF1279" s="743">
        <v>29</v>
      </c>
      <c r="AG1279" s="741" t="str">
        <f>'DICTIONARY-5'!$A$23</f>
        <v>powłoka epoksydowa</v>
      </c>
    </row>
    <row r="1280" spans="1:33" x14ac:dyDescent="0.25">
      <c r="A1280" s="861" t="s">
        <v>1282</v>
      </c>
      <c r="B1280" s="861" t="s">
        <v>4453</v>
      </c>
      <c r="C1280" s="836">
        <v>557</v>
      </c>
      <c r="D1280" s="836"/>
      <c r="E1280" s="836"/>
      <c r="F1280" s="836"/>
      <c r="G1280" s="496" t="s">
        <v>7824</v>
      </c>
      <c r="H1280" s="797" t="str">
        <f>VLOOKUP(G1280,SETTINGS!$B$7:$D$97,2,0)</f>
        <v>RETA</v>
      </c>
      <c r="I1280" s="796">
        <f>VLOOKUP(G1280,SETTINGS!$B$7:$D$97,3,0)</f>
        <v>0</v>
      </c>
      <c r="J1280" s="670" t="str">
        <f>IFERROR(IF(CURRENCY.FORMAT_1=0,CONCATENATE(TEXT(FIXED(ROUND((C1280/EXC.RATE_1),CURRENCY.FORMAT_1),CURRENCY.FORMAT_1,1),"# ##0;-# ##0"),",-"),FIXED(ROUND((C1280/EXC.RATE_1),CURRENCY.FORMAT_1),CURRENCY.FORMAT_1,0)),'DICTIONARY-5'!$A$2)</f>
        <v>557,-</v>
      </c>
      <c r="K1280" s="670" t="str">
        <f>IF(EXC.RATE_2=0,"",IFERROR(IF(CURRENCY.FORMAT_2=0,CONCATENATE(TEXT(FIXED(ROUND(IF(EXC.RATE.SWITCH=1,C1280/EXC.RATE_2,C1280*EXC.RATE_2),CURRENCY.FORMAT_2),CURRENCY.FORMAT_2,1),"# ##0;-# ##0"),",-"),FIXED(ROUND(IF(EXC.RATE.SWITCH=1,C1280/EXC.RATE_2,C1280*EXC.RATE_2),CURRENCY.FORMAT_2),CURRENCY.FORMAT_2,0)),'DICTIONARY-5'!$A$2))</f>
        <v/>
      </c>
      <c r="L1280" s="670" t="str">
        <f>IFERROR(IF(CURRENCY.FORMAT_1=0,CONCATENATE(TEXT(FIXED(ROUND((C1280*(1-I1280)*(1-ADD.DISCOUNT)*(1+MAT.SURCHARGE)/EXC.RATE_1),CURRENCY.FORMAT_1),CURRENCY.FORMAT_1,1),"# ##0;-# ##0"),",-"),FIXED(ROUND((C1280*(1-I1280)*(1-ADD.DISCOUNT)*(1+MAT.SURCHARGE)/EXC.RATE_1),CURRENCY.FORMAT_1),CURRENCY.FORMAT_1,0)),'DICTIONARY-5'!$A$2)</f>
        <v>579,-</v>
      </c>
      <c r="M1280" s="670" t="str">
        <f>IF(EXC.RATE_2=0,"",IFERROR(IF(CURRENCY.FORMAT_2=0,CONCATENATE(TEXT(FIXED(ROUND(IF(EXC.RATE.SWITCH=1,C1280*(1-I1280)*(1-ADD.DISCOUNT)*(1+MAT.SURCHARGE)/EXC.RATE_2,C1280*(1-I1280)*(1-ADD.DISCOUNT)*(1+MAT.SURCHARGE)*EXC.RATE_2),CURRENCY.FORMAT_2),CURRENCY.FORMAT_2,1),"# ##0;-# ##0"),",-"),FIXED(ROUND(IF(EXC.RATE.SWITCH=1,C1280*(1-I1280)*(1-ADD.DISCOUNT)*(1+MAT.SURCHARGE)/EXC.RATE_2,C1280*(1-I1280)*(1-ADD.DISCOUNT)*(1+MAT.SURCHARGE)*EXC.RATE_2),CURRENCY.FORMAT_2),CURRENCY.FORMAT_2,0)),'DICTIONARY-5'!$A$2))</f>
        <v/>
      </c>
      <c r="N1280" s="539">
        <v>5</v>
      </c>
      <c r="O1280" s="539"/>
      <c r="P1280" s="731" t="str">
        <f>'DICTIONARY-3'!$A$99</f>
        <v>RETA</v>
      </c>
      <c r="Q1280" s="732" t="str">
        <f>'DICTIONARY-3'!$A$200</f>
        <v>Zawór zwrotny</v>
      </c>
      <c r="R1280" s="732" t="str">
        <f>CONCATENATE('DICTIONARY-3'!$A$99," ",'DICTIONARY-6'!$A$20," ",'DICTIONARY-2'!$A$2,"125"," ",'DICTIONARY-2'!$A$3,"10/16"," ","R48"," ",'DICTIONARY-5'!$A$34,"/",'DICTIONARY-5'!$A$44,", ",'DICTIONARY-4'!$A$16)</f>
        <v>RETA Zaw. zwrotny DN125 PN10/16 R48 A2/EPDM, DC</v>
      </c>
      <c r="S1280" s="733" t="str">
        <f>'DICTIONARY-4'!$A$16</f>
        <v>DC</v>
      </c>
      <c r="T1280" s="732" t="str">
        <f>'DICTIONARY-4'!$A$32</f>
        <v>Dżwignia z ciężarem</v>
      </c>
      <c r="U1280" s="734" t="s">
        <v>5761</v>
      </c>
      <c r="V1280" s="735">
        <v>16</v>
      </c>
      <c r="W1280" s="736"/>
      <c r="X1280" s="737"/>
      <c r="Y1280" s="738"/>
      <c r="Z1280" s="739"/>
      <c r="AA1280" s="739"/>
      <c r="AB1280" s="740">
        <v>16</v>
      </c>
      <c r="AC1280" s="741" t="str">
        <f>'DICTIONARY-5'!$A$11&amp;" 48"</f>
        <v>EN 558 szereg 48</v>
      </c>
      <c r="AD1280" s="741" t="str">
        <f>'DICTIONARY-5'!$A$13&amp;", "&amp;'DICTIONARY-5'!$A$14</f>
        <v>woda pitna, ścieki</v>
      </c>
      <c r="AE1280" s="742">
        <v>70</v>
      </c>
      <c r="AF1280" s="743">
        <v>37</v>
      </c>
      <c r="AG1280" s="741" t="str">
        <f>'DICTIONARY-5'!$A$23</f>
        <v>powłoka epoksydowa</v>
      </c>
    </row>
    <row r="1281" spans="1:33" x14ac:dyDescent="0.25">
      <c r="A1281" s="861" t="s">
        <v>1284</v>
      </c>
      <c r="B1281" s="861" t="s">
        <v>4455</v>
      </c>
      <c r="C1281" s="836">
        <v>751</v>
      </c>
      <c r="D1281" s="836"/>
      <c r="E1281" s="836"/>
      <c r="F1281" s="836"/>
      <c r="G1281" s="496" t="s">
        <v>7824</v>
      </c>
      <c r="H1281" s="797" t="str">
        <f>VLOOKUP(G1281,SETTINGS!$B$7:$D$97,2,0)</f>
        <v>RETA</v>
      </c>
      <c r="I1281" s="796">
        <f>VLOOKUP(G1281,SETTINGS!$B$7:$D$97,3,0)</f>
        <v>0</v>
      </c>
      <c r="J1281" s="670" t="str">
        <f>IFERROR(IF(CURRENCY.FORMAT_1=0,CONCATENATE(TEXT(FIXED(ROUND((C1281/EXC.RATE_1),CURRENCY.FORMAT_1),CURRENCY.FORMAT_1,1),"# ##0;-# ##0"),",-"),FIXED(ROUND((C1281/EXC.RATE_1),CURRENCY.FORMAT_1),CURRENCY.FORMAT_1,0)),'DICTIONARY-5'!$A$2)</f>
        <v>751,-</v>
      </c>
      <c r="K1281" s="670" t="str">
        <f>IF(EXC.RATE_2=0,"",IFERROR(IF(CURRENCY.FORMAT_2=0,CONCATENATE(TEXT(FIXED(ROUND(IF(EXC.RATE.SWITCH=1,C1281/EXC.RATE_2,C1281*EXC.RATE_2),CURRENCY.FORMAT_2),CURRENCY.FORMAT_2,1),"# ##0;-# ##0"),",-"),FIXED(ROUND(IF(EXC.RATE.SWITCH=1,C1281/EXC.RATE_2,C1281*EXC.RATE_2),CURRENCY.FORMAT_2),CURRENCY.FORMAT_2,0)),'DICTIONARY-5'!$A$2))</f>
        <v/>
      </c>
      <c r="L1281" s="670" t="str">
        <f>IFERROR(IF(CURRENCY.FORMAT_1=0,CONCATENATE(TEXT(FIXED(ROUND((C1281*(1-I1281)*(1-ADD.DISCOUNT)*(1+MAT.SURCHARGE)/EXC.RATE_1),CURRENCY.FORMAT_1),CURRENCY.FORMAT_1,1),"# ##0;-# ##0"),",-"),FIXED(ROUND((C1281*(1-I1281)*(1-ADD.DISCOUNT)*(1+MAT.SURCHARGE)/EXC.RATE_1),CURRENCY.FORMAT_1),CURRENCY.FORMAT_1,0)),'DICTIONARY-5'!$A$2)</f>
        <v>780,-</v>
      </c>
      <c r="M1281" s="670" t="str">
        <f>IF(EXC.RATE_2=0,"",IFERROR(IF(CURRENCY.FORMAT_2=0,CONCATENATE(TEXT(FIXED(ROUND(IF(EXC.RATE.SWITCH=1,C1281*(1-I1281)*(1-ADD.DISCOUNT)*(1+MAT.SURCHARGE)/EXC.RATE_2,C1281*(1-I1281)*(1-ADD.DISCOUNT)*(1+MAT.SURCHARGE)*EXC.RATE_2),CURRENCY.FORMAT_2),CURRENCY.FORMAT_2,1),"# ##0;-# ##0"),",-"),FIXED(ROUND(IF(EXC.RATE.SWITCH=1,C1281*(1-I1281)*(1-ADD.DISCOUNT)*(1+MAT.SURCHARGE)/EXC.RATE_2,C1281*(1-I1281)*(1-ADD.DISCOUNT)*(1+MAT.SURCHARGE)*EXC.RATE_2),CURRENCY.FORMAT_2),CURRENCY.FORMAT_2,0)),'DICTIONARY-5'!$A$2))</f>
        <v/>
      </c>
      <c r="N1281" s="539">
        <v>5</v>
      </c>
      <c r="O1281" s="539"/>
      <c r="P1281" s="731" t="str">
        <f>'DICTIONARY-3'!$A$99</f>
        <v>RETA</v>
      </c>
      <c r="Q1281" s="732" t="str">
        <f>'DICTIONARY-3'!$A$200</f>
        <v>Zawór zwrotny</v>
      </c>
      <c r="R1281" s="732" t="str">
        <f>CONCATENATE('DICTIONARY-3'!$A$99," ",'DICTIONARY-6'!$A$20," ",'DICTIONARY-2'!$A$2,"150"," ",'DICTIONARY-2'!$A$3,"10/16"," ","R48"," ",'DICTIONARY-5'!$A$34,"/",'DICTIONARY-5'!$A$44,", ",'DICTIONARY-4'!$A$16)</f>
        <v>RETA Zaw. zwrotny DN150 PN10/16 R48 A2/EPDM, DC</v>
      </c>
      <c r="S1281" s="733" t="str">
        <f>'DICTIONARY-4'!$A$16</f>
        <v>DC</v>
      </c>
      <c r="T1281" s="732" t="str">
        <f>'DICTIONARY-4'!$A$32</f>
        <v>Dżwignia z ciężarem</v>
      </c>
      <c r="U1281" s="734" t="s">
        <v>5572</v>
      </c>
      <c r="V1281" s="735">
        <v>16</v>
      </c>
      <c r="W1281" s="736"/>
      <c r="X1281" s="737"/>
      <c r="Y1281" s="738"/>
      <c r="Z1281" s="739"/>
      <c r="AA1281" s="739"/>
      <c r="AB1281" s="740">
        <v>16</v>
      </c>
      <c r="AC1281" s="741" t="str">
        <f>'DICTIONARY-5'!$A$11&amp;" 48"</f>
        <v>EN 558 szereg 48</v>
      </c>
      <c r="AD1281" s="741" t="str">
        <f>'DICTIONARY-5'!$A$13&amp;", "&amp;'DICTIONARY-5'!$A$14</f>
        <v>woda pitna, ścieki</v>
      </c>
      <c r="AE1281" s="742">
        <v>70</v>
      </c>
      <c r="AF1281" s="743">
        <v>55.5</v>
      </c>
      <c r="AG1281" s="741" t="str">
        <f>'DICTIONARY-5'!$A$23</f>
        <v>powłoka epoksydowa</v>
      </c>
    </row>
    <row r="1282" spans="1:33" x14ac:dyDescent="0.25">
      <c r="A1282" s="861" t="s">
        <v>1286</v>
      </c>
      <c r="B1282" s="861" t="s">
        <v>4457</v>
      </c>
      <c r="C1282" s="836">
        <v>1026</v>
      </c>
      <c r="D1282" s="836"/>
      <c r="E1282" s="836"/>
      <c r="F1282" s="836"/>
      <c r="G1282" s="496" t="s">
        <v>7824</v>
      </c>
      <c r="H1282" s="797" t="str">
        <f>VLOOKUP(G1282,SETTINGS!$B$7:$D$97,2,0)</f>
        <v>RETA</v>
      </c>
      <c r="I1282" s="796">
        <f>VLOOKUP(G1282,SETTINGS!$B$7:$D$97,3,0)</f>
        <v>0</v>
      </c>
      <c r="J1282" s="670" t="str">
        <f>IFERROR(IF(CURRENCY.FORMAT_1=0,CONCATENATE(TEXT(FIXED(ROUND((C1282/EXC.RATE_1),CURRENCY.FORMAT_1),CURRENCY.FORMAT_1,1),"# ##0;-# ##0"),",-"),FIXED(ROUND((C1282/EXC.RATE_1),CURRENCY.FORMAT_1),CURRENCY.FORMAT_1,0)),'DICTIONARY-5'!$A$2)</f>
        <v>1 026,-</v>
      </c>
      <c r="K1282" s="670" t="str">
        <f>IF(EXC.RATE_2=0,"",IFERROR(IF(CURRENCY.FORMAT_2=0,CONCATENATE(TEXT(FIXED(ROUND(IF(EXC.RATE.SWITCH=1,C1282/EXC.RATE_2,C1282*EXC.RATE_2),CURRENCY.FORMAT_2),CURRENCY.FORMAT_2,1),"# ##0;-# ##0"),",-"),FIXED(ROUND(IF(EXC.RATE.SWITCH=1,C1282/EXC.RATE_2,C1282*EXC.RATE_2),CURRENCY.FORMAT_2),CURRENCY.FORMAT_2,0)),'DICTIONARY-5'!$A$2))</f>
        <v/>
      </c>
      <c r="L1282" s="670" t="str">
        <f>IFERROR(IF(CURRENCY.FORMAT_1=0,CONCATENATE(TEXT(FIXED(ROUND((C1282*(1-I1282)*(1-ADD.DISCOUNT)*(1+MAT.SURCHARGE)/EXC.RATE_1),CURRENCY.FORMAT_1),CURRENCY.FORMAT_1,1),"# ##0;-# ##0"),",-"),FIXED(ROUND((C1282*(1-I1282)*(1-ADD.DISCOUNT)*(1+MAT.SURCHARGE)/EXC.RATE_1),CURRENCY.FORMAT_1),CURRENCY.FORMAT_1,0)),'DICTIONARY-5'!$A$2)</f>
        <v>1 066,-</v>
      </c>
      <c r="M1282" s="670" t="str">
        <f>IF(EXC.RATE_2=0,"",IFERROR(IF(CURRENCY.FORMAT_2=0,CONCATENATE(TEXT(FIXED(ROUND(IF(EXC.RATE.SWITCH=1,C1282*(1-I1282)*(1-ADD.DISCOUNT)*(1+MAT.SURCHARGE)/EXC.RATE_2,C1282*(1-I1282)*(1-ADD.DISCOUNT)*(1+MAT.SURCHARGE)*EXC.RATE_2),CURRENCY.FORMAT_2),CURRENCY.FORMAT_2,1),"# ##0;-# ##0"),",-"),FIXED(ROUND(IF(EXC.RATE.SWITCH=1,C1282*(1-I1282)*(1-ADD.DISCOUNT)*(1+MAT.SURCHARGE)/EXC.RATE_2,C1282*(1-I1282)*(1-ADD.DISCOUNT)*(1+MAT.SURCHARGE)*EXC.RATE_2),CURRENCY.FORMAT_2),CURRENCY.FORMAT_2,0)),'DICTIONARY-5'!$A$2))</f>
        <v/>
      </c>
      <c r="N1282" s="539">
        <v>5</v>
      </c>
      <c r="O1282" s="539"/>
      <c r="P1282" s="731" t="str">
        <f>'DICTIONARY-3'!$A$99</f>
        <v>RETA</v>
      </c>
      <c r="Q1282" s="732" t="str">
        <f>'DICTIONARY-3'!$A$200</f>
        <v>Zawór zwrotny</v>
      </c>
      <c r="R1282" s="732" t="str">
        <f>CONCATENATE('DICTIONARY-3'!$A$99," ",'DICTIONARY-6'!$A$20," ",'DICTIONARY-2'!$A$2,"200"," ",'DICTIONARY-2'!$A$3,"16"," ","R48"," ",'DICTIONARY-5'!$A$34,"/",'DICTIONARY-5'!$A$44,", ",'DICTIONARY-4'!$A$16)</f>
        <v>RETA Zaw. zwrotny DN200 PN16 R48 A2/EPDM, DC</v>
      </c>
      <c r="S1282" s="733" t="str">
        <f>'DICTIONARY-4'!$A$16</f>
        <v>DC</v>
      </c>
      <c r="T1282" s="732" t="str">
        <f>'DICTIONARY-4'!$A$32</f>
        <v>Dżwignia z ciężarem</v>
      </c>
      <c r="U1282" s="734" t="s">
        <v>5750</v>
      </c>
      <c r="V1282" s="735">
        <v>16</v>
      </c>
      <c r="W1282" s="736"/>
      <c r="X1282" s="737"/>
      <c r="Y1282" s="738"/>
      <c r="Z1282" s="739"/>
      <c r="AA1282" s="739"/>
      <c r="AB1282" s="740">
        <v>16</v>
      </c>
      <c r="AC1282" s="741" t="str">
        <f>'DICTIONARY-5'!$A$11&amp;" 48"</f>
        <v>EN 558 szereg 48</v>
      </c>
      <c r="AD1282" s="741" t="str">
        <f>'DICTIONARY-5'!$A$13&amp;", "&amp;'DICTIONARY-5'!$A$14</f>
        <v>woda pitna, ścieki</v>
      </c>
      <c r="AE1282" s="742">
        <v>70</v>
      </c>
      <c r="AF1282" s="743">
        <v>95.5</v>
      </c>
      <c r="AG1282" s="741" t="str">
        <f>'DICTIONARY-5'!$A$23</f>
        <v>powłoka epoksydowa</v>
      </c>
    </row>
    <row r="1283" spans="1:33" x14ac:dyDescent="0.25">
      <c r="A1283" s="861" t="s">
        <v>1288</v>
      </c>
      <c r="B1283" s="861" t="s">
        <v>4459</v>
      </c>
      <c r="C1283" s="836">
        <v>1590</v>
      </c>
      <c r="D1283" s="836"/>
      <c r="E1283" s="836"/>
      <c r="F1283" s="836"/>
      <c r="G1283" s="496" t="s">
        <v>7824</v>
      </c>
      <c r="H1283" s="797" t="str">
        <f>VLOOKUP(G1283,SETTINGS!$B$7:$D$97,2,0)</f>
        <v>RETA</v>
      </c>
      <c r="I1283" s="796">
        <f>VLOOKUP(G1283,SETTINGS!$B$7:$D$97,3,0)</f>
        <v>0</v>
      </c>
      <c r="J1283" s="670" t="str">
        <f>IFERROR(IF(CURRENCY.FORMAT_1=0,CONCATENATE(TEXT(FIXED(ROUND((C1283/EXC.RATE_1),CURRENCY.FORMAT_1),CURRENCY.FORMAT_1,1),"# ##0;-# ##0"),",-"),FIXED(ROUND((C1283/EXC.RATE_1),CURRENCY.FORMAT_1),CURRENCY.FORMAT_1,0)),'DICTIONARY-5'!$A$2)</f>
        <v>1 590,-</v>
      </c>
      <c r="K1283" s="670" t="str">
        <f>IF(EXC.RATE_2=0,"",IFERROR(IF(CURRENCY.FORMAT_2=0,CONCATENATE(TEXT(FIXED(ROUND(IF(EXC.RATE.SWITCH=1,C1283/EXC.RATE_2,C1283*EXC.RATE_2),CURRENCY.FORMAT_2),CURRENCY.FORMAT_2,1),"# ##0;-# ##0"),",-"),FIXED(ROUND(IF(EXC.RATE.SWITCH=1,C1283/EXC.RATE_2,C1283*EXC.RATE_2),CURRENCY.FORMAT_2),CURRENCY.FORMAT_2,0)),'DICTIONARY-5'!$A$2))</f>
        <v/>
      </c>
      <c r="L1283" s="670" t="str">
        <f>IFERROR(IF(CURRENCY.FORMAT_1=0,CONCATENATE(TEXT(FIXED(ROUND((C1283*(1-I1283)*(1-ADD.DISCOUNT)*(1+MAT.SURCHARGE)/EXC.RATE_1),CURRENCY.FORMAT_1),CURRENCY.FORMAT_1,1),"# ##0;-# ##0"),",-"),FIXED(ROUND((C1283*(1-I1283)*(1-ADD.DISCOUNT)*(1+MAT.SURCHARGE)/EXC.RATE_1),CURRENCY.FORMAT_1),CURRENCY.FORMAT_1,0)),'DICTIONARY-5'!$A$2)</f>
        <v>1 652,-</v>
      </c>
      <c r="M1283" s="670" t="str">
        <f>IF(EXC.RATE_2=0,"",IFERROR(IF(CURRENCY.FORMAT_2=0,CONCATENATE(TEXT(FIXED(ROUND(IF(EXC.RATE.SWITCH=1,C1283*(1-I1283)*(1-ADD.DISCOUNT)*(1+MAT.SURCHARGE)/EXC.RATE_2,C1283*(1-I1283)*(1-ADD.DISCOUNT)*(1+MAT.SURCHARGE)*EXC.RATE_2),CURRENCY.FORMAT_2),CURRENCY.FORMAT_2,1),"# ##0;-# ##0"),",-"),FIXED(ROUND(IF(EXC.RATE.SWITCH=1,C1283*(1-I1283)*(1-ADD.DISCOUNT)*(1+MAT.SURCHARGE)/EXC.RATE_2,C1283*(1-I1283)*(1-ADD.DISCOUNT)*(1+MAT.SURCHARGE)*EXC.RATE_2),CURRENCY.FORMAT_2),CURRENCY.FORMAT_2,0)),'DICTIONARY-5'!$A$2))</f>
        <v/>
      </c>
      <c r="N1283" s="539">
        <v>5</v>
      </c>
      <c r="O1283" s="539"/>
      <c r="P1283" s="731" t="str">
        <f>'DICTIONARY-3'!$A$99</f>
        <v>RETA</v>
      </c>
      <c r="Q1283" s="732" t="str">
        <f>'DICTIONARY-3'!$A$200</f>
        <v>Zawór zwrotny</v>
      </c>
      <c r="R1283" s="732" t="str">
        <f>CONCATENATE('DICTIONARY-3'!$A$99," ",'DICTIONARY-6'!$A$20," ",'DICTIONARY-2'!$A$2,"250"," ",'DICTIONARY-2'!$A$3,"16"," ","R48"," ",'DICTIONARY-5'!$A$34,"/",'DICTIONARY-5'!$A$44,", ",'DICTIONARY-4'!$A$16)</f>
        <v>RETA Zaw. zwrotny DN250 PN16 R48 A2/EPDM, DC</v>
      </c>
      <c r="S1283" s="733" t="str">
        <f>'DICTIONARY-4'!$A$16</f>
        <v>DC</v>
      </c>
      <c r="T1283" s="732" t="str">
        <f>'DICTIONARY-4'!$A$32</f>
        <v>Dżwignia z ciężarem</v>
      </c>
      <c r="U1283" s="734" t="s">
        <v>5751</v>
      </c>
      <c r="V1283" s="735">
        <v>16</v>
      </c>
      <c r="W1283" s="736"/>
      <c r="X1283" s="737"/>
      <c r="Y1283" s="738"/>
      <c r="Z1283" s="739"/>
      <c r="AA1283" s="739"/>
      <c r="AB1283" s="740">
        <v>16</v>
      </c>
      <c r="AC1283" s="741" t="str">
        <f>'DICTIONARY-5'!$A$11&amp;" 48"</f>
        <v>EN 558 szereg 48</v>
      </c>
      <c r="AD1283" s="741" t="str">
        <f>'DICTIONARY-5'!$A$13&amp;", "&amp;'DICTIONARY-5'!$A$14</f>
        <v>woda pitna, ścieki</v>
      </c>
      <c r="AE1283" s="742">
        <v>70</v>
      </c>
      <c r="AF1283" s="743">
        <v>156</v>
      </c>
      <c r="AG1283" s="741" t="str">
        <f>'DICTIONARY-5'!$A$23</f>
        <v>powłoka epoksydowa</v>
      </c>
    </row>
    <row r="1284" spans="1:33" x14ac:dyDescent="0.25">
      <c r="A1284" s="861" t="s">
        <v>1289</v>
      </c>
      <c r="B1284" s="861" t="s">
        <v>4412</v>
      </c>
      <c r="C1284" s="836">
        <v>380</v>
      </c>
      <c r="D1284" s="836"/>
      <c r="E1284" s="836"/>
      <c r="F1284" s="836"/>
      <c r="G1284" s="496" t="s">
        <v>7824</v>
      </c>
      <c r="H1284" s="797" t="str">
        <f>VLOOKUP(G1284,SETTINGS!$B$7:$D$97,2,0)</f>
        <v>RETA</v>
      </c>
      <c r="I1284" s="796">
        <f>VLOOKUP(G1284,SETTINGS!$B$7:$D$97,3,0)</f>
        <v>0</v>
      </c>
      <c r="J1284" s="670" t="str">
        <f>IFERROR(IF(CURRENCY.FORMAT_1=0,CONCATENATE(TEXT(FIXED(ROUND((C1284/EXC.RATE_1),CURRENCY.FORMAT_1),CURRENCY.FORMAT_1,1),"# ##0;-# ##0"),",-"),FIXED(ROUND((C1284/EXC.RATE_1),CURRENCY.FORMAT_1),CURRENCY.FORMAT_1,0)),'DICTIONARY-5'!$A$2)</f>
        <v>380,-</v>
      </c>
      <c r="K1284" s="670" t="str">
        <f>IF(EXC.RATE_2=0,"",IFERROR(IF(CURRENCY.FORMAT_2=0,CONCATENATE(TEXT(FIXED(ROUND(IF(EXC.RATE.SWITCH=1,C1284/EXC.RATE_2,C1284*EXC.RATE_2),CURRENCY.FORMAT_2),CURRENCY.FORMAT_2,1),"# ##0;-# ##0"),",-"),FIXED(ROUND(IF(EXC.RATE.SWITCH=1,C1284/EXC.RATE_2,C1284*EXC.RATE_2),CURRENCY.FORMAT_2),CURRENCY.FORMAT_2,0)),'DICTIONARY-5'!$A$2))</f>
        <v/>
      </c>
      <c r="L1284" s="670" t="str">
        <f>IFERROR(IF(CURRENCY.FORMAT_1=0,CONCATENATE(TEXT(FIXED(ROUND((C1284*(1-I1284)*(1-ADD.DISCOUNT)*(1+MAT.SURCHARGE)/EXC.RATE_1),CURRENCY.FORMAT_1),CURRENCY.FORMAT_1,1),"# ##0;-# ##0"),",-"),FIXED(ROUND((C1284*(1-I1284)*(1-ADD.DISCOUNT)*(1+MAT.SURCHARGE)/EXC.RATE_1),CURRENCY.FORMAT_1),CURRENCY.FORMAT_1,0)),'DICTIONARY-5'!$A$2)</f>
        <v>395,-</v>
      </c>
      <c r="M1284" s="670" t="str">
        <f>IF(EXC.RATE_2=0,"",IFERROR(IF(CURRENCY.FORMAT_2=0,CONCATENATE(TEXT(FIXED(ROUND(IF(EXC.RATE.SWITCH=1,C1284*(1-I1284)*(1-ADD.DISCOUNT)*(1+MAT.SURCHARGE)/EXC.RATE_2,C1284*(1-I1284)*(1-ADD.DISCOUNT)*(1+MAT.SURCHARGE)*EXC.RATE_2),CURRENCY.FORMAT_2),CURRENCY.FORMAT_2,1),"# ##0;-# ##0"),",-"),FIXED(ROUND(IF(EXC.RATE.SWITCH=1,C1284*(1-I1284)*(1-ADD.DISCOUNT)*(1+MAT.SURCHARGE)/EXC.RATE_2,C1284*(1-I1284)*(1-ADD.DISCOUNT)*(1+MAT.SURCHARGE)*EXC.RATE_2),CURRENCY.FORMAT_2),CURRENCY.FORMAT_2,0)),'DICTIONARY-5'!$A$2))</f>
        <v/>
      </c>
      <c r="N1284" s="539">
        <v>5</v>
      </c>
      <c r="O1284" s="539"/>
      <c r="P1284" s="731" t="str">
        <f>'DICTIONARY-3'!$A$99</f>
        <v>RETA</v>
      </c>
      <c r="Q1284" s="732" t="str">
        <f>'DICTIONARY-3'!$A$200</f>
        <v>Zawór zwrotny</v>
      </c>
      <c r="R1284" s="732" t="str">
        <f>CONCATENATE('DICTIONARY-3'!$A$99," ",'DICTIONARY-6'!$A$20," ",'DICTIONARY-2'!$A$2,"40"," ",'DICTIONARY-2'!$A$3,"10/16"," ","R48"," ",'DICTIONARY-5'!$A$34,"/",'DICTIONARY-5'!$A$34," ",'DICTIONARY-6'!$A$36,", ",'DICTIONARY-4'!$A$16)</f>
        <v>RETA Zaw. zwrotny DN40 PN10/16 R48 A2/A2 SYNT., DC</v>
      </c>
      <c r="S1284" s="733" t="str">
        <f>'DICTIONARY-4'!$A$16</f>
        <v>DC</v>
      </c>
      <c r="T1284" s="732" t="str">
        <f>'DICTIONARY-4'!$A$32</f>
        <v>Dżwignia z ciężarem</v>
      </c>
      <c r="U1284" s="734" t="s">
        <v>5758</v>
      </c>
      <c r="V1284" s="735">
        <v>16</v>
      </c>
      <c r="W1284" s="736"/>
      <c r="X1284" s="737"/>
      <c r="Y1284" s="738"/>
      <c r="Z1284" s="739"/>
      <c r="AA1284" s="739"/>
      <c r="AB1284" s="740">
        <v>16</v>
      </c>
      <c r="AC1284" s="741" t="str">
        <f>'DICTIONARY-5'!$A$11&amp;" 48"</f>
        <v>EN 558 szereg 48</v>
      </c>
      <c r="AD1284" s="733" t="str">
        <f>'DICTIONARY-5'!$A$17&amp;", "&amp;'DICTIONARY-5'!$A$21</f>
        <v>woda przemysłowa, olej</v>
      </c>
      <c r="AE1284" s="742">
        <v>120</v>
      </c>
      <c r="AF1284" s="743">
        <v>10</v>
      </c>
      <c r="AG1284" s="741" t="str">
        <f>'DICTIONARY-5'!$A$24</f>
        <v>powłoka syntetyczna</v>
      </c>
    </row>
    <row r="1285" spans="1:33" x14ac:dyDescent="0.25">
      <c r="A1285" s="861" t="s">
        <v>1291</v>
      </c>
      <c r="B1285" s="861" t="s">
        <v>4413</v>
      </c>
      <c r="C1285" s="836">
        <v>386</v>
      </c>
      <c r="D1285" s="836"/>
      <c r="E1285" s="836"/>
      <c r="F1285" s="836"/>
      <c r="G1285" s="496" t="s">
        <v>7824</v>
      </c>
      <c r="H1285" s="797" t="str">
        <f>VLOOKUP(G1285,SETTINGS!$B$7:$D$97,2,0)</f>
        <v>RETA</v>
      </c>
      <c r="I1285" s="796">
        <f>VLOOKUP(G1285,SETTINGS!$B$7:$D$97,3,0)</f>
        <v>0</v>
      </c>
      <c r="J1285" s="670" t="str">
        <f>IFERROR(IF(CURRENCY.FORMAT_1=0,CONCATENATE(TEXT(FIXED(ROUND((C1285/EXC.RATE_1),CURRENCY.FORMAT_1),CURRENCY.FORMAT_1,1),"# ##0;-# ##0"),",-"),FIXED(ROUND((C1285/EXC.RATE_1),CURRENCY.FORMAT_1),CURRENCY.FORMAT_1,0)),'DICTIONARY-5'!$A$2)</f>
        <v>386,-</v>
      </c>
      <c r="K1285" s="670" t="str">
        <f>IF(EXC.RATE_2=0,"",IFERROR(IF(CURRENCY.FORMAT_2=0,CONCATENATE(TEXT(FIXED(ROUND(IF(EXC.RATE.SWITCH=1,C1285/EXC.RATE_2,C1285*EXC.RATE_2),CURRENCY.FORMAT_2),CURRENCY.FORMAT_2,1),"# ##0;-# ##0"),",-"),FIXED(ROUND(IF(EXC.RATE.SWITCH=1,C1285/EXC.RATE_2,C1285*EXC.RATE_2),CURRENCY.FORMAT_2),CURRENCY.FORMAT_2,0)),'DICTIONARY-5'!$A$2))</f>
        <v/>
      </c>
      <c r="L1285" s="670" t="str">
        <f>IFERROR(IF(CURRENCY.FORMAT_1=0,CONCATENATE(TEXT(FIXED(ROUND((C1285*(1-I1285)*(1-ADD.DISCOUNT)*(1+MAT.SURCHARGE)/EXC.RATE_1),CURRENCY.FORMAT_1),CURRENCY.FORMAT_1,1),"# ##0;-# ##0"),",-"),FIXED(ROUND((C1285*(1-I1285)*(1-ADD.DISCOUNT)*(1+MAT.SURCHARGE)/EXC.RATE_1),CURRENCY.FORMAT_1),CURRENCY.FORMAT_1,0)),'DICTIONARY-5'!$A$2)</f>
        <v>401,-</v>
      </c>
      <c r="M1285" s="670" t="str">
        <f>IF(EXC.RATE_2=0,"",IFERROR(IF(CURRENCY.FORMAT_2=0,CONCATENATE(TEXT(FIXED(ROUND(IF(EXC.RATE.SWITCH=1,C1285*(1-I1285)*(1-ADD.DISCOUNT)*(1+MAT.SURCHARGE)/EXC.RATE_2,C1285*(1-I1285)*(1-ADD.DISCOUNT)*(1+MAT.SURCHARGE)*EXC.RATE_2),CURRENCY.FORMAT_2),CURRENCY.FORMAT_2,1),"# ##0;-# ##0"),",-"),FIXED(ROUND(IF(EXC.RATE.SWITCH=1,C1285*(1-I1285)*(1-ADD.DISCOUNT)*(1+MAT.SURCHARGE)/EXC.RATE_2,C1285*(1-I1285)*(1-ADD.DISCOUNT)*(1+MAT.SURCHARGE)*EXC.RATE_2),CURRENCY.FORMAT_2),CURRENCY.FORMAT_2,0)),'DICTIONARY-5'!$A$2))</f>
        <v/>
      </c>
      <c r="N1285" s="539">
        <v>5</v>
      </c>
      <c r="O1285" s="539"/>
      <c r="P1285" s="731" t="str">
        <f>'DICTIONARY-3'!$A$99</f>
        <v>RETA</v>
      </c>
      <c r="Q1285" s="732" t="str">
        <f>'DICTIONARY-3'!$A$200</f>
        <v>Zawór zwrotny</v>
      </c>
      <c r="R1285" s="732" t="str">
        <f>CONCATENATE('DICTIONARY-3'!$A$99," ",'DICTIONARY-6'!$A$20," ",'DICTIONARY-2'!$A$2,"50"," ",'DICTIONARY-2'!$A$3,"10/16"," ","R48"," ",'DICTIONARY-5'!$A$34,"/",'DICTIONARY-5'!$A$34," ",'DICTIONARY-6'!$A$36,", ",'DICTIONARY-4'!$A$16)</f>
        <v>RETA Zaw. zwrotny DN50 PN10/16 R48 A2/A2 SYNT., DC</v>
      </c>
      <c r="S1285" s="733" t="str">
        <f>'DICTIONARY-4'!$A$16</f>
        <v>DC</v>
      </c>
      <c r="T1285" s="732" t="str">
        <f>'DICTIONARY-4'!$A$32</f>
        <v>Dżwignia z ciężarem</v>
      </c>
      <c r="U1285" s="734" t="s">
        <v>5748</v>
      </c>
      <c r="V1285" s="735">
        <v>16</v>
      </c>
      <c r="W1285" s="736"/>
      <c r="X1285" s="737"/>
      <c r="Y1285" s="738"/>
      <c r="Z1285" s="739"/>
      <c r="AA1285" s="739"/>
      <c r="AB1285" s="740">
        <v>16</v>
      </c>
      <c r="AC1285" s="741" t="str">
        <f>'DICTIONARY-5'!$A$11&amp;" 48"</f>
        <v>EN 558 szereg 48</v>
      </c>
      <c r="AD1285" s="733" t="str">
        <f>'DICTIONARY-5'!$A$17&amp;", "&amp;'DICTIONARY-5'!$A$21</f>
        <v>woda przemysłowa, olej</v>
      </c>
      <c r="AE1285" s="742">
        <v>120</v>
      </c>
      <c r="AF1285" s="743">
        <v>11</v>
      </c>
      <c r="AG1285" s="741" t="str">
        <f>'DICTIONARY-5'!$A$24</f>
        <v>powłoka syntetyczna</v>
      </c>
    </row>
    <row r="1286" spans="1:33" x14ac:dyDescent="0.25">
      <c r="A1286" s="861" t="s">
        <v>1293</v>
      </c>
      <c r="B1286" s="861" t="s">
        <v>4414</v>
      </c>
      <c r="C1286" s="836">
        <v>464</v>
      </c>
      <c r="D1286" s="836"/>
      <c r="E1286" s="836"/>
      <c r="F1286" s="836"/>
      <c r="G1286" s="496" t="s">
        <v>7824</v>
      </c>
      <c r="H1286" s="797" t="str">
        <f>VLOOKUP(G1286,SETTINGS!$B$7:$D$97,2,0)</f>
        <v>RETA</v>
      </c>
      <c r="I1286" s="796">
        <f>VLOOKUP(G1286,SETTINGS!$B$7:$D$97,3,0)</f>
        <v>0</v>
      </c>
      <c r="J1286" s="670" t="str">
        <f>IFERROR(IF(CURRENCY.FORMAT_1=0,CONCATENATE(TEXT(FIXED(ROUND((C1286/EXC.RATE_1),CURRENCY.FORMAT_1),CURRENCY.FORMAT_1,1),"# ##0;-# ##0"),",-"),FIXED(ROUND((C1286/EXC.RATE_1),CURRENCY.FORMAT_1),CURRENCY.FORMAT_1,0)),'DICTIONARY-5'!$A$2)</f>
        <v>464,-</v>
      </c>
      <c r="K1286" s="670" t="str">
        <f>IF(EXC.RATE_2=0,"",IFERROR(IF(CURRENCY.FORMAT_2=0,CONCATENATE(TEXT(FIXED(ROUND(IF(EXC.RATE.SWITCH=1,C1286/EXC.RATE_2,C1286*EXC.RATE_2),CURRENCY.FORMAT_2),CURRENCY.FORMAT_2,1),"# ##0;-# ##0"),",-"),FIXED(ROUND(IF(EXC.RATE.SWITCH=1,C1286/EXC.RATE_2,C1286*EXC.RATE_2),CURRENCY.FORMAT_2),CURRENCY.FORMAT_2,0)),'DICTIONARY-5'!$A$2))</f>
        <v/>
      </c>
      <c r="L1286" s="670" t="str">
        <f>IFERROR(IF(CURRENCY.FORMAT_1=0,CONCATENATE(TEXT(FIXED(ROUND((C1286*(1-I1286)*(1-ADD.DISCOUNT)*(1+MAT.SURCHARGE)/EXC.RATE_1),CURRENCY.FORMAT_1),CURRENCY.FORMAT_1,1),"# ##0;-# ##0"),",-"),FIXED(ROUND((C1286*(1-I1286)*(1-ADD.DISCOUNT)*(1+MAT.SURCHARGE)/EXC.RATE_1),CURRENCY.FORMAT_1),CURRENCY.FORMAT_1,0)),'DICTIONARY-5'!$A$2)</f>
        <v>482,-</v>
      </c>
      <c r="M1286" s="670" t="str">
        <f>IF(EXC.RATE_2=0,"",IFERROR(IF(CURRENCY.FORMAT_2=0,CONCATENATE(TEXT(FIXED(ROUND(IF(EXC.RATE.SWITCH=1,C1286*(1-I1286)*(1-ADD.DISCOUNT)*(1+MAT.SURCHARGE)/EXC.RATE_2,C1286*(1-I1286)*(1-ADD.DISCOUNT)*(1+MAT.SURCHARGE)*EXC.RATE_2),CURRENCY.FORMAT_2),CURRENCY.FORMAT_2,1),"# ##0;-# ##0"),",-"),FIXED(ROUND(IF(EXC.RATE.SWITCH=1,C1286*(1-I1286)*(1-ADD.DISCOUNT)*(1+MAT.SURCHARGE)/EXC.RATE_2,C1286*(1-I1286)*(1-ADD.DISCOUNT)*(1+MAT.SURCHARGE)*EXC.RATE_2),CURRENCY.FORMAT_2),CURRENCY.FORMAT_2,0)),'DICTIONARY-5'!$A$2))</f>
        <v/>
      </c>
      <c r="N1286" s="539">
        <v>5</v>
      </c>
      <c r="O1286" s="539"/>
      <c r="P1286" s="731" t="str">
        <f>'DICTIONARY-3'!$A$99</f>
        <v>RETA</v>
      </c>
      <c r="Q1286" s="732" t="str">
        <f>'DICTIONARY-3'!$A$200</f>
        <v>Zawór zwrotny</v>
      </c>
      <c r="R1286" s="732" t="str">
        <f>CONCATENATE('DICTIONARY-3'!$A$99," ",'DICTIONARY-6'!$A$20," ",'DICTIONARY-2'!$A$2,"65"," ",'DICTIONARY-2'!$A$3,"10/16"," ","R48"," ",'DICTIONARY-5'!$A$34,"/",'DICTIONARY-5'!$A$34," ",'DICTIONARY-6'!$A$36,", ",'DICTIONARY-4'!$A$16)</f>
        <v>RETA Zaw. zwrotny DN65 PN10/16 R48 A2/A2 SYNT., DC</v>
      </c>
      <c r="S1286" s="733" t="str">
        <f>'DICTIONARY-4'!$A$16</f>
        <v>DC</v>
      </c>
      <c r="T1286" s="732" t="str">
        <f>'DICTIONARY-4'!$A$32</f>
        <v>Dżwignia z ciężarem</v>
      </c>
      <c r="U1286" s="734" t="s">
        <v>5759</v>
      </c>
      <c r="V1286" s="735">
        <v>16</v>
      </c>
      <c r="W1286" s="736"/>
      <c r="X1286" s="737"/>
      <c r="Y1286" s="738"/>
      <c r="Z1286" s="739"/>
      <c r="AA1286" s="739"/>
      <c r="AB1286" s="740">
        <v>16</v>
      </c>
      <c r="AC1286" s="741" t="str">
        <f>'DICTIONARY-5'!$A$11&amp;" 48"</f>
        <v>EN 558 szereg 48</v>
      </c>
      <c r="AD1286" s="733" t="str">
        <f>'DICTIONARY-5'!$A$17&amp;", "&amp;'DICTIONARY-5'!$A$21</f>
        <v>woda przemysłowa, olej</v>
      </c>
      <c r="AE1286" s="742">
        <v>120</v>
      </c>
      <c r="AF1286" s="743">
        <v>16</v>
      </c>
      <c r="AG1286" s="741" t="str">
        <f>'DICTIONARY-5'!$A$24</f>
        <v>powłoka syntetyczna</v>
      </c>
    </row>
    <row r="1287" spans="1:33" x14ac:dyDescent="0.25">
      <c r="A1287" s="861" t="s">
        <v>1295</v>
      </c>
      <c r="B1287" s="861" t="s">
        <v>4415</v>
      </c>
      <c r="C1287" s="836">
        <v>472</v>
      </c>
      <c r="D1287" s="836"/>
      <c r="E1287" s="836"/>
      <c r="F1287" s="836"/>
      <c r="G1287" s="496" t="s">
        <v>7824</v>
      </c>
      <c r="H1287" s="797" t="str">
        <f>VLOOKUP(G1287,SETTINGS!$B$7:$D$97,2,0)</f>
        <v>RETA</v>
      </c>
      <c r="I1287" s="796">
        <f>VLOOKUP(G1287,SETTINGS!$B$7:$D$97,3,0)</f>
        <v>0</v>
      </c>
      <c r="J1287" s="670" t="str">
        <f>IFERROR(IF(CURRENCY.FORMAT_1=0,CONCATENATE(TEXT(FIXED(ROUND((C1287/EXC.RATE_1),CURRENCY.FORMAT_1),CURRENCY.FORMAT_1,1),"# ##0;-# ##0"),",-"),FIXED(ROUND((C1287/EXC.RATE_1),CURRENCY.FORMAT_1),CURRENCY.FORMAT_1,0)),'DICTIONARY-5'!$A$2)</f>
        <v>472,-</v>
      </c>
      <c r="K1287" s="670" t="str">
        <f>IF(EXC.RATE_2=0,"",IFERROR(IF(CURRENCY.FORMAT_2=0,CONCATENATE(TEXT(FIXED(ROUND(IF(EXC.RATE.SWITCH=1,C1287/EXC.RATE_2,C1287*EXC.RATE_2),CURRENCY.FORMAT_2),CURRENCY.FORMAT_2,1),"# ##0;-# ##0"),",-"),FIXED(ROUND(IF(EXC.RATE.SWITCH=1,C1287/EXC.RATE_2,C1287*EXC.RATE_2),CURRENCY.FORMAT_2),CURRENCY.FORMAT_2,0)),'DICTIONARY-5'!$A$2))</f>
        <v/>
      </c>
      <c r="L1287" s="670" t="str">
        <f>IFERROR(IF(CURRENCY.FORMAT_1=0,CONCATENATE(TEXT(FIXED(ROUND((C1287*(1-I1287)*(1-ADD.DISCOUNT)*(1+MAT.SURCHARGE)/EXC.RATE_1),CURRENCY.FORMAT_1),CURRENCY.FORMAT_1,1),"# ##0;-# ##0"),",-"),FIXED(ROUND((C1287*(1-I1287)*(1-ADD.DISCOUNT)*(1+MAT.SURCHARGE)/EXC.RATE_1),CURRENCY.FORMAT_1),CURRENCY.FORMAT_1,0)),'DICTIONARY-5'!$A$2)</f>
        <v>490,-</v>
      </c>
      <c r="M1287" s="670" t="str">
        <f>IF(EXC.RATE_2=0,"",IFERROR(IF(CURRENCY.FORMAT_2=0,CONCATENATE(TEXT(FIXED(ROUND(IF(EXC.RATE.SWITCH=1,C1287*(1-I1287)*(1-ADD.DISCOUNT)*(1+MAT.SURCHARGE)/EXC.RATE_2,C1287*(1-I1287)*(1-ADD.DISCOUNT)*(1+MAT.SURCHARGE)*EXC.RATE_2),CURRENCY.FORMAT_2),CURRENCY.FORMAT_2,1),"# ##0;-# ##0"),",-"),FIXED(ROUND(IF(EXC.RATE.SWITCH=1,C1287*(1-I1287)*(1-ADD.DISCOUNT)*(1+MAT.SURCHARGE)/EXC.RATE_2,C1287*(1-I1287)*(1-ADD.DISCOUNT)*(1+MAT.SURCHARGE)*EXC.RATE_2),CURRENCY.FORMAT_2),CURRENCY.FORMAT_2,0)),'DICTIONARY-5'!$A$2))</f>
        <v/>
      </c>
      <c r="N1287" s="539">
        <v>5</v>
      </c>
      <c r="O1287" s="539"/>
      <c r="P1287" s="731" t="str">
        <f>'DICTIONARY-3'!$A$99</f>
        <v>RETA</v>
      </c>
      <c r="Q1287" s="732" t="str">
        <f>'DICTIONARY-3'!$A$200</f>
        <v>Zawór zwrotny</v>
      </c>
      <c r="R1287" s="732" t="str">
        <f>CONCATENATE('DICTIONARY-3'!$A$99," ",'DICTIONARY-6'!$A$20," ",'DICTIONARY-2'!$A$2,"80"," ",'DICTIONARY-2'!$A$3,"10/16"," ","R48"," ",'DICTIONARY-5'!$A$34,"/",'DICTIONARY-5'!$A$34," ",'DICTIONARY-6'!$A$36,", ",'DICTIONARY-4'!$A$16)</f>
        <v>RETA Zaw. zwrotny DN80 PN10/16 R48 A2/A2 SYNT., DC</v>
      </c>
      <c r="S1287" s="733" t="str">
        <f>'DICTIONARY-4'!$A$16</f>
        <v>DC</v>
      </c>
      <c r="T1287" s="732" t="str">
        <f>'DICTIONARY-4'!$A$32</f>
        <v>Dżwignia z ciężarem</v>
      </c>
      <c r="U1287" s="734" t="s">
        <v>5760</v>
      </c>
      <c r="V1287" s="735">
        <v>16</v>
      </c>
      <c r="W1287" s="736"/>
      <c r="X1287" s="737"/>
      <c r="Y1287" s="738"/>
      <c r="Z1287" s="739"/>
      <c r="AA1287" s="739"/>
      <c r="AB1287" s="740">
        <v>16</v>
      </c>
      <c r="AC1287" s="741" t="str">
        <f>'DICTIONARY-5'!$A$11&amp;" 48"</f>
        <v>EN 558 szereg 48</v>
      </c>
      <c r="AD1287" s="733" t="str">
        <f>'DICTIONARY-5'!$A$17&amp;", "&amp;'DICTIONARY-5'!$A$21</f>
        <v>woda przemysłowa, olej</v>
      </c>
      <c r="AE1287" s="742">
        <v>120</v>
      </c>
      <c r="AF1287" s="743">
        <v>19.5</v>
      </c>
      <c r="AG1287" s="741" t="str">
        <f>'DICTIONARY-5'!$A$24</f>
        <v>powłoka syntetyczna</v>
      </c>
    </row>
    <row r="1288" spans="1:33" x14ac:dyDescent="0.25">
      <c r="A1288" s="861" t="s">
        <v>1297</v>
      </c>
      <c r="B1288" s="861" t="s">
        <v>4440</v>
      </c>
      <c r="C1288" s="836">
        <v>580</v>
      </c>
      <c r="D1288" s="836"/>
      <c r="E1288" s="836"/>
      <c r="F1288" s="836"/>
      <c r="G1288" s="496" t="s">
        <v>7824</v>
      </c>
      <c r="H1288" s="797" t="str">
        <f>VLOOKUP(G1288,SETTINGS!$B$7:$D$97,2,0)</f>
        <v>RETA</v>
      </c>
      <c r="I1288" s="796">
        <f>VLOOKUP(G1288,SETTINGS!$B$7:$D$97,3,0)</f>
        <v>0</v>
      </c>
      <c r="J1288" s="670" t="str">
        <f>IFERROR(IF(CURRENCY.FORMAT_1=0,CONCATENATE(TEXT(FIXED(ROUND((C1288/EXC.RATE_1),CURRENCY.FORMAT_1),CURRENCY.FORMAT_1,1),"# ##0;-# ##0"),",-"),FIXED(ROUND((C1288/EXC.RATE_1),CURRENCY.FORMAT_1),CURRENCY.FORMAT_1,0)),'DICTIONARY-5'!$A$2)</f>
        <v>580,-</v>
      </c>
      <c r="K1288" s="670" t="str">
        <f>IF(EXC.RATE_2=0,"",IFERROR(IF(CURRENCY.FORMAT_2=0,CONCATENATE(TEXT(FIXED(ROUND(IF(EXC.RATE.SWITCH=1,C1288/EXC.RATE_2,C1288*EXC.RATE_2),CURRENCY.FORMAT_2),CURRENCY.FORMAT_2,1),"# ##0;-# ##0"),",-"),FIXED(ROUND(IF(EXC.RATE.SWITCH=1,C1288/EXC.RATE_2,C1288*EXC.RATE_2),CURRENCY.FORMAT_2),CURRENCY.FORMAT_2,0)),'DICTIONARY-5'!$A$2))</f>
        <v/>
      </c>
      <c r="L1288" s="670" t="str">
        <f>IFERROR(IF(CURRENCY.FORMAT_1=0,CONCATENATE(TEXT(FIXED(ROUND((C1288*(1-I1288)*(1-ADD.DISCOUNT)*(1+MAT.SURCHARGE)/EXC.RATE_1),CURRENCY.FORMAT_1),CURRENCY.FORMAT_1,1),"# ##0;-# ##0"),",-"),FIXED(ROUND((C1288*(1-I1288)*(1-ADD.DISCOUNT)*(1+MAT.SURCHARGE)/EXC.RATE_1),CURRENCY.FORMAT_1),CURRENCY.FORMAT_1,0)),'DICTIONARY-5'!$A$2)</f>
        <v>603,-</v>
      </c>
      <c r="M1288" s="670" t="str">
        <f>IF(EXC.RATE_2=0,"",IFERROR(IF(CURRENCY.FORMAT_2=0,CONCATENATE(TEXT(FIXED(ROUND(IF(EXC.RATE.SWITCH=1,C1288*(1-I1288)*(1-ADD.DISCOUNT)*(1+MAT.SURCHARGE)/EXC.RATE_2,C1288*(1-I1288)*(1-ADD.DISCOUNT)*(1+MAT.SURCHARGE)*EXC.RATE_2),CURRENCY.FORMAT_2),CURRENCY.FORMAT_2,1),"# ##0;-# ##0"),",-"),FIXED(ROUND(IF(EXC.RATE.SWITCH=1,C1288*(1-I1288)*(1-ADD.DISCOUNT)*(1+MAT.SURCHARGE)/EXC.RATE_2,C1288*(1-I1288)*(1-ADD.DISCOUNT)*(1+MAT.SURCHARGE)*EXC.RATE_2),CURRENCY.FORMAT_2),CURRENCY.FORMAT_2,0)),'DICTIONARY-5'!$A$2))</f>
        <v/>
      </c>
      <c r="N1288" s="539">
        <v>5</v>
      </c>
      <c r="O1288" s="539"/>
      <c r="P1288" s="731" t="str">
        <f>'DICTIONARY-3'!$A$99</f>
        <v>RETA</v>
      </c>
      <c r="Q1288" s="732" t="str">
        <f>'DICTIONARY-3'!$A$200</f>
        <v>Zawór zwrotny</v>
      </c>
      <c r="R1288" s="732" t="str">
        <f>CONCATENATE('DICTIONARY-3'!$A$99," ",'DICTIONARY-6'!$A$20," ",'DICTIONARY-2'!$A$2,"100"," ",'DICTIONARY-2'!$A$3,"10/16"," ","R48"," ",'DICTIONARY-5'!$A$34,"/",'DICTIONARY-5'!$A$34," ",'DICTIONARY-6'!$A$36,", ",'DICTIONARY-4'!$A$16)</f>
        <v>RETA Zaw. zwrotny DN100 PN10/16 R48 A2/A2 SYNT., DC</v>
      </c>
      <c r="S1288" s="733" t="str">
        <f>'DICTIONARY-4'!$A$16</f>
        <v>DC</v>
      </c>
      <c r="T1288" s="732" t="str">
        <f>'DICTIONARY-4'!$A$32</f>
        <v>Dżwignia z ciężarem</v>
      </c>
      <c r="U1288" s="734" t="s">
        <v>5749</v>
      </c>
      <c r="V1288" s="735">
        <v>16</v>
      </c>
      <c r="W1288" s="736"/>
      <c r="X1288" s="737"/>
      <c r="Y1288" s="738"/>
      <c r="Z1288" s="739"/>
      <c r="AA1288" s="739"/>
      <c r="AB1288" s="740">
        <v>16</v>
      </c>
      <c r="AC1288" s="741" t="str">
        <f>'DICTIONARY-5'!$A$11&amp;" 48"</f>
        <v>EN 558 szereg 48</v>
      </c>
      <c r="AD1288" s="733" t="str">
        <f>'DICTIONARY-5'!$A$17&amp;", "&amp;'DICTIONARY-5'!$A$21</f>
        <v>woda przemysłowa, olej</v>
      </c>
      <c r="AE1288" s="742">
        <v>120</v>
      </c>
      <c r="AF1288" s="743">
        <v>29</v>
      </c>
      <c r="AG1288" s="741" t="str">
        <f>'DICTIONARY-5'!$A$24</f>
        <v>powłoka syntetyczna</v>
      </c>
    </row>
    <row r="1289" spans="1:33" x14ac:dyDescent="0.25">
      <c r="A1289" s="861" t="s">
        <v>1299</v>
      </c>
      <c r="B1289" s="861" t="s">
        <v>4442</v>
      </c>
      <c r="C1289" s="836">
        <v>642</v>
      </c>
      <c r="D1289" s="836"/>
      <c r="E1289" s="836"/>
      <c r="F1289" s="836"/>
      <c r="G1289" s="496" t="s">
        <v>7824</v>
      </c>
      <c r="H1289" s="797" t="str">
        <f>VLOOKUP(G1289,SETTINGS!$B$7:$D$97,2,0)</f>
        <v>RETA</v>
      </c>
      <c r="I1289" s="796">
        <f>VLOOKUP(G1289,SETTINGS!$B$7:$D$97,3,0)</f>
        <v>0</v>
      </c>
      <c r="J1289" s="670" t="str">
        <f>IFERROR(IF(CURRENCY.FORMAT_1=0,CONCATENATE(TEXT(FIXED(ROUND((C1289/EXC.RATE_1),CURRENCY.FORMAT_1),CURRENCY.FORMAT_1,1),"# ##0;-# ##0"),",-"),FIXED(ROUND((C1289/EXC.RATE_1),CURRENCY.FORMAT_1),CURRENCY.FORMAT_1,0)),'DICTIONARY-5'!$A$2)</f>
        <v>642,-</v>
      </c>
      <c r="K1289" s="670" t="str">
        <f>IF(EXC.RATE_2=0,"",IFERROR(IF(CURRENCY.FORMAT_2=0,CONCATENATE(TEXT(FIXED(ROUND(IF(EXC.RATE.SWITCH=1,C1289/EXC.RATE_2,C1289*EXC.RATE_2),CURRENCY.FORMAT_2),CURRENCY.FORMAT_2,1),"# ##0;-# ##0"),",-"),FIXED(ROUND(IF(EXC.RATE.SWITCH=1,C1289/EXC.RATE_2,C1289*EXC.RATE_2),CURRENCY.FORMAT_2),CURRENCY.FORMAT_2,0)),'DICTIONARY-5'!$A$2))</f>
        <v/>
      </c>
      <c r="L1289" s="670" t="str">
        <f>IFERROR(IF(CURRENCY.FORMAT_1=0,CONCATENATE(TEXT(FIXED(ROUND((C1289*(1-I1289)*(1-ADD.DISCOUNT)*(1+MAT.SURCHARGE)/EXC.RATE_1),CURRENCY.FORMAT_1),CURRENCY.FORMAT_1,1),"# ##0;-# ##0"),",-"),FIXED(ROUND((C1289*(1-I1289)*(1-ADD.DISCOUNT)*(1+MAT.SURCHARGE)/EXC.RATE_1),CURRENCY.FORMAT_1),CURRENCY.FORMAT_1,0)),'DICTIONARY-5'!$A$2)</f>
        <v>667,-</v>
      </c>
      <c r="M1289" s="670" t="str">
        <f>IF(EXC.RATE_2=0,"",IFERROR(IF(CURRENCY.FORMAT_2=0,CONCATENATE(TEXT(FIXED(ROUND(IF(EXC.RATE.SWITCH=1,C1289*(1-I1289)*(1-ADD.DISCOUNT)*(1+MAT.SURCHARGE)/EXC.RATE_2,C1289*(1-I1289)*(1-ADD.DISCOUNT)*(1+MAT.SURCHARGE)*EXC.RATE_2),CURRENCY.FORMAT_2),CURRENCY.FORMAT_2,1),"# ##0;-# ##0"),",-"),FIXED(ROUND(IF(EXC.RATE.SWITCH=1,C1289*(1-I1289)*(1-ADD.DISCOUNT)*(1+MAT.SURCHARGE)/EXC.RATE_2,C1289*(1-I1289)*(1-ADD.DISCOUNT)*(1+MAT.SURCHARGE)*EXC.RATE_2),CURRENCY.FORMAT_2),CURRENCY.FORMAT_2,0)),'DICTIONARY-5'!$A$2))</f>
        <v/>
      </c>
      <c r="N1289" s="539">
        <v>5</v>
      </c>
      <c r="O1289" s="539"/>
      <c r="P1289" s="731" t="str">
        <f>'DICTIONARY-3'!$A$99</f>
        <v>RETA</v>
      </c>
      <c r="Q1289" s="732" t="str">
        <f>'DICTIONARY-3'!$A$200</f>
        <v>Zawór zwrotny</v>
      </c>
      <c r="R1289" s="732" t="str">
        <f>CONCATENATE('DICTIONARY-3'!$A$99," ",'DICTIONARY-6'!$A$20," ",'DICTIONARY-2'!$A$2,"125"," ",'DICTIONARY-2'!$A$3,"10/16"," ","R48"," ",'DICTIONARY-5'!$A$34,"/",'DICTIONARY-5'!$A$34," ",'DICTIONARY-6'!$A$36,", ",'DICTIONARY-4'!$A$16)</f>
        <v>RETA Zaw. zwrotny DN125 PN10/16 R48 A2/A2 SYNT., DC</v>
      </c>
      <c r="S1289" s="733" t="str">
        <f>'DICTIONARY-4'!$A$16</f>
        <v>DC</v>
      </c>
      <c r="T1289" s="732" t="str">
        <f>'DICTIONARY-4'!$A$32</f>
        <v>Dżwignia z ciężarem</v>
      </c>
      <c r="U1289" s="734" t="s">
        <v>5761</v>
      </c>
      <c r="V1289" s="735">
        <v>16</v>
      </c>
      <c r="W1289" s="736"/>
      <c r="X1289" s="737"/>
      <c r="Y1289" s="738"/>
      <c r="Z1289" s="739"/>
      <c r="AA1289" s="739"/>
      <c r="AB1289" s="740">
        <v>16</v>
      </c>
      <c r="AC1289" s="741" t="str">
        <f>'DICTIONARY-5'!$A$11&amp;" 48"</f>
        <v>EN 558 szereg 48</v>
      </c>
      <c r="AD1289" s="733" t="str">
        <f>'DICTIONARY-5'!$A$17&amp;", "&amp;'DICTIONARY-5'!$A$21</f>
        <v>woda przemysłowa, olej</v>
      </c>
      <c r="AE1289" s="742">
        <v>120</v>
      </c>
      <c r="AF1289" s="743">
        <v>37.5</v>
      </c>
      <c r="AG1289" s="741" t="str">
        <f>'DICTIONARY-5'!$A$24</f>
        <v>powłoka syntetyczna</v>
      </c>
    </row>
    <row r="1290" spans="1:33" x14ac:dyDescent="0.25">
      <c r="A1290" s="861" t="s">
        <v>1301</v>
      </c>
      <c r="B1290" s="861" t="s">
        <v>4444</v>
      </c>
      <c r="C1290" s="836">
        <v>851</v>
      </c>
      <c r="D1290" s="836"/>
      <c r="E1290" s="836"/>
      <c r="F1290" s="836"/>
      <c r="G1290" s="496" t="s">
        <v>7824</v>
      </c>
      <c r="H1290" s="797" t="str">
        <f>VLOOKUP(G1290,SETTINGS!$B$7:$D$97,2,0)</f>
        <v>RETA</v>
      </c>
      <c r="I1290" s="796">
        <f>VLOOKUP(G1290,SETTINGS!$B$7:$D$97,3,0)</f>
        <v>0</v>
      </c>
      <c r="J1290" s="670" t="str">
        <f>IFERROR(IF(CURRENCY.FORMAT_1=0,CONCATENATE(TEXT(FIXED(ROUND((C1290/EXC.RATE_1),CURRENCY.FORMAT_1),CURRENCY.FORMAT_1,1),"# ##0;-# ##0"),",-"),FIXED(ROUND((C1290/EXC.RATE_1),CURRENCY.FORMAT_1),CURRENCY.FORMAT_1,0)),'DICTIONARY-5'!$A$2)</f>
        <v>851,-</v>
      </c>
      <c r="K1290" s="670" t="str">
        <f>IF(EXC.RATE_2=0,"",IFERROR(IF(CURRENCY.FORMAT_2=0,CONCATENATE(TEXT(FIXED(ROUND(IF(EXC.RATE.SWITCH=1,C1290/EXC.RATE_2,C1290*EXC.RATE_2),CURRENCY.FORMAT_2),CURRENCY.FORMAT_2,1),"# ##0;-# ##0"),",-"),FIXED(ROUND(IF(EXC.RATE.SWITCH=1,C1290/EXC.RATE_2,C1290*EXC.RATE_2),CURRENCY.FORMAT_2),CURRENCY.FORMAT_2,0)),'DICTIONARY-5'!$A$2))</f>
        <v/>
      </c>
      <c r="L1290" s="670" t="str">
        <f>IFERROR(IF(CURRENCY.FORMAT_1=0,CONCATENATE(TEXT(FIXED(ROUND((C1290*(1-I1290)*(1-ADD.DISCOUNT)*(1+MAT.SURCHARGE)/EXC.RATE_1),CURRENCY.FORMAT_1),CURRENCY.FORMAT_1,1),"# ##0;-# ##0"),",-"),FIXED(ROUND((C1290*(1-I1290)*(1-ADD.DISCOUNT)*(1+MAT.SURCHARGE)/EXC.RATE_1),CURRENCY.FORMAT_1),CURRENCY.FORMAT_1,0)),'DICTIONARY-5'!$A$2)</f>
        <v>884,-</v>
      </c>
      <c r="M1290" s="670" t="str">
        <f>IF(EXC.RATE_2=0,"",IFERROR(IF(CURRENCY.FORMAT_2=0,CONCATENATE(TEXT(FIXED(ROUND(IF(EXC.RATE.SWITCH=1,C1290*(1-I1290)*(1-ADD.DISCOUNT)*(1+MAT.SURCHARGE)/EXC.RATE_2,C1290*(1-I1290)*(1-ADD.DISCOUNT)*(1+MAT.SURCHARGE)*EXC.RATE_2),CURRENCY.FORMAT_2),CURRENCY.FORMAT_2,1),"# ##0;-# ##0"),",-"),FIXED(ROUND(IF(EXC.RATE.SWITCH=1,C1290*(1-I1290)*(1-ADD.DISCOUNT)*(1+MAT.SURCHARGE)/EXC.RATE_2,C1290*(1-I1290)*(1-ADD.DISCOUNT)*(1+MAT.SURCHARGE)*EXC.RATE_2),CURRENCY.FORMAT_2),CURRENCY.FORMAT_2,0)),'DICTIONARY-5'!$A$2))</f>
        <v/>
      </c>
      <c r="N1290" s="539">
        <v>5</v>
      </c>
      <c r="O1290" s="539"/>
      <c r="P1290" s="731" t="str">
        <f>'DICTIONARY-3'!$A$99</f>
        <v>RETA</v>
      </c>
      <c r="Q1290" s="732" t="str">
        <f>'DICTIONARY-3'!$A$200</f>
        <v>Zawór zwrotny</v>
      </c>
      <c r="R1290" s="732" t="str">
        <f>CONCATENATE('DICTIONARY-3'!$A$99," ",'DICTIONARY-6'!$A$20," ",'DICTIONARY-2'!$A$2,"150"," ",'DICTIONARY-2'!$A$3,"10/16"," ","R48"," ",'DICTIONARY-5'!$A$34,"/",'DICTIONARY-5'!$A$34," ",'DICTIONARY-6'!$A$36,", ",'DICTIONARY-4'!$A$16)</f>
        <v>RETA Zaw. zwrotny DN150 PN10/16 R48 A2/A2 SYNT., DC</v>
      </c>
      <c r="S1290" s="733" t="str">
        <f>'DICTIONARY-4'!$A$16</f>
        <v>DC</v>
      </c>
      <c r="T1290" s="732" t="str">
        <f>'DICTIONARY-4'!$A$32</f>
        <v>Dżwignia z ciężarem</v>
      </c>
      <c r="U1290" s="734" t="s">
        <v>5572</v>
      </c>
      <c r="V1290" s="735">
        <v>16</v>
      </c>
      <c r="W1290" s="736"/>
      <c r="X1290" s="737"/>
      <c r="Y1290" s="738"/>
      <c r="Z1290" s="739"/>
      <c r="AA1290" s="739"/>
      <c r="AB1290" s="740">
        <v>16</v>
      </c>
      <c r="AC1290" s="741" t="str">
        <f>'DICTIONARY-5'!$A$11&amp;" 48"</f>
        <v>EN 558 szereg 48</v>
      </c>
      <c r="AD1290" s="733" t="str">
        <f>'DICTIONARY-5'!$A$17&amp;", "&amp;'DICTIONARY-5'!$A$21</f>
        <v>woda przemysłowa, olej</v>
      </c>
      <c r="AE1290" s="742">
        <v>120</v>
      </c>
      <c r="AF1290" s="743">
        <v>56</v>
      </c>
      <c r="AG1290" s="741" t="str">
        <f>'DICTIONARY-5'!$A$24</f>
        <v>powłoka syntetyczna</v>
      </c>
    </row>
    <row r="1291" spans="1:33" x14ac:dyDescent="0.25">
      <c r="A1291" s="861" t="s">
        <v>1303</v>
      </c>
      <c r="B1291" s="861" t="s">
        <v>4446</v>
      </c>
      <c r="C1291" s="836">
        <v>1173</v>
      </c>
      <c r="D1291" s="836"/>
      <c r="E1291" s="836"/>
      <c r="F1291" s="836"/>
      <c r="G1291" s="496" t="s">
        <v>7824</v>
      </c>
      <c r="H1291" s="797" t="str">
        <f>VLOOKUP(G1291,SETTINGS!$B$7:$D$97,2,0)</f>
        <v>RETA</v>
      </c>
      <c r="I1291" s="796">
        <f>VLOOKUP(G1291,SETTINGS!$B$7:$D$97,3,0)</f>
        <v>0</v>
      </c>
      <c r="J1291" s="670" t="str">
        <f>IFERROR(IF(CURRENCY.FORMAT_1=0,CONCATENATE(TEXT(FIXED(ROUND((C1291/EXC.RATE_1),CURRENCY.FORMAT_1),CURRENCY.FORMAT_1,1),"# ##0;-# ##0"),",-"),FIXED(ROUND((C1291/EXC.RATE_1),CURRENCY.FORMAT_1),CURRENCY.FORMAT_1,0)),'DICTIONARY-5'!$A$2)</f>
        <v>1 173,-</v>
      </c>
      <c r="K1291" s="670" t="str">
        <f>IF(EXC.RATE_2=0,"",IFERROR(IF(CURRENCY.FORMAT_2=0,CONCATENATE(TEXT(FIXED(ROUND(IF(EXC.RATE.SWITCH=1,C1291/EXC.RATE_2,C1291*EXC.RATE_2),CURRENCY.FORMAT_2),CURRENCY.FORMAT_2,1),"# ##0;-# ##0"),",-"),FIXED(ROUND(IF(EXC.RATE.SWITCH=1,C1291/EXC.RATE_2,C1291*EXC.RATE_2),CURRENCY.FORMAT_2),CURRENCY.FORMAT_2,0)),'DICTIONARY-5'!$A$2))</f>
        <v/>
      </c>
      <c r="L1291" s="670" t="str">
        <f>IFERROR(IF(CURRENCY.FORMAT_1=0,CONCATENATE(TEXT(FIXED(ROUND((C1291*(1-I1291)*(1-ADD.DISCOUNT)*(1+MAT.SURCHARGE)/EXC.RATE_1),CURRENCY.FORMAT_1),CURRENCY.FORMAT_1,1),"# ##0;-# ##0"),",-"),FIXED(ROUND((C1291*(1-I1291)*(1-ADD.DISCOUNT)*(1+MAT.SURCHARGE)/EXC.RATE_1),CURRENCY.FORMAT_1),CURRENCY.FORMAT_1,0)),'DICTIONARY-5'!$A$2)</f>
        <v>1 219,-</v>
      </c>
      <c r="M1291" s="670" t="str">
        <f>IF(EXC.RATE_2=0,"",IFERROR(IF(CURRENCY.FORMAT_2=0,CONCATENATE(TEXT(FIXED(ROUND(IF(EXC.RATE.SWITCH=1,C1291*(1-I1291)*(1-ADD.DISCOUNT)*(1+MAT.SURCHARGE)/EXC.RATE_2,C1291*(1-I1291)*(1-ADD.DISCOUNT)*(1+MAT.SURCHARGE)*EXC.RATE_2),CURRENCY.FORMAT_2),CURRENCY.FORMAT_2,1),"# ##0;-# ##0"),",-"),FIXED(ROUND(IF(EXC.RATE.SWITCH=1,C1291*(1-I1291)*(1-ADD.DISCOUNT)*(1+MAT.SURCHARGE)/EXC.RATE_2,C1291*(1-I1291)*(1-ADD.DISCOUNT)*(1+MAT.SURCHARGE)*EXC.RATE_2),CURRENCY.FORMAT_2),CURRENCY.FORMAT_2,0)),'DICTIONARY-5'!$A$2))</f>
        <v/>
      </c>
      <c r="N1291" s="539">
        <v>5</v>
      </c>
      <c r="O1291" s="539"/>
      <c r="P1291" s="731" t="str">
        <f>'DICTIONARY-3'!$A$99</f>
        <v>RETA</v>
      </c>
      <c r="Q1291" s="732" t="str">
        <f>'DICTIONARY-3'!$A$200</f>
        <v>Zawór zwrotny</v>
      </c>
      <c r="R1291" s="732" t="str">
        <f>CONCATENATE('DICTIONARY-3'!$A$99," ",'DICTIONARY-6'!$A$20," ",'DICTIONARY-2'!$A$2,"200"," ",'DICTIONARY-2'!$A$3,"16"," ","R48"," ",'DICTIONARY-5'!$A$34,"/",'DICTIONARY-5'!$A$34," ",'DICTIONARY-6'!$A$36,", ",'DICTIONARY-4'!$A$16)</f>
        <v>RETA Zaw. zwrotny DN200 PN16 R48 A2/A2 SYNT., DC</v>
      </c>
      <c r="S1291" s="733" t="str">
        <f>'DICTIONARY-4'!$A$16</f>
        <v>DC</v>
      </c>
      <c r="T1291" s="732" t="str">
        <f>'DICTIONARY-4'!$A$32</f>
        <v>Dżwignia z ciężarem</v>
      </c>
      <c r="U1291" s="734" t="s">
        <v>5750</v>
      </c>
      <c r="V1291" s="735">
        <v>16</v>
      </c>
      <c r="W1291" s="736"/>
      <c r="X1291" s="737"/>
      <c r="Y1291" s="738"/>
      <c r="Z1291" s="739"/>
      <c r="AA1291" s="739"/>
      <c r="AB1291" s="740">
        <v>16</v>
      </c>
      <c r="AC1291" s="741" t="str">
        <f>'DICTIONARY-5'!$A$11&amp;" 48"</f>
        <v>EN 558 szereg 48</v>
      </c>
      <c r="AD1291" s="733" t="str">
        <f>'DICTIONARY-5'!$A$17&amp;", "&amp;'DICTIONARY-5'!$A$21</f>
        <v>woda przemysłowa, olej</v>
      </c>
      <c r="AE1291" s="742">
        <v>120</v>
      </c>
      <c r="AF1291" s="743">
        <v>96</v>
      </c>
      <c r="AG1291" s="741" t="str">
        <f>'DICTIONARY-5'!$A$24</f>
        <v>powłoka syntetyczna</v>
      </c>
    </row>
    <row r="1292" spans="1:33" x14ac:dyDescent="0.25">
      <c r="A1292" s="861" t="s">
        <v>1305</v>
      </c>
      <c r="B1292" s="861" t="s">
        <v>4448</v>
      </c>
      <c r="C1292" s="836">
        <v>1816</v>
      </c>
      <c r="D1292" s="836"/>
      <c r="E1292" s="836"/>
      <c r="F1292" s="836"/>
      <c r="G1292" s="496" t="s">
        <v>7824</v>
      </c>
      <c r="H1292" s="797" t="str">
        <f>VLOOKUP(G1292,SETTINGS!$B$7:$D$97,2,0)</f>
        <v>RETA</v>
      </c>
      <c r="I1292" s="796">
        <f>VLOOKUP(G1292,SETTINGS!$B$7:$D$97,3,0)</f>
        <v>0</v>
      </c>
      <c r="J1292" s="670" t="str">
        <f>IFERROR(IF(CURRENCY.FORMAT_1=0,CONCATENATE(TEXT(FIXED(ROUND((C1292/EXC.RATE_1),CURRENCY.FORMAT_1),CURRENCY.FORMAT_1,1),"# ##0;-# ##0"),",-"),FIXED(ROUND((C1292/EXC.RATE_1),CURRENCY.FORMAT_1),CURRENCY.FORMAT_1,0)),'DICTIONARY-5'!$A$2)</f>
        <v>1 816,-</v>
      </c>
      <c r="K1292" s="670" t="str">
        <f>IF(EXC.RATE_2=0,"",IFERROR(IF(CURRENCY.FORMAT_2=0,CONCATENATE(TEXT(FIXED(ROUND(IF(EXC.RATE.SWITCH=1,C1292/EXC.RATE_2,C1292*EXC.RATE_2),CURRENCY.FORMAT_2),CURRENCY.FORMAT_2,1),"# ##0;-# ##0"),",-"),FIXED(ROUND(IF(EXC.RATE.SWITCH=1,C1292/EXC.RATE_2,C1292*EXC.RATE_2),CURRENCY.FORMAT_2),CURRENCY.FORMAT_2,0)),'DICTIONARY-5'!$A$2))</f>
        <v/>
      </c>
      <c r="L1292" s="670" t="str">
        <f>IFERROR(IF(CURRENCY.FORMAT_1=0,CONCATENATE(TEXT(FIXED(ROUND((C1292*(1-I1292)*(1-ADD.DISCOUNT)*(1+MAT.SURCHARGE)/EXC.RATE_1),CURRENCY.FORMAT_1),CURRENCY.FORMAT_1,1),"# ##0;-# ##0"),",-"),FIXED(ROUND((C1292*(1-I1292)*(1-ADD.DISCOUNT)*(1+MAT.SURCHARGE)/EXC.RATE_1),CURRENCY.FORMAT_1),CURRENCY.FORMAT_1,0)),'DICTIONARY-5'!$A$2)</f>
        <v>1 887,-</v>
      </c>
      <c r="M1292" s="670" t="str">
        <f>IF(EXC.RATE_2=0,"",IFERROR(IF(CURRENCY.FORMAT_2=0,CONCATENATE(TEXT(FIXED(ROUND(IF(EXC.RATE.SWITCH=1,C1292*(1-I1292)*(1-ADD.DISCOUNT)*(1+MAT.SURCHARGE)/EXC.RATE_2,C1292*(1-I1292)*(1-ADD.DISCOUNT)*(1+MAT.SURCHARGE)*EXC.RATE_2),CURRENCY.FORMAT_2),CURRENCY.FORMAT_2,1),"# ##0;-# ##0"),",-"),FIXED(ROUND(IF(EXC.RATE.SWITCH=1,C1292*(1-I1292)*(1-ADD.DISCOUNT)*(1+MAT.SURCHARGE)/EXC.RATE_2,C1292*(1-I1292)*(1-ADD.DISCOUNT)*(1+MAT.SURCHARGE)*EXC.RATE_2),CURRENCY.FORMAT_2),CURRENCY.FORMAT_2,0)),'DICTIONARY-5'!$A$2))</f>
        <v/>
      </c>
      <c r="N1292" s="539">
        <v>5</v>
      </c>
      <c r="O1292" s="539"/>
      <c r="P1292" s="731" t="str">
        <f>'DICTIONARY-3'!$A$99</f>
        <v>RETA</v>
      </c>
      <c r="Q1292" s="732" t="str">
        <f>'DICTIONARY-3'!$A$200</f>
        <v>Zawór zwrotny</v>
      </c>
      <c r="R1292" s="732" t="str">
        <f>CONCATENATE('DICTIONARY-3'!$A$99," ",'DICTIONARY-6'!$A$20," ",'DICTIONARY-2'!$A$2,"250"," ",'DICTIONARY-2'!$A$3,"16"," ","R48"," ",'DICTIONARY-5'!$A$34,"/",'DICTIONARY-5'!$A$34," ",'DICTIONARY-6'!$A$36,", ",'DICTIONARY-4'!$A$16)</f>
        <v>RETA Zaw. zwrotny DN250 PN16 R48 A2/A2 SYNT., DC</v>
      </c>
      <c r="S1292" s="733" t="str">
        <f>'DICTIONARY-4'!$A$16</f>
        <v>DC</v>
      </c>
      <c r="T1292" s="732" t="str">
        <f>'DICTIONARY-4'!$A$32</f>
        <v>Dżwignia z ciężarem</v>
      </c>
      <c r="U1292" s="734" t="s">
        <v>5751</v>
      </c>
      <c r="V1292" s="735">
        <v>16</v>
      </c>
      <c r="W1292" s="736"/>
      <c r="X1292" s="737"/>
      <c r="Y1292" s="738"/>
      <c r="Z1292" s="739"/>
      <c r="AA1292" s="739"/>
      <c r="AB1292" s="740">
        <v>16</v>
      </c>
      <c r="AC1292" s="741" t="str">
        <f>'DICTIONARY-5'!$A$11&amp;" 48"</f>
        <v>EN 558 szereg 48</v>
      </c>
      <c r="AD1292" s="733" t="str">
        <f>'DICTIONARY-5'!$A$17&amp;", "&amp;'DICTIONARY-5'!$A$21</f>
        <v>woda przemysłowa, olej</v>
      </c>
      <c r="AE1292" s="742">
        <v>120</v>
      </c>
      <c r="AF1292" s="743">
        <v>136</v>
      </c>
      <c r="AG1292" s="741" t="str">
        <f>'DICTIONARY-5'!$A$24</f>
        <v>powłoka syntetyczna</v>
      </c>
    </row>
    <row r="1293" spans="1:33" x14ac:dyDescent="0.25">
      <c r="A1293" s="861" t="s">
        <v>1290</v>
      </c>
      <c r="B1293" s="861" t="s">
        <v>4416</v>
      </c>
      <c r="C1293" s="836">
        <v>330</v>
      </c>
      <c r="D1293" s="836"/>
      <c r="E1293" s="836"/>
      <c r="F1293" s="836"/>
      <c r="G1293" s="496" t="s">
        <v>7824</v>
      </c>
      <c r="H1293" s="797" t="str">
        <f>VLOOKUP(G1293,SETTINGS!$B$7:$D$97,2,0)</f>
        <v>RETA</v>
      </c>
      <c r="I1293" s="796">
        <f>VLOOKUP(G1293,SETTINGS!$B$7:$D$97,3,0)</f>
        <v>0</v>
      </c>
      <c r="J1293" s="670" t="str">
        <f>IFERROR(IF(CURRENCY.FORMAT_1=0,CONCATENATE(TEXT(FIXED(ROUND((C1293/EXC.RATE_1),CURRENCY.FORMAT_1),CURRENCY.FORMAT_1,1),"# ##0;-# ##0"),",-"),FIXED(ROUND((C1293/EXC.RATE_1),CURRENCY.FORMAT_1),CURRENCY.FORMAT_1,0)),'DICTIONARY-5'!$A$2)</f>
        <v>330,-</v>
      </c>
      <c r="K1293" s="670" t="str">
        <f>IF(EXC.RATE_2=0,"",IFERROR(IF(CURRENCY.FORMAT_2=0,CONCATENATE(TEXT(FIXED(ROUND(IF(EXC.RATE.SWITCH=1,C1293/EXC.RATE_2,C1293*EXC.RATE_2),CURRENCY.FORMAT_2),CURRENCY.FORMAT_2,1),"# ##0;-# ##0"),",-"),FIXED(ROUND(IF(EXC.RATE.SWITCH=1,C1293/EXC.RATE_2,C1293*EXC.RATE_2),CURRENCY.FORMAT_2),CURRENCY.FORMAT_2,0)),'DICTIONARY-5'!$A$2))</f>
        <v/>
      </c>
      <c r="L1293" s="670" t="str">
        <f>IFERROR(IF(CURRENCY.FORMAT_1=0,CONCATENATE(TEXT(FIXED(ROUND((C1293*(1-I1293)*(1-ADD.DISCOUNT)*(1+MAT.SURCHARGE)/EXC.RATE_1),CURRENCY.FORMAT_1),CURRENCY.FORMAT_1,1),"# ##0;-# ##0"),",-"),FIXED(ROUND((C1293*(1-I1293)*(1-ADD.DISCOUNT)*(1+MAT.SURCHARGE)/EXC.RATE_1),CURRENCY.FORMAT_1),CURRENCY.FORMAT_1,0)),'DICTIONARY-5'!$A$2)</f>
        <v>343,-</v>
      </c>
      <c r="M1293" s="670" t="str">
        <f>IF(EXC.RATE_2=0,"",IFERROR(IF(CURRENCY.FORMAT_2=0,CONCATENATE(TEXT(FIXED(ROUND(IF(EXC.RATE.SWITCH=1,C1293*(1-I1293)*(1-ADD.DISCOUNT)*(1+MAT.SURCHARGE)/EXC.RATE_2,C1293*(1-I1293)*(1-ADD.DISCOUNT)*(1+MAT.SURCHARGE)*EXC.RATE_2),CURRENCY.FORMAT_2),CURRENCY.FORMAT_2,1),"# ##0;-# ##0"),",-"),FIXED(ROUND(IF(EXC.RATE.SWITCH=1,C1293*(1-I1293)*(1-ADD.DISCOUNT)*(1+MAT.SURCHARGE)/EXC.RATE_2,C1293*(1-I1293)*(1-ADD.DISCOUNT)*(1+MAT.SURCHARGE)*EXC.RATE_2),CURRENCY.FORMAT_2),CURRENCY.FORMAT_2,0)),'DICTIONARY-5'!$A$2))</f>
        <v/>
      </c>
      <c r="N1293" s="539">
        <v>5</v>
      </c>
      <c r="O1293" s="539"/>
      <c r="P1293" s="731" t="str">
        <f>'DICTIONARY-3'!$A$99</f>
        <v>RETA</v>
      </c>
      <c r="Q1293" s="732" t="str">
        <f>'DICTIONARY-3'!$A$200</f>
        <v>Zawór zwrotny</v>
      </c>
      <c r="R1293" s="732" t="str">
        <f>CONCATENATE('DICTIONARY-3'!$A$99," ",'DICTIONARY-6'!$A$20," ",'DICTIONARY-2'!$A$2,"40"," ",'DICTIONARY-2'!$A$3,"10/16"," ","R48"," ",'DICTIONARY-5'!$A$34,"/",'DICTIONARY-5'!$A$44," ",'DICTIONARY-6'!$A$36,", ",'DICTIONARY-4'!$A$16)</f>
        <v>RETA Zaw. zwrotny DN40 PN10/16 R48 A2/EPDM SYNT., DC</v>
      </c>
      <c r="S1293" s="733" t="str">
        <f>'DICTIONARY-4'!$A$16</f>
        <v>DC</v>
      </c>
      <c r="T1293" s="732" t="str">
        <f>'DICTIONARY-4'!$A$32</f>
        <v>Dżwignia z ciężarem</v>
      </c>
      <c r="U1293" s="734" t="s">
        <v>5758</v>
      </c>
      <c r="V1293" s="735">
        <v>16</v>
      </c>
      <c r="W1293" s="736"/>
      <c r="X1293" s="737"/>
      <c r="Y1293" s="738"/>
      <c r="Z1293" s="739"/>
      <c r="AA1293" s="739"/>
      <c r="AB1293" s="740">
        <v>16</v>
      </c>
      <c r="AC1293" s="741" t="str">
        <f>'DICTIONARY-5'!$A$11&amp;" 48"</f>
        <v>EN 558 szereg 48</v>
      </c>
      <c r="AD1293" s="733" t="str">
        <f>'DICTIONARY-5'!$A$17&amp;", "&amp;'DICTIONARY-5'!$A$21</f>
        <v>woda przemysłowa, olej</v>
      </c>
      <c r="AE1293" s="742">
        <v>120</v>
      </c>
      <c r="AF1293" s="743">
        <v>9.5</v>
      </c>
      <c r="AG1293" s="741" t="str">
        <f>'DICTIONARY-5'!$A$24</f>
        <v>powłoka syntetyczna</v>
      </c>
    </row>
    <row r="1294" spans="1:33" x14ac:dyDescent="0.25">
      <c r="A1294" s="861" t="s">
        <v>1292</v>
      </c>
      <c r="B1294" s="861" t="s">
        <v>4418</v>
      </c>
      <c r="C1294" s="836">
        <v>336</v>
      </c>
      <c r="D1294" s="836"/>
      <c r="E1294" s="836"/>
      <c r="F1294" s="836"/>
      <c r="G1294" s="496" t="s">
        <v>7824</v>
      </c>
      <c r="H1294" s="797" t="str">
        <f>VLOOKUP(G1294,SETTINGS!$B$7:$D$97,2,0)</f>
        <v>RETA</v>
      </c>
      <c r="I1294" s="796">
        <f>VLOOKUP(G1294,SETTINGS!$B$7:$D$97,3,0)</f>
        <v>0</v>
      </c>
      <c r="J1294" s="670" t="str">
        <f>IFERROR(IF(CURRENCY.FORMAT_1=0,CONCATENATE(TEXT(FIXED(ROUND((C1294/EXC.RATE_1),CURRENCY.FORMAT_1),CURRENCY.FORMAT_1,1),"# ##0;-# ##0"),",-"),FIXED(ROUND((C1294/EXC.RATE_1),CURRENCY.FORMAT_1),CURRENCY.FORMAT_1,0)),'DICTIONARY-5'!$A$2)</f>
        <v>336,-</v>
      </c>
      <c r="K1294" s="670" t="str">
        <f>IF(EXC.RATE_2=0,"",IFERROR(IF(CURRENCY.FORMAT_2=0,CONCATENATE(TEXT(FIXED(ROUND(IF(EXC.RATE.SWITCH=1,C1294/EXC.RATE_2,C1294*EXC.RATE_2),CURRENCY.FORMAT_2),CURRENCY.FORMAT_2,1),"# ##0;-# ##0"),",-"),FIXED(ROUND(IF(EXC.RATE.SWITCH=1,C1294/EXC.RATE_2,C1294*EXC.RATE_2),CURRENCY.FORMAT_2),CURRENCY.FORMAT_2,0)),'DICTIONARY-5'!$A$2))</f>
        <v/>
      </c>
      <c r="L1294" s="670" t="str">
        <f>IFERROR(IF(CURRENCY.FORMAT_1=0,CONCATENATE(TEXT(FIXED(ROUND((C1294*(1-I1294)*(1-ADD.DISCOUNT)*(1+MAT.SURCHARGE)/EXC.RATE_1),CURRENCY.FORMAT_1),CURRENCY.FORMAT_1,1),"# ##0;-# ##0"),",-"),FIXED(ROUND((C1294*(1-I1294)*(1-ADD.DISCOUNT)*(1+MAT.SURCHARGE)/EXC.RATE_1),CURRENCY.FORMAT_1),CURRENCY.FORMAT_1,0)),'DICTIONARY-5'!$A$2)</f>
        <v>349,-</v>
      </c>
      <c r="M1294" s="670" t="str">
        <f>IF(EXC.RATE_2=0,"",IFERROR(IF(CURRENCY.FORMAT_2=0,CONCATENATE(TEXT(FIXED(ROUND(IF(EXC.RATE.SWITCH=1,C1294*(1-I1294)*(1-ADD.DISCOUNT)*(1+MAT.SURCHARGE)/EXC.RATE_2,C1294*(1-I1294)*(1-ADD.DISCOUNT)*(1+MAT.SURCHARGE)*EXC.RATE_2),CURRENCY.FORMAT_2),CURRENCY.FORMAT_2,1),"# ##0;-# ##0"),",-"),FIXED(ROUND(IF(EXC.RATE.SWITCH=1,C1294*(1-I1294)*(1-ADD.DISCOUNT)*(1+MAT.SURCHARGE)/EXC.RATE_2,C1294*(1-I1294)*(1-ADD.DISCOUNT)*(1+MAT.SURCHARGE)*EXC.RATE_2),CURRENCY.FORMAT_2),CURRENCY.FORMAT_2,0)),'DICTIONARY-5'!$A$2))</f>
        <v/>
      </c>
      <c r="N1294" s="539">
        <v>5</v>
      </c>
      <c r="O1294" s="539"/>
      <c r="P1294" s="731" t="str">
        <f>'DICTIONARY-3'!$A$99</f>
        <v>RETA</v>
      </c>
      <c r="Q1294" s="732" t="str">
        <f>'DICTIONARY-3'!$A$200</f>
        <v>Zawór zwrotny</v>
      </c>
      <c r="R1294" s="732" t="str">
        <f>CONCATENATE('DICTIONARY-3'!$A$99," ",'DICTIONARY-6'!$A$20," ",'DICTIONARY-2'!$A$2,"50"," ",'DICTIONARY-2'!$A$3,"10/16"," ","R48"," ",'DICTIONARY-5'!$A$34,"/",'DICTIONARY-5'!$A$44," ",'DICTIONARY-6'!$A$36,", ",'DICTIONARY-4'!$A$16)</f>
        <v>RETA Zaw. zwrotny DN50 PN10/16 R48 A2/EPDM SYNT., DC</v>
      </c>
      <c r="S1294" s="733" t="str">
        <f>'DICTIONARY-4'!$A$16</f>
        <v>DC</v>
      </c>
      <c r="T1294" s="732" t="str">
        <f>'DICTIONARY-4'!$A$32</f>
        <v>Dżwignia z ciężarem</v>
      </c>
      <c r="U1294" s="734" t="s">
        <v>5748</v>
      </c>
      <c r="V1294" s="735">
        <v>16</v>
      </c>
      <c r="W1294" s="736"/>
      <c r="X1294" s="737"/>
      <c r="Y1294" s="738"/>
      <c r="Z1294" s="739"/>
      <c r="AA1294" s="739"/>
      <c r="AB1294" s="740">
        <v>16</v>
      </c>
      <c r="AC1294" s="741" t="str">
        <f>'DICTIONARY-5'!$A$11&amp;" 48"</f>
        <v>EN 558 szereg 48</v>
      </c>
      <c r="AD1294" s="733" t="str">
        <f>'DICTIONARY-5'!$A$17&amp;", "&amp;'DICTIONARY-5'!$A$21</f>
        <v>woda przemysłowa, olej</v>
      </c>
      <c r="AE1294" s="742">
        <v>120</v>
      </c>
      <c r="AF1294" s="743">
        <v>11.5</v>
      </c>
      <c r="AG1294" s="741" t="str">
        <f>'DICTIONARY-5'!$A$24</f>
        <v>powłoka syntetyczna</v>
      </c>
    </row>
    <row r="1295" spans="1:33" x14ac:dyDescent="0.25">
      <c r="A1295" s="861" t="s">
        <v>1294</v>
      </c>
      <c r="B1295" s="861" t="s">
        <v>4420</v>
      </c>
      <c r="C1295" s="836">
        <v>416</v>
      </c>
      <c r="D1295" s="836"/>
      <c r="E1295" s="836"/>
      <c r="F1295" s="836"/>
      <c r="G1295" s="496" t="s">
        <v>7824</v>
      </c>
      <c r="H1295" s="797" t="str">
        <f>VLOOKUP(G1295,SETTINGS!$B$7:$D$97,2,0)</f>
        <v>RETA</v>
      </c>
      <c r="I1295" s="796">
        <f>VLOOKUP(G1295,SETTINGS!$B$7:$D$97,3,0)</f>
        <v>0</v>
      </c>
      <c r="J1295" s="670" t="str">
        <f>IFERROR(IF(CURRENCY.FORMAT_1=0,CONCATENATE(TEXT(FIXED(ROUND((C1295/EXC.RATE_1),CURRENCY.FORMAT_1),CURRENCY.FORMAT_1,1),"# ##0;-# ##0"),",-"),FIXED(ROUND((C1295/EXC.RATE_1),CURRENCY.FORMAT_1),CURRENCY.FORMAT_1,0)),'DICTIONARY-5'!$A$2)</f>
        <v>416,-</v>
      </c>
      <c r="K1295" s="670" t="str">
        <f>IF(EXC.RATE_2=0,"",IFERROR(IF(CURRENCY.FORMAT_2=0,CONCATENATE(TEXT(FIXED(ROUND(IF(EXC.RATE.SWITCH=1,C1295/EXC.RATE_2,C1295*EXC.RATE_2),CURRENCY.FORMAT_2),CURRENCY.FORMAT_2,1),"# ##0;-# ##0"),",-"),FIXED(ROUND(IF(EXC.RATE.SWITCH=1,C1295/EXC.RATE_2,C1295*EXC.RATE_2),CURRENCY.FORMAT_2),CURRENCY.FORMAT_2,0)),'DICTIONARY-5'!$A$2))</f>
        <v/>
      </c>
      <c r="L1295" s="670" t="str">
        <f>IFERROR(IF(CURRENCY.FORMAT_1=0,CONCATENATE(TEXT(FIXED(ROUND((C1295*(1-I1295)*(1-ADD.DISCOUNT)*(1+MAT.SURCHARGE)/EXC.RATE_1),CURRENCY.FORMAT_1),CURRENCY.FORMAT_1,1),"# ##0;-# ##0"),",-"),FIXED(ROUND((C1295*(1-I1295)*(1-ADD.DISCOUNT)*(1+MAT.SURCHARGE)/EXC.RATE_1),CURRENCY.FORMAT_1),CURRENCY.FORMAT_1,0)),'DICTIONARY-5'!$A$2)</f>
        <v>432,-</v>
      </c>
      <c r="M1295" s="670" t="str">
        <f>IF(EXC.RATE_2=0,"",IFERROR(IF(CURRENCY.FORMAT_2=0,CONCATENATE(TEXT(FIXED(ROUND(IF(EXC.RATE.SWITCH=1,C1295*(1-I1295)*(1-ADD.DISCOUNT)*(1+MAT.SURCHARGE)/EXC.RATE_2,C1295*(1-I1295)*(1-ADD.DISCOUNT)*(1+MAT.SURCHARGE)*EXC.RATE_2),CURRENCY.FORMAT_2),CURRENCY.FORMAT_2,1),"# ##0;-# ##0"),",-"),FIXED(ROUND(IF(EXC.RATE.SWITCH=1,C1295*(1-I1295)*(1-ADD.DISCOUNT)*(1+MAT.SURCHARGE)/EXC.RATE_2,C1295*(1-I1295)*(1-ADD.DISCOUNT)*(1+MAT.SURCHARGE)*EXC.RATE_2),CURRENCY.FORMAT_2),CURRENCY.FORMAT_2,0)),'DICTIONARY-5'!$A$2))</f>
        <v/>
      </c>
      <c r="N1295" s="539">
        <v>5</v>
      </c>
      <c r="O1295" s="539"/>
      <c r="P1295" s="731" t="str">
        <f>'DICTIONARY-3'!$A$99</f>
        <v>RETA</v>
      </c>
      <c r="Q1295" s="732" t="str">
        <f>'DICTIONARY-3'!$A$200</f>
        <v>Zawór zwrotny</v>
      </c>
      <c r="R1295" s="732" t="str">
        <f>CONCATENATE('DICTIONARY-3'!$A$99," ",'DICTIONARY-6'!$A$20," ",'DICTIONARY-2'!$A$2,"65"," ",'DICTIONARY-2'!$A$3,"10/16"," ","R48"," ",'DICTIONARY-5'!$A$34,"/",'DICTIONARY-5'!$A$44," ",'DICTIONARY-6'!$A$36,", ",'DICTIONARY-4'!$A$16)</f>
        <v>RETA Zaw. zwrotny DN65 PN10/16 R48 A2/EPDM SYNT., DC</v>
      </c>
      <c r="S1295" s="733" t="str">
        <f>'DICTIONARY-4'!$A$16</f>
        <v>DC</v>
      </c>
      <c r="T1295" s="732" t="str">
        <f>'DICTIONARY-4'!$A$32</f>
        <v>Dżwignia z ciężarem</v>
      </c>
      <c r="U1295" s="734" t="s">
        <v>5759</v>
      </c>
      <c r="V1295" s="735">
        <v>16</v>
      </c>
      <c r="W1295" s="736"/>
      <c r="X1295" s="737"/>
      <c r="Y1295" s="738"/>
      <c r="Z1295" s="739"/>
      <c r="AA1295" s="739"/>
      <c r="AB1295" s="740">
        <v>16</v>
      </c>
      <c r="AC1295" s="741" t="str">
        <f>'DICTIONARY-5'!$A$11&amp;" 48"</f>
        <v>EN 558 szereg 48</v>
      </c>
      <c r="AD1295" s="733" t="str">
        <f>'DICTIONARY-5'!$A$17&amp;", "&amp;'DICTIONARY-5'!$A$21</f>
        <v>woda przemysłowa, olej</v>
      </c>
      <c r="AE1295" s="742">
        <v>120</v>
      </c>
      <c r="AF1295" s="743">
        <v>16</v>
      </c>
      <c r="AG1295" s="741" t="str">
        <f>'DICTIONARY-5'!$A$24</f>
        <v>powłoka syntetyczna</v>
      </c>
    </row>
    <row r="1296" spans="1:33" x14ac:dyDescent="0.25">
      <c r="A1296" s="861" t="s">
        <v>1296</v>
      </c>
      <c r="B1296" s="861" t="s">
        <v>4422</v>
      </c>
      <c r="C1296" s="836">
        <v>414</v>
      </c>
      <c r="D1296" s="836"/>
      <c r="E1296" s="836"/>
      <c r="F1296" s="836"/>
      <c r="G1296" s="496" t="s">
        <v>7824</v>
      </c>
      <c r="H1296" s="797" t="str">
        <f>VLOOKUP(G1296,SETTINGS!$B$7:$D$97,2,0)</f>
        <v>RETA</v>
      </c>
      <c r="I1296" s="796">
        <f>VLOOKUP(G1296,SETTINGS!$B$7:$D$97,3,0)</f>
        <v>0</v>
      </c>
      <c r="J1296" s="670" t="str">
        <f>IFERROR(IF(CURRENCY.FORMAT_1=0,CONCATENATE(TEXT(FIXED(ROUND((C1296/EXC.RATE_1),CURRENCY.FORMAT_1),CURRENCY.FORMAT_1,1),"# ##0;-# ##0"),",-"),FIXED(ROUND((C1296/EXC.RATE_1),CURRENCY.FORMAT_1),CURRENCY.FORMAT_1,0)),'DICTIONARY-5'!$A$2)</f>
        <v>414,-</v>
      </c>
      <c r="K1296" s="670" t="str">
        <f>IF(EXC.RATE_2=0,"",IFERROR(IF(CURRENCY.FORMAT_2=0,CONCATENATE(TEXT(FIXED(ROUND(IF(EXC.RATE.SWITCH=1,C1296/EXC.RATE_2,C1296*EXC.RATE_2),CURRENCY.FORMAT_2),CURRENCY.FORMAT_2,1),"# ##0;-# ##0"),",-"),FIXED(ROUND(IF(EXC.RATE.SWITCH=1,C1296/EXC.RATE_2,C1296*EXC.RATE_2),CURRENCY.FORMAT_2),CURRENCY.FORMAT_2,0)),'DICTIONARY-5'!$A$2))</f>
        <v/>
      </c>
      <c r="L1296" s="670" t="str">
        <f>IFERROR(IF(CURRENCY.FORMAT_1=0,CONCATENATE(TEXT(FIXED(ROUND((C1296*(1-I1296)*(1-ADD.DISCOUNT)*(1+MAT.SURCHARGE)/EXC.RATE_1),CURRENCY.FORMAT_1),CURRENCY.FORMAT_1,1),"# ##0;-# ##0"),",-"),FIXED(ROUND((C1296*(1-I1296)*(1-ADD.DISCOUNT)*(1+MAT.SURCHARGE)/EXC.RATE_1),CURRENCY.FORMAT_1),CURRENCY.FORMAT_1,0)),'DICTIONARY-5'!$A$2)</f>
        <v>430,-</v>
      </c>
      <c r="M1296" s="670" t="str">
        <f>IF(EXC.RATE_2=0,"",IFERROR(IF(CURRENCY.FORMAT_2=0,CONCATENATE(TEXT(FIXED(ROUND(IF(EXC.RATE.SWITCH=1,C1296*(1-I1296)*(1-ADD.DISCOUNT)*(1+MAT.SURCHARGE)/EXC.RATE_2,C1296*(1-I1296)*(1-ADD.DISCOUNT)*(1+MAT.SURCHARGE)*EXC.RATE_2),CURRENCY.FORMAT_2),CURRENCY.FORMAT_2,1),"# ##0;-# ##0"),",-"),FIXED(ROUND(IF(EXC.RATE.SWITCH=1,C1296*(1-I1296)*(1-ADD.DISCOUNT)*(1+MAT.SURCHARGE)/EXC.RATE_2,C1296*(1-I1296)*(1-ADD.DISCOUNT)*(1+MAT.SURCHARGE)*EXC.RATE_2),CURRENCY.FORMAT_2),CURRENCY.FORMAT_2,0)),'DICTIONARY-5'!$A$2))</f>
        <v/>
      </c>
      <c r="N1296" s="539">
        <v>5</v>
      </c>
      <c r="O1296" s="539"/>
      <c r="P1296" s="731" t="str">
        <f>'DICTIONARY-3'!$A$99</f>
        <v>RETA</v>
      </c>
      <c r="Q1296" s="732" t="str">
        <f>'DICTIONARY-3'!$A$200</f>
        <v>Zawór zwrotny</v>
      </c>
      <c r="R1296" s="732" t="str">
        <f>CONCATENATE('DICTIONARY-3'!$A$99," ",'DICTIONARY-6'!$A$20," ",'DICTIONARY-2'!$A$2,"80"," ",'DICTIONARY-2'!$A$3,"10/16"," ","R48"," ",'DICTIONARY-5'!$A$34,"/",'DICTIONARY-5'!$A$44," ",'DICTIONARY-6'!$A$36,", ",'DICTIONARY-4'!$A$16)</f>
        <v>RETA Zaw. zwrotny DN80 PN10/16 R48 A2/EPDM SYNT., DC</v>
      </c>
      <c r="S1296" s="733" t="str">
        <f>'DICTIONARY-4'!$A$16</f>
        <v>DC</v>
      </c>
      <c r="T1296" s="732" t="str">
        <f>'DICTIONARY-4'!$A$32</f>
        <v>Dżwignia z ciężarem</v>
      </c>
      <c r="U1296" s="734" t="s">
        <v>5760</v>
      </c>
      <c r="V1296" s="735">
        <v>16</v>
      </c>
      <c r="W1296" s="736"/>
      <c r="X1296" s="737"/>
      <c r="Y1296" s="738"/>
      <c r="Z1296" s="739"/>
      <c r="AA1296" s="739"/>
      <c r="AB1296" s="740">
        <v>16</v>
      </c>
      <c r="AC1296" s="741" t="str">
        <f>'DICTIONARY-5'!$A$11&amp;" 48"</f>
        <v>EN 558 szereg 48</v>
      </c>
      <c r="AD1296" s="733" t="str">
        <f>'DICTIONARY-5'!$A$17&amp;", "&amp;'DICTIONARY-5'!$A$21</f>
        <v>woda przemysłowa, olej</v>
      </c>
      <c r="AE1296" s="742">
        <v>120</v>
      </c>
      <c r="AF1296" s="743">
        <v>19.5</v>
      </c>
      <c r="AG1296" s="741" t="str">
        <f>'DICTIONARY-5'!$A$24</f>
        <v>powłoka syntetyczna</v>
      </c>
    </row>
    <row r="1297" spans="1:33" x14ac:dyDescent="0.25">
      <c r="A1297" s="861" t="s">
        <v>1298</v>
      </c>
      <c r="B1297" s="861" t="s">
        <v>4450</v>
      </c>
      <c r="C1297" s="836">
        <v>526</v>
      </c>
      <c r="D1297" s="836"/>
      <c r="E1297" s="836"/>
      <c r="F1297" s="836"/>
      <c r="G1297" s="496" t="s">
        <v>7824</v>
      </c>
      <c r="H1297" s="797" t="str">
        <f>VLOOKUP(G1297,SETTINGS!$B$7:$D$97,2,0)</f>
        <v>RETA</v>
      </c>
      <c r="I1297" s="796">
        <f>VLOOKUP(G1297,SETTINGS!$B$7:$D$97,3,0)</f>
        <v>0</v>
      </c>
      <c r="J1297" s="670" t="str">
        <f>IFERROR(IF(CURRENCY.FORMAT_1=0,CONCATENATE(TEXT(FIXED(ROUND((C1297/EXC.RATE_1),CURRENCY.FORMAT_1),CURRENCY.FORMAT_1,1),"# ##0;-# ##0"),",-"),FIXED(ROUND((C1297/EXC.RATE_1),CURRENCY.FORMAT_1),CURRENCY.FORMAT_1,0)),'DICTIONARY-5'!$A$2)</f>
        <v>526,-</v>
      </c>
      <c r="K1297" s="670" t="str">
        <f>IF(EXC.RATE_2=0,"",IFERROR(IF(CURRENCY.FORMAT_2=0,CONCATENATE(TEXT(FIXED(ROUND(IF(EXC.RATE.SWITCH=1,C1297/EXC.RATE_2,C1297*EXC.RATE_2),CURRENCY.FORMAT_2),CURRENCY.FORMAT_2,1),"# ##0;-# ##0"),",-"),FIXED(ROUND(IF(EXC.RATE.SWITCH=1,C1297/EXC.RATE_2,C1297*EXC.RATE_2),CURRENCY.FORMAT_2),CURRENCY.FORMAT_2,0)),'DICTIONARY-5'!$A$2))</f>
        <v/>
      </c>
      <c r="L1297" s="670" t="str">
        <f>IFERROR(IF(CURRENCY.FORMAT_1=0,CONCATENATE(TEXT(FIXED(ROUND((C1297*(1-I1297)*(1-ADD.DISCOUNT)*(1+MAT.SURCHARGE)/EXC.RATE_1),CURRENCY.FORMAT_1),CURRENCY.FORMAT_1,1),"# ##0;-# ##0"),",-"),FIXED(ROUND((C1297*(1-I1297)*(1-ADD.DISCOUNT)*(1+MAT.SURCHARGE)/EXC.RATE_1),CURRENCY.FORMAT_1),CURRENCY.FORMAT_1,0)),'DICTIONARY-5'!$A$2)</f>
        <v>547,-</v>
      </c>
      <c r="M1297" s="670" t="str">
        <f>IF(EXC.RATE_2=0,"",IFERROR(IF(CURRENCY.FORMAT_2=0,CONCATENATE(TEXT(FIXED(ROUND(IF(EXC.RATE.SWITCH=1,C1297*(1-I1297)*(1-ADD.DISCOUNT)*(1+MAT.SURCHARGE)/EXC.RATE_2,C1297*(1-I1297)*(1-ADD.DISCOUNT)*(1+MAT.SURCHARGE)*EXC.RATE_2),CURRENCY.FORMAT_2),CURRENCY.FORMAT_2,1),"# ##0;-# ##0"),",-"),FIXED(ROUND(IF(EXC.RATE.SWITCH=1,C1297*(1-I1297)*(1-ADD.DISCOUNT)*(1+MAT.SURCHARGE)/EXC.RATE_2,C1297*(1-I1297)*(1-ADD.DISCOUNT)*(1+MAT.SURCHARGE)*EXC.RATE_2),CURRENCY.FORMAT_2),CURRENCY.FORMAT_2,0)),'DICTIONARY-5'!$A$2))</f>
        <v/>
      </c>
      <c r="N1297" s="539">
        <v>5</v>
      </c>
      <c r="O1297" s="539"/>
      <c r="P1297" s="731" t="str">
        <f>'DICTIONARY-3'!$A$99</f>
        <v>RETA</v>
      </c>
      <c r="Q1297" s="732" t="str">
        <f>'DICTIONARY-3'!$A$200</f>
        <v>Zawór zwrotny</v>
      </c>
      <c r="R1297" s="732" t="str">
        <f>CONCATENATE('DICTIONARY-3'!$A$99," ",'DICTIONARY-6'!$A$20," ",'DICTIONARY-2'!$A$2,"100"," ",'DICTIONARY-2'!$A$3,"10/16"," ","R48"," ",'DICTIONARY-5'!$A$34,"/",'DICTIONARY-5'!$A$44," ",'DICTIONARY-6'!$A$36,", ",'DICTIONARY-4'!$A$16)</f>
        <v>RETA Zaw. zwrotny DN100 PN10/16 R48 A2/EPDM SYNT., DC</v>
      </c>
      <c r="S1297" s="733" t="str">
        <f>'DICTIONARY-4'!$A$16</f>
        <v>DC</v>
      </c>
      <c r="T1297" s="732" t="str">
        <f>'DICTIONARY-4'!$A$32</f>
        <v>Dżwignia z ciężarem</v>
      </c>
      <c r="U1297" s="734" t="s">
        <v>5749</v>
      </c>
      <c r="V1297" s="735">
        <v>16</v>
      </c>
      <c r="W1297" s="736"/>
      <c r="X1297" s="737"/>
      <c r="Y1297" s="738"/>
      <c r="Z1297" s="739"/>
      <c r="AA1297" s="739"/>
      <c r="AB1297" s="740">
        <v>16</v>
      </c>
      <c r="AC1297" s="741" t="str">
        <f>'DICTIONARY-5'!$A$11&amp;" 48"</f>
        <v>EN 558 szereg 48</v>
      </c>
      <c r="AD1297" s="733" t="str">
        <f>'DICTIONARY-5'!$A$17&amp;", "&amp;'DICTIONARY-5'!$A$21</f>
        <v>woda przemysłowa, olej</v>
      </c>
      <c r="AE1297" s="742">
        <v>120</v>
      </c>
      <c r="AF1297" s="743">
        <v>28.5</v>
      </c>
      <c r="AG1297" s="741" t="str">
        <f>'DICTIONARY-5'!$A$24</f>
        <v>powłoka syntetyczna</v>
      </c>
    </row>
    <row r="1298" spans="1:33" x14ac:dyDescent="0.25">
      <c r="A1298" s="861" t="s">
        <v>1300</v>
      </c>
      <c r="B1298" s="861" t="s">
        <v>4452</v>
      </c>
      <c r="C1298" s="836">
        <v>598</v>
      </c>
      <c r="D1298" s="836"/>
      <c r="E1298" s="836"/>
      <c r="F1298" s="836"/>
      <c r="G1298" s="496" t="s">
        <v>7824</v>
      </c>
      <c r="H1298" s="797" t="str">
        <f>VLOOKUP(G1298,SETTINGS!$B$7:$D$97,2,0)</f>
        <v>RETA</v>
      </c>
      <c r="I1298" s="796">
        <f>VLOOKUP(G1298,SETTINGS!$B$7:$D$97,3,0)</f>
        <v>0</v>
      </c>
      <c r="J1298" s="670" t="str">
        <f>IFERROR(IF(CURRENCY.FORMAT_1=0,CONCATENATE(TEXT(FIXED(ROUND((C1298/EXC.RATE_1),CURRENCY.FORMAT_1),CURRENCY.FORMAT_1,1),"# ##0;-# ##0"),",-"),FIXED(ROUND((C1298/EXC.RATE_1),CURRENCY.FORMAT_1),CURRENCY.FORMAT_1,0)),'DICTIONARY-5'!$A$2)</f>
        <v>598,-</v>
      </c>
      <c r="K1298" s="670" t="str">
        <f>IF(EXC.RATE_2=0,"",IFERROR(IF(CURRENCY.FORMAT_2=0,CONCATENATE(TEXT(FIXED(ROUND(IF(EXC.RATE.SWITCH=1,C1298/EXC.RATE_2,C1298*EXC.RATE_2),CURRENCY.FORMAT_2),CURRENCY.FORMAT_2,1),"# ##0;-# ##0"),",-"),FIXED(ROUND(IF(EXC.RATE.SWITCH=1,C1298/EXC.RATE_2,C1298*EXC.RATE_2),CURRENCY.FORMAT_2),CURRENCY.FORMAT_2,0)),'DICTIONARY-5'!$A$2))</f>
        <v/>
      </c>
      <c r="L1298" s="670" t="str">
        <f>IFERROR(IF(CURRENCY.FORMAT_1=0,CONCATENATE(TEXT(FIXED(ROUND((C1298*(1-I1298)*(1-ADD.DISCOUNT)*(1+MAT.SURCHARGE)/EXC.RATE_1),CURRENCY.FORMAT_1),CURRENCY.FORMAT_1,1),"# ##0;-# ##0"),",-"),FIXED(ROUND((C1298*(1-I1298)*(1-ADD.DISCOUNT)*(1+MAT.SURCHARGE)/EXC.RATE_1),CURRENCY.FORMAT_1),CURRENCY.FORMAT_1,0)),'DICTIONARY-5'!$A$2)</f>
        <v>621,-</v>
      </c>
      <c r="M1298" s="670" t="str">
        <f>IF(EXC.RATE_2=0,"",IFERROR(IF(CURRENCY.FORMAT_2=0,CONCATENATE(TEXT(FIXED(ROUND(IF(EXC.RATE.SWITCH=1,C1298*(1-I1298)*(1-ADD.DISCOUNT)*(1+MAT.SURCHARGE)/EXC.RATE_2,C1298*(1-I1298)*(1-ADD.DISCOUNT)*(1+MAT.SURCHARGE)*EXC.RATE_2),CURRENCY.FORMAT_2),CURRENCY.FORMAT_2,1),"# ##0;-# ##0"),",-"),FIXED(ROUND(IF(EXC.RATE.SWITCH=1,C1298*(1-I1298)*(1-ADD.DISCOUNT)*(1+MAT.SURCHARGE)/EXC.RATE_2,C1298*(1-I1298)*(1-ADD.DISCOUNT)*(1+MAT.SURCHARGE)*EXC.RATE_2),CURRENCY.FORMAT_2),CURRENCY.FORMAT_2,0)),'DICTIONARY-5'!$A$2))</f>
        <v/>
      </c>
      <c r="N1298" s="539">
        <v>5</v>
      </c>
      <c r="O1298" s="539"/>
      <c r="P1298" s="731" t="str">
        <f>'DICTIONARY-3'!$A$99</f>
        <v>RETA</v>
      </c>
      <c r="Q1298" s="732" t="str">
        <f>'DICTIONARY-3'!$A$200</f>
        <v>Zawór zwrotny</v>
      </c>
      <c r="R1298" s="732" t="str">
        <f>CONCATENATE('DICTIONARY-3'!$A$99," ",'DICTIONARY-6'!$A$20," ",'DICTIONARY-2'!$A$2,"125"," ",'DICTIONARY-2'!$A$3,"10/16"," ","R48"," ",'DICTIONARY-5'!$A$34,"/",'DICTIONARY-5'!$A$44," ",'DICTIONARY-6'!$A$36,", ",'DICTIONARY-4'!$A$16)</f>
        <v>RETA Zaw. zwrotny DN125 PN10/16 R48 A2/EPDM SYNT., DC</v>
      </c>
      <c r="S1298" s="733" t="str">
        <f>'DICTIONARY-4'!$A$16</f>
        <v>DC</v>
      </c>
      <c r="T1298" s="732" t="str">
        <f>'DICTIONARY-4'!$A$32</f>
        <v>Dżwignia z ciężarem</v>
      </c>
      <c r="U1298" s="734" t="s">
        <v>5761</v>
      </c>
      <c r="V1298" s="735">
        <v>16</v>
      </c>
      <c r="W1298" s="736"/>
      <c r="X1298" s="737"/>
      <c r="Y1298" s="738"/>
      <c r="Z1298" s="739"/>
      <c r="AA1298" s="739"/>
      <c r="AB1298" s="740">
        <v>16</v>
      </c>
      <c r="AC1298" s="741" t="str">
        <f>'DICTIONARY-5'!$A$11&amp;" 48"</f>
        <v>EN 558 szereg 48</v>
      </c>
      <c r="AD1298" s="733" t="str">
        <f>'DICTIONARY-5'!$A$17&amp;", "&amp;'DICTIONARY-5'!$A$21</f>
        <v>woda przemysłowa, olej</v>
      </c>
      <c r="AE1298" s="742">
        <v>120</v>
      </c>
      <c r="AF1298" s="743">
        <v>37</v>
      </c>
      <c r="AG1298" s="741" t="str">
        <f>'DICTIONARY-5'!$A$24</f>
        <v>powłoka syntetyczna</v>
      </c>
    </row>
    <row r="1299" spans="1:33" x14ac:dyDescent="0.25">
      <c r="A1299" s="861" t="s">
        <v>1302</v>
      </c>
      <c r="B1299" s="861" t="s">
        <v>4454</v>
      </c>
      <c r="C1299" s="836">
        <v>795</v>
      </c>
      <c r="D1299" s="836"/>
      <c r="E1299" s="836"/>
      <c r="F1299" s="836"/>
      <c r="G1299" s="496" t="s">
        <v>7824</v>
      </c>
      <c r="H1299" s="797" t="str">
        <f>VLOOKUP(G1299,SETTINGS!$B$7:$D$97,2,0)</f>
        <v>RETA</v>
      </c>
      <c r="I1299" s="796">
        <f>VLOOKUP(G1299,SETTINGS!$B$7:$D$97,3,0)</f>
        <v>0</v>
      </c>
      <c r="J1299" s="670" t="str">
        <f>IFERROR(IF(CURRENCY.FORMAT_1=0,CONCATENATE(TEXT(FIXED(ROUND((C1299/EXC.RATE_1),CURRENCY.FORMAT_1),CURRENCY.FORMAT_1,1),"# ##0;-# ##0"),",-"),FIXED(ROUND((C1299/EXC.RATE_1),CURRENCY.FORMAT_1),CURRENCY.FORMAT_1,0)),'DICTIONARY-5'!$A$2)</f>
        <v>795,-</v>
      </c>
      <c r="K1299" s="670" t="str">
        <f>IF(EXC.RATE_2=0,"",IFERROR(IF(CURRENCY.FORMAT_2=0,CONCATENATE(TEXT(FIXED(ROUND(IF(EXC.RATE.SWITCH=1,C1299/EXC.RATE_2,C1299*EXC.RATE_2),CURRENCY.FORMAT_2),CURRENCY.FORMAT_2,1),"# ##0;-# ##0"),",-"),FIXED(ROUND(IF(EXC.RATE.SWITCH=1,C1299/EXC.RATE_2,C1299*EXC.RATE_2),CURRENCY.FORMAT_2),CURRENCY.FORMAT_2,0)),'DICTIONARY-5'!$A$2))</f>
        <v/>
      </c>
      <c r="L1299" s="670" t="str">
        <f>IFERROR(IF(CURRENCY.FORMAT_1=0,CONCATENATE(TEXT(FIXED(ROUND((C1299*(1-I1299)*(1-ADD.DISCOUNT)*(1+MAT.SURCHARGE)/EXC.RATE_1),CURRENCY.FORMAT_1),CURRENCY.FORMAT_1,1),"# ##0;-# ##0"),",-"),FIXED(ROUND((C1299*(1-I1299)*(1-ADD.DISCOUNT)*(1+MAT.SURCHARGE)/EXC.RATE_1),CURRENCY.FORMAT_1),CURRENCY.FORMAT_1,0)),'DICTIONARY-5'!$A$2)</f>
        <v>826,-</v>
      </c>
      <c r="M1299" s="670" t="str">
        <f>IF(EXC.RATE_2=0,"",IFERROR(IF(CURRENCY.FORMAT_2=0,CONCATENATE(TEXT(FIXED(ROUND(IF(EXC.RATE.SWITCH=1,C1299*(1-I1299)*(1-ADD.DISCOUNT)*(1+MAT.SURCHARGE)/EXC.RATE_2,C1299*(1-I1299)*(1-ADD.DISCOUNT)*(1+MAT.SURCHARGE)*EXC.RATE_2),CURRENCY.FORMAT_2),CURRENCY.FORMAT_2,1),"# ##0;-# ##0"),",-"),FIXED(ROUND(IF(EXC.RATE.SWITCH=1,C1299*(1-I1299)*(1-ADD.DISCOUNT)*(1+MAT.SURCHARGE)/EXC.RATE_2,C1299*(1-I1299)*(1-ADD.DISCOUNT)*(1+MAT.SURCHARGE)*EXC.RATE_2),CURRENCY.FORMAT_2),CURRENCY.FORMAT_2,0)),'DICTIONARY-5'!$A$2))</f>
        <v/>
      </c>
      <c r="N1299" s="539">
        <v>5</v>
      </c>
      <c r="O1299" s="539"/>
      <c r="P1299" s="731" t="str">
        <f>'DICTIONARY-3'!$A$99</f>
        <v>RETA</v>
      </c>
      <c r="Q1299" s="732" t="str">
        <f>'DICTIONARY-3'!$A$200</f>
        <v>Zawór zwrotny</v>
      </c>
      <c r="R1299" s="732" t="str">
        <f>CONCATENATE('DICTIONARY-3'!$A$99," ",'DICTIONARY-6'!$A$20," ",'DICTIONARY-2'!$A$2,"150"," ",'DICTIONARY-2'!$A$3,"10/16"," ","R48"," ",'DICTIONARY-5'!$A$34,"/",'DICTIONARY-5'!$A$44," ",'DICTIONARY-6'!$A$36,", ",'DICTIONARY-4'!$A$16)</f>
        <v>RETA Zaw. zwrotny DN150 PN10/16 R48 A2/EPDM SYNT., DC</v>
      </c>
      <c r="S1299" s="733" t="str">
        <f>'DICTIONARY-4'!$A$16</f>
        <v>DC</v>
      </c>
      <c r="T1299" s="732" t="str">
        <f>'DICTIONARY-4'!$A$32</f>
        <v>Dżwignia z ciężarem</v>
      </c>
      <c r="U1299" s="734" t="s">
        <v>5572</v>
      </c>
      <c r="V1299" s="735">
        <v>16</v>
      </c>
      <c r="W1299" s="736"/>
      <c r="X1299" s="737"/>
      <c r="Y1299" s="738"/>
      <c r="Z1299" s="739"/>
      <c r="AA1299" s="739"/>
      <c r="AB1299" s="740">
        <v>16</v>
      </c>
      <c r="AC1299" s="741" t="str">
        <f>'DICTIONARY-5'!$A$11&amp;" 48"</f>
        <v>EN 558 szereg 48</v>
      </c>
      <c r="AD1299" s="733" t="str">
        <f>'DICTIONARY-5'!$A$17&amp;", "&amp;'DICTIONARY-5'!$A$21</f>
        <v>woda przemysłowa, olej</v>
      </c>
      <c r="AE1299" s="742">
        <v>120</v>
      </c>
      <c r="AF1299" s="743">
        <v>56</v>
      </c>
      <c r="AG1299" s="741" t="str">
        <f>'DICTIONARY-5'!$A$24</f>
        <v>powłoka syntetyczna</v>
      </c>
    </row>
    <row r="1300" spans="1:33" x14ac:dyDescent="0.25">
      <c r="A1300" s="861" t="s">
        <v>1304</v>
      </c>
      <c r="B1300" s="861" t="s">
        <v>4456</v>
      </c>
      <c r="C1300" s="836">
        <v>1104</v>
      </c>
      <c r="D1300" s="836"/>
      <c r="E1300" s="836"/>
      <c r="F1300" s="836"/>
      <c r="G1300" s="496" t="s">
        <v>7824</v>
      </c>
      <c r="H1300" s="797" t="str">
        <f>VLOOKUP(G1300,SETTINGS!$B$7:$D$97,2,0)</f>
        <v>RETA</v>
      </c>
      <c r="I1300" s="796">
        <f>VLOOKUP(G1300,SETTINGS!$B$7:$D$97,3,0)</f>
        <v>0</v>
      </c>
      <c r="J1300" s="670" t="str">
        <f>IFERROR(IF(CURRENCY.FORMAT_1=0,CONCATENATE(TEXT(FIXED(ROUND((C1300/EXC.RATE_1),CURRENCY.FORMAT_1),CURRENCY.FORMAT_1,1),"# ##0;-# ##0"),",-"),FIXED(ROUND((C1300/EXC.RATE_1),CURRENCY.FORMAT_1),CURRENCY.FORMAT_1,0)),'DICTIONARY-5'!$A$2)</f>
        <v>1 104,-</v>
      </c>
      <c r="K1300" s="670" t="str">
        <f>IF(EXC.RATE_2=0,"",IFERROR(IF(CURRENCY.FORMAT_2=0,CONCATENATE(TEXT(FIXED(ROUND(IF(EXC.RATE.SWITCH=1,C1300/EXC.RATE_2,C1300*EXC.RATE_2),CURRENCY.FORMAT_2),CURRENCY.FORMAT_2,1),"# ##0;-# ##0"),",-"),FIXED(ROUND(IF(EXC.RATE.SWITCH=1,C1300/EXC.RATE_2,C1300*EXC.RATE_2),CURRENCY.FORMAT_2),CURRENCY.FORMAT_2,0)),'DICTIONARY-5'!$A$2))</f>
        <v/>
      </c>
      <c r="L1300" s="670" t="str">
        <f>IFERROR(IF(CURRENCY.FORMAT_1=0,CONCATENATE(TEXT(FIXED(ROUND((C1300*(1-I1300)*(1-ADD.DISCOUNT)*(1+MAT.SURCHARGE)/EXC.RATE_1),CURRENCY.FORMAT_1),CURRENCY.FORMAT_1,1),"# ##0;-# ##0"),",-"),FIXED(ROUND((C1300*(1-I1300)*(1-ADD.DISCOUNT)*(1+MAT.SURCHARGE)/EXC.RATE_1),CURRENCY.FORMAT_1),CURRENCY.FORMAT_1,0)),'DICTIONARY-5'!$A$2)</f>
        <v>1 147,-</v>
      </c>
      <c r="M1300" s="670" t="str">
        <f>IF(EXC.RATE_2=0,"",IFERROR(IF(CURRENCY.FORMAT_2=0,CONCATENATE(TEXT(FIXED(ROUND(IF(EXC.RATE.SWITCH=1,C1300*(1-I1300)*(1-ADD.DISCOUNT)*(1+MAT.SURCHARGE)/EXC.RATE_2,C1300*(1-I1300)*(1-ADD.DISCOUNT)*(1+MAT.SURCHARGE)*EXC.RATE_2),CURRENCY.FORMAT_2),CURRENCY.FORMAT_2,1),"# ##0;-# ##0"),",-"),FIXED(ROUND(IF(EXC.RATE.SWITCH=1,C1300*(1-I1300)*(1-ADD.DISCOUNT)*(1+MAT.SURCHARGE)/EXC.RATE_2,C1300*(1-I1300)*(1-ADD.DISCOUNT)*(1+MAT.SURCHARGE)*EXC.RATE_2),CURRENCY.FORMAT_2),CURRENCY.FORMAT_2,0)),'DICTIONARY-5'!$A$2))</f>
        <v/>
      </c>
      <c r="N1300" s="539">
        <v>5</v>
      </c>
      <c r="O1300" s="539"/>
      <c r="P1300" s="731" t="str">
        <f>'DICTIONARY-3'!$A$99</f>
        <v>RETA</v>
      </c>
      <c r="Q1300" s="732" t="str">
        <f>'DICTIONARY-3'!$A$200</f>
        <v>Zawór zwrotny</v>
      </c>
      <c r="R1300" s="732" t="str">
        <f>CONCATENATE('DICTIONARY-3'!$A$99," ",'DICTIONARY-6'!$A$20," ",'DICTIONARY-2'!$A$2,"200"," ",'DICTIONARY-2'!$A$3,"16"," ","R48"," ",'DICTIONARY-5'!$A$34,"/",'DICTIONARY-5'!$A$44," ",'DICTIONARY-6'!$A$36,", ",'DICTIONARY-4'!$A$16)</f>
        <v>RETA Zaw. zwrotny DN200 PN16 R48 A2/EPDM SYNT., DC</v>
      </c>
      <c r="S1300" s="733" t="str">
        <f>'DICTIONARY-4'!$A$16</f>
        <v>DC</v>
      </c>
      <c r="T1300" s="732" t="str">
        <f>'DICTIONARY-4'!$A$32</f>
        <v>Dżwignia z ciężarem</v>
      </c>
      <c r="U1300" s="734" t="s">
        <v>5750</v>
      </c>
      <c r="V1300" s="735">
        <v>16</v>
      </c>
      <c r="W1300" s="736"/>
      <c r="X1300" s="737"/>
      <c r="Y1300" s="738"/>
      <c r="Z1300" s="739"/>
      <c r="AA1300" s="739"/>
      <c r="AB1300" s="740">
        <v>16</v>
      </c>
      <c r="AC1300" s="741" t="str">
        <f>'DICTIONARY-5'!$A$11&amp;" 48"</f>
        <v>EN 558 szereg 48</v>
      </c>
      <c r="AD1300" s="733" t="str">
        <f>'DICTIONARY-5'!$A$17&amp;", "&amp;'DICTIONARY-5'!$A$21</f>
        <v>woda przemysłowa, olej</v>
      </c>
      <c r="AE1300" s="742">
        <v>120</v>
      </c>
      <c r="AF1300" s="743">
        <v>96</v>
      </c>
      <c r="AG1300" s="741" t="str">
        <f>'DICTIONARY-5'!$A$24</f>
        <v>powłoka syntetyczna</v>
      </c>
    </row>
    <row r="1301" spans="1:33" x14ac:dyDescent="0.25">
      <c r="A1301" s="861" t="s">
        <v>1306</v>
      </c>
      <c r="B1301" s="861" t="s">
        <v>4458</v>
      </c>
      <c r="C1301" s="836">
        <v>1717</v>
      </c>
      <c r="D1301" s="836"/>
      <c r="E1301" s="836"/>
      <c r="F1301" s="836"/>
      <c r="G1301" s="496" t="s">
        <v>7824</v>
      </c>
      <c r="H1301" s="797" t="str">
        <f>VLOOKUP(G1301,SETTINGS!$B$7:$D$97,2,0)</f>
        <v>RETA</v>
      </c>
      <c r="I1301" s="796">
        <f>VLOOKUP(G1301,SETTINGS!$B$7:$D$97,3,0)</f>
        <v>0</v>
      </c>
      <c r="J1301" s="670" t="str">
        <f>IFERROR(IF(CURRENCY.FORMAT_1=0,CONCATENATE(TEXT(FIXED(ROUND((C1301/EXC.RATE_1),CURRENCY.FORMAT_1),CURRENCY.FORMAT_1,1),"# ##0;-# ##0"),",-"),FIXED(ROUND((C1301/EXC.RATE_1),CURRENCY.FORMAT_1),CURRENCY.FORMAT_1,0)),'DICTIONARY-5'!$A$2)</f>
        <v>1 717,-</v>
      </c>
      <c r="K1301" s="670" t="str">
        <f>IF(EXC.RATE_2=0,"",IFERROR(IF(CURRENCY.FORMAT_2=0,CONCATENATE(TEXT(FIXED(ROUND(IF(EXC.RATE.SWITCH=1,C1301/EXC.RATE_2,C1301*EXC.RATE_2),CURRENCY.FORMAT_2),CURRENCY.FORMAT_2,1),"# ##0;-# ##0"),",-"),FIXED(ROUND(IF(EXC.RATE.SWITCH=1,C1301/EXC.RATE_2,C1301*EXC.RATE_2),CURRENCY.FORMAT_2),CURRENCY.FORMAT_2,0)),'DICTIONARY-5'!$A$2))</f>
        <v/>
      </c>
      <c r="L1301" s="670" t="str">
        <f>IFERROR(IF(CURRENCY.FORMAT_1=0,CONCATENATE(TEXT(FIXED(ROUND((C1301*(1-I1301)*(1-ADD.DISCOUNT)*(1+MAT.SURCHARGE)/EXC.RATE_1),CURRENCY.FORMAT_1),CURRENCY.FORMAT_1,1),"# ##0;-# ##0"),",-"),FIXED(ROUND((C1301*(1-I1301)*(1-ADD.DISCOUNT)*(1+MAT.SURCHARGE)/EXC.RATE_1),CURRENCY.FORMAT_1),CURRENCY.FORMAT_1,0)),'DICTIONARY-5'!$A$2)</f>
        <v>1 784,-</v>
      </c>
      <c r="M1301" s="670" t="str">
        <f>IF(EXC.RATE_2=0,"",IFERROR(IF(CURRENCY.FORMAT_2=0,CONCATENATE(TEXT(FIXED(ROUND(IF(EXC.RATE.SWITCH=1,C1301*(1-I1301)*(1-ADD.DISCOUNT)*(1+MAT.SURCHARGE)/EXC.RATE_2,C1301*(1-I1301)*(1-ADD.DISCOUNT)*(1+MAT.SURCHARGE)*EXC.RATE_2),CURRENCY.FORMAT_2),CURRENCY.FORMAT_2,1),"# ##0;-# ##0"),",-"),FIXED(ROUND(IF(EXC.RATE.SWITCH=1,C1301*(1-I1301)*(1-ADD.DISCOUNT)*(1+MAT.SURCHARGE)/EXC.RATE_2,C1301*(1-I1301)*(1-ADD.DISCOUNT)*(1+MAT.SURCHARGE)*EXC.RATE_2),CURRENCY.FORMAT_2),CURRENCY.FORMAT_2,0)),'DICTIONARY-5'!$A$2))</f>
        <v/>
      </c>
      <c r="N1301" s="539">
        <v>5</v>
      </c>
      <c r="O1301" s="539"/>
      <c r="P1301" s="731" t="str">
        <f>'DICTIONARY-3'!$A$99</f>
        <v>RETA</v>
      </c>
      <c r="Q1301" s="732" t="str">
        <f>'DICTIONARY-3'!$A$200</f>
        <v>Zawór zwrotny</v>
      </c>
      <c r="R1301" s="732" t="str">
        <f>CONCATENATE('DICTIONARY-3'!$A$99," ",'DICTIONARY-6'!$A$20," ",'DICTIONARY-2'!$A$2,"250"," ",'DICTIONARY-2'!$A$3,"16"," ","R48"," ",'DICTIONARY-5'!$A$34,"/",'DICTIONARY-5'!$A$44," ",'DICTIONARY-6'!$A$36,", ",'DICTIONARY-4'!$A$16)</f>
        <v>RETA Zaw. zwrotny DN250 PN16 R48 A2/EPDM SYNT., DC</v>
      </c>
      <c r="S1301" s="733" t="str">
        <f>'DICTIONARY-4'!$A$16</f>
        <v>DC</v>
      </c>
      <c r="T1301" s="732" t="str">
        <f>'DICTIONARY-4'!$A$32</f>
        <v>Dżwignia z ciężarem</v>
      </c>
      <c r="U1301" s="734" t="s">
        <v>5751</v>
      </c>
      <c r="V1301" s="735">
        <v>16</v>
      </c>
      <c r="W1301" s="736"/>
      <c r="X1301" s="737"/>
      <c r="Y1301" s="738"/>
      <c r="Z1301" s="739"/>
      <c r="AA1301" s="739"/>
      <c r="AB1301" s="740">
        <v>16</v>
      </c>
      <c r="AC1301" s="741" t="str">
        <f>'DICTIONARY-5'!$A$11&amp;" 48"</f>
        <v>EN 558 szereg 48</v>
      </c>
      <c r="AD1301" s="733" t="str">
        <f>'DICTIONARY-5'!$A$17&amp;", "&amp;'DICTIONARY-5'!$A$21</f>
        <v>woda przemysłowa, olej</v>
      </c>
      <c r="AE1301" s="742">
        <v>120</v>
      </c>
      <c r="AF1301" s="743">
        <v>152.5</v>
      </c>
      <c r="AG1301" s="741" t="str">
        <f>'DICTIONARY-5'!$A$24</f>
        <v>powłoka syntetyczna</v>
      </c>
    </row>
    <row r="1302" spans="1:33" x14ac:dyDescent="0.25">
      <c r="A1302" s="861" t="s">
        <v>1307</v>
      </c>
      <c r="B1302" s="861" t="s">
        <v>4314</v>
      </c>
      <c r="C1302" s="836">
        <v>423</v>
      </c>
      <c r="D1302" s="836"/>
      <c r="E1302" s="836"/>
      <c r="F1302" s="836"/>
      <c r="G1302" s="496" t="s">
        <v>7825</v>
      </c>
      <c r="H1302" s="797" t="str">
        <f>VLOOKUP(G1302,SETTINGS!$B$7:$D$97,2,0)</f>
        <v>LIMU-STOP</v>
      </c>
      <c r="I1302" s="796">
        <f>VLOOKUP(G1302,SETTINGS!$B$7:$D$97,3,0)</f>
        <v>0</v>
      </c>
      <c r="J1302" s="670" t="str">
        <f>IFERROR(IF(CURRENCY.FORMAT_1=0,CONCATENATE(TEXT(FIXED(ROUND((C1302/EXC.RATE_1),CURRENCY.FORMAT_1),CURRENCY.FORMAT_1,1),"# ##0;-# ##0"),",-"),FIXED(ROUND((C1302/EXC.RATE_1),CURRENCY.FORMAT_1),CURRENCY.FORMAT_1,0)),'DICTIONARY-5'!$A$2)</f>
        <v>423,-</v>
      </c>
      <c r="K1302" s="670" t="str">
        <f>IF(EXC.RATE_2=0,"",IFERROR(IF(CURRENCY.FORMAT_2=0,CONCATENATE(TEXT(FIXED(ROUND(IF(EXC.RATE.SWITCH=1,C1302/EXC.RATE_2,C1302*EXC.RATE_2),CURRENCY.FORMAT_2),CURRENCY.FORMAT_2,1),"# ##0;-# ##0"),",-"),FIXED(ROUND(IF(EXC.RATE.SWITCH=1,C1302/EXC.RATE_2,C1302*EXC.RATE_2),CURRENCY.FORMAT_2),CURRENCY.FORMAT_2,0)),'DICTIONARY-5'!$A$2))</f>
        <v/>
      </c>
      <c r="L1302" s="670" t="str">
        <f>IFERROR(IF(CURRENCY.FORMAT_1=0,CONCATENATE(TEXT(FIXED(ROUND((C1302*(1-I1302)*(1-ADD.DISCOUNT)*(1+MAT.SURCHARGE)/EXC.RATE_1),CURRENCY.FORMAT_1),CURRENCY.FORMAT_1,1),"# ##0;-# ##0"),",-"),FIXED(ROUND((C1302*(1-I1302)*(1-ADD.DISCOUNT)*(1+MAT.SURCHARGE)/EXC.RATE_1),CURRENCY.FORMAT_1),CURRENCY.FORMAT_1,0)),'DICTIONARY-5'!$A$2)</f>
        <v>439,-</v>
      </c>
      <c r="M1302" s="670" t="str">
        <f>IF(EXC.RATE_2=0,"",IFERROR(IF(CURRENCY.FORMAT_2=0,CONCATENATE(TEXT(FIXED(ROUND(IF(EXC.RATE.SWITCH=1,C1302*(1-I1302)*(1-ADD.DISCOUNT)*(1+MAT.SURCHARGE)/EXC.RATE_2,C1302*(1-I1302)*(1-ADD.DISCOUNT)*(1+MAT.SURCHARGE)*EXC.RATE_2),CURRENCY.FORMAT_2),CURRENCY.FORMAT_2,1),"# ##0;-# ##0"),",-"),FIXED(ROUND(IF(EXC.RATE.SWITCH=1,C1302*(1-I1302)*(1-ADD.DISCOUNT)*(1+MAT.SURCHARGE)/EXC.RATE_2,C1302*(1-I1302)*(1-ADD.DISCOUNT)*(1+MAT.SURCHARGE)*EXC.RATE_2),CURRENCY.FORMAT_2),CURRENCY.FORMAT_2,0)),'DICTIONARY-5'!$A$2))</f>
        <v/>
      </c>
      <c r="N1302" s="539">
        <v>5</v>
      </c>
      <c r="O1302" s="539"/>
      <c r="P1302" s="731" t="str">
        <f>'DICTIONARY-3'!$A$100</f>
        <v>LIMU-STOP</v>
      </c>
      <c r="Q1302" s="732" t="str">
        <f>'DICTIONARY-3'!$A$200</f>
        <v>Zawór zwrotny</v>
      </c>
      <c r="R1302" s="732" t="str">
        <f>CONCATENATE('DICTIONARY-3'!$A$100," ",'DICTIONARY-6'!$A$20," ",'DICTIONARY-2'!$A$2,"50"," ",'DICTIONARY-2'!$A$3,"10/16"," ","R48",", ",'DICTIONARY-5'!$A$45)</f>
        <v>LIMU-STOP Zaw. zwrotny DN50 PN10/16 R48, NBR</v>
      </c>
      <c r="S1302" s="733" t="s">
        <v>5569</v>
      </c>
      <c r="T1302" s="732" t="s">
        <v>5569</v>
      </c>
      <c r="U1302" s="734" t="s">
        <v>5748</v>
      </c>
      <c r="V1302" s="735">
        <v>16</v>
      </c>
      <c r="W1302" s="736"/>
      <c r="X1302" s="737"/>
      <c r="Y1302" s="738"/>
      <c r="Z1302" s="739"/>
      <c r="AA1302" s="739"/>
      <c r="AB1302" s="740">
        <v>16</v>
      </c>
      <c r="AC1302" s="741" t="str">
        <f>'DICTIONARY-5'!$A$11&amp;" 48"</f>
        <v>EN 558 szereg 48</v>
      </c>
      <c r="AD1302" s="741" t="str">
        <f>'DICTIONARY-5'!$A$14</f>
        <v>ścieki</v>
      </c>
      <c r="AE1302" s="742">
        <v>80</v>
      </c>
      <c r="AF1302" s="743">
        <v>11.5</v>
      </c>
      <c r="AG1302" s="741" t="str">
        <f>'DICTIONARY-5'!$A$23</f>
        <v>powłoka epoksydowa</v>
      </c>
    </row>
    <row r="1303" spans="1:33" x14ac:dyDescent="0.25">
      <c r="A1303" s="861" t="s">
        <v>1308</v>
      </c>
      <c r="B1303" s="861" t="s">
        <v>4315</v>
      </c>
      <c r="C1303" s="836">
        <v>478</v>
      </c>
      <c r="D1303" s="836"/>
      <c r="E1303" s="836"/>
      <c r="F1303" s="836"/>
      <c r="G1303" s="496" t="s">
        <v>7825</v>
      </c>
      <c r="H1303" s="797" t="str">
        <f>VLOOKUP(G1303,SETTINGS!$B$7:$D$97,2,0)</f>
        <v>LIMU-STOP</v>
      </c>
      <c r="I1303" s="796">
        <f>VLOOKUP(G1303,SETTINGS!$B$7:$D$97,3,0)</f>
        <v>0</v>
      </c>
      <c r="J1303" s="670" t="str">
        <f>IFERROR(IF(CURRENCY.FORMAT_1=0,CONCATENATE(TEXT(FIXED(ROUND((C1303/EXC.RATE_1),CURRENCY.FORMAT_1),CURRENCY.FORMAT_1,1),"# ##0;-# ##0"),",-"),FIXED(ROUND((C1303/EXC.RATE_1),CURRENCY.FORMAT_1),CURRENCY.FORMAT_1,0)),'DICTIONARY-5'!$A$2)</f>
        <v>478,-</v>
      </c>
      <c r="K1303" s="670" t="str">
        <f>IF(EXC.RATE_2=0,"",IFERROR(IF(CURRENCY.FORMAT_2=0,CONCATENATE(TEXT(FIXED(ROUND(IF(EXC.RATE.SWITCH=1,C1303/EXC.RATE_2,C1303*EXC.RATE_2),CURRENCY.FORMAT_2),CURRENCY.FORMAT_2,1),"# ##0;-# ##0"),",-"),FIXED(ROUND(IF(EXC.RATE.SWITCH=1,C1303/EXC.RATE_2,C1303*EXC.RATE_2),CURRENCY.FORMAT_2),CURRENCY.FORMAT_2,0)),'DICTIONARY-5'!$A$2))</f>
        <v/>
      </c>
      <c r="L1303" s="670" t="str">
        <f>IFERROR(IF(CURRENCY.FORMAT_1=0,CONCATENATE(TEXT(FIXED(ROUND((C1303*(1-I1303)*(1-ADD.DISCOUNT)*(1+MAT.SURCHARGE)/EXC.RATE_1),CURRENCY.FORMAT_1),CURRENCY.FORMAT_1,1),"# ##0;-# ##0"),",-"),FIXED(ROUND((C1303*(1-I1303)*(1-ADD.DISCOUNT)*(1+MAT.SURCHARGE)/EXC.RATE_1),CURRENCY.FORMAT_1),CURRENCY.FORMAT_1,0)),'DICTIONARY-5'!$A$2)</f>
        <v>497,-</v>
      </c>
      <c r="M1303" s="670" t="str">
        <f>IF(EXC.RATE_2=0,"",IFERROR(IF(CURRENCY.FORMAT_2=0,CONCATENATE(TEXT(FIXED(ROUND(IF(EXC.RATE.SWITCH=1,C1303*(1-I1303)*(1-ADD.DISCOUNT)*(1+MAT.SURCHARGE)/EXC.RATE_2,C1303*(1-I1303)*(1-ADD.DISCOUNT)*(1+MAT.SURCHARGE)*EXC.RATE_2),CURRENCY.FORMAT_2),CURRENCY.FORMAT_2,1),"# ##0;-# ##0"),",-"),FIXED(ROUND(IF(EXC.RATE.SWITCH=1,C1303*(1-I1303)*(1-ADD.DISCOUNT)*(1+MAT.SURCHARGE)/EXC.RATE_2,C1303*(1-I1303)*(1-ADD.DISCOUNT)*(1+MAT.SURCHARGE)*EXC.RATE_2),CURRENCY.FORMAT_2),CURRENCY.FORMAT_2,0)),'DICTIONARY-5'!$A$2))</f>
        <v/>
      </c>
      <c r="N1303" s="539">
        <v>5</v>
      </c>
      <c r="O1303" s="539"/>
      <c r="P1303" s="731" t="str">
        <f>'DICTIONARY-3'!$A$100</f>
        <v>LIMU-STOP</v>
      </c>
      <c r="Q1303" s="732" t="str">
        <f>'DICTIONARY-3'!$A$200</f>
        <v>Zawór zwrotny</v>
      </c>
      <c r="R1303" s="732" t="str">
        <f>CONCATENATE('DICTIONARY-3'!$A$100," ",'DICTIONARY-6'!$A$20," ",'DICTIONARY-2'!$A$2,"65"," ",'DICTIONARY-2'!$A$3,"10/16"," ","R48",", ",'DICTIONARY-5'!$A$45)</f>
        <v>LIMU-STOP Zaw. zwrotny DN65 PN10/16 R48, NBR</v>
      </c>
      <c r="S1303" s="733" t="s">
        <v>5569</v>
      </c>
      <c r="T1303" s="732" t="s">
        <v>5569</v>
      </c>
      <c r="U1303" s="734" t="s">
        <v>5759</v>
      </c>
      <c r="V1303" s="735">
        <v>16</v>
      </c>
      <c r="W1303" s="736"/>
      <c r="X1303" s="737"/>
      <c r="Y1303" s="738"/>
      <c r="Z1303" s="739"/>
      <c r="AA1303" s="739"/>
      <c r="AB1303" s="740">
        <v>16</v>
      </c>
      <c r="AC1303" s="741" t="str">
        <f>'DICTIONARY-5'!$A$11&amp;" 48"</f>
        <v>EN 558 szereg 48</v>
      </c>
      <c r="AD1303" s="741" t="str">
        <f>'DICTIONARY-5'!$A$14</f>
        <v>ścieki</v>
      </c>
      <c r="AE1303" s="742">
        <v>80</v>
      </c>
      <c r="AF1303" s="743">
        <v>16.5</v>
      </c>
      <c r="AG1303" s="741" t="str">
        <f>'DICTIONARY-5'!$A$23</f>
        <v>powłoka epoksydowa</v>
      </c>
    </row>
    <row r="1304" spans="1:33" x14ac:dyDescent="0.25">
      <c r="A1304" s="861" t="s">
        <v>1309</v>
      </c>
      <c r="B1304" s="861" t="s">
        <v>4316</v>
      </c>
      <c r="C1304" s="836">
        <v>557</v>
      </c>
      <c r="D1304" s="836"/>
      <c r="E1304" s="836"/>
      <c r="F1304" s="836"/>
      <c r="G1304" s="496" t="s">
        <v>7825</v>
      </c>
      <c r="H1304" s="797" t="str">
        <f>VLOOKUP(G1304,SETTINGS!$B$7:$D$97,2,0)</f>
        <v>LIMU-STOP</v>
      </c>
      <c r="I1304" s="796">
        <f>VLOOKUP(G1304,SETTINGS!$B$7:$D$97,3,0)</f>
        <v>0</v>
      </c>
      <c r="J1304" s="670" t="str">
        <f>IFERROR(IF(CURRENCY.FORMAT_1=0,CONCATENATE(TEXT(FIXED(ROUND((C1304/EXC.RATE_1),CURRENCY.FORMAT_1),CURRENCY.FORMAT_1,1),"# ##0;-# ##0"),",-"),FIXED(ROUND((C1304/EXC.RATE_1),CURRENCY.FORMAT_1),CURRENCY.FORMAT_1,0)),'DICTIONARY-5'!$A$2)</f>
        <v>557,-</v>
      </c>
      <c r="K1304" s="670" t="str">
        <f>IF(EXC.RATE_2=0,"",IFERROR(IF(CURRENCY.FORMAT_2=0,CONCATENATE(TEXT(FIXED(ROUND(IF(EXC.RATE.SWITCH=1,C1304/EXC.RATE_2,C1304*EXC.RATE_2),CURRENCY.FORMAT_2),CURRENCY.FORMAT_2,1),"# ##0;-# ##0"),",-"),FIXED(ROUND(IF(EXC.RATE.SWITCH=1,C1304/EXC.RATE_2,C1304*EXC.RATE_2),CURRENCY.FORMAT_2),CURRENCY.FORMAT_2,0)),'DICTIONARY-5'!$A$2))</f>
        <v/>
      </c>
      <c r="L1304" s="670" t="str">
        <f>IFERROR(IF(CURRENCY.FORMAT_1=0,CONCATENATE(TEXT(FIXED(ROUND((C1304*(1-I1304)*(1-ADD.DISCOUNT)*(1+MAT.SURCHARGE)/EXC.RATE_1),CURRENCY.FORMAT_1),CURRENCY.FORMAT_1,1),"# ##0;-# ##0"),",-"),FIXED(ROUND((C1304*(1-I1304)*(1-ADD.DISCOUNT)*(1+MAT.SURCHARGE)/EXC.RATE_1),CURRENCY.FORMAT_1),CURRENCY.FORMAT_1,0)),'DICTIONARY-5'!$A$2)</f>
        <v>579,-</v>
      </c>
      <c r="M1304" s="670" t="str">
        <f>IF(EXC.RATE_2=0,"",IFERROR(IF(CURRENCY.FORMAT_2=0,CONCATENATE(TEXT(FIXED(ROUND(IF(EXC.RATE.SWITCH=1,C1304*(1-I1304)*(1-ADD.DISCOUNT)*(1+MAT.SURCHARGE)/EXC.RATE_2,C1304*(1-I1304)*(1-ADD.DISCOUNT)*(1+MAT.SURCHARGE)*EXC.RATE_2),CURRENCY.FORMAT_2),CURRENCY.FORMAT_2,1),"# ##0;-# ##0"),",-"),FIXED(ROUND(IF(EXC.RATE.SWITCH=1,C1304*(1-I1304)*(1-ADD.DISCOUNT)*(1+MAT.SURCHARGE)/EXC.RATE_2,C1304*(1-I1304)*(1-ADD.DISCOUNT)*(1+MAT.SURCHARGE)*EXC.RATE_2),CURRENCY.FORMAT_2),CURRENCY.FORMAT_2,0)),'DICTIONARY-5'!$A$2))</f>
        <v/>
      </c>
      <c r="N1304" s="539">
        <v>5</v>
      </c>
      <c r="O1304" s="539"/>
      <c r="P1304" s="731" t="str">
        <f>'DICTIONARY-3'!$A$100</f>
        <v>LIMU-STOP</v>
      </c>
      <c r="Q1304" s="732" t="str">
        <f>'DICTIONARY-3'!$A$200</f>
        <v>Zawór zwrotny</v>
      </c>
      <c r="R1304" s="732" t="str">
        <f>CONCATENATE('DICTIONARY-3'!$A$100," ",'DICTIONARY-6'!$A$20," ",'DICTIONARY-2'!$A$2,"80"," ",'DICTIONARY-2'!$A$3,"10/16"," ","R48",", ",'DICTIONARY-5'!$A$45)</f>
        <v>LIMU-STOP Zaw. zwrotny DN80 PN10/16 R48, NBR</v>
      </c>
      <c r="S1304" s="733" t="s">
        <v>5569</v>
      </c>
      <c r="T1304" s="732" t="s">
        <v>5569</v>
      </c>
      <c r="U1304" s="734" t="s">
        <v>5760</v>
      </c>
      <c r="V1304" s="735">
        <v>16</v>
      </c>
      <c r="W1304" s="736"/>
      <c r="X1304" s="737"/>
      <c r="Y1304" s="738"/>
      <c r="Z1304" s="739"/>
      <c r="AA1304" s="739"/>
      <c r="AB1304" s="740">
        <v>16</v>
      </c>
      <c r="AC1304" s="741" t="str">
        <f>'DICTIONARY-5'!$A$11&amp;" 48"</f>
        <v>EN 558 szereg 48</v>
      </c>
      <c r="AD1304" s="741" t="str">
        <f>'DICTIONARY-5'!$A$14</f>
        <v>ścieki</v>
      </c>
      <c r="AE1304" s="742">
        <v>80</v>
      </c>
      <c r="AF1304" s="743">
        <v>20</v>
      </c>
      <c r="AG1304" s="741" t="str">
        <f>'DICTIONARY-5'!$A$23</f>
        <v>powłoka epoksydowa</v>
      </c>
    </row>
    <row r="1305" spans="1:33" x14ac:dyDescent="0.25">
      <c r="A1305" s="861" t="s">
        <v>1310</v>
      </c>
      <c r="B1305" s="861" t="s">
        <v>4317</v>
      </c>
      <c r="C1305" s="836">
        <v>629</v>
      </c>
      <c r="D1305" s="836"/>
      <c r="E1305" s="836"/>
      <c r="F1305" s="836"/>
      <c r="G1305" s="496" t="s">
        <v>7825</v>
      </c>
      <c r="H1305" s="797" t="str">
        <f>VLOOKUP(G1305,SETTINGS!$B$7:$D$97,2,0)</f>
        <v>LIMU-STOP</v>
      </c>
      <c r="I1305" s="796">
        <f>VLOOKUP(G1305,SETTINGS!$B$7:$D$97,3,0)</f>
        <v>0</v>
      </c>
      <c r="J1305" s="670" t="str">
        <f>IFERROR(IF(CURRENCY.FORMAT_1=0,CONCATENATE(TEXT(FIXED(ROUND((C1305/EXC.RATE_1),CURRENCY.FORMAT_1),CURRENCY.FORMAT_1,1),"# ##0;-# ##0"),",-"),FIXED(ROUND((C1305/EXC.RATE_1),CURRENCY.FORMAT_1),CURRENCY.FORMAT_1,0)),'DICTIONARY-5'!$A$2)</f>
        <v>629,-</v>
      </c>
      <c r="K1305" s="670" t="str">
        <f>IF(EXC.RATE_2=0,"",IFERROR(IF(CURRENCY.FORMAT_2=0,CONCATENATE(TEXT(FIXED(ROUND(IF(EXC.RATE.SWITCH=1,C1305/EXC.RATE_2,C1305*EXC.RATE_2),CURRENCY.FORMAT_2),CURRENCY.FORMAT_2,1),"# ##0;-# ##0"),",-"),FIXED(ROUND(IF(EXC.RATE.SWITCH=1,C1305/EXC.RATE_2,C1305*EXC.RATE_2),CURRENCY.FORMAT_2),CURRENCY.FORMAT_2,0)),'DICTIONARY-5'!$A$2))</f>
        <v/>
      </c>
      <c r="L1305" s="670" t="str">
        <f>IFERROR(IF(CURRENCY.FORMAT_1=0,CONCATENATE(TEXT(FIXED(ROUND((C1305*(1-I1305)*(1-ADD.DISCOUNT)*(1+MAT.SURCHARGE)/EXC.RATE_1),CURRENCY.FORMAT_1),CURRENCY.FORMAT_1,1),"# ##0;-# ##0"),",-"),FIXED(ROUND((C1305*(1-I1305)*(1-ADD.DISCOUNT)*(1+MAT.SURCHARGE)/EXC.RATE_1),CURRENCY.FORMAT_1),CURRENCY.FORMAT_1,0)),'DICTIONARY-5'!$A$2)</f>
        <v>654,-</v>
      </c>
      <c r="M1305" s="670" t="str">
        <f>IF(EXC.RATE_2=0,"",IFERROR(IF(CURRENCY.FORMAT_2=0,CONCATENATE(TEXT(FIXED(ROUND(IF(EXC.RATE.SWITCH=1,C1305*(1-I1305)*(1-ADD.DISCOUNT)*(1+MAT.SURCHARGE)/EXC.RATE_2,C1305*(1-I1305)*(1-ADD.DISCOUNT)*(1+MAT.SURCHARGE)*EXC.RATE_2),CURRENCY.FORMAT_2),CURRENCY.FORMAT_2,1),"# ##0;-# ##0"),",-"),FIXED(ROUND(IF(EXC.RATE.SWITCH=1,C1305*(1-I1305)*(1-ADD.DISCOUNT)*(1+MAT.SURCHARGE)/EXC.RATE_2,C1305*(1-I1305)*(1-ADD.DISCOUNT)*(1+MAT.SURCHARGE)*EXC.RATE_2),CURRENCY.FORMAT_2),CURRENCY.FORMAT_2,0)),'DICTIONARY-5'!$A$2))</f>
        <v/>
      </c>
      <c r="N1305" s="539">
        <v>5</v>
      </c>
      <c r="O1305" s="539"/>
      <c r="P1305" s="731" t="str">
        <f>'DICTIONARY-3'!$A$100</f>
        <v>LIMU-STOP</v>
      </c>
      <c r="Q1305" s="732" t="str">
        <f>'DICTIONARY-3'!$A$200</f>
        <v>Zawór zwrotny</v>
      </c>
      <c r="R1305" s="732" t="str">
        <f>CONCATENATE('DICTIONARY-3'!$A$100," ",'DICTIONARY-6'!$A$20," ",'DICTIONARY-2'!$A$2,"100"," ",'DICTIONARY-2'!$A$3,"10/16"," ","R48",", ",'DICTIONARY-5'!$A$45)</f>
        <v>LIMU-STOP Zaw. zwrotny DN100 PN10/16 R48, NBR</v>
      </c>
      <c r="S1305" s="733" t="s">
        <v>5569</v>
      </c>
      <c r="T1305" s="732" t="s">
        <v>5569</v>
      </c>
      <c r="U1305" s="734" t="s">
        <v>5749</v>
      </c>
      <c r="V1305" s="735">
        <v>16</v>
      </c>
      <c r="W1305" s="736"/>
      <c r="X1305" s="737"/>
      <c r="Y1305" s="738"/>
      <c r="Z1305" s="739"/>
      <c r="AA1305" s="739"/>
      <c r="AB1305" s="740">
        <v>16</v>
      </c>
      <c r="AC1305" s="741" t="str">
        <f>'DICTIONARY-5'!$A$11&amp;" 48"</f>
        <v>EN 558 szereg 48</v>
      </c>
      <c r="AD1305" s="741" t="str">
        <f>'DICTIONARY-5'!$A$14</f>
        <v>ścieki</v>
      </c>
      <c r="AE1305" s="742">
        <v>80</v>
      </c>
      <c r="AF1305" s="743">
        <v>26.5</v>
      </c>
      <c r="AG1305" s="741" t="str">
        <f>'DICTIONARY-5'!$A$23</f>
        <v>powłoka epoksydowa</v>
      </c>
    </row>
    <row r="1306" spans="1:33" x14ac:dyDescent="0.25">
      <c r="A1306" s="861" t="s">
        <v>1311</v>
      </c>
      <c r="B1306" s="861" t="s">
        <v>4318</v>
      </c>
      <c r="C1306" s="836">
        <v>816</v>
      </c>
      <c r="D1306" s="836"/>
      <c r="E1306" s="836"/>
      <c r="F1306" s="836"/>
      <c r="G1306" s="496" t="s">
        <v>7825</v>
      </c>
      <c r="H1306" s="797" t="str">
        <f>VLOOKUP(G1306,SETTINGS!$B$7:$D$97,2,0)</f>
        <v>LIMU-STOP</v>
      </c>
      <c r="I1306" s="796">
        <f>VLOOKUP(G1306,SETTINGS!$B$7:$D$97,3,0)</f>
        <v>0</v>
      </c>
      <c r="J1306" s="670" t="str">
        <f>IFERROR(IF(CURRENCY.FORMAT_1=0,CONCATENATE(TEXT(FIXED(ROUND((C1306/EXC.RATE_1),CURRENCY.FORMAT_1),CURRENCY.FORMAT_1,1),"# ##0;-# ##0"),",-"),FIXED(ROUND((C1306/EXC.RATE_1),CURRENCY.FORMAT_1),CURRENCY.FORMAT_1,0)),'DICTIONARY-5'!$A$2)</f>
        <v>816,-</v>
      </c>
      <c r="K1306" s="670" t="str">
        <f>IF(EXC.RATE_2=0,"",IFERROR(IF(CURRENCY.FORMAT_2=0,CONCATENATE(TEXT(FIXED(ROUND(IF(EXC.RATE.SWITCH=1,C1306/EXC.RATE_2,C1306*EXC.RATE_2),CURRENCY.FORMAT_2),CURRENCY.FORMAT_2,1),"# ##0;-# ##0"),",-"),FIXED(ROUND(IF(EXC.RATE.SWITCH=1,C1306/EXC.RATE_2,C1306*EXC.RATE_2),CURRENCY.FORMAT_2),CURRENCY.FORMAT_2,0)),'DICTIONARY-5'!$A$2))</f>
        <v/>
      </c>
      <c r="L1306" s="670" t="str">
        <f>IFERROR(IF(CURRENCY.FORMAT_1=0,CONCATENATE(TEXT(FIXED(ROUND((C1306*(1-I1306)*(1-ADD.DISCOUNT)*(1+MAT.SURCHARGE)/EXC.RATE_1),CURRENCY.FORMAT_1),CURRENCY.FORMAT_1,1),"# ##0;-# ##0"),",-"),FIXED(ROUND((C1306*(1-I1306)*(1-ADD.DISCOUNT)*(1+MAT.SURCHARGE)/EXC.RATE_1),CURRENCY.FORMAT_1),CURRENCY.FORMAT_1,0)),'DICTIONARY-5'!$A$2)</f>
        <v>848,-</v>
      </c>
      <c r="M1306" s="670" t="str">
        <f>IF(EXC.RATE_2=0,"",IFERROR(IF(CURRENCY.FORMAT_2=0,CONCATENATE(TEXT(FIXED(ROUND(IF(EXC.RATE.SWITCH=1,C1306*(1-I1306)*(1-ADD.DISCOUNT)*(1+MAT.SURCHARGE)/EXC.RATE_2,C1306*(1-I1306)*(1-ADD.DISCOUNT)*(1+MAT.SURCHARGE)*EXC.RATE_2),CURRENCY.FORMAT_2),CURRENCY.FORMAT_2,1),"# ##0;-# ##0"),",-"),FIXED(ROUND(IF(EXC.RATE.SWITCH=1,C1306*(1-I1306)*(1-ADD.DISCOUNT)*(1+MAT.SURCHARGE)/EXC.RATE_2,C1306*(1-I1306)*(1-ADD.DISCOUNT)*(1+MAT.SURCHARGE)*EXC.RATE_2),CURRENCY.FORMAT_2),CURRENCY.FORMAT_2,0)),'DICTIONARY-5'!$A$2))</f>
        <v/>
      </c>
      <c r="N1306" s="539">
        <v>5</v>
      </c>
      <c r="O1306" s="539"/>
      <c r="P1306" s="731" t="str">
        <f>'DICTIONARY-3'!$A$100</f>
        <v>LIMU-STOP</v>
      </c>
      <c r="Q1306" s="732" t="str">
        <f>'DICTIONARY-3'!$A$200</f>
        <v>Zawór zwrotny</v>
      </c>
      <c r="R1306" s="732" t="str">
        <f>CONCATENATE('DICTIONARY-3'!$A$100," ",'DICTIONARY-6'!$A$20," ",'DICTIONARY-2'!$A$2,"125"," ",'DICTIONARY-2'!$A$3,"10/16"," ","R48",", ",'DICTIONARY-5'!$A$45)</f>
        <v>LIMU-STOP Zaw. zwrotny DN125 PN10/16 R48, NBR</v>
      </c>
      <c r="S1306" s="733" t="s">
        <v>5569</v>
      </c>
      <c r="T1306" s="732" t="s">
        <v>5569</v>
      </c>
      <c r="U1306" s="734" t="s">
        <v>5761</v>
      </c>
      <c r="V1306" s="735">
        <v>16</v>
      </c>
      <c r="W1306" s="736"/>
      <c r="X1306" s="737"/>
      <c r="Y1306" s="738"/>
      <c r="Z1306" s="739"/>
      <c r="AA1306" s="739"/>
      <c r="AB1306" s="740">
        <v>16</v>
      </c>
      <c r="AC1306" s="741" t="str">
        <f>'DICTIONARY-5'!$A$11&amp;" 48"</f>
        <v>EN 558 szereg 48</v>
      </c>
      <c r="AD1306" s="741" t="str">
        <f>'DICTIONARY-5'!$A$14</f>
        <v>ścieki</v>
      </c>
      <c r="AE1306" s="742">
        <v>80</v>
      </c>
      <c r="AF1306" s="743">
        <v>42.5</v>
      </c>
      <c r="AG1306" s="741" t="str">
        <f>'DICTIONARY-5'!$A$23</f>
        <v>powłoka epoksydowa</v>
      </c>
    </row>
    <row r="1307" spans="1:33" x14ac:dyDescent="0.25">
      <c r="A1307" s="861" t="s">
        <v>1312</v>
      </c>
      <c r="B1307" s="861" t="s">
        <v>4319</v>
      </c>
      <c r="C1307" s="836">
        <v>1027</v>
      </c>
      <c r="D1307" s="836"/>
      <c r="E1307" s="836"/>
      <c r="F1307" s="836"/>
      <c r="G1307" s="496" t="s">
        <v>7825</v>
      </c>
      <c r="H1307" s="797" t="str">
        <f>VLOOKUP(G1307,SETTINGS!$B$7:$D$97,2,0)</f>
        <v>LIMU-STOP</v>
      </c>
      <c r="I1307" s="796">
        <f>VLOOKUP(G1307,SETTINGS!$B$7:$D$97,3,0)</f>
        <v>0</v>
      </c>
      <c r="J1307" s="670" t="str">
        <f>IFERROR(IF(CURRENCY.FORMAT_1=0,CONCATENATE(TEXT(FIXED(ROUND((C1307/EXC.RATE_1),CURRENCY.FORMAT_1),CURRENCY.FORMAT_1,1),"# ##0;-# ##0"),",-"),FIXED(ROUND((C1307/EXC.RATE_1),CURRENCY.FORMAT_1),CURRENCY.FORMAT_1,0)),'DICTIONARY-5'!$A$2)</f>
        <v>1 027,-</v>
      </c>
      <c r="K1307" s="670" t="str">
        <f>IF(EXC.RATE_2=0,"",IFERROR(IF(CURRENCY.FORMAT_2=0,CONCATENATE(TEXT(FIXED(ROUND(IF(EXC.RATE.SWITCH=1,C1307/EXC.RATE_2,C1307*EXC.RATE_2),CURRENCY.FORMAT_2),CURRENCY.FORMAT_2,1),"# ##0;-# ##0"),",-"),FIXED(ROUND(IF(EXC.RATE.SWITCH=1,C1307/EXC.RATE_2,C1307*EXC.RATE_2),CURRENCY.FORMAT_2),CURRENCY.FORMAT_2,0)),'DICTIONARY-5'!$A$2))</f>
        <v/>
      </c>
      <c r="L1307" s="670" t="str">
        <f>IFERROR(IF(CURRENCY.FORMAT_1=0,CONCATENATE(TEXT(FIXED(ROUND((C1307*(1-I1307)*(1-ADD.DISCOUNT)*(1+MAT.SURCHARGE)/EXC.RATE_1),CURRENCY.FORMAT_1),CURRENCY.FORMAT_1,1),"# ##0;-# ##0"),",-"),FIXED(ROUND((C1307*(1-I1307)*(1-ADD.DISCOUNT)*(1+MAT.SURCHARGE)/EXC.RATE_1),CURRENCY.FORMAT_1),CURRENCY.FORMAT_1,0)),'DICTIONARY-5'!$A$2)</f>
        <v>1 067,-</v>
      </c>
      <c r="M1307" s="670" t="str">
        <f>IF(EXC.RATE_2=0,"",IFERROR(IF(CURRENCY.FORMAT_2=0,CONCATENATE(TEXT(FIXED(ROUND(IF(EXC.RATE.SWITCH=1,C1307*(1-I1307)*(1-ADD.DISCOUNT)*(1+MAT.SURCHARGE)/EXC.RATE_2,C1307*(1-I1307)*(1-ADD.DISCOUNT)*(1+MAT.SURCHARGE)*EXC.RATE_2),CURRENCY.FORMAT_2),CURRENCY.FORMAT_2,1),"# ##0;-# ##0"),",-"),FIXED(ROUND(IF(EXC.RATE.SWITCH=1,C1307*(1-I1307)*(1-ADD.DISCOUNT)*(1+MAT.SURCHARGE)/EXC.RATE_2,C1307*(1-I1307)*(1-ADD.DISCOUNT)*(1+MAT.SURCHARGE)*EXC.RATE_2),CURRENCY.FORMAT_2),CURRENCY.FORMAT_2,0)),'DICTIONARY-5'!$A$2))</f>
        <v/>
      </c>
      <c r="N1307" s="539">
        <v>5</v>
      </c>
      <c r="O1307" s="539"/>
      <c r="P1307" s="731" t="str">
        <f>'DICTIONARY-3'!$A$100</f>
        <v>LIMU-STOP</v>
      </c>
      <c r="Q1307" s="732" t="str">
        <f>'DICTIONARY-3'!$A$200</f>
        <v>Zawór zwrotny</v>
      </c>
      <c r="R1307" s="732" t="str">
        <f>CONCATENATE('DICTIONARY-3'!$A$100," ",'DICTIONARY-6'!$A$20," ",'DICTIONARY-2'!$A$2,"150"," ",'DICTIONARY-2'!$A$3,"10/16"," ","R48",", ",'DICTIONARY-5'!$A$45)</f>
        <v>LIMU-STOP Zaw. zwrotny DN150 PN10/16 R48, NBR</v>
      </c>
      <c r="S1307" s="733" t="s">
        <v>5569</v>
      </c>
      <c r="T1307" s="732" t="s">
        <v>5569</v>
      </c>
      <c r="U1307" s="734" t="s">
        <v>5572</v>
      </c>
      <c r="V1307" s="735">
        <v>16</v>
      </c>
      <c r="W1307" s="736"/>
      <c r="X1307" s="737"/>
      <c r="Y1307" s="738"/>
      <c r="Z1307" s="739"/>
      <c r="AA1307" s="739"/>
      <c r="AB1307" s="740">
        <v>16</v>
      </c>
      <c r="AC1307" s="741" t="str">
        <f>'DICTIONARY-5'!$A$11&amp;" 48"</f>
        <v>EN 558 szereg 48</v>
      </c>
      <c r="AD1307" s="741" t="str">
        <f>'DICTIONARY-5'!$A$14</f>
        <v>ścieki</v>
      </c>
      <c r="AE1307" s="742">
        <v>80</v>
      </c>
      <c r="AF1307" s="743">
        <v>54.5</v>
      </c>
      <c r="AG1307" s="741" t="str">
        <f>'DICTIONARY-5'!$A$23</f>
        <v>powłoka epoksydowa</v>
      </c>
    </row>
    <row r="1308" spans="1:33" x14ac:dyDescent="0.25">
      <c r="A1308" s="861" t="s">
        <v>1313</v>
      </c>
      <c r="B1308" s="861" t="s">
        <v>4323</v>
      </c>
      <c r="C1308" s="836">
        <v>1556</v>
      </c>
      <c r="D1308" s="836"/>
      <c r="E1308" s="836"/>
      <c r="F1308" s="836"/>
      <c r="G1308" s="496" t="s">
        <v>7825</v>
      </c>
      <c r="H1308" s="797" t="str">
        <f>VLOOKUP(G1308,SETTINGS!$B$7:$D$97,2,0)</f>
        <v>LIMU-STOP</v>
      </c>
      <c r="I1308" s="796">
        <f>VLOOKUP(G1308,SETTINGS!$B$7:$D$97,3,0)</f>
        <v>0</v>
      </c>
      <c r="J1308" s="670" t="str">
        <f>IFERROR(IF(CURRENCY.FORMAT_1=0,CONCATENATE(TEXT(FIXED(ROUND((C1308/EXC.RATE_1),CURRENCY.FORMAT_1),CURRENCY.FORMAT_1,1),"# ##0;-# ##0"),",-"),FIXED(ROUND((C1308/EXC.RATE_1),CURRENCY.FORMAT_1),CURRENCY.FORMAT_1,0)),'DICTIONARY-5'!$A$2)</f>
        <v>1 556,-</v>
      </c>
      <c r="K1308" s="670" t="str">
        <f>IF(EXC.RATE_2=0,"",IFERROR(IF(CURRENCY.FORMAT_2=0,CONCATENATE(TEXT(FIXED(ROUND(IF(EXC.RATE.SWITCH=1,C1308/EXC.RATE_2,C1308*EXC.RATE_2),CURRENCY.FORMAT_2),CURRENCY.FORMAT_2,1),"# ##0;-# ##0"),",-"),FIXED(ROUND(IF(EXC.RATE.SWITCH=1,C1308/EXC.RATE_2,C1308*EXC.RATE_2),CURRENCY.FORMAT_2),CURRENCY.FORMAT_2,0)),'DICTIONARY-5'!$A$2))</f>
        <v/>
      </c>
      <c r="L1308" s="670" t="str">
        <f>IFERROR(IF(CURRENCY.FORMAT_1=0,CONCATENATE(TEXT(FIXED(ROUND((C1308*(1-I1308)*(1-ADD.DISCOUNT)*(1+MAT.SURCHARGE)/EXC.RATE_1),CURRENCY.FORMAT_1),CURRENCY.FORMAT_1,1),"# ##0;-# ##0"),",-"),FIXED(ROUND((C1308*(1-I1308)*(1-ADD.DISCOUNT)*(1+MAT.SURCHARGE)/EXC.RATE_1),CURRENCY.FORMAT_1),CURRENCY.FORMAT_1,0)),'DICTIONARY-5'!$A$2)</f>
        <v>1 617,-</v>
      </c>
      <c r="M1308" s="670" t="str">
        <f>IF(EXC.RATE_2=0,"",IFERROR(IF(CURRENCY.FORMAT_2=0,CONCATENATE(TEXT(FIXED(ROUND(IF(EXC.RATE.SWITCH=1,C1308*(1-I1308)*(1-ADD.DISCOUNT)*(1+MAT.SURCHARGE)/EXC.RATE_2,C1308*(1-I1308)*(1-ADD.DISCOUNT)*(1+MAT.SURCHARGE)*EXC.RATE_2),CURRENCY.FORMAT_2),CURRENCY.FORMAT_2,1),"# ##0;-# ##0"),",-"),FIXED(ROUND(IF(EXC.RATE.SWITCH=1,C1308*(1-I1308)*(1-ADD.DISCOUNT)*(1+MAT.SURCHARGE)/EXC.RATE_2,C1308*(1-I1308)*(1-ADD.DISCOUNT)*(1+MAT.SURCHARGE)*EXC.RATE_2),CURRENCY.FORMAT_2),CURRENCY.FORMAT_2,0)),'DICTIONARY-5'!$A$2))</f>
        <v/>
      </c>
      <c r="N1308" s="539">
        <v>5</v>
      </c>
      <c r="O1308" s="539"/>
      <c r="P1308" s="731" t="str">
        <f>'DICTIONARY-3'!$A$100</f>
        <v>LIMU-STOP</v>
      </c>
      <c r="Q1308" s="732" t="str">
        <f>'DICTIONARY-3'!$A$200</f>
        <v>Zawór zwrotny</v>
      </c>
      <c r="R1308" s="732" t="str">
        <f>CONCATENATE('DICTIONARY-3'!$A$100," ",'DICTIONARY-6'!$A$20," ",'DICTIONARY-2'!$A$2,"200"," ",'DICTIONARY-2'!$A$3,"10"," ","R48",", ",'DICTIONARY-5'!$A$45)</f>
        <v>LIMU-STOP Zaw. zwrotny DN200 PN10 R48, NBR</v>
      </c>
      <c r="S1308" s="733" t="s">
        <v>5569</v>
      </c>
      <c r="T1308" s="732" t="s">
        <v>5569</v>
      </c>
      <c r="U1308" s="734" t="s">
        <v>5750</v>
      </c>
      <c r="V1308" s="735">
        <v>10</v>
      </c>
      <c r="W1308" s="736"/>
      <c r="X1308" s="737"/>
      <c r="Y1308" s="738"/>
      <c r="Z1308" s="739"/>
      <c r="AA1308" s="739"/>
      <c r="AB1308" s="740">
        <v>10</v>
      </c>
      <c r="AC1308" s="741" t="str">
        <f>'DICTIONARY-5'!$A$11&amp;" 48"</f>
        <v>EN 558 szereg 48</v>
      </c>
      <c r="AD1308" s="741" t="str">
        <f>'DICTIONARY-5'!$A$14</f>
        <v>ścieki</v>
      </c>
      <c r="AE1308" s="742">
        <v>80</v>
      </c>
      <c r="AF1308" s="743">
        <v>106</v>
      </c>
      <c r="AG1308" s="741" t="str">
        <f>'DICTIONARY-5'!$A$23</f>
        <v>powłoka epoksydowa</v>
      </c>
    </row>
    <row r="1309" spans="1:33" x14ac:dyDescent="0.25">
      <c r="A1309" s="861" t="s">
        <v>1314</v>
      </c>
      <c r="B1309" s="861" t="s">
        <v>4320</v>
      </c>
      <c r="C1309" s="836">
        <v>1556</v>
      </c>
      <c r="D1309" s="836"/>
      <c r="E1309" s="836"/>
      <c r="F1309" s="836"/>
      <c r="G1309" s="496" t="s">
        <v>7825</v>
      </c>
      <c r="H1309" s="797" t="str">
        <f>VLOOKUP(G1309,SETTINGS!$B$7:$D$97,2,0)</f>
        <v>LIMU-STOP</v>
      </c>
      <c r="I1309" s="796">
        <f>VLOOKUP(G1309,SETTINGS!$B$7:$D$97,3,0)</f>
        <v>0</v>
      </c>
      <c r="J1309" s="670" t="str">
        <f>IFERROR(IF(CURRENCY.FORMAT_1=0,CONCATENATE(TEXT(FIXED(ROUND((C1309/EXC.RATE_1),CURRENCY.FORMAT_1),CURRENCY.FORMAT_1,1),"# ##0;-# ##0"),",-"),FIXED(ROUND((C1309/EXC.RATE_1),CURRENCY.FORMAT_1),CURRENCY.FORMAT_1,0)),'DICTIONARY-5'!$A$2)</f>
        <v>1 556,-</v>
      </c>
      <c r="K1309" s="670" t="str">
        <f>IF(EXC.RATE_2=0,"",IFERROR(IF(CURRENCY.FORMAT_2=0,CONCATENATE(TEXT(FIXED(ROUND(IF(EXC.RATE.SWITCH=1,C1309/EXC.RATE_2,C1309*EXC.RATE_2),CURRENCY.FORMAT_2),CURRENCY.FORMAT_2,1),"# ##0;-# ##0"),",-"),FIXED(ROUND(IF(EXC.RATE.SWITCH=1,C1309/EXC.RATE_2,C1309*EXC.RATE_2),CURRENCY.FORMAT_2),CURRENCY.FORMAT_2,0)),'DICTIONARY-5'!$A$2))</f>
        <v/>
      </c>
      <c r="L1309" s="670" t="str">
        <f>IFERROR(IF(CURRENCY.FORMAT_1=0,CONCATENATE(TEXT(FIXED(ROUND((C1309*(1-I1309)*(1-ADD.DISCOUNT)*(1+MAT.SURCHARGE)/EXC.RATE_1),CURRENCY.FORMAT_1),CURRENCY.FORMAT_1,1),"# ##0;-# ##0"),",-"),FIXED(ROUND((C1309*(1-I1309)*(1-ADD.DISCOUNT)*(1+MAT.SURCHARGE)/EXC.RATE_1),CURRENCY.FORMAT_1),CURRENCY.FORMAT_1,0)),'DICTIONARY-5'!$A$2)</f>
        <v>1 617,-</v>
      </c>
      <c r="M1309" s="670" t="str">
        <f>IF(EXC.RATE_2=0,"",IFERROR(IF(CURRENCY.FORMAT_2=0,CONCATENATE(TEXT(FIXED(ROUND(IF(EXC.RATE.SWITCH=1,C1309*(1-I1309)*(1-ADD.DISCOUNT)*(1+MAT.SURCHARGE)/EXC.RATE_2,C1309*(1-I1309)*(1-ADD.DISCOUNT)*(1+MAT.SURCHARGE)*EXC.RATE_2),CURRENCY.FORMAT_2),CURRENCY.FORMAT_2,1),"# ##0;-# ##0"),",-"),FIXED(ROUND(IF(EXC.RATE.SWITCH=1,C1309*(1-I1309)*(1-ADD.DISCOUNT)*(1+MAT.SURCHARGE)/EXC.RATE_2,C1309*(1-I1309)*(1-ADD.DISCOUNT)*(1+MAT.SURCHARGE)*EXC.RATE_2),CURRENCY.FORMAT_2),CURRENCY.FORMAT_2,0)),'DICTIONARY-5'!$A$2))</f>
        <v/>
      </c>
      <c r="N1309" s="539">
        <v>5</v>
      </c>
      <c r="O1309" s="539"/>
      <c r="P1309" s="731" t="str">
        <f>'DICTIONARY-3'!$A$100</f>
        <v>LIMU-STOP</v>
      </c>
      <c r="Q1309" s="732" t="str">
        <f>'DICTIONARY-3'!$A$200</f>
        <v>Zawór zwrotny</v>
      </c>
      <c r="R1309" s="732" t="str">
        <f>CONCATENATE('DICTIONARY-3'!$A$100," ",'DICTIONARY-6'!$A$20," ",'DICTIONARY-2'!$A$2,"200"," ",'DICTIONARY-2'!$A$3,"16"," ","R48",", ",'DICTIONARY-5'!$A$45)</f>
        <v>LIMU-STOP Zaw. zwrotny DN200 PN16 R48, NBR</v>
      </c>
      <c r="S1309" s="733" t="s">
        <v>5569</v>
      </c>
      <c r="T1309" s="732" t="s">
        <v>5569</v>
      </c>
      <c r="U1309" s="734" t="s">
        <v>5750</v>
      </c>
      <c r="V1309" s="735">
        <v>16</v>
      </c>
      <c r="W1309" s="736"/>
      <c r="X1309" s="737"/>
      <c r="Y1309" s="738"/>
      <c r="Z1309" s="739"/>
      <c r="AA1309" s="739"/>
      <c r="AB1309" s="740">
        <v>16</v>
      </c>
      <c r="AC1309" s="741" t="str">
        <f>'DICTIONARY-5'!$A$11&amp;" 48"</f>
        <v>EN 558 szereg 48</v>
      </c>
      <c r="AD1309" s="741" t="str">
        <f>'DICTIONARY-5'!$A$14</f>
        <v>ścieki</v>
      </c>
      <c r="AE1309" s="742">
        <v>80</v>
      </c>
      <c r="AF1309" s="743">
        <v>107</v>
      </c>
      <c r="AG1309" s="741" t="str">
        <f>'DICTIONARY-5'!$A$23</f>
        <v>powłoka epoksydowa</v>
      </c>
    </row>
    <row r="1310" spans="1:33" x14ac:dyDescent="0.25">
      <c r="A1310" s="861" t="s">
        <v>1315</v>
      </c>
      <c r="B1310" s="861" t="s">
        <v>4324</v>
      </c>
      <c r="C1310" s="836">
        <v>2808</v>
      </c>
      <c r="D1310" s="836"/>
      <c r="E1310" s="836"/>
      <c r="F1310" s="836"/>
      <c r="G1310" s="496" t="s">
        <v>7825</v>
      </c>
      <c r="H1310" s="797" t="str">
        <f>VLOOKUP(G1310,SETTINGS!$B$7:$D$97,2,0)</f>
        <v>LIMU-STOP</v>
      </c>
      <c r="I1310" s="796">
        <f>VLOOKUP(G1310,SETTINGS!$B$7:$D$97,3,0)</f>
        <v>0</v>
      </c>
      <c r="J1310" s="670" t="str">
        <f>IFERROR(IF(CURRENCY.FORMAT_1=0,CONCATENATE(TEXT(FIXED(ROUND((C1310/EXC.RATE_1),CURRENCY.FORMAT_1),CURRENCY.FORMAT_1,1),"# ##0;-# ##0"),",-"),FIXED(ROUND((C1310/EXC.RATE_1),CURRENCY.FORMAT_1),CURRENCY.FORMAT_1,0)),'DICTIONARY-5'!$A$2)</f>
        <v>2 808,-</v>
      </c>
      <c r="K1310" s="670" t="str">
        <f>IF(EXC.RATE_2=0,"",IFERROR(IF(CURRENCY.FORMAT_2=0,CONCATENATE(TEXT(FIXED(ROUND(IF(EXC.RATE.SWITCH=1,C1310/EXC.RATE_2,C1310*EXC.RATE_2),CURRENCY.FORMAT_2),CURRENCY.FORMAT_2,1),"# ##0;-# ##0"),",-"),FIXED(ROUND(IF(EXC.RATE.SWITCH=1,C1310/EXC.RATE_2,C1310*EXC.RATE_2),CURRENCY.FORMAT_2),CURRENCY.FORMAT_2,0)),'DICTIONARY-5'!$A$2))</f>
        <v/>
      </c>
      <c r="L1310" s="670" t="str">
        <f>IFERROR(IF(CURRENCY.FORMAT_1=0,CONCATENATE(TEXT(FIXED(ROUND((C1310*(1-I1310)*(1-ADD.DISCOUNT)*(1+MAT.SURCHARGE)/EXC.RATE_1),CURRENCY.FORMAT_1),CURRENCY.FORMAT_1,1),"# ##0;-# ##0"),",-"),FIXED(ROUND((C1310*(1-I1310)*(1-ADD.DISCOUNT)*(1+MAT.SURCHARGE)/EXC.RATE_1),CURRENCY.FORMAT_1),CURRENCY.FORMAT_1,0)),'DICTIONARY-5'!$A$2)</f>
        <v>2 918,-</v>
      </c>
      <c r="M1310" s="670" t="str">
        <f>IF(EXC.RATE_2=0,"",IFERROR(IF(CURRENCY.FORMAT_2=0,CONCATENATE(TEXT(FIXED(ROUND(IF(EXC.RATE.SWITCH=1,C1310*(1-I1310)*(1-ADD.DISCOUNT)*(1+MAT.SURCHARGE)/EXC.RATE_2,C1310*(1-I1310)*(1-ADD.DISCOUNT)*(1+MAT.SURCHARGE)*EXC.RATE_2),CURRENCY.FORMAT_2),CURRENCY.FORMAT_2,1),"# ##0;-# ##0"),",-"),FIXED(ROUND(IF(EXC.RATE.SWITCH=1,C1310*(1-I1310)*(1-ADD.DISCOUNT)*(1+MAT.SURCHARGE)/EXC.RATE_2,C1310*(1-I1310)*(1-ADD.DISCOUNT)*(1+MAT.SURCHARGE)*EXC.RATE_2),CURRENCY.FORMAT_2),CURRENCY.FORMAT_2,0)),'DICTIONARY-5'!$A$2))</f>
        <v/>
      </c>
      <c r="N1310" s="539">
        <v>5</v>
      </c>
      <c r="O1310" s="539"/>
      <c r="P1310" s="731" t="str">
        <f>'DICTIONARY-3'!$A$100</f>
        <v>LIMU-STOP</v>
      </c>
      <c r="Q1310" s="732" t="str">
        <f>'DICTIONARY-3'!$A$200</f>
        <v>Zawór zwrotny</v>
      </c>
      <c r="R1310" s="732" t="str">
        <f>CONCATENATE('DICTIONARY-3'!$A$100," ",'DICTIONARY-6'!$A$20," ",'DICTIONARY-2'!$A$2,"250"," ",'DICTIONARY-2'!$A$3,"10"," ","R48",", ",'DICTIONARY-5'!$A$45)</f>
        <v>LIMU-STOP Zaw. zwrotny DN250 PN10 R48, NBR</v>
      </c>
      <c r="S1310" s="733" t="s">
        <v>5569</v>
      </c>
      <c r="T1310" s="732" t="s">
        <v>5569</v>
      </c>
      <c r="U1310" s="734" t="s">
        <v>5751</v>
      </c>
      <c r="V1310" s="735">
        <v>10</v>
      </c>
      <c r="W1310" s="736"/>
      <c r="X1310" s="737"/>
      <c r="Y1310" s="738"/>
      <c r="Z1310" s="739"/>
      <c r="AA1310" s="739"/>
      <c r="AB1310" s="740">
        <v>10</v>
      </c>
      <c r="AC1310" s="741" t="str">
        <f>'DICTIONARY-5'!$A$11&amp;" 48"</f>
        <v>EN 558 szereg 48</v>
      </c>
      <c r="AD1310" s="741" t="str">
        <f>'DICTIONARY-5'!$A$14</f>
        <v>ścieki</v>
      </c>
      <c r="AE1310" s="742">
        <v>80</v>
      </c>
      <c r="AF1310" s="743">
        <v>167</v>
      </c>
      <c r="AG1310" s="741" t="str">
        <f>'DICTIONARY-5'!$A$23</f>
        <v>powłoka epoksydowa</v>
      </c>
    </row>
    <row r="1311" spans="1:33" x14ac:dyDescent="0.25">
      <c r="A1311" s="861" t="s">
        <v>1316</v>
      </c>
      <c r="B1311" s="861" t="s">
        <v>4321</v>
      </c>
      <c r="C1311" s="836">
        <v>2808</v>
      </c>
      <c r="D1311" s="836"/>
      <c r="E1311" s="836"/>
      <c r="F1311" s="836"/>
      <c r="G1311" s="496" t="s">
        <v>7825</v>
      </c>
      <c r="H1311" s="797" t="str">
        <f>VLOOKUP(G1311,SETTINGS!$B$7:$D$97,2,0)</f>
        <v>LIMU-STOP</v>
      </c>
      <c r="I1311" s="796">
        <f>VLOOKUP(G1311,SETTINGS!$B$7:$D$97,3,0)</f>
        <v>0</v>
      </c>
      <c r="J1311" s="670" t="str">
        <f>IFERROR(IF(CURRENCY.FORMAT_1=0,CONCATENATE(TEXT(FIXED(ROUND((C1311/EXC.RATE_1),CURRENCY.FORMAT_1),CURRENCY.FORMAT_1,1),"# ##0;-# ##0"),",-"),FIXED(ROUND((C1311/EXC.RATE_1),CURRENCY.FORMAT_1),CURRENCY.FORMAT_1,0)),'DICTIONARY-5'!$A$2)</f>
        <v>2 808,-</v>
      </c>
      <c r="K1311" s="670" t="str">
        <f>IF(EXC.RATE_2=0,"",IFERROR(IF(CURRENCY.FORMAT_2=0,CONCATENATE(TEXT(FIXED(ROUND(IF(EXC.RATE.SWITCH=1,C1311/EXC.RATE_2,C1311*EXC.RATE_2),CURRENCY.FORMAT_2),CURRENCY.FORMAT_2,1),"# ##0;-# ##0"),",-"),FIXED(ROUND(IF(EXC.RATE.SWITCH=1,C1311/EXC.RATE_2,C1311*EXC.RATE_2),CURRENCY.FORMAT_2),CURRENCY.FORMAT_2,0)),'DICTIONARY-5'!$A$2))</f>
        <v/>
      </c>
      <c r="L1311" s="670" t="str">
        <f>IFERROR(IF(CURRENCY.FORMAT_1=0,CONCATENATE(TEXT(FIXED(ROUND((C1311*(1-I1311)*(1-ADD.DISCOUNT)*(1+MAT.SURCHARGE)/EXC.RATE_1),CURRENCY.FORMAT_1),CURRENCY.FORMAT_1,1),"# ##0;-# ##0"),",-"),FIXED(ROUND((C1311*(1-I1311)*(1-ADD.DISCOUNT)*(1+MAT.SURCHARGE)/EXC.RATE_1),CURRENCY.FORMAT_1),CURRENCY.FORMAT_1,0)),'DICTIONARY-5'!$A$2)</f>
        <v>2 918,-</v>
      </c>
      <c r="M1311" s="670" t="str">
        <f>IF(EXC.RATE_2=0,"",IFERROR(IF(CURRENCY.FORMAT_2=0,CONCATENATE(TEXT(FIXED(ROUND(IF(EXC.RATE.SWITCH=1,C1311*(1-I1311)*(1-ADD.DISCOUNT)*(1+MAT.SURCHARGE)/EXC.RATE_2,C1311*(1-I1311)*(1-ADD.DISCOUNT)*(1+MAT.SURCHARGE)*EXC.RATE_2),CURRENCY.FORMAT_2),CURRENCY.FORMAT_2,1),"# ##0;-# ##0"),",-"),FIXED(ROUND(IF(EXC.RATE.SWITCH=1,C1311*(1-I1311)*(1-ADD.DISCOUNT)*(1+MAT.SURCHARGE)/EXC.RATE_2,C1311*(1-I1311)*(1-ADD.DISCOUNT)*(1+MAT.SURCHARGE)*EXC.RATE_2),CURRENCY.FORMAT_2),CURRENCY.FORMAT_2,0)),'DICTIONARY-5'!$A$2))</f>
        <v/>
      </c>
      <c r="N1311" s="539">
        <v>5</v>
      </c>
      <c r="O1311" s="539"/>
      <c r="P1311" s="731" t="str">
        <f>'DICTIONARY-3'!$A$100</f>
        <v>LIMU-STOP</v>
      </c>
      <c r="Q1311" s="732" t="str">
        <f>'DICTIONARY-3'!$A$200</f>
        <v>Zawór zwrotny</v>
      </c>
      <c r="R1311" s="732" t="str">
        <f>CONCATENATE('DICTIONARY-3'!$A$100," ",'DICTIONARY-6'!$A$20," ",'DICTIONARY-2'!$A$2,"250"," ",'DICTIONARY-2'!$A$3,"16"," ","R48",", ",'DICTIONARY-5'!$A$45)</f>
        <v>LIMU-STOP Zaw. zwrotny DN250 PN16 R48, NBR</v>
      </c>
      <c r="S1311" s="733" t="s">
        <v>5569</v>
      </c>
      <c r="T1311" s="732" t="s">
        <v>5569</v>
      </c>
      <c r="U1311" s="734" t="s">
        <v>5751</v>
      </c>
      <c r="V1311" s="735">
        <v>16</v>
      </c>
      <c r="W1311" s="736"/>
      <c r="X1311" s="737"/>
      <c r="Y1311" s="738"/>
      <c r="Z1311" s="739"/>
      <c r="AA1311" s="739"/>
      <c r="AB1311" s="740">
        <v>16</v>
      </c>
      <c r="AC1311" s="741" t="str">
        <f>'DICTIONARY-5'!$A$11&amp;" 48"</f>
        <v>EN 558 szereg 48</v>
      </c>
      <c r="AD1311" s="741" t="str">
        <f>'DICTIONARY-5'!$A$14</f>
        <v>ścieki</v>
      </c>
      <c r="AE1311" s="742">
        <v>80</v>
      </c>
      <c r="AF1311" s="743">
        <v>167.05</v>
      </c>
      <c r="AG1311" s="741" t="str">
        <f>'DICTIONARY-5'!$A$23</f>
        <v>powłoka epoksydowa</v>
      </c>
    </row>
    <row r="1312" spans="1:33" x14ac:dyDescent="0.25">
      <c r="A1312" s="861" t="s">
        <v>1317</v>
      </c>
      <c r="B1312" s="861" t="s">
        <v>4325</v>
      </c>
      <c r="C1312" s="836">
        <v>3904</v>
      </c>
      <c r="D1312" s="836"/>
      <c r="E1312" s="836"/>
      <c r="F1312" s="836"/>
      <c r="G1312" s="496" t="s">
        <v>7825</v>
      </c>
      <c r="H1312" s="797" t="str">
        <f>VLOOKUP(G1312,SETTINGS!$B$7:$D$97,2,0)</f>
        <v>LIMU-STOP</v>
      </c>
      <c r="I1312" s="796">
        <f>VLOOKUP(G1312,SETTINGS!$B$7:$D$97,3,0)</f>
        <v>0</v>
      </c>
      <c r="J1312" s="670" t="str">
        <f>IFERROR(IF(CURRENCY.FORMAT_1=0,CONCATENATE(TEXT(FIXED(ROUND((C1312/EXC.RATE_1),CURRENCY.FORMAT_1),CURRENCY.FORMAT_1,1),"# ##0;-# ##0"),",-"),FIXED(ROUND((C1312/EXC.RATE_1),CURRENCY.FORMAT_1),CURRENCY.FORMAT_1,0)),'DICTIONARY-5'!$A$2)</f>
        <v>3 904,-</v>
      </c>
      <c r="K1312" s="670" t="str">
        <f>IF(EXC.RATE_2=0,"",IFERROR(IF(CURRENCY.FORMAT_2=0,CONCATENATE(TEXT(FIXED(ROUND(IF(EXC.RATE.SWITCH=1,C1312/EXC.RATE_2,C1312*EXC.RATE_2),CURRENCY.FORMAT_2),CURRENCY.FORMAT_2,1),"# ##0;-# ##0"),",-"),FIXED(ROUND(IF(EXC.RATE.SWITCH=1,C1312/EXC.RATE_2,C1312*EXC.RATE_2),CURRENCY.FORMAT_2),CURRENCY.FORMAT_2,0)),'DICTIONARY-5'!$A$2))</f>
        <v/>
      </c>
      <c r="L1312" s="670" t="str">
        <f>IFERROR(IF(CURRENCY.FORMAT_1=0,CONCATENATE(TEXT(FIXED(ROUND((C1312*(1-I1312)*(1-ADD.DISCOUNT)*(1+MAT.SURCHARGE)/EXC.RATE_1),CURRENCY.FORMAT_1),CURRENCY.FORMAT_1,1),"# ##0;-# ##0"),",-"),FIXED(ROUND((C1312*(1-I1312)*(1-ADD.DISCOUNT)*(1+MAT.SURCHARGE)/EXC.RATE_1),CURRENCY.FORMAT_1),CURRENCY.FORMAT_1,0)),'DICTIONARY-5'!$A$2)</f>
        <v>4 056,-</v>
      </c>
      <c r="M1312" s="670" t="str">
        <f>IF(EXC.RATE_2=0,"",IFERROR(IF(CURRENCY.FORMAT_2=0,CONCATENATE(TEXT(FIXED(ROUND(IF(EXC.RATE.SWITCH=1,C1312*(1-I1312)*(1-ADD.DISCOUNT)*(1+MAT.SURCHARGE)/EXC.RATE_2,C1312*(1-I1312)*(1-ADD.DISCOUNT)*(1+MAT.SURCHARGE)*EXC.RATE_2),CURRENCY.FORMAT_2),CURRENCY.FORMAT_2,1),"# ##0;-# ##0"),",-"),FIXED(ROUND(IF(EXC.RATE.SWITCH=1,C1312*(1-I1312)*(1-ADD.DISCOUNT)*(1+MAT.SURCHARGE)/EXC.RATE_2,C1312*(1-I1312)*(1-ADD.DISCOUNT)*(1+MAT.SURCHARGE)*EXC.RATE_2),CURRENCY.FORMAT_2),CURRENCY.FORMAT_2,0)),'DICTIONARY-5'!$A$2))</f>
        <v/>
      </c>
      <c r="N1312" s="539">
        <v>5</v>
      </c>
      <c r="O1312" s="539"/>
      <c r="P1312" s="731" t="str">
        <f>'DICTIONARY-3'!$A$100</f>
        <v>LIMU-STOP</v>
      </c>
      <c r="Q1312" s="732" t="str">
        <f>'DICTIONARY-3'!$A$200</f>
        <v>Zawór zwrotny</v>
      </c>
      <c r="R1312" s="732" t="str">
        <f>CONCATENATE('DICTIONARY-3'!$A$100," ",'DICTIONARY-6'!$A$20," ",'DICTIONARY-2'!$A$2,"300"," ",'DICTIONARY-2'!$A$3,"10"," ","R48",", ",'DICTIONARY-5'!$A$45)</f>
        <v>LIMU-STOP Zaw. zwrotny DN300 PN10 R48, NBR</v>
      </c>
      <c r="S1312" s="733" t="s">
        <v>5569</v>
      </c>
      <c r="T1312" s="732" t="s">
        <v>5569</v>
      </c>
      <c r="U1312" s="734" t="s">
        <v>5752</v>
      </c>
      <c r="V1312" s="735">
        <v>10</v>
      </c>
      <c r="W1312" s="736"/>
      <c r="X1312" s="737"/>
      <c r="Y1312" s="738"/>
      <c r="Z1312" s="739"/>
      <c r="AA1312" s="739"/>
      <c r="AB1312" s="740">
        <v>10</v>
      </c>
      <c r="AC1312" s="741" t="str">
        <f>'DICTIONARY-5'!$A$11&amp;" 48"</f>
        <v>EN 558 szereg 48</v>
      </c>
      <c r="AD1312" s="741" t="str">
        <f>'DICTIONARY-5'!$A$14</f>
        <v>ścieki</v>
      </c>
      <c r="AE1312" s="742">
        <v>80</v>
      </c>
      <c r="AF1312" s="743">
        <v>234</v>
      </c>
      <c r="AG1312" s="741" t="str">
        <f>'DICTIONARY-5'!$A$23</f>
        <v>powłoka epoksydowa</v>
      </c>
    </row>
    <row r="1313" spans="1:33" x14ac:dyDescent="0.25">
      <c r="A1313" s="861" t="s">
        <v>1318</v>
      </c>
      <c r="B1313" s="861" t="s">
        <v>4322</v>
      </c>
      <c r="C1313" s="836">
        <v>3904</v>
      </c>
      <c r="D1313" s="836"/>
      <c r="E1313" s="836"/>
      <c r="F1313" s="836"/>
      <c r="G1313" s="496" t="s">
        <v>7825</v>
      </c>
      <c r="H1313" s="797" t="str">
        <f>VLOOKUP(G1313,SETTINGS!$B$7:$D$97,2,0)</f>
        <v>LIMU-STOP</v>
      </c>
      <c r="I1313" s="796">
        <f>VLOOKUP(G1313,SETTINGS!$B$7:$D$97,3,0)</f>
        <v>0</v>
      </c>
      <c r="J1313" s="670" t="str">
        <f>IFERROR(IF(CURRENCY.FORMAT_1=0,CONCATENATE(TEXT(FIXED(ROUND((C1313/EXC.RATE_1),CURRENCY.FORMAT_1),CURRENCY.FORMAT_1,1),"# ##0;-# ##0"),",-"),FIXED(ROUND((C1313/EXC.RATE_1),CURRENCY.FORMAT_1),CURRENCY.FORMAT_1,0)),'DICTIONARY-5'!$A$2)</f>
        <v>3 904,-</v>
      </c>
      <c r="K1313" s="670" t="str">
        <f>IF(EXC.RATE_2=0,"",IFERROR(IF(CURRENCY.FORMAT_2=0,CONCATENATE(TEXT(FIXED(ROUND(IF(EXC.RATE.SWITCH=1,C1313/EXC.RATE_2,C1313*EXC.RATE_2),CURRENCY.FORMAT_2),CURRENCY.FORMAT_2,1),"# ##0;-# ##0"),",-"),FIXED(ROUND(IF(EXC.RATE.SWITCH=1,C1313/EXC.RATE_2,C1313*EXC.RATE_2),CURRENCY.FORMAT_2),CURRENCY.FORMAT_2,0)),'DICTIONARY-5'!$A$2))</f>
        <v/>
      </c>
      <c r="L1313" s="670" t="str">
        <f>IFERROR(IF(CURRENCY.FORMAT_1=0,CONCATENATE(TEXT(FIXED(ROUND((C1313*(1-I1313)*(1-ADD.DISCOUNT)*(1+MAT.SURCHARGE)/EXC.RATE_1),CURRENCY.FORMAT_1),CURRENCY.FORMAT_1,1),"# ##0;-# ##0"),",-"),FIXED(ROUND((C1313*(1-I1313)*(1-ADD.DISCOUNT)*(1+MAT.SURCHARGE)/EXC.RATE_1),CURRENCY.FORMAT_1),CURRENCY.FORMAT_1,0)),'DICTIONARY-5'!$A$2)</f>
        <v>4 056,-</v>
      </c>
      <c r="M1313" s="670" t="str">
        <f>IF(EXC.RATE_2=0,"",IFERROR(IF(CURRENCY.FORMAT_2=0,CONCATENATE(TEXT(FIXED(ROUND(IF(EXC.RATE.SWITCH=1,C1313*(1-I1313)*(1-ADD.DISCOUNT)*(1+MAT.SURCHARGE)/EXC.RATE_2,C1313*(1-I1313)*(1-ADD.DISCOUNT)*(1+MAT.SURCHARGE)*EXC.RATE_2),CURRENCY.FORMAT_2),CURRENCY.FORMAT_2,1),"# ##0;-# ##0"),",-"),FIXED(ROUND(IF(EXC.RATE.SWITCH=1,C1313*(1-I1313)*(1-ADD.DISCOUNT)*(1+MAT.SURCHARGE)/EXC.RATE_2,C1313*(1-I1313)*(1-ADD.DISCOUNT)*(1+MAT.SURCHARGE)*EXC.RATE_2),CURRENCY.FORMAT_2),CURRENCY.FORMAT_2,0)),'DICTIONARY-5'!$A$2))</f>
        <v/>
      </c>
      <c r="N1313" s="539">
        <v>5</v>
      </c>
      <c r="O1313" s="539"/>
      <c r="P1313" s="731" t="str">
        <f>'DICTIONARY-3'!$A$100</f>
        <v>LIMU-STOP</v>
      </c>
      <c r="Q1313" s="732" t="str">
        <f>'DICTIONARY-3'!$A$200</f>
        <v>Zawór zwrotny</v>
      </c>
      <c r="R1313" s="732" t="str">
        <f>CONCATENATE('DICTIONARY-3'!$A$100," ",'DICTIONARY-6'!$A$20," ",'DICTIONARY-2'!$A$2,"300"," ",'DICTIONARY-2'!$A$3,"16"," ","R48",", ",'DICTIONARY-5'!$A$45)</f>
        <v>LIMU-STOP Zaw. zwrotny DN300 PN16 R48, NBR</v>
      </c>
      <c r="S1313" s="733" t="s">
        <v>5569</v>
      </c>
      <c r="T1313" s="732" t="s">
        <v>5569</v>
      </c>
      <c r="U1313" s="734" t="s">
        <v>5752</v>
      </c>
      <c r="V1313" s="735">
        <v>16</v>
      </c>
      <c r="W1313" s="736"/>
      <c r="X1313" s="737"/>
      <c r="Y1313" s="738"/>
      <c r="Z1313" s="739"/>
      <c r="AA1313" s="739"/>
      <c r="AB1313" s="740">
        <v>16</v>
      </c>
      <c r="AC1313" s="741" t="str">
        <f>'DICTIONARY-5'!$A$11&amp;" 48"</f>
        <v>EN 558 szereg 48</v>
      </c>
      <c r="AD1313" s="741" t="str">
        <f>'DICTIONARY-5'!$A$14</f>
        <v>ścieki</v>
      </c>
      <c r="AE1313" s="742">
        <v>80</v>
      </c>
      <c r="AF1313" s="743">
        <v>233.85</v>
      </c>
      <c r="AG1313" s="741" t="str">
        <f>'DICTIONARY-5'!$A$23</f>
        <v>powłoka epoksydowa</v>
      </c>
    </row>
    <row r="1314" spans="1:33" x14ac:dyDescent="0.25">
      <c r="A1314" s="861" t="s">
        <v>1319</v>
      </c>
      <c r="B1314" s="861" t="s">
        <v>4326</v>
      </c>
      <c r="C1314" s="836">
        <v>523</v>
      </c>
      <c r="D1314" s="836"/>
      <c r="E1314" s="836"/>
      <c r="F1314" s="836"/>
      <c r="G1314" s="496" t="s">
        <v>7825</v>
      </c>
      <c r="H1314" s="797" t="str">
        <f>VLOOKUP(G1314,SETTINGS!$B$7:$D$97,2,0)</f>
        <v>LIMU-STOP</v>
      </c>
      <c r="I1314" s="796">
        <f>VLOOKUP(G1314,SETTINGS!$B$7:$D$97,3,0)</f>
        <v>0</v>
      </c>
      <c r="J1314" s="670" t="str">
        <f>IFERROR(IF(CURRENCY.FORMAT_1=0,CONCATENATE(TEXT(FIXED(ROUND((C1314/EXC.RATE_1),CURRENCY.FORMAT_1),CURRENCY.FORMAT_1,1),"# ##0;-# ##0"),",-"),FIXED(ROUND((C1314/EXC.RATE_1),CURRENCY.FORMAT_1),CURRENCY.FORMAT_1,0)),'DICTIONARY-5'!$A$2)</f>
        <v>523,-</v>
      </c>
      <c r="K1314" s="670" t="str">
        <f>IF(EXC.RATE_2=0,"",IFERROR(IF(CURRENCY.FORMAT_2=0,CONCATENATE(TEXT(FIXED(ROUND(IF(EXC.RATE.SWITCH=1,C1314/EXC.RATE_2,C1314*EXC.RATE_2),CURRENCY.FORMAT_2),CURRENCY.FORMAT_2,1),"# ##0;-# ##0"),",-"),FIXED(ROUND(IF(EXC.RATE.SWITCH=1,C1314/EXC.RATE_2,C1314*EXC.RATE_2),CURRENCY.FORMAT_2),CURRENCY.FORMAT_2,0)),'DICTIONARY-5'!$A$2))</f>
        <v/>
      </c>
      <c r="L1314" s="670" t="str">
        <f>IFERROR(IF(CURRENCY.FORMAT_1=0,CONCATENATE(TEXT(FIXED(ROUND((C1314*(1-I1314)*(1-ADD.DISCOUNT)*(1+MAT.SURCHARGE)/EXC.RATE_1),CURRENCY.FORMAT_1),CURRENCY.FORMAT_1,1),"# ##0;-# ##0"),",-"),FIXED(ROUND((C1314*(1-I1314)*(1-ADD.DISCOUNT)*(1+MAT.SURCHARGE)/EXC.RATE_1),CURRENCY.FORMAT_1),CURRENCY.FORMAT_1,0)),'DICTIONARY-5'!$A$2)</f>
        <v>543,-</v>
      </c>
      <c r="M1314" s="670" t="str">
        <f>IF(EXC.RATE_2=0,"",IFERROR(IF(CURRENCY.FORMAT_2=0,CONCATENATE(TEXT(FIXED(ROUND(IF(EXC.RATE.SWITCH=1,C1314*(1-I1314)*(1-ADD.DISCOUNT)*(1+MAT.SURCHARGE)/EXC.RATE_2,C1314*(1-I1314)*(1-ADD.DISCOUNT)*(1+MAT.SURCHARGE)*EXC.RATE_2),CURRENCY.FORMAT_2),CURRENCY.FORMAT_2,1),"# ##0;-# ##0"),",-"),FIXED(ROUND(IF(EXC.RATE.SWITCH=1,C1314*(1-I1314)*(1-ADD.DISCOUNT)*(1+MAT.SURCHARGE)/EXC.RATE_2,C1314*(1-I1314)*(1-ADD.DISCOUNT)*(1+MAT.SURCHARGE)*EXC.RATE_2),CURRENCY.FORMAT_2),CURRENCY.FORMAT_2,0)),'DICTIONARY-5'!$A$2))</f>
        <v/>
      </c>
      <c r="N1314" s="539">
        <v>5</v>
      </c>
      <c r="O1314" s="539"/>
      <c r="P1314" s="731" t="str">
        <f>'DICTIONARY-3'!$A$100</f>
        <v>LIMU-STOP</v>
      </c>
      <c r="Q1314" s="732" t="str">
        <f>'DICTIONARY-3'!$A$200</f>
        <v>Zawór zwrotny</v>
      </c>
      <c r="R1314" s="732" t="str">
        <f>CONCATENATE('DICTIONARY-3'!$A$100," ",'DICTIONARY-6'!$A$20," ",'DICTIONARY-2'!$A$2,"50"," ",'DICTIONARY-2'!$A$3,"10/16"," ","R48",", ",'DICTIONARY-5'!$A$45,", ",'DICTIONARY-4'!$A$16," ",'DICTIONARY-6'!$A$70)</f>
        <v>LIMU-STOP Zaw. zwrotny DN50 PN10/16 R48, NBR, DC zabud. pionowa</v>
      </c>
      <c r="S1314" s="733" t="str">
        <f>'DICTIONARY-4'!$A$16</f>
        <v>DC</v>
      </c>
      <c r="T1314" s="732" t="str">
        <f>'DICTIONARY-4'!$A$32</f>
        <v>Dżwignia z ciężarem</v>
      </c>
      <c r="U1314" s="734" t="s">
        <v>5748</v>
      </c>
      <c r="V1314" s="735">
        <v>16</v>
      </c>
      <c r="W1314" s="736"/>
      <c r="X1314" s="737"/>
      <c r="Y1314" s="738"/>
      <c r="Z1314" s="739"/>
      <c r="AA1314" s="739"/>
      <c r="AB1314" s="740">
        <v>16</v>
      </c>
      <c r="AC1314" s="741" t="str">
        <f>'DICTIONARY-5'!$A$11&amp;" 48"</f>
        <v>EN 558 szereg 48</v>
      </c>
      <c r="AD1314" s="741" t="str">
        <f>'DICTIONARY-5'!$A$14</f>
        <v>ścieki</v>
      </c>
      <c r="AE1314" s="742">
        <v>80</v>
      </c>
      <c r="AF1314" s="743">
        <v>13</v>
      </c>
      <c r="AG1314" s="741" t="str">
        <f>'DICTIONARY-5'!$A$23</f>
        <v>powłoka epoksydowa</v>
      </c>
    </row>
    <row r="1315" spans="1:33" x14ac:dyDescent="0.25">
      <c r="A1315" s="861" t="s">
        <v>1321</v>
      </c>
      <c r="B1315" s="861" t="s">
        <v>4328</v>
      </c>
      <c r="C1315" s="836">
        <v>580</v>
      </c>
      <c r="D1315" s="836"/>
      <c r="E1315" s="836"/>
      <c r="F1315" s="836"/>
      <c r="G1315" s="496" t="s">
        <v>7825</v>
      </c>
      <c r="H1315" s="797" t="str">
        <f>VLOOKUP(G1315,SETTINGS!$B$7:$D$97,2,0)</f>
        <v>LIMU-STOP</v>
      </c>
      <c r="I1315" s="796">
        <f>VLOOKUP(G1315,SETTINGS!$B$7:$D$97,3,0)</f>
        <v>0</v>
      </c>
      <c r="J1315" s="670" t="str">
        <f>IFERROR(IF(CURRENCY.FORMAT_1=0,CONCATENATE(TEXT(FIXED(ROUND((C1315/EXC.RATE_1),CURRENCY.FORMAT_1),CURRENCY.FORMAT_1,1),"# ##0;-# ##0"),",-"),FIXED(ROUND((C1315/EXC.RATE_1),CURRENCY.FORMAT_1),CURRENCY.FORMAT_1,0)),'DICTIONARY-5'!$A$2)</f>
        <v>580,-</v>
      </c>
      <c r="K1315" s="670" t="str">
        <f>IF(EXC.RATE_2=0,"",IFERROR(IF(CURRENCY.FORMAT_2=0,CONCATENATE(TEXT(FIXED(ROUND(IF(EXC.RATE.SWITCH=1,C1315/EXC.RATE_2,C1315*EXC.RATE_2),CURRENCY.FORMAT_2),CURRENCY.FORMAT_2,1),"# ##0;-# ##0"),",-"),FIXED(ROUND(IF(EXC.RATE.SWITCH=1,C1315/EXC.RATE_2,C1315*EXC.RATE_2),CURRENCY.FORMAT_2),CURRENCY.FORMAT_2,0)),'DICTIONARY-5'!$A$2))</f>
        <v/>
      </c>
      <c r="L1315" s="670" t="str">
        <f>IFERROR(IF(CURRENCY.FORMAT_1=0,CONCATENATE(TEXT(FIXED(ROUND((C1315*(1-I1315)*(1-ADD.DISCOUNT)*(1+MAT.SURCHARGE)/EXC.RATE_1),CURRENCY.FORMAT_1),CURRENCY.FORMAT_1,1),"# ##0;-# ##0"),",-"),FIXED(ROUND((C1315*(1-I1315)*(1-ADD.DISCOUNT)*(1+MAT.SURCHARGE)/EXC.RATE_1),CURRENCY.FORMAT_1),CURRENCY.FORMAT_1,0)),'DICTIONARY-5'!$A$2)</f>
        <v>603,-</v>
      </c>
      <c r="M1315" s="670" t="str">
        <f>IF(EXC.RATE_2=0,"",IFERROR(IF(CURRENCY.FORMAT_2=0,CONCATENATE(TEXT(FIXED(ROUND(IF(EXC.RATE.SWITCH=1,C1315*(1-I1315)*(1-ADD.DISCOUNT)*(1+MAT.SURCHARGE)/EXC.RATE_2,C1315*(1-I1315)*(1-ADD.DISCOUNT)*(1+MAT.SURCHARGE)*EXC.RATE_2),CURRENCY.FORMAT_2),CURRENCY.FORMAT_2,1),"# ##0;-# ##0"),",-"),FIXED(ROUND(IF(EXC.RATE.SWITCH=1,C1315*(1-I1315)*(1-ADD.DISCOUNT)*(1+MAT.SURCHARGE)/EXC.RATE_2,C1315*(1-I1315)*(1-ADD.DISCOUNT)*(1+MAT.SURCHARGE)*EXC.RATE_2),CURRENCY.FORMAT_2),CURRENCY.FORMAT_2,0)),'DICTIONARY-5'!$A$2))</f>
        <v/>
      </c>
      <c r="N1315" s="539">
        <v>5</v>
      </c>
      <c r="O1315" s="539"/>
      <c r="P1315" s="731" t="str">
        <f>'DICTIONARY-3'!$A$100</f>
        <v>LIMU-STOP</v>
      </c>
      <c r="Q1315" s="732" t="str">
        <f>'DICTIONARY-3'!$A$200</f>
        <v>Zawór zwrotny</v>
      </c>
      <c r="R1315" s="732" t="str">
        <f>CONCATENATE('DICTIONARY-3'!$A$100," ",'DICTIONARY-6'!$A$20," ",'DICTIONARY-2'!$A$2,"65"," ",'DICTIONARY-2'!$A$3,"10/16"," ","R48",", ",'DICTIONARY-5'!$A$45,", ",'DICTIONARY-4'!$A$16," ",'DICTIONARY-6'!$A$70)</f>
        <v>LIMU-STOP Zaw. zwrotny DN65 PN10/16 R48, NBR, DC zabud. pionowa</v>
      </c>
      <c r="S1315" s="733" t="str">
        <f>'DICTIONARY-4'!$A$16</f>
        <v>DC</v>
      </c>
      <c r="T1315" s="732" t="str">
        <f>'DICTIONARY-4'!$A$32</f>
        <v>Dżwignia z ciężarem</v>
      </c>
      <c r="U1315" s="734" t="s">
        <v>5759</v>
      </c>
      <c r="V1315" s="735">
        <v>16</v>
      </c>
      <c r="W1315" s="736"/>
      <c r="X1315" s="737"/>
      <c r="Y1315" s="738"/>
      <c r="Z1315" s="739"/>
      <c r="AA1315" s="739"/>
      <c r="AB1315" s="740">
        <v>16</v>
      </c>
      <c r="AC1315" s="741" t="str">
        <f>'DICTIONARY-5'!$A$11&amp;" 48"</f>
        <v>EN 558 szereg 48</v>
      </c>
      <c r="AD1315" s="741" t="str">
        <f>'DICTIONARY-5'!$A$14</f>
        <v>ścieki</v>
      </c>
      <c r="AE1315" s="742">
        <v>80</v>
      </c>
      <c r="AF1315" s="743">
        <v>18.5</v>
      </c>
      <c r="AG1315" s="741" t="str">
        <f>'DICTIONARY-5'!$A$23</f>
        <v>powłoka epoksydowa</v>
      </c>
    </row>
    <row r="1316" spans="1:33" x14ac:dyDescent="0.25">
      <c r="A1316" s="861" t="s">
        <v>1323</v>
      </c>
      <c r="B1316" s="861" t="s">
        <v>4330</v>
      </c>
      <c r="C1316" s="836">
        <v>686</v>
      </c>
      <c r="D1316" s="836"/>
      <c r="E1316" s="836"/>
      <c r="F1316" s="836"/>
      <c r="G1316" s="496" t="s">
        <v>7825</v>
      </c>
      <c r="H1316" s="797" t="str">
        <f>VLOOKUP(G1316,SETTINGS!$B$7:$D$97,2,0)</f>
        <v>LIMU-STOP</v>
      </c>
      <c r="I1316" s="796">
        <f>VLOOKUP(G1316,SETTINGS!$B$7:$D$97,3,0)</f>
        <v>0</v>
      </c>
      <c r="J1316" s="670" t="str">
        <f>IFERROR(IF(CURRENCY.FORMAT_1=0,CONCATENATE(TEXT(FIXED(ROUND((C1316/EXC.RATE_1),CURRENCY.FORMAT_1),CURRENCY.FORMAT_1,1),"# ##0;-# ##0"),",-"),FIXED(ROUND((C1316/EXC.RATE_1),CURRENCY.FORMAT_1),CURRENCY.FORMAT_1,0)),'DICTIONARY-5'!$A$2)</f>
        <v>686,-</v>
      </c>
      <c r="K1316" s="670" t="str">
        <f>IF(EXC.RATE_2=0,"",IFERROR(IF(CURRENCY.FORMAT_2=0,CONCATENATE(TEXT(FIXED(ROUND(IF(EXC.RATE.SWITCH=1,C1316/EXC.RATE_2,C1316*EXC.RATE_2),CURRENCY.FORMAT_2),CURRENCY.FORMAT_2,1),"# ##0;-# ##0"),",-"),FIXED(ROUND(IF(EXC.RATE.SWITCH=1,C1316/EXC.RATE_2,C1316*EXC.RATE_2),CURRENCY.FORMAT_2),CURRENCY.FORMAT_2,0)),'DICTIONARY-5'!$A$2))</f>
        <v/>
      </c>
      <c r="L1316" s="670" t="str">
        <f>IFERROR(IF(CURRENCY.FORMAT_1=0,CONCATENATE(TEXT(FIXED(ROUND((C1316*(1-I1316)*(1-ADD.DISCOUNT)*(1+MAT.SURCHARGE)/EXC.RATE_1),CURRENCY.FORMAT_1),CURRENCY.FORMAT_1,1),"# ##0;-# ##0"),",-"),FIXED(ROUND((C1316*(1-I1316)*(1-ADD.DISCOUNT)*(1+MAT.SURCHARGE)/EXC.RATE_1),CURRENCY.FORMAT_1),CURRENCY.FORMAT_1,0)),'DICTIONARY-5'!$A$2)</f>
        <v>713,-</v>
      </c>
      <c r="M1316" s="670" t="str">
        <f>IF(EXC.RATE_2=0,"",IFERROR(IF(CURRENCY.FORMAT_2=0,CONCATENATE(TEXT(FIXED(ROUND(IF(EXC.RATE.SWITCH=1,C1316*(1-I1316)*(1-ADD.DISCOUNT)*(1+MAT.SURCHARGE)/EXC.RATE_2,C1316*(1-I1316)*(1-ADD.DISCOUNT)*(1+MAT.SURCHARGE)*EXC.RATE_2),CURRENCY.FORMAT_2),CURRENCY.FORMAT_2,1),"# ##0;-# ##0"),",-"),FIXED(ROUND(IF(EXC.RATE.SWITCH=1,C1316*(1-I1316)*(1-ADD.DISCOUNT)*(1+MAT.SURCHARGE)/EXC.RATE_2,C1316*(1-I1316)*(1-ADD.DISCOUNT)*(1+MAT.SURCHARGE)*EXC.RATE_2),CURRENCY.FORMAT_2),CURRENCY.FORMAT_2,0)),'DICTIONARY-5'!$A$2))</f>
        <v/>
      </c>
      <c r="N1316" s="539">
        <v>5</v>
      </c>
      <c r="O1316" s="539"/>
      <c r="P1316" s="731" t="str">
        <f>'DICTIONARY-3'!$A$100</f>
        <v>LIMU-STOP</v>
      </c>
      <c r="Q1316" s="732" t="str">
        <f>'DICTIONARY-3'!$A$200</f>
        <v>Zawór zwrotny</v>
      </c>
      <c r="R1316" s="732" t="str">
        <f>CONCATENATE('DICTIONARY-3'!$A$100," ",'DICTIONARY-6'!$A$20," ",'DICTIONARY-2'!$A$2,"80"," ",'DICTIONARY-2'!$A$3,"10/16"," ","R48",", ",'DICTIONARY-5'!$A$45,", ",'DICTIONARY-4'!$A$16," ",'DICTIONARY-6'!$A$70)</f>
        <v>LIMU-STOP Zaw. zwrotny DN80 PN10/16 R48, NBR, DC zabud. pionowa</v>
      </c>
      <c r="S1316" s="733" t="str">
        <f>'DICTIONARY-4'!$A$16</f>
        <v>DC</v>
      </c>
      <c r="T1316" s="732" t="str">
        <f>'DICTIONARY-4'!$A$32</f>
        <v>Dżwignia z ciężarem</v>
      </c>
      <c r="U1316" s="734" t="s">
        <v>5760</v>
      </c>
      <c r="V1316" s="735">
        <v>16</v>
      </c>
      <c r="W1316" s="736"/>
      <c r="X1316" s="737"/>
      <c r="Y1316" s="738"/>
      <c r="Z1316" s="739"/>
      <c r="AA1316" s="739"/>
      <c r="AB1316" s="740">
        <v>16</v>
      </c>
      <c r="AC1316" s="741" t="str">
        <f>'DICTIONARY-5'!$A$11&amp;" 48"</f>
        <v>EN 558 szereg 48</v>
      </c>
      <c r="AD1316" s="741" t="str">
        <f>'DICTIONARY-5'!$A$14</f>
        <v>ścieki</v>
      </c>
      <c r="AE1316" s="742">
        <v>80</v>
      </c>
      <c r="AF1316" s="743">
        <v>23</v>
      </c>
      <c r="AG1316" s="741" t="str">
        <f>'DICTIONARY-5'!$A$23</f>
        <v>powłoka epoksydowa</v>
      </c>
    </row>
    <row r="1317" spans="1:33" x14ac:dyDescent="0.25">
      <c r="A1317" s="861" t="s">
        <v>1325</v>
      </c>
      <c r="B1317" s="861" t="s">
        <v>4332</v>
      </c>
      <c r="C1317" s="836">
        <v>761</v>
      </c>
      <c r="D1317" s="836"/>
      <c r="E1317" s="836"/>
      <c r="F1317" s="836"/>
      <c r="G1317" s="496" t="s">
        <v>7825</v>
      </c>
      <c r="H1317" s="797" t="str">
        <f>VLOOKUP(G1317,SETTINGS!$B$7:$D$97,2,0)</f>
        <v>LIMU-STOP</v>
      </c>
      <c r="I1317" s="796">
        <f>VLOOKUP(G1317,SETTINGS!$B$7:$D$97,3,0)</f>
        <v>0</v>
      </c>
      <c r="J1317" s="670" t="str">
        <f>IFERROR(IF(CURRENCY.FORMAT_1=0,CONCATENATE(TEXT(FIXED(ROUND((C1317/EXC.RATE_1),CURRENCY.FORMAT_1),CURRENCY.FORMAT_1,1),"# ##0;-# ##0"),",-"),FIXED(ROUND((C1317/EXC.RATE_1),CURRENCY.FORMAT_1),CURRENCY.FORMAT_1,0)),'DICTIONARY-5'!$A$2)</f>
        <v>761,-</v>
      </c>
      <c r="K1317" s="670" t="str">
        <f>IF(EXC.RATE_2=0,"",IFERROR(IF(CURRENCY.FORMAT_2=0,CONCATENATE(TEXT(FIXED(ROUND(IF(EXC.RATE.SWITCH=1,C1317/EXC.RATE_2,C1317*EXC.RATE_2),CURRENCY.FORMAT_2),CURRENCY.FORMAT_2,1),"# ##0;-# ##0"),",-"),FIXED(ROUND(IF(EXC.RATE.SWITCH=1,C1317/EXC.RATE_2,C1317*EXC.RATE_2),CURRENCY.FORMAT_2),CURRENCY.FORMAT_2,0)),'DICTIONARY-5'!$A$2))</f>
        <v/>
      </c>
      <c r="L1317" s="670" t="str">
        <f>IFERROR(IF(CURRENCY.FORMAT_1=0,CONCATENATE(TEXT(FIXED(ROUND((C1317*(1-I1317)*(1-ADD.DISCOUNT)*(1+MAT.SURCHARGE)/EXC.RATE_1),CURRENCY.FORMAT_1),CURRENCY.FORMAT_1,1),"# ##0;-# ##0"),",-"),FIXED(ROUND((C1317*(1-I1317)*(1-ADD.DISCOUNT)*(1+MAT.SURCHARGE)/EXC.RATE_1),CURRENCY.FORMAT_1),CURRENCY.FORMAT_1,0)),'DICTIONARY-5'!$A$2)</f>
        <v>791,-</v>
      </c>
      <c r="M1317" s="670" t="str">
        <f>IF(EXC.RATE_2=0,"",IFERROR(IF(CURRENCY.FORMAT_2=0,CONCATENATE(TEXT(FIXED(ROUND(IF(EXC.RATE.SWITCH=1,C1317*(1-I1317)*(1-ADD.DISCOUNT)*(1+MAT.SURCHARGE)/EXC.RATE_2,C1317*(1-I1317)*(1-ADD.DISCOUNT)*(1+MAT.SURCHARGE)*EXC.RATE_2),CURRENCY.FORMAT_2),CURRENCY.FORMAT_2,1),"# ##0;-# ##0"),",-"),FIXED(ROUND(IF(EXC.RATE.SWITCH=1,C1317*(1-I1317)*(1-ADD.DISCOUNT)*(1+MAT.SURCHARGE)/EXC.RATE_2,C1317*(1-I1317)*(1-ADD.DISCOUNT)*(1+MAT.SURCHARGE)*EXC.RATE_2),CURRENCY.FORMAT_2),CURRENCY.FORMAT_2,0)),'DICTIONARY-5'!$A$2))</f>
        <v/>
      </c>
      <c r="N1317" s="539">
        <v>5</v>
      </c>
      <c r="O1317" s="539"/>
      <c r="P1317" s="731" t="str">
        <f>'DICTIONARY-3'!$A$100</f>
        <v>LIMU-STOP</v>
      </c>
      <c r="Q1317" s="732" t="str">
        <f>'DICTIONARY-3'!$A$200</f>
        <v>Zawór zwrotny</v>
      </c>
      <c r="R1317" s="732" t="str">
        <f>CONCATENATE('DICTIONARY-3'!$A$100," ",'DICTIONARY-6'!$A$20," ",'DICTIONARY-2'!$A$2,"100"," ",'DICTIONARY-2'!$A$3,"10/16"," ","R48",", ",'DICTIONARY-5'!$A$45,", ",'DICTIONARY-4'!$A$16," ",'DICTIONARY-6'!$A$70)</f>
        <v>LIMU-STOP Zaw. zwrotny DN100 PN10/16 R48, NBR, DC zabud. pionowa</v>
      </c>
      <c r="S1317" s="733" t="str">
        <f>'DICTIONARY-4'!$A$16</f>
        <v>DC</v>
      </c>
      <c r="T1317" s="732" t="str">
        <f>'DICTIONARY-4'!$A$32</f>
        <v>Dżwignia z ciężarem</v>
      </c>
      <c r="U1317" s="734" t="s">
        <v>5749</v>
      </c>
      <c r="V1317" s="735">
        <v>16</v>
      </c>
      <c r="W1317" s="736"/>
      <c r="X1317" s="737"/>
      <c r="Y1317" s="738"/>
      <c r="Z1317" s="739"/>
      <c r="AA1317" s="739"/>
      <c r="AB1317" s="740">
        <v>16</v>
      </c>
      <c r="AC1317" s="741" t="str">
        <f>'DICTIONARY-5'!$A$11&amp;" 15"</f>
        <v>EN 558 szereg 15</v>
      </c>
      <c r="AD1317" s="741" t="str">
        <f>'DICTIONARY-5'!$A$14</f>
        <v>ścieki</v>
      </c>
      <c r="AE1317" s="742">
        <v>80</v>
      </c>
      <c r="AF1317" s="743">
        <v>29.5</v>
      </c>
      <c r="AG1317" s="741" t="str">
        <f>'DICTIONARY-5'!$A$23</f>
        <v>powłoka epoksydowa</v>
      </c>
    </row>
    <row r="1318" spans="1:33" x14ac:dyDescent="0.25">
      <c r="A1318" s="861" t="s">
        <v>1327</v>
      </c>
      <c r="B1318" s="861" t="s">
        <v>4334</v>
      </c>
      <c r="C1318" s="836">
        <v>984</v>
      </c>
      <c r="D1318" s="836"/>
      <c r="E1318" s="836"/>
      <c r="F1318" s="836"/>
      <c r="G1318" s="496" t="s">
        <v>7825</v>
      </c>
      <c r="H1318" s="797" t="str">
        <f>VLOOKUP(G1318,SETTINGS!$B$7:$D$97,2,0)</f>
        <v>LIMU-STOP</v>
      </c>
      <c r="I1318" s="796">
        <f>VLOOKUP(G1318,SETTINGS!$B$7:$D$97,3,0)</f>
        <v>0</v>
      </c>
      <c r="J1318" s="670" t="str">
        <f>IFERROR(IF(CURRENCY.FORMAT_1=0,CONCATENATE(TEXT(FIXED(ROUND((C1318/EXC.RATE_1),CURRENCY.FORMAT_1),CURRENCY.FORMAT_1,1),"# ##0;-# ##0"),",-"),FIXED(ROUND((C1318/EXC.RATE_1),CURRENCY.FORMAT_1),CURRENCY.FORMAT_1,0)),'DICTIONARY-5'!$A$2)</f>
        <v>984,-</v>
      </c>
      <c r="K1318" s="670" t="str">
        <f>IF(EXC.RATE_2=0,"",IFERROR(IF(CURRENCY.FORMAT_2=0,CONCATENATE(TEXT(FIXED(ROUND(IF(EXC.RATE.SWITCH=1,C1318/EXC.RATE_2,C1318*EXC.RATE_2),CURRENCY.FORMAT_2),CURRENCY.FORMAT_2,1),"# ##0;-# ##0"),",-"),FIXED(ROUND(IF(EXC.RATE.SWITCH=1,C1318/EXC.RATE_2,C1318*EXC.RATE_2),CURRENCY.FORMAT_2),CURRENCY.FORMAT_2,0)),'DICTIONARY-5'!$A$2))</f>
        <v/>
      </c>
      <c r="L1318" s="670" t="str">
        <f>IFERROR(IF(CURRENCY.FORMAT_1=0,CONCATENATE(TEXT(FIXED(ROUND((C1318*(1-I1318)*(1-ADD.DISCOUNT)*(1+MAT.SURCHARGE)/EXC.RATE_1),CURRENCY.FORMAT_1),CURRENCY.FORMAT_1,1),"# ##0;-# ##0"),",-"),FIXED(ROUND((C1318*(1-I1318)*(1-ADD.DISCOUNT)*(1+MAT.SURCHARGE)/EXC.RATE_1),CURRENCY.FORMAT_1),CURRENCY.FORMAT_1,0)),'DICTIONARY-5'!$A$2)</f>
        <v>1 022,-</v>
      </c>
      <c r="M1318" s="670" t="str">
        <f>IF(EXC.RATE_2=0,"",IFERROR(IF(CURRENCY.FORMAT_2=0,CONCATENATE(TEXT(FIXED(ROUND(IF(EXC.RATE.SWITCH=1,C1318*(1-I1318)*(1-ADD.DISCOUNT)*(1+MAT.SURCHARGE)/EXC.RATE_2,C1318*(1-I1318)*(1-ADD.DISCOUNT)*(1+MAT.SURCHARGE)*EXC.RATE_2),CURRENCY.FORMAT_2),CURRENCY.FORMAT_2,1),"# ##0;-# ##0"),",-"),FIXED(ROUND(IF(EXC.RATE.SWITCH=1,C1318*(1-I1318)*(1-ADD.DISCOUNT)*(1+MAT.SURCHARGE)/EXC.RATE_2,C1318*(1-I1318)*(1-ADD.DISCOUNT)*(1+MAT.SURCHARGE)*EXC.RATE_2),CURRENCY.FORMAT_2),CURRENCY.FORMAT_2,0)),'DICTIONARY-5'!$A$2))</f>
        <v/>
      </c>
      <c r="N1318" s="539">
        <v>5</v>
      </c>
      <c r="O1318" s="539"/>
      <c r="P1318" s="731" t="str">
        <f>'DICTIONARY-3'!$A$100</f>
        <v>LIMU-STOP</v>
      </c>
      <c r="Q1318" s="732" t="str">
        <f>'DICTIONARY-3'!$A$200</f>
        <v>Zawór zwrotny</v>
      </c>
      <c r="R1318" s="732" t="str">
        <f>CONCATENATE('DICTIONARY-3'!$A$100," ",'DICTIONARY-6'!$A$20," ",'DICTIONARY-2'!$A$2,"125"," ",'DICTIONARY-2'!$A$3,"10/16"," ","R48",", ",'DICTIONARY-5'!$A$45,", ",'DICTIONARY-4'!$A$16," ",'DICTIONARY-6'!$A$70)</f>
        <v>LIMU-STOP Zaw. zwrotny DN125 PN10/16 R48, NBR, DC zabud. pionowa</v>
      </c>
      <c r="S1318" s="733" t="str">
        <f>'DICTIONARY-4'!$A$16</f>
        <v>DC</v>
      </c>
      <c r="T1318" s="732" t="str">
        <f>'DICTIONARY-4'!$A$32</f>
        <v>Dżwignia z ciężarem</v>
      </c>
      <c r="U1318" s="734" t="s">
        <v>5761</v>
      </c>
      <c r="V1318" s="735">
        <v>16</v>
      </c>
      <c r="W1318" s="736"/>
      <c r="X1318" s="737"/>
      <c r="Y1318" s="738"/>
      <c r="Z1318" s="739"/>
      <c r="AA1318" s="739"/>
      <c r="AB1318" s="740">
        <v>16</v>
      </c>
      <c r="AC1318" s="741" t="str">
        <f>'DICTIONARY-5'!$A$11&amp;" 48"</f>
        <v>EN 558 szereg 48</v>
      </c>
      <c r="AD1318" s="741" t="str">
        <f>'DICTIONARY-5'!$A$14</f>
        <v>ścieki</v>
      </c>
      <c r="AE1318" s="742">
        <v>80</v>
      </c>
      <c r="AF1318" s="743">
        <v>49.23</v>
      </c>
      <c r="AG1318" s="741" t="str">
        <f>'DICTIONARY-5'!$A$23</f>
        <v>powłoka epoksydowa</v>
      </c>
    </row>
    <row r="1319" spans="1:33" x14ac:dyDescent="0.25">
      <c r="A1319" s="861" t="s">
        <v>1329</v>
      </c>
      <c r="B1319" s="861" t="s">
        <v>4336</v>
      </c>
      <c r="C1319" s="836">
        <v>1224</v>
      </c>
      <c r="D1319" s="836"/>
      <c r="E1319" s="836"/>
      <c r="F1319" s="836"/>
      <c r="G1319" s="496" t="s">
        <v>7825</v>
      </c>
      <c r="H1319" s="797" t="str">
        <f>VLOOKUP(G1319,SETTINGS!$B$7:$D$97,2,0)</f>
        <v>LIMU-STOP</v>
      </c>
      <c r="I1319" s="796">
        <f>VLOOKUP(G1319,SETTINGS!$B$7:$D$97,3,0)</f>
        <v>0</v>
      </c>
      <c r="J1319" s="670" t="str">
        <f>IFERROR(IF(CURRENCY.FORMAT_1=0,CONCATENATE(TEXT(FIXED(ROUND((C1319/EXC.RATE_1),CURRENCY.FORMAT_1),CURRENCY.FORMAT_1,1),"# ##0;-# ##0"),",-"),FIXED(ROUND((C1319/EXC.RATE_1),CURRENCY.FORMAT_1),CURRENCY.FORMAT_1,0)),'DICTIONARY-5'!$A$2)</f>
        <v>1 224,-</v>
      </c>
      <c r="K1319" s="670" t="str">
        <f>IF(EXC.RATE_2=0,"",IFERROR(IF(CURRENCY.FORMAT_2=0,CONCATENATE(TEXT(FIXED(ROUND(IF(EXC.RATE.SWITCH=1,C1319/EXC.RATE_2,C1319*EXC.RATE_2),CURRENCY.FORMAT_2),CURRENCY.FORMAT_2,1),"# ##0;-# ##0"),",-"),FIXED(ROUND(IF(EXC.RATE.SWITCH=1,C1319/EXC.RATE_2,C1319*EXC.RATE_2),CURRENCY.FORMAT_2),CURRENCY.FORMAT_2,0)),'DICTIONARY-5'!$A$2))</f>
        <v/>
      </c>
      <c r="L1319" s="670" t="str">
        <f>IFERROR(IF(CURRENCY.FORMAT_1=0,CONCATENATE(TEXT(FIXED(ROUND((C1319*(1-I1319)*(1-ADD.DISCOUNT)*(1+MAT.SURCHARGE)/EXC.RATE_1),CURRENCY.FORMAT_1),CURRENCY.FORMAT_1,1),"# ##0;-# ##0"),",-"),FIXED(ROUND((C1319*(1-I1319)*(1-ADD.DISCOUNT)*(1+MAT.SURCHARGE)/EXC.RATE_1),CURRENCY.FORMAT_1),CURRENCY.FORMAT_1,0)),'DICTIONARY-5'!$A$2)</f>
        <v>1 272,-</v>
      </c>
      <c r="M1319" s="670" t="str">
        <f>IF(EXC.RATE_2=0,"",IFERROR(IF(CURRENCY.FORMAT_2=0,CONCATENATE(TEXT(FIXED(ROUND(IF(EXC.RATE.SWITCH=1,C1319*(1-I1319)*(1-ADD.DISCOUNT)*(1+MAT.SURCHARGE)/EXC.RATE_2,C1319*(1-I1319)*(1-ADD.DISCOUNT)*(1+MAT.SURCHARGE)*EXC.RATE_2),CURRENCY.FORMAT_2),CURRENCY.FORMAT_2,1),"# ##0;-# ##0"),",-"),FIXED(ROUND(IF(EXC.RATE.SWITCH=1,C1319*(1-I1319)*(1-ADD.DISCOUNT)*(1+MAT.SURCHARGE)/EXC.RATE_2,C1319*(1-I1319)*(1-ADD.DISCOUNT)*(1+MAT.SURCHARGE)*EXC.RATE_2),CURRENCY.FORMAT_2),CURRENCY.FORMAT_2,0)),'DICTIONARY-5'!$A$2))</f>
        <v/>
      </c>
      <c r="N1319" s="539">
        <v>5</v>
      </c>
      <c r="O1319" s="539"/>
      <c r="P1319" s="731" t="str">
        <f>'DICTIONARY-3'!$A$100</f>
        <v>LIMU-STOP</v>
      </c>
      <c r="Q1319" s="732" t="str">
        <f>'DICTIONARY-3'!$A$200</f>
        <v>Zawór zwrotny</v>
      </c>
      <c r="R1319" s="732" t="str">
        <f>CONCATENATE('DICTIONARY-3'!$A$100," ",'DICTIONARY-6'!$A$20," ",'DICTIONARY-2'!$A$2,"150"," ",'DICTIONARY-2'!$A$3,"10/16"," ","R48",", ",'DICTIONARY-5'!$A$45,", ",'DICTIONARY-4'!$A$16," ",'DICTIONARY-6'!$A$70)</f>
        <v>LIMU-STOP Zaw. zwrotny DN150 PN10/16 R48, NBR, DC zabud. pionowa</v>
      </c>
      <c r="S1319" s="733" t="str">
        <f>'DICTIONARY-4'!$A$16</f>
        <v>DC</v>
      </c>
      <c r="T1319" s="732" t="str">
        <f>'DICTIONARY-4'!$A$32</f>
        <v>Dżwignia z ciężarem</v>
      </c>
      <c r="U1319" s="734" t="s">
        <v>5572</v>
      </c>
      <c r="V1319" s="735">
        <v>16</v>
      </c>
      <c r="W1319" s="736"/>
      <c r="X1319" s="737"/>
      <c r="Y1319" s="738"/>
      <c r="Z1319" s="739"/>
      <c r="AA1319" s="739"/>
      <c r="AB1319" s="740">
        <v>16</v>
      </c>
      <c r="AC1319" s="741" t="str">
        <f>'DICTIONARY-5'!$A$11&amp;" 48"</f>
        <v>EN 558 szereg 48</v>
      </c>
      <c r="AD1319" s="741" t="str">
        <f>'DICTIONARY-5'!$A$14</f>
        <v>ścieki</v>
      </c>
      <c r="AE1319" s="742">
        <v>80</v>
      </c>
      <c r="AF1319" s="743">
        <v>60.5</v>
      </c>
      <c r="AG1319" s="741" t="str">
        <f>'DICTIONARY-5'!$A$23</f>
        <v>powłoka epoksydowa</v>
      </c>
    </row>
    <row r="1320" spans="1:33" x14ac:dyDescent="0.25">
      <c r="A1320" s="861" t="s">
        <v>1331</v>
      </c>
      <c r="B1320" s="861" t="s">
        <v>4344</v>
      </c>
      <c r="C1320" s="836">
        <v>1745</v>
      </c>
      <c r="D1320" s="836"/>
      <c r="E1320" s="836"/>
      <c r="F1320" s="836"/>
      <c r="G1320" s="496" t="s">
        <v>7825</v>
      </c>
      <c r="H1320" s="797" t="str">
        <f>VLOOKUP(G1320,SETTINGS!$B$7:$D$97,2,0)</f>
        <v>LIMU-STOP</v>
      </c>
      <c r="I1320" s="796">
        <f>VLOOKUP(G1320,SETTINGS!$B$7:$D$97,3,0)</f>
        <v>0</v>
      </c>
      <c r="J1320" s="670" t="str">
        <f>IFERROR(IF(CURRENCY.FORMAT_1=0,CONCATENATE(TEXT(FIXED(ROUND((C1320/EXC.RATE_1),CURRENCY.FORMAT_1),CURRENCY.FORMAT_1,1),"# ##0;-# ##0"),",-"),FIXED(ROUND((C1320/EXC.RATE_1),CURRENCY.FORMAT_1),CURRENCY.FORMAT_1,0)),'DICTIONARY-5'!$A$2)</f>
        <v>1 745,-</v>
      </c>
      <c r="K1320" s="670" t="str">
        <f>IF(EXC.RATE_2=0,"",IFERROR(IF(CURRENCY.FORMAT_2=0,CONCATENATE(TEXT(FIXED(ROUND(IF(EXC.RATE.SWITCH=1,C1320/EXC.RATE_2,C1320*EXC.RATE_2),CURRENCY.FORMAT_2),CURRENCY.FORMAT_2,1),"# ##0;-# ##0"),",-"),FIXED(ROUND(IF(EXC.RATE.SWITCH=1,C1320/EXC.RATE_2,C1320*EXC.RATE_2),CURRENCY.FORMAT_2),CURRENCY.FORMAT_2,0)),'DICTIONARY-5'!$A$2))</f>
        <v/>
      </c>
      <c r="L1320" s="670" t="str">
        <f>IFERROR(IF(CURRENCY.FORMAT_1=0,CONCATENATE(TEXT(FIXED(ROUND((C1320*(1-I1320)*(1-ADD.DISCOUNT)*(1+MAT.SURCHARGE)/EXC.RATE_1),CURRENCY.FORMAT_1),CURRENCY.FORMAT_1,1),"# ##0;-# ##0"),",-"),FIXED(ROUND((C1320*(1-I1320)*(1-ADD.DISCOUNT)*(1+MAT.SURCHARGE)/EXC.RATE_1),CURRENCY.FORMAT_1),CURRENCY.FORMAT_1,0)),'DICTIONARY-5'!$A$2)</f>
        <v>1 813,-</v>
      </c>
      <c r="M1320" s="670" t="str">
        <f>IF(EXC.RATE_2=0,"",IFERROR(IF(CURRENCY.FORMAT_2=0,CONCATENATE(TEXT(FIXED(ROUND(IF(EXC.RATE.SWITCH=1,C1320*(1-I1320)*(1-ADD.DISCOUNT)*(1+MAT.SURCHARGE)/EXC.RATE_2,C1320*(1-I1320)*(1-ADD.DISCOUNT)*(1+MAT.SURCHARGE)*EXC.RATE_2),CURRENCY.FORMAT_2),CURRENCY.FORMAT_2,1),"# ##0;-# ##0"),",-"),FIXED(ROUND(IF(EXC.RATE.SWITCH=1,C1320*(1-I1320)*(1-ADD.DISCOUNT)*(1+MAT.SURCHARGE)/EXC.RATE_2,C1320*(1-I1320)*(1-ADD.DISCOUNT)*(1+MAT.SURCHARGE)*EXC.RATE_2),CURRENCY.FORMAT_2),CURRENCY.FORMAT_2,0)),'DICTIONARY-5'!$A$2))</f>
        <v/>
      </c>
      <c r="N1320" s="539">
        <v>5</v>
      </c>
      <c r="O1320" s="539"/>
      <c r="P1320" s="731" t="str">
        <f>'DICTIONARY-3'!$A$100</f>
        <v>LIMU-STOP</v>
      </c>
      <c r="Q1320" s="732" t="str">
        <f>'DICTIONARY-3'!$A$200</f>
        <v>Zawór zwrotny</v>
      </c>
      <c r="R1320" s="732" t="str">
        <f>CONCATENATE('DICTIONARY-3'!$A$100," ",'DICTIONARY-6'!$A$20," ",'DICTIONARY-2'!$A$2,"200"," ",'DICTIONARY-2'!$A$3,"10"," ","R48",", ",'DICTIONARY-5'!$A$45,", ",'DICTIONARY-4'!$A$16," ",'DICTIONARY-6'!$A$70)</f>
        <v>LIMU-STOP Zaw. zwrotny DN200 PN10 R48, NBR, DC zabud. pionowa</v>
      </c>
      <c r="S1320" s="733" t="str">
        <f>'DICTIONARY-4'!$A$16</f>
        <v>DC</v>
      </c>
      <c r="T1320" s="732" t="str">
        <f>'DICTIONARY-4'!$A$32</f>
        <v>Dżwignia z ciężarem</v>
      </c>
      <c r="U1320" s="734" t="s">
        <v>5750</v>
      </c>
      <c r="V1320" s="735">
        <v>10</v>
      </c>
      <c r="W1320" s="736"/>
      <c r="X1320" s="737"/>
      <c r="Y1320" s="738"/>
      <c r="Z1320" s="739"/>
      <c r="AA1320" s="739"/>
      <c r="AB1320" s="740">
        <v>10</v>
      </c>
      <c r="AC1320" s="741" t="str">
        <f>'DICTIONARY-5'!$A$11&amp;" 48"</f>
        <v>EN 558 szereg 48</v>
      </c>
      <c r="AD1320" s="741" t="str">
        <f>'DICTIONARY-5'!$A$14</f>
        <v>ścieki</v>
      </c>
      <c r="AE1320" s="742">
        <v>80</v>
      </c>
      <c r="AF1320" s="743">
        <v>113.5</v>
      </c>
      <c r="AG1320" s="741" t="str">
        <f>'DICTIONARY-5'!$A$23</f>
        <v>powłoka epoksydowa</v>
      </c>
    </row>
    <row r="1321" spans="1:33" x14ac:dyDescent="0.25">
      <c r="A1321" s="861" t="s">
        <v>1333</v>
      </c>
      <c r="B1321" s="861" t="s">
        <v>4338</v>
      </c>
      <c r="C1321" s="836">
        <v>1744</v>
      </c>
      <c r="D1321" s="836"/>
      <c r="E1321" s="836"/>
      <c r="F1321" s="836"/>
      <c r="G1321" s="496" t="s">
        <v>7825</v>
      </c>
      <c r="H1321" s="797" t="str">
        <f>VLOOKUP(G1321,SETTINGS!$B$7:$D$97,2,0)</f>
        <v>LIMU-STOP</v>
      </c>
      <c r="I1321" s="796">
        <f>VLOOKUP(G1321,SETTINGS!$B$7:$D$97,3,0)</f>
        <v>0</v>
      </c>
      <c r="J1321" s="670" t="str">
        <f>IFERROR(IF(CURRENCY.FORMAT_1=0,CONCATENATE(TEXT(FIXED(ROUND((C1321/EXC.RATE_1),CURRENCY.FORMAT_1),CURRENCY.FORMAT_1,1),"# ##0;-# ##0"),",-"),FIXED(ROUND((C1321/EXC.RATE_1),CURRENCY.FORMAT_1),CURRENCY.FORMAT_1,0)),'DICTIONARY-5'!$A$2)</f>
        <v>1 744,-</v>
      </c>
      <c r="K1321" s="670" t="str">
        <f>IF(EXC.RATE_2=0,"",IFERROR(IF(CURRENCY.FORMAT_2=0,CONCATENATE(TEXT(FIXED(ROUND(IF(EXC.RATE.SWITCH=1,C1321/EXC.RATE_2,C1321*EXC.RATE_2),CURRENCY.FORMAT_2),CURRENCY.FORMAT_2,1),"# ##0;-# ##0"),",-"),FIXED(ROUND(IF(EXC.RATE.SWITCH=1,C1321/EXC.RATE_2,C1321*EXC.RATE_2),CURRENCY.FORMAT_2),CURRENCY.FORMAT_2,0)),'DICTIONARY-5'!$A$2))</f>
        <v/>
      </c>
      <c r="L1321" s="670" t="str">
        <f>IFERROR(IF(CURRENCY.FORMAT_1=0,CONCATENATE(TEXT(FIXED(ROUND((C1321*(1-I1321)*(1-ADD.DISCOUNT)*(1+MAT.SURCHARGE)/EXC.RATE_1),CURRENCY.FORMAT_1),CURRENCY.FORMAT_1,1),"# ##0;-# ##0"),",-"),FIXED(ROUND((C1321*(1-I1321)*(1-ADD.DISCOUNT)*(1+MAT.SURCHARGE)/EXC.RATE_1),CURRENCY.FORMAT_1),CURRENCY.FORMAT_1,0)),'DICTIONARY-5'!$A$2)</f>
        <v>1 812,-</v>
      </c>
      <c r="M1321" s="670" t="str">
        <f>IF(EXC.RATE_2=0,"",IFERROR(IF(CURRENCY.FORMAT_2=0,CONCATENATE(TEXT(FIXED(ROUND(IF(EXC.RATE.SWITCH=1,C1321*(1-I1321)*(1-ADD.DISCOUNT)*(1+MAT.SURCHARGE)/EXC.RATE_2,C1321*(1-I1321)*(1-ADD.DISCOUNT)*(1+MAT.SURCHARGE)*EXC.RATE_2),CURRENCY.FORMAT_2),CURRENCY.FORMAT_2,1),"# ##0;-# ##0"),",-"),FIXED(ROUND(IF(EXC.RATE.SWITCH=1,C1321*(1-I1321)*(1-ADD.DISCOUNT)*(1+MAT.SURCHARGE)/EXC.RATE_2,C1321*(1-I1321)*(1-ADD.DISCOUNT)*(1+MAT.SURCHARGE)*EXC.RATE_2),CURRENCY.FORMAT_2),CURRENCY.FORMAT_2,0)),'DICTIONARY-5'!$A$2))</f>
        <v/>
      </c>
      <c r="N1321" s="539">
        <v>5</v>
      </c>
      <c r="O1321" s="539"/>
      <c r="P1321" s="731" t="str">
        <f>'DICTIONARY-3'!$A$100</f>
        <v>LIMU-STOP</v>
      </c>
      <c r="Q1321" s="732" t="str">
        <f>'DICTIONARY-3'!$A$200</f>
        <v>Zawór zwrotny</v>
      </c>
      <c r="R1321" s="732" t="str">
        <f>CONCATENATE('DICTIONARY-3'!$A$100," ",'DICTIONARY-6'!$A$20," ",'DICTIONARY-2'!$A$2,"200"," ",'DICTIONARY-2'!$A$3,"16"," ","R48",", ",'DICTIONARY-5'!$A$45,", ",'DICTIONARY-4'!$A$16," ",'DICTIONARY-6'!$A$70)</f>
        <v>LIMU-STOP Zaw. zwrotny DN200 PN16 R48, NBR, DC zabud. pionowa</v>
      </c>
      <c r="S1321" s="733" t="str">
        <f>'DICTIONARY-4'!$A$16</f>
        <v>DC</v>
      </c>
      <c r="T1321" s="732" t="str">
        <f>'DICTIONARY-4'!$A$32</f>
        <v>Dżwignia z ciężarem</v>
      </c>
      <c r="U1321" s="734" t="s">
        <v>5750</v>
      </c>
      <c r="V1321" s="735">
        <v>16</v>
      </c>
      <c r="W1321" s="736"/>
      <c r="X1321" s="737"/>
      <c r="Y1321" s="738"/>
      <c r="Z1321" s="739"/>
      <c r="AA1321" s="739"/>
      <c r="AB1321" s="740">
        <v>16</v>
      </c>
      <c r="AC1321" s="741" t="str">
        <f>'DICTIONARY-5'!$A$11&amp;" 48"</f>
        <v>EN 558 szereg 48</v>
      </c>
      <c r="AD1321" s="741" t="str">
        <f>'DICTIONARY-5'!$A$14</f>
        <v>ścieki</v>
      </c>
      <c r="AE1321" s="742">
        <v>80</v>
      </c>
      <c r="AF1321" s="743">
        <v>110.5</v>
      </c>
      <c r="AG1321" s="741" t="str">
        <f>'DICTIONARY-5'!$A$23</f>
        <v>powłoka epoksydowa</v>
      </c>
    </row>
    <row r="1322" spans="1:33" x14ac:dyDescent="0.25">
      <c r="A1322" s="861" t="s">
        <v>1335</v>
      </c>
      <c r="B1322" s="861" t="s">
        <v>4346</v>
      </c>
      <c r="C1322" s="836">
        <v>3075</v>
      </c>
      <c r="D1322" s="836"/>
      <c r="E1322" s="836"/>
      <c r="F1322" s="836"/>
      <c r="G1322" s="496" t="s">
        <v>7825</v>
      </c>
      <c r="H1322" s="797" t="str">
        <f>VLOOKUP(G1322,SETTINGS!$B$7:$D$97,2,0)</f>
        <v>LIMU-STOP</v>
      </c>
      <c r="I1322" s="796">
        <f>VLOOKUP(G1322,SETTINGS!$B$7:$D$97,3,0)</f>
        <v>0</v>
      </c>
      <c r="J1322" s="670" t="str">
        <f>IFERROR(IF(CURRENCY.FORMAT_1=0,CONCATENATE(TEXT(FIXED(ROUND((C1322/EXC.RATE_1),CURRENCY.FORMAT_1),CURRENCY.FORMAT_1,1),"# ##0;-# ##0"),",-"),FIXED(ROUND((C1322/EXC.RATE_1),CURRENCY.FORMAT_1),CURRENCY.FORMAT_1,0)),'DICTIONARY-5'!$A$2)</f>
        <v>3 075,-</v>
      </c>
      <c r="K1322" s="670" t="str">
        <f>IF(EXC.RATE_2=0,"",IFERROR(IF(CURRENCY.FORMAT_2=0,CONCATENATE(TEXT(FIXED(ROUND(IF(EXC.RATE.SWITCH=1,C1322/EXC.RATE_2,C1322*EXC.RATE_2),CURRENCY.FORMAT_2),CURRENCY.FORMAT_2,1),"# ##0;-# ##0"),",-"),FIXED(ROUND(IF(EXC.RATE.SWITCH=1,C1322/EXC.RATE_2,C1322*EXC.RATE_2),CURRENCY.FORMAT_2),CURRENCY.FORMAT_2,0)),'DICTIONARY-5'!$A$2))</f>
        <v/>
      </c>
      <c r="L1322" s="670" t="str">
        <f>IFERROR(IF(CURRENCY.FORMAT_1=0,CONCATENATE(TEXT(FIXED(ROUND((C1322*(1-I1322)*(1-ADD.DISCOUNT)*(1+MAT.SURCHARGE)/EXC.RATE_1),CURRENCY.FORMAT_1),CURRENCY.FORMAT_1,1),"# ##0;-# ##0"),",-"),FIXED(ROUND((C1322*(1-I1322)*(1-ADD.DISCOUNT)*(1+MAT.SURCHARGE)/EXC.RATE_1),CURRENCY.FORMAT_1),CURRENCY.FORMAT_1,0)),'DICTIONARY-5'!$A$2)</f>
        <v>3 195,-</v>
      </c>
      <c r="M1322" s="670" t="str">
        <f>IF(EXC.RATE_2=0,"",IFERROR(IF(CURRENCY.FORMAT_2=0,CONCATENATE(TEXT(FIXED(ROUND(IF(EXC.RATE.SWITCH=1,C1322*(1-I1322)*(1-ADD.DISCOUNT)*(1+MAT.SURCHARGE)/EXC.RATE_2,C1322*(1-I1322)*(1-ADD.DISCOUNT)*(1+MAT.SURCHARGE)*EXC.RATE_2),CURRENCY.FORMAT_2),CURRENCY.FORMAT_2,1),"# ##0;-# ##0"),",-"),FIXED(ROUND(IF(EXC.RATE.SWITCH=1,C1322*(1-I1322)*(1-ADD.DISCOUNT)*(1+MAT.SURCHARGE)/EXC.RATE_2,C1322*(1-I1322)*(1-ADD.DISCOUNT)*(1+MAT.SURCHARGE)*EXC.RATE_2),CURRENCY.FORMAT_2),CURRENCY.FORMAT_2,0)),'DICTIONARY-5'!$A$2))</f>
        <v/>
      </c>
      <c r="N1322" s="539">
        <v>5</v>
      </c>
      <c r="O1322" s="539"/>
      <c r="P1322" s="731" t="str">
        <f>'DICTIONARY-3'!$A$100</f>
        <v>LIMU-STOP</v>
      </c>
      <c r="Q1322" s="732" t="str">
        <f>'DICTIONARY-3'!$A$200</f>
        <v>Zawór zwrotny</v>
      </c>
      <c r="R1322" s="732" t="str">
        <f>CONCATENATE('DICTIONARY-3'!$A$100," ",'DICTIONARY-6'!$A$20," ",'DICTIONARY-2'!$A$2,"250"," ",'DICTIONARY-2'!$A$3,"10"," ","R48",", ",'DICTIONARY-5'!$A$45,", ",'DICTIONARY-4'!$A$16," ",'DICTIONARY-6'!$A$70)</f>
        <v>LIMU-STOP Zaw. zwrotny DN250 PN10 R48, NBR, DC zabud. pionowa</v>
      </c>
      <c r="S1322" s="733" t="str">
        <f>'DICTIONARY-4'!$A$16</f>
        <v>DC</v>
      </c>
      <c r="T1322" s="732" t="str">
        <f>'DICTIONARY-4'!$A$32</f>
        <v>Dżwignia z ciężarem</v>
      </c>
      <c r="U1322" s="734" t="s">
        <v>5751</v>
      </c>
      <c r="V1322" s="735">
        <v>10</v>
      </c>
      <c r="W1322" s="736"/>
      <c r="X1322" s="737"/>
      <c r="Y1322" s="738"/>
      <c r="Z1322" s="739"/>
      <c r="AA1322" s="739"/>
      <c r="AB1322" s="740">
        <v>10</v>
      </c>
      <c r="AC1322" s="741" t="str">
        <f>'DICTIONARY-5'!$A$11&amp;" 48"</f>
        <v>EN 558 szereg 48</v>
      </c>
      <c r="AD1322" s="741" t="str">
        <f>'DICTIONARY-5'!$A$14</f>
        <v>ścieki</v>
      </c>
      <c r="AE1322" s="742">
        <v>80</v>
      </c>
      <c r="AF1322" s="743">
        <v>179.5</v>
      </c>
      <c r="AG1322" s="741" t="str">
        <f>'DICTIONARY-5'!$A$23</f>
        <v>powłoka epoksydowa</v>
      </c>
    </row>
    <row r="1323" spans="1:33" x14ac:dyDescent="0.25">
      <c r="A1323" s="861" t="s">
        <v>1337</v>
      </c>
      <c r="B1323" s="861" t="s">
        <v>4340</v>
      </c>
      <c r="C1323" s="836">
        <v>3075</v>
      </c>
      <c r="D1323" s="836"/>
      <c r="E1323" s="836"/>
      <c r="F1323" s="836"/>
      <c r="G1323" s="496" t="s">
        <v>7825</v>
      </c>
      <c r="H1323" s="797" t="str">
        <f>VLOOKUP(G1323,SETTINGS!$B$7:$D$97,2,0)</f>
        <v>LIMU-STOP</v>
      </c>
      <c r="I1323" s="796">
        <f>VLOOKUP(G1323,SETTINGS!$B$7:$D$97,3,0)</f>
        <v>0</v>
      </c>
      <c r="J1323" s="670" t="str">
        <f>IFERROR(IF(CURRENCY.FORMAT_1=0,CONCATENATE(TEXT(FIXED(ROUND((C1323/EXC.RATE_1),CURRENCY.FORMAT_1),CURRENCY.FORMAT_1,1),"# ##0;-# ##0"),",-"),FIXED(ROUND((C1323/EXC.RATE_1),CURRENCY.FORMAT_1),CURRENCY.FORMAT_1,0)),'DICTIONARY-5'!$A$2)</f>
        <v>3 075,-</v>
      </c>
      <c r="K1323" s="670" t="str">
        <f>IF(EXC.RATE_2=0,"",IFERROR(IF(CURRENCY.FORMAT_2=0,CONCATENATE(TEXT(FIXED(ROUND(IF(EXC.RATE.SWITCH=1,C1323/EXC.RATE_2,C1323*EXC.RATE_2),CURRENCY.FORMAT_2),CURRENCY.FORMAT_2,1),"# ##0;-# ##0"),",-"),FIXED(ROUND(IF(EXC.RATE.SWITCH=1,C1323/EXC.RATE_2,C1323*EXC.RATE_2),CURRENCY.FORMAT_2),CURRENCY.FORMAT_2,0)),'DICTIONARY-5'!$A$2))</f>
        <v/>
      </c>
      <c r="L1323" s="670" t="str">
        <f>IFERROR(IF(CURRENCY.FORMAT_1=0,CONCATENATE(TEXT(FIXED(ROUND((C1323*(1-I1323)*(1-ADD.DISCOUNT)*(1+MAT.SURCHARGE)/EXC.RATE_1),CURRENCY.FORMAT_1),CURRENCY.FORMAT_1,1),"# ##0;-# ##0"),",-"),FIXED(ROUND((C1323*(1-I1323)*(1-ADD.DISCOUNT)*(1+MAT.SURCHARGE)/EXC.RATE_1),CURRENCY.FORMAT_1),CURRENCY.FORMAT_1,0)),'DICTIONARY-5'!$A$2)</f>
        <v>3 195,-</v>
      </c>
      <c r="M1323" s="670" t="str">
        <f>IF(EXC.RATE_2=0,"",IFERROR(IF(CURRENCY.FORMAT_2=0,CONCATENATE(TEXT(FIXED(ROUND(IF(EXC.RATE.SWITCH=1,C1323*(1-I1323)*(1-ADD.DISCOUNT)*(1+MAT.SURCHARGE)/EXC.RATE_2,C1323*(1-I1323)*(1-ADD.DISCOUNT)*(1+MAT.SURCHARGE)*EXC.RATE_2),CURRENCY.FORMAT_2),CURRENCY.FORMAT_2,1),"# ##0;-# ##0"),",-"),FIXED(ROUND(IF(EXC.RATE.SWITCH=1,C1323*(1-I1323)*(1-ADD.DISCOUNT)*(1+MAT.SURCHARGE)/EXC.RATE_2,C1323*(1-I1323)*(1-ADD.DISCOUNT)*(1+MAT.SURCHARGE)*EXC.RATE_2),CURRENCY.FORMAT_2),CURRENCY.FORMAT_2,0)),'DICTIONARY-5'!$A$2))</f>
        <v/>
      </c>
      <c r="N1323" s="539">
        <v>5</v>
      </c>
      <c r="O1323" s="539"/>
      <c r="P1323" s="731" t="str">
        <f>'DICTIONARY-3'!$A$100</f>
        <v>LIMU-STOP</v>
      </c>
      <c r="Q1323" s="732" t="str">
        <f>'DICTIONARY-3'!$A$200</f>
        <v>Zawór zwrotny</v>
      </c>
      <c r="R1323" s="732" t="str">
        <f>CONCATENATE('DICTIONARY-3'!$A$100," ",'DICTIONARY-6'!$A$20," ",'DICTIONARY-2'!$A$2,"250"," ",'DICTIONARY-2'!$A$3,"16"," ","R48",", ",'DICTIONARY-5'!$A$45,", ",'DICTIONARY-4'!$A$16," ",'DICTIONARY-6'!$A$70)</f>
        <v>LIMU-STOP Zaw. zwrotny DN250 PN16 R48, NBR, DC zabud. pionowa</v>
      </c>
      <c r="S1323" s="733" t="str">
        <f>'DICTIONARY-4'!$A$16</f>
        <v>DC</v>
      </c>
      <c r="T1323" s="732" t="str">
        <f>'DICTIONARY-4'!$A$32</f>
        <v>Dżwignia z ciężarem</v>
      </c>
      <c r="U1323" s="734" t="s">
        <v>5751</v>
      </c>
      <c r="V1323" s="735">
        <v>16</v>
      </c>
      <c r="W1323" s="736"/>
      <c r="X1323" s="737"/>
      <c r="Y1323" s="738"/>
      <c r="Z1323" s="739"/>
      <c r="AA1323" s="739"/>
      <c r="AB1323" s="740">
        <v>16</v>
      </c>
      <c r="AC1323" s="741" t="str">
        <f>'DICTIONARY-5'!$A$11&amp;" 48"</f>
        <v>EN 558 szereg 48</v>
      </c>
      <c r="AD1323" s="741" t="str">
        <f>'DICTIONARY-5'!$A$14</f>
        <v>ścieki</v>
      </c>
      <c r="AE1323" s="742">
        <v>80</v>
      </c>
      <c r="AF1323" s="743">
        <v>178.58</v>
      </c>
      <c r="AG1323" s="741" t="str">
        <f>'DICTIONARY-5'!$A$23</f>
        <v>powłoka epoksydowa</v>
      </c>
    </row>
    <row r="1324" spans="1:33" x14ac:dyDescent="0.25">
      <c r="A1324" s="861" t="s">
        <v>1339</v>
      </c>
      <c r="B1324" s="861" t="s">
        <v>4348</v>
      </c>
      <c r="C1324" s="836">
        <v>4184</v>
      </c>
      <c r="D1324" s="836"/>
      <c r="E1324" s="836"/>
      <c r="F1324" s="836"/>
      <c r="G1324" s="496" t="s">
        <v>7825</v>
      </c>
      <c r="H1324" s="797" t="str">
        <f>VLOOKUP(G1324,SETTINGS!$B$7:$D$97,2,0)</f>
        <v>LIMU-STOP</v>
      </c>
      <c r="I1324" s="796">
        <f>VLOOKUP(G1324,SETTINGS!$B$7:$D$97,3,0)</f>
        <v>0</v>
      </c>
      <c r="J1324" s="670" t="str">
        <f>IFERROR(IF(CURRENCY.FORMAT_1=0,CONCATENATE(TEXT(FIXED(ROUND((C1324/EXC.RATE_1),CURRENCY.FORMAT_1),CURRENCY.FORMAT_1,1),"# ##0;-# ##0"),",-"),FIXED(ROUND((C1324/EXC.RATE_1),CURRENCY.FORMAT_1),CURRENCY.FORMAT_1,0)),'DICTIONARY-5'!$A$2)</f>
        <v>4 184,-</v>
      </c>
      <c r="K1324" s="670" t="str">
        <f>IF(EXC.RATE_2=0,"",IFERROR(IF(CURRENCY.FORMAT_2=0,CONCATENATE(TEXT(FIXED(ROUND(IF(EXC.RATE.SWITCH=1,C1324/EXC.RATE_2,C1324*EXC.RATE_2),CURRENCY.FORMAT_2),CURRENCY.FORMAT_2,1),"# ##0;-# ##0"),",-"),FIXED(ROUND(IF(EXC.RATE.SWITCH=1,C1324/EXC.RATE_2,C1324*EXC.RATE_2),CURRENCY.FORMAT_2),CURRENCY.FORMAT_2,0)),'DICTIONARY-5'!$A$2))</f>
        <v/>
      </c>
      <c r="L1324" s="670" t="str">
        <f>IFERROR(IF(CURRENCY.FORMAT_1=0,CONCATENATE(TEXT(FIXED(ROUND((C1324*(1-I1324)*(1-ADD.DISCOUNT)*(1+MAT.SURCHARGE)/EXC.RATE_1),CURRENCY.FORMAT_1),CURRENCY.FORMAT_1,1),"# ##0;-# ##0"),",-"),FIXED(ROUND((C1324*(1-I1324)*(1-ADD.DISCOUNT)*(1+MAT.SURCHARGE)/EXC.RATE_1),CURRENCY.FORMAT_1),CURRENCY.FORMAT_1,0)),'DICTIONARY-5'!$A$2)</f>
        <v>4 347,-</v>
      </c>
      <c r="M1324" s="670" t="str">
        <f>IF(EXC.RATE_2=0,"",IFERROR(IF(CURRENCY.FORMAT_2=0,CONCATENATE(TEXT(FIXED(ROUND(IF(EXC.RATE.SWITCH=1,C1324*(1-I1324)*(1-ADD.DISCOUNT)*(1+MAT.SURCHARGE)/EXC.RATE_2,C1324*(1-I1324)*(1-ADD.DISCOUNT)*(1+MAT.SURCHARGE)*EXC.RATE_2),CURRENCY.FORMAT_2),CURRENCY.FORMAT_2,1),"# ##0;-# ##0"),",-"),FIXED(ROUND(IF(EXC.RATE.SWITCH=1,C1324*(1-I1324)*(1-ADD.DISCOUNT)*(1+MAT.SURCHARGE)/EXC.RATE_2,C1324*(1-I1324)*(1-ADD.DISCOUNT)*(1+MAT.SURCHARGE)*EXC.RATE_2),CURRENCY.FORMAT_2),CURRENCY.FORMAT_2,0)),'DICTIONARY-5'!$A$2))</f>
        <v/>
      </c>
      <c r="N1324" s="539">
        <v>5</v>
      </c>
      <c r="O1324" s="539"/>
      <c r="P1324" s="731" t="str">
        <f>'DICTIONARY-3'!$A$100</f>
        <v>LIMU-STOP</v>
      </c>
      <c r="Q1324" s="732" t="str">
        <f>'DICTIONARY-3'!$A$200</f>
        <v>Zawór zwrotny</v>
      </c>
      <c r="R1324" s="732" t="str">
        <f>CONCATENATE('DICTIONARY-3'!$A$100," ",'DICTIONARY-6'!$A$20," ",'DICTIONARY-2'!$A$2,"300"," ",'DICTIONARY-2'!$A$3,"10"," ","R48",", ",'DICTIONARY-5'!$A$45,", ",'DICTIONARY-4'!$A$16," ",'DICTIONARY-6'!$A$70)</f>
        <v>LIMU-STOP Zaw. zwrotny DN300 PN10 R48, NBR, DC zabud. pionowa</v>
      </c>
      <c r="S1324" s="733" t="str">
        <f>'DICTIONARY-4'!$A$16</f>
        <v>DC</v>
      </c>
      <c r="T1324" s="732" t="str">
        <f>'DICTIONARY-4'!$A$32</f>
        <v>Dżwignia z ciężarem</v>
      </c>
      <c r="U1324" s="734" t="s">
        <v>5752</v>
      </c>
      <c r="V1324" s="735">
        <v>10</v>
      </c>
      <c r="W1324" s="736"/>
      <c r="X1324" s="737"/>
      <c r="Y1324" s="738"/>
      <c r="Z1324" s="739"/>
      <c r="AA1324" s="739"/>
      <c r="AB1324" s="740">
        <v>10</v>
      </c>
      <c r="AC1324" s="741" t="str">
        <f>'DICTIONARY-5'!$A$11&amp;" 48"</f>
        <v>EN 558 szereg 48</v>
      </c>
      <c r="AD1324" s="741" t="str">
        <f>'DICTIONARY-5'!$A$14</f>
        <v>ścieki</v>
      </c>
      <c r="AE1324" s="742">
        <v>80</v>
      </c>
      <c r="AF1324" s="743">
        <v>244</v>
      </c>
      <c r="AG1324" s="741" t="str">
        <f>'DICTIONARY-5'!$A$23</f>
        <v>powłoka epoksydowa</v>
      </c>
    </row>
    <row r="1325" spans="1:33" x14ac:dyDescent="0.25">
      <c r="A1325" s="861" t="s">
        <v>1341</v>
      </c>
      <c r="B1325" s="861" t="s">
        <v>4342</v>
      </c>
      <c r="C1325" s="836">
        <v>4184</v>
      </c>
      <c r="D1325" s="836"/>
      <c r="E1325" s="836"/>
      <c r="F1325" s="836"/>
      <c r="G1325" s="496" t="s">
        <v>7825</v>
      </c>
      <c r="H1325" s="797" t="str">
        <f>VLOOKUP(G1325,SETTINGS!$B$7:$D$97,2,0)</f>
        <v>LIMU-STOP</v>
      </c>
      <c r="I1325" s="796">
        <f>VLOOKUP(G1325,SETTINGS!$B$7:$D$97,3,0)</f>
        <v>0</v>
      </c>
      <c r="J1325" s="670" t="str">
        <f>IFERROR(IF(CURRENCY.FORMAT_1=0,CONCATENATE(TEXT(FIXED(ROUND((C1325/EXC.RATE_1),CURRENCY.FORMAT_1),CURRENCY.FORMAT_1,1),"# ##0;-# ##0"),",-"),FIXED(ROUND((C1325/EXC.RATE_1),CURRENCY.FORMAT_1),CURRENCY.FORMAT_1,0)),'DICTIONARY-5'!$A$2)</f>
        <v>4 184,-</v>
      </c>
      <c r="K1325" s="670" t="str">
        <f>IF(EXC.RATE_2=0,"",IFERROR(IF(CURRENCY.FORMAT_2=0,CONCATENATE(TEXT(FIXED(ROUND(IF(EXC.RATE.SWITCH=1,C1325/EXC.RATE_2,C1325*EXC.RATE_2),CURRENCY.FORMAT_2),CURRENCY.FORMAT_2,1),"# ##0;-# ##0"),",-"),FIXED(ROUND(IF(EXC.RATE.SWITCH=1,C1325/EXC.RATE_2,C1325*EXC.RATE_2),CURRENCY.FORMAT_2),CURRENCY.FORMAT_2,0)),'DICTIONARY-5'!$A$2))</f>
        <v/>
      </c>
      <c r="L1325" s="670" t="str">
        <f>IFERROR(IF(CURRENCY.FORMAT_1=0,CONCATENATE(TEXT(FIXED(ROUND((C1325*(1-I1325)*(1-ADD.DISCOUNT)*(1+MAT.SURCHARGE)/EXC.RATE_1),CURRENCY.FORMAT_1),CURRENCY.FORMAT_1,1),"# ##0;-# ##0"),",-"),FIXED(ROUND((C1325*(1-I1325)*(1-ADD.DISCOUNT)*(1+MAT.SURCHARGE)/EXC.RATE_1),CURRENCY.FORMAT_1),CURRENCY.FORMAT_1,0)),'DICTIONARY-5'!$A$2)</f>
        <v>4 347,-</v>
      </c>
      <c r="M1325" s="670" t="str">
        <f>IF(EXC.RATE_2=0,"",IFERROR(IF(CURRENCY.FORMAT_2=0,CONCATENATE(TEXT(FIXED(ROUND(IF(EXC.RATE.SWITCH=1,C1325*(1-I1325)*(1-ADD.DISCOUNT)*(1+MAT.SURCHARGE)/EXC.RATE_2,C1325*(1-I1325)*(1-ADD.DISCOUNT)*(1+MAT.SURCHARGE)*EXC.RATE_2),CURRENCY.FORMAT_2),CURRENCY.FORMAT_2,1),"# ##0;-# ##0"),",-"),FIXED(ROUND(IF(EXC.RATE.SWITCH=1,C1325*(1-I1325)*(1-ADD.DISCOUNT)*(1+MAT.SURCHARGE)/EXC.RATE_2,C1325*(1-I1325)*(1-ADD.DISCOUNT)*(1+MAT.SURCHARGE)*EXC.RATE_2),CURRENCY.FORMAT_2),CURRENCY.FORMAT_2,0)),'DICTIONARY-5'!$A$2))</f>
        <v/>
      </c>
      <c r="N1325" s="539">
        <v>5</v>
      </c>
      <c r="O1325" s="539"/>
      <c r="P1325" s="731" t="str">
        <f>'DICTIONARY-3'!$A$100</f>
        <v>LIMU-STOP</v>
      </c>
      <c r="Q1325" s="732" t="str">
        <f>'DICTIONARY-3'!$A$200</f>
        <v>Zawór zwrotny</v>
      </c>
      <c r="R1325" s="732" t="str">
        <f>CONCATENATE('DICTIONARY-3'!$A$100," ",'DICTIONARY-6'!$A$20," ",'DICTIONARY-2'!$A$2,"300"," ",'DICTIONARY-2'!$A$3,"16"," ","R48",", ",'DICTIONARY-5'!$A$45,", ",'DICTIONARY-4'!$A$16," ",'DICTIONARY-6'!$A$70)</f>
        <v>LIMU-STOP Zaw. zwrotny DN300 PN16 R48, NBR, DC zabud. pionowa</v>
      </c>
      <c r="S1325" s="733" t="str">
        <f>'DICTIONARY-4'!$A$16</f>
        <v>DC</v>
      </c>
      <c r="T1325" s="732" t="str">
        <f>'DICTIONARY-4'!$A$32</f>
        <v>Dżwignia z ciężarem</v>
      </c>
      <c r="U1325" s="734" t="s">
        <v>5752</v>
      </c>
      <c r="V1325" s="735">
        <v>16</v>
      </c>
      <c r="W1325" s="736"/>
      <c r="X1325" s="737"/>
      <c r="Y1325" s="738"/>
      <c r="Z1325" s="739"/>
      <c r="AA1325" s="739"/>
      <c r="AB1325" s="740">
        <v>16</v>
      </c>
      <c r="AC1325" s="741" t="str">
        <f>'DICTIONARY-5'!$A$11&amp;" 48"</f>
        <v>EN 558 szereg 48</v>
      </c>
      <c r="AD1325" s="741" t="str">
        <f>'DICTIONARY-5'!$A$14</f>
        <v>ścieki</v>
      </c>
      <c r="AE1325" s="742">
        <v>80</v>
      </c>
      <c r="AF1325" s="743">
        <v>245.75</v>
      </c>
      <c r="AG1325" s="741" t="str">
        <f>'DICTIONARY-5'!$A$23</f>
        <v>powłoka epoksydowa</v>
      </c>
    </row>
    <row r="1326" spans="1:33" x14ac:dyDescent="0.25">
      <c r="A1326" s="861" t="s">
        <v>1320</v>
      </c>
      <c r="B1326" s="861" t="s">
        <v>4327</v>
      </c>
      <c r="C1326" s="836">
        <v>523</v>
      </c>
      <c r="D1326" s="836"/>
      <c r="E1326" s="836"/>
      <c r="F1326" s="836"/>
      <c r="G1326" s="496" t="s">
        <v>7825</v>
      </c>
      <c r="H1326" s="797" t="str">
        <f>VLOOKUP(G1326,SETTINGS!$B$7:$D$97,2,0)</f>
        <v>LIMU-STOP</v>
      </c>
      <c r="I1326" s="796">
        <f>VLOOKUP(G1326,SETTINGS!$B$7:$D$97,3,0)</f>
        <v>0</v>
      </c>
      <c r="J1326" s="670" t="str">
        <f>IFERROR(IF(CURRENCY.FORMAT_1=0,CONCATENATE(TEXT(FIXED(ROUND((C1326/EXC.RATE_1),CURRENCY.FORMAT_1),CURRENCY.FORMAT_1,1),"# ##0;-# ##0"),",-"),FIXED(ROUND((C1326/EXC.RATE_1),CURRENCY.FORMAT_1),CURRENCY.FORMAT_1,0)),'DICTIONARY-5'!$A$2)</f>
        <v>523,-</v>
      </c>
      <c r="K1326" s="670" t="str">
        <f>IF(EXC.RATE_2=0,"",IFERROR(IF(CURRENCY.FORMAT_2=0,CONCATENATE(TEXT(FIXED(ROUND(IF(EXC.RATE.SWITCH=1,C1326/EXC.RATE_2,C1326*EXC.RATE_2),CURRENCY.FORMAT_2),CURRENCY.FORMAT_2,1),"# ##0;-# ##0"),",-"),FIXED(ROUND(IF(EXC.RATE.SWITCH=1,C1326/EXC.RATE_2,C1326*EXC.RATE_2),CURRENCY.FORMAT_2),CURRENCY.FORMAT_2,0)),'DICTIONARY-5'!$A$2))</f>
        <v/>
      </c>
      <c r="L1326" s="670" t="str">
        <f>IFERROR(IF(CURRENCY.FORMAT_1=0,CONCATENATE(TEXT(FIXED(ROUND((C1326*(1-I1326)*(1-ADD.DISCOUNT)*(1+MAT.SURCHARGE)/EXC.RATE_1),CURRENCY.FORMAT_1),CURRENCY.FORMAT_1,1),"# ##0;-# ##0"),",-"),FIXED(ROUND((C1326*(1-I1326)*(1-ADD.DISCOUNT)*(1+MAT.SURCHARGE)/EXC.RATE_1),CURRENCY.FORMAT_1),CURRENCY.FORMAT_1,0)),'DICTIONARY-5'!$A$2)</f>
        <v>543,-</v>
      </c>
      <c r="M1326" s="670" t="str">
        <f>IF(EXC.RATE_2=0,"",IFERROR(IF(CURRENCY.FORMAT_2=0,CONCATENATE(TEXT(FIXED(ROUND(IF(EXC.RATE.SWITCH=1,C1326*(1-I1326)*(1-ADD.DISCOUNT)*(1+MAT.SURCHARGE)/EXC.RATE_2,C1326*(1-I1326)*(1-ADD.DISCOUNT)*(1+MAT.SURCHARGE)*EXC.RATE_2),CURRENCY.FORMAT_2),CURRENCY.FORMAT_2,1),"# ##0;-# ##0"),",-"),FIXED(ROUND(IF(EXC.RATE.SWITCH=1,C1326*(1-I1326)*(1-ADD.DISCOUNT)*(1+MAT.SURCHARGE)/EXC.RATE_2,C1326*(1-I1326)*(1-ADD.DISCOUNT)*(1+MAT.SURCHARGE)*EXC.RATE_2),CURRENCY.FORMAT_2),CURRENCY.FORMAT_2,0)),'DICTIONARY-5'!$A$2))</f>
        <v/>
      </c>
      <c r="N1326" s="539">
        <v>5</v>
      </c>
      <c r="O1326" s="539"/>
      <c r="P1326" s="731" t="str">
        <f>'DICTIONARY-3'!$A$100</f>
        <v>LIMU-STOP</v>
      </c>
      <c r="Q1326" s="732" t="str">
        <f>'DICTIONARY-3'!$A$200</f>
        <v>Zawór zwrotny</v>
      </c>
      <c r="R1326" s="732" t="str">
        <f>CONCATENATE('DICTIONARY-3'!$A$100," ",'DICTIONARY-6'!$A$20," ",'DICTIONARY-2'!$A$2,"50"," ",'DICTIONARY-2'!$A$3,"10/16"," ","R48",", ",'DICTIONARY-5'!$A$45,", ",'DICTIONARY-4'!$A$16," ",'DICTIONARY-6'!$A$69)</f>
        <v>LIMU-STOP Zaw. zwrotny DN50 PN10/16 R48, NBR, DC zabud. pozioma</v>
      </c>
      <c r="S1326" s="733" t="str">
        <f>'DICTIONARY-4'!$A$16</f>
        <v>DC</v>
      </c>
      <c r="T1326" s="732" t="str">
        <f>'DICTIONARY-4'!$A$32</f>
        <v>Dżwignia z ciężarem</v>
      </c>
      <c r="U1326" s="734" t="s">
        <v>5748</v>
      </c>
      <c r="V1326" s="735">
        <v>16</v>
      </c>
      <c r="W1326" s="736"/>
      <c r="X1326" s="737"/>
      <c r="Y1326" s="738"/>
      <c r="Z1326" s="739"/>
      <c r="AA1326" s="739"/>
      <c r="AB1326" s="740">
        <v>16</v>
      </c>
      <c r="AC1326" s="741" t="str">
        <f>'DICTIONARY-5'!$A$11&amp;" 48"</f>
        <v>EN 558 szereg 48</v>
      </c>
      <c r="AD1326" s="741" t="str">
        <f>'DICTIONARY-5'!$A$14</f>
        <v>ścieki</v>
      </c>
      <c r="AE1326" s="742">
        <v>80</v>
      </c>
      <c r="AF1326" s="743">
        <v>13</v>
      </c>
      <c r="AG1326" s="741" t="str">
        <f>'DICTIONARY-5'!$A$23</f>
        <v>powłoka epoksydowa</v>
      </c>
    </row>
    <row r="1327" spans="1:33" x14ac:dyDescent="0.25">
      <c r="A1327" s="861" t="s">
        <v>1322</v>
      </c>
      <c r="B1327" s="861" t="s">
        <v>4329</v>
      </c>
      <c r="C1327" s="836">
        <v>580</v>
      </c>
      <c r="D1327" s="836"/>
      <c r="E1327" s="836"/>
      <c r="F1327" s="836"/>
      <c r="G1327" s="496" t="s">
        <v>7825</v>
      </c>
      <c r="H1327" s="797" t="str">
        <f>VLOOKUP(G1327,SETTINGS!$B$7:$D$97,2,0)</f>
        <v>LIMU-STOP</v>
      </c>
      <c r="I1327" s="796">
        <f>VLOOKUP(G1327,SETTINGS!$B$7:$D$97,3,0)</f>
        <v>0</v>
      </c>
      <c r="J1327" s="670" t="str">
        <f>IFERROR(IF(CURRENCY.FORMAT_1=0,CONCATENATE(TEXT(FIXED(ROUND((C1327/EXC.RATE_1),CURRENCY.FORMAT_1),CURRENCY.FORMAT_1,1),"# ##0;-# ##0"),",-"),FIXED(ROUND((C1327/EXC.RATE_1),CURRENCY.FORMAT_1),CURRENCY.FORMAT_1,0)),'DICTIONARY-5'!$A$2)</f>
        <v>580,-</v>
      </c>
      <c r="K1327" s="670" t="str">
        <f>IF(EXC.RATE_2=0,"",IFERROR(IF(CURRENCY.FORMAT_2=0,CONCATENATE(TEXT(FIXED(ROUND(IF(EXC.RATE.SWITCH=1,C1327/EXC.RATE_2,C1327*EXC.RATE_2),CURRENCY.FORMAT_2),CURRENCY.FORMAT_2,1),"# ##0;-# ##0"),",-"),FIXED(ROUND(IF(EXC.RATE.SWITCH=1,C1327/EXC.RATE_2,C1327*EXC.RATE_2),CURRENCY.FORMAT_2),CURRENCY.FORMAT_2,0)),'DICTIONARY-5'!$A$2))</f>
        <v/>
      </c>
      <c r="L1327" s="670" t="str">
        <f>IFERROR(IF(CURRENCY.FORMAT_1=0,CONCATENATE(TEXT(FIXED(ROUND((C1327*(1-I1327)*(1-ADD.DISCOUNT)*(1+MAT.SURCHARGE)/EXC.RATE_1),CURRENCY.FORMAT_1),CURRENCY.FORMAT_1,1),"# ##0;-# ##0"),",-"),FIXED(ROUND((C1327*(1-I1327)*(1-ADD.DISCOUNT)*(1+MAT.SURCHARGE)/EXC.RATE_1),CURRENCY.FORMAT_1),CURRENCY.FORMAT_1,0)),'DICTIONARY-5'!$A$2)</f>
        <v>603,-</v>
      </c>
      <c r="M1327" s="670" t="str">
        <f>IF(EXC.RATE_2=0,"",IFERROR(IF(CURRENCY.FORMAT_2=0,CONCATENATE(TEXT(FIXED(ROUND(IF(EXC.RATE.SWITCH=1,C1327*(1-I1327)*(1-ADD.DISCOUNT)*(1+MAT.SURCHARGE)/EXC.RATE_2,C1327*(1-I1327)*(1-ADD.DISCOUNT)*(1+MAT.SURCHARGE)*EXC.RATE_2),CURRENCY.FORMAT_2),CURRENCY.FORMAT_2,1),"# ##0;-# ##0"),",-"),FIXED(ROUND(IF(EXC.RATE.SWITCH=1,C1327*(1-I1327)*(1-ADD.DISCOUNT)*(1+MAT.SURCHARGE)/EXC.RATE_2,C1327*(1-I1327)*(1-ADD.DISCOUNT)*(1+MAT.SURCHARGE)*EXC.RATE_2),CURRENCY.FORMAT_2),CURRENCY.FORMAT_2,0)),'DICTIONARY-5'!$A$2))</f>
        <v/>
      </c>
      <c r="N1327" s="539">
        <v>5</v>
      </c>
      <c r="O1327" s="539"/>
      <c r="P1327" s="731" t="str">
        <f>'DICTIONARY-3'!$A$100</f>
        <v>LIMU-STOP</v>
      </c>
      <c r="Q1327" s="732" t="str">
        <f>'DICTIONARY-3'!$A$200</f>
        <v>Zawór zwrotny</v>
      </c>
      <c r="R1327" s="732" t="str">
        <f>CONCATENATE('DICTIONARY-3'!$A$100," ",'DICTIONARY-6'!$A$20," ",'DICTIONARY-2'!$A$2,"65"," ",'DICTIONARY-2'!$A$3,"10/16"," ","R48",", ",'DICTIONARY-5'!$A$45,", ",'DICTIONARY-4'!$A$16," ",'DICTIONARY-6'!$A$69)</f>
        <v>LIMU-STOP Zaw. zwrotny DN65 PN10/16 R48, NBR, DC zabud. pozioma</v>
      </c>
      <c r="S1327" s="733" t="str">
        <f>'DICTIONARY-4'!$A$16</f>
        <v>DC</v>
      </c>
      <c r="T1327" s="732" t="str">
        <f>'DICTIONARY-4'!$A$32</f>
        <v>Dżwignia z ciężarem</v>
      </c>
      <c r="U1327" s="734" t="s">
        <v>5759</v>
      </c>
      <c r="V1327" s="735">
        <v>16</v>
      </c>
      <c r="W1327" s="736"/>
      <c r="X1327" s="737"/>
      <c r="Y1327" s="738"/>
      <c r="Z1327" s="739"/>
      <c r="AA1327" s="739"/>
      <c r="AB1327" s="740">
        <v>16</v>
      </c>
      <c r="AC1327" s="741" t="str">
        <f>'DICTIONARY-5'!$A$11&amp;" 48"</f>
        <v>EN 558 szereg 48</v>
      </c>
      <c r="AD1327" s="741" t="str">
        <f>'DICTIONARY-5'!$A$14</f>
        <v>ścieki</v>
      </c>
      <c r="AE1327" s="742">
        <v>80</v>
      </c>
      <c r="AF1327" s="743">
        <v>17.5</v>
      </c>
      <c r="AG1327" s="741" t="str">
        <f>'DICTIONARY-5'!$A$23</f>
        <v>powłoka epoksydowa</v>
      </c>
    </row>
    <row r="1328" spans="1:33" x14ac:dyDescent="0.25">
      <c r="A1328" s="861" t="s">
        <v>1324</v>
      </c>
      <c r="B1328" s="861" t="s">
        <v>4331</v>
      </c>
      <c r="C1328" s="836">
        <v>686</v>
      </c>
      <c r="D1328" s="836"/>
      <c r="E1328" s="836"/>
      <c r="F1328" s="836"/>
      <c r="G1328" s="496" t="s">
        <v>7825</v>
      </c>
      <c r="H1328" s="797" t="str">
        <f>VLOOKUP(G1328,SETTINGS!$B$7:$D$97,2,0)</f>
        <v>LIMU-STOP</v>
      </c>
      <c r="I1328" s="796">
        <f>VLOOKUP(G1328,SETTINGS!$B$7:$D$97,3,0)</f>
        <v>0</v>
      </c>
      <c r="J1328" s="670" t="str">
        <f>IFERROR(IF(CURRENCY.FORMAT_1=0,CONCATENATE(TEXT(FIXED(ROUND((C1328/EXC.RATE_1),CURRENCY.FORMAT_1),CURRENCY.FORMAT_1,1),"# ##0;-# ##0"),",-"),FIXED(ROUND((C1328/EXC.RATE_1),CURRENCY.FORMAT_1),CURRENCY.FORMAT_1,0)),'DICTIONARY-5'!$A$2)</f>
        <v>686,-</v>
      </c>
      <c r="K1328" s="670" t="str">
        <f>IF(EXC.RATE_2=0,"",IFERROR(IF(CURRENCY.FORMAT_2=0,CONCATENATE(TEXT(FIXED(ROUND(IF(EXC.RATE.SWITCH=1,C1328/EXC.RATE_2,C1328*EXC.RATE_2),CURRENCY.FORMAT_2),CURRENCY.FORMAT_2,1),"# ##0;-# ##0"),",-"),FIXED(ROUND(IF(EXC.RATE.SWITCH=1,C1328/EXC.RATE_2,C1328*EXC.RATE_2),CURRENCY.FORMAT_2),CURRENCY.FORMAT_2,0)),'DICTIONARY-5'!$A$2))</f>
        <v/>
      </c>
      <c r="L1328" s="670" t="str">
        <f>IFERROR(IF(CURRENCY.FORMAT_1=0,CONCATENATE(TEXT(FIXED(ROUND((C1328*(1-I1328)*(1-ADD.DISCOUNT)*(1+MAT.SURCHARGE)/EXC.RATE_1),CURRENCY.FORMAT_1),CURRENCY.FORMAT_1,1),"# ##0;-# ##0"),",-"),FIXED(ROUND((C1328*(1-I1328)*(1-ADD.DISCOUNT)*(1+MAT.SURCHARGE)/EXC.RATE_1),CURRENCY.FORMAT_1),CURRENCY.FORMAT_1,0)),'DICTIONARY-5'!$A$2)</f>
        <v>713,-</v>
      </c>
      <c r="M1328" s="670" t="str">
        <f>IF(EXC.RATE_2=0,"",IFERROR(IF(CURRENCY.FORMAT_2=0,CONCATENATE(TEXT(FIXED(ROUND(IF(EXC.RATE.SWITCH=1,C1328*(1-I1328)*(1-ADD.DISCOUNT)*(1+MAT.SURCHARGE)/EXC.RATE_2,C1328*(1-I1328)*(1-ADD.DISCOUNT)*(1+MAT.SURCHARGE)*EXC.RATE_2),CURRENCY.FORMAT_2),CURRENCY.FORMAT_2,1),"# ##0;-# ##0"),",-"),FIXED(ROUND(IF(EXC.RATE.SWITCH=1,C1328*(1-I1328)*(1-ADD.DISCOUNT)*(1+MAT.SURCHARGE)/EXC.RATE_2,C1328*(1-I1328)*(1-ADD.DISCOUNT)*(1+MAT.SURCHARGE)*EXC.RATE_2),CURRENCY.FORMAT_2),CURRENCY.FORMAT_2,0)),'DICTIONARY-5'!$A$2))</f>
        <v/>
      </c>
      <c r="N1328" s="539">
        <v>5</v>
      </c>
      <c r="O1328" s="539"/>
      <c r="P1328" s="731" t="str">
        <f>'DICTIONARY-3'!$A$100</f>
        <v>LIMU-STOP</v>
      </c>
      <c r="Q1328" s="732" t="str">
        <f>'DICTIONARY-3'!$A$200</f>
        <v>Zawór zwrotny</v>
      </c>
      <c r="R1328" s="732" t="str">
        <f>CONCATENATE('DICTIONARY-3'!$A$100," ",'DICTIONARY-6'!$A$20," ",'DICTIONARY-2'!$A$2,"80"," ",'DICTIONARY-2'!$A$3,"10/16"," ","R48",", ",'DICTIONARY-5'!$A$45,", ",'DICTIONARY-4'!$A$16," ",'DICTIONARY-6'!$A$69)</f>
        <v>LIMU-STOP Zaw. zwrotny DN80 PN10/16 R48, NBR, DC zabud. pozioma</v>
      </c>
      <c r="S1328" s="733" t="str">
        <f>'DICTIONARY-4'!$A$16</f>
        <v>DC</v>
      </c>
      <c r="T1328" s="732" t="str">
        <f>'DICTIONARY-4'!$A$32</f>
        <v>Dżwignia z ciężarem</v>
      </c>
      <c r="U1328" s="734" t="s">
        <v>5760</v>
      </c>
      <c r="V1328" s="735">
        <v>16</v>
      </c>
      <c r="W1328" s="736"/>
      <c r="X1328" s="737"/>
      <c r="Y1328" s="738"/>
      <c r="Z1328" s="739"/>
      <c r="AA1328" s="739"/>
      <c r="AB1328" s="740">
        <v>16</v>
      </c>
      <c r="AC1328" s="741" t="str">
        <f>'DICTIONARY-5'!$A$11&amp;" 48"</f>
        <v>EN 558 szereg 48</v>
      </c>
      <c r="AD1328" s="741" t="str">
        <f>'DICTIONARY-5'!$A$14</f>
        <v>ścieki</v>
      </c>
      <c r="AE1328" s="742">
        <v>80</v>
      </c>
      <c r="AF1328" s="743">
        <v>23</v>
      </c>
      <c r="AG1328" s="741" t="str">
        <f>'DICTIONARY-5'!$A$23</f>
        <v>powłoka epoksydowa</v>
      </c>
    </row>
    <row r="1329" spans="1:33" x14ac:dyDescent="0.25">
      <c r="A1329" s="861" t="s">
        <v>1326</v>
      </c>
      <c r="B1329" s="861" t="s">
        <v>4333</v>
      </c>
      <c r="C1329" s="836">
        <v>761</v>
      </c>
      <c r="D1329" s="836"/>
      <c r="E1329" s="836"/>
      <c r="F1329" s="836"/>
      <c r="G1329" s="496" t="s">
        <v>7825</v>
      </c>
      <c r="H1329" s="797" t="str">
        <f>VLOOKUP(G1329,SETTINGS!$B$7:$D$97,2,0)</f>
        <v>LIMU-STOP</v>
      </c>
      <c r="I1329" s="796">
        <f>VLOOKUP(G1329,SETTINGS!$B$7:$D$97,3,0)</f>
        <v>0</v>
      </c>
      <c r="J1329" s="670" t="str">
        <f>IFERROR(IF(CURRENCY.FORMAT_1=0,CONCATENATE(TEXT(FIXED(ROUND((C1329/EXC.RATE_1),CURRENCY.FORMAT_1),CURRENCY.FORMAT_1,1),"# ##0;-# ##0"),",-"),FIXED(ROUND((C1329/EXC.RATE_1),CURRENCY.FORMAT_1),CURRENCY.FORMAT_1,0)),'DICTIONARY-5'!$A$2)</f>
        <v>761,-</v>
      </c>
      <c r="K1329" s="670" t="str">
        <f>IF(EXC.RATE_2=0,"",IFERROR(IF(CURRENCY.FORMAT_2=0,CONCATENATE(TEXT(FIXED(ROUND(IF(EXC.RATE.SWITCH=1,C1329/EXC.RATE_2,C1329*EXC.RATE_2),CURRENCY.FORMAT_2),CURRENCY.FORMAT_2,1),"# ##0;-# ##0"),",-"),FIXED(ROUND(IF(EXC.RATE.SWITCH=1,C1329/EXC.RATE_2,C1329*EXC.RATE_2),CURRENCY.FORMAT_2),CURRENCY.FORMAT_2,0)),'DICTIONARY-5'!$A$2))</f>
        <v/>
      </c>
      <c r="L1329" s="670" t="str">
        <f>IFERROR(IF(CURRENCY.FORMAT_1=0,CONCATENATE(TEXT(FIXED(ROUND((C1329*(1-I1329)*(1-ADD.DISCOUNT)*(1+MAT.SURCHARGE)/EXC.RATE_1),CURRENCY.FORMAT_1),CURRENCY.FORMAT_1,1),"# ##0;-# ##0"),",-"),FIXED(ROUND((C1329*(1-I1329)*(1-ADD.DISCOUNT)*(1+MAT.SURCHARGE)/EXC.RATE_1),CURRENCY.FORMAT_1),CURRENCY.FORMAT_1,0)),'DICTIONARY-5'!$A$2)</f>
        <v>791,-</v>
      </c>
      <c r="M1329" s="670" t="str">
        <f>IF(EXC.RATE_2=0,"",IFERROR(IF(CURRENCY.FORMAT_2=0,CONCATENATE(TEXT(FIXED(ROUND(IF(EXC.RATE.SWITCH=1,C1329*(1-I1329)*(1-ADD.DISCOUNT)*(1+MAT.SURCHARGE)/EXC.RATE_2,C1329*(1-I1329)*(1-ADD.DISCOUNT)*(1+MAT.SURCHARGE)*EXC.RATE_2),CURRENCY.FORMAT_2),CURRENCY.FORMAT_2,1),"# ##0;-# ##0"),",-"),FIXED(ROUND(IF(EXC.RATE.SWITCH=1,C1329*(1-I1329)*(1-ADD.DISCOUNT)*(1+MAT.SURCHARGE)/EXC.RATE_2,C1329*(1-I1329)*(1-ADD.DISCOUNT)*(1+MAT.SURCHARGE)*EXC.RATE_2),CURRENCY.FORMAT_2),CURRENCY.FORMAT_2,0)),'DICTIONARY-5'!$A$2))</f>
        <v/>
      </c>
      <c r="N1329" s="539">
        <v>5</v>
      </c>
      <c r="O1329" s="539"/>
      <c r="P1329" s="731" t="str">
        <f>'DICTIONARY-3'!$A$100</f>
        <v>LIMU-STOP</v>
      </c>
      <c r="Q1329" s="732" t="str">
        <f>'DICTIONARY-3'!$A$200</f>
        <v>Zawór zwrotny</v>
      </c>
      <c r="R1329" s="732" t="str">
        <f>CONCATENATE('DICTIONARY-3'!$A$100," ",'DICTIONARY-6'!$A$20," ",'DICTIONARY-2'!$A$2,"100"," ",'DICTIONARY-2'!$A$3,"10/16"," ","R48",", ",'DICTIONARY-5'!$A$45,", ",'DICTIONARY-4'!$A$16," ",'DICTIONARY-6'!$A$69)</f>
        <v>LIMU-STOP Zaw. zwrotny DN100 PN10/16 R48, NBR, DC zabud. pozioma</v>
      </c>
      <c r="S1329" s="733" t="str">
        <f>'DICTIONARY-4'!$A$16</f>
        <v>DC</v>
      </c>
      <c r="T1329" s="732" t="str">
        <f>'DICTIONARY-4'!$A$32</f>
        <v>Dżwignia z ciężarem</v>
      </c>
      <c r="U1329" s="734" t="s">
        <v>5749</v>
      </c>
      <c r="V1329" s="735">
        <v>16</v>
      </c>
      <c r="W1329" s="736"/>
      <c r="X1329" s="737"/>
      <c r="Y1329" s="738"/>
      <c r="Z1329" s="739"/>
      <c r="AA1329" s="739"/>
      <c r="AB1329" s="740">
        <v>16</v>
      </c>
      <c r="AC1329" s="741" t="str">
        <f>'DICTIONARY-5'!$A$11&amp;" 48"</f>
        <v>EN 558 szereg 48</v>
      </c>
      <c r="AD1329" s="741" t="str">
        <f>'DICTIONARY-5'!$A$14</f>
        <v>ścieki</v>
      </c>
      <c r="AE1329" s="742">
        <v>80</v>
      </c>
      <c r="AF1329" s="743">
        <v>29.5</v>
      </c>
      <c r="AG1329" s="741" t="str">
        <f>'DICTIONARY-5'!$A$23</f>
        <v>powłoka epoksydowa</v>
      </c>
    </row>
    <row r="1330" spans="1:33" x14ac:dyDescent="0.25">
      <c r="A1330" s="861" t="s">
        <v>1328</v>
      </c>
      <c r="B1330" s="861" t="s">
        <v>4335</v>
      </c>
      <c r="C1330" s="836">
        <v>984</v>
      </c>
      <c r="D1330" s="836"/>
      <c r="E1330" s="836"/>
      <c r="F1330" s="836"/>
      <c r="G1330" s="496" t="s">
        <v>7825</v>
      </c>
      <c r="H1330" s="797" t="str">
        <f>VLOOKUP(G1330,SETTINGS!$B$7:$D$97,2,0)</f>
        <v>LIMU-STOP</v>
      </c>
      <c r="I1330" s="796">
        <f>VLOOKUP(G1330,SETTINGS!$B$7:$D$97,3,0)</f>
        <v>0</v>
      </c>
      <c r="J1330" s="670" t="str">
        <f>IFERROR(IF(CURRENCY.FORMAT_1=0,CONCATENATE(TEXT(FIXED(ROUND((C1330/EXC.RATE_1),CURRENCY.FORMAT_1),CURRENCY.FORMAT_1,1),"# ##0;-# ##0"),",-"),FIXED(ROUND((C1330/EXC.RATE_1),CURRENCY.FORMAT_1),CURRENCY.FORMAT_1,0)),'DICTIONARY-5'!$A$2)</f>
        <v>984,-</v>
      </c>
      <c r="K1330" s="670" t="str">
        <f>IF(EXC.RATE_2=0,"",IFERROR(IF(CURRENCY.FORMAT_2=0,CONCATENATE(TEXT(FIXED(ROUND(IF(EXC.RATE.SWITCH=1,C1330/EXC.RATE_2,C1330*EXC.RATE_2),CURRENCY.FORMAT_2),CURRENCY.FORMAT_2,1),"# ##0;-# ##0"),",-"),FIXED(ROUND(IF(EXC.RATE.SWITCH=1,C1330/EXC.RATE_2,C1330*EXC.RATE_2),CURRENCY.FORMAT_2),CURRENCY.FORMAT_2,0)),'DICTIONARY-5'!$A$2))</f>
        <v/>
      </c>
      <c r="L1330" s="670" t="str">
        <f>IFERROR(IF(CURRENCY.FORMAT_1=0,CONCATENATE(TEXT(FIXED(ROUND((C1330*(1-I1330)*(1-ADD.DISCOUNT)*(1+MAT.SURCHARGE)/EXC.RATE_1),CURRENCY.FORMAT_1),CURRENCY.FORMAT_1,1),"# ##0;-# ##0"),",-"),FIXED(ROUND((C1330*(1-I1330)*(1-ADD.DISCOUNT)*(1+MAT.SURCHARGE)/EXC.RATE_1),CURRENCY.FORMAT_1),CURRENCY.FORMAT_1,0)),'DICTIONARY-5'!$A$2)</f>
        <v>1 022,-</v>
      </c>
      <c r="M1330" s="670" t="str">
        <f>IF(EXC.RATE_2=0,"",IFERROR(IF(CURRENCY.FORMAT_2=0,CONCATENATE(TEXT(FIXED(ROUND(IF(EXC.RATE.SWITCH=1,C1330*(1-I1330)*(1-ADD.DISCOUNT)*(1+MAT.SURCHARGE)/EXC.RATE_2,C1330*(1-I1330)*(1-ADD.DISCOUNT)*(1+MAT.SURCHARGE)*EXC.RATE_2),CURRENCY.FORMAT_2),CURRENCY.FORMAT_2,1),"# ##0;-# ##0"),",-"),FIXED(ROUND(IF(EXC.RATE.SWITCH=1,C1330*(1-I1330)*(1-ADD.DISCOUNT)*(1+MAT.SURCHARGE)/EXC.RATE_2,C1330*(1-I1330)*(1-ADD.DISCOUNT)*(1+MAT.SURCHARGE)*EXC.RATE_2),CURRENCY.FORMAT_2),CURRENCY.FORMAT_2,0)),'DICTIONARY-5'!$A$2))</f>
        <v/>
      </c>
      <c r="N1330" s="539">
        <v>5</v>
      </c>
      <c r="O1330" s="539"/>
      <c r="P1330" s="731" t="str">
        <f>'DICTIONARY-3'!$A$100</f>
        <v>LIMU-STOP</v>
      </c>
      <c r="Q1330" s="732" t="str">
        <f>'DICTIONARY-3'!$A$200</f>
        <v>Zawór zwrotny</v>
      </c>
      <c r="R1330" s="732" t="str">
        <f>CONCATENATE('DICTIONARY-3'!$A$100," ",'DICTIONARY-6'!$A$20," ",'DICTIONARY-2'!$A$2,"125"," ",'DICTIONARY-2'!$A$3,"10/16"," ","R48",", ",'DICTIONARY-5'!$A$45,", ",'DICTIONARY-4'!$A$16," ",'DICTIONARY-6'!$A$69)</f>
        <v>LIMU-STOP Zaw. zwrotny DN125 PN10/16 R48, NBR, DC zabud. pozioma</v>
      </c>
      <c r="S1330" s="733" t="str">
        <f>'DICTIONARY-4'!$A$16</f>
        <v>DC</v>
      </c>
      <c r="T1330" s="732" t="str">
        <f>'DICTIONARY-4'!$A$32</f>
        <v>Dżwignia z ciężarem</v>
      </c>
      <c r="U1330" s="734" t="s">
        <v>5761</v>
      </c>
      <c r="V1330" s="735">
        <v>16</v>
      </c>
      <c r="W1330" s="736"/>
      <c r="X1330" s="737"/>
      <c r="Y1330" s="738"/>
      <c r="Z1330" s="739"/>
      <c r="AA1330" s="739"/>
      <c r="AB1330" s="740">
        <v>16</v>
      </c>
      <c r="AC1330" s="741" t="str">
        <f>'DICTIONARY-5'!$A$11&amp;" 48"</f>
        <v>EN 558 szereg 48</v>
      </c>
      <c r="AD1330" s="741" t="str">
        <f>'DICTIONARY-5'!$A$14</f>
        <v>ścieki</v>
      </c>
      <c r="AE1330" s="742">
        <v>80</v>
      </c>
      <c r="AF1330" s="743">
        <v>48.5</v>
      </c>
      <c r="AG1330" s="741" t="str">
        <f>'DICTIONARY-5'!$A$23</f>
        <v>powłoka epoksydowa</v>
      </c>
    </row>
    <row r="1331" spans="1:33" x14ac:dyDescent="0.25">
      <c r="A1331" s="861" t="s">
        <v>1330</v>
      </c>
      <c r="B1331" s="861" t="s">
        <v>4337</v>
      </c>
      <c r="C1331" s="836">
        <v>1224</v>
      </c>
      <c r="D1331" s="836"/>
      <c r="E1331" s="836"/>
      <c r="F1331" s="836"/>
      <c r="G1331" s="496" t="s">
        <v>7825</v>
      </c>
      <c r="H1331" s="797" t="str">
        <f>VLOOKUP(G1331,SETTINGS!$B$7:$D$97,2,0)</f>
        <v>LIMU-STOP</v>
      </c>
      <c r="I1331" s="796">
        <f>VLOOKUP(G1331,SETTINGS!$B$7:$D$97,3,0)</f>
        <v>0</v>
      </c>
      <c r="J1331" s="670" t="str">
        <f>IFERROR(IF(CURRENCY.FORMAT_1=0,CONCATENATE(TEXT(FIXED(ROUND((C1331/EXC.RATE_1),CURRENCY.FORMAT_1),CURRENCY.FORMAT_1,1),"# ##0;-# ##0"),",-"),FIXED(ROUND((C1331/EXC.RATE_1),CURRENCY.FORMAT_1),CURRENCY.FORMAT_1,0)),'DICTIONARY-5'!$A$2)</f>
        <v>1 224,-</v>
      </c>
      <c r="K1331" s="670" t="str">
        <f>IF(EXC.RATE_2=0,"",IFERROR(IF(CURRENCY.FORMAT_2=0,CONCATENATE(TEXT(FIXED(ROUND(IF(EXC.RATE.SWITCH=1,C1331/EXC.RATE_2,C1331*EXC.RATE_2),CURRENCY.FORMAT_2),CURRENCY.FORMAT_2,1),"# ##0;-# ##0"),",-"),FIXED(ROUND(IF(EXC.RATE.SWITCH=1,C1331/EXC.RATE_2,C1331*EXC.RATE_2),CURRENCY.FORMAT_2),CURRENCY.FORMAT_2,0)),'DICTIONARY-5'!$A$2))</f>
        <v/>
      </c>
      <c r="L1331" s="670" t="str">
        <f>IFERROR(IF(CURRENCY.FORMAT_1=0,CONCATENATE(TEXT(FIXED(ROUND((C1331*(1-I1331)*(1-ADD.DISCOUNT)*(1+MAT.SURCHARGE)/EXC.RATE_1),CURRENCY.FORMAT_1),CURRENCY.FORMAT_1,1),"# ##0;-# ##0"),",-"),FIXED(ROUND((C1331*(1-I1331)*(1-ADD.DISCOUNT)*(1+MAT.SURCHARGE)/EXC.RATE_1),CURRENCY.FORMAT_1),CURRENCY.FORMAT_1,0)),'DICTIONARY-5'!$A$2)</f>
        <v>1 272,-</v>
      </c>
      <c r="M1331" s="670" t="str">
        <f>IF(EXC.RATE_2=0,"",IFERROR(IF(CURRENCY.FORMAT_2=0,CONCATENATE(TEXT(FIXED(ROUND(IF(EXC.RATE.SWITCH=1,C1331*(1-I1331)*(1-ADD.DISCOUNT)*(1+MAT.SURCHARGE)/EXC.RATE_2,C1331*(1-I1331)*(1-ADD.DISCOUNT)*(1+MAT.SURCHARGE)*EXC.RATE_2),CURRENCY.FORMAT_2),CURRENCY.FORMAT_2,1),"# ##0;-# ##0"),",-"),FIXED(ROUND(IF(EXC.RATE.SWITCH=1,C1331*(1-I1331)*(1-ADD.DISCOUNT)*(1+MAT.SURCHARGE)/EXC.RATE_2,C1331*(1-I1331)*(1-ADD.DISCOUNT)*(1+MAT.SURCHARGE)*EXC.RATE_2),CURRENCY.FORMAT_2),CURRENCY.FORMAT_2,0)),'DICTIONARY-5'!$A$2))</f>
        <v/>
      </c>
      <c r="N1331" s="539">
        <v>5</v>
      </c>
      <c r="O1331" s="539"/>
      <c r="P1331" s="731" t="str">
        <f>'DICTIONARY-3'!$A$100</f>
        <v>LIMU-STOP</v>
      </c>
      <c r="Q1331" s="732" t="str">
        <f>'DICTIONARY-3'!$A$200</f>
        <v>Zawór zwrotny</v>
      </c>
      <c r="R1331" s="732" t="str">
        <f>CONCATENATE('DICTIONARY-3'!$A$100," ",'DICTIONARY-6'!$A$20," ",'DICTIONARY-2'!$A$2,"150"," ",'DICTIONARY-2'!$A$3,"10/16"," ","R48",", ",'DICTIONARY-5'!$A$45,", ",'DICTIONARY-4'!$A$16," ",'DICTIONARY-6'!$A$69)</f>
        <v>LIMU-STOP Zaw. zwrotny DN150 PN10/16 R48, NBR, DC zabud. pozioma</v>
      </c>
      <c r="S1331" s="733" t="str">
        <f>'DICTIONARY-4'!$A$16</f>
        <v>DC</v>
      </c>
      <c r="T1331" s="732" t="str">
        <f>'DICTIONARY-4'!$A$32</f>
        <v>Dżwignia z ciężarem</v>
      </c>
      <c r="U1331" s="734" t="s">
        <v>5572</v>
      </c>
      <c r="V1331" s="735">
        <v>16</v>
      </c>
      <c r="W1331" s="736"/>
      <c r="X1331" s="737"/>
      <c r="Y1331" s="738"/>
      <c r="Z1331" s="739"/>
      <c r="AA1331" s="739"/>
      <c r="AB1331" s="740">
        <v>16</v>
      </c>
      <c r="AC1331" s="741" t="str">
        <f>'DICTIONARY-5'!$A$11&amp;" 48"</f>
        <v>EN 558 szereg 48</v>
      </c>
      <c r="AD1331" s="741" t="str">
        <f>'DICTIONARY-5'!$A$14</f>
        <v>ścieki</v>
      </c>
      <c r="AE1331" s="742">
        <v>80</v>
      </c>
      <c r="AF1331" s="743">
        <v>61</v>
      </c>
      <c r="AG1331" s="741" t="str">
        <f>'DICTIONARY-5'!$A$23</f>
        <v>powłoka epoksydowa</v>
      </c>
    </row>
    <row r="1332" spans="1:33" x14ac:dyDescent="0.25">
      <c r="A1332" s="861" t="s">
        <v>1332</v>
      </c>
      <c r="B1332" s="861" t="s">
        <v>4345</v>
      </c>
      <c r="C1332" s="836">
        <v>1745</v>
      </c>
      <c r="D1332" s="836"/>
      <c r="E1332" s="836"/>
      <c r="F1332" s="836"/>
      <c r="G1332" s="496" t="s">
        <v>7825</v>
      </c>
      <c r="H1332" s="797" t="str">
        <f>VLOOKUP(G1332,SETTINGS!$B$7:$D$97,2,0)</f>
        <v>LIMU-STOP</v>
      </c>
      <c r="I1332" s="796">
        <f>VLOOKUP(G1332,SETTINGS!$B$7:$D$97,3,0)</f>
        <v>0</v>
      </c>
      <c r="J1332" s="670" t="str">
        <f>IFERROR(IF(CURRENCY.FORMAT_1=0,CONCATENATE(TEXT(FIXED(ROUND((C1332/EXC.RATE_1),CURRENCY.FORMAT_1),CURRENCY.FORMAT_1,1),"# ##0;-# ##0"),",-"),FIXED(ROUND((C1332/EXC.RATE_1),CURRENCY.FORMAT_1),CURRENCY.FORMAT_1,0)),'DICTIONARY-5'!$A$2)</f>
        <v>1 745,-</v>
      </c>
      <c r="K1332" s="670" t="str">
        <f>IF(EXC.RATE_2=0,"",IFERROR(IF(CURRENCY.FORMAT_2=0,CONCATENATE(TEXT(FIXED(ROUND(IF(EXC.RATE.SWITCH=1,C1332/EXC.RATE_2,C1332*EXC.RATE_2),CURRENCY.FORMAT_2),CURRENCY.FORMAT_2,1),"# ##0;-# ##0"),",-"),FIXED(ROUND(IF(EXC.RATE.SWITCH=1,C1332/EXC.RATE_2,C1332*EXC.RATE_2),CURRENCY.FORMAT_2),CURRENCY.FORMAT_2,0)),'DICTIONARY-5'!$A$2))</f>
        <v/>
      </c>
      <c r="L1332" s="670" t="str">
        <f>IFERROR(IF(CURRENCY.FORMAT_1=0,CONCATENATE(TEXT(FIXED(ROUND((C1332*(1-I1332)*(1-ADD.DISCOUNT)*(1+MAT.SURCHARGE)/EXC.RATE_1),CURRENCY.FORMAT_1),CURRENCY.FORMAT_1,1),"# ##0;-# ##0"),",-"),FIXED(ROUND((C1332*(1-I1332)*(1-ADD.DISCOUNT)*(1+MAT.SURCHARGE)/EXC.RATE_1),CURRENCY.FORMAT_1),CURRENCY.FORMAT_1,0)),'DICTIONARY-5'!$A$2)</f>
        <v>1 813,-</v>
      </c>
      <c r="M1332" s="670" t="str">
        <f>IF(EXC.RATE_2=0,"",IFERROR(IF(CURRENCY.FORMAT_2=0,CONCATENATE(TEXT(FIXED(ROUND(IF(EXC.RATE.SWITCH=1,C1332*(1-I1332)*(1-ADD.DISCOUNT)*(1+MAT.SURCHARGE)/EXC.RATE_2,C1332*(1-I1332)*(1-ADD.DISCOUNT)*(1+MAT.SURCHARGE)*EXC.RATE_2),CURRENCY.FORMAT_2),CURRENCY.FORMAT_2,1),"# ##0;-# ##0"),",-"),FIXED(ROUND(IF(EXC.RATE.SWITCH=1,C1332*(1-I1332)*(1-ADD.DISCOUNT)*(1+MAT.SURCHARGE)/EXC.RATE_2,C1332*(1-I1332)*(1-ADD.DISCOUNT)*(1+MAT.SURCHARGE)*EXC.RATE_2),CURRENCY.FORMAT_2),CURRENCY.FORMAT_2,0)),'DICTIONARY-5'!$A$2))</f>
        <v/>
      </c>
      <c r="N1332" s="539">
        <v>5</v>
      </c>
      <c r="O1332" s="539"/>
      <c r="P1332" s="731" t="str">
        <f>'DICTIONARY-3'!$A$100</f>
        <v>LIMU-STOP</v>
      </c>
      <c r="Q1332" s="732" t="str">
        <f>'DICTIONARY-3'!$A$200</f>
        <v>Zawór zwrotny</v>
      </c>
      <c r="R1332" s="732" t="str">
        <f>CONCATENATE('DICTIONARY-3'!$A$100," ",'DICTIONARY-6'!$A$20," ",'DICTIONARY-2'!$A$2,"200"," ",'DICTIONARY-2'!$A$3,"10"," ","R48",", ",'DICTIONARY-5'!$A$45,", ",'DICTIONARY-4'!$A$16," ",'DICTIONARY-6'!$A$69)</f>
        <v>LIMU-STOP Zaw. zwrotny DN200 PN10 R48, NBR, DC zabud. pozioma</v>
      </c>
      <c r="S1332" s="733" t="str">
        <f>'DICTIONARY-4'!$A$16</f>
        <v>DC</v>
      </c>
      <c r="T1332" s="732" t="str">
        <f>'DICTIONARY-4'!$A$32</f>
        <v>Dżwignia z ciężarem</v>
      </c>
      <c r="U1332" s="734" t="s">
        <v>5750</v>
      </c>
      <c r="V1332" s="735">
        <v>10</v>
      </c>
      <c r="W1332" s="736"/>
      <c r="X1332" s="737"/>
      <c r="Y1332" s="738"/>
      <c r="Z1332" s="739"/>
      <c r="AA1332" s="739"/>
      <c r="AB1332" s="740">
        <v>10</v>
      </c>
      <c r="AC1332" s="741" t="str">
        <f>'DICTIONARY-5'!$A$11&amp;" 48"</f>
        <v>EN 558 szereg 48</v>
      </c>
      <c r="AD1332" s="741" t="str">
        <f>'DICTIONARY-5'!$A$14</f>
        <v>ścieki</v>
      </c>
      <c r="AE1332" s="742">
        <v>80</v>
      </c>
      <c r="AF1332" s="743">
        <v>111.5</v>
      </c>
      <c r="AG1332" s="741" t="str">
        <f>'DICTIONARY-5'!$A$23</f>
        <v>powłoka epoksydowa</v>
      </c>
    </row>
    <row r="1333" spans="1:33" x14ac:dyDescent="0.25">
      <c r="A1333" s="861" t="s">
        <v>1334</v>
      </c>
      <c r="B1333" s="861" t="s">
        <v>4339</v>
      </c>
      <c r="C1333" s="836">
        <v>1744</v>
      </c>
      <c r="D1333" s="836"/>
      <c r="E1333" s="836"/>
      <c r="F1333" s="836"/>
      <c r="G1333" s="496" t="s">
        <v>7825</v>
      </c>
      <c r="H1333" s="797" t="str">
        <f>VLOOKUP(G1333,SETTINGS!$B$7:$D$97,2,0)</f>
        <v>LIMU-STOP</v>
      </c>
      <c r="I1333" s="796">
        <f>VLOOKUP(G1333,SETTINGS!$B$7:$D$97,3,0)</f>
        <v>0</v>
      </c>
      <c r="J1333" s="670" t="str">
        <f>IFERROR(IF(CURRENCY.FORMAT_1=0,CONCATENATE(TEXT(FIXED(ROUND((C1333/EXC.RATE_1),CURRENCY.FORMAT_1),CURRENCY.FORMAT_1,1),"# ##0;-# ##0"),",-"),FIXED(ROUND((C1333/EXC.RATE_1),CURRENCY.FORMAT_1),CURRENCY.FORMAT_1,0)),'DICTIONARY-5'!$A$2)</f>
        <v>1 744,-</v>
      </c>
      <c r="K1333" s="670" t="str">
        <f>IF(EXC.RATE_2=0,"",IFERROR(IF(CURRENCY.FORMAT_2=0,CONCATENATE(TEXT(FIXED(ROUND(IF(EXC.RATE.SWITCH=1,C1333/EXC.RATE_2,C1333*EXC.RATE_2),CURRENCY.FORMAT_2),CURRENCY.FORMAT_2,1),"# ##0;-# ##0"),",-"),FIXED(ROUND(IF(EXC.RATE.SWITCH=1,C1333/EXC.RATE_2,C1333*EXC.RATE_2),CURRENCY.FORMAT_2),CURRENCY.FORMAT_2,0)),'DICTIONARY-5'!$A$2))</f>
        <v/>
      </c>
      <c r="L1333" s="670" t="str">
        <f>IFERROR(IF(CURRENCY.FORMAT_1=0,CONCATENATE(TEXT(FIXED(ROUND((C1333*(1-I1333)*(1-ADD.DISCOUNT)*(1+MAT.SURCHARGE)/EXC.RATE_1),CURRENCY.FORMAT_1),CURRENCY.FORMAT_1,1),"# ##0;-# ##0"),",-"),FIXED(ROUND((C1333*(1-I1333)*(1-ADD.DISCOUNT)*(1+MAT.SURCHARGE)/EXC.RATE_1),CURRENCY.FORMAT_1),CURRENCY.FORMAT_1,0)),'DICTIONARY-5'!$A$2)</f>
        <v>1 812,-</v>
      </c>
      <c r="M1333" s="670" t="str">
        <f>IF(EXC.RATE_2=0,"",IFERROR(IF(CURRENCY.FORMAT_2=0,CONCATENATE(TEXT(FIXED(ROUND(IF(EXC.RATE.SWITCH=1,C1333*(1-I1333)*(1-ADD.DISCOUNT)*(1+MAT.SURCHARGE)/EXC.RATE_2,C1333*(1-I1333)*(1-ADD.DISCOUNT)*(1+MAT.SURCHARGE)*EXC.RATE_2),CURRENCY.FORMAT_2),CURRENCY.FORMAT_2,1),"# ##0;-# ##0"),",-"),FIXED(ROUND(IF(EXC.RATE.SWITCH=1,C1333*(1-I1333)*(1-ADD.DISCOUNT)*(1+MAT.SURCHARGE)/EXC.RATE_2,C1333*(1-I1333)*(1-ADD.DISCOUNT)*(1+MAT.SURCHARGE)*EXC.RATE_2),CURRENCY.FORMAT_2),CURRENCY.FORMAT_2,0)),'DICTIONARY-5'!$A$2))</f>
        <v/>
      </c>
      <c r="N1333" s="539">
        <v>5</v>
      </c>
      <c r="O1333" s="539"/>
      <c r="P1333" s="731" t="str">
        <f>'DICTIONARY-3'!$A$100</f>
        <v>LIMU-STOP</v>
      </c>
      <c r="Q1333" s="732" t="str">
        <f>'DICTIONARY-3'!$A$200</f>
        <v>Zawór zwrotny</v>
      </c>
      <c r="R1333" s="732" t="str">
        <f>CONCATENATE('DICTIONARY-3'!$A$100," ",'DICTIONARY-6'!$A$20," ",'DICTIONARY-2'!$A$2,"200"," ",'DICTIONARY-2'!$A$3,"16"," ","R48",", ",'DICTIONARY-5'!$A$45,", ",'DICTIONARY-4'!$A$16," ",'DICTIONARY-6'!$A$69)</f>
        <v>LIMU-STOP Zaw. zwrotny DN200 PN16 R48, NBR, DC zabud. pozioma</v>
      </c>
      <c r="S1333" s="733" t="str">
        <f>'DICTIONARY-4'!$A$16</f>
        <v>DC</v>
      </c>
      <c r="T1333" s="732" t="str">
        <f>'DICTIONARY-4'!$A$32</f>
        <v>Dżwignia z ciężarem</v>
      </c>
      <c r="U1333" s="734" t="s">
        <v>5750</v>
      </c>
      <c r="V1333" s="735">
        <v>16</v>
      </c>
      <c r="W1333" s="736"/>
      <c r="X1333" s="737"/>
      <c r="Y1333" s="738"/>
      <c r="Z1333" s="739"/>
      <c r="AA1333" s="739"/>
      <c r="AB1333" s="740">
        <v>16</v>
      </c>
      <c r="AC1333" s="741" t="str">
        <f>'DICTIONARY-5'!$A$11&amp;" 48"</f>
        <v>EN 558 szereg 48</v>
      </c>
      <c r="AD1333" s="741" t="str">
        <f>'DICTIONARY-5'!$A$14</f>
        <v>ścieki</v>
      </c>
      <c r="AE1333" s="742">
        <v>80</v>
      </c>
      <c r="AF1333" s="743">
        <v>112</v>
      </c>
      <c r="AG1333" s="741" t="str">
        <f>'DICTIONARY-5'!$A$23</f>
        <v>powłoka epoksydowa</v>
      </c>
    </row>
    <row r="1334" spans="1:33" x14ac:dyDescent="0.25">
      <c r="A1334" s="861" t="s">
        <v>1336</v>
      </c>
      <c r="B1334" s="861" t="s">
        <v>4347</v>
      </c>
      <c r="C1334" s="836">
        <v>3075</v>
      </c>
      <c r="D1334" s="836"/>
      <c r="E1334" s="836"/>
      <c r="F1334" s="836"/>
      <c r="G1334" s="496" t="s">
        <v>7825</v>
      </c>
      <c r="H1334" s="797" t="str">
        <f>VLOOKUP(G1334,SETTINGS!$B$7:$D$97,2,0)</f>
        <v>LIMU-STOP</v>
      </c>
      <c r="I1334" s="796">
        <f>VLOOKUP(G1334,SETTINGS!$B$7:$D$97,3,0)</f>
        <v>0</v>
      </c>
      <c r="J1334" s="670" t="str">
        <f>IFERROR(IF(CURRENCY.FORMAT_1=0,CONCATENATE(TEXT(FIXED(ROUND((C1334/EXC.RATE_1),CURRENCY.FORMAT_1),CURRENCY.FORMAT_1,1),"# ##0;-# ##0"),",-"),FIXED(ROUND((C1334/EXC.RATE_1),CURRENCY.FORMAT_1),CURRENCY.FORMAT_1,0)),'DICTIONARY-5'!$A$2)</f>
        <v>3 075,-</v>
      </c>
      <c r="K1334" s="670" t="str">
        <f>IF(EXC.RATE_2=0,"",IFERROR(IF(CURRENCY.FORMAT_2=0,CONCATENATE(TEXT(FIXED(ROUND(IF(EXC.RATE.SWITCH=1,C1334/EXC.RATE_2,C1334*EXC.RATE_2),CURRENCY.FORMAT_2),CURRENCY.FORMAT_2,1),"# ##0;-# ##0"),",-"),FIXED(ROUND(IF(EXC.RATE.SWITCH=1,C1334/EXC.RATE_2,C1334*EXC.RATE_2),CURRENCY.FORMAT_2),CURRENCY.FORMAT_2,0)),'DICTIONARY-5'!$A$2))</f>
        <v/>
      </c>
      <c r="L1334" s="670" t="str">
        <f>IFERROR(IF(CURRENCY.FORMAT_1=0,CONCATENATE(TEXT(FIXED(ROUND((C1334*(1-I1334)*(1-ADD.DISCOUNT)*(1+MAT.SURCHARGE)/EXC.RATE_1),CURRENCY.FORMAT_1),CURRENCY.FORMAT_1,1),"# ##0;-# ##0"),",-"),FIXED(ROUND((C1334*(1-I1334)*(1-ADD.DISCOUNT)*(1+MAT.SURCHARGE)/EXC.RATE_1),CURRENCY.FORMAT_1),CURRENCY.FORMAT_1,0)),'DICTIONARY-5'!$A$2)</f>
        <v>3 195,-</v>
      </c>
      <c r="M1334" s="670" t="str">
        <f>IF(EXC.RATE_2=0,"",IFERROR(IF(CURRENCY.FORMAT_2=0,CONCATENATE(TEXT(FIXED(ROUND(IF(EXC.RATE.SWITCH=1,C1334*(1-I1334)*(1-ADD.DISCOUNT)*(1+MAT.SURCHARGE)/EXC.RATE_2,C1334*(1-I1334)*(1-ADD.DISCOUNT)*(1+MAT.SURCHARGE)*EXC.RATE_2),CURRENCY.FORMAT_2),CURRENCY.FORMAT_2,1),"# ##0;-# ##0"),",-"),FIXED(ROUND(IF(EXC.RATE.SWITCH=1,C1334*(1-I1334)*(1-ADD.DISCOUNT)*(1+MAT.SURCHARGE)/EXC.RATE_2,C1334*(1-I1334)*(1-ADD.DISCOUNT)*(1+MAT.SURCHARGE)*EXC.RATE_2),CURRENCY.FORMAT_2),CURRENCY.FORMAT_2,0)),'DICTIONARY-5'!$A$2))</f>
        <v/>
      </c>
      <c r="N1334" s="539">
        <v>5</v>
      </c>
      <c r="O1334" s="539"/>
      <c r="P1334" s="731" t="str">
        <f>'DICTIONARY-3'!$A$100</f>
        <v>LIMU-STOP</v>
      </c>
      <c r="Q1334" s="732" t="str">
        <f>'DICTIONARY-3'!$A$200</f>
        <v>Zawór zwrotny</v>
      </c>
      <c r="R1334" s="732" t="str">
        <f>CONCATENATE('DICTIONARY-3'!$A$100," ",'DICTIONARY-6'!$A$20," ",'DICTIONARY-2'!$A$2,"250"," ",'DICTIONARY-2'!$A$3,"10"," ","R48",", ",'DICTIONARY-5'!$A$45,", ",'DICTIONARY-4'!$A$16," ",'DICTIONARY-6'!$A$69)</f>
        <v>LIMU-STOP Zaw. zwrotny DN250 PN10 R48, NBR, DC zabud. pozioma</v>
      </c>
      <c r="S1334" s="733" t="str">
        <f>'DICTIONARY-4'!$A$16</f>
        <v>DC</v>
      </c>
      <c r="T1334" s="732" t="str">
        <f>'DICTIONARY-4'!$A$32</f>
        <v>Dżwignia z ciężarem</v>
      </c>
      <c r="U1334" s="734" t="s">
        <v>5751</v>
      </c>
      <c r="V1334" s="735">
        <v>10</v>
      </c>
      <c r="W1334" s="736"/>
      <c r="X1334" s="737"/>
      <c r="Y1334" s="738"/>
      <c r="Z1334" s="739"/>
      <c r="AA1334" s="739"/>
      <c r="AB1334" s="740">
        <v>10</v>
      </c>
      <c r="AC1334" s="741" t="str">
        <f>'DICTIONARY-5'!$A$11&amp;" 48"</f>
        <v>EN 558 szereg 48</v>
      </c>
      <c r="AD1334" s="741" t="str">
        <f>'DICTIONARY-5'!$A$14</f>
        <v>ścieki</v>
      </c>
      <c r="AE1334" s="742">
        <v>80</v>
      </c>
      <c r="AF1334" s="743">
        <v>177</v>
      </c>
      <c r="AG1334" s="741" t="str">
        <f>'DICTIONARY-5'!$A$23</f>
        <v>powłoka epoksydowa</v>
      </c>
    </row>
    <row r="1335" spans="1:33" x14ac:dyDescent="0.25">
      <c r="A1335" s="861" t="s">
        <v>1338</v>
      </c>
      <c r="B1335" s="861" t="s">
        <v>4341</v>
      </c>
      <c r="C1335" s="836">
        <v>3075</v>
      </c>
      <c r="D1335" s="836"/>
      <c r="E1335" s="836"/>
      <c r="F1335" s="836"/>
      <c r="G1335" s="496" t="s">
        <v>7825</v>
      </c>
      <c r="H1335" s="797" t="str">
        <f>VLOOKUP(G1335,SETTINGS!$B$7:$D$97,2,0)</f>
        <v>LIMU-STOP</v>
      </c>
      <c r="I1335" s="796">
        <f>VLOOKUP(G1335,SETTINGS!$B$7:$D$97,3,0)</f>
        <v>0</v>
      </c>
      <c r="J1335" s="670" t="str">
        <f>IFERROR(IF(CURRENCY.FORMAT_1=0,CONCATENATE(TEXT(FIXED(ROUND((C1335/EXC.RATE_1),CURRENCY.FORMAT_1),CURRENCY.FORMAT_1,1),"# ##0;-# ##0"),",-"),FIXED(ROUND((C1335/EXC.RATE_1),CURRENCY.FORMAT_1),CURRENCY.FORMAT_1,0)),'DICTIONARY-5'!$A$2)</f>
        <v>3 075,-</v>
      </c>
      <c r="K1335" s="670" t="str">
        <f>IF(EXC.RATE_2=0,"",IFERROR(IF(CURRENCY.FORMAT_2=0,CONCATENATE(TEXT(FIXED(ROUND(IF(EXC.RATE.SWITCH=1,C1335/EXC.RATE_2,C1335*EXC.RATE_2),CURRENCY.FORMAT_2),CURRENCY.FORMAT_2,1),"# ##0;-# ##0"),",-"),FIXED(ROUND(IF(EXC.RATE.SWITCH=1,C1335/EXC.RATE_2,C1335*EXC.RATE_2),CURRENCY.FORMAT_2),CURRENCY.FORMAT_2,0)),'DICTIONARY-5'!$A$2))</f>
        <v/>
      </c>
      <c r="L1335" s="670" t="str">
        <f>IFERROR(IF(CURRENCY.FORMAT_1=0,CONCATENATE(TEXT(FIXED(ROUND((C1335*(1-I1335)*(1-ADD.DISCOUNT)*(1+MAT.SURCHARGE)/EXC.RATE_1),CURRENCY.FORMAT_1),CURRENCY.FORMAT_1,1),"# ##0;-# ##0"),",-"),FIXED(ROUND((C1335*(1-I1335)*(1-ADD.DISCOUNT)*(1+MAT.SURCHARGE)/EXC.RATE_1),CURRENCY.FORMAT_1),CURRENCY.FORMAT_1,0)),'DICTIONARY-5'!$A$2)</f>
        <v>3 195,-</v>
      </c>
      <c r="M1335" s="670" t="str">
        <f>IF(EXC.RATE_2=0,"",IFERROR(IF(CURRENCY.FORMAT_2=0,CONCATENATE(TEXT(FIXED(ROUND(IF(EXC.RATE.SWITCH=1,C1335*(1-I1335)*(1-ADD.DISCOUNT)*(1+MAT.SURCHARGE)/EXC.RATE_2,C1335*(1-I1335)*(1-ADD.DISCOUNT)*(1+MAT.SURCHARGE)*EXC.RATE_2),CURRENCY.FORMAT_2),CURRENCY.FORMAT_2,1),"# ##0;-# ##0"),",-"),FIXED(ROUND(IF(EXC.RATE.SWITCH=1,C1335*(1-I1335)*(1-ADD.DISCOUNT)*(1+MAT.SURCHARGE)/EXC.RATE_2,C1335*(1-I1335)*(1-ADD.DISCOUNT)*(1+MAT.SURCHARGE)*EXC.RATE_2),CURRENCY.FORMAT_2),CURRENCY.FORMAT_2,0)),'DICTIONARY-5'!$A$2))</f>
        <v/>
      </c>
      <c r="N1335" s="539">
        <v>5</v>
      </c>
      <c r="O1335" s="539"/>
      <c r="P1335" s="731" t="str">
        <f>'DICTIONARY-3'!$A$100</f>
        <v>LIMU-STOP</v>
      </c>
      <c r="Q1335" s="732" t="str">
        <f>'DICTIONARY-3'!$A$200</f>
        <v>Zawór zwrotny</v>
      </c>
      <c r="R1335" s="732" t="str">
        <f>CONCATENATE('DICTIONARY-3'!$A$100," ",'DICTIONARY-6'!$A$20," ",'DICTIONARY-2'!$A$2,"250"," ",'DICTIONARY-2'!$A$3,"16"," ","R48",", ",'DICTIONARY-5'!$A$45,", ",'DICTIONARY-4'!$A$16," ",'DICTIONARY-6'!$A$69)</f>
        <v>LIMU-STOP Zaw. zwrotny DN250 PN16 R48, NBR, DC zabud. pozioma</v>
      </c>
      <c r="S1335" s="733" t="str">
        <f>'DICTIONARY-4'!$A$16</f>
        <v>DC</v>
      </c>
      <c r="T1335" s="732" t="str">
        <f>'DICTIONARY-4'!$A$32</f>
        <v>Dżwignia z ciężarem</v>
      </c>
      <c r="U1335" s="734" t="s">
        <v>5751</v>
      </c>
      <c r="V1335" s="735">
        <v>16</v>
      </c>
      <c r="W1335" s="736"/>
      <c r="X1335" s="737"/>
      <c r="Y1335" s="738"/>
      <c r="Z1335" s="739"/>
      <c r="AA1335" s="739"/>
      <c r="AB1335" s="740">
        <v>16</v>
      </c>
      <c r="AC1335" s="741" t="str">
        <f>'DICTIONARY-5'!$A$11&amp;" 48"</f>
        <v>EN 558 szereg 48</v>
      </c>
      <c r="AD1335" s="741" t="str">
        <f>'DICTIONARY-5'!$A$14</f>
        <v>ścieki</v>
      </c>
      <c r="AE1335" s="742">
        <v>80</v>
      </c>
      <c r="AF1335" s="743">
        <v>176</v>
      </c>
      <c r="AG1335" s="741" t="str">
        <f>'DICTIONARY-5'!$A$23</f>
        <v>powłoka epoksydowa</v>
      </c>
    </row>
    <row r="1336" spans="1:33" x14ac:dyDescent="0.25">
      <c r="A1336" s="861" t="s">
        <v>1340</v>
      </c>
      <c r="B1336" s="861" t="s">
        <v>4349</v>
      </c>
      <c r="C1336" s="836">
        <v>4184</v>
      </c>
      <c r="D1336" s="836"/>
      <c r="E1336" s="836"/>
      <c r="F1336" s="836"/>
      <c r="G1336" s="496" t="s">
        <v>7825</v>
      </c>
      <c r="H1336" s="797" t="str">
        <f>VLOOKUP(G1336,SETTINGS!$B$7:$D$97,2,0)</f>
        <v>LIMU-STOP</v>
      </c>
      <c r="I1336" s="796">
        <f>VLOOKUP(G1336,SETTINGS!$B$7:$D$97,3,0)</f>
        <v>0</v>
      </c>
      <c r="J1336" s="670" t="str">
        <f>IFERROR(IF(CURRENCY.FORMAT_1=0,CONCATENATE(TEXT(FIXED(ROUND((C1336/EXC.RATE_1),CURRENCY.FORMAT_1),CURRENCY.FORMAT_1,1),"# ##0;-# ##0"),",-"),FIXED(ROUND((C1336/EXC.RATE_1),CURRENCY.FORMAT_1),CURRENCY.FORMAT_1,0)),'DICTIONARY-5'!$A$2)</f>
        <v>4 184,-</v>
      </c>
      <c r="K1336" s="670" t="str">
        <f>IF(EXC.RATE_2=0,"",IFERROR(IF(CURRENCY.FORMAT_2=0,CONCATENATE(TEXT(FIXED(ROUND(IF(EXC.RATE.SWITCH=1,C1336/EXC.RATE_2,C1336*EXC.RATE_2),CURRENCY.FORMAT_2),CURRENCY.FORMAT_2,1),"# ##0;-# ##0"),",-"),FIXED(ROUND(IF(EXC.RATE.SWITCH=1,C1336/EXC.RATE_2,C1336*EXC.RATE_2),CURRENCY.FORMAT_2),CURRENCY.FORMAT_2,0)),'DICTIONARY-5'!$A$2))</f>
        <v/>
      </c>
      <c r="L1336" s="670" t="str">
        <f>IFERROR(IF(CURRENCY.FORMAT_1=0,CONCATENATE(TEXT(FIXED(ROUND((C1336*(1-I1336)*(1-ADD.DISCOUNT)*(1+MAT.SURCHARGE)/EXC.RATE_1),CURRENCY.FORMAT_1),CURRENCY.FORMAT_1,1),"# ##0;-# ##0"),",-"),FIXED(ROUND((C1336*(1-I1336)*(1-ADD.DISCOUNT)*(1+MAT.SURCHARGE)/EXC.RATE_1),CURRENCY.FORMAT_1),CURRENCY.FORMAT_1,0)),'DICTIONARY-5'!$A$2)</f>
        <v>4 347,-</v>
      </c>
      <c r="M1336" s="670" t="str">
        <f>IF(EXC.RATE_2=0,"",IFERROR(IF(CURRENCY.FORMAT_2=0,CONCATENATE(TEXT(FIXED(ROUND(IF(EXC.RATE.SWITCH=1,C1336*(1-I1336)*(1-ADD.DISCOUNT)*(1+MAT.SURCHARGE)/EXC.RATE_2,C1336*(1-I1336)*(1-ADD.DISCOUNT)*(1+MAT.SURCHARGE)*EXC.RATE_2),CURRENCY.FORMAT_2),CURRENCY.FORMAT_2,1),"# ##0;-# ##0"),",-"),FIXED(ROUND(IF(EXC.RATE.SWITCH=1,C1336*(1-I1336)*(1-ADD.DISCOUNT)*(1+MAT.SURCHARGE)/EXC.RATE_2,C1336*(1-I1336)*(1-ADD.DISCOUNT)*(1+MAT.SURCHARGE)*EXC.RATE_2),CURRENCY.FORMAT_2),CURRENCY.FORMAT_2,0)),'DICTIONARY-5'!$A$2))</f>
        <v/>
      </c>
      <c r="N1336" s="539">
        <v>5</v>
      </c>
      <c r="O1336" s="539"/>
      <c r="P1336" s="731" t="str">
        <f>'DICTIONARY-3'!$A$100</f>
        <v>LIMU-STOP</v>
      </c>
      <c r="Q1336" s="732" t="str">
        <f>'DICTIONARY-3'!$A$200</f>
        <v>Zawór zwrotny</v>
      </c>
      <c r="R1336" s="732" t="str">
        <f>CONCATENATE('DICTIONARY-3'!$A$100," ",'DICTIONARY-6'!$A$20," ",'DICTIONARY-2'!$A$2,"300"," ",'DICTIONARY-2'!$A$3,"10"," ","R48",", ",'DICTIONARY-5'!$A$45,", ",'DICTIONARY-4'!$A$16," ",'DICTIONARY-6'!$A$69)</f>
        <v>LIMU-STOP Zaw. zwrotny DN300 PN10 R48, NBR, DC zabud. pozioma</v>
      </c>
      <c r="S1336" s="733" t="str">
        <f>'DICTIONARY-4'!$A$16</f>
        <v>DC</v>
      </c>
      <c r="T1336" s="732" t="str">
        <f>'DICTIONARY-4'!$A$32</f>
        <v>Dżwignia z ciężarem</v>
      </c>
      <c r="U1336" s="734" t="s">
        <v>5752</v>
      </c>
      <c r="V1336" s="735">
        <v>10</v>
      </c>
      <c r="W1336" s="736"/>
      <c r="X1336" s="737"/>
      <c r="Y1336" s="738"/>
      <c r="Z1336" s="739"/>
      <c r="AA1336" s="739"/>
      <c r="AB1336" s="740">
        <v>10</v>
      </c>
      <c r="AC1336" s="741" t="str">
        <f>'DICTIONARY-5'!$A$11&amp;" 48"</f>
        <v>EN 558 szereg 48</v>
      </c>
      <c r="AD1336" s="741" t="str">
        <f>'DICTIONARY-5'!$A$14</f>
        <v>ścieki</v>
      </c>
      <c r="AE1336" s="742">
        <v>80</v>
      </c>
      <c r="AF1336" s="743">
        <v>246</v>
      </c>
      <c r="AG1336" s="741" t="str">
        <f>'DICTIONARY-5'!$A$23</f>
        <v>powłoka epoksydowa</v>
      </c>
    </row>
    <row r="1337" spans="1:33" x14ac:dyDescent="0.25">
      <c r="A1337" s="861" t="s">
        <v>1342</v>
      </c>
      <c r="B1337" s="861" t="s">
        <v>4343</v>
      </c>
      <c r="C1337" s="836">
        <v>4184</v>
      </c>
      <c r="D1337" s="836"/>
      <c r="E1337" s="836"/>
      <c r="F1337" s="836"/>
      <c r="G1337" s="496" t="s">
        <v>7825</v>
      </c>
      <c r="H1337" s="797" t="str">
        <f>VLOOKUP(G1337,SETTINGS!$B$7:$D$97,2,0)</f>
        <v>LIMU-STOP</v>
      </c>
      <c r="I1337" s="796">
        <f>VLOOKUP(G1337,SETTINGS!$B$7:$D$97,3,0)</f>
        <v>0</v>
      </c>
      <c r="J1337" s="670" t="str">
        <f>IFERROR(IF(CURRENCY.FORMAT_1=0,CONCATENATE(TEXT(FIXED(ROUND((C1337/EXC.RATE_1),CURRENCY.FORMAT_1),CURRENCY.FORMAT_1,1),"# ##0;-# ##0"),",-"),FIXED(ROUND((C1337/EXC.RATE_1),CURRENCY.FORMAT_1),CURRENCY.FORMAT_1,0)),'DICTIONARY-5'!$A$2)</f>
        <v>4 184,-</v>
      </c>
      <c r="K1337" s="670" t="str">
        <f>IF(EXC.RATE_2=0,"",IFERROR(IF(CURRENCY.FORMAT_2=0,CONCATENATE(TEXT(FIXED(ROUND(IF(EXC.RATE.SWITCH=1,C1337/EXC.RATE_2,C1337*EXC.RATE_2),CURRENCY.FORMAT_2),CURRENCY.FORMAT_2,1),"# ##0;-# ##0"),",-"),FIXED(ROUND(IF(EXC.RATE.SWITCH=1,C1337/EXC.RATE_2,C1337*EXC.RATE_2),CURRENCY.FORMAT_2),CURRENCY.FORMAT_2,0)),'DICTIONARY-5'!$A$2))</f>
        <v/>
      </c>
      <c r="L1337" s="670" t="str">
        <f>IFERROR(IF(CURRENCY.FORMAT_1=0,CONCATENATE(TEXT(FIXED(ROUND((C1337*(1-I1337)*(1-ADD.DISCOUNT)*(1+MAT.SURCHARGE)/EXC.RATE_1),CURRENCY.FORMAT_1),CURRENCY.FORMAT_1,1),"# ##0;-# ##0"),",-"),FIXED(ROUND((C1337*(1-I1337)*(1-ADD.DISCOUNT)*(1+MAT.SURCHARGE)/EXC.RATE_1),CURRENCY.FORMAT_1),CURRENCY.FORMAT_1,0)),'DICTIONARY-5'!$A$2)</f>
        <v>4 347,-</v>
      </c>
      <c r="M1337" s="670" t="str">
        <f>IF(EXC.RATE_2=0,"",IFERROR(IF(CURRENCY.FORMAT_2=0,CONCATENATE(TEXT(FIXED(ROUND(IF(EXC.RATE.SWITCH=1,C1337*(1-I1337)*(1-ADD.DISCOUNT)*(1+MAT.SURCHARGE)/EXC.RATE_2,C1337*(1-I1337)*(1-ADD.DISCOUNT)*(1+MAT.SURCHARGE)*EXC.RATE_2),CURRENCY.FORMAT_2),CURRENCY.FORMAT_2,1),"# ##0;-# ##0"),",-"),FIXED(ROUND(IF(EXC.RATE.SWITCH=1,C1337*(1-I1337)*(1-ADD.DISCOUNT)*(1+MAT.SURCHARGE)/EXC.RATE_2,C1337*(1-I1337)*(1-ADD.DISCOUNT)*(1+MAT.SURCHARGE)*EXC.RATE_2),CURRENCY.FORMAT_2),CURRENCY.FORMAT_2,0)),'DICTIONARY-5'!$A$2))</f>
        <v/>
      </c>
      <c r="N1337" s="539">
        <v>5</v>
      </c>
      <c r="O1337" s="539"/>
      <c r="P1337" s="731" t="str">
        <f>'DICTIONARY-3'!$A$100</f>
        <v>LIMU-STOP</v>
      </c>
      <c r="Q1337" s="732" t="str">
        <f>'DICTIONARY-3'!$A$200</f>
        <v>Zawór zwrotny</v>
      </c>
      <c r="R1337" s="732" t="str">
        <f>CONCATENATE('DICTIONARY-3'!$A$100," ",'DICTIONARY-6'!$A$20," ",'DICTIONARY-2'!$A$2,"300"," ",'DICTIONARY-2'!$A$3,"16"," ","R48",", ",'DICTIONARY-5'!$A$45,", ",'DICTIONARY-4'!$A$16," ",'DICTIONARY-6'!$A$69)</f>
        <v>LIMU-STOP Zaw. zwrotny DN300 PN16 R48, NBR, DC zabud. pozioma</v>
      </c>
      <c r="S1337" s="733" t="str">
        <f>'DICTIONARY-4'!$A$16</f>
        <v>DC</v>
      </c>
      <c r="T1337" s="732" t="str">
        <f>'DICTIONARY-4'!$A$32</f>
        <v>Dżwignia z ciężarem</v>
      </c>
      <c r="U1337" s="734" t="s">
        <v>5752</v>
      </c>
      <c r="V1337" s="735">
        <v>16</v>
      </c>
      <c r="W1337" s="736"/>
      <c r="X1337" s="737"/>
      <c r="Y1337" s="738"/>
      <c r="Z1337" s="739"/>
      <c r="AA1337" s="739"/>
      <c r="AB1337" s="740">
        <v>16</v>
      </c>
      <c r="AC1337" s="741" t="str">
        <f>'DICTIONARY-5'!$A$11&amp;" 48"</f>
        <v>EN 558 szereg 48</v>
      </c>
      <c r="AD1337" s="741" t="str">
        <f>'DICTIONARY-5'!$A$14</f>
        <v>ścieki</v>
      </c>
      <c r="AE1337" s="742">
        <v>80</v>
      </c>
      <c r="AF1337" s="743">
        <v>241.5</v>
      </c>
      <c r="AG1337" s="741" t="str">
        <f>'DICTIONARY-5'!$A$23</f>
        <v>powłoka epoksydowa</v>
      </c>
    </row>
    <row r="1338" spans="1:33" x14ac:dyDescent="0.25">
      <c r="A1338" s="861" t="s">
        <v>1343</v>
      </c>
      <c r="B1338" s="861" t="s">
        <v>4350</v>
      </c>
      <c r="C1338" s="836">
        <v>681</v>
      </c>
      <c r="D1338" s="836"/>
      <c r="E1338" s="836"/>
      <c r="F1338" s="836"/>
      <c r="G1338" s="496" t="s">
        <v>7825</v>
      </c>
      <c r="H1338" s="797" t="str">
        <f>VLOOKUP(G1338,SETTINGS!$B$7:$D$97,2,0)</f>
        <v>LIMU-STOP</v>
      </c>
      <c r="I1338" s="796">
        <f>VLOOKUP(G1338,SETTINGS!$B$7:$D$97,3,0)</f>
        <v>0</v>
      </c>
      <c r="J1338" s="670" t="str">
        <f>IFERROR(IF(CURRENCY.FORMAT_1=0,CONCATENATE(TEXT(FIXED(ROUND((C1338/EXC.RATE_1),CURRENCY.FORMAT_1),CURRENCY.FORMAT_1,1),"# ##0;-# ##0"),",-"),FIXED(ROUND((C1338/EXC.RATE_1),CURRENCY.FORMAT_1),CURRENCY.FORMAT_1,0)),'DICTIONARY-5'!$A$2)</f>
        <v>681,-</v>
      </c>
      <c r="K1338" s="670" t="str">
        <f>IF(EXC.RATE_2=0,"",IFERROR(IF(CURRENCY.FORMAT_2=0,CONCATENATE(TEXT(FIXED(ROUND(IF(EXC.RATE.SWITCH=1,C1338/EXC.RATE_2,C1338*EXC.RATE_2),CURRENCY.FORMAT_2),CURRENCY.FORMAT_2,1),"# ##0;-# ##0"),",-"),FIXED(ROUND(IF(EXC.RATE.SWITCH=1,C1338/EXC.RATE_2,C1338*EXC.RATE_2),CURRENCY.FORMAT_2),CURRENCY.FORMAT_2,0)),'DICTIONARY-5'!$A$2))</f>
        <v/>
      </c>
      <c r="L1338" s="670" t="str">
        <f>IFERROR(IF(CURRENCY.FORMAT_1=0,CONCATENATE(TEXT(FIXED(ROUND((C1338*(1-I1338)*(1-ADD.DISCOUNT)*(1+MAT.SURCHARGE)/EXC.RATE_1),CURRENCY.FORMAT_1),CURRENCY.FORMAT_1,1),"# ##0;-# ##0"),",-"),FIXED(ROUND((C1338*(1-I1338)*(1-ADD.DISCOUNT)*(1+MAT.SURCHARGE)/EXC.RATE_1),CURRENCY.FORMAT_1),CURRENCY.FORMAT_1,0)),'DICTIONARY-5'!$A$2)</f>
        <v>708,-</v>
      </c>
      <c r="M1338" s="670" t="str">
        <f>IF(EXC.RATE_2=0,"",IFERROR(IF(CURRENCY.FORMAT_2=0,CONCATENATE(TEXT(FIXED(ROUND(IF(EXC.RATE.SWITCH=1,C1338*(1-I1338)*(1-ADD.DISCOUNT)*(1+MAT.SURCHARGE)/EXC.RATE_2,C1338*(1-I1338)*(1-ADD.DISCOUNT)*(1+MAT.SURCHARGE)*EXC.RATE_2),CURRENCY.FORMAT_2),CURRENCY.FORMAT_2,1),"# ##0;-# ##0"),",-"),FIXED(ROUND(IF(EXC.RATE.SWITCH=1,C1338*(1-I1338)*(1-ADD.DISCOUNT)*(1+MAT.SURCHARGE)/EXC.RATE_2,C1338*(1-I1338)*(1-ADD.DISCOUNT)*(1+MAT.SURCHARGE)*EXC.RATE_2),CURRENCY.FORMAT_2),CURRENCY.FORMAT_2,0)),'DICTIONARY-5'!$A$2))</f>
        <v/>
      </c>
      <c r="N1338" s="539">
        <v>5</v>
      </c>
      <c r="O1338" s="539"/>
      <c r="P1338" s="731" t="str">
        <f>'DICTIONARY-3'!$A$100</f>
        <v>LIMU-STOP</v>
      </c>
      <c r="Q1338" s="732" t="str">
        <f>'DICTIONARY-3'!$A$200</f>
        <v>Zawór zwrotny</v>
      </c>
      <c r="R1338" s="732" t="str">
        <f>CONCATENATE('DICTIONARY-3'!$A$100," ",'DICTIONARY-6'!$A$20," ",'DICTIONARY-2'!$A$2,"50"," ",'DICTIONARY-2'!$A$3,"10/16"," ","R48",", ",'DICTIONARY-5'!$A$45,", ",'DICTIONARY-4'!$A$16,"+",'DICTIONARY-6'!$A$71," ",'DICTIONARY-6'!$A$70)</f>
        <v>LIMU-STOP Zaw. zwrotny DN50 PN10/16 R48, NBR, DC+klatka ochronna zabud. pionowa</v>
      </c>
      <c r="S1338" s="733" t="str">
        <f>'DICTIONARY-4'!$A$16</f>
        <v>DC</v>
      </c>
      <c r="T1338" s="732" t="str">
        <f>'DICTIONARY-4'!$A$32</f>
        <v>Dżwignia z ciężarem</v>
      </c>
      <c r="U1338" s="734" t="s">
        <v>5748</v>
      </c>
      <c r="V1338" s="735">
        <v>16</v>
      </c>
      <c r="W1338" s="736"/>
      <c r="X1338" s="737"/>
      <c r="Y1338" s="738"/>
      <c r="Z1338" s="739"/>
      <c r="AA1338" s="739"/>
      <c r="AB1338" s="740">
        <v>16</v>
      </c>
      <c r="AC1338" s="741" t="str">
        <f>'DICTIONARY-5'!$A$11&amp;" 48"</f>
        <v>EN 558 szereg 48</v>
      </c>
      <c r="AD1338" s="741" t="str">
        <f>'DICTIONARY-5'!$A$14</f>
        <v>ścieki</v>
      </c>
      <c r="AE1338" s="742">
        <v>80</v>
      </c>
      <c r="AF1338" s="743">
        <v>15</v>
      </c>
      <c r="AG1338" s="741" t="str">
        <f>'DICTIONARY-5'!$A$23</f>
        <v>powłoka epoksydowa</v>
      </c>
    </row>
    <row r="1339" spans="1:33" x14ac:dyDescent="0.25">
      <c r="A1339" s="861" t="s">
        <v>1345</v>
      </c>
      <c r="B1339" s="861" t="s">
        <v>4352</v>
      </c>
      <c r="C1339" s="836">
        <v>739</v>
      </c>
      <c r="D1339" s="836"/>
      <c r="E1339" s="836"/>
      <c r="F1339" s="836"/>
      <c r="G1339" s="496" t="s">
        <v>7825</v>
      </c>
      <c r="H1339" s="797" t="str">
        <f>VLOOKUP(G1339,SETTINGS!$B$7:$D$97,2,0)</f>
        <v>LIMU-STOP</v>
      </c>
      <c r="I1339" s="796">
        <f>VLOOKUP(G1339,SETTINGS!$B$7:$D$97,3,0)</f>
        <v>0</v>
      </c>
      <c r="J1339" s="670" t="str">
        <f>IFERROR(IF(CURRENCY.FORMAT_1=0,CONCATENATE(TEXT(FIXED(ROUND((C1339/EXC.RATE_1),CURRENCY.FORMAT_1),CURRENCY.FORMAT_1,1),"# ##0;-# ##0"),",-"),FIXED(ROUND((C1339/EXC.RATE_1),CURRENCY.FORMAT_1),CURRENCY.FORMAT_1,0)),'DICTIONARY-5'!$A$2)</f>
        <v>739,-</v>
      </c>
      <c r="K1339" s="670" t="str">
        <f>IF(EXC.RATE_2=0,"",IFERROR(IF(CURRENCY.FORMAT_2=0,CONCATENATE(TEXT(FIXED(ROUND(IF(EXC.RATE.SWITCH=1,C1339/EXC.RATE_2,C1339*EXC.RATE_2),CURRENCY.FORMAT_2),CURRENCY.FORMAT_2,1),"# ##0;-# ##0"),",-"),FIXED(ROUND(IF(EXC.RATE.SWITCH=1,C1339/EXC.RATE_2,C1339*EXC.RATE_2),CURRENCY.FORMAT_2),CURRENCY.FORMAT_2,0)),'DICTIONARY-5'!$A$2))</f>
        <v/>
      </c>
      <c r="L1339" s="670" t="str">
        <f>IFERROR(IF(CURRENCY.FORMAT_1=0,CONCATENATE(TEXT(FIXED(ROUND((C1339*(1-I1339)*(1-ADD.DISCOUNT)*(1+MAT.SURCHARGE)/EXC.RATE_1),CURRENCY.FORMAT_1),CURRENCY.FORMAT_1,1),"# ##0;-# ##0"),",-"),FIXED(ROUND((C1339*(1-I1339)*(1-ADD.DISCOUNT)*(1+MAT.SURCHARGE)/EXC.RATE_1),CURRENCY.FORMAT_1),CURRENCY.FORMAT_1,0)),'DICTIONARY-5'!$A$2)</f>
        <v>768,-</v>
      </c>
      <c r="M1339" s="670" t="str">
        <f>IF(EXC.RATE_2=0,"",IFERROR(IF(CURRENCY.FORMAT_2=0,CONCATENATE(TEXT(FIXED(ROUND(IF(EXC.RATE.SWITCH=1,C1339*(1-I1339)*(1-ADD.DISCOUNT)*(1+MAT.SURCHARGE)/EXC.RATE_2,C1339*(1-I1339)*(1-ADD.DISCOUNT)*(1+MAT.SURCHARGE)*EXC.RATE_2),CURRENCY.FORMAT_2),CURRENCY.FORMAT_2,1),"# ##0;-# ##0"),",-"),FIXED(ROUND(IF(EXC.RATE.SWITCH=1,C1339*(1-I1339)*(1-ADD.DISCOUNT)*(1+MAT.SURCHARGE)/EXC.RATE_2,C1339*(1-I1339)*(1-ADD.DISCOUNT)*(1+MAT.SURCHARGE)*EXC.RATE_2),CURRENCY.FORMAT_2),CURRENCY.FORMAT_2,0)),'DICTIONARY-5'!$A$2))</f>
        <v/>
      </c>
      <c r="N1339" s="539">
        <v>5</v>
      </c>
      <c r="O1339" s="539"/>
      <c r="P1339" s="731" t="str">
        <f>'DICTIONARY-3'!$A$100</f>
        <v>LIMU-STOP</v>
      </c>
      <c r="Q1339" s="732" t="str">
        <f>'DICTIONARY-3'!$A$200</f>
        <v>Zawór zwrotny</v>
      </c>
      <c r="R1339" s="732" t="str">
        <f>CONCATENATE('DICTIONARY-3'!$A$100," ",'DICTIONARY-6'!$A$20," ",'DICTIONARY-2'!$A$2,"65"," ",'DICTIONARY-2'!$A$3,"10/16"," ","R48",", ",'DICTIONARY-5'!$A$45,", ",'DICTIONARY-4'!$A$16,"+",'DICTIONARY-6'!$A$71," ",'DICTIONARY-6'!$A$70)</f>
        <v>LIMU-STOP Zaw. zwrotny DN65 PN10/16 R48, NBR, DC+klatka ochronna zabud. pionowa</v>
      </c>
      <c r="S1339" s="733" t="str">
        <f>'DICTIONARY-4'!$A$16</f>
        <v>DC</v>
      </c>
      <c r="T1339" s="732" t="str">
        <f>'DICTIONARY-4'!$A$32</f>
        <v>Dżwignia z ciężarem</v>
      </c>
      <c r="U1339" s="734" t="s">
        <v>5759</v>
      </c>
      <c r="V1339" s="735">
        <v>16</v>
      </c>
      <c r="W1339" s="736"/>
      <c r="X1339" s="737"/>
      <c r="Y1339" s="738"/>
      <c r="Z1339" s="739"/>
      <c r="AA1339" s="739"/>
      <c r="AB1339" s="740">
        <v>16</v>
      </c>
      <c r="AC1339" s="741" t="str">
        <f>'DICTIONARY-5'!$A$11&amp;" 48"</f>
        <v>EN 558 szereg 48</v>
      </c>
      <c r="AD1339" s="741" t="str">
        <f>'DICTIONARY-5'!$A$14</f>
        <v>ścieki</v>
      </c>
      <c r="AE1339" s="742">
        <v>80</v>
      </c>
      <c r="AF1339" s="743">
        <v>20</v>
      </c>
      <c r="AG1339" s="741" t="str">
        <f>'DICTIONARY-5'!$A$23</f>
        <v>powłoka epoksydowa</v>
      </c>
    </row>
    <row r="1340" spans="1:33" x14ac:dyDescent="0.25">
      <c r="A1340" s="861" t="s">
        <v>1347</v>
      </c>
      <c r="B1340" s="861" t="s">
        <v>4354</v>
      </c>
      <c r="C1340" s="836">
        <v>794</v>
      </c>
      <c r="D1340" s="836"/>
      <c r="E1340" s="836"/>
      <c r="F1340" s="836"/>
      <c r="G1340" s="496" t="s">
        <v>7825</v>
      </c>
      <c r="H1340" s="797" t="str">
        <f>VLOOKUP(G1340,SETTINGS!$B$7:$D$97,2,0)</f>
        <v>LIMU-STOP</v>
      </c>
      <c r="I1340" s="796">
        <f>VLOOKUP(G1340,SETTINGS!$B$7:$D$97,3,0)</f>
        <v>0</v>
      </c>
      <c r="J1340" s="670" t="str">
        <f>IFERROR(IF(CURRENCY.FORMAT_1=0,CONCATENATE(TEXT(FIXED(ROUND((C1340/EXC.RATE_1),CURRENCY.FORMAT_1),CURRENCY.FORMAT_1,1),"# ##0;-# ##0"),",-"),FIXED(ROUND((C1340/EXC.RATE_1),CURRENCY.FORMAT_1),CURRENCY.FORMAT_1,0)),'DICTIONARY-5'!$A$2)</f>
        <v>794,-</v>
      </c>
      <c r="K1340" s="670" t="str">
        <f>IF(EXC.RATE_2=0,"",IFERROR(IF(CURRENCY.FORMAT_2=0,CONCATENATE(TEXT(FIXED(ROUND(IF(EXC.RATE.SWITCH=1,C1340/EXC.RATE_2,C1340*EXC.RATE_2),CURRENCY.FORMAT_2),CURRENCY.FORMAT_2,1),"# ##0;-# ##0"),",-"),FIXED(ROUND(IF(EXC.RATE.SWITCH=1,C1340/EXC.RATE_2,C1340*EXC.RATE_2),CURRENCY.FORMAT_2),CURRENCY.FORMAT_2,0)),'DICTIONARY-5'!$A$2))</f>
        <v/>
      </c>
      <c r="L1340" s="670" t="str">
        <f>IFERROR(IF(CURRENCY.FORMAT_1=0,CONCATENATE(TEXT(FIXED(ROUND((C1340*(1-I1340)*(1-ADD.DISCOUNT)*(1+MAT.SURCHARGE)/EXC.RATE_1),CURRENCY.FORMAT_1),CURRENCY.FORMAT_1,1),"# ##0;-# ##0"),",-"),FIXED(ROUND((C1340*(1-I1340)*(1-ADD.DISCOUNT)*(1+MAT.SURCHARGE)/EXC.RATE_1),CURRENCY.FORMAT_1),CURRENCY.FORMAT_1,0)),'DICTIONARY-5'!$A$2)</f>
        <v>825,-</v>
      </c>
      <c r="M1340" s="670" t="str">
        <f>IF(EXC.RATE_2=0,"",IFERROR(IF(CURRENCY.FORMAT_2=0,CONCATENATE(TEXT(FIXED(ROUND(IF(EXC.RATE.SWITCH=1,C1340*(1-I1340)*(1-ADD.DISCOUNT)*(1+MAT.SURCHARGE)/EXC.RATE_2,C1340*(1-I1340)*(1-ADD.DISCOUNT)*(1+MAT.SURCHARGE)*EXC.RATE_2),CURRENCY.FORMAT_2),CURRENCY.FORMAT_2,1),"# ##0;-# ##0"),",-"),FIXED(ROUND(IF(EXC.RATE.SWITCH=1,C1340*(1-I1340)*(1-ADD.DISCOUNT)*(1+MAT.SURCHARGE)/EXC.RATE_2,C1340*(1-I1340)*(1-ADD.DISCOUNT)*(1+MAT.SURCHARGE)*EXC.RATE_2),CURRENCY.FORMAT_2),CURRENCY.FORMAT_2,0)),'DICTIONARY-5'!$A$2))</f>
        <v/>
      </c>
      <c r="N1340" s="539">
        <v>5</v>
      </c>
      <c r="O1340" s="539"/>
      <c r="P1340" s="731" t="str">
        <f>'DICTIONARY-3'!$A$100</f>
        <v>LIMU-STOP</v>
      </c>
      <c r="Q1340" s="732" t="str">
        <f>'DICTIONARY-3'!$A$200</f>
        <v>Zawór zwrotny</v>
      </c>
      <c r="R1340" s="732" t="str">
        <f>CONCATENATE('DICTIONARY-3'!$A$100," ",'DICTIONARY-6'!$A$20," ",'DICTIONARY-2'!$A$2,"80"," ",'DICTIONARY-2'!$A$3,"10/16"," ","R48",", ",'DICTIONARY-5'!$A$45,", ",'DICTIONARY-4'!$A$16,"+",'DICTIONARY-6'!$A$71," ",'DICTIONARY-6'!$A$70)</f>
        <v>LIMU-STOP Zaw. zwrotny DN80 PN10/16 R48, NBR, DC+klatka ochronna zabud. pionowa</v>
      </c>
      <c r="S1340" s="733" t="str">
        <f>'DICTIONARY-4'!$A$16</f>
        <v>DC</v>
      </c>
      <c r="T1340" s="732" t="str">
        <f>'DICTIONARY-4'!$A$32</f>
        <v>Dżwignia z ciężarem</v>
      </c>
      <c r="U1340" s="734" t="s">
        <v>5760</v>
      </c>
      <c r="V1340" s="735">
        <v>16</v>
      </c>
      <c r="W1340" s="736"/>
      <c r="X1340" s="737"/>
      <c r="Y1340" s="738"/>
      <c r="Z1340" s="739"/>
      <c r="AA1340" s="739"/>
      <c r="AB1340" s="740">
        <v>16</v>
      </c>
      <c r="AC1340" s="741" t="str">
        <f>'DICTIONARY-5'!$A$11&amp;" 48"</f>
        <v>EN 558 szereg 48</v>
      </c>
      <c r="AD1340" s="741" t="str">
        <f>'DICTIONARY-5'!$A$14</f>
        <v>ścieki</v>
      </c>
      <c r="AE1340" s="742">
        <v>80</v>
      </c>
      <c r="AF1340" s="743">
        <v>24.85</v>
      </c>
      <c r="AG1340" s="741" t="str">
        <f>'DICTIONARY-5'!$A$23</f>
        <v>powłoka epoksydowa</v>
      </c>
    </row>
    <row r="1341" spans="1:33" x14ac:dyDescent="0.25">
      <c r="A1341" s="861" t="s">
        <v>1349</v>
      </c>
      <c r="B1341" s="861" t="s">
        <v>4356</v>
      </c>
      <c r="C1341" s="836">
        <v>869</v>
      </c>
      <c r="D1341" s="836"/>
      <c r="E1341" s="836"/>
      <c r="F1341" s="836"/>
      <c r="G1341" s="496" t="s">
        <v>7825</v>
      </c>
      <c r="H1341" s="797" t="str">
        <f>VLOOKUP(G1341,SETTINGS!$B$7:$D$97,2,0)</f>
        <v>LIMU-STOP</v>
      </c>
      <c r="I1341" s="796">
        <f>VLOOKUP(G1341,SETTINGS!$B$7:$D$97,3,0)</f>
        <v>0</v>
      </c>
      <c r="J1341" s="670" t="str">
        <f>IFERROR(IF(CURRENCY.FORMAT_1=0,CONCATENATE(TEXT(FIXED(ROUND((C1341/EXC.RATE_1),CURRENCY.FORMAT_1),CURRENCY.FORMAT_1,1),"# ##0;-# ##0"),",-"),FIXED(ROUND((C1341/EXC.RATE_1),CURRENCY.FORMAT_1),CURRENCY.FORMAT_1,0)),'DICTIONARY-5'!$A$2)</f>
        <v>869,-</v>
      </c>
      <c r="K1341" s="670" t="str">
        <f>IF(EXC.RATE_2=0,"",IFERROR(IF(CURRENCY.FORMAT_2=0,CONCATENATE(TEXT(FIXED(ROUND(IF(EXC.RATE.SWITCH=1,C1341/EXC.RATE_2,C1341*EXC.RATE_2),CURRENCY.FORMAT_2),CURRENCY.FORMAT_2,1),"# ##0;-# ##0"),",-"),FIXED(ROUND(IF(EXC.RATE.SWITCH=1,C1341/EXC.RATE_2,C1341*EXC.RATE_2),CURRENCY.FORMAT_2),CURRENCY.FORMAT_2,0)),'DICTIONARY-5'!$A$2))</f>
        <v/>
      </c>
      <c r="L1341" s="670" t="str">
        <f>IFERROR(IF(CURRENCY.FORMAT_1=0,CONCATENATE(TEXT(FIXED(ROUND((C1341*(1-I1341)*(1-ADD.DISCOUNT)*(1+MAT.SURCHARGE)/EXC.RATE_1),CURRENCY.FORMAT_1),CURRENCY.FORMAT_1,1),"# ##0;-# ##0"),",-"),FIXED(ROUND((C1341*(1-I1341)*(1-ADD.DISCOUNT)*(1+MAT.SURCHARGE)/EXC.RATE_1),CURRENCY.FORMAT_1),CURRENCY.FORMAT_1,0)),'DICTIONARY-5'!$A$2)</f>
        <v>903,-</v>
      </c>
      <c r="M1341" s="670" t="str">
        <f>IF(EXC.RATE_2=0,"",IFERROR(IF(CURRENCY.FORMAT_2=0,CONCATENATE(TEXT(FIXED(ROUND(IF(EXC.RATE.SWITCH=1,C1341*(1-I1341)*(1-ADD.DISCOUNT)*(1+MAT.SURCHARGE)/EXC.RATE_2,C1341*(1-I1341)*(1-ADD.DISCOUNT)*(1+MAT.SURCHARGE)*EXC.RATE_2),CURRENCY.FORMAT_2),CURRENCY.FORMAT_2,1),"# ##0;-# ##0"),",-"),FIXED(ROUND(IF(EXC.RATE.SWITCH=1,C1341*(1-I1341)*(1-ADD.DISCOUNT)*(1+MAT.SURCHARGE)/EXC.RATE_2,C1341*(1-I1341)*(1-ADD.DISCOUNT)*(1+MAT.SURCHARGE)*EXC.RATE_2),CURRENCY.FORMAT_2),CURRENCY.FORMAT_2,0)),'DICTIONARY-5'!$A$2))</f>
        <v/>
      </c>
      <c r="N1341" s="539">
        <v>5</v>
      </c>
      <c r="O1341" s="539"/>
      <c r="P1341" s="731" t="str">
        <f>'DICTIONARY-3'!$A$100</f>
        <v>LIMU-STOP</v>
      </c>
      <c r="Q1341" s="732" t="str">
        <f>'DICTIONARY-3'!$A$200</f>
        <v>Zawór zwrotny</v>
      </c>
      <c r="R1341" s="732" t="str">
        <f>CONCATENATE('DICTIONARY-3'!$A$100," ",'DICTIONARY-6'!$A$20," ",'DICTIONARY-2'!$A$2,"100"," ",'DICTIONARY-2'!$A$3,"10/16"," ","R48",", ",'DICTIONARY-5'!$A$45,", ",'DICTIONARY-4'!$A$16,"+",'DICTIONARY-6'!$A$71," ",'DICTIONARY-6'!$A$70)</f>
        <v>LIMU-STOP Zaw. zwrotny DN100 PN10/16 R48, NBR, DC+klatka ochronna zabud. pionowa</v>
      </c>
      <c r="S1341" s="733" t="str">
        <f>'DICTIONARY-4'!$A$16</f>
        <v>DC</v>
      </c>
      <c r="T1341" s="732" t="str">
        <f>'DICTIONARY-4'!$A$32</f>
        <v>Dżwignia z ciężarem</v>
      </c>
      <c r="U1341" s="734" t="s">
        <v>5749</v>
      </c>
      <c r="V1341" s="735">
        <v>16</v>
      </c>
      <c r="W1341" s="736"/>
      <c r="X1341" s="737"/>
      <c r="Y1341" s="738"/>
      <c r="Z1341" s="739"/>
      <c r="AA1341" s="739"/>
      <c r="AB1341" s="740">
        <v>16</v>
      </c>
      <c r="AC1341" s="741" t="str">
        <f>'DICTIONARY-5'!$A$11&amp;" 48"</f>
        <v>EN 558 szereg 48</v>
      </c>
      <c r="AD1341" s="741" t="str">
        <f>'DICTIONARY-5'!$A$14</f>
        <v>ścieki</v>
      </c>
      <c r="AE1341" s="742">
        <v>80</v>
      </c>
      <c r="AF1341" s="743">
        <v>31.5</v>
      </c>
      <c r="AG1341" s="741" t="str">
        <f>'DICTIONARY-5'!$A$23</f>
        <v>powłoka epoksydowa</v>
      </c>
    </row>
    <row r="1342" spans="1:33" x14ac:dyDescent="0.25">
      <c r="A1342" s="861" t="s">
        <v>1351</v>
      </c>
      <c r="B1342" s="861" t="s">
        <v>4358</v>
      </c>
      <c r="C1342" s="836">
        <v>1209</v>
      </c>
      <c r="D1342" s="836"/>
      <c r="E1342" s="836"/>
      <c r="F1342" s="836"/>
      <c r="G1342" s="496" t="s">
        <v>7825</v>
      </c>
      <c r="H1342" s="797" t="str">
        <f>VLOOKUP(G1342,SETTINGS!$B$7:$D$97,2,0)</f>
        <v>LIMU-STOP</v>
      </c>
      <c r="I1342" s="796">
        <f>VLOOKUP(G1342,SETTINGS!$B$7:$D$97,3,0)</f>
        <v>0</v>
      </c>
      <c r="J1342" s="670" t="str">
        <f>IFERROR(IF(CURRENCY.FORMAT_1=0,CONCATENATE(TEXT(FIXED(ROUND((C1342/EXC.RATE_1),CURRENCY.FORMAT_1),CURRENCY.FORMAT_1,1),"# ##0;-# ##0"),",-"),FIXED(ROUND((C1342/EXC.RATE_1),CURRENCY.FORMAT_1),CURRENCY.FORMAT_1,0)),'DICTIONARY-5'!$A$2)</f>
        <v>1 209,-</v>
      </c>
      <c r="K1342" s="670" t="str">
        <f>IF(EXC.RATE_2=0,"",IFERROR(IF(CURRENCY.FORMAT_2=0,CONCATENATE(TEXT(FIXED(ROUND(IF(EXC.RATE.SWITCH=1,C1342/EXC.RATE_2,C1342*EXC.RATE_2),CURRENCY.FORMAT_2),CURRENCY.FORMAT_2,1),"# ##0;-# ##0"),",-"),FIXED(ROUND(IF(EXC.RATE.SWITCH=1,C1342/EXC.RATE_2,C1342*EXC.RATE_2),CURRENCY.FORMAT_2),CURRENCY.FORMAT_2,0)),'DICTIONARY-5'!$A$2))</f>
        <v/>
      </c>
      <c r="L1342" s="670" t="str">
        <f>IFERROR(IF(CURRENCY.FORMAT_1=0,CONCATENATE(TEXT(FIXED(ROUND((C1342*(1-I1342)*(1-ADD.DISCOUNT)*(1+MAT.SURCHARGE)/EXC.RATE_1),CURRENCY.FORMAT_1),CURRENCY.FORMAT_1,1),"# ##0;-# ##0"),",-"),FIXED(ROUND((C1342*(1-I1342)*(1-ADD.DISCOUNT)*(1+MAT.SURCHARGE)/EXC.RATE_1),CURRENCY.FORMAT_1),CURRENCY.FORMAT_1,0)),'DICTIONARY-5'!$A$2)</f>
        <v>1 256,-</v>
      </c>
      <c r="M1342" s="670" t="str">
        <f>IF(EXC.RATE_2=0,"",IFERROR(IF(CURRENCY.FORMAT_2=0,CONCATENATE(TEXT(FIXED(ROUND(IF(EXC.RATE.SWITCH=1,C1342*(1-I1342)*(1-ADD.DISCOUNT)*(1+MAT.SURCHARGE)/EXC.RATE_2,C1342*(1-I1342)*(1-ADD.DISCOUNT)*(1+MAT.SURCHARGE)*EXC.RATE_2),CURRENCY.FORMAT_2),CURRENCY.FORMAT_2,1),"# ##0;-# ##0"),",-"),FIXED(ROUND(IF(EXC.RATE.SWITCH=1,C1342*(1-I1342)*(1-ADD.DISCOUNT)*(1+MAT.SURCHARGE)/EXC.RATE_2,C1342*(1-I1342)*(1-ADD.DISCOUNT)*(1+MAT.SURCHARGE)*EXC.RATE_2),CURRENCY.FORMAT_2),CURRENCY.FORMAT_2,0)),'DICTIONARY-5'!$A$2))</f>
        <v/>
      </c>
      <c r="N1342" s="539">
        <v>5</v>
      </c>
      <c r="O1342" s="539"/>
      <c r="P1342" s="731" t="str">
        <f>'DICTIONARY-3'!$A$100</f>
        <v>LIMU-STOP</v>
      </c>
      <c r="Q1342" s="732" t="str">
        <f>'DICTIONARY-3'!$A$200</f>
        <v>Zawór zwrotny</v>
      </c>
      <c r="R1342" s="732" t="str">
        <f>CONCATENATE('DICTIONARY-3'!$A$100," ",'DICTIONARY-6'!$A$20," ",'DICTIONARY-2'!$A$2,"125"," ",'DICTIONARY-2'!$A$3,"10/16"," ","R48",", ",'DICTIONARY-5'!$A$45,", ",'DICTIONARY-4'!$A$16,"+",'DICTIONARY-6'!$A$71," ",'DICTIONARY-6'!$A$70)</f>
        <v>LIMU-STOP Zaw. zwrotny DN125 PN10/16 R48, NBR, DC+klatka ochronna zabud. pionowa</v>
      </c>
      <c r="S1342" s="733" t="str">
        <f>'DICTIONARY-4'!$A$16</f>
        <v>DC</v>
      </c>
      <c r="T1342" s="732" t="str">
        <f>'DICTIONARY-4'!$A$32</f>
        <v>Dżwignia z ciężarem</v>
      </c>
      <c r="U1342" s="734" t="s">
        <v>5761</v>
      </c>
      <c r="V1342" s="735">
        <v>16</v>
      </c>
      <c r="W1342" s="736"/>
      <c r="X1342" s="737"/>
      <c r="Y1342" s="738"/>
      <c r="Z1342" s="739"/>
      <c r="AA1342" s="739"/>
      <c r="AB1342" s="740">
        <v>16</v>
      </c>
      <c r="AC1342" s="741" t="str">
        <f>'DICTIONARY-5'!$A$11&amp;" 48"</f>
        <v>EN 558 szereg 48</v>
      </c>
      <c r="AD1342" s="741" t="str">
        <f>'DICTIONARY-5'!$A$14</f>
        <v>ścieki</v>
      </c>
      <c r="AE1342" s="742">
        <v>80</v>
      </c>
      <c r="AF1342" s="743">
        <v>52</v>
      </c>
      <c r="AG1342" s="741" t="str">
        <f>'DICTIONARY-5'!$A$23</f>
        <v>powłoka epoksydowa</v>
      </c>
    </row>
    <row r="1343" spans="1:33" x14ac:dyDescent="0.25">
      <c r="A1343" s="861" t="s">
        <v>1353</v>
      </c>
      <c r="B1343" s="861" t="s">
        <v>4360</v>
      </c>
      <c r="C1343" s="836">
        <v>1450</v>
      </c>
      <c r="D1343" s="836"/>
      <c r="E1343" s="836"/>
      <c r="F1343" s="836"/>
      <c r="G1343" s="496" t="s">
        <v>7825</v>
      </c>
      <c r="H1343" s="797" t="str">
        <f>VLOOKUP(G1343,SETTINGS!$B$7:$D$97,2,0)</f>
        <v>LIMU-STOP</v>
      </c>
      <c r="I1343" s="796">
        <f>VLOOKUP(G1343,SETTINGS!$B$7:$D$97,3,0)</f>
        <v>0</v>
      </c>
      <c r="J1343" s="670" t="str">
        <f>IFERROR(IF(CURRENCY.FORMAT_1=0,CONCATENATE(TEXT(FIXED(ROUND((C1343/EXC.RATE_1),CURRENCY.FORMAT_1),CURRENCY.FORMAT_1,1),"# ##0;-# ##0"),",-"),FIXED(ROUND((C1343/EXC.RATE_1),CURRENCY.FORMAT_1),CURRENCY.FORMAT_1,0)),'DICTIONARY-5'!$A$2)</f>
        <v>1 450,-</v>
      </c>
      <c r="K1343" s="670" t="str">
        <f>IF(EXC.RATE_2=0,"",IFERROR(IF(CURRENCY.FORMAT_2=0,CONCATENATE(TEXT(FIXED(ROUND(IF(EXC.RATE.SWITCH=1,C1343/EXC.RATE_2,C1343*EXC.RATE_2),CURRENCY.FORMAT_2),CURRENCY.FORMAT_2,1),"# ##0;-# ##0"),",-"),FIXED(ROUND(IF(EXC.RATE.SWITCH=1,C1343/EXC.RATE_2,C1343*EXC.RATE_2),CURRENCY.FORMAT_2),CURRENCY.FORMAT_2,0)),'DICTIONARY-5'!$A$2))</f>
        <v/>
      </c>
      <c r="L1343" s="670" t="str">
        <f>IFERROR(IF(CURRENCY.FORMAT_1=0,CONCATENATE(TEXT(FIXED(ROUND((C1343*(1-I1343)*(1-ADD.DISCOUNT)*(1+MAT.SURCHARGE)/EXC.RATE_1),CURRENCY.FORMAT_1),CURRENCY.FORMAT_1,1),"# ##0;-# ##0"),",-"),FIXED(ROUND((C1343*(1-I1343)*(1-ADD.DISCOUNT)*(1+MAT.SURCHARGE)/EXC.RATE_1),CURRENCY.FORMAT_1),CURRENCY.FORMAT_1,0)),'DICTIONARY-5'!$A$2)</f>
        <v>1 507,-</v>
      </c>
      <c r="M1343" s="670" t="str">
        <f>IF(EXC.RATE_2=0,"",IFERROR(IF(CURRENCY.FORMAT_2=0,CONCATENATE(TEXT(FIXED(ROUND(IF(EXC.RATE.SWITCH=1,C1343*(1-I1343)*(1-ADD.DISCOUNT)*(1+MAT.SURCHARGE)/EXC.RATE_2,C1343*(1-I1343)*(1-ADD.DISCOUNT)*(1+MAT.SURCHARGE)*EXC.RATE_2),CURRENCY.FORMAT_2),CURRENCY.FORMAT_2,1),"# ##0;-# ##0"),",-"),FIXED(ROUND(IF(EXC.RATE.SWITCH=1,C1343*(1-I1343)*(1-ADD.DISCOUNT)*(1+MAT.SURCHARGE)/EXC.RATE_2,C1343*(1-I1343)*(1-ADD.DISCOUNT)*(1+MAT.SURCHARGE)*EXC.RATE_2),CURRENCY.FORMAT_2),CURRENCY.FORMAT_2,0)),'DICTIONARY-5'!$A$2))</f>
        <v/>
      </c>
      <c r="N1343" s="539">
        <v>5</v>
      </c>
      <c r="O1343" s="539"/>
      <c r="P1343" s="731" t="str">
        <f>'DICTIONARY-3'!$A$100</f>
        <v>LIMU-STOP</v>
      </c>
      <c r="Q1343" s="732" t="str">
        <f>'DICTIONARY-3'!$A$200</f>
        <v>Zawór zwrotny</v>
      </c>
      <c r="R1343" s="732" t="str">
        <f>CONCATENATE('DICTIONARY-3'!$A$100," ",'DICTIONARY-6'!$A$20," ",'DICTIONARY-2'!$A$2,"150"," ",'DICTIONARY-2'!$A$3,"10/16"," ","R48",", ",'DICTIONARY-5'!$A$45,", ",'DICTIONARY-4'!$A$16,"+",'DICTIONARY-6'!$A$71," ",'DICTIONARY-6'!$A$70)</f>
        <v>LIMU-STOP Zaw. zwrotny DN150 PN10/16 R48, NBR, DC+klatka ochronna zabud. pionowa</v>
      </c>
      <c r="S1343" s="733" t="str">
        <f>'DICTIONARY-4'!$A$16</f>
        <v>DC</v>
      </c>
      <c r="T1343" s="732" t="str">
        <f>'DICTIONARY-4'!$A$32</f>
        <v>Dżwignia z ciężarem</v>
      </c>
      <c r="U1343" s="734" t="s">
        <v>5572</v>
      </c>
      <c r="V1343" s="735">
        <v>16</v>
      </c>
      <c r="W1343" s="736"/>
      <c r="X1343" s="737"/>
      <c r="Y1343" s="738"/>
      <c r="Z1343" s="739"/>
      <c r="AA1343" s="739"/>
      <c r="AB1343" s="740">
        <v>16</v>
      </c>
      <c r="AC1343" s="741" t="str">
        <f>'DICTIONARY-5'!$A$11&amp;" 48"</f>
        <v>EN 558 szereg 48</v>
      </c>
      <c r="AD1343" s="741" t="str">
        <f>'DICTIONARY-5'!$A$14</f>
        <v>ścieki</v>
      </c>
      <c r="AE1343" s="742">
        <v>80</v>
      </c>
      <c r="AF1343" s="743">
        <v>64</v>
      </c>
      <c r="AG1343" s="741" t="str">
        <f>'DICTIONARY-5'!$A$23</f>
        <v>powłoka epoksydowa</v>
      </c>
    </row>
    <row r="1344" spans="1:33" x14ac:dyDescent="0.25">
      <c r="A1344" s="861" t="s">
        <v>1355</v>
      </c>
      <c r="B1344" s="861" t="s">
        <v>4368</v>
      </c>
      <c r="C1344" s="836">
        <v>1998</v>
      </c>
      <c r="D1344" s="836"/>
      <c r="E1344" s="836"/>
      <c r="F1344" s="836"/>
      <c r="G1344" s="496" t="s">
        <v>7825</v>
      </c>
      <c r="H1344" s="797" t="str">
        <f>VLOOKUP(G1344,SETTINGS!$B$7:$D$97,2,0)</f>
        <v>LIMU-STOP</v>
      </c>
      <c r="I1344" s="796">
        <f>VLOOKUP(G1344,SETTINGS!$B$7:$D$97,3,0)</f>
        <v>0</v>
      </c>
      <c r="J1344" s="670" t="str">
        <f>IFERROR(IF(CURRENCY.FORMAT_1=0,CONCATENATE(TEXT(FIXED(ROUND((C1344/EXC.RATE_1),CURRENCY.FORMAT_1),CURRENCY.FORMAT_1,1),"# ##0;-# ##0"),",-"),FIXED(ROUND((C1344/EXC.RATE_1),CURRENCY.FORMAT_1),CURRENCY.FORMAT_1,0)),'DICTIONARY-5'!$A$2)</f>
        <v>1 998,-</v>
      </c>
      <c r="K1344" s="670" t="str">
        <f>IF(EXC.RATE_2=0,"",IFERROR(IF(CURRENCY.FORMAT_2=0,CONCATENATE(TEXT(FIXED(ROUND(IF(EXC.RATE.SWITCH=1,C1344/EXC.RATE_2,C1344*EXC.RATE_2),CURRENCY.FORMAT_2),CURRENCY.FORMAT_2,1),"# ##0;-# ##0"),",-"),FIXED(ROUND(IF(EXC.RATE.SWITCH=1,C1344/EXC.RATE_2,C1344*EXC.RATE_2),CURRENCY.FORMAT_2),CURRENCY.FORMAT_2,0)),'DICTIONARY-5'!$A$2))</f>
        <v/>
      </c>
      <c r="L1344" s="670" t="str">
        <f>IFERROR(IF(CURRENCY.FORMAT_1=0,CONCATENATE(TEXT(FIXED(ROUND((C1344*(1-I1344)*(1-ADD.DISCOUNT)*(1+MAT.SURCHARGE)/EXC.RATE_1),CURRENCY.FORMAT_1),CURRENCY.FORMAT_1,1),"# ##0;-# ##0"),",-"),FIXED(ROUND((C1344*(1-I1344)*(1-ADD.DISCOUNT)*(1+MAT.SURCHARGE)/EXC.RATE_1),CURRENCY.FORMAT_1),CURRENCY.FORMAT_1,0)),'DICTIONARY-5'!$A$2)</f>
        <v>2 076,-</v>
      </c>
      <c r="M1344" s="670" t="str">
        <f>IF(EXC.RATE_2=0,"",IFERROR(IF(CURRENCY.FORMAT_2=0,CONCATENATE(TEXT(FIXED(ROUND(IF(EXC.RATE.SWITCH=1,C1344*(1-I1344)*(1-ADD.DISCOUNT)*(1+MAT.SURCHARGE)/EXC.RATE_2,C1344*(1-I1344)*(1-ADD.DISCOUNT)*(1+MAT.SURCHARGE)*EXC.RATE_2),CURRENCY.FORMAT_2),CURRENCY.FORMAT_2,1),"# ##0;-# ##0"),",-"),FIXED(ROUND(IF(EXC.RATE.SWITCH=1,C1344*(1-I1344)*(1-ADD.DISCOUNT)*(1+MAT.SURCHARGE)/EXC.RATE_2,C1344*(1-I1344)*(1-ADD.DISCOUNT)*(1+MAT.SURCHARGE)*EXC.RATE_2),CURRENCY.FORMAT_2),CURRENCY.FORMAT_2,0)),'DICTIONARY-5'!$A$2))</f>
        <v/>
      </c>
      <c r="N1344" s="539">
        <v>5</v>
      </c>
      <c r="O1344" s="539"/>
      <c r="P1344" s="731" t="str">
        <f>'DICTIONARY-3'!$A$100</f>
        <v>LIMU-STOP</v>
      </c>
      <c r="Q1344" s="732" t="str">
        <f>'DICTIONARY-3'!$A$200</f>
        <v>Zawór zwrotny</v>
      </c>
      <c r="R1344" s="732" t="str">
        <f>CONCATENATE('DICTIONARY-3'!$A$100," ",'DICTIONARY-6'!$A$20," ",'DICTIONARY-2'!$A$2,"200"," ",'DICTIONARY-2'!$A$3,"10"," ","R48",", ",'DICTIONARY-5'!$A$45,", ",'DICTIONARY-4'!$A$16,"+",'DICTIONARY-6'!$A$71," ",'DICTIONARY-6'!$A$70)</f>
        <v>LIMU-STOP Zaw. zwrotny DN200 PN10 R48, NBR, DC+klatka ochronna zabud. pionowa</v>
      </c>
      <c r="S1344" s="733" t="str">
        <f>'DICTIONARY-4'!$A$16</f>
        <v>DC</v>
      </c>
      <c r="T1344" s="732" t="str">
        <f>'DICTIONARY-4'!$A$32</f>
        <v>Dżwignia z ciężarem</v>
      </c>
      <c r="U1344" s="734" t="s">
        <v>5750</v>
      </c>
      <c r="V1344" s="735">
        <v>10</v>
      </c>
      <c r="W1344" s="736"/>
      <c r="X1344" s="737"/>
      <c r="Y1344" s="738"/>
      <c r="Z1344" s="739"/>
      <c r="AA1344" s="739"/>
      <c r="AB1344" s="740">
        <v>10</v>
      </c>
      <c r="AC1344" s="741" t="str">
        <f>'DICTIONARY-5'!$A$11&amp;" 48"</f>
        <v>EN 558 szereg 48</v>
      </c>
      <c r="AD1344" s="741" t="str">
        <f>'DICTIONARY-5'!$A$14</f>
        <v>ścieki</v>
      </c>
      <c r="AE1344" s="742">
        <v>80</v>
      </c>
      <c r="AF1344" s="743">
        <v>116.47</v>
      </c>
      <c r="AG1344" s="741" t="str">
        <f>'DICTIONARY-5'!$A$23</f>
        <v>powłoka epoksydowa</v>
      </c>
    </row>
    <row r="1345" spans="1:33" x14ac:dyDescent="0.25">
      <c r="A1345" s="861" t="s">
        <v>1357</v>
      </c>
      <c r="B1345" s="861" t="s">
        <v>4362</v>
      </c>
      <c r="C1345" s="836">
        <v>1997</v>
      </c>
      <c r="D1345" s="836"/>
      <c r="E1345" s="836"/>
      <c r="F1345" s="836"/>
      <c r="G1345" s="496" t="s">
        <v>7825</v>
      </c>
      <c r="H1345" s="797" t="str">
        <f>VLOOKUP(G1345,SETTINGS!$B$7:$D$97,2,0)</f>
        <v>LIMU-STOP</v>
      </c>
      <c r="I1345" s="796">
        <f>VLOOKUP(G1345,SETTINGS!$B$7:$D$97,3,0)</f>
        <v>0</v>
      </c>
      <c r="J1345" s="670" t="str">
        <f>IFERROR(IF(CURRENCY.FORMAT_1=0,CONCATENATE(TEXT(FIXED(ROUND((C1345/EXC.RATE_1),CURRENCY.FORMAT_1),CURRENCY.FORMAT_1,1),"# ##0;-# ##0"),",-"),FIXED(ROUND((C1345/EXC.RATE_1),CURRENCY.FORMAT_1),CURRENCY.FORMAT_1,0)),'DICTIONARY-5'!$A$2)</f>
        <v>1 997,-</v>
      </c>
      <c r="K1345" s="670" t="str">
        <f>IF(EXC.RATE_2=0,"",IFERROR(IF(CURRENCY.FORMAT_2=0,CONCATENATE(TEXT(FIXED(ROUND(IF(EXC.RATE.SWITCH=1,C1345/EXC.RATE_2,C1345*EXC.RATE_2),CURRENCY.FORMAT_2),CURRENCY.FORMAT_2,1),"# ##0;-# ##0"),",-"),FIXED(ROUND(IF(EXC.RATE.SWITCH=1,C1345/EXC.RATE_2,C1345*EXC.RATE_2),CURRENCY.FORMAT_2),CURRENCY.FORMAT_2,0)),'DICTIONARY-5'!$A$2))</f>
        <v/>
      </c>
      <c r="L1345" s="670" t="str">
        <f>IFERROR(IF(CURRENCY.FORMAT_1=0,CONCATENATE(TEXT(FIXED(ROUND((C1345*(1-I1345)*(1-ADD.DISCOUNT)*(1+MAT.SURCHARGE)/EXC.RATE_1),CURRENCY.FORMAT_1),CURRENCY.FORMAT_1,1),"# ##0;-# ##0"),",-"),FIXED(ROUND((C1345*(1-I1345)*(1-ADD.DISCOUNT)*(1+MAT.SURCHARGE)/EXC.RATE_1),CURRENCY.FORMAT_1),CURRENCY.FORMAT_1,0)),'DICTIONARY-5'!$A$2)</f>
        <v>2 075,-</v>
      </c>
      <c r="M1345" s="670" t="str">
        <f>IF(EXC.RATE_2=0,"",IFERROR(IF(CURRENCY.FORMAT_2=0,CONCATENATE(TEXT(FIXED(ROUND(IF(EXC.RATE.SWITCH=1,C1345*(1-I1345)*(1-ADD.DISCOUNT)*(1+MAT.SURCHARGE)/EXC.RATE_2,C1345*(1-I1345)*(1-ADD.DISCOUNT)*(1+MAT.SURCHARGE)*EXC.RATE_2),CURRENCY.FORMAT_2),CURRENCY.FORMAT_2,1),"# ##0;-# ##0"),",-"),FIXED(ROUND(IF(EXC.RATE.SWITCH=1,C1345*(1-I1345)*(1-ADD.DISCOUNT)*(1+MAT.SURCHARGE)/EXC.RATE_2,C1345*(1-I1345)*(1-ADD.DISCOUNT)*(1+MAT.SURCHARGE)*EXC.RATE_2),CURRENCY.FORMAT_2),CURRENCY.FORMAT_2,0)),'DICTIONARY-5'!$A$2))</f>
        <v/>
      </c>
      <c r="N1345" s="539">
        <v>5</v>
      </c>
      <c r="O1345" s="539"/>
      <c r="P1345" s="731" t="str">
        <f>'DICTIONARY-3'!$A$100</f>
        <v>LIMU-STOP</v>
      </c>
      <c r="Q1345" s="732" t="str">
        <f>'DICTIONARY-3'!$A$200</f>
        <v>Zawór zwrotny</v>
      </c>
      <c r="R1345" s="732" t="str">
        <f>CONCATENATE('DICTIONARY-3'!$A$100," ",'DICTIONARY-6'!$A$20," ",'DICTIONARY-2'!$A$2,"200"," ",'DICTIONARY-2'!$A$3,"16"," ","R48",", ",'DICTIONARY-5'!$A$45,", ",'DICTIONARY-4'!$A$16,"+",'DICTIONARY-6'!$A$71," ",'DICTIONARY-6'!$A$70)</f>
        <v>LIMU-STOP Zaw. zwrotny DN200 PN16 R48, NBR, DC+klatka ochronna zabud. pionowa</v>
      </c>
      <c r="S1345" s="733" t="str">
        <f>'DICTIONARY-4'!$A$16</f>
        <v>DC</v>
      </c>
      <c r="T1345" s="732" t="str">
        <f>'DICTIONARY-4'!$A$32</f>
        <v>Dżwignia z ciężarem</v>
      </c>
      <c r="U1345" s="734" t="s">
        <v>5750</v>
      </c>
      <c r="V1345" s="735">
        <v>16</v>
      </c>
      <c r="W1345" s="736"/>
      <c r="X1345" s="737"/>
      <c r="Y1345" s="738"/>
      <c r="Z1345" s="739"/>
      <c r="AA1345" s="739"/>
      <c r="AB1345" s="740">
        <v>16</v>
      </c>
      <c r="AC1345" s="741" t="str">
        <f>'DICTIONARY-5'!$A$11&amp;" 48"</f>
        <v>EN 558 szereg 48</v>
      </c>
      <c r="AD1345" s="741" t="str">
        <f>'DICTIONARY-5'!$A$14</f>
        <v>ścieki</v>
      </c>
      <c r="AE1345" s="742">
        <v>80</v>
      </c>
      <c r="AF1345" s="743">
        <v>116.47</v>
      </c>
      <c r="AG1345" s="741" t="str">
        <f>'DICTIONARY-5'!$A$23</f>
        <v>powłoka epoksydowa</v>
      </c>
    </row>
    <row r="1346" spans="1:33" x14ac:dyDescent="0.25">
      <c r="A1346" s="861" t="s">
        <v>1359</v>
      </c>
      <c r="B1346" s="861" t="s">
        <v>4370</v>
      </c>
      <c r="C1346" s="836">
        <v>3383</v>
      </c>
      <c r="D1346" s="836"/>
      <c r="E1346" s="836"/>
      <c r="F1346" s="836"/>
      <c r="G1346" s="496" t="s">
        <v>7825</v>
      </c>
      <c r="H1346" s="797" t="str">
        <f>VLOOKUP(G1346,SETTINGS!$B$7:$D$97,2,0)</f>
        <v>LIMU-STOP</v>
      </c>
      <c r="I1346" s="796">
        <f>VLOOKUP(G1346,SETTINGS!$B$7:$D$97,3,0)</f>
        <v>0</v>
      </c>
      <c r="J1346" s="670" t="str">
        <f>IFERROR(IF(CURRENCY.FORMAT_1=0,CONCATENATE(TEXT(FIXED(ROUND((C1346/EXC.RATE_1),CURRENCY.FORMAT_1),CURRENCY.FORMAT_1,1),"# ##0;-# ##0"),",-"),FIXED(ROUND((C1346/EXC.RATE_1),CURRENCY.FORMAT_1),CURRENCY.FORMAT_1,0)),'DICTIONARY-5'!$A$2)</f>
        <v>3 383,-</v>
      </c>
      <c r="K1346" s="670" t="str">
        <f>IF(EXC.RATE_2=0,"",IFERROR(IF(CURRENCY.FORMAT_2=0,CONCATENATE(TEXT(FIXED(ROUND(IF(EXC.RATE.SWITCH=1,C1346/EXC.RATE_2,C1346*EXC.RATE_2),CURRENCY.FORMAT_2),CURRENCY.FORMAT_2,1),"# ##0;-# ##0"),",-"),FIXED(ROUND(IF(EXC.RATE.SWITCH=1,C1346/EXC.RATE_2,C1346*EXC.RATE_2),CURRENCY.FORMAT_2),CURRENCY.FORMAT_2,0)),'DICTIONARY-5'!$A$2))</f>
        <v/>
      </c>
      <c r="L1346" s="670" t="str">
        <f>IFERROR(IF(CURRENCY.FORMAT_1=0,CONCATENATE(TEXT(FIXED(ROUND((C1346*(1-I1346)*(1-ADD.DISCOUNT)*(1+MAT.SURCHARGE)/EXC.RATE_1),CURRENCY.FORMAT_1),CURRENCY.FORMAT_1,1),"# ##0;-# ##0"),",-"),FIXED(ROUND((C1346*(1-I1346)*(1-ADD.DISCOUNT)*(1+MAT.SURCHARGE)/EXC.RATE_1),CURRENCY.FORMAT_1),CURRENCY.FORMAT_1,0)),'DICTIONARY-5'!$A$2)</f>
        <v>3 515,-</v>
      </c>
      <c r="M1346" s="670" t="str">
        <f>IF(EXC.RATE_2=0,"",IFERROR(IF(CURRENCY.FORMAT_2=0,CONCATENATE(TEXT(FIXED(ROUND(IF(EXC.RATE.SWITCH=1,C1346*(1-I1346)*(1-ADD.DISCOUNT)*(1+MAT.SURCHARGE)/EXC.RATE_2,C1346*(1-I1346)*(1-ADD.DISCOUNT)*(1+MAT.SURCHARGE)*EXC.RATE_2),CURRENCY.FORMAT_2),CURRENCY.FORMAT_2,1),"# ##0;-# ##0"),",-"),FIXED(ROUND(IF(EXC.RATE.SWITCH=1,C1346*(1-I1346)*(1-ADD.DISCOUNT)*(1+MAT.SURCHARGE)/EXC.RATE_2,C1346*(1-I1346)*(1-ADD.DISCOUNT)*(1+MAT.SURCHARGE)*EXC.RATE_2),CURRENCY.FORMAT_2),CURRENCY.FORMAT_2,0)),'DICTIONARY-5'!$A$2))</f>
        <v/>
      </c>
      <c r="N1346" s="539">
        <v>5</v>
      </c>
      <c r="O1346" s="539"/>
      <c r="P1346" s="731" t="str">
        <f>'DICTIONARY-3'!$A$100</f>
        <v>LIMU-STOP</v>
      </c>
      <c r="Q1346" s="732" t="str">
        <f>'DICTIONARY-3'!$A$200</f>
        <v>Zawór zwrotny</v>
      </c>
      <c r="R1346" s="732" t="str">
        <f>CONCATENATE('DICTIONARY-3'!$A$100," ",'DICTIONARY-6'!$A$20," ",'DICTIONARY-2'!$A$2,"250"," ",'DICTIONARY-2'!$A$3,"10"," ","R48",", ",'DICTIONARY-5'!$A$45,", ",'DICTIONARY-4'!$A$16,"+",'DICTIONARY-6'!$A$71," ",'DICTIONARY-6'!$A$70)</f>
        <v>LIMU-STOP Zaw. zwrotny DN250 PN10 R48, NBR, DC+klatka ochronna zabud. pionowa</v>
      </c>
      <c r="S1346" s="733" t="str">
        <f>'DICTIONARY-4'!$A$16</f>
        <v>DC</v>
      </c>
      <c r="T1346" s="732" t="str">
        <f>'DICTIONARY-4'!$A$32</f>
        <v>Dżwignia z ciężarem</v>
      </c>
      <c r="U1346" s="734" t="s">
        <v>5751</v>
      </c>
      <c r="V1346" s="735">
        <v>10</v>
      </c>
      <c r="W1346" s="736"/>
      <c r="X1346" s="737"/>
      <c r="Y1346" s="738"/>
      <c r="Z1346" s="739"/>
      <c r="AA1346" s="739"/>
      <c r="AB1346" s="740">
        <v>10</v>
      </c>
      <c r="AC1346" s="741" t="str">
        <f>'DICTIONARY-5'!$A$11&amp;" 48"</f>
        <v>EN 558 szereg 48</v>
      </c>
      <c r="AD1346" s="741" t="str">
        <f>'DICTIONARY-5'!$A$14</f>
        <v>ścieki</v>
      </c>
      <c r="AE1346" s="742">
        <v>80</v>
      </c>
      <c r="AF1346" s="743">
        <v>185.44</v>
      </c>
      <c r="AG1346" s="741" t="str">
        <f>'DICTIONARY-5'!$A$23</f>
        <v>powłoka epoksydowa</v>
      </c>
    </row>
    <row r="1347" spans="1:33" x14ac:dyDescent="0.25">
      <c r="A1347" s="861" t="s">
        <v>1361</v>
      </c>
      <c r="B1347" s="861" t="s">
        <v>4364</v>
      </c>
      <c r="C1347" s="836">
        <v>3383</v>
      </c>
      <c r="D1347" s="836"/>
      <c r="E1347" s="836"/>
      <c r="F1347" s="836"/>
      <c r="G1347" s="496" t="s">
        <v>7825</v>
      </c>
      <c r="H1347" s="797" t="str">
        <f>VLOOKUP(G1347,SETTINGS!$B$7:$D$97,2,0)</f>
        <v>LIMU-STOP</v>
      </c>
      <c r="I1347" s="796">
        <f>VLOOKUP(G1347,SETTINGS!$B$7:$D$97,3,0)</f>
        <v>0</v>
      </c>
      <c r="J1347" s="670" t="str">
        <f>IFERROR(IF(CURRENCY.FORMAT_1=0,CONCATENATE(TEXT(FIXED(ROUND((C1347/EXC.RATE_1),CURRENCY.FORMAT_1),CURRENCY.FORMAT_1,1),"# ##0;-# ##0"),",-"),FIXED(ROUND((C1347/EXC.RATE_1),CURRENCY.FORMAT_1),CURRENCY.FORMAT_1,0)),'DICTIONARY-5'!$A$2)</f>
        <v>3 383,-</v>
      </c>
      <c r="K1347" s="670" t="str">
        <f>IF(EXC.RATE_2=0,"",IFERROR(IF(CURRENCY.FORMAT_2=0,CONCATENATE(TEXT(FIXED(ROUND(IF(EXC.RATE.SWITCH=1,C1347/EXC.RATE_2,C1347*EXC.RATE_2),CURRENCY.FORMAT_2),CURRENCY.FORMAT_2,1),"# ##0;-# ##0"),",-"),FIXED(ROUND(IF(EXC.RATE.SWITCH=1,C1347/EXC.RATE_2,C1347*EXC.RATE_2),CURRENCY.FORMAT_2),CURRENCY.FORMAT_2,0)),'DICTIONARY-5'!$A$2))</f>
        <v/>
      </c>
      <c r="L1347" s="670" t="str">
        <f>IFERROR(IF(CURRENCY.FORMAT_1=0,CONCATENATE(TEXT(FIXED(ROUND((C1347*(1-I1347)*(1-ADD.DISCOUNT)*(1+MAT.SURCHARGE)/EXC.RATE_1),CURRENCY.FORMAT_1),CURRENCY.FORMAT_1,1),"# ##0;-# ##0"),",-"),FIXED(ROUND((C1347*(1-I1347)*(1-ADD.DISCOUNT)*(1+MAT.SURCHARGE)/EXC.RATE_1),CURRENCY.FORMAT_1),CURRENCY.FORMAT_1,0)),'DICTIONARY-5'!$A$2)</f>
        <v>3 515,-</v>
      </c>
      <c r="M1347" s="670" t="str">
        <f>IF(EXC.RATE_2=0,"",IFERROR(IF(CURRENCY.FORMAT_2=0,CONCATENATE(TEXT(FIXED(ROUND(IF(EXC.RATE.SWITCH=1,C1347*(1-I1347)*(1-ADD.DISCOUNT)*(1+MAT.SURCHARGE)/EXC.RATE_2,C1347*(1-I1347)*(1-ADD.DISCOUNT)*(1+MAT.SURCHARGE)*EXC.RATE_2),CURRENCY.FORMAT_2),CURRENCY.FORMAT_2,1),"# ##0;-# ##0"),",-"),FIXED(ROUND(IF(EXC.RATE.SWITCH=1,C1347*(1-I1347)*(1-ADD.DISCOUNT)*(1+MAT.SURCHARGE)/EXC.RATE_2,C1347*(1-I1347)*(1-ADD.DISCOUNT)*(1+MAT.SURCHARGE)*EXC.RATE_2),CURRENCY.FORMAT_2),CURRENCY.FORMAT_2,0)),'DICTIONARY-5'!$A$2))</f>
        <v/>
      </c>
      <c r="N1347" s="539">
        <v>5</v>
      </c>
      <c r="O1347" s="539"/>
      <c r="P1347" s="731" t="str">
        <f>'DICTIONARY-3'!$A$100</f>
        <v>LIMU-STOP</v>
      </c>
      <c r="Q1347" s="732" t="str">
        <f>'DICTIONARY-3'!$A$200</f>
        <v>Zawór zwrotny</v>
      </c>
      <c r="R1347" s="732" t="str">
        <f>CONCATENATE('DICTIONARY-3'!$A$100," ",'DICTIONARY-6'!$A$20," ",'DICTIONARY-2'!$A$2,"250"," ",'DICTIONARY-2'!$A$3,"16"," ","R48",", ",'DICTIONARY-5'!$A$45,", ",'DICTIONARY-4'!$A$16,"+",'DICTIONARY-6'!$A$71," ",'DICTIONARY-6'!$A$70)</f>
        <v>LIMU-STOP Zaw. zwrotny DN250 PN16 R48, NBR, DC+klatka ochronna zabud. pionowa</v>
      </c>
      <c r="S1347" s="733" t="str">
        <f>'DICTIONARY-4'!$A$16</f>
        <v>DC</v>
      </c>
      <c r="T1347" s="732" t="str">
        <f>'DICTIONARY-4'!$A$32</f>
        <v>Dżwignia z ciężarem</v>
      </c>
      <c r="U1347" s="734" t="s">
        <v>5751</v>
      </c>
      <c r="V1347" s="735">
        <v>16</v>
      </c>
      <c r="W1347" s="736"/>
      <c r="X1347" s="737"/>
      <c r="Y1347" s="738"/>
      <c r="Z1347" s="739"/>
      <c r="AA1347" s="739"/>
      <c r="AB1347" s="740">
        <v>16</v>
      </c>
      <c r="AC1347" s="741" t="str">
        <f>'DICTIONARY-5'!$A$11&amp;" 48"</f>
        <v>EN 558 szereg 48</v>
      </c>
      <c r="AD1347" s="741" t="str">
        <f>'DICTIONARY-5'!$A$14</f>
        <v>ścieki</v>
      </c>
      <c r="AE1347" s="742">
        <v>80</v>
      </c>
      <c r="AF1347" s="743">
        <v>185</v>
      </c>
      <c r="AG1347" s="741" t="str">
        <f>'DICTIONARY-5'!$A$23</f>
        <v>powłoka epoksydowa</v>
      </c>
    </row>
    <row r="1348" spans="1:33" x14ac:dyDescent="0.25">
      <c r="A1348" s="861" t="s">
        <v>1363</v>
      </c>
      <c r="B1348" s="861" t="s">
        <v>4372</v>
      </c>
      <c r="C1348" s="836">
        <v>4521</v>
      </c>
      <c r="D1348" s="836"/>
      <c r="E1348" s="836"/>
      <c r="F1348" s="836"/>
      <c r="G1348" s="496" t="s">
        <v>7825</v>
      </c>
      <c r="H1348" s="797" t="str">
        <f>VLOOKUP(G1348,SETTINGS!$B$7:$D$97,2,0)</f>
        <v>LIMU-STOP</v>
      </c>
      <c r="I1348" s="796">
        <f>VLOOKUP(G1348,SETTINGS!$B$7:$D$97,3,0)</f>
        <v>0</v>
      </c>
      <c r="J1348" s="670" t="str">
        <f>IFERROR(IF(CURRENCY.FORMAT_1=0,CONCATENATE(TEXT(FIXED(ROUND((C1348/EXC.RATE_1),CURRENCY.FORMAT_1),CURRENCY.FORMAT_1,1),"# ##0;-# ##0"),",-"),FIXED(ROUND((C1348/EXC.RATE_1),CURRENCY.FORMAT_1),CURRENCY.FORMAT_1,0)),'DICTIONARY-5'!$A$2)</f>
        <v>4 521,-</v>
      </c>
      <c r="K1348" s="670" t="str">
        <f>IF(EXC.RATE_2=0,"",IFERROR(IF(CURRENCY.FORMAT_2=0,CONCATENATE(TEXT(FIXED(ROUND(IF(EXC.RATE.SWITCH=1,C1348/EXC.RATE_2,C1348*EXC.RATE_2),CURRENCY.FORMAT_2),CURRENCY.FORMAT_2,1),"# ##0;-# ##0"),",-"),FIXED(ROUND(IF(EXC.RATE.SWITCH=1,C1348/EXC.RATE_2,C1348*EXC.RATE_2),CURRENCY.FORMAT_2),CURRENCY.FORMAT_2,0)),'DICTIONARY-5'!$A$2))</f>
        <v/>
      </c>
      <c r="L1348" s="670" t="str">
        <f>IFERROR(IF(CURRENCY.FORMAT_1=0,CONCATENATE(TEXT(FIXED(ROUND((C1348*(1-I1348)*(1-ADD.DISCOUNT)*(1+MAT.SURCHARGE)/EXC.RATE_1),CURRENCY.FORMAT_1),CURRENCY.FORMAT_1,1),"# ##0;-# ##0"),",-"),FIXED(ROUND((C1348*(1-I1348)*(1-ADD.DISCOUNT)*(1+MAT.SURCHARGE)/EXC.RATE_1),CURRENCY.FORMAT_1),CURRENCY.FORMAT_1,0)),'DICTIONARY-5'!$A$2)</f>
        <v>4 697,-</v>
      </c>
      <c r="M1348" s="670" t="str">
        <f>IF(EXC.RATE_2=0,"",IFERROR(IF(CURRENCY.FORMAT_2=0,CONCATENATE(TEXT(FIXED(ROUND(IF(EXC.RATE.SWITCH=1,C1348*(1-I1348)*(1-ADD.DISCOUNT)*(1+MAT.SURCHARGE)/EXC.RATE_2,C1348*(1-I1348)*(1-ADD.DISCOUNT)*(1+MAT.SURCHARGE)*EXC.RATE_2),CURRENCY.FORMAT_2),CURRENCY.FORMAT_2,1),"# ##0;-# ##0"),",-"),FIXED(ROUND(IF(EXC.RATE.SWITCH=1,C1348*(1-I1348)*(1-ADD.DISCOUNT)*(1+MAT.SURCHARGE)/EXC.RATE_2,C1348*(1-I1348)*(1-ADD.DISCOUNT)*(1+MAT.SURCHARGE)*EXC.RATE_2),CURRENCY.FORMAT_2),CURRENCY.FORMAT_2,0)),'DICTIONARY-5'!$A$2))</f>
        <v/>
      </c>
      <c r="N1348" s="539">
        <v>5</v>
      </c>
      <c r="O1348" s="539"/>
      <c r="P1348" s="731" t="str">
        <f>'DICTIONARY-3'!$A$100</f>
        <v>LIMU-STOP</v>
      </c>
      <c r="Q1348" s="732" t="str">
        <f>'DICTIONARY-3'!$A$200</f>
        <v>Zawór zwrotny</v>
      </c>
      <c r="R1348" s="732" t="str">
        <f>CONCATENATE('DICTIONARY-3'!$A$100," ",'DICTIONARY-6'!$A$20," ",'DICTIONARY-2'!$A$2,"300"," ",'DICTIONARY-2'!$A$3,"10"," ","R48",", ",'DICTIONARY-5'!$A$45,", ",'DICTIONARY-4'!$A$16,"+",'DICTIONARY-6'!$A$71," ",'DICTIONARY-6'!$A$70)</f>
        <v>LIMU-STOP Zaw. zwrotny DN300 PN10 R48, NBR, DC+klatka ochronna zabud. pionowa</v>
      </c>
      <c r="S1348" s="733" t="str">
        <f>'DICTIONARY-4'!$A$16</f>
        <v>DC</v>
      </c>
      <c r="T1348" s="732" t="str">
        <f>'DICTIONARY-4'!$A$32</f>
        <v>Dżwignia z ciężarem</v>
      </c>
      <c r="U1348" s="734" t="s">
        <v>5752</v>
      </c>
      <c r="V1348" s="735">
        <v>10</v>
      </c>
      <c r="W1348" s="736"/>
      <c r="X1348" s="737"/>
      <c r="Y1348" s="738"/>
      <c r="Z1348" s="739"/>
      <c r="AA1348" s="739"/>
      <c r="AB1348" s="740">
        <v>10</v>
      </c>
      <c r="AC1348" s="741" t="str">
        <f>'DICTIONARY-5'!$A$11&amp;" 48"</f>
        <v>EN 558 szereg 48</v>
      </c>
      <c r="AD1348" s="741" t="str">
        <f>'DICTIONARY-5'!$A$14</f>
        <v>ścieki</v>
      </c>
      <c r="AE1348" s="742">
        <v>80</v>
      </c>
      <c r="AF1348" s="743">
        <v>253.65</v>
      </c>
      <c r="AG1348" s="741" t="str">
        <f>'DICTIONARY-5'!$A$23</f>
        <v>powłoka epoksydowa</v>
      </c>
    </row>
    <row r="1349" spans="1:33" x14ac:dyDescent="0.25">
      <c r="A1349" s="861" t="s">
        <v>1365</v>
      </c>
      <c r="B1349" s="861" t="s">
        <v>4366</v>
      </c>
      <c r="C1349" s="836">
        <v>4521</v>
      </c>
      <c r="D1349" s="836"/>
      <c r="E1349" s="836"/>
      <c r="F1349" s="836"/>
      <c r="G1349" s="496" t="s">
        <v>7825</v>
      </c>
      <c r="H1349" s="797" t="str">
        <f>VLOOKUP(G1349,SETTINGS!$B$7:$D$97,2,0)</f>
        <v>LIMU-STOP</v>
      </c>
      <c r="I1349" s="796">
        <f>VLOOKUP(G1349,SETTINGS!$B$7:$D$97,3,0)</f>
        <v>0</v>
      </c>
      <c r="J1349" s="670" t="str">
        <f>IFERROR(IF(CURRENCY.FORMAT_1=0,CONCATENATE(TEXT(FIXED(ROUND((C1349/EXC.RATE_1),CURRENCY.FORMAT_1),CURRENCY.FORMAT_1,1),"# ##0;-# ##0"),",-"),FIXED(ROUND((C1349/EXC.RATE_1),CURRENCY.FORMAT_1),CURRENCY.FORMAT_1,0)),'DICTIONARY-5'!$A$2)</f>
        <v>4 521,-</v>
      </c>
      <c r="K1349" s="670" t="str">
        <f>IF(EXC.RATE_2=0,"",IFERROR(IF(CURRENCY.FORMAT_2=0,CONCATENATE(TEXT(FIXED(ROUND(IF(EXC.RATE.SWITCH=1,C1349/EXC.RATE_2,C1349*EXC.RATE_2),CURRENCY.FORMAT_2),CURRENCY.FORMAT_2,1),"# ##0;-# ##0"),",-"),FIXED(ROUND(IF(EXC.RATE.SWITCH=1,C1349/EXC.RATE_2,C1349*EXC.RATE_2),CURRENCY.FORMAT_2),CURRENCY.FORMAT_2,0)),'DICTIONARY-5'!$A$2))</f>
        <v/>
      </c>
      <c r="L1349" s="670" t="str">
        <f>IFERROR(IF(CURRENCY.FORMAT_1=0,CONCATENATE(TEXT(FIXED(ROUND((C1349*(1-I1349)*(1-ADD.DISCOUNT)*(1+MAT.SURCHARGE)/EXC.RATE_1),CURRENCY.FORMAT_1),CURRENCY.FORMAT_1,1),"# ##0;-# ##0"),",-"),FIXED(ROUND((C1349*(1-I1349)*(1-ADD.DISCOUNT)*(1+MAT.SURCHARGE)/EXC.RATE_1),CURRENCY.FORMAT_1),CURRENCY.FORMAT_1,0)),'DICTIONARY-5'!$A$2)</f>
        <v>4 697,-</v>
      </c>
      <c r="M1349" s="670" t="str">
        <f>IF(EXC.RATE_2=0,"",IFERROR(IF(CURRENCY.FORMAT_2=0,CONCATENATE(TEXT(FIXED(ROUND(IF(EXC.RATE.SWITCH=1,C1349*(1-I1349)*(1-ADD.DISCOUNT)*(1+MAT.SURCHARGE)/EXC.RATE_2,C1349*(1-I1349)*(1-ADD.DISCOUNT)*(1+MAT.SURCHARGE)*EXC.RATE_2),CURRENCY.FORMAT_2),CURRENCY.FORMAT_2,1),"# ##0;-# ##0"),",-"),FIXED(ROUND(IF(EXC.RATE.SWITCH=1,C1349*(1-I1349)*(1-ADD.DISCOUNT)*(1+MAT.SURCHARGE)/EXC.RATE_2,C1349*(1-I1349)*(1-ADD.DISCOUNT)*(1+MAT.SURCHARGE)*EXC.RATE_2),CURRENCY.FORMAT_2),CURRENCY.FORMAT_2,0)),'DICTIONARY-5'!$A$2))</f>
        <v/>
      </c>
      <c r="N1349" s="539">
        <v>5</v>
      </c>
      <c r="O1349" s="539"/>
      <c r="P1349" s="731" t="str">
        <f>'DICTIONARY-3'!$A$100</f>
        <v>LIMU-STOP</v>
      </c>
      <c r="Q1349" s="732" t="str">
        <f>'DICTIONARY-3'!$A$200</f>
        <v>Zawór zwrotny</v>
      </c>
      <c r="R1349" s="732" t="str">
        <f>CONCATENATE('DICTIONARY-3'!$A$100," ",'DICTIONARY-6'!$A$20," ",'DICTIONARY-2'!$A$2,"300"," ",'DICTIONARY-2'!$A$3,"16"," ","R48",", ",'DICTIONARY-5'!$A$45,", ",'DICTIONARY-4'!$A$16,"+",'DICTIONARY-6'!$A$71," ",'DICTIONARY-6'!$A$70)</f>
        <v>LIMU-STOP Zaw. zwrotny DN300 PN16 R48, NBR, DC+klatka ochronna zabud. pionowa</v>
      </c>
      <c r="S1349" s="733" t="str">
        <f>'DICTIONARY-4'!$A$16</f>
        <v>DC</v>
      </c>
      <c r="T1349" s="732" t="str">
        <f>'DICTIONARY-4'!$A$32</f>
        <v>Dżwignia z ciężarem</v>
      </c>
      <c r="U1349" s="734" t="s">
        <v>5752</v>
      </c>
      <c r="V1349" s="735">
        <v>16</v>
      </c>
      <c r="W1349" s="736"/>
      <c r="X1349" s="737"/>
      <c r="Y1349" s="738"/>
      <c r="Z1349" s="739"/>
      <c r="AA1349" s="739"/>
      <c r="AB1349" s="740">
        <v>16</v>
      </c>
      <c r="AC1349" s="741" t="str">
        <f>'DICTIONARY-5'!$A$11&amp;" 48"</f>
        <v>EN 558 szereg 48</v>
      </c>
      <c r="AD1349" s="741" t="str">
        <f>'DICTIONARY-5'!$A$14</f>
        <v>ścieki</v>
      </c>
      <c r="AE1349" s="742">
        <v>80</v>
      </c>
      <c r="AF1349" s="743">
        <v>253.65</v>
      </c>
      <c r="AG1349" s="741" t="str">
        <f>'DICTIONARY-5'!$A$23</f>
        <v>powłoka epoksydowa</v>
      </c>
    </row>
    <row r="1350" spans="1:33" x14ac:dyDescent="0.25">
      <c r="A1350" s="861" t="s">
        <v>1344</v>
      </c>
      <c r="B1350" s="861" t="s">
        <v>4351</v>
      </c>
      <c r="C1350" s="836">
        <v>681</v>
      </c>
      <c r="D1350" s="836"/>
      <c r="E1350" s="836"/>
      <c r="F1350" s="836"/>
      <c r="G1350" s="496" t="s">
        <v>7825</v>
      </c>
      <c r="H1350" s="797" t="str">
        <f>VLOOKUP(G1350,SETTINGS!$B$7:$D$97,2,0)</f>
        <v>LIMU-STOP</v>
      </c>
      <c r="I1350" s="796">
        <f>VLOOKUP(G1350,SETTINGS!$B$7:$D$97,3,0)</f>
        <v>0</v>
      </c>
      <c r="J1350" s="670" t="str">
        <f>IFERROR(IF(CURRENCY.FORMAT_1=0,CONCATENATE(TEXT(FIXED(ROUND((C1350/EXC.RATE_1),CURRENCY.FORMAT_1),CURRENCY.FORMAT_1,1),"# ##0;-# ##0"),",-"),FIXED(ROUND((C1350/EXC.RATE_1),CURRENCY.FORMAT_1),CURRENCY.FORMAT_1,0)),'DICTIONARY-5'!$A$2)</f>
        <v>681,-</v>
      </c>
      <c r="K1350" s="670" t="str">
        <f>IF(EXC.RATE_2=0,"",IFERROR(IF(CURRENCY.FORMAT_2=0,CONCATENATE(TEXT(FIXED(ROUND(IF(EXC.RATE.SWITCH=1,C1350/EXC.RATE_2,C1350*EXC.RATE_2),CURRENCY.FORMAT_2),CURRENCY.FORMAT_2,1),"# ##0;-# ##0"),",-"),FIXED(ROUND(IF(EXC.RATE.SWITCH=1,C1350/EXC.RATE_2,C1350*EXC.RATE_2),CURRENCY.FORMAT_2),CURRENCY.FORMAT_2,0)),'DICTIONARY-5'!$A$2))</f>
        <v/>
      </c>
      <c r="L1350" s="670" t="str">
        <f>IFERROR(IF(CURRENCY.FORMAT_1=0,CONCATENATE(TEXT(FIXED(ROUND((C1350*(1-I1350)*(1-ADD.DISCOUNT)*(1+MAT.SURCHARGE)/EXC.RATE_1),CURRENCY.FORMAT_1),CURRENCY.FORMAT_1,1),"# ##0;-# ##0"),",-"),FIXED(ROUND((C1350*(1-I1350)*(1-ADD.DISCOUNT)*(1+MAT.SURCHARGE)/EXC.RATE_1),CURRENCY.FORMAT_1),CURRENCY.FORMAT_1,0)),'DICTIONARY-5'!$A$2)</f>
        <v>708,-</v>
      </c>
      <c r="M1350" s="670" t="str">
        <f>IF(EXC.RATE_2=0,"",IFERROR(IF(CURRENCY.FORMAT_2=0,CONCATENATE(TEXT(FIXED(ROUND(IF(EXC.RATE.SWITCH=1,C1350*(1-I1350)*(1-ADD.DISCOUNT)*(1+MAT.SURCHARGE)/EXC.RATE_2,C1350*(1-I1350)*(1-ADD.DISCOUNT)*(1+MAT.SURCHARGE)*EXC.RATE_2),CURRENCY.FORMAT_2),CURRENCY.FORMAT_2,1),"# ##0;-# ##0"),",-"),FIXED(ROUND(IF(EXC.RATE.SWITCH=1,C1350*(1-I1350)*(1-ADD.DISCOUNT)*(1+MAT.SURCHARGE)/EXC.RATE_2,C1350*(1-I1350)*(1-ADD.DISCOUNT)*(1+MAT.SURCHARGE)*EXC.RATE_2),CURRENCY.FORMAT_2),CURRENCY.FORMAT_2,0)),'DICTIONARY-5'!$A$2))</f>
        <v/>
      </c>
      <c r="N1350" s="539">
        <v>5</v>
      </c>
      <c r="O1350" s="539"/>
      <c r="P1350" s="731" t="str">
        <f>'DICTIONARY-3'!$A$100</f>
        <v>LIMU-STOP</v>
      </c>
      <c r="Q1350" s="732" t="str">
        <f>'DICTIONARY-3'!$A$200</f>
        <v>Zawór zwrotny</v>
      </c>
      <c r="R1350" s="732" t="str">
        <f>CONCATENATE('DICTIONARY-3'!$A$100," ",'DICTIONARY-6'!$A$20," ",'DICTIONARY-2'!$A$2,"50"," ",'DICTIONARY-2'!$A$3,"10/16"," ","R48",", ",'DICTIONARY-5'!$A$45,", ",'DICTIONARY-4'!$A$16,"+",'DICTIONARY-6'!$A$71," ",'DICTIONARY-6'!$A$69)</f>
        <v>LIMU-STOP Zaw. zwrotny DN50 PN10/16 R48, NBR, DC+klatka ochronna zabud. pozioma</v>
      </c>
      <c r="S1350" s="733" t="str">
        <f>'DICTIONARY-4'!$A$16</f>
        <v>DC</v>
      </c>
      <c r="T1350" s="732" t="str">
        <f>'DICTIONARY-4'!$A$32</f>
        <v>Dżwignia z ciężarem</v>
      </c>
      <c r="U1350" s="734" t="s">
        <v>5748</v>
      </c>
      <c r="V1350" s="735">
        <v>16</v>
      </c>
      <c r="W1350" s="736"/>
      <c r="X1350" s="737"/>
      <c r="Y1350" s="738"/>
      <c r="Z1350" s="739"/>
      <c r="AA1350" s="739"/>
      <c r="AB1350" s="740">
        <v>16</v>
      </c>
      <c r="AC1350" s="741" t="str">
        <f>'DICTIONARY-5'!$A$11&amp;" 48"</f>
        <v>EN 558 szereg 48</v>
      </c>
      <c r="AD1350" s="741" t="str">
        <f>'DICTIONARY-5'!$A$14</f>
        <v>ścieki</v>
      </c>
      <c r="AE1350" s="742">
        <v>80</v>
      </c>
      <c r="AF1350" s="743">
        <v>15</v>
      </c>
      <c r="AG1350" s="741" t="str">
        <f>'DICTIONARY-5'!$A$23</f>
        <v>powłoka epoksydowa</v>
      </c>
    </row>
    <row r="1351" spans="1:33" x14ac:dyDescent="0.25">
      <c r="A1351" s="861" t="s">
        <v>1346</v>
      </c>
      <c r="B1351" s="861" t="s">
        <v>4353</v>
      </c>
      <c r="C1351" s="836">
        <v>739</v>
      </c>
      <c r="D1351" s="836"/>
      <c r="E1351" s="836"/>
      <c r="F1351" s="836"/>
      <c r="G1351" s="496" t="s">
        <v>7825</v>
      </c>
      <c r="H1351" s="797" t="str">
        <f>VLOOKUP(G1351,SETTINGS!$B$7:$D$97,2,0)</f>
        <v>LIMU-STOP</v>
      </c>
      <c r="I1351" s="796">
        <f>VLOOKUP(G1351,SETTINGS!$B$7:$D$97,3,0)</f>
        <v>0</v>
      </c>
      <c r="J1351" s="670" t="str">
        <f>IFERROR(IF(CURRENCY.FORMAT_1=0,CONCATENATE(TEXT(FIXED(ROUND((C1351/EXC.RATE_1),CURRENCY.FORMAT_1),CURRENCY.FORMAT_1,1),"# ##0;-# ##0"),",-"),FIXED(ROUND((C1351/EXC.RATE_1),CURRENCY.FORMAT_1),CURRENCY.FORMAT_1,0)),'DICTIONARY-5'!$A$2)</f>
        <v>739,-</v>
      </c>
      <c r="K1351" s="670" t="str">
        <f>IF(EXC.RATE_2=0,"",IFERROR(IF(CURRENCY.FORMAT_2=0,CONCATENATE(TEXT(FIXED(ROUND(IF(EXC.RATE.SWITCH=1,C1351/EXC.RATE_2,C1351*EXC.RATE_2),CURRENCY.FORMAT_2),CURRENCY.FORMAT_2,1),"# ##0;-# ##0"),",-"),FIXED(ROUND(IF(EXC.RATE.SWITCH=1,C1351/EXC.RATE_2,C1351*EXC.RATE_2),CURRENCY.FORMAT_2),CURRENCY.FORMAT_2,0)),'DICTIONARY-5'!$A$2))</f>
        <v/>
      </c>
      <c r="L1351" s="670" t="str">
        <f>IFERROR(IF(CURRENCY.FORMAT_1=0,CONCATENATE(TEXT(FIXED(ROUND((C1351*(1-I1351)*(1-ADD.DISCOUNT)*(1+MAT.SURCHARGE)/EXC.RATE_1),CURRENCY.FORMAT_1),CURRENCY.FORMAT_1,1),"# ##0;-# ##0"),",-"),FIXED(ROUND((C1351*(1-I1351)*(1-ADD.DISCOUNT)*(1+MAT.SURCHARGE)/EXC.RATE_1),CURRENCY.FORMAT_1),CURRENCY.FORMAT_1,0)),'DICTIONARY-5'!$A$2)</f>
        <v>768,-</v>
      </c>
      <c r="M1351" s="670" t="str">
        <f>IF(EXC.RATE_2=0,"",IFERROR(IF(CURRENCY.FORMAT_2=0,CONCATENATE(TEXT(FIXED(ROUND(IF(EXC.RATE.SWITCH=1,C1351*(1-I1351)*(1-ADD.DISCOUNT)*(1+MAT.SURCHARGE)/EXC.RATE_2,C1351*(1-I1351)*(1-ADD.DISCOUNT)*(1+MAT.SURCHARGE)*EXC.RATE_2),CURRENCY.FORMAT_2),CURRENCY.FORMAT_2,1),"# ##0;-# ##0"),",-"),FIXED(ROUND(IF(EXC.RATE.SWITCH=1,C1351*(1-I1351)*(1-ADD.DISCOUNT)*(1+MAT.SURCHARGE)/EXC.RATE_2,C1351*(1-I1351)*(1-ADD.DISCOUNT)*(1+MAT.SURCHARGE)*EXC.RATE_2),CURRENCY.FORMAT_2),CURRENCY.FORMAT_2,0)),'DICTIONARY-5'!$A$2))</f>
        <v/>
      </c>
      <c r="N1351" s="539">
        <v>5</v>
      </c>
      <c r="O1351" s="539"/>
      <c r="P1351" s="731" t="str">
        <f>'DICTIONARY-3'!$A$100</f>
        <v>LIMU-STOP</v>
      </c>
      <c r="Q1351" s="732" t="str">
        <f>'DICTIONARY-3'!$A$200</f>
        <v>Zawór zwrotny</v>
      </c>
      <c r="R1351" s="732" t="str">
        <f>CONCATENATE('DICTIONARY-3'!$A$100," ",'DICTIONARY-6'!$A$20," ",'DICTIONARY-2'!$A$2,"65"," ",'DICTIONARY-2'!$A$3,"10/16"," ","R48",", ",'DICTIONARY-5'!$A$45,", ",'DICTIONARY-4'!$A$16,"+",'DICTIONARY-6'!$A$71," ",'DICTIONARY-6'!$A$69)</f>
        <v>LIMU-STOP Zaw. zwrotny DN65 PN10/16 R48, NBR, DC+klatka ochronna zabud. pozioma</v>
      </c>
      <c r="S1351" s="733" t="str">
        <f>'DICTIONARY-4'!$A$16</f>
        <v>DC</v>
      </c>
      <c r="T1351" s="732" t="str">
        <f>'DICTIONARY-4'!$A$32</f>
        <v>Dżwignia z ciężarem</v>
      </c>
      <c r="U1351" s="734" t="s">
        <v>5759</v>
      </c>
      <c r="V1351" s="735">
        <v>16</v>
      </c>
      <c r="W1351" s="736"/>
      <c r="X1351" s="737"/>
      <c r="Y1351" s="738"/>
      <c r="Z1351" s="739"/>
      <c r="AA1351" s="739"/>
      <c r="AB1351" s="740">
        <v>16</v>
      </c>
      <c r="AC1351" s="741" t="str">
        <f>'DICTIONARY-5'!$A$11&amp;" 48"</f>
        <v>EN 558 szereg 48</v>
      </c>
      <c r="AD1351" s="741" t="str">
        <f>'DICTIONARY-5'!$A$14</f>
        <v>ścieki</v>
      </c>
      <c r="AE1351" s="742">
        <v>80</v>
      </c>
      <c r="AF1351" s="743">
        <v>20</v>
      </c>
      <c r="AG1351" s="741" t="str">
        <f>'DICTIONARY-5'!$A$23</f>
        <v>powłoka epoksydowa</v>
      </c>
    </row>
    <row r="1352" spans="1:33" x14ac:dyDescent="0.25">
      <c r="A1352" s="861" t="s">
        <v>1348</v>
      </c>
      <c r="B1352" s="861" t="s">
        <v>4355</v>
      </c>
      <c r="C1352" s="836">
        <v>794</v>
      </c>
      <c r="D1352" s="836"/>
      <c r="E1352" s="836"/>
      <c r="F1352" s="836"/>
      <c r="G1352" s="496" t="s">
        <v>7825</v>
      </c>
      <c r="H1352" s="797" t="str">
        <f>VLOOKUP(G1352,SETTINGS!$B$7:$D$97,2,0)</f>
        <v>LIMU-STOP</v>
      </c>
      <c r="I1352" s="796">
        <f>VLOOKUP(G1352,SETTINGS!$B$7:$D$97,3,0)</f>
        <v>0</v>
      </c>
      <c r="J1352" s="670" t="str">
        <f>IFERROR(IF(CURRENCY.FORMAT_1=0,CONCATENATE(TEXT(FIXED(ROUND((C1352/EXC.RATE_1),CURRENCY.FORMAT_1),CURRENCY.FORMAT_1,1),"# ##0;-# ##0"),",-"),FIXED(ROUND((C1352/EXC.RATE_1),CURRENCY.FORMAT_1),CURRENCY.FORMAT_1,0)),'DICTIONARY-5'!$A$2)</f>
        <v>794,-</v>
      </c>
      <c r="K1352" s="670" t="str">
        <f>IF(EXC.RATE_2=0,"",IFERROR(IF(CURRENCY.FORMAT_2=0,CONCATENATE(TEXT(FIXED(ROUND(IF(EXC.RATE.SWITCH=1,C1352/EXC.RATE_2,C1352*EXC.RATE_2),CURRENCY.FORMAT_2),CURRENCY.FORMAT_2,1),"# ##0;-# ##0"),",-"),FIXED(ROUND(IF(EXC.RATE.SWITCH=1,C1352/EXC.RATE_2,C1352*EXC.RATE_2),CURRENCY.FORMAT_2),CURRENCY.FORMAT_2,0)),'DICTIONARY-5'!$A$2))</f>
        <v/>
      </c>
      <c r="L1352" s="670" t="str">
        <f>IFERROR(IF(CURRENCY.FORMAT_1=0,CONCATENATE(TEXT(FIXED(ROUND((C1352*(1-I1352)*(1-ADD.DISCOUNT)*(1+MAT.SURCHARGE)/EXC.RATE_1),CURRENCY.FORMAT_1),CURRENCY.FORMAT_1,1),"# ##0;-# ##0"),",-"),FIXED(ROUND((C1352*(1-I1352)*(1-ADD.DISCOUNT)*(1+MAT.SURCHARGE)/EXC.RATE_1),CURRENCY.FORMAT_1),CURRENCY.FORMAT_1,0)),'DICTIONARY-5'!$A$2)</f>
        <v>825,-</v>
      </c>
      <c r="M1352" s="670" t="str">
        <f>IF(EXC.RATE_2=0,"",IFERROR(IF(CURRENCY.FORMAT_2=0,CONCATENATE(TEXT(FIXED(ROUND(IF(EXC.RATE.SWITCH=1,C1352*(1-I1352)*(1-ADD.DISCOUNT)*(1+MAT.SURCHARGE)/EXC.RATE_2,C1352*(1-I1352)*(1-ADD.DISCOUNT)*(1+MAT.SURCHARGE)*EXC.RATE_2),CURRENCY.FORMAT_2),CURRENCY.FORMAT_2,1),"# ##0;-# ##0"),",-"),FIXED(ROUND(IF(EXC.RATE.SWITCH=1,C1352*(1-I1352)*(1-ADD.DISCOUNT)*(1+MAT.SURCHARGE)/EXC.RATE_2,C1352*(1-I1352)*(1-ADD.DISCOUNT)*(1+MAT.SURCHARGE)*EXC.RATE_2),CURRENCY.FORMAT_2),CURRENCY.FORMAT_2,0)),'DICTIONARY-5'!$A$2))</f>
        <v/>
      </c>
      <c r="N1352" s="539">
        <v>5</v>
      </c>
      <c r="O1352" s="539"/>
      <c r="P1352" s="731" t="str">
        <f>'DICTIONARY-3'!$A$100</f>
        <v>LIMU-STOP</v>
      </c>
      <c r="Q1352" s="732" t="str">
        <f>'DICTIONARY-3'!$A$200</f>
        <v>Zawór zwrotny</v>
      </c>
      <c r="R1352" s="732" t="str">
        <f>CONCATENATE('DICTIONARY-3'!$A$100," ",'DICTIONARY-6'!$A$20," ",'DICTIONARY-2'!$A$2,"80"," ",'DICTIONARY-2'!$A$3,"10/16"," ","R48",", ",'DICTIONARY-5'!$A$45,", ",'DICTIONARY-4'!$A$16,"+",'DICTIONARY-6'!$A$71," ",'DICTIONARY-6'!$A$69)</f>
        <v>LIMU-STOP Zaw. zwrotny DN80 PN10/16 R48, NBR, DC+klatka ochronna zabud. pozioma</v>
      </c>
      <c r="S1352" s="733" t="str">
        <f>'DICTIONARY-4'!$A$16</f>
        <v>DC</v>
      </c>
      <c r="T1352" s="732" t="str">
        <f>'DICTIONARY-4'!$A$32</f>
        <v>Dżwignia z ciężarem</v>
      </c>
      <c r="U1352" s="734" t="s">
        <v>5760</v>
      </c>
      <c r="V1352" s="735">
        <v>16</v>
      </c>
      <c r="W1352" s="736"/>
      <c r="X1352" s="737"/>
      <c r="Y1352" s="738"/>
      <c r="Z1352" s="739"/>
      <c r="AA1352" s="739"/>
      <c r="AB1352" s="740">
        <v>16</v>
      </c>
      <c r="AC1352" s="741" t="str">
        <f>'DICTIONARY-5'!$A$11&amp;" 48"</f>
        <v>EN 558 szereg 48</v>
      </c>
      <c r="AD1352" s="741" t="str">
        <f>'DICTIONARY-5'!$A$14</f>
        <v>ścieki</v>
      </c>
      <c r="AE1352" s="742">
        <v>80</v>
      </c>
      <c r="AF1352" s="743">
        <v>25</v>
      </c>
      <c r="AG1352" s="741" t="str">
        <f>'DICTIONARY-5'!$A$23</f>
        <v>powłoka epoksydowa</v>
      </c>
    </row>
    <row r="1353" spans="1:33" x14ac:dyDescent="0.25">
      <c r="A1353" s="861" t="s">
        <v>1350</v>
      </c>
      <c r="B1353" s="861" t="s">
        <v>4357</v>
      </c>
      <c r="C1353" s="836">
        <v>869</v>
      </c>
      <c r="D1353" s="836"/>
      <c r="E1353" s="836"/>
      <c r="F1353" s="836"/>
      <c r="G1353" s="496" t="s">
        <v>7825</v>
      </c>
      <c r="H1353" s="797" t="str">
        <f>VLOOKUP(G1353,SETTINGS!$B$7:$D$97,2,0)</f>
        <v>LIMU-STOP</v>
      </c>
      <c r="I1353" s="796">
        <f>VLOOKUP(G1353,SETTINGS!$B$7:$D$97,3,0)</f>
        <v>0</v>
      </c>
      <c r="J1353" s="670" t="str">
        <f>IFERROR(IF(CURRENCY.FORMAT_1=0,CONCATENATE(TEXT(FIXED(ROUND((C1353/EXC.RATE_1),CURRENCY.FORMAT_1),CURRENCY.FORMAT_1,1),"# ##0;-# ##0"),",-"),FIXED(ROUND((C1353/EXC.RATE_1),CURRENCY.FORMAT_1),CURRENCY.FORMAT_1,0)),'DICTIONARY-5'!$A$2)</f>
        <v>869,-</v>
      </c>
      <c r="K1353" s="670" t="str">
        <f>IF(EXC.RATE_2=0,"",IFERROR(IF(CURRENCY.FORMAT_2=0,CONCATENATE(TEXT(FIXED(ROUND(IF(EXC.RATE.SWITCH=1,C1353/EXC.RATE_2,C1353*EXC.RATE_2),CURRENCY.FORMAT_2),CURRENCY.FORMAT_2,1),"# ##0;-# ##0"),",-"),FIXED(ROUND(IF(EXC.RATE.SWITCH=1,C1353/EXC.RATE_2,C1353*EXC.RATE_2),CURRENCY.FORMAT_2),CURRENCY.FORMAT_2,0)),'DICTIONARY-5'!$A$2))</f>
        <v/>
      </c>
      <c r="L1353" s="670" t="str">
        <f>IFERROR(IF(CURRENCY.FORMAT_1=0,CONCATENATE(TEXT(FIXED(ROUND((C1353*(1-I1353)*(1-ADD.DISCOUNT)*(1+MAT.SURCHARGE)/EXC.RATE_1),CURRENCY.FORMAT_1),CURRENCY.FORMAT_1,1),"# ##0;-# ##0"),",-"),FIXED(ROUND((C1353*(1-I1353)*(1-ADD.DISCOUNT)*(1+MAT.SURCHARGE)/EXC.RATE_1),CURRENCY.FORMAT_1),CURRENCY.FORMAT_1,0)),'DICTIONARY-5'!$A$2)</f>
        <v>903,-</v>
      </c>
      <c r="M1353" s="670" t="str">
        <f>IF(EXC.RATE_2=0,"",IFERROR(IF(CURRENCY.FORMAT_2=0,CONCATENATE(TEXT(FIXED(ROUND(IF(EXC.RATE.SWITCH=1,C1353*(1-I1353)*(1-ADD.DISCOUNT)*(1+MAT.SURCHARGE)/EXC.RATE_2,C1353*(1-I1353)*(1-ADD.DISCOUNT)*(1+MAT.SURCHARGE)*EXC.RATE_2),CURRENCY.FORMAT_2),CURRENCY.FORMAT_2,1),"# ##0;-# ##0"),",-"),FIXED(ROUND(IF(EXC.RATE.SWITCH=1,C1353*(1-I1353)*(1-ADD.DISCOUNT)*(1+MAT.SURCHARGE)/EXC.RATE_2,C1353*(1-I1353)*(1-ADD.DISCOUNT)*(1+MAT.SURCHARGE)*EXC.RATE_2),CURRENCY.FORMAT_2),CURRENCY.FORMAT_2,0)),'DICTIONARY-5'!$A$2))</f>
        <v/>
      </c>
      <c r="N1353" s="539">
        <v>5</v>
      </c>
      <c r="O1353" s="539"/>
      <c r="P1353" s="731" t="str">
        <f>'DICTIONARY-3'!$A$100</f>
        <v>LIMU-STOP</v>
      </c>
      <c r="Q1353" s="732" t="str">
        <f>'DICTIONARY-3'!$A$200</f>
        <v>Zawór zwrotny</v>
      </c>
      <c r="R1353" s="732" t="str">
        <f>CONCATENATE('DICTIONARY-3'!$A$100," ",'DICTIONARY-6'!$A$20," ",'DICTIONARY-2'!$A$2,"100"," ",'DICTIONARY-2'!$A$3,"10/16"," ","R48",", ",'DICTIONARY-5'!$A$45,", ",'DICTIONARY-4'!$A$16,"+",'DICTIONARY-6'!$A$71," ",'DICTIONARY-6'!$A$69)</f>
        <v>LIMU-STOP Zaw. zwrotny DN100 PN10/16 R48, NBR, DC+klatka ochronna zabud. pozioma</v>
      </c>
      <c r="S1353" s="733" t="str">
        <f>'DICTIONARY-4'!$A$16</f>
        <v>DC</v>
      </c>
      <c r="T1353" s="732" t="str">
        <f>'DICTIONARY-4'!$A$32</f>
        <v>Dżwignia z ciężarem</v>
      </c>
      <c r="U1353" s="734" t="s">
        <v>5749</v>
      </c>
      <c r="V1353" s="735">
        <v>16</v>
      </c>
      <c r="W1353" s="736"/>
      <c r="X1353" s="737"/>
      <c r="Y1353" s="738"/>
      <c r="Z1353" s="739"/>
      <c r="AA1353" s="739"/>
      <c r="AB1353" s="740">
        <v>16</v>
      </c>
      <c r="AC1353" s="741" t="str">
        <f>'DICTIONARY-5'!$A$11&amp;" 48"</f>
        <v>EN 558 szereg 48</v>
      </c>
      <c r="AD1353" s="741" t="str">
        <f>'DICTIONARY-5'!$A$14</f>
        <v>ścieki</v>
      </c>
      <c r="AE1353" s="742">
        <v>80</v>
      </c>
      <c r="AF1353" s="743">
        <v>32</v>
      </c>
      <c r="AG1353" s="741" t="str">
        <f>'DICTIONARY-5'!$A$23</f>
        <v>powłoka epoksydowa</v>
      </c>
    </row>
    <row r="1354" spans="1:33" x14ac:dyDescent="0.25">
      <c r="A1354" s="861" t="s">
        <v>1352</v>
      </c>
      <c r="B1354" s="861" t="s">
        <v>4359</v>
      </c>
      <c r="C1354" s="836">
        <v>1209</v>
      </c>
      <c r="D1354" s="836"/>
      <c r="E1354" s="836"/>
      <c r="F1354" s="836"/>
      <c r="G1354" s="496" t="s">
        <v>7825</v>
      </c>
      <c r="H1354" s="797" t="str">
        <f>VLOOKUP(G1354,SETTINGS!$B$7:$D$97,2,0)</f>
        <v>LIMU-STOP</v>
      </c>
      <c r="I1354" s="796">
        <f>VLOOKUP(G1354,SETTINGS!$B$7:$D$97,3,0)</f>
        <v>0</v>
      </c>
      <c r="J1354" s="670" t="str">
        <f>IFERROR(IF(CURRENCY.FORMAT_1=0,CONCATENATE(TEXT(FIXED(ROUND((C1354/EXC.RATE_1),CURRENCY.FORMAT_1),CURRENCY.FORMAT_1,1),"# ##0;-# ##0"),",-"),FIXED(ROUND((C1354/EXC.RATE_1),CURRENCY.FORMAT_1),CURRENCY.FORMAT_1,0)),'DICTIONARY-5'!$A$2)</f>
        <v>1 209,-</v>
      </c>
      <c r="K1354" s="670" t="str">
        <f>IF(EXC.RATE_2=0,"",IFERROR(IF(CURRENCY.FORMAT_2=0,CONCATENATE(TEXT(FIXED(ROUND(IF(EXC.RATE.SWITCH=1,C1354/EXC.RATE_2,C1354*EXC.RATE_2),CURRENCY.FORMAT_2),CURRENCY.FORMAT_2,1),"# ##0;-# ##0"),",-"),FIXED(ROUND(IF(EXC.RATE.SWITCH=1,C1354/EXC.RATE_2,C1354*EXC.RATE_2),CURRENCY.FORMAT_2),CURRENCY.FORMAT_2,0)),'DICTIONARY-5'!$A$2))</f>
        <v/>
      </c>
      <c r="L1354" s="670" t="str">
        <f>IFERROR(IF(CURRENCY.FORMAT_1=0,CONCATENATE(TEXT(FIXED(ROUND((C1354*(1-I1354)*(1-ADD.DISCOUNT)*(1+MAT.SURCHARGE)/EXC.RATE_1),CURRENCY.FORMAT_1),CURRENCY.FORMAT_1,1),"# ##0;-# ##0"),",-"),FIXED(ROUND((C1354*(1-I1354)*(1-ADD.DISCOUNT)*(1+MAT.SURCHARGE)/EXC.RATE_1),CURRENCY.FORMAT_1),CURRENCY.FORMAT_1,0)),'DICTIONARY-5'!$A$2)</f>
        <v>1 256,-</v>
      </c>
      <c r="M1354" s="670" t="str">
        <f>IF(EXC.RATE_2=0,"",IFERROR(IF(CURRENCY.FORMAT_2=0,CONCATENATE(TEXT(FIXED(ROUND(IF(EXC.RATE.SWITCH=1,C1354*(1-I1354)*(1-ADD.DISCOUNT)*(1+MAT.SURCHARGE)/EXC.RATE_2,C1354*(1-I1354)*(1-ADD.DISCOUNT)*(1+MAT.SURCHARGE)*EXC.RATE_2),CURRENCY.FORMAT_2),CURRENCY.FORMAT_2,1),"# ##0;-# ##0"),",-"),FIXED(ROUND(IF(EXC.RATE.SWITCH=1,C1354*(1-I1354)*(1-ADD.DISCOUNT)*(1+MAT.SURCHARGE)/EXC.RATE_2,C1354*(1-I1354)*(1-ADD.DISCOUNT)*(1+MAT.SURCHARGE)*EXC.RATE_2),CURRENCY.FORMAT_2),CURRENCY.FORMAT_2,0)),'DICTIONARY-5'!$A$2))</f>
        <v/>
      </c>
      <c r="N1354" s="539">
        <v>5</v>
      </c>
      <c r="O1354" s="539"/>
      <c r="P1354" s="731" t="str">
        <f>'DICTIONARY-3'!$A$100</f>
        <v>LIMU-STOP</v>
      </c>
      <c r="Q1354" s="732" t="str">
        <f>'DICTIONARY-3'!$A$200</f>
        <v>Zawór zwrotny</v>
      </c>
      <c r="R1354" s="732" t="str">
        <f>CONCATENATE('DICTIONARY-3'!$A$100," ",'DICTIONARY-6'!$A$20," ",'DICTIONARY-2'!$A$2,"125"," ",'DICTIONARY-2'!$A$3,"10/16"," ","R48",", ",'DICTIONARY-5'!$A$45,", ",'DICTIONARY-4'!$A$16,"+",'DICTIONARY-6'!$A$71," ",'DICTIONARY-6'!$A$69)</f>
        <v>LIMU-STOP Zaw. zwrotny DN125 PN10/16 R48, NBR, DC+klatka ochronna zabud. pozioma</v>
      </c>
      <c r="S1354" s="733" t="str">
        <f>'DICTIONARY-4'!$A$16</f>
        <v>DC</v>
      </c>
      <c r="T1354" s="732" t="str">
        <f>'DICTIONARY-4'!$A$32</f>
        <v>Dżwignia z ciężarem</v>
      </c>
      <c r="U1354" s="734" t="s">
        <v>5761</v>
      </c>
      <c r="V1354" s="735">
        <v>16</v>
      </c>
      <c r="W1354" s="736"/>
      <c r="X1354" s="737"/>
      <c r="Y1354" s="738"/>
      <c r="Z1354" s="739"/>
      <c r="AA1354" s="739"/>
      <c r="AB1354" s="740">
        <v>16</v>
      </c>
      <c r="AC1354" s="741" t="str">
        <f>'DICTIONARY-5'!$A$11&amp;" 48"</f>
        <v>EN 558 szereg 48</v>
      </c>
      <c r="AD1354" s="741" t="str">
        <f>'DICTIONARY-5'!$A$14</f>
        <v>ścieki</v>
      </c>
      <c r="AE1354" s="742">
        <v>80</v>
      </c>
      <c r="AF1354" s="743">
        <v>52</v>
      </c>
      <c r="AG1354" s="741" t="str">
        <f>'DICTIONARY-5'!$A$23</f>
        <v>powłoka epoksydowa</v>
      </c>
    </row>
    <row r="1355" spans="1:33" x14ac:dyDescent="0.25">
      <c r="A1355" s="861" t="s">
        <v>1354</v>
      </c>
      <c r="B1355" s="861" t="s">
        <v>4361</v>
      </c>
      <c r="C1355" s="836">
        <v>1450</v>
      </c>
      <c r="D1355" s="836"/>
      <c r="E1355" s="836"/>
      <c r="F1355" s="836"/>
      <c r="G1355" s="496" t="s">
        <v>7825</v>
      </c>
      <c r="H1355" s="797" t="str">
        <f>VLOOKUP(G1355,SETTINGS!$B$7:$D$97,2,0)</f>
        <v>LIMU-STOP</v>
      </c>
      <c r="I1355" s="796">
        <f>VLOOKUP(G1355,SETTINGS!$B$7:$D$97,3,0)</f>
        <v>0</v>
      </c>
      <c r="J1355" s="670" t="str">
        <f>IFERROR(IF(CURRENCY.FORMAT_1=0,CONCATENATE(TEXT(FIXED(ROUND((C1355/EXC.RATE_1),CURRENCY.FORMAT_1),CURRENCY.FORMAT_1,1),"# ##0;-# ##0"),",-"),FIXED(ROUND((C1355/EXC.RATE_1),CURRENCY.FORMAT_1),CURRENCY.FORMAT_1,0)),'DICTIONARY-5'!$A$2)</f>
        <v>1 450,-</v>
      </c>
      <c r="K1355" s="670" t="str">
        <f>IF(EXC.RATE_2=0,"",IFERROR(IF(CURRENCY.FORMAT_2=0,CONCATENATE(TEXT(FIXED(ROUND(IF(EXC.RATE.SWITCH=1,C1355/EXC.RATE_2,C1355*EXC.RATE_2),CURRENCY.FORMAT_2),CURRENCY.FORMAT_2,1),"# ##0;-# ##0"),",-"),FIXED(ROUND(IF(EXC.RATE.SWITCH=1,C1355/EXC.RATE_2,C1355*EXC.RATE_2),CURRENCY.FORMAT_2),CURRENCY.FORMAT_2,0)),'DICTIONARY-5'!$A$2))</f>
        <v/>
      </c>
      <c r="L1355" s="670" t="str">
        <f>IFERROR(IF(CURRENCY.FORMAT_1=0,CONCATENATE(TEXT(FIXED(ROUND((C1355*(1-I1355)*(1-ADD.DISCOUNT)*(1+MAT.SURCHARGE)/EXC.RATE_1),CURRENCY.FORMAT_1),CURRENCY.FORMAT_1,1),"# ##0;-# ##0"),",-"),FIXED(ROUND((C1355*(1-I1355)*(1-ADD.DISCOUNT)*(1+MAT.SURCHARGE)/EXC.RATE_1),CURRENCY.FORMAT_1),CURRENCY.FORMAT_1,0)),'DICTIONARY-5'!$A$2)</f>
        <v>1 507,-</v>
      </c>
      <c r="M1355" s="670" t="str">
        <f>IF(EXC.RATE_2=0,"",IFERROR(IF(CURRENCY.FORMAT_2=0,CONCATENATE(TEXT(FIXED(ROUND(IF(EXC.RATE.SWITCH=1,C1355*(1-I1355)*(1-ADD.DISCOUNT)*(1+MAT.SURCHARGE)/EXC.RATE_2,C1355*(1-I1355)*(1-ADD.DISCOUNT)*(1+MAT.SURCHARGE)*EXC.RATE_2),CURRENCY.FORMAT_2),CURRENCY.FORMAT_2,1),"# ##0;-# ##0"),",-"),FIXED(ROUND(IF(EXC.RATE.SWITCH=1,C1355*(1-I1355)*(1-ADD.DISCOUNT)*(1+MAT.SURCHARGE)/EXC.RATE_2,C1355*(1-I1355)*(1-ADD.DISCOUNT)*(1+MAT.SURCHARGE)*EXC.RATE_2),CURRENCY.FORMAT_2),CURRENCY.FORMAT_2,0)),'DICTIONARY-5'!$A$2))</f>
        <v/>
      </c>
      <c r="N1355" s="539">
        <v>5</v>
      </c>
      <c r="O1355" s="539"/>
      <c r="P1355" s="731" t="str">
        <f>'DICTIONARY-3'!$A$100</f>
        <v>LIMU-STOP</v>
      </c>
      <c r="Q1355" s="732" t="str">
        <f>'DICTIONARY-3'!$A$200</f>
        <v>Zawór zwrotny</v>
      </c>
      <c r="R1355" s="732" t="str">
        <f>CONCATENATE('DICTIONARY-3'!$A$100," ",'DICTIONARY-6'!$A$20," ",'DICTIONARY-2'!$A$2,"150"," ",'DICTIONARY-2'!$A$3,"10/16"," ","R48",", ",'DICTIONARY-5'!$A$45,", ",'DICTIONARY-4'!$A$16,"+",'DICTIONARY-6'!$A$71," ",'DICTIONARY-6'!$A$69)</f>
        <v>LIMU-STOP Zaw. zwrotny DN150 PN10/16 R48, NBR, DC+klatka ochronna zabud. pozioma</v>
      </c>
      <c r="S1355" s="733" t="str">
        <f>'DICTIONARY-4'!$A$16</f>
        <v>DC</v>
      </c>
      <c r="T1355" s="732" t="str">
        <f>'DICTIONARY-4'!$A$32</f>
        <v>Dżwignia z ciężarem</v>
      </c>
      <c r="U1355" s="734" t="s">
        <v>5572</v>
      </c>
      <c r="V1355" s="735">
        <v>16</v>
      </c>
      <c r="W1355" s="736"/>
      <c r="X1355" s="737"/>
      <c r="Y1355" s="738"/>
      <c r="Z1355" s="739"/>
      <c r="AA1355" s="739"/>
      <c r="AB1355" s="740">
        <v>16</v>
      </c>
      <c r="AC1355" s="741" t="str">
        <f>'DICTIONARY-5'!$A$11&amp;" 48"</f>
        <v>EN 558 szereg 48</v>
      </c>
      <c r="AD1355" s="741" t="str">
        <f>'DICTIONARY-5'!$A$14</f>
        <v>ścieki</v>
      </c>
      <c r="AE1355" s="742">
        <v>80</v>
      </c>
      <c r="AF1355" s="743">
        <v>64</v>
      </c>
      <c r="AG1355" s="741" t="str">
        <f>'DICTIONARY-5'!$A$23</f>
        <v>powłoka epoksydowa</v>
      </c>
    </row>
    <row r="1356" spans="1:33" x14ac:dyDescent="0.25">
      <c r="A1356" s="861" t="s">
        <v>1356</v>
      </c>
      <c r="B1356" s="861" t="s">
        <v>4369</v>
      </c>
      <c r="C1356" s="836">
        <v>1998</v>
      </c>
      <c r="D1356" s="836"/>
      <c r="E1356" s="836"/>
      <c r="F1356" s="836"/>
      <c r="G1356" s="496" t="s">
        <v>7825</v>
      </c>
      <c r="H1356" s="797" t="str">
        <f>VLOOKUP(G1356,SETTINGS!$B$7:$D$97,2,0)</f>
        <v>LIMU-STOP</v>
      </c>
      <c r="I1356" s="796">
        <f>VLOOKUP(G1356,SETTINGS!$B$7:$D$97,3,0)</f>
        <v>0</v>
      </c>
      <c r="J1356" s="670" t="str">
        <f>IFERROR(IF(CURRENCY.FORMAT_1=0,CONCATENATE(TEXT(FIXED(ROUND((C1356/EXC.RATE_1),CURRENCY.FORMAT_1),CURRENCY.FORMAT_1,1),"# ##0;-# ##0"),",-"),FIXED(ROUND((C1356/EXC.RATE_1),CURRENCY.FORMAT_1),CURRENCY.FORMAT_1,0)),'DICTIONARY-5'!$A$2)</f>
        <v>1 998,-</v>
      </c>
      <c r="K1356" s="670" t="str">
        <f>IF(EXC.RATE_2=0,"",IFERROR(IF(CURRENCY.FORMAT_2=0,CONCATENATE(TEXT(FIXED(ROUND(IF(EXC.RATE.SWITCH=1,C1356/EXC.RATE_2,C1356*EXC.RATE_2),CURRENCY.FORMAT_2),CURRENCY.FORMAT_2,1),"# ##0;-# ##0"),",-"),FIXED(ROUND(IF(EXC.RATE.SWITCH=1,C1356/EXC.RATE_2,C1356*EXC.RATE_2),CURRENCY.FORMAT_2),CURRENCY.FORMAT_2,0)),'DICTIONARY-5'!$A$2))</f>
        <v/>
      </c>
      <c r="L1356" s="670" t="str">
        <f>IFERROR(IF(CURRENCY.FORMAT_1=0,CONCATENATE(TEXT(FIXED(ROUND((C1356*(1-I1356)*(1-ADD.DISCOUNT)*(1+MAT.SURCHARGE)/EXC.RATE_1),CURRENCY.FORMAT_1),CURRENCY.FORMAT_1,1),"# ##0;-# ##0"),",-"),FIXED(ROUND((C1356*(1-I1356)*(1-ADD.DISCOUNT)*(1+MAT.SURCHARGE)/EXC.RATE_1),CURRENCY.FORMAT_1),CURRENCY.FORMAT_1,0)),'DICTIONARY-5'!$A$2)</f>
        <v>2 076,-</v>
      </c>
      <c r="M1356" s="670" t="str">
        <f>IF(EXC.RATE_2=0,"",IFERROR(IF(CURRENCY.FORMAT_2=0,CONCATENATE(TEXT(FIXED(ROUND(IF(EXC.RATE.SWITCH=1,C1356*(1-I1356)*(1-ADD.DISCOUNT)*(1+MAT.SURCHARGE)/EXC.RATE_2,C1356*(1-I1356)*(1-ADD.DISCOUNT)*(1+MAT.SURCHARGE)*EXC.RATE_2),CURRENCY.FORMAT_2),CURRENCY.FORMAT_2,1),"# ##0;-# ##0"),",-"),FIXED(ROUND(IF(EXC.RATE.SWITCH=1,C1356*(1-I1356)*(1-ADD.DISCOUNT)*(1+MAT.SURCHARGE)/EXC.RATE_2,C1356*(1-I1356)*(1-ADD.DISCOUNT)*(1+MAT.SURCHARGE)*EXC.RATE_2),CURRENCY.FORMAT_2),CURRENCY.FORMAT_2,0)),'DICTIONARY-5'!$A$2))</f>
        <v/>
      </c>
      <c r="N1356" s="539">
        <v>5</v>
      </c>
      <c r="O1356" s="539"/>
      <c r="P1356" s="731" t="str">
        <f>'DICTIONARY-3'!$A$100</f>
        <v>LIMU-STOP</v>
      </c>
      <c r="Q1356" s="732" t="str">
        <f>'DICTIONARY-3'!$A$200</f>
        <v>Zawór zwrotny</v>
      </c>
      <c r="R1356" s="732" t="str">
        <f>CONCATENATE('DICTIONARY-3'!$A$100," ",'DICTIONARY-6'!$A$20," ",'DICTIONARY-2'!$A$2,"200"," ",'DICTIONARY-2'!$A$3,"10"," ","R48",", ",'DICTIONARY-5'!$A$45,", ",'DICTIONARY-4'!$A$16,"+",'DICTIONARY-6'!$A$71," ",'DICTIONARY-6'!$A$69)</f>
        <v>LIMU-STOP Zaw. zwrotny DN200 PN10 R48, NBR, DC+klatka ochronna zabud. pozioma</v>
      </c>
      <c r="S1356" s="733" t="str">
        <f>'DICTIONARY-4'!$A$16</f>
        <v>DC</v>
      </c>
      <c r="T1356" s="732" t="str">
        <f>'DICTIONARY-4'!$A$32</f>
        <v>Dżwignia z ciężarem</v>
      </c>
      <c r="U1356" s="734" t="s">
        <v>5750</v>
      </c>
      <c r="V1356" s="735">
        <v>10</v>
      </c>
      <c r="W1356" s="736"/>
      <c r="X1356" s="737"/>
      <c r="Y1356" s="738"/>
      <c r="Z1356" s="739"/>
      <c r="AA1356" s="739"/>
      <c r="AB1356" s="740">
        <v>10</v>
      </c>
      <c r="AC1356" s="741" t="str">
        <f>'DICTIONARY-5'!$A$11&amp;" 48"</f>
        <v>EN 558 szereg 48</v>
      </c>
      <c r="AD1356" s="741" t="str">
        <f>'DICTIONARY-5'!$A$14</f>
        <v>ścieki</v>
      </c>
      <c r="AE1356" s="742">
        <v>80</v>
      </c>
      <c r="AF1356" s="743">
        <v>116</v>
      </c>
      <c r="AG1356" s="741" t="str">
        <f>'DICTIONARY-5'!$A$23</f>
        <v>powłoka epoksydowa</v>
      </c>
    </row>
    <row r="1357" spans="1:33" x14ac:dyDescent="0.25">
      <c r="A1357" s="861" t="s">
        <v>1358</v>
      </c>
      <c r="B1357" s="861" t="s">
        <v>4363</v>
      </c>
      <c r="C1357" s="836">
        <v>1997</v>
      </c>
      <c r="D1357" s="836"/>
      <c r="E1357" s="836"/>
      <c r="F1357" s="836"/>
      <c r="G1357" s="496" t="s">
        <v>7825</v>
      </c>
      <c r="H1357" s="797" t="str">
        <f>VLOOKUP(G1357,SETTINGS!$B$7:$D$97,2,0)</f>
        <v>LIMU-STOP</v>
      </c>
      <c r="I1357" s="796">
        <f>VLOOKUP(G1357,SETTINGS!$B$7:$D$97,3,0)</f>
        <v>0</v>
      </c>
      <c r="J1357" s="670" t="str">
        <f>IFERROR(IF(CURRENCY.FORMAT_1=0,CONCATENATE(TEXT(FIXED(ROUND((C1357/EXC.RATE_1),CURRENCY.FORMAT_1),CURRENCY.FORMAT_1,1),"# ##0;-# ##0"),",-"),FIXED(ROUND((C1357/EXC.RATE_1),CURRENCY.FORMAT_1),CURRENCY.FORMAT_1,0)),'DICTIONARY-5'!$A$2)</f>
        <v>1 997,-</v>
      </c>
      <c r="K1357" s="670" t="str">
        <f>IF(EXC.RATE_2=0,"",IFERROR(IF(CURRENCY.FORMAT_2=0,CONCATENATE(TEXT(FIXED(ROUND(IF(EXC.RATE.SWITCH=1,C1357/EXC.RATE_2,C1357*EXC.RATE_2),CURRENCY.FORMAT_2),CURRENCY.FORMAT_2,1),"# ##0;-# ##0"),",-"),FIXED(ROUND(IF(EXC.RATE.SWITCH=1,C1357/EXC.RATE_2,C1357*EXC.RATE_2),CURRENCY.FORMAT_2),CURRENCY.FORMAT_2,0)),'DICTIONARY-5'!$A$2))</f>
        <v/>
      </c>
      <c r="L1357" s="670" t="str">
        <f>IFERROR(IF(CURRENCY.FORMAT_1=0,CONCATENATE(TEXT(FIXED(ROUND((C1357*(1-I1357)*(1-ADD.DISCOUNT)*(1+MAT.SURCHARGE)/EXC.RATE_1),CURRENCY.FORMAT_1),CURRENCY.FORMAT_1,1),"# ##0;-# ##0"),",-"),FIXED(ROUND((C1357*(1-I1357)*(1-ADD.DISCOUNT)*(1+MAT.SURCHARGE)/EXC.RATE_1),CURRENCY.FORMAT_1),CURRENCY.FORMAT_1,0)),'DICTIONARY-5'!$A$2)</f>
        <v>2 075,-</v>
      </c>
      <c r="M1357" s="670" t="str">
        <f>IF(EXC.RATE_2=0,"",IFERROR(IF(CURRENCY.FORMAT_2=0,CONCATENATE(TEXT(FIXED(ROUND(IF(EXC.RATE.SWITCH=1,C1357*(1-I1357)*(1-ADD.DISCOUNT)*(1+MAT.SURCHARGE)/EXC.RATE_2,C1357*(1-I1357)*(1-ADD.DISCOUNT)*(1+MAT.SURCHARGE)*EXC.RATE_2),CURRENCY.FORMAT_2),CURRENCY.FORMAT_2,1),"# ##0;-# ##0"),",-"),FIXED(ROUND(IF(EXC.RATE.SWITCH=1,C1357*(1-I1357)*(1-ADD.DISCOUNT)*(1+MAT.SURCHARGE)/EXC.RATE_2,C1357*(1-I1357)*(1-ADD.DISCOUNT)*(1+MAT.SURCHARGE)*EXC.RATE_2),CURRENCY.FORMAT_2),CURRENCY.FORMAT_2,0)),'DICTIONARY-5'!$A$2))</f>
        <v/>
      </c>
      <c r="N1357" s="539">
        <v>5</v>
      </c>
      <c r="O1357" s="539"/>
      <c r="P1357" s="731" t="str">
        <f>'DICTIONARY-3'!$A$100</f>
        <v>LIMU-STOP</v>
      </c>
      <c r="Q1357" s="732" t="str">
        <f>'DICTIONARY-3'!$A$200</f>
        <v>Zawór zwrotny</v>
      </c>
      <c r="R1357" s="732" t="str">
        <f>CONCATENATE('DICTIONARY-3'!$A$100," ",'DICTIONARY-6'!$A$20," ",'DICTIONARY-2'!$A$2,"200"," ",'DICTIONARY-2'!$A$3,"16"," ","R48",", ",'DICTIONARY-5'!$A$45,", ",'DICTIONARY-4'!$A$16,"+",'DICTIONARY-6'!$A$71," ",'DICTIONARY-6'!$A$69)</f>
        <v>LIMU-STOP Zaw. zwrotny DN200 PN16 R48, NBR, DC+klatka ochronna zabud. pozioma</v>
      </c>
      <c r="S1357" s="733" t="str">
        <f>'DICTIONARY-4'!$A$16</f>
        <v>DC</v>
      </c>
      <c r="T1357" s="732" t="str">
        <f>'DICTIONARY-4'!$A$32</f>
        <v>Dżwignia z ciężarem</v>
      </c>
      <c r="U1357" s="734" t="s">
        <v>5750</v>
      </c>
      <c r="V1357" s="735">
        <v>16</v>
      </c>
      <c r="W1357" s="736"/>
      <c r="X1357" s="737"/>
      <c r="Y1357" s="738"/>
      <c r="Z1357" s="739"/>
      <c r="AA1357" s="739"/>
      <c r="AB1357" s="740">
        <v>16</v>
      </c>
      <c r="AC1357" s="741" t="str">
        <f>'DICTIONARY-5'!$A$11&amp;" 48"</f>
        <v>EN 558 szereg 48</v>
      </c>
      <c r="AD1357" s="741" t="str">
        <f>'DICTIONARY-5'!$A$14</f>
        <v>ścieki</v>
      </c>
      <c r="AE1357" s="742">
        <v>80</v>
      </c>
      <c r="AF1357" s="743">
        <v>117</v>
      </c>
      <c r="AG1357" s="741" t="str">
        <f>'DICTIONARY-5'!$A$23</f>
        <v>powłoka epoksydowa</v>
      </c>
    </row>
    <row r="1358" spans="1:33" x14ac:dyDescent="0.25">
      <c r="A1358" s="861" t="s">
        <v>1360</v>
      </c>
      <c r="B1358" s="861" t="s">
        <v>4371</v>
      </c>
      <c r="C1358" s="836">
        <v>3383</v>
      </c>
      <c r="D1358" s="836"/>
      <c r="E1358" s="836"/>
      <c r="F1358" s="836"/>
      <c r="G1358" s="496" t="s">
        <v>7825</v>
      </c>
      <c r="H1358" s="797" t="str">
        <f>VLOOKUP(G1358,SETTINGS!$B$7:$D$97,2,0)</f>
        <v>LIMU-STOP</v>
      </c>
      <c r="I1358" s="796">
        <f>VLOOKUP(G1358,SETTINGS!$B$7:$D$97,3,0)</f>
        <v>0</v>
      </c>
      <c r="J1358" s="670" t="str">
        <f>IFERROR(IF(CURRENCY.FORMAT_1=0,CONCATENATE(TEXT(FIXED(ROUND((C1358/EXC.RATE_1),CURRENCY.FORMAT_1),CURRENCY.FORMAT_1,1),"# ##0;-# ##0"),",-"),FIXED(ROUND((C1358/EXC.RATE_1),CURRENCY.FORMAT_1),CURRENCY.FORMAT_1,0)),'DICTIONARY-5'!$A$2)</f>
        <v>3 383,-</v>
      </c>
      <c r="K1358" s="670" t="str">
        <f>IF(EXC.RATE_2=0,"",IFERROR(IF(CURRENCY.FORMAT_2=0,CONCATENATE(TEXT(FIXED(ROUND(IF(EXC.RATE.SWITCH=1,C1358/EXC.RATE_2,C1358*EXC.RATE_2),CURRENCY.FORMAT_2),CURRENCY.FORMAT_2,1),"# ##0;-# ##0"),",-"),FIXED(ROUND(IF(EXC.RATE.SWITCH=1,C1358/EXC.RATE_2,C1358*EXC.RATE_2),CURRENCY.FORMAT_2),CURRENCY.FORMAT_2,0)),'DICTIONARY-5'!$A$2))</f>
        <v/>
      </c>
      <c r="L1358" s="670" t="str">
        <f>IFERROR(IF(CURRENCY.FORMAT_1=0,CONCATENATE(TEXT(FIXED(ROUND((C1358*(1-I1358)*(1-ADD.DISCOUNT)*(1+MAT.SURCHARGE)/EXC.RATE_1),CURRENCY.FORMAT_1),CURRENCY.FORMAT_1,1),"# ##0;-# ##0"),",-"),FIXED(ROUND((C1358*(1-I1358)*(1-ADD.DISCOUNT)*(1+MAT.SURCHARGE)/EXC.RATE_1),CURRENCY.FORMAT_1),CURRENCY.FORMAT_1,0)),'DICTIONARY-5'!$A$2)</f>
        <v>3 515,-</v>
      </c>
      <c r="M1358" s="670" t="str">
        <f>IF(EXC.RATE_2=0,"",IFERROR(IF(CURRENCY.FORMAT_2=0,CONCATENATE(TEXT(FIXED(ROUND(IF(EXC.RATE.SWITCH=1,C1358*(1-I1358)*(1-ADD.DISCOUNT)*(1+MAT.SURCHARGE)/EXC.RATE_2,C1358*(1-I1358)*(1-ADD.DISCOUNT)*(1+MAT.SURCHARGE)*EXC.RATE_2),CURRENCY.FORMAT_2),CURRENCY.FORMAT_2,1),"# ##0;-# ##0"),",-"),FIXED(ROUND(IF(EXC.RATE.SWITCH=1,C1358*(1-I1358)*(1-ADD.DISCOUNT)*(1+MAT.SURCHARGE)/EXC.RATE_2,C1358*(1-I1358)*(1-ADD.DISCOUNT)*(1+MAT.SURCHARGE)*EXC.RATE_2),CURRENCY.FORMAT_2),CURRENCY.FORMAT_2,0)),'DICTIONARY-5'!$A$2))</f>
        <v/>
      </c>
      <c r="N1358" s="539">
        <v>5</v>
      </c>
      <c r="O1358" s="539"/>
      <c r="P1358" s="731" t="str">
        <f>'DICTIONARY-3'!$A$100</f>
        <v>LIMU-STOP</v>
      </c>
      <c r="Q1358" s="732" t="str">
        <f>'DICTIONARY-3'!$A$200</f>
        <v>Zawór zwrotny</v>
      </c>
      <c r="R1358" s="732" t="str">
        <f>CONCATENATE('DICTIONARY-3'!$A$100," ",'DICTIONARY-6'!$A$20," ",'DICTIONARY-2'!$A$2,"250"," ",'DICTIONARY-2'!$A$3,"10"," ","R48",", ",'DICTIONARY-5'!$A$45,", ",'DICTIONARY-4'!$A$16,"+",'DICTIONARY-6'!$A$71," ",'DICTIONARY-6'!$A$69)</f>
        <v>LIMU-STOP Zaw. zwrotny DN250 PN10 R48, NBR, DC+klatka ochronna zabud. pozioma</v>
      </c>
      <c r="S1358" s="733" t="str">
        <f>'DICTIONARY-4'!$A$16</f>
        <v>DC</v>
      </c>
      <c r="T1358" s="732" t="str">
        <f>'DICTIONARY-4'!$A$32</f>
        <v>Dżwignia z ciężarem</v>
      </c>
      <c r="U1358" s="734" t="s">
        <v>5751</v>
      </c>
      <c r="V1358" s="735">
        <v>10</v>
      </c>
      <c r="W1358" s="736"/>
      <c r="X1358" s="737"/>
      <c r="Y1358" s="738"/>
      <c r="Z1358" s="739"/>
      <c r="AA1358" s="739"/>
      <c r="AB1358" s="740">
        <v>10</v>
      </c>
      <c r="AC1358" s="741" t="str">
        <f>'DICTIONARY-5'!$A$11&amp;" 48"</f>
        <v>EN 558 szereg 48</v>
      </c>
      <c r="AD1358" s="741" t="str">
        <f>'DICTIONARY-5'!$A$14</f>
        <v>ścieki</v>
      </c>
      <c r="AE1358" s="742">
        <v>80</v>
      </c>
      <c r="AF1358" s="743">
        <v>185</v>
      </c>
      <c r="AG1358" s="741" t="str">
        <f>'DICTIONARY-5'!$A$23</f>
        <v>powłoka epoksydowa</v>
      </c>
    </row>
    <row r="1359" spans="1:33" x14ac:dyDescent="0.25">
      <c r="A1359" s="861" t="s">
        <v>1362</v>
      </c>
      <c r="B1359" s="861" t="s">
        <v>4365</v>
      </c>
      <c r="C1359" s="836">
        <v>3383</v>
      </c>
      <c r="D1359" s="836"/>
      <c r="E1359" s="836"/>
      <c r="F1359" s="836"/>
      <c r="G1359" s="496" t="s">
        <v>7825</v>
      </c>
      <c r="H1359" s="797" t="str">
        <f>VLOOKUP(G1359,SETTINGS!$B$7:$D$97,2,0)</f>
        <v>LIMU-STOP</v>
      </c>
      <c r="I1359" s="796">
        <f>VLOOKUP(G1359,SETTINGS!$B$7:$D$97,3,0)</f>
        <v>0</v>
      </c>
      <c r="J1359" s="670" t="str">
        <f>IFERROR(IF(CURRENCY.FORMAT_1=0,CONCATENATE(TEXT(FIXED(ROUND((C1359/EXC.RATE_1),CURRENCY.FORMAT_1),CURRENCY.FORMAT_1,1),"# ##0;-# ##0"),",-"),FIXED(ROUND((C1359/EXC.RATE_1),CURRENCY.FORMAT_1),CURRENCY.FORMAT_1,0)),'DICTIONARY-5'!$A$2)</f>
        <v>3 383,-</v>
      </c>
      <c r="K1359" s="670" t="str">
        <f>IF(EXC.RATE_2=0,"",IFERROR(IF(CURRENCY.FORMAT_2=0,CONCATENATE(TEXT(FIXED(ROUND(IF(EXC.RATE.SWITCH=1,C1359/EXC.RATE_2,C1359*EXC.RATE_2),CURRENCY.FORMAT_2),CURRENCY.FORMAT_2,1),"# ##0;-# ##0"),",-"),FIXED(ROUND(IF(EXC.RATE.SWITCH=1,C1359/EXC.RATE_2,C1359*EXC.RATE_2),CURRENCY.FORMAT_2),CURRENCY.FORMAT_2,0)),'DICTIONARY-5'!$A$2))</f>
        <v/>
      </c>
      <c r="L1359" s="670" t="str">
        <f>IFERROR(IF(CURRENCY.FORMAT_1=0,CONCATENATE(TEXT(FIXED(ROUND((C1359*(1-I1359)*(1-ADD.DISCOUNT)*(1+MAT.SURCHARGE)/EXC.RATE_1),CURRENCY.FORMAT_1),CURRENCY.FORMAT_1,1),"# ##0;-# ##0"),",-"),FIXED(ROUND((C1359*(1-I1359)*(1-ADD.DISCOUNT)*(1+MAT.SURCHARGE)/EXC.RATE_1),CURRENCY.FORMAT_1),CURRENCY.FORMAT_1,0)),'DICTIONARY-5'!$A$2)</f>
        <v>3 515,-</v>
      </c>
      <c r="M1359" s="670" t="str">
        <f>IF(EXC.RATE_2=0,"",IFERROR(IF(CURRENCY.FORMAT_2=0,CONCATENATE(TEXT(FIXED(ROUND(IF(EXC.RATE.SWITCH=1,C1359*(1-I1359)*(1-ADD.DISCOUNT)*(1+MAT.SURCHARGE)/EXC.RATE_2,C1359*(1-I1359)*(1-ADD.DISCOUNT)*(1+MAT.SURCHARGE)*EXC.RATE_2),CURRENCY.FORMAT_2),CURRENCY.FORMAT_2,1),"# ##0;-# ##0"),",-"),FIXED(ROUND(IF(EXC.RATE.SWITCH=1,C1359*(1-I1359)*(1-ADD.DISCOUNT)*(1+MAT.SURCHARGE)/EXC.RATE_2,C1359*(1-I1359)*(1-ADD.DISCOUNT)*(1+MAT.SURCHARGE)*EXC.RATE_2),CURRENCY.FORMAT_2),CURRENCY.FORMAT_2,0)),'DICTIONARY-5'!$A$2))</f>
        <v/>
      </c>
      <c r="N1359" s="539">
        <v>5</v>
      </c>
      <c r="O1359" s="539"/>
      <c r="P1359" s="731" t="str">
        <f>'DICTIONARY-3'!$A$100</f>
        <v>LIMU-STOP</v>
      </c>
      <c r="Q1359" s="732" t="str">
        <f>'DICTIONARY-3'!$A$200</f>
        <v>Zawór zwrotny</v>
      </c>
      <c r="R1359" s="732" t="str">
        <f>CONCATENATE('DICTIONARY-3'!$A$100," ",'DICTIONARY-6'!$A$20," ",'DICTIONARY-2'!$A$2,"250"," ",'DICTIONARY-2'!$A$3,"16"," ","R48",", ",'DICTIONARY-5'!$A$45,", ",'DICTIONARY-4'!$A$16,"+",'DICTIONARY-6'!$A$71," ",'DICTIONARY-6'!$A$69)</f>
        <v>LIMU-STOP Zaw. zwrotny DN250 PN16 R48, NBR, DC+klatka ochronna zabud. pozioma</v>
      </c>
      <c r="S1359" s="733" t="str">
        <f>'DICTIONARY-4'!$A$16</f>
        <v>DC</v>
      </c>
      <c r="T1359" s="732" t="str">
        <f>'DICTIONARY-4'!$A$32</f>
        <v>Dżwignia z ciężarem</v>
      </c>
      <c r="U1359" s="734" t="s">
        <v>5751</v>
      </c>
      <c r="V1359" s="735">
        <v>16</v>
      </c>
      <c r="W1359" s="736"/>
      <c r="X1359" s="737"/>
      <c r="Y1359" s="738"/>
      <c r="Z1359" s="739"/>
      <c r="AA1359" s="739"/>
      <c r="AB1359" s="740">
        <v>16</v>
      </c>
      <c r="AC1359" s="741" t="str">
        <f>'DICTIONARY-5'!$A$11&amp;" 48"</f>
        <v>EN 558 szereg 48</v>
      </c>
      <c r="AD1359" s="741" t="str">
        <f>'DICTIONARY-5'!$A$14</f>
        <v>ścieki</v>
      </c>
      <c r="AE1359" s="742">
        <v>80</v>
      </c>
      <c r="AF1359" s="743">
        <v>185.44</v>
      </c>
      <c r="AG1359" s="741" t="str">
        <f>'DICTIONARY-5'!$A$23</f>
        <v>powłoka epoksydowa</v>
      </c>
    </row>
    <row r="1360" spans="1:33" x14ac:dyDescent="0.25">
      <c r="A1360" s="861" t="s">
        <v>1364</v>
      </c>
      <c r="B1360" s="861" t="s">
        <v>4373</v>
      </c>
      <c r="C1360" s="836">
        <v>4523</v>
      </c>
      <c r="D1360" s="836"/>
      <c r="E1360" s="836"/>
      <c r="F1360" s="836"/>
      <c r="G1360" s="496" t="s">
        <v>7825</v>
      </c>
      <c r="H1360" s="797" t="str">
        <f>VLOOKUP(G1360,SETTINGS!$B$7:$D$97,2,0)</f>
        <v>LIMU-STOP</v>
      </c>
      <c r="I1360" s="796">
        <f>VLOOKUP(G1360,SETTINGS!$B$7:$D$97,3,0)</f>
        <v>0</v>
      </c>
      <c r="J1360" s="670" t="str">
        <f>IFERROR(IF(CURRENCY.FORMAT_1=0,CONCATENATE(TEXT(FIXED(ROUND((C1360/EXC.RATE_1),CURRENCY.FORMAT_1),CURRENCY.FORMAT_1,1),"# ##0;-# ##0"),",-"),FIXED(ROUND((C1360/EXC.RATE_1),CURRENCY.FORMAT_1),CURRENCY.FORMAT_1,0)),'DICTIONARY-5'!$A$2)</f>
        <v>4 523,-</v>
      </c>
      <c r="K1360" s="670" t="str">
        <f>IF(EXC.RATE_2=0,"",IFERROR(IF(CURRENCY.FORMAT_2=0,CONCATENATE(TEXT(FIXED(ROUND(IF(EXC.RATE.SWITCH=1,C1360/EXC.RATE_2,C1360*EXC.RATE_2),CURRENCY.FORMAT_2),CURRENCY.FORMAT_2,1),"# ##0;-# ##0"),",-"),FIXED(ROUND(IF(EXC.RATE.SWITCH=1,C1360/EXC.RATE_2,C1360*EXC.RATE_2),CURRENCY.FORMAT_2),CURRENCY.FORMAT_2,0)),'DICTIONARY-5'!$A$2))</f>
        <v/>
      </c>
      <c r="L1360" s="670" t="str">
        <f>IFERROR(IF(CURRENCY.FORMAT_1=0,CONCATENATE(TEXT(FIXED(ROUND((C1360*(1-I1360)*(1-ADD.DISCOUNT)*(1+MAT.SURCHARGE)/EXC.RATE_1),CURRENCY.FORMAT_1),CURRENCY.FORMAT_1,1),"# ##0;-# ##0"),",-"),FIXED(ROUND((C1360*(1-I1360)*(1-ADD.DISCOUNT)*(1+MAT.SURCHARGE)/EXC.RATE_1),CURRENCY.FORMAT_1),CURRENCY.FORMAT_1,0)),'DICTIONARY-5'!$A$2)</f>
        <v>4 699,-</v>
      </c>
      <c r="M1360" s="670" t="str">
        <f>IF(EXC.RATE_2=0,"",IFERROR(IF(CURRENCY.FORMAT_2=0,CONCATENATE(TEXT(FIXED(ROUND(IF(EXC.RATE.SWITCH=1,C1360*(1-I1360)*(1-ADD.DISCOUNT)*(1+MAT.SURCHARGE)/EXC.RATE_2,C1360*(1-I1360)*(1-ADD.DISCOUNT)*(1+MAT.SURCHARGE)*EXC.RATE_2),CURRENCY.FORMAT_2),CURRENCY.FORMAT_2,1),"# ##0;-# ##0"),",-"),FIXED(ROUND(IF(EXC.RATE.SWITCH=1,C1360*(1-I1360)*(1-ADD.DISCOUNT)*(1+MAT.SURCHARGE)/EXC.RATE_2,C1360*(1-I1360)*(1-ADD.DISCOUNT)*(1+MAT.SURCHARGE)*EXC.RATE_2),CURRENCY.FORMAT_2),CURRENCY.FORMAT_2,0)),'DICTIONARY-5'!$A$2))</f>
        <v/>
      </c>
      <c r="N1360" s="539">
        <v>5</v>
      </c>
      <c r="O1360" s="539"/>
      <c r="P1360" s="731" t="str">
        <f>'DICTIONARY-3'!$A$100</f>
        <v>LIMU-STOP</v>
      </c>
      <c r="Q1360" s="732" t="str">
        <f>'DICTIONARY-3'!$A$200</f>
        <v>Zawór zwrotny</v>
      </c>
      <c r="R1360" s="732" t="str">
        <f>CONCATENATE('DICTIONARY-3'!$A$100," ",'DICTIONARY-6'!$A$20," ",'DICTIONARY-2'!$A$2,"300"," ",'DICTIONARY-2'!$A$3,"10"," ","R48",", ",'DICTIONARY-5'!$A$45,", ",'DICTIONARY-4'!$A$16,"+",'DICTIONARY-6'!$A$71," ",'DICTIONARY-6'!$A$69)</f>
        <v>LIMU-STOP Zaw. zwrotny DN300 PN10 R48, NBR, DC+klatka ochronna zabud. pozioma</v>
      </c>
      <c r="S1360" s="733" t="str">
        <f>'DICTIONARY-4'!$A$16</f>
        <v>DC</v>
      </c>
      <c r="T1360" s="732" t="str">
        <f>'DICTIONARY-4'!$A$32</f>
        <v>Dżwignia z ciężarem</v>
      </c>
      <c r="U1360" s="734" t="s">
        <v>5752</v>
      </c>
      <c r="V1360" s="735">
        <v>10</v>
      </c>
      <c r="W1360" s="736"/>
      <c r="X1360" s="737"/>
      <c r="Y1360" s="738"/>
      <c r="Z1360" s="739"/>
      <c r="AA1360" s="739"/>
      <c r="AB1360" s="740">
        <v>10</v>
      </c>
      <c r="AC1360" s="741" t="str">
        <f>'DICTIONARY-5'!$A$11&amp;" 48"</f>
        <v>EN 558 szereg 48</v>
      </c>
      <c r="AD1360" s="741" t="str">
        <f>'DICTIONARY-5'!$A$14</f>
        <v>ścieki</v>
      </c>
      <c r="AE1360" s="742">
        <v>80</v>
      </c>
      <c r="AF1360" s="743">
        <v>252</v>
      </c>
      <c r="AG1360" s="741" t="str">
        <f>'DICTIONARY-5'!$A$23</f>
        <v>powłoka epoksydowa</v>
      </c>
    </row>
    <row r="1361" spans="1:33" x14ac:dyDescent="0.25">
      <c r="A1361" s="861" t="s">
        <v>1366</v>
      </c>
      <c r="B1361" s="861" t="s">
        <v>4367</v>
      </c>
      <c r="C1361" s="836">
        <v>4494</v>
      </c>
      <c r="D1361" s="836"/>
      <c r="E1361" s="836"/>
      <c r="F1361" s="836"/>
      <c r="G1361" s="496" t="s">
        <v>7825</v>
      </c>
      <c r="H1361" s="797" t="str">
        <f>VLOOKUP(G1361,SETTINGS!$B$7:$D$97,2,0)</f>
        <v>LIMU-STOP</v>
      </c>
      <c r="I1361" s="796">
        <f>VLOOKUP(G1361,SETTINGS!$B$7:$D$97,3,0)</f>
        <v>0</v>
      </c>
      <c r="J1361" s="670" t="str">
        <f>IFERROR(IF(CURRENCY.FORMAT_1=0,CONCATENATE(TEXT(FIXED(ROUND((C1361/EXC.RATE_1),CURRENCY.FORMAT_1),CURRENCY.FORMAT_1,1),"# ##0;-# ##0"),",-"),FIXED(ROUND((C1361/EXC.RATE_1),CURRENCY.FORMAT_1),CURRENCY.FORMAT_1,0)),'DICTIONARY-5'!$A$2)</f>
        <v>4 494,-</v>
      </c>
      <c r="K1361" s="670" t="str">
        <f>IF(EXC.RATE_2=0,"",IFERROR(IF(CURRENCY.FORMAT_2=0,CONCATENATE(TEXT(FIXED(ROUND(IF(EXC.RATE.SWITCH=1,C1361/EXC.RATE_2,C1361*EXC.RATE_2),CURRENCY.FORMAT_2),CURRENCY.FORMAT_2,1),"# ##0;-# ##0"),",-"),FIXED(ROUND(IF(EXC.RATE.SWITCH=1,C1361/EXC.RATE_2,C1361*EXC.RATE_2),CURRENCY.FORMAT_2),CURRENCY.FORMAT_2,0)),'DICTIONARY-5'!$A$2))</f>
        <v/>
      </c>
      <c r="L1361" s="670" t="str">
        <f>IFERROR(IF(CURRENCY.FORMAT_1=0,CONCATENATE(TEXT(FIXED(ROUND((C1361*(1-I1361)*(1-ADD.DISCOUNT)*(1+MAT.SURCHARGE)/EXC.RATE_1),CURRENCY.FORMAT_1),CURRENCY.FORMAT_1,1),"# ##0;-# ##0"),",-"),FIXED(ROUND((C1361*(1-I1361)*(1-ADD.DISCOUNT)*(1+MAT.SURCHARGE)/EXC.RATE_1),CURRENCY.FORMAT_1),CURRENCY.FORMAT_1,0)),'DICTIONARY-5'!$A$2)</f>
        <v>4 669,-</v>
      </c>
      <c r="M1361" s="670" t="str">
        <f>IF(EXC.RATE_2=0,"",IFERROR(IF(CURRENCY.FORMAT_2=0,CONCATENATE(TEXT(FIXED(ROUND(IF(EXC.RATE.SWITCH=1,C1361*(1-I1361)*(1-ADD.DISCOUNT)*(1+MAT.SURCHARGE)/EXC.RATE_2,C1361*(1-I1361)*(1-ADD.DISCOUNT)*(1+MAT.SURCHARGE)*EXC.RATE_2),CURRENCY.FORMAT_2),CURRENCY.FORMAT_2,1),"# ##0;-# ##0"),",-"),FIXED(ROUND(IF(EXC.RATE.SWITCH=1,C1361*(1-I1361)*(1-ADD.DISCOUNT)*(1+MAT.SURCHARGE)/EXC.RATE_2,C1361*(1-I1361)*(1-ADD.DISCOUNT)*(1+MAT.SURCHARGE)*EXC.RATE_2),CURRENCY.FORMAT_2),CURRENCY.FORMAT_2,0)),'DICTIONARY-5'!$A$2))</f>
        <v/>
      </c>
      <c r="N1361" s="539">
        <v>5</v>
      </c>
      <c r="O1361" s="539"/>
      <c r="P1361" s="731" t="str">
        <f>'DICTIONARY-3'!$A$100</f>
        <v>LIMU-STOP</v>
      </c>
      <c r="Q1361" s="732" t="str">
        <f>'DICTIONARY-3'!$A$200</f>
        <v>Zawór zwrotny</v>
      </c>
      <c r="R1361" s="732" t="str">
        <f>CONCATENATE('DICTIONARY-3'!$A$100," ",'DICTIONARY-6'!$A$20," ",'DICTIONARY-2'!$A$2,"300"," ",'DICTIONARY-2'!$A$3,"16"," ","R48",", ",'DICTIONARY-5'!$A$45,", ",'DICTIONARY-4'!$A$16,"+",'DICTIONARY-6'!$A$71," ",'DICTIONARY-6'!$A$69)</f>
        <v>LIMU-STOP Zaw. zwrotny DN300 PN16 R48, NBR, DC+klatka ochronna zabud. pozioma</v>
      </c>
      <c r="S1361" s="733" t="str">
        <f>'DICTIONARY-4'!$A$16</f>
        <v>DC</v>
      </c>
      <c r="T1361" s="732" t="str">
        <f>'DICTIONARY-4'!$A$32</f>
        <v>Dżwignia z ciężarem</v>
      </c>
      <c r="U1361" s="734" t="s">
        <v>5752</v>
      </c>
      <c r="V1361" s="735">
        <v>16</v>
      </c>
      <c r="W1361" s="736"/>
      <c r="X1361" s="737"/>
      <c r="Y1361" s="738"/>
      <c r="Z1361" s="739"/>
      <c r="AA1361" s="739"/>
      <c r="AB1361" s="740">
        <v>16</v>
      </c>
      <c r="AC1361" s="741" t="str">
        <f>'DICTIONARY-5'!$A$11&amp;" 48"</f>
        <v>EN 558 szereg 48</v>
      </c>
      <c r="AD1361" s="741" t="str">
        <f>'DICTIONARY-5'!$A$14</f>
        <v>ścieki</v>
      </c>
      <c r="AE1361" s="742">
        <v>80</v>
      </c>
      <c r="AF1361" s="743">
        <v>254.5</v>
      </c>
      <c r="AG1361" s="741" t="str">
        <f>'DICTIONARY-5'!$A$23</f>
        <v>powłoka epoksydowa</v>
      </c>
    </row>
    <row r="1362" spans="1:33" x14ac:dyDescent="0.25">
      <c r="A1362" s="861" t="s">
        <v>1367</v>
      </c>
      <c r="B1362" s="861" t="s">
        <v>4460</v>
      </c>
      <c r="C1362" s="836">
        <v>134</v>
      </c>
      <c r="D1362" s="836"/>
      <c r="E1362" s="836"/>
      <c r="F1362" s="836"/>
      <c r="G1362" s="496" t="s">
        <v>7826</v>
      </c>
      <c r="H1362" s="797" t="str">
        <f>VLOOKUP(G1362,SETTINGS!$B$7:$D$97,2,0)</f>
        <v>KRV</v>
      </c>
      <c r="I1362" s="796">
        <f>VLOOKUP(G1362,SETTINGS!$B$7:$D$97,3,0)</f>
        <v>0</v>
      </c>
      <c r="J1362" s="670" t="str">
        <f>IFERROR(IF(CURRENCY.FORMAT_1=0,CONCATENATE(TEXT(FIXED(ROUND((C1362/EXC.RATE_1),CURRENCY.FORMAT_1),CURRENCY.FORMAT_1,1),"# ##0;-# ##0"),",-"),FIXED(ROUND((C1362/EXC.RATE_1),CURRENCY.FORMAT_1),CURRENCY.FORMAT_1,0)),'DICTIONARY-5'!$A$2)</f>
        <v>134,-</v>
      </c>
      <c r="K1362" s="670" t="str">
        <f>IF(EXC.RATE_2=0,"",IFERROR(IF(CURRENCY.FORMAT_2=0,CONCATENATE(TEXT(FIXED(ROUND(IF(EXC.RATE.SWITCH=1,C1362/EXC.RATE_2,C1362*EXC.RATE_2),CURRENCY.FORMAT_2),CURRENCY.FORMAT_2,1),"# ##0;-# ##0"),",-"),FIXED(ROUND(IF(EXC.RATE.SWITCH=1,C1362/EXC.RATE_2,C1362*EXC.RATE_2),CURRENCY.FORMAT_2),CURRENCY.FORMAT_2,0)),'DICTIONARY-5'!$A$2))</f>
        <v/>
      </c>
      <c r="L1362" s="670" t="str">
        <f>IFERROR(IF(CURRENCY.FORMAT_1=0,CONCATENATE(TEXT(FIXED(ROUND((C1362*(1-I1362)*(1-ADD.DISCOUNT)*(1+MAT.SURCHARGE)/EXC.RATE_1),CURRENCY.FORMAT_1),CURRENCY.FORMAT_1,1),"# ##0;-# ##0"),",-"),FIXED(ROUND((C1362*(1-I1362)*(1-ADD.DISCOUNT)*(1+MAT.SURCHARGE)/EXC.RATE_1),CURRENCY.FORMAT_1),CURRENCY.FORMAT_1,0)),'DICTIONARY-5'!$A$2)</f>
        <v>139,-</v>
      </c>
      <c r="M1362" s="670" t="str">
        <f>IF(EXC.RATE_2=0,"",IFERROR(IF(CURRENCY.FORMAT_2=0,CONCATENATE(TEXT(FIXED(ROUND(IF(EXC.RATE.SWITCH=1,C1362*(1-I1362)*(1-ADD.DISCOUNT)*(1+MAT.SURCHARGE)/EXC.RATE_2,C1362*(1-I1362)*(1-ADD.DISCOUNT)*(1+MAT.SURCHARGE)*EXC.RATE_2),CURRENCY.FORMAT_2),CURRENCY.FORMAT_2,1),"# ##0;-# ##0"),",-"),FIXED(ROUND(IF(EXC.RATE.SWITCH=1,C1362*(1-I1362)*(1-ADD.DISCOUNT)*(1+MAT.SURCHARGE)/EXC.RATE_2,C1362*(1-I1362)*(1-ADD.DISCOUNT)*(1+MAT.SURCHARGE)*EXC.RATE_2),CURRENCY.FORMAT_2),CURRENCY.FORMAT_2,0)),'DICTIONARY-5'!$A$2))</f>
        <v/>
      </c>
      <c r="N1362" s="539">
        <v>5</v>
      </c>
      <c r="O1362" s="539"/>
      <c r="P1362" s="731" t="str">
        <f>'DICTIONARY-3'!$A$101</f>
        <v>KRV</v>
      </c>
      <c r="Q1362" s="732" t="str">
        <f>'DICTIONARY-3'!$A$201</f>
        <v>Zawór zwrotny</v>
      </c>
      <c r="R1362" s="732" t="str">
        <f>CONCATENATE('DICTIONARY-3'!$A$101," ",'DICTIONARY-6'!$A$20," ",'DICTIONARY-2'!$A$2,"50"," ",'DICTIONARY-2'!$A$3,"10/16"," ","R48",", ",'DICTIONARY-5'!$A$45)</f>
        <v>KRV Zaw. zwrotny DN50 PN10/16 R48, NBR</v>
      </c>
      <c r="S1362" s="733" t="s">
        <v>5569</v>
      </c>
      <c r="T1362" s="732" t="s">
        <v>5569</v>
      </c>
      <c r="U1362" s="734" t="s">
        <v>5748</v>
      </c>
      <c r="V1362" s="735">
        <v>16</v>
      </c>
      <c r="W1362" s="736"/>
      <c r="X1362" s="737"/>
      <c r="Y1362" s="738"/>
      <c r="Z1362" s="739"/>
      <c r="AA1362" s="739"/>
      <c r="AB1362" s="740">
        <v>16</v>
      </c>
      <c r="AC1362" s="741" t="str">
        <f>'DICTIONARY-5'!$A$11&amp;" 48"</f>
        <v>EN 558 szereg 48</v>
      </c>
      <c r="AD1362" s="741" t="str">
        <f>'DICTIONARY-5'!$A$14</f>
        <v>ścieki</v>
      </c>
      <c r="AE1362" s="742">
        <v>50</v>
      </c>
      <c r="AF1362" s="743">
        <v>7.5</v>
      </c>
      <c r="AG1362" s="741" t="str">
        <f>'DICTIONARY-5'!$A$23</f>
        <v>powłoka epoksydowa</v>
      </c>
    </row>
    <row r="1363" spans="1:33" x14ac:dyDescent="0.25">
      <c r="A1363" s="861" t="s">
        <v>1368</v>
      </c>
      <c r="B1363" s="861" t="s">
        <v>4461</v>
      </c>
      <c r="C1363" s="836">
        <v>171</v>
      </c>
      <c r="D1363" s="836"/>
      <c r="E1363" s="836"/>
      <c r="F1363" s="836"/>
      <c r="G1363" s="496" t="s">
        <v>7826</v>
      </c>
      <c r="H1363" s="797" t="str">
        <f>VLOOKUP(G1363,SETTINGS!$B$7:$D$97,2,0)</f>
        <v>KRV</v>
      </c>
      <c r="I1363" s="796">
        <f>VLOOKUP(G1363,SETTINGS!$B$7:$D$97,3,0)</f>
        <v>0</v>
      </c>
      <c r="J1363" s="670" t="str">
        <f>IFERROR(IF(CURRENCY.FORMAT_1=0,CONCATENATE(TEXT(FIXED(ROUND((C1363/EXC.RATE_1),CURRENCY.FORMAT_1),CURRENCY.FORMAT_1,1),"# ##0;-# ##0"),",-"),FIXED(ROUND((C1363/EXC.RATE_1),CURRENCY.FORMAT_1),CURRENCY.FORMAT_1,0)),'DICTIONARY-5'!$A$2)</f>
        <v>171,-</v>
      </c>
      <c r="K1363" s="670" t="str">
        <f>IF(EXC.RATE_2=0,"",IFERROR(IF(CURRENCY.FORMAT_2=0,CONCATENATE(TEXT(FIXED(ROUND(IF(EXC.RATE.SWITCH=1,C1363/EXC.RATE_2,C1363*EXC.RATE_2),CURRENCY.FORMAT_2),CURRENCY.FORMAT_2,1),"# ##0;-# ##0"),",-"),FIXED(ROUND(IF(EXC.RATE.SWITCH=1,C1363/EXC.RATE_2,C1363*EXC.RATE_2),CURRENCY.FORMAT_2),CURRENCY.FORMAT_2,0)),'DICTIONARY-5'!$A$2))</f>
        <v/>
      </c>
      <c r="L1363" s="670" t="str">
        <f>IFERROR(IF(CURRENCY.FORMAT_1=0,CONCATENATE(TEXT(FIXED(ROUND((C1363*(1-I1363)*(1-ADD.DISCOUNT)*(1+MAT.SURCHARGE)/EXC.RATE_1),CURRENCY.FORMAT_1),CURRENCY.FORMAT_1,1),"# ##0;-# ##0"),",-"),FIXED(ROUND((C1363*(1-I1363)*(1-ADD.DISCOUNT)*(1+MAT.SURCHARGE)/EXC.RATE_1),CURRENCY.FORMAT_1),CURRENCY.FORMAT_1,0)),'DICTIONARY-5'!$A$2)</f>
        <v>178,-</v>
      </c>
      <c r="M1363" s="670" t="str">
        <f>IF(EXC.RATE_2=0,"",IFERROR(IF(CURRENCY.FORMAT_2=0,CONCATENATE(TEXT(FIXED(ROUND(IF(EXC.RATE.SWITCH=1,C1363*(1-I1363)*(1-ADD.DISCOUNT)*(1+MAT.SURCHARGE)/EXC.RATE_2,C1363*(1-I1363)*(1-ADD.DISCOUNT)*(1+MAT.SURCHARGE)*EXC.RATE_2),CURRENCY.FORMAT_2),CURRENCY.FORMAT_2,1),"# ##0;-# ##0"),",-"),FIXED(ROUND(IF(EXC.RATE.SWITCH=1,C1363*(1-I1363)*(1-ADD.DISCOUNT)*(1+MAT.SURCHARGE)/EXC.RATE_2,C1363*(1-I1363)*(1-ADD.DISCOUNT)*(1+MAT.SURCHARGE)*EXC.RATE_2),CURRENCY.FORMAT_2),CURRENCY.FORMAT_2,0)),'DICTIONARY-5'!$A$2))</f>
        <v/>
      </c>
      <c r="N1363" s="539">
        <v>5</v>
      </c>
      <c r="O1363" s="539"/>
      <c r="P1363" s="731" t="str">
        <f>'DICTIONARY-3'!$A$101</f>
        <v>KRV</v>
      </c>
      <c r="Q1363" s="732" t="str">
        <f>'DICTIONARY-3'!$A$201</f>
        <v>Zawór zwrotny</v>
      </c>
      <c r="R1363" s="732" t="str">
        <f>CONCATENATE('DICTIONARY-3'!$A$101," ",'DICTIONARY-6'!$A$20," ",'DICTIONARY-2'!$A$2,"65"," ",'DICTIONARY-2'!$A$3,"10/16"," ","R48",", ",'DICTIONARY-5'!$A$45)</f>
        <v>KRV Zaw. zwrotny DN65 PN10/16 R48, NBR</v>
      </c>
      <c r="S1363" s="733" t="s">
        <v>5569</v>
      </c>
      <c r="T1363" s="732" t="s">
        <v>5569</v>
      </c>
      <c r="U1363" s="734" t="s">
        <v>5759</v>
      </c>
      <c r="V1363" s="735">
        <v>16</v>
      </c>
      <c r="W1363" s="736"/>
      <c r="X1363" s="737"/>
      <c r="Y1363" s="738"/>
      <c r="Z1363" s="739"/>
      <c r="AA1363" s="739"/>
      <c r="AB1363" s="740">
        <v>16</v>
      </c>
      <c r="AC1363" s="741" t="str">
        <f>'DICTIONARY-5'!$A$11&amp;" 48"</f>
        <v>EN 558 szereg 48</v>
      </c>
      <c r="AD1363" s="741" t="str">
        <f>'DICTIONARY-5'!$A$14</f>
        <v>ścieki</v>
      </c>
      <c r="AE1363" s="742">
        <v>50</v>
      </c>
      <c r="AF1363" s="743">
        <v>10.5</v>
      </c>
      <c r="AG1363" s="741" t="str">
        <f>'DICTIONARY-5'!$A$23</f>
        <v>powłoka epoksydowa</v>
      </c>
    </row>
    <row r="1364" spans="1:33" x14ac:dyDescent="0.25">
      <c r="A1364" s="861" t="s">
        <v>1369</v>
      </c>
      <c r="B1364" s="861" t="s">
        <v>4462</v>
      </c>
      <c r="C1364" s="836">
        <v>198</v>
      </c>
      <c r="D1364" s="836"/>
      <c r="E1364" s="836"/>
      <c r="F1364" s="836"/>
      <c r="G1364" s="496" t="s">
        <v>7826</v>
      </c>
      <c r="H1364" s="797" t="str">
        <f>VLOOKUP(G1364,SETTINGS!$B$7:$D$97,2,0)</f>
        <v>KRV</v>
      </c>
      <c r="I1364" s="796">
        <f>VLOOKUP(G1364,SETTINGS!$B$7:$D$97,3,0)</f>
        <v>0</v>
      </c>
      <c r="J1364" s="670" t="str">
        <f>IFERROR(IF(CURRENCY.FORMAT_1=0,CONCATENATE(TEXT(FIXED(ROUND((C1364/EXC.RATE_1),CURRENCY.FORMAT_1),CURRENCY.FORMAT_1,1),"# ##0;-# ##0"),",-"),FIXED(ROUND((C1364/EXC.RATE_1),CURRENCY.FORMAT_1),CURRENCY.FORMAT_1,0)),'DICTIONARY-5'!$A$2)</f>
        <v>198,-</v>
      </c>
      <c r="K1364" s="670" t="str">
        <f>IF(EXC.RATE_2=0,"",IFERROR(IF(CURRENCY.FORMAT_2=0,CONCATENATE(TEXT(FIXED(ROUND(IF(EXC.RATE.SWITCH=1,C1364/EXC.RATE_2,C1364*EXC.RATE_2),CURRENCY.FORMAT_2),CURRENCY.FORMAT_2,1),"# ##0;-# ##0"),",-"),FIXED(ROUND(IF(EXC.RATE.SWITCH=1,C1364/EXC.RATE_2,C1364*EXC.RATE_2),CURRENCY.FORMAT_2),CURRENCY.FORMAT_2,0)),'DICTIONARY-5'!$A$2))</f>
        <v/>
      </c>
      <c r="L1364" s="670" t="str">
        <f>IFERROR(IF(CURRENCY.FORMAT_1=0,CONCATENATE(TEXT(FIXED(ROUND((C1364*(1-I1364)*(1-ADD.DISCOUNT)*(1+MAT.SURCHARGE)/EXC.RATE_1),CURRENCY.FORMAT_1),CURRENCY.FORMAT_1,1),"# ##0;-# ##0"),",-"),FIXED(ROUND((C1364*(1-I1364)*(1-ADD.DISCOUNT)*(1+MAT.SURCHARGE)/EXC.RATE_1),CURRENCY.FORMAT_1),CURRENCY.FORMAT_1,0)),'DICTIONARY-5'!$A$2)</f>
        <v>206,-</v>
      </c>
      <c r="M1364" s="670" t="str">
        <f>IF(EXC.RATE_2=0,"",IFERROR(IF(CURRENCY.FORMAT_2=0,CONCATENATE(TEXT(FIXED(ROUND(IF(EXC.RATE.SWITCH=1,C1364*(1-I1364)*(1-ADD.DISCOUNT)*(1+MAT.SURCHARGE)/EXC.RATE_2,C1364*(1-I1364)*(1-ADD.DISCOUNT)*(1+MAT.SURCHARGE)*EXC.RATE_2),CURRENCY.FORMAT_2),CURRENCY.FORMAT_2,1),"# ##0;-# ##0"),",-"),FIXED(ROUND(IF(EXC.RATE.SWITCH=1,C1364*(1-I1364)*(1-ADD.DISCOUNT)*(1+MAT.SURCHARGE)/EXC.RATE_2,C1364*(1-I1364)*(1-ADD.DISCOUNT)*(1+MAT.SURCHARGE)*EXC.RATE_2),CURRENCY.FORMAT_2),CURRENCY.FORMAT_2,0)),'DICTIONARY-5'!$A$2))</f>
        <v/>
      </c>
      <c r="N1364" s="539">
        <v>5</v>
      </c>
      <c r="O1364" s="539"/>
      <c r="P1364" s="731" t="str">
        <f>'DICTIONARY-3'!$A$101</f>
        <v>KRV</v>
      </c>
      <c r="Q1364" s="732" t="str">
        <f>'DICTIONARY-3'!$A$201</f>
        <v>Zawór zwrotny</v>
      </c>
      <c r="R1364" s="732" t="str">
        <f>CONCATENATE('DICTIONARY-3'!$A$101," ",'DICTIONARY-6'!$A$20," ",'DICTIONARY-2'!$A$2,"80"," ",'DICTIONARY-2'!$A$3,"10/16"," ","R48",", ",'DICTIONARY-5'!$A$45)</f>
        <v>KRV Zaw. zwrotny DN80 PN10/16 R48, NBR</v>
      </c>
      <c r="S1364" s="733" t="s">
        <v>5569</v>
      </c>
      <c r="T1364" s="732" t="s">
        <v>5569</v>
      </c>
      <c r="U1364" s="734" t="s">
        <v>5760</v>
      </c>
      <c r="V1364" s="735">
        <v>16</v>
      </c>
      <c r="W1364" s="736"/>
      <c r="X1364" s="737"/>
      <c r="Y1364" s="738"/>
      <c r="Z1364" s="739"/>
      <c r="AA1364" s="739"/>
      <c r="AB1364" s="740">
        <v>16</v>
      </c>
      <c r="AC1364" s="741" t="str">
        <f>'DICTIONARY-5'!$A$11&amp;" 48"</f>
        <v>EN 558 szereg 48</v>
      </c>
      <c r="AD1364" s="741" t="str">
        <f>'DICTIONARY-5'!$A$14</f>
        <v>ścieki</v>
      </c>
      <c r="AE1364" s="742">
        <v>50</v>
      </c>
      <c r="AF1364" s="743">
        <v>13.5</v>
      </c>
      <c r="AG1364" s="741" t="str">
        <f>'DICTIONARY-5'!$A$23</f>
        <v>powłoka epoksydowa</v>
      </c>
    </row>
    <row r="1365" spans="1:33" x14ac:dyDescent="0.25">
      <c r="A1365" s="861" t="s">
        <v>1370</v>
      </c>
      <c r="B1365" s="861" t="s">
        <v>4463</v>
      </c>
      <c r="C1365" s="836">
        <v>201</v>
      </c>
      <c r="D1365" s="836"/>
      <c r="E1365" s="836"/>
      <c r="F1365" s="836"/>
      <c r="G1365" s="496" t="s">
        <v>7826</v>
      </c>
      <c r="H1365" s="797" t="str">
        <f>VLOOKUP(G1365,SETTINGS!$B$7:$D$97,2,0)</f>
        <v>KRV</v>
      </c>
      <c r="I1365" s="796">
        <f>VLOOKUP(G1365,SETTINGS!$B$7:$D$97,3,0)</f>
        <v>0</v>
      </c>
      <c r="J1365" s="670" t="str">
        <f>IFERROR(IF(CURRENCY.FORMAT_1=0,CONCATENATE(TEXT(FIXED(ROUND((C1365/EXC.RATE_1),CURRENCY.FORMAT_1),CURRENCY.FORMAT_1,1),"# ##0;-# ##0"),",-"),FIXED(ROUND((C1365/EXC.RATE_1),CURRENCY.FORMAT_1),CURRENCY.FORMAT_1,0)),'DICTIONARY-5'!$A$2)</f>
        <v>201,-</v>
      </c>
      <c r="K1365" s="670" t="str">
        <f>IF(EXC.RATE_2=0,"",IFERROR(IF(CURRENCY.FORMAT_2=0,CONCATENATE(TEXT(FIXED(ROUND(IF(EXC.RATE.SWITCH=1,C1365/EXC.RATE_2,C1365*EXC.RATE_2),CURRENCY.FORMAT_2),CURRENCY.FORMAT_2,1),"# ##0;-# ##0"),",-"),FIXED(ROUND(IF(EXC.RATE.SWITCH=1,C1365/EXC.RATE_2,C1365*EXC.RATE_2),CURRENCY.FORMAT_2),CURRENCY.FORMAT_2,0)),'DICTIONARY-5'!$A$2))</f>
        <v/>
      </c>
      <c r="L1365" s="670" t="str">
        <f>IFERROR(IF(CURRENCY.FORMAT_1=0,CONCATENATE(TEXT(FIXED(ROUND((C1365*(1-I1365)*(1-ADD.DISCOUNT)*(1+MAT.SURCHARGE)/EXC.RATE_1),CURRENCY.FORMAT_1),CURRENCY.FORMAT_1,1),"# ##0;-# ##0"),",-"),FIXED(ROUND((C1365*(1-I1365)*(1-ADD.DISCOUNT)*(1+MAT.SURCHARGE)/EXC.RATE_1),CURRENCY.FORMAT_1),CURRENCY.FORMAT_1,0)),'DICTIONARY-5'!$A$2)</f>
        <v>209,-</v>
      </c>
      <c r="M1365" s="670" t="str">
        <f>IF(EXC.RATE_2=0,"",IFERROR(IF(CURRENCY.FORMAT_2=0,CONCATENATE(TEXT(FIXED(ROUND(IF(EXC.RATE.SWITCH=1,C1365*(1-I1365)*(1-ADD.DISCOUNT)*(1+MAT.SURCHARGE)/EXC.RATE_2,C1365*(1-I1365)*(1-ADD.DISCOUNT)*(1+MAT.SURCHARGE)*EXC.RATE_2),CURRENCY.FORMAT_2),CURRENCY.FORMAT_2,1),"# ##0;-# ##0"),",-"),FIXED(ROUND(IF(EXC.RATE.SWITCH=1,C1365*(1-I1365)*(1-ADD.DISCOUNT)*(1+MAT.SURCHARGE)/EXC.RATE_2,C1365*(1-I1365)*(1-ADD.DISCOUNT)*(1+MAT.SURCHARGE)*EXC.RATE_2),CURRENCY.FORMAT_2),CURRENCY.FORMAT_2,0)),'DICTIONARY-5'!$A$2))</f>
        <v/>
      </c>
      <c r="N1365" s="539">
        <v>5</v>
      </c>
      <c r="O1365" s="539"/>
      <c r="P1365" s="731" t="str">
        <f>'DICTIONARY-3'!$A$101</f>
        <v>KRV</v>
      </c>
      <c r="Q1365" s="732" t="str">
        <f>'DICTIONARY-3'!$A$201</f>
        <v>Zawór zwrotny</v>
      </c>
      <c r="R1365" s="732" t="str">
        <f>CONCATENATE('DICTIONARY-3'!$A$101," ",'DICTIONARY-6'!$A$20," ",'DICTIONARY-2'!$A$2,"80"," ",'DICTIONARY-2'!$A$3,"10/16"," ","R48",", ",'DICTIONARY-5'!$A$45)</f>
        <v>KRV Zaw. zwrotny DN80 PN10/16 R48, NBR</v>
      </c>
      <c r="S1365" s="733" t="s">
        <v>5569</v>
      </c>
      <c r="T1365" s="732" t="s">
        <v>5569</v>
      </c>
      <c r="U1365" s="734" t="s">
        <v>5760</v>
      </c>
      <c r="V1365" s="735">
        <v>16</v>
      </c>
      <c r="W1365" s="736"/>
      <c r="X1365" s="737"/>
      <c r="Y1365" s="738"/>
      <c r="Z1365" s="739"/>
      <c r="AA1365" s="739"/>
      <c r="AB1365" s="740">
        <v>16</v>
      </c>
      <c r="AC1365" s="741" t="str">
        <f>'DICTIONARY-5'!$A$11&amp;" 48"</f>
        <v>EN 558 szereg 48</v>
      </c>
      <c r="AD1365" s="741" t="str">
        <f>'DICTIONARY-5'!$A$14</f>
        <v>ścieki</v>
      </c>
      <c r="AE1365" s="742">
        <v>50</v>
      </c>
      <c r="AF1365" s="743">
        <v>14</v>
      </c>
      <c r="AG1365" s="741" t="str">
        <f>'DICTIONARY-5'!$A$23</f>
        <v>powłoka epoksydowa</v>
      </c>
    </row>
    <row r="1366" spans="1:33" x14ac:dyDescent="0.25">
      <c r="A1366" s="861" t="s">
        <v>1371</v>
      </c>
      <c r="B1366" s="861" t="s">
        <v>4464</v>
      </c>
      <c r="C1366" s="836">
        <v>251</v>
      </c>
      <c r="D1366" s="836"/>
      <c r="E1366" s="836"/>
      <c r="F1366" s="836"/>
      <c r="G1366" s="496" t="s">
        <v>7826</v>
      </c>
      <c r="H1366" s="797" t="str">
        <f>VLOOKUP(G1366,SETTINGS!$B$7:$D$97,2,0)</f>
        <v>KRV</v>
      </c>
      <c r="I1366" s="796">
        <f>VLOOKUP(G1366,SETTINGS!$B$7:$D$97,3,0)</f>
        <v>0</v>
      </c>
      <c r="J1366" s="670" t="str">
        <f>IFERROR(IF(CURRENCY.FORMAT_1=0,CONCATENATE(TEXT(FIXED(ROUND((C1366/EXC.RATE_1),CURRENCY.FORMAT_1),CURRENCY.FORMAT_1,1),"# ##0;-# ##0"),",-"),FIXED(ROUND((C1366/EXC.RATE_1),CURRENCY.FORMAT_1),CURRENCY.FORMAT_1,0)),'DICTIONARY-5'!$A$2)</f>
        <v>251,-</v>
      </c>
      <c r="K1366" s="670" t="str">
        <f>IF(EXC.RATE_2=0,"",IFERROR(IF(CURRENCY.FORMAT_2=0,CONCATENATE(TEXT(FIXED(ROUND(IF(EXC.RATE.SWITCH=1,C1366/EXC.RATE_2,C1366*EXC.RATE_2),CURRENCY.FORMAT_2),CURRENCY.FORMAT_2,1),"# ##0;-# ##0"),",-"),FIXED(ROUND(IF(EXC.RATE.SWITCH=1,C1366/EXC.RATE_2,C1366*EXC.RATE_2),CURRENCY.FORMAT_2),CURRENCY.FORMAT_2,0)),'DICTIONARY-5'!$A$2))</f>
        <v/>
      </c>
      <c r="L1366" s="670" t="str">
        <f>IFERROR(IF(CURRENCY.FORMAT_1=0,CONCATENATE(TEXT(FIXED(ROUND((C1366*(1-I1366)*(1-ADD.DISCOUNT)*(1+MAT.SURCHARGE)/EXC.RATE_1),CURRENCY.FORMAT_1),CURRENCY.FORMAT_1,1),"# ##0;-# ##0"),",-"),FIXED(ROUND((C1366*(1-I1366)*(1-ADD.DISCOUNT)*(1+MAT.SURCHARGE)/EXC.RATE_1),CURRENCY.FORMAT_1),CURRENCY.FORMAT_1,0)),'DICTIONARY-5'!$A$2)</f>
        <v>261,-</v>
      </c>
      <c r="M1366" s="670" t="str">
        <f>IF(EXC.RATE_2=0,"",IFERROR(IF(CURRENCY.FORMAT_2=0,CONCATENATE(TEXT(FIXED(ROUND(IF(EXC.RATE.SWITCH=1,C1366*(1-I1366)*(1-ADD.DISCOUNT)*(1+MAT.SURCHARGE)/EXC.RATE_2,C1366*(1-I1366)*(1-ADD.DISCOUNT)*(1+MAT.SURCHARGE)*EXC.RATE_2),CURRENCY.FORMAT_2),CURRENCY.FORMAT_2,1),"# ##0;-# ##0"),",-"),FIXED(ROUND(IF(EXC.RATE.SWITCH=1,C1366*(1-I1366)*(1-ADD.DISCOUNT)*(1+MAT.SURCHARGE)/EXC.RATE_2,C1366*(1-I1366)*(1-ADD.DISCOUNT)*(1+MAT.SURCHARGE)*EXC.RATE_2),CURRENCY.FORMAT_2),CURRENCY.FORMAT_2,0)),'DICTIONARY-5'!$A$2))</f>
        <v/>
      </c>
      <c r="N1366" s="539">
        <v>5</v>
      </c>
      <c r="O1366" s="539"/>
      <c r="P1366" s="731" t="str">
        <f>'DICTIONARY-3'!$A$101</f>
        <v>KRV</v>
      </c>
      <c r="Q1366" s="732" t="str">
        <f>'DICTIONARY-3'!$A$201</f>
        <v>Zawór zwrotny</v>
      </c>
      <c r="R1366" s="732" t="str">
        <f>CONCATENATE('DICTIONARY-3'!$A$101," ",'DICTIONARY-6'!$A$20," ",'DICTIONARY-2'!$A$2,"100"," ",'DICTIONARY-2'!$A$3,"10/16"," ","R48",", ",'DICTIONARY-5'!$A$45)</f>
        <v>KRV Zaw. zwrotny DN100 PN10/16 R48, NBR</v>
      </c>
      <c r="S1366" s="733" t="s">
        <v>5569</v>
      </c>
      <c r="T1366" s="732" t="s">
        <v>5569</v>
      </c>
      <c r="U1366" s="734" t="s">
        <v>5749</v>
      </c>
      <c r="V1366" s="735">
        <v>16</v>
      </c>
      <c r="W1366" s="736"/>
      <c r="X1366" s="737"/>
      <c r="Y1366" s="738"/>
      <c r="Z1366" s="739"/>
      <c r="AA1366" s="739"/>
      <c r="AB1366" s="740">
        <v>16</v>
      </c>
      <c r="AC1366" s="741" t="str">
        <f>'DICTIONARY-5'!$A$11&amp;" 48"</f>
        <v>EN 558 szereg 48</v>
      </c>
      <c r="AD1366" s="741" t="str">
        <f>'DICTIONARY-5'!$A$14</f>
        <v>ścieki</v>
      </c>
      <c r="AE1366" s="742">
        <v>50</v>
      </c>
      <c r="AF1366" s="743">
        <v>19</v>
      </c>
      <c r="AG1366" s="741" t="str">
        <f>'DICTIONARY-5'!$A$23</f>
        <v>powłoka epoksydowa</v>
      </c>
    </row>
    <row r="1367" spans="1:33" x14ac:dyDescent="0.25">
      <c r="A1367" s="861" t="s">
        <v>1372</v>
      </c>
      <c r="B1367" s="861" t="s">
        <v>4465</v>
      </c>
      <c r="C1367" s="836">
        <v>357</v>
      </c>
      <c r="D1367" s="836"/>
      <c r="E1367" s="836"/>
      <c r="F1367" s="836"/>
      <c r="G1367" s="496" t="s">
        <v>7826</v>
      </c>
      <c r="H1367" s="797" t="str">
        <f>VLOOKUP(G1367,SETTINGS!$B$7:$D$97,2,0)</f>
        <v>KRV</v>
      </c>
      <c r="I1367" s="796">
        <f>VLOOKUP(G1367,SETTINGS!$B$7:$D$97,3,0)</f>
        <v>0</v>
      </c>
      <c r="J1367" s="670" t="str">
        <f>IFERROR(IF(CURRENCY.FORMAT_1=0,CONCATENATE(TEXT(FIXED(ROUND((C1367/EXC.RATE_1),CURRENCY.FORMAT_1),CURRENCY.FORMAT_1,1),"# ##0;-# ##0"),",-"),FIXED(ROUND((C1367/EXC.RATE_1),CURRENCY.FORMAT_1),CURRENCY.FORMAT_1,0)),'DICTIONARY-5'!$A$2)</f>
        <v>357,-</v>
      </c>
      <c r="K1367" s="670" t="str">
        <f>IF(EXC.RATE_2=0,"",IFERROR(IF(CURRENCY.FORMAT_2=0,CONCATENATE(TEXT(FIXED(ROUND(IF(EXC.RATE.SWITCH=1,C1367/EXC.RATE_2,C1367*EXC.RATE_2),CURRENCY.FORMAT_2),CURRENCY.FORMAT_2,1),"# ##0;-# ##0"),",-"),FIXED(ROUND(IF(EXC.RATE.SWITCH=1,C1367/EXC.RATE_2,C1367*EXC.RATE_2),CURRENCY.FORMAT_2),CURRENCY.FORMAT_2,0)),'DICTIONARY-5'!$A$2))</f>
        <v/>
      </c>
      <c r="L1367" s="670" t="str">
        <f>IFERROR(IF(CURRENCY.FORMAT_1=0,CONCATENATE(TEXT(FIXED(ROUND((C1367*(1-I1367)*(1-ADD.DISCOUNT)*(1+MAT.SURCHARGE)/EXC.RATE_1),CURRENCY.FORMAT_1),CURRENCY.FORMAT_1,1),"# ##0;-# ##0"),",-"),FIXED(ROUND((C1367*(1-I1367)*(1-ADD.DISCOUNT)*(1+MAT.SURCHARGE)/EXC.RATE_1),CURRENCY.FORMAT_1),CURRENCY.FORMAT_1,0)),'DICTIONARY-5'!$A$2)</f>
        <v>371,-</v>
      </c>
      <c r="M1367" s="670" t="str">
        <f>IF(EXC.RATE_2=0,"",IFERROR(IF(CURRENCY.FORMAT_2=0,CONCATENATE(TEXT(FIXED(ROUND(IF(EXC.RATE.SWITCH=1,C1367*(1-I1367)*(1-ADD.DISCOUNT)*(1+MAT.SURCHARGE)/EXC.RATE_2,C1367*(1-I1367)*(1-ADD.DISCOUNT)*(1+MAT.SURCHARGE)*EXC.RATE_2),CURRENCY.FORMAT_2),CURRENCY.FORMAT_2,1),"# ##0;-# ##0"),",-"),FIXED(ROUND(IF(EXC.RATE.SWITCH=1,C1367*(1-I1367)*(1-ADD.DISCOUNT)*(1+MAT.SURCHARGE)/EXC.RATE_2,C1367*(1-I1367)*(1-ADD.DISCOUNT)*(1+MAT.SURCHARGE)*EXC.RATE_2),CURRENCY.FORMAT_2),CURRENCY.FORMAT_2,0)),'DICTIONARY-5'!$A$2))</f>
        <v/>
      </c>
      <c r="N1367" s="539">
        <v>5</v>
      </c>
      <c r="O1367" s="539"/>
      <c r="P1367" s="731" t="str">
        <f>'DICTIONARY-3'!$A$101</f>
        <v>KRV</v>
      </c>
      <c r="Q1367" s="732" t="str">
        <f>'DICTIONARY-3'!$A$201</f>
        <v>Zawór zwrotny</v>
      </c>
      <c r="R1367" s="732" t="str">
        <f>CONCATENATE('DICTIONARY-3'!$A$101," ",'DICTIONARY-6'!$A$20," ",'DICTIONARY-2'!$A$2,"125"," ",'DICTIONARY-2'!$A$3,"10/16"," ","R48",", ",'DICTIONARY-5'!$A$45)</f>
        <v>KRV Zaw. zwrotny DN125 PN10/16 R48, NBR</v>
      </c>
      <c r="S1367" s="733" t="s">
        <v>5569</v>
      </c>
      <c r="T1367" s="732" t="s">
        <v>5569</v>
      </c>
      <c r="U1367" s="734" t="s">
        <v>5761</v>
      </c>
      <c r="V1367" s="735">
        <v>16</v>
      </c>
      <c r="W1367" s="736"/>
      <c r="X1367" s="737"/>
      <c r="Y1367" s="738"/>
      <c r="Z1367" s="739"/>
      <c r="AA1367" s="739"/>
      <c r="AB1367" s="740">
        <v>16</v>
      </c>
      <c r="AC1367" s="741" t="str">
        <f>'DICTIONARY-5'!$A$11&amp;" 48"</f>
        <v>EN 558 szereg 48</v>
      </c>
      <c r="AD1367" s="741" t="str">
        <f>'DICTIONARY-5'!$A$14</f>
        <v>ścieki</v>
      </c>
      <c r="AE1367" s="742">
        <v>50</v>
      </c>
      <c r="AF1367" s="743">
        <v>29.5</v>
      </c>
      <c r="AG1367" s="741" t="str">
        <f>'DICTIONARY-5'!$A$23</f>
        <v>powłoka epoksydowa</v>
      </c>
    </row>
    <row r="1368" spans="1:33" x14ac:dyDescent="0.25">
      <c r="A1368" s="861" t="s">
        <v>1373</v>
      </c>
      <c r="B1368" s="861" t="s">
        <v>4466</v>
      </c>
      <c r="C1368" s="836">
        <v>508</v>
      </c>
      <c r="D1368" s="836"/>
      <c r="E1368" s="836"/>
      <c r="F1368" s="836"/>
      <c r="G1368" s="496" t="s">
        <v>7826</v>
      </c>
      <c r="H1368" s="797" t="str">
        <f>VLOOKUP(G1368,SETTINGS!$B$7:$D$97,2,0)</f>
        <v>KRV</v>
      </c>
      <c r="I1368" s="796">
        <f>VLOOKUP(G1368,SETTINGS!$B$7:$D$97,3,0)</f>
        <v>0</v>
      </c>
      <c r="J1368" s="670" t="str">
        <f>IFERROR(IF(CURRENCY.FORMAT_1=0,CONCATENATE(TEXT(FIXED(ROUND((C1368/EXC.RATE_1),CURRENCY.FORMAT_1),CURRENCY.FORMAT_1,1),"# ##0;-# ##0"),",-"),FIXED(ROUND((C1368/EXC.RATE_1),CURRENCY.FORMAT_1),CURRENCY.FORMAT_1,0)),'DICTIONARY-5'!$A$2)</f>
        <v>508,-</v>
      </c>
      <c r="K1368" s="670" t="str">
        <f>IF(EXC.RATE_2=0,"",IFERROR(IF(CURRENCY.FORMAT_2=0,CONCATENATE(TEXT(FIXED(ROUND(IF(EXC.RATE.SWITCH=1,C1368/EXC.RATE_2,C1368*EXC.RATE_2),CURRENCY.FORMAT_2),CURRENCY.FORMAT_2,1),"# ##0;-# ##0"),",-"),FIXED(ROUND(IF(EXC.RATE.SWITCH=1,C1368/EXC.RATE_2,C1368*EXC.RATE_2),CURRENCY.FORMAT_2),CURRENCY.FORMAT_2,0)),'DICTIONARY-5'!$A$2))</f>
        <v/>
      </c>
      <c r="L1368" s="670" t="str">
        <f>IFERROR(IF(CURRENCY.FORMAT_1=0,CONCATENATE(TEXT(FIXED(ROUND((C1368*(1-I1368)*(1-ADD.DISCOUNT)*(1+MAT.SURCHARGE)/EXC.RATE_1),CURRENCY.FORMAT_1),CURRENCY.FORMAT_1,1),"# ##0;-# ##0"),",-"),FIXED(ROUND((C1368*(1-I1368)*(1-ADD.DISCOUNT)*(1+MAT.SURCHARGE)/EXC.RATE_1),CURRENCY.FORMAT_1),CURRENCY.FORMAT_1,0)),'DICTIONARY-5'!$A$2)</f>
        <v>528,-</v>
      </c>
      <c r="M1368" s="670" t="str">
        <f>IF(EXC.RATE_2=0,"",IFERROR(IF(CURRENCY.FORMAT_2=0,CONCATENATE(TEXT(FIXED(ROUND(IF(EXC.RATE.SWITCH=1,C1368*(1-I1368)*(1-ADD.DISCOUNT)*(1+MAT.SURCHARGE)/EXC.RATE_2,C1368*(1-I1368)*(1-ADD.DISCOUNT)*(1+MAT.SURCHARGE)*EXC.RATE_2),CURRENCY.FORMAT_2),CURRENCY.FORMAT_2,1),"# ##0;-# ##0"),",-"),FIXED(ROUND(IF(EXC.RATE.SWITCH=1,C1368*(1-I1368)*(1-ADD.DISCOUNT)*(1+MAT.SURCHARGE)/EXC.RATE_2,C1368*(1-I1368)*(1-ADD.DISCOUNT)*(1+MAT.SURCHARGE)*EXC.RATE_2),CURRENCY.FORMAT_2),CURRENCY.FORMAT_2,0)),'DICTIONARY-5'!$A$2))</f>
        <v/>
      </c>
      <c r="N1368" s="539">
        <v>5</v>
      </c>
      <c r="O1368" s="539"/>
      <c r="P1368" s="731" t="str">
        <f>'DICTIONARY-3'!$A$101</f>
        <v>KRV</v>
      </c>
      <c r="Q1368" s="732" t="str">
        <f>'DICTIONARY-3'!$A$201</f>
        <v>Zawór zwrotny</v>
      </c>
      <c r="R1368" s="732" t="str">
        <f>CONCATENATE('DICTIONARY-3'!$A$101," ",'DICTIONARY-6'!$A$20," ",'DICTIONARY-2'!$A$2,"150"," ",'DICTIONARY-2'!$A$3,"10/16"," ","R48",", ",'DICTIONARY-5'!$A$45)</f>
        <v>KRV Zaw. zwrotny DN150 PN10/16 R48, NBR</v>
      </c>
      <c r="S1368" s="733" t="s">
        <v>5569</v>
      </c>
      <c r="T1368" s="732" t="s">
        <v>5569</v>
      </c>
      <c r="U1368" s="734" t="s">
        <v>5572</v>
      </c>
      <c r="V1368" s="735">
        <v>16</v>
      </c>
      <c r="W1368" s="736"/>
      <c r="X1368" s="737"/>
      <c r="Y1368" s="738"/>
      <c r="Z1368" s="739"/>
      <c r="AA1368" s="739"/>
      <c r="AB1368" s="740">
        <v>16</v>
      </c>
      <c r="AC1368" s="741" t="str">
        <f>'DICTIONARY-5'!$A$11&amp;" 48"</f>
        <v>EN 558 szereg 48</v>
      </c>
      <c r="AD1368" s="741" t="str">
        <f>'DICTIONARY-5'!$A$14</f>
        <v>ścieki</v>
      </c>
      <c r="AE1368" s="742">
        <v>50</v>
      </c>
      <c r="AF1368" s="743">
        <v>42</v>
      </c>
      <c r="AG1368" s="741" t="str">
        <f>'DICTIONARY-5'!$A$23</f>
        <v>powłoka epoksydowa</v>
      </c>
    </row>
    <row r="1369" spans="1:33" x14ac:dyDescent="0.25">
      <c r="A1369" s="861" t="s">
        <v>1374</v>
      </c>
      <c r="B1369" s="861" t="s">
        <v>4467</v>
      </c>
      <c r="C1369" s="836">
        <v>776</v>
      </c>
      <c r="D1369" s="836"/>
      <c r="E1369" s="836"/>
      <c r="F1369" s="836"/>
      <c r="G1369" s="496" t="s">
        <v>7826</v>
      </c>
      <c r="H1369" s="797" t="str">
        <f>VLOOKUP(G1369,SETTINGS!$B$7:$D$97,2,0)</f>
        <v>KRV</v>
      </c>
      <c r="I1369" s="796">
        <f>VLOOKUP(G1369,SETTINGS!$B$7:$D$97,3,0)</f>
        <v>0</v>
      </c>
      <c r="J1369" s="670" t="str">
        <f>IFERROR(IF(CURRENCY.FORMAT_1=0,CONCATENATE(TEXT(FIXED(ROUND((C1369/EXC.RATE_1),CURRENCY.FORMAT_1),CURRENCY.FORMAT_1,1),"# ##0;-# ##0"),",-"),FIXED(ROUND((C1369/EXC.RATE_1),CURRENCY.FORMAT_1),CURRENCY.FORMAT_1,0)),'DICTIONARY-5'!$A$2)</f>
        <v>776,-</v>
      </c>
      <c r="K1369" s="670" t="str">
        <f>IF(EXC.RATE_2=0,"",IFERROR(IF(CURRENCY.FORMAT_2=0,CONCATENATE(TEXT(FIXED(ROUND(IF(EXC.RATE.SWITCH=1,C1369/EXC.RATE_2,C1369*EXC.RATE_2),CURRENCY.FORMAT_2),CURRENCY.FORMAT_2,1),"# ##0;-# ##0"),",-"),FIXED(ROUND(IF(EXC.RATE.SWITCH=1,C1369/EXC.RATE_2,C1369*EXC.RATE_2),CURRENCY.FORMAT_2),CURRENCY.FORMAT_2,0)),'DICTIONARY-5'!$A$2))</f>
        <v/>
      </c>
      <c r="L1369" s="670" t="str">
        <f>IFERROR(IF(CURRENCY.FORMAT_1=0,CONCATENATE(TEXT(FIXED(ROUND((C1369*(1-I1369)*(1-ADD.DISCOUNT)*(1+MAT.SURCHARGE)/EXC.RATE_1),CURRENCY.FORMAT_1),CURRENCY.FORMAT_1,1),"# ##0;-# ##0"),",-"),FIXED(ROUND((C1369*(1-I1369)*(1-ADD.DISCOUNT)*(1+MAT.SURCHARGE)/EXC.RATE_1),CURRENCY.FORMAT_1),CURRENCY.FORMAT_1,0)),'DICTIONARY-5'!$A$2)</f>
        <v>806,-</v>
      </c>
      <c r="M1369" s="670" t="str">
        <f>IF(EXC.RATE_2=0,"",IFERROR(IF(CURRENCY.FORMAT_2=0,CONCATENATE(TEXT(FIXED(ROUND(IF(EXC.RATE.SWITCH=1,C1369*(1-I1369)*(1-ADD.DISCOUNT)*(1+MAT.SURCHARGE)/EXC.RATE_2,C1369*(1-I1369)*(1-ADD.DISCOUNT)*(1+MAT.SURCHARGE)*EXC.RATE_2),CURRENCY.FORMAT_2),CURRENCY.FORMAT_2,1),"# ##0;-# ##0"),",-"),FIXED(ROUND(IF(EXC.RATE.SWITCH=1,C1369*(1-I1369)*(1-ADD.DISCOUNT)*(1+MAT.SURCHARGE)/EXC.RATE_2,C1369*(1-I1369)*(1-ADD.DISCOUNT)*(1+MAT.SURCHARGE)*EXC.RATE_2),CURRENCY.FORMAT_2),CURRENCY.FORMAT_2,0)),'DICTIONARY-5'!$A$2))</f>
        <v/>
      </c>
      <c r="N1369" s="539">
        <v>5</v>
      </c>
      <c r="O1369" s="539"/>
      <c r="P1369" s="731" t="str">
        <f>'DICTIONARY-3'!$A$101</f>
        <v>KRV</v>
      </c>
      <c r="Q1369" s="732" t="str">
        <f>'DICTIONARY-3'!$A$201</f>
        <v>Zawór zwrotny</v>
      </c>
      <c r="R1369" s="732" t="str">
        <f>CONCATENATE('DICTIONARY-3'!$A$101," ",'DICTIONARY-6'!$A$20," ",'DICTIONARY-2'!$A$2,"200"," ",'DICTIONARY-2'!$A$3,"10"," ","R48",", ",'DICTIONARY-5'!$A$45)</f>
        <v>KRV Zaw. zwrotny DN200 PN10 R48, NBR</v>
      </c>
      <c r="S1369" s="733" t="s">
        <v>5569</v>
      </c>
      <c r="T1369" s="732" t="s">
        <v>5569</v>
      </c>
      <c r="U1369" s="734" t="s">
        <v>5750</v>
      </c>
      <c r="V1369" s="735">
        <v>10</v>
      </c>
      <c r="W1369" s="736"/>
      <c r="X1369" s="737"/>
      <c r="Y1369" s="738"/>
      <c r="Z1369" s="739"/>
      <c r="AA1369" s="739"/>
      <c r="AB1369" s="740">
        <v>10</v>
      </c>
      <c r="AC1369" s="741" t="str">
        <f>'DICTIONARY-5'!$A$11&amp;" 48"</f>
        <v>EN 558 szereg 48</v>
      </c>
      <c r="AD1369" s="741" t="str">
        <f>'DICTIONARY-5'!$A$14</f>
        <v>ścieki</v>
      </c>
      <c r="AE1369" s="742">
        <v>50</v>
      </c>
      <c r="AF1369" s="743">
        <v>77</v>
      </c>
      <c r="AG1369" s="741" t="str">
        <f>'DICTIONARY-5'!$A$23</f>
        <v>powłoka epoksydowa</v>
      </c>
    </row>
    <row r="1370" spans="1:33" x14ac:dyDescent="0.25">
      <c r="A1370" s="861" t="s">
        <v>1375</v>
      </c>
      <c r="B1370" s="861" t="s">
        <v>4473</v>
      </c>
      <c r="C1370" s="836">
        <v>174</v>
      </c>
      <c r="D1370" s="836"/>
      <c r="E1370" s="836"/>
      <c r="F1370" s="836"/>
      <c r="G1370" s="496" t="s">
        <v>7827</v>
      </c>
      <c r="H1370" s="797" t="str">
        <f>VLOOKUP(G1370,SETTINGS!$B$7:$D$97,2,0)</f>
        <v>TOP-STOP</v>
      </c>
      <c r="I1370" s="796">
        <f>VLOOKUP(G1370,SETTINGS!$B$7:$D$97,3,0)</f>
        <v>0</v>
      </c>
      <c r="J1370" s="670" t="str">
        <f>IFERROR(IF(CURRENCY.FORMAT_1=0,CONCATENATE(TEXT(FIXED(ROUND((C1370/EXC.RATE_1),CURRENCY.FORMAT_1),CURRENCY.FORMAT_1,1),"# ##0;-# ##0"),",-"),FIXED(ROUND((C1370/EXC.RATE_1),CURRENCY.FORMAT_1),CURRENCY.FORMAT_1,0)),'DICTIONARY-5'!$A$2)</f>
        <v>174,-</v>
      </c>
      <c r="K1370" s="670" t="str">
        <f>IF(EXC.RATE_2=0,"",IFERROR(IF(CURRENCY.FORMAT_2=0,CONCATENATE(TEXT(FIXED(ROUND(IF(EXC.RATE.SWITCH=1,C1370/EXC.RATE_2,C1370*EXC.RATE_2),CURRENCY.FORMAT_2),CURRENCY.FORMAT_2,1),"# ##0;-# ##0"),",-"),FIXED(ROUND(IF(EXC.RATE.SWITCH=1,C1370/EXC.RATE_2,C1370*EXC.RATE_2),CURRENCY.FORMAT_2),CURRENCY.FORMAT_2,0)),'DICTIONARY-5'!$A$2))</f>
        <v/>
      </c>
      <c r="L1370" s="670" t="str">
        <f>IFERROR(IF(CURRENCY.FORMAT_1=0,CONCATENATE(TEXT(FIXED(ROUND((C1370*(1-I1370)*(1-ADD.DISCOUNT)*(1+MAT.SURCHARGE)/EXC.RATE_1),CURRENCY.FORMAT_1),CURRENCY.FORMAT_1,1),"# ##0;-# ##0"),",-"),FIXED(ROUND((C1370*(1-I1370)*(1-ADD.DISCOUNT)*(1+MAT.SURCHARGE)/EXC.RATE_1),CURRENCY.FORMAT_1),CURRENCY.FORMAT_1,0)),'DICTIONARY-5'!$A$2)</f>
        <v>181,-</v>
      </c>
      <c r="M1370" s="670" t="str">
        <f>IF(EXC.RATE_2=0,"",IFERROR(IF(CURRENCY.FORMAT_2=0,CONCATENATE(TEXT(FIXED(ROUND(IF(EXC.RATE.SWITCH=1,C1370*(1-I1370)*(1-ADD.DISCOUNT)*(1+MAT.SURCHARGE)/EXC.RATE_2,C1370*(1-I1370)*(1-ADD.DISCOUNT)*(1+MAT.SURCHARGE)*EXC.RATE_2),CURRENCY.FORMAT_2),CURRENCY.FORMAT_2,1),"# ##0;-# ##0"),",-"),FIXED(ROUND(IF(EXC.RATE.SWITCH=1,C1370*(1-I1370)*(1-ADD.DISCOUNT)*(1+MAT.SURCHARGE)/EXC.RATE_2,C1370*(1-I1370)*(1-ADD.DISCOUNT)*(1+MAT.SURCHARGE)*EXC.RATE_2),CURRENCY.FORMAT_2),CURRENCY.FORMAT_2,0)),'DICTIONARY-5'!$A$2))</f>
        <v/>
      </c>
      <c r="N1370" s="539">
        <v>5</v>
      </c>
      <c r="O1370" s="539"/>
      <c r="P1370" s="731" t="str">
        <f>'DICTIONARY-3'!$A$102</f>
        <v>TOP-STOP</v>
      </c>
      <c r="Q1370" s="732" t="str">
        <f>'DICTIONARY-3'!$A$202</f>
        <v>Zawór zwrotny</v>
      </c>
      <c r="R1370" s="732" t="str">
        <f>CONCATENATE('DICTIONARY-3'!$A$102," ",'DICTIONARY-6'!$A$20," ",'DICTIONARY-2'!$A$2,"40"," ",'DICTIONARY-2'!$A$3,"10/16"," ","R48",", ",'DICTIONARY-5'!$A$44)</f>
        <v>TOP-STOP Zaw. zwrotny DN40 PN10/16 R48, EPDM</v>
      </c>
      <c r="S1370" s="733"/>
      <c r="T1370" s="732"/>
      <c r="U1370" s="734" t="s">
        <v>5758</v>
      </c>
      <c r="V1370" s="735">
        <v>16</v>
      </c>
      <c r="W1370" s="736"/>
      <c r="X1370" s="737"/>
      <c r="Y1370" s="738"/>
      <c r="Z1370" s="739"/>
      <c r="AA1370" s="739"/>
      <c r="AB1370" s="740">
        <v>16</v>
      </c>
      <c r="AC1370" s="741" t="str">
        <f>'DICTIONARY-5'!$A$11&amp;" 48"</f>
        <v>EN 558 szereg 48</v>
      </c>
      <c r="AD1370" s="741" t="str">
        <f>'DICTIONARY-5'!$A$13</f>
        <v>woda pitna</v>
      </c>
      <c r="AE1370" s="742">
        <v>50</v>
      </c>
      <c r="AF1370" s="743">
        <v>9</v>
      </c>
      <c r="AG1370" s="741" t="str">
        <f>'DICTIONARY-5'!$A$23</f>
        <v>powłoka epoksydowa</v>
      </c>
    </row>
    <row r="1371" spans="1:33" x14ac:dyDescent="0.25">
      <c r="A1371" s="861" t="s">
        <v>1376</v>
      </c>
      <c r="B1371" s="861" t="s">
        <v>4474</v>
      </c>
      <c r="C1371" s="836">
        <v>222</v>
      </c>
      <c r="D1371" s="836"/>
      <c r="E1371" s="836"/>
      <c r="F1371" s="836"/>
      <c r="G1371" s="496" t="s">
        <v>7827</v>
      </c>
      <c r="H1371" s="797" t="str">
        <f>VLOOKUP(G1371,SETTINGS!$B$7:$D$97,2,0)</f>
        <v>TOP-STOP</v>
      </c>
      <c r="I1371" s="796">
        <f>VLOOKUP(G1371,SETTINGS!$B$7:$D$97,3,0)</f>
        <v>0</v>
      </c>
      <c r="J1371" s="670" t="str">
        <f>IFERROR(IF(CURRENCY.FORMAT_1=0,CONCATENATE(TEXT(FIXED(ROUND((C1371/EXC.RATE_1),CURRENCY.FORMAT_1),CURRENCY.FORMAT_1,1),"# ##0;-# ##0"),",-"),FIXED(ROUND((C1371/EXC.RATE_1),CURRENCY.FORMAT_1),CURRENCY.FORMAT_1,0)),'DICTIONARY-5'!$A$2)</f>
        <v>222,-</v>
      </c>
      <c r="K1371" s="670" t="str">
        <f>IF(EXC.RATE_2=0,"",IFERROR(IF(CURRENCY.FORMAT_2=0,CONCATENATE(TEXT(FIXED(ROUND(IF(EXC.RATE.SWITCH=1,C1371/EXC.RATE_2,C1371*EXC.RATE_2),CURRENCY.FORMAT_2),CURRENCY.FORMAT_2,1),"# ##0;-# ##0"),",-"),FIXED(ROUND(IF(EXC.RATE.SWITCH=1,C1371/EXC.RATE_2,C1371*EXC.RATE_2),CURRENCY.FORMAT_2),CURRENCY.FORMAT_2,0)),'DICTIONARY-5'!$A$2))</f>
        <v/>
      </c>
      <c r="L1371" s="670" t="str">
        <f>IFERROR(IF(CURRENCY.FORMAT_1=0,CONCATENATE(TEXT(FIXED(ROUND((C1371*(1-I1371)*(1-ADD.DISCOUNT)*(1+MAT.SURCHARGE)/EXC.RATE_1),CURRENCY.FORMAT_1),CURRENCY.FORMAT_1,1),"# ##0;-# ##0"),",-"),FIXED(ROUND((C1371*(1-I1371)*(1-ADD.DISCOUNT)*(1+MAT.SURCHARGE)/EXC.RATE_1),CURRENCY.FORMAT_1),CURRENCY.FORMAT_1,0)),'DICTIONARY-5'!$A$2)</f>
        <v>231,-</v>
      </c>
      <c r="M1371" s="670" t="str">
        <f>IF(EXC.RATE_2=0,"",IFERROR(IF(CURRENCY.FORMAT_2=0,CONCATENATE(TEXT(FIXED(ROUND(IF(EXC.RATE.SWITCH=1,C1371*(1-I1371)*(1-ADD.DISCOUNT)*(1+MAT.SURCHARGE)/EXC.RATE_2,C1371*(1-I1371)*(1-ADD.DISCOUNT)*(1+MAT.SURCHARGE)*EXC.RATE_2),CURRENCY.FORMAT_2),CURRENCY.FORMAT_2,1),"# ##0;-# ##0"),",-"),FIXED(ROUND(IF(EXC.RATE.SWITCH=1,C1371*(1-I1371)*(1-ADD.DISCOUNT)*(1+MAT.SURCHARGE)/EXC.RATE_2,C1371*(1-I1371)*(1-ADD.DISCOUNT)*(1+MAT.SURCHARGE)*EXC.RATE_2),CURRENCY.FORMAT_2),CURRENCY.FORMAT_2,0)),'DICTIONARY-5'!$A$2))</f>
        <v/>
      </c>
      <c r="N1371" s="539">
        <v>5</v>
      </c>
      <c r="O1371" s="539"/>
      <c r="P1371" s="731" t="str">
        <f>'DICTIONARY-3'!$A$102</f>
        <v>TOP-STOP</v>
      </c>
      <c r="Q1371" s="732" t="str">
        <f>'DICTIONARY-3'!$A$202</f>
        <v>Zawór zwrotny</v>
      </c>
      <c r="R1371" s="732" t="str">
        <f>CONCATENATE('DICTIONARY-3'!$A$102," ",'DICTIONARY-6'!$A$20," ",'DICTIONARY-2'!$A$2,"50"," ",'DICTIONARY-2'!$A$3,"10/16"," ","R48",", ",'DICTIONARY-5'!$A$44)</f>
        <v>TOP-STOP Zaw. zwrotny DN50 PN10/16 R48, EPDM</v>
      </c>
      <c r="S1371" s="733"/>
      <c r="T1371" s="732"/>
      <c r="U1371" s="734" t="s">
        <v>5748</v>
      </c>
      <c r="V1371" s="735">
        <v>16</v>
      </c>
      <c r="W1371" s="736"/>
      <c r="X1371" s="737"/>
      <c r="Y1371" s="738"/>
      <c r="Z1371" s="739"/>
      <c r="AA1371" s="739"/>
      <c r="AB1371" s="740">
        <v>16</v>
      </c>
      <c r="AC1371" s="741" t="str">
        <f>'DICTIONARY-5'!$A$11&amp;" 48"</f>
        <v>EN 558 szereg 48</v>
      </c>
      <c r="AD1371" s="741" t="str">
        <f>'DICTIONARY-5'!$A$13</f>
        <v>woda pitna</v>
      </c>
      <c r="AE1371" s="742">
        <v>50</v>
      </c>
      <c r="AF1371" s="743">
        <v>11</v>
      </c>
      <c r="AG1371" s="741" t="str">
        <f>'DICTIONARY-5'!$A$23</f>
        <v>powłoka epoksydowa</v>
      </c>
    </row>
    <row r="1372" spans="1:33" x14ac:dyDescent="0.25">
      <c r="A1372" s="861" t="s">
        <v>1377</v>
      </c>
      <c r="B1372" s="861" t="s">
        <v>4475</v>
      </c>
      <c r="C1372" s="836">
        <v>279</v>
      </c>
      <c r="D1372" s="836"/>
      <c r="E1372" s="836"/>
      <c r="F1372" s="836"/>
      <c r="G1372" s="496" t="s">
        <v>7827</v>
      </c>
      <c r="H1372" s="797" t="str">
        <f>VLOOKUP(G1372,SETTINGS!$B$7:$D$97,2,0)</f>
        <v>TOP-STOP</v>
      </c>
      <c r="I1372" s="796">
        <f>VLOOKUP(G1372,SETTINGS!$B$7:$D$97,3,0)</f>
        <v>0</v>
      </c>
      <c r="J1372" s="670" t="str">
        <f>IFERROR(IF(CURRENCY.FORMAT_1=0,CONCATENATE(TEXT(FIXED(ROUND((C1372/EXC.RATE_1),CURRENCY.FORMAT_1),CURRENCY.FORMAT_1,1),"# ##0;-# ##0"),",-"),FIXED(ROUND((C1372/EXC.RATE_1),CURRENCY.FORMAT_1),CURRENCY.FORMAT_1,0)),'DICTIONARY-5'!$A$2)</f>
        <v>279,-</v>
      </c>
      <c r="K1372" s="670" t="str">
        <f>IF(EXC.RATE_2=0,"",IFERROR(IF(CURRENCY.FORMAT_2=0,CONCATENATE(TEXT(FIXED(ROUND(IF(EXC.RATE.SWITCH=1,C1372/EXC.RATE_2,C1372*EXC.RATE_2),CURRENCY.FORMAT_2),CURRENCY.FORMAT_2,1),"# ##0;-# ##0"),",-"),FIXED(ROUND(IF(EXC.RATE.SWITCH=1,C1372/EXC.RATE_2,C1372*EXC.RATE_2),CURRENCY.FORMAT_2),CURRENCY.FORMAT_2,0)),'DICTIONARY-5'!$A$2))</f>
        <v/>
      </c>
      <c r="L1372" s="670" t="str">
        <f>IFERROR(IF(CURRENCY.FORMAT_1=0,CONCATENATE(TEXT(FIXED(ROUND((C1372*(1-I1372)*(1-ADD.DISCOUNT)*(1+MAT.SURCHARGE)/EXC.RATE_1),CURRENCY.FORMAT_1),CURRENCY.FORMAT_1,1),"# ##0;-# ##0"),",-"),FIXED(ROUND((C1372*(1-I1372)*(1-ADD.DISCOUNT)*(1+MAT.SURCHARGE)/EXC.RATE_1),CURRENCY.FORMAT_1),CURRENCY.FORMAT_1,0)),'DICTIONARY-5'!$A$2)</f>
        <v>290,-</v>
      </c>
      <c r="M1372" s="670" t="str">
        <f>IF(EXC.RATE_2=0,"",IFERROR(IF(CURRENCY.FORMAT_2=0,CONCATENATE(TEXT(FIXED(ROUND(IF(EXC.RATE.SWITCH=1,C1372*(1-I1372)*(1-ADD.DISCOUNT)*(1+MAT.SURCHARGE)/EXC.RATE_2,C1372*(1-I1372)*(1-ADD.DISCOUNT)*(1+MAT.SURCHARGE)*EXC.RATE_2),CURRENCY.FORMAT_2),CURRENCY.FORMAT_2,1),"# ##0;-# ##0"),",-"),FIXED(ROUND(IF(EXC.RATE.SWITCH=1,C1372*(1-I1372)*(1-ADD.DISCOUNT)*(1+MAT.SURCHARGE)/EXC.RATE_2,C1372*(1-I1372)*(1-ADD.DISCOUNT)*(1+MAT.SURCHARGE)*EXC.RATE_2),CURRENCY.FORMAT_2),CURRENCY.FORMAT_2,0)),'DICTIONARY-5'!$A$2))</f>
        <v/>
      </c>
      <c r="N1372" s="539">
        <v>5</v>
      </c>
      <c r="O1372" s="539"/>
      <c r="P1372" s="731" t="str">
        <f>'DICTIONARY-3'!$A$102</f>
        <v>TOP-STOP</v>
      </c>
      <c r="Q1372" s="732" t="str">
        <f>'DICTIONARY-3'!$A$202</f>
        <v>Zawór zwrotny</v>
      </c>
      <c r="R1372" s="732" t="str">
        <f>CONCATENATE('DICTIONARY-3'!$A$102," ",'DICTIONARY-6'!$A$20," ",'DICTIONARY-2'!$A$2,"65"," ",'DICTIONARY-2'!$A$3,"10/16"," ","R48",", ",'DICTIONARY-5'!$A$44)</f>
        <v>TOP-STOP Zaw. zwrotny DN65 PN10/16 R48, EPDM</v>
      </c>
      <c r="S1372" s="733"/>
      <c r="T1372" s="732"/>
      <c r="U1372" s="734" t="s">
        <v>5759</v>
      </c>
      <c r="V1372" s="735">
        <v>16</v>
      </c>
      <c r="W1372" s="736"/>
      <c r="X1372" s="737"/>
      <c r="Y1372" s="738"/>
      <c r="Z1372" s="739"/>
      <c r="AA1372" s="739"/>
      <c r="AB1372" s="740">
        <v>16</v>
      </c>
      <c r="AC1372" s="741" t="str">
        <f>'DICTIONARY-5'!$A$11&amp;" 48"</f>
        <v>EN 558 szereg 48</v>
      </c>
      <c r="AD1372" s="741" t="str">
        <f>'DICTIONARY-5'!$A$13</f>
        <v>woda pitna</v>
      </c>
      <c r="AE1372" s="742">
        <v>50</v>
      </c>
      <c r="AF1372" s="743">
        <v>17</v>
      </c>
      <c r="AG1372" s="741" t="str">
        <f>'DICTIONARY-5'!$A$23</f>
        <v>powłoka epoksydowa</v>
      </c>
    </row>
    <row r="1373" spans="1:33" x14ac:dyDescent="0.25">
      <c r="A1373" s="861" t="s">
        <v>1378</v>
      </c>
      <c r="B1373" s="861" t="s">
        <v>4476</v>
      </c>
      <c r="C1373" s="836">
        <v>291</v>
      </c>
      <c r="D1373" s="836"/>
      <c r="E1373" s="836"/>
      <c r="F1373" s="836"/>
      <c r="G1373" s="496" t="s">
        <v>7827</v>
      </c>
      <c r="H1373" s="797" t="str">
        <f>VLOOKUP(G1373,SETTINGS!$B$7:$D$97,2,0)</f>
        <v>TOP-STOP</v>
      </c>
      <c r="I1373" s="796">
        <f>VLOOKUP(G1373,SETTINGS!$B$7:$D$97,3,0)</f>
        <v>0</v>
      </c>
      <c r="J1373" s="670" t="str">
        <f>IFERROR(IF(CURRENCY.FORMAT_1=0,CONCATENATE(TEXT(FIXED(ROUND((C1373/EXC.RATE_1),CURRENCY.FORMAT_1),CURRENCY.FORMAT_1,1),"# ##0;-# ##0"),",-"),FIXED(ROUND((C1373/EXC.RATE_1),CURRENCY.FORMAT_1),CURRENCY.FORMAT_1,0)),'DICTIONARY-5'!$A$2)</f>
        <v>291,-</v>
      </c>
      <c r="K1373" s="670" t="str">
        <f>IF(EXC.RATE_2=0,"",IFERROR(IF(CURRENCY.FORMAT_2=0,CONCATENATE(TEXT(FIXED(ROUND(IF(EXC.RATE.SWITCH=1,C1373/EXC.RATE_2,C1373*EXC.RATE_2),CURRENCY.FORMAT_2),CURRENCY.FORMAT_2,1),"# ##0;-# ##0"),",-"),FIXED(ROUND(IF(EXC.RATE.SWITCH=1,C1373/EXC.RATE_2,C1373*EXC.RATE_2),CURRENCY.FORMAT_2),CURRENCY.FORMAT_2,0)),'DICTIONARY-5'!$A$2))</f>
        <v/>
      </c>
      <c r="L1373" s="670" t="str">
        <f>IFERROR(IF(CURRENCY.FORMAT_1=0,CONCATENATE(TEXT(FIXED(ROUND((C1373*(1-I1373)*(1-ADD.DISCOUNT)*(1+MAT.SURCHARGE)/EXC.RATE_1),CURRENCY.FORMAT_1),CURRENCY.FORMAT_1,1),"# ##0;-# ##0"),",-"),FIXED(ROUND((C1373*(1-I1373)*(1-ADD.DISCOUNT)*(1+MAT.SURCHARGE)/EXC.RATE_1),CURRENCY.FORMAT_1),CURRENCY.FORMAT_1,0)),'DICTIONARY-5'!$A$2)</f>
        <v>302,-</v>
      </c>
      <c r="M1373" s="670" t="str">
        <f>IF(EXC.RATE_2=0,"",IFERROR(IF(CURRENCY.FORMAT_2=0,CONCATENATE(TEXT(FIXED(ROUND(IF(EXC.RATE.SWITCH=1,C1373*(1-I1373)*(1-ADD.DISCOUNT)*(1+MAT.SURCHARGE)/EXC.RATE_2,C1373*(1-I1373)*(1-ADD.DISCOUNT)*(1+MAT.SURCHARGE)*EXC.RATE_2),CURRENCY.FORMAT_2),CURRENCY.FORMAT_2,1),"# ##0;-# ##0"),",-"),FIXED(ROUND(IF(EXC.RATE.SWITCH=1,C1373*(1-I1373)*(1-ADD.DISCOUNT)*(1+MAT.SURCHARGE)/EXC.RATE_2,C1373*(1-I1373)*(1-ADD.DISCOUNT)*(1+MAT.SURCHARGE)*EXC.RATE_2),CURRENCY.FORMAT_2),CURRENCY.FORMAT_2,0)),'DICTIONARY-5'!$A$2))</f>
        <v/>
      </c>
      <c r="N1373" s="539">
        <v>5</v>
      </c>
      <c r="O1373" s="539"/>
      <c r="P1373" s="731" t="str">
        <f>'DICTIONARY-3'!$A$102</f>
        <v>TOP-STOP</v>
      </c>
      <c r="Q1373" s="732" t="str">
        <f>'DICTIONARY-3'!$A$202</f>
        <v>Zawór zwrotny</v>
      </c>
      <c r="R1373" s="732" t="str">
        <f>CONCATENATE('DICTIONARY-3'!$A$102," ",'DICTIONARY-6'!$A$20," ",'DICTIONARY-2'!$A$2,"80"," ",'DICTIONARY-2'!$A$3,"10/16"," ","R48",", ",'DICTIONARY-5'!$A$44)</f>
        <v>TOP-STOP Zaw. zwrotny DN80 PN10/16 R48, EPDM</v>
      </c>
      <c r="S1373" s="733"/>
      <c r="T1373" s="732"/>
      <c r="U1373" s="734" t="s">
        <v>5760</v>
      </c>
      <c r="V1373" s="735">
        <v>16</v>
      </c>
      <c r="W1373" s="736"/>
      <c r="X1373" s="737"/>
      <c r="Y1373" s="738"/>
      <c r="Z1373" s="739"/>
      <c r="AA1373" s="739"/>
      <c r="AB1373" s="740">
        <v>16</v>
      </c>
      <c r="AC1373" s="741" t="str">
        <f>'DICTIONARY-5'!$A$11&amp;" 48"</f>
        <v>EN 558 szereg 48</v>
      </c>
      <c r="AD1373" s="741" t="str">
        <f>'DICTIONARY-5'!$A$13</f>
        <v>woda pitna</v>
      </c>
      <c r="AE1373" s="742">
        <v>50</v>
      </c>
      <c r="AF1373" s="743">
        <v>18.5</v>
      </c>
      <c r="AG1373" s="741" t="str">
        <f>'DICTIONARY-5'!$A$23</f>
        <v>powłoka epoksydowa</v>
      </c>
    </row>
    <row r="1374" spans="1:33" x14ac:dyDescent="0.25">
      <c r="A1374" s="861" t="s">
        <v>1379</v>
      </c>
      <c r="B1374" s="861" t="s">
        <v>4477</v>
      </c>
      <c r="C1374" s="836">
        <v>386</v>
      </c>
      <c r="D1374" s="836"/>
      <c r="E1374" s="836"/>
      <c r="F1374" s="836"/>
      <c r="G1374" s="496" t="s">
        <v>7827</v>
      </c>
      <c r="H1374" s="797" t="str">
        <f>VLOOKUP(G1374,SETTINGS!$B$7:$D$97,2,0)</f>
        <v>TOP-STOP</v>
      </c>
      <c r="I1374" s="796">
        <f>VLOOKUP(G1374,SETTINGS!$B$7:$D$97,3,0)</f>
        <v>0</v>
      </c>
      <c r="J1374" s="670" t="str">
        <f>IFERROR(IF(CURRENCY.FORMAT_1=0,CONCATENATE(TEXT(FIXED(ROUND((C1374/EXC.RATE_1),CURRENCY.FORMAT_1),CURRENCY.FORMAT_1,1),"# ##0;-# ##0"),",-"),FIXED(ROUND((C1374/EXC.RATE_1),CURRENCY.FORMAT_1),CURRENCY.FORMAT_1,0)),'DICTIONARY-5'!$A$2)</f>
        <v>386,-</v>
      </c>
      <c r="K1374" s="670" t="str">
        <f>IF(EXC.RATE_2=0,"",IFERROR(IF(CURRENCY.FORMAT_2=0,CONCATENATE(TEXT(FIXED(ROUND(IF(EXC.RATE.SWITCH=1,C1374/EXC.RATE_2,C1374*EXC.RATE_2),CURRENCY.FORMAT_2),CURRENCY.FORMAT_2,1),"# ##0;-# ##0"),",-"),FIXED(ROUND(IF(EXC.RATE.SWITCH=1,C1374/EXC.RATE_2,C1374*EXC.RATE_2),CURRENCY.FORMAT_2),CURRENCY.FORMAT_2,0)),'DICTIONARY-5'!$A$2))</f>
        <v/>
      </c>
      <c r="L1374" s="670" t="str">
        <f>IFERROR(IF(CURRENCY.FORMAT_1=0,CONCATENATE(TEXT(FIXED(ROUND((C1374*(1-I1374)*(1-ADD.DISCOUNT)*(1+MAT.SURCHARGE)/EXC.RATE_1),CURRENCY.FORMAT_1),CURRENCY.FORMAT_1,1),"# ##0;-# ##0"),",-"),FIXED(ROUND((C1374*(1-I1374)*(1-ADD.DISCOUNT)*(1+MAT.SURCHARGE)/EXC.RATE_1),CURRENCY.FORMAT_1),CURRENCY.FORMAT_1,0)),'DICTIONARY-5'!$A$2)</f>
        <v>401,-</v>
      </c>
      <c r="M1374" s="670" t="str">
        <f>IF(EXC.RATE_2=0,"",IFERROR(IF(CURRENCY.FORMAT_2=0,CONCATENATE(TEXT(FIXED(ROUND(IF(EXC.RATE.SWITCH=1,C1374*(1-I1374)*(1-ADD.DISCOUNT)*(1+MAT.SURCHARGE)/EXC.RATE_2,C1374*(1-I1374)*(1-ADD.DISCOUNT)*(1+MAT.SURCHARGE)*EXC.RATE_2),CURRENCY.FORMAT_2),CURRENCY.FORMAT_2,1),"# ##0;-# ##0"),",-"),FIXED(ROUND(IF(EXC.RATE.SWITCH=1,C1374*(1-I1374)*(1-ADD.DISCOUNT)*(1+MAT.SURCHARGE)/EXC.RATE_2,C1374*(1-I1374)*(1-ADD.DISCOUNT)*(1+MAT.SURCHARGE)*EXC.RATE_2),CURRENCY.FORMAT_2),CURRENCY.FORMAT_2,0)),'DICTIONARY-5'!$A$2))</f>
        <v/>
      </c>
      <c r="N1374" s="539">
        <v>5</v>
      </c>
      <c r="O1374" s="539"/>
      <c r="P1374" s="731" t="str">
        <f>'DICTIONARY-3'!$A$102</f>
        <v>TOP-STOP</v>
      </c>
      <c r="Q1374" s="732" t="str">
        <f>'DICTIONARY-3'!$A$202</f>
        <v>Zawór zwrotny</v>
      </c>
      <c r="R1374" s="732" t="str">
        <f>CONCATENATE('DICTIONARY-3'!$A$102," ",'DICTIONARY-6'!$A$20," ",'DICTIONARY-2'!$A$2,"100"," ",'DICTIONARY-2'!$A$3,"10/16"," ","R48",", ",'DICTIONARY-5'!$A$44)</f>
        <v>TOP-STOP Zaw. zwrotny DN100 PN10/16 R48, EPDM</v>
      </c>
      <c r="S1374" s="733"/>
      <c r="T1374" s="732"/>
      <c r="U1374" s="734" t="s">
        <v>5749</v>
      </c>
      <c r="V1374" s="735">
        <v>16</v>
      </c>
      <c r="W1374" s="736"/>
      <c r="X1374" s="737"/>
      <c r="Y1374" s="738"/>
      <c r="Z1374" s="739"/>
      <c r="AA1374" s="739"/>
      <c r="AB1374" s="740">
        <v>16</v>
      </c>
      <c r="AC1374" s="741" t="str">
        <f>'DICTIONARY-5'!$A$11&amp;" 48"</f>
        <v>EN 558 szereg 48</v>
      </c>
      <c r="AD1374" s="741" t="str">
        <f>'DICTIONARY-5'!$A$13</f>
        <v>woda pitna</v>
      </c>
      <c r="AE1374" s="742">
        <v>50</v>
      </c>
      <c r="AF1374" s="743">
        <v>28</v>
      </c>
      <c r="AG1374" s="741" t="str">
        <f>'DICTIONARY-5'!$A$23</f>
        <v>powłoka epoksydowa</v>
      </c>
    </row>
    <row r="1375" spans="1:33" x14ac:dyDescent="0.25">
      <c r="A1375" s="861" t="s">
        <v>1380</v>
      </c>
      <c r="B1375" s="861" t="s">
        <v>4478</v>
      </c>
      <c r="C1375" s="836">
        <v>445</v>
      </c>
      <c r="D1375" s="836"/>
      <c r="E1375" s="836"/>
      <c r="F1375" s="836"/>
      <c r="G1375" s="496" t="s">
        <v>7827</v>
      </c>
      <c r="H1375" s="797" t="str">
        <f>VLOOKUP(G1375,SETTINGS!$B$7:$D$97,2,0)</f>
        <v>TOP-STOP</v>
      </c>
      <c r="I1375" s="796">
        <f>VLOOKUP(G1375,SETTINGS!$B$7:$D$97,3,0)</f>
        <v>0</v>
      </c>
      <c r="J1375" s="670" t="str">
        <f>IFERROR(IF(CURRENCY.FORMAT_1=0,CONCATENATE(TEXT(FIXED(ROUND((C1375/EXC.RATE_1),CURRENCY.FORMAT_1),CURRENCY.FORMAT_1,1),"# ##0;-# ##0"),",-"),FIXED(ROUND((C1375/EXC.RATE_1),CURRENCY.FORMAT_1),CURRENCY.FORMAT_1,0)),'DICTIONARY-5'!$A$2)</f>
        <v>445,-</v>
      </c>
      <c r="K1375" s="670" t="str">
        <f>IF(EXC.RATE_2=0,"",IFERROR(IF(CURRENCY.FORMAT_2=0,CONCATENATE(TEXT(FIXED(ROUND(IF(EXC.RATE.SWITCH=1,C1375/EXC.RATE_2,C1375*EXC.RATE_2),CURRENCY.FORMAT_2),CURRENCY.FORMAT_2,1),"# ##0;-# ##0"),",-"),FIXED(ROUND(IF(EXC.RATE.SWITCH=1,C1375/EXC.RATE_2,C1375*EXC.RATE_2),CURRENCY.FORMAT_2),CURRENCY.FORMAT_2,0)),'DICTIONARY-5'!$A$2))</f>
        <v/>
      </c>
      <c r="L1375" s="670" t="str">
        <f>IFERROR(IF(CURRENCY.FORMAT_1=0,CONCATENATE(TEXT(FIXED(ROUND((C1375*(1-I1375)*(1-ADD.DISCOUNT)*(1+MAT.SURCHARGE)/EXC.RATE_1),CURRENCY.FORMAT_1),CURRENCY.FORMAT_1,1),"# ##0;-# ##0"),",-"),FIXED(ROUND((C1375*(1-I1375)*(1-ADD.DISCOUNT)*(1+MAT.SURCHARGE)/EXC.RATE_1),CURRENCY.FORMAT_1),CURRENCY.FORMAT_1,0)),'DICTIONARY-5'!$A$2)</f>
        <v>462,-</v>
      </c>
      <c r="M1375" s="670" t="str">
        <f>IF(EXC.RATE_2=0,"",IFERROR(IF(CURRENCY.FORMAT_2=0,CONCATENATE(TEXT(FIXED(ROUND(IF(EXC.RATE.SWITCH=1,C1375*(1-I1375)*(1-ADD.DISCOUNT)*(1+MAT.SURCHARGE)/EXC.RATE_2,C1375*(1-I1375)*(1-ADD.DISCOUNT)*(1+MAT.SURCHARGE)*EXC.RATE_2),CURRENCY.FORMAT_2),CURRENCY.FORMAT_2,1),"# ##0;-# ##0"),",-"),FIXED(ROUND(IF(EXC.RATE.SWITCH=1,C1375*(1-I1375)*(1-ADD.DISCOUNT)*(1+MAT.SURCHARGE)/EXC.RATE_2,C1375*(1-I1375)*(1-ADD.DISCOUNT)*(1+MAT.SURCHARGE)*EXC.RATE_2),CURRENCY.FORMAT_2),CURRENCY.FORMAT_2,0)),'DICTIONARY-5'!$A$2))</f>
        <v/>
      </c>
      <c r="N1375" s="539">
        <v>5</v>
      </c>
      <c r="O1375" s="539"/>
      <c r="P1375" s="731" t="str">
        <f>'DICTIONARY-3'!$A$102</f>
        <v>TOP-STOP</v>
      </c>
      <c r="Q1375" s="732" t="str">
        <f>'DICTIONARY-3'!$A$202</f>
        <v>Zawór zwrotny</v>
      </c>
      <c r="R1375" s="732" t="str">
        <f>CONCATENATE('DICTIONARY-3'!$A$102," ",'DICTIONARY-6'!$A$20," ",'DICTIONARY-2'!$A$2,"125"," ",'DICTIONARY-2'!$A$3,"10/16"," ","R48",", ",'DICTIONARY-5'!$A$44)</f>
        <v>TOP-STOP Zaw. zwrotny DN125 PN10/16 R48, EPDM</v>
      </c>
      <c r="S1375" s="733"/>
      <c r="T1375" s="732"/>
      <c r="U1375" s="734" t="s">
        <v>5761</v>
      </c>
      <c r="V1375" s="735">
        <v>16</v>
      </c>
      <c r="W1375" s="736"/>
      <c r="X1375" s="737"/>
      <c r="Y1375" s="738"/>
      <c r="Z1375" s="739"/>
      <c r="AA1375" s="739"/>
      <c r="AB1375" s="740">
        <v>16</v>
      </c>
      <c r="AC1375" s="741" t="str">
        <f>'DICTIONARY-5'!$A$11&amp;" 48"</f>
        <v>EN 558 szereg 48</v>
      </c>
      <c r="AD1375" s="741" t="str">
        <f>'DICTIONARY-5'!$A$13</f>
        <v>woda pitna</v>
      </c>
      <c r="AE1375" s="742">
        <v>50</v>
      </c>
      <c r="AF1375" s="743">
        <v>32</v>
      </c>
      <c r="AG1375" s="741" t="str">
        <f>'DICTIONARY-5'!$A$23</f>
        <v>powłoka epoksydowa</v>
      </c>
    </row>
    <row r="1376" spans="1:33" x14ac:dyDescent="0.25">
      <c r="A1376" s="861" t="s">
        <v>1381</v>
      </c>
      <c r="B1376" s="861" t="s">
        <v>4479</v>
      </c>
      <c r="C1376" s="836">
        <v>561</v>
      </c>
      <c r="D1376" s="836"/>
      <c r="E1376" s="836"/>
      <c r="F1376" s="836"/>
      <c r="G1376" s="496" t="s">
        <v>7827</v>
      </c>
      <c r="H1376" s="797" t="str">
        <f>VLOOKUP(G1376,SETTINGS!$B$7:$D$97,2,0)</f>
        <v>TOP-STOP</v>
      </c>
      <c r="I1376" s="796">
        <f>VLOOKUP(G1376,SETTINGS!$B$7:$D$97,3,0)</f>
        <v>0</v>
      </c>
      <c r="J1376" s="670" t="str">
        <f>IFERROR(IF(CURRENCY.FORMAT_1=0,CONCATENATE(TEXT(FIXED(ROUND((C1376/EXC.RATE_1),CURRENCY.FORMAT_1),CURRENCY.FORMAT_1,1),"# ##0;-# ##0"),",-"),FIXED(ROUND((C1376/EXC.RATE_1),CURRENCY.FORMAT_1),CURRENCY.FORMAT_1,0)),'DICTIONARY-5'!$A$2)</f>
        <v>561,-</v>
      </c>
      <c r="K1376" s="670" t="str">
        <f>IF(EXC.RATE_2=0,"",IFERROR(IF(CURRENCY.FORMAT_2=0,CONCATENATE(TEXT(FIXED(ROUND(IF(EXC.RATE.SWITCH=1,C1376/EXC.RATE_2,C1376*EXC.RATE_2),CURRENCY.FORMAT_2),CURRENCY.FORMAT_2,1),"# ##0;-# ##0"),",-"),FIXED(ROUND(IF(EXC.RATE.SWITCH=1,C1376/EXC.RATE_2,C1376*EXC.RATE_2),CURRENCY.FORMAT_2),CURRENCY.FORMAT_2,0)),'DICTIONARY-5'!$A$2))</f>
        <v/>
      </c>
      <c r="L1376" s="670" t="str">
        <f>IFERROR(IF(CURRENCY.FORMAT_1=0,CONCATENATE(TEXT(FIXED(ROUND((C1376*(1-I1376)*(1-ADD.DISCOUNT)*(1+MAT.SURCHARGE)/EXC.RATE_1),CURRENCY.FORMAT_1),CURRENCY.FORMAT_1,1),"# ##0;-# ##0"),",-"),FIXED(ROUND((C1376*(1-I1376)*(1-ADD.DISCOUNT)*(1+MAT.SURCHARGE)/EXC.RATE_1),CURRENCY.FORMAT_1),CURRENCY.FORMAT_1,0)),'DICTIONARY-5'!$A$2)</f>
        <v>583,-</v>
      </c>
      <c r="M1376" s="670" t="str">
        <f>IF(EXC.RATE_2=0,"",IFERROR(IF(CURRENCY.FORMAT_2=0,CONCATENATE(TEXT(FIXED(ROUND(IF(EXC.RATE.SWITCH=1,C1376*(1-I1376)*(1-ADD.DISCOUNT)*(1+MAT.SURCHARGE)/EXC.RATE_2,C1376*(1-I1376)*(1-ADD.DISCOUNT)*(1+MAT.SURCHARGE)*EXC.RATE_2),CURRENCY.FORMAT_2),CURRENCY.FORMAT_2,1),"# ##0;-# ##0"),",-"),FIXED(ROUND(IF(EXC.RATE.SWITCH=1,C1376*(1-I1376)*(1-ADD.DISCOUNT)*(1+MAT.SURCHARGE)/EXC.RATE_2,C1376*(1-I1376)*(1-ADD.DISCOUNT)*(1+MAT.SURCHARGE)*EXC.RATE_2),CURRENCY.FORMAT_2),CURRENCY.FORMAT_2,0)),'DICTIONARY-5'!$A$2))</f>
        <v/>
      </c>
      <c r="N1376" s="539">
        <v>5</v>
      </c>
      <c r="O1376" s="539"/>
      <c r="P1376" s="731" t="str">
        <f>'DICTIONARY-3'!$A$102</f>
        <v>TOP-STOP</v>
      </c>
      <c r="Q1376" s="732" t="str">
        <f>'DICTIONARY-3'!$A$202</f>
        <v>Zawór zwrotny</v>
      </c>
      <c r="R1376" s="732" t="str">
        <f>CONCATENATE('DICTIONARY-3'!$A$102," ",'DICTIONARY-6'!$A$20," ",'DICTIONARY-2'!$A$2,"150"," ",'DICTIONARY-2'!$A$3,"10/16"," ","R48",", ",'DICTIONARY-5'!$A$44)</f>
        <v>TOP-STOP Zaw. zwrotny DN150 PN10/16 R48, EPDM</v>
      </c>
      <c r="S1376" s="733"/>
      <c r="T1376" s="732"/>
      <c r="U1376" s="734" t="s">
        <v>5572</v>
      </c>
      <c r="V1376" s="735">
        <v>16</v>
      </c>
      <c r="W1376" s="736"/>
      <c r="X1376" s="737"/>
      <c r="Y1376" s="738"/>
      <c r="Z1376" s="739"/>
      <c r="AA1376" s="739"/>
      <c r="AB1376" s="740">
        <v>16</v>
      </c>
      <c r="AC1376" s="741" t="str">
        <f>'DICTIONARY-5'!$A$11&amp;" 48"</f>
        <v>EN 558 szereg 48</v>
      </c>
      <c r="AD1376" s="741" t="str">
        <f>'DICTIONARY-5'!$A$13</f>
        <v>woda pitna</v>
      </c>
      <c r="AE1376" s="742">
        <v>50</v>
      </c>
      <c r="AF1376" s="743">
        <v>38</v>
      </c>
      <c r="AG1376" s="741" t="str">
        <f>'DICTIONARY-5'!$A$23</f>
        <v>powłoka epoksydowa</v>
      </c>
    </row>
    <row r="1377" spans="1:33" x14ac:dyDescent="0.25">
      <c r="A1377" s="861" t="s">
        <v>1382</v>
      </c>
      <c r="B1377" s="861" t="s">
        <v>4468</v>
      </c>
      <c r="C1377" s="836">
        <v>802</v>
      </c>
      <c r="D1377" s="836"/>
      <c r="E1377" s="836"/>
      <c r="F1377" s="836"/>
      <c r="G1377" s="496" t="s">
        <v>7827</v>
      </c>
      <c r="H1377" s="797" t="str">
        <f>VLOOKUP(G1377,SETTINGS!$B$7:$D$97,2,0)</f>
        <v>TOP-STOP</v>
      </c>
      <c r="I1377" s="796">
        <f>VLOOKUP(G1377,SETTINGS!$B$7:$D$97,3,0)</f>
        <v>0</v>
      </c>
      <c r="J1377" s="670" t="str">
        <f>IFERROR(IF(CURRENCY.FORMAT_1=0,CONCATENATE(TEXT(FIXED(ROUND((C1377/EXC.RATE_1),CURRENCY.FORMAT_1),CURRENCY.FORMAT_1,1),"# ##0;-# ##0"),",-"),FIXED(ROUND((C1377/EXC.RATE_1),CURRENCY.FORMAT_1),CURRENCY.FORMAT_1,0)),'DICTIONARY-5'!$A$2)</f>
        <v>802,-</v>
      </c>
      <c r="K1377" s="670" t="str">
        <f>IF(EXC.RATE_2=0,"",IFERROR(IF(CURRENCY.FORMAT_2=0,CONCATENATE(TEXT(FIXED(ROUND(IF(EXC.RATE.SWITCH=1,C1377/EXC.RATE_2,C1377*EXC.RATE_2),CURRENCY.FORMAT_2),CURRENCY.FORMAT_2,1),"# ##0;-# ##0"),",-"),FIXED(ROUND(IF(EXC.RATE.SWITCH=1,C1377/EXC.RATE_2,C1377*EXC.RATE_2),CURRENCY.FORMAT_2),CURRENCY.FORMAT_2,0)),'DICTIONARY-5'!$A$2))</f>
        <v/>
      </c>
      <c r="L1377" s="670" t="str">
        <f>IFERROR(IF(CURRENCY.FORMAT_1=0,CONCATENATE(TEXT(FIXED(ROUND((C1377*(1-I1377)*(1-ADD.DISCOUNT)*(1+MAT.SURCHARGE)/EXC.RATE_1),CURRENCY.FORMAT_1),CURRENCY.FORMAT_1,1),"# ##0;-# ##0"),",-"),FIXED(ROUND((C1377*(1-I1377)*(1-ADD.DISCOUNT)*(1+MAT.SURCHARGE)/EXC.RATE_1),CURRENCY.FORMAT_1),CURRENCY.FORMAT_1,0)),'DICTIONARY-5'!$A$2)</f>
        <v>833,-</v>
      </c>
      <c r="M1377" s="670" t="str">
        <f>IF(EXC.RATE_2=0,"",IFERROR(IF(CURRENCY.FORMAT_2=0,CONCATENATE(TEXT(FIXED(ROUND(IF(EXC.RATE.SWITCH=1,C1377*(1-I1377)*(1-ADD.DISCOUNT)*(1+MAT.SURCHARGE)/EXC.RATE_2,C1377*(1-I1377)*(1-ADD.DISCOUNT)*(1+MAT.SURCHARGE)*EXC.RATE_2),CURRENCY.FORMAT_2),CURRENCY.FORMAT_2,1),"# ##0;-# ##0"),",-"),FIXED(ROUND(IF(EXC.RATE.SWITCH=1,C1377*(1-I1377)*(1-ADD.DISCOUNT)*(1+MAT.SURCHARGE)/EXC.RATE_2,C1377*(1-I1377)*(1-ADD.DISCOUNT)*(1+MAT.SURCHARGE)*EXC.RATE_2),CURRENCY.FORMAT_2),CURRENCY.FORMAT_2,0)),'DICTIONARY-5'!$A$2))</f>
        <v/>
      </c>
      <c r="N1377" s="539">
        <v>5</v>
      </c>
      <c r="O1377" s="539"/>
      <c r="P1377" s="731" t="str">
        <f>'DICTIONARY-3'!$A$102</f>
        <v>TOP-STOP</v>
      </c>
      <c r="Q1377" s="732" t="str">
        <f>'DICTIONARY-3'!$A$202</f>
        <v>Zawór zwrotny</v>
      </c>
      <c r="R1377" s="732" t="str">
        <f>CONCATENATE('DICTIONARY-3'!$A$102," ",'DICTIONARY-6'!$A$20," ",'DICTIONARY-2'!$A$2,"200"," ",'DICTIONARY-2'!$A$3,"10"," ","R48",", ",'DICTIONARY-5'!$A$44)</f>
        <v>TOP-STOP Zaw. zwrotny DN200 PN10 R48, EPDM</v>
      </c>
      <c r="S1377" s="733"/>
      <c r="T1377" s="732"/>
      <c r="U1377" s="734" t="s">
        <v>5750</v>
      </c>
      <c r="V1377" s="735">
        <v>10</v>
      </c>
      <c r="W1377" s="736"/>
      <c r="X1377" s="737"/>
      <c r="Y1377" s="738"/>
      <c r="Z1377" s="739"/>
      <c r="AA1377" s="739"/>
      <c r="AB1377" s="740">
        <v>10</v>
      </c>
      <c r="AC1377" s="741" t="str">
        <f>'DICTIONARY-5'!$A$11&amp;" 48"</f>
        <v>EN 558 szereg 48</v>
      </c>
      <c r="AD1377" s="741" t="str">
        <f>'DICTIONARY-5'!$A$13</f>
        <v>woda pitna</v>
      </c>
      <c r="AE1377" s="742">
        <v>50</v>
      </c>
      <c r="AF1377" s="743">
        <v>72</v>
      </c>
      <c r="AG1377" s="741" t="str">
        <f>'DICTIONARY-5'!$A$23</f>
        <v>powłoka epoksydowa</v>
      </c>
    </row>
    <row r="1378" spans="1:33" x14ac:dyDescent="0.25">
      <c r="A1378" s="861" t="s">
        <v>1383</v>
      </c>
      <c r="B1378" s="861" t="s">
        <v>4480</v>
      </c>
      <c r="C1378" s="836">
        <v>821</v>
      </c>
      <c r="D1378" s="836"/>
      <c r="E1378" s="836"/>
      <c r="F1378" s="836"/>
      <c r="G1378" s="496" t="s">
        <v>7827</v>
      </c>
      <c r="H1378" s="797" t="str">
        <f>VLOOKUP(G1378,SETTINGS!$B$7:$D$97,2,0)</f>
        <v>TOP-STOP</v>
      </c>
      <c r="I1378" s="796">
        <f>VLOOKUP(G1378,SETTINGS!$B$7:$D$97,3,0)</f>
        <v>0</v>
      </c>
      <c r="J1378" s="670" t="str">
        <f>IFERROR(IF(CURRENCY.FORMAT_1=0,CONCATENATE(TEXT(FIXED(ROUND((C1378/EXC.RATE_1),CURRENCY.FORMAT_1),CURRENCY.FORMAT_1,1),"# ##0;-# ##0"),",-"),FIXED(ROUND((C1378/EXC.RATE_1),CURRENCY.FORMAT_1),CURRENCY.FORMAT_1,0)),'DICTIONARY-5'!$A$2)</f>
        <v>821,-</v>
      </c>
      <c r="K1378" s="670" t="str">
        <f>IF(EXC.RATE_2=0,"",IFERROR(IF(CURRENCY.FORMAT_2=0,CONCATENATE(TEXT(FIXED(ROUND(IF(EXC.RATE.SWITCH=1,C1378/EXC.RATE_2,C1378*EXC.RATE_2),CURRENCY.FORMAT_2),CURRENCY.FORMAT_2,1),"# ##0;-# ##0"),",-"),FIXED(ROUND(IF(EXC.RATE.SWITCH=1,C1378/EXC.RATE_2,C1378*EXC.RATE_2),CURRENCY.FORMAT_2),CURRENCY.FORMAT_2,0)),'DICTIONARY-5'!$A$2))</f>
        <v/>
      </c>
      <c r="L1378" s="670" t="str">
        <f>IFERROR(IF(CURRENCY.FORMAT_1=0,CONCATENATE(TEXT(FIXED(ROUND((C1378*(1-I1378)*(1-ADD.DISCOUNT)*(1+MAT.SURCHARGE)/EXC.RATE_1),CURRENCY.FORMAT_1),CURRENCY.FORMAT_1,1),"# ##0;-# ##0"),",-"),FIXED(ROUND((C1378*(1-I1378)*(1-ADD.DISCOUNT)*(1+MAT.SURCHARGE)/EXC.RATE_1),CURRENCY.FORMAT_1),CURRENCY.FORMAT_1,0)),'DICTIONARY-5'!$A$2)</f>
        <v>853,-</v>
      </c>
      <c r="M1378" s="670" t="str">
        <f>IF(EXC.RATE_2=0,"",IFERROR(IF(CURRENCY.FORMAT_2=0,CONCATENATE(TEXT(FIXED(ROUND(IF(EXC.RATE.SWITCH=1,C1378*(1-I1378)*(1-ADD.DISCOUNT)*(1+MAT.SURCHARGE)/EXC.RATE_2,C1378*(1-I1378)*(1-ADD.DISCOUNT)*(1+MAT.SURCHARGE)*EXC.RATE_2),CURRENCY.FORMAT_2),CURRENCY.FORMAT_2,1),"# ##0;-# ##0"),",-"),FIXED(ROUND(IF(EXC.RATE.SWITCH=1,C1378*(1-I1378)*(1-ADD.DISCOUNT)*(1+MAT.SURCHARGE)/EXC.RATE_2,C1378*(1-I1378)*(1-ADD.DISCOUNT)*(1+MAT.SURCHARGE)*EXC.RATE_2),CURRENCY.FORMAT_2),CURRENCY.FORMAT_2,0)),'DICTIONARY-5'!$A$2))</f>
        <v/>
      </c>
      <c r="N1378" s="539">
        <v>5</v>
      </c>
      <c r="O1378" s="539"/>
      <c r="P1378" s="731" t="str">
        <f>'DICTIONARY-3'!$A$102</f>
        <v>TOP-STOP</v>
      </c>
      <c r="Q1378" s="732" t="str">
        <f>'DICTIONARY-3'!$A$202</f>
        <v>Zawór zwrotny</v>
      </c>
      <c r="R1378" s="732" t="str">
        <f>CONCATENATE('DICTIONARY-3'!$A$102," ",'DICTIONARY-6'!$A$20," ",'DICTIONARY-2'!$A$2,"200"," ",'DICTIONARY-2'!$A$3,"16"," ","R48",", ",'DICTIONARY-5'!$A$44)</f>
        <v>TOP-STOP Zaw. zwrotny DN200 PN16 R48, EPDM</v>
      </c>
      <c r="S1378" s="733"/>
      <c r="T1378" s="732"/>
      <c r="U1378" s="734" t="s">
        <v>5750</v>
      </c>
      <c r="V1378" s="735">
        <v>16</v>
      </c>
      <c r="W1378" s="736"/>
      <c r="X1378" s="737"/>
      <c r="Y1378" s="738"/>
      <c r="Z1378" s="739"/>
      <c r="AA1378" s="739"/>
      <c r="AB1378" s="740">
        <v>16</v>
      </c>
      <c r="AC1378" s="741" t="str">
        <f>'DICTIONARY-5'!$A$11&amp;" 48"</f>
        <v>EN 558 szereg 48</v>
      </c>
      <c r="AD1378" s="741" t="str">
        <f>'DICTIONARY-5'!$A$13</f>
        <v>woda pitna</v>
      </c>
      <c r="AE1378" s="742">
        <v>50</v>
      </c>
      <c r="AF1378" s="743">
        <v>71</v>
      </c>
      <c r="AG1378" s="741" t="str">
        <f>'DICTIONARY-5'!$A$23</f>
        <v>powłoka epoksydowa</v>
      </c>
    </row>
    <row r="1379" spans="1:33" x14ac:dyDescent="0.25">
      <c r="A1379" s="861" t="s">
        <v>1384</v>
      </c>
      <c r="B1379" s="861" t="s">
        <v>4469</v>
      </c>
      <c r="C1379" s="836">
        <v>1416</v>
      </c>
      <c r="D1379" s="836"/>
      <c r="E1379" s="836"/>
      <c r="F1379" s="836"/>
      <c r="G1379" s="496" t="s">
        <v>7827</v>
      </c>
      <c r="H1379" s="797" t="str">
        <f>VLOOKUP(G1379,SETTINGS!$B$7:$D$97,2,0)</f>
        <v>TOP-STOP</v>
      </c>
      <c r="I1379" s="796">
        <f>VLOOKUP(G1379,SETTINGS!$B$7:$D$97,3,0)</f>
        <v>0</v>
      </c>
      <c r="J1379" s="670" t="str">
        <f>IFERROR(IF(CURRENCY.FORMAT_1=0,CONCATENATE(TEXT(FIXED(ROUND((C1379/EXC.RATE_1),CURRENCY.FORMAT_1),CURRENCY.FORMAT_1,1),"# ##0;-# ##0"),",-"),FIXED(ROUND((C1379/EXC.RATE_1),CURRENCY.FORMAT_1),CURRENCY.FORMAT_1,0)),'DICTIONARY-5'!$A$2)</f>
        <v>1 416,-</v>
      </c>
      <c r="K1379" s="670" t="str">
        <f>IF(EXC.RATE_2=0,"",IFERROR(IF(CURRENCY.FORMAT_2=0,CONCATENATE(TEXT(FIXED(ROUND(IF(EXC.RATE.SWITCH=1,C1379/EXC.RATE_2,C1379*EXC.RATE_2),CURRENCY.FORMAT_2),CURRENCY.FORMAT_2,1),"# ##0;-# ##0"),",-"),FIXED(ROUND(IF(EXC.RATE.SWITCH=1,C1379/EXC.RATE_2,C1379*EXC.RATE_2),CURRENCY.FORMAT_2),CURRENCY.FORMAT_2,0)),'DICTIONARY-5'!$A$2))</f>
        <v/>
      </c>
      <c r="L1379" s="670" t="str">
        <f>IFERROR(IF(CURRENCY.FORMAT_1=0,CONCATENATE(TEXT(FIXED(ROUND((C1379*(1-I1379)*(1-ADD.DISCOUNT)*(1+MAT.SURCHARGE)/EXC.RATE_1),CURRENCY.FORMAT_1),CURRENCY.FORMAT_1,1),"# ##0;-# ##0"),",-"),FIXED(ROUND((C1379*(1-I1379)*(1-ADD.DISCOUNT)*(1+MAT.SURCHARGE)/EXC.RATE_1),CURRENCY.FORMAT_1),CURRENCY.FORMAT_1,0)),'DICTIONARY-5'!$A$2)</f>
        <v>1 471,-</v>
      </c>
      <c r="M1379" s="670" t="str">
        <f>IF(EXC.RATE_2=0,"",IFERROR(IF(CURRENCY.FORMAT_2=0,CONCATENATE(TEXT(FIXED(ROUND(IF(EXC.RATE.SWITCH=1,C1379*(1-I1379)*(1-ADD.DISCOUNT)*(1+MAT.SURCHARGE)/EXC.RATE_2,C1379*(1-I1379)*(1-ADD.DISCOUNT)*(1+MAT.SURCHARGE)*EXC.RATE_2),CURRENCY.FORMAT_2),CURRENCY.FORMAT_2,1),"# ##0;-# ##0"),",-"),FIXED(ROUND(IF(EXC.RATE.SWITCH=1,C1379*(1-I1379)*(1-ADD.DISCOUNT)*(1+MAT.SURCHARGE)/EXC.RATE_2,C1379*(1-I1379)*(1-ADD.DISCOUNT)*(1+MAT.SURCHARGE)*EXC.RATE_2),CURRENCY.FORMAT_2),CURRENCY.FORMAT_2,0)),'DICTIONARY-5'!$A$2))</f>
        <v/>
      </c>
      <c r="N1379" s="539">
        <v>5</v>
      </c>
      <c r="O1379" s="539"/>
      <c r="P1379" s="731" t="str">
        <f>'DICTIONARY-3'!$A$102</f>
        <v>TOP-STOP</v>
      </c>
      <c r="Q1379" s="732" t="str">
        <f>'DICTIONARY-3'!$A$202</f>
        <v>Zawór zwrotny</v>
      </c>
      <c r="R1379" s="732" t="str">
        <f>CONCATENATE('DICTIONARY-3'!$A$102," ",'DICTIONARY-6'!$A$20," ",'DICTIONARY-2'!$A$2,"250"," ",'DICTIONARY-2'!$A$3,"10"," ","R48",", ",'DICTIONARY-5'!$A$44)</f>
        <v>TOP-STOP Zaw. zwrotny DN250 PN10 R48, EPDM</v>
      </c>
      <c r="S1379" s="733"/>
      <c r="T1379" s="732"/>
      <c r="U1379" s="734" t="s">
        <v>5751</v>
      </c>
      <c r="V1379" s="735">
        <v>10</v>
      </c>
      <c r="W1379" s="736"/>
      <c r="X1379" s="737"/>
      <c r="Y1379" s="738"/>
      <c r="Z1379" s="739"/>
      <c r="AA1379" s="739"/>
      <c r="AB1379" s="740">
        <v>10</v>
      </c>
      <c r="AC1379" s="741" t="str">
        <f>'DICTIONARY-5'!$A$11&amp;" 48"</f>
        <v>EN 558 szereg 48</v>
      </c>
      <c r="AD1379" s="741" t="str">
        <f>'DICTIONARY-5'!$A$13</f>
        <v>woda pitna</v>
      </c>
      <c r="AE1379" s="742">
        <v>50</v>
      </c>
      <c r="AF1379" s="743">
        <v>122.5</v>
      </c>
      <c r="AG1379" s="741" t="str">
        <f>'DICTIONARY-5'!$A$23</f>
        <v>powłoka epoksydowa</v>
      </c>
    </row>
    <row r="1380" spans="1:33" x14ac:dyDescent="0.25">
      <c r="A1380" s="861" t="s">
        <v>1385</v>
      </c>
      <c r="B1380" s="861" t="s">
        <v>4481</v>
      </c>
      <c r="C1380" s="836">
        <v>1417</v>
      </c>
      <c r="D1380" s="836"/>
      <c r="E1380" s="836"/>
      <c r="F1380" s="836"/>
      <c r="G1380" s="496" t="s">
        <v>7827</v>
      </c>
      <c r="H1380" s="797" t="str">
        <f>VLOOKUP(G1380,SETTINGS!$B$7:$D$97,2,0)</f>
        <v>TOP-STOP</v>
      </c>
      <c r="I1380" s="796">
        <f>VLOOKUP(G1380,SETTINGS!$B$7:$D$97,3,0)</f>
        <v>0</v>
      </c>
      <c r="J1380" s="670" t="str">
        <f>IFERROR(IF(CURRENCY.FORMAT_1=0,CONCATENATE(TEXT(FIXED(ROUND((C1380/EXC.RATE_1),CURRENCY.FORMAT_1),CURRENCY.FORMAT_1,1),"# ##0;-# ##0"),",-"),FIXED(ROUND((C1380/EXC.RATE_1),CURRENCY.FORMAT_1),CURRENCY.FORMAT_1,0)),'DICTIONARY-5'!$A$2)</f>
        <v>1 417,-</v>
      </c>
      <c r="K1380" s="670" t="str">
        <f>IF(EXC.RATE_2=0,"",IFERROR(IF(CURRENCY.FORMAT_2=0,CONCATENATE(TEXT(FIXED(ROUND(IF(EXC.RATE.SWITCH=1,C1380/EXC.RATE_2,C1380*EXC.RATE_2),CURRENCY.FORMAT_2),CURRENCY.FORMAT_2,1),"# ##0;-# ##0"),",-"),FIXED(ROUND(IF(EXC.RATE.SWITCH=1,C1380/EXC.RATE_2,C1380*EXC.RATE_2),CURRENCY.FORMAT_2),CURRENCY.FORMAT_2,0)),'DICTIONARY-5'!$A$2))</f>
        <v/>
      </c>
      <c r="L1380" s="670" t="str">
        <f>IFERROR(IF(CURRENCY.FORMAT_1=0,CONCATENATE(TEXT(FIXED(ROUND((C1380*(1-I1380)*(1-ADD.DISCOUNT)*(1+MAT.SURCHARGE)/EXC.RATE_1),CURRENCY.FORMAT_1),CURRENCY.FORMAT_1,1),"# ##0;-# ##0"),",-"),FIXED(ROUND((C1380*(1-I1380)*(1-ADD.DISCOUNT)*(1+MAT.SURCHARGE)/EXC.RATE_1),CURRENCY.FORMAT_1),CURRENCY.FORMAT_1,0)),'DICTIONARY-5'!$A$2)</f>
        <v>1 472,-</v>
      </c>
      <c r="M1380" s="670" t="str">
        <f>IF(EXC.RATE_2=0,"",IFERROR(IF(CURRENCY.FORMAT_2=0,CONCATENATE(TEXT(FIXED(ROUND(IF(EXC.RATE.SWITCH=1,C1380*(1-I1380)*(1-ADD.DISCOUNT)*(1+MAT.SURCHARGE)/EXC.RATE_2,C1380*(1-I1380)*(1-ADD.DISCOUNT)*(1+MAT.SURCHARGE)*EXC.RATE_2),CURRENCY.FORMAT_2),CURRENCY.FORMAT_2,1),"# ##0;-# ##0"),",-"),FIXED(ROUND(IF(EXC.RATE.SWITCH=1,C1380*(1-I1380)*(1-ADD.DISCOUNT)*(1+MAT.SURCHARGE)/EXC.RATE_2,C1380*(1-I1380)*(1-ADD.DISCOUNT)*(1+MAT.SURCHARGE)*EXC.RATE_2),CURRENCY.FORMAT_2),CURRENCY.FORMAT_2,0)),'DICTIONARY-5'!$A$2))</f>
        <v/>
      </c>
      <c r="N1380" s="539">
        <v>5</v>
      </c>
      <c r="O1380" s="539"/>
      <c r="P1380" s="731" t="str">
        <f>'DICTIONARY-3'!$A$102</f>
        <v>TOP-STOP</v>
      </c>
      <c r="Q1380" s="732" t="str">
        <f>'DICTIONARY-3'!$A$202</f>
        <v>Zawór zwrotny</v>
      </c>
      <c r="R1380" s="732" t="str">
        <f>CONCATENATE('DICTIONARY-3'!$A$102," ",'DICTIONARY-6'!$A$20," ",'DICTIONARY-2'!$A$2,"250"," ",'DICTIONARY-2'!$A$3,"16"," ","R48",", ",'DICTIONARY-5'!$A$44)</f>
        <v>TOP-STOP Zaw. zwrotny DN250 PN16 R48, EPDM</v>
      </c>
      <c r="S1380" s="733"/>
      <c r="T1380" s="732"/>
      <c r="U1380" s="734" t="s">
        <v>5751</v>
      </c>
      <c r="V1380" s="735">
        <v>16</v>
      </c>
      <c r="W1380" s="736"/>
      <c r="X1380" s="737"/>
      <c r="Y1380" s="738"/>
      <c r="Z1380" s="739"/>
      <c r="AA1380" s="739"/>
      <c r="AB1380" s="740">
        <v>16</v>
      </c>
      <c r="AC1380" s="741" t="str">
        <f>'DICTIONARY-5'!$A$11&amp;" 48"</f>
        <v>EN 558 szereg 48</v>
      </c>
      <c r="AD1380" s="741" t="str">
        <f>'DICTIONARY-5'!$A$13</f>
        <v>woda pitna</v>
      </c>
      <c r="AE1380" s="742">
        <v>50</v>
      </c>
      <c r="AF1380" s="743">
        <v>123</v>
      </c>
      <c r="AG1380" s="741" t="str">
        <f>'DICTIONARY-5'!$A$23</f>
        <v>powłoka epoksydowa</v>
      </c>
    </row>
    <row r="1381" spans="1:33" x14ac:dyDescent="0.25">
      <c r="A1381" s="861" t="s">
        <v>1386</v>
      </c>
      <c r="B1381" s="861" t="s">
        <v>4470</v>
      </c>
      <c r="C1381" s="836">
        <v>2623</v>
      </c>
      <c r="D1381" s="836"/>
      <c r="E1381" s="836"/>
      <c r="F1381" s="836"/>
      <c r="G1381" s="496" t="s">
        <v>7827</v>
      </c>
      <c r="H1381" s="797" t="str">
        <f>VLOOKUP(G1381,SETTINGS!$B$7:$D$97,2,0)</f>
        <v>TOP-STOP</v>
      </c>
      <c r="I1381" s="796">
        <f>VLOOKUP(G1381,SETTINGS!$B$7:$D$97,3,0)</f>
        <v>0</v>
      </c>
      <c r="J1381" s="670" t="str">
        <f>IFERROR(IF(CURRENCY.FORMAT_1=0,CONCATENATE(TEXT(FIXED(ROUND((C1381/EXC.RATE_1),CURRENCY.FORMAT_1),CURRENCY.FORMAT_1,1),"# ##0;-# ##0"),",-"),FIXED(ROUND((C1381/EXC.RATE_1),CURRENCY.FORMAT_1),CURRENCY.FORMAT_1,0)),'DICTIONARY-5'!$A$2)</f>
        <v>2 623,-</v>
      </c>
      <c r="K1381" s="670" t="str">
        <f>IF(EXC.RATE_2=0,"",IFERROR(IF(CURRENCY.FORMAT_2=0,CONCATENATE(TEXT(FIXED(ROUND(IF(EXC.RATE.SWITCH=1,C1381/EXC.RATE_2,C1381*EXC.RATE_2),CURRENCY.FORMAT_2),CURRENCY.FORMAT_2,1),"# ##0;-# ##0"),",-"),FIXED(ROUND(IF(EXC.RATE.SWITCH=1,C1381/EXC.RATE_2,C1381*EXC.RATE_2),CURRENCY.FORMAT_2),CURRENCY.FORMAT_2,0)),'DICTIONARY-5'!$A$2))</f>
        <v/>
      </c>
      <c r="L1381" s="670" t="str">
        <f>IFERROR(IF(CURRENCY.FORMAT_1=0,CONCATENATE(TEXT(FIXED(ROUND((C1381*(1-I1381)*(1-ADD.DISCOUNT)*(1+MAT.SURCHARGE)/EXC.RATE_1),CURRENCY.FORMAT_1),CURRENCY.FORMAT_1,1),"# ##0;-# ##0"),",-"),FIXED(ROUND((C1381*(1-I1381)*(1-ADD.DISCOUNT)*(1+MAT.SURCHARGE)/EXC.RATE_1),CURRENCY.FORMAT_1),CURRENCY.FORMAT_1,0)),'DICTIONARY-5'!$A$2)</f>
        <v>2 725,-</v>
      </c>
      <c r="M1381" s="670" t="str">
        <f>IF(EXC.RATE_2=0,"",IFERROR(IF(CURRENCY.FORMAT_2=0,CONCATENATE(TEXT(FIXED(ROUND(IF(EXC.RATE.SWITCH=1,C1381*(1-I1381)*(1-ADD.DISCOUNT)*(1+MAT.SURCHARGE)/EXC.RATE_2,C1381*(1-I1381)*(1-ADD.DISCOUNT)*(1+MAT.SURCHARGE)*EXC.RATE_2),CURRENCY.FORMAT_2),CURRENCY.FORMAT_2,1),"# ##0;-# ##0"),",-"),FIXED(ROUND(IF(EXC.RATE.SWITCH=1,C1381*(1-I1381)*(1-ADD.DISCOUNT)*(1+MAT.SURCHARGE)/EXC.RATE_2,C1381*(1-I1381)*(1-ADD.DISCOUNT)*(1+MAT.SURCHARGE)*EXC.RATE_2),CURRENCY.FORMAT_2),CURRENCY.FORMAT_2,0)),'DICTIONARY-5'!$A$2))</f>
        <v/>
      </c>
      <c r="N1381" s="539">
        <v>5</v>
      </c>
      <c r="O1381" s="539"/>
      <c r="P1381" s="731" t="str">
        <f>'DICTIONARY-3'!$A$102</f>
        <v>TOP-STOP</v>
      </c>
      <c r="Q1381" s="732" t="str">
        <f>'DICTIONARY-3'!$A$202</f>
        <v>Zawór zwrotny</v>
      </c>
      <c r="R1381" s="732" t="str">
        <f>CONCATENATE('DICTIONARY-3'!$A$102," ",'DICTIONARY-6'!$A$20," ",'DICTIONARY-2'!$A$2,"300"," ",'DICTIONARY-2'!$A$3,"10"," ","R48",", ",'DICTIONARY-5'!$A$44)</f>
        <v>TOP-STOP Zaw. zwrotny DN300 PN10 R48, EPDM</v>
      </c>
      <c r="S1381" s="733"/>
      <c r="T1381" s="732"/>
      <c r="U1381" s="734" t="s">
        <v>5752</v>
      </c>
      <c r="V1381" s="735">
        <v>10</v>
      </c>
      <c r="W1381" s="736"/>
      <c r="X1381" s="737"/>
      <c r="Y1381" s="738"/>
      <c r="Z1381" s="739"/>
      <c r="AA1381" s="739"/>
      <c r="AB1381" s="740">
        <v>10</v>
      </c>
      <c r="AC1381" s="741" t="str">
        <f>'DICTIONARY-5'!$A$11&amp;" 48"</f>
        <v>EN 558 szereg 48</v>
      </c>
      <c r="AD1381" s="741" t="str">
        <f>'DICTIONARY-5'!$A$13</f>
        <v>woda pitna</v>
      </c>
      <c r="AE1381" s="742">
        <v>50</v>
      </c>
      <c r="AF1381" s="743">
        <v>187.5</v>
      </c>
      <c r="AG1381" s="741" t="str">
        <f>'DICTIONARY-5'!$A$23</f>
        <v>powłoka epoksydowa</v>
      </c>
    </row>
    <row r="1382" spans="1:33" x14ac:dyDescent="0.25">
      <c r="A1382" s="861" t="s">
        <v>1387</v>
      </c>
      <c r="B1382" s="861" t="s">
        <v>4482</v>
      </c>
      <c r="C1382" s="836">
        <v>2601</v>
      </c>
      <c r="D1382" s="836"/>
      <c r="E1382" s="836"/>
      <c r="F1382" s="836"/>
      <c r="G1382" s="496" t="s">
        <v>7827</v>
      </c>
      <c r="H1382" s="797" t="str">
        <f>VLOOKUP(G1382,SETTINGS!$B$7:$D$97,2,0)</f>
        <v>TOP-STOP</v>
      </c>
      <c r="I1382" s="796">
        <f>VLOOKUP(G1382,SETTINGS!$B$7:$D$97,3,0)</f>
        <v>0</v>
      </c>
      <c r="J1382" s="670" t="str">
        <f>IFERROR(IF(CURRENCY.FORMAT_1=0,CONCATENATE(TEXT(FIXED(ROUND((C1382/EXC.RATE_1),CURRENCY.FORMAT_1),CURRENCY.FORMAT_1,1),"# ##0;-# ##0"),",-"),FIXED(ROUND((C1382/EXC.RATE_1),CURRENCY.FORMAT_1),CURRENCY.FORMAT_1,0)),'DICTIONARY-5'!$A$2)</f>
        <v>2 601,-</v>
      </c>
      <c r="K1382" s="670" t="str">
        <f>IF(EXC.RATE_2=0,"",IFERROR(IF(CURRENCY.FORMAT_2=0,CONCATENATE(TEXT(FIXED(ROUND(IF(EXC.RATE.SWITCH=1,C1382/EXC.RATE_2,C1382*EXC.RATE_2),CURRENCY.FORMAT_2),CURRENCY.FORMAT_2,1),"# ##0;-# ##0"),",-"),FIXED(ROUND(IF(EXC.RATE.SWITCH=1,C1382/EXC.RATE_2,C1382*EXC.RATE_2),CURRENCY.FORMAT_2),CURRENCY.FORMAT_2,0)),'DICTIONARY-5'!$A$2))</f>
        <v/>
      </c>
      <c r="L1382" s="670" t="str">
        <f>IFERROR(IF(CURRENCY.FORMAT_1=0,CONCATENATE(TEXT(FIXED(ROUND((C1382*(1-I1382)*(1-ADD.DISCOUNT)*(1+MAT.SURCHARGE)/EXC.RATE_1),CURRENCY.FORMAT_1),CURRENCY.FORMAT_1,1),"# ##0;-# ##0"),",-"),FIXED(ROUND((C1382*(1-I1382)*(1-ADD.DISCOUNT)*(1+MAT.SURCHARGE)/EXC.RATE_1),CURRENCY.FORMAT_1),CURRENCY.FORMAT_1,0)),'DICTIONARY-5'!$A$2)</f>
        <v>2 702,-</v>
      </c>
      <c r="M1382" s="670" t="str">
        <f>IF(EXC.RATE_2=0,"",IFERROR(IF(CURRENCY.FORMAT_2=0,CONCATENATE(TEXT(FIXED(ROUND(IF(EXC.RATE.SWITCH=1,C1382*(1-I1382)*(1-ADD.DISCOUNT)*(1+MAT.SURCHARGE)/EXC.RATE_2,C1382*(1-I1382)*(1-ADD.DISCOUNT)*(1+MAT.SURCHARGE)*EXC.RATE_2),CURRENCY.FORMAT_2),CURRENCY.FORMAT_2,1),"# ##0;-# ##0"),",-"),FIXED(ROUND(IF(EXC.RATE.SWITCH=1,C1382*(1-I1382)*(1-ADD.DISCOUNT)*(1+MAT.SURCHARGE)/EXC.RATE_2,C1382*(1-I1382)*(1-ADD.DISCOUNT)*(1+MAT.SURCHARGE)*EXC.RATE_2),CURRENCY.FORMAT_2),CURRENCY.FORMAT_2,0)),'DICTIONARY-5'!$A$2))</f>
        <v/>
      </c>
      <c r="N1382" s="539">
        <v>5</v>
      </c>
      <c r="O1382" s="539"/>
      <c r="P1382" s="731" t="str">
        <f>'DICTIONARY-3'!$A$102</f>
        <v>TOP-STOP</v>
      </c>
      <c r="Q1382" s="732" t="str">
        <f>'DICTIONARY-3'!$A$202</f>
        <v>Zawór zwrotny</v>
      </c>
      <c r="R1382" s="732" t="str">
        <f>CONCATENATE('DICTIONARY-3'!$A$102," ",'DICTIONARY-6'!$A$20," ",'DICTIONARY-2'!$A$2,"300"," ",'DICTIONARY-2'!$A$3,"16"," ","R48",", ",'DICTIONARY-5'!$A$44)</f>
        <v>TOP-STOP Zaw. zwrotny DN300 PN16 R48, EPDM</v>
      </c>
      <c r="S1382" s="733"/>
      <c r="T1382" s="732"/>
      <c r="U1382" s="734" t="s">
        <v>5752</v>
      </c>
      <c r="V1382" s="735">
        <v>16</v>
      </c>
      <c r="W1382" s="736"/>
      <c r="X1382" s="737"/>
      <c r="Y1382" s="738"/>
      <c r="Z1382" s="739"/>
      <c r="AA1382" s="739"/>
      <c r="AB1382" s="740">
        <v>16</v>
      </c>
      <c r="AC1382" s="741" t="str">
        <f>'DICTIONARY-5'!$A$11&amp;" 48"</f>
        <v>EN 558 szereg 48</v>
      </c>
      <c r="AD1382" s="741" t="str">
        <f>'DICTIONARY-5'!$A$13</f>
        <v>woda pitna</v>
      </c>
      <c r="AE1382" s="742">
        <v>50</v>
      </c>
      <c r="AF1382" s="743">
        <v>191.5</v>
      </c>
      <c r="AG1382" s="741" t="str">
        <f>'DICTIONARY-5'!$A$23</f>
        <v>powłoka epoksydowa</v>
      </c>
    </row>
    <row r="1383" spans="1:33" x14ac:dyDescent="0.25">
      <c r="A1383" s="861" t="s">
        <v>1388</v>
      </c>
      <c r="B1383" s="861" t="s">
        <v>4471</v>
      </c>
      <c r="C1383" s="836">
        <v>4284</v>
      </c>
      <c r="D1383" s="836"/>
      <c r="E1383" s="836"/>
      <c r="F1383" s="836"/>
      <c r="G1383" s="496" t="s">
        <v>7827</v>
      </c>
      <c r="H1383" s="797" t="str">
        <f>VLOOKUP(G1383,SETTINGS!$B$7:$D$97,2,0)</f>
        <v>TOP-STOP</v>
      </c>
      <c r="I1383" s="796">
        <f>VLOOKUP(G1383,SETTINGS!$B$7:$D$97,3,0)</f>
        <v>0</v>
      </c>
      <c r="J1383" s="670" t="str">
        <f>IFERROR(IF(CURRENCY.FORMAT_1=0,CONCATENATE(TEXT(FIXED(ROUND((C1383/EXC.RATE_1),CURRENCY.FORMAT_1),CURRENCY.FORMAT_1,1),"# ##0;-# ##0"),",-"),FIXED(ROUND((C1383/EXC.RATE_1),CURRENCY.FORMAT_1),CURRENCY.FORMAT_1,0)),'DICTIONARY-5'!$A$2)</f>
        <v>4 284,-</v>
      </c>
      <c r="K1383" s="670" t="str">
        <f>IF(EXC.RATE_2=0,"",IFERROR(IF(CURRENCY.FORMAT_2=0,CONCATENATE(TEXT(FIXED(ROUND(IF(EXC.RATE.SWITCH=1,C1383/EXC.RATE_2,C1383*EXC.RATE_2),CURRENCY.FORMAT_2),CURRENCY.FORMAT_2,1),"# ##0;-# ##0"),",-"),FIXED(ROUND(IF(EXC.RATE.SWITCH=1,C1383/EXC.RATE_2,C1383*EXC.RATE_2),CURRENCY.FORMAT_2),CURRENCY.FORMAT_2,0)),'DICTIONARY-5'!$A$2))</f>
        <v/>
      </c>
      <c r="L1383" s="670" t="str">
        <f>IFERROR(IF(CURRENCY.FORMAT_1=0,CONCATENATE(TEXT(FIXED(ROUND((C1383*(1-I1383)*(1-ADD.DISCOUNT)*(1+MAT.SURCHARGE)/EXC.RATE_1),CURRENCY.FORMAT_1),CURRENCY.FORMAT_1,1),"# ##0;-# ##0"),",-"),FIXED(ROUND((C1383*(1-I1383)*(1-ADD.DISCOUNT)*(1+MAT.SURCHARGE)/EXC.RATE_1),CURRENCY.FORMAT_1),CURRENCY.FORMAT_1,0)),'DICTIONARY-5'!$A$2)</f>
        <v>4 451,-</v>
      </c>
      <c r="M1383" s="670" t="str">
        <f>IF(EXC.RATE_2=0,"",IFERROR(IF(CURRENCY.FORMAT_2=0,CONCATENATE(TEXT(FIXED(ROUND(IF(EXC.RATE.SWITCH=1,C1383*(1-I1383)*(1-ADD.DISCOUNT)*(1+MAT.SURCHARGE)/EXC.RATE_2,C1383*(1-I1383)*(1-ADD.DISCOUNT)*(1+MAT.SURCHARGE)*EXC.RATE_2),CURRENCY.FORMAT_2),CURRENCY.FORMAT_2,1),"# ##0;-# ##0"),",-"),FIXED(ROUND(IF(EXC.RATE.SWITCH=1,C1383*(1-I1383)*(1-ADD.DISCOUNT)*(1+MAT.SURCHARGE)/EXC.RATE_2,C1383*(1-I1383)*(1-ADD.DISCOUNT)*(1+MAT.SURCHARGE)*EXC.RATE_2),CURRENCY.FORMAT_2),CURRENCY.FORMAT_2,0)),'DICTIONARY-5'!$A$2))</f>
        <v/>
      </c>
      <c r="N1383" s="539">
        <v>5</v>
      </c>
      <c r="O1383" s="539"/>
      <c r="P1383" s="731" t="str">
        <f>'DICTIONARY-3'!$A$102</f>
        <v>TOP-STOP</v>
      </c>
      <c r="Q1383" s="732" t="str">
        <f>'DICTIONARY-3'!$A$202</f>
        <v>Zawór zwrotny</v>
      </c>
      <c r="R1383" s="732" t="str">
        <f>CONCATENATE('DICTIONARY-3'!$A$102," ",'DICTIONARY-6'!$A$20," ",'DICTIONARY-2'!$A$2,"350"," ",'DICTIONARY-2'!$A$3,"10"," ","R48",", ",'DICTIONARY-5'!$A$44)</f>
        <v>TOP-STOP Zaw. zwrotny DN350 PN10 R48, EPDM</v>
      </c>
      <c r="S1383" s="733"/>
      <c r="T1383" s="732"/>
      <c r="U1383" s="734" t="s">
        <v>5753</v>
      </c>
      <c r="V1383" s="735">
        <v>10</v>
      </c>
      <c r="W1383" s="736"/>
      <c r="X1383" s="737"/>
      <c r="Y1383" s="738"/>
      <c r="Z1383" s="739"/>
      <c r="AA1383" s="739"/>
      <c r="AB1383" s="740">
        <v>10</v>
      </c>
      <c r="AC1383" s="741" t="str">
        <f>'DICTIONARY-5'!$A$11&amp;" 48"</f>
        <v>EN 558 szereg 48</v>
      </c>
      <c r="AD1383" s="741" t="str">
        <f>'DICTIONARY-5'!$A$13</f>
        <v>woda pitna</v>
      </c>
      <c r="AE1383" s="742">
        <v>50</v>
      </c>
      <c r="AF1383" s="743">
        <v>290</v>
      </c>
      <c r="AG1383" s="741" t="str">
        <f>'DICTIONARY-5'!$A$23</f>
        <v>powłoka epoksydowa</v>
      </c>
    </row>
    <row r="1384" spans="1:33" x14ac:dyDescent="0.25">
      <c r="A1384" s="861" t="s">
        <v>1389</v>
      </c>
      <c r="B1384" s="861" t="s">
        <v>4472</v>
      </c>
      <c r="C1384" s="836">
        <v>5898</v>
      </c>
      <c r="D1384" s="836"/>
      <c r="E1384" s="836"/>
      <c r="F1384" s="836"/>
      <c r="G1384" s="496" t="s">
        <v>7827</v>
      </c>
      <c r="H1384" s="797" t="str">
        <f>VLOOKUP(G1384,SETTINGS!$B$7:$D$97,2,0)</f>
        <v>TOP-STOP</v>
      </c>
      <c r="I1384" s="796">
        <f>VLOOKUP(G1384,SETTINGS!$B$7:$D$97,3,0)</f>
        <v>0</v>
      </c>
      <c r="J1384" s="670" t="str">
        <f>IFERROR(IF(CURRENCY.FORMAT_1=0,CONCATENATE(TEXT(FIXED(ROUND((C1384/EXC.RATE_1),CURRENCY.FORMAT_1),CURRENCY.FORMAT_1,1),"# ##0;-# ##0"),",-"),FIXED(ROUND((C1384/EXC.RATE_1),CURRENCY.FORMAT_1),CURRENCY.FORMAT_1,0)),'DICTIONARY-5'!$A$2)</f>
        <v>5 898,-</v>
      </c>
      <c r="K1384" s="670" t="str">
        <f>IF(EXC.RATE_2=0,"",IFERROR(IF(CURRENCY.FORMAT_2=0,CONCATENATE(TEXT(FIXED(ROUND(IF(EXC.RATE.SWITCH=1,C1384/EXC.RATE_2,C1384*EXC.RATE_2),CURRENCY.FORMAT_2),CURRENCY.FORMAT_2,1),"# ##0;-# ##0"),",-"),FIXED(ROUND(IF(EXC.RATE.SWITCH=1,C1384/EXC.RATE_2,C1384*EXC.RATE_2),CURRENCY.FORMAT_2),CURRENCY.FORMAT_2,0)),'DICTIONARY-5'!$A$2))</f>
        <v/>
      </c>
      <c r="L1384" s="670" t="str">
        <f>IFERROR(IF(CURRENCY.FORMAT_1=0,CONCATENATE(TEXT(FIXED(ROUND((C1384*(1-I1384)*(1-ADD.DISCOUNT)*(1+MAT.SURCHARGE)/EXC.RATE_1),CURRENCY.FORMAT_1),CURRENCY.FORMAT_1,1),"# ##0;-# ##0"),",-"),FIXED(ROUND((C1384*(1-I1384)*(1-ADD.DISCOUNT)*(1+MAT.SURCHARGE)/EXC.RATE_1),CURRENCY.FORMAT_1),CURRENCY.FORMAT_1,0)),'DICTIONARY-5'!$A$2)</f>
        <v>6 128,-</v>
      </c>
      <c r="M1384" s="670" t="str">
        <f>IF(EXC.RATE_2=0,"",IFERROR(IF(CURRENCY.FORMAT_2=0,CONCATENATE(TEXT(FIXED(ROUND(IF(EXC.RATE.SWITCH=1,C1384*(1-I1384)*(1-ADD.DISCOUNT)*(1+MAT.SURCHARGE)/EXC.RATE_2,C1384*(1-I1384)*(1-ADD.DISCOUNT)*(1+MAT.SURCHARGE)*EXC.RATE_2),CURRENCY.FORMAT_2),CURRENCY.FORMAT_2,1),"# ##0;-# ##0"),",-"),FIXED(ROUND(IF(EXC.RATE.SWITCH=1,C1384*(1-I1384)*(1-ADD.DISCOUNT)*(1+MAT.SURCHARGE)/EXC.RATE_2,C1384*(1-I1384)*(1-ADD.DISCOUNT)*(1+MAT.SURCHARGE)*EXC.RATE_2),CURRENCY.FORMAT_2),CURRENCY.FORMAT_2,0)),'DICTIONARY-5'!$A$2))</f>
        <v/>
      </c>
      <c r="N1384" s="539">
        <v>5</v>
      </c>
      <c r="O1384" s="539"/>
      <c r="P1384" s="731" t="str">
        <f>'DICTIONARY-3'!$A$102</f>
        <v>TOP-STOP</v>
      </c>
      <c r="Q1384" s="732" t="str">
        <f>'DICTIONARY-3'!$A$202</f>
        <v>Zawór zwrotny</v>
      </c>
      <c r="R1384" s="732" t="str">
        <f>CONCATENATE('DICTIONARY-3'!$A$102," ",'DICTIONARY-6'!$A$20," ",'DICTIONARY-2'!$A$2,"400"," ",'DICTIONARY-2'!$A$3,"10"," ","R48",", ",'DICTIONARY-5'!$A$44)</f>
        <v>TOP-STOP Zaw. zwrotny DN400 PN10 R48, EPDM</v>
      </c>
      <c r="S1384" s="733"/>
      <c r="T1384" s="732"/>
      <c r="U1384" s="734" t="s">
        <v>5754</v>
      </c>
      <c r="V1384" s="735">
        <v>10</v>
      </c>
      <c r="W1384" s="736"/>
      <c r="X1384" s="737"/>
      <c r="Y1384" s="738"/>
      <c r="Z1384" s="739"/>
      <c r="AA1384" s="739"/>
      <c r="AB1384" s="740">
        <v>10</v>
      </c>
      <c r="AC1384" s="741" t="str">
        <f>'DICTIONARY-5'!$A$11&amp;" 48"</f>
        <v>EN 558 szereg 48</v>
      </c>
      <c r="AD1384" s="741" t="str">
        <f>'DICTIONARY-5'!$A$13</f>
        <v>woda pitna</v>
      </c>
      <c r="AE1384" s="742">
        <v>50</v>
      </c>
      <c r="AF1384" s="743">
        <v>375.5</v>
      </c>
      <c r="AG1384" s="741" t="str">
        <f>'DICTIONARY-5'!$A$23</f>
        <v>powłoka epoksydowa</v>
      </c>
    </row>
    <row r="1385" spans="1:33" x14ac:dyDescent="0.25">
      <c r="A1385" s="861" t="s">
        <v>1390</v>
      </c>
      <c r="B1385" s="861" t="s">
        <v>4304</v>
      </c>
      <c r="C1385" s="836">
        <v>75</v>
      </c>
      <c r="D1385" s="836"/>
      <c r="E1385" s="836"/>
      <c r="F1385" s="836"/>
      <c r="G1385" s="496" t="s">
        <v>7828</v>
      </c>
      <c r="H1385" s="797" t="str">
        <f>VLOOKUP(G1385,SETTINGS!$B$7:$D$97,2,0)</f>
        <v>ZETKA</v>
      </c>
      <c r="I1385" s="796">
        <f>VLOOKUP(G1385,SETTINGS!$B$7:$D$97,3,0)</f>
        <v>0</v>
      </c>
      <c r="J1385" s="670" t="str">
        <f>IFERROR(IF(CURRENCY.FORMAT_1=0,CONCATENATE(TEXT(FIXED(ROUND((C1385/EXC.RATE_1),CURRENCY.FORMAT_1),CURRENCY.FORMAT_1,1),"# ##0;-# ##0"),",-"),FIXED(ROUND((C1385/EXC.RATE_1),CURRENCY.FORMAT_1),CURRENCY.FORMAT_1,0)),'DICTIONARY-5'!$A$2)</f>
        <v>75,-</v>
      </c>
      <c r="K1385" s="670" t="str">
        <f>IF(EXC.RATE_2=0,"",IFERROR(IF(CURRENCY.FORMAT_2=0,CONCATENATE(TEXT(FIXED(ROUND(IF(EXC.RATE.SWITCH=1,C1385/EXC.RATE_2,C1385*EXC.RATE_2),CURRENCY.FORMAT_2),CURRENCY.FORMAT_2,1),"# ##0;-# ##0"),",-"),FIXED(ROUND(IF(EXC.RATE.SWITCH=1,C1385/EXC.RATE_2,C1385*EXC.RATE_2),CURRENCY.FORMAT_2),CURRENCY.FORMAT_2,0)),'DICTIONARY-5'!$A$2))</f>
        <v/>
      </c>
      <c r="L1385" s="670" t="str">
        <f>IFERROR(IF(CURRENCY.FORMAT_1=0,CONCATENATE(TEXT(FIXED(ROUND((C1385*(1-I1385)*(1-ADD.DISCOUNT)*(1+MAT.SURCHARGE)/EXC.RATE_1),CURRENCY.FORMAT_1),CURRENCY.FORMAT_1,1),"# ##0;-# ##0"),",-"),FIXED(ROUND((C1385*(1-I1385)*(1-ADD.DISCOUNT)*(1+MAT.SURCHARGE)/EXC.RATE_1),CURRENCY.FORMAT_1),CURRENCY.FORMAT_1,0)),'DICTIONARY-5'!$A$2)</f>
        <v>78,-</v>
      </c>
      <c r="M1385" s="670" t="str">
        <f>IF(EXC.RATE_2=0,"",IFERROR(IF(CURRENCY.FORMAT_2=0,CONCATENATE(TEXT(FIXED(ROUND(IF(EXC.RATE.SWITCH=1,C1385*(1-I1385)*(1-ADD.DISCOUNT)*(1+MAT.SURCHARGE)/EXC.RATE_2,C1385*(1-I1385)*(1-ADD.DISCOUNT)*(1+MAT.SURCHARGE)*EXC.RATE_2),CURRENCY.FORMAT_2),CURRENCY.FORMAT_2,1),"# ##0;-# ##0"),",-"),FIXED(ROUND(IF(EXC.RATE.SWITCH=1,C1385*(1-I1385)*(1-ADD.DISCOUNT)*(1+MAT.SURCHARGE)/EXC.RATE_2,C1385*(1-I1385)*(1-ADD.DISCOUNT)*(1+MAT.SURCHARGE)*EXC.RATE_2),CURRENCY.FORMAT_2),CURRENCY.FORMAT_2,0)),'DICTIONARY-5'!$A$2))</f>
        <v/>
      </c>
      <c r="N1385" s="539">
        <v>5</v>
      </c>
      <c r="O1385" s="539"/>
      <c r="P1385" s="731" t="str">
        <f>'DICTIONARY-3'!$A$103</f>
        <v>ZETKA</v>
      </c>
      <c r="Q1385" s="732" t="str">
        <f>'DICTIONARY-3'!$A$200</f>
        <v>Zawór zwrotny</v>
      </c>
      <c r="R1385" s="732" t="str">
        <f>CONCATENATE('DICTIONARY-3'!$A$103," ",'DICTIONARY-6'!$A$20," ",'DICTIONARY-2'!$A$2,"40"," ",'DICTIONARY-2'!$A$3,"10/16"," ","R16",", ",'DICTIONARY-5'!$A$44)</f>
        <v>ZETKA Zaw. zwrotny DN40 PN10/16 R16, EPDM</v>
      </c>
      <c r="S1385" s="733"/>
      <c r="T1385" s="732"/>
      <c r="U1385" s="734" t="s">
        <v>5758</v>
      </c>
      <c r="V1385" s="735">
        <v>16</v>
      </c>
      <c r="W1385" s="736"/>
      <c r="X1385" s="737"/>
      <c r="Y1385" s="738"/>
      <c r="Z1385" s="739"/>
      <c r="AA1385" s="739"/>
      <c r="AB1385" s="740">
        <v>16</v>
      </c>
      <c r="AC1385" s="733" t="str">
        <f>'DICTIONARY-5'!$A$11&amp;" 16"</f>
        <v>EN 558 szereg 16</v>
      </c>
      <c r="AD1385" s="741" t="str">
        <f>'DICTIONARY-5'!$A$13</f>
        <v>woda pitna</v>
      </c>
      <c r="AE1385" s="742">
        <v>70</v>
      </c>
      <c r="AF1385" s="743">
        <v>1</v>
      </c>
      <c r="AG1385" s="741" t="str">
        <f>'DICTIONARY-5'!$A$23</f>
        <v>powłoka epoksydowa</v>
      </c>
    </row>
    <row r="1386" spans="1:33" x14ac:dyDescent="0.25">
      <c r="A1386" s="861" t="s">
        <v>1392</v>
      </c>
      <c r="B1386" s="861" t="s">
        <v>4305</v>
      </c>
      <c r="C1386" s="836">
        <v>80</v>
      </c>
      <c r="D1386" s="836"/>
      <c r="E1386" s="836"/>
      <c r="F1386" s="836"/>
      <c r="G1386" s="496" t="s">
        <v>7828</v>
      </c>
      <c r="H1386" s="797" t="str">
        <f>VLOOKUP(G1386,SETTINGS!$B$7:$D$97,2,0)</f>
        <v>ZETKA</v>
      </c>
      <c r="I1386" s="796">
        <f>VLOOKUP(G1386,SETTINGS!$B$7:$D$97,3,0)</f>
        <v>0</v>
      </c>
      <c r="J1386" s="670" t="str">
        <f>IFERROR(IF(CURRENCY.FORMAT_1=0,CONCATENATE(TEXT(FIXED(ROUND((C1386/EXC.RATE_1),CURRENCY.FORMAT_1),CURRENCY.FORMAT_1,1),"# ##0;-# ##0"),",-"),FIXED(ROUND((C1386/EXC.RATE_1),CURRENCY.FORMAT_1),CURRENCY.FORMAT_1,0)),'DICTIONARY-5'!$A$2)</f>
        <v>80,-</v>
      </c>
      <c r="K1386" s="670" t="str">
        <f>IF(EXC.RATE_2=0,"",IFERROR(IF(CURRENCY.FORMAT_2=0,CONCATENATE(TEXT(FIXED(ROUND(IF(EXC.RATE.SWITCH=1,C1386/EXC.RATE_2,C1386*EXC.RATE_2),CURRENCY.FORMAT_2),CURRENCY.FORMAT_2,1),"# ##0;-# ##0"),",-"),FIXED(ROUND(IF(EXC.RATE.SWITCH=1,C1386/EXC.RATE_2,C1386*EXC.RATE_2),CURRENCY.FORMAT_2),CURRENCY.FORMAT_2,0)),'DICTIONARY-5'!$A$2))</f>
        <v/>
      </c>
      <c r="L1386" s="670" t="str">
        <f>IFERROR(IF(CURRENCY.FORMAT_1=0,CONCATENATE(TEXT(FIXED(ROUND((C1386*(1-I1386)*(1-ADD.DISCOUNT)*(1+MAT.SURCHARGE)/EXC.RATE_1),CURRENCY.FORMAT_1),CURRENCY.FORMAT_1,1),"# ##0;-# ##0"),",-"),FIXED(ROUND((C1386*(1-I1386)*(1-ADD.DISCOUNT)*(1+MAT.SURCHARGE)/EXC.RATE_1),CURRENCY.FORMAT_1),CURRENCY.FORMAT_1,0)),'DICTIONARY-5'!$A$2)</f>
        <v>83,-</v>
      </c>
      <c r="M1386" s="670" t="str">
        <f>IF(EXC.RATE_2=0,"",IFERROR(IF(CURRENCY.FORMAT_2=0,CONCATENATE(TEXT(FIXED(ROUND(IF(EXC.RATE.SWITCH=1,C1386*(1-I1386)*(1-ADD.DISCOUNT)*(1+MAT.SURCHARGE)/EXC.RATE_2,C1386*(1-I1386)*(1-ADD.DISCOUNT)*(1+MAT.SURCHARGE)*EXC.RATE_2),CURRENCY.FORMAT_2),CURRENCY.FORMAT_2,1),"# ##0;-# ##0"),",-"),FIXED(ROUND(IF(EXC.RATE.SWITCH=1,C1386*(1-I1386)*(1-ADD.DISCOUNT)*(1+MAT.SURCHARGE)/EXC.RATE_2,C1386*(1-I1386)*(1-ADD.DISCOUNT)*(1+MAT.SURCHARGE)*EXC.RATE_2),CURRENCY.FORMAT_2),CURRENCY.FORMAT_2,0)),'DICTIONARY-5'!$A$2))</f>
        <v/>
      </c>
      <c r="N1386" s="539">
        <v>5</v>
      </c>
      <c r="O1386" s="539"/>
      <c r="P1386" s="731" t="str">
        <f>'DICTIONARY-3'!$A$103</f>
        <v>ZETKA</v>
      </c>
      <c r="Q1386" s="732" t="str">
        <f>'DICTIONARY-3'!$A$200</f>
        <v>Zawór zwrotny</v>
      </c>
      <c r="R1386" s="732" t="str">
        <f>CONCATENATE('DICTIONARY-3'!$A$103," ",'DICTIONARY-6'!$A$20," ",'DICTIONARY-2'!$A$2,"50"," ",'DICTIONARY-2'!$A$3,"10/16"," ","R16",", ",'DICTIONARY-5'!$A$44)</f>
        <v>ZETKA Zaw. zwrotny DN50 PN10/16 R16, EPDM</v>
      </c>
      <c r="S1386" s="733"/>
      <c r="T1386" s="732"/>
      <c r="U1386" s="734" t="s">
        <v>5748</v>
      </c>
      <c r="V1386" s="735">
        <v>16</v>
      </c>
      <c r="W1386" s="736"/>
      <c r="X1386" s="737"/>
      <c r="Y1386" s="738"/>
      <c r="Z1386" s="739"/>
      <c r="AA1386" s="739"/>
      <c r="AB1386" s="740">
        <v>16</v>
      </c>
      <c r="AC1386" s="741" t="str">
        <f>'DICTIONARY-5'!$A$11&amp;" 16"</f>
        <v>EN 558 szereg 16</v>
      </c>
      <c r="AD1386" s="741" t="str">
        <f>'DICTIONARY-5'!$A$13</f>
        <v>woda pitna</v>
      </c>
      <c r="AE1386" s="742">
        <v>70</v>
      </c>
      <c r="AF1386" s="743">
        <v>2.5</v>
      </c>
      <c r="AG1386" s="741" t="str">
        <f>'DICTIONARY-5'!$A$23</f>
        <v>powłoka epoksydowa</v>
      </c>
    </row>
    <row r="1387" spans="1:33" x14ac:dyDescent="0.25">
      <c r="A1387" s="861" t="s">
        <v>1394</v>
      </c>
      <c r="B1387" s="861" t="s">
        <v>4306</v>
      </c>
      <c r="C1387" s="836">
        <v>88</v>
      </c>
      <c r="D1387" s="836"/>
      <c r="E1387" s="836"/>
      <c r="F1387" s="836"/>
      <c r="G1387" s="496" t="s">
        <v>7828</v>
      </c>
      <c r="H1387" s="797" t="str">
        <f>VLOOKUP(G1387,SETTINGS!$B$7:$D$97,2,0)</f>
        <v>ZETKA</v>
      </c>
      <c r="I1387" s="796">
        <f>VLOOKUP(G1387,SETTINGS!$B$7:$D$97,3,0)</f>
        <v>0</v>
      </c>
      <c r="J1387" s="670" t="str">
        <f>IFERROR(IF(CURRENCY.FORMAT_1=0,CONCATENATE(TEXT(FIXED(ROUND((C1387/EXC.RATE_1),CURRENCY.FORMAT_1),CURRENCY.FORMAT_1,1),"# ##0;-# ##0"),",-"),FIXED(ROUND((C1387/EXC.RATE_1),CURRENCY.FORMAT_1),CURRENCY.FORMAT_1,0)),'DICTIONARY-5'!$A$2)</f>
        <v>88,-</v>
      </c>
      <c r="K1387" s="670" t="str">
        <f>IF(EXC.RATE_2=0,"",IFERROR(IF(CURRENCY.FORMAT_2=0,CONCATENATE(TEXT(FIXED(ROUND(IF(EXC.RATE.SWITCH=1,C1387/EXC.RATE_2,C1387*EXC.RATE_2),CURRENCY.FORMAT_2),CURRENCY.FORMAT_2,1),"# ##0;-# ##0"),",-"),FIXED(ROUND(IF(EXC.RATE.SWITCH=1,C1387/EXC.RATE_2,C1387*EXC.RATE_2),CURRENCY.FORMAT_2),CURRENCY.FORMAT_2,0)),'DICTIONARY-5'!$A$2))</f>
        <v/>
      </c>
      <c r="L1387" s="670" t="str">
        <f>IFERROR(IF(CURRENCY.FORMAT_1=0,CONCATENATE(TEXT(FIXED(ROUND((C1387*(1-I1387)*(1-ADD.DISCOUNT)*(1+MAT.SURCHARGE)/EXC.RATE_1),CURRENCY.FORMAT_1),CURRENCY.FORMAT_1,1),"# ##0;-# ##0"),",-"),FIXED(ROUND((C1387*(1-I1387)*(1-ADD.DISCOUNT)*(1+MAT.SURCHARGE)/EXC.RATE_1),CURRENCY.FORMAT_1),CURRENCY.FORMAT_1,0)),'DICTIONARY-5'!$A$2)</f>
        <v>91,-</v>
      </c>
      <c r="M1387" s="670" t="str">
        <f>IF(EXC.RATE_2=0,"",IFERROR(IF(CURRENCY.FORMAT_2=0,CONCATENATE(TEXT(FIXED(ROUND(IF(EXC.RATE.SWITCH=1,C1387*(1-I1387)*(1-ADD.DISCOUNT)*(1+MAT.SURCHARGE)/EXC.RATE_2,C1387*(1-I1387)*(1-ADD.DISCOUNT)*(1+MAT.SURCHARGE)*EXC.RATE_2),CURRENCY.FORMAT_2),CURRENCY.FORMAT_2,1),"# ##0;-# ##0"),",-"),FIXED(ROUND(IF(EXC.RATE.SWITCH=1,C1387*(1-I1387)*(1-ADD.DISCOUNT)*(1+MAT.SURCHARGE)/EXC.RATE_2,C1387*(1-I1387)*(1-ADD.DISCOUNT)*(1+MAT.SURCHARGE)*EXC.RATE_2),CURRENCY.FORMAT_2),CURRENCY.FORMAT_2,0)),'DICTIONARY-5'!$A$2))</f>
        <v/>
      </c>
      <c r="N1387" s="539">
        <v>5</v>
      </c>
      <c r="O1387" s="539"/>
      <c r="P1387" s="731" t="str">
        <f>'DICTIONARY-3'!$A$103</f>
        <v>ZETKA</v>
      </c>
      <c r="Q1387" s="732" t="str">
        <f>'DICTIONARY-3'!$A$200</f>
        <v>Zawór zwrotny</v>
      </c>
      <c r="R1387" s="732" t="str">
        <f>CONCATENATE('DICTIONARY-3'!$A$103," ",'DICTIONARY-6'!$A$20," ",'DICTIONARY-2'!$A$2,"65"," ",'DICTIONARY-2'!$A$3,"10/16"," ","R16",", ",'DICTIONARY-5'!$A$44)</f>
        <v>ZETKA Zaw. zwrotny DN65 PN10/16 R16, EPDM</v>
      </c>
      <c r="S1387" s="733"/>
      <c r="T1387" s="732"/>
      <c r="U1387" s="734" t="s">
        <v>5759</v>
      </c>
      <c r="V1387" s="735">
        <v>16</v>
      </c>
      <c r="W1387" s="736"/>
      <c r="X1387" s="737"/>
      <c r="Y1387" s="738"/>
      <c r="Z1387" s="739"/>
      <c r="AA1387" s="739"/>
      <c r="AB1387" s="740">
        <v>16</v>
      </c>
      <c r="AC1387" s="741" t="str">
        <f>'DICTIONARY-5'!$A$11&amp;" 16"</f>
        <v>EN 558 szereg 16</v>
      </c>
      <c r="AD1387" s="741" t="str">
        <f>'DICTIONARY-5'!$A$13</f>
        <v>woda pitna</v>
      </c>
      <c r="AE1387" s="742">
        <v>70</v>
      </c>
      <c r="AF1387" s="743">
        <v>2.4</v>
      </c>
      <c r="AG1387" s="741" t="str">
        <f>'DICTIONARY-5'!$A$23</f>
        <v>powłoka epoksydowa</v>
      </c>
    </row>
    <row r="1388" spans="1:33" x14ac:dyDescent="0.25">
      <c r="A1388" s="861" t="s">
        <v>1396</v>
      </c>
      <c r="B1388" s="861" t="s">
        <v>4307</v>
      </c>
      <c r="C1388" s="836">
        <v>113</v>
      </c>
      <c r="D1388" s="836"/>
      <c r="E1388" s="836"/>
      <c r="F1388" s="836"/>
      <c r="G1388" s="496" t="s">
        <v>7828</v>
      </c>
      <c r="H1388" s="797" t="str">
        <f>VLOOKUP(G1388,SETTINGS!$B$7:$D$97,2,0)</f>
        <v>ZETKA</v>
      </c>
      <c r="I1388" s="796">
        <f>VLOOKUP(G1388,SETTINGS!$B$7:$D$97,3,0)</f>
        <v>0</v>
      </c>
      <c r="J1388" s="670" t="str">
        <f>IFERROR(IF(CURRENCY.FORMAT_1=0,CONCATENATE(TEXT(FIXED(ROUND((C1388/EXC.RATE_1),CURRENCY.FORMAT_1),CURRENCY.FORMAT_1,1),"# ##0;-# ##0"),",-"),FIXED(ROUND((C1388/EXC.RATE_1),CURRENCY.FORMAT_1),CURRENCY.FORMAT_1,0)),'DICTIONARY-5'!$A$2)</f>
        <v>113,-</v>
      </c>
      <c r="K1388" s="670" t="str">
        <f>IF(EXC.RATE_2=0,"",IFERROR(IF(CURRENCY.FORMAT_2=0,CONCATENATE(TEXT(FIXED(ROUND(IF(EXC.RATE.SWITCH=1,C1388/EXC.RATE_2,C1388*EXC.RATE_2),CURRENCY.FORMAT_2),CURRENCY.FORMAT_2,1),"# ##0;-# ##0"),",-"),FIXED(ROUND(IF(EXC.RATE.SWITCH=1,C1388/EXC.RATE_2,C1388*EXC.RATE_2),CURRENCY.FORMAT_2),CURRENCY.FORMAT_2,0)),'DICTIONARY-5'!$A$2))</f>
        <v/>
      </c>
      <c r="L1388" s="670" t="str">
        <f>IFERROR(IF(CURRENCY.FORMAT_1=0,CONCATENATE(TEXT(FIXED(ROUND((C1388*(1-I1388)*(1-ADD.DISCOUNT)*(1+MAT.SURCHARGE)/EXC.RATE_1),CURRENCY.FORMAT_1),CURRENCY.FORMAT_1,1),"# ##0;-# ##0"),",-"),FIXED(ROUND((C1388*(1-I1388)*(1-ADD.DISCOUNT)*(1+MAT.SURCHARGE)/EXC.RATE_1),CURRENCY.FORMAT_1),CURRENCY.FORMAT_1,0)),'DICTIONARY-5'!$A$2)</f>
        <v>117,-</v>
      </c>
      <c r="M1388" s="670" t="str">
        <f>IF(EXC.RATE_2=0,"",IFERROR(IF(CURRENCY.FORMAT_2=0,CONCATENATE(TEXT(FIXED(ROUND(IF(EXC.RATE.SWITCH=1,C1388*(1-I1388)*(1-ADD.DISCOUNT)*(1+MAT.SURCHARGE)/EXC.RATE_2,C1388*(1-I1388)*(1-ADD.DISCOUNT)*(1+MAT.SURCHARGE)*EXC.RATE_2),CURRENCY.FORMAT_2),CURRENCY.FORMAT_2,1),"# ##0;-# ##0"),",-"),FIXED(ROUND(IF(EXC.RATE.SWITCH=1,C1388*(1-I1388)*(1-ADD.DISCOUNT)*(1+MAT.SURCHARGE)/EXC.RATE_2,C1388*(1-I1388)*(1-ADD.DISCOUNT)*(1+MAT.SURCHARGE)*EXC.RATE_2),CURRENCY.FORMAT_2),CURRENCY.FORMAT_2,0)),'DICTIONARY-5'!$A$2))</f>
        <v/>
      </c>
      <c r="N1388" s="539">
        <v>5</v>
      </c>
      <c r="O1388" s="539"/>
      <c r="P1388" s="731" t="str">
        <f>'DICTIONARY-3'!$A$103</f>
        <v>ZETKA</v>
      </c>
      <c r="Q1388" s="732" t="str">
        <f>'DICTIONARY-3'!$A$200</f>
        <v>Zawór zwrotny</v>
      </c>
      <c r="R1388" s="732" t="str">
        <f>CONCATENATE('DICTIONARY-3'!$A$103," ",'DICTIONARY-6'!$A$20," ",'DICTIONARY-2'!$A$2,"80"," ",'DICTIONARY-2'!$A$3,"10/16"," ","R16",", ",'DICTIONARY-5'!$A$44)</f>
        <v>ZETKA Zaw. zwrotny DN80 PN10/16 R16, EPDM</v>
      </c>
      <c r="S1388" s="733"/>
      <c r="T1388" s="732"/>
      <c r="U1388" s="734" t="s">
        <v>5760</v>
      </c>
      <c r="V1388" s="735">
        <v>16</v>
      </c>
      <c r="W1388" s="736"/>
      <c r="X1388" s="737"/>
      <c r="Y1388" s="738"/>
      <c r="Z1388" s="739"/>
      <c r="AA1388" s="739"/>
      <c r="AB1388" s="740">
        <v>16</v>
      </c>
      <c r="AC1388" s="733" t="str">
        <f>'DICTIONARY-5'!$A$11&amp;" 16"</f>
        <v>EN 558 szereg 16</v>
      </c>
      <c r="AD1388" s="741" t="str">
        <f>'DICTIONARY-5'!$A$13</f>
        <v>woda pitna</v>
      </c>
      <c r="AE1388" s="742">
        <v>70</v>
      </c>
      <c r="AF1388" s="743">
        <v>4</v>
      </c>
      <c r="AG1388" s="741" t="str">
        <f>'DICTIONARY-5'!$A$23</f>
        <v>powłoka epoksydowa</v>
      </c>
    </row>
    <row r="1389" spans="1:33" x14ac:dyDescent="0.25">
      <c r="A1389" s="861" t="s">
        <v>1398</v>
      </c>
      <c r="B1389" s="861" t="s">
        <v>4308</v>
      </c>
      <c r="C1389" s="836">
        <v>124</v>
      </c>
      <c r="D1389" s="836"/>
      <c r="E1389" s="836"/>
      <c r="F1389" s="836"/>
      <c r="G1389" s="496" t="s">
        <v>7828</v>
      </c>
      <c r="H1389" s="797" t="str">
        <f>VLOOKUP(G1389,SETTINGS!$B$7:$D$97,2,0)</f>
        <v>ZETKA</v>
      </c>
      <c r="I1389" s="796">
        <f>VLOOKUP(G1389,SETTINGS!$B$7:$D$97,3,0)</f>
        <v>0</v>
      </c>
      <c r="J1389" s="670" t="str">
        <f>IFERROR(IF(CURRENCY.FORMAT_1=0,CONCATENATE(TEXT(FIXED(ROUND((C1389/EXC.RATE_1),CURRENCY.FORMAT_1),CURRENCY.FORMAT_1,1),"# ##0;-# ##0"),",-"),FIXED(ROUND((C1389/EXC.RATE_1),CURRENCY.FORMAT_1),CURRENCY.FORMAT_1,0)),'DICTIONARY-5'!$A$2)</f>
        <v>124,-</v>
      </c>
      <c r="K1389" s="670" t="str">
        <f>IF(EXC.RATE_2=0,"",IFERROR(IF(CURRENCY.FORMAT_2=0,CONCATENATE(TEXT(FIXED(ROUND(IF(EXC.RATE.SWITCH=1,C1389/EXC.RATE_2,C1389*EXC.RATE_2),CURRENCY.FORMAT_2),CURRENCY.FORMAT_2,1),"# ##0;-# ##0"),",-"),FIXED(ROUND(IF(EXC.RATE.SWITCH=1,C1389/EXC.RATE_2,C1389*EXC.RATE_2),CURRENCY.FORMAT_2),CURRENCY.FORMAT_2,0)),'DICTIONARY-5'!$A$2))</f>
        <v/>
      </c>
      <c r="L1389" s="670" t="str">
        <f>IFERROR(IF(CURRENCY.FORMAT_1=0,CONCATENATE(TEXT(FIXED(ROUND((C1389*(1-I1389)*(1-ADD.DISCOUNT)*(1+MAT.SURCHARGE)/EXC.RATE_1),CURRENCY.FORMAT_1),CURRENCY.FORMAT_1,1),"# ##0;-# ##0"),",-"),FIXED(ROUND((C1389*(1-I1389)*(1-ADD.DISCOUNT)*(1+MAT.SURCHARGE)/EXC.RATE_1),CURRENCY.FORMAT_1),CURRENCY.FORMAT_1,0)),'DICTIONARY-5'!$A$2)</f>
        <v>129,-</v>
      </c>
      <c r="M1389" s="670" t="str">
        <f>IF(EXC.RATE_2=0,"",IFERROR(IF(CURRENCY.FORMAT_2=0,CONCATENATE(TEXT(FIXED(ROUND(IF(EXC.RATE.SWITCH=1,C1389*(1-I1389)*(1-ADD.DISCOUNT)*(1+MAT.SURCHARGE)/EXC.RATE_2,C1389*(1-I1389)*(1-ADD.DISCOUNT)*(1+MAT.SURCHARGE)*EXC.RATE_2),CURRENCY.FORMAT_2),CURRENCY.FORMAT_2,1),"# ##0;-# ##0"),",-"),FIXED(ROUND(IF(EXC.RATE.SWITCH=1,C1389*(1-I1389)*(1-ADD.DISCOUNT)*(1+MAT.SURCHARGE)/EXC.RATE_2,C1389*(1-I1389)*(1-ADD.DISCOUNT)*(1+MAT.SURCHARGE)*EXC.RATE_2),CURRENCY.FORMAT_2),CURRENCY.FORMAT_2,0)),'DICTIONARY-5'!$A$2))</f>
        <v/>
      </c>
      <c r="N1389" s="539">
        <v>5</v>
      </c>
      <c r="O1389" s="539"/>
      <c r="P1389" s="731" t="str">
        <f>'DICTIONARY-3'!$A$103</f>
        <v>ZETKA</v>
      </c>
      <c r="Q1389" s="732" t="str">
        <f>'DICTIONARY-3'!$A$200</f>
        <v>Zawór zwrotny</v>
      </c>
      <c r="R1389" s="732" t="str">
        <f>CONCATENATE('DICTIONARY-3'!$A$103," ",'DICTIONARY-6'!$A$20," ",'DICTIONARY-2'!$A$2,"100"," ",'DICTIONARY-2'!$A$3,"10/16"," ","R16",", ",'DICTIONARY-5'!$A$44)</f>
        <v>ZETKA Zaw. zwrotny DN100 PN10/16 R16, EPDM</v>
      </c>
      <c r="S1389" s="733"/>
      <c r="T1389" s="732"/>
      <c r="U1389" s="734" t="s">
        <v>5749</v>
      </c>
      <c r="V1389" s="735">
        <v>16</v>
      </c>
      <c r="W1389" s="736"/>
      <c r="X1389" s="737"/>
      <c r="Y1389" s="738"/>
      <c r="Z1389" s="739"/>
      <c r="AA1389" s="739"/>
      <c r="AB1389" s="740">
        <v>16</v>
      </c>
      <c r="AC1389" s="741" t="str">
        <f>'DICTIONARY-5'!$A$11&amp;" 16"</f>
        <v>EN 558 szereg 16</v>
      </c>
      <c r="AD1389" s="741" t="str">
        <f>'DICTIONARY-5'!$A$13</f>
        <v>woda pitna</v>
      </c>
      <c r="AE1389" s="742">
        <v>70</v>
      </c>
      <c r="AF1389" s="743">
        <v>5</v>
      </c>
      <c r="AG1389" s="741" t="str">
        <f>'DICTIONARY-5'!$A$23</f>
        <v>powłoka epoksydowa</v>
      </c>
    </row>
    <row r="1390" spans="1:33" x14ac:dyDescent="0.25">
      <c r="A1390" s="861" t="s">
        <v>1400</v>
      </c>
      <c r="B1390" s="861" t="s">
        <v>4309</v>
      </c>
      <c r="C1390" s="836">
        <v>169</v>
      </c>
      <c r="D1390" s="836"/>
      <c r="E1390" s="836"/>
      <c r="F1390" s="836"/>
      <c r="G1390" s="496" t="s">
        <v>7828</v>
      </c>
      <c r="H1390" s="797" t="str">
        <f>VLOOKUP(G1390,SETTINGS!$B$7:$D$97,2,0)</f>
        <v>ZETKA</v>
      </c>
      <c r="I1390" s="796">
        <f>VLOOKUP(G1390,SETTINGS!$B$7:$D$97,3,0)</f>
        <v>0</v>
      </c>
      <c r="J1390" s="670" t="str">
        <f>IFERROR(IF(CURRENCY.FORMAT_1=0,CONCATENATE(TEXT(FIXED(ROUND((C1390/EXC.RATE_1),CURRENCY.FORMAT_1),CURRENCY.FORMAT_1,1),"# ##0;-# ##0"),",-"),FIXED(ROUND((C1390/EXC.RATE_1),CURRENCY.FORMAT_1),CURRENCY.FORMAT_1,0)),'DICTIONARY-5'!$A$2)</f>
        <v>169,-</v>
      </c>
      <c r="K1390" s="670" t="str">
        <f>IF(EXC.RATE_2=0,"",IFERROR(IF(CURRENCY.FORMAT_2=0,CONCATENATE(TEXT(FIXED(ROUND(IF(EXC.RATE.SWITCH=1,C1390/EXC.RATE_2,C1390*EXC.RATE_2),CURRENCY.FORMAT_2),CURRENCY.FORMAT_2,1),"# ##0;-# ##0"),",-"),FIXED(ROUND(IF(EXC.RATE.SWITCH=1,C1390/EXC.RATE_2,C1390*EXC.RATE_2),CURRENCY.FORMAT_2),CURRENCY.FORMAT_2,0)),'DICTIONARY-5'!$A$2))</f>
        <v/>
      </c>
      <c r="L1390" s="670" t="str">
        <f>IFERROR(IF(CURRENCY.FORMAT_1=0,CONCATENATE(TEXT(FIXED(ROUND((C1390*(1-I1390)*(1-ADD.DISCOUNT)*(1+MAT.SURCHARGE)/EXC.RATE_1),CURRENCY.FORMAT_1),CURRENCY.FORMAT_1,1),"# ##0;-# ##0"),",-"),FIXED(ROUND((C1390*(1-I1390)*(1-ADD.DISCOUNT)*(1+MAT.SURCHARGE)/EXC.RATE_1),CURRENCY.FORMAT_1),CURRENCY.FORMAT_1,0)),'DICTIONARY-5'!$A$2)</f>
        <v>176,-</v>
      </c>
      <c r="M1390" s="670" t="str">
        <f>IF(EXC.RATE_2=0,"",IFERROR(IF(CURRENCY.FORMAT_2=0,CONCATENATE(TEXT(FIXED(ROUND(IF(EXC.RATE.SWITCH=1,C1390*(1-I1390)*(1-ADD.DISCOUNT)*(1+MAT.SURCHARGE)/EXC.RATE_2,C1390*(1-I1390)*(1-ADD.DISCOUNT)*(1+MAT.SURCHARGE)*EXC.RATE_2),CURRENCY.FORMAT_2),CURRENCY.FORMAT_2,1),"# ##0;-# ##0"),",-"),FIXED(ROUND(IF(EXC.RATE.SWITCH=1,C1390*(1-I1390)*(1-ADD.DISCOUNT)*(1+MAT.SURCHARGE)/EXC.RATE_2,C1390*(1-I1390)*(1-ADD.DISCOUNT)*(1+MAT.SURCHARGE)*EXC.RATE_2),CURRENCY.FORMAT_2),CURRENCY.FORMAT_2,0)),'DICTIONARY-5'!$A$2))</f>
        <v/>
      </c>
      <c r="N1390" s="539">
        <v>5</v>
      </c>
      <c r="O1390" s="539"/>
      <c r="P1390" s="731" t="str">
        <f>'DICTIONARY-3'!$A$103</f>
        <v>ZETKA</v>
      </c>
      <c r="Q1390" s="732" t="str">
        <f>'DICTIONARY-3'!$A$200</f>
        <v>Zawór zwrotny</v>
      </c>
      <c r="R1390" s="732" t="str">
        <f>CONCATENATE('DICTIONARY-3'!$A$103," ",'DICTIONARY-6'!$A$20," ",'DICTIONARY-2'!$A$2,"125"," ",'DICTIONARY-2'!$A$3,"10/16"," ","R16",", ",'DICTIONARY-5'!$A$44)</f>
        <v>ZETKA Zaw. zwrotny DN125 PN10/16 R16, EPDM</v>
      </c>
      <c r="S1390" s="733"/>
      <c r="T1390" s="732"/>
      <c r="U1390" s="734" t="s">
        <v>5761</v>
      </c>
      <c r="V1390" s="735">
        <v>16</v>
      </c>
      <c r="W1390" s="736"/>
      <c r="X1390" s="737"/>
      <c r="Y1390" s="738"/>
      <c r="Z1390" s="739"/>
      <c r="AA1390" s="739"/>
      <c r="AB1390" s="740">
        <v>16</v>
      </c>
      <c r="AC1390" s="741" t="str">
        <f>'DICTIONARY-5'!$A$11&amp;" 16"</f>
        <v>EN 558 szereg 16</v>
      </c>
      <c r="AD1390" s="741" t="str">
        <f>'DICTIONARY-5'!$A$13</f>
        <v>woda pitna</v>
      </c>
      <c r="AE1390" s="742">
        <v>70</v>
      </c>
      <c r="AF1390" s="743">
        <v>7</v>
      </c>
      <c r="AG1390" s="741" t="str">
        <f>'DICTIONARY-5'!$A$23</f>
        <v>powłoka epoksydowa</v>
      </c>
    </row>
    <row r="1391" spans="1:33" x14ac:dyDescent="0.25">
      <c r="A1391" s="861" t="s">
        <v>1402</v>
      </c>
      <c r="B1391" s="861" t="s">
        <v>4310</v>
      </c>
      <c r="C1391" s="836">
        <v>188</v>
      </c>
      <c r="D1391" s="836"/>
      <c r="E1391" s="836"/>
      <c r="F1391" s="836"/>
      <c r="G1391" s="496" t="s">
        <v>7828</v>
      </c>
      <c r="H1391" s="797" t="str">
        <f>VLOOKUP(G1391,SETTINGS!$B$7:$D$97,2,0)</f>
        <v>ZETKA</v>
      </c>
      <c r="I1391" s="796">
        <f>VLOOKUP(G1391,SETTINGS!$B$7:$D$97,3,0)</f>
        <v>0</v>
      </c>
      <c r="J1391" s="670" t="str">
        <f>IFERROR(IF(CURRENCY.FORMAT_1=0,CONCATENATE(TEXT(FIXED(ROUND((C1391/EXC.RATE_1),CURRENCY.FORMAT_1),CURRENCY.FORMAT_1,1),"# ##0;-# ##0"),",-"),FIXED(ROUND((C1391/EXC.RATE_1),CURRENCY.FORMAT_1),CURRENCY.FORMAT_1,0)),'DICTIONARY-5'!$A$2)</f>
        <v>188,-</v>
      </c>
      <c r="K1391" s="670" t="str">
        <f>IF(EXC.RATE_2=0,"",IFERROR(IF(CURRENCY.FORMAT_2=0,CONCATENATE(TEXT(FIXED(ROUND(IF(EXC.RATE.SWITCH=1,C1391/EXC.RATE_2,C1391*EXC.RATE_2),CURRENCY.FORMAT_2),CURRENCY.FORMAT_2,1),"# ##0;-# ##0"),",-"),FIXED(ROUND(IF(EXC.RATE.SWITCH=1,C1391/EXC.RATE_2,C1391*EXC.RATE_2),CURRENCY.FORMAT_2),CURRENCY.FORMAT_2,0)),'DICTIONARY-5'!$A$2))</f>
        <v/>
      </c>
      <c r="L1391" s="670" t="str">
        <f>IFERROR(IF(CURRENCY.FORMAT_1=0,CONCATENATE(TEXT(FIXED(ROUND((C1391*(1-I1391)*(1-ADD.DISCOUNT)*(1+MAT.SURCHARGE)/EXC.RATE_1),CURRENCY.FORMAT_1),CURRENCY.FORMAT_1,1),"# ##0;-# ##0"),",-"),FIXED(ROUND((C1391*(1-I1391)*(1-ADD.DISCOUNT)*(1+MAT.SURCHARGE)/EXC.RATE_1),CURRENCY.FORMAT_1),CURRENCY.FORMAT_1,0)),'DICTIONARY-5'!$A$2)</f>
        <v>195,-</v>
      </c>
      <c r="M1391" s="670" t="str">
        <f>IF(EXC.RATE_2=0,"",IFERROR(IF(CURRENCY.FORMAT_2=0,CONCATENATE(TEXT(FIXED(ROUND(IF(EXC.RATE.SWITCH=1,C1391*(1-I1391)*(1-ADD.DISCOUNT)*(1+MAT.SURCHARGE)/EXC.RATE_2,C1391*(1-I1391)*(1-ADD.DISCOUNT)*(1+MAT.SURCHARGE)*EXC.RATE_2),CURRENCY.FORMAT_2),CURRENCY.FORMAT_2,1),"# ##0;-# ##0"),",-"),FIXED(ROUND(IF(EXC.RATE.SWITCH=1,C1391*(1-I1391)*(1-ADD.DISCOUNT)*(1+MAT.SURCHARGE)/EXC.RATE_2,C1391*(1-I1391)*(1-ADD.DISCOUNT)*(1+MAT.SURCHARGE)*EXC.RATE_2),CURRENCY.FORMAT_2),CURRENCY.FORMAT_2,0)),'DICTIONARY-5'!$A$2))</f>
        <v/>
      </c>
      <c r="N1391" s="539">
        <v>5</v>
      </c>
      <c r="O1391" s="539"/>
      <c r="P1391" s="731" t="str">
        <f>'DICTIONARY-3'!$A$103</f>
        <v>ZETKA</v>
      </c>
      <c r="Q1391" s="732" t="str">
        <f>'DICTIONARY-3'!$A$200</f>
        <v>Zawór zwrotny</v>
      </c>
      <c r="R1391" s="732" t="str">
        <f>CONCATENATE('DICTIONARY-3'!$A$103," ",'DICTIONARY-6'!$A$20," ",'DICTIONARY-2'!$A$2,"150"," ",'DICTIONARY-2'!$A$3,"10/16"," ","R16",", ",'DICTIONARY-5'!$A$44)</f>
        <v>ZETKA Zaw. zwrotny DN150 PN10/16 R16, EPDM</v>
      </c>
      <c r="S1391" s="733"/>
      <c r="T1391" s="732"/>
      <c r="U1391" s="734" t="s">
        <v>5572</v>
      </c>
      <c r="V1391" s="735">
        <v>16</v>
      </c>
      <c r="W1391" s="736"/>
      <c r="X1391" s="737"/>
      <c r="Y1391" s="738"/>
      <c r="Z1391" s="739"/>
      <c r="AA1391" s="739"/>
      <c r="AB1391" s="740">
        <v>16</v>
      </c>
      <c r="AC1391" s="741" t="str">
        <f>'DICTIONARY-5'!$A$11&amp;" 16"</f>
        <v>EN 558 szereg 16</v>
      </c>
      <c r="AD1391" s="741" t="str">
        <f>'DICTIONARY-5'!$A$13</f>
        <v>woda pitna</v>
      </c>
      <c r="AE1391" s="742">
        <v>70</v>
      </c>
      <c r="AF1391" s="743">
        <v>8.5</v>
      </c>
      <c r="AG1391" s="741" t="str">
        <f>'DICTIONARY-5'!$A$23</f>
        <v>powłoka epoksydowa</v>
      </c>
    </row>
    <row r="1392" spans="1:33" x14ac:dyDescent="0.25">
      <c r="A1392" s="861" t="s">
        <v>1404</v>
      </c>
      <c r="B1392" s="861" t="s">
        <v>4311</v>
      </c>
      <c r="C1392" s="836">
        <v>270</v>
      </c>
      <c r="D1392" s="836"/>
      <c r="E1392" s="836"/>
      <c r="F1392" s="836"/>
      <c r="G1392" s="496" t="s">
        <v>7828</v>
      </c>
      <c r="H1392" s="797" t="str">
        <f>VLOOKUP(G1392,SETTINGS!$B$7:$D$97,2,0)</f>
        <v>ZETKA</v>
      </c>
      <c r="I1392" s="796">
        <f>VLOOKUP(G1392,SETTINGS!$B$7:$D$97,3,0)</f>
        <v>0</v>
      </c>
      <c r="J1392" s="670" t="str">
        <f>IFERROR(IF(CURRENCY.FORMAT_1=0,CONCATENATE(TEXT(FIXED(ROUND((C1392/EXC.RATE_1),CURRENCY.FORMAT_1),CURRENCY.FORMAT_1,1),"# ##0;-# ##0"),",-"),FIXED(ROUND((C1392/EXC.RATE_1),CURRENCY.FORMAT_1),CURRENCY.FORMAT_1,0)),'DICTIONARY-5'!$A$2)</f>
        <v>270,-</v>
      </c>
      <c r="K1392" s="670" t="str">
        <f>IF(EXC.RATE_2=0,"",IFERROR(IF(CURRENCY.FORMAT_2=0,CONCATENATE(TEXT(FIXED(ROUND(IF(EXC.RATE.SWITCH=1,C1392/EXC.RATE_2,C1392*EXC.RATE_2),CURRENCY.FORMAT_2),CURRENCY.FORMAT_2,1),"# ##0;-# ##0"),",-"),FIXED(ROUND(IF(EXC.RATE.SWITCH=1,C1392/EXC.RATE_2,C1392*EXC.RATE_2),CURRENCY.FORMAT_2),CURRENCY.FORMAT_2,0)),'DICTIONARY-5'!$A$2))</f>
        <v/>
      </c>
      <c r="L1392" s="670" t="str">
        <f>IFERROR(IF(CURRENCY.FORMAT_1=0,CONCATENATE(TEXT(FIXED(ROUND((C1392*(1-I1392)*(1-ADD.DISCOUNT)*(1+MAT.SURCHARGE)/EXC.RATE_1),CURRENCY.FORMAT_1),CURRENCY.FORMAT_1,1),"# ##0;-# ##0"),",-"),FIXED(ROUND((C1392*(1-I1392)*(1-ADD.DISCOUNT)*(1+MAT.SURCHARGE)/EXC.RATE_1),CURRENCY.FORMAT_1),CURRENCY.FORMAT_1,0)),'DICTIONARY-5'!$A$2)</f>
        <v>281,-</v>
      </c>
      <c r="M1392" s="670" t="str">
        <f>IF(EXC.RATE_2=0,"",IFERROR(IF(CURRENCY.FORMAT_2=0,CONCATENATE(TEXT(FIXED(ROUND(IF(EXC.RATE.SWITCH=1,C1392*(1-I1392)*(1-ADD.DISCOUNT)*(1+MAT.SURCHARGE)/EXC.RATE_2,C1392*(1-I1392)*(1-ADD.DISCOUNT)*(1+MAT.SURCHARGE)*EXC.RATE_2),CURRENCY.FORMAT_2),CURRENCY.FORMAT_2,1),"# ##0;-# ##0"),",-"),FIXED(ROUND(IF(EXC.RATE.SWITCH=1,C1392*(1-I1392)*(1-ADD.DISCOUNT)*(1+MAT.SURCHARGE)/EXC.RATE_2,C1392*(1-I1392)*(1-ADD.DISCOUNT)*(1+MAT.SURCHARGE)*EXC.RATE_2),CURRENCY.FORMAT_2),CURRENCY.FORMAT_2,0)),'DICTIONARY-5'!$A$2))</f>
        <v/>
      </c>
      <c r="N1392" s="539">
        <v>5</v>
      </c>
      <c r="O1392" s="539"/>
      <c r="P1392" s="731" t="str">
        <f>'DICTIONARY-3'!$A$103</f>
        <v>ZETKA</v>
      </c>
      <c r="Q1392" s="732" t="str">
        <f>'DICTIONARY-3'!$A$200</f>
        <v>Zawór zwrotny</v>
      </c>
      <c r="R1392" s="732" t="str">
        <f>CONCATENATE('DICTIONARY-3'!$A$103," ",'DICTIONARY-6'!$A$20," ",'DICTIONARY-2'!$A$2,"200"," ",'DICTIONARY-2'!$A$3,"16"," ","R16",", ",'DICTIONARY-5'!$A$44)</f>
        <v>ZETKA Zaw. zwrotny DN200 PN16 R16, EPDM</v>
      </c>
      <c r="S1392" s="733"/>
      <c r="T1392" s="732"/>
      <c r="U1392" s="734" t="s">
        <v>5750</v>
      </c>
      <c r="V1392" s="735">
        <v>16</v>
      </c>
      <c r="W1392" s="736"/>
      <c r="X1392" s="737"/>
      <c r="Y1392" s="738"/>
      <c r="Z1392" s="739"/>
      <c r="AA1392" s="739"/>
      <c r="AB1392" s="740">
        <v>16</v>
      </c>
      <c r="AC1392" s="741" t="str">
        <f>'DICTIONARY-5'!$A$11&amp;" 16"</f>
        <v>EN 558 szereg 16</v>
      </c>
      <c r="AD1392" s="741" t="str">
        <f>'DICTIONARY-5'!$A$13</f>
        <v>woda pitna</v>
      </c>
      <c r="AE1392" s="742">
        <v>70</v>
      </c>
      <c r="AF1392" s="743">
        <v>15</v>
      </c>
      <c r="AG1392" s="741" t="str">
        <f>'DICTIONARY-5'!$A$23</f>
        <v>powłoka epoksydowa</v>
      </c>
    </row>
    <row r="1393" spans="1:33" x14ac:dyDescent="0.25">
      <c r="A1393" s="861" t="s">
        <v>1406</v>
      </c>
      <c r="B1393" s="861" t="s">
        <v>4312</v>
      </c>
      <c r="C1393" s="836">
        <v>507</v>
      </c>
      <c r="D1393" s="836"/>
      <c r="E1393" s="836"/>
      <c r="F1393" s="836"/>
      <c r="G1393" s="496" t="s">
        <v>7828</v>
      </c>
      <c r="H1393" s="797" t="str">
        <f>VLOOKUP(G1393,SETTINGS!$B$7:$D$97,2,0)</f>
        <v>ZETKA</v>
      </c>
      <c r="I1393" s="796">
        <f>VLOOKUP(G1393,SETTINGS!$B$7:$D$97,3,0)</f>
        <v>0</v>
      </c>
      <c r="J1393" s="670" t="str">
        <f>IFERROR(IF(CURRENCY.FORMAT_1=0,CONCATENATE(TEXT(FIXED(ROUND((C1393/EXC.RATE_1),CURRENCY.FORMAT_1),CURRENCY.FORMAT_1,1),"# ##0;-# ##0"),",-"),FIXED(ROUND((C1393/EXC.RATE_1),CURRENCY.FORMAT_1),CURRENCY.FORMAT_1,0)),'DICTIONARY-5'!$A$2)</f>
        <v>507,-</v>
      </c>
      <c r="K1393" s="670" t="str">
        <f>IF(EXC.RATE_2=0,"",IFERROR(IF(CURRENCY.FORMAT_2=0,CONCATENATE(TEXT(FIXED(ROUND(IF(EXC.RATE.SWITCH=1,C1393/EXC.RATE_2,C1393*EXC.RATE_2),CURRENCY.FORMAT_2),CURRENCY.FORMAT_2,1),"# ##0;-# ##0"),",-"),FIXED(ROUND(IF(EXC.RATE.SWITCH=1,C1393/EXC.RATE_2,C1393*EXC.RATE_2),CURRENCY.FORMAT_2),CURRENCY.FORMAT_2,0)),'DICTIONARY-5'!$A$2))</f>
        <v/>
      </c>
      <c r="L1393" s="670" t="str">
        <f>IFERROR(IF(CURRENCY.FORMAT_1=0,CONCATENATE(TEXT(FIXED(ROUND((C1393*(1-I1393)*(1-ADD.DISCOUNT)*(1+MAT.SURCHARGE)/EXC.RATE_1),CURRENCY.FORMAT_1),CURRENCY.FORMAT_1,1),"# ##0;-# ##0"),",-"),FIXED(ROUND((C1393*(1-I1393)*(1-ADD.DISCOUNT)*(1+MAT.SURCHARGE)/EXC.RATE_1),CURRENCY.FORMAT_1),CURRENCY.FORMAT_1,0)),'DICTIONARY-5'!$A$2)</f>
        <v>527,-</v>
      </c>
      <c r="M1393" s="670" t="str">
        <f>IF(EXC.RATE_2=0,"",IFERROR(IF(CURRENCY.FORMAT_2=0,CONCATENATE(TEXT(FIXED(ROUND(IF(EXC.RATE.SWITCH=1,C1393*(1-I1393)*(1-ADD.DISCOUNT)*(1+MAT.SURCHARGE)/EXC.RATE_2,C1393*(1-I1393)*(1-ADD.DISCOUNT)*(1+MAT.SURCHARGE)*EXC.RATE_2),CURRENCY.FORMAT_2),CURRENCY.FORMAT_2,1),"# ##0;-# ##0"),",-"),FIXED(ROUND(IF(EXC.RATE.SWITCH=1,C1393*(1-I1393)*(1-ADD.DISCOUNT)*(1+MAT.SURCHARGE)/EXC.RATE_2,C1393*(1-I1393)*(1-ADD.DISCOUNT)*(1+MAT.SURCHARGE)*EXC.RATE_2),CURRENCY.FORMAT_2),CURRENCY.FORMAT_2,0)),'DICTIONARY-5'!$A$2))</f>
        <v/>
      </c>
      <c r="N1393" s="539">
        <v>5</v>
      </c>
      <c r="O1393" s="539"/>
      <c r="P1393" s="731" t="str">
        <f>'DICTIONARY-3'!$A$103</f>
        <v>ZETKA</v>
      </c>
      <c r="Q1393" s="732" t="str">
        <f>'DICTIONARY-3'!$A$200</f>
        <v>Zawór zwrotny</v>
      </c>
      <c r="R1393" s="732" t="str">
        <f>CONCATENATE('DICTIONARY-3'!$A$103," ",'DICTIONARY-6'!$A$20," ",'DICTIONARY-2'!$A$2,"250"," ",'DICTIONARY-2'!$A$3,"16"," ","R16",", ",'DICTIONARY-5'!$A$44)</f>
        <v>ZETKA Zaw. zwrotny DN250 PN16 R16, EPDM</v>
      </c>
      <c r="S1393" s="733"/>
      <c r="T1393" s="732"/>
      <c r="U1393" s="734" t="s">
        <v>5751</v>
      </c>
      <c r="V1393" s="735">
        <v>16</v>
      </c>
      <c r="W1393" s="736"/>
      <c r="X1393" s="737"/>
      <c r="Y1393" s="738"/>
      <c r="Z1393" s="739"/>
      <c r="AA1393" s="739"/>
      <c r="AB1393" s="740">
        <v>16</v>
      </c>
      <c r="AC1393" s="741" t="str">
        <f>'DICTIONARY-5'!$A$11&amp;" 16"</f>
        <v>EN 558 szereg 16</v>
      </c>
      <c r="AD1393" s="741" t="str">
        <f>'DICTIONARY-5'!$A$13</f>
        <v>woda pitna</v>
      </c>
      <c r="AE1393" s="742">
        <v>70</v>
      </c>
      <c r="AF1393" s="743">
        <v>27</v>
      </c>
      <c r="AG1393" s="741" t="str">
        <f>'DICTIONARY-5'!$A$23</f>
        <v>powłoka epoksydowa</v>
      </c>
    </row>
    <row r="1394" spans="1:33" x14ac:dyDescent="0.25">
      <c r="A1394" s="861" t="s">
        <v>1408</v>
      </c>
      <c r="B1394" s="861" t="s">
        <v>4313</v>
      </c>
      <c r="C1394" s="836">
        <v>628</v>
      </c>
      <c r="D1394" s="836"/>
      <c r="E1394" s="836"/>
      <c r="F1394" s="836"/>
      <c r="G1394" s="496" t="s">
        <v>7828</v>
      </c>
      <c r="H1394" s="797" t="str">
        <f>VLOOKUP(G1394,SETTINGS!$B$7:$D$97,2,0)</f>
        <v>ZETKA</v>
      </c>
      <c r="I1394" s="796">
        <f>VLOOKUP(G1394,SETTINGS!$B$7:$D$97,3,0)</f>
        <v>0</v>
      </c>
      <c r="J1394" s="670" t="str">
        <f>IFERROR(IF(CURRENCY.FORMAT_1=0,CONCATENATE(TEXT(FIXED(ROUND((C1394/EXC.RATE_1),CURRENCY.FORMAT_1),CURRENCY.FORMAT_1,1),"# ##0;-# ##0"),",-"),FIXED(ROUND((C1394/EXC.RATE_1),CURRENCY.FORMAT_1),CURRENCY.FORMAT_1,0)),'DICTIONARY-5'!$A$2)</f>
        <v>628,-</v>
      </c>
      <c r="K1394" s="670" t="str">
        <f>IF(EXC.RATE_2=0,"",IFERROR(IF(CURRENCY.FORMAT_2=0,CONCATENATE(TEXT(FIXED(ROUND(IF(EXC.RATE.SWITCH=1,C1394/EXC.RATE_2,C1394*EXC.RATE_2),CURRENCY.FORMAT_2),CURRENCY.FORMAT_2,1),"# ##0;-# ##0"),",-"),FIXED(ROUND(IF(EXC.RATE.SWITCH=1,C1394/EXC.RATE_2,C1394*EXC.RATE_2),CURRENCY.FORMAT_2),CURRENCY.FORMAT_2,0)),'DICTIONARY-5'!$A$2))</f>
        <v/>
      </c>
      <c r="L1394" s="670" t="str">
        <f>IFERROR(IF(CURRENCY.FORMAT_1=0,CONCATENATE(TEXT(FIXED(ROUND((C1394*(1-I1394)*(1-ADD.DISCOUNT)*(1+MAT.SURCHARGE)/EXC.RATE_1),CURRENCY.FORMAT_1),CURRENCY.FORMAT_1,1),"# ##0;-# ##0"),",-"),FIXED(ROUND((C1394*(1-I1394)*(1-ADD.DISCOUNT)*(1+MAT.SURCHARGE)/EXC.RATE_1),CURRENCY.FORMAT_1),CURRENCY.FORMAT_1,0)),'DICTIONARY-5'!$A$2)</f>
        <v>652,-</v>
      </c>
      <c r="M1394" s="670" t="str">
        <f>IF(EXC.RATE_2=0,"",IFERROR(IF(CURRENCY.FORMAT_2=0,CONCATENATE(TEXT(FIXED(ROUND(IF(EXC.RATE.SWITCH=1,C1394*(1-I1394)*(1-ADD.DISCOUNT)*(1+MAT.SURCHARGE)/EXC.RATE_2,C1394*(1-I1394)*(1-ADD.DISCOUNT)*(1+MAT.SURCHARGE)*EXC.RATE_2),CURRENCY.FORMAT_2),CURRENCY.FORMAT_2,1),"# ##0;-# ##0"),",-"),FIXED(ROUND(IF(EXC.RATE.SWITCH=1,C1394*(1-I1394)*(1-ADD.DISCOUNT)*(1+MAT.SURCHARGE)/EXC.RATE_2,C1394*(1-I1394)*(1-ADD.DISCOUNT)*(1+MAT.SURCHARGE)*EXC.RATE_2),CURRENCY.FORMAT_2),CURRENCY.FORMAT_2,0)),'DICTIONARY-5'!$A$2))</f>
        <v/>
      </c>
      <c r="N1394" s="539">
        <v>5</v>
      </c>
      <c r="O1394" s="539"/>
      <c r="P1394" s="731" t="str">
        <f>'DICTIONARY-3'!$A$103</f>
        <v>ZETKA</v>
      </c>
      <c r="Q1394" s="732" t="str">
        <f>'DICTIONARY-3'!$A$200</f>
        <v>Zawór zwrotny</v>
      </c>
      <c r="R1394" s="732" t="str">
        <f>CONCATENATE('DICTIONARY-3'!$A$103," ",'DICTIONARY-6'!$A$20," ",'DICTIONARY-2'!$A$2,"300"," ",'DICTIONARY-2'!$A$3,"16"," ","R16",", ",'DICTIONARY-5'!$A$44)</f>
        <v>ZETKA Zaw. zwrotny DN300 PN16 R16, EPDM</v>
      </c>
      <c r="S1394" s="733"/>
      <c r="T1394" s="732"/>
      <c r="U1394" s="734" t="s">
        <v>5752</v>
      </c>
      <c r="V1394" s="735">
        <v>16</v>
      </c>
      <c r="W1394" s="736"/>
      <c r="X1394" s="737"/>
      <c r="Y1394" s="738"/>
      <c r="Z1394" s="739"/>
      <c r="AA1394" s="739"/>
      <c r="AB1394" s="740">
        <v>16</v>
      </c>
      <c r="AC1394" s="741" t="str">
        <f>'DICTIONARY-5'!$A$11&amp;" 16"</f>
        <v>EN 558 szereg 16</v>
      </c>
      <c r="AD1394" s="741" t="str">
        <f>'DICTIONARY-5'!$A$13</f>
        <v>woda pitna</v>
      </c>
      <c r="AE1394" s="742">
        <v>70</v>
      </c>
      <c r="AF1394" s="743">
        <v>38.5</v>
      </c>
      <c r="AG1394" s="741" t="str">
        <f>'DICTIONARY-5'!$A$23</f>
        <v>powłoka epoksydowa</v>
      </c>
    </row>
    <row r="1395" spans="1:33" x14ac:dyDescent="0.25">
      <c r="A1395" s="861" t="s">
        <v>1391</v>
      </c>
      <c r="B1395" s="861" t="s">
        <v>2857</v>
      </c>
      <c r="C1395" s="836">
        <v>15</v>
      </c>
      <c r="D1395" s="836"/>
      <c r="E1395" s="836"/>
      <c r="F1395" s="836"/>
      <c r="G1395" s="862" t="s">
        <v>8193</v>
      </c>
      <c r="H1395" s="797" t="str">
        <f>VLOOKUP(G1395,SETTINGS!$B$7:$D$97,2,0)</f>
        <v>SPARE PARTS</v>
      </c>
      <c r="I1395" s="796">
        <f>VLOOKUP(G1395,SETTINGS!$B$7:$D$97,3,0)</f>
        <v>0</v>
      </c>
      <c r="J1395" s="670" t="str">
        <f>IFERROR(IF(CURRENCY.FORMAT_1=0,CONCATENATE(TEXT(FIXED(ROUND((C1395/EXC.RATE_1),CURRENCY.FORMAT_1),CURRENCY.FORMAT_1,1),"# ##0;-# ##0"),",-"),FIXED(ROUND((C1395/EXC.RATE_1),CURRENCY.FORMAT_1),CURRENCY.FORMAT_1,0)),'DICTIONARY-5'!$A$2)</f>
        <v>15,-</v>
      </c>
      <c r="K1395" s="670" t="str">
        <f>IF(EXC.RATE_2=0,"",IFERROR(IF(CURRENCY.FORMAT_2=0,CONCATENATE(TEXT(FIXED(ROUND(IF(EXC.RATE.SWITCH=1,C1395/EXC.RATE_2,C1395*EXC.RATE_2),CURRENCY.FORMAT_2),CURRENCY.FORMAT_2,1),"# ##0;-# ##0"),",-"),FIXED(ROUND(IF(EXC.RATE.SWITCH=1,C1395/EXC.RATE_2,C1395*EXC.RATE_2),CURRENCY.FORMAT_2),CURRENCY.FORMAT_2,0)),'DICTIONARY-5'!$A$2))</f>
        <v/>
      </c>
      <c r="L1395" s="670" t="str">
        <f>IFERROR(IF(CURRENCY.FORMAT_1=0,CONCATENATE(TEXT(FIXED(ROUND((C1395*(1-I1395)*(1-ADD.DISCOUNT)*(1+MAT.SURCHARGE)/EXC.RATE_1),CURRENCY.FORMAT_1),CURRENCY.FORMAT_1,1),"# ##0;-# ##0"),",-"),FIXED(ROUND((C1395*(1-I1395)*(1-ADD.DISCOUNT)*(1+MAT.SURCHARGE)/EXC.RATE_1),CURRENCY.FORMAT_1),CURRENCY.FORMAT_1,0)),'DICTIONARY-5'!$A$2)</f>
        <v>16,-</v>
      </c>
      <c r="M1395" s="670" t="str">
        <f>IF(EXC.RATE_2=0,"",IFERROR(IF(CURRENCY.FORMAT_2=0,CONCATENATE(TEXT(FIXED(ROUND(IF(EXC.RATE.SWITCH=1,C1395*(1-I1395)*(1-ADD.DISCOUNT)*(1+MAT.SURCHARGE)/EXC.RATE_2,C1395*(1-I1395)*(1-ADD.DISCOUNT)*(1+MAT.SURCHARGE)*EXC.RATE_2),CURRENCY.FORMAT_2),CURRENCY.FORMAT_2,1),"# ##0;-# ##0"),",-"),FIXED(ROUND(IF(EXC.RATE.SWITCH=1,C1395*(1-I1395)*(1-ADD.DISCOUNT)*(1+MAT.SURCHARGE)/EXC.RATE_2,C1395*(1-I1395)*(1-ADD.DISCOUNT)*(1+MAT.SURCHARGE)*EXC.RATE_2),CURRENCY.FORMAT_2),CURRENCY.FORMAT_2,0)),'DICTIONARY-5'!$A$2))</f>
        <v/>
      </c>
      <c r="N1395" s="539">
        <v>5</v>
      </c>
      <c r="O1395" s="539"/>
      <c r="P1395" s="731" t="str">
        <f>'DICTIONARY-3'!$A$103</f>
        <v>ZETKA</v>
      </c>
      <c r="Q1395" s="732" t="str">
        <f>'DICTIONARY-3'!$A$232</f>
        <v>Dysk wymienny</v>
      </c>
      <c r="R1395" s="732" t="str">
        <f>CONCATENATE('DICTIONARY-3'!$A$103," ",'DICTIONARY-3'!$A$232," ",'DICTIONARY-2'!$A$2,"40",", ",'DICTIONARY-5'!$A$44)</f>
        <v>ZETKA Dysk wymienny DN40, EPDM</v>
      </c>
      <c r="S1395" s="733"/>
      <c r="T1395" s="732"/>
      <c r="U1395" s="734" t="s">
        <v>5758</v>
      </c>
      <c r="V1395" s="735">
        <v>16</v>
      </c>
      <c r="W1395" s="736"/>
      <c r="X1395" s="737"/>
      <c r="Y1395" s="738"/>
      <c r="Z1395" s="739"/>
      <c r="AA1395" s="739"/>
      <c r="AB1395" s="740">
        <v>16</v>
      </c>
      <c r="AC1395" s="741" t="s">
        <v>5569</v>
      </c>
      <c r="AD1395" s="741" t="str">
        <f>'DICTIONARY-5'!$A$13</f>
        <v>woda pitna</v>
      </c>
      <c r="AE1395" s="742">
        <v>70</v>
      </c>
      <c r="AF1395" s="743">
        <v>4.4999999999999998E-2</v>
      </c>
      <c r="AG1395" s="741" t="str">
        <f>'DICTIONARY-5'!$A$23</f>
        <v>powłoka epoksydowa</v>
      </c>
    </row>
    <row r="1396" spans="1:33" x14ac:dyDescent="0.25">
      <c r="A1396" s="861" t="s">
        <v>1393</v>
      </c>
      <c r="B1396" s="861" t="s">
        <v>2858</v>
      </c>
      <c r="C1396" s="836">
        <v>15</v>
      </c>
      <c r="D1396" s="836"/>
      <c r="E1396" s="836"/>
      <c r="F1396" s="836"/>
      <c r="G1396" s="862" t="s">
        <v>8193</v>
      </c>
      <c r="H1396" s="797" t="str">
        <f>VLOOKUP(G1396,SETTINGS!$B$7:$D$97,2,0)</f>
        <v>SPARE PARTS</v>
      </c>
      <c r="I1396" s="796">
        <f>VLOOKUP(G1396,SETTINGS!$B$7:$D$97,3,0)</f>
        <v>0</v>
      </c>
      <c r="J1396" s="670" t="str">
        <f>IFERROR(IF(CURRENCY.FORMAT_1=0,CONCATENATE(TEXT(FIXED(ROUND((C1396/EXC.RATE_1),CURRENCY.FORMAT_1),CURRENCY.FORMAT_1,1),"# ##0;-# ##0"),",-"),FIXED(ROUND((C1396/EXC.RATE_1),CURRENCY.FORMAT_1),CURRENCY.FORMAT_1,0)),'DICTIONARY-5'!$A$2)</f>
        <v>15,-</v>
      </c>
      <c r="K1396" s="670" t="str">
        <f>IF(EXC.RATE_2=0,"",IFERROR(IF(CURRENCY.FORMAT_2=0,CONCATENATE(TEXT(FIXED(ROUND(IF(EXC.RATE.SWITCH=1,C1396/EXC.RATE_2,C1396*EXC.RATE_2),CURRENCY.FORMAT_2),CURRENCY.FORMAT_2,1),"# ##0;-# ##0"),",-"),FIXED(ROUND(IF(EXC.RATE.SWITCH=1,C1396/EXC.RATE_2,C1396*EXC.RATE_2),CURRENCY.FORMAT_2),CURRENCY.FORMAT_2,0)),'DICTIONARY-5'!$A$2))</f>
        <v/>
      </c>
      <c r="L1396" s="670" t="str">
        <f>IFERROR(IF(CURRENCY.FORMAT_1=0,CONCATENATE(TEXT(FIXED(ROUND((C1396*(1-I1396)*(1-ADD.DISCOUNT)*(1+MAT.SURCHARGE)/EXC.RATE_1),CURRENCY.FORMAT_1),CURRENCY.FORMAT_1,1),"# ##0;-# ##0"),",-"),FIXED(ROUND((C1396*(1-I1396)*(1-ADD.DISCOUNT)*(1+MAT.SURCHARGE)/EXC.RATE_1),CURRENCY.FORMAT_1),CURRENCY.FORMAT_1,0)),'DICTIONARY-5'!$A$2)</f>
        <v>16,-</v>
      </c>
      <c r="M1396" s="670" t="str">
        <f>IF(EXC.RATE_2=0,"",IFERROR(IF(CURRENCY.FORMAT_2=0,CONCATENATE(TEXT(FIXED(ROUND(IF(EXC.RATE.SWITCH=1,C1396*(1-I1396)*(1-ADD.DISCOUNT)*(1+MAT.SURCHARGE)/EXC.RATE_2,C1396*(1-I1396)*(1-ADD.DISCOUNT)*(1+MAT.SURCHARGE)*EXC.RATE_2),CURRENCY.FORMAT_2),CURRENCY.FORMAT_2,1),"# ##0;-# ##0"),",-"),FIXED(ROUND(IF(EXC.RATE.SWITCH=1,C1396*(1-I1396)*(1-ADD.DISCOUNT)*(1+MAT.SURCHARGE)/EXC.RATE_2,C1396*(1-I1396)*(1-ADD.DISCOUNT)*(1+MAT.SURCHARGE)*EXC.RATE_2),CURRENCY.FORMAT_2),CURRENCY.FORMAT_2,0)),'DICTIONARY-5'!$A$2))</f>
        <v/>
      </c>
      <c r="N1396" s="539">
        <v>5</v>
      </c>
      <c r="O1396" s="539"/>
      <c r="P1396" s="731" t="str">
        <f>'DICTIONARY-3'!$A$103</f>
        <v>ZETKA</v>
      </c>
      <c r="Q1396" s="732" t="str">
        <f>'DICTIONARY-3'!$A$232</f>
        <v>Dysk wymienny</v>
      </c>
      <c r="R1396" s="732" t="str">
        <f>CONCATENATE('DICTIONARY-3'!$A$103," ",'DICTIONARY-3'!$A$232," ",'DICTIONARY-2'!$A$2,"50",", ",'DICTIONARY-5'!$A$44)</f>
        <v>ZETKA Dysk wymienny DN50, EPDM</v>
      </c>
      <c r="S1396" s="733"/>
      <c r="T1396" s="732"/>
      <c r="U1396" s="734" t="s">
        <v>5748</v>
      </c>
      <c r="V1396" s="735">
        <v>16</v>
      </c>
      <c r="W1396" s="736"/>
      <c r="X1396" s="737"/>
      <c r="Y1396" s="738"/>
      <c r="Z1396" s="739"/>
      <c r="AA1396" s="739"/>
      <c r="AB1396" s="740">
        <v>16</v>
      </c>
      <c r="AC1396" s="741" t="s">
        <v>5569</v>
      </c>
      <c r="AD1396" s="741" t="str">
        <f>'DICTIONARY-5'!$A$13</f>
        <v>woda pitna</v>
      </c>
      <c r="AE1396" s="742">
        <v>70</v>
      </c>
      <c r="AF1396" s="743">
        <v>7.1999999999999995E-2</v>
      </c>
      <c r="AG1396" s="741" t="str">
        <f>'DICTIONARY-5'!$A$23</f>
        <v>powłoka epoksydowa</v>
      </c>
    </row>
    <row r="1397" spans="1:33" x14ac:dyDescent="0.25">
      <c r="A1397" s="861" t="s">
        <v>1395</v>
      </c>
      <c r="B1397" s="861" t="s">
        <v>2859</v>
      </c>
      <c r="C1397" s="836">
        <v>15</v>
      </c>
      <c r="D1397" s="836"/>
      <c r="E1397" s="836"/>
      <c r="F1397" s="836"/>
      <c r="G1397" s="862" t="s">
        <v>8193</v>
      </c>
      <c r="H1397" s="797" t="str">
        <f>VLOOKUP(G1397,SETTINGS!$B$7:$D$97,2,0)</f>
        <v>SPARE PARTS</v>
      </c>
      <c r="I1397" s="796">
        <f>VLOOKUP(G1397,SETTINGS!$B$7:$D$97,3,0)</f>
        <v>0</v>
      </c>
      <c r="J1397" s="670" t="str">
        <f>IFERROR(IF(CURRENCY.FORMAT_1=0,CONCATENATE(TEXT(FIXED(ROUND((C1397/EXC.RATE_1),CURRENCY.FORMAT_1),CURRENCY.FORMAT_1,1),"# ##0;-# ##0"),",-"),FIXED(ROUND((C1397/EXC.RATE_1),CURRENCY.FORMAT_1),CURRENCY.FORMAT_1,0)),'DICTIONARY-5'!$A$2)</f>
        <v>15,-</v>
      </c>
      <c r="K1397" s="670" t="str">
        <f>IF(EXC.RATE_2=0,"",IFERROR(IF(CURRENCY.FORMAT_2=0,CONCATENATE(TEXT(FIXED(ROUND(IF(EXC.RATE.SWITCH=1,C1397/EXC.RATE_2,C1397*EXC.RATE_2),CURRENCY.FORMAT_2),CURRENCY.FORMAT_2,1),"# ##0;-# ##0"),",-"),FIXED(ROUND(IF(EXC.RATE.SWITCH=1,C1397/EXC.RATE_2,C1397*EXC.RATE_2),CURRENCY.FORMAT_2),CURRENCY.FORMAT_2,0)),'DICTIONARY-5'!$A$2))</f>
        <v/>
      </c>
      <c r="L1397" s="670" t="str">
        <f>IFERROR(IF(CURRENCY.FORMAT_1=0,CONCATENATE(TEXT(FIXED(ROUND((C1397*(1-I1397)*(1-ADD.DISCOUNT)*(1+MAT.SURCHARGE)/EXC.RATE_1),CURRENCY.FORMAT_1),CURRENCY.FORMAT_1,1),"# ##0;-# ##0"),",-"),FIXED(ROUND((C1397*(1-I1397)*(1-ADD.DISCOUNT)*(1+MAT.SURCHARGE)/EXC.RATE_1),CURRENCY.FORMAT_1),CURRENCY.FORMAT_1,0)),'DICTIONARY-5'!$A$2)</f>
        <v>16,-</v>
      </c>
      <c r="M1397" s="670" t="str">
        <f>IF(EXC.RATE_2=0,"",IFERROR(IF(CURRENCY.FORMAT_2=0,CONCATENATE(TEXT(FIXED(ROUND(IF(EXC.RATE.SWITCH=1,C1397*(1-I1397)*(1-ADD.DISCOUNT)*(1+MAT.SURCHARGE)/EXC.RATE_2,C1397*(1-I1397)*(1-ADD.DISCOUNT)*(1+MAT.SURCHARGE)*EXC.RATE_2),CURRENCY.FORMAT_2),CURRENCY.FORMAT_2,1),"# ##0;-# ##0"),",-"),FIXED(ROUND(IF(EXC.RATE.SWITCH=1,C1397*(1-I1397)*(1-ADD.DISCOUNT)*(1+MAT.SURCHARGE)/EXC.RATE_2,C1397*(1-I1397)*(1-ADD.DISCOUNT)*(1+MAT.SURCHARGE)*EXC.RATE_2),CURRENCY.FORMAT_2),CURRENCY.FORMAT_2,0)),'DICTIONARY-5'!$A$2))</f>
        <v/>
      </c>
      <c r="N1397" s="539">
        <v>5</v>
      </c>
      <c r="O1397" s="539"/>
      <c r="P1397" s="731" t="str">
        <f>'DICTIONARY-3'!$A$103</f>
        <v>ZETKA</v>
      </c>
      <c r="Q1397" s="732" t="str">
        <f>'DICTIONARY-3'!$A$232</f>
        <v>Dysk wymienny</v>
      </c>
      <c r="R1397" s="732" t="str">
        <f>CONCATENATE('DICTIONARY-3'!$A$103," ",'DICTIONARY-3'!$A$232," ",'DICTIONARY-2'!$A$2,"65",", ",'DICTIONARY-5'!$A$44)</f>
        <v>ZETKA Dysk wymienny DN65, EPDM</v>
      </c>
      <c r="S1397" s="733"/>
      <c r="T1397" s="732"/>
      <c r="U1397" s="734" t="s">
        <v>5759</v>
      </c>
      <c r="V1397" s="735">
        <v>16</v>
      </c>
      <c r="W1397" s="736"/>
      <c r="X1397" s="737"/>
      <c r="Y1397" s="738"/>
      <c r="Z1397" s="739"/>
      <c r="AA1397" s="739"/>
      <c r="AB1397" s="740">
        <v>16</v>
      </c>
      <c r="AC1397" s="741" t="s">
        <v>5569</v>
      </c>
      <c r="AD1397" s="741" t="str">
        <f>'DICTIONARY-5'!$A$13</f>
        <v>woda pitna</v>
      </c>
      <c r="AE1397" s="742">
        <v>70</v>
      </c>
      <c r="AF1397" s="743">
        <v>0.1</v>
      </c>
      <c r="AG1397" s="741" t="str">
        <f>'DICTIONARY-5'!$A$23</f>
        <v>powłoka epoksydowa</v>
      </c>
    </row>
    <row r="1398" spans="1:33" x14ac:dyDescent="0.25">
      <c r="A1398" s="861" t="s">
        <v>1397</v>
      </c>
      <c r="B1398" s="861" t="s">
        <v>2860</v>
      </c>
      <c r="C1398" s="836">
        <v>16</v>
      </c>
      <c r="D1398" s="836"/>
      <c r="E1398" s="836"/>
      <c r="F1398" s="836"/>
      <c r="G1398" s="862" t="s">
        <v>8193</v>
      </c>
      <c r="H1398" s="797" t="str">
        <f>VLOOKUP(G1398,SETTINGS!$B$7:$D$97,2,0)</f>
        <v>SPARE PARTS</v>
      </c>
      <c r="I1398" s="796">
        <f>VLOOKUP(G1398,SETTINGS!$B$7:$D$97,3,0)</f>
        <v>0</v>
      </c>
      <c r="J1398" s="670" t="str">
        <f>IFERROR(IF(CURRENCY.FORMAT_1=0,CONCATENATE(TEXT(FIXED(ROUND((C1398/EXC.RATE_1),CURRENCY.FORMAT_1),CURRENCY.FORMAT_1,1),"# ##0;-# ##0"),",-"),FIXED(ROUND((C1398/EXC.RATE_1),CURRENCY.FORMAT_1),CURRENCY.FORMAT_1,0)),'DICTIONARY-5'!$A$2)</f>
        <v>16,-</v>
      </c>
      <c r="K1398" s="670" t="str">
        <f>IF(EXC.RATE_2=0,"",IFERROR(IF(CURRENCY.FORMAT_2=0,CONCATENATE(TEXT(FIXED(ROUND(IF(EXC.RATE.SWITCH=1,C1398/EXC.RATE_2,C1398*EXC.RATE_2),CURRENCY.FORMAT_2),CURRENCY.FORMAT_2,1),"# ##0;-# ##0"),",-"),FIXED(ROUND(IF(EXC.RATE.SWITCH=1,C1398/EXC.RATE_2,C1398*EXC.RATE_2),CURRENCY.FORMAT_2),CURRENCY.FORMAT_2,0)),'DICTIONARY-5'!$A$2))</f>
        <v/>
      </c>
      <c r="L1398" s="670" t="str">
        <f>IFERROR(IF(CURRENCY.FORMAT_1=0,CONCATENATE(TEXT(FIXED(ROUND((C1398*(1-I1398)*(1-ADD.DISCOUNT)*(1+MAT.SURCHARGE)/EXC.RATE_1),CURRENCY.FORMAT_1),CURRENCY.FORMAT_1,1),"# ##0;-# ##0"),",-"),FIXED(ROUND((C1398*(1-I1398)*(1-ADD.DISCOUNT)*(1+MAT.SURCHARGE)/EXC.RATE_1),CURRENCY.FORMAT_1),CURRENCY.FORMAT_1,0)),'DICTIONARY-5'!$A$2)</f>
        <v>17,-</v>
      </c>
      <c r="M1398" s="670" t="str">
        <f>IF(EXC.RATE_2=0,"",IFERROR(IF(CURRENCY.FORMAT_2=0,CONCATENATE(TEXT(FIXED(ROUND(IF(EXC.RATE.SWITCH=1,C1398*(1-I1398)*(1-ADD.DISCOUNT)*(1+MAT.SURCHARGE)/EXC.RATE_2,C1398*(1-I1398)*(1-ADD.DISCOUNT)*(1+MAT.SURCHARGE)*EXC.RATE_2),CURRENCY.FORMAT_2),CURRENCY.FORMAT_2,1),"# ##0;-# ##0"),",-"),FIXED(ROUND(IF(EXC.RATE.SWITCH=1,C1398*(1-I1398)*(1-ADD.DISCOUNT)*(1+MAT.SURCHARGE)/EXC.RATE_2,C1398*(1-I1398)*(1-ADD.DISCOUNT)*(1+MAT.SURCHARGE)*EXC.RATE_2),CURRENCY.FORMAT_2),CURRENCY.FORMAT_2,0)),'DICTIONARY-5'!$A$2))</f>
        <v/>
      </c>
      <c r="N1398" s="539">
        <v>5</v>
      </c>
      <c r="O1398" s="539"/>
      <c r="P1398" s="731" t="str">
        <f>'DICTIONARY-3'!$A$103</f>
        <v>ZETKA</v>
      </c>
      <c r="Q1398" s="732" t="str">
        <f>'DICTIONARY-3'!$A$232</f>
        <v>Dysk wymienny</v>
      </c>
      <c r="R1398" s="732" t="str">
        <f>CONCATENATE('DICTIONARY-3'!$A$103," ",'DICTIONARY-3'!$A$232," ",'DICTIONARY-2'!$A$2,"80",", ",'DICTIONARY-5'!$A$44)</f>
        <v>ZETKA Dysk wymienny DN80, EPDM</v>
      </c>
      <c r="S1398" s="733"/>
      <c r="T1398" s="732"/>
      <c r="U1398" s="734" t="s">
        <v>5760</v>
      </c>
      <c r="V1398" s="735">
        <v>16</v>
      </c>
      <c r="W1398" s="736"/>
      <c r="X1398" s="737"/>
      <c r="Y1398" s="738"/>
      <c r="Z1398" s="739"/>
      <c r="AA1398" s="739"/>
      <c r="AB1398" s="740">
        <v>16</v>
      </c>
      <c r="AC1398" s="741" t="s">
        <v>5569</v>
      </c>
      <c r="AD1398" s="741" t="str">
        <f>'DICTIONARY-5'!$A$13</f>
        <v>woda pitna</v>
      </c>
      <c r="AE1398" s="742">
        <v>70</v>
      </c>
      <c r="AF1398" s="743">
        <v>0.17</v>
      </c>
      <c r="AG1398" s="741" t="str">
        <f>'DICTIONARY-5'!$A$23</f>
        <v>powłoka epoksydowa</v>
      </c>
    </row>
    <row r="1399" spans="1:33" x14ac:dyDescent="0.25">
      <c r="A1399" s="861" t="s">
        <v>1399</v>
      </c>
      <c r="B1399" s="861" t="s">
        <v>2861</v>
      </c>
      <c r="C1399" s="836">
        <v>22</v>
      </c>
      <c r="D1399" s="836"/>
      <c r="E1399" s="836"/>
      <c r="F1399" s="836"/>
      <c r="G1399" s="862" t="s">
        <v>8193</v>
      </c>
      <c r="H1399" s="797" t="str">
        <f>VLOOKUP(G1399,SETTINGS!$B$7:$D$97,2,0)</f>
        <v>SPARE PARTS</v>
      </c>
      <c r="I1399" s="796">
        <f>VLOOKUP(G1399,SETTINGS!$B$7:$D$97,3,0)</f>
        <v>0</v>
      </c>
      <c r="J1399" s="670" t="str">
        <f>IFERROR(IF(CURRENCY.FORMAT_1=0,CONCATENATE(TEXT(FIXED(ROUND((C1399/EXC.RATE_1),CURRENCY.FORMAT_1),CURRENCY.FORMAT_1,1),"# ##0;-# ##0"),",-"),FIXED(ROUND((C1399/EXC.RATE_1),CURRENCY.FORMAT_1),CURRENCY.FORMAT_1,0)),'DICTIONARY-5'!$A$2)</f>
        <v>22,-</v>
      </c>
      <c r="K1399" s="670" t="str">
        <f>IF(EXC.RATE_2=0,"",IFERROR(IF(CURRENCY.FORMAT_2=0,CONCATENATE(TEXT(FIXED(ROUND(IF(EXC.RATE.SWITCH=1,C1399/EXC.RATE_2,C1399*EXC.RATE_2),CURRENCY.FORMAT_2),CURRENCY.FORMAT_2,1),"# ##0;-# ##0"),",-"),FIXED(ROUND(IF(EXC.RATE.SWITCH=1,C1399/EXC.RATE_2,C1399*EXC.RATE_2),CURRENCY.FORMAT_2),CURRENCY.FORMAT_2,0)),'DICTIONARY-5'!$A$2))</f>
        <v/>
      </c>
      <c r="L1399" s="670" t="str">
        <f>IFERROR(IF(CURRENCY.FORMAT_1=0,CONCATENATE(TEXT(FIXED(ROUND((C1399*(1-I1399)*(1-ADD.DISCOUNT)*(1+MAT.SURCHARGE)/EXC.RATE_1),CURRENCY.FORMAT_1),CURRENCY.FORMAT_1,1),"# ##0;-# ##0"),",-"),FIXED(ROUND((C1399*(1-I1399)*(1-ADD.DISCOUNT)*(1+MAT.SURCHARGE)/EXC.RATE_1),CURRENCY.FORMAT_1),CURRENCY.FORMAT_1,0)),'DICTIONARY-5'!$A$2)</f>
        <v>23,-</v>
      </c>
      <c r="M1399" s="670" t="str">
        <f>IF(EXC.RATE_2=0,"",IFERROR(IF(CURRENCY.FORMAT_2=0,CONCATENATE(TEXT(FIXED(ROUND(IF(EXC.RATE.SWITCH=1,C1399*(1-I1399)*(1-ADD.DISCOUNT)*(1+MAT.SURCHARGE)/EXC.RATE_2,C1399*(1-I1399)*(1-ADD.DISCOUNT)*(1+MAT.SURCHARGE)*EXC.RATE_2),CURRENCY.FORMAT_2),CURRENCY.FORMAT_2,1),"# ##0;-# ##0"),",-"),FIXED(ROUND(IF(EXC.RATE.SWITCH=1,C1399*(1-I1399)*(1-ADD.DISCOUNT)*(1+MAT.SURCHARGE)/EXC.RATE_2,C1399*(1-I1399)*(1-ADD.DISCOUNT)*(1+MAT.SURCHARGE)*EXC.RATE_2),CURRENCY.FORMAT_2),CURRENCY.FORMAT_2,0)),'DICTIONARY-5'!$A$2))</f>
        <v/>
      </c>
      <c r="N1399" s="539">
        <v>5</v>
      </c>
      <c r="O1399" s="539"/>
      <c r="P1399" s="731" t="str">
        <f>'DICTIONARY-3'!$A$103</f>
        <v>ZETKA</v>
      </c>
      <c r="Q1399" s="732" t="str">
        <f>'DICTIONARY-3'!$A$232</f>
        <v>Dysk wymienny</v>
      </c>
      <c r="R1399" s="732" t="str">
        <f>CONCATENATE('DICTIONARY-3'!$A$103," ",'DICTIONARY-3'!$A$232," ",'DICTIONARY-2'!$A$2,"100",", ",'DICTIONARY-5'!$A$44)</f>
        <v>ZETKA Dysk wymienny DN100, EPDM</v>
      </c>
      <c r="S1399" s="733"/>
      <c r="T1399" s="732"/>
      <c r="U1399" s="734" t="s">
        <v>5749</v>
      </c>
      <c r="V1399" s="735">
        <v>16</v>
      </c>
      <c r="W1399" s="736"/>
      <c r="X1399" s="737"/>
      <c r="Y1399" s="738"/>
      <c r="Z1399" s="739"/>
      <c r="AA1399" s="739"/>
      <c r="AB1399" s="740">
        <v>16</v>
      </c>
      <c r="AC1399" s="741" t="s">
        <v>5569</v>
      </c>
      <c r="AD1399" s="741" t="str">
        <f>'DICTIONARY-5'!$A$13</f>
        <v>woda pitna</v>
      </c>
      <c r="AE1399" s="742">
        <v>70</v>
      </c>
      <c r="AF1399" s="743">
        <v>0.31</v>
      </c>
      <c r="AG1399" s="741" t="str">
        <f>'DICTIONARY-5'!$A$23</f>
        <v>powłoka epoksydowa</v>
      </c>
    </row>
    <row r="1400" spans="1:33" x14ac:dyDescent="0.25">
      <c r="A1400" s="861" t="s">
        <v>1401</v>
      </c>
      <c r="B1400" s="861" t="s">
        <v>2862</v>
      </c>
      <c r="C1400" s="836">
        <v>29</v>
      </c>
      <c r="D1400" s="836"/>
      <c r="E1400" s="836"/>
      <c r="F1400" s="836"/>
      <c r="G1400" s="862" t="s">
        <v>8193</v>
      </c>
      <c r="H1400" s="797" t="str">
        <f>VLOOKUP(G1400,SETTINGS!$B$7:$D$97,2,0)</f>
        <v>SPARE PARTS</v>
      </c>
      <c r="I1400" s="796">
        <f>VLOOKUP(G1400,SETTINGS!$B$7:$D$97,3,0)</f>
        <v>0</v>
      </c>
      <c r="J1400" s="670" t="str">
        <f>IFERROR(IF(CURRENCY.FORMAT_1=0,CONCATENATE(TEXT(FIXED(ROUND((C1400/EXC.RATE_1),CURRENCY.FORMAT_1),CURRENCY.FORMAT_1,1),"# ##0;-# ##0"),",-"),FIXED(ROUND((C1400/EXC.RATE_1),CURRENCY.FORMAT_1),CURRENCY.FORMAT_1,0)),'DICTIONARY-5'!$A$2)</f>
        <v>29,-</v>
      </c>
      <c r="K1400" s="670" t="str">
        <f>IF(EXC.RATE_2=0,"",IFERROR(IF(CURRENCY.FORMAT_2=0,CONCATENATE(TEXT(FIXED(ROUND(IF(EXC.RATE.SWITCH=1,C1400/EXC.RATE_2,C1400*EXC.RATE_2),CURRENCY.FORMAT_2),CURRENCY.FORMAT_2,1),"# ##0;-# ##0"),",-"),FIXED(ROUND(IF(EXC.RATE.SWITCH=1,C1400/EXC.RATE_2,C1400*EXC.RATE_2),CURRENCY.FORMAT_2),CURRENCY.FORMAT_2,0)),'DICTIONARY-5'!$A$2))</f>
        <v/>
      </c>
      <c r="L1400" s="670" t="str">
        <f>IFERROR(IF(CURRENCY.FORMAT_1=0,CONCATENATE(TEXT(FIXED(ROUND((C1400*(1-I1400)*(1-ADD.DISCOUNT)*(1+MAT.SURCHARGE)/EXC.RATE_1),CURRENCY.FORMAT_1),CURRENCY.FORMAT_1,1),"# ##0;-# ##0"),",-"),FIXED(ROUND((C1400*(1-I1400)*(1-ADD.DISCOUNT)*(1+MAT.SURCHARGE)/EXC.RATE_1),CURRENCY.FORMAT_1),CURRENCY.FORMAT_1,0)),'DICTIONARY-5'!$A$2)</f>
        <v>30,-</v>
      </c>
      <c r="M1400" s="670" t="str">
        <f>IF(EXC.RATE_2=0,"",IFERROR(IF(CURRENCY.FORMAT_2=0,CONCATENATE(TEXT(FIXED(ROUND(IF(EXC.RATE.SWITCH=1,C1400*(1-I1400)*(1-ADD.DISCOUNT)*(1+MAT.SURCHARGE)/EXC.RATE_2,C1400*(1-I1400)*(1-ADD.DISCOUNT)*(1+MAT.SURCHARGE)*EXC.RATE_2),CURRENCY.FORMAT_2),CURRENCY.FORMAT_2,1),"# ##0;-# ##0"),",-"),FIXED(ROUND(IF(EXC.RATE.SWITCH=1,C1400*(1-I1400)*(1-ADD.DISCOUNT)*(1+MAT.SURCHARGE)/EXC.RATE_2,C1400*(1-I1400)*(1-ADD.DISCOUNT)*(1+MAT.SURCHARGE)*EXC.RATE_2),CURRENCY.FORMAT_2),CURRENCY.FORMAT_2,0)),'DICTIONARY-5'!$A$2))</f>
        <v/>
      </c>
      <c r="N1400" s="539">
        <v>5</v>
      </c>
      <c r="O1400" s="539"/>
      <c r="P1400" s="731" t="str">
        <f>'DICTIONARY-3'!$A$103</f>
        <v>ZETKA</v>
      </c>
      <c r="Q1400" s="732" t="str">
        <f>'DICTIONARY-3'!$A$232</f>
        <v>Dysk wymienny</v>
      </c>
      <c r="R1400" s="732" t="str">
        <f>CONCATENATE('DICTIONARY-3'!$A$103," ",'DICTIONARY-3'!$A$232," ",'DICTIONARY-2'!$A$2,"125",", ",'DICTIONARY-5'!$A$44)</f>
        <v>ZETKA Dysk wymienny DN125, EPDM</v>
      </c>
      <c r="S1400" s="733"/>
      <c r="T1400" s="732"/>
      <c r="U1400" s="734" t="s">
        <v>5761</v>
      </c>
      <c r="V1400" s="735">
        <v>16</v>
      </c>
      <c r="W1400" s="736"/>
      <c r="X1400" s="737"/>
      <c r="Y1400" s="738"/>
      <c r="Z1400" s="739"/>
      <c r="AA1400" s="739"/>
      <c r="AB1400" s="740">
        <v>16</v>
      </c>
      <c r="AC1400" s="741" t="s">
        <v>5569</v>
      </c>
      <c r="AD1400" s="741" t="str">
        <f>'DICTIONARY-5'!$A$13</f>
        <v>woda pitna</v>
      </c>
      <c r="AE1400" s="742">
        <v>70</v>
      </c>
      <c r="AF1400" s="743">
        <v>0.50600000000000001</v>
      </c>
      <c r="AG1400" s="741" t="str">
        <f>'DICTIONARY-5'!$A$23</f>
        <v>powłoka epoksydowa</v>
      </c>
    </row>
    <row r="1401" spans="1:33" x14ac:dyDescent="0.25">
      <c r="A1401" s="861" t="s">
        <v>1403</v>
      </c>
      <c r="B1401" s="861" t="s">
        <v>2863</v>
      </c>
      <c r="C1401" s="836">
        <v>36</v>
      </c>
      <c r="D1401" s="836"/>
      <c r="E1401" s="836"/>
      <c r="F1401" s="836"/>
      <c r="G1401" s="862" t="s">
        <v>8193</v>
      </c>
      <c r="H1401" s="797" t="str">
        <f>VLOOKUP(G1401,SETTINGS!$B$7:$D$97,2,0)</f>
        <v>SPARE PARTS</v>
      </c>
      <c r="I1401" s="796">
        <f>VLOOKUP(G1401,SETTINGS!$B$7:$D$97,3,0)</f>
        <v>0</v>
      </c>
      <c r="J1401" s="670" t="str">
        <f>IFERROR(IF(CURRENCY.FORMAT_1=0,CONCATENATE(TEXT(FIXED(ROUND((C1401/EXC.RATE_1),CURRENCY.FORMAT_1),CURRENCY.FORMAT_1,1),"# ##0;-# ##0"),",-"),FIXED(ROUND((C1401/EXC.RATE_1),CURRENCY.FORMAT_1),CURRENCY.FORMAT_1,0)),'DICTIONARY-5'!$A$2)</f>
        <v>36,-</v>
      </c>
      <c r="K1401" s="670" t="str">
        <f>IF(EXC.RATE_2=0,"",IFERROR(IF(CURRENCY.FORMAT_2=0,CONCATENATE(TEXT(FIXED(ROUND(IF(EXC.RATE.SWITCH=1,C1401/EXC.RATE_2,C1401*EXC.RATE_2),CURRENCY.FORMAT_2),CURRENCY.FORMAT_2,1),"# ##0;-# ##0"),",-"),FIXED(ROUND(IF(EXC.RATE.SWITCH=1,C1401/EXC.RATE_2,C1401*EXC.RATE_2),CURRENCY.FORMAT_2),CURRENCY.FORMAT_2,0)),'DICTIONARY-5'!$A$2))</f>
        <v/>
      </c>
      <c r="L1401" s="670" t="str">
        <f>IFERROR(IF(CURRENCY.FORMAT_1=0,CONCATENATE(TEXT(FIXED(ROUND((C1401*(1-I1401)*(1-ADD.DISCOUNT)*(1+MAT.SURCHARGE)/EXC.RATE_1),CURRENCY.FORMAT_1),CURRENCY.FORMAT_1,1),"# ##0;-# ##0"),",-"),FIXED(ROUND((C1401*(1-I1401)*(1-ADD.DISCOUNT)*(1+MAT.SURCHARGE)/EXC.RATE_1),CURRENCY.FORMAT_1),CURRENCY.FORMAT_1,0)),'DICTIONARY-5'!$A$2)</f>
        <v>37,-</v>
      </c>
      <c r="M1401" s="670" t="str">
        <f>IF(EXC.RATE_2=0,"",IFERROR(IF(CURRENCY.FORMAT_2=0,CONCATENATE(TEXT(FIXED(ROUND(IF(EXC.RATE.SWITCH=1,C1401*(1-I1401)*(1-ADD.DISCOUNT)*(1+MAT.SURCHARGE)/EXC.RATE_2,C1401*(1-I1401)*(1-ADD.DISCOUNT)*(1+MAT.SURCHARGE)*EXC.RATE_2),CURRENCY.FORMAT_2),CURRENCY.FORMAT_2,1),"# ##0;-# ##0"),",-"),FIXED(ROUND(IF(EXC.RATE.SWITCH=1,C1401*(1-I1401)*(1-ADD.DISCOUNT)*(1+MAT.SURCHARGE)/EXC.RATE_2,C1401*(1-I1401)*(1-ADD.DISCOUNT)*(1+MAT.SURCHARGE)*EXC.RATE_2),CURRENCY.FORMAT_2),CURRENCY.FORMAT_2,0)),'DICTIONARY-5'!$A$2))</f>
        <v/>
      </c>
      <c r="N1401" s="539">
        <v>5</v>
      </c>
      <c r="O1401" s="539"/>
      <c r="P1401" s="731" t="str">
        <f>'DICTIONARY-3'!$A$103</f>
        <v>ZETKA</v>
      </c>
      <c r="Q1401" s="732" t="str">
        <f>'DICTIONARY-3'!$A$232</f>
        <v>Dysk wymienny</v>
      </c>
      <c r="R1401" s="732" t="str">
        <f>CONCATENATE('DICTIONARY-3'!$A$103," ",'DICTIONARY-3'!$A$232," ",'DICTIONARY-2'!$A$2,"150",", ",'DICTIONARY-5'!$A$44)</f>
        <v>ZETKA Dysk wymienny DN150, EPDM</v>
      </c>
      <c r="S1401" s="733"/>
      <c r="T1401" s="732"/>
      <c r="U1401" s="734" t="s">
        <v>5572</v>
      </c>
      <c r="V1401" s="735">
        <v>16</v>
      </c>
      <c r="W1401" s="736"/>
      <c r="X1401" s="737"/>
      <c r="Y1401" s="738"/>
      <c r="Z1401" s="739"/>
      <c r="AA1401" s="739"/>
      <c r="AB1401" s="740">
        <v>16</v>
      </c>
      <c r="AC1401" s="741" t="s">
        <v>5569</v>
      </c>
      <c r="AD1401" s="741" t="str">
        <f>'DICTIONARY-5'!$A$13</f>
        <v>woda pitna</v>
      </c>
      <c r="AE1401" s="742">
        <v>70</v>
      </c>
      <c r="AF1401" s="743">
        <v>0.86</v>
      </c>
      <c r="AG1401" s="741" t="str">
        <f>'DICTIONARY-5'!$A$23</f>
        <v>powłoka epoksydowa</v>
      </c>
    </row>
    <row r="1402" spans="1:33" x14ac:dyDescent="0.25">
      <c r="A1402" s="861" t="s">
        <v>1405</v>
      </c>
      <c r="B1402" s="861" t="s">
        <v>2864</v>
      </c>
      <c r="C1402" s="836">
        <v>47</v>
      </c>
      <c r="D1402" s="836"/>
      <c r="E1402" s="836"/>
      <c r="F1402" s="836"/>
      <c r="G1402" s="862" t="s">
        <v>8193</v>
      </c>
      <c r="H1402" s="797" t="str">
        <f>VLOOKUP(G1402,SETTINGS!$B$7:$D$97,2,0)</f>
        <v>SPARE PARTS</v>
      </c>
      <c r="I1402" s="796">
        <f>VLOOKUP(G1402,SETTINGS!$B$7:$D$97,3,0)</f>
        <v>0</v>
      </c>
      <c r="J1402" s="670" t="str">
        <f>IFERROR(IF(CURRENCY.FORMAT_1=0,CONCATENATE(TEXT(FIXED(ROUND((C1402/EXC.RATE_1),CURRENCY.FORMAT_1),CURRENCY.FORMAT_1,1),"# ##0;-# ##0"),",-"),FIXED(ROUND((C1402/EXC.RATE_1),CURRENCY.FORMAT_1),CURRENCY.FORMAT_1,0)),'DICTIONARY-5'!$A$2)</f>
        <v>47,-</v>
      </c>
      <c r="K1402" s="670" t="str">
        <f>IF(EXC.RATE_2=0,"",IFERROR(IF(CURRENCY.FORMAT_2=0,CONCATENATE(TEXT(FIXED(ROUND(IF(EXC.RATE.SWITCH=1,C1402/EXC.RATE_2,C1402*EXC.RATE_2),CURRENCY.FORMAT_2),CURRENCY.FORMAT_2,1),"# ##0;-# ##0"),",-"),FIXED(ROUND(IF(EXC.RATE.SWITCH=1,C1402/EXC.RATE_2,C1402*EXC.RATE_2),CURRENCY.FORMAT_2),CURRENCY.FORMAT_2,0)),'DICTIONARY-5'!$A$2))</f>
        <v/>
      </c>
      <c r="L1402" s="670" t="str">
        <f>IFERROR(IF(CURRENCY.FORMAT_1=0,CONCATENATE(TEXT(FIXED(ROUND((C1402*(1-I1402)*(1-ADD.DISCOUNT)*(1+MAT.SURCHARGE)/EXC.RATE_1),CURRENCY.FORMAT_1),CURRENCY.FORMAT_1,1),"# ##0;-# ##0"),",-"),FIXED(ROUND((C1402*(1-I1402)*(1-ADD.DISCOUNT)*(1+MAT.SURCHARGE)/EXC.RATE_1),CURRENCY.FORMAT_1),CURRENCY.FORMAT_1,0)),'DICTIONARY-5'!$A$2)</f>
        <v>49,-</v>
      </c>
      <c r="M1402" s="670" t="str">
        <f>IF(EXC.RATE_2=0,"",IFERROR(IF(CURRENCY.FORMAT_2=0,CONCATENATE(TEXT(FIXED(ROUND(IF(EXC.RATE.SWITCH=1,C1402*(1-I1402)*(1-ADD.DISCOUNT)*(1+MAT.SURCHARGE)/EXC.RATE_2,C1402*(1-I1402)*(1-ADD.DISCOUNT)*(1+MAT.SURCHARGE)*EXC.RATE_2),CURRENCY.FORMAT_2),CURRENCY.FORMAT_2,1),"# ##0;-# ##0"),",-"),FIXED(ROUND(IF(EXC.RATE.SWITCH=1,C1402*(1-I1402)*(1-ADD.DISCOUNT)*(1+MAT.SURCHARGE)/EXC.RATE_2,C1402*(1-I1402)*(1-ADD.DISCOUNT)*(1+MAT.SURCHARGE)*EXC.RATE_2),CURRENCY.FORMAT_2),CURRENCY.FORMAT_2,0)),'DICTIONARY-5'!$A$2))</f>
        <v/>
      </c>
      <c r="N1402" s="539">
        <v>5</v>
      </c>
      <c r="O1402" s="539"/>
      <c r="P1402" s="731" t="str">
        <f>'DICTIONARY-3'!$A$103</f>
        <v>ZETKA</v>
      </c>
      <c r="Q1402" s="732" t="str">
        <f>'DICTIONARY-3'!$A$232</f>
        <v>Dysk wymienny</v>
      </c>
      <c r="R1402" s="732" t="str">
        <f>CONCATENATE('DICTIONARY-3'!$A$103," ",'DICTIONARY-3'!$A$232," ",'DICTIONARY-2'!$A$2,"200",", ",'DICTIONARY-5'!$A$44)</f>
        <v>ZETKA Dysk wymienny DN200, EPDM</v>
      </c>
      <c r="S1402" s="733"/>
      <c r="T1402" s="732"/>
      <c r="U1402" s="734" t="s">
        <v>5750</v>
      </c>
      <c r="V1402" s="735">
        <v>16</v>
      </c>
      <c r="W1402" s="736"/>
      <c r="X1402" s="737"/>
      <c r="Y1402" s="738"/>
      <c r="Z1402" s="739"/>
      <c r="AA1402" s="739"/>
      <c r="AB1402" s="740">
        <v>16</v>
      </c>
      <c r="AC1402" s="741" t="s">
        <v>5569</v>
      </c>
      <c r="AD1402" s="741" t="str">
        <f>'DICTIONARY-5'!$A$13</f>
        <v>woda pitna</v>
      </c>
      <c r="AE1402" s="742">
        <v>70</v>
      </c>
      <c r="AF1402" s="743">
        <v>1.7909999999999999</v>
      </c>
      <c r="AG1402" s="741" t="str">
        <f>'DICTIONARY-5'!$A$23</f>
        <v>powłoka epoksydowa</v>
      </c>
    </row>
    <row r="1403" spans="1:33" x14ac:dyDescent="0.25">
      <c r="A1403" s="861" t="s">
        <v>1407</v>
      </c>
      <c r="B1403" s="861" t="s">
        <v>2865</v>
      </c>
      <c r="C1403" s="836">
        <v>69</v>
      </c>
      <c r="D1403" s="836"/>
      <c r="E1403" s="836"/>
      <c r="F1403" s="836"/>
      <c r="G1403" s="862" t="s">
        <v>8193</v>
      </c>
      <c r="H1403" s="797" t="str">
        <f>VLOOKUP(G1403,SETTINGS!$B$7:$D$97,2,0)</f>
        <v>SPARE PARTS</v>
      </c>
      <c r="I1403" s="796">
        <f>VLOOKUP(G1403,SETTINGS!$B$7:$D$97,3,0)</f>
        <v>0</v>
      </c>
      <c r="J1403" s="670" t="str">
        <f>IFERROR(IF(CURRENCY.FORMAT_1=0,CONCATENATE(TEXT(FIXED(ROUND((C1403/EXC.RATE_1),CURRENCY.FORMAT_1),CURRENCY.FORMAT_1,1),"# ##0;-# ##0"),",-"),FIXED(ROUND((C1403/EXC.RATE_1),CURRENCY.FORMAT_1),CURRENCY.FORMAT_1,0)),'DICTIONARY-5'!$A$2)</f>
        <v>69,-</v>
      </c>
      <c r="K1403" s="670" t="str">
        <f>IF(EXC.RATE_2=0,"",IFERROR(IF(CURRENCY.FORMAT_2=0,CONCATENATE(TEXT(FIXED(ROUND(IF(EXC.RATE.SWITCH=1,C1403/EXC.RATE_2,C1403*EXC.RATE_2),CURRENCY.FORMAT_2),CURRENCY.FORMAT_2,1),"# ##0;-# ##0"),",-"),FIXED(ROUND(IF(EXC.RATE.SWITCH=1,C1403/EXC.RATE_2,C1403*EXC.RATE_2),CURRENCY.FORMAT_2),CURRENCY.FORMAT_2,0)),'DICTIONARY-5'!$A$2))</f>
        <v/>
      </c>
      <c r="L1403" s="670" t="str">
        <f>IFERROR(IF(CURRENCY.FORMAT_1=0,CONCATENATE(TEXT(FIXED(ROUND((C1403*(1-I1403)*(1-ADD.DISCOUNT)*(1+MAT.SURCHARGE)/EXC.RATE_1),CURRENCY.FORMAT_1),CURRENCY.FORMAT_1,1),"# ##0;-# ##0"),",-"),FIXED(ROUND((C1403*(1-I1403)*(1-ADD.DISCOUNT)*(1+MAT.SURCHARGE)/EXC.RATE_1),CURRENCY.FORMAT_1),CURRENCY.FORMAT_1,0)),'DICTIONARY-5'!$A$2)</f>
        <v>72,-</v>
      </c>
      <c r="M1403" s="670" t="str">
        <f>IF(EXC.RATE_2=0,"",IFERROR(IF(CURRENCY.FORMAT_2=0,CONCATENATE(TEXT(FIXED(ROUND(IF(EXC.RATE.SWITCH=1,C1403*(1-I1403)*(1-ADD.DISCOUNT)*(1+MAT.SURCHARGE)/EXC.RATE_2,C1403*(1-I1403)*(1-ADD.DISCOUNT)*(1+MAT.SURCHARGE)*EXC.RATE_2),CURRENCY.FORMAT_2),CURRENCY.FORMAT_2,1),"# ##0;-# ##0"),",-"),FIXED(ROUND(IF(EXC.RATE.SWITCH=1,C1403*(1-I1403)*(1-ADD.DISCOUNT)*(1+MAT.SURCHARGE)/EXC.RATE_2,C1403*(1-I1403)*(1-ADD.DISCOUNT)*(1+MAT.SURCHARGE)*EXC.RATE_2),CURRENCY.FORMAT_2),CURRENCY.FORMAT_2,0)),'DICTIONARY-5'!$A$2))</f>
        <v/>
      </c>
      <c r="N1403" s="539">
        <v>5</v>
      </c>
      <c r="O1403" s="539"/>
      <c r="P1403" s="731" t="str">
        <f>'DICTIONARY-3'!$A$103</f>
        <v>ZETKA</v>
      </c>
      <c r="Q1403" s="732" t="str">
        <f>'DICTIONARY-3'!$A$232</f>
        <v>Dysk wymienny</v>
      </c>
      <c r="R1403" s="732" t="str">
        <f>CONCATENATE('DICTIONARY-3'!$A$103," ",'DICTIONARY-3'!$A$232," ",'DICTIONARY-2'!$A$2,"250",", ",'DICTIONARY-5'!$A$44)</f>
        <v>ZETKA Dysk wymienny DN250, EPDM</v>
      </c>
      <c r="S1403" s="733"/>
      <c r="T1403" s="732"/>
      <c r="U1403" s="734" t="s">
        <v>5751</v>
      </c>
      <c r="V1403" s="735">
        <v>16</v>
      </c>
      <c r="W1403" s="736"/>
      <c r="X1403" s="737"/>
      <c r="Y1403" s="738"/>
      <c r="Z1403" s="739"/>
      <c r="AA1403" s="739"/>
      <c r="AB1403" s="740">
        <v>16</v>
      </c>
      <c r="AC1403" s="741" t="s">
        <v>5569</v>
      </c>
      <c r="AD1403" s="741" t="str">
        <f>'DICTIONARY-5'!$A$13</f>
        <v>woda pitna</v>
      </c>
      <c r="AE1403" s="742">
        <v>70</v>
      </c>
      <c r="AF1403" s="743">
        <v>3.3780000000000001</v>
      </c>
      <c r="AG1403" s="741" t="str">
        <f>'DICTIONARY-5'!$A$23</f>
        <v>powłoka epoksydowa</v>
      </c>
    </row>
    <row r="1404" spans="1:33" x14ac:dyDescent="0.25">
      <c r="A1404" s="861" t="s">
        <v>1409</v>
      </c>
      <c r="B1404" s="861" t="s">
        <v>2866</v>
      </c>
      <c r="C1404" s="836">
        <v>120</v>
      </c>
      <c r="D1404" s="836"/>
      <c r="E1404" s="836"/>
      <c r="F1404" s="836"/>
      <c r="G1404" s="862" t="s">
        <v>8193</v>
      </c>
      <c r="H1404" s="797" t="str">
        <f>VLOOKUP(G1404,SETTINGS!$B$7:$D$97,2,0)</f>
        <v>SPARE PARTS</v>
      </c>
      <c r="I1404" s="796">
        <f>VLOOKUP(G1404,SETTINGS!$B$7:$D$97,3,0)</f>
        <v>0</v>
      </c>
      <c r="J1404" s="670" t="str">
        <f>IFERROR(IF(CURRENCY.FORMAT_1=0,CONCATENATE(TEXT(FIXED(ROUND((C1404/EXC.RATE_1),CURRENCY.FORMAT_1),CURRENCY.FORMAT_1,1),"# ##0;-# ##0"),",-"),FIXED(ROUND((C1404/EXC.RATE_1),CURRENCY.FORMAT_1),CURRENCY.FORMAT_1,0)),'DICTIONARY-5'!$A$2)</f>
        <v>120,-</v>
      </c>
      <c r="K1404" s="670" t="str">
        <f>IF(EXC.RATE_2=0,"",IFERROR(IF(CURRENCY.FORMAT_2=0,CONCATENATE(TEXT(FIXED(ROUND(IF(EXC.RATE.SWITCH=1,C1404/EXC.RATE_2,C1404*EXC.RATE_2),CURRENCY.FORMAT_2),CURRENCY.FORMAT_2,1),"# ##0;-# ##0"),",-"),FIXED(ROUND(IF(EXC.RATE.SWITCH=1,C1404/EXC.RATE_2,C1404*EXC.RATE_2),CURRENCY.FORMAT_2),CURRENCY.FORMAT_2,0)),'DICTIONARY-5'!$A$2))</f>
        <v/>
      </c>
      <c r="L1404" s="670" t="str">
        <f>IFERROR(IF(CURRENCY.FORMAT_1=0,CONCATENATE(TEXT(FIXED(ROUND((C1404*(1-I1404)*(1-ADD.DISCOUNT)*(1+MAT.SURCHARGE)/EXC.RATE_1),CURRENCY.FORMAT_1),CURRENCY.FORMAT_1,1),"# ##0;-# ##0"),",-"),FIXED(ROUND((C1404*(1-I1404)*(1-ADD.DISCOUNT)*(1+MAT.SURCHARGE)/EXC.RATE_1),CURRENCY.FORMAT_1),CURRENCY.FORMAT_1,0)),'DICTIONARY-5'!$A$2)</f>
        <v>125,-</v>
      </c>
      <c r="M1404" s="670" t="str">
        <f>IF(EXC.RATE_2=0,"",IFERROR(IF(CURRENCY.FORMAT_2=0,CONCATENATE(TEXT(FIXED(ROUND(IF(EXC.RATE.SWITCH=1,C1404*(1-I1404)*(1-ADD.DISCOUNT)*(1+MAT.SURCHARGE)/EXC.RATE_2,C1404*(1-I1404)*(1-ADD.DISCOUNT)*(1+MAT.SURCHARGE)*EXC.RATE_2),CURRENCY.FORMAT_2),CURRENCY.FORMAT_2,1),"# ##0;-# ##0"),",-"),FIXED(ROUND(IF(EXC.RATE.SWITCH=1,C1404*(1-I1404)*(1-ADD.DISCOUNT)*(1+MAT.SURCHARGE)/EXC.RATE_2,C1404*(1-I1404)*(1-ADD.DISCOUNT)*(1+MAT.SURCHARGE)*EXC.RATE_2),CURRENCY.FORMAT_2),CURRENCY.FORMAT_2,0)),'DICTIONARY-5'!$A$2))</f>
        <v/>
      </c>
      <c r="N1404" s="539">
        <v>5</v>
      </c>
      <c r="O1404" s="539"/>
      <c r="P1404" s="731" t="str">
        <f>'DICTIONARY-3'!$A$103</f>
        <v>ZETKA</v>
      </c>
      <c r="Q1404" s="732" t="str">
        <f>'DICTIONARY-3'!$A$232</f>
        <v>Dysk wymienny</v>
      </c>
      <c r="R1404" s="732" t="str">
        <f>CONCATENATE('DICTIONARY-3'!$A$103," ",'DICTIONARY-3'!$A$232," ",'DICTIONARY-2'!$A$2,"300",", ",'DICTIONARY-5'!$A$44)</f>
        <v>ZETKA Dysk wymienny DN300, EPDM</v>
      </c>
      <c r="S1404" s="733"/>
      <c r="T1404" s="732"/>
      <c r="U1404" s="734" t="s">
        <v>5752</v>
      </c>
      <c r="V1404" s="735">
        <v>16</v>
      </c>
      <c r="W1404" s="736"/>
      <c r="X1404" s="737"/>
      <c r="Y1404" s="738"/>
      <c r="Z1404" s="739"/>
      <c r="AA1404" s="739"/>
      <c r="AB1404" s="740">
        <v>16</v>
      </c>
      <c r="AC1404" s="741" t="s">
        <v>5569</v>
      </c>
      <c r="AD1404" s="741" t="str">
        <f>'DICTIONARY-5'!$A$13</f>
        <v>woda pitna</v>
      </c>
      <c r="AE1404" s="742">
        <v>70</v>
      </c>
      <c r="AF1404" s="743">
        <v>6.7450000000000001</v>
      </c>
      <c r="AG1404" s="741" t="str">
        <f>'DICTIONARY-5'!$A$23</f>
        <v>powłoka epoksydowa</v>
      </c>
    </row>
    <row r="1405" spans="1:33" x14ac:dyDescent="0.25">
      <c r="A1405" s="861" t="s">
        <v>1411</v>
      </c>
      <c r="B1405" s="861" t="s">
        <v>4517</v>
      </c>
      <c r="C1405" s="836">
        <v>1039</v>
      </c>
      <c r="D1405" s="836"/>
      <c r="E1405" s="836"/>
      <c r="F1405" s="836"/>
      <c r="G1405" s="496" t="s">
        <v>7829</v>
      </c>
      <c r="H1405" s="797" t="str">
        <f>VLOOKUP(G1405,SETTINGS!$B$7:$D$97,2,0)</f>
        <v>HADE</v>
      </c>
      <c r="I1405" s="796">
        <f>VLOOKUP(G1405,SETTINGS!$B$7:$D$97,3,0)</f>
        <v>0</v>
      </c>
      <c r="J1405" s="670" t="str">
        <f>IFERROR(IF(CURRENCY.FORMAT_1=0,CONCATENATE(TEXT(FIXED(ROUND((C1405/EXC.RATE_1),CURRENCY.FORMAT_1),CURRENCY.FORMAT_1,1),"# ##0;-# ##0"),",-"),FIXED(ROUND((C1405/EXC.RATE_1),CURRENCY.FORMAT_1),CURRENCY.FORMAT_1,0)),'DICTIONARY-5'!$A$2)</f>
        <v>1 039,-</v>
      </c>
      <c r="K1405" s="670" t="str">
        <f>IF(EXC.RATE_2=0,"",IFERROR(IF(CURRENCY.FORMAT_2=0,CONCATENATE(TEXT(FIXED(ROUND(IF(EXC.RATE.SWITCH=1,C1405/EXC.RATE_2,C1405*EXC.RATE_2),CURRENCY.FORMAT_2),CURRENCY.FORMAT_2,1),"# ##0;-# ##0"),",-"),FIXED(ROUND(IF(EXC.RATE.SWITCH=1,C1405/EXC.RATE_2,C1405*EXC.RATE_2),CURRENCY.FORMAT_2),CURRENCY.FORMAT_2,0)),'DICTIONARY-5'!$A$2))</f>
        <v/>
      </c>
      <c r="L1405" s="670" t="str">
        <f>IFERROR(IF(CURRENCY.FORMAT_1=0,CONCATENATE(TEXT(FIXED(ROUND((C1405*(1-I1405)*(1-ADD.DISCOUNT)*(1+MAT.SURCHARGE)/EXC.RATE_1),CURRENCY.FORMAT_1),CURRENCY.FORMAT_1,1),"# ##0;-# ##0"),",-"),FIXED(ROUND((C1405*(1-I1405)*(1-ADD.DISCOUNT)*(1+MAT.SURCHARGE)/EXC.RATE_1),CURRENCY.FORMAT_1),CURRENCY.FORMAT_1,0)),'DICTIONARY-5'!$A$2)</f>
        <v>1 080,-</v>
      </c>
      <c r="M1405" s="670" t="str">
        <f>IF(EXC.RATE_2=0,"",IFERROR(IF(CURRENCY.FORMAT_2=0,CONCATENATE(TEXT(FIXED(ROUND(IF(EXC.RATE.SWITCH=1,C1405*(1-I1405)*(1-ADD.DISCOUNT)*(1+MAT.SURCHARGE)/EXC.RATE_2,C1405*(1-I1405)*(1-ADD.DISCOUNT)*(1+MAT.SURCHARGE)*EXC.RATE_2),CURRENCY.FORMAT_2),CURRENCY.FORMAT_2,1),"# ##0;-# ##0"),",-"),FIXED(ROUND(IF(EXC.RATE.SWITCH=1,C1405*(1-I1405)*(1-ADD.DISCOUNT)*(1+MAT.SURCHARGE)/EXC.RATE_2,C1405*(1-I1405)*(1-ADD.DISCOUNT)*(1+MAT.SURCHARGE)*EXC.RATE_2),CURRENCY.FORMAT_2),CURRENCY.FORMAT_2,0)),'DICTIONARY-5'!$A$2))</f>
        <v/>
      </c>
      <c r="N1405" s="539">
        <v>5</v>
      </c>
      <c r="O1405" s="539"/>
      <c r="P1405" s="732" t="str">
        <f>'DICTIONARY-3'!$A$36</f>
        <v>HADE PTK-BS</v>
      </c>
      <c r="Q1405" s="732" t="str">
        <f>'DICTIONARY-3'!$A$203</f>
        <v>Klapa przeciwcofkowa</v>
      </c>
      <c r="R1405" s="732" t="str">
        <f>CONCATENATE('DICTIONARY-3'!$A$36," ",'DICTIONARY-6'!$A$19,", ",'DICTIONARY-5'!$A$199," ",'DICTIONARY-2'!$A$5,"290",'DICTIONARY-2'!$A$17,", ",'DICTIONARY-6'!$A$76," ",UPPER('DICTIONARY-5'!$A$47),"+",UPPER('DICTIONARY-5'!$A$40))</f>
        <v>HADE PTK-BS Klapa przeciwcofk., końcówka bosa Da290mm, ruroc. BETON+STAL</v>
      </c>
      <c r="S1405" s="733"/>
      <c r="T1405" s="732"/>
      <c r="U1405" s="734"/>
      <c r="V1405" s="735"/>
      <c r="W1405" s="744" t="s">
        <v>2052</v>
      </c>
      <c r="X1405" s="737"/>
      <c r="Y1405" s="738"/>
      <c r="Z1405" s="739"/>
      <c r="AA1405" s="739"/>
      <c r="AB1405" s="746">
        <v>0.1</v>
      </c>
      <c r="AC1405" s="741"/>
      <c r="AD1405" s="741"/>
      <c r="AE1405" s="742"/>
      <c r="AF1405" s="743">
        <v>13.5</v>
      </c>
      <c r="AG1405" s="741"/>
    </row>
    <row r="1406" spans="1:33" x14ac:dyDescent="0.25">
      <c r="A1406" s="861" t="s">
        <v>1412</v>
      </c>
      <c r="B1406" s="861" t="s">
        <v>4524</v>
      </c>
      <c r="C1406" s="836">
        <v>1273</v>
      </c>
      <c r="D1406" s="836"/>
      <c r="E1406" s="836"/>
      <c r="F1406" s="836"/>
      <c r="G1406" s="496" t="s">
        <v>7829</v>
      </c>
      <c r="H1406" s="797" t="str">
        <f>VLOOKUP(G1406,SETTINGS!$B$7:$D$97,2,0)</f>
        <v>HADE</v>
      </c>
      <c r="I1406" s="796">
        <f>VLOOKUP(G1406,SETTINGS!$B$7:$D$97,3,0)</f>
        <v>0</v>
      </c>
      <c r="J1406" s="670" t="str">
        <f>IFERROR(IF(CURRENCY.FORMAT_1=0,CONCATENATE(TEXT(FIXED(ROUND((C1406/EXC.RATE_1),CURRENCY.FORMAT_1),CURRENCY.FORMAT_1,1),"# ##0;-# ##0"),",-"),FIXED(ROUND((C1406/EXC.RATE_1),CURRENCY.FORMAT_1),CURRENCY.FORMAT_1,0)),'DICTIONARY-5'!$A$2)</f>
        <v>1 273,-</v>
      </c>
      <c r="K1406" s="670" t="str">
        <f>IF(EXC.RATE_2=0,"",IFERROR(IF(CURRENCY.FORMAT_2=0,CONCATENATE(TEXT(FIXED(ROUND(IF(EXC.RATE.SWITCH=1,C1406/EXC.RATE_2,C1406*EXC.RATE_2),CURRENCY.FORMAT_2),CURRENCY.FORMAT_2,1),"# ##0;-# ##0"),",-"),FIXED(ROUND(IF(EXC.RATE.SWITCH=1,C1406/EXC.RATE_2,C1406*EXC.RATE_2),CURRENCY.FORMAT_2),CURRENCY.FORMAT_2,0)),'DICTIONARY-5'!$A$2))</f>
        <v/>
      </c>
      <c r="L1406" s="670" t="str">
        <f>IFERROR(IF(CURRENCY.FORMAT_1=0,CONCATENATE(TEXT(FIXED(ROUND((C1406*(1-I1406)*(1-ADD.DISCOUNT)*(1+MAT.SURCHARGE)/EXC.RATE_1),CURRENCY.FORMAT_1),CURRENCY.FORMAT_1,1),"# ##0;-# ##0"),",-"),FIXED(ROUND((C1406*(1-I1406)*(1-ADD.DISCOUNT)*(1+MAT.SURCHARGE)/EXC.RATE_1),CURRENCY.FORMAT_1),CURRENCY.FORMAT_1,0)),'DICTIONARY-5'!$A$2)</f>
        <v>1 323,-</v>
      </c>
      <c r="M1406" s="670" t="str">
        <f>IF(EXC.RATE_2=0,"",IFERROR(IF(CURRENCY.FORMAT_2=0,CONCATENATE(TEXT(FIXED(ROUND(IF(EXC.RATE.SWITCH=1,C1406*(1-I1406)*(1-ADD.DISCOUNT)*(1+MAT.SURCHARGE)/EXC.RATE_2,C1406*(1-I1406)*(1-ADD.DISCOUNT)*(1+MAT.SURCHARGE)*EXC.RATE_2),CURRENCY.FORMAT_2),CURRENCY.FORMAT_2,1),"# ##0;-# ##0"),",-"),FIXED(ROUND(IF(EXC.RATE.SWITCH=1,C1406*(1-I1406)*(1-ADD.DISCOUNT)*(1+MAT.SURCHARGE)/EXC.RATE_2,C1406*(1-I1406)*(1-ADD.DISCOUNT)*(1+MAT.SURCHARGE)*EXC.RATE_2),CURRENCY.FORMAT_2),CURRENCY.FORMAT_2,0)),'DICTIONARY-5'!$A$2))</f>
        <v/>
      </c>
      <c r="N1406" s="539">
        <v>5</v>
      </c>
      <c r="O1406" s="539"/>
      <c r="P1406" s="732" t="str">
        <f>'DICTIONARY-3'!$A$36</f>
        <v>HADE PTK-BS</v>
      </c>
      <c r="Q1406" s="732" t="str">
        <f>'DICTIONARY-3'!$A$203</f>
        <v>Klapa przeciwcofkowa</v>
      </c>
      <c r="R1406" s="732" t="str">
        <f>CONCATENATE('DICTIONARY-3'!$A$36," ",'DICTIONARY-6'!$A$19,", ",'DICTIONARY-5'!$A$199," ",'DICTIONARY-2'!$A$5,"390",'DICTIONARY-2'!$A$17,", ",'DICTIONARY-6'!$A$76," ",UPPER('DICTIONARY-5'!$A$47),"+",UPPER('DICTIONARY-5'!$A$40))</f>
        <v>HADE PTK-BS Klapa przeciwcofk., końcówka bosa Da390mm, ruroc. BETON+STAL</v>
      </c>
      <c r="S1406" s="733" t="s">
        <v>5569</v>
      </c>
      <c r="T1406" s="732" t="s">
        <v>5569</v>
      </c>
      <c r="U1406" s="734"/>
      <c r="V1406" s="735"/>
      <c r="W1406" s="744" t="s">
        <v>7351</v>
      </c>
      <c r="X1406" s="737"/>
      <c r="Y1406" s="738"/>
      <c r="Z1406" s="739"/>
      <c r="AA1406" s="739"/>
      <c r="AB1406" s="746">
        <v>0.1</v>
      </c>
      <c r="AC1406" s="741"/>
      <c r="AD1406" s="741"/>
      <c r="AE1406" s="742"/>
      <c r="AF1406" s="743">
        <v>23</v>
      </c>
      <c r="AG1406" s="741"/>
    </row>
    <row r="1407" spans="1:33" x14ac:dyDescent="0.25">
      <c r="A1407" s="861" t="s">
        <v>1413</v>
      </c>
      <c r="B1407" s="861" t="s">
        <v>4531</v>
      </c>
      <c r="C1407" s="836">
        <v>1630</v>
      </c>
      <c r="D1407" s="836"/>
      <c r="E1407" s="836"/>
      <c r="F1407" s="836"/>
      <c r="G1407" s="496" t="s">
        <v>7829</v>
      </c>
      <c r="H1407" s="797" t="str">
        <f>VLOOKUP(G1407,SETTINGS!$B$7:$D$97,2,0)</f>
        <v>HADE</v>
      </c>
      <c r="I1407" s="796">
        <f>VLOOKUP(G1407,SETTINGS!$B$7:$D$97,3,0)</f>
        <v>0</v>
      </c>
      <c r="J1407" s="670" t="str">
        <f>IFERROR(IF(CURRENCY.FORMAT_1=0,CONCATENATE(TEXT(FIXED(ROUND((C1407/EXC.RATE_1),CURRENCY.FORMAT_1),CURRENCY.FORMAT_1,1),"# ##0;-# ##0"),",-"),FIXED(ROUND((C1407/EXC.RATE_1),CURRENCY.FORMAT_1),CURRENCY.FORMAT_1,0)),'DICTIONARY-5'!$A$2)</f>
        <v>1 630,-</v>
      </c>
      <c r="K1407" s="670" t="str">
        <f>IF(EXC.RATE_2=0,"",IFERROR(IF(CURRENCY.FORMAT_2=0,CONCATENATE(TEXT(FIXED(ROUND(IF(EXC.RATE.SWITCH=1,C1407/EXC.RATE_2,C1407*EXC.RATE_2),CURRENCY.FORMAT_2),CURRENCY.FORMAT_2,1),"# ##0;-# ##0"),",-"),FIXED(ROUND(IF(EXC.RATE.SWITCH=1,C1407/EXC.RATE_2,C1407*EXC.RATE_2),CURRENCY.FORMAT_2),CURRENCY.FORMAT_2,0)),'DICTIONARY-5'!$A$2))</f>
        <v/>
      </c>
      <c r="L1407" s="670" t="str">
        <f>IFERROR(IF(CURRENCY.FORMAT_1=0,CONCATENATE(TEXT(FIXED(ROUND((C1407*(1-I1407)*(1-ADD.DISCOUNT)*(1+MAT.SURCHARGE)/EXC.RATE_1),CURRENCY.FORMAT_1),CURRENCY.FORMAT_1,1),"# ##0;-# ##0"),",-"),FIXED(ROUND((C1407*(1-I1407)*(1-ADD.DISCOUNT)*(1+MAT.SURCHARGE)/EXC.RATE_1),CURRENCY.FORMAT_1),CURRENCY.FORMAT_1,0)),'DICTIONARY-5'!$A$2)</f>
        <v>1 694,-</v>
      </c>
      <c r="M1407" s="670" t="str">
        <f>IF(EXC.RATE_2=0,"",IFERROR(IF(CURRENCY.FORMAT_2=0,CONCATENATE(TEXT(FIXED(ROUND(IF(EXC.RATE.SWITCH=1,C1407*(1-I1407)*(1-ADD.DISCOUNT)*(1+MAT.SURCHARGE)/EXC.RATE_2,C1407*(1-I1407)*(1-ADD.DISCOUNT)*(1+MAT.SURCHARGE)*EXC.RATE_2),CURRENCY.FORMAT_2),CURRENCY.FORMAT_2,1),"# ##0;-# ##0"),",-"),FIXED(ROUND(IF(EXC.RATE.SWITCH=1,C1407*(1-I1407)*(1-ADD.DISCOUNT)*(1+MAT.SURCHARGE)/EXC.RATE_2,C1407*(1-I1407)*(1-ADD.DISCOUNT)*(1+MAT.SURCHARGE)*EXC.RATE_2),CURRENCY.FORMAT_2),CURRENCY.FORMAT_2,0)),'DICTIONARY-5'!$A$2))</f>
        <v/>
      </c>
      <c r="N1407" s="539">
        <v>5</v>
      </c>
      <c r="O1407" s="539"/>
      <c r="P1407" s="732" t="str">
        <f>'DICTIONARY-3'!$A$36</f>
        <v>HADE PTK-BS</v>
      </c>
      <c r="Q1407" s="732" t="str">
        <f>'DICTIONARY-3'!$A$203</f>
        <v>Klapa przeciwcofkowa</v>
      </c>
      <c r="R1407" s="732" t="str">
        <f>CONCATENATE('DICTIONARY-3'!$A$36," ",'DICTIONARY-6'!$A$19,", ",'DICTIONARY-5'!$A$199," ",'DICTIONARY-2'!$A$5,"490",'DICTIONARY-2'!$A$17,", ",'DICTIONARY-6'!$A$76," ",UPPER('DICTIONARY-5'!$A$47),"+",UPPER('DICTIONARY-5'!$A$40))</f>
        <v>HADE PTK-BS Klapa przeciwcofk., końcówka bosa Da490mm, ruroc. BETON+STAL</v>
      </c>
      <c r="S1407" s="733" t="s">
        <v>5569</v>
      </c>
      <c r="T1407" s="732" t="s">
        <v>5569</v>
      </c>
      <c r="U1407" s="734"/>
      <c r="V1407" s="735"/>
      <c r="W1407" s="744" t="s">
        <v>7352</v>
      </c>
      <c r="X1407" s="737"/>
      <c r="Y1407" s="738"/>
      <c r="Z1407" s="739"/>
      <c r="AA1407" s="739"/>
      <c r="AB1407" s="746">
        <v>0.1</v>
      </c>
      <c r="AC1407" s="741"/>
      <c r="AD1407" s="741"/>
      <c r="AE1407" s="742"/>
      <c r="AF1407" s="743">
        <v>34</v>
      </c>
      <c r="AG1407" s="741"/>
    </row>
    <row r="1408" spans="1:33" x14ac:dyDescent="0.25">
      <c r="A1408" s="861" t="s">
        <v>1414</v>
      </c>
      <c r="B1408" s="861" t="s">
        <v>4538</v>
      </c>
      <c r="C1408" s="836">
        <v>3046</v>
      </c>
      <c r="D1408" s="836"/>
      <c r="E1408" s="836"/>
      <c r="F1408" s="836"/>
      <c r="G1408" s="496" t="s">
        <v>7829</v>
      </c>
      <c r="H1408" s="797" t="str">
        <f>VLOOKUP(G1408,SETTINGS!$B$7:$D$97,2,0)</f>
        <v>HADE</v>
      </c>
      <c r="I1408" s="796">
        <f>VLOOKUP(G1408,SETTINGS!$B$7:$D$97,3,0)</f>
        <v>0</v>
      </c>
      <c r="J1408" s="670" t="str">
        <f>IFERROR(IF(CURRENCY.FORMAT_1=0,CONCATENATE(TEXT(FIXED(ROUND((C1408/EXC.RATE_1),CURRENCY.FORMAT_1),CURRENCY.FORMAT_1,1),"# ##0;-# ##0"),",-"),FIXED(ROUND((C1408/EXC.RATE_1),CURRENCY.FORMAT_1),CURRENCY.FORMAT_1,0)),'DICTIONARY-5'!$A$2)</f>
        <v>3 046,-</v>
      </c>
      <c r="K1408" s="670" t="str">
        <f>IF(EXC.RATE_2=0,"",IFERROR(IF(CURRENCY.FORMAT_2=0,CONCATENATE(TEXT(FIXED(ROUND(IF(EXC.RATE.SWITCH=1,C1408/EXC.RATE_2,C1408*EXC.RATE_2),CURRENCY.FORMAT_2),CURRENCY.FORMAT_2,1),"# ##0;-# ##0"),",-"),FIXED(ROUND(IF(EXC.RATE.SWITCH=1,C1408/EXC.RATE_2,C1408*EXC.RATE_2),CURRENCY.FORMAT_2),CURRENCY.FORMAT_2,0)),'DICTIONARY-5'!$A$2))</f>
        <v/>
      </c>
      <c r="L1408" s="670" t="str">
        <f>IFERROR(IF(CURRENCY.FORMAT_1=0,CONCATENATE(TEXT(FIXED(ROUND((C1408*(1-I1408)*(1-ADD.DISCOUNT)*(1+MAT.SURCHARGE)/EXC.RATE_1),CURRENCY.FORMAT_1),CURRENCY.FORMAT_1,1),"# ##0;-# ##0"),",-"),FIXED(ROUND((C1408*(1-I1408)*(1-ADD.DISCOUNT)*(1+MAT.SURCHARGE)/EXC.RATE_1),CURRENCY.FORMAT_1),CURRENCY.FORMAT_1,0)),'DICTIONARY-5'!$A$2)</f>
        <v>3 165,-</v>
      </c>
      <c r="M1408" s="670" t="str">
        <f>IF(EXC.RATE_2=0,"",IFERROR(IF(CURRENCY.FORMAT_2=0,CONCATENATE(TEXT(FIXED(ROUND(IF(EXC.RATE.SWITCH=1,C1408*(1-I1408)*(1-ADD.DISCOUNT)*(1+MAT.SURCHARGE)/EXC.RATE_2,C1408*(1-I1408)*(1-ADD.DISCOUNT)*(1+MAT.SURCHARGE)*EXC.RATE_2),CURRENCY.FORMAT_2),CURRENCY.FORMAT_2,1),"# ##0;-# ##0"),",-"),FIXED(ROUND(IF(EXC.RATE.SWITCH=1,C1408*(1-I1408)*(1-ADD.DISCOUNT)*(1+MAT.SURCHARGE)/EXC.RATE_2,C1408*(1-I1408)*(1-ADD.DISCOUNT)*(1+MAT.SURCHARGE)*EXC.RATE_2),CURRENCY.FORMAT_2),CURRENCY.FORMAT_2,0)),'DICTIONARY-5'!$A$2))</f>
        <v/>
      </c>
      <c r="N1408" s="539">
        <v>5</v>
      </c>
      <c r="O1408" s="539"/>
      <c r="P1408" s="732" t="str">
        <f>'DICTIONARY-3'!$A$36</f>
        <v>HADE PTK-BS</v>
      </c>
      <c r="Q1408" s="732" t="str">
        <f>'DICTIONARY-3'!$A$203</f>
        <v>Klapa przeciwcofkowa</v>
      </c>
      <c r="R1408" s="732" t="str">
        <f>CONCATENATE('DICTIONARY-3'!$A$36," ",'DICTIONARY-6'!$A$19,", ",'DICTIONARY-5'!$A$199," ",'DICTIONARY-2'!$A$5,"590",'DICTIONARY-2'!$A$17,", ",'DICTIONARY-6'!$A$76," ",UPPER('DICTIONARY-5'!$A$47),"+",UPPER('DICTIONARY-5'!$A$40))</f>
        <v>HADE PTK-BS Klapa przeciwcofk., końcówka bosa Da590mm, ruroc. BETON+STAL</v>
      </c>
      <c r="S1408" s="733" t="s">
        <v>5569</v>
      </c>
      <c r="T1408" s="732" t="s">
        <v>5569</v>
      </c>
      <c r="U1408" s="734"/>
      <c r="V1408" s="735"/>
      <c r="W1408" s="744" t="s">
        <v>7353</v>
      </c>
      <c r="X1408" s="737"/>
      <c r="Y1408" s="738"/>
      <c r="Z1408" s="739"/>
      <c r="AA1408" s="739"/>
      <c r="AB1408" s="746">
        <v>0.1</v>
      </c>
      <c r="AC1408" s="741"/>
      <c r="AD1408" s="741"/>
      <c r="AE1408" s="742"/>
      <c r="AF1408" s="743">
        <v>48</v>
      </c>
      <c r="AG1408" s="741"/>
    </row>
    <row r="1409" spans="1:33" x14ac:dyDescent="0.25">
      <c r="A1409" s="861" t="s">
        <v>1415</v>
      </c>
      <c r="B1409" s="861" t="s">
        <v>4545</v>
      </c>
      <c r="C1409" s="836">
        <v>2357</v>
      </c>
      <c r="D1409" s="836"/>
      <c r="E1409" s="836"/>
      <c r="F1409" s="836"/>
      <c r="G1409" s="496" t="s">
        <v>7829</v>
      </c>
      <c r="H1409" s="797" t="str">
        <f>VLOOKUP(G1409,SETTINGS!$B$7:$D$97,2,0)</f>
        <v>HADE</v>
      </c>
      <c r="I1409" s="796">
        <f>VLOOKUP(G1409,SETTINGS!$B$7:$D$97,3,0)</f>
        <v>0</v>
      </c>
      <c r="J1409" s="670" t="str">
        <f>IFERROR(IF(CURRENCY.FORMAT_1=0,CONCATENATE(TEXT(FIXED(ROUND((C1409/EXC.RATE_1),CURRENCY.FORMAT_1),CURRENCY.FORMAT_1,1),"# ##0;-# ##0"),",-"),FIXED(ROUND((C1409/EXC.RATE_1),CURRENCY.FORMAT_1),CURRENCY.FORMAT_1,0)),'DICTIONARY-5'!$A$2)</f>
        <v>2 357,-</v>
      </c>
      <c r="K1409" s="670" t="str">
        <f>IF(EXC.RATE_2=0,"",IFERROR(IF(CURRENCY.FORMAT_2=0,CONCATENATE(TEXT(FIXED(ROUND(IF(EXC.RATE.SWITCH=1,C1409/EXC.RATE_2,C1409*EXC.RATE_2),CURRENCY.FORMAT_2),CURRENCY.FORMAT_2,1),"# ##0;-# ##0"),",-"),FIXED(ROUND(IF(EXC.RATE.SWITCH=1,C1409/EXC.RATE_2,C1409*EXC.RATE_2),CURRENCY.FORMAT_2),CURRENCY.FORMAT_2,0)),'DICTIONARY-5'!$A$2))</f>
        <v/>
      </c>
      <c r="L1409" s="670" t="str">
        <f>IFERROR(IF(CURRENCY.FORMAT_1=0,CONCATENATE(TEXT(FIXED(ROUND((C1409*(1-I1409)*(1-ADD.DISCOUNT)*(1+MAT.SURCHARGE)/EXC.RATE_1),CURRENCY.FORMAT_1),CURRENCY.FORMAT_1,1),"# ##0;-# ##0"),",-"),FIXED(ROUND((C1409*(1-I1409)*(1-ADD.DISCOUNT)*(1+MAT.SURCHARGE)/EXC.RATE_1),CURRENCY.FORMAT_1),CURRENCY.FORMAT_1,0)),'DICTIONARY-5'!$A$2)</f>
        <v>2 449,-</v>
      </c>
      <c r="M1409" s="670" t="str">
        <f>IF(EXC.RATE_2=0,"",IFERROR(IF(CURRENCY.FORMAT_2=0,CONCATENATE(TEXT(FIXED(ROUND(IF(EXC.RATE.SWITCH=1,C1409*(1-I1409)*(1-ADD.DISCOUNT)*(1+MAT.SURCHARGE)/EXC.RATE_2,C1409*(1-I1409)*(1-ADD.DISCOUNT)*(1+MAT.SURCHARGE)*EXC.RATE_2),CURRENCY.FORMAT_2),CURRENCY.FORMAT_2,1),"# ##0;-# ##0"),",-"),FIXED(ROUND(IF(EXC.RATE.SWITCH=1,C1409*(1-I1409)*(1-ADD.DISCOUNT)*(1+MAT.SURCHARGE)/EXC.RATE_2,C1409*(1-I1409)*(1-ADD.DISCOUNT)*(1+MAT.SURCHARGE)*EXC.RATE_2),CURRENCY.FORMAT_2),CURRENCY.FORMAT_2,0)),'DICTIONARY-5'!$A$2))</f>
        <v/>
      </c>
      <c r="N1409" s="539">
        <v>5</v>
      </c>
      <c r="O1409" s="539"/>
      <c r="P1409" s="732" t="str">
        <f>'DICTIONARY-3'!$A$36</f>
        <v>HADE PTK-BS</v>
      </c>
      <c r="Q1409" s="732" t="str">
        <f>'DICTIONARY-3'!$A$203</f>
        <v>Klapa przeciwcofkowa</v>
      </c>
      <c r="R1409" s="732" t="str">
        <f>CONCATENATE('DICTIONARY-3'!$A$36," ",'DICTIONARY-6'!$A$19,", ",'DICTIONARY-5'!$A$199," ",'DICTIONARY-2'!$A$5,"690",'DICTIONARY-2'!$A$17,", ",'DICTIONARY-6'!$A$76," ",UPPER('DICTIONARY-5'!$A$47),"+",UPPER('DICTIONARY-5'!$A$40))</f>
        <v>HADE PTK-BS Klapa przeciwcofk., końcówka bosa Da690mm, ruroc. BETON+STAL</v>
      </c>
      <c r="S1409" s="733" t="s">
        <v>5569</v>
      </c>
      <c r="T1409" s="732" t="s">
        <v>5569</v>
      </c>
      <c r="U1409" s="734"/>
      <c r="V1409" s="735"/>
      <c r="W1409" s="744" t="s">
        <v>7354</v>
      </c>
      <c r="X1409" s="737"/>
      <c r="Y1409" s="738"/>
      <c r="Z1409" s="739"/>
      <c r="AA1409" s="739"/>
      <c r="AB1409" s="746">
        <v>0.1</v>
      </c>
      <c r="AC1409" s="741"/>
      <c r="AD1409" s="741"/>
      <c r="AE1409" s="742"/>
      <c r="AF1409" s="743">
        <v>65</v>
      </c>
      <c r="AG1409" s="741"/>
    </row>
    <row r="1410" spans="1:33" x14ac:dyDescent="0.25">
      <c r="A1410" s="861" t="s">
        <v>1416</v>
      </c>
      <c r="B1410" s="861" t="s">
        <v>4551</v>
      </c>
      <c r="C1410" s="836">
        <v>4194</v>
      </c>
      <c r="D1410" s="836"/>
      <c r="E1410" s="836"/>
      <c r="F1410" s="836"/>
      <c r="G1410" s="496" t="s">
        <v>7829</v>
      </c>
      <c r="H1410" s="797" t="str">
        <f>VLOOKUP(G1410,SETTINGS!$B$7:$D$97,2,0)</f>
        <v>HADE</v>
      </c>
      <c r="I1410" s="796">
        <f>VLOOKUP(G1410,SETTINGS!$B$7:$D$97,3,0)</f>
        <v>0</v>
      </c>
      <c r="J1410" s="670" t="str">
        <f>IFERROR(IF(CURRENCY.FORMAT_1=0,CONCATENATE(TEXT(FIXED(ROUND((C1410/EXC.RATE_1),CURRENCY.FORMAT_1),CURRENCY.FORMAT_1,1),"# ##0;-# ##0"),",-"),FIXED(ROUND((C1410/EXC.RATE_1),CURRENCY.FORMAT_1),CURRENCY.FORMAT_1,0)),'DICTIONARY-5'!$A$2)</f>
        <v>4 194,-</v>
      </c>
      <c r="K1410" s="670" t="str">
        <f>IF(EXC.RATE_2=0,"",IFERROR(IF(CURRENCY.FORMAT_2=0,CONCATENATE(TEXT(FIXED(ROUND(IF(EXC.RATE.SWITCH=1,C1410/EXC.RATE_2,C1410*EXC.RATE_2),CURRENCY.FORMAT_2),CURRENCY.FORMAT_2,1),"# ##0;-# ##0"),",-"),FIXED(ROUND(IF(EXC.RATE.SWITCH=1,C1410/EXC.RATE_2,C1410*EXC.RATE_2),CURRENCY.FORMAT_2),CURRENCY.FORMAT_2,0)),'DICTIONARY-5'!$A$2))</f>
        <v/>
      </c>
      <c r="L1410" s="670" t="str">
        <f>IFERROR(IF(CURRENCY.FORMAT_1=0,CONCATENATE(TEXT(FIXED(ROUND((C1410*(1-I1410)*(1-ADD.DISCOUNT)*(1+MAT.SURCHARGE)/EXC.RATE_1),CURRENCY.FORMAT_1),CURRENCY.FORMAT_1,1),"# ##0;-# ##0"),",-"),FIXED(ROUND((C1410*(1-I1410)*(1-ADD.DISCOUNT)*(1+MAT.SURCHARGE)/EXC.RATE_1),CURRENCY.FORMAT_1),CURRENCY.FORMAT_1,0)),'DICTIONARY-5'!$A$2)</f>
        <v>4 358,-</v>
      </c>
      <c r="M1410" s="670" t="str">
        <f>IF(EXC.RATE_2=0,"",IFERROR(IF(CURRENCY.FORMAT_2=0,CONCATENATE(TEXT(FIXED(ROUND(IF(EXC.RATE.SWITCH=1,C1410*(1-I1410)*(1-ADD.DISCOUNT)*(1+MAT.SURCHARGE)/EXC.RATE_2,C1410*(1-I1410)*(1-ADD.DISCOUNT)*(1+MAT.SURCHARGE)*EXC.RATE_2),CURRENCY.FORMAT_2),CURRENCY.FORMAT_2,1),"# ##0;-# ##0"),",-"),FIXED(ROUND(IF(EXC.RATE.SWITCH=1,C1410*(1-I1410)*(1-ADD.DISCOUNT)*(1+MAT.SURCHARGE)/EXC.RATE_2,C1410*(1-I1410)*(1-ADD.DISCOUNT)*(1+MAT.SURCHARGE)*EXC.RATE_2),CURRENCY.FORMAT_2),CURRENCY.FORMAT_2,0)),'DICTIONARY-5'!$A$2))</f>
        <v/>
      </c>
      <c r="N1410" s="539">
        <v>5</v>
      </c>
      <c r="O1410" s="539"/>
      <c r="P1410" s="732" t="str">
        <f>'DICTIONARY-3'!$A$36</f>
        <v>HADE PTK-BS</v>
      </c>
      <c r="Q1410" s="732" t="str">
        <f>'DICTIONARY-3'!$A$203</f>
        <v>Klapa przeciwcofkowa</v>
      </c>
      <c r="R1410" s="732" t="str">
        <f>CONCATENATE('DICTIONARY-3'!$A$36," ",'DICTIONARY-6'!$A$19,", ",'DICTIONARY-5'!$A$199," ",'DICTIONARY-2'!$A$5,"790",'DICTIONARY-2'!$A$17,", ",'DICTIONARY-6'!$A$76," ",UPPER('DICTIONARY-5'!$A$47),"+",UPPER('DICTIONARY-5'!$A$40))</f>
        <v>HADE PTK-BS Klapa przeciwcofk., końcówka bosa Da790mm, ruroc. BETON+STAL</v>
      </c>
      <c r="S1410" s="733" t="s">
        <v>5569</v>
      </c>
      <c r="T1410" s="732" t="s">
        <v>5569</v>
      </c>
      <c r="U1410" s="734"/>
      <c r="V1410" s="735"/>
      <c r="W1410" s="744" t="s">
        <v>7355</v>
      </c>
      <c r="X1410" s="737"/>
      <c r="Y1410" s="738"/>
      <c r="Z1410" s="739"/>
      <c r="AA1410" s="739"/>
      <c r="AB1410" s="746">
        <v>0.1</v>
      </c>
      <c r="AC1410" s="741"/>
      <c r="AD1410" s="741"/>
      <c r="AE1410" s="742"/>
      <c r="AF1410" s="743">
        <v>90</v>
      </c>
      <c r="AG1410" s="741"/>
    </row>
    <row r="1411" spans="1:33" x14ac:dyDescent="0.25">
      <c r="A1411" s="861" t="s">
        <v>1417</v>
      </c>
      <c r="B1411" s="861" t="s">
        <v>4557</v>
      </c>
      <c r="C1411" s="836">
        <v>5302</v>
      </c>
      <c r="D1411" s="836"/>
      <c r="E1411" s="836"/>
      <c r="F1411" s="836"/>
      <c r="G1411" s="496" t="s">
        <v>7829</v>
      </c>
      <c r="H1411" s="797" t="str">
        <f>VLOOKUP(G1411,SETTINGS!$B$7:$D$97,2,0)</f>
        <v>HADE</v>
      </c>
      <c r="I1411" s="796">
        <f>VLOOKUP(G1411,SETTINGS!$B$7:$D$97,3,0)</f>
        <v>0</v>
      </c>
      <c r="J1411" s="670" t="str">
        <f>IFERROR(IF(CURRENCY.FORMAT_1=0,CONCATENATE(TEXT(FIXED(ROUND((C1411/EXC.RATE_1),CURRENCY.FORMAT_1),CURRENCY.FORMAT_1,1),"# ##0;-# ##0"),",-"),FIXED(ROUND((C1411/EXC.RATE_1),CURRENCY.FORMAT_1),CURRENCY.FORMAT_1,0)),'DICTIONARY-5'!$A$2)</f>
        <v>5 302,-</v>
      </c>
      <c r="K1411" s="670" t="str">
        <f>IF(EXC.RATE_2=0,"",IFERROR(IF(CURRENCY.FORMAT_2=0,CONCATENATE(TEXT(FIXED(ROUND(IF(EXC.RATE.SWITCH=1,C1411/EXC.RATE_2,C1411*EXC.RATE_2),CURRENCY.FORMAT_2),CURRENCY.FORMAT_2,1),"# ##0;-# ##0"),",-"),FIXED(ROUND(IF(EXC.RATE.SWITCH=1,C1411/EXC.RATE_2,C1411*EXC.RATE_2),CURRENCY.FORMAT_2),CURRENCY.FORMAT_2,0)),'DICTIONARY-5'!$A$2))</f>
        <v/>
      </c>
      <c r="L1411" s="670" t="str">
        <f>IFERROR(IF(CURRENCY.FORMAT_1=0,CONCATENATE(TEXT(FIXED(ROUND((C1411*(1-I1411)*(1-ADD.DISCOUNT)*(1+MAT.SURCHARGE)/EXC.RATE_1),CURRENCY.FORMAT_1),CURRENCY.FORMAT_1,1),"# ##0;-# ##0"),",-"),FIXED(ROUND((C1411*(1-I1411)*(1-ADD.DISCOUNT)*(1+MAT.SURCHARGE)/EXC.RATE_1),CURRENCY.FORMAT_1),CURRENCY.FORMAT_1,0)),'DICTIONARY-5'!$A$2)</f>
        <v>5 509,-</v>
      </c>
      <c r="M1411" s="670" t="str">
        <f>IF(EXC.RATE_2=0,"",IFERROR(IF(CURRENCY.FORMAT_2=0,CONCATENATE(TEXT(FIXED(ROUND(IF(EXC.RATE.SWITCH=1,C1411*(1-I1411)*(1-ADD.DISCOUNT)*(1+MAT.SURCHARGE)/EXC.RATE_2,C1411*(1-I1411)*(1-ADD.DISCOUNT)*(1+MAT.SURCHARGE)*EXC.RATE_2),CURRENCY.FORMAT_2),CURRENCY.FORMAT_2,1),"# ##0;-# ##0"),",-"),FIXED(ROUND(IF(EXC.RATE.SWITCH=1,C1411*(1-I1411)*(1-ADD.DISCOUNT)*(1+MAT.SURCHARGE)/EXC.RATE_2,C1411*(1-I1411)*(1-ADD.DISCOUNT)*(1+MAT.SURCHARGE)*EXC.RATE_2),CURRENCY.FORMAT_2),CURRENCY.FORMAT_2,0)),'DICTIONARY-5'!$A$2))</f>
        <v/>
      </c>
      <c r="N1411" s="539">
        <v>5</v>
      </c>
      <c r="O1411" s="539"/>
      <c r="P1411" s="732" t="str">
        <f>'DICTIONARY-3'!$A$36</f>
        <v>HADE PTK-BS</v>
      </c>
      <c r="Q1411" s="732" t="str">
        <f>'DICTIONARY-3'!$A$203</f>
        <v>Klapa przeciwcofkowa</v>
      </c>
      <c r="R1411" s="732" t="str">
        <f>CONCATENATE('DICTIONARY-3'!$A$36," ",'DICTIONARY-6'!$A$19,", ",'DICTIONARY-5'!$A$199," ",'DICTIONARY-2'!$A$5,"890",'DICTIONARY-2'!$A$17,", ",'DICTIONARY-6'!$A$76," ",UPPER('DICTIONARY-5'!$A$47),"+",UPPER('DICTIONARY-5'!$A$40))</f>
        <v>HADE PTK-BS Klapa przeciwcofk., końcówka bosa Da890mm, ruroc. BETON+STAL</v>
      </c>
      <c r="S1411" s="733" t="s">
        <v>5569</v>
      </c>
      <c r="T1411" s="732" t="s">
        <v>5569</v>
      </c>
      <c r="U1411" s="734"/>
      <c r="V1411" s="735"/>
      <c r="W1411" s="744" t="s">
        <v>7356</v>
      </c>
      <c r="X1411" s="737"/>
      <c r="Y1411" s="738"/>
      <c r="Z1411" s="739"/>
      <c r="AA1411" s="739"/>
      <c r="AB1411" s="746">
        <v>0.1</v>
      </c>
      <c r="AC1411" s="741"/>
      <c r="AD1411" s="741"/>
      <c r="AE1411" s="742"/>
      <c r="AF1411" s="743">
        <v>120</v>
      </c>
      <c r="AG1411" s="741"/>
    </row>
    <row r="1412" spans="1:33" x14ac:dyDescent="0.25">
      <c r="A1412" s="861" t="s">
        <v>1418</v>
      </c>
      <c r="B1412" s="861" t="s">
        <v>4563</v>
      </c>
      <c r="C1412" s="836">
        <v>6173</v>
      </c>
      <c r="D1412" s="836"/>
      <c r="E1412" s="836"/>
      <c r="F1412" s="836"/>
      <c r="G1412" s="496" t="s">
        <v>7829</v>
      </c>
      <c r="H1412" s="797" t="str">
        <f>VLOOKUP(G1412,SETTINGS!$B$7:$D$97,2,0)</f>
        <v>HADE</v>
      </c>
      <c r="I1412" s="796">
        <f>VLOOKUP(G1412,SETTINGS!$B$7:$D$97,3,0)</f>
        <v>0</v>
      </c>
      <c r="J1412" s="670" t="str">
        <f>IFERROR(IF(CURRENCY.FORMAT_1=0,CONCATENATE(TEXT(FIXED(ROUND((C1412/EXC.RATE_1),CURRENCY.FORMAT_1),CURRENCY.FORMAT_1,1),"# ##0;-# ##0"),",-"),FIXED(ROUND((C1412/EXC.RATE_1),CURRENCY.FORMAT_1),CURRENCY.FORMAT_1,0)),'DICTIONARY-5'!$A$2)</f>
        <v>6 173,-</v>
      </c>
      <c r="K1412" s="670" t="str">
        <f>IF(EXC.RATE_2=0,"",IFERROR(IF(CURRENCY.FORMAT_2=0,CONCATENATE(TEXT(FIXED(ROUND(IF(EXC.RATE.SWITCH=1,C1412/EXC.RATE_2,C1412*EXC.RATE_2),CURRENCY.FORMAT_2),CURRENCY.FORMAT_2,1),"# ##0;-# ##0"),",-"),FIXED(ROUND(IF(EXC.RATE.SWITCH=1,C1412/EXC.RATE_2,C1412*EXC.RATE_2),CURRENCY.FORMAT_2),CURRENCY.FORMAT_2,0)),'DICTIONARY-5'!$A$2))</f>
        <v/>
      </c>
      <c r="L1412" s="670" t="str">
        <f>IFERROR(IF(CURRENCY.FORMAT_1=0,CONCATENATE(TEXT(FIXED(ROUND((C1412*(1-I1412)*(1-ADD.DISCOUNT)*(1+MAT.SURCHARGE)/EXC.RATE_1),CURRENCY.FORMAT_1),CURRENCY.FORMAT_1,1),"# ##0;-# ##0"),",-"),FIXED(ROUND((C1412*(1-I1412)*(1-ADD.DISCOUNT)*(1+MAT.SURCHARGE)/EXC.RATE_1),CURRENCY.FORMAT_1),CURRENCY.FORMAT_1,0)),'DICTIONARY-5'!$A$2)</f>
        <v>6 414,-</v>
      </c>
      <c r="M1412" s="670" t="str">
        <f>IF(EXC.RATE_2=0,"",IFERROR(IF(CURRENCY.FORMAT_2=0,CONCATENATE(TEXT(FIXED(ROUND(IF(EXC.RATE.SWITCH=1,C1412*(1-I1412)*(1-ADD.DISCOUNT)*(1+MAT.SURCHARGE)/EXC.RATE_2,C1412*(1-I1412)*(1-ADD.DISCOUNT)*(1+MAT.SURCHARGE)*EXC.RATE_2),CURRENCY.FORMAT_2),CURRENCY.FORMAT_2,1),"# ##0;-# ##0"),",-"),FIXED(ROUND(IF(EXC.RATE.SWITCH=1,C1412*(1-I1412)*(1-ADD.DISCOUNT)*(1+MAT.SURCHARGE)/EXC.RATE_2,C1412*(1-I1412)*(1-ADD.DISCOUNT)*(1+MAT.SURCHARGE)*EXC.RATE_2),CURRENCY.FORMAT_2),CURRENCY.FORMAT_2,0)),'DICTIONARY-5'!$A$2))</f>
        <v/>
      </c>
      <c r="N1412" s="539">
        <v>5</v>
      </c>
      <c r="O1412" s="539"/>
      <c r="P1412" s="732" t="str">
        <f>'DICTIONARY-3'!$A$36</f>
        <v>HADE PTK-BS</v>
      </c>
      <c r="Q1412" s="732" t="str">
        <f>'DICTIONARY-3'!$A$203</f>
        <v>Klapa przeciwcofkowa</v>
      </c>
      <c r="R1412" s="732" t="str">
        <f>CONCATENATE('DICTIONARY-3'!$A$36," ",'DICTIONARY-6'!$A$19,", ",'DICTIONARY-5'!$A$199," ",'DICTIONARY-2'!$A$5,"990",'DICTIONARY-2'!$A$17,", ",'DICTIONARY-6'!$A$76," ",UPPER('DICTIONARY-5'!$A$47),"+",UPPER('DICTIONARY-5'!$A$40))</f>
        <v>HADE PTK-BS Klapa przeciwcofk., końcówka bosa Da990mm, ruroc. BETON+STAL</v>
      </c>
      <c r="S1412" s="733" t="s">
        <v>5569</v>
      </c>
      <c r="T1412" s="732" t="s">
        <v>5569</v>
      </c>
      <c r="U1412" s="734"/>
      <c r="V1412" s="735"/>
      <c r="W1412" s="744" t="s">
        <v>7357</v>
      </c>
      <c r="X1412" s="737"/>
      <c r="Y1412" s="738"/>
      <c r="Z1412" s="739"/>
      <c r="AA1412" s="739"/>
      <c r="AB1412" s="746">
        <v>0.1</v>
      </c>
      <c r="AC1412" s="741"/>
      <c r="AD1412" s="741"/>
      <c r="AE1412" s="742"/>
      <c r="AF1412" s="743">
        <v>117</v>
      </c>
      <c r="AG1412" s="741"/>
    </row>
    <row r="1413" spans="1:33" x14ac:dyDescent="0.25">
      <c r="A1413" s="861" t="s">
        <v>1419</v>
      </c>
      <c r="B1413" s="861" t="s">
        <v>4496</v>
      </c>
      <c r="C1413" s="836">
        <v>523</v>
      </c>
      <c r="D1413" s="836"/>
      <c r="E1413" s="836"/>
      <c r="F1413" s="836"/>
      <c r="G1413" s="496" t="s">
        <v>7829</v>
      </c>
      <c r="H1413" s="797" t="str">
        <f>VLOOKUP(G1413,SETTINGS!$B$7:$D$97,2,0)</f>
        <v>HADE</v>
      </c>
      <c r="I1413" s="796">
        <f>VLOOKUP(G1413,SETTINGS!$B$7:$D$97,3,0)</f>
        <v>0</v>
      </c>
      <c r="J1413" s="670" t="str">
        <f>IFERROR(IF(CURRENCY.FORMAT_1=0,CONCATENATE(TEXT(FIXED(ROUND((C1413/EXC.RATE_1),CURRENCY.FORMAT_1),CURRENCY.FORMAT_1,1),"# ##0;-# ##0"),",-"),FIXED(ROUND((C1413/EXC.RATE_1),CURRENCY.FORMAT_1),CURRENCY.FORMAT_1,0)),'DICTIONARY-5'!$A$2)</f>
        <v>523,-</v>
      </c>
      <c r="K1413" s="670" t="str">
        <f>IF(EXC.RATE_2=0,"",IFERROR(IF(CURRENCY.FORMAT_2=0,CONCATENATE(TEXT(FIXED(ROUND(IF(EXC.RATE.SWITCH=1,C1413/EXC.RATE_2,C1413*EXC.RATE_2),CURRENCY.FORMAT_2),CURRENCY.FORMAT_2,1),"# ##0;-# ##0"),",-"),FIXED(ROUND(IF(EXC.RATE.SWITCH=1,C1413/EXC.RATE_2,C1413*EXC.RATE_2),CURRENCY.FORMAT_2),CURRENCY.FORMAT_2,0)),'DICTIONARY-5'!$A$2))</f>
        <v/>
      </c>
      <c r="L1413" s="670" t="str">
        <f>IFERROR(IF(CURRENCY.FORMAT_1=0,CONCATENATE(TEXT(FIXED(ROUND((C1413*(1-I1413)*(1-ADD.DISCOUNT)*(1+MAT.SURCHARGE)/EXC.RATE_1),CURRENCY.FORMAT_1),CURRENCY.FORMAT_1,1),"# ##0;-# ##0"),",-"),FIXED(ROUND((C1413*(1-I1413)*(1-ADD.DISCOUNT)*(1+MAT.SURCHARGE)/EXC.RATE_1),CURRENCY.FORMAT_1),CURRENCY.FORMAT_1,0)),'DICTIONARY-5'!$A$2)</f>
        <v>543,-</v>
      </c>
      <c r="M1413" s="670" t="str">
        <f>IF(EXC.RATE_2=0,"",IFERROR(IF(CURRENCY.FORMAT_2=0,CONCATENATE(TEXT(FIXED(ROUND(IF(EXC.RATE.SWITCH=1,C1413*(1-I1413)*(1-ADD.DISCOUNT)*(1+MAT.SURCHARGE)/EXC.RATE_2,C1413*(1-I1413)*(1-ADD.DISCOUNT)*(1+MAT.SURCHARGE)*EXC.RATE_2),CURRENCY.FORMAT_2),CURRENCY.FORMAT_2,1),"# ##0;-# ##0"),",-"),FIXED(ROUND(IF(EXC.RATE.SWITCH=1,C1413*(1-I1413)*(1-ADD.DISCOUNT)*(1+MAT.SURCHARGE)/EXC.RATE_2,C1413*(1-I1413)*(1-ADD.DISCOUNT)*(1+MAT.SURCHARGE)*EXC.RATE_2),CURRENCY.FORMAT_2),CURRENCY.FORMAT_2,0)),'DICTIONARY-5'!$A$2))</f>
        <v/>
      </c>
      <c r="N1413" s="539">
        <v>5</v>
      </c>
      <c r="O1413" s="539"/>
      <c r="P1413" s="732" t="str">
        <f>'DICTIONARY-3'!$A$37</f>
        <v>HADE PTK-P</v>
      </c>
      <c r="Q1413" s="732" t="str">
        <f>'DICTIONARY-3'!$A$203</f>
        <v>Klapa przeciwcofkowa</v>
      </c>
      <c r="R1413" s="732" t="str">
        <f>CONCATENATE('DICTIONARY-3'!$A$37," ",'DICTIONARY-6'!$A$19,", ",'DICTIONARY-5'!$A$199," ",'DICTIONARY-2'!$A$5,"160",'DICTIONARY-2'!$A$17,", ",'DICTIONARY-6'!$A$76," ",'DICTIONARY-5'!$A$56,"+",'DICTIONARY-5'!$A$57)</f>
        <v>HADE PTK-P Klapa przeciwcofk., końcówka bosa Da160mm, ruroc. PVC+PE</v>
      </c>
      <c r="S1413" s="733" t="s">
        <v>5569</v>
      </c>
      <c r="T1413" s="732" t="s">
        <v>5569</v>
      </c>
      <c r="U1413" s="734"/>
      <c r="V1413" s="735"/>
      <c r="W1413" s="744" t="s">
        <v>7342</v>
      </c>
      <c r="X1413" s="737"/>
      <c r="Y1413" s="738"/>
      <c r="Z1413" s="739"/>
      <c r="AA1413" s="739"/>
      <c r="AB1413" s="746">
        <v>0.1</v>
      </c>
      <c r="AC1413" s="741"/>
      <c r="AD1413" s="741"/>
      <c r="AE1413" s="742"/>
      <c r="AF1413" s="743">
        <v>5</v>
      </c>
      <c r="AG1413" s="741"/>
    </row>
    <row r="1414" spans="1:33" x14ac:dyDescent="0.25">
      <c r="A1414" s="861" t="s">
        <v>1420</v>
      </c>
      <c r="B1414" s="861" t="s">
        <v>4504</v>
      </c>
      <c r="C1414" s="836">
        <v>575</v>
      </c>
      <c r="D1414" s="836"/>
      <c r="E1414" s="836"/>
      <c r="F1414" s="836"/>
      <c r="G1414" s="496" t="s">
        <v>7829</v>
      </c>
      <c r="H1414" s="797" t="str">
        <f>VLOOKUP(G1414,SETTINGS!$B$7:$D$97,2,0)</f>
        <v>HADE</v>
      </c>
      <c r="I1414" s="796">
        <f>VLOOKUP(G1414,SETTINGS!$B$7:$D$97,3,0)</f>
        <v>0</v>
      </c>
      <c r="J1414" s="670" t="str">
        <f>IFERROR(IF(CURRENCY.FORMAT_1=0,CONCATENATE(TEXT(FIXED(ROUND((C1414/EXC.RATE_1),CURRENCY.FORMAT_1),CURRENCY.FORMAT_1,1),"# ##0;-# ##0"),",-"),FIXED(ROUND((C1414/EXC.RATE_1),CURRENCY.FORMAT_1),CURRENCY.FORMAT_1,0)),'DICTIONARY-5'!$A$2)</f>
        <v>575,-</v>
      </c>
      <c r="K1414" s="670" t="str">
        <f>IF(EXC.RATE_2=0,"",IFERROR(IF(CURRENCY.FORMAT_2=0,CONCATENATE(TEXT(FIXED(ROUND(IF(EXC.RATE.SWITCH=1,C1414/EXC.RATE_2,C1414*EXC.RATE_2),CURRENCY.FORMAT_2),CURRENCY.FORMAT_2,1),"# ##0;-# ##0"),",-"),FIXED(ROUND(IF(EXC.RATE.SWITCH=1,C1414/EXC.RATE_2,C1414*EXC.RATE_2),CURRENCY.FORMAT_2),CURRENCY.FORMAT_2,0)),'DICTIONARY-5'!$A$2))</f>
        <v/>
      </c>
      <c r="L1414" s="670" t="str">
        <f>IFERROR(IF(CURRENCY.FORMAT_1=0,CONCATENATE(TEXT(FIXED(ROUND((C1414*(1-I1414)*(1-ADD.DISCOUNT)*(1+MAT.SURCHARGE)/EXC.RATE_1),CURRENCY.FORMAT_1),CURRENCY.FORMAT_1,1),"# ##0;-# ##0"),",-"),FIXED(ROUND((C1414*(1-I1414)*(1-ADD.DISCOUNT)*(1+MAT.SURCHARGE)/EXC.RATE_1),CURRENCY.FORMAT_1),CURRENCY.FORMAT_1,0)),'DICTIONARY-5'!$A$2)</f>
        <v>597,-</v>
      </c>
      <c r="M1414" s="670" t="str">
        <f>IF(EXC.RATE_2=0,"",IFERROR(IF(CURRENCY.FORMAT_2=0,CONCATENATE(TEXT(FIXED(ROUND(IF(EXC.RATE.SWITCH=1,C1414*(1-I1414)*(1-ADD.DISCOUNT)*(1+MAT.SURCHARGE)/EXC.RATE_2,C1414*(1-I1414)*(1-ADD.DISCOUNT)*(1+MAT.SURCHARGE)*EXC.RATE_2),CURRENCY.FORMAT_2),CURRENCY.FORMAT_2,1),"# ##0;-# ##0"),",-"),FIXED(ROUND(IF(EXC.RATE.SWITCH=1,C1414*(1-I1414)*(1-ADD.DISCOUNT)*(1+MAT.SURCHARGE)/EXC.RATE_2,C1414*(1-I1414)*(1-ADD.DISCOUNT)*(1+MAT.SURCHARGE)*EXC.RATE_2),CURRENCY.FORMAT_2),CURRENCY.FORMAT_2,0)),'DICTIONARY-5'!$A$2))</f>
        <v/>
      </c>
      <c r="N1414" s="539">
        <v>5</v>
      </c>
      <c r="O1414" s="539"/>
      <c r="P1414" s="732" t="str">
        <f>'DICTIONARY-3'!$A$37</f>
        <v>HADE PTK-P</v>
      </c>
      <c r="Q1414" s="732" t="str">
        <f>'DICTIONARY-3'!$A$203</f>
        <v>Klapa przeciwcofkowa</v>
      </c>
      <c r="R1414" s="732" t="str">
        <f>CONCATENATE('DICTIONARY-3'!$A$37," ",'DICTIONARY-6'!$A$19,", ",'DICTIONARY-5'!$A$199," ",'DICTIONARY-2'!$A$5,"200",'DICTIONARY-2'!$A$17,", ",'DICTIONARY-6'!$A$76," ",'DICTIONARY-5'!$A$56,"+",'DICTIONARY-5'!$A$57)</f>
        <v>HADE PTK-P Klapa przeciwcofk., końcówka bosa Da200mm, ruroc. PVC+PE</v>
      </c>
      <c r="S1414" s="733" t="s">
        <v>5569</v>
      </c>
      <c r="T1414" s="732" t="s">
        <v>5569</v>
      </c>
      <c r="U1414" s="734"/>
      <c r="V1414" s="735"/>
      <c r="W1414" s="744" t="s">
        <v>5750</v>
      </c>
      <c r="X1414" s="737"/>
      <c r="Y1414" s="738"/>
      <c r="Z1414" s="739"/>
      <c r="AA1414" s="739"/>
      <c r="AB1414" s="746">
        <v>0.1</v>
      </c>
      <c r="AC1414" s="741"/>
      <c r="AD1414" s="741"/>
      <c r="AE1414" s="742"/>
      <c r="AF1414" s="743">
        <v>6</v>
      </c>
      <c r="AG1414" s="741"/>
    </row>
    <row r="1415" spans="1:33" x14ac:dyDescent="0.25">
      <c r="A1415" s="861" t="s">
        <v>1421</v>
      </c>
      <c r="B1415" s="861" t="s">
        <v>4510</v>
      </c>
      <c r="C1415" s="836">
        <v>703</v>
      </c>
      <c r="D1415" s="836"/>
      <c r="E1415" s="836"/>
      <c r="F1415" s="836"/>
      <c r="G1415" s="496" t="s">
        <v>7829</v>
      </c>
      <c r="H1415" s="797" t="str">
        <f>VLOOKUP(G1415,SETTINGS!$B$7:$D$97,2,0)</f>
        <v>HADE</v>
      </c>
      <c r="I1415" s="796">
        <f>VLOOKUP(G1415,SETTINGS!$B$7:$D$97,3,0)</f>
        <v>0</v>
      </c>
      <c r="J1415" s="670" t="str">
        <f>IFERROR(IF(CURRENCY.FORMAT_1=0,CONCATENATE(TEXT(FIXED(ROUND((C1415/EXC.RATE_1),CURRENCY.FORMAT_1),CURRENCY.FORMAT_1,1),"# ##0;-# ##0"),",-"),FIXED(ROUND((C1415/EXC.RATE_1),CURRENCY.FORMAT_1),CURRENCY.FORMAT_1,0)),'DICTIONARY-5'!$A$2)</f>
        <v>703,-</v>
      </c>
      <c r="K1415" s="670" t="str">
        <f>IF(EXC.RATE_2=0,"",IFERROR(IF(CURRENCY.FORMAT_2=0,CONCATENATE(TEXT(FIXED(ROUND(IF(EXC.RATE.SWITCH=1,C1415/EXC.RATE_2,C1415*EXC.RATE_2),CURRENCY.FORMAT_2),CURRENCY.FORMAT_2,1),"# ##0;-# ##0"),",-"),FIXED(ROUND(IF(EXC.RATE.SWITCH=1,C1415/EXC.RATE_2,C1415*EXC.RATE_2),CURRENCY.FORMAT_2),CURRENCY.FORMAT_2,0)),'DICTIONARY-5'!$A$2))</f>
        <v/>
      </c>
      <c r="L1415" s="670" t="str">
        <f>IFERROR(IF(CURRENCY.FORMAT_1=0,CONCATENATE(TEXT(FIXED(ROUND((C1415*(1-I1415)*(1-ADD.DISCOUNT)*(1+MAT.SURCHARGE)/EXC.RATE_1),CURRENCY.FORMAT_1),CURRENCY.FORMAT_1,1),"# ##0;-# ##0"),",-"),FIXED(ROUND((C1415*(1-I1415)*(1-ADD.DISCOUNT)*(1+MAT.SURCHARGE)/EXC.RATE_1),CURRENCY.FORMAT_1),CURRENCY.FORMAT_1,0)),'DICTIONARY-5'!$A$2)</f>
        <v>730,-</v>
      </c>
      <c r="M1415" s="670" t="str">
        <f>IF(EXC.RATE_2=0,"",IFERROR(IF(CURRENCY.FORMAT_2=0,CONCATENATE(TEXT(FIXED(ROUND(IF(EXC.RATE.SWITCH=1,C1415*(1-I1415)*(1-ADD.DISCOUNT)*(1+MAT.SURCHARGE)/EXC.RATE_2,C1415*(1-I1415)*(1-ADD.DISCOUNT)*(1+MAT.SURCHARGE)*EXC.RATE_2),CURRENCY.FORMAT_2),CURRENCY.FORMAT_2,1),"# ##0;-# ##0"),",-"),FIXED(ROUND(IF(EXC.RATE.SWITCH=1,C1415*(1-I1415)*(1-ADD.DISCOUNT)*(1+MAT.SURCHARGE)/EXC.RATE_2,C1415*(1-I1415)*(1-ADD.DISCOUNT)*(1+MAT.SURCHARGE)*EXC.RATE_2),CURRENCY.FORMAT_2),CURRENCY.FORMAT_2,0)),'DICTIONARY-5'!$A$2))</f>
        <v/>
      </c>
      <c r="N1415" s="539">
        <v>5</v>
      </c>
      <c r="O1415" s="539"/>
      <c r="P1415" s="732" t="str">
        <f>'DICTIONARY-3'!$A$37</f>
        <v>HADE PTK-P</v>
      </c>
      <c r="Q1415" s="732" t="str">
        <f>'DICTIONARY-3'!$A$203</f>
        <v>Klapa przeciwcofkowa</v>
      </c>
      <c r="R1415" s="732" t="str">
        <f>CONCATENATE('DICTIONARY-3'!$A$37," ",'DICTIONARY-6'!$A$19,", ",'DICTIONARY-5'!$A$199," ",'DICTIONARY-2'!$A$5,"250",'DICTIONARY-2'!$A$17,", ",'DICTIONARY-6'!$A$76," ",'DICTIONARY-5'!$A$56,"+",'DICTIONARY-5'!$A$57)</f>
        <v>HADE PTK-P Klapa przeciwcofk., końcówka bosa Da250mm, ruroc. PVC+PE</v>
      </c>
      <c r="S1415" s="733" t="s">
        <v>5569</v>
      </c>
      <c r="T1415" s="732" t="s">
        <v>5569</v>
      </c>
      <c r="U1415" s="734"/>
      <c r="V1415" s="735"/>
      <c r="W1415" s="744" t="s">
        <v>5751</v>
      </c>
      <c r="X1415" s="737"/>
      <c r="Y1415" s="738"/>
      <c r="Z1415" s="739"/>
      <c r="AA1415" s="739"/>
      <c r="AB1415" s="746">
        <v>0.1</v>
      </c>
      <c r="AC1415" s="741"/>
      <c r="AD1415" s="741"/>
      <c r="AE1415" s="742"/>
      <c r="AF1415" s="743">
        <v>12</v>
      </c>
      <c r="AG1415" s="741"/>
    </row>
    <row r="1416" spans="1:33" x14ac:dyDescent="0.25">
      <c r="A1416" s="861" t="s">
        <v>1422</v>
      </c>
      <c r="B1416" s="861" t="s">
        <v>4521</v>
      </c>
      <c r="C1416" s="836">
        <v>798</v>
      </c>
      <c r="D1416" s="836"/>
      <c r="E1416" s="836"/>
      <c r="F1416" s="836"/>
      <c r="G1416" s="496" t="s">
        <v>7829</v>
      </c>
      <c r="H1416" s="797" t="str">
        <f>VLOOKUP(G1416,SETTINGS!$B$7:$D$97,2,0)</f>
        <v>HADE</v>
      </c>
      <c r="I1416" s="796">
        <f>VLOOKUP(G1416,SETTINGS!$B$7:$D$97,3,0)</f>
        <v>0</v>
      </c>
      <c r="J1416" s="670" t="str">
        <f>IFERROR(IF(CURRENCY.FORMAT_1=0,CONCATENATE(TEXT(FIXED(ROUND((C1416/EXC.RATE_1),CURRENCY.FORMAT_1),CURRENCY.FORMAT_1,1),"# ##0;-# ##0"),",-"),FIXED(ROUND((C1416/EXC.RATE_1),CURRENCY.FORMAT_1),CURRENCY.FORMAT_1,0)),'DICTIONARY-5'!$A$2)</f>
        <v>798,-</v>
      </c>
      <c r="K1416" s="670" t="str">
        <f>IF(EXC.RATE_2=0,"",IFERROR(IF(CURRENCY.FORMAT_2=0,CONCATENATE(TEXT(FIXED(ROUND(IF(EXC.RATE.SWITCH=1,C1416/EXC.RATE_2,C1416*EXC.RATE_2),CURRENCY.FORMAT_2),CURRENCY.FORMAT_2,1),"# ##0;-# ##0"),",-"),FIXED(ROUND(IF(EXC.RATE.SWITCH=1,C1416/EXC.RATE_2,C1416*EXC.RATE_2),CURRENCY.FORMAT_2),CURRENCY.FORMAT_2,0)),'DICTIONARY-5'!$A$2))</f>
        <v/>
      </c>
      <c r="L1416" s="670" t="str">
        <f>IFERROR(IF(CURRENCY.FORMAT_1=0,CONCATENATE(TEXT(FIXED(ROUND((C1416*(1-I1416)*(1-ADD.DISCOUNT)*(1+MAT.SURCHARGE)/EXC.RATE_1),CURRENCY.FORMAT_1),CURRENCY.FORMAT_1,1),"# ##0;-# ##0"),",-"),FIXED(ROUND((C1416*(1-I1416)*(1-ADD.DISCOUNT)*(1+MAT.SURCHARGE)/EXC.RATE_1),CURRENCY.FORMAT_1),CURRENCY.FORMAT_1,0)),'DICTIONARY-5'!$A$2)</f>
        <v>829,-</v>
      </c>
      <c r="M1416" s="670" t="str">
        <f>IF(EXC.RATE_2=0,"",IFERROR(IF(CURRENCY.FORMAT_2=0,CONCATENATE(TEXT(FIXED(ROUND(IF(EXC.RATE.SWITCH=1,C1416*(1-I1416)*(1-ADD.DISCOUNT)*(1+MAT.SURCHARGE)/EXC.RATE_2,C1416*(1-I1416)*(1-ADD.DISCOUNT)*(1+MAT.SURCHARGE)*EXC.RATE_2),CURRENCY.FORMAT_2),CURRENCY.FORMAT_2,1),"# ##0;-# ##0"),",-"),FIXED(ROUND(IF(EXC.RATE.SWITCH=1,C1416*(1-I1416)*(1-ADD.DISCOUNT)*(1+MAT.SURCHARGE)/EXC.RATE_2,C1416*(1-I1416)*(1-ADD.DISCOUNT)*(1+MAT.SURCHARGE)*EXC.RATE_2),CURRENCY.FORMAT_2),CURRENCY.FORMAT_2,0)),'DICTIONARY-5'!$A$2))</f>
        <v/>
      </c>
      <c r="N1416" s="539">
        <v>5</v>
      </c>
      <c r="O1416" s="539"/>
      <c r="P1416" s="732" t="str">
        <f>'DICTIONARY-3'!$A$37</f>
        <v>HADE PTK-P</v>
      </c>
      <c r="Q1416" s="732" t="str">
        <f>'DICTIONARY-3'!$A$203</f>
        <v>Klapa przeciwcofkowa</v>
      </c>
      <c r="R1416" s="732" t="str">
        <f>CONCATENATE('DICTIONARY-3'!$A$37," ",'DICTIONARY-6'!$A$19,", ",'DICTIONARY-5'!$A$199," ",'DICTIONARY-2'!$A$5,"315",'DICTIONARY-2'!$A$17,", ",'DICTIONARY-6'!$A$76," ",'DICTIONARY-5'!$A$56,"+",'DICTIONARY-5'!$A$57)</f>
        <v>HADE PTK-P Klapa przeciwcofk., końcówka bosa Da315mm, ruroc. PVC+PE</v>
      </c>
      <c r="S1416" s="733" t="s">
        <v>5569</v>
      </c>
      <c r="T1416" s="732" t="s">
        <v>5569</v>
      </c>
      <c r="U1416" s="734"/>
      <c r="V1416" s="735"/>
      <c r="W1416" s="744" t="s">
        <v>7345</v>
      </c>
      <c r="X1416" s="737"/>
      <c r="Y1416" s="738"/>
      <c r="Z1416" s="739"/>
      <c r="AA1416" s="739"/>
      <c r="AB1416" s="746">
        <v>0.1</v>
      </c>
      <c r="AC1416" s="741"/>
      <c r="AD1416" s="741"/>
      <c r="AE1416" s="742"/>
      <c r="AF1416" s="743">
        <v>10</v>
      </c>
      <c r="AG1416" s="741"/>
    </row>
    <row r="1417" spans="1:33" x14ac:dyDescent="0.25">
      <c r="A1417" s="861" t="s">
        <v>1423</v>
      </c>
      <c r="B1417" s="861" t="s">
        <v>4527</v>
      </c>
      <c r="C1417" s="836">
        <v>1045</v>
      </c>
      <c r="D1417" s="836"/>
      <c r="E1417" s="836"/>
      <c r="F1417" s="836"/>
      <c r="G1417" s="496" t="s">
        <v>7829</v>
      </c>
      <c r="H1417" s="797" t="str">
        <f>VLOOKUP(G1417,SETTINGS!$B$7:$D$97,2,0)</f>
        <v>HADE</v>
      </c>
      <c r="I1417" s="796">
        <f>VLOOKUP(G1417,SETTINGS!$B$7:$D$97,3,0)</f>
        <v>0</v>
      </c>
      <c r="J1417" s="670" t="str">
        <f>IFERROR(IF(CURRENCY.FORMAT_1=0,CONCATENATE(TEXT(FIXED(ROUND((C1417/EXC.RATE_1),CURRENCY.FORMAT_1),CURRENCY.FORMAT_1,1),"# ##0;-# ##0"),",-"),FIXED(ROUND((C1417/EXC.RATE_1),CURRENCY.FORMAT_1),CURRENCY.FORMAT_1,0)),'DICTIONARY-5'!$A$2)</f>
        <v>1 045,-</v>
      </c>
      <c r="K1417" s="670" t="str">
        <f>IF(EXC.RATE_2=0,"",IFERROR(IF(CURRENCY.FORMAT_2=0,CONCATENATE(TEXT(FIXED(ROUND(IF(EXC.RATE.SWITCH=1,C1417/EXC.RATE_2,C1417*EXC.RATE_2),CURRENCY.FORMAT_2),CURRENCY.FORMAT_2,1),"# ##0;-# ##0"),",-"),FIXED(ROUND(IF(EXC.RATE.SWITCH=1,C1417/EXC.RATE_2,C1417*EXC.RATE_2),CURRENCY.FORMAT_2),CURRENCY.FORMAT_2,0)),'DICTIONARY-5'!$A$2))</f>
        <v/>
      </c>
      <c r="L1417" s="670" t="str">
        <f>IFERROR(IF(CURRENCY.FORMAT_1=0,CONCATENATE(TEXT(FIXED(ROUND((C1417*(1-I1417)*(1-ADD.DISCOUNT)*(1+MAT.SURCHARGE)/EXC.RATE_1),CURRENCY.FORMAT_1),CURRENCY.FORMAT_1,1),"# ##0;-# ##0"),",-"),FIXED(ROUND((C1417*(1-I1417)*(1-ADD.DISCOUNT)*(1+MAT.SURCHARGE)/EXC.RATE_1),CURRENCY.FORMAT_1),CURRENCY.FORMAT_1,0)),'DICTIONARY-5'!$A$2)</f>
        <v>1 086,-</v>
      </c>
      <c r="M1417" s="670" t="str">
        <f>IF(EXC.RATE_2=0,"",IFERROR(IF(CURRENCY.FORMAT_2=0,CONCATENATE(TEXT(FIXED(ROUND(IF(EXC.RATE.SWITCH=1,C1417*(1-I1417)*(1-ADD.DISCOUNT)*(1+MAT.SURCHARGE)/EXC.RATE_2,C1417*(1-I1417)*(1-ADD.DISCOUNT)*(1+MAT.SURCHARGE)*EXC.RATE_2),CURRENCY.FORMAT_2),CURRENCY.FORMAT_2,1),"# ##0;-# ##0"),",-"),FIXED(ROUND(IF(EXC.RATE.SWITCH=1,C1417*(1-I1417)*(1-ADD.DISCOUNT)*(1+MAT.SURCHARGE)/EXC.RATE_2,C1417*(1-I1417)*(1-ADD.DISCOUNT)*(1+MAT.SURCHARGE)*EXC.RATE_2),CURRENCY.FORMAT_2),CURRENCY.FORMAT_2,0)),'DICTIONARY-5'!$A$2))</f>
        <v/>
      </c>
      <c r="N1417" s="539">
        <v>5</v>
      </c>
      <c r="O1417" s="539"/>
      <c r="P1417" s="732" t="str">
        <f>'DICTIONARY-3'!$A$37</f>
        <v>HADE PTK-P</v>
      </c>
      <c r="Q1417" s="732" t="str">
        <f>'DICTIONARY-3'!$A$203</f>
        <v>Klapa przeciwcofkowa</v>
      </c>
      <c r="R1417" s="732" t="str">
        <f>CONCATENATE('DICTIONARY-3'!$A$37," ",'DICTIONARY-6'!$A$19,", ",'DICTIONARY-5'!$A$199," ",'DICTIONARY-2'!$A$5,"400",'DICTIONARY-2'!$A$17,", ",'DICTIONARY-6'!$A$76," ",'DICTIONARY-5'!$A$56,"+",'DICTIONARY-5'!$A$57)</f>
        <v>HADE PTK-P Klapa przeciwcofk., końcówka bosa Da400mm, ruroc. PVC+PE</v>
      </c>
      <c r="S1417" s="733" t="s">
        <v>5569</v>
      </c>
      <c r="T1417" s="732" t="s">
        <v>5569</v>
      </c>
      <c r="U1417" s="734"/>
      <c r="V1417" s="735"/>
      <c r="W1417" s="744" t="s">
        <v>5754</v>
      </c>
      <c r="X1417" s="737"/>
      <c r="Y1417" s="738"/>
      <c r="Z1417" s="739"/>
      <c r="AA1417" s="739"/>
      <c r="AB1417" s="746">
        <v>0.1</v>
      </c>
      <c r="AC1417" s="741"/>
      <c r="AD1417" s="741"/>
      <c r="AE1417" s="742"/>
      <c r="AF1417" s="743">
        <v>15</v>
      </c>
      <c r="AG1417" s="741"/>
    </row>
    <row r="1418" spans="1:33" x14ac:dyDescent="0.25">
      <c r="A1418" s="861" t="s">
        <v>1424</v>
      </c>
      <c r="B1418" s="861" t="s">
        <v>4534</v>
      </c>
      <c r="C1418" s="836">
        <v>1290</v>
      </c>
      <c r="D1418" s="836"/>
      <c r="E1418" s="836"/>
      <c r="F1418" s="836"/>
      <c r="G1418" s="496" t="s">
        <v>7829</v>
      </c>
      <c r="H1418" s="797" t="str">
        <f>VLOOKUP(G1418,SETTINGS!$B$7:$D$97,2,0)</f>
        <v>HADE</v>
      </c>
      <c r="I1418" s="796">
        <f>VLOOKUP(G1418,SETTINGS!$B$7:$D$97,3,0)</f>
        <v>0</v>
      </c>
      <c r="J1418" s="670" t="str">
        <f>IFERROR(IF(CURRENCY.FORMAT_1=0,CONCATENATE(TEXT(FIXED(ROUND((C1418/EXC.RATE_1),CURRENCY.FORMAT_1),CURRENCY.FORMAT_1,1),"# ##0;-# ##0"),",-"),FIXED(ROUND((C1418/EXC.RATE_1),CURRENCY.FORMAT_1),CURRENCY.FORMAT_1,0)),'DICTIONARY-5'!$A$2)</f>
        <v>1 290,-</v>
      </c>
      <c r="K1418" s="670" t="str">
        <f>IF(EXC.RATE_2=0,"",IFERROR(IF(CURRENCY.FORMAT_2=0,CONCATENATE(TEXT(FIXED(ROUND(IF(EXC.RATE.SWITCH=1,C1418/EXC.RATE_2,C1418*EXC.RATE_2),CURRENCY.FORMAT_2),CURRENCY.FORMAT_2,1),"# ##0;-# ##0"),",-"),FIXED(ROUND(IF(EXC.RATE.SWITCH=1,C1418/EXC.RATE_2,C1418*EXC.RATE_2),CURRENCY.FORMAT_2),CURRENCY.FORMAT_2,0)),'DICTIONARY-5'!$A$2))</f>
        <v/>
      </c>
      <c r="L1418" s="670" t="str">
        <f>IFERROR(IF(CURRENCY.FORMAT_1=0,CONCATENATE(TEXT(FIXED(ROUND((C1418*(1-I1418)*(1-ADD.DISCOUNT)*(1+MAT.SURCHARGE)/EXC.RATE_1),CURRENCY.FORMAT_1),CURRENCY.FORMAT_1,1),"# ##0;-# ##0"),",-"),FIXED(ROUND((C1418*(1-I1418)*(1-ADD.DISCOUNT)*(1+MAT.SURCHARGE)/EXC.RATE_1),CURRENCY.FORMAT_1),CURRENCY.FORMAT_1,0)),'DICTIONARY-5'!$A$2)</f>
        <v>1 340,-</v>
      </c>
      <c r="M1418" s="670" t="str">
        <f>IF(EXC.RATE_2=0,"",IFERROR(IF(CURRENCY.FORMAT_2=0,CONCATENATE(TEXT(FIXED(ROUND(IF(EXC.RATE.SWITCH=1,C1418*(1-I1418)*(1-ADD.DISCOUNT)*(1+MAT.SURCHARGE)/EXC.RATE_2,C1418*(1-I1418)*(1-ADD.DISCOUNT)*(1+MAT.SURCHARGE)*EXC.RATE_2),CURRENCY.FORMAT_2),CURRENCY.FORMAT_2,1),"# ##0;-# ##0"),",-"),FIXED(ROUND(IF(EXC.RATE.SWITCH=1,C1418*(1-I1418)*(1-ADD.DISCOUNT)*(1+MAT.SURCHARGE)/EXC.RATE_2,C1418*(1-I1418)*(1-ADD.DISCOUNT)*(1+MAT.SURCHARGE)*EXC.RATE_2),CURRENCY.FORMAT_2),CURRENCY.FORMAT_2,0)),'DICTIONARY-5'!$A$2))</f>
        <v/>
      </c>
      <c r="N1418" s="539">
        <v>5</v>
      </c>
      <c r="O1418" s="539"/>
      <c r="P1418" s="732" t="str">
        <f>'DICTIONARY-3'!$A$37</f>
        <v>HADE PTK-P</v>
      </c>
      <c r="Q1418" s="732" t="str">
        <f>'DICTIONARY-3'!$A$203</f>
        <v>Klapa przeciwcofkowa</v>
      </c>
      <c r="R1418" s="732" t="str">
        <f>CONCATENATE('DICTIONARY-3'!$A$37," ",'DICTIONARY-6'!$A$19,", ",'DICTIONARY-5'!$A$199," ",'DICTIONARY-2'!$A$5,"500",'DICTIONARY-2'!$A$17,", ",'DICTIONARY-6'!$A$76," ",'DICTIONARY-5'!$A$56,"+",'DICTIONARY-5'!$A$57)</f>
        <v>HADE PTK-P Klapa przeciwcofk., końcówka bosa Da500mm, ruroc. PVC+PE</v>
      </c>
      <c r="S1418" s="733" t="s">
        <v>5569</v>
      </c>
      <c r="T1418" s="732" t="s">
        <v>5569</v>
      </c>
      <c r="U1418" s="734"/>
      <c r="V1418" s="735"/>
      <c r="W1418" s="744" t="s">
        <v>5756</v>
      </c>
      <c r="X1418" s="737"/>
      <c r="Y1418" s="738"/>
      <c r="Z1418" s="739"/>
      <c r="AA1418" s="739"/>
      <c r="AB1418" s="746">
        <v>0.1</v>
      </c>
      <c r="AC1418" s="741"/>
      <c r="AD1418" s="741"/>
      <c r="AE1418" s="742"/>
      <c r="AF1418" s="743">
        <v>27</v>
      </c>
      <c r="AG1418" s="741"/>
    </row>
    <row r="1419" spans="1:33" x14ac:dyDescent="0.25">
      <c r="A1419" s="861" t="s">
        <v>1425</v>
      </c>
      <c r="B1419" s="861" t="s">
        <v>4541</v>
      </c>
      <c r="C1419" s="836">
        <v>2124</v>
      </c>
      <c r="D1419" s="836"/>
      <c r="E1419" s="836"/>
      <c r="F1419" s="836"/>
      <c r="G1419" s="496" t="s">
        <v>7829</v>
      </c>
      <c r="H1419" s="797" t="str">
        <f>VLOOKUP(G1419,SETTINGS!$B$7:$D$97,2,0)</f>
        <v>HADE</v>
      </c>
      <c r="I1419" s="796">
        <f>VLOOKUP(G1419,SETTINGS!$B$7:$D$97,3,0)</f>
        <v>0</v>
      </c>
      <c r="J1419" s="670" t="str">
        <f>IFERROR(IF(CURRENCY.FORMAT_1=0,CONCATENATE(TEXT(FIXED(ROUND((C1419/EXC.RATE_1),CURRENCY.FORMAT_1),CURRENCY.FORMAT_1,1),"# ##0;-# ##0"),",-"),FIXED(ROUND((C1419/EXC.RATE_1),CURRENCY.FORMAT_1),CURRENCY.FORMAT_1,0)),'DICTIONARY-5'!$A$2)</f>
        <v>2 124,-</v>
      </c>
      <c r="K1419" s="670" t="str">
        <f>IF(EXC.RATE_2=0,"",IFERROR(IF(CURRENCY.FORMAT_2=0,CONCATENATE(TEXT(FIXED(ROUND(IF(EXC.RATE.SWITCH=1,C1419/EXC.RATE_2,C1419*EXC.RATE_2),CURRENCY.FORMAT_2),CURRENCY.FORMAT_2,1),"# ##0;-# ##0"),",-"),FIXED(ROUND(IF(EXC.RATE.SWITCH=1,C1419/EXC.RATE_2,C1419*EXC.RATE_2),CURRENCY.FORMAT_2),CURRENCY.FORMAT_2,0)),'DICTIONARY-5'!$A$2))</f>
        <v/>
      </c>
      <c r="L1419" s="670" t="str">
        <f>IFERROR(IF(CURRENCY.FORMAT_1=0,CONCATENATE(TEXT(FIXED(ROUND((C1419*(1-I1419)*(1-ADD.DISCOUNT)*(1+MAT.SURCHARGE)/EXC.RATE_1),CURRENCY.FORMAT_1),CURRENCY.FORMAT_1,1),"# ##0;-# ##0"),",-"),FIXED(ROUND((C1419*(1-I1419)*(1-ADD.DISCOUNT)*(1+MAT.SURCHARGE)/EXC.RATE_1),CURRENCY.FORMAT_1),CURRENCY.FORMAT_1,0)),'DICTIONARY-5'!$A$2)</f>
        <v>2 207,-</v>
      </c>
      <c r="M1419" s="670" t="str">
        <f>IF(EXC.RATE_2=0,"",IFERROR(IF(CURRENCY.FORMAT_2=0,CONCATENATE(TEXT(FIXED(ROUND(IF(EXC.RATE.SWITCH=1,C1419*(1-I1419)*(1-ADD.DISCOUNT)*(1+MAT.SURCHARGE)/EXC.RATE_2,C1419*(1-I1419)*(1-ADD.DISCOUNT)*(1+MAT.SURCHARGE)*EXC.RATE_2),CURRENCY.FORMAT_2),CURRENCY.FORMAT_2,1),"# ##0;-# ##0"),",-"),FIXED(ROUND(IF(EXC.RATE.SWITCH=1,C1419*(1-I1419)*(1-ADD.DISCOUNT)*(1+MAT.SURCHARGE)/EXC.RATE_2,C1419*(1-I1419)*(1-ADD.DISCOUNT)*(1+MAT.SURCHARGE)*EXC.RATE_2),CURRENCY.FORMAT_2),CURRENCY.FORMAT_2,0)),'DICTIONARY-5'!$A$2))</f>
        <v/>
      </c>
      <c r="N1419" s="539">
        <v>5</v>
      </c>
      <c r="O1419" s="539"/>
      <c r="P1419" s="732" t="str">
        <f>'DICTIONARY-3'!$A$37</f>
        <v>HADE PTK-P</v>
      </c>
      <c r="Q1419" s="732" t="str">
        <f>'DICTIONARY-3'!$A$203</f>
        <v>Klapa przeciwcofkowa</v>
      </c>
      <c r="R1419" s="732" t="str">
        <f>CONCATENATE('DICTIONARY-3'!$A$37," ",'DICTIONARY-6'!$A$19,", ",'DICTIONARY-5'!$A$199," ",'DICTIONARY-2'!$A$5,"630",'DICTIONARY-2'!$A$17,", ",'DICTIONARY-6'!$A$76," ",'DICTIONARY-5'!$A$56,"+",'DICTIONARY-5'!$A$57)</f>
        <v>HADE PTK-P Klapa przeciwcofk., końcówka bosa Da630mm, ruroc. PVC+PE</v>
      </c>
      <c r="S1419" s="733" t="s">
        <v>5569</v>
      </c>
      <c r="T1419" s="732" t="s">
        <v>5569</v>
      </c>
      <c r="U1419" s="734"/>
      <c r="V1419" s="735"/>
      <c r="W1419" s="744" t="s">
        <v>7358</v>
      </c>
      <c r="X1419" s="737"/>
      <c r="Y1419" s="738"/>
      <c r="Z1419" s="739"/>
      <c r="AA1419" s="739"/>
      <c r="AB1419" s="746">
        <v>0.1</v>
      </c>
      <c r="AC1419" s="741"/>
      <c r="AD1419" s="741"/>
      <c r="AE1419" s="742"/>
      <c r="AF1419" s="743">
        <v>39</v>
      </c>
      <c r="AG1419" s="741"/>
    </row>
    <row r="1420" spans="1:33" x14ac:dyDescent="0.25">
      <c r="A1420" s="861" t="s">
        <v>1426</v>
      </c>
      <c r="B1420" s="861" t="s">
        <v>4493</v>
      </c>
      <c r="C1420" s="836">
        <v>404</v>
      </c>
      <c r="D1420" s="836"/>
      <c r="E1420" s="836"/>
      <c r="F1420" s="836"/>
      <c r="G1420" s="496" t="s">
        <v>7829</v>
      </c>
      <c r="H1420" s="797" t="str">
        <f>VLOOKUP(G1420,SETTINGS!$B$7:$D$97,2,0)</f>
        <v>HADE</v>
      </c>
      <c r="I1420" s="796">
        <f>VLOOKUP(G1420,SETTINGS!$B$7:$D$97,3,0)</f>
        <v>0</v>
      </c>
      <c r="J1420" s="670" t="str">
        <f>IFERROR(IF(CURRENCY.FORMAT_1=0,CONCATENATE(TEXT(FIXED(ROUND((C1420/EXC.RATE_1),CURRENCY.FORMAT_1),CURRENCY.FORMAT_1,1),"# ##0;-# ##0"),",-"),FIXED(ROUND((C1420/EXC.RATE_1),CURRENCY.FORMAT_1),CURRENCY.FORMAT_1,0)),'DICTIONARY-5'!$A$2)</f>
        <v>404,-</v>
      </c>
      <c r="K1420" s="670" t="str">
        <f>IF(EXC.RATE_2=0,"",IFERROR(IF(CURRENCY.FORMAT_2=0,CONCATENATE(TEXT(FIXED(ROUND(IF(EXC.RATE.SWITCH=1,C1420/EXC.RATE_2,C1420*EXC.RATE_2),CURRENCY.FORMAT_2),CURRENCY.FORMAT_2,1),"# ##0;-# ##0"),",-"),FIXED(ROUND(IF(EXC.RATE.SWITCH=1,C1420/EXC.RATE_2,C1420*EXC.RATE_2),CURRENCY.FORMAT_2),CURRENCY.FORMAT_2,0)),'DICTIONARY-5'!$A$2))</f>
        <v/>
      </c>
      <c r="L1420" s="670" t="str">
        <f>IFERROR(IF(CURRENCY.FORMAT_1=0,CONCATENATE(TEXT(FIXED(ROUND((C1420*(1-I1420)*(1-ADD.DISCOUNT)*(1+MAT.SURCHARGE)/EXC.RATE_1),CURRENCY.FORMAT_1),CURRENCY.FORMAT_1,1),"# ##0;-# ##0"),",-"),FIXED(ROUND((C1420*(1-I1420)*(1-ADD.DISCOUNT)*(1+MAT.SURCHARGE)/EXC.RATE_1),CURRENCY.FORMAT_1),CURRENCY.FORMAT_1,0)),'DICTIONARY-5'!$A$2)</f>
        <v>420,-</v>
      </c>
      <c r="M1420" s="670" t="str">
        <f>IF(EXC.RATE_2=0,"",IFERROR(IF(CURRENCY.FORMAT_2=0,CONCATENATE(TEXT(FIXED(ROUND(IF(EXC.RATE.SWITCH=1,C1420*(1-I1420)*(1-ADD.DISCOUNT)*(1+MAT.SURCHARGE)/EXC.RATE_2,C1420*(1-I1420)*(1-ADD.DISCOUNT)*(1+MAT.SURCHARGE)*EXC.RATE_2),CURRENCY.FORMAT_2),CURRENCY.FORMAT_2,1),"# ##0;-# ##0"),",-"),FIXED(ROUND(IF(EXC.RATE.SWITCH=1,C1420*(1-I1420)*(1-ADD.DISCOUNT)*(1+MAT.SURCHARGE)/EXC.RATE_2,C1420*(1-I1420)*(1-ADD.DISCOUNT)*(1+MAT.SURCHARGE)*EXC.RATE_2),CURRENCY.FORMAT_2),CURRENCY.FORMAT_2,0)),'DICTIONARY-5'!$A$2))</f>
        <v/>
      </c>
      <c r="N1420" s="539">
        <v>5</v>
      </c>
      <c r="O1420" s="539"/>
      <c r="P1420" s="732" t="str">
        <f>'DICTIONARY-3'!$A$34</f>
        <v>HADE PTK-G</v>
      </c>
      <c r="Q1420" s="732" t="str">
        <f>'DICTIONARY-3'!$A$203</f>
        <v>Klapa przeciwcofkowa</v>
      </c>
      <c r="R1420" s="732" t="str">
        <f>CONCATENATE('DICTIONARY-3'!$A$34," ",'DICTIONARY-6'!$A$19," ",'DICTIONARY-2'!$A$2,"150, ",'DICTIONARY-6'!$A$75," ",'DICTIONARY-3'!$A$267)</f>
        <v>HADE PTK-G Klapa przeciwcofk. DN150, płyta pion. montaż na ścianie</v>
      </c>
      <c r="S1420" s="733" t="s">
        <v>5569</v>
      </c>
      <c r="T1420" s="732" t="s">
        <v>5569</v>
      </c>
      <c r="U1420" s="734" t="s">
        <v>5572</v>
      </c>
      <c r="V1420" s="735"/>
      <c r="W1420" s="736"/>
      <c r="X1420" s="737"/>
      <c r="Y1420" s="738"/>
      <c r="Z1420" s="739"/>
      <c r="AA1420" s="739"/>
      <c r="AB1420" s="746">
        <v>0.1</v>
      </c>
      <c r="AC1420" s="741"/>
      <c r="AD1420" s="741"/>
      <c r="AE1420" s="742"/>
      <c r="AF1420" s="743">
        <v>4.5</v>
      </c>
      <c r="AG1420" s="741"/>
    </row>
    <row r="1421" spans="1:33" x14ac:dyDescent="0.25">
      <c r="A1421" s="861" t="s">
        <v>1428</v>
      </c>
      <c r="B1421" s="861" t="s">
        <v>4503</v>
      </c>
      <c r="C1421" s="836">
        <v>476</v>
      </c>
      <c r="D1421" s="836"/>
      <c r="E1421" s="836"/>
      <c r="F1421" s="836"/>
      <c r="G1421" s="496" t="s">
        <v>7829</v>
      </c>
      <c r="H1421" s="797" t="str">
        <f>VLOOKUP(G1421,SETTINGS!$B$7:$D$97,2,0)</f>
        <v>HADE</v>
      </c>
      <c r="I1421" s="796">
        <f>VLOOKUP(G1421,SETTINGS!$B$7:$D$97,3,0)</f>
        <v>0</v>
      </c>
      <c r="J1421" s="670" t="str">
        <f>IFERROR(IF(CURRENCY.FORMAT_1=0,CONCATENATE(TEXT(FIXED(ROUND((C1421/EXC.RATE_1),CURRENCY.FORMAT_1),CURRENCY.FORMAT_1,1),"# ##0;-# ##0"),",-"),FIXED(ROUND((C1421/EXC.RATE_1),CURRENCY.FORMAT_1),CURRENCY.FORMAT_1,0)),'DICTIONARY-5'!$A$2)</f>
        <v>476,-</v>
      </c>
      <c r="K1421" s="670" t="str">
        <f>IF(EXC.RATE_2=0,"",IFERROR(IF(CURRENCY.FORMAT_2=0,CONCATENATE(TEXT(FIXED(ROUND(IF(EXC.RATE.SWITCH=1,C1421/EXC.RATE_2,C1421*EXC.RATE_2),CURRENCY.FORMAT_2),CURRENCY.FORMAT_2,1),"# ##0;-# ##0"),",-"),FIXED(ROUND(IF(EXC.RATE.SWITCH=1,C1421/EXC.RATE_2,C1421*EXC.RATE_2),CURRENCY.FORMAT_2),CURRENCY.FORMAT_2,0)),'DICTIONARY-5'!$A$2))</f>
        <v/>
      </c>
      <c r="L1421" s="670" t="str">
        <f>IFERROR(IF(CURRENCY.FORMAT_1=0,CONCATENATE(TEXT(FIXED(ROUND((C1421*(1-I1421)*(1-ADD.DISCOUNT)*(1+MAT.SURCHARGE)/EXC.RATE_1),CURRENCY.FORMAT_1),CURRENCY.FORMAT_1,1),"# ##0;-# ##0"),",-"),FIXED(ROUND((C1421*(1-I1421)*(1-ADD.DISCOUNT)*(1+MAT.SURCHARGE)/EXC.RATE_1),CURRENCY.FORMAT_1),CURRENCY.FORMAT_1,0)),'DICTIONARY-5'!$A$2)</f>
        <v>495,-</v>
      </c>
      <c r="M1421" s="670" t="str">
        <f>IF(EXC.RATE_2=0,"",IFERROR(IF(CURRENCY.FORMAT_2=0,CONCATENATE(TEXT(FIXED(ROUND(IF(EXC.RATE.SWITCH=1,C1421*(1-I1421)*(1-ADD.DISCOUNT)*(1+MAT.SURCHARGE)/EXC.RATE_2,C1421*(1-I1421)*(1-ADD.DISCOUNT)*(1+MAT.SURCHARGE)*EXC.RATE_2),CURRENCY.FORMAT_2),CURRENCY.FORMAT_2,1),"# ##0;-# ##0"),",-"),FIXED(ROUND(IF(EXC.RATE.SWITCH=1,C1421*(1-I1421)*(1-ADD.DISCOUNT)*(1+MAT.SURCHARGE)/EXC.RATE_2,C1421*(1-I1421)*(1-ADD.DISCOUNT)*(1+MAT.SURCHARGE)*EXC.RATE_2),CURRENCY.FORMAT_2),CURRENCY.FORMAT_2,0)),'DICTIONARY-5'!$A$2))</f>
        <v/>
      </c>
      <c r="N1421" s="539">
        <v>5</v>
      </c>
      <c r="O1421" s="539"/>
      <c r="P1421" s="732" t="str">
        <f>'DICTIONARY-3'!$A$34</f>
        <v>HADE PTK-G</v>
      </c>
      <c r="Q1421" s="732" t="str">
        <f>'DICTIONARY-3'!$A$203</f>
        <v>Klapa przeciwcofkowa</v>
      </c>
      <c r="R1421" s="732" t="str">
        <f>CONCATENATE('DICTIONARY-3'!$A$34," ",'DICTIONARY-6'!$A$19," ",'DICTIONARY-2'!$A$2,"200, ",'DICTIONARY-6'!$A$75," ",'DICTIONARY-3'!$A$267)</f>
        <v>HADE PTK-G Klapa przeciwcofk. DN200, płyta pion. montaż na ścianie</v>
      </c>
      <c r="S1421" s="733" t="s">
        <v>5569</v>
      </c>
      <c r="T1421" s="732" t="s">
        <v>5569</v>
      </c>
      <c r="U1421" s="734" t="s">
        <v>5750</v>
      </c>
      <c r="V1421" s="735"/>
      <c r="W1421" s="736"/>
      <c r="X1421" s="737"/>
      <c r="Y1421" s="738"/>
      <c r="Z1421" s="739"/>
      <c r="AA1421" s="739"/>
      <c r="AB1421" s="746">
        <v>0.1</v>
      </c>
      <c r="AC1421" s="741"/>
      <c r="AD1421" s="741"/>
      <c r="AE1421" s="742"/>
      <c r="AF1421" s="743">
        <v>5.5</v>
      </c>
      <c r="AG1421" s="741"/>
    </row>
    <row r="1422" spans="1:33" x14ac:dyDescent="0.25">
      <c r="A1422" s="861" t="s">
        <v>1430</v>
      </c>
      <c r="B1422" s="861" t="s">
        <v>4509</v>
      </c>
      <c r="C1422" s="836">
        <v>555</v>
      </c>
      <c r="D1422" s="836"/>
      <c r="E1422" s="836"/>
      <c r="F1422" s="836"/>
      <c r="G1422" s="496" t="s">
        <v>7829</v>
      </c>
      <c r="H1422" s="797" t="str">
        <f>VLOOKUP(G1422,SETTINGS!$B$7:$D$97,2,0)</f>
        <v>HADE</v>
      </c>
      <c r="I1422" s="796">
        <f>VLOOKUP(G1422,SETTINGS!$B$7:$D$97,3,0)</f>
        <v>0</v>
      </c>
      <c r="J1422" s="670" t="str">
        <f>IFERROR(IF(CURRENCY.FORMAT_1=0,CONCATENATE(TEXT(FIXED(ROUND((C1422/EXC.RATE_1),CURRENCY.FORMAT_1),CURRENCY.FORMAT_1,1),"# ##0;-# ##0"),",-"),FIXED(ROUND((C1422/EXC.RATE_1),CURRENCY.FORMAT_1),CURRENCY.FORMAT_1,0)),'DICTIONARY-5'!$A$2)</f>
        <v>555,-</v>
      </c>
      <c r="K1422" s="670" t="str">
        <f>IF(EXC.RATE_2=0,"",IFERROR(IF(CURRENCY.FORMAT_2=0,CONCATENATE(TEXT(FIXED(ROUND(IF(EXC.RATE.SWITCH=1,C1422/EXC.RATE_2,C1422*EXC.RATE_2),CURRENCY.FORMAT_2),CURRENCY.FORMAT_2,1),"# ##0;-# ##0"),",-"),FIXED(ROUND(IF(EXC.RATE.SWITCH=1,C1422/EXC.RATE_2,C1422*EXC.RATE_2),CURRENCY.FORMAT_2),CURRENCY.FORMAT_2,0)),'DICTIONARY-5'!$A$2))</f>
        <v/>
      </c>
      <c r="L1422" s="670" t="str">
        <f>IFERROR(IF(CURRENCY.FORMAT_1=0,CONCATENATE(TEXT(FIXED(ROUND((C1422*(1-I1422)*(1-ADD.DISCOUNT)*(1+MAT.SURCHARGE)/EXC.RATE_1),CURRENCY.FORMAT_1),CURRENCY.FORMAT_1,1),"# ##0;-# ##0"),",-"),FIXED(ROUND((C1422*(1-I1422)*(1-ADD.DISCOUNT)*(1+MAT.SURCHARGE)/EXC.RATE_1),CURRENCY.FORMAT_1),CURRENCY.FORMAT_1,0)),'DICTIONARY-5'!$A$2)</f>
        <v>577,-</v>
      </c>
      <c r="M1422" s="670" t="str">
        <f>IF(EXC.RATE_2=0,"",IFERROR(IF(CURRENCY.FORMAT_2=0,CONCATENATE(TEXT(FIXED(ROUND(IF(EXC.RATE.SWITCH=1,C1422*(1-I1422)*(1-ADD.DISCOUNT)*(1+MAT.SURCHARGE)/EXC.RATE_2,C1422*(1-I1422)*(1-ADD.DISCOUNT)*(1+MAT.SURCHARGE)*EXC.RATE_2),CURRENCY.FORMAT_2),CURRENCY.FORMAT_2,1),"# ##0;-# ##0"),",-"),FIXED(ROUND(IF(EXC.RATE.SWITCH=1,C1422*(1-I1422)*(1-ADD.DISCOUNT)*(1+MAT.SURCHARGE)/EXC.RATE_2,C1422*(1-I1422)*(1-ADD.DISCOUNT)*(1+MAT.SURCHARGE)*EXC.RATE_2),CURRENCY.FORMAT_2),CURRENCY.FORMAT_2,0)),'DICTIONARY-5'!$A$2))</f>
        <v/>
      </c>
      <c r="N1422" s="539">
        <v>5</v>
      </c>
      <c r="O1422" s="539"/>
      <c r="P1422" s="732" t="str">
        <f>'DICTIONARY-3'!$A$34</f>
        <v>HADE PTK-G</v>
      </c>
      <c r="Q1422" s="732" t="str">
        <f>'DICTIONARY-3'!$A$203</f>
        <v>Klapa przeciwcofkowa</v>
      </c>
      <c r="R1422" s="732" t="str">
        <f>CONCATENATE('DICTIONARY-3'!$A$34," ",'DICTIONARY-6'!$A$19," ",'DICTIONARY-2'!$A$2,"250, ",'DICTIONARY-6'!$A$75," ",'DICTIONARY-3'!$A$267)</f>
        <v>HADE PTK-G Klapa przeciwcofk. DN250, płyta pion. montaż na ścianie</v>
      </c>
      <c r="S1422" s="733" t="s">
        <v>5569</v>
      </c>
      <c r="T1422" s="732" t="s">
        <v>5569</v>
      </c>
      <c r="U1422" s="734" t="s">
        <v>5751</v>
      </c>
      <c r="V1422" s="735"/>
      <c r="W1422" s="736"/>
      <c r="X1422" s="737"/>
      <c r="Y1422" s="738"/>
      <c r="Z1422" s="739"/>
      <c r="AA1422" s="739"/>
      <c r="AB1422" s="746">
        <v>0.1</v>
      </c>
      <c r="AC1422" s="741"/>
      <c r="AD1422" s="741"/>
      <c r="AE1422" s="742"/>
      <c r="AF1422" s="743">
        <v>7</v>
      </c>
      <c r="AG1422" s="741"/>
    </row>
    <row r="1423" spans="1:33" x14ac:dyDescent="0.25">
      <c r="A1423" s="861" t="s">
        <v>1432</v>
      </c>
      <c r="B1423" s="861" t="s">
        <v>4519</v>
      </c>
      <c r="C1423" s="836">
        <v>607</v>
      </c>
      <c r="D1423" s="836"/>
      <c r="E1423" s="836"/>
      <c r="F1423" s="836"/>
      <c r="G1423" s="496" t="s">
        <v>7829</v>
      </c>
      <c r="H1423" s="797" t="str">
        <f>VLOOKUP(G1423,SETTINGS!$B$7:$D$97,2,0)</f>
        <v>HADE</v>
      </c>
      <c r="I1423" s="796">
        <f>VLOOKUP(G1423,SETTINGS!$B$7:$D$97,3,0)</f>
        <v>0</v>
      </c>
      <c r="J1423" s="670" t="str">
        <f>IFERROR(IF(CURRENCY.FORMAT_1=0,CONCATENATE(TEXT(FIXED(ROUND((C1423/EXC.RATE_1),CURRENCY.FORMAT_1),CURRENCY.FORMAT_1,1),"# ##0;-# ##0"),",-"),FIXED(ROUND((C1423/EXC.RATE_1),CURRENCY.FORMAT_1),CURRENCY.FORMAT_1,0)),'DICTIONARY-5'!$A$2)</f>
        <v>607,-</v>
      </c>
      <c r="K1423" s="670" t="str">
        <f>IF(EXC.RATE_2=0,"",IFERROR(IF(CURRENCY.FORMAT_2=0,CONCATENATE(TEXT(FIXED(ROUND(IF(EXC.RATE.SWITCH=1,C1423/EXC.RATE_2,C1423*EXC.RATE_2),CURRENCY.FORMAT_2),CURRENCY.FORMAT_2,1),"# ##0;-# ##0"),",-"),FIXED(ROUND(IF(EXC.RATE.SWITCH=1,C1423/EXC.RATE_2,C1423*EXC.RATE_2),CURRENCY.FORMAT_2),CURRENCY.FORMAT_2,0)),'DICTIONARY-5'!$A$2))</f>
        <v/>
      </c>
      <c r="L1423" s="670" t="str">
        <f>IFERROR(IF(CURRENCY.FORMAT_1=0,CONCATENATE(TEXT(FIXED(ROUND((C1423*(1-I1423)*(1-ADD.DISCOUNT)*(1+MAT.SURCHARGE)/EXC.RATE_1),CURRENCY.FORMAT_1),CURRENCY.FORMAT_1,1),"# ##0;-# ##0"),",-"),FIXED(ROUND((C1423*(1-I1423)*(1-ADD.DISCOUNT)*(1+MAT.SURCHARGE)/EXC.RATE_1),CURRENCY.FORMAT_1),CURRENCY.FORMAT_1,0)),'DICTIONARY-5'!$A$2)</f>
        <v>631,-</v>
      </c>
      <c r="M1423" s="670" t="str">
        <f>IF(EXC.RATE_2=0,"",IFERROR(IF(CURRENCY.FORMAT_2=0,CONCATENATE(TEXT(FIXED(ROUND(IF(EXC.RATE.SWITCH=1,C1423*(1-I1423)*(1-ADD.DISCOUNT)*(1+MAT.SURCHARGE)/EXC.RATE_2,C1423*(1-I1423)*(1-ADD.DISCOUNT)*(1+MAT.SURCHARGE)*EXC.RATE_2),CURRENCY.FORMAT_2),CURRENCY.FORMAT_2,1),"# ##0;-# ##0"),",-"),FIXED(ROUND(IF(EXC.RATE.SWITCH=1,C1423*(1-I1423)*(1-ADD.DISCOUNT)*(1+MAT.SURCHARGE)/EXC.RATE_2,C1423*(1-I1423)*(1-ADD.DISCOUNT)*(1+MAT.SURCHARGE)*EXC.RATE_2),CURRENCY.FORMAT_2),CURRENCY.FORMAT_2,0)),'DICTIONARY-5'!$A$2))</f>
        <v/>
      </c>
      <c r="N1423" s="539">
        <v>5</v>
      </c>
      <c r="O1423" s="539"/>
      <c r="P1423" s="732" t="str">
        <f>'DICTIONARY-3'!$A$34</f>
        <v>HADE PTK-G</v>
      </c>
      <c r="Q1423" s="732" t="str">
        <f>'DICTIONARY-3'!$A$203</f>
        <v>Klapa przeciwcofkowa</v>
      </c>
      <c r="R1423" s="732" t="str">
        <f>CONCATENATE('DICTIONARY-3'!$A$34," ",'DICTIONARY-6'!$A$19," ",'DICTIONARY-2'!$A$2,"300, ",'DICTIONARY-6'!$A$75," ",'DICTIONARY-3'!$A$267)</f>
        <v>HADE PTK-G Klapa przeciwcofk. DN300, płyta pion. montaż na ścianie</v>
      </c>
      <c r="S1423" s="733" t="s">
        <v>5569</v>
      </c>
      <c r="T1423" s="732" t="s">
        <v>5569</v>
      </c>
      <c r="U1423" s="734" t="s">
        <v>5752</v>
      </c>
      <c r="V1423" s="735"/>
      <c r="W1423" s="736"/>
      <c r="X1423" s="737"/>
      <c r="Y1423" s="738"/>
      <c r="Z1423" s="739"/>
      <c r="AA1423" s="739"/>
      <c r="AB1423" s="746">
        <v>0.1</v>
      </c>
      <c r="AC1423" s="741"/>
      <c r="AD1423" s="741"/>
      <c r="AE1423" s="742"/>
      <c r="AF1423" s="743">
        <v>8</v>
      </c>
      <c r="AG1423" s="741"/>
    </row>
    <row r="1424" spans="1:33" x14ac:dyDescent="0.25">
      <c r="A1424" s="861" t="s">
        <v>1434</v>
      </c>
      <c r="B1424" s="861" t="s">
        <v>4526</v>
      </c>
      <c r="C1424" s="836">
        <v>865</v>
      </c>
      <c r="D1424" s="836"/>
      <c r="E1424" s="836"/>
      <c r="F1424" s="836"/>
      <c r="G1424" s="496" t="s">
        <v>7829</v>
      </c>
      <c r="H1424" s="797" t="str">
        <f>VLOOKUP(G1424,SETTINGS!$B$7:$D$97,2,0)</f>
        <v>HADE</v>
      </c>
      <c r="I1424" s="796">
        <f>VLOOKUP(G1424,SETTINGS!$B$7:$D$97,3,0)</f>
        <v>0</v>
      </c>
      <c r="J1424" s="670" t="str">
        <f>IFERROR(IF(CURRENCY.FORMAT_1=0,CONCATENATE(TEXT(FIXED(ROUND((C1424/EXC.RATE_1),CURRENCY.FORMAT_1),CURRENCY.FORMAT_1,1),"# ##0;-# ##0"),",-"),FIXED(ROUND((C1424/EXC.RATE_1),CURRENCY.FORMAT_1),CURRENCY.FORMAT_1,0)),'DICTIONARY-5'!$A$2)</f>
        <v>865,-</v>
      </c>
      <c r="K1424" s="670" t="str">
        <f>IF(EXC.RATE_2=0,"",IFERROR(IF(CURRENCY.FORMAT_2=0,CONCATENATE(TEXT(FIXED(ROUND(IF(EXC.RATE.SWITCH=1,C1424/EXC.RATE_2,C1424*EXC.RATE_2),CURRENCY.FORMAT_2),CURRENCY.FORMAT_2,1),"# ##0;-# ##0"),",-"),FIXED(ROUND(IF(EXC.RATE.SWITCH=1,C1424/EXC.RATE_2,C1424*EXC.RATE_2),CURRENCY.FORMAT_2),CURRENCY.FORMAT_2,0)),'DICTIONARY-5'!$A$2))</f>
        <v/>
      </c>
      <c r="L1424" s="670" t="str">
        <f>IFERROR(IF(CURRENCY.FORMAT_1=0,CONCATENATE(TEXT(FIXED(ROUND((C1424*(1-I1424)*(1-ADD.DISCOUNT)*(1+MAT.SURCHARGE)/EXC.RATE_1),CURRENCY.FORMAT_1),CURRENCY.FORMAT_1,1),"# ##0;-# ##0"),",-"),FIXED(ROUND((C1424*(1-I1424)*(1-ADD.DISCOUNT)*(1+MAT.SURCHARGE)/EXC.RATE_1),CURRENCY.FORMAT_1),CURRENCY.FORMAT_1,0)),'DICTIONARY-5'!$A$2)</f>
        <v>899,-</v>
      </c>
      <c r="M1424" s="670" t="str">
        <f>IF(EXC.RATE_2=0,"",IFERROR(IF(CURRENCY.FORMAT_2=0,CONCATENATE(TEXT(FIXED(ROUND(IF(EXC.RATE.SWITCH=1,C1424*(1-I1424)*(1-ADD.DISCOUNT)*(1+MAT.SURCHARGE)/EXC.RATE_2,C1424*(1-I1424)*(1-ADD.DISCOUNT)*(1+MAT.SURCHARGE)*EXC.RATE_2),CURRENCY.FORMAT_2),CURRENCY.FORMAT_2,1),"# ##0;-# ##0"),",-"),FIXED(ROUND(IF(EXC.RATE.SWITCH=1,C1424*(1-I1424)*(1-ADD.DISCOUNT)*(1+MAT.SURCHARGE)/EXC.RATE_2,C1424*(1-I1424)*(1-ADD.DISCOUNT)*(1+MAT.SURCHARGE)*EXC.RATE_2),CURRENCY.FORMAT_2),CURRENCY.FORMAT_2,0)),'DICTIONARY-5'!$A$2))</f>
        <v/>
      </c>
      <c r="N1424" s="539">
        <v>5</v>
      </c>
      <c r="O1424" s="539"/>
      <c r="P1424" s="732" t="str">
        <f>'DICTIONARY-3'!$A$34</f>
        <v>HADE PTK-G</v>
      </c>
      <c r="Q1424" s="732" t="str">
        <f>'DICTIONARY-3'!$A$203</f>
        <v>Klapa przeciwcofkowa</v>
      </c>
      <c r="R1424" s="732" t="str">
        <f>CONCATENATE('DICTIONARY-3'!$A$34," ",'DICTIONARY-6'!$A$19," ",'DICTIONARY-2'!$A$2,"400, ",'DICTIONARY-6'!$A$75," ",'DICTIONARY-3'!$A$267)</f>
        <v>HADE PTK-G Klapa przeciwcofk. DN400, płyta pion. montaż na ścianie</v>
      </c>
      <c r="S1424" s="733" t="s">
        <v>5569</v>
      </c>
      <c r="T1424" s="732" t="s">
        <v>5569</v>
      </c>
      <c r="U1424" s="734" t="s">
        <v>5754</v>
      </c>
      <c r="V1424" s="735"/>
      <c r="W1424" s="736"/>
      <c r="X1424" s="737"/>
      <c r="Y1424" s="738"/>
      <c r="Z1424" s="739"/>
      <c r="AA1424" s="739"/>
      <c r="AB1424" s="746">
        <v>0.1</v>
      </c>
      <c r="AC1424" s="741"/>
      <c r="AD1424" s="741"/>
      <c r="AE1424" s="742"/>
      <c r="AF1424" s="743">
        <v>14</v>
      </c>
      <c r="AG1424" s="741"/>
    </row>
    <row r="1425" spans="1:33" x14ac:dyDescent="0.25">
      <c r="A1425" s="861" t="s">
        <v>1436</v>
      </c>
      <c r="B1425" s="861" t="s">
        <v>4533</v>
      </c>
      <c r="C1425" s="836">
        <v>1054</v>
      </c>
      <c r="D1425" s="836"/>
      <c r="E1425" s="836"/>
      <c r="F1425" s="836"/>
      <c r="G1425" s="496" t="s">
        <v>7829</v>
      </c>
      <c r="H1425" s="797" t="str">
        <f>VLOOKUP(G1425,SETTINGS!$B$7:$D$97,2,0)</f>
        <v>HADE</v>
      </c>
      <c r="I1425" s="796">
        <f>VLOOKUP(G1425,SETTINGS!$B$7:$D$97,3,0)</f>
        <v>0</v>
      </c>
      <c r="J1425" s="670" t="str">
        <f>IFERROR(IF(CURRENCY.FORMAT_1=0,CONCATENATE(TEXT(FIXED(ROUND((C1425/EXC.RATE_1),CURRENCY.FORMAT_1),CURRENCY.FORMAT_1,1),"# ##0;-# ##0"),",-"),FIXED(ROUND((C1425/EXC.RATE_1),CURRENCY.FORMAT_1),CURRENCY.FORMAT_1,0)),'DICTIONARY-5'!$A$2)</f>
        <v>1 054,-</v>
      </c>
      <c r="K1425" s="670" t="str">
        <f>IF(EXC.RATE_2=0,"",IFERROR(IF(CURRENCY.FORMAT_2=0,CONCATENATE(TEXT(FIXED(ROUND(IF(EXC.RATE.SWITCH=1,C1425/EXC.RATE_2,C1425*EXC.RATE_2),CURRENCY.FORMAT_2),CURRENCY.FORMAT_2,1),"# ##0;-# ##0"),",-"),FIXED(ROUND(IF(EXC.RATE.SWITCH=1,C1425/EXC.RATE_2,C1425*EXC.RATE_2),CURRENCY.FORMAT_2),CURRENCY.FORMAT_2,0)),'DICTIONARY-5'!$A$2))</f>
        <v/>
      </c>
      <c r="L1425" s="670" t="str">
        <f>IFERROR(IF(CURRENCY.FORMAT_1=0,CONCATENATE(TEXT(FIXED(ROUND((C1425*(1-I1425)*(1-ADD.DISCOUNT)*(1+MAT.SURCHARGE)/EXC.RATE_1),CURRENCY.FORMAT_1),CURRENCY.FORMAT_1,1),"# ##0;-# ##0"),",-"),FIXED(ROUND((C1425*(1-I1425)*(1-ADD.DISCOUNT)*(1+MAT.SURCHARGE)/EXC.RATE_1),CURRENCY.FORMAT_1),CURRENCY.FORMAT_1,0)),'DICTIONARY-5'!$A$2)</f>
        <v>1 095,-</v>
      </c>
      <c r="M1425" s="670" t="str">
        <f>IF(EXC.RATE_2=0,"",IFERROR(IF(CURRENCY.FORMAT_2=0,CONCATENATE(TEXT(FIXED(ROUND(IF(EXC.RATE.SWITCH=1,C1425*(1-I1425)*(1-ADD.DISCOUNT)*(1+MAT.SURCHARGE)/EXC.RATE_2,C1425*(1-I1425)*(1-ADD.DISCOUNT)*(1+MAT.SURCHARGE)*EXC.RATE_2),CURRENCY.FORMAT_2),CURRENCY.FORMAT_2,1),"# ##0;-# ##0"),",-"),FIXED(ROUND(IF(EXC.RATE.SWITCH=1,C1425*(1-I1425)*(1-ADD.DISCOUNT)*(1+MAT.SURCHARGE)/EXC.RATE_2,C1425*(1-I1425)*(1-ADD.DISCOUNT)*(1+MAT.SURCHARGE)*EXC.RATE_2),CURRENCY.FORMAT_2),CURRENCY.FORMAT_2,0)),'DICTIONARY-5'!$A$2))</f>
        <v/>
      </c>
      <c r="N1425" s="539">
        <v>5</v>
      </c>
      <c r="O1425" s="539"/>
      <c r="P1425" s="732" t="str">
        <f>'DICTIONARY-3'!$A$34</f>
        <v>HADE PTK-G</v>
      </c>
      <c r="Q1425" s="732" t="str">
        <f>'DICTIONARY-3'!$A$203</f>
        <v>Klapa przeciwcofkowa</v>
      </c>
      <c r="R1425" s="732" t="str">
        <f>CONCATENATE('DICTIONARY-3'!$A$34," ",'DICTIONARY-6'!$A$19," ",'DICTIONARY-2'!$A$2,"500, ",'DICTIONARY-6'!$A$75," ",'DICTIONARY-3'!$A$267)</f>
        <v>HADE PTK-G Klapa przeciwcofk. DN500, płyta pion. montaż na ścianie</v>
      </c>
      <c r="S1425" s="733" t="s">
        <v>5569</v>
      </c>
      <c r="T1425" s="732" t="s">
        <v>5569</v>
      </c>
      <c r="U1425" s="734" t="s">
        <v>5756</v>
      </c>
      <c r="V1425" s="735"/>
      <c r="W1425" s="736"/>
      <c r="X1425" s="737"/>
      <c r="Y1425" s="738"/>
      <c r="Z1425" s="739"/>
      <c r="AA1425" s="739"/>
      <c r="AB1425" s="746">
        <v>0.1</v>
      </c>
      <c r="AC1425" s="741"/>
      <c r="AD1425" s="741"/>
      <c r="AE1425" s="742"/>
      <c r="AF1425" s="743">
        <v>16</v>
      </c>
      <c r="AG1425" s="741"/>
    </row>
    <row r="1426" spans="1:33" x14ac:dyDescent="0.25">
      <c r="A1426" s="861" t="s">
        <v>1438</v>
      </c>
      <c r="B1426" s="861" t="s">
        <v>4540</v>
      </c>
      <c r="C1426" s="836">
        <v>1477</v>
      </c>
      <c r="D1426" s="836"/>
      <c r="E1426" s="836"/>
      <c r="F1426" s="836"/>
      <c r="G1426" s="496" t="s">
        <v>7829</v>
      </c>
      <c r="H1426" s="797" t="str">
        <f>VLOOKUP(G1426,SETTINGS!$B$7:$D$97,2,0)</f>
        <v>HADE</v>
      </c>
      <c r="I1426" s="796">
        <f>VLOOKUP(G1426,SETTINGS!$B$7:$D$97,3,0)</f>
        <v>0</v>
      </c>
      <c r="J1426" s="670" t="str">
        <f>IFERROR(IF(CURRENCY.FORMAT_1=0,CONCATENATE(TEXT(FIXED(ROUND((C1426/EXC.RATE_1),CURRENCY.FORMAT_1),CURRENCY.FORMAT_1,1),"# ##0;-# ##0"),",-"),FIXED(ROUND((C1426/EXC.RATE_1),CURRENCY.FORMAT_1),CURRENCY.FORMAT_1,0)),'DICTIONARY-5'!$A$2)</f>
        <v>1 477,-</v>
      </c>
      <c r="K1426" s="670" t="str">
        <f>IF(EXC.RATE_2=0,"",IFERROR(IF(CURRENCY.FORMAT_2=0,CONCATENATE(TEXT(FIXED(ROUND(IF(EXC.RATE.SWITCH=1,C1426/EXC.RATE_2,C1426*EXC.RATE_2),CURRENCY.FORMAT_2),CURRENCY.FORMAT_2,1),"# ##0;-# ##0"),",-"),FIXED(ROUND(IF(EXC.RATE.SWITCH=1,C1426/EXC.RATE_2,C1426*EXC.RATE_2),CURRENCY.FORMAT_2),CURRENCY.FORMAT_2,0)),'DICTIONARY-5'!$A$2))</f>
        <v/>
      </c>
      <c r="L1426" s="670" t="str">
        <f>IFERROR(IF(CURRENCY.FORMAT_1=0,CONCATENATE(TEXT(FIXED(ROUND((C1426*(1-I1426)*(1-ADD.DISCOUNT)*(1+MAT.SURCHARGE)/EXC.RATE_1),CURRENCY.FORMAT_1),CURRENCY.FORMAT_1,1),"# ##0;-# ##0"),",-"),FIXED(ROUND((C1426*(1-I1426)*(1-ADD.DISCOUNT)*(1+MAT.SURCHARGE)/EXC.RATE_1),CURRENCY.FORMAT_1),CURRENCY.FORMAT_1,0)),'DICTIONARY-5'!$A$2)</f>
        <v>1 535,-</v>
      </c>
      <c r="M1426" s="670" t="str">
        <f>IF(EXC.RATE_2=0,"",IFERROR(IF(CURRENCY.FORMAT_2=0,CONCATENATE(TEXT(FIXED(ROUND(IF(EXC.RATE.SWITCH=1,C1426*(1-I1426)*(1-ADD.DISCOUNT)*(1+MAT.SURCHARGE)/EXC.RATE_2,C1426*(1-I1426)*(1-ADD.DISCOUNT)*(1+MAT.SURCHARGE)*EXC.RATE_2),CURRENCY.FORMAT_2),CURRENCY.FORMAT_2,1),"# ##0;-# ##0"),",-"),FIXED(ROUND(IF(EXC.RATE.SWITCH=1,C1426*(1-I1426)*(1-ADD.DISCOUNT)*(1+MAT.SURCHARGE)/EXC.RATE_2,C1426*(1-I1426)*(1-ADD.DISCOUNT)*(1+MAT.SURCHARGE)*EXC.RATE_2),CURRENCY.FORMAT_2),CURRENCY.FORMAT_2,0)),'DICTIONARY-5'!$A$2))</f>
        <v/>
      </c>
      <c r="N1426" s="539">
        <v>5</v>
      </c>
      <c r="O1426" s="539"/>
      <c r="P1426" s="732" t="str">
        <f>'DICTIONARY-3'!$A$34</f>
        <v>HADE PTK-G</v>
      </c>
      <c r="Q1426" s="732" t="str">
        <f>'DICTIONARY-3'!$A$203</f>
        <v>Klapa przeciwcofkowa</v>
      </c>
      <c r="R1426" s="732" t="str">
        <f>CONCATENATE('DICTIONARY-3'!$A$34," ",'DICTIONARY-6'!$A$19," ",'DICTIONARY-2'!$A$2,"600, ",'DICTIONARY-6'!$A$75," ",'DICTIONARY-3'!$A$267)</f>
        <v>HADE PTK-G Klapa przeciwcofk. DN600, płyta pion. montaż na ścianie</v>
      </c>
      <c r="S1426" s="733" t="s">
        <v>5569</v>
      </c>
      <c r="T1426" s="732" t="s">
        <v>5569</v>
      </c>
      <c r="U1426" s="734" t="s">
        <v>5757</v>
      </c>
      <c r="V1426" s="735"/>
      <c r="W1426" s="736"/>
      <c r="X1426" s="737"/>
      <c r="Y1426" s="738"/>
      <c r="Z1426" s="739"/>
      <c r="AA1426" s="739"/>
      <c r="AB1426" s="746">
        <v>0.1</v>
      </c>
      <c r="AC1426" s="741"/>
      <c r="AD1426" s="741"/>
      <c r="AE1426" s="742"/>
      <c r="AF1426" s="743">
        <v>26</v>
      </c>
      <c r="AG1426" s="741"/>
    </row>
    <row r="1427" spans="1:33" x14ac:dyDescent="0.25">
      <c r="A1427" s="861" t="s">
        <v>1440</v>
      </c>
      <c r="B1427" s="861" t="s">
        <v>4547</v>
      </c>
      <c r="C1427" s="836">
        <v>1865</v>
      </c>
      <c r="D1427" s="836"/>
      <c r="E1427" s="836"/>
      <c r="F1427" s="836"/>
      <c r="G1427" s="496" t="s">
        <v>7829</v>
      </c>
      <c r="H1427" s="797" t="str">
        <f>VLOOKUP(G1427,SETTINGS!$B$7:$D$97,2,0)</f>
        <v>HADE</v>
      </c>
      <c r="I1427" s="796">
        <f>VLOOKUP(G1427,SETTINGS!$B$7:$D$97,3,0)</f>
        <v>0</v>
      </c>
      <c r="J1427" s="670" t="str">
        <f>IFERROR(IF(CURRENCY.FORMAT_1=0,CONCATENATE(TEXT(FIXED(ROUND((C1427/EXC.RATE_1),CURRENCY.FORMAT_1),CURRENCY.FORMAT_1,1),"# ##0;-# ##0"),",-"),FIXED(ROUND((C1427/EXC.RATE_1),CURRENCY.FORMAT_1),CURRENCY.FORMAT_1,0)),'DICTIONARY-5'!$A$2)</f>
        <v>1 865,-</v>
      </c>
      <c r="K1427" s="670" t="str">
        <f>IF(EXC.RATE_2=0,"",IFERROR(IF(CURRENCY.FORMAT_2=0,CONCATENATE(TEXT(FIXED(ROUND(IF(EXC.RATE.SWITCH=1,C1427/EXC.RATE_2,C1427*EXC.RATE_2),CURRENCY.FORMAT_2),CURRENCY.FORMAT_2,1),"# ##0;-# ##0"),",-"),FIXED(ROUND(IF(EXC.RATE.SWITCH=1,C1427/EXC.RATE_2,C1427*EXC.RATE_2),CURRENCY.FORMAT_2),CURRENCY.FORMAT_2,0)),'DICTIONARY-5'!$A$2))</f>
        <v/>
      </c>
      <c r="L1427" s="670" t="str">
        <f>IFERROR(IF(CURRENCY.FORMAT_1=0,CONCATENATE(TEXT(FIXED(ROUND((C1427*(1-I1427)*(1-ADD.DISCOUNT)*(1+MAT.SURCHARGE)/EXC.RATE_1),CURRENCY.FORMAT_1),CURRENCY.FORMAT_1,1),"# ##0;-# ##0"),",-"),FIXED(ROUND((C1427*(1-I1427)*(1-ADD.DISCOUNT)*(1+MAT.SURCHARGE)/EXC.RATE_1),CURRENCY.FORMAT_1),CURRENCY.FORMAT_1,0)),'DICTIONARY-5'!$A$2)</f>
        <v>1 938,-</v>
      </c>
      <c r="M1427" s="670" t="str">
        <f>IF(EXC.RATE_2=0,"",IFERROR(IF(CURRENCY.FORMAT_2=0,CONCATENATE(TEXT(FIXED(ROUND(IF(EXC.RATE.SWITCH=1,C1427*(1-I1427)*(1-ADD.DISCOUNT)*(1+MAT.SURCHARGE)/EXC.RATE_2,C1427*(1-I1427)*(1-ADD.DISCOUNT)*(1+MAT.SURCHARGE)*EXC.RATE_2),CURRENCY.FORMAT_2),CURRENCY.FORMAT_2,1),"# ##0;-# ##0"),",-"),FIXED(ROUND(IF(EXC.RATE.SWITCH=1,C1427*(1-I1427)*(1-ADD.DISCOUNT)*(1+MAT.SURCHARGE)/EXC.RATE_2,C1427*(1-I1427)*(1-ADD.DISCOUNT)*(1+MAT.SURCHARGE)*EXC.RATE_2),CURRENCY.FORMAT_2),CURRENCY.FORMAT_2,0)),'DICTIONARY-5'!$A$2))</f>
        <v/>
      </c>
      <c r="N1427" s="539">
        <v>5</v>
      </c>
      <c r="O1427" s="539"/>
      <c r="P1427" s="732" t="str">
        <f>'DICTIONARY-3'!$A$34</f>
        <v>HADE PTK-G</v>
      </c>
      <c r="Q1427" s="732" t="str">
        <f>'DICTIONARY-3'!$A$203</f>
        <v>Klapa przeciwcofkowa</v>
      </c>
      <c r="R1427" s="732" t="str">
        <f>CONCATENATE('DICTIONARY-3'!$A$34," ",'DICTIONARY-6'!$A$19," ",'DICTIONARY-2'!$A$2,"700, ",'DICTIONARY-6'!$A$75," ",'DICTIONARY-3'!$A$267)</f>
        <v>HADE PTK-G Klapa przeciwcofk. DN700, płyta pion. montaż na ścianie</v>
      </c>
      <c r="S1427" s="733" t="s">
        <v>5569</v>
      </c>
      <c r="T1427" s="732" t="s">
        <v>5569</v>
      </c>
      <c r="U1427" s="734" t="s">
        <v>5834</v>
      </c>
      <c r="V1427" s="735"/>
      <c r="W1427" s="736"/>
      <c r="X1427" s="737"/>
      <c r="Y1427" s="738"/>
      <c r="Z1427" s="739"/>
      <c r="AA1427" s="739"/>
      <c r="AB1427" s="746">
        <v>0.1</v>
      </c>
      <c r="AC1427" s="741"/>
      <c r="AD1427" s="741"/>
      <c r="AE1427" s="742"/>
      <c r="AF1427" s="743">
        <v>33</v>
      </c>
      <c r="AG1427" s="741"/>
    </row>
    <row r="1428" spans="1:33" x14ac:dyDescent="0.25">
      <c r="A1428" s="861" t="s">
        <v>1442</v>
      </c>
      <c r="B1428" s="861" t="s">
        <v>4553</v>
      </c>
      <c r="C1428" s="836">
        <v>2417</v>
      </c>
      <c r="D1428" s="836"/>
      <c r="E1428" s="836"/>
      <c r="F1428" s="836"/>
      <c r="G1428" s="496" t="s">
        <v>7829</v>
      </c>
      <c r="H1428" s="797" t="str">
        <f>VLOOKUP(G1428,SETTINGS!$B$7:$D$97,2,0)</f>
        <v>HADE</v>
      </c>
      <c r="I1428" s="796">
        <f>VLOOKUP(G1428,SETTINGS!$B$7:$D$97,3,0)</f>
        <v>0</v>
      </c>
      <c r="J1428" s="670" t="str">
        <f>IFERROR(IF(CURRENCY.FORMAT_1=0,CONCATENATE(TEXT(FIXED(ROUND((C1428/EXC.RATE_1),CURRENCY.FORMAT_1),CURRENCY.FORMAT_1,1),"# ##0;-# ##0"),",-"),FIXED(ROUND((C1428/EXC.RATE_1),CURRENCY.FORMAT_1),CURRENCY.FORMAT_1,0)),'DICTIONARY-5'!$A$2)</f>
        <v>2 417,-</v>
      </c>
      <c r="K1428" s="670" t="str">
        <f>IF(EXC.RATE_2=0,"",IFERROR(IF(CURRENCY.FORMAT_2=0,CONCATENATE(TEXT(FIXED(ROUND(IF(EXC.RATE.SWITCH=1,C1428/EXC.RATE_2,C1428*EXC.RATE_2),CURRENCY.FORMAT_2),CURRENCY.FORMAT_2,1),"# ##0;-# ##0"),",-"),FIXED(ROUND(IF(EXC.RATE.SWITCH=1,C1428/EXC.RATE_2,C1428*EXC.RATE_2),CURRENCY.FORMAT_2),CURRENCY.FORMAT_2,0)),'DICTIONARY-5'!$A$2))</f>
        <v/>
      </c>
      <c r="L1428" s="670" t="str">
        <f>IFERROR(IF(CURRENCY.FORMAT_1=0,CONCATENATE(TEXT(FIXED(ROUND((C1428*(1-I1428)*(1-ADD.DISCOUNT)*(1+MAT.SURCHARGE)/EXC.RATE_1),CURRENCY.FORMAT_1),CURRENCY.FORMAT_1,1),"# ##0;-# ##0"),",-"),FIXED(ROUND((C1428*(1-I1428)*(1-ADD.DISCOUNT)*(1+MAT.SURCHARGE)/EXC.RATE_1),CURRENCY.FORMAT_1),CURRENCY.FORMAT_1,0)),'DICTIONARY-5'!$A$2)</f>
        <v>2 511,-</v>
      </c>
      <c r="M1428" s="670" t="str">
        <f>IF(EXC.RATE_2=0,"",IFERROR(IF(CURRENCY.FORMAT_2=0,CONCATENATE(TEXT(FIXED(ROUND(IF(EXC.RATE.SWITCH=1,C1428*(1-I1428)*(1-ADD.DISCOUNT)*(1+MAT.SURCHARGE)/EXC.RATE_2,C1428*(1-I1428)*(1-ADD.DISCOUNT)*(1+MAT.SURCHARGE)*EXC.RATE_2),CURRENCY.FORMAT_2),CURRENCY.FORMAT_2,1),"# ##0;-# ##0"),",-"),FIXED(ROUND(IF(EXC.RATE.SWITCH=1,C1428*(1-I1428)*(1-ADD.DISCOUNT)*(1+MAT.SURCHARGE)/EXC.RATE_2,C1428*(1-I1428)*(1-ADD.DISCOUNT)*(1+MAT.SURCHARGE)*EXC.RATE_2),CURRENCY.FORMAT_2),CURRENCY.FORMAT_2,0)),'DICTIONARY-5'!$A$2))</f>
        <v/>
      </c>
      <c r="N1428" s="539">
        <v>5</v>
      </c>
      <c r="O1428" s="539"/>
      <c r="P1428" s="732" t="str">
        <f>'DICTIONARY-3'!$A$34</f>
        <v>HADE PTK-G</v>
      </c>
      <c r="Q1428" s="732" t="str">
        <f>'DICTIONARY-3'!$A$203</f>
        <v>Klapa przeciwcofkowa</v>
      </c>
      <c r="R1428" s="732" t="str">
        <f>CONCATENATE('DICTIONARY-3'!$A$34," ",'DICTIONARY-6'!$A$19," ",'DICTIONARY-2'!$A$2,"800, ",'DICTIONARY-6'!$A$75," ",'DICTIONARY-3'!$A$267)</f>
        <v>HADE PTK-G Klapa przeciwcofk. DN800, płyta pion. montaż na ścianie</v>
      </c>
      <c r="S1428" s="733" t="s">
        <v>5569</v>
      </c>
      <c r="T1428" s="732" t="s">
        <v>5569</v>
      </c>
      <c r="U1428" s="734" t="s">
        <v>5835</v>
      </c>
      <c r="V1428" s="735"/>
      <c r="W1428" s="736"/>
      <c r="X1428" s="737"/>
      <c r="Y1428" s="738"/>
      <c r="Z1428" s="739"/>
      <c r="AA1428" s="739"/>
      <c r="AB1428" s="746">
        <v>0.1</v>
      </c>
      <c r="AC1428" s="741"/>
      <c r="AD1428" s="741"/>
      <c r="AE1428" s="742"/>
      <c r="AF1428" s="743">
        <v>43</v>
      </c>
      <c r="AG1428" s="741"/>
    </row>
    <row r="1429" spans="1:33" x14ac:dyDescent="0.25">
      <c r="A1429" s="861" t="s">
        <v>1444</v>
      </c>
      <c r="B1429" s="861" t="s">
        <v>4559</v>
      </c>
      <c r="C1429" s="836">
        <v>3140</v>
      </c>
      <c r="D1429" s="836"/>
      <c r="E1429" s="836"/>
      <c r="F1429" s="836"/>
      <c r="G1429" s="496" t="s">
        <v>7829</v>
      </c>
      <c r="H1429" s="797" t="str">
        <f>VLOOKUP(G1429,SETTINGS!$B$7:$D$97,2,0)</f>
        <v>HADE</v>
      </c>
      <c r="I1429" s="796">
        <f>VLOOKUP(G1429,SETTINGS!$B$7:$D$97,3,0)</f>
        <v>0</v>
      </c>
      <c r="J1429" s="670" t="str">
        <f>IFERROR(IF(CURRENCY.FORMAT_1=0,CONCATENATE(TEXT(FIXED(ROUND((C1429/EXC.RATE_1),CURRENCY.FORMAT_1),CURRENCY.FORMAT_1,1),"# ##0;-# ##0"),",-"),FIXED(ROUND((C1429/EXC.RATE_1),CURRENCY.FORMAT_1),CURRENCY.FORMAT_1,0)),'DICTIONARY-5'!$A$2)</f>
        <v>3 140,-</v>
      </c>
      <c r="K1429" s="670" t="str">
        <f>IF(EXC.RATE_2=0,"",IFERROR(IF(CURRENCY.FORMAT_2=0,CONCATENATE(TEXT(FIXED(ROUND(IF(EXC.RATE.SWITCH=1,C1429/EXC.RATE_2,C1429*EXC.RATE_2),CURRENCY.FORMAT_2),CURRENCY.FORMAT_2,1),"# ##0;-# ##0"),",-"),FIXED(ROUND(IF(EXC.RATE.SWITCH=1,C1429/EXC.RATE_2,C1429*EXC.RATE_2),CURRENCY.FORMAT_2),CURRENCY.FORMAT_2,0)),'DICTIONARY-5'!$A$2))</f>
        <v/>
      </c>
      <c r="L1429" s="670" t="str">
        <f>IFERROR(IF(CURRENCY.FORMAT_1=0,CONCATENATE(TEXT(FIXED(ROUND((C1429*(1-I1429)*(1-ADD.DISCOUNT)*(1+MAT.SURCHARGE)/EXC.RATE_1),CURRENCY.FORMAT_1),CURRENCY.FORMAT_1,1),"# ##0;-# ##0"),",-"),FIXED(ROUND((C1429*(1-I1429)*(1-ADD.DISCOUNT)*(1+MAT.SURCHARGE)/EXC.RATE_1),CURRENCY.FORMAT_1),CURRENCY.FORMAT_1,0)),'DICTIONARY-5'!$A$2)</f>
        <v>3 262,-</v>
      </c>
      <c r="M1429" s="670" t="str">
        <f>IF(EXC.RATE_2=0,"",IFERROR(IF(CURRENCY.FORMAT_2=0,CONCATENATE(TEXT(FIXED(ROUND(IF(EXC.RATE.SWITCH=1,C1429*(1-I1429)*(1-ADD.DISCOUNT)*(1+MAT.SURCHARGE)/EXC.RATE_2,C1429*(1-I1429)*(1-ADD.DISCOUNT)*(1+MAT.SURCHARGE)*EXC.RATE_2),CURRENCY.FORMAT_2),CURRENCY.FORMAT_2,1),"# ##0;-# ##0"),",-"),FIXED(ROUND(IF(EXC.RATE.SWITCH=1,C1429*(1-I1429)*(1-ADD.DISCOUNT)*(1+MAT.SURCHARGE)/EXC.RATE_2,C1429*(1-I1429)*(1-ADD.DISCOUNT)*(1+MAT.SURCHARGE)*EXC.RATE_2),CURRENCY.FORMAT_2),CURRENCY.FORMAT_2,0)),'DICTIONARY-5'!$A$2))</f>
        <v/>
      </c>
      <c r="N1429" s="539">
        <v>5</v>
      </c>
      <c r="O1429" s="539"/>
      <c r="P1429" s="732" t="str">
        <f>'DICTIONARY-3'!$A$34</f>
        <v>HADE PTK-G</v>
      </c>
      <c r="Q1429" s="732" t="str">
        <f>'DICTIONARY-3'!$A$203</f>
        <v>Klapa przeciwcofkowa</v>
      </c>
      <c r="R1429" s="732" t="str">
        <f>CONCATENATE('DICTIONARY-3'!$A$34," ",'DICTIONARY-6'!$A$19," ",'DICTIONARY-2'!$A$2,"900, ",'DICTIONARY-6'!$A$75," ",'DICTIONARY-3'!$A$267)</f>
        <v>HADE PTK-G Klapa przeciwcofk. DN900, płyta pion. montaż na ścianie</v>
      </c>
      <c r="S1429" s="733" t="s">
        <v>5569</v>
      </c>
      <c r="T1429" s="732" t="s">
        <v>5569</v>
      </c>
      <c r="U1429" s="734" t="s">
        <v>5837</v>
      </c>
      <c r="V1429" s="735"/>
      <c r="W1429" s="736"/>
      <c r="X1429" s="737"/>
      <c r="Y1429" s="738"/>
      <c r="Z1429" s="739"/>
      <c r="AA1429" s="739"/>
      <c r="AB1429" s="746">
        <v>0.1</v>
      </c>
      <c r="AC1429" s="741"/>
      <c r="AD1429" s="741"/>
      <c r="AE1429" s="742"/>
      <c r="AF1429" s="743">
        <v>50</v>
      </c>
      <c r="AG1429" s="741"/>
    </row>
    <row r="1430" spans="1:33" x14ac:dyDescent="0.25">
      <c r="A1430" s="861" t="s">
        <v>1446</v>
      </c>
      <c r="B1430" s="861" t="s">
        <v>4565</v>
      </c>
      <c r="C1430" s="836">
        <v>3477</v>
      </c>
      <c r="D1430" s="836"/>
      <c r="E1430" s="836"/>
      <c r="F1430" s="836"/>
      <c r="G1430" s="496" t="s">
        <v>7829</v>
      </c>
      <c r="H1430" s="797" t="str">
        <f>VLOOKUP(G1430,SETTINGS!$B$7:$D$97,2,0)</f>
        <v>HADE</v>
      </c>
      <c r="I1430" s="796">
        <f>VLOOKUP(G1430,SETTINGS!$B$7:$D$97,3,0)</f>
        <v>0</v>
      </c>
      <c r="J1430" s="670" t="str">
        <f>IFERROR(IF(CURRENCY.FORMAT_1=0,CONCATENATE(TEXT(FIXED(ROUND((C1430/EXC.RATE_1),CURRENCY.FORMAT_1),CURRENCY.FORMAT_1,1),"# ##0;-# ##0"),",-"),FIXED(ROUND((C1430/EXC.RATE_1),CURRENCY.FORMAT_1),CURRENCY.FORMAT_1,0)),'DICTIONARY-5'!$A$2)</f>
        <v>3 477,-</v>
      </c>
      <c r="K1430" s="670" t="str">
        <f>IF(EXC.RATE_2=0,"",IFERROR(IF(CURRENCY.FORMAT_2=0,CONCATENATE(TEXT(FIXED(ROUND(IF(EXC.RATE.SWITCH=1,C1430/EXC.RATE_2,C1430*EXC.RATE_2),CURRENCY.FORMAT_2),CURRENCY.FORMAT_2,1),"# ##0;-# ##0"),",-"),FIXED(ROUND(IF(EXC.RATE.SWITCH=1,C1430/EXC.RATE_2,C1430*EXC.RATE_2),CURRENCY.FORMAT_2),CURRENCY.FORMAT_2,0)),'DICTIONARY-5'!$A$2))</f>
        <v/>
      </c>
      <c r="L1430" s="670" t="str">
        <f>IFERROR(IF(CURRENCY.FORMAT_1=0,CONCATENATE(TEXT(FIXED(ROUND((C1430*(1-I1430)*(1-ADD.DISCOUNT)*(1+MAT.SURCHARGE)/EXC.RATE_1),CURRENCY.FORMAT_1),CURRENCY.FORMAT_1,1),"# ##0;-# ##0"),",-"),FIXED(ROUND((C1430*(1-I1430)*(1-ADD.DISCOUNT)*(1+MAT.SURCHARGE)/EXC.RATE_1),CURRENCY.FORMAT_1),CURRENCY.FORMAT_1,0)),'DICTIONARY-5'!$A$2)</f>
        <v>3 613,-</v>
      </c>
      <c r="M1430" s="670" t="str">
        <f>IF(EXC.RATE_2=0,"",IFERROR(IF(CURRENCY.FORMAT_2=0,CONCATENATE(TEXT(FIXED(ROUND(IF(EXC.RATE.SWITCH=1,C1430*(1-I1430)*(1-ADD.DISCOUNT)*(1+MAT.SURCHARGE)/EXC.RATE_2,C1430*(1-I1430)*(1-ADD.DISCOUNT)*(1+MAT.SURCHARGE)*EXC.RATE_2),CURRENCY.FORMAT_2),CURRENCY.FORMAT_2,1),"# ##0;-# ##0"),",-"),FIXED(ROUND(IF(EXC.RATE.SWITCH=1,C1430*(1-I1430)*(1-ADD.DISCOUNT)*(1+MAT.SURCHARGE)/EXC.RATE_2,C1430*(1-I1430)*(1-ADD.DISCOUNT)*(1+MAT.SURCHARGE)*EXC.RATE_2),CURRENCY.FORMAT_2),CURRENCY.FORMAT_2,0)),'DICTIONARY-5'!$A$2))</f>
        <v/>
      </c>
      <c r="N1430" s="539">
        <v>5</v>
      </c>
      <c r="O1430" s="539"/>
      <c r="P1430" s="732" t="str">
        <f>'DICTIONARY-3'!$A$34</f>
        <v>HADE PTK-G</v>
      </c>
      <c r="Q1430" s="732" t="str">
        <f>'DICTIONARY-3'!$A$203</f>
        <v>Klapa przeciwcofkowa</v>
      </c>
      <c r="R1430" s="732" t="str">
        <f>CONCATENATE('DICTIONARY-3'!$A$34," ",'DICTIONARY-6'!$A$19," ",'DICTIONARY-2'!$A$2,"1000, ",'DICTIONARY-6'!$A$75," ",'DICTIONARY-3'!$A$267)</f>
        <v>HADE PTK-G Klapa przeciwcofk. DN1000, płyta pion. montaż na ścianie</v>
      </c>
      <c r="S1430" s="733" t="s">
        <v>5569</v>
      </c>
      <c r="T1430" s="732" t="s">
        <v>5569</v>
      </c>
      <c r="U1430" s="734" t="s">
        <v>5836</v>
      </c>
      <c r="V1430" s="735"/>
      <c r="W1430" s="736"/>
      <c r="X1430" s="737"/>
      <c r="Y1430" s="738"/>
      <c r="Z1430" s="739"/>
      <c r="AA1430" s="739"/>
      <c r="AB1430" s="746">
        <v>0.1</v>
      </c>
      <c r="AC1430" s="741"/>
      <c r="AD1430" s="741"/>
      <c r="AE1430" s="742"/>
      <c r="AF1430" s="743">
        <v>58</v>
      </c>
      <c r="AG1430" s="741"/>
    </row>
    <row r="1431" spans="1:33" x14ac:dyDescent="0.25">
      <c r="A1431" s="861" t="s">
        <v>1448</v>
      </c>
      <c r="B1431" s="861" t="s">
        <v>4570</v>
      </c>
      <c r="C1431" s="836">
        <v>4787</v>
      </c>
      <c r="D1431" s="836"/>
      <c r="E1431" s="836"/>
      <c r="F1431" s="836"/>
      <c r="G1431" s="496" t="s">
        <v>7829</v>
      </c>
      <c r="H1431" s="797" t="str">
        <f>VLOOKUP(G1431,SETTINGS!$B$7:$D$97,2,0)</f>
        <v>HADE</v>
      </c>
      <c r="I1431" s="796">
        <f>VLOOKUP(G1431,SETTINGS!$B$7:$D$97,3,0)</f>
        <v>0</v>
      </c>
      <c r="J1431" s="670" t="str">
        <f>IFERROR(IF(CURRENCY.FORMAT_1=0,CONCATENATE(TEXT(FIXED(ROUND((C1431/EXC.RATE_1),CURRENCY.FORMAT_1),CURRENCY.FORMAT_1,1),"# ##0;-# ##0"),",-"),FIXED(ROUND((C1431/EXC.RATE_1),CURRENCY.FORMAT_1),CURRENCY.FORMAT_1,0)),'DICTIONARY-5'!$A$2)</f>
        <v>4 787,-</v>
      </c>
      <c r="K1431" s="670" t="str">
        <f>IF(EXC.RATE_2=0,"",IFERROR(IF(CURRENCY.FORMAT_2=0,CONCATENATE(TEXT(FIXED(ROUND(IF(EXC.RATE.SWITCH=1,C1431/EXC.RATE_2,C1431*EXC.RATE_2),CURRENCY.FORMAT_2),CURRENCY.FORMAT_2,1),"# ##0;-# ##0"),",-"),FIXED(ROUND(IF(EXC.RATE.SWITCH=1,C1431/EXC.RATE_2,C1431*EXC.RATE_2),CURRENCY.FORMAT_2),CURRENCY.FORMAT_2,0)),'DICTIONARY-5'!$A$2))</f>
        <v/>
      </c>
      <c r="L1431" s="670" t="str">
        <f>IFERROR(IF(CURRENCY.FORMAT_1=0,CONCATENATE(TEXT(FIXED(ROUND((C1431*(1-I1431)*(1-ADD.DISCOUNT)*(1+MAT.SURCHARGE)/EXC.RATE_1),CURRENCY.FORMAT_1),CURRENCY.FORMAT_1,1),"# ##0;-# ##0"),",-"),FIXED(ROUND((C1431*(1-I1431)*(1-ADD.DISCOUNT)*(1+MAT.SURCHARGE)/EXC.RATE_1),CURRENCY.FORMAT_1),CURRENCY.FORMAT_1,0)),'DICTIONARY-5'!$A$2)</f>
        <v>4 974,-</v>
      </c>
      <c r="M1431" s="670" t="str">
        <f>IF(EXC.RATE_2=0,"",IFERROR(IF(CURRENCY.FORMAT_2=0,CONCATENATE(TEXT(FIXED(ROUND(IF(EXC.RATE.SWITCH=1,C1431*(1-I1431)*(1-ADD.DISCOUNT)*(1+MAT.SURCHARGE)/EXC.RATE_2,C1431*(1-I1431)*(1-ADD.DISCOUNT)*(1+MAT.SURCHARGE)*EXC.RATE_2),CURRENCY.FORMAT_2),CURRENCY.FORMAT_2,1),"# ##0;-# ##0"),",-"),FIXED(ROUND(IF(EXC.RATE.SWITCH=1,C1431*(1-I1431)*(1-ADD.DISCOUNT)*(1+MAT.SURCHARGE)/EXC.RATE_2,C1431*(1-I1431)*(1-ADD.DISCOUNT)*(1+MAT.SURCHARGE)*EXC.RATE_2),CURRENCY.FORMAT_2),CURRENCY.FORMAT_2,0)),'DICTIONARY-5'!$A$2))</f>
        <v/>
      </c>
      <c r="N1431" s="539">
        <v>5</v>
      </c>
      <c r="O1431" s="539"/>
      <c r="P1431" s="732" t="str">
        <f>'DICTIONARY-3'!$A$34</f>
        <v>HADE PTK-G</v>
      </c>
      <c r="Q1431" s="732" t="str">
        <f>'DICTIONARY-3'!$A$203</f>
        <v>Klapa przeciwcofkowa</v>
      </c>
      <c r="R1431" s="732" t="str">
        <f>CONCATENATE('DICTIONARY-3'!$A$34," ",'DICTIONARY-6'!$A$19," ",'DICTIONARY-2'!$A$2,"1100, ",'DICTIONARY-6'!$A$75," ",'DICTIONARY-3'!$A$267)</f>
        <v>HADE PTK-G Klapa przeciwcofk. DN1100, płyta pion. montaż na ścianie</v>
      </c>
      <c r="S1431" s="733" t="s">
        <v>5569</v>
      </c>
      <c r="T1431" s="732" t="s">
        <v>5569</v>
      </c>
      <c r="U1431" s="734" t="s">
        <v>5843</v>
      </c>
      <c r="V1431" s="735"/>
      <c r="W1431" s="736"/>
      <c r="X1431" s="737"/>
      <c r="Y1431" s="738"/>
      <c r="Z1431" s="739"/>
      <c r="AA1431" s="739"/>
      <c r="AB1431" s="746">
        <v>0.1</v>
      </c>
      <c r="AC1431" s="741"/>
      <c r="AD1431" s="741"/>
      <c r="AE1431" s="742"/>
      <c r="AF1431" s="743">
        <v>15</v>
      </c>
      <c r="AG1431" s="741"/>
    </row>
    <row r="1432" spans="1:33" x14ac:dyDescent="0.25">
      <c r="A1432" s="861" t="s">
        <v>1450</v>
      </c>
      <c r="B1432" s="861" t="s">
        <v>4575</v>
      </c>
      <c r="C1432" s="836">
        <v>5226</v>
      </c>
      <c r="D1432" s="836"/>
      <c r="E1432" s="836"/>
      <c r="F1432" s="836"/>
      <c r="G1432" s="496" t="s">
        <v>7829</v>
      </c>
      <c r="H1432" s="797" t="str">
        <f>VLOOKUP(G1432,SETTINGS!$B$7:$D$97,2,0)</f>
        <v>HADE</v>
      </c>
      <c r="I1432" s="796">
        <f>VLOOKUP(G1432,SETTINGS!$B$7:$D$97,3,0)</f>
        <v>0</v>
      </c>
      <c r="J1432" s="670" t="str">
        <f>IFERROR(IF(CURRENCY.FORMAT_1=0,CONCATENATE(TEXT(FIXED(ROUND((C1432/EXC.RATE_1),CURRENCY.FORMAT_1),CURRENCY.FORMAT_1,1),"# ##0;-# ##0"),",-"),FIXED(ROUND((C1432/EXC.RATE_1),CURRENCY.FORMAT_1),CURRENCY.FORMAT_1,0)),'DICTIONARY-5'!$A$2)</f>
        <v>5 226,-</v>
      </c>
      <c r="K1432" s="670" t="str">
        <f>IF(EXC.RATE_2=0,"",IFERROR(IF(CURRENCY.FORMAT_2=0,CONCATENATE(TEXT(FIXED(ROUND(IF(EXC.RATE.SWITCH=1,C1432/EXC.RATE_2,C1432*EXC.RATE_2),CURRENCY.FORMAT_2),CURRENCY.FORMAT_2,1),"# ##0;-# ##0"),",-"),FIXED(ROUND(IF(EXC.RATE.SWITCH=1,C1432/EXC.RATE_2,C1432*EXC.RATE_2),CURRENCY.FORMAT_2),CURRENCY.FORMAT_2,0)),'DICTIONARY-5'!$A$2))</f>
        <v/>
      </c>
      <c r="L1432" s="670" t="str">
        <f>IFERROR(IF(CURRENCY.FORMAT_1=0,CONCATENATE(TEXT(FIXED(ROUND((C1432*(1-I1432)*(1-ADD.DISCOUNT)*(1+MAT.SURCHARGE)/EXC.RATE_1),CURRENCY.FORMAT_1),CURRENCY.FORMAT_1,1),"# ##0;-# ##0"),",-"),FIXED(ROUND((C1432*(1-I1432)*(1-ADD.DISCOUNT)*(1+MAT.SURCHARGE)/EXC.RATE_1),CURRENCY.FORMAT_1),CURRENCY.FORMAT_1,0)),'DICTIONARY-5'!$A$2)</f>
        <v>5 430,-</v>
      </c>
      <c r="M1432" s="670" t="str">
        <f>IF(EXC.RATE_2=0,"",IFERROR(IF(CURRENCY.FORMAT_2=0,CONCATENATE(TEXT(FIXED(ROUND(IF(EXC.RATE.SWITCH=1,C1432*(1-I1432)*(1-ADD.DISCOUNT)*(1+MAT.SURCHARGE)/EXC.RATE_2,C1432*(1-I1432)*(1-ADD.DISCOUNT)*(1+MAT.SURCHARGE)*EXC.RATE_2),CURRENCY.FORMAT_2),CURRENCY.FORMAT_2,1),"# ##0;-# ##0"),",-"),FIXED(ROUND(IF(EXC.RATE.SWITCH=1,C1432*(1-I1432)*(1-ADD.DISCOUNT)*(1+MAT.SURCHARGE)/EXC.RATE_2,C1432*(1-I1432)*(1-ADD.DISCOUNT)*(1+MAT.SURCHARGE)*EXC.RATE_2),CURRENCY.FORMAT_2),CURRENCY.FORMAT_2,0)),'DICTIONARY-5'!$A$2))</f>
        <v/>
      </c>
      <c r="N1432" s="539">
        <v>5</v>
      </c>
      <c r="O1432" s="539"/>
      <c r="P1432" s="732" t="str">
        <f>'DICTIONARY-3'!$A$34</f>
        <v>HADE PTK-G</v>
      </c>
      <c r="Q1432" s="732" t="str">
        <f>'DICTIONARY-3'!$A$203</f>
        <v>Klapa przeciwcofkowa</v>
      </c>
      <c r="R1432" s="732" t="str">
        <f>CONCATENATE('DICTIONARY-3'!$A$34," ",'DICTIONARY-6'!$A$19," ",'DICTIONARY-2'!$A$2,"1200, ",'DICTIONARY-6'!$A$75," ",'DICTIONARY-3'!$A$267)</f>
        <v>HADE PTK-G Klapa przeciwcofk. DN1200, płyta pion. montaż na ścianie</v>
      </c>
      <c r="S1432" s="733" t="s">
        <v>5569</v>
      </c>
      <c r="T1432" s="732" t="s">
        <v>5569</v>
      </c>
      <c r="U1432" s="734" t="s">
        <v>5838</v>
      </c>
      <c r="V1432" s="735"/>
      <c r="W1432" s="736"/>
      <c r="X1432" s="737"/>
      <c r="Y1432" s="738"/>
      <c r="Z1432" s="739"/>
      <c r="AA1432" s="739"/>
      <c r="AB1432" s="746">
        <v>0.1</v>
      </c>
      <c r="AC1432" s="741"/>
      <c r="AD1432" s="741"/>
      <c r="AE1432" s="742"/>
      <c r="AF1432" s="743">
        <v>73</v>
      </c>
      <c r="AG1432" s="741"/>
    </row>
    <row r="1433" spans="1:33" x14ac:dyDescent="0.25">
      <c r="A1433" s="861" t="s">
        <v>1452</v>
      </c>
      <c r="B1433" s="861" t="s">
        <v>4579</v>
      </c>
      <c r="C1433" s="836">
        <v>6005</v>
      </c>
      <c r="D1433" s="836"/>
      <c r="E1433" s="836"/>
      <c r="F1433" s="836"/>
      <c r="G1433" s="496" t="s">
        <v>7829</v>
      </c>
      <c r="H1433" s="797" t="str">
        <f>VLOOKUP(G1433,SETTINGS!$B$7:$D$97,2,0)</f>
        <v>HADE</v>
      </c>
      <c r="I1433" s="796">
        <f>VLOOKUP(G1433,SETTINGS!$B$7:$D$97,3,0)</f>
        <v>0</v>
      </c>
      <c r="J1433" s="670" t="str">
        <f>IFERROR(IF(CURRENCY.FORMAT_1=0,CONCATENATE(TEXT(FIXED(ROUND((C1433/EXC.RATE_1),CURRENCY.FORMAT_1),CURRENCY.FORMAT_1,1),"# ##0;-# ##0"),",-"),FIXED(ROUND((C1433/EXC.RATE_1),CURRENCY.FORMAT_1),CURRENCY.FORMAT_1,0)),'DICTIONARY-5'!$A$2)</f>
        <v>6 005,-</v>
      </c>
      <c r="K1433" s="670" t="str">
        <f>IF(EXC.RATE_2=0,"",IFERROR(IF(CURRENCY.FORMAT_2=0,CONCATENATE(TEXT(FIXED(ROUND(IF(EXC.RATE.SWITCH=1,C1433/EXC.RATE_2,C1433*EXC.RATE_2),CURRENCY.FORMAT_2),CURRENCY.FORMAT_2,1),"# ##0;-# ##0"),",-"),FIXED(ROUND(IF(EXC.RATE.SWITCH=1,C1433/EXC.RATE_2,C1433*EXC.RATE_2),CURRENCY.FORMAT_2),CURRENCY.FORMAT_2,0)),'DICTIONARY-5'!$A$2))</f>
        <v/>
      </c>
      <c r="L1433" s="670" t="str">
        <f>IFERROR(IF(CURRENCY.FORMAT_1=0,CONCATENATE(TEXT(FIXED(ROUND((C1433*(1-I1433)*(1-ADD.DISCOUNT)*(1+MAT.SURCHARGE)/EXC.RATE_1),CURRENCY.FORMAT_1),CURRENCY.FORMAT_1,1),"# ##0;-# ##0"),",-"),FIXED(ROUND((C1433*(1-I1433)*(1-ADD.DISCOUNT)*(1+MAT.SURCHARGE)/EXC.RATE_1),CURRENCY.FORMAT_1),CURRENCY.FORMAT_1,0)),'DICTIONARY-5'!$A$2)</f>
        <v>6 239,-</v>
      </c>
      <c r="M1433" s="670" t="str">
        <f>IF(EXC.RATE_2=0,"",IFERROR(IF(CURRENCY.FORMAT_2=0,CONCATENATE(TEXT(FIXED(ROUND(IF(EXC.RATE.SWITCH=1,C1433*(1-I1433)*(1-ADD.DISCOUNT)*(1+MAT.SURCHARGE)/EXC.RATE_2,C1433*(1-I1433)*(1-ADD.DISCOUNT)*(1+MAT.SURCHARGE)*EXC.RATE_2),CURRENCY.FORMAT_2),CURRENCY.FORMAT_2,1),"# ##0;-# ##0"),",-"),FIXED(ROUND(IF(EXC.RATE.SWITCH=1,C1433*(1-I1433)*(1-ADD.DISCOUNT)*(1+MAT.SURCHARGE)/EXC.RATE_2,C1433*(1-I1433)*(1-ADD.DISCOUNT)*(1+MAT.SURCHARGE)*EXC.RATE_2),CURRENCY.FORMAT_2),CURRENCY.FORMAT_2,0)),'DICTIONARY-5'!$A$2))</f>
        <v/>
      </c>
      <c r="N1433" s="539">
        <v>5</v>
      </c>
      <c r="O1433" s="539"/>
      <c r="P1433" s="732" t="str">
        <f>'DICTIONARY-3'!$A$34</f>
        <v>HADE PTK-G</v>
      </c>
      <c r="Q1433" s="732" t="str">
        <f>'DICTIONARY-3'!$A$203</f>
        <v>Klapa przeciwcofkowa</v>
      </c>
      <c r="R1433" s="732" t="str">
        <f>CONCATENATE('DICTIONARY-3'!$A$34," ",'DICTIONARY-6'!$A$19," ",'DICTIONARY-2'!$A$2,"1300, ",'DICTIONARY-6'!$A$75," ",'DICTIONARY-3'!$A$267)</f>
        <v>HADE PTK-G Klapa przeciwcofk. DN1300, płyta pion. montaż na ścianie</v>
      </c>
      <c r="S1433" s="733" t="s">
        <v>5569</v>
      </c>
      <c r="T1433" s="732" t="s">
        <v>5569</v>
      </c>
      <c r="U1433" s="734" t="s">
        <v>5844</v>
      </c>
      <c r="V1433" s="735"/>
      <c r="W1433" s="736"/>
      <c r="X1433" s="737"/>
      <c r="Y1433" s="738"/>
      <c r="Z1433" s="739"/>
      <c r="AA1433" s="739"/>
      <c r="AB1433" s="746">
        <v>0.1</v>
      </c>
      <c r="AC1433" s="741"/>
      <c r="AD1433" s="741"/>
      <c r="AE1433" s="742"/>
      <c r="AF1433" s="743">
        <v>90</v>
      </c>
      <c r="AG1433" s="741"/>
    </row>
    <row r="1434" spans="1:33" x14ac:dyDescent="0.25">
      <c r="A1434" s="861" t="s">
        <v>1454</v>
      </c>
      <c r="B1434" s="861" t="s">
        <v>4584</v>
      </c>
      <c r="C1434" s="836">
        <v>6633</v>
      </c>
      <c r="D1434" s="836"/>
      <c r="E1434" s="836"/>
      <c r="F1434" s="836"/>
      <c r="G1434" s="496" t="s">
        <v>7829</v>
      </c>
      <c r="H1434" s="797" t="str">
        <f>VLOOKUP(G1434,SETTINGS!$B$7:$D$97,2,0)</f>
        <v>HADE</v>
      </c>
      <c r="I1434" s="796">
        <f>VLOOKUP(G1434,SETTINGS!$B$7:$D$97,3,0)</f>
        <v>0</v>
      </c>
      <c r="J1434" s="670" t="str">
        <f>IFERROR(IF(CURRENCY.FORMAT_1=0,CONCATENATE(TEXT(FIXED(ROUND((C1434/EXC.RATE_1),CURRENCY.FORMAT_1),CURRENCY.FORMAT_1,1),"# ##0;-# ##0"),",-"),FIXED(ROUND((C1434/EXC.RATE_1),CURRENCY.FORMAT_1),CURRENCY.FORMAT_1,0)),'DICTIONARY-5'!$A$2)</f>
        <v>6 633,-</v>
      </c>
      <c r="K1434" s="670" t="str">
        <f>IF(EXC.RATE_2=0,"",IFERROR(IF(CURRENCY.FORMAT_2=0,CONCATENATE(TEXT(FIXED(ROUND(IF(EXC.RATE.SWITCH=1,C1434/EXC.RATE_2,C1434*EXC.RATE_2),CURRENCY.FORMAT_2),CURRENCY.FORMAT_2,1),"# ##0;-# ##0"),",-"),FIXED(ROUND(IF(EXC.RATE.SWITCH=1,C1434/EXC.RATE_2,C1434*EXC.RATE_2),CURRENCY.FORMAT_2),CURRENCY.FORMAT_2,0)),'DICTIONARY-5'!$A$2))</f>
        <v/>
      </c>
      <c r="L1434" s="670" t="str">
        <f>IFERROR(IF(CURRENCY.FORMAT_1=0,CONCATENATE(TEXT(FIXED(ROUND((C1434*(1-I1434)*(1-ADD.DISCOUNT)*(1+MAT.SURCHARGE)/EXC.RATE_1),CURRENCY.FORMAT_1),CURRENCY.FORMAT_1,1),"# ##0;-# ##0"),",-"),FIXED(ROUND((C1434*(1-I1434)*(1-ADD.DISCOUNT)*(1+MAT.SURCHARGE)/EXC.RATE_1),CURRENCY.FORMAT_1),CURRENCY.FORMAT_1,0)),'DICTIONARY-5'!$A$2)</f>
        <v>6 892,-</v>
      </c>
      <c r="M1434" s="670" t="str">
        <f>IF(EXC.RATE_2=0,"",IFERROR(IF(CURRENCY.FORMAT_2=0,CONCATENATE(TEXT(FIXED(ROUND(IF(EXC.RATE.SWITCH=1,C1434*(1-I1434)*(1-ADD.DISCOUNT)*(1+MAT.SURCHARGE)/EXC.RATE_2,C1434*(1-I1434)*(1-ADD.DISCOUNT)*(1+MAT.SURCHARGE)*EXC.RATE_2),CURRENCY.FORMAT_2),CURRENCY.FORMAT_2,1),"# ##0;-# ##0"),",-"),FIXED(ROUND(IF(EXC.RATE.SWITCH=1,C1434*(1-I1434)*(1-ADD.DISCOUNT)*(1+MAT.SURCHARGE)/EXC.RATE_2,C1434*(1-I1434)*(1-ADD.DISCOUNT)*(1+MAT.SURCHARGE)*EXC.RATE_2),CURRENCY.FORMAT_2),CURRENCY.FORMAT_2,0)),'DICTIONARY-5'!$A$2))</f>
        <v/>
      </c>
      <c r="N1434" s="539">
        <v>5</v>
      </c>
      <c r="O1434" s="539"/>
      <c r="P1434" s="732" t="str">
        <f>'DICTIONARY-3'!$A$34</f>
        <v>HADE PTK-G</v>
      </c>
      <c r="Q1434" s="732" t="str">
        <f>'DICTIONARY-3'!$A$203</f>
        <v>Klapa przeciwcofkowa</v>
      </c>
      <c r="R1434" s="732" t="str">
        <f>CONCATENATE('DICTIONARY-3'!$A$34," ",'DICTIONARY-6'!$A$19," ",'DICTIONARY-2'!$A$2,"1400, ",'DICTIONARY-6'!$A$75," ",'DICTIONARY-3'!$A$267)</f>
        <v>HADE PTK-G Klapa przeciwcofk. DN1400, płyta pion. montaż na ścianie</v>
      </c>
      <c r="S1434" s="733" t="s">
        <v>5569</v>
      </c>
      <c r="T1434" s="732" t="s">
        <v>5569</v>
      </c>
      <c r="U1434" s="734" t="s">
        <v>5839</v>
      </c>
      <c r="V1434" s="735"/>
      <c r="W1434" s="736"/>
      <c r="X1434" s="737"/>
      <c r="Y1434" s="738"/>
      <c r="Z1434" s="739"/>
      <c r="AA1434" s="739"/>
      <c r="AB1434" s="746">
        <v>0.1</v>
      </c>
      <c r="AC1434" s="741"/>
      <c r="AD1434" s="741"/>
      <c r="AE1434" s="742"/>
      <c r="AF1434" s="743">
        <v>123</v>
      </c>
      <c r="AG1434" s="741"/>
    </row>
    <row r="1435" spans="1:33" x14ac:dyDescent="0.25">
      <c r="A1435" s="861" t="s">
        <v>1456</v>
      </c>
      <c r="B1435" s="861" t="s">
        <v>4589</v>
      </c>
      <c r="C1435" s="836">
        <v>8115</v>
      </c>
      <c r="D1435" s="836"/>
      <c r="E1435" s="836"/>
      <c r="F1435" s="836"/>
      <c r="G1435" s="496" t="s">
        <v>7829</v>
      </c>
      <c r="H1435" s="797" t="str">
        <f>VLOOKUP(G1435,SETTINGS!$B$7:$D$97,2,0)</f>
        <v>HADE</v>
      </c>
      <c r="I1435" s="796">
        <f>VLOOKUP(G1435,SETTINGS!$B$7:$D$97,3,0)</f>
        <v>0</v>
      </c>
      <c r="J1435" s="670" t="str">
        <f>IFERROR(IF(CURRENCY.FORMAT_1=0,CONCATENATE(TEXT(FIXED(ROUND((C1435/EXC.RATE_1),CURRENCY.FORMAT_1),CURRENCY.FORMAT_1,1),"# ##0;-# ##0"),",-"),FIXED(ROUND((C1435/EXC.RATE_1),CURRENCY.FORMAT_1),CURRENCY.FORMAT_1,0)),'DICTIONARY-5'!$A$2)</f>
        <v>8 115,-</v>
      </c>
      <c r="K1435" s="670" t="str">
        <f>IF(EXC.RATE_2=0,"",IFERROR(IF(CURRENCY.FORMAT_2=0,CONCATENATE(TEXT(FIXED(ROUND(IF(EXC.RATE.SWITCH=1,C1435/EXC.RATE_2,C1435*EXC.RATE_2),CURRENCY.FORMAT_2),CURRENCY.FORMAT_2,1),"# ##0;-# ##0"),",-"),FIXED(ROUND(IF(EXC.RATE.SWITCH=1,C1435/EXC.RATE_2,C1435*EXC.RATE_2),CURRENCY.FORMAT_2),CURRENCY.FORMAT_2,0)),'DICTIONARY-5'!$A$2))</f>
        <v/>
      </c>
      <c r="L1435" s="670" t="str">
        <f>IFERROR(IF(CURRENCY.FORMAT_1=0,CONCATENATE(TEXT(FIXED(ROUND((C1435*(1-I1435)*(1-ADD.DISCOUNT)*(1+MAT.SURCHARGE)/EXC.RATE_1),CURRENCY.FORMAT_1),CURRENCY.FORMAT_1,1),"# ##0;-# ##0"),",-"),FIXED(ROUND((C1435*(1-I1435)*(1-ADD.DISCOUNT)*(1+MAT.SURCHARGE)/EXC.RATE_1),CURRENCY.FORMAT_1),CURRENCY.FORMAT_1,0)),'DICTIONARY-5'!$A$2)</f>
        <v>8 431,-</v>
      </c>
      <c r="M1435" s="670" t="str">
        <f>IF(EXC.RATE_2=0,"",IFERROR(IF(CURRENCY.FORMAT_2=0,CONCATENATE(TEXT(FIXED(ROUND(IF(EXC.RATE.SWITCH=1,C1435*(1-I1435)*(1-ADD.DISCOUNT)*(1+MAT.SURCHARGE)/EXC.RATE_2,C1435*(1-I1435)*(1-ADD.DISCOUNT)*(1+MAT.SURCHARGE)*EXC.RATE_2),CURRENCY.FORMAT_2),CURRENCY.FORMAT_2,1),"# ##0;-# ##0"),",-"),FIXED(ROUND(IF(EXC.RATE.SWITCH=1,C1435*(1-I1435)*(1-ADD.DISCOUNT)*(1+MAT.SURCHARGE)/EXC.RATE_2,C1435*(1-I1435)*(1-ADD.DISCOUNT)*(1+MAT.SURCHARGE)*EXC.RATE_2),CURRENCY.FORMAT_2),CURRENCY.FORMAT_2,0)),'DICTIONARY-5'!$A$2))</f>
        <v/>
      </c>
      <c r="N1435" s="539">
        <v>5</v>
      </c>
      <c r="O1435" s="539"/>
      <c r="P1435" s="732" t="str">
        <f>'DICTIONARY-3'!$A$34</f>
        <v>HADE PTK-G</v>
      </c>
      <c r="Q1435" s="732" t="str">
        <f>'DICTIONARY-3'!$A$203</f>
        <v>Klapa przeciwcofkowa</v>
      </c>
      <c r="R1435" s="732" t="str">
        <f>CONCATENATE('DICTIONARY-3'!$A$34," ",'DICTIONARY-6'!$A$19," ",'DICTIONARY-2'!$A$2,"1500, ",'DICTIONARY-6'!$A$75," ",'DICTIONARY-3'!$A$267)</f>
        <v>HADE PTK-G Klapa przeciwcofk. DN1500, płyta pion. montaż na ścianie</v>
      </c>
      <c r="S1435" s="733" t="s">
        <v>5569</v>
      </c>
      <c r="T1435" s="732" t="s">
        <v>5569</v>
      </c>
      <c r="U1435" s="734" t="s">
        <v>5845</v>
      </c>
      <c r="V1435" s="735"/>
      <c r="W1435" s="736"/>
      <c r="X1435" s="737"/>
      <c r="Y1435" s="738"/>
      <c r="Z1435" s="739"/>
      <c r="AA1435" s="739"/>
      <c r="AB1435" s="746">
        <v>0.1</v>
      </c>
      <c r="AC1435" s="741"/>
      <c r="AD1435" s="741"/>
      <c r="AE1435" s="742"/>
      <c r="AF1435" s="743">
        <v>128</v>
      </c>
      <c r="AG1435" s="741"/>
    </row>
    <row r="1436" spans="1:33" x14ac:dyDescent="0.25">
      <c r="A1436" s="861" t="s">
        <v>1458</v>
      </c>
      <c r="B1436" s="861" t="s">
        <v>4594</v>
      </c>
      <c r="C1436" s="836">
        <v>11364</v>
      </c>
      <c r="D1436" s="836"/>
      <c r="E1436" s="836"/>
      <c r="F1436" s="836"/>
      <c r="G1436" s="496" t="s">
        <v>7829</v>
      </c>
      <c r="H1436" s="797" t="str">
        <f>VLOOKUP(G1436,SETTINGS!$B$7:$D$97,2,0)</f>
        <v>HADE</v>
      </c>
      <c r="I1436" s="796">
        <f>VLOOKUP(G1436,SETTINGS!$B$7:$D$97,3,0)</f>
        <v>0</v>
      </c>
      <c r="J1436" s="670" t="str">
        <f>IFERROR(IF(CURRENCY.FORMAT_1=0,CONCATENATE(TEXT(FIXED(ROUND((C1436/EXC.RATE_1),CURRENCY.FORMAT_1),CURRENCY.FORMAT_1,1),"# ##0;-# ##0"),",-"),FIXED(ROUND((C1436/EXC.RATE_1),CURRENCY.FORMAT_1),CURRENCY.FORMAT_1,0)),'DICTIONARY-5'!$A$2)</f>
        <v>11 364,-</v>
      </c>
      <c r="K1436" s="670" t="str">
        <f>IF(EXC.RATE_2=0,"",IFERROR(IF(CURRENCY.FORMAT_2=0,CONCATENATE(TEXT(FIXED(ROUND(IF(EXC.RATE.SWITCH=1,C1436/EXC.RATE_2,C1436*EXC.RATE_2),CURRENCY.FORMAT_2),CURRENCY.FORMAT_2,1),"# ##0;-# ##0"),",-"),FIXED(ROUND(IF(EXC.RATE.SWITCH=1,C1436/EXC.RATE_2,C1436*EXC.RATE_2),CURRENCY.FORMAT_2),CURRENCY.FORMAT_2,0)),'DICTIONARY-5'!$A$2))</f>
        <v/>
      </c>
      <c r="L1436" s="670" t="str">
        <f>IFERROR(IF(CURRENCY.FORMAT_1=0,CONCATENATE(TEXT(FIXED(ROUND((C1436*(1-I1436)*(1-ADD.DISCOUNT)*(1+MAT.SURCHARGE)/EXC.RATE_1),CURRENCY.FORMAT_1),CURRENCY.FORMAT_1,1),"# ##0;-# ##0"),",-"),FIXED(ROUND((C1436*(1-I1436)*(1-ADD.DISCOUNT)*(1+MAT.SURCHARGE)/EXC.RATE_1),CURRENCY.FORMAT_1),CURRENCY.FORMAT_1,0)),'DICTIONARY-5'!$A$2)</f>
        <v>11 807,-</v>
      </c>
      <c r="M1436" s="670" t="str">
        <f>IF(EXC.RATE_2=0,"",IFERROR(IF(CURRENCY.FORMAT_2=0,CONCATENATE(TEXT(FIXED(ROUND(IF(EXC.RATE.SWITCH=1,C1436*(1-I1436)*(1-ADD.DISCOUNT)*(1+MAT.SURCHARGE)/EXC.RATE_2,C1436*(1-I1436)*(1-ADD.DISCOUNT)*(1+MAT.SURCHARGE)*EXC.RATE_2),CURRENCY.FORMAT_2),CURRENCY.FORMAT_2,1),"# ##0;-# ##0"),",-"),FIXED(ROUND(IF(EXC.RATE.SWITCH=1,C1436*(1-I1436)*(1-ADD.DISCOUNT)*(1+MAT.SURCHARGE)/EXC.RATE_2,C1436*(1-I1436)*(1-ADD.DISCOUNT)*(1+MAT.SURCHARGE)*EXC.RATE_2),CURRENCY.FORMAT_2),CURRENCY.FORMAT_2,0)),'DICTIONARY-5'!$A$2))</f>
        <v/>
      </c>
      <c r="N1436" s="539">
        <v>5</v>
      </c>
      <c r="O1436" s="539"/>
      <c r="P1436" s="732" t="str">
        <f>'DICTIONARY-3'!$A$34</f>
        <v>HADE PTK-G</v>
      </c>
      <c r="Q1436" s="732" t="str">
        <f>'DICTIONARY-3'!$A$203</f>
        <v>Klapa przeciwcofkowa</v>
      </c>
      <c r="R1436" s="732" t="str">
        <f>CONCATENATE('DICTIONARY-3'!$A$34," ",'DICTIONARY-6'!$A$19," ",'DICTIONARY-2'!$A$2,"1600, ",'DICTIONARY-6'!$A$75," ",'DICTIONARY-3'!$A$267)</f>
        <v>HADE PTK-G Klapa przeciwcofk. DN1600, płyta pion. montaż na ścianie</v>
      </c>
      <c r="S1436" s="733" t="s">
        <v>5569</v>
      </c>
      <c r="T1436" s="732" t="s">
        <v>5569</v>
      </c>
      <c r="U1436" s="734" t="s">
        <v>5840</v>
      </c>
      <c r="V1436" s="735"/>
      <c r="W1436" s="736"/>
      <c r="X1436" s="737"/>
      <c r="Y1436" s="738"/>
      <c r="Z1436" s="739"/>
      <c r="AA1436" s="739"/>
      <c r="AB1436" s="746">
        <v>0.1</v>
      </c>
      <c r="AC1436" s="741"/>
      <c r="AD1436" s="741"/>
      <c r="AE1436" s="742"/>
      <c r="AF1436" s="743">
        <v>125</v>
      </c>
      <c r="AG1436" s="741"/>
    </row>
    <row r="1437" spans="1:33" x14ac:dyDescent="0.25">
      <c r="A1437" s="861" t="s">
        <v>1460</v>
      </c>
      <c r="B1437" s="861" t="s">
        <v>4599</v>
      </c>
      <c r="C1437" s="836">
        <v>14033</v>
      </c>
      <c r="D1437" s="836"/>
      <c r="E1437" s="836"/>
      <c r="F1437" s="836"/>
      <c r="G1437" s="496" t="s">
        <v>7829</v>
      </c>
      <c r="H1437" s="797" t="str">
        <f>VLOOKUP(G1437,SETTINGS!$B$7:$D$97,2,0)</f>
        <v>HADE</v>
      </c>
      <c r="I1437" s="796">
        <f>VLOOKUP(G1437,SETTINGS!$B$7:$D$97,3,0)</f>
        <v>0</v>
      </c>
      <c r="J1437" s="670" t="str">
        <f>IFERROR(IF(CURRENCY.FORMAT_1=0,CONCATENATE(TEXT(FIXED(ROUND((C1437/EXC.RATE_1),CURRENCY.FORMAT_1),CURRENCY.FORMAT_1,1),"# ##0;-# ##0"),",-"),FIXED(ROUND((C1437/EXC.RATE_1),CURRENCY.FORMAT_1),CURRENCY.FORMAT_1,0)),'DICTIONARY-5'!$A$2)</f>
        <v>14 033,-</v>
      </c>
      <c r="K1437" s="670" t="str">
        <f>IF(EXC.RATE_2=0,"",IFERROR(IF(CURRENCY.FORMAT_2=0,CONCATENATE(TEXT(FIXED(ROUND(IF(EXC.RATE.SWITCH=1,C1437/EXC.RATE_2,C1437*EXC.RATE_2),CURRENCY.FORMAT_2),CURRENCY.FORMAT_2,1),"# ##0;-# ##0"),",-"),FIXED(ROUND(IF(EXC.RATE.SWITCH=1,C1437/EXC.RATE_2,C1437*EXC.RATE_2),CURRENCY.FORMAT_2),CURRENCY.FORMAT_2,0)),'DICTIONARY-5'!$A$2))</f>
        <v/>
      </c>
      <c r="L1437" s="670" t="str">
        <f>IFERROR(IF(CURRENCY.FORMAT_1=0,CONCATENATE(TEXT(FIXED(ROUND((C1437*(1-I1437)*(1-ADD.DISCOUNT)*(1+MAT.SURCHARGE)/EXC.RATE_1),CURRENCY.FORMAT_1),CURRENCY.FORMAT_1,1),"# ##0;-# ##0"),",-"),FIXED(ROUND((C1437*(1-I1437)*(1-ADD.DISCOUNT)*(1+MAT.SURCHARGE)/EXC.RATE_1),CURRENCY.FORMAT_1),CURRENCY.FORMAT_1,0)),'DICTIONARY-5'!$A$2)</f>
        <v>14 580,-</v>
      </c>
      <c r="M1437" s="670" t="str">
        <f>IF(EXC.RATE_2=0,"",IFERROR(IF(CURRENCY.FORMAT_2=0,CONCATENATE(TEXT(FIXED(ROUND(IF(EXC.RATE.SWITCH=1,C1437*(1-I1437)*(1-ADD.DISCOUNT)*(1+MAT.SURCHARGE)/EXC.RATE_2,C1437*(1-I1437)*(1-ADD.DISCOUNT)*(1+MAT.SURCHARGE)*EXC.RATE_2),CURRENCY.FORMAT_2),CURRENCY.FORMAT_2,1),"# ##0;-# ##0"),",-"),FIXED(ROUND(IF(EXC.RATE.SWITCH=1,C1437*(1-I1437)*(1-ADD.DISCOUNT)*(1+MAT.SURCHARGE)/EXC.RATE_2,C1437*(1-I1437)*(1-ADD.DISCOUNT)*(1+MAT.SURCHARGE)*EXC.RATE_2),CURRENCY.FORMAT_2),CURRENCY.FORMAT_2,0)),'DICTIONARY-5'!$A$2))</f>
        <v/>
      </c>
      <c r="N1437" s="539">
        <v>5</v>
      </c>
      <c r="O1437" s="539"/>
      <c r="P1437" s="732" t="str">
        <f>'DICTIONARY-3'!$A$34</f>
        <v>HADE PTK-G</v>
      </c>
      <c r="Q1437" s="732" t="str">
        <f>'DICTIONARY-3'!$A$203</f>
        <v>Klapa przeciwcofkowa</v>
      </c>
      <c r="R1437" s="732" t="str">
        <f>CONCATENATE('DICTIONARY-3'!$A$34," ",'DICTIONARY-6'!$A$19," ",'DICTIONARY-2'!$A$2,"1800, ",'DICTIONARY-6'!$A$75," ",'DICTIONARY-3'!$A$267)</f>
        <v>HADE PTK-G Klapa przeciwcofk. DN1800, płyta pion. montaż na ścianie</v>
      </c>
      <c r="S1437" s="733" t="s">
        <v>5569</v>
      </c>
      <c r="T1437" s="732" t="s">
        <v>5569</v>
      </c>
      <c r="U1437" s="734" t="s">
        <v>5841</v>
      </c>
      <c r="V1437" s="735"/>
      <c r="W1437" s="736"/>
      <c r="X1437" s="737"/>
      <c r="Y1437" s="738"/>
      <c r="Z1437" s="739"/>
      <c r="AA1437" s="739"/>
      <c r="AB1437" s="746">
        <v>0.1</v>
      </c>
      <c r="AC1437" s="741"/>
      <c r="AD1437" s="741"/>
      <c r="AE1437" s="742"/>
      <c r="AF1437" s="743">
        <v>165</v>
      </c>
      <c r="AG1437" s="741"/>
    </row>
    <row r="1438" spans="1:33" x14ac:dyDescent="0.25">
      <c r="A1438" s="861" t="s">
        <v>1462</v>
      </c>
      <c r="B1438" s="861" t="str">
        <f>'DICTIONARY-5'!$A$2</f>
        <v>na zapytanie</v>
      </c>
      <c r="C1438" s="836" t="s">
        <v>5967</v>
      </c>
      <c r="D1438" s="836"/>
      <c r="E1438" s="836"/>
      <c r="F1438" s="836"/>
      <c r="G1438" s="496" t="s">
        <v>7829</v>
      </c>
      <c r="H1438" s="797" t="str">
        <f>VLOOKUP(G1438,SETTINGS!$B$7:$D$97,2,0)</f>
        <v>HADE</v>
      </c>
      <c r="I1438" s="796">
        <f>VLOOKUP(G1438,SETTINGS!$B$7:$D$97,3,0)</f>
        <v>0</v>
      </c>
      <c r="J1438" s="670" t="str">
        <f>IFERROR(IF(CURRENCY.FORMAT_1=0,CONCATENATE(TEXT(FIXED(ROUND((C1438/EXC.RATE_1),CURRENCY.FORMAT_1),CURRENCY.FORMAT_1,1),"# ##0;-# ##0"),",-"),FIXED(ROUND((C1438/EXC.RATE_1),CURRENCY.FORMAT_1),CURRENCY.FORMAT_1,0)),'DICTIONARY-5'!$A$2)</f>
        <v>na zapytanie</v>
      </c>
      <c r="K1438" s="670" t="str">
        <f>IF(EXC.RATE_2=0,"",IFERROR(IF(CURRENCY.FORMAT_2=0,CONCATENATE(TEXT(FIXED(ROUND(IF(EXC.RATE.SWITCH=1,C1438/EXC.RATE_2,C1438*EXC.RATE_2),CURRENCY.FORMAT_2),CURRENCY.FORMAT_2,1),"# ##0;-# ##0"),",-"),FIXED(ROUND(IF(EXC.RATE.SWITCH=1,C1438/EXC.RATE_2,C1438*EXC.RATE_2),CURRENCY.FORMAT_2),CURRENCY.FORMAT_2,0)),'DICTIONARY-5'!$A$2))</f>
        <v/>
      </c>
      <c r="L1438" s="670" t="str">
        <f>IFERROR(IF(CURRENCY.FORMAT_1=0,CONCATENATE(TEXT(FIXED(ROUND((C1438*(1-I1438)*(1-ADD.DISCOUNT)*(1+MAT.SURCHARGE)/EXC.RATE_1),CURRENCY.FORMAT_1),CURRENCY.FORMAT_1,1),"# ##0;-# ##0"),",-"),FIXED(ROUND((C1438*(1-I1438)*(1-ADD.DISCOUNT)*(1+MAT.SURCHARGE)/EXC.RATE_1),CURRENCY.FORMAT_1),CURRENCY.FORMAT_1,0)),'DICTIONARY-5'!$A$2)</f>
        <v>na zapytanie</v>
      </c>
      <c r="M1438" s="670" t="str">
        <f>IF(EXC.RATE_2=0,"",IFERROR(IF(CURRENCY.FORMAT_2=0,CONCATENATE(TEXT(FIXED(ROUND(IF(EXC.RATE.SWITCH=1,C1438*(1-I1438)*(1-ADD.DISCOUNT)*(1+MAT.SURCHARGE)/EXC.RATE_2,C1438*(1-I1438)*(1-ADD.DISCOUNT)*(1+MAT.SURCHARGE)*EXC.RATE_2),CURRENCY.FORMAT_2),CURRENCY.FORMAT_2,1),"# ##0;-# ##0"),",-"),FIXED(ROUND(IF(EXC.RATE.SWITCH=1,C1438*(1-I1438)*(1-ADD.DISCOUNT)*(1+MAT.SURCHARGE)/EXC.RATE_2,C1438*(1-I1438)*(1-ADD.DISCOUNT)*(1+MAT.SURCHARGE)*EXC.RATE_2),CURRENCY.FORMAT_2),CURRENCY.FORMAT_2,0)),'DICTIONARY-5'!$A$2))</f>
        <v/>
      </c>
      <c r="N1438" s="539">
        <v>5</v>
      </c>
      <c r="O1438" s="539"/>
      <c r="P1438" s="732" t="str">
        <f>'DICTIONARY-3'!$A$34</f>
        <v>HADE PTK-G</v>
      </c>
      <c r="Q1438" s="732" t="str">
        <f>'DICTIONARY-3'!$A$203</f>
        <v>Klapa przeciwcofkowa</v>
      </c>
      <c r="R1438" s="732" t="str">
        <f>CONCATENATE('DICTIONARY-3'!$A$34," ",'DICTIONARY-6'!$A$19," ",'DICTIONARY-2'!$A$2,"2000, ",'DICTIONARY-6'!$A$75," ",'DICTIONARY-3'!$A$267)</f>
        <v>HADE PTK-G Klapa przeciwcofk. DN2000, płyta pion. montaż na ścianie</v>
      </c>
      <c r="S1438" s="733" t="s">
        <v>5569</v>
      </c>
      <c r="T1438" s="732" t="s">
        <v>5569</v>
      </c>
      <c r="U1438" s="734" t="s">
        <v>5842</v>
      </c>
      <c r="V1438" s="735"/>
      <c r="W1438" s="736"/>
      <c r="X1438" s="737"/>
      <c r="Y1438" s="738"/>
      <c r="Z1438" s="739"/>
      <c r="AA1438" s="739"/>
      <c r="AB1438" s="746">
        <v>0.1</v>
      </c>
      <c r="AC1438" s="741"/>
      <c r="AD1438" s="741"/>
      <c r="AE1438" s="742"/>
      <c r="AF1438" s="743"/>
      <c r="AG1438" s="741"/>
    </row>
    <row r="1439" spans="1:33" x14ac:dyDescent="0.25">
      <c r="A1439" s="861" t="s">
        <v>1427</v>
      </c>
      <c r="B1439" s="861" t="s">
        <v>4612</v>
      </c>
      <c r="C1439" s="836">
        <v>79</v>
      </c>
      <c r="D1439" s="836"/>
      <c r="E1439" s="836"/>
      <c r="F1439" s="836"/>
      <c r="G1439" s="496" t="s">
        <v>7829</v>
      </c>
      <c r="H1439" s="797" t="str">
        <f>VLOOKUP(G1439,SETTINGS!$B$7:$D$97,2,0)</f>
        <v>HADE</v>
      </c>
      <c r="I1439" s="796">
        <f>VLOOKUP(G1439,SETTINGS!$B$7:$D$97,3,0)</f>
        <v>0</v>
      </c>
      <c r="J1439" s="670" t="str">
        <f>IFERROR(IF(CURRENCY.FORMAT_1=0,CONCATENATE(TEXT(FIXED(ROUND((C1439/EXC.RATE_1),CURRENCY.FORMAT_1),CURRENCY.FORMAT_1,1),"# ##0;-# ##0"),",-"),FIXED(ROUND((C1439/EXC.RATE_1),CURRENCY.FORMAT_1),CURRENCY.FORMAT_1,0)),'DICTIONARY-5'!$A$2)</f>
        <v>79,-</v>
      </c>
      <c r="K1439" s="670" t="str">
        <f>IF(EXC.RATE_2=0,"",IFERROR(IF(CURRENCY.FORMAT_2=0,CONCATENATE(TEXT(FIXED(ROUND(IF(EXC.RATE.SWITCH=1,C1439/EXC.RATE_2,C1439*EXC.RATE_2),CURRENCY.FORMAT_2),CURRENCY.FORMAT_2,1),"# ##0;-# ##0"),",-"),FIXED(ROUND(IF(EXC.RATE.SWITCH=1,C1439/EXC.RATE_2,C1439*EXC.RATE_2),CURRENCY.FORMAT_2),CURRENCY.FORMAT_2,0)),'DICTIONARY-5'!$A$2))</f>
        <v/>
      </c>
      <c r="L1439" s="670" t="str">
        <f>IFERROR(IF(CURRENCY.FORMAT_1=0,CONCATENATE(TEXT(FIXED(ROUND((C1439*(1-I1439)*(1-ADD.DISCOUNT)*(1+MAT.SURCHARGE)/EXC.RATE_1),CURRENCY.FORMAT_1),CURRENCY.FORMAT_1,1),"# ##0;-# ##0"),",-"),FIXED(ROUND((C1439*(1-I1439)*(1-ADD.DISCOUNT)*(1+MAT.SURCHARGE)/EXC.RATE_1),CURRENCY.FORMAT_1),CURRENCY.FORMAT_1,0)),'DICTIONARY-5'!$A$2)</f>
        <v>82,-</v>
      </c>
      <c r="M1439" s="670" t="str">
        <f>IF(EXC.RATE_2=0,"",IFERROR(IF(CURRENCY.FORMAT_2=0,CONCATENATE(TEXT(FIXED(ROUND(IF(EXC.RATE.SWITCH=1,C1439*(1-I1439)*(1-ADD.DISCOUNT)*(1+MAT.SURCHARGE)/EXC.RATE_2,C1439*(1-I1439)*(1-ADD.DISCOUNT)*(1+MAT.SURCHARGE)*EXC.RATE_2),CURRENCY.FORMAT_2),CURRENCY.FORMAT_2,1),"# ##0;-# ##0"),",-"),FIXED(ROUND(IF(EXC.RATE.SWITCH=1,C1439*(1-I1439)*(1-ADD.DISCOUNT)*(1+MAT.SURCHARGE)/EXC.RATE_2,C1439*(1-I1439)*(1-ADD.DISCOUNT)*(1+MAT.SURCHARGE)*EXC.RATE_2),CURRENCY.FORMAT_2),CURRENCY.FORMAT_2,0)),'DICTIONARY-5'!$A$2))</f>
        <v/>
      </c>
      <c r="N1439" s="539">
        <v>5</v>
      </c>
      <c r="O1439" s="539"/>
      <c r="P1439" s="732" t="str">
        <f>'DICTIONARY-3'!$A$34</f>
        <v>HADE PTK-G</v>
      </c>
      <c r="Q1439" s="732" t="str">
        <f>'DICTIONARY-3'!$A$231</f>
        <v>Zestaw kotwiący</v>
      </c>
      <c r="R1439" s="732" t="str">
        <f>CONCATENATE('DICTIONARY-3'!$A$231," ",'DICTIONARY-5'!$A$7," ",'DICTIONARY-3'!$A$34," ",'DICTIONARY-2'!$A$2,"150")</f>
        <v>Zestaw kotwiący dla HADE PTK-G DN150</v>
      </c>
      <c r="S1439" s="733" t="s">
        <v>5569</v>
      </c>
      <c r="T1439" s="732" t="s">
        <v>5569</v>
      </c>
      <c r="U1439" s="734" t="s">
        <v>5572</v>
      </c>
      <c r="V1439" s="735" t="s">
        <v>5569</v>
      </c>
      <c r="W1439" s="736"/>
      <c r="X1439" s="737"/>
      <c r="Y1439" s="738"/>
      <c r="Z1439" s="739"/>
      <c r="AA1439" s="739"/>
      <c r="AB1439" s="746"/>
      <c r="AC1439" s="741" t="s">
        <v>5569</v>
      </c>
      <c r="AD1439" s="741" t="s">
        <v>5569</v>
      </c>
      <c r="AE1439" s="742" t="s">
        <v>5569</v>
      </c>
      <c r="AF1439" s="743">
        <v>0.3</v>
      </c>
      <c r="AG1439" s="741" t="s">
        <v>5569</v>
      </c>
    </row>
    <row r="1440" spans="1:33" x14ac:dyDescent="0.25">
      <c r="A1440" s="861" t="s">
        <v>1429</v>
      </c>
      <c r="B1440" s="861" t="s">
        <v>4613</v>
      </c>
      <c r="C1440" s="836">
        <v>79</v>
      </c>
      <c r="D1440" s="836"/>
      <c r="E1440" s="836"/>
      <c r="F1440" s="836"/>
      <c r="G1440" s="496" t="s">
        <v>7829</v>
      </c>
      <c r="H1440" s="797" t="str">
        <f>VLOOKUP(G1440,SETTINGS!$B$7:$D$97,2,0)</f>
        <v>HADE</v>
      </c>
      <c r="I1440" s="796">
        <f>VLOOKUP(G1440,SETTINGS!$B$7:$D$97,3,0)</f>
        <v>0</v>
      </c>
      <c r="J1440" s="670" t="str">
        <f>IFERROR(IF(CURRENCY.FORMAT_1=0,CONCATENATE(TEXT(FIXED(ROUND((C1440/EXC.RATE_1),CURRENCY.FORMAT_1),CURRENCY.FORMAT_1,1),"# ##0;-# ##0"),",-"),FIXED(ROUND((C1440/EXC.RATE_1),CURRENCY.FORMAT_1),CURRENCY.FORMAT_1,0)),'DICTIONARY-5'!$A$2)</f>
        <v>79,-</v>
      </c>
      <c r="K1440" s="670" t="str">
        <f>IF(EXC.RATE_2=0,"",IFERROR(IF(CURRENCY.FORMAT_2=0,CONCATENATE(TEXT(FIXED(ROUND(IF(EXC.RATE.SWITCH=1,C1440/EXC.RATE_2,C1440*EXC.RATE_2),CURRENCY.FORMAT_2),CURRENCY.FORMAT_2,1),"# ##0;-# ##0"),",-"),FIXED(ROUND(IF(EXC.RATE.SWITCH=1,C1440/EXC.RATE_2,C1440*EXC.RATE_2),CURRENCY.FORMAT_2),CURRENCY.FORMAT_2,0)),'DICTIONARY-5'!$A$2))</f>
        <v/>
      </c>
      <c r="L1440" s="670" t="str">
        <f>IFERROR(IF(CURRENCY.FORMAT_1=0,CONCATENATE(TEXT(FIXED(ROUND((C1440*(1-I1440)*(1-ADD.DISCOUNT)*(1+MAT.SURCHARGE)/EXC.RATE_1),CURRENCY.FORMAT_1),CURRENCY.FORMAT_1,1),"# ##0;-# ##0"),",-"),FIXED(ROUND((C1440*(1-I1440)*(1-ADD.DISCOUNT)*(1+MAT.SURCHARGE)/EXC.RATE_1),CURRENCY.FORMAT_1),CURRENCY.FORMAT_1,0)),'DICTIONARY-5'!$A$2)</f>
        <v>82,-</v>
      </c>
      <c r="M1440" s="670" t="str">
        <f>IF(EXC.RATE_2=0,"",IFERROR(IF(CURRENCY.FORMAT_2=0,CONCATENATE(TEXT(FIXED(ROUND(IF(EXC.RATE.SWITCH=1,C1440*(1-I1440)*(1-ADD.DISCOUNT)*(1+MAT.SURCHARGE)/EXC.RATE_2,C1440*(1-I1440)*(1-ADD.DISCOUNT)*(1+MAT.SURCHARGE)*EXC.RATE_2),CURRENCY.FORMAT_2),CURRENCY.FORMAT_2,1),"# ##0;-# ##0"),",-"),FIXED(ROUND(IF(EXC.RATE.SWITCH=1,C1440*(1-I1440)*(1-ADD.DISCOUNT)*(1+MAT.SURCHARGE)/EXC.RATE_2,C1440*(1-I1440)*(1-ADD.DISCOUNT)*(1+MAT.SURCHARGE)*EXC.RATE_2),CURRENCY.FORMAT_2),CURRENCY.FORMAT_2,0)),'DICTIONARY-5'!$A$2))</f>
        <v/>
      </c>
      <c r="N1440" s="539">
        <v>5</v>
      </c>
      <c r="O1440" s="539"/>
      <c r="P1440" s="732" t="str">
        <f>'DICTIONARY-3'!$A$34</f>
        <v>HADE PTK-G</v>
      </c>
      <c r="Q1440" s="732" t="str">
        <f>'DICTIONARY-3'!$A$231</f>
        <v>Zestaw kotwiący</v>
      </c>
      <c r="R1440" s="732" t="str">
        <f>CONCATENATE('DICTIONARY-3'!$A$231," ",'DICTIONARY-5'!$A$7," ",'DICTIONARY-3'!$A$34," ",'DICTIONARY-2'!$A$2,"200")</f>
        <v>Zestaw kotwiący dla HADE PTK-G DN200</v>
      </c>
      <c r="S1440" s="733" t="s">
        <v>5569</v>
      </c>
      <c r="T1440" s="732" t="s">
        <v>5569</v>
      </c>
      <c r="U1440" s="734" t="s">
        <v>5750</v>
      </c>
      <c r="V1440" s="735" t="s">
        <v>5569</v>
      </c>
      <c r="W1440" s="736"/>
      <c r="X1440" s="737"/>
      <c r="Y1440" s="738"/>
      <c r="Z1440" s="739"/>
      <c r="AA1440" s="739"/>
      <c r="AB1440" s="746"/>
      <c r="AC1440" s="741" t="s">
        <v>5569</v>
      </c>
      <c r="AD1440" s="741" t="s">
        <v>5569</v>
      </c>
      <c r="AE1440" s="742" t="s">
        <v>5569</v>
      </c>
      <c r="AF1440" s="743">
        <v>0.4</v>
      </c>
      <c r="AG1440" s="741" t="s">
        <v>5569</v>
      </c>
    </row>
    <row r="1441" spans="1:33" x14ac:dyDescent="0.25">
      <c r="A1441" s="861" t="s">
        <v>1431</v>
      </c>
      <c r="B1441" s="861" t="s">
        <v>4614</v>
      </c>
      <c r="C1441" s="836">
        <v>83</v>
      </c>
      <c r="D1441" s="836"/>
      <c r="E1441" s="836"/>
      <c r="F1441" s="836"/>
      <c r="G1441" s="496" t="s">
        <v>7829</v>
      </c>
      <c r="H1441" s="797" t="str">
        <f>VLOOKUP(G1441,SETTINGS!$B$7:$D$97,2,0)</f>
        <v>HADE</v>
      </c>
      <c r="I1441" s="796">
        <f>VLOOKUP(G1441,SETTINGS!$B$7:$D$97,3,0)</f>
        <v>0</v>
      </c>
      <c r="J1441" s="670" t="str">
        <f>IFERROR(IF(CURRENCY.FORMAT_1=0,CONCATENATE(TEXT(FIXED(ROUND((C1441/EXC.RATE_1),CURRENCY.FORMAT_1),CURRENCY.FORMAT_1,1),"# ##0;-# ##0"),",-"),FIXED(ROUND((C1441/EXC.RATE_1),CURRENCY.FORMAT_1),CURRENCY.FORMAT_1,0)),'DICTIONARY-5'!$A$2)</f>
        <v>83,-</v>
      </c>
      <c r="K1441" s="670" t="str">
        <f>IF(EXC.RATE_2=0,"",IFERROR(IF(CURRENCY.FORMAT_2=0,CONCATENATE(TEXT(FIXED(ROUND(IF(EXC.RATE.SWITCH=1,C1441/EXC.RATE_2,C1441*EXC.RATE_2),CURRENCY.FORMAT_2),CURRENCY.FORMAT_2,1),"# ##0;-# ##0"),",-"),FIXED(ROUND(IF(EXC.RATE.SWITCH=1,C1441/EXC.RATE_2,C1441*EXC.RATE_2),CURRENCY.FORMAT_2),CURRENCY.FORMAT_2,0)),'DICTIONARY-5'!$A$2))</f>
        <v/>
      </c>
      <c r="L1441" s="670" t="str">
        <f>IFERROR(IF(CURRENCY.FORMAT_1=0,CONCATENATE(TEXT(FIXED(ROUND((C1441*(1-I1441)*(1-ADD.DISCOUNT)*(1+MAT.SURCHARGE)/EXC.RATE_1),CURRENCY.FORMAT_1),CURRENCY.FORMAT_1,1),"# ##0;-# ##0"),",-"),FIXED(ROUND((C1441*(1-I1441)*(1-ADD.DISCOUNT)*(1+MAT.SURCHARGE)/EXC.RATE_1),CURRENCY.FORMAT_1),CURRENCY.FORMAT_1,0)),'DICTIONARY-5'!$A$2)</f>
        <v>86,-</v>
      </c>
      <c r="M1441" s="670" t="str">
        <f>IF(EXC.RATE_2=0,"",IFERROR(IF(CURRENCY.FORMAT_2=0,CONCATENATE(TEXT(FIXED(ROUND(IF(EXC.RATE.SWITCH=1,C1441*(1-I1441)*(1-ADD.DISCOUNT)*(1+MAT.SURCHARGE)/EXC.RATE_2,C1441*(1-I1441)*(1-ADD.DISCOUNT)*(1+MAT.SURCHARGE)*EXC.RATE_2),CURRENCY.FORMAT_2),CURRENCY.FORMAT_2,1),"# ##0;-# ##0"),",-"),FIXED(ROUND(IF(EXC.RATE.SWITCH=1,C1441*(1-I1441)*(1-ADD.DISCOUNT)*(1+MAT.SURCHARGE)/EXC.RATE_2,C1441*(1-I1441)*(1-ADD.DISCOUNT)*(1+MAT.SURCHARGE)*EXC.RATE_2),CURRENCY.FORMAT_2),CURRENCY.FORMAT_2,0)),'DICTIONARY-5'!$A$2))</f>
        <v/>
      </c>
      <c r="N1441" s="539">
        <v>5</v>
      </c>
      <c r="O1441" s="539"/>
      <c r="P1441" s="732" t="str">
        <f>'DICTIONARY-3'!$A$34</f>
        <v>HADE PTK-G</v>
      </c>
      <c r="Q1441" s="732" t="str">
        <f>'DICTIONARY-3'!$A$231</f>
        <v>Zestaw kotwiący</v>
      </c>
      <c r="R1441" s="732" t="str">
        <f>CONCATENATE('DICTIONARY-3'!$A$231," ",'DICTIONARY-5'!$A$7," ",'DICTIONARY-3'!$A$34," ",'DICTIONARY-2'!$A$2,"250")</f>
        <v>Zestaw kotwiący dla HADE PTK-G DN250</v>
      </c>
      <c r="S1441" s="733" t="s">
        <v>5569</v>
      </c>
      <c r="T1441" s="732" t="s">
        <v>5569</v>
      </c>
      <c r="U1441" s="734" t="s">
        <v>5751</v>
      </c>
      <c r="V1441" s="735" t="s">
        <v>5569</v>
      </c>
      <c r="W1441" s="736"/>
      <c r="X1441" s="737"/>
      <c r="Y1441" s="738"/>
      <c r="Z1441" s="739"/>
      <c r="AA1441" s="739"/>
      <c r="AB1441" s="746"/>
      <c r="AC1441" s="741" t="s">
        <v>5569</v>
      </c>
      <c r="AD1441" s="741" t="s">
        <v>5569</v>
      </c>
      <c r="AE1441" s="742" t="s">
        <v>5569</v>
      </c>
      <c r="AF1441" s="743">
        <v>0.5</v>
      </c>
      <c r="AG1441" s="741" t="s">
        <v>5569</v>
      </c>
    </row>
    <row r="1442" spans="1:33" x14ac:dyDescent="0.25">
      <c r="A1442" s="861" t="s">
        <v>1433</v>
      </c>
      <c r="B1442" s="861" t="s">
        <v>4615</v>
      </c>
      <c r="C1442" s="836">
        <v>76</v>
      </c>
      <c r="D1442" s="836"/>
      <c r="E1442" s="836"/>
      <c r="F1442" s="836"/>
      <c r="G1442" s="496" t="s">
        <v>7829</v>
      </c>
      <c r="H1442" s="797" t="str">
        <f>VLOOKUP(G1442,SETTINGS!$B$7:$D$97,2,0)</f>
        <v>HADE</v>
      </c>
      <c r="I1442" s="796">
        <f>VLOOKUP(G1442,SETTINGS!$B$7:$D$97,3,0)</f>
        <v>0</v>
      </c>
      <c r="J1442" s="670" t="str">
        <f>IFERROR(IF(CURRENCY.FORMAT_1=0,CONCATENATE(TEXT(FIXED(ROUND((C1442/EXC.RATE_1),CURRENCY.FORMAT_1),CURRENCY.FORMAT_1,1),"# ##0;-# ##0"),",-"),FIXED(ROUND((C1442/EXC.RATE_1),CURRENCY.FORMAT_1),CURRENCY.FORMAT_1,0)),'DICTIONARY-5'!$A$2)</f>
        <v>76,-</v>
      </c>
      <c r="K1442" s="670" t="str">
        <f>IF(EXC.RATE_2=0,"",IFERROR(IF(CURRENCY.FORMAT_2=0,CONCATENATE(TEXT(FIXED(ROUND(IF(EXC.RATE.SWITCH=1,C1442/EXC.RATE_2,C1442*EXC.RATE_2),CURRENCY.FORMAT_2),CURRENCY.FORMAT_2,1),"# ##0;-# ##0"),",-"),FIXED(ROUND(IF(EXC.RATE.SWITCH=1,C1442/EXC.RATE_2,C1442*EXC.RATE_2),CURRENCY.FORMAT_2),CURRENCY.FORMAT_2,0)),'DICTIONARY-5'!$A$2))</f>
        <v/>
      </c>
      <c r="L1442" s="670" t="str">
        <f>IFERROR(IF(CURRENCY.FORMAT_1=0,CONCATENATE(TEXT(FIXED(ROUND((C1442*(1-I1442)*(1-ADD.DISCOUNT)*(1+MAT.SURCHARGE)/EXC.RATE_1),CURRENCY.FORMAT_1),CURRENCY.FORMAT_1,1),"# ##0;-# ##0"),",-"),FIXED(ROUND((C1442*(1-I1442)*(1-ADD.DISCOUNT)*(1+MAT.SURCHARGE)/EXC.RATE_1),CURRENCY.FORMAT_1),CURRENCY.FORMAT_1,0)),'DICTIONARY-5'!$A$2)</f>
        <v>79,-</v>
      </c>
      <c r="M1442" s="670" t="str">
        <f>IF(EXC.RATE_2=0,"",IFERROR(IF(CURRENCY.FORMAT_2=0,CONCATENATE(TEXT(FIXED(ROUND(IF(EXC.RATE.SWITCH=1,C1442*(1-I1442)*(1-ADD.DISCOUNT)*(1+MAT.SURCHARGE)/EXC.RATE_2,C1442*(1-I1442)*(1-ADD.DISCOUNT)*(1+MAT.SURCHARGE)*EXC.RATE_2),CURRENCY.FORMAT_2),CURRENCY.FORMAT_2,1),"# ##0;-# ##0"),",-"),FIXED(ROUND(IF(EXC.RATE.SWITCH=1,C1442*(1-I1442)*(1-ADD.DISCOUNT)*(1+MAT.SURCHARGE)/EXC.RATE_2,C1442*(1-I1442)*(1-ADD.DISCOUNT)*(1+MAT.SURCHARGE)*EXC.RATE_2),CURRENCY.FORMAT_2),CURRENCY.FORMAT_2,0)),'DICTIONARY-5'!$A$2))</f>
        <v/>
      </c>
      <c r="N1442" s="539">
        <v>5</v>
      </c>
      <c r="O1442" s="539"/>
      <c r="P1442" s="732" t="str">
        <f>'DICTIONARY-3'!$A$34</f>
        <v>HADE PTK-G</v>
      </c>
      <c r="Q1442" s="732" t="str">
        <f>'DICTIONARY-3'!$A$231</f>
        <v>Zestaw kotwiący</v>
      </c>
      <c r="R1442" s="732" t="str">
        <f>CONCATENATE('DICTIONARY-3'!$A$231," ",'DICTIONARY-5'!$A$7," ",'DICTIONARY-3'!$A$34," ",'DICTIONARY-2'!$A$2,"300")</f>
        <v>Zestaw kotwiący dla HADE PTK-G DN300</v>
      </c>
      <c r="S1442" s="733" t="s">
        <v>5569</v>
      </c>
      <c r="T1442" s="732" t="s">
        <v>5569</v>
      </c>
      <c r="U1442" s="734" t="s">
        <v>5752</v>
      </c>
      <c r="V1442" s="735" t="s">
        <v>5569</v>
      </c>
      <c r="W1442" s="736"/>
      <c r="X1442" s="737"/>
      <c r="Y1442" s="738"/>
      <c r="Z1442" s="739"/>
      <c r="AA1442" s="739"/>
      <c r="AB1442" s="746"/>
      <c r="AC1442" s="741" t="s">
        <v>5569</v>
      </c>
      <c r="AD1442" s="741" t="s">
        <v>5569</v>
      </c>
      <c r="AE1442" s="742" t="s">
        <v>5569</v>
      </c>
      <c r="AF1442" s="743">
        <v>0.1</v>
      </c>
      <c r="AG1442" s="741" t="s">
        <v>5569</v>
      </c>
    </row>
    <row r="1443" spans="1:33" x14ac:dyDescent="0.25">
      <c r="A1443" s="861" t="s">
        <v>1435</v>
      </c>
      <c r="B1443" s="861" t="s">
        <v>4616</v>
      </c>
      <c r="C1443" s="836">
        <v>109</v>
      </c>
      <c r="D1443" s="836"/>
      <c r="E1443" s="836"/>
      <c r="F1443" s="836"/>
      <c r="G1443" s="496" t="s">
        <v>7829</v>
      </c>
      <c r="H1443" s="797" t="str">
        <f>VLOOKUP(G1443,SETTINGS!$B$7:$D$97,2,0)</f>
        <v>HADE</v>
      </c>
      <c r="I1443" s="796">
        <f>VLOOKUP(G1443,SETTINGS!$B$7:$D$97,3,0)</f>
        <v>0</v>
      </c>
      <c r="J1443" s="670" t="str">
        <f>IFERROR(IF(CURRENCY.FORMAT_1=0,CONCATENATE(TEXT(FIXED(ROUND((C1443/EXC.RATE_1),CURRENCY.FORMAT_1),CURRENCY.FORMAT_1,1),"# ##0;-# ##0"),",-"),FIXED(ROUND((C1443/EXC.RATE_1),CURRENCY.FORMAT_1),CURRENCY.FORMAT_1,0)),'DICTIONARY-5'!$A$2)</f>
        <v>109,-</v>
      </c>
      <c r="K1443" s="670" t="str">
        <f>IF(EXC.RATE_2=0,"",IFERROR(IF(CURRENCY.FORMAT_2=0,CONCATENATE(TEXT(FIXED(ROUND(IF(EXC.RATE.SWITCH=1,C1443/EXC.RATE_2,C1443*EXC.RATE_2),CURRENCY.FORMAT_2),CURRENCY.FORMAT_2,1),"# ##0;-# ##0"),",-"),FIXED(ROUND(IF(EXC.RATE.SWITCH=1,C1443/EXC.RATE_2,C1443*EXC.RATE_2),CURRENCY.FORMAT_2),CURRENCY.FORMAT_2,0)),'DICTIONARY-5'!$A$2))</f>
        <v/>
      </c>
      <c r="L1443" s="670" t="str">
        <f>IFERROR(IF(CURRENCY.FORMAT_1=0,CONCATENATE(TEXT(FIXED(ROUND((C1443*(1-I1443)*(1-ADD.DISCOUNT)*(1+MAT.SURCHARGE)/EXC.RATE_1),CURRENCY.FORMAT_1),CURRENCY.FORMAT_1,1),"# ##0;-# ##0"),",-"),FIXED(ROUND((C1443*(1-I1443)*(1-ADD.DISCOUNT)*(1+MAT.SURCHARGE)/EXC.RATE_1),CURRENCY.FORMAT_1),CURRENCY.FORMAT_1,0)),'DICTIONARY-5'!$A$2)</f>
        <v>113,-</v>
      </c>
      <c r="M1443" s="670" t="str">
        <f>IF(EXC.RATE_2=0,"",IFERROR(IF(CURRENCY.FORMAT_2=0,CONCATENATE(TEXT(FIXED(ROUND(IF(EXC.RATE.SWITCH=1,C1443*(1-I1443)*(1-ADD.DISCOUNT)*(1+MAT.SURCHARGE)/EXC.RATE_2,C1443*(1-I1443)*(1-ADD.DISCOUNT)*(1+MAT.SURCHARGE)*EXC.RATE_2),CURRENCY.FORMAT_2),CURRENCY.FORMAT_2,1),"# ##0;-# ##0"),",-"),FIXED(ROUND(IF(EXC.RATE.SWITCH=1,C1443*(1-I1443)*(1-ADD.DISCOUNT)*(1+MAT.SURCHARGE)/EXC.RATE_2,C1443*(1-I1443)*(1-ADD.DISCOUNT)*(1+MAT.SURCHARGE)*EXC.RATE_2),CURRENCY.FORMAT_2),CURRENCY.FORMAT_2,0)),'DICTIONARY-5'!$A$2))</f>
        <v/>
      </c>
      <c r="N1443" s="539">
        <v>5</v>
      </c>
      <c r="O1443" s="539"/>
      <c r="P1443" s="732" t="str">
        <f>'DICTIONARY-3'!$A$34</f>
        <v>HADE PTK-G</v>
      </c>
      <c r="Q1443" s="732" t="str">
        <f>'DICTIONARY-3'!$A$231</f>
        <v>Zestaw kotwiący</v>
      </c>
      <c r="R1443" s="732" t="str">
        <f>CONCATENATE('DICTIONARY-3'!$A$231," ",'DICTIONARY-5'!$A$7," ",'DICTIONARY-3'!$A$34," ",'DICTIONARY-2'!$A$2,"400")</f>
        <v>Zestaw kotwiący dla HADE PTK-G DN400</v>
      </c>
      <c r="S1443" s="733" t="s">
        <v>5569</v>
      </c>
      <c r="T1443" s="732" t="s">
        <v>5569</v>
      </c>
      <c r="U1443" s="734" t="s">
        <v>5754</v>
      </c>
      <c r="V1443" s="735" t="s">
        <v>5569</v>
      </c>
      <c r="W1443" s="736"/>
      <c r="X1443" s="737"/>
      <c r="Y1443" s="738"/>
      <c r="Z1443" s="739"/>
      <c r="AA1443" s="739"/>
      <c r="AB1443" s="746"/>
      <c r="AC1443" s="741" t="s">
        <v>5569</v>
      </c>
      <c r="AD1443" s="741" t="s">
        <v>5569</v>
      </c>
      <c r="AE1443" s="742" t="s">
        <v>5569</v>
      </c>
      <c r="AF1443" s="743">
        <v>0.2</v>
      </c>
      <c r="AG1443" s="741" t="s">
        <v>5569</v>
      </c>
    </row>
    <row r="1444" spans="1:33" x14ac:dyDescent="0.25">
      <c r="A1444" s="861" t="s">
        <v>1437</v>
      </c>
      <c r="B1444" s="861" t="s">
        <v>4617</v>
      </c>
      <c r="C1444" s="836">
        <v>128</v>
      </c>
      <c r="D1444" s="836"/>
      <c r="E1444" s="836"/>
      <c r="F1444" s="836"/>
      <c r="G1444" s="496" t="s">
        <v>7829</v>
      </c>
      <c r="H1444" s="797" t="str">
        <f>VLOOKUP(G1444,SETTINGS!$B$7:$D$97,2,0)</f>
        <v>HADE</v>
      </c>
      <c r="I1444" s="796">
        <f>VLOOKUP(G1444,SETTINGS!$B$7:$D$97,3,0)</f>
        <v>0</v>
      </c>
      <c r="J1444" s="670" t="str">
        <f>IFERROR(IF(CURRENCY.FORMAT_1=0,CONCATENATE(TEXT(FIXED(ROUND((C1444/EXC.RATE_1),CURRENCY.FORMAT_1),CURRENCY.FORMAT_1,1),"# ##0;-# ##0"),",-"),FIXED(ROUND((C1444/EXC.RATE_1),CURRENCY.FORMAT_1),CURRENCY.FORMAT_1,0)),'DICTIONARY-5'!$A$2)</f>
        <v>128,-</v>
      </c>
      <c r="K1444" s="670" t="str">
        <f>IF(EXC.RATE_2=0,"",IFERROR(IF(CURRENCY.FORMAT_2=0,CONCATENATE(TEXT(FIXED(ROUND(IF(EXC.RATE.SWITCH=1,C1444/EXC.RATE_2,C1444*EXC.RATE_2),CURRENCY.FORMAT_2),CURRENCY.FORMAT_2,1),"# ##0;-# ##0"),",-"),FIXED(ROUND(IF(EXC.RATE.SWITCH=1,C1444/EXC.RATE_2,C1444*EXC.RATE_2),CURRENCY.FORMAT_2),CURRENCY.FORMAT_2,0)),'DICTIONARY-5'!$A$2))</f>
        <v/>
      </c>
      <c r="L1444" s="670" t="str">
        <f>IFERROR(IF(CURRENCY.FORMAT_1=0,CONCATENATE(TEXT(FIXED(ROUND((C1444*(1-I1444)*(1-ADD.DISCOUNT)*(1+MAT.SURCHARGE)/EXC.RATE_1),CURRENCY.FORMAT_1),CURRENCY.FORMAT_1,1),"# ##0;-# ##0"),",-"),FIXED(ROUND((C1444*(1-I1444)*(1-ADD.DISCOUNT)*(1+MAT.SURCHARGE)/EXC.RATE_1),CURRENCY.FORMAT_1),CURRENCY.FORMAT_1,0)),'DICTIONARY-5'!$A$2)</f>
        <v>133,-</v>
      </c>
      <c r="M1444" s="670" t="str">
        <f>IF(EXC.RATE_2=0,"",IFERROR(IF(CURRENCY.FORMAT_2=0,CONCATENATE(TEXT(FIXED(ROUND(IF(EXC.RATE.SWITCH=1,C1444*(1-I1444)*(1-ADD.DISCOUNT)*(1+MAT.SURCHARGE)/EXC.RATE_2,C1444*(1-I1444)*(1-ADD.DISCOUNT)*(1+MAT.SURCHARGE)*EXC.RATE_2),CURRENCY.FORMAT_2),CURRENCY.FORMAT_2,1),"# ##0;-# ##0"),",-"),FIXED(ROUND(IF(EXC.RATE.SWITCH=1,C1444*(1-I1444)*(1-ADD.DISCOUNT)*(1+MAT.SURCHARGE)/EXC.RATE_2,C1444*(1-I1444)*(1-ADD.DISCOUNT)*(1+MAT.SURCHARGE)*EXC.RATE_2),CURRENCY.FORMAT_2),CURRENCY.FORMAT_2,0)),'DICTIONARY-5'!$A$2))</f>
        <v/>
      </c>
      <c r="N1444" s="539">
        <v>5</v>
      </c>
      <c r="O1444" s="539"/>
      <c r="P1444" s="732" t="str">
        <f>'DICTIONARY-3'!$A$34</f>
        <v>HADE PTK-G</v>
      </c>
      <c r="Q1444" s="732" t="str">
        <f>'DICTIONARY-3'!$A$231</f>
        <v>Zestaw kotwiący</v>
      </c>
      <c r="R1444" s="732" t="str">
        <f>CONCATENATE('DICTIONARY-3'!$A$231," ",'DICTIONARY-5'!$A$7," ",'DICTIONARY-3'!$A$34," ",'DICTIONARY-2'!$A$2,"500")</f>
        <v>Zestaw kotwiący dla HADE PTK-G DN500</v>
      </c>
      <c r="S1444" s="733" t="s">
        <v>5569</v>
      </c>
      <c r="T1444" s="732" t="s">
        <v>5569</v>
      </c>
      <c r="U1444" s="734" t="s">
        <v>5756</v>
      </c>
      <c r="V1444" s="735" t="s">
        <v>5569</v>
      </c>
      <c r="W1444" s="736"/>
      <c r="X1444" s="737"/>
      <c r="Y1444" s="738"/>
      <c r="Z1444" s="739"/>
      <c r="AA1444" s="739"/>
      <c r="AB1444" s="746"/>
      <c r="AC1444" s="741" t="s">
        <v>5569</v>
      </c>
      <c r="AD1444" s="741" t="s">
        <v>5569</v>
      </c>
      <c r="AE1444" s="742" t="s">
        <v>5569</v>
      </c>
      <c r="AF1444" s="743">
        <v>0.5</v>
      </c>
      <c r="AG1444" s="741" t="s">
        <v>5569</v>
      </c>
    </row>
    <row r="1445" spans="1:33" x14ac:dyDescent="0.25">
      <c r="A1445" s="861" t="s">
        <v>1439</v>
      </c>
      <c r="B1445" s="861" t="s">
        <v>4618</v>
      </c>
      <c r="C1445" s="836">
        <v>154</v>
      </c>
      <c r="D1445" s="836"/>
      <c r="E1445" s="836"/>
      <c r="F1445" s="836"/>
      <c r="G1445" s="496" t="s">
        <v>7829</v>
      </c>
      <c r="H1445" s="797" t="str">
        <f>VLOOKUP(G1445,SETTINGS!$B$7:$D$97,2,0)</f>
        <v>HADE</v>
      </c>
      <c r="I1445" s="796">
        <f>VLOOKUP(G1445,SETTINGS!$B$7:$D$97,3,0)</f>
        <v>0</v>
      </c>
      <c r="J1445" s="670" t="str">
        <f>IFERROR(IF(CURRENCY.FORMAT_1=0,CONCATENATE(TEXT(FIXED(ROUND((C1445/EXC.RATE_1),CURRENCY.FORMAT_1),CURRENCY.FORMAT_1,1),"# ##0;-# ##0"),",-"),FIXED(ROUND((C1445/EXC.RATE_1),CURRENCY.FORMAT_1),CURRENCY.FORMAT_1,0)),'DICTIONARY-5'!$A$2)</f>
        <v>154,-</v>
      </c>
      <c r="K1445" s="670" t="str">
        <f>IF(EXC.RATE_2=0,"",IFERROR(IF(CURRENCY.FORMAT_2=0,CONCATENATE(TEXT(FIXED(ROUND(IF(EXC.RATE.SWITCH=1,C1445/EXC.RATE_2,C1445*EXC.RATE_2),CURRENCY.FORMAT_2),CURRENCY.FORMAT_2,1),"# ##0;-# ##0"),",-"),FIXED(ROUND(IF(EXC.RATE.SWITCH=1,C1445/EXC.RATE_2,C1445*EXC.RATE_2),CURRENCY.FORMAT_2),CURRENCY.FORMAT_2,0)),'DICTIONARY-5'!$A$2))</f>
        <v/>
      </c>
      <c r="L1445" s="670" t="str">
        <f>IFERROR(IF(CURRENCY.FORMAT_1=0,CONCATENATE(TEXT(FIXED(ROUND((C1445*(1-I1445)*(1-ADD.DISCOUNT)*(1+MAT.SURCHARGE)/EXC.RATE_1),CURRENCY.FORMAT_1),CURRENCY.FORMAT_1,1),"# ##0;-# ##0"),",-"),FIXED(ROUND((C1445*(1-I1445)*(1-ADD.DISCOUNT)*(1+MAT.SURCHARGE)/EXC.RATE_1),CURRENCY.FORMAT_1),CURRENCY.FORMAT_1,0)),'DICTIONARY-5'!$A$2)</f>
        <v>160,-</v>
      </c>
      <c r="M1445" s="670" t="str">
        <f>IF(EXC.RATE_2=0,"",IFERROR(IF(CURRENCY.FORMAT_2=0,CONCATENATE(TEXT(FIXED(ROUND(IF(EXC.RATE.SWITCH=1,C1445*(1-I1445)*(1-ADD.DISCOUNT)*(1+MAT.SURCHARGE)/EXC.RATE_2,C1445*(1-I1445)*(1-ADD.DISCOUNT)*(1+MAT.SURCHARGE)*EXC.RATE_2),CURRENCY.FORMAT_2),CURRENCY.FORMAT_2,1),"# ##0;-# ##0"),",-"),FIXED(ROUND(IF(EXC.RATE.SWITCH=1,C1445*(1-I1445)*(1-ADD.DISCOUNT)*(1+MAT.SURCHARGE)/EXC.RATE_2,C1445*(1-I1445)*(1-ADD.DISCOUNT)*(1+MAT.SURCHARGE)*EXC.RATE_2),CURRENCY.FORMAT_2),CURRENCY.FORMAT_2,0)),'DICTIONARY-5'!$A$2))</f>
        <v/>
      </c>
      <c r="N1445" s="539">
        <v>5</v>
      </c>
      <c r="O1445" s="539"/>
      <c r="P1445" s="732" t="str">
        <f>'DICTIONARY-3'!$A$34</f>
        <v>HADE PTK-G</v>
      </c>
      <c r="Q1445" s="732" t="str">
        <f>'DICTIONARY-3'!$A$231</f>
        <v>Zestaw kotwiący</v>
      </c>
      <c r="R1445" s="732" t="str">
        <f>CONCATENATE('DICTIONARY-3'!$A$231," ",'DICTIONARY-5'!$A$7," ",'DICTIONARY-3'!$A$34," ",'DICTIONARY-2'!$A$2,"600")</f>
        <v>Zestaw kotwiący dla HADE PTK-G DN600</v>
      </c>
      <c r="S1445" s="733" t="s">
        <v>5569</v>
      </c>
      <c r="T1445" s="732" t="s">
        <v>5569</v>
      </c>
      <c r="U1445" s="734" t="s">
        <v>5757</v>
      </c>
      <c r="V1445" s="735" t="s">
        <v>5569</v>
      </c>
      <c r="W1445" s="736"/>
      <c r="X1445" s="737"/>
      <c r="Y1445" s="738"/>
      <c r="Z1445" s="739"/>
      <c r="AA1445" s="739"/>
      <c r="AB1445" s="746"/>
      <c r="AC1445" s="741" t="s">
        <v>5569</v>
      </c>
      <c r="AD1445" s="741" t="s">
        <v>5569</v>
      </c>
      <c r="AE1445" s="742" t="s">
        <v>5569</v>
      </c>
      <c r="AF1445" s="743">
        <v>0.5</v>
      </c>
      <c r="AG1445" s="741" t="s">
        <v>5569</v>
      </c>
    </row>
    <row r="1446" spans="1:33" x14ac:dyDescent="0.25">
      <c r="A1446" s="861" t="s">
        <v>1441</v>
      </c>
      <c r="B1446" s="861" t="s">
        <v>4619</v>
      </c>
      <c r="C1446" s="836">
        <v>148</v>
      </c>
      <c r="D1446" s="836"/>
      <c r="E1446" s="836"/>
      <c r="F1446" s="836"/>
      <c r="G1446" s="496" t="s">
        <v>7829</v>
      </c>
      <c r="H1446" s="797" t="str">
        <f>VLOOKUP(G1446,SETTINGS!$B$7:$D$97,2,0)</f>
        <v>HADE</v>
      </c>
      <c r="I1446" s="796">
        <f>VLOOKUP(G1446,SETTINGS!$B$7:$D$97,3,0)</f>
        <v>0</v>
      </c>
      <c r="J1446" s="670" t="str">
        <f>IFERROR(IF(CURRENCY.FORMAT_1=0,CONCATENATE(TEXT(FIXED(ROUND((C1446/EXC.RATE_1),CURRENCY.FORMAT_1),CURRENCY.FORMAT_1,1),"# ##0;-# ##0"),",-"),FIXED(ROUND((C1446/EXC.RATE_1),CURRENCY.FORMAT_1),CURRENCY.FORMAT_1,0)),'DICTIONARY-5'!$A$2)</f>
        <v>148,-</v>
      </c>
      <c r="K1446" s="670" t="str">
        <f>IF(EXC.RATE_2=0,"",IFERROR(IF(CURRENCY.FORMAT_2=0,CONCATENATE(TEXT(FIXED(ROUND(IF(EXC.RATE.SWITCH=1,C1446/EXC.RATE_2,C1446*EXC.RATE_2),CURRENCY.FORMAT_2),CURRENCY.FORMAT_2,1),"# ##0;-# ##0"),",-"),FIXED(ROUND(IF(EXC.RATE.SWITCH=1,C1446/EXC.RATE_2,C1446*EXC.RATE_2),CURRENCY.FORMAT_2),CURRENCY.FORMAT_2,0)),'DICTIONARY-5'!$A$2))</f>
        <v/>
      </c>
      <c r="L1446" s="670" t="str">
        <f>IFERROR(IF(CURRENCY.FORMAT_1=0,CONCATENATE(TEXT(FIXED(ROUND((C1446*(1-I1446)*(1-ADD.DISCOUNT)*(1+MAT.SURCHARGE)/EXC.RATE_1),CURRENCY.FORMAT_1),CURRENCY.FORMAT_1,1),"# ##0;-# ##0"),",-"),FIXED(ROUND((C1446*(1-I1446)*(1-ADD.DISCOUNT)*(1+MAT.SURCHARGE)/EXC.RATE_1),CURRENCY.FORMAT_1),CURRENCY.FORMAT_1,0)),'DICTIONARY-5'!$A$2)</f>
        <v>154,-</v>
      </c>
      <c r="M1446" s="670" t="str">
        <f>IF(EXC.RATE_2=0,"",IFERROR(IF(CURRENCY.FORMAT_2=0,CONCATENATE(TEXT(FIXED(ROUND(IF(EXC.RATE.SWITCH=1,C1446*(1-I1446)*(1-ADD.DISCOUNT)*(1+MAT.SURCHARGE)/EXC.RATE_2,C1446*(1-I1446)*(1-ADD.DISCOUNT)*(1+MAT.SURCHARGE)*EXC.RATE_2),CURRENCY.FORMAT_2),CURRENCY.FORMAT_2,1),"# ##0;-# ##0"),",-"),FIXED(ROUND(IF(EXC.RATE.SWITCH=1,C1446*(1-I1446)*(1-ADD.DISCOUNT)*(1+MAT.SURCHARGE)/EXC.RATE_2,C1446*(1-I1446)*(1-ADD.DISCOUNT)*(1+MAT.SURCHARGE)*EXC.RATE_2),CURRENCY.FORMAT_2),CURRENCY.FORMAT_2,0)),'DICTIONARY-5'!$A$2))</f>
        <v/>
      </c>
      <c r="N1446" s="539">
        <v>5</v>
      </c>
      <c r="O1446" s="539"/>
      <c r="P1446" s="732" t="str">
        <f>'DICTIONARY-3'!$A$34</f>
        <v>HADE PTK-G</v>
      </c>
      <c r="Q1446" s="732" t="str">
        <f>'DICTIONARY-3'!$A$231</f>
        <v>Zestaw kotwiący</v>
      </c>
      <c r="R1446" s="732" t="str">
        <f>CONCATENATE('DICTIONARY-3'!$A$231," ",'DICTIONARY-5'!$A$7," ",'DICTIONARY-3'!$A$34," ",'DICTIONARY-2'!$A$2,"700")</f>
        <v>Zestaw kotwiący dla HADE PTK-G DN700</v>
      </c>
      <c r="S1446" s="733" t="s">
        <v>5569</v>
      </c>
      <c r="T1446" s="732" t="s">
        <v>5569</v>
      </c>
      <c r="U1446" s="734" t="s">
        <v>5834</v>
      </c>
      <c r="V1446" s="735" t="s">
        <v>5569</v>
      </c>
      <c r="W1446" s="736"/>
      <c r="X1446" s="737"/>
      <c r="Y1446" s="738"/>
      <c r="Z1446" s="739"/>
      <c r="AA1446" s="739"/>
      <c r="AB1446" s="746"/>
      <c r="AC1446" s="741" t="s">
        <v>5569</v>
      </c>
      <c r="AD1446" s="741" t="s">
        <v>5569</v>
      </c>
      <c r="AE1446" s="742" t="s">
        <v>5569</v>
      </c>
      <c r="AF1446" s="743">
        <v>0.5</v>
      </c>
      <c r="AG1446" s="741" t="s">
        <v>5569</v>
      </c>
    </row>
    <row r="1447" spans="1:33" x14ac:dyDescent="0.25">
      <c r="A1447" s="861" t="s">
        <v>1443</v>
      </c>
      <c r="B1447" s="861" t="s">
        <v>4620</v>
      </c>
      <c r="C1447" s="836">
        <v>184</v>
      </c>
      <c r="D1447" s="836"/>
      <c r="E1447" s="836"/>
      <c r="F1447" s="836"/>
      <c r="G1447" s="496" t="s">
        <v>7829</v>
      </c>
      <c r="H1447" s="797" t="str">
        <f>VLOOKUP(G1447,SETTINGS!$B$7:$D$97,2,0)</f>
        <v>HADE</v>
      </c>
      <c r="I1447" s="796">
        <f>VLOOKUP(G1447,SETTINGS!$B$7:$D$97,3,0)</f>
        <v>0</v>
      </c>
      <c r="J1447" s="670" t="str">
        <f>IFERROR(IF(CURRENCY.FORMAT_1=0,CONCATENATE(TEXT(FIXED(ROUND((C1447/EXC.RATE_1),CURRENCY.FORMAT_1),CURRENCY.FORMAT_1,1),"# ##0;-# ##0"),",-"),FIXED(ROUND((C1447/EXC.RATE_1),CURRENCY.FORMAT_1),CURRENCY.FORMAT_1,0)),'DICTIONARY-5'!$A$2)</f>
        <v>184,-</v>
      </c>
      <c r="K1447" s="670" t="str">
        <f>IF(EXC.RATE_2=0,"",IFERROR(IF(CURRENCY.FORMAT_2=0,CONCATENATE(TEXT(FIXED(ROUND(IF(EXC.RATE.SWITCH=1,C1447/EXC.RATE_2,C1447*EXC.RATE_2),CURRENCY.FORMAT_2),CURRENCY.FORMAT_2,1),"# ##0;-# ##0"),",-"),FIXED(ROUND(IF(EXC.RATE.SWITCH=1,C1447/EXC.RATE_2,C1447*EXC.RATE_2),CURRENCY.FORMAT_2),CURRENCY.FORMAT_2,0)),'DICTIONARY-5'!$A$2))</f>
        <v/>
      </c>
      <c r="L1447" s="670" t="str">
        <f>IFERROR(IF(CURRENCY.FORMAT_1=0,CONCATENATE(TEXT(FIXED(ROUND((C1447*(1-I1447)*(1-ADD.DISCOUNT)*(1+MAT.SURCHARGE)/EXC.RATE_1),CURRENCY.FORMAT_1),CURRENCY.FORMAT_1,1),"# ##0;-# ##0"),",-"),FIXED(ROUND((C1447*(1-I1447)*(1-ADD.DISCOUNT)*(1+MAT.SURCHARGE)/EXC.RATE_1),CURRENCY.FORMAT_1),CURRENCY.FORMAT_1,0)),'DICTIONARY-5'!$A$2)</f>
        <v>191,-</v>
      </c>
      <c r="M1447" s="670" t="str">
        <f>IF(EXC.RATE_2=0,"",IFERROR(IF(CURRENCY.FORMAT_2=0,CONCATENATE(TEXT(FIXED(ROUND(IF(EXC.RATE.SWITCH=1,C1447*(1-I1447)*(1-ADD.DISCOUNT)*(1+MAT.SURCHARGE)/EXC.RATE_2,C1447*(1-I1447)*(1-ADD.DISCOUNT)*(1+MAT.SURCHARGE)*EXC.RATE_2),CURRENCY.FORMAT_2),CURRENCY.FORMAT_2,1),"# ##0;-# ##0"),",-"),FIXED(ROUND(IF(EXC.RATE.SWITCH=1,C1447*(1-I1447)*(1-ADD.DISCOUNT)*(1+MAT.SURCHARGE)/EXC.RATE_2,C1447*(1-I1447)*(1-ADD.DISCOUNT)*(1+MAT.SURCHARGE)*EXC.RATE_2),CURRENCY.FORMAT_2),CURRENCY.FORMAT_2,0)),'DICTIONARY-5'!$A$2))</f>
        <v/>
      </c>
      <c r="N1447" s="539">
        <v>5</v>
      </c>
      <c r="O1447" s="539"/>
      <c r="P1447" s="732" t="str">
        <f>'DICTIONARY-3'!$A$34</f>
        <v>HADE PTK-G</v>
      </c>
      <c r="Q1447" s="732" t="str">
        <f>'DICTIONARY-3'!$A$231</f>
        <v>Zestaw kotwiący</v>
      </c>
      <c r="R1447" s="732" t="str">
        <f>CONCATENATE('DICTIONARY-3'!$A$231," ",'DICTIONARY-5'!$A$7," ",'DICTIONARY-3'!$A$34," ",'DICTIONARY-2'!$A$2,"800")</f>
        <v>Zestaw kotwiący dla HADE PTK-G DN800</v>
      </c>
      <c r="S1447" s="733" t="s">
        <v>5569</v>
      </c>
      <c r="T1447" s="732" t="s">
        <v>5569</v>
      </c>
      <c r="U1447" s="734" t="s">
        <v>5835</v>
      </c>
      <c r="V1447" s="735" t="s">
        <v>5569</v>
      </c>
      <c r="W1447" s="736"/>
      <c r="X1447" s="737"/>
      <c r="Y1447" s="738"/>
      <c r="Z1447" s="739"/>
      <c r="AA1447" s="739"/>
      <c r="AB1447" s="746"/>
      <c r="AC1447" s="741" t="s">
        <v>5569</v>
      </c>
      <c r="AD1447" s="741" t="s">
        <v>5569</v>
      </c>
      <c r="AE1447" s="742" t="s">
        <v>5569</v>
      </c>
      <c r="AF1447" s="743">
        <v>0.5</v>
      </c>
      <c r="AG1447" s="741" t="s">
        <v>5569</v>
      </c>
    </row>
    <row r="1448" spans="1:33" x14ac:dyDescent="0.25">
      <c r="A1448" s="861" t="s">
        <v>1445</v>
      </c>
      <c r="B1448" s="861" t="s">
        <v>4621</v>
      </c>
      <c r="C1448" s="836">
        <v>222</v>
      </c>
      <c r="D1448" s="836"/>
      <c r="E1448" s="836"/>
      <c r="F1448" s="836"/>
      <c r="G1448" s="496" t="s">
        <v>7829</v>
      </c>
      <c r="H1448" s="797" t="str">
        <f>VLOOKUP(G1448,SETTINGS!$B$7:$D$97,2,0)</f>
        <v>HADE</v>
      </c>
      <c r="I1448" s="796">
        <f>VLOOKUP(G1448,SETTINGS!$B$7:$D$97,3,0)</f>
        <v>0</v>
      </c>
      <c r="J1448" s="670" t="str">
        <f>IFERROR(IF(CURRENCY.FORMAT_1=0,CONCATENATE(TEXT(FIXED(ROUND((C1448/EXC.RATE_1),CURRENCY.FORMAT_1),CURRENCY.FORMAT_1,1),"# ##0;-# ##0"),",-"),FIXED(ROUND((C1448/EXC.RATE_1),CURRENCY.FORMAT_1),CURRENCY.FORMAT_1,0)),'DICTIONARY-5'!$A$2)</f>
        <v>222,-</v>
      </c>
      <c r="K1448" s="670" t="str">
        <f>IF(EXC.RATE_2=0,"",IFERROR(IF(CURRENCY.FORMAT_2=0,CONCATENATE(TEXT(FIXED(ROUND(IF(EXC.RATE.SWITCH=1,C1448/EXC.RATE_2,C1448*EXC.RATE_2),CURRENCY.FORMAT_2),CURRENCY.FORMAT_2,1),"# ##0;-# ##0"),",-"),FIXED(ROUND(IF(EXC.RATE.SWITCH=1,C1448/EXC.RATE_2,C1448*EXC.RATE_2),CURRENCY.FORMAT_2),CURRENCY.FORMAT_2,0)),'DICTIONARY-5'!$A$2))</f>
        <v/>
      </c>
      <c r="L1448" s="670" t="str">
        <f>IFERROR(IF(CURRENCY.FORMAT_1=0,CONCATENATE(TEXT(FIXED(ROUND((C1448*(1-I1448)*(1-ADD.DISCOUNT)*(1+MAT.SURCHARGE)/EXC.RATE_1),CURRENCY.FORMAT_1),CURRENCY.FORMAT_1,1),"# ##0;-# ##0"),",-"),FIXED(ROUND((C1448*(1-I1448)*(1-ADD.DISCOUNT)*(1+MAT.SURCHARGE)/EXC.RATE_1),CURRENCY.FORMAT_1),CURRENCY.FORMAT_1,0)),'DICTIONARY-5'!$A$2)</f>
        <v>231,-</v>
      </c>
      <c r="M1448" s="670" t="str">
        <f>IF(EXC.RATE_2=0,"",IFERROR(IF(CURRENCY.FORMAT_2=0,CONCATENATE(TEXT(FIXED(ROUND(IF(EXC.RATE.SWITCH=1,C1448*(1-I1448)*(1-ADD.DISCOUNT)*(1+MAT.SURCHARGE)/EXC.RATE_2,C1448*(1-I1448)*(1-ADD.DISCOUNT)*(1+MAT.SURCHARGE)*EXC.RATE_2),CURRENCY.FORMAT_2),CURRENCY.FORMAT_2,1),"# ##0;-# ##0"),",-"),FIXED(ROUND(IF(EXC.RATE.SWITCH=1,C1448*(1-I1448)*(1-ADD.DISCOUNT)*(1+MAT.SURCHARGE)/EXC.RATE_2,C1448*(1-I1448)*(1-ADD.DISCOUNT)*(1+MAT.SURCHARGE)*EXC.RATE_2),CURRENCY.FORMAT_2),CURRENCY.FORMAT_2,0)),'DICTIONARY-5'!$A$2))</f>
        <v/>
      </c>
      <c r="N1448" s="539">
        <v>5</v>
      </c>
      <c r="O1448" s="539"/>
      <c r="P1448" s="732" t="str">
        <f>'DICTIONARY-3'!$A$34</f>
        <v>HADE PTK-G</v>
      </c>
      <c r="Q1448" s="732" t="str">
        <f>'DICTIONARY-3'!$A$231</f>
        <v>Zestaw kotwiący</v>
      </c>
      <c r="R1448" s="732" t="str">
        <f>CONCATENATE('DICTIONARY-3'!$A$231," ",'DICTIONARY-5'!$A$7," ",'DICTIONARY-3'!$A$34," ",'DICTIONARY-2'!$A$2,"900")</f>
        <v>Zestaw kotwiący dla HADE PTK-G DN900</v>
      </c>
      <c r="S1448" s="733" t="s">
        <v>5569</v>
      </c>
      <c r="T1448" s="732" t="s">
        <v>5569</v>
      </c>
      <c r="U1448" s="734" t="s">
        <v>5837</v>
      </c>
      <c r="V1448" s="735" t="s">
        <v>5569</v>
      </c>
      <c r="W1448" s="736"/>
      <c r="X1448" s="737"/>
      <c r="Y1448" s="738"/>
      <c r="Z1448" s="739"/>
      <c r="AA1448" s="739"/>
      <c r="AB1448" s="746"/>
      <c r="AC1448" s="741" t="s">
        <v>5569</v>
      </c>
      <c r="AD1448" s="741" t="s">
        <v>5569</v>
      </c>
      <c r="AE1448" s="742" t="s">
        <v>5569</v>
      </c>
      <c r="AF1448" s="743">
        <v>0.7</v>
      </c>
      <c r="AG1448" s="741" t="s">
        <v>5569</v>
      </c>
    </row>
    <row r="1449" spans="1:33" x14ac:dyDescent="0.25">
      <c r="A1449" s="861" t="s">
        <v>1447</v>
      </c>
      <c r="B1449" s="861" t="s">
        <v>4622</v>
      </c>
      <c r="C1449" s="836">
        <v>244</v>
      </c>
      <c r="D1449" s="836"/>
      <c r="E1449" s="836"/>
      <c r="F1449" s="836"/>
      <c r="G1449" s="496" t="s">
        <v>7829</v>
      </c>
      <c r="H1449" s="797" t="str">
        <f>VLOOKUP(G1449,SETTINGS!$B$7:$D$97,2,0)</f>
        <v>HADE</v>
      </c>
      <c r="I1449" s="796">
        <f>VLOOKUP(G1449,SETTINGS!$B$7:$D$97,3,0)</f>
        <v>0</v>
      </c>
      <c r="J1449" s="670" t="str">
        <f>IFERROR(IF(CURRENCY.FORMAT_1=0,CONCATENATE(TEXT(FIXED(ROUND((C1449/EXC.RATE_1),CURRENCY.FORMAT_1),CURRENCY.FORMAT_1,1),"# ##0;-# ##0"),",-"),FIXED(ROUND((C1449/EXC.RATE_1),CURRENCY.FORMAT_1),CURRENCY.FORMAT_1,0)),'DICTIONARY-5'!$A$2)</f>
        <v>244,-</v>
      </c>
      <c r="K1449" s="670" t="str">
        <f>IF(EXC.RATE_2=0,"",IFERROR(IF(CURRENCY.FORMAT_2=0,CONCATENATE(TEXT(FIXED(ROUND(IF(EXC.RATE.SWITCH=1,C1449/EXC.RATE_2,C1449*EXC.RATE_2),CURRENCY.FORMAT_2),CURRENCY.FORMAT_2,1),"# ##0;-# ##0"),",-"),FIXED(ROUND(IF(EXC.RATE.SWITCH=1,C1449/EXC.RATE_2,C1449*EXC.RATE_2),CURRENCY.FORMAT_2),CURRENCY.FORMAT_2,0)),'DICTIONARY-5'!$A$2))</f>
        <v/>
      </c>
      <c r="L1449" s="670" t="str">
        <f>IFERROR(IF(CURRENCY.FORMAT_1=0,CONCATENATE(TEXT(FIXED(ROUND((C1449*(1-I1449)*(1-ADD.DISCOUNT)*(1+MAT.SURCHARGE)/EXC.RATE_1),CURRENCY.FORMAT_1),CURRENCY.FORMAT_1,1),"# ##0;-# ##0"),",-"),FIXED(ROUND((C1449*(1-I1449)*(1-ADD.DISCOUNT)*(1+MAT.SURCHARGE)/EXC.RATE_1),CURRENCY.FORMAT_1),CURRENCY.FORMAT_1,0)),'DICTIONARY-5'!$A$2)</f>
        <v>254,-</v>
      </c>
      <c r="M1449" s="670" t="str">
        <f>IF(EXC.RATE_2=0,"",IFERROR(IF(CURRENCY.FORMAT_2=0,CONCATENATE(TEXT(FIXED(ROUND(IF(EXC.RATE.SWITCH=1,C1449*(1-I1449)*(1-ADD.DISCOUNT)*(1+MAT.SURCHARGE)/EXC.RATE_2,C1449*(1-I1449)*(1-ADD.DISCOUNT)*(1+MAT.SURCHARGE)*EXC.RATE_2),CURRENCY.FORMAT_2),CURRENCY.FORMAT_2,1),"# ##0;-# ##0"),",-"),FIXED(ROUND(IF(EXC.RATE.SWITCH=1,C1449*(1-I1449)*(1-ADD.DISCOUNT)*(1+MAT.SURCHARGE)/EXC.RATE_2,C1449*(1-I1449)*(1-ADD.DISCOUNT)*(1+MAT.SURCHARGE)*EXC.RATE_2),CURRENCY.FORMAT_2),CURRENCY.FORMAT_2,0)),'DICTIONARY-5'!$A$2))</f>
        <v/>
      </c>
      <c r="N1449" s="539">
        <v>5</v>
      </c>
      <c r="O1449" s="539"/>
      <c r="P1449" s="732" t="str">
        <f>'DICTIONARY-3'!$A$34</f>
        <v>HADE PTK-G</v>
      </c>
      <c r="Q1449" s="732" t="str">
        <f>'DICTIONARY-3'!$A$231</f>
        <v>Zestaw kotwiący</v>
      </c>
      <c r="R1449" s="732" t="str">
        <f>CONCATENATE('DICTIONARY-3'!$A$231," ",'DICTIONARY-5'!$A$7," ",'DICTIONARY-3'!$A$34," ",'DICTIONARY-2'!$A$2,"1000")</f>
        <v>Zestaw kotwiący dla HADE PTK-G DN1000</v>
      </c>
      <c r="S1449" s="733" t="s">
        <v>5569</v>
      </c>
      <c r="T1449" s="732" t="s">
        <v>5569</v>
      </c>
      <c r="U1449" s="734" t="s">
        <v>5836</v>
      </c>
      <c r="V1449" s="735" t="s">
        <v>5569</v>
      </c>
      <c r="W1449" s="736"/>
      <c r="X1449" s="737"/>
      <c r="Y1449" s="738"/>
      <c r="Z1449" s="739"/>
      <c r="AA1449" s="739"/>
      <c r="AB1449" s="746"/>
      <c r="AC1449" s="741" t="s">
        <v>5569</v>
      </c>
      <c r="AD1449" s="741" t="s">
        <v>5569</v>
      </c>
      <c r="AE1449" s="742" t="s">
        <v>5569</v>
      </c>
      <c r="AF1449" s="743">
        <v>0.7</v>
      </c>
      <c r="AG1449" s="741" t="s">
        <v>5569</v>
      </c>
    </row>
    <row r="1450" spans="1:33" x14ac:dyDescent="0.25">
      <c r="A1450" s="861" t="s">
        <v>1449</v>
      </c>
      <c r="B1450" s="861" t="s">
        <v>4638</v>
      </c>
      <c r="C1450" s="836">
        <v>263</v>
      </c>
      <c r="D1450" s="836"/>
      <c r="E1450" s="836"/>
      <c r="F1450" s="836"/>
      <c r="G1450" s="496" t="s">
        <v>7829</v>
      </c>
      <c r="H1450" s="797" t="str">
        <f>VLOOKUP(G1450,SETTINGS!$B$7:$D$97,2,0)</f>
        <v>HADE</v>
      </c>
      <c r="I1450" s="796">
        <f>VLOOKUP(G1450,SETTINGS!$B$7:$D$97,3,0)</f>
        <v>0</v>
      </c>
      <c r="J1450" s="670" t="str">
        <f>IFERROR(IF(CURRENCY.FORMAT_1=0,CONCATENATE(TEXT(FIXED(ROUND((C1450/EXC.RATE_1),CURRENCY.FORMAT_1),CURRENCY.FORMAT_1,1),"# ##0;-# ##0"),",-"),FIXED(ROUND((C1450/EXC.RATE_1),CURRENCY.FORMAT_1),CURRENCY.FORMAT_1,0)),'DICTIONARY-5'!$A$2)</f>
        <v>263,-</v>
      </c>
      <c r="K1450" s="670" t="str">
        <f>IF(EXC.RATE_2=0,"",IFERROR(IF(CURRENCY.FORMAT_2=0,CONCATENATE(TEXT(FIXED(ROUND(IF(EXC.RATE.SWITCH=1,C1450/EXC.RATE_2,C1450*EXC.RATE_2),CURRENCY.FORMAT_2),CURRENCY.FORMAT_2,1),"# ##0;-# ##0"),",-"),FIXED(ROUND(IF(EXC.RATE.SWITCH=1,C1450/EXC.RATE_2,C1450*EXC.RATE_2),CURRENCY.FORMAT_2),CURRENCY.FORMAT_2,0)),'DICTIONARY-5'!$A$2))</f>
        <v/>
      </c>
      <c r="L1450" s="670" t="str">
        <f>IFERROR(IF(CURRENCY.FORMAT_1=0,CONCATENATE(TEXT(FIXED(ROUND((C1450*(1-I1450)*(1-ADD.DISCOUNT)*(1+MAT.SURCHARGE)/EXC.RATE_1),CURRENCY.FORMAT_1),CURRENCY.FORMAT_1,1),"# ##0;-# ##0"),",-"),FIXED(ROUND((C1450*(1-I1450)*(1-ADD.DISCOUNT)*(1+MAT.SURCHARGE)/EXC.RATE_1),CURRENCY.FORMAT_1),CURRENCY.FORMAT_1,0)),'DICTIONARY-5'!$A$2)</f>
        <v>273,-</v>
      </c>
      <c r="M1450" s="670" t="str">
        <f>IF(EXC.RATE_2=0,"",IFERROR(IF(CURRENCY.FORMAT_2=0,CONCATENATE(TEXT(FIXED(ROUND(IF(EXC.RATE.SWITCH=1,C1450*(1-I1450)*(1-ADD.DISCOUNT)*(1+MAT.SURCHARGE)/EXC.RATE_2,C1450*(1-I1450)*(1-ADD.DISCOUNT)*(1+MAT.SURCHARGE)*EXC.RATE_2),CURRENCY.FORMAT_2),CURRENCY.FORMAT_2,1),"# ##0;-# ##0"),",-"),FIXED(ROUND(IF(EXC.RATE.SWITCH=1,C1450*(1-I1450)*(1-ADD.DISCOUNT)*(1+MAT.SURCHARGE)/EXC.RATE_2,C1450*(1-I1450)*(1-ADD.DISCOUNT)*(1+MAT.SURCHARGE)*EXC.RATE_2),CURRENCY.FORMAT_2),CURRENCY.FORMAT_2,0)),'DICTIONARY-5'!$A$2))</f>
        <v/>
      </c>
      <c r="N1450" s="539">
        <v>5</v>
      </c>
      <c r="O1450" s="539"/>
      <c r="P1450" s="732" t="str">
        <f>'DICTIONARY-3'!$A$34</f>
        <v>HADE PTK-G</v>
      </c>
      <c r="Q1450" s="732" t="str">
        <f>'DICTIONARY-3'!$A$231</f>
        <v>Zestaw kotwiący</v>
      </c>
      <c r="R1450" s="732" t="str">
        <f>CONCATENATE('DICTIONARY-3'!$A$231," ",'DICTIONARY-5'!$A$7," ",'DICTIONARY-3'!$A$34," ",'DICTIONARY-2'!$A$2,"1100")</f>
        <v>Zestaw kotwiący dla HADE PTK-G DN1100</v>
      </c>
      <c r="S1450" s="733" t="s">
        <v>5569</v>
      </c>
      <c r="T1450" s="732" t="s">
        <v>5569</v>
      </c>
      <c r="U1450" s="734" t="s">
        <v>5843</v>
      </c>
      <c r="V1450" s="735" t="s">
        <v>5569</v>
      </c>
      <c r="W1450" s="736"/>
      <c r="X1450" s="737"/>
      <c r="Y1450" s="738"/>
      <c r="Z1450" s="739"/>
      <c r="AA1450" s="739"/>
      <c r="AB1450" s="746"/>
      <c r="AC1450" s="741" t="s">
        <v>5569</v>
      </c>
      <c r="AD1450" s="741" t="s">
        <v>5569</v>
      </c>
      <c r="AE1450" s="742" t="s">
        <v>5569</v>
      </c>
      <c r="AF1450" s="743">
        <v>0.8</v>
      </c>
      <c r="AG1450" s="741" t="s">
        <v>5569</v>
      </c>
    </row>
    <row r="1451" spans="1:33" x14ac:dyDescent="0.25">
      <c r="A1451" s="861" t="s">
        <v>1451</v>
      </c>
      <c r="B1451" s="861" t="s">
        <v>4623</v>
      </c>
      <c r="C1451" s="836">
        <v>298</v>
      </c>
      <c r="D1451" s="836"/>
      <c r="E1451" s="836"/>
      <c r="F1451" s="836"/>
      <c r="G1451" s="496" t="s">
        <v>7829</v>
      </c>
      <c r="H1451" s="797" t="str">
        <f>VLOOKUP(G1451,SETTINGS!$B$7:$D$97,2,0)</f>
        <v>HADE</v>
      </c>
      <c r="I1451" s="796">
        <f>VLOOKUP(G1451,SETTINGS!$B$7:$D$97,3,0)</f>
        <v>0</v>
      </c>
      <c r="J1451" s="670" t="str">
        <f>IFERROR(IF(CURRENCY.FORMAT_1=0,CONCATENATE(TEXT(FIXED(ROUND((C1451/EXC.RATE_1),CURRENCY.FORMAT_1),CURRENCY.FORMAT_1,1),"# ##0;-# ##0"),",-"),FIXED(ROUND((C1451/EXC.RATE_1),CURRENCY.FORMAT_1),CURRENCY.FORMAT_1,0)),'DICTIONARY-5'!$A$2)</f>
        <v>298,-</v>
      </c>
      <c r="K1451" s="670" t="str">
        <f>IF(EXC.RATE_2=0,"",IFERROR(IF(CURRENCY.FORMAT_2=0,CONCATENATE(TEXT(FIXED(ROUND(IF(EXC.RATE.SWITCH=1,C1451/EXC.RATE_2,C1451*EXC.RATE_2),CURRENCY.FORMAT_2),CURRENCY.FORMAT_2,1),"# ##0;-# ##0"),",-"),FIXED(ROUND(IF(EXC.RATE.SWITCH=1,C1451/EXC.RATE_2,C1451*EXC.RATE_2),CURRENCY.FORMAT_2),CURRENCY.FORMAT_2,0)),'DICTIONARY-5'!$A$2))</f>
        <v/>
      </c>
      <c r="L1451" s="670" t="str">
        <f>IFERROR(IF(CURRENCY.FORMAT_1=0,CONCATENATE(TEXT(FIXED(ROUND((C1451*(1-I1451)*(1-ADD.DISCOUNT)*(1+MAT.SURCHARGE)/EXC.RATE_1),CURRENCY.FORMAT_1),CURRENCY.FORMAT_1,1),"# ##0;-# ##0"),",-"),FIXED(ROUND((C1451*(1-I1451)*(1-ADD.DISCOUNT)*(1+MAT.SURCHARGE)/EXC.RATE_1),CURRENCY.FORMAT_1),CURRENCY.FORMAT_1,0)),'DICTIONARY-5'!$A$2)</f>
        <v>310,-</v>
      </c>
      <c r="M1451" s="670" t="str">
        <f>IF(EXC.RATE_2=0,"",IFERROR(IF(CURRENCY.FORMAT_2=0,CONCATENATE(TEXT(FIXED(ROUND(IF(EXC.RATE.SWITCH=1,C1451*(1-I1451)*(1-ADD.DISCOUNT)*(1+MAT.SURCHARGE)/EXC.RATE_2,C1451*(1-I1451)*(1-ADD.DISCOUNT)*(1+MAT.SURCHARGE)*EXC.RATE_2),CURRENCY.FORMAT_2),CURRENCY.FORMAT_2,1),"# ##0;-# ##0"),",-"),FIXED(ROUND(IF(EXC.RATE.SWITCH=1,C1451*(1-I1451)*(1-ADD.DISCOUNT)*(1+MAT.SURCHARGE)/EXC.RATE_2,C1451*(1-I1451)*(1-ADD.DISCOUNT)*(1+MAT.SURCHARGE)*EXC.RATE_2),CURRENCY.FORMAT_2),CURRENCY.FORMAT_2,0)),'DICTIONARY-5'!$A$2))</f>
        <v/>
      </c>
      <c r="N1451" s="539">
        <v>5</v>
      </c>
      <c r="O1451" s="539"/>
      <c r="P1451" s="732" t="str">
        <f>'DICTIONARY-3'!$A$34</f>
        <v>HADE PTK-G</v>
      </c>
      <c r="Q1451" s="732" t="str">
        <f>'DICTIONARY-3'!$A$231</f>
        <v>Zestaw kotwiący</v>
      </c>
      <c r="R1451" s="732" t="str">
        <f>CONCATENATE('DICTIONARY-3'!$A$231," ",'DICTIONARY-5'!$A$7," ",'DICTIONARY-3'!$A$34," ",'DICTIONARY-2'!$A$2,"1200")</f>
        <v>Zestaw kotwiący dla HADE PTK-G DN1200</v>
      </c>
      <c r="S1451" s="733" t="s">
        <v>5569</v>
      </c>
      <c r="T1451" s="732" t="s">
        <v>5569</v>
      </c>
      <c r="U1451" s="734" t="s">
        <v>5838</v>
      </c>
      <c r="V1451" s="735" t="s">
        <v>5569</v>
      </c>
      <c r="W1451" s="736"/>
      <c r="X1451" s="737"/>
      <c r="Y1451" s="738"/>
      <c r="Z1451" s="739"/>
      <c r="AA1451" s="739"/>
      <c r="AB1451" s="746"/>
      <c r="AC1451" s="741" t="s">
        <v>5569</v>
      </c>
      <c r="AD1451" s="741" t="s">
        <v>5569</v>
      </c>
      <c r="AE1451" s="742" t="s">
        <v>5569</v>
      </c>
      <c r="AF1451" s="743">
        <v>1</v>
      </c>
      <c r="AG1451" s="741" t="s">
        <v>5569</v>
      </c>
    </row>
    <row r="1452" spans="1:33" x14ac:dyDescent="0.25">
      <c r="A1452" s="861" t="s">
        <v>1453</v>
      </c>
      <c r="B1452" s="861" t="s">
        <v>4639</v>
      </c>
      <c r="C1452" s="836">
        <v>406</v>
      </c>
      <c r="D1452" s="836"/>
      <c r="E1452" s="836"/>
      <c r="F1452" s="836"/>
      <c r="G1452" s="496" t="s">
        <v>7829</v>
      </c>
      <c r="H1452" s="797" t="str">
        <f>VLOOKUP(G1452,SETTINGS!$B$7:$D$97,2,0)</f>
        <v>HADE</v>
      </c>
      <c r="I1452" s="796">
        <f>VLOOKUP(G1452,SETTINGS!$B$7:$D$97,3,0)</f>
        <v>0</v>
      </c>
      <c r="J1452" s="670" t="str">
        <f>IFERROR(IF(CURRENCY.FORMAT_1=0,CONCATENATE(TEXT(FIXED(ROUND((C1452/EXC.RATE_1),CURRENCY.FORMAT_1),CURRENCY.FORMAT_1,1),"# ##0;-# ##0"),",-"),FIXED(ROUND((C1452/EXC.RATE_1),CURRENCY.FORMAT_1),CURRENCY.FORMAT_1,0)),'DICTIONARY-5'!$A$2)</f>
        <v>406,-</v>
      </c>
      <c r="K1452" s="670" t="str">
        <f>IF(EXC.RATE_2=0,"",IFERROR(IF(CURRENCY.FORMAT_2=0,CONCATENATE(TEXT(FIXED(ROUND(IF(EXC.RATE.SWITCH=1,C1452/EXC.RATE_2,C1452*EXC.RATE_2),CURRENCY.FORMAT_2),CURRENCY.FORMAT_2,1),"# ##0;-# ##0"),",-"),FIXED(ROUND(IF(EXC.RATE.SWITCH=1,C1452/EXC.RATE_2,C1452*EXC.RATE_2),CURRENCY.FORMAT_2),CURRENCY.FORMAT_2,0)),'DICTIONARY-5'!$A$2))</f>
        <v/>
      </c>
      <c r="L1452" s="670" t="str">
        <f>IFERROR(IF(CURRENCY.FORMAT_1=0,CONCATENATE(TEXT(FIXED(ROUND((C1452*(1-I1452)*(1-ADD.DISCOUNT)*(1+MAT.SURCHARGE)/EXC.RATE_1),CURRENCY.FORMAT_1),CURRENCY.FORMAT_1,1),"# ##0;-# ##0"),",-"),FIXED(ROUND((C1452*(1-I1452)*(1-ADD.DISCOUNT)*(1+MAT.SURCHARGE)/EXC.RATE_1),CURRENCY.FORMAT_1),CURRENCY.FORMAT_1,0)),'DICTIONARY-5'!$A$2)</f>
        <v>422,-</v>
      </c>
      <c r="M1452" s="670" t="str">
        <f>IF(EXC.RATE_2=0,"",IFERROR(IF(CURRENCY.FORMAT_2=0,CONCATENATE(TEXT(FIXED(ROUND(IF(EXC.RATE.SWITCH=1,C1452*(1-I1452)*(1-ADD.DISCOUNT)*(1+MAT.SURCHARGE)/EXC.RATE_2,C1452*(1-I1452)*(1-ADD.DISCOUNT)*(1+MAT.SURCHARGE)*EXC.RATE_2),CURRENCY.FORMAT_2),CURRENCY.FORMAT_2,1),"# ##0;-# ##0"),",-"),FIXED(ROUND(IF(EXC.RATE.SWITCH=1,C1452*(1-I1452)*(1-ADD.DISCOUNT)*(1+MAT.SURCHARGE)/EXC.RATE_2,C1452*(1-I1452)*(1-ADD.DISCOUNT)*(1+MAT.SURCHARGE)*EXC.RATE_2),CURRENCY.FORMAT_2),CURRENCY.FORMAT_2,0)),'DICTIONARY-5'!$A$2))</f>
        <v/>
      </c>
      <c r="N1452" s="539">
        <v>5</v>
      </c>
      <c r="O1452" s="539"/>
      <c r="P1452" s="732" t="str">
        <f>'DICTIONARY-3'!$A$34</f>
        <v>HADE PTK-G</v>
      </c>
      <c r="Q1452" s="732" t="str">
        <f>'DICTIONARY-3'!$A$231</f>
        <v>Zestaw kotwiący</v>
      </c>
      <c r="R1452" s="732" t="str">
        <f>CONCATENATE('DICTIONARY-3'!$A$231," ",'DICTIONARY-5'!$A$7," ",'DICTIONARY-3'!$A$34," ",'DICTIONARY-2'!$A$2,"1300")</f>
        <v>Zestaw kotwiący dla HADE PTK-G DN1300</v>
      </c>
      <c r="S1452" s="733" t="s">
        <v>5569</v>
      </c>
      <c r="T1452" s="732" t="s">
        <v>5569</v>
      </c>
      <c r="U1452" s="734" t="s">
        <v>5844</v>
      </c>
      <c r="V1452" s="735" t="s">
        <v>5569</v>
      </c>
      <c r="W1452" s="736"/>
      <c r="X1452" s="737"/>
      <c r="Y1452" s="738"/>
      <c r="Z1452" s="739"/>
      <c r="AA1452" s="739"/>
      <c r="AB1452" s="746"/>
      <c r="AC1452" s="741" t="s">
        <v>5569</v>
      </c>
      <c r="AD1452" s="741" t="s">
        <v>5569</v>
      </c>
      <c r="AE1452" s="742" t="s">
        <v>5569</v>
      </c>
      <c r="AF1452" s="743">
        <v>1.5</v>
      </c>
      <c r="AG1452" s="741" t="s">
        <v>5569</v>
      </c>
    </row>
    <row r="1453" spans="1:33" x14ac:dyDescent="0.25">
      <c r="A1453" s="861" t="s">
        <v>1455</v>
      </c>
      <c r="B1453" s="861" t="s">
        <v>4640</v>
      </c>
      <c r="C1453" s="836">
        <v>417</v>
      </c>
      <c r="D1453" s="836"/>
      <c r="E1453" s="836"/>
      <c r="F1453" s="836"/>
      <c r="G1453" s="496" t="s">
        <v>7829</v>
      </c>
      <c r="H1453" s="797" t="str">
        <f>VLOOKUP(G1453,SETTINGS!$B$7:$D$97,2,0)</f>
        <v>HADE</v>
      </c>
      <c r="I1453" s="796">
        <f>VLOOKUP(G1453,SETTINGS!$B$7:$D$97,3,0)</f>
        <v>0</v>
      </c>
      <c r="J1453" s="670" t="str">
        <f>IFERROR(IF(CURRENCY.FORMAT_1=0,CONCATENATE(TEXT(FIXED(ROUND((C1453/EXC.RATE_1),CURRENCY.FORMAT_1),CURRENCY.FORMAT_1,1),"# ##0;-# ##0"),",-"),FIXED(ROUND((C1453/EXC.RATE_1),CURRENCY.FORMAT_1),CURRENCY.FORMAT_1,0)),'DICTIONARY-5'!$A$2)</f>
        <v>417,-</v>
      </c>
      <c r="K1453" s="670" t="str">
        <f>IF(EXC.RATE_2=0,"",IFERROR(IF(CURRENCY.FORMAT_2=0,CONCATENATE(TEXT(FIXED(ROUND(IF(EXC.RATE.SWITCH=1,C1453/EXC.RATE_2,C1453*EXC.RATE_2),CURRENCY.FORMAT_2),CURRENCY.FORMAT_2,1),"# ##0;-# ##0"),",-"),FIXED(ROUND(IF(EXC.RATE.SWITCH=1,C1453/EXC.RATE_2,C1453*EXC.RATE_2),CURRENCY.FORMAT_2),CURRENCY.FORMAT_2,0)),'DICTIONARY-5'!$A$2))</f>
        <v/>
      </c>
      <c r="L1453" s="670" t="str">
        <f>IFERROR(IF(CURRENCY.FORMAT_1=0,CONCATENATE(TEXT(FIXED(ROUND((C1453*(1-I1453)*(1-ADD.DISCOUNT)*(1+MAT.SURCHARGE)/EXC.RATE_1),CURRENCY.FORMAT_1),CURRENCY.FORMAT_1,1),"# ##0;-# ##0"),",-"),FIXED(ROUND((C1453*(1-I1453)*(1-ADD.DISCOUNT)*(1+MAT.SURCHARGE)/EXC.RATE_1),CURRENCY.FORMAT_1),CURRENCY.FORMAT_1,0)),'DICTIONARY-5'!$A$2)</f>
        <v>433,-</v>
      </c>
      <c r="M1453" s="670" t="str">
        <f>IF(EXC.RATE_2=0,"",IFERROR(IF(CURRENCY.FORMAT_2=0,CONCATENATE(TEXT(FIXED(ROUND(IF(EXC.RATE.SWITCH=1,C1453*(1-I1453)*(1-ADD.DISCOUNT)*(1+MAT.SURCHARGE)/EXC.RATE_2,C1453*(1-I1453)*(1-ADD.DISCOUNT)*(1+MAT.SURCHARGE)*EXC.RATE_2),CURRENCY.FORMAT_2),CURRENCY.FORMAT_2,1),"# ##0;-# ##0"),",-"),FIXED(ROUND(IF(EXC.RATE.SWITCH=1,C1453*(1-I1453)*(1-ADD.DISCOUNT)*(1+MAT.SURCHARGE)/EXC.RATE_2,C1453*(1-I1453)*(1-ADD.DISCOUNT)*(1+MAT.SURCHARGE)*EXC.RATE_2),CURRENCY.FORMAT_2),CURRENCY.FORMAT_2,0)),'DICTIONARY-5'!$A$2))</f>
        <v/>
      </c>
      <c r="N1453" s="539">
        <v>5</v>
      </c>
      <c r="O1453" s="539"/>
      <c r="P1453" s="732" t="str">
        <f>'DICTIONARY-3'!$A$34</f>
        <v>HADE PTK-G</v>
      </c>
      <c r="Q1453" s="732" t="str">
        <f>'DICTIONARY-3'!$A$231</f>
        <v>Zestaw kotwiący</v>
      </c>
      <c r="R1453" s="732" t="str">
        <f>CONCATENATE('DICTIONARY-3'!$A$231," ",'DICTIONARY-5'!$A$7," ",'DICTIONARY-3'!$A$34," ",'DICTIONARY-2'!$A$2,"1400")</f>
        <v>Zestaw kotwiący dla HADE PTK-G DN1400</v>
      </c>
      <c r="S1453" s="733" t="s">
        <v>5569</v>
      </c>
      <c r="T1453" s="732" t="s">
        <v>5569</v>
      </c>
      <c r="U1453" s="734" t="s">
        <v>5839</v>
      </c>
      <c r="V1453" s="735" t="s">
        <v>5569</v>
      </c>
      <c r="W1453" s="736"/>
      <c r="X1453" s="737"/>
      <c r="Y1453" s="738"/>
      <c r="Z1453" s="739"/>
      <c r="AA1453" s="739"/>
      <c r="AB1453" s="746"/>
      <c r="AC1453" s="741" t="s">
        <v>5569</v>
      </c>
      <c r="AD1453" s="741" t="s">
        <v>5569</v>
      </c>
      <c r="AE1453" s="742" t="s">
        <v>5569</v>
      </c>
      <c r="AF1453" s="743">
        <v>0.8</v>
      </c>
      <c r="AG1453" s="741" t="s">
        <v>5569</v>
      </c>
    </row>
    <row r="1454" spans="1:33" x14ac:dyDescent="0.25">
      <c r="A1454" s="861" t="s">
        <v>1457</v>
      </c>
      <c r="B1454" s="861" t="s">
        <v>4624</v>
      </c>
      <c r="C1454" s="836">
        <v>481</v>
      </c>
      <c r="D1454" s="836"/>
      <c r="E1454" s="836"/>
      <c r="F1454" s="836"/>
      <c r="G1454" s="496" t="s">
        <v>7829</v>
      </c>
      <c r="H1454" s="797" t="str">
        <f>VLOOKUP(G1454,SETTINGS!$B$7:$D$97,2,0)</f>
        <v>HADE</v>
      </c>
      <c r="I1454" s="796">
        <f>VLOOKUP(G1454,SETTINGS!$B$7:$D$97,3,0)</f>
        <v>0</v>
      </c>
      <c r="J1454" s="670" t="str">
        <f>IFERROR(IF(CURRENCY.FORMAT_1=0,CONCATENATE(TEXT(FIXED(ROUND((C1454/EXC.RATE_1),CURRENCY.FORMAT_1),CURRENCY.FORMAT_1,1),"# ##0;-# ##0"),",-"),FIXED(ROUND((C1454/EXC.RATE_1),CURRENCY.FORMAT_1),CURRENCY.FORMAT_1,0)),'DICTIONARY-5'!$A$2)</f>
        <v>481,-</v>
      </c>
      <c r="K1454" s="670" t="str">
        <f>IF(EXC.RATE_2=0,"",IFERROR(IF(CURRENCY.FORMAT_2=0,CONCATENATE(TEXT(FIXED(ROUND(IF(EXC.RATE.SWITCH=1,C1454/EXC.RATE_2,C1454*EXC.RATE_2),CURRENCY.FORMAT_2),CURRENCY.FORMAT_2,1),"# ##0;-# ##0"),",-"),FIXED(ROUND(IF(EXC.RATE.SWITCH=1,C1454/EXC.RATE_2,C1454*EXC.RATE_2),CURRENCY.FORMAT_2),CURRENCY.FORMAT_2,0)),'DICTIONARY-5'!$A$2))</f>
        <v/>
      </c>
      <c r="L1454" s="670" t="str">
        <f>IFERROR(IF(CURRENCY.FORMAT_1=0,CONCATENATE(TEXT(FIXED(ROUND((C1454*(1-I1454)*(1-ADD.DISCOUNT)*(1+MAT.SURCHARGE)/EXC.RATE_1),CURRENCY.FORMAT_1),CURRENCY.FORMAT_1,1),"# ##0;-# ##0"),",-"),FIXED(ROUND((C1454*(1-I1454)*(1-ADD.DISCOUNT)*(1+MAT.SURCHARGE)/EXC.RATE_1),CURRENCY.FORMAT_1),CURRENCY.FORMAT_1,0)),'DICTIONARY-5'!$A$2)</f>
        <v>500,-</v>
      </c>
      <c r="M1454" s="670" t="str">
        <f>IF(EXC.RATE_2=0,"",IFERROR(IF(CURRENCY.FORMAT_2=0,CONCATENATE(TEXT(FIXED(ROUND(IF(EXC.RATE.SWITCH=1,C1454*(1-I1454)*(1-ADD.DISCOUNT)*(1+MAT.SURCHARGE)/EXC.RATE_2,C1454*(1-I1454)*(1-ADD.DISCOUNT)*(1+MAT.SURCHARGE)*EXC.RATE_2),CURRENCY.FORMAT_2),CURRENCY.FORMAT_2,1),"# ##0;-# ##0"),",-"),FIXED(ROUND(IF(EXC.RATE.SWITCH=1,C1454*(1-I1454)*(1-ADD.DISCOUNT)*(1+MAT.SURCHARGE)/EXC.RATE_2,C1454*(1-I1454)*(1-ADD.DISCOUNT)*(1+MAT.SURCHARGE)*EXC.RATE_2),CURRENCY.FORMAT_2),CURRENCY.FORMAT_2,0)),'DICTIONARY-5'!$A$2))</f>
        <v/>
      </c>
      <c r="N1454" s="539">
        <v>5</v>
      </c>
      <c r="O1454" s="539"/>
      <c r="P1454" s="732" t="str">
        <f>'DICTIONARY-3'!$A$34</f>
        <v>HADE PTK-G</v>
      </c>
      <c r="Q1454" s="732" t="str">
        <f>'DICTIONARY-3'!$A$231</f>
        <v>Zestaw kotwiący</v>
      </c>
      <c r="R1454" s="732" t="str">
        <f>CONCATENATE('DICTIONARY-3'!$A$231," ",'DICTIONARY-5'!$A$7," ",'DICTIONARY-3'!$A$34," ",'DICTIONARY-2'!$A$2,"1500")</f>
        <v>Zestaw kotwiący dla HADE PTK-G DN1500</v>
      </c>
      <c r="S1454" s="733" t="s">
        <v>5569</v>
      </c>
      <c r="T1454" s="732" t="s">
        <v>5569</v>
      </c>
      <c r="U1454" s="734" t="s">
        <v>5845</v>
      </c>
      <c r="V1454" s="735" t="s">
        <v>5569</v>
      </c>
      <c r="W1454" s="736"/>
      <c r="X1454" s="737"/>
      <c r="Y1454" s="738"/>
      <c r="Z1454" s="739"/>
      <c r="AA1454" s="739"/>
      <c r="AB1454" s="746"/>
      <c r="AC1454" s="741" t="s">
        <v>5569</v>
      </c>
      <c r="AD1454" s="741" t="s">
        <v>5569</v>
      </c>
      <c r="AE1454" s="742" t="s">
        <v>5569</v>
      </c>
      <c r="AF1454" s="743">
        <v>0.6</v>
      </c>
      <c r="AG1454" s="741"/>
    </row>
    <row r="1455" spans="1:33" x14ac:dyDescent="0.25">
      <c r="A1455" s="861" t="s">
        <v>1459</v>
      </c>
      <c r="B1455" s="861" t="s">
        <v>4641</v>
      </c>
      <c r="C1455" s="836">
        <v>508</v>
      </c>
      <c r="D1455" s="836"/>
      <c r="E1455" s="836"/>
      <c r="F1455" s="836"/>
      <c r="G1455" s="496" t="s">
        <v>7829</v>
      </c>
      <c r="H1455" s="797" t="str">
        <f>VLOOKUP(G1455,SETTINGS!$B$7:$D$97,2,0)</f>
        <v>HADE</v>
      </c>
      <c r="I1455" s="796">
        <f>VLOOKUP(G1455,SETTINGS!$B$7:$D$97,3,0)</f>
        <v>0</v>
      </c>
      <c r="J1455" s="670" t="str">
        <f>IFERROR(IF(CURRENCY.FORMAT_1=0,CONCATENATE(TEXT(FIXED(ROUND((C1455/EXC.RATE_1),CURRENCY.FORMAT_1),CURRENCY.FORMAT_1,1),"# ##0;-# ##0"),",-"),FIXED(ROUND((C1455/EXC.RATE_1),CURRENCY.FORMAT_1),CURRENCY.FORMAT_1,0)),'DICTIONARY-5'!$A$2)</f>
        <v>508,-</v>
      </c>
      <c r="K1455" s="670" t="str">
        <f>IF(EXC.RATE_2=0,"",IFERROR(IF(CURRENCY.FORMAT_2=0,CONCATENATE(TEXT(FIXED(ROUND(IF(EXC.RATE.SWITCH=1,C1455/EXC.RATE_2,C1455*EXC.RATE_2),CURRENCY.FORMAT_2),CURRENCY.FORMAT_2,1),"# ##0;-# ##0"),",-"),FIXED(ROUND(IF(EXC.RATE.SWITCH=1,C1455/EXC.RATE_2,C1455*EXC.RATE_2),CURRENCY.FORMAT_2),CURRENCY.FORMAT_2,0)),'DICTIONARY-5'!$A$2))</f>
        <v/>
      </c>
      <c r="L1455" s="670" t="str">
        <f>IFERROR(IF(CURRENCY.FORMAT_1=0,CONCATENATE(TEXT(FIXED(ROUND((C1455*(1-I1455)*(1-ADD.DISCOUNT)*(1+MAT.SURCHARGE)/EXC.RATE_1),CURRENCY.FORMAT_1),CURRENCY.FORMAT_1,1),"# ##0;-# ##0"),",-"),FIXED(ROUND((C1455*(1-I1455)*(1-ADD.DISCOUNT)*(1+MAT.SURCHARGE)/EXC.RATE_1),CURRENCY.FORMAT_1),CURRENCY.FORMAT_1,0)),'DICTIONARY-5'!$A$2)</f>
        <v>528,-</v>
      </c>
      <c r="M1455" s="670" t="str">
        <f>IF(EXC.RATE_2=0,"",IFERROR(IF(CURRENCY.FORMAT_2=0,CONCATENATE(TEXT(FIXED(ROUND(IF(EXC.RATE.SWITCH=1,C1455*(1-I1455)*(1-ADD.DISCOUNT)*(1+MAT.SURCHARGE)/EXC.RATE_2,C1455*(1-I1455)*(1-ADD.DISCOUNT)*(1+MAT.SURCHARGE)*EXC.RATE_2),CURRENCY.FORMAT_2),CURRENCY.FORMAT_2,1),"# ##0;-# ##0"),",-"),FIXED(ROUND(IF(EXC.RATE.SWITCH=1,C1455*(1-I1455)*(1-ADD.DISCOUNT)*(1+MAT.SURCHARGE)/EXC.RATE_2,C1455*(1-I1455)*(1-ADD.DISCOUNT)*(1+MAT.SURCHARGE)*EXC.RATE_2),CURRENCY.FORMAT_2),CURRENCY.FORMAT_2,0)),'DICTIONARY-5'!$A$2))</f>
        <v/>
      </c>
      <c r="N1455" s="539">
        <v>5</v>
      </c>
      <c r="O1455" s="539"/>
      <c r="P1455" s="732" t="str">
        <f>'DICTIONARY-3'!$A$34</f>
        <v>HADE PTK-G</v>
      </c>
      <c r="Q1455" s="732" t="str">
        <f>'DICTIONARY-3'!$A$231</f>
        <v>Zestaw kotwiący</v>
      </c>
      <c r="R1455" s="732" t="str">
        <f>CONCATENATE('DICTIONARY-3'!$A$231," ",'DICTIONARY-5'!$A$7," ",'DICTIONARY-3'!$A$34," ",'DICTIONARY-2'!$A$2,"1600")</f>
        <v>Zestaw kotwiący dla HADE PTK-G DN1600</v>
      </c>
      <c r="S1455" s="733" t="s">
        <v>5569</v>
      </c>
      <c r="T1455" s="732" t="s">
        <v>5569</v>
      </c>
      <c r="U1455" s="734" t="s">
        <v>5840</v>
      </c>
      <c r="V1455" s="735"/>
      <c r="W1455" s="736"/>
      <c r="X1455" s="737"/>
      <c r="Y1455" s="738"/>
      <c r="Z1455" s="739"/>
      <c r="AA1455" s="739"/>
      <c r="AB1455" s="746"/>
      <c r="AC1455" s="741"/>
      <c r="AD1455" s="741"/>
      <c r="AE1455" s="742"/>
      <c r="AF1455" s="743">
        <v>0.6</v>
      </c>
      <c r="AG1455" s="741"/>
    </row>
    <row r="1456" spans="1:33" x14ac:dyDescent="0.25">
      <c r="A1456" s="861" t="s">
        <v>1461</v>
      </c>
      <c r="B1456" s="861" t="str">
        <f>'DICTIONARY-5'!$A$2</f>
        <v>na zapytanie</v>
      </c>
      <c r="C1456" s="836" t="s">
        <v>5967</v>
      </c>
      <c r="D1456" s="836"/>
      <c r="E1456" s="836"/>
      <c r="F1456" s="836"/>
      <c r="G1456" s="496" t="s">
        <v>7829</v>
      </c>
      <c r="H1456" s="797" t="str">
        <f>VLOOKUP(G1456,SETTINGS!$B$7:$D$97,2,0)</f>
        <v>HADE</v>
      </c>
      <c r="I1456" s="796">
        <f>VLOOKUP(G1456,SETTINGS!$B$7:$D$97,3,0)</f>
        <v>0</v>
      </c>
      <c r="J1456" s="670" t="str">
        <f>IFERROR(IF(CURRENCY.FORMAT_1=0,CONCATENATE(TEXT(FIXED(ROUND((C1456/EXC.RATE_1),CURRENCY.FORMAT_1),CURRENCY.FORMAT_1,1),"# ##0;-# ##0"),",-"),FIXED(ROUND((C1456/EXC.RATE_1),CURRENCY.FORMAT_1),CURRENCY.FORMAT_1,0)),'DICTIONARY-5'!$A$2)</f>
        <v>na zapytanie</v>
      </c>
      <c r="K1456" s="670" t="str">
        <f>IF(EXC.RATE_2=0,"",IFERROR(IF(CURRENCY.FORMAT_2=0,CONCATENATE(TEXT(FIXED(ROUND(IF(EXC.RATE.SWITCH=1,C1456/EXC.RATE_2,C1456*EXC.RATE_2),CURRENCY.FORMAT_2),CURRENCY.FORMAT_2,1),"# ##0;-# ##0"),",-"),FIXED(ROUND(IF(EXC.RATE.SWITCH=1,C1456/EXC.RATE_2,C1456*EXC.RATE_2),CURRENCY.FORMAT_2),CURRENCY.FORMAT_2,0)),'DICTIONARY-5'!$A$2))</f>
        <v/>
      </c>
      <c r="L1456" s="670" t="str">
        <f>IFERROR(IF(CURRENCY.FORMAT_1=0,CONCATENATE(TEXT(FIXED(ROUND((C1456*(1-I1456)*(1-ADD.DISCOUNT)*(1+MAT.SURCHARGE)/EXC.RATE_1),CURRENCY.FORMAT_1),CURRENCY.FORMAT_1,1),"# ##0;-# ##0"),",-"),FIXED(ROUND((C1456*(1-I1456)*(1-ADD.DISCOUNT)*(1+MAT.SURCHARGE)/EXC.RATE_1),CURRENCY.FORMAT_1),CURRENCY.FORMAT_1,0)),'DICTIONARY-5'!$A$2)</f>
        <v>na zapytanie</v>
      </c>
      <c r="M1456" s="670" t="str">
        <f>IF(EXC.RATE_2=0,"",IFERROR(IF(CURRENCY.FORMAT_2=0,CONCATENATE(TEXT(FIXED(ROUND(IF(EXC.RATE.SWITCH=1,C1456*(1-I1456)*(1-ADD.DISCOUNT)*(1+MAT.SURCHARGE)/EXC.RATE_2,C1456*(1-I1456)*(1-ADD.DISCOUNT)*(1+MAT.SURCHARGE)*EXC.RATE_2),CURRENCY.FORMAT_2),CURRENCY.FORMAT_2,1),"# ##0;-# ##0"),",-"),FIXED(ROUND(IF(EXC.RATE.SWITCH=1,C1456*(1-I1456)*(1-ADD.DISCOUNT)*(1+MAT.SURCHARGE)/EXC.RATE_2,C1456*(1-I1456)*(1-ADD.DISCOUNT)*(1+MAT.SURCHARGE)*EXC.RATE_2),CURRENCY.FORMAT_2),CURRENCY.FORMAT_2,0)),'DICTIONARY-5'!$A$2))</f>
        <v/>
      </c>
      <c r="N1456" s="539">
        <v>5</v>
      </c>
      <c r="O1456" s="539"/>
      <c r="P1456" s="732" t="str">
        <f>'DICTIONARY-3'!$A$34</f>
        <v>HADE PTK-G</v>
      </c>
      <c r="Q1456" s="732" t="str">
        <f>'DICTIONARY-3'!$A$231</f>
        <v>Zestaw kotwiący</v>
      </c>
      <c r="R1456" s="732" t="str">
        <f>CONCATENATE('DICTIONARY-3'!$A$231," ",'DICTIONARY-5'!$A$7," ",'DICTIONARY-3'!$A$34," ",'DICTIONARY-2'!$A$2,"1800")</f>
        <v>Zestaw kotwiący dla HADE PTK-G DN1800</v>
      </c>
      <c r="S1456" s="733" t="s">
        <v>5569</v>
      </c>
      <c r="T1456" s="732" t="s">
        <v>5569</v>
      </c>
      <c r="U1456" s="734" t="s">
        <v>5841</v>
      </c>
      <c r="V1456" s="735"/>
      <c r="W1456" s="736"/>
      <c r="X1456" s="737"/>
      <c r="Y1456" s="738"/>
      <c r="Z1456" s="739"/>
      <c r="AA1456" s="739"/>
      <c r="AB1456" s="746"/>
      <c r="AC1456" s="741"/>
      <c r="AD1456" s="741"/>
      <c r="AE1456" s="742"/>
      <c r="AF1456" s="743"/>
      <c r="AG1456" s="741"/>
    </row>
    <row r="1457" spans="1:33" x14ac:dyDescent="0.25">
      <c r="A1457" s="861" t="s">
        <v>1463</v>
      </c>
      <c r="B1457" s="861" t="str">
        <f>'DICTIONARY-5'!$A$2</f>
        <v>na zapytanie</v>
      </c>
      <c r="C1457" s="836" t="s">
        <v>5967</v>
      </c>
      <c r="D1457" s="836"/>
      <c r="E1457" s="836"/>
      <c r="F1457" s="836"/>
      <c r="G1457" s="496" t="s">
        <v>7829</v>
      </c>
      <c r="H1457" s="797" t="str">
        <f>VLOOKUP(G1457,SETTINGS!$B$7:$D$97,2,0)</f>
        <v>HADE</v>
      </c>
      <c r="I1457" s="796">
        <f>VLOOKUP(G1457,SETTINGS!$B$7:$D$97,3,0)</f>
        <v>0</v>
      </c>
      <c r="J1457" s="670" t="str">
        <f>IFERROR(IF(CURRENCY.FORMAT_1=0,CONCATENATE(TEXT(FIXED(ROUND((C1457/EXC.RATE_1),CURRENCY.FORMAT_1),CURRENCY.FORMAT_1,1),"# ##0;-# ##0"),",-"),FIXED(ROUND((C1457/EXC.RATE_1),CURRENCY.FORMAT_1),CURRENCY.FORMAT_1,0)),'DICTIONARY-5'!$A$2)</f>
        <v>na zapytanie</v>
      </c>
      <c r="K1457" s="670" t="str">
        <f>IF(EXC.RATE_2=0,"",IFERROR(IF(CURRENCY.FORMAT_2=0,CONCATENATE(TEXT(FIXED(ROUND(IF(EXC.RATE.SWITCH=1,C1457/EXC.RATE_2,C1457*EXC.RATE_2),CURRENCY.FORMAT_2),CURRENCY.FORMAT_2,1),"# ##0;-# ##0"),",-"),FIXED(ROUND(IF(EXC.RATE.SWITCH=1,C1457/EXC.RATE_2,C1457*EXC.RATE_2),CURRENCY.FORMAT_2),CURRENCY.FORMAT_2,0)),'DICTIONARY-5'!$A$2))</f>
        <v/>
      </c>
      <c r="L1457" s="670" t="str">
        <f>IFERROR(IF(CURRENCY.FORMAT_1=0,CONCATENATE(TEXT(FIXED(ROUND((C1457*(1-I1457)*(1-ADD.DISCOUNT)*(1+MAT.SURCHARGE)/EXC.RATE_1),CURRENCY.FORMAT_1),CURRENCY.FORMAT_1,1),"# ##0;-# ##0"),",-"),FIXED(ROUND((C1457*(1-I1457)*(1-ADD.DISCOUNT)*(1+MAT.SURCHARGE)/EXC.RATE_1),CURRENCY.FORMAT_1),CURRENCY.FORMAT_1,0)),'DICTIONARY-5'!$A$2)</f>
        <v>na zapytanie</v>
      </c>
      <c r="M1457" s="670" t="str">
        <f>IF(EXC.RATE_2=0,"",IFERROR(IF(CURRENCY.FORMAT_2=0,CONCATENATE(TEXT(FIXED(ROUND(IF(EXC.RATE.SWITCH=1,C1457*(1-I1457)*(1-ADD.DISCOUNT)*(1+MAT.SURCHARGE)/EXC.RATE_2,C1457*(1-I1457)*(1-ADD.DISCOUNT)*(1+MAT.SURCHARGE)*EXC.RATE_2),CURRENCY.FORMAT_2),CURRENCY.FORMAT_2,1),"# ##0;-# ##0"),",-"),FIXED(ROUND(IF(EXC.RATE.SWITCH=1,C1457*(1-I1457)*(1-ADD.DISCOUNT)*(1+MAT.SURCHARGE)/EXC.RATE_2,C1457*(1-I1457)*(1-ADD.DISCOUNT)*(1+MAT.SURCHARGE)*EXC.RATE_2),CURRENCY.FORMAT_2),CURRENCY.FORMAT_2,0)),'DICTIONARY-5'!$A$2))</f>
        <v/>
      </c>
      <c r="N1457" s="539">
        <v>5</v>
      </c>
      <c r="O1457" s="539"/>
      <c r="P1457" s="732" t="str">
        <f>'DICTIONARY-3'!$A$34</f>
        <v>HADE PTK-G</v>
      </c>
      <c r="Q1457" s="732" t="str">
        <f>'DICTIONARY-3'!$A$231</f>
        <v>Zestaw kotwiący</v>
      </c>
      <c r="R1457" s="732" t="str">
        <f>CONCATENATE('DICTIONARY-3'!$A$231," ",'DICTIONARY-5'!$A$7," ",'DICTIONARY-3'!$A$34," ",'DICTIONARY-2'!$A$2,"2000")</f>
        <v>Zestaw kotwiący dla HADE PTK-G DN2000</v>
      </c>
      <c r="S1457" s="733" t="s">
        <v>5569</v>
      </c>
      <c r="T1457" s="732" t="s">
        <v>5569</v>
      </c>
      <c r="U1457" s="734" t="s">
        <v>5842</v>
      </c>
      <c r="V1457" s="735"/>
      <c r="W1457" s="736"/>
      <c r="X1457" s="737"/>
      <c r="Y1457" s="738"/>
      <c r="Z1457" s="739"/>
      <c r="AA1457" s="739"/>
      <c r="AB1457" s="746"/>
      <c r="AC1457" s="741"/>
      <c r="AD1457" s="741"/>
      <c r="AE1457" s="742"/>
      <c r="AF1457" s="743"/>
      <c r="AG1457" s="741"/>
    </row>
    <row r="1458" spans="1:33" x14ac:dyDescent="0.25">
      <c r="A1458" s="861" t="s">
        <v>1464</v>
      </c>
      <c r="B1458" s="861" t="s">
        <v>4491</v>
      </c>
      <c r="C1458" s="836">
        <v>685</v>
      </c>
      <c r="D1458" s="836"/>
      <c r="E1458" s="836"/>
      <c r="F1458" s="836"/>
      <c r="G1458" s="496" t="s">
        <v>7829</v>
      </c>
      <c r="H1458" s="797" t="str">
        <f>VLOOKUP(G1458,SETTINGS!$B$7:$D$97,2,0)</f>
        <v>HADE</v>
      </c>
      <c r="I1458" s="796">
        <f>VLOOKUP(G1458,SETTINGS!$B$7:$D$97,3,0)</f>
        <v>0</v>
      </c>
      <c r="J1458" s="670" t="str">
        <f>IFERROR(IF(CURRENCY.FORMAT_1=0,CONCATENATE(TEXT(FIXED(ROUND((C1458/EXC.RATE_1),CURRENCY.FORMAT_1),CURRENCY.FORMAT_1,1),"# ##0;-# ##0"),",-"),FIXED(ROUND((C1458/EXC.RATE_1),CURRENCY.FORMAT_1),CURRENCY.FORMAT_1,0)),'DICTIONARY-5'!$A$2)</f>
        <v>685,-</v>
      </c>
      <c r="K1458" s="670" t="str">
        <f>IF(EXC.RATE_2=0,"",IFERROR(IF(CURRENCY.FORMAT_2=0,CONCATENATE(TEXT(FIXED(ROUND(IF(EXC.RATE.SWITCH=1,C1458/EXC.RATE_2,C1458*EXC.RATE_2),CURRENCY.FORMAT_2),CURRENCY.FORMAT_2,1),"# ##0;-# ##0"),",-"),FIXED(ROUND(IF(EXC.RATE.SWITCH=1,C1458/EXC.RATE_2,C1458*EXC.RATE_2),CURRENCY.FORMAT_2),CURRENCY.FORMAT_2,0)),'DICTIONARY-5'!$A$2))</f>
        <v/>
      </c>
      <c r="L1458" s="670" t="str">
        <f>IFERROR(IF(CURRENCY.FORMAT_1=0,CONCATENATE(TEXT(FIXED(ROUND((C1458*(1-I1458)*(1-ADD.DISCOUNT)*(1+MAT.SURCHARGE)/EXC.RATE_1),CURRENCY.FORMAT_1),CURRENCY.FORMAT_1,1),"# ##0;-# ##0"),",-"),FIXED(ROUND((C1458*(1-I1458)*(1-ADD.DISCOUNT)*(1+MAT.SURCHARGE)/EXC.RATE_1),CURRENCY.FORMAT_1),CURRENCY.FORMAT_1,0)),'DICTIONARY-5'!$A$2)</f>
        <v>712,-</v>
      </c>
      <c r="M1458" s="670" t="str">
        <f>IF(EXC.RATE_2=0,"",IFERROR(IF(CURRENCY.FORMAT_2=0,CONCATENATE(TEXT(FIXED(ROUND(IF(EXC.RATE.SWITCH=1,C1458*(1-I1458)*(1-ADD.DISCOUNT)*(1+MAT.SURCHARGE)/EXC.RATE_2,C1458*(1-I1458)*(1-ADD.DISCOUNT)*(1+MAT.SURCHARGE)*EXC.RATE_2),CURRENCY.FORMAT_2),CURRENCY.FORMAT_2,1),"# ##0;-# ##0"),",-"),FIXED(ROUND(IF(EXC.RATE.SWITCH=1,C1458*(1-I1458)*(1-ADD.DISCOUNT)*(1+MAT.SURCHARGE)/EXC.RATE_2,C1458*(1-I1458)*(1-ADD.DISCOUNT)*(1+MAT.SURCHARGE)*EXC.RATE_2),CURRENCY.FORMAT_2),CURRENCY.FORMAT_2,0)),'DICTIONARY-5'!$A$2))</f>
        <v/>
      </c>
      <c r="N1458" s="539">
        <v>5</v>
      </c>
      <c r="O1458" s="539"/>
      <c r="P1458" s="732" t="str">
        <f>'DICTIONARY-3'!$A$35</f>
        <v>HADE PTK-A</v>
      </c>
      <c r="Q1458" s="732" t="str">
        <f>'DICTIONARY-3'!$A$203</f>
        <v>Klapa przeciwcofkowa</v>
      </c>
      <c r="R1458" s="732" t="str">
        <f>CONCATENATE('DICTIONARY-3'!$A$35," ",'DICTIONARY-6'!$A$19," ",'DICTIONARY-2'!$A$2,"150, ",'DICTIONARY-3'!$A$267)</f>
        <v>HADE PTK-A Klapa przeciwcofk. DN150, montaż na ścianie</v>
      </c>
      <c r="S1458" s="733" t="s">
        <v>5569</v>
      </c>
      <c r="T1458" s="732" t="s">
        <v>5569</v>
      </c>
      <c r="U1458" s="734" t="s">
        <v>5572</v>
      </c>
      <c r="V1458" s="735"/>
      <c r="W1458" s="736"/>
      <c r="X1458" s="737"/>
      <c r="Y1458" s="738"/>
      <c r="Z1458" s="739"/>
      <c r="AA1458" s="739"/>
      <c r="AB1458" s="746">
        <v>0.1</v>
      </c>
      <c r="AC1458" s="741"/>
      <c r="AD1458" s="741"/>
      <c r="AE1458" s="742"/>
      <c r="AF1458" s="743">
        <v>8</v>
      </c>
      <c r="AG1458" s="741"/>
    </row>
    <row r="1459" spans="1:33" x14ac:dyDescent="0.25">
      <c r="A1459" s="861" t="s">
        <v>1466</v>
      </c>
      <c r="B1459" s="861" t="s">
        <v>4501</v>
      </c>
      <c r="C1459" s="836">
        <v>801</v>
      </c>
      <c r="D1459" s="836"/>
      <c r="E1459" s="836"/>
      <c r="F1459" s="836"/>
      <c r="G1459" s="496" t="s">
        <v>7829</v>
      </c>
      <c r="H1459" s="797" t="str">
        <f>VLOOKUP(G1459,SETTINGS!$B$7:$D$97,2,0)</f>
        <v>HADE</v>
      </c>
      <c r="I1459" s="796">
        <f>VLOOKUP(G1459,SETTINGS!$B$7:$D$97,3,0)</f>
        <v>0</v>
      </c>
      <c r="J1459" s="670" t="str">
        <f>IFERROR(IF(CURRENCY.FORMAT_1=0,CONCATENATE(TEXT(FIXED(ROUND((C1459/EXC.RATE_1),CURRENCY.FORMAT_1),CURRENCY.FORMAT_1,1),"# ##0;-# ##0"),",-"),FIXED(ROUND((C1459/EXC.RATE_1),CURRENCY.FORMAT_1),CURRENCY.FORMAT_1,0)),'DICTIONARY-5'!$A$2)</f>
        <v>801,-</v>
      </c>
      <c r="K1459" s="670" t="str">
        <f>IF(EXC.RATE_2=0,"",IFERROR(IF(CURRENCY.FORMAT_2=0,CONCATENATE(TEXT(FIXED(ROUND(IF(EXC.RATE.SWITCH=1,C1459/EXC.RATE_2,C1459*EXC.RATE_2),CURRENCY.FORMAT_2),CURRENCY.FORMAT_2,1),"# ##0;-# ##0"),",-"),FIXED(ROUND(IF(EXC.RATE.SWITCH=1,C1459/EXC.RATE_2,C1459*EXC.RATE_2),CURRENCY.FORMAT_2),CURRENCY.FORMAT_2,0)),'DICTIONARY-5'!$A$2))</f>
        <v/>
      </c>
      <c r="L1459" s="670" t="str">
        <f>IFERROR(IF(CURRENCY.FORMAT_1=0,CONCATENATE(TEXT(FIXED(ROUND((C1459*(1-I1459)*(1-ADD.DISCOUNT)*(1+MAT.SURCHARGE)/EXC.RATE_1),CURRENCY.FORMAT_1),CURRENCY.FORMAT_1,1),"# ##0;-# ##0"),",-"),FIXED(ROUND((C1459*(1-I1459)*(1-ADD.DISCOUNT)*(1+MAT.SURCHARGE)/EXC.RATE_1),CURRENCY.FORMAT_1),CURRENCY.FORMAT_1,0)),'DICTIONARY-5'!$A$2)</f>
        <v>832,-</v>
      </c>
      <c r="M1459" s="670" t="str">
        <f>IF(EXC.RATE_2=0,"",IFERROR(IF(CURRENCY.FORMAT_2=0,CONCATENATE(TEXT(FIXED(ROUND(IF(EXC.RATE.SWITCH=1,C1459*(1-I1459)*(1-ADD.DISCOUNT)*(1+MAT.SURCHARGE)/EXC.RATE_2,C1459*(1-I1459)*(1-ADD.DISCOUNT)*(1+MAT.SURCHARGE)*EXC.RATE_2),CURRENCY.FORMAT_2),CURRENCY.FORMAT_2,1),"# ##0;-# ##0"),",-"),FIXED(ROUND(IF(EXC.RATE.SWITCH=1,C1459*(1-I1459)*(1-ADD.DISCOUNT)*(1+MAT.SURCHARGE)/EXC.RATE_2,C1459*(1-I1459)*(1-ADD.DISCOUNT)*(1+MAT.SURCHARGE)*EXC.RATE_2),CURRENCY.FORMAT_2),CURRENCY.FORMAT_2,0)),'DICTIONARY-5'!$A$2))</f>
        <v/>
      </c>
      <c r="N1459" s="539">
        <v>5</v>
      </c>
      <c r="O1459" s="539"/>
      <c r="P1459" s="732" t="str">
        <f>'DICTIONARY-3'!$A$35</f>
        <v>HADE PTK-A</v>
      </c>
      <c r="Q1459" s="732" t="str">
        <f>'DICTIONARY-3'!$A$203</f>
        <v>Klapa przeciwcofkowa</v>
      </c>
      <c r="R1459" s="732" t="str">
        <f>CONCATENATE('DICTIONARY-3'!$A$35," ",'DICTIONARY-6'!$A$19," ",'DICTIONARY-2'!$A$2,"200, ",'DICTIONARY-3'!$A$267)</f>
        <v>HADE PTK-A Klapa przeciwcofk. DN200, montaż na ścianie</v>
      </c>
      <c r="S1459" s="733" t="s">
        <v>5569</v>
      </c>
      <c r="T1459" s="732" t="s">
        <v>5569</v>
      </c>
      <c r="U1459" s="734" t="s">
        <v>5750</v>
      </c>
      <c r="V1459" s="735"/>
      <c r="W1459" s="736"/>
      <c r="X1459" s="737"/>
      <c r="Y1459" s="738"/>
      <c r="Z1459" s="739"/>
      <c r="AA1459" s="739"/>
      <c r="AB1459" s="746">
        <v>0.1</v>
      </c>
      <c r="AC1459" s="741"/>
      <c r="AD1459" s="741"/>
      <c r="AE1459" s="742"/>
      <c r="AF1459" s="743">
        <v>7.5</v>
      </c>
      <c r="AG1459" s="741"/>
    </row>
    <row r="1460" spans="1:33" x14ac:dyDescent="0.25">
      <c r="A1460" s="861" t="s">
        <v>1468</v>
      </c>
      <c r="B1460" s="861" t="s">
        <v>4507</v>
      </c>
      <c r="C1460" s="836">
        <v>975</v>
      </c>
      <c r="D1460" s="836"/>
      <c r="E1460" s="836"/>
      <c r="F1460" s="836"/>
      <c r="G1460" s="496" t="s">
        <v>7829</v>
      </c>
      <c r="H1460" s="797" t="str">
        <f>VLOOKUP(G1460,SETTINGS!$B$7:$D$97,2,0)</f>
        <v>HADE</v>
      </c>
      <c r="I1460" s="796">
        <f>VLOOKUP(G1460,SETTINGS!$B$7:$D$97,3,0)</f>
        <v>0</v>
      </c>
      <c r="J1460" s="670" t="str">
        <f>IFERROR(IF(CURRENCY.FORMAT_1=0,CONCATENATE(TEXT(FIXED(ROUND((C1460/EXC.RATE_1),CURRENCY.FORMAT_1),CURRENCY.FORMAT_1,1),"# ##0;-# ##0"),",-"),FIXED(ROUND((C1460/EXC.RATE_1),CURRENCY.FORMAT_1),CURRENCY.FORMAT_1,0)),'DICTIONARY-5'!$A$2)</f>
        <v>975,-</v>
      </c>
      <c r="K1460" s="670" t="str">
        <f>IF(EXC.RATE_2=0,"",IFERROR(IF(CURRENCY.FORMAT_2=0,CONCATENATE(TEXT(FIXED(ROUND(IF(EXC.RATE.SWITCH=1,C1460/EXC.RATE_2,C1460*EXC.RATE_2),CURRENCY.FORMAT_2),CURRENCY.FORMAT_2,1),"# ##0;-# ##0"),",-"),FIXED(ROUND(IF(EXC.RATE.SWITCH=1,C1460/EXC.RATE_2,C1460*EXC.RATE_2),CURRENCY.FORMAT_2),CURRENCY.FORMAT_2,0)),'DICTIONARY-5'!$A$2))</f>
        <v/>
      </c>
      <c r="L1460" s="670" t="str">
        <f>IFERROR(IF(CURRENCY.FORMAT_1=0,CONCATENATE(TEXT(FIXED(ROUND((C1460*(1-I1460)*(1-ADD.DISCOUNT)*(1+MAT.SURCHARGE)/EXC.RATE_1),CURRENCY.FORMAT_1),CURRENCY.FORMAT_1,1),"# ##0;-# ##0"),",-"),FIXED(ROUND((C1460*(1-I1460)*(1-ADD.DISCOUNT)*(1+MAT.SURCHARGE)/EXC.RATE_1),CURRENCY.FORMAT_1),CURRENCY.FORMAT_1,0)),'DICTIONARY-5'!$A$2)</f>
        <v>1 013,-</v>
      </c>
      <c r="M1460" s="670" t="str">
        <f>IF(EXC.RATE_2=0,"",IFERROR(IF(CURRENCY.FORMAT_2=0,CONCATENATE(TEXT(FIXED(ROUND(IF(EXC.RATE.SWITCH=1,C1460*(1-I1460)*(1-ADD.DISCOUNT)*(1+MAT.SURCHARGE)/EXC.RATE_2,C1460*(1-I1460)*(1-ADD.DISCOUNT)*(1+MAT.SURCHARGE)*EXC.RATE_2),CURRENCY.FORMAT_2),CURRENCY.FORMAT_2,1),"# ##0;-# ##0"),",-"),FIXED(ROUND(IF(EXC.RATE.SWITCH=1,C1460*(1-I1460)*(1-ADD.DISCOUNT)*(1+MAT.SURCHARGE)/EXC.RATE_2,C1460*(1-I1460)*(1-ADD.DISCOUNT)*(1+MAT.SURCHARGE)*EXC.RATE_2),CURRENCY.FORMAT_2),CURRENCY.FORMAT_2,0)),'DICTIONARY-5'!$A$2))</f>
        <v/>
      </c>
      <c r="N1460" s="539">
        <v>5</v>
      </c>
      <c r="O1460" s="539"/>
      <c r="P1460" s="732" t="str">
        <f>'DICTIONARY-3'!$A$35</f>
        <v>HADE PTK-A</v>
      </c>
      <c r="Q1460" s="732" t="str">
        <f>'DICTIONARY-3'!$A$203</f>
        <v>Klapa przeciwcofkowa</v>
      </c>
      <c r="R1460" s="732" t="str">
        <f>CONCATENATE('DICTIONARY-3'!$A$35," ",'DICTIONARY-6'!$A$19," ",'DICTIONARY-2'!$A$2,"250, ",'DICTIONARY-3'!$A$267)</f>
        <v>HADE PTK-A Klapa przeciwcofk. DN250, montaż na ścianie</v>
      </c>
      <c r="S1460" s="733" t="s">
        <v>5569</v>
      </c>
      <c r="T1460" s="732" t="s">
        <v>5569</v>
      </c>
      <c r="U1460" s="734" t="s">
        <v>5751</v>
      </c>
      <c r="V1460" s="735"/>
      <c r="W1460" s="736"/>
      <c r="X1460" s="737"/>
      <c r="Y1460" s="738"/>
      <c r="Z1460" s="739"/>
      <c r="AA1460" s="739"/>
      <c r="AB1460" s="746">
        <v>0.1</v>
      </c>
      <c r="AC1460" s="741"/>
      <c r="AD1460" s="741"/>
      <c r="AE1460" s="742"/>
      <c r="AF1460" s="743">
        <v>11</v>
      </c>
      <c r="AG1460" s="741"/>
    </row>
    <row r="1461" spans="1:33" x14ac:dyDescent="0.25">
      <c r="A1461" s="861" t="s">
        <v>1470</v>
      </c>
      <c r="B1461" s="861" t="s">
        <v>4516</v>
      </c>
      <c r="C1461" s="836">
        <v>1179</v>
      </c>
      <c r="D1461" s="836"/>
      <c r="E1461" s="836"/>
      <c r="F1461" s="836"/>
      <c r="G1461" s="496" t="s">
        <v>7829</v>
      </c>
      <c r="H1461" s="797" t="str">
        <f>VLOOKUP(G1461,SETTINGS!$B$7:$D$97,2,0)</f>
        <v>HADE</v>
      </c>
      <c r="I1461" s="796">
        <f>VLOOKUP(G1461,SETTINGS!$B$7:$D$97,3,0)</f>
        <v>0</v>
      </c>
      <c r="J1461" s="670" t="str">
        <f>IFERROR(IF(CURRENCY.FORMAT_1=0,CONCATENATE(TEXT(FIXED(ROUND((C1461/EXC.RATE_1),CURRENCY.FORMAT_1),CURRENCY.FORMAT_1,1),"# ##0;-# ##0"),",-"),FIXED(ROUND((C1461/EXC.RATE_1),CURRENCY.FORMAT_1),CURRENCY.FORMAT_1,0)),'DICTIONARY-5'!$A$2)</f>
        <v>1 179,-</v>
      </c>
      <c r="K1461" s="670" t="str">
        <f>IF(EXC.RATE_2=0,"",IFERROR(IF(CURRENCY.FORMAT_2=0,CONCATENATE(TEXT(FIXED(ROUND(IF(EXC.RATE.SWITCH=1,C1461/EXC.RATE_2,C1461*EXC.RATE_2),CURRENCY.FORMAT_2),CURRENCY.FORMAT_2,1),"# ##0;-# ##0"),",-"),FIXED(ROUND(IF(EXC.RATE.SWITCH=1,C1461/EXC.RATE_2,C1461*EXC.RATE_2),CURRENCY.FORMAT_2),CURRENCY.FORMAT_2,0)),'DICTIONARY-5'!$A$2))</f>
        <v/>
      </c>
      <c r="L1461" s="670" t="str">
        <f>IFERROR(IF(CURRENCY.FORMAT_1=0,CONCATENATE(TEXT(FIXED(ROUND((C1461*(1-I1461)*(1-ADD.DISCOUNT)*(1+MAT.SURCHARGE)/EXC.RATE_1),CURRENCY.FORMAT_1),CURRENCY.FORMAT_1,1),"# ##0;-# ##0"),",-"),FIXED(ROUND((C1461*(1-I1461)*(1-ADD.DISCOUNT)*(1+MAT.SURCHARGE)/EXC.RATE_1),CURRENCY.FORMAT_1),CURRENCY.FORMAT_1,0)),'DICTIONARY-5'!$A$2)</f>
        <v>1 225,-</v>
      </c>
      <c r="M1461" s="670" t="str">
        <f>IF(EXC.RATE_2=0,"",IFERROR(IF(CURRENCY.FORMAT_2=0,CONCATENATE(TEXT(FIXED(ROUND(IF(EXC.RATE.SWITCH=1,C1461*(1-I1461)*(1-ADD.DISCOUNT)*(1+MAT.SURCHARGE)/EXC.RATE_2,C1461*(1-I1461)*(1-ADD.DISCOUNT)*(1+MAT.SURCHARGE)*EXC.RATE_2),CURRENCY.FORMAT_2),CURRENCY.FORMAT_2,1),"# ##0;-# ##0"),",-"),FIXED(ROUND(IF(EXC.RATE.SWITCH=1,C1461*(1-I1461)*(1-ADD.DISCOUNT)*(1+MAT.SURCHARGE)/EXC.RATE_2,C1461*(1-I1461)*(1-ADD.DISCOUNT)*(1+MAT.SURCHARGE)*EXC.RATE_2),CURRENCY.FORMAT_2),CURRENCY.FORMAT_2,0)),'DICTIONARY-5'!$A$2))</f>
        <v/>
      </c>
      <c r="N1461" s="539">
        <v>5</v>
      </c>
      <c r="O1461" s="539"/>
      <c r="P1461" s="732" t="str">
        <f>'DICTIONARY-3'!$A$35</f>
        <v>HADE PTK-A</v>
      </c>
      <c r="Q1461" s="732" t="str">
        <f>'DICTIONARY-3'!$A$203</f>
        <v>Klapa przeciwcofkowa</v>
      </c>
      <c r="R1461" s="732" t="str">
        <f>CONCATENATE('DICTIONARY-3'!$A$35," ",'DICTIONARY-6'!$A$19," ",'DICTIONARY-2'!$A$2,"300, ",'DICTIONARY-3'!$A$267)</f>
        <v>HADE PTK-A Klapa przeciwcofk. DN300, montaż na ścianie</v>
      </c>
      <c r="S1461" s="733" t="s">
        <v>5569</v>
      </c>
      <c r="T1461" s="732" t="s">
        <v>5569</v>
      </c>
      <c r="U1461" s="734" t="s">
        <v>5752</v>
      </c>
      <c r="V1461" s="735"/>
      <c r="W1461" s="736"/>
      <c r="X1461" s="737"/>
      <c r="Y1461" s="738"/>
      <c r="Z1461" s="739"/>
      <c r="AA1461" s="739"/>
      <c r="AB1461" s="746">
        <v>0.1</v>
      </c>
      <c r="AC1461" s="741"/>
      <c r="AD1461" s="741"/>
      <c r="AE1461" s="742"/>
      <c r="AF1461" s="743">
        <v>13</v>
      </c>
      <c r="AG1461" s="741"/>
    </row>
    <row r="1462" spans="1:33" x14ac:dyDescent="0.25">
      <c r="A1462" s="861" t="s">
        <v>1472</v>
      </c>
      <c r="B1462" s="861" t="s">
        <v>4523</v>
      </c>
      <c r="C1462" s="836">
        <v>1739</v>
      </c>
      <c r="D1462" s="836"/>
      <c r="E1462" s="836"/>
      <c r="F1462" s="836"/>
      <c r="G1462" s="496" t="s">
        <v>7829</v>
      </c>
      <c r="H1462" s="797" t="str">
        <f>VLOOKUP(G1462,SETTINGS!$B$7:$D$97,2,0)</f>
        <v>HADE</v>
      </c>
      <c r="I1462" s="796">
        <f>VLOOKUP(G1462,SETTINGS!$B$7:$D$97,3,0)</f>
        <v>0</v>
      </c>
      <c r="J1462" s="670" t="str">
        <f>IFERROR(IF(CURRENCY.FORMAT_1=0,CONCATENATE(TEXT(FIXED(ROUND((C1462/EXC.RATE_1),CURRENCY.FORMAT_1),CURRENCY.FORMAT_1,1),"# ##0;-# ##0"),",-"),FIXED(ROUND((C1462/EXC.RATE_1),CURRENCY.FORMAT_1),CURRENCY.FORMAT_1,0)),'DICTIONARY-5'!$A$2)</f>
        <v>1 739,-</v>
      </c>
      <c r="K1462" s="670" t="str">
        <f>IF(EXC.RATE_2=0,"",IFERROR(IF(CURRENCY.FORMAT_2=0,CONCATENATE(TEXT(FIXED(ROUND(IF(EXC.RATE.SWITCH=1,C1462/EXC.RATE_2,C1462*EXC.RATE_2),CURRENCY.FORMAT_2),CURRENCY.FORMAT_2,1),"# ##0;-# ##0"),",-"),FIXED(ROUND(IF(EXC.RATE.SWITCH=1,C1462/EXC.RATE_2,C1462*EXC.RATE_2),CURRENCY.FORMAT_2),CURRENCY.FORMAT_2,0)),'DICTIONARY-5'!$A$2))</f>
        <v/>
      </c>
      <c r="L1462" s="670" t="str">
        <f>IFERROR(IF(CURRENCY.FORMAT_1=0,CONCATENATE(TEXT(FIXED(ROUND((C1462*(1-I1462)*(1-ADD.DISCOUNT)*(1+MAT.SURCHARGE)/EXC.RATE_1),CURRENCY.FORMAT_1),CURRENCY.FORMAT_1,1),"# ##0;-# ##0"),",-"),FIXED(ROUND((C1462*(1-I1462)*(1-ADD.DISCOUNT)*(1+MAT.SURCHARGE)/EXC.RATE_1),CURRENCY.FORMAT_1),CURRENCY.FORMAT_1,0)),'DICTIONARY-5'!$A$2)</f>
        <v>1 807,-</v>
      </c>
      <c r="M1462" s="670" t="str">
        <f>IF(EXC.RATE_2=0,"",IFERROR(IF(CURRENCY.FORMAT_2=0,CONCATENATE(TEXT(FIXED(ROUND(IF(EXC.RATE.SWITCH=1,C1462*(1-I1462)*(1-ADD.DISCOUNT)*(1+MAT.SURCHARGE)/EXC.RATE_2,C1462*(1-I1462)*(1-ADD.DISCOUNT)*(1+MAT.SURCHARGE)*EXC.RATE_2),CURRENCY.FORMAT_2),CURRENCY.FORMAT_2,1),"# ##0;-# ##0"),",-"),FIXED(ROUND(IF(EXC.RATE.SWITCH=1,C1462*(1-I1462)*(1-ADD.DISCOUNT)*(1+MAT.SURCHARGE)/EXC.RATE_2,C1462*(1-I1462)*(1-ADD.DISCOUNT)*(1+MAT.SURCHARGE)*EXC.RATE_2),CURRENCY.FORMAT_2),CURRENCY.FORMAT_2,0)),'DICTIONARY-5'!$A$2))</f>
        <v/>
      </c>
      <c r="N1462" s="539">
        <v>5</v>
      </c>
      <c r="O1462" s="539"/>
      <c r="P1462" s="732" t="str">
        <f>'DICTIONARY-3'!$A$35</f>
        <v>HADE PTK-A</v>
      </c>
      <c r="Q1462" s="732" t="str">
        <f>'DICTIONARY-3'!$A$203</f>
        <v>Klapa przeciwcofkowa</v>
      </c>
      <c r="R1462" s="732" t="str">
        <f>CONCATENATE('DICTIONARY-3'!$A$35," ",'DICTIONARY-6'!$A$19," ",'DICTIONARY-2'!$A$2,"400, ",'DICTIONARY-3'!$A$267)</f>
        <v>HADE PTK-A Klapa przeciwcofk. DN400, montaż na ścianie</v>
      </c>
      <c r="S1462" s="733" t="s">
        <v>5569</v>
      </c>
      <c r="T1462" s="732" t="s">
        <v>5569</v>
      </c>
      <c r="U1462" s="734" t="s">
        <v>5754</v>
      </c>
      <c r="V1462" s="735"/>
      <c r="W1462" s="736"/>
      <c r="X1462" s="737"/>
      <c r="Y1462" s="738"/>
      <c r="Z1462" s="739"/>
      <c r="AA1462" s="739"/>
      <c r="AB1462" s="746">
        <v>0.1</v>
      </c>
      <c r="AC1462" s="741"/>
      <c r="AD1462" s="741"/>
      <c r="AE1462" s="742"/>
      <c r="AF1462" s="743">
        <v>17</v>
      </c>
      <c r="AG1462" s="741"/>
    </row>
    <row r="1463" spans="1:33" x14ac:dyDescent="0.25">
      <c r="A1463" s="865" t="s">
        <v>1474</v>
      </c>
      <c r="B1463" s="861" t="s">
        <v>4530</v>
      </c>
      <c r="C1463" s="836">
        <v>2372</v>
      </c>
      <c r="D1463" s="836"/>
      <c r="E1463" s="836"/>
      <c r="F1463" s="836"/>
      <c r="G1463" s="496" t="s">
        <v>7829</v>
      </c>
      <c r="H1463" s="797" t="str">
        <f>VLOOKUP(G1463,SETTINGS!$B$7:$D$97,2,0)</f>
        <v>HADE</v>
      </c>
      <c r="I1463" s="796">
        <f>VLOOKUP(G1463,SETTINGS!$B$7:$D$97,3,0)</f>
        <v>0</v>
      </c>
      <c r="J1463" s="670" t="str">
        <f>IFERROR(IF(CURRENCY.FORMAT_1=0,CONCATENATE(TEXT(FIXED(ROUND((C1463/EXC.RATE_1),CURRENCY.FORMAT_1),CURRENCY.FORMAT_1,1),"# ##0;-# ##0"),",-"),FIXED(ROUND((C1463/EXC.RATE_1),CURRENCY.FORMAT_1),CURRENCY.FORMAT_1,0)),'DICTIONARY-5'!$A$2)</f>
        <v>2 372,-</v>
      </c>
      <c r="K1463" s="670" t="str">
        <f>IF(EXC.RATE_2=0,"",IFERROR(IF(CURRENCY.FORMAT_2=0,CONCATENATE(TEXT(FIXED(ROUND(IF(EXC.RATE.SWITCH=1,C1463/EXC.RATE_2,C1463*EXC.RATE_2),CURRENCY.FORMAT_2),CURRENCY.FORMAT_2,1),"# ##0;-# ##0"),",-"),FIXED(ROUND(IF(EXC.RATE.SWITCH=1,C1463/EXC.RATE_2,C1463*EXC.RATE_2),CURRENCY.FORMAT_2),CURRENCY.FORMAT_2,0)),'DICTIONARY-5'!$A$2))</f>
        <v/>
      </c>
      <c r="L1463" s="670" t="str">
        <f>IFERROR(IF(CURRENCY.FORMAT_1=0,CONCATENATE(TEXT(FIXED(ROUND((C1463*(1-I1463)*(1-ADD.DISCOUNT)*(1+MAT.SURCHARGE)/EXC.RATE_1),CURRENCY.FORMAT_1),CURRENCY.FORMAT_1,1),"# ##0;-# ##0"),",-"),FIXED(ROUND((C1463*(1-I1463)*(1-ADD.DISCOUNT)*(1+MAT.SURCHARGE)/EXC.RATE_1),CURRENCY.FORMAT_1),CURRENCY.FORMAT_1,0)),'DICTIONARY-5'!$A$2)</f>
        <v>2 465,-</v>
      </c>
      <c r="M1463" s="670" t="str">
        <f>IF(EXC.RATE_2=0,"",IFERROR(IF(CURRENCY.FORMAT_2=0,CONCATENATE(TEXT(FIXED(ROUND(IF(EXC.RATE.SWITCH=1,C1463*(1-I1463)*(1-ADD.DISCOUNT)*(1+MAT.SURCHARGE)/EXC.RATE_2,C1463*(1-I1463)*(1-ADD.DISCOUNT)*(1+MAT.SURCHARGE)*EXC.RATE_2),CURRENCY.FORMAT_2),CURRENCY.FORMAT_2,1),"# ##0;-# ##0"),",-"),FIXED(ROUND(IF(EXC.RATE.SWITCH=1,C1463*(1-I1463)*(1-ADD.DISCOUNT)*(1+MAT.SURCHARGE)/EXC.RATE_2,C1463*(1-I1463)*(1-ADD.DISCOUNT)*(1+MAT.SURCHARGE)*EXC.RATE_2),CURRENCY.FORMAT_2),CURRENCY.FORMAT_2,0)),'DICTIONARY-5'!$A$2))</f>
        <v/>
      </c>
      <c r="N1463" s="539">
        <v>5</v>
      </c>
      <c r="O1463" s="539"/>
      <c r="P1463" s="732" t="str">
        <f>'DICTIONARY-3'!$A$35</f>
        <v>HADE PTK-A</v>
      </c>
      <c r="Q1463" s="732" t="str">
        <f>'DICTIONARY-3'!$A$203</f>
        <v>Klapa przeciwcofkowa</v>
      </c>
      <c r="R1463" s="732" t="str">
        <f>CONCATENATE('DICTIONARY-3'!$A$35," ",'DICTIONARY-6'!$A$19," ",'DICTIONARY-2'!$A$2,"500, ",'DICTIONARY-3'!$A$267)</f>
        <v>HADE PTK-A Klapa przeciwcofk. DN500, montaż na ścianie</v>
      </c>
      <c r="S1463" s="733" t="s">
        <v>5569</v>
      </c>
      <c r="T1463" s="732" t="s">
        <v>5569</v>
      </c>
      <c r="U1463" s="734" t="s">
        <v>5756</v>
      </c>
      <c r="V1463" s="735"/>
      <c r="W1463" s="736"/>
      <c r="X1463" s="737"/>
      <c r="Y1463" s="738"/>
      <c r="Z1463" s="739"/>
      <c r="AA1463" s="739"/>
      <c r="AB1463" s="746">
        <v>0.1</v>
      </c>
      <c r="AC1463" s="741"/>
      <c r="AD1463" s="741"/>
      <c r="AE1463" s="742"/>
      <c r="AF1463" s="743">
        <v>25</v>
      </c>
      <c r="AG1463" s="741" t="s">
        <v>5569</v>
      </c>
    </row>
    <row r="1464" spans="1:33" x14ac:dyDescent="0.25">
      <c r="A1464" s="861" t="s">
        <v>1476</v>
      </c>
      <c r="B1464" s="861" t="s">
        <v>4537</v>
      </c>
      <c r="C1464" s="836">
        <v>2735</v>
      </c>
      <c r="D1464" s="836"/>
      <c r="E1464" s="836"/>
      <c r="F1464" s="836"/>
      <c r="G1464" s="496" t="s">
        <v>7829</v>
      </c>
      <c r="H1464" s="797" t="str">
        <f>VLOOKUP(G1464,SETTINGS!$B$7:$D$97,2,0)</f>
        <v>HADE</v>
      </c>
      <c r="I1464" s="796">
        <f>VLOOKUP(G1464,SETTINGS!$B$7:$D$97,3,0)</f>
        <v>0</v>
      </c>
      <c r="J1464" s="670" t="str">
        <f>IFERROR(IF(CURRENCY.FORMAT_1=0,CONCATENATE(TEXT(FIXED(ROUND((C1464/EXC.RATE_1),CURRENCY.FORMAT_1),CURRENCY.FORMAT_1,1),"# ##0;-# ##0"),",-"),FIXED(ROUND((C1464/EXC.RATE_1),CURRENCY.FORMAT_1),CURRENCY.FORMAT_1,0)),'DICTIONARY-5'!$A$2)</f>
        <v>2 735,-</v>
      </c>
      <c r="K1464" s="670" t="str">
        <f>IF(EXC.RATE_2=0,"",IFERROR(IF(CURRENCY.FORMAT_2=0,CONCATENATE(TEXT(FIXED(ROUND(IF(EXC.RATE.SWITCH=1,C1464/EXC.RATE_2,C1464*EXC.RATE_2),CURRENCY.FORMAT_2),CURRENCY.FORMAT_2,1),"# ##0;-# ##0"),",-"),FIXED(ROUND(IF(EXC.RATE.SWITCH=1,C1464/EXC.RATE_2,C1464*EXC.RATE_2),CURRENCY.FORMAT_2),CURRENCY.FORMAT_2,0)),'DICTIONARY-5'!$A$2))</f>
        <v/>
      </c>
      <c r="L1464" s="670" t="str">
        <f>IFERROR(IF(CURRENCY.FORMAT_1=0,CONCATENATE(TEXT(FIXED(ROUND((C1464*(1-I1464)*(1-ADD.DISCOUNT)*(1+MAT.SURCHARGE)/EXC.RATE_1),CURRENCY.FORMAT_1),CURRENCY.FORMAT_1,1),"# ##0;-# ##0"),",-"),FIXED(ROUND((C1464*(1-I1464)*(1-ADD.DISCOUNT)*(1+MAT.SURCHARGE)/EXC.RATE_1),CURRENCY.FORMAT_1),CURRENCY.FORMAT_1,0)),'DICTIONARY-5'!$A$2)</f>
        <v>2 842,-</v>
      </c>
      <c r="M1464" s="670" t="str">
        <f>IF(EXC.RATE_2=0,"",IFERROR(IF(CURRENCY.FORMAT_2=0,CONCATENATE(TEXT(FIXED(ROUND(IF(EXC.RATE.SWITCH=1,C1464*(1-I1464)*(1-ADD.DISCOUNT)*(1+MAT.SURCHARGE)/EXC.RATE_2,C1464*(1-I1464)*(1-ADD.DISCOUNT)*(1+MAT.SURCHARGE)*EXC.RATE_2),CURRENCY.FORMAT_2),CURRENCY.FORMAT_2,1),"# ##0;-# ##0"),",-"),FIXED(ROUND(IF(EXC.RATE.SWITCH=1,C1464*(1-I1464)*(1-ADD.DISCOUNT)*(1+MAT.SURCHARGE)/EXC.RATE_2,C1464*(1-I1464)*(1-ADD.DISCOUNT)*(1+MAT.SURCHARGE)*EXC.RATE_2),CURRENCY.FORMAT_2),CURRENCY.FORMAT_2,0)),'DICTIONARY-5'!$A$2))</f>
        <v/>
      </c>
      <c r="N1464" s="539">
        <v>5</v>
      </c>
      <c r="O1464" s="539"/>
      <c r="P1464" s="732" t="str">
        <f>'DICTIONARY-3'!$A$35</f>
        <v>HADE PTK-A</v>
      </c>
      <c r="Q1464" s="732" t="str">
        <f>'DICTIONARY-3'!$A$203</f>
        <v>Klapa przeciwcofkowa</v>
      </c>
      <c r="R1464" s="732" t="str">
        <f>CONCATENATE('DICTIONARY-3'!$A$35," ",'DICTIONARY-6'!$A$19," ",'DICTIONARY-2'!$A$2,"600, ",'DICTIONARY-3'!$A$267)</f>
        <v>HADE PTK-A Klapa przeciwcofk. DN600, montaż na ścianie</v>
      </c>
      <c r="S1464" s="733" t="s">
        <v>5569</v>
      </c>
      <c r="T1464" s="732" t="s">
        <v>5569</v>
      </c>
      <c r="U1464" s="734" t="s">
        <v>5757</v>
      </c>
      <c r="V1464" s="735"/>
      <c r="W1464" s="736"/>
      <c r="X1464" s="737"/>
      <c r="Y1464" s="738"/>
      <c r="Z1464" s="739"/>
      <c r="AA1464" s="739"/>
      <c r="AB1464" s="746">
        <v>0.1</v>
      </c>
      <c r="AC1464" s="741"/>
      <c r="AD1464" s="741"/>
      <c r="AE1464" s="742"/>
      <c r="AF1464" s="743">
        <v>36</v>
      </c>
      <c r="AG1464" s="741" t="s">
        <v>5569</v>
      </c>
    </row>
    <row r="1465" spans="1:33" x14ac:dyDescent="0.25">
      <c r="A1465" s="861" t="s">
        <v>1478</v>
      </c>
      <c r="B1465" s="861" t="s">
        <v>4544</v>
      </c>
      <c r="C1465" s="836">
        <v>3125</v>
      </c>
      <c r="D1465" s="836"/>
      <c r="E1465" s="836"/>
      <c r="F1465" s="836"/>
      <c r="G1465" s="496" t="s">
        <v>7829</v>
      </c>
      <c r="H1465" s="797" t="str">
        <f>VLOOKUP(G1465,SETTINGS!$B$7:$D$97,2,0)</f>
        <v>HADE</v>
      </c>
      <c r="I1465" s="796">
        <f>VLOOKUP(G1465,SETTINGS!$B$7:$D$97,3,0)</f>
        <v>0</v>
      </c>
      <c r="J1465" s="670" t="str">
        <f>IFERROR(IF(CURRENCY.FORMAT_1=0,CONCATENATE(TEXT(FIXED(ROUND((C1465/EXC.RATE_1),CURRENCY.FORMAT_1),CURRENCY.FORMAT_1,1),"# ##0;-# ##0"),",-"),FIXED(ROUND((C1465/EXC.RATE_1),CURRENCY.FORMAT_1),CURRENCY.FORMAT_1,0)),'DICTIONARY-5'!$A$2)</f>
        <v>3 125,-</v>
      </c>
      <c r="K1465" s="670" t="str">
        <f>IF(EXC.RATE_2=0,"",IFERROR(IF(CURRENCY.FORMAT_2=0,CONCATENATE(TEXT(FIXED(ROUND(IF(EXC.RATE.SWITCH=1,C1465/EXC.RATE_2,C1465*EXC.RATE_2),CURRENCY.FORMAT_2),CURRENCY.FORMAT_2,1),"# ##0;-# ##0"),",-"),FIXED(ROUND(IF(EXC.RATE.SWITCH=1,C1465/EXC.RATE_2,C1465*EXC.RATE_2),CURRENCY.FORMAT_2),CURRENCY.FORMAT_2,0)),'DICTIONARY-5'!$A$2))</f>
        <v/>
      </c>
      <c r="L1465" s="670" t="str">
        <f>IFERROR(IF(CURRENCY.FORMAT_1=0,CONCATENATE(TEXT(FIXED(ROUND((C1465*(1-I1465)*(1-ADD.DISCOUNT)*(1+MAT.SURCHARGE)/EXC.RATE_1),CURRENCY.FORMAT_1),CURRENCY.FORMAT_1,1),"# ##0;-# ##0"),",-"),FIXED(ROUND((C1465*(1-I1465)*(1-ADD.DISCOUNT)*(1+MAT.SURCHARGE)/EXC.RATE_1),CURRENCY.FORMAT_1),CURRENCY.FORMAT_1,0)),'DICTIONARY-5'!$A$2)</f>
        <v>3 247,-</v>
      </c>
      <c r="M1465" s="670" t="str">
        <f>IF(EXC.RATE_2=0,"",IFERROR(IF(CURRENCY.FORMAT_2=0,CONCATENATE(TEXT(FIXED(ROUND(IF(EXC.RATE.SWITCH=1,C1465*(1-I1465)*(1-ADD.DISCOUNT)*(1+MAT.SURCHARGE)/EXC.RATE_2,C1465*(1-I1465)*(1-ADD.DISCOUNT)*(1+MAT.SURCHARGE)*EXC.RATE_2),CURRENCY.FORMAT_2),CURRENCY.FORMAT_2,1),"# ##0;-# ##0"),",-"),FIXED(ROUND(IF(EXC.RATE.SWITCH=1,C1465*(1-I1465)*(1-ADD.DISCOUNT)*(1+MAT.SURCHARGE)/EXC.RATE_2,C1465*(1-I1465)*(1-ADD.DISCOUNT)*(1+MAT.SURCHARGE)*EXC.RATE_2),CURRENCY.FORMAT_2),CURRENCY.FORMAT_2,0)),'DICTIONARY-5'!$A$2))</f>
        <v/>
      </c>
      <c r="N1465" s="539">
        <v>5</v>
      </c>
      <c r="O1465" s="539"/>
      <c r="P1465" s="732" t="str">
        <f>'DICTIONARY-3'!$A$35</f>
        <v>HADE PTK-A</v>
      </c>
      <c r="Q1465" s="732" t="str">
        <f>'DICTIONARY-3'!$A$203</f>
        <v>Klapa przeciwcofkowa</v>
      </c>
      <c r="R1465" s="732" t="str">
        <f>CONCATENATE('DICTIONARY-3'!$A$35," ",'DICTIONARY-6'!$A$19," ",'DICTIONARY-2'!$A$2,"700, ",'DICTIONARY-3'!$A$267)</f>
        <v>HADE PTK-A Klapa przeciwcofk. DN700, montaż na ścianie</v>
      </c>
      <c r="S1465" s="733" t="s">
        <v>5569</v>
      </c>
      <c r="T1465" s="732" t="s">
        <v>5569</v>
      </c>
      <c r="U1465" s="734" t="s">
        <v>5834</v>
      </c>
      <c r="V1465" s="735" t="s">
        <v>5569</v>
      </c>
      <c r="W1465" s="736"/>
      <c r="X1465" s="737"/>
      <c r="Y1465" s="738"/>
      <c r="Z1465" s="739"/>
      <c r="AA1465" s="739"/>
      <c r="AB1465" s="746">
        <v>0.1</v>
      </c>
      <c r="AC1465" s="741" t="s">
        <v>5569</v>
      </c>
      <c r="AD1465" s="741" t="s">
        <v>5569</v>
      </c>
      <c r="AE1465" s="742" t="s">
        <v>5569</v>
      </c>
      <c r="AF1465" s="743">
        <v>60</v>
      </c>
      <c r="AG1465" s="741" t="s">
        <v>5569</v>
      </c>
    </row>
    <row r="1466" spans="1:33" x14ac:dyDescent="0.25">
      <c r="A1466" s="861" t="s">
        <v>1480</v>
      </c>
      <c r="B1466" s="861" t="s">
        <v>4550</v>
      </c>
      <c r="C1466" s="836">
        <v>3583</v>
      </c>
      <c r="D1466" s="836"/>
      <c r="E1466" s="836"/>
      <c r="F1466" s="836"/>
      <c r="G1466" s="496" t="s">
        <v>7829</v>
      </c>
      <c r="H1466" s="797" t="str">
        <f>VLOOKUP(G1466,SETTINGS!$B$7:$D$97,2,0)</f>
        <v>HADE</v>
      </c>
      <c r="I1466" s="796">
        <f>VLOOKUP(G1466,SETTINGS!$B$7:$D$97,3,0)</f>
        <v>0</v>
      </c>
      <c r="J1466" s="670" t="str">
        <f>IFERROR(IF(CURRENCY.FORMAT_1=0,CONCATENATE(TEXT(FIXED(ROUND((C1466/EXC.RATE_1),CURRENCY.FORMAT_1),CURRENCY.FORMAT_1,1),"# ##0;-# ##0"),",-"),FIXED(ROUND((C1466/EXC.RATE_1),CURRENCY.FORMAT_1),CURRENCY.FORMAT_1,0)),'DICTIONARY-5'!$A$2)</f>
        <v>3 583,-</v>
      </c>
      <c r="K1466" s="670" t="str">
        <f>IF(EXC.RATE_2=0,"",IFERROR(IF(CURRENCY.FORMAT_2=0,CONCATENATE(TEXT(FIXED(ROUND(IF(EXC.RATE.SWITCH=1,C1466/EXC.RATE_2,C1466*EXC.RATE_2),CURRENCY.FORMAT_2),CURRENCY.FORMAT_2,1),"# ##0;-# ##0"),",-"),FIXED(ROUND(IF(EXC.RATE.SWITCH=1,C1466/EXC.RATE_2,C1466*EXC.RATE_2),CURRENCY.FORMAT_2),CURRENCY.FORMAT_2,0)),'DICTIONARY-5'!$A$2))</f>
        <v/>
      </c>
      <c r="L1466" s="670" t="str">
        <f>IFERROR(IF(CURRENCY.FORMAT_1=0,CONCATENATE(TEXT(FIXED(ROUND((C1466*(1-I1466)*(1-ADD.DISCOUNT)*(1+MAT.SURCHARGE)/EXC.RATE_1),CURRENCY.FORMAT_1),CURRENCY.FORMAT_1,1),"# ##0;-# ##0"),",-"),FIXED(ROUND((C1466*(1-I1466)*(1-ADD.DISCOUNT)*(1+MAT.SURCHARGE)/EXC.RATE_1),CURRENCY.FORMAT_1),CURRENCY.FORMAT_1,0)),'DICTIONARY-5'!$A$2)</f>
        <v>3 723,-</v>
      </c>
      <c r="M1466" s="670" t="str">
        <f>IF(EXC.RATE_2=0,"",IFERROR(IF(CURRENCY.FORMAT_2=0,CONCATENATE(TEXT(FIXED(ROUND(IF(EXC.RATE.SWITCH=1,C1466*(1-I1466)*(1-ADD.DISCOUNT)*(1+MAT.SURCHARGE)/EXC.RATE_2,C1466*(1-I1466)*(1-ADD.DISCOUNT)*(1+MAT.SURCHARGE)*EXC.RATE_2),CURRENCY.FORMAT_2),CURRENCY.FORMAT_2,1),"# ##0;-# ##0"),",-"),FIXED(ROUND(IF(EXC.RATE.SWITCH=1,C1466*(1-I1466)*(1-ADD.DISCOUNT)*(1+MAT.SURCHARGE)/EXC.RATE_2,C1466*(1-I1466)*(1-ADD.DISCOUNT)*(1+MAT.SURCHARGE)*EXC.RATE_2),CURRENCY.FORMAT_2),CURRENCY.FORMAT_2,0)),'DICTIONARY-5'!$A$2))</f>
        <v/>
      </c>
      <c r="N1466" s="539">
        <v>5</v>
      </c>
      <c r="O1466" s="539"/>
      <c r="P1466" s="732" t="str">
        <f>'DICTIONARY-3'!$A$35</f>
        <v>HADE PTK-A</v>
      </c>
      <c r="Q1466" s="732" t="str">
        <f>'DICTIONARY-3'!$A$203</f>
        <v>Klapa przeciwcofkowa</v>
      </c>
      <c r="R1466" s="732" t="str">
        <f>CONCATENATE('DICTIONARY-3'!$A$35," ",'DICTIONARY-6'!$A$19," ",'DICTIONARY-2'!$A$2,"800, ",'DICTIONARY-3'!$A$267)</f>
        <v>HADE PTK-A Klapa przeciwcofk. DN800, montaż na ścianie</v>
      </c>
      <c r="S1466" s="733" t="s">
        <v>5569</v>
      </c>
      <c r="T1466" s="732" t="s">
        <v>5569</v>
      </c>
      <c r="U1466" s="734" t="s">
        <v>5835</v>
      </c>
      <c r="V1466" s="735" t="s">
        <v>5569</v>
      </c>
      <c r="W1466" s="736"/>
      <c r="X1466" s="737"/>
      <c r="Y1466" s="738"/>
      <c r="Z1466" s="739"/>
      <c r="AA1466" s="739"/>
      <c r="AB1466" s="746">
        <v>0.1</v>
      </c>
      <c r="AC1466" s="741" t="s">
        <v>5569</v>
      </c>
      <c r="AD1466" s="741" t="s">
        <v>5569</v>
      </c>
      <c r="AE1466" s="742" t="s">
        <v>5569</v>
      </c>
      <c r="AF1466" s="743">
        <v>70</v>
      </c>
      <c r="AG1466" s="741" t="s">
        <v>5569</v>
      </c>
    </row>
    <row r="1467" spans="1:33" x14ac:dyDescent="0.25">
      <c r="A1467" s="861" t="s">
        <v>1482</v>
      </c>
      <c r="B1467" s="861" t="s">
        <v>4556</v>
      </c>
      <c r="C1467" s="836">
        <v>4876</v>
      </c>
      <c r="D1467" s="836"/>
      <c r="E1467" s="836"/>
      <c r="F1467" s="836"/>
      <c r="G1467" s="496" t="s">
        <v>7829</v>
      </c>
      <c r="H1467" s="797" t="str">
        <f>VLOOKUP(G1467,SETTINGS!$B$7:$D$97,2,0)</f>
        <v>HADE</v>
      </c>
      <c r="I1467" s="796">
        <f>VLOOKUP(G1467,SETTINGS!$B$7:$D$97,3,0)</f>
        <v>0</v>
      </c>
      <c r="J1467" s="670" t="str">
        <f>IFERROR(IF(CURRENCY.FORMAT_1=0,CONCATENATE(TEXT(FIXED(ROUND((C1467/EXC.RATE_1),CURRENCY.FORMAT_1),CURRENCY.FORMAT_1,1),"# ##0;-# ##0"),",-"),FIXED(ROUND((C1467/EXC.RATE_1),CURRENCY.FORMAT_1),CURRENCY.FORMAT_1,0)),'DICTIONARY-5'!$A$2)</f>
        <v>4 876,-</v>
      </c>
      <c r="K1467" s="670" t="str">
        <f>IF(EXC.RATE_2=0,"",IFERROR(IF(CURRENCY.FORMAT_2=0,CONCATENATE(TEXT(FIXED(ROUND(IF(EXC.RATE.SWITCH=1,C1467/EXC.RATE_2,C1467*EXC.RATE_2),CURRENCY.FORMAT_2),CURRENCY.FORMAT_2,1),"# ##0;-# ##0"),",-"),FIXED(ROUND(IF(EXC.RATE.SWITCH=1,C1467/EXC.RATE_2,C1467*EXC.RATE_2),CURRENCY.FORMAT_2),CURRENCY.FORMAT_2,0)),'DICTIONARY-5'!$A$2))</f>
        <v/>
      </c>
      <c r="L1467" s="670" t="str">
        <f>IFERROR(IF(CURRENCY.FORMAT_1=0,CONCATENATE(TEXT(FIXED(ROUND((C1467*(1-I1467)*(1-ADD.DISCOUNT)*(1+MAT.SURCHARGE)/EXC.RATE_1),CURRENCY.FORMAT_1),CURRENCY.FORMAT_1,1),"# ##0;-# ##0"),",-"),FIXED(ROUND((C1467*(1-I1467)*(1-ADD.DISCOUNT)*(1+MAT.SURCHARGE)/EXC.RATE_1),CURRENCY.FORMAT_1),CURRENCY.FORMAT_1,0)),'DICTIONARY-5'!$A$2)</f>
        <v>5 066,-</v>
      </c>
      <c r="M1467" s="670" t="str">
        <f>IF(EXC.RATE_2=0,"",IFERROR(IF(CURRENCY.FORMAT_2=0,CONCATENATE(TEXT(FIXED(ROUND(IF(EXC.RATE.SWITCH=1,C1467*(1-I1467)*(1-ADD.DISCOUNT)*(1+MAT.SURCHARGE)/EXC.RATE_2,C1467*(1-I1467)*(1-ADD.DISCOUNT)*(1+MAT.SURCHARGE)*EXC.RATE_2),CURRENCY.FORMAT_2),CURRENCY.FORMAT_2,1),"# ##0;-# ##0"),",-"),FIXED(ROUND(IF(EXC.RATE.SWITCH=1,C1467*(1-I1467)*(1-ADD.DISCOUNT)*(1+MAT.SURCHARGE)/EXC.RATE_2,C1467*(1-I1467)*(1-ADD.DISCOUNT)*(1+MAT.SURCHARGE)*EXC.RATE_2),CURRENCY.FORMAT_2),CURRENCY.FORMAT_2,0)),'DICTIONARY-5'!$A$2))</f>
        <v/>
      </c>
      <c r="N1467" s="539">
        <v>5</v>
      </c>
      <c r="O1467" s="539"/>
      <c r="P1467" s="732" t="str">
        <f>'DICTIONARY-3'!$A$35</f>
        <v>HADE PTK-A</v>
      </c>
      <c r="Q1467" s="732" t="str">
        <f>'DICTIONARY-3'!$A$203</f>
        <v>Klapa przeciwcofkowa</v>
      </c>
      <c r="R1467" s="732" t="str">
        <f>CONCATENATE('DICTIONARY-3'!$A$35," ",'DICTIONARY-6'!$A$19," ",'DICTIONARY-2'!$A$2,"900, ",'DICTIONARY-3'!$A$267)</f>
        <v>HADE PTK-A Klapa przeciwcofk. DN900, montaż na ścianie</v>
      </c>
      <c r="S1467" s="733" t="s">
        <v>5569</v>
      </c>
      <c r="T1467" s="732" t="s">
        <v>5569</v>
      </c>
      <c r="U1467" s="734" t="s">
        <v>5837</v>
      </c>
      <c r="V1467" s="735" t="s">
        <v>5569</v>
      </c>
      <c r="W1467" s="736"/>
      <c r="X1467" s="737"/>
      <c r="Y1467" s="738"/>
      <c r="Z1467" s="739"/>
      <c r="AA1467" s="739"/>
      <c r="AB1467" s="746">
        <v>0.1</v>
      </c>
      <c r="AC1467" s="741" t="s">
        <v>5569</v>
      </c>
      <c r="AD1467" s="741" t="s">
        <v>5569</v>
      </c>
      <c r="AE1467" s="742" t="s">
        <v>5569</v>
      </c>
      <c r="AF1467" s="743">
        <v>110</v>
      </c>
      <c r="AG1467" s="741" t="s">
        <v>5569</v>
      </c>
    </row>
    <row r="1468" spans="1:33" x14ac:dyDescent="0.25">
      <c r="A1468" s="861" t="s">
        <v>1484</v>
      </c>
      <c r="B1468" s="861" t="s">
        <v>4562</v>
      </c>
      <c r="C1468" s="836">
        <v>5609</v>
      </c>
      <c r="D1468" s="836"/>
      <c r="E1468" s="836"/>
      <c r="F1468" s="836"/>
      <c r="G1468" s="496" t="s">
        <v>7829</v>
      </c>
      <c r="H1468" s="797" t="str">
        <f>VLOOKUP(G1468,SETTINGS!$B$7:$D$97,2,0)</f>
        <v>HADE</v>
      </c>
      <c r="I1468" s="796">
        <f>VLOOKUP(G1468,SETTINGS!$B$7:$D$97,3,0)</f>
        <v>0</v>
      </c>
      <c r="J1468" s="670" t="str">
        <f>IFERROR(IF(CURRENCY.FORMAT_1=0,CONCATENATE(TEXT(FIXED(ROUND((C1468/EXC.RATE_1),CURRENCY.FORMAT_1),CURRENCY.FORMAT_1,1),"# ##0;-# ##0"),",-"),FIXED(ROUND((C1468/EXC.RATE_1),CURRENCY.FORMAT_1),CURRENCY.FORMAT_1,0)),'DICTIONARY-5'!$A$2)</f>
        <v>5 609,-</v>
      </c>
      <c r="K1468" s="670" t="str">
        <f>IF(EXC.RATE_2=0,"",IFERROR(IF(CURRENCY.FORMAT_2=0,CONCATENATE(TEXT(FIXED(ROUND(IF(EXC.RATE.SWITCH=1,C1468/EXC.RATE_2,C1468*EXC.RATE_2),CURRENCY.FORMAT_2),CURRENCY.FORMAT_2,1),"# ##0;-# ##0"),",-"),FIXED(ROUND(IF(EXC.RATE.SWITCH=1,C1468/EXC.RATE_2,C1468*EXC.RATE_2),CURRENCY.FORMAT_2),CURRENCY.FORMAT_2,0)),'DICTIONARY-5'!$A$2))</f>
        <v/>
      </c>
      <c r="L1468" s="670" t="str">
        <f>IFERROR(IF(CURRENCY.FORMAT_1=0,CONCATENATE(TEXT(FIXED(ROUND((C1468*(1-I1468)*(1-ADD.DISCOUNT)*(1+MAT.SURCHARGE)/EXC.RATE_1),CURRENCY.FORMAT_1),CURRENCY.FORMAT_1,1),"# ##0;-# ##0"),",-"),FIXED(ROUND((C1468*(1-I1468)*(1-ADD.DISCOUNT)*(1+MAT.SURCHARGE)/EXC.RATE_1),CURRENCY.FORMAT_1),CURRENCY.FORMAT_1,0)),'DICTIONARY-5'!$A$2)</f>
        <v>5 828,-</v>
      </c>
      <c r="M1468" s="670" t="str">
        <f>IF(EXC.RATE_2=0,"",IFERROR(IF(CURRENCY.FORMAT_2=0,CONCATENATE(TEXT(FIXED(ROUND(IF(EXC.RATE.SWITCH=1,C1468*(1-I1468)*(1-ADD.DISCOUNT)*(1+MAT.SURCHARGE)/EXC.RATE_2,C1468*(1-I1468)*(1-ADD.DISCOUNT)*(1+MAT.SURCHARGE)*EXC.RATE_2),CURRENCY.FORMAT_2),CURRENCY.FORMAT_2,1),"# ##0;-# ##0"),",-"),FIXED(ROUND(IF(EXC.RATE.SWITCH=1,C1468*(1-I1468)*(1-ADD.DISCOUNT)*(1+MAT.SURCHARGE)/EXC.RATE_2,C1468*(1-I1468)*(1-ADD.DISCOUNT)*(1+MAT.SURCHARGE)*EXC.RATE_2),CURRENCY.FORMAT_2),CURRENCY.FORMAT_2,0)),'DICTIONARY-5'!$A$2))</f>
        <v/>
      </c>
      <c r="N1468" s="539">
        <v>5</v>
      </c>
      <c r="O1468" s="539"/>
      <c r="P1468" s="732" t="str">
        <f>'DICTIONARY-3'!$A$35</f>
        <v>HADE PTK-A</v>
      </c>
      <c r="Q1468" s="732" t="str">
        <f>'DICTIONARY-3'!$A$203</f>
        <v>Klapa przeciwcofkowa</v>
      </c>
      <c r="R1468" s="732" t="str">
        <f>CONCATENATE('DICTIONARY-3'!$A$35," ",'DICTIONARY-6'!$A$19," ",'DICTIONARY-2'!$A$2,"1000, ",'DICTIONARY-3'!$A$267)</f>
        <v>HADE PTK-A Klapa przeciwcofk. DN1000, montaż na ścianie</v>
      </c>
      <c r="S1468" s="733" t="s">
        <v>5569</v>
      </c>
      <c r="T1468" s="732" t="s">
        <v>5569</v>
      </c>
      <c r="U1468" s="734" t="s">
        <v>5836</v>
      </c>
      <c r="V1468" s="735" t="s">
        <v>5569</v>
      </c>
      <c r="W1468" s="736"/>
      <c r="X1468" s="737"/>
      <c r="Y1468" s="738"/>
      <c r="Z1468" s="739"/>
      <c r="AA1468" s="739"/>
      <c r="AB1468" s="746">
        <v>0.1</v>
      </c>
      <c r="AC1468" s="741" t="s">
        <v>5569</v>
      </c>
      <c r="AD1468" s="741" t="s">
        <v>5569</v>
      </c>
      <c r="AE1468" s="742" t="s">
        <v>5569</v>
      </c>
      <c r="AF1468" s="743">
        <v>145</v>
      </c>
      <c r="AG1468" s="741" t="s">
        <v>5569</v>
      </c>
    </row>
    <row r="1469" spans="1:33" x14ac:dyDescent="0.25">
      <c r="A1469" s="861" t="s">
        <v>1486</v>
      </c>
      <c r="B1469" s="861" t="s">
        <v>4568</v>
      </c>
      <c r="C1469" s="836">
        <v>9472</v>
      </c>
      <c r="D1469" s="836"/>
      <c r="E1469" s="836"/>
      <c r="F1469" s="836"/>
      <c r="G1469" s="496" t="s">
        <v>7829</v>
      </c>
      <c r="H1469" s="797" t="str">
        <f>VLOOKUP(G1469,SETTINGS!$B$7:$D$97,2,0)</f>
        <v>HADE</v>
      </c>
      <c r="I1469" s="796">
        <f>VLOOKUP(G1469,SETTINGS!$B$7:$D$97,3,0)</f>
        <v>0</v>
      </c>
      <c r="J1469" s="670" t="str">
        <f>IFERROR(IF(CURRENCY.FORMAT_1=0,CONCATENATE(TEXT(FIXED(ROUND((C1469/EXC.RATE_1),CURRENCY.FORMAT_1),CURRENCY.FORMAT_1,1),"# ##0;-# ##0"),",-"),FIXED(ROUND((C1469/EXC.RATE_1),CURRENCY.FORMAT_1),CURRENCY.FORMAT_1,0)),'DICTIONARY-5'!$A$2)</f>
        <v>9 472,-</v>
      </c>
      <c r="K1469" s="670" t="str">
        <f>IF(EXC.RATE_2=0,"",IFERROR(IF(CURRENCY.FORMAT_2=0,CONCATENATE(TEXT(FIXED(ROUND(IF(EXC.RATE.SWITCH=1,C1469/EXC.RATE_2,C1469*EXC.RATE_2),CURRENCY.FORMAT_2),CURRENCY.FORMAT_2,1),"# ##0;-# ##0"),",-"),FIXED(ROUND(IF(EXC.RATE.SWITCH=1,C1469/EXC.RATE_2,C1469*EXC.RATE_2),CURRENCY.FORMAT_2),CURRENCY.FORMAT_2,0)),'DICTIONARY-5'!$A$2))</f>
        <v/>
      </c>
      <c r="L1469" s="670" t="str">
        <f>IFERROR(IF(CURRENCY.FORMAT_1=0,CONCATENATE(TEXT(FIXED(ROUND((C1469*(1-I1469)*(1-ADD.DISCOUNT)*(1+MAT.SURCHARGE)/EXC.RATE_1),CURRENCY.FORMAT_1),CURRENCY.FORMAT_1,1),"# ##0;-# ##0"),",-"),FIXED(ROUND((C1469*(1-I1469)*(1-ADD.DISCOUNT)*(1+MAT.SURCHARGE)/EXC.RATE_1),CURRENCY.FORMAT_1),CURRENCY.FORMAT_1,0)),'DICTIONARY-5'!$A$2)</f>
        <v>9 841,-</v>
      </c>
      <c r="M1469" s="670" t="str">
        <f>IF(EXC.RATE_2=0,"",IFERROR(IF(CURRENCY.FORMAT_2=0,CONCATENATE(TEXT(FIXED(ROUND(IF(EXC.RATE.SWITCH=1,C1469*(1-I1469)*(1-ADD.DISCOUNT)*(1+MAT.SURCHARGE)/EXC.RATE_2,C1469*(1-I1469)*(1-ADD.DISCOUNT)*(1+MAT.SURCHARGE)*EXC.RATE_2),CURRENCY.FORMAT_2),CURRENCY.FORMAT_2,1),"# ##0;-# ##0"),",-"),FIXED(ROUND(IF(EXC.RATE.SWITCH=1,C1469*(1-I1469)*(1-ADD.DISCOUNT)*(1+MAT.SURCHARGE)/EXC.RATE_2,C1469*(1-I1469)*(1-ADD.DISCOUNT)*(1+MAT.SURCHARGE)*EXC.RATE_2),CURRENCY.FORMAT_2),CURRENCY.FORMAT_2,0)),'DICTIONARY-5'!$A$2))</f>
        <v/>
      </c>
      <c r="N1469" s="539">
        <v>5</v>
      </c>
      <c r="O1469" s="539"/>
      <c r="P1469" s="732" t="str">
        <f>'DICTIONARY-3'!$A$35</f>
        <v>HADE PTK-A</v>
      </c>
      <c r="Q1469" s="732" t="str">
        <f>'DICTIONARY-3'!$A$203</f>
        <v>Klapa przeciwcofkowa</v>
      </c>
      <c r="R1469" s="732" t="str">
        <f>CONCATENATE('DICTIONARY-3'!$A$35," ",'DICTIONARY-6'!$A$19," ",'DICTIONARY-2'!$A$2,"1100, ",'DICTIONARY-3'!$A$267)</f>
        <v>HADE PTK-A Klapa przeciwcofk. DN1100, montaż na ścianie</v>
      </c>
      <c r="S1469" s="733" t="s">
        <v>5569</v>
      </c>
      <c r="T1469" s="732" t="s">
        <v>5569</v>
      </c>
      <c r="U1469" s="734" t="s">
        <v>5843</v>
      </c>
      <c r="V1469" s="735" t="s">
        <v>5569</v>
      </c>
      <c r="W1469" s="736"/>
      <c r="X1469" s="737"/>
      <c r="Y1469" s="738"/>
      <c r="Z1469" s="739"/>
      <c r="AA1469" s="739"/>
      <c r="AB1469" s="746">
        <v>0.1</v>
      </c>
      <c r="AC1469" s="741" t="s">
        <v>5569</v>
      </c>
      <c r="AD1469" s="741" t="s">
        <v>5569</v>
      </c>
      <c r="AE1469" s="742" t="s">
        <v>5569</v>
      </c>
      <c r="AF1469" s="743">
        <v>100</v>
      </c>
      <c r="AG1469" s="741" t="s">
        <v>5569</v>
      </c>
    </row>
    <row r="1470" spans="1:33" x14ac:dyDescent="0.25">
      <c r="A1470" s="861" t="s">
        <v>1488</v>
      </c>
      <c r="B1470" s="861" t="s">
        <v>4573</v>
      </c>
      <c r="C1470" s="836">
        <v>8190</v>
      </c>
      <c r="D1470" s="836"/>
      <c r="E1470" s="836"/>
      <c r="F1470" s="836"/>
      <c r="G1470" s="496" t="s">
        <v>7829</v>
      </c>
      <c r="H1470" s="797" t="str">
        <f>VLOOKUP(G1470,SETTINGS!$B$7:$D$97,2,0)</f>
        <v>HADE</v>
      </c>
      <c r="I1470" s="796">
        <f>VLOOKUP(G1470,SETTINGS!$B$7:$D$97,3,0)</f>
        <v>0</v>
      </c>
      <c r="J1470" s="670" t="str">
        <f>IFERROR(IF(CURRENCY.FORMAT_1=0,CONCATENATE(TEXT(FIXED(ROUND((C1470/EXC.RATE_1),CURRENCY.FORMAT_1),CURRENCY.FORMAT_1,1),"# ##0;-# ##0"),",-"),FIXED(ROUND((C1470/EXC.RATE_1),CURRENCY.FORMAT_1),CURRENCY.FORMAT_1,0)),'DICTIONARY-5'!$A$2)</f>
        <v>8 190,-</v>
      </c>
      <c r="K1470" s="670" t="str">
        <f>IF(EXC.RATE_2=0,"",IFERROR(IF(CURRENCY.FORMAT_2=0,CONCATENATE(TEXT(FIXED(ROUND(IF(EXC.RATE.SWITCH=1,C1470/EXC.RATE_2,C1470*EXC.RATE_2),CURRENCY.FORMAT_2),CURRENCY.FORMAT_2,1),"# ##0;-# ##0"),",-"),FIXED(ROUND(IF(EXC.RATE.SWITCH=1,C1470/EXC.RATE_2,C1470*EXC.RATE_2),CURRENCY.FORMAT_2),CURRENCY.FORMAT_2,0)),'DICTIONARY-5'!$A$2))</f>
        <v/>
      </c>
      <c r="L1470" s="670" t="str">
        <f>IFERROR(IF(CURRENCY.FORMAT_1=0,CONCATENATE(TEXT(FIXED(ROUND((C1470*(1-I1470)*(1-ADD.DISCOUNT)*(1+MAT.SURCHARGE)/EXC.RATE_1),CURRENCY.FORMAT_1),CURRENCY.FORMAT_1,1),"# ##0;-# ##0"),",-"),FIXED(ROUND((C1470*(1-I1470)*(1-ADD.DISCOUNT)*(1+MAT.SURCHARGE)/EXC.RATE_1),CURRENCY.FORMAT_1),CURRENCY.FORMAT_1,0)),'DICTIONARY-5'!$A$2)</f>
        <v>8 509,-</v>
      </c>
      <c r="M1470" s="670" t="str">
        <f>IF(EXC.RATE_2=0,"",IFERROR(IF(CURRENCY.FORMAT_2=0,CONCATENATE(TEXT(FIXED(ROUND(IF(EXC.RATE.SWITCH=1,C1470*(1-I1470)*(1-ADD.DISCOUNT)*(1+MAT.SURCHARGE)/EXC.RATE_2,C1470*(1-I1470)*(1-ADD.DISCOUNT)*(1+MAT.SURCHARGE)*EXC.RATE_2),CURRENCY.FORMAT_2),CURRENCY.FORMAT_2,1),"# ##0;-# ##0"),",-"),FIXED(ROUND(IF(EXC.RATE.SWITCH=1,C1470*(1-I1470)*(1-ADD.DISCOUNT)*(1+MAT.SURCHARGE)/EXC.RATE_2,C1470*(1-I1470)*(1-ADD.DISCOUNT)*(1+MAT.SURCHARGE)*EXC.RATE_2),CURRENCY.FORMAT_2),CURRENCY.FORMAT_2,0)),'DICTIONARY-5'!$A$2))</f>
        <v/>
      </c>
      <c r="N1470" s="539">
        <v>5</v>
      </c>
      <c r="O1470" s="539"/>
      <c r="P1470" s="732" t="str">
        <f>'DICTIONARY-3'!$A$35</f>
        <v>HADE PTK-A</v>
      </c>
      <c r="Q1470" s="732" t="str">
        <f>'DICTIONARY-3'!$A$203</f>
        <v>Klapa przeciwcofkowa</v>
      </c>
      <c r="R1470" s="732" t="str">
        <f>CONCATENATE('DICTIONARY-3'!$A$35," ",'DICTIONARY-6'!$A$19," ",'DICTIONARY-2'!$A$2,"1200, ",'DICTIONARY-3'!$A$267)</f>
        <v>HADE PTK-A Klapa przeciwcofk. DN1200, montaż na ścianie</v>
      </c>
      <c r="S1470" s="733" t="s">
        <v>5569</v>
      </c>
      <c r="T1470" s="732" t="s">
        <v>5569</v>
      </c>
      <c r="U1470" s="734" t="s">
        <v>5838</v>
      </c>
      <c r="V1470" s="735" t="s">
        <v>5569</v>
      </c>
      <c r="W1470" s="736"/>
      <c r="X1470" s="737"/>
      <c r="Y1470" s="738"/>
      <c r="Z1470" s="739"/>
      <c r="AA1470" s="739"/>
      <c r="AB1470" s="746">
        <v>0.1</v>
      </c>
      <c r="AC1470" s="741" t="s">
        <v>5569</v>
      </c>
      <c r="AD1470" s="741" t="s">
        <v>5569</v>
      </c>
      <c r="AE1470" s="742" t="s">
        <v>5569</v>
      </c>
      <c r="AF1470" s="743">
        <v>110</v>
      </c>
      <c r="AG1470" s="741" t="s">
        <v>5569</v>
      </c>
    </row>
    <row r="1471" spans="1:33" x14ac:dyDescent="0.25">
      <c r="A1471" s="861" t="s">
        <v>1490</v>
      </c>
      <c r="B1471" s="861" t="s">
        <v>4582</v>
      </c>
      <c r="C1471" s="836">
        <v>12022</v>
      </c>
      <c r="D1471" s="836"/>
      <c r="E1471" s="836"/>
      <c r="F1471" s="836"/>
      <c r="G1471" s="496" t="s">
        <v>7829</v>
      </c>
      <c r="H1471" s="797" t="str">
        <f>VLOOKUP(G1471,SETTINGS!$B$7:$D$97,2,0)</f>
        <v>HADE</v>
      </c>
      <c r="I1471" s="796">
        <f>VLOOKUP(G1471,SETTINGS!$B$7:$D$97,3,0)</f>
        <v>0</v>
      </c>
      <c r="J1471" s="670" t="str">
        <f>IFERROR(IF(CURRENCY.FORMAT_1=0,CONCATENATE(TEXT(FIXED(ROUND((C1471/EXC.RATE_1),CURRENCY.FORMAT_1),CURRENCY.FORMAT_1,1),"# ##0;-# ##0"),",-"),FIXED(ROUND((C1471/EXC.RATE_1),CURRENCY.FORMAT_1),CURRENCY.FORMAT_1,0)),'DICTIONARY-5'!$A$2)</f>
        <v>12 022,-</v>
      </c>
      <c r="K1471" s="670" t="str">
        <f>IF(EXC.RATE_2=0,"",IFERROR(IF(CURRENCY.FORMAT_2=0,CONCATENATE(TEXT(FIXED(ROUND(IF(EXC.RATE.SWITCH=1,C1471/EXC.RATE_2,C1471*EXC.RATE_2),CURRENCY.FORMAT_2),CURRENCY.FORMAT_2,1),"# ##0;-# ##0"),",-"),FIXED(ROUND(IF(EXC.RATE.SWITCH=1,C1471/EXC.RATE_2,C1471*EXC.RATE_2),CURRENCY.FORMAT_2),CURRENCY.FORMAT_2,0)),'DICTIONARY-5'!$A$2))</f>
        <v/>
      </c>
      <c r="L1471" s="670" t="str">
        <f>IFERROR(IF(CURRENCY.FORMAT_1=0,CONCATENATE(TEXT(FIXED(ROUND((C1471*(1-I1471)*(1-ADD.DISCOUNT)*(1+MAT.SURCHARGE)/EXC.RATE_1),CURRENCY.FORMAT_1),CURRENCY.FORMAT_1,1),"# ##0;-# ##0"),",-"),FIXED(ROUND((C1471*(1-I1471)*(1-ADD.DISCOUNT)*(1+MAT.SURCHARGE)/EXC.RATE_1),CURRENCY.FORMAT_1),CURRENCY.FORMAT_1,0)),'DICTIONARY-5'!$A$2)</f>
        <v>12 491,-</v>
      </c>
      <c r="M1471" s="670" t="str">
        <f>IF(EXC.RATE_2=0,"",IFERROR(IF(CURRENCY.FORMAT_2=0,CONCATENATE(TEXT(FIXED(ROUND(IF(EXC.RATE.SWITCH=1,C1471*(1-I1471)*(1-ADD.DISCOUNT)*(1+MAT.SURCHARGE)/EXC.RATE_2,C1471*(1-I1471)*(1-ADD.DISCOUNT)*(1+MAT.SURCHARGE)*EXC.RATE_2),CURRENCY.FORMAT_2),CURRENCY.FORMAT_2,1),"# ##0;-# ##0"),",-"),FIXED(ROUND(IF(EXC.RATE.SWITCH=1,C1471*(1-I1471)*(1-ADD.DISCOUNT)*(1+MAT.SURCHARGE)/EXC.RATE_2,C1471*(1-I1471)*(1-ADD.DISCOUNT)*(1+MAT.SURCHARGE)*EXC.RATE_2),CURRENCY.FORMAT_2),CURRENCY.FORMAT_2,0)),'DICTIONARY-5'!$A$2))</f>
        <v/>
      </c>
      <c r="N1471" s="539">
        <v>5</v>
      </c>
      <c r="O1471" s="539"/>
      <c r="P1471" s="732" t="str">
        <f>'DICTIONARY-3'!$A$35</f>
        <v>HADE PTK-A</v>
      </c>
      <c r="Q1471" s="732" t="str">
        <f>'DICTIONARY-3'!$A$203</f>
        <v>Klapa przeciwcofkowa</v>
      </c>
      <c r="R1471" s="732" t="str">
        <f>CONCATENATE('DICTIONARY-3'!$A$35," ",'DICTIONARY-6'!$A$19," ",'DICTIONARY-2'!$A$2,"1400, ",'DICTIONARY-3'!$A$267)</f>
        <v>HADE PTK-A Klapa przeciwcofk. DN1400, montaż na ścianie</v>
      </c>
      <c r="S1471" s="733" t="s">
        <v>5569</v>
      </c>
      <c r="T1471" s="732" t="s">
        <v>5569</v>
      </c>
      <c r="U1471" s="734" t="s">
        <v>5839</v>
      </c>
      <c r="V1471" s="735" t="s">
        <v>5569</v>
      </c>
      <c r="W1471" s="736"/>
      <c r="X1471" s="737"/>
      <c r="Y1471" s="738"/>
      <c r="Z1471" s="739"/>
      <c r="AA1471" s="739"/>
      <c r="AB1471" s="746">
        <v>0.1</v>
      </c>
      <c r="AC1471" s="741" t="s">
        <v>5569</v>
      </c>
      <c r="AD1471" s="741" t="s">
        <v>5569</v>
      </c>
      <c r="AE1471" s="742" t="s">
        <v>5569</v>
      </c>
      <c r="AF1471" s="743">
        <v>120</v>
      </c>
      <c r="AG1471" s="741" t="s">
        <v>5569</v>
      </c>
    </row>
    <row r="1472" spans="1:33" x14ac:dyDescent="0.25">
      <c r="A1472" s="861" t="s">
        <v>1492</v>
      </c>
      <c r="B1472" s="861" t="s">
        <v>4587</v>
      </c>
      <c r="C1472" s="836">
        <v>13372</v>
      </c>
      <c r="D1472" s="836"/>
      <c r="E1472" s="836"/>
      <c r="F1472" s="836"/>
      <c r="G1472" s="496" t="s">
        <v>7829</v>
      </c>
      <c r="H1472" s="797" t="str">
        <f>VLOOKUP(G1472,SETTINGS!$B$7:$D$97,2,0)</f>
        <v>HADE</v>
      </c>
      <c r="I1472" s="796">
        <f>VLOOKUP(G1472,SETTINGS!$B$7:$D$97,3,0)</f>
        <v>0</v>
      </c>
      <c r="J1472" s="670" t="str">
        <f>IFERROR(IF(CURRENCY.FORMAT_1=0,CONCATENATE(TEXT(FIXED(ROUND((C1472/EXC.RATE_1),CURRENCY.FORMAT_1),CURRENCY.FORMAT_1,1),"# ##0;-# ##0"),",-"),FIXED(ROUND((C1472/EXC.RATE_1),CURRENCY.FORMAT_1),CURRENCY.FORMAT_1,0)),'DICTIONARY-5'!$A$2)</f>
        <v>13 372,-</v>
      </c>
      <c r="K1472" s="670" t="str">
        <f>IF(EXC.RATE_2=0,"",IFERROR(IF(CURRENCY.FORMAT_2=0,CONCATENATE(TEXT(FIXED(ROUND(IF(EXC.RATE.SWITCH=1,C1472/EXC.RATE_2,C1472*EXC.RATE_2),CURRENCY.FORMAT_2),CURRENCY.FORMAT_2,1),"# ##0;-# ##0"),",-"),FIXED(ROUND(IF(EXC.RATE.SWITCH=1,C1472/EXC.RATE_2,C1472*EXC.RATE_2),CURRENCY.FORMAT_2),CURRENCY.FORMAT_2,0)),'DICTIONARY-5'!$A$2))</f>
        <v/>
      </c>
      <c r="L1472" s="670" t="str">
        <f>IFERROR(IF(CURRENCY.FORMAT_1=0,CONCATENATE(TEXT(FIXED(ROUND((C1472*(1-I1472)*(1-ADD.DISCOUNT)*(1+MAT.SURCHARGE)/EXC.RATE_1),CURRENCY.FORMAT_1),CURRENCY.FORMAT_1,1),"# ##0;-# ##0"),",-"),FIXED(ROUND((C1472*(1-I1472)*(1-ADD.DISCOUNT)*(1+MAT.SURCHARGE)/EXC.RATE_1),CURRENCY.FORMAT_1),CURRENCY.FORMAT_1,0)),'DICTIONARY-5'!$A$2)</f>
        <v>13 894,-</v>
      </c>
      <c r="M1472" s="670" t="str">
        <f>IF(EXC.RATE_2=0,"",IFERROR(IF(CURRENCY.FORMAT_2=0,CONCATENATE(TEXT(FIXED(ROUND(IF(EXC.RATE.SWITCH=1,C1472*(1-I1472)*(1-ADD.DISCOUNT)*(1+MAT.SURCHARGE)/EXC.RATE_2,C1472*(1-I1472)*(1-ADD.DISCOUNT)*(1+MAT.SURCHARGE)*EXC.RATE_2),CURRENCY.FORMAT_2),CURRENCY.FORMAT_2,1),"# ##0;-# ##0"),",-"),FIXED(ROUND(IF(EXC.RATE.SWITCH=1,C1472*(1-I1472)*(1-ADD.DISCOUNT)*(1+MAT.SURCHARGE)/EXC.RATE_2,C1472*(1-I1472)*(1-ADD.DISCOUNT)*(1+MAT.SURCHARGE)*EXC.RATE_2),CURRENCY.FORMAT_2),CURRENCY.FORMAT_2,0)),'DICTIONARY-5'!$A$2))</f>
        <v/>
      </c>
      <c r="N1472" s="539">
        <v>5</v>
      </c>
      <c r="O1472" s="539"/>
      <c r="P1472" s="732" t="str">
        <f>'DICTIONARY-3'!$A$35</f>
        <v>HADE PTK-A</v>
      </c>
      <c r="Q1472" s="732" t="str">
        <f>'DICTIONARY-3'!$A$203</f>
        <v>Klapa przeciwcofkowa</v>
      </c>
      <c r="R1472" s="732" t="str">
        <f>CONCATENATE('DICTIONARY-3'!$A$35," ",'DICTIONARY-6'!$A$19," ",'DICTIONARY-2'!$A$2,"1500, ",'DICTIONARY-3'!$A$267)</f>
        <v>HADE PTK-A Klapa przeciwcofk. DN1500, montaż na ścianie</v>
      </c>
      <c r="S1472" s="733" t="s">
        <v>5569</v>
      </c>
      <c r="T1472" s="732" t="s">
        <v>5569</v>
      </c>
      <c r="U1472" s="734" t="s">
        <v>5845</v>
      </c>
      <c r="V1472" s="735" t="s">
        <v>5569</v>
      </c>
      <c r="W1472" s="736"/>
      <c r="X1472" s="737"/>
      <c r="Y1472" s="738"/>
      <c r="Z1472" s="739"/>
      <c r="AA1472" s="739"/>
      <c r="AB1472" s="746">
        <v>0.1</v>
      </c>
      <c r="AC1472" s="741" t="s">
        <v>5569</v>
      </c>
      <c r="AD1472" s="741" t="s">
        <v>5569</v>
      </c>
      <c r="AE1472" s="742" t="s">
        <v>5569</v>
      </c>
      <c r="AF1472" s="743">
        <v>130</v>
      </c>
      <c r="AG1472" s="741" t="s">
        <v>5569</v>
      </c>
    </row>
    <row r="1473" spans="1:33" x14ac:dyDescent="0.25">
      <c r="A1473" s="861" t="s">
        <v>1494</v>
      </c>
      <c r="B1473" s="861" t="s">
        <v>4592</v>
      </c>
      <c r="C1473" s="836">
        <v>15956</v>
      </c>
      <c r="D1473" s="836"/>
      <c r="E1473" s="836"/>
      <c r="F1473" s="836"/>
      <c r="G1473" s="496" t="s">
        <v>7829</v>
      </c>
      <c r="H1473" s="797" t="str">
        <f>VLOOKUP(G1473,SETTINGS!$B$7:$D$97,2,0)</f>
        <v>HADE</v>
      </c>
      <c r="I1473" s="796">
        <f>VLOOKUP(G1473,SETTINGS!$B$7:$D$97,3,0)</f>
        <v>0</v>
      </c>
      <c r="J1473" s="670" t="str">
        <f>IFERROR(IF(CURRENCY.FORMAT_1=0,CONCATENATE(TEXT(FIXED(ROUND((C1473/EXC.RATE_1),CURRENCY.FORMAT_1),CURRENCY.FORMAT_1,1),"# ##0;-# ##0"),",-"),FIXED(ROUND((C1473/EXC.RATE_1),CURRENCY.FORMAT_1),CURRENCY.FORMAT_1,0)),'DICTIONARY-5'!$A$2)</f>
        <v>15 956,-</v>
      </c>
      <c r="K1473" s="670" t="str">
        <f>IF(EXC.RATE_2=0,"",IFERROR(IF(CURRENCY.FORMAT_2=0,CONCATENATE(TEXT(FIXED(ROUND(IF(EXC.RATE.SWITCH=1,C1473/EXC.RATE_2,C1473*EXC.RATE_2),CURRENCY.FORMAT_2),CURRENCY.FORMAT_2,1),"# ##0;-# ##0"),",-"),FIXED(ROUND(IF(EXC.RATE.SWITCH=1,C1473/EXC.RATE_2,C1473*EXC.RATE_2),CURRENCY.FORMAT_2),CURRENCY.FORMAT_2,0)),'DICTIONARY-5'!$A$2))</f>
        <v/>
      </c>
      <c r="L1473" s="670" t="str">
        <f>IFERROR(IF(CURRENCY.FORMAT_1=0,CONCATENATE(TEXT(FIXED(ROUND((C1473*(1-I1473)*(1-ADD.DISCOUNT)*(1+MAT.SURCHARGE)/EXC.RATE_1),CURRENCY.FORMAT_1),CURRENCY.FORMAT_1,1),"# ##0;-# ##0"),",-"),FIXED(ROUND((C1473*(1-I1473)*(1-ADD.DISCOUNT)*(1+MAT.SURCHARGE)/EXC.RATE_1),CURRENCY.FORMAT_1),CURRENCY.FORMAT_1,0)),'DICTIONARY-5'!$A$2)</f>
        <v>16 578,-</v>
      </c>
      <c r="M1473" s="670" t="str">
        <f>IF(EXC.RATE_2=0,"",IFERROR(IF(CURRENCY.FORMAT_2=0,CONCATENATE(TEXT(FIXED(ROUND(IF(EXC.RATE.SWITCH=1,C1473*(1-I1473)*(1-ADD.DISCOUNT)*(1+MAT.SURCHARGE)/EXC.RATE_2,C1473*(1-I1473)*(1-ADD.DISCOUNT)*(1+MAT.SURCHARGE)*EXC.RATE_2),CURRENCY.FORMAT_2),CURRENCY.FORMAT_2,1),"# ##0;-# ##0"),",-"),FIXED(ROUND(IF(EXC.RATE.SWITCH=1,C1473*(1-I1473)*(1-ADD.DISCOUNT)*(1+MAT.SURCHARGE)/EXC.RATE_2,C1473*(1-I1473)*(1-ADD.DISCOUNT)*(1+MAT.SURCHARGE)*EXC.RATE_2),CURRENCY.FORMAT_2),CURRENCY.FORMAT_2,0)),'DICTIONARY-5'!$A$2))</f>
        <v/>
      </c>
      <c r="N1473" s="539">
        <v>5</v>
      </c>
      <c r="O1473" s="539"/>
      <c r="P1473" s="732" t="str">
        <f>'DICTIONARY-3'!$A$35</f>
        <v>HADE PTK-A</v>
      </c>
      <c r="Q1473" s="732" t="str">
        <f>'DICTIONARY-3'!$A$203</f>
        <v>Klapa przeciwcofkowa</v>
      </c>
      <c r="R1473" s="732" t="str">
        <f>CONCATENATE('DICTIONARY-3'!$A$35," ",'DICTIONARY-6'!$A$19," ",'DICTIONARY-2'!$A$2,"1600, ",'DICTIONARY-3'!$A$267)</f>
        <v>HADE PTK-A Klapa przeciwcofk. DN1600, montaż na ścianie</v>
      </c>
      <c r="S1473" s="733" t="s">
        <v>5569</v>
      </c>
      <c r="T1473" s="732" t="s">
        <v>5569</v>
      </c>
      <c r="U1473" s="734" t="s">
        <v>5840</v>
      </c>
      <c r="V1473" s="735" t="s">
        <v>5569</v>
      </c>
      <c r="W1473" s="736"/>
      <c r="X1473" s="737"/>
      <c r="Y1473" s="738"/>
      <c r="Z1473" s="739"/>
      <c r="AA1473" s="739"/>
      <c r="AB1473" s="746">
        <v>0.1</v>
      </c>
      <c r="AC1473" s="741" t="s">
        <v>5569</v>
      </c>
      <c r="AD1473" s="741" t="s">
        <v>5569</v>
      </c>
      <c r="AE1473" s="742" t="s">
        <v>5569</v>
      </c>
      <c r="AF1473" s="743">
        <v>140</v>
      </c>
      <c r="AG1473" s="741" t="s">
        <v>5569</v>
      </c>
    </row>
    <row r="1474" spans="1:33" x14ac:dyDescent="0.25">
      <c r="A1474" s="861" t="s">
        <v>1496</v>
      </c>
      <c r="B1474" s="861" t="s">
        <v>4597</v>
      </c>
      <c r="C1474" s="836">
        <v>24888</v>
      </c>
      <c r="D1474" s="836"/>
      <c r="E1474" s="836"/>
      <c r="F1474" s="836"/>
      <c r="G1474" s="496" t="s">
        <v>7829</v>
      </c>
      <c r="H1474" s="797" t="str">
        <f>VLOOKUP(G1474,SETTINGS!$B$7:$D$97,2,0)</f>
        <v>HADE</v>
      </c>
      <c r="I1474" s="796">
        <f>VLOOKUP(G1474,SETTINGS!$B$7:$D$97,3,0)</f>
        <v>0</v>
      </c>
      <c r="J1474" s="670" t="str">
        <f>IFERROR(IF(CURRENCY.FORMAT_1=0,CONCATENATE(TEXT(FIXED(ROUND((C1474/EXC.RATE_1),CURRENCY.FORMAT_1),CURRENCY.FORMAT_1,1),"# ##0;-# ##0"),",-"),FIXED(ROUND((C1474/EXC.RATE_1),CURRENCY.FORMAT_1),CURRENCY.FORMAT_1,0)),'DICTIONARY-5'!$A$2)</f>
        <v>24 888,-</v>
      </c>
      <c r="K1474" s="670" t="str">
        <f>IF(EXC.RATE_2=0,"",IFERROR(IF(CURRENCY.FORMAT_2=0,CONCATENATE(TEXT(FIXED(ROUND(IF(EXC.RATE.SWITCH=1,C1474/EXC.RATE_2,C1474*EXC.RATE_2),CURRENCY.FORMAT_2),CURRENCY.FORMAT_2,1),"# ##0;-# ##0"),",-"),FIXED(ROUND(IF(EXC.RATE.SWITCH=1,C1474/EXC.RATE_2,C1474*EXC.RATE_2),CURRENCY.FORMAT_2),CURRENCY.FORMAT_2,0)),'DICTIONARY-5'!$A$2))</f>
        <v/>
      </c>
      <c r="L1474" s="670" t="str">
        <f>IFERROR(IF(CURRENCY.FORMAT_1=0,CONCATENATE(TEXT(FIXED(ROUND((C1474*(1-I1474)*(1-ADD.DISCOUNT)*(1+MAT.SURCHARGE)/EXC.RATE_1),CURRENCY.FORMAT_1),CURRENCY.FORMAT_1,1),"# ##0;-# ##0"),",-"),FIXED(ROUND((C1474*(1-I1474)*(1-ADD.DISCOUNT)*(1+MAT.SURCHARGE)/EXC.RATE_1),CURRENCY.FORMAT_1),CURRENCY.FORMAT_1,0)),'DICTIONARY-5'!$A$2)</f>
        <v>25 859,-</v>
      </c>
      <c r="M1474" s="670" t="str">
        <f>IF(EXC.RATE_2=0,"",IFERROR(IF(CURRENCY.FORMAT_2=0,CONCATENATE(TEXT(FIXED(ROUND(IF(EXC.RATE.SWITCH=1,C1474*(1-I1474)*(1-ADD.DISCOUNT)*(1+MAT.SURCHARGE)/EXC.RATE_2,C1474*(1-I1474)*(1-ADD.DISCOUNT)*(1+MAT.SURCHARGE)*EXC.RATE_2),CURRENCY.FORMAT_2),CURRENCY.FORMAT_2,1),"# ##0;-# ##0"),",-"),FIXED(ROUND(IF(EXC.RATE.SWITCH=1,C1474*(1-I1474)*(1-ADD.DISCOUNT)*(1+MAT.SURCHARGE)/EXC.RATE_2,C1474*(1-I1474)*(1-ADD.DISCOUNT)*(1+MAT.SURCHARGE)*EXC.RATE_2),CURRENCY.FORMAT_2),CURRENCY.FORMAT_2,0)),'DICTIONARY-5'!$A$2))</f>
        <v/>
      </c>
      <c r="N1474" s="539">
        <v>5</v>
      </c>
      <c r="O1474" s="539"/>
      <c r="P1474" s="732" t="str">
        <f>'DICTIONARY-3'!$A$35</f>
        <v>HADE PTK-A</v>
      </c>
      <c r="Q1474" s="732" t="str">
        <f>'DICTIONARY-3'!$A$203</f>
        <v>Klapa przeciwcofkowa</v>
      </c>
      <c r="R1474" s="732" t="str">
        <f>CONCATENATE('DICTIONARY-3'!$A$35," ",'DICTIONARY-6'!$A$19," ",'DICTIONARY-2'!$A$2,"1800, ",'DICTIONARY-3'!$A$267)</f>
        <v>HADE PTK-A Klapa przeciwcofk. DN1800, montaż na ścianie</v>
      </c>
      <c r="S1474" s="733" t="s">
        <v>5569</v>
      </c>
      <c r="T1474" s="732" t="s">
        <v>5569</v>
      </c>
      <c r="U1474" s="734" t="s">
        <v>5841</v>
      </c>
      <c r="V1474" s="735" t="s">
        <v>5569</v>
      </c>
      <c r="W1474" s="736"/>
      <c r="X1474" s="737"/>
      <c r="Y1474" s="738"/>
      <c r="Z1474" s="739"/>
      <c r="AA1474" s="739"/>
      <c r="AB1474" s="746">
        <v>0.1</v>
      </c>
      <c r="AC1474" s="741" t="s">
        <v>5569</v>
      </c>
      <c r="AD1474" s="741" t="s">
        <v>5569</v>
      </c>
      <c r="AE1474" s="742" t="s">
        <v>5569</v>
      </c>
      <c r="AF1474" s="743">
        <v>150</v>
      </c>
      <c r="AG1474" s="741" t="s">
        <v>5569</v>
      </c>
    </row>
    <row r="1475" spans="1:33" x14ac:dyDescent="0.25">
      <c r="A1475" s="861" t="s">
        <v>1498</v>
      </c>
      <c r="B1475" s="861" t="s">
        <v>4606</v>
      </c>
      <c r="C1475" s="836">
        <v>23935</v>
      </c>
      <c r="D1475" s="836"/>
      <c r="E1475" s="836"/>
      <c r="F1475" s="836"/>
      <c r="G1475" s="496" t="s">
        <v>7829</v>
      </c>
      <c r="H1475" s="797" t="str">
        <f>VLOOKUP(G1475,SETTINGS!$B$7:$D$97,2,0)</f>
        <v>HADE</v>
      </c>
      <c r="I1475" s="796">
        <f>VLOOKUP(G1475,SETTINGS!$B$7:$D$97,3,0)</f>
        <v>0</v>
      </c>
      <c r="J1475" s="670" t="str">
        <f>IFERROR(IF(CURRENCY.FORMAT_1=0,CONCATENATE(TEXT(FIXED(ROUND((C1475/EXC.RATE_1),CURRENCY.FORMAT_1),CURRENCY.FORMAT_1,1),"# ##0;-# ##0"),",-"),FIXED(ROUND((C1475/EXC.RATE_1),CURRENCY.FORMAT_1),CURRENCY.FORMAT_1,0)),'DICTIONARY-5'!$A$2)</f>
        <v>23 935,-</v>
      </c>
      <c r="K1475" s="670" t="str">
        <f>IF(EXC.RATE_2=0,"",IFERROR(IF(CURRENCY.FORMAT_2=0,CONCATENATE(TEXT(FIXED(ROUND(IF(EXC.RATE.SWITCH=1,C1475/EXC.RATE_2,C1475*EXC.RATE_2),CURRENCY.FORMAT_2),CURRENCY.FORMAT_2,1),"# ##0;-# ##0"),",-"),FIXED(ROUND(IF(EXC.RATE.SWITCH=1,C1475/EXC.RATE_2,C1475*EXC.RATE_2),CURRENCY.FORMAT_2),CURRENCY.FORMAT_2,0)),'DICTIONARY-5'!$A$2))</f>
        <v/>
      </c>
      <c r="L1475" s="670" t="str">
        <f>IFERROR(IF(CURRENCY.FORMAT_1=0,CONCATENATE(TEXT(FIXED(ROUND((C1475*(1-I1475)*(1-ADD.DISCOUNT)*(1+MAT.SURCHARGE)/EXC.RATE_1),CURRENCY.FORMAT_1),CURRENCY.FORMAT_1,1),"# ##0;-# ##0"),",-"),FIXED(ROUND((C1475*(1-I1475)*(1-ADD.DISCOUNT)*(1+MAT.SURCHARGE)/EXC.RATE_1),CURRENCY.FORMAT_1),CURRENCY.FORMAT_1,0)),'DICTIONARY-5'!$A$2)</f>
        <v>24 868,-</v>
      </c>
      <c r="M1475" s="670" t="str">
        <f>IF(EXC.RATE_2=0,"",IFERROR(IF(CURRENCY.FORMAT_2=0,CONCATENATE(TEXT(FIXED(ROUND(IF(EXC.RATE.SWITCH=1,C1475*(1-I1475)*(1-ADD.DISCOUNT)*(1+MAT.SURCHARGE)/EXC.RATE_2,C1475*(1-I1475)*(1-ADD.DISCOUNT)*(1+MAT.SURCHARGE)*EXC.RATE_2),CURRENCY.FORMAT_2),CURRENCY.FORMAT_2,1),"# ##0;-# ##0"),",-"),FIXED(ROUND(IF(EXC.RATE.SWITCH=1,C1475*(1-I1475)*(1-ADD.DISCOUNT)*(1+MAT.SURCHARGE)/EXC.RATE_2,C1475*(1-I1475)*(1-ADD.DISCOUNT)*(1+MAT.SURCHARGE)*EXC.RATE_2),CURRENCY.FORMAT_2),CURRENCY.FORMAT_2,0)),'DICTIONARY-5'!$A$2))</f>
        <v/>
      </c>
      <c r="N1475" s="539">
        <v>5</v>
      </c>
      <c r="O1475" s="539"/>
      <c r="P1475" s="732" t="str">
        <f>'DICTIONARY-3'!$A$35</f>
        <v>HADE PTK-A</v>
      </c>
      <c r="Q1475" s="732" t="str">
        <f>'DICTIONARY-3'!$A$203</f>
        <v>Klapa przeciwcofkowa</v>
      </c>
      <c r="R1475" s="732" t="str">
        <f>CONCATENATE('DICTIONARY-3'!$A$35," ",'DICTIONARY-6'!$A$19," ",'DICTIONARY-2'!$A$2,"2000, ",'DICTIONARY-3'!$A$267)</f>
        <v>HADE PTK-A Klapa przeciwcofk. DN2000, montaż na ścianie</v>
      </c>
      <c r="S1475" s="733" t="s">
        <v>5569</v>
      </c>
      <c r="T1475" s="732" t="s">
        <v>5569</v>
      </c>
      <c r="U1475" s="734" t="s">
        <v>5842</v>
      </c>
      <c r="V1475" s="735" t="s">
        <v>5569</v>
      </c>
      <c r="W1475" s="736"/>
      <c r="X1475" s="737"/>
      <c r="Y1475" s="738"/>
      <c r="Z1475" s="739"/>
      <c r="AA1475" s="739"/>
      <c r="AB1475" s="746">
        <v>0.1</v>
      </c>
      <c r="AC1475" s="741" t="s">
        <v>5569</v>
      </c>
      <c r="AD1475" s="741" t="s">
        <v>5569</v>
      </c>
      <c r="AE1475" s="742" t="s">
        <v>5569</v>
      </c>
      <c r="AF1475" s="743">
        <v>160</v>
      </c>
      <c r="AG1475" s="741" t="s">
        <v>5569</v>
      </c>
    </row>
    <row r="1476" spans="1:33" x14ac:dyDescent="0.25">
      <c r="A1476" s="861" t="s">
        <v>1465</v>
      </c>
      <c r="B1476" s="861" t="s">
        <v>4625</v>
      </c>
      <c r="C1476" s="836">
        <v>75</v>
      </c>
      <c r="D1476" s="836"/>
      <c r="E1476" s="836"/>
      <c r="F1476" s="836"/>
      <c r="G1476" s="496" t="s">
        <v>7829</v>
      </c>
      <c r="H1476" s="797" t="str">
        <f>VLOOKUP(G1476,SETTINGS!$B$7:$D$97,2,0)</f>
        <v>HADE</v>
      </c>
      <c r="I1476" s="796">
        <f>VLOOKUP(G1476,SETTINGS!$B$7:$D$97,3,0)</f>
        <v>0</v>
      </c>
      <c r="J1476" s="670" t="str">
        <f>IFERROR(IF(CURRENCY.FORMAT_1=0,CONCATENATE(TEXT(FIXED(ROUND((C1476/EXC.RATE_1),CURRENCY.FORMAT_1),CURRENCY.FORMAT_1,1),"# ##0;-# ##0"),",-"),FIXED(ROUND((C1476/EXC.RATE_1),CURRENCY.FORMAT_1),CURRENCY.FORMAT_1,0)),'DICTIONARY-5'!$A$2)</f>
        <v>75,-</v>
      </c>
      <c r="K1476" s="670" t="str">
        <f>IF(EXC.RATE_2=0,"",IFERROR(IF(CURRENCY.FORMAT_2=0,CONCATENATE(TEXT(FIXED(ROUND(IF(EXC.RATE.SWITCH=1,C1476/EXC.RATE_2,C1476*EXC.RATE_2),CURRENCY.FORMAT_2),CURRENCY.FORMAT_2,1),"# ##0;-# ##0"),",-"),FIXED(ROUND(IF(EXC.RATE.SWITCH=1,C1476/EXC.RATE_2,C1476*EXC.RATE_2),CURRENCY.FORMAT_2),CURRENCY.FORMAT_2,0)),'DICTIONARY-5'!$A$2))</f>
        <v/>
      </c>
      <c r="L1476" s="670" t="str">
        <f>IFERROR(IF(CURRENCY.FORMAT_1=0,CONCATENATE(TEXT(FIXED(ROUND((C1476*(1-I1476)*(1-ADD.DISCOUNT)*(1+MAT.SURCHARGE)/EXC.RATE_1),CURRENCY.FORMAT_1),CURRENCY.FORMAT_1,1),"# ##0;-# ##0"),",-"),FIXED(ROUND((C1476*(1-I1476)*(1-ADD.DISCOUNT)*(1+MAT.SURCHARGE)/EXC.RATE_1),CURRENCY.FORMAT_1),CURRENCY.FORMAT_1,0)),'DICTIONARY-5'!$A$2)</f>
        <v>78,-</v>
      </c>
      <c r="M1476" s="670" t="str">
        <f>IF(EXC.RATE_2=0,"",IFERROR(IF(CURRENCY.FORMAT_2=0,CONCATENATE(TEXT(FIXED(ROUND(IF(EXC.RATE.SWITCH=1,C1476*(1-I1476)*(1-ADD.DISCOUNT)*(1+MAT.SURCHARGE)/EXC.RATE_2,C1476*(1-I1476)*(1-ADD.DISCOUNT)*(1+MAT.SURCHARGE)*EXC.RATE_2),CURRENCY.FORMAT_2),CURRENCY.FORMAT_2,1),"# ##0;-# ##0"),",-"),FIXED(ROUND(IF(EXC.RATE.SWITCH=1,C1476*(1-I1476)*(1-ADD.DISCOUNT)*(1+MAT.SURCHARGE)/EXC.RATE_2,C1476*(1-I1476)*(1-ADD.DISCOUNT)*(1+MAT.SURCHARGE)*EXC.RATE_2),CURRENCY.FORMAT_2),CURRENCY.FORMAT_2,0)),'DICTIONARY-5'!$A$2))</f>
        <v/>
      </c>
      <c r="N1476" s="539">
        <v>5</v>
      </c>
      <c r="O1476" s="539"/>
      <c r="P1476" s="732" t="str">
        <f>'DICTIONARY-3'!$A$35</f>
        <v>HADE PTK-A</v>
      </c>
      <c r="Q1476" s="732" t="str">
        <f>'DICTIONARY-3'!$A$231</f>
        <v>Zestaw kotwiący</v>
      </c>
      <c r="R1476" s="732" t="str">
        <f>CONCATENATE('DICTIONARY-3'!$A$231," ",'DICTIONARY-5'!$A$7," ",'DICTIONARY-3'!$A$35," ",'DICTIONARY-2'!$A$2,"150")</f>
        <v>Zestaw kotwiący dla HADE PTK-A DN150</v>
      </c>
      <c r="S1476" s="733" t="s">
        <v>5569</v>
      </c>
      <c r="T1476" s="732" t="s">
        <v>5569</v>
      </c>
      <c r="U1476" s="734" t="s">
        <v>5572</v>
      </c>
      <c r="V1476" s="735"/>
      <c r="W1476" s="736"/>
      <c r="X1476" s="737"/>
      <c r="Y1476" s="738"/>
      <c r="Z1476" s="739"/>
      <c r="AA1476" s="739"/>
      <c r="AB1476" s="746"/>
      <c r="AC1476" s="741"/>
      <c r="AD1476" s="741"/>
      <c r="AE1476" s="742"/>
      <c r="AF1476" s="743">
        <v>0.5</v>
      </c>
      <c r="AG1476" s="741"/>
    </row>
    <row r="1477" spans="1:33" x14ac:dyDescent="0.25">
      <c r="A1477" s="861" t="s">
        <v>1467</v>
      </c>
      <c r="B1477" s="861" t="s">
        <v>4626</v>
      </c>
      <c r="C1477" s="836">
        <v>73</v>
      </c>
      <c r="D1477" s="836"/>
      <c r="E1477" s="836"/>
      <c r="F1477" s="836"/>
      <c r="G1477" s="496" t="s">
        <v>7829</v>
      </c>
      <c r="H1477" s="797" t="str">
        <f>VLOOKUP(G1477,SETTINGS!$B$7:$D$97,2,0)</f>
        <v>HADE</v>
      </c>
      <c r="I1477" s="796">
        <f>VLOOKUP(G1477,SETTINGS!$B$7:$D$97,3,0)</f>
        <v>0</v>
      </c>
      <c r="J1477" s="670" t="str">
        <f>IFERROR(IF(CURRENCY.FORMAT_1=0,CONCATENATE(TEXT(FIXED(ROUND((C1477/EXC.RATE_1),CURRENCY.FORMAT_1),CURRENCY.FORMAT_1,1),"# ##0;-# ##0"),",-"),FIXED(ROUND((C1477/EXC.RATE_1),CURRENCY.FORMAT_1),CURRENCY.FORMAT_1,0)),'DICTIONARY-5'!$A$2)</f>
        <v>73,-</v>
      </c>
      <c r="K1477" s="670" t="str">
        <f>IF(EXC.RATE_2=0,"",IFERROR(IF(CURRENCY.FORMAT_2=0,CONCATENATE(TEXT(FIXED(ROUND(IF(EXC.RATE.SWITCH=1,C1477/EXC.RATE_2,C1477*EXC.RATE_2),CURRENCY.FORMAT_2),CURRENCY.FORMAT_2,1),"# ##0;-# ##0"),",-"),FIXED(ROUND(IF(EXC.RATE.SWITCH=1,C1477/EXC.RATE_2,C1477*EXC.RATE_2),CURRENCY.FORMAT_2),CURRENCY.FORMAT_2,0)),'DICTIONARY-5'!$A$2))</f>
        <v/>
      </c>
      <c r="L1477" s="670" t="str">
        <f>IFERROR(IF(CURRENCY.FORMAT_1=0,CONCATENATE(TEXT(FIXED(ROUND((C1477*(1-I1477)*(1-ADD.DISCOUNT)*(1+MAT.SURCHARGE)/EXC.RATE_1),CURRENCY.FORMAT_1),CURRENCY.FORMAT_1,1),"# ##0;-# ##0"),",-"),FIXED(ROUND((C1477*(1-I1477)*(1-ADD.DISCOUNT)*(1+MAT.SURCHARGE)/EXC.RATE_1),CURRENCY.FORMAT_1),CURRENCY.FORMAT_1,0)),'DICTIONARY-5'!$A$2)</f>
        <v>76,-</v>
      </c>
      <c r="M1477" s="670" t="str">
        <f>IF(EXC.RATE_2=0,"",IFERROR(IF(CURRENCY.FORMAT_2=0,CONCATENATE(TEXT(FIXED(ROUND(IF(EXC.RATE.SWITCH=1,C1477*(1-I1477)*(1-ADD.DISCOUNT)*(1+MAT.SURCHARGE)/EXC.RATE_2,C1477*(1-I1477)*(1-ADD.DISCOUNT)*(1+MAT.SURCHARGE)*EXC.RATE_2),CURRENCY.FORMAT_2),CURRENCY.FORMAT_2,1),"# ##0;-# ##0"),",-"),FIXED(ROUND(IF(EXC.RATE.SWITCH=1,C1477*(1-I1477)*(1-ADD.DISCOUNT)*(1+MAT.SURCHARGE)/EXC.RATE_2,C1477*(1-I1477)*(1-ADD.DISCOUNT)*(1+MAT.SURCHARGE)*EXC.RATE_2),CURRENCY.FORMAT_2),CURRENCY.FORMAT_2,0)),'DICTIONARY-5'!$A$2))</f>
        <v/>
      </c>
      <c r="N1477" s="539">
        <v>5</v>
      </c>
      <c r="O1477" s="539"/>
      <c r="P1477" s="732" t="str">
        <f>'DICTIONARY-3'!$A$35</f>
        <v>HADE PTK-A</v>
      </c>
      <c r="Q1477" s="732" t="str">
        <f>'DICTIONARY-3'!$A$231</f>
        <v>Zestaw kotwiący</v>
      </c>
      <c r="R1477" s="732" t="str">
        <f>CONCATENATE('DICTIONARY-3'!$A$231," ",'DICTIONARY-5'!$A$7," ",'DICTIONARY-3'!$A$35," ",'DICTIONARY-2'!$A$2,"200")</f>
        <v>Zestaw kotwiący dla HADE PTK-A DN200</v>
      </c>
      <c r="S1477" s="733" t="s">
        <v>5569</v>
      </c>
      <c r="T1477" s="732" t="s">
        <v>5569</v>
      </c>
      <c r="U1477" s="734" t="s">
        <v>5750</v>
      </c>
      <c r="V1477" s="735"/>
      <c r="W1477" s="736"/>
      <c r="X1477" s="737"/>
      <c r="Y1477" s="738"/>
      <c r="Z1477" s="739"/>
      <c r="AA1477" s="739"/>
      <c r="AB1477" s="746"/>
      <c r="AC1477" s="741"/>
      <c r="AD1477" s="741"/>
      <c r="AE1477" s="742"/>
      <c r="AF1477" s="743">
        <v>0.5</v>
      </c>
      <c r="AG1477" s="741"/>
    </row>
    <row r="1478" spans="1:33" x14ac:dyDescent="0.25">
      <c r="A1478" s="861" t="s">
        <v>1469</v>
      </c>
      <c r="B1478" s="861" t="s">
        <v>4627</v>
      </c>
      <c r="C1478" s="836">
        <v>76</v>
      </c>
      <c r="D1478" s="836"/>
      <c r="E1478" s="836"/>
      <c r="F1478" s="836"/>
      <c r="G1478" s="496" t="s">
        <v>7829</v>
      </c>
      <c r="H1478" s="797" t="str">
        <f>VLOOKUP(G1478,SETTINGS!$B$7:$D$97,2,0)</f>
        <v>HADE</v>
      </c>
      <c r="I1478" s="796">
        <f>VLOOKUP(G1478,SETTINGS!$B$7:$D$97,3,0)</f>
        <v>0</v>
      </c>
      <c r="J1478" s="670" t="str">
        <f>IFERROR(IF(CURRENCY.FORMAT_1=0,CONCATENATE(TEXT(FIXED(ROUND((C1478/EXC.RATE_1),CURRENCY.FORMAT_1),CURRENCY.FORMAT_1,1),"# ##0;-# ##0"),",-"),FIXED(ROUND((C1478/EXC.RATE_1),CURRENCY.FORMAT_1),CURRENCY.FORMAT_1,0)),'DICTIONARY-5'!$A$2)</f>
        <v>76,-</v>
      </c>
      <c r="K1478" s="670" t="str">
        <f>IF(EXC.RATE_2=0,"",IFERROR(IF(CURRENCY.FORMAT_2=0,CONCATENATE(TEXT(FIXED(ROUND(IF(EXC.RATE.SWITCH=1,C1478/EXC.RATE_2,C1478*EXC.RATE_2),CURRENCY.FORMAT_2),CURRENCY.FORMAT_2,1),"# ##0;-# ##0"),",-"),FIXED(ROUND(IF(EXC.RATE.SWITCH=1,C1478/EXC.RATE_2,C1478*EXC.RATE_2),CURRENCY.FORMAT_2),CURRENCY.FORMAT_2,0)),'DICTIONARY-5'!$A$2))</f>
        <v/>
      </c>
      <c r="L1478" s="670" t="str">
        <f>IFERROR(IF(CURRENCY.FORMAT_1=0,CONCATENATE(TEXT(FIXED(ROUND((C1478*(1-I1478)*(1-ADD.DISCOUNT)*(1+MAT.SURCHARGE)/EXC.RATE_1),CURRENCY.FORMAT_1),CURRENCY.FORMAT_1,1),"# ##0;-# ##0"),",-"),FIXED(ROUND((C1478*(1-I1478)*(1-ADD.DISCOUNT)*(1+MAT.SURCHARGE)/EXC.RATE_1),CURRENCY.FORMAT_1),CURRENCY.FORMAT_1,0)),'DICTIONARY-5'!$A$2)</f>
        <v>79,-</v>
      </c>
      <c r="M1478" s="670" t="str">
        <f>IF(EXC.RATE_2=0,"",IFERROR(IF(CURRENCY.FORMAT_2=0,CONCATENATE(TEXT(FIXED(ROUND(IF(EXC.RATE.SWITCH=1,C1478*(1-I1478)*(1-ADD.DISCOUNT)*(1+MAT.SURCHARGE)/EXC.RATE_2,C1478*(1-I1478)*(1-ADD.DISCOUNT)*(1+MAT.SURCHARGE)*EXC.RATE_2),CURRENCY.FORMAT_2),CURRENCY.FORMAT_2,1),"# ##0;-# ##0"),",-"),FIXED(ROUND(IF(EXC.RATE.SWITCH=1,C1478*(1-I1478)*(1-ADD.DISCOUNT)*(1+MAT.SURCHARGE)/EXC.RATE_2,C1478*(1-I1478)*(1-ADD.DISCOUNT)*(1+MAT.SURCHARGE)*EXC.RATE_2),CURRENCY.FORMAT_2),CURRENCY.FORMAT_2,0)),'DICTIONARY-5'!$A$2))</f>
        <v/>
      </c>
      <c r="N1478" s="539">
        <v>5</v>
      </c>
      <c r="O1478" s="539"/>
      <c r="P1478" s="732" t="str">
        <f>'DICTIONARY-3'!$A$35</f>
        <v>HADE PTK-A</v>
      </c>
      <c r="Q1478" s="732" t="str">
        <f>'DICTIONARY-3'!$A$231</f>
        <v>Zestaw kotwiący</v>
      </c>
      <c r="R1478" s="732" t="str">
        <f>CONCATENATE('DICTIONARY-3'!$A$231," ",'DICTIONARY-5'!$A$7," ",'DICTIONARY-3'!$A$35," ",'DICTIONARY-2'!$A$2,"250")</f>
        <v>Zestaw kotwiący dla HADE PTK-A DN250</v>
      </c>
      <c r="S1478" s="733" t="s">
        <v>5569</v>
      </c>
      <c r="T1478" s="732" t="s">
        <v>5569</v>
      </c>
      <c r="U1478" s="734" t="s">
        <v>5751</v>
      </c>
      <c r="V1478" s="735"/>
      <c r="W1478" s="736"/>
      <c r="X1478" s="737"/>
      <c r="Y1478" s="738"/>
      <c r="Z1478" s="739"/>
      <c r="AA1478" s="739"/>
      <c r="AB1478" s="746"/>
      <c r="AC1478" s="741"/>
      <c r="AD1478" s="741"/>
      <c r="AE1478" s="742"/>
      <c r="AF1478" s="743">
        <v>0.3</v>
      </c>
      <c r="AG1478" s="741" t="s">
        <v>5569</v>
      </c>
    </row>
    <row r="1479" spans="1:33" x14ac:dyDescent="0.25">
      <c r="A1479" s="861" t="s">
        <v>1471</v>
      </c>
      <c r="B1479" s="861" t="s">
        <v>4628</v>
      </c>
      <c r="C1479" s="836">
        <v>73</v>
      </c>
      <c r="D1479" s="836"/>
      <c r="E1479" s="836"/>
      <c r="F1479" s="836"/>
      <c r="G1479" s="496" t="s">
        <v>7829</v>
      </c>
      <c r="H1479" s="797" t="str">
        <f>VLOOKUP(G1479,SETTINGS!$B$7:$D$97,2,0)</f>
        <v>HADE</v>
      </c>
      <c r="I1479" s="796">
        <f>VLOOKUP(G1479,SETTINGS!$B$7:$D$97,3,0)</f>
        <v>0</v>
      </c>
      <c r="J1479" s="670" t="str">
        <f>IFERROR(IF(CURRENCY.FORMAT_1=0,CONCATENATE(TEXT(FIXED(ROUND((C1479/EXC.RATE_1),CURRENCY.FORMAT_1),CURRENCY.FORMAT_1,1),"# ##0;-# ##0"),",-"),FIXED(ROUND((C1479/EXC.RATE_1),CURRENCY.FORMAT_1),CURRENCY.FORMAT_1,0)),'DICTIONARY-5'!$A$2)</f>
        <v>73,-</v>
      </c>
      <c r="K1479" s="670" t="str">
        <f>IF(EXC.RATE_2=0,"",IFERROR(IF(CURRENCY.FORMAT_2=0,CONCATENATE(TEXT(FIXED(ROUND(IF(EXC.RATE.SWITCH=1,C1479/EXC.RATE_2,C1479*EXC.RATE_2),CURRENCY.FORMAT_2),CURRENCY.FORMAT_2,1),"# ##0;-# ##0"),",-"),FIXED(ROUND(IF(EXC.RATE.SWITCH=1,C1479/EXC.RATE_2,C1479*EXC.RATE_2),CURRENCY.FORMAT_2),CURRENCY.FORMAT_2,0)),'DICTIONARY-5'!$A$2))</f>
        <v/>
      </c>
      <c r="L1479" s="670" t="str">
        <f>IFERROR(IF(CURRENCY.FORMAT_1=0,CONCATENATE(TEXT(FIXED(ROUND((C1479*(1-I1479)*(1-ADD.DISCOUNT)*(1+MAT.SURCHARGE)/EXC.RATE_1),CURRENCY.FORMAT_1),CURRENCY.FORMAT_1,1),"# ##0;-# ##0"),",-"),FIXED(ROUND((C1479*(1-I1479)*(1-ADD.DISCOUNT)*(1+MAT.SURCHARGE)/EXC.RATE_1),CURRENCY.FORMAT_1),CURRENCY.FORMAT_1,0)),'DICTIONARY-5'!$A$2)</f>
        <v>76,-</v>
      </c>
      <c r="M1479" s="670" t="str">
        <f>IF(EXC.RATE_2=0,"",IFERROR(IF(CURRENCY.FORMAT_2=0,CONCATENATE(TEXT(FIXED(ROUND(IF(EXC.RATE.SWITCH=1,C1479*(1-I1479)*(1-ADD.DISCOUNT)*(1+MAT.SURCHARGE)/EXC.RATE_2,C1479*(1-I1479)*(1-ADD.DISCOUNT)*(1+MAT.SURCHARGE)*EXC.RATE_2),CURRENCY.FORMAT_2),CURRENCY.FORMAT_2,1),"# ##0;-# ##0"),",-"),FIXED(ROUND(IF(EXC.RATE.SWITCH=1,C1479*(1-I1479)*(1-ADD.DISCOUNT)*(1+MAT.SURCHARGE)/EXC.RATE_2,C1479*(1-I1479)*(1-ADD.DISCOUNT)*(1+MAT.SURCHARGE)*EXC.RATE_2),CURRENCY.FORMAT_2),CURRENCY.FORMAT_2,0)),'DICTIONARY-5'!$A$2))</f>
        <v/>
      </c>
      <c r="N1479" s="539">
        <v>5</v>
      </c>
      <c r="O1479" s="539"/>
      <c r="P1479" s="732" t="str">
        <f>'DICTIONARY-3'!$A$35</f>
        <v>HADE PTK-A</v>
      </c>
      <c r="Q1479" s="732" t="str">
        <f>'DICTIONARY-3'!$A$231</f>
        <v>Zestaw kotwiący</v>
      </c>
      <c r="R1479" s="732" t="str">
        <f>CONCATENATE('DICTIONARY-3'!$A$231," ",'DICTIONARY-5'!$A$7," ",'DICTIONARY-3'!$A$35," ",'DICTIONARY-2'!$A$2,"300")</f>
        <v>Zestaw kotwiący dla HADE PTK-A DN300</v>
      </c>
      <c r="S1479" s="733" t="s">
        <v>5569</v>
      </c>
      <c r="T1479" s="732" t="s">
        <v>5569</v>
      </c>
      <c r="U1479" s="734" t="s">
        <v>5752</v>
      </c>
      <c r="V1479" s="735" t="s">
        <v>5569</v>
      </c>
      <c r="W1479" s="736"/>
      <c r="X1479" s="737"/>
      <c r="Y1479" s="738"/>
      <c r="Z1479" s="739"/>
      <c r="AA1479" s="739"/>
      <c r="AB1479" s="746"/>
      <c r="AC1479" s="741" t="s">
        <v>5569</v>
      </c>
      <c r="AD1479" s="741" t="s">
        <v>5569</v>
      </c>
      <c r="AE1479" s="742" t="s">
        <v>5569</v>
      </c>
      <c r="AF1479" s="743">
        <v>0.5</v>
      </c>
      <c r="AG1479" s="741" t="s">
        <v>5569</v>
      </c>
    </row>
    <row r="1480" spans="1:33" x14ac:dyDescent="0.25">
      <c r="A1480" s="861" t="s">
        <v>1473</v>
      </c>
      <c r="B1480" s="861" t="s">
        <v>4629</v>
      </c>
      <c r="C1480" s="836">
        <v>103</v>
      </c>
      <c r="D1480" s="836"/>
      <c r="E1480" s="836"/>
      <c r="F1480" s="836"/>
      <c r="G1480" s="496" t="s">
        <v>7829</v>
      </c>
      <c r="H1480" s="797" t="str">
        <f>VLOOKUP(G1480,SETTINGS!$B$7:$D$97,2,0)</f>
        <v>HADE</v>
      </c>
      <c r="I1480" s="796">
        <f>VLOOKUP(G1480,SETTINGS!$B$7:$D$97,3,0)</f>
        <v>0</v>
      </c>
      <c r="J1480" s="670" t="str">
        <f>IFERROR(IF(CURRENCY.FORMAT_1=0,CONCATENATE(TEXT(FIXED(ROUND((C1480/EXC.RATE_1),CURRENCY.FORMAT_1),CURRENCY.FORMAT_1,1),"# ##0;-# ##0"),",-"),FIXED(ROUND((C1480/EXC.RATE_1),CURRENCY.FORMAT_1),CURRENCY.FORMAT_1,0)),'DICTIONARY-5'!$A$2)</f>
        <v>103,-</v>
      </c>
      <c r="K1480" s="670" t="str">
        <f>IF(EXC.RATE_2=0,"",IFERROR(IF(CURRENCY.FORMAT_2=0,CONCATENATE(TEXT(FIXED(ROUND(IF(EXC.RATE.SWITCH=1,C1480/EXC.RATE_2,C1480*EXC.RATE_2),CURRENCY.FORMAT_2),CURRENCY.FORMAT_2,1),"# ##0;-# ##0"),",-"),FIXED(ROUND(IF(EXC.RATE.SWITCH=1,C1480/EXC.RATE_2,C1480*EXC.RATE_2),CURRENCY.FORMAT_2),CURRENCY.FORMAT_2,0)),'DICTIONARY-5'!$A$2))</f>
        <v/>
      </c>
      <c r="L1480" s="670" t="str">
        <f>IFERROR(IF(CURRENCY.FORMAT_1=0,CONCATENATE(TEXT(FIXED(ROUND((C1480*(1-I1480)*(1-ADD.DISCOUNT)*(1+MAT.SURCHARGE)/EXC.RATE_1),CURRENCY.FORMAT_1),CURRENCY.FORMAT_1,1),"# ##0;-# ##0"),",-"),FIXED(ROUND((C1480*(1-I1480)*(1-ADD.DISCOUNT)*(1+MAT.SURCHARGE)/EXC.RATE_1),CURRENCY.FORMAT_1),CURRENCY.FORMAT_1,0)),'DICTIONARY-5'!$A$2)</f>
        <v>107,-</v>
      </c>
      <c r="M1480" s="670" t="str">
        <f>IF(EXC.RATE_2=0,"",IFERROR(IF(CURRENCY.FORMAT_2=0,CONCATENATE(TEXT(FIXED(ROUND(IF(EXC.RATE.SWITCH=1,C1480*(1-I1480)*(1-ADD.DISCOUNT)*(1+MAT.SURCHARGE)/EXC.RATE_2,C1480*(1-I1480)*(1-ADD.DISCOUNT)*(1+MAT.SURCHARGE)*EXC.RATE_2),CURRENCY.FORMAT_2),CURRENCY.FORMAT_2,1),"# ##0;-# ##0"),",-"),FIXED(ROUND(IF(EXC.RATE.SWITCH=1,C1480*(1-I1480)*(1-ADD.DISCOUNT)*(1+MAT.SURCHARGE)/EXC.RATE_2,C1480*(1-I1480)*(1-ADD.DISCOUNT)*(1+MAT.SURCHARGE)*EXC.RATE_2),CURRENCY.FORMAT_2),CURRENCY.FORMAT_2,0)),'DICTIONARY-5'!$A$2))</f>
        <v/>
      </c>
      <c r="N1480" s="539">
        <v>5</v>
      </c>
      <c r="O1480" s="539"/>
      <c r="P1480" s="732" t="str">
        <f>'DICTIONARY-3'!$A$35</f>
        <v>HADE PTK-A</v>
      </c>
      <c r="Q1480" s="732" t="str">
        <f>'DICTIONARY-3'!$A$231</f>
        <v>Zestaw kotwiący</v>
      </c>
      <c r="R1480" s="732" t="str">
        <f>CONCATENATE('DICTIONARY-3'!$A$231," ",'DICTIONARY-5'!$A$7," ",'DICTIONARY-3'!$A$35," ",'DICTIONARY-2'!$A$2,"400")</f>
        <v>Zestaw kotwiący dla HADE PTK-A DN400</v>
      </c>
      <c r="S1480" s="733" t="s">
        <v>5569</v>
      </c>
      <c r="T1480" s="732" t="s">
        <v>5569</v>
      </c>
      <c r="U1480" s="734" t="s">
        <v>5754</v>
      </c>
      <c r="V1480" s="735" t="s">
        <v>5569</v>
      </c>
      <c r="W1480" s="736"/>
      <c r="X1480" s="737"/>
      <c r="Y1480" s="738"/>
      <c r="Z1480" s="739"/>
      <c r="AA1480" s="739"/>
      <c r="AB1480" s="746"/>
      <c r="AC1480" s="741" t="s">
        <v>5569</v>
      </c>
      <c r="AD1480" s="741" t="s">
        <v>5569</v>
      </c>
      <c r="AE1480" s="742" t="s">
        <v>5569</v>
      </c>
      <c r="AF1480" s="743">
        <v>0.5</v>
      </c>
      <c r="AG1480" s="741" t="s">
        <v>5569</v>
      </c>
    </row>
    <row r="1481" spans="1:33" x14ac:dyDescent="0.25">
      <c r="A1481" s="861" t="s">
        <v>1475</v>
      </c>
      <c r="B1481" s="861" t="s">
        <v>4630</v>
      </c>
      <c r="C1481" s="836">
        <v>121</v>
      </c>
      <c r="D1481" s="836"/>
      <c r="E1481" s="836"/>
      <c r="F1481" s="836"/>
      <c r="G1481" s="496" t="s">
        <v>7829</v>
      </c>
      <c r="H1481" s="797" t="str">
        <f>VLOOKUP(G1481,SETTINGS!$B$7:$D$97,2,0)</f>
        <v>HADE</v>
      </c>
      <c r="I1481" s="796">
        <f>VLOOKUP(G1481,SETTINGS!$B$7:$D$97,3,0)</f>
        <v>0</v>
      </c>
      <c r="J1481" s="670" t="str">
        <f>IFERROR(IF(CURRENCY.FORMAT_1=0,CONCATENATE(TEXT(FIXED(ROUND((C1481/EXC.RATE_1),CURRENCY.FORMAT_1),CURRENCY.FORMAT_1,1),"# ##0;-# ##0"),",-"),FIXED(ROUND((C1481/EXC.RATE_1),CURRENCY.FORMAT_1),CURRENCY.FORMAT_1,0)),'DICTIONARY-5'!$A$2)</f>
        <v>121,-</v>
      </c>
      <c r="K1481" s="670" t="str">
        <f>IF(EXC.RATE_2=0,"",IFERROR(IF(CURRENCY.FORMAT_2=0,CONCATENATE(TEXT(FIXED(ROUND(IF(EXC.RATE.SWITCH=1,C1481/EXC.RATE_2,C1481*EXC.RATE_2),CURRENCY.FORMAT_2),CURRENCY.FORMAT_2,1),"# ##0;-# ##0"),",-"),FIXED(ROUND(IF(EXC.RATE.SWITCH=1,C1481/EXC.RATE_2,C1481*EXC.RATE_2),CURRENCY.FORMAT_2),CURRENCY.FORMAT_2,0)),'DICTIONARY-5'!$A$2))</f>
        <v/>
      </c>
      <c r="L1481" s="670" t="str">
        <f>IFERROR(IF(CURRENCY.FORMAT_1=0,CONCATENATE(TEXT(FIXED(ROUND((C1481*(1-I1481)*(1-ADD.DISCOUNT)*(1+MAT.SURCHARGE)/EXC.RATE_1),CURRENCY.FORMAT_1),CURRENCY.FORMAT_1,1),"# ##0;-# ##0"),",-"),FIXED(ROUND((C1481*(1-I1481)*(1-ADD.DISCOUNT)*(1+MAT.SURCHARGE)/EXC.RATE_1),CURRENCY.FORMAT_1),CURRENCY.FORMAT_1,0)),'DICTIONARY-5'!$A$2)</f>
        <v>126,-</v>
      </c>
      <c r="M1481" s="670" t="str">
        <f>IF(EXC.RATE_2=0,"",IFERROR(IF(CURRENCY.FORMAT_2=0,CONCATENATE(TEXT(FIXED(ROUND(IF(EXC.RATE.SWITCH=1,C1481*(1-I1481)*(1-ADD.DISCOUNT)*(1+MAT.SURCHARGE)/EXC.RATE_2,C1481*(1-I1481)*(1-ADD.DISCOUNT)*(1+MAT.SURCHARGE)*EXC.RATE_2),CURRENCY.FORMAT_2),CURRENCY.FORMAT_2,1),"# ##0;-# ##0"),",-"),FIXED(ROUND(IF(EXC.RATE.SWITCH=1,C1481*(1-I1481)*(1-ADD.DISCOUNT)*(1+MAT.SURCHARGE)/EXC.RATE_2,C1481*(1-I1481)*(1-ADD.DISCOUNT)*(1+MAT.SURCHARGE)*EXC.RATE_2),CURRENCY.FORMAT_2),CURRENCY.FORMAT_2,0)),'DICTIONARY-5'!$A$2))</f>
        <v/>
      </c>
      <c r="N1481" s="539">
        <v>5</v>
      </c>
      <c r="O1481" s="539"/>
      <c r="P1481" s="732" t="str">
        <f>'DICTIONARY-3'!$A$35</f>
        <v>HADE PTK-A</v>
      </c>
      <c r="Q1481" s="732" t="str">
        <f>'DICTIONARY-3'!$A$231</f>
        <v>Zestaw kotwiący</v>
      </c>
      <c r="R1481" s="732" t="str">
        <f>CONCATENATE('DICTIONARY-3'!$A$231," ",'DICTIONARY-5'!$A$7," ",'DICTIONARY-3'!$A$35," ",'DICTIONARY-2'!$A$2,"500")</f>
        <v>Zestaw kotwiący dla HADE PTK-A DN500</v>
      </c>
      <c r="S1481" s="733" t="s">
        <v>5569</v>
      </c>
      <c r="T1481" s="732" t="s">
        <v>5569</v>
      </c>
      <c r="U1481" s="734" t="s">
        <v>5756</v>
      </c>
      <c r="V1481" s="735" t="s">
        <v>5569</v>
      </c>
      <c r="W1481" s="736"/>
      <c r="X1481" s="737"/>
      <c r="Y1481" s="738"/>
      <c r="Z1481" s="739"/>
      <c r="AA1481" s="739"/>
      <c r="AB1481" s="746"/>
      <c r="AC1481" s="741" t="s">
        <v>5569</v>
      </c>
      <c r="AD1481" s="741" t="s">
        <v>5569</v>
      </c>
      <c r="AE1481" s="742" t="s">
        <v>5569</v>
      </c>
      <c r="AF1481" s="743">
        <v>0.5</v>
      </c>
      <c r="AG1481" s="741" t="s">
        <v>5569</v>
      </c>
    </row>
    <row r="1482" spans="1:33" x14ac:dyDescent="0.25">
      <c r="A1482" s="861" t="s">
        <v>1477</v>
      </c>
      <c r="B1482" s="861" t="s">
        <v>4631</v>
      </c>
      <c r="C1482" s="836">
        <v>155</v>
      </c>
      <c r="D1482" s="836"/>
      <c r="E1482" s="836"/>
      <c r="F1482" s="836"/>
      <c r="G1482" s="496" t="s">
        <v>7829</v>
      </c>
      <c r="H1482" s="797" t="str">
        <f>VLOOKUP(G1482,SETTINGS!$B$7:$D$97,2,0)</f>
        <v>HADE</v>
      </c>
      <c r="I1482" s="796">
        <f>VLOOKUP(G1482,SETTINGS!$B$7:$D$97,3,0)</f>
        <v>0</v>
      </c>
      <c r="J1482" s="670" t="str">
        <f>IFERROR(IF(CURRENCY.FORMAT_1=0,CONCATENATE(TEXT(FIXED(ROUND((C1482/EXC.RATE_1),CURRENCY.FORMAT_1),CURRENCY.FORMAT_1,1),"# ##0;-# ##0"),",-"),FIXED(ROUND((C1482/EXC.RATE_1),CURRENCY.FORMAT_1),CURRENCY.FORMAT_1,0)),'DICTIONARY-5'!$A$2)</f>
        <v>155,-</v>
      </c>
      <c r="K1482" s="670" t="str">
        <f>IF(EXC.RATE_2=0,"",IFERROR(IF(CURRENCY.FORMAT_2=0,CONCATENATE(TEXT(FIXED(ROUND(IF(EXC.RATE.SWITCH=1,C1482/EXC.RATE_2,C1482*EXC.RATE_2),CURRENCY.FORMAT_2),CURRENCY.FORMAT_2,1),"# ##0;-# ##0"),",-"),FIXED(ROUND(IF(EXC.RATE.SWITCH=1,C1482/EXC.RATE_2,C1482*EXC.RATE_2),CURRENCY.FORMAT_2),CURRENCY.FORMAT_2,0)),'DICTIONARY-5'!$A$2))</f>
        <v/>
      </c>
      <c r="L1482" s="670" t="str">
        <f>IFERROR(IF(CURRENCY.FORMAT_1=0,CONCATENATE(TEXT(FIXED(ROUND((C1482*(1-I1482)*(1-ADD.DISCOUNT)*(1+MAT.SURCHARGE)/EXC.RATE_1),CURRENCY.FORMAT_1),CURRENCY.FORMAT_1,1),"# ##0;-# ##0"),",-"),FIXED(ROUND((C1482*(1-I1482)*(1-ADD.DISCOUNT)*(1+MAT.SURCHARGE)/EXC.RATE_1),CURRENCY.FORMAT_1),CURRENCY.FORMAT_1,0)),'DICTIONARY-5'!$A$2)</f>
        <v>161,-</v>
      </c>
      <c r="M1482" s="670" t="str">
        <f>IF(EXC.RATE_2=0,"",IFERROR(IF(CURRENCY.FORMAT_2=0,CONCATENATE(TEXT(FIXED(ROUND(IF(EXC.RATE.SWITCH=1,C1482*(1-I1482)*(1-ADD.DISCOUNT)*(1+MAT.SURCHARGE)/EXC.RATE_2,C1482*(1-I1482)*(1-ADD.DISCOUNT)*(1+MAT.SURCHARGE)*EXC.RATE_2),CURRENCY.FORMAT_2),CURRENCY.FORMAT_2,1),"# ##0;-# ##0"),",-"),FIXED(ROUND(IF(EXC.RATE.SWITCH=1,C1482*(1-I1482)*(1-ADD.DISCOUNT)*(1+MAT.SURCHARGE)/EXC.RATE_2,C1482*(1-I1482)*(1-ADD.DISCOUNT)*(1+MAT.SURCHARGE)*EXC.RATE_2),CURRENCY.FORMAT_2),CURRENCY.FORMAT_2,0)),'DICTIONARY-5'!$A$2))</f>
        <v/>
      </c>
      <c r="N1482" s="539">
        <v>5</v>
      </c>
      <c r="O1482" s="539"/>
      <c r="P1482" s="732" t="str">
        <f>'DICTIONARY-3'!$A$35</f>
        <v>HADE PTK-A</v>
      </c>
      <c r="Q1482" s="732" t="str">
        <f>'DICTIONARY-3'!$A$231</f>
        <v>Zestaw kotwiący</v>
      </c>
      <c r="R1482" s="732" t="str">
        <f>CONCATENATE('DICTIONARY-3'!$A$231," ",'DICTIONARY-5'!$A$7," ",'DICTIONARY-3'!$A$35," ",'DICTIONARY-2'!$A$2,"600")</f>
        <v>Zestaw kotwiący dla HADE PTK-A DN600</v>
      </c>
      <c r="S1482" s="733" t="s">
        <v>5569</v>
      </c>
      <c r="T1482" s="732" t="s">
        <v>5569</v>
      </c>
      <c r="U1482" s="734" t="s">
        <v>5757</v>
      </c>
      <c r="V1482" s="735" t="s">
        <v>5569</v>
      </c>
      <c r="W1482" s="736"/>
      <c r="X1482" s="737"/>
      <c r="Y1482" s="738"/>
      <c r="Z1482" s="739"/>
      <c r="AA1482" s="739"/>
      <c r="AB1482" s="746"/>
      <c r="AC1482" s="741" t="s">
        <v>5569</v>
      </c>
      <c r="AD1482" s="741" t="s">
        <v>5569</v>
      </c>
      <c r="AE1482" s="742" t="s">
        <v>5569</v>
      </c>
      <c r="AF1482" s="743">
        <v>0.5</v>
      </c>
      <c r="AG1482" s="741" t="s">
        <v>5569</v>
      </c>
    </row>
    <row r="1483" spans="1:33" x14ac:dyDescent="0.25">
      <c r="A1483" s="861" t="s">
        <v>1479</v>
      </c>
      <c r="B1483" s="861" t="s">
        <v>4632</v>
      </c>
      <c r="C1483" s="836">
        <v>150</v>
      </c>
      <c r="D1483" s="836"/>
      <c r="E1483" s="836"/>
      <c r="F1483" s="836"/>
      <c r="G1483" s="496" t="s">
        <v>7829</v>
      </c>
      <c r="H1483" s="797" t="str">
        <f>VLOOKUP(G1483,SETTINGS!$B$7:$D$97,2,0)</f>
        <v>HADE</v>
      </c>
      <c r="I1483" s="796">
        <f>VLOOKUP(G1483,SETTINGS!$B$7:$D$97,3,0)</f>
        <v>0</v>
      </c>
      <c r="J1483" s="670" t="str">
        <f>IFERROR(IF(CURRENCY.FORMAT_1=0,CONCATENATE(TEXT(FIXED(ROUND((C1483/EXC.RATE_1),CURRENCY.FORMAT_1),CURRENCY.FORMAT_1,1),"# ##0;-# ##0"),",-"),FIXED(ROUND((C1483/EXC.RATE_1),CURRENCY.FORMAT_1),CURRENCY.FORMAT_1,0)),'DICTIONARY-5'!$A$2)</f>
        <v>150,-</v>
      </c>
      <c r="K1483" s="670" t="str">
        <f>IF(EXC.RATE_2=0,"",IFERROR(IF(CURRENCY.FORMAT_2=0,CONCATENATE(TEXT(FIXED(ROUND(IF(EXC.RATE.SWITCH=1,C1483/EXC.RATE_2,C1483*EXC.RATE_2),CURRENCY.FORMAT_2),CURRENCY.FORMAT_2,1),"# ##0;-# ##0"),",-"),FIXED(ROUND(IF(EXC.RATE.SWITCH=1,C1483/EXC.RATE_2,C1483*EXC.RATE_2),CURRENCY.FORMAT_2),CURRENCY.FORMAT_2,0)),'DICTIONARY-5'!$A$2))</f>
        <v/>
      </c>
      <c r="L1483" s="670" t="str">
        <f>IFERROR(IF(CURRENCY.FORMAT_1=0,CONCATENATE(TEXT(FIXED(ROUND((C1483*(1-I1483)*(1-ADD.DISCOUNT)*(1+MAT.SURCHARGE)/EXC.RATE_1),CURRENCY.FORMAT_1),CURRENCY.FORMAT_1,1),"# ##0;-# ##0"),",-"),FIXED(ROUND((C1483*(1-I1483)*(1-ADD.DISCOUNT)*(1+MAT.SURCHARGE)/EXC.RATE_1),CURRENCY.FORMAT_1),CURRENCY.FORMAT_1,0)),'DICTIONARY-5'!$A$2)</f>
        <v>156,-</v>
      </c>
      <c r="M1483" s="670" t="str">
        <f>IF(EXC.RATE_2=0,"",IFERROR(IF(CURRENCY.FORMAT_2=0,CONCATENATE(TEXT(FIXED(ROUND(IF(EXC.RATE.SWITCH=1,C1483*(1-I1483)*(1-ADD.DISCOUNT)*(1+MAT.SURCHARGE)/EXC.RATE_2,C1483*(1-I1483)*(1-ADD.DISCOUNT)*(1+MAT.SURCHARGE)*EXC.RATE_2),CURRENCY.FORMAT_2),CURRENCY.FORMAT_2,1),"# ##0;-# ##0"),",-"),FIXED(ROUND(IF(EXC.RATE.SWITCH=1,C1483*(1-I1483)*(1-ADD.DISCOUNT)*(1+MAT.SURCHARGE)/EXC.RATE_2,C1483*(1-I1483)*(1-ADD.DISCOUNT)*(1+MAT.SURCHARGE)*EXC.RATE_2),CURRENCY.FORMAT_2),CURRENCY.FORMAT_2,0)),'DICTIONARY-5'!$A$2))</f>
        <v/>
      </c>
      <c r="N1483" s="539">
        <v>5</v>
      </c>
      <c r="O1483" s="539"/>
      <c r="P1483" s="732" t="str">
        <f>'DICTIONARY-3'!$A$35</f>
        <v>HADE PTK-A</v>
      </c>
      <c r="Q1483" s="732" t="str">
        <f>'DICTIONARY-3'!$A$231</f>
        <v>Zestaw kotwiący</v>
      </c>
      <c r="R1483" s="732" t="str">
        <f>CONCATENATE('DICTIONARY-3'!$A$231," ",'DICTIONARY-5'!$A$7," ",'DICTIONARY-3'!$A$35," ",'DICTIONARY-2'!$A$2,"700")</f>
        <v>Zestaw kotwiący dla HADE PTK-A DN700</v>
      </c>
      <c r="S1483" s="733" t="s">
        <v>5569</v>
      </c>
      <c r="T1483" s="732" t="s">
        <v>5569</v>
      </c>
      <c r="U1483" s="734" t="s">
        <v>5834</v>
      </c>
      <c r="V1483" s="735" t="s">
        <v>5569</v>
      </c>
      <c r="W1483" s="736"/>
      <c r="X1483" s="737"/>
      <c r="Y1483" s="738"/>
      <c r="Z1483" s="739"/>
      <c r="AA1483" s="739"/>
      <c r="AB1483" s="746"/>
      <c r="AC1483" s="741" t="s">
        <v>5569</v>
      </c>
      <c r="AD1483" s="741" t="s">
        <v>5569</v>
      </c>
      <c r="AE1483" s="742" t="s">
        <v>5569</v>
      </c>
      <c r="AF1483" s="743">
        <v>0.5</v>
      </c>
      <c r="AG1483" s="741" t="s">
        <v>5569</v>
      </c>
    </row>
    <row r="1484" spans="1:33" x14ac:dyDescent="0.25">
      <c r="A1484" s="861" t="s">
        <v>1481</v>
      </c>
      <c r="B1484" s="861" t="s">
        <v>4633</v>
      </c>
      <c r="C1484" s="836">
        <v>169</v>
      </c>
      <c r="D1484" s="836"/>
      <c r="E1484" s="836"/>
      <c r="F1484" s="836"/>
      <c r="G1484" s="496" t="s">
        <v>7829</v>
      </c>
      <c r="H1484" s="797" t="str">
        <f>VLOOKUP(G1484,SETTINGS!$B$7:$D$97,2,0)</f>
        <v>HADE</v>
      </c>
      <c r="I1484" s="796">
        <f>VLOOKUP(G1484,SETTINGS!$B$7:$D$97,3,0)</f>
        <v>0</v>
      </c>
      <c r="J1484" s="670" t="str">
        <f>IFERROR(IF(CURRENCY.FORMAT_1=0,CONCATENATE(TEXT(FIXED(ROUND((C1484/EXC.RATE_1),CURRENCY.FORMAT_1),CURRENCY.FORMAT_1,1),"# ##0;-# ##0"),",-"),FIXED(ROUND((C1484/EXC.RATE_1),CURRENCY.FORMAT_1),CURRENCY.FORMAT_1,0)),'DICTIONARY-5'!$A$2)</f>
        <v>169,-</v>
      </c>
      <c r="K1484" s="670" t="str">
        <f>IF(EXC.RATE_2=0,"",IFERROR(IF(CURRENCY.FORMAT_2=0,CONCATENATE(TEXT(FIXED(ROUND(IF(EXC.RATE.SWITCH=1,C1484/EXC.RATE_2,C1484*EXC.RATE_2),CURRENCY.FORMAT_2),CURRENCY.FORMAT_2,1),"# ##0;-# ##0"),",-"),FIXED(ROUND(IF(EXC.RATE.SWITCH=1,C1484/EXC.RATE_2,C1484*EXC.RATE_2),CURRENCY.FORMAT_2),CURRENCY.FORMAT_2,0)),'DICTIONARY-5'!$A$2))</f>
        <v/>
      </c>
      <c r="L1484" s="670" t="str">
        <f>IFERROR(IF(CURRENCY.FORMAT_1=0,CONCATENATE(TEXT(FIXED(ROUND((C1484*(1-I1484)*(1-ADD.DISCOUNT)*(1+MAT.SURCHARGE)/EXC.RATE_1),CURRENCY.FORMAT_1),CURRENCY.FORMAT_1,1),"# ##0;-# ##0"),",-"),FIXED(ROUND((C1484*(1-I1484)*(1-ADD.DISCOUNT)*(1+MAT.SURCHARGE)/EXC.RATE_1),CURRENCY.FORMAT_1),CURRENCY.FORMAT_1,0)),'DICTIONARY-5'!$A$2)</f>
        <v>176,-</v>
      </c>
      <c r="M1484" s="670" t="str">
        <f>IF(EXC.RATE_2=0,"",IFERROR(IF(CURRENCY.FORMAT_2=0,CONCATENATE(TEXT(FIXED(ROUND(IF(EXC.RATE.SWITCH=1,C1484*(1-I1484)*(1-ADD.DISCOUNT)*(1+MAT.SURCHARGE)/EXC.RATE_2,C1484*(1-I1484)*(1-ADD.DISCOUNT)*(1+MAT.SURCHARGE)*EXC.RATE_2),CURRENCY.FORMAT_2),CURRENCY.FORMAT_2,1),"# ##0;-# ##0"),",-"),FIXED(ROUND(IF(EXC.RATE.SWITCH=1,C1484*(1-I1484)*(1-ADD.DISCOUNT)*(1+MAT.SURCHARGE)/EXC.RATE_2,C1484*(1-I1484)*(1-ADD.DISCOUNT)*(1+MAT.SURCHARGE)*EXC.RATE_2),CURRENCY.FORMAT_2),CURRENCY.FORMAT_2,0)),'DICTIONARY-5'!$A$2))</f>
        <v/>
      </c>
      <c r="N1484" s="539">
        <v>5</v>
      </c>
      <c r="O1484" s="539"/>
      <c r="P1484" s="732" t="str">
        <f>'DICTIONARY-3'!$A$35</f>
        <v>HADE PTK-A</v>
      </c>
      <c r="Q1484" s="732" t="str">
        <f>'DICTIONARY-3'!$A$231</f>
        <v>Zestaw kotwiący</v>
      </c>
      <c r="R1484" s="732" t="str">
        <f>CONCATENATE('DICTIONARY-3'!$A$231," ",'DICTIONARY-5'!$A$7," ",'DICTIONARY-3'!$A$35," ",'DICTIONARY-2'!$A$2,"800")</f>
        <v>Zestaw kotwiący dla HADE PTK-A DN800</v>
      </c>
      <c r="S1484" s="733" t="s">
        <v>5569</v>
      </c>
      <c r="T1484" s="732" t="s">
        <v>5569</v>
      </c>
      <c r="U1484" s="734" t="s">
        <v>5835</v>
      </c>
      <c r="V1484" s="735" t="s">
        <v>5569</v>
      </c>
      <c r="W1484" s="736"/>
      <c r="X1484" s="737"/>
      <c r="Y1484" s="738"/>
      <c r="Z1484" s="739"/>
      <c r="AA1484" s="739"/>
      <c r="AB1484" s="746"/>
      <c r="AC1484" s="741" t="s">
        <v>5569</v>
      </c>
      <c r="AD1484" s="741" t="s">
        <v>5569</v>
      </c>
      <c r="AE1484" s="742" t="s">
        <v>5569</v>
      </c>
      <c r="AF1484" s="743">
        <v>0.5</v>
      </c>
      <c r="AG1484" s="741" t="s">
        <v>5569</v>
      </c>
    </row>
    <row r="1485" spans="1:33" x14ac:dyDescent="0.25">
      <c r="A1485" s="861" t="s">
        <v>1483</v>
      </c>
      <c r="B1485" s="861" t="s">
        <v>4634</v>
      </c>
      <c r="C1485" s="836">
        <v>211</v>
      </c>
      <c r="D1485" s="836"/>
      <c r="E1485" s="836"/>
      <c r="F1485" s="836"/>
      <c r="G1485" s="496" t="s">
        <v>7829</v>
      </c>
      <c r="H1485" s="797" t="str">
        <f>VLOOKUP(G1485,SETTINGS!$B$7:$D$97,2,0)</f>
        <v>HADE</v>
      </c>
      <c r="I1485" s="796">
        <f>VLOOKUP(G1485,SETTINGS!$B$7:$D$97,3,0)</f>
        <v>0</v>
      </c>
      <c r="J1485" s="670" t="str">
        <f>IFERROR(IF(CURRENCY.FORMAT_1=0,CONCATENATE(TEXT(FIXED(ROUND((C1485/EXC.RATE_1),CURRENCY.FORMAT_1),CURRENCY.FORMAT_1,1),"# ##0;-# ##0"),",-"),FIXED(ROUND((C1485/EXC.RATE_1),CURRENCY.FORMAT_1),CURRENCY.FORMAT_1,0)),'DICTIONARY-5'!$A$2)</f>
        <v>211,-</v>
      </c>
      <c r="K1485" s="670" t="str">
        <f>IF(EXC.RATE_2=0,"",IFERROR(IF(CURRENCY.FORMAT_2=0,CONCATENATE(TEXT(FIXED(ROUND(IF(EXC.RATE.SWITCH=1,C1485/EXC.RATE_2,C1485*EXC.RATE_2),CURRENCY.FORMAT_2),CURRENCY.FORMAT_2,1),"# ##0;-# ##0"),",-"),FIXED(ROUND(IF(EXC.RATE.SWITCH=1,C1485/EXC.RATE_2,C1485*EXC.RATE_2),CURRENCY.FORMAT_2),CURRENCY.FORMAT_2,0)),'DICTIONARY-5'!$A$2))</f>
        <v/>
      </c>
      <c r="L1485" s="670" t="str">
        <f>IFERROR(IF(CURRENCY.FORMAT_1=0,CONCATENATE(TEXT(FIXED(ROUND((C1485*(1-I1485)*(1-ADD.DISCOUNT)*(1+MAT.SURCHARGE)/EXC.RATE_1),CURRENCY.FORMAT_1),CURRENCY.FORMAT_1,1),"# ##0;-# ##0"),",-"),FIXED(ROUND((C1485*(1-I1485)*(1-ADD.DISCOUNT)*(1+MAT.SURCHARGE)/EXC.RATE_1),CURRENCY.FORMAT_1),CURRENCY.FORMAT_1,0)),'DICTIONARY-5'!$A$2)</f>
        <v>219,-</v>
      </c>
      <c r="M1485" s="670" t="str">
        <f>IF(EXC.RATE_2=0,"",IFERROR(IF(CURRENCY.FORMAT_2=0,CONCATENATE(TEXT(FIXED(ROUND(IF(EXC.RATE.SWITCH=1,C1485*(1-I1485)*(1-ADD.DISCOUNT)*(1+MAT.SURCHARGE)/EXC.RATE_2,C1485*(1-I1485)*(1-ADD.DISCOUNT)*(1+MAT.SURCHARGE)*EXC.RATE_2),CURRENCY.FORMAT_2),CURRENCY.FORMAT_2,1),"# ##0;-# ##0"),",-"),FIXED(ROUND(IF(EXC.RATE.SWITCH=1,C1485*(1-I1485)*(1-ADD.DISCOUNT)*(1+MAT.SURCHARGE)/EXC.RATE_2,C1485*(1-I1485)*(1-ADD.DISCOUNT)*(1+MAT.SURCHARGE)*EXC.RATE_2),CURRENCY.FORMAT_2),CURRENCY.FORMAT_2,0)),'DICTIONARY-5'!$A$2))</f>
        <v/>
      </c>
      <c r="N1485" s="539">
        <v>5</v>
      </c>
      <c r="O1485" s="539"/>
      <c r="P1485" s="732" t="str">
        <f>'DICTIONARY-3'!$A$35</f>
        <v>HADE PTK-A</v>
      </c>
      <c r="Q1485" s="732" t="str">
        <f>'DICTIONARY-3'!$A$231</f>
        <v>Zestaw kotwiący</v>
      </c>
      <c r="R1485" s="732" t="str">
        <f>CONCATENATE('DICTIONARY-3'!$A$231," ",'DICTIONARY-5'!$A$7," ",'DICTIONARY-3'!$A$35," ",'DICTIONARY-2'!$A$2,"900")</f>
        <v>Zestaw kotwiący dla HADE PTK-A DN900</v>
      </c>
      <c r="S1485" s="733" t="s">
        <v>5569</v>
      </c>
      <c r="T1485" s="732" t="s">
        <v>5569</v>
      </c>
      <c r="U1485" s="734" t="s">
        <v>5837</v>
      </c>
      <c r="V1485" s="735" t="s">
        <v>5569</v>
      </c>
      <c r="W1485" s="736"/>
      <c r="X1485" s="737"/>
      <c r="Y1485" s="738"/>
      <c r="Z1485" s="739"/>
      <c r="AA1485" s="739"/>
      <c r="AB1485" s="746"/>
      <c r="AC1485" s="741" t="s">
        <v>5569</v>
      </c>
      <c r="AD1485" s="741" t="s">
        <v>5569</v>
      </c>
      <c r="AE1485" s="742" t="s">
        <v>5569</v>
      </c>
      <c r="AF1485" s="743">
        <v>0.7</v>
      </c>
      <c r="AG1485" s="741" t="s">
        <v>5569</v>
      </c>
    </row>
    <row r="1486" spans="1:33" x14ac:dyDescent="0.25">
      <c r="A1486" s="861" t="s">
        <v>1485</v>
      </c>
      <c r="B1486" s="861" t="s">
        <v>4635</v>
      </c>
      <c r="C1486" s="836">
        <v>230</v>
      </c>
      <c r="D1486" s="836"/>
      <c r="E1486" s="836"/>
      <c r="F1486" s="836"/>
      <c r="G1486" s="496" t="s">
        <v>7829</v>
      </c>
      <c r="H1486" s="797" t="str">
        <f>VLOOKUP(G1486,SETTINGS!$B$7:$D$97,2,0)</f>
        <v>HADE</v>
      </c>
      <c r="I1486" s="796">
        <f>VLOOKUP(G1486,SETTINGS!$B$7:$D$97,3,0)</f>
        <v>0</v>
      </c>
      <c r="J1486" s="670" t="str">
        <f>IFERROR(IF(CURRENCY.FORMAT_1=0,CONCATENATE(TEXT(FIXED(ROUND((C1486/EXC.RATE_1),CURRENCY.FORMAT_1),CURRENCY.FORMAT_1,1),"# ##0;-# ##0"),",-"),FIXED(ROUND((C1486/EXC.RATE_1),CURRENCY.FORMAT_1),CURRENCY.FORMAT_1,0)),'DICTIONARY-5'!$A$2)</f>
        <v>230,-</v>
      </c>
      <c r="K1486" s="670" t="str">
        <f>IF(EXC.RATE_2=0,"",IFERROR(IF(CURRENCY.FORMAT_2=0,CONCATENATE(TEXT(FIXED(ROUND(IF(EXC.RATE.SWITCH=1,C1486/EXC.RATE_2,C1486*EXC.RATE_2),CURRENCY.FORMAT_2),CURRENCY.FORMAT_2,1),"# ##0;-# ##0"),",-"),FIXED(ROUND(IF(EXC.RATE.SWITCH=1,C1486/EXC.RATE_2,C1486*EXC.RATE_2),CURRENCY.FORMAT_2),CURRENCY.FORMAT_2,0)),'DICTIONARY-5'!$A$2))</f>
        <v/>
      </c>
      <c r="L1486" s="670" t="str">
        <f>IFERROR(IF(CURRENCY.FORMAT_1=0,CONCATENATE(TEXT(FIXED(ROUND((C1486*(1-I1486)*(1-ADD.DISCOUNT)*(1+MAT.SURCHARGE)/EXC.RATE_1),CURRENCY.FORMAT_1),CURRENCY.FORMAT_1,1),"# ##0;-# ##0"),",-"),FIXED(ROUND((C1486*(1-I1486)*(1-ADD.DISCOUNT)*(1+MAT.SURCHARGE)/EXC.RATE_1),CURRENCY.FORMAT_1),CURRENCY.FORMAT_1,0)),'DICTIONARY-5'!$A$2)</f>
        <v>239,-</v>
      </c>
      <c r="M1486" s="670" t="str">
        <f>IF(EXC.RATE_2=0,"",IFERROR(IF(CURRENCY.FORMAT_2=0,CONCATENATE(TEXT(FIXED(ROUND(IF(EXC.RATE.SWITCH=1,C1486*(1-I1486)*(1-ADD.DISCOUNT)*(1+MAT.SURCHARGE)/EXC.RATE_2,C1486*(1-I1486)*(1-ADD.DISCOUNT)*(1+MAT.SURCHARGE)*EXC.RATE_2),CURRENCY.FORMAT_2),CURRENCY.FORMAT_2,1),"# ##0;-# ##0"),",-"),FIXED(ROUND(IF(EXC.RATE.SWITCH=1,C1486*(1-I1486)*(1-ADD.DISCOUNT)*(1+MAT.SURCHARGE)/EXC.RATE_2,C1486*(1-I1486)*(1-ADD.DISCOUNT)*(1+MAT.SURCHARGE)*EXC.RATE_2),CURRENCY.FORMAT_2),CURRENCY.FORMAT_2,0)),'DICTIONARY-5'!$A$2))</f>
        <v/>
      </c>
      <c r="N1486" s="539">
        <v>5</v>
      </c>
      <c r="O1486" s="539"/>
      <c r="P1486" s="732" t="str">
        <f>'DICTIONARY-3'!$A$35</f>
        <v>HADE PTK-A</v>
      </c>
      <c r="Q1486" s="732" t="str">
        <f>'DICTIONARY-3'!$A$231</f>
        <v>Zestaw kotwiący</v>
      </c>
      <c r="R1486" s="732" t="str">
        <f>CONCATENATE('DICTIONARY-3'!$A$231," ",'DICTIONARY-5'!$A$7," ",'DICTIONARY-3'!$A$35," ",'DICTIONARY-2'!$A$2,"1000")</f>
        <v>Zestaw kotwiący dla HADE PTK-A DN1000</v>
      </c>
      <c r="S1486" s="733" t="s">
        <v>5569</v>
      </c>
      <c r="T1486" s="732" t="s">
        <v>5569</v>
      </c>
      <c r="U1486" s="734" t="s">
        <v>5836</v>
      </c>
      <c r="V1486" s="735" t="s">
        <v>5569</v>
      </c>
      <c r="W1486" s="736"/>
      <c r="X1486" s="737"/>
      <c r="Y1486" s="738"/>
      <c r="Z1486" s="739"/>
      <c r="AA1486" s="739"/>
      <c r="AB1486" s="746"/>
      <c r="AC1486" s="741" t="s">
        <v>5569</v>
      </c>
      <c r="AD1486" s="741" t="s">
        <v>5569</v>
      </c>
      <c r="AE1486" s="742" t="s">
        <v>5569</v>
      </c>
      <c r="AF1486" s="743">
        <v>0.7</v>
      </c>
      <c r="AG1486" s="741" t="s">
        <v>5569</v>
      </c>
    </row>
    <row r="1487" spans="1:33" x14ac:dyDescent="0.25">
      <c r="A1487" s="861" t="s">
        <v>1487</v>
      </c>
      <c r="B1487" s="861" t="s">
        <v>4642</v>
      </c>
      <c r="C1487" s="836">
        <v>487</v>
      </c>
      <c r="D1487" s="836"/>
      <c r="E1487" s="836"/>
      <c r="F1487" s="836"/>
      <c r="G1487" s="496" t="s">
        <v>7829</v>
      </c>
      <c r="H1487" s="797" t="str">
        <f>VLOOKUP(G1487,SETTINGS!$B$7:$D$97,2,0)</f>
        <v>HADE</v>
      </c>
      <c r="I1487" s="796">
        <f>VLOOKUP(G1487,SETTINGS!$B$7:$D$97,3,0)</f>
        <v>0</v>
      </c>
      <c r="J1487" s="670" t="str">
        <f>IFERROR(IF(CURRENCY.FORMAT_1=0,CONCATENATE(TEXT(FIXED(ROUND((C1487/EXC.RATE_1),CURRENCY.FORMAT_1),CURRENCY.FORMAT_1,1),"# ##0;-# ##0"),",-"),FIXED(ROUND((C1487/EXC.RATE_1),CURRENCY.FORMAT_1),CURRENCY.FORMAT_1,0)),'DICTIONARY-5'!$A$2)</f>
        <v>487,-</v>
      </c>
      <c r="K1487" s="670" t="str">
        <f>IF(EXC.RATE_2=0,"",IFERROR(IF(CURRENCY.FORMAT_2=0,CONCATENATE(TEXT(FIXED(ROUND(IF(EXC.RATE.SWITCH=1,C1487/EXC.RATE_2,C1487*EXC.RATE_2),CURRENCY.FORMAT_2),CURRENCY.FORMAT_2,1),"# ##0;-# ##0"),",-"),FIXED(ROUND(IF(EXC.RATE.SWITCH=1,C1487/EXC.RATE_2,C1487*EXC.RATE_2),CURRENCY.FORMAT_2),CURRENCY.FORMAT_2,0)),'DICTIONARY-5'!$A$2))</f>
        <v/>
      </c>
      <c r="L1487" s="670" t="str">
        <f>IFERROR(IF(CURRENCY.FORMAT_1=0,CONCATENATE(TEXT(FIXED(ROUND((C1487*(1-I1487)*(1-ADD.DISCOUNT)*(1+MAT.SURCHARGE)/EXC.RATE_1),CURRENCY.FORMAT_1),CURRENCY.FORMAT_1,1),"# ##0;-# ##0"),",-"),FIXED(ROUND((C1487*(1-I1487)*(1-ADD.DISCOUNT)*(1+MAT.SURCHARGE)/EXC.RATE_1),CURRENCY.FORMAT_1),CURRENCY.FORMAT_1,0)),'DICTIONARY-5'!$A$2)</f>
        <v>506,-</v>
      </c>
      <c r="M1487" s="670" t="str">
        <f>IF(EXC.RATE_2=0,"",IFERROR(IF(CURRENCY.FORMAT_2=0,CONCATENATE(TEXT(FIXED(ROUND(IF(EXC.RATE.SWITCH=1,C1487*(1-I1487)*(1-ADD.DISCOUNT)*(1+MAT.SURCHARGE)/EXC.RATE_2,C1487*(1-I1487)*(1-ADD.DISCOUNT)*(1+MAT.SURCHARGE)*EXC.RATE_2),CURRENCY.FORMAT_2),CURRENCY.FORMAT_2,1),"# ##0;-# ##0"),",-"),FIXED(ROUND(IF(EXC.RATE.SWITCH=1,C1487*(1-I1487)*(1-ADD.DISCOUNT)*(1+MAT.SURCHARGE)/EXC.RATE_2,C1487*(1-I1487)*(1-ADD.DISCOUNT)*(1+MAT.SURCHARGE)*EXC.RATE_2),CURRENCY.FORMAT_2),CURRENCY.FORMAT_2,0)),'DICTIONARY-5'!$A$2))</f>
        <v/>
      </c>
      <c r="N1487" s="539">
        <v>5</v>
      </c>
      <c r="O1487" s="539"/>
      <c r="P1487" s="732" t="str">
        <f>'DICTIONARY-3'!$A$35</f>
        <v>HADE PTK-A</v>
      </c>
      <c r="Q1487" s="732" t="str">
        <f>'DICTIONARY-3'!$A$231</f>
        <v>Zestaw kotwiący</v>
      </c>
      <c r="R1487" s="732" t="str">
        <f>CONCATENATE('DICTIONARY-3'!$A$231," ",'DICTIONARY-5'!$A$7," ",'DICTIONARY-3'!$A$35," ",'DICTIONARY-2'!$A$2,"1100")</f>
        <v>Zestaw kotwiący dla HADE PTK-A DN1100</v>
      </c>
      <c r="S1487" s="733" t="s">
        <v>5569</v>
      </c>
      <c r="T1487" s="732" t="s">
        <v>5569</v>
      </c>
      <c r="U1487" s="734" t="s">
        <v>5843</v>
      </c>
      <c r="V1487" s="735" t="s">
        <v>5569</v>
      </c>
      <c r="W1487" s="736"/>
      <c r="X1487" s="737"/>
      <c r="Y1487" s="738"/>
      <c r="Z1487" s="739"/>
      <c r="AA1487" s="739"/>
      <c r="AB1487" s="746"/>
      <c r="AC1487" s="741" t="s">
        <v>5569</v>
      </c>
      <c r="AD1487" s="741" t="s">
        <v>5569</v>
      </c>
      <c r="AE1487" s="742" t="s">
        <v>5569</v>
      </c>
      <c r="AF1487" s="743">
        <v>0.8</v>
      </c>
      <c r="AG1487" s="741" t="s">
        <v>5569</v>
      </c>
    </row>
    <row r="1488" spans="1:33" x14ac:dyDescent="0.25">
      <c r="A1488" s="861" t="s">
        <v>1489</v>
      </c>
      <c r="B1488" s="861" t="s">
        <v>4636</v>
      </c>
      <c r="C1488" s="836">
        <v>270</v>
      </c>
      <c r="D1488" s="836"/>
      <c r="E1488" s="836"/>
      <c r="F1488" s="836"/>
      <c r="G1488" s="496" t="s">
        <v>7829</v>
      </c>
      <c r="H1488" s="797" t="str">
        <f>VLOOKUP(G1488,SETTINGS!$B$7:$D$97,2,0)</f>
        <v>HADE</v>
      </c>
      <c r="I1488" s="796">
        <f>VLOOKUP(G1488,SETTINGS!$B$7:$D$97,3,0)</f>
        <v>0</v>
      </c>
      <c r="J1488" s="670" t="str">
        <f>IFERROR(IF(CURRENCY.FORMAT_1=0,CONCATENATE(TEXT(FIXED(ROUND((C1488/EXC.RATE_1),CURRENCY.FORMAT_1),CURRENCY.FORMAT_1,1),"# ##0;-# ##0"),",-"),FIXED(ROUND((C1488/EXC.RATE_1),CURRENCY.FORMAT_1),CURRENCY.FORMAT_1,0)),'DICTIONARY-5'!$A$2)</f>
        <v>270,-</v>
      </c>
      <c r="K1488" s="670" t="str">
        <f>IF(EXC.RATE_2=0,"",IFERROR(IF(CURRENCY.FORMAT_2=0,CONCATENATE(TEXT(FIXED(ROUND(IF(EXC.RATE.SWITCH=1,C1488/EXC.RATE_2,C1488*EXC.RATE_2),CURRENCY.FORMAT_2),CURRENCY.FORMAT_2,1),"# ##0;-# ##0"),",-"),FIXED(ROUND(IF(EXC.RATE.SWITCH=1,C1488/EXC.RATE_2,C1488*EXC.RATE_2),CURRENCY.FORMAT_2),CURRENCY.FORMAT_2,0)),'DICTIONARY-5'!$A$2))</f>
        <v/>
      </c>
      <c r="L1488" s="670" t="str">
        <f>IFERROR(IF(CURRENCY.FORMAT_1=0,CONCATENATE(TEXT(FIXED(ROUND((C1488*(1-I1488)*(1-ADD.DISCOUNT)*(1+MAT.SURCHARGE)/EXC.RATE_1),CURRENCY.FORMAT_1),CURRENCY.FORMAT_1,1),"# ##0;-# ##0"),",-"),FIXED(ROUND((C1488*(1-I1488)*(1-ADD.DISCOUNT)*(1+MAT.SURCHARGE)/EXC.RATE_1),CURRENCY.FORMAT_1),CURRENCY.FORMAT_1,0)),'DICTIONARY-5'!$A$2)</f>
        <v>281,-</v>
      </c>
      <c r="M1488" s="670" t="str">
        <f>IF(EXC.RATE_2=0,"",IFERROR(IF(CURRENCY.FORMAT_2=0,CONCATENATE(TEXT(FIXED(ROUND(IF(EXC.RATE.SWITCH=1,C1488*(1-I1488)*(1-ADD.DISCOUNT)*(1+MAT.SURCHARGE)/EXC.RATE_2,C1488*(1-I1488)*(1-ADD.DISCOUNT)*(1+MAT.SURCHARGE)*EXC.RATE_2),CURRENCY.FORMAT_2),CURRENCY.FORMAT_2,1),"# ##0;-# ##0"),",-"),FIXED(ROUND(IF(EXC.RATE.SWITCH=1,C1488*(1-I1488)*(1-ADD.DISCOUNT)*(1+MAT.SURCHARGE)/EXC.RATE_2,C1488*(1-I1488)*(1-ADD.DISCOUNT)*(1+MAT.SURCHARGE)*EXC.RATE_2),CURRENCY.FORMAT_2),CURRENCY.FORMAT_2,0)),'DICTIONARY-5'!$A$2))</f>
        <v/>
      </c>
      <c r="N1488" s="539">
        <v>5</v>
      </c>
      <c r="O1488" s="539"/>
      <c r="P1488" s="732" t="str">
        <f>'DICTIONARY-3'!$A$35</f>
        <v>HADE PTK-A</v>
      </c>
      <c r="Q1488" s="732" t="str">
        <f>'DICTIONARY-3'!$A$231</f>
        <v>Zestaw kotwiący</v>
      </c>
      <c r="R1488" s="732" t="str">
        <f>CONCATENATE('DICTIONARY-3'!$A$231," ",'DICTIONARY-5'!$A$7," ",'DICTIONARY-3'!$A$35," ",'DICTIONARY-2'!$A$2,"1200")</f>
        <v>Zestaw kotwiący dla HADE PTK-A DN1200</v>
      </c>
      <c r="S1488" s="733" t="s">
        <v>5569</v>
      </c>
      <c r="T1488" s="732" t="s">
        <v>5569</v>
      </c>
      <c r="U1488" s="734" t="s">
        <v>5838</v>
      </c>
      <c r="V1488" s="735" t="s">
        <v>5569</v>
      </c>
      <c r="W1488" s="736"/>
      <c r="X1488" s="737"/>
      <c r="Y1488" s="738"/>
      <c r="Z1488" s="739"/>
      <c r="AA1488" s="739"/>
      <c r="AB1488" s="746"/>
      <c r="AC1488" s="741" t="s">
        <v>5569</v>
      </c>
      <c r="AD1488" s="741" t="s">
        <v>5569</v>
      </c>
      <c r="AE1488" s="742" t="s">
        <v>5569</v>
      </c>
      <c r="AF1488" s="743">
        <v>0.8</v>
      </c>
      <c r="AG1488" s="741" t="s">
        <v>5569</v>
      </c>
    </row>
    <row r="1489" spans="1:33" x14ac:dyDescent="0.25">
      <c r="A1489" s="861" t="s">
        <v>1491</v>
      </c>
      <c r="B1489" s="861" t="s">
        <v>4643</v>
      </c>
      <c r="C1489" s="836">
        <v>402</v>
      </c>
      <c r="D1489" s="836"/>
      <c r="E1489" s="836"/>
      <c r="F1489" s="836"/>
      <c r="G1489" s="496" t="s">
        <v>7829</v>
      </c>
      <c r="H1489" s="797" t="str">
        <f>VLOOKUP(G1489,SETTINGS!$B$7:$D$97,2,0)</f>
        <v>HADE</v>
      </c>
      <c r="I1489" s="796">
        <f>VLOOKUP(G1489,SETTINGS!$B$7:$D$97,3,0)</f>
        <v>0</v>
      </c>
      <c r="J1489" s="670" t="str">
        <f>IFERROR(IF(CURRENCY.FORMAT_1=0,CONCATENATE(TEXT(FIXED(ROUND((C1489/EXC.RATE_1),CURRENCY.FORMAT_1),CURRENCY.FORMAT_1,1),"# ##0;-# ##0"),",-"),FIXED(ROUND((C1489/EXC.RATE_1),CURRENCY.FORMAT_1),CURRENCY.FORMAT_1,0)),'DICTIONARY-5'!$A$2)</f>
        <v>402,-</v>
      </c>
      <c r="K1489" s="670" t="str">
        <f>IF(EXC.RATE_2=0,"",IFERROR(IF(CURRENCY.FORMAT_2=0,CONCATENATE(TEXT(FIXED(ROUND(IF(EXC.RATE.SWITCH=1,C1489/EXC.RATE_2,C1489*EXC.RATE_2),CURRENCY.FORMAT_2),CURRENCY.FORMAT_2,1),"# ##0;-# ##0"),",-"),FIXED(ROUND(IF(EXC.RATE.SWITCH=1,C1489/EXC.RATE_2,C1489*EXC.RATE_2),CURRENCY.FORMAT_2),CURRENCY.FORMAT_2,0)),'DICTIONARY-5'!$A$2))</f>
        <v/>
      </c>
      <c r="L1489" s="670" t="str">
        <f>IFERROR(IF(CURRENCY.FORMAT_1=0,CONCATENATE(TEXT(FIXED(ROUND((C1489*(1-I1489)*(1-ADD.DISCOUNT)*(1+MAT.SURCHARGE)/EXC.RATE_1),CURRENCY.FORMAT_1),CURRENCY.FORMAT_1,1),"# ##0;-# ##0"),",-"),FIXED(ROUND((C1489*(1-I1489)*(1-ADD.DISCOUNT)*(1+MAT.SURCHARGE)/EXC.RATE_1),CURRENCY.FORMAT_1),CURRENCY.FORMAT_1,0)),'DICTIONARY-5'!$A$2)</f>
        <v>418,-</v>
      </c>
      <c r="M1489" s="670" t="str">
        <f>IF(EXC.RATE_2=0,"",IFERROR(IF(CURRENCY.FORMAT_2=0,CONCATENATE(TEXT(FIXED(ROUND(IF(EXC.RATE.SWITCH=1,C1489*(1-I1489)*(1-ADD.DISCOUNT)*(1+MAT.SURCHARGE)/EXC.RATE_2,C1489*(1-I1489)*(1-ADD.DISCOUNT)*(1+MAT.SURCHARGE)*EXC.RATE_2),CURRENCY.FORMAT_2),CURRENCY.FORMAT_2,1),"# ##0;-# ##0"),",-"),FIXED(ROUND(IF(EXC.RATE.SWITCH=1,C1489*(1-I1489)*(1-ADD.DISCOUNT)*(1+MAT.SURCHARGE)/EXC.RATE_2,C1489*(1-I1489)*(1-ADD.DISCOUNT)*(1+MAT.SURCHARGE)*EXC.RATE_2),CURRENCY.FORMAT_2),CURRENCY.FORMAT_2,0)),'DICTIONARY-5'!$A$2))</f>
        <v/>
      </c>
      <c r="N1489" s="539">
        <v>5</v>
      </c>
      <c r="O1489" s="539"/>
      <c r="P1489" s="732" t="str">
        <f>'DICTIONARY-3'!$A$35</f>
        <v>HADE PTK-A</v>
      </c>
      <c r="Q1489" s="732" t="str">
        <f>'DICTIONARY-3'!$A$231</f>
        <v>Zestaw kotwiący</v>
      </c>
      <c r="R1489" s="732" t="str">
        <f>CONCATENATE('DICTIONARY-3'!$A$231," ",'DICTIONARY-5'!$A$7," ",'DICTIONARY-3'!$A$35," ",'DICTIONARY-2'!$A$2,"1400")</f>
        <v>Zestaw kotwiący dla HADE PTK-A DN1400</v>
      </c>
      <c r="S1489" s="733" t="s">
        <v>5569</v>
      </c>
      <c r="T1489" s="732" t="s">
        <v>5569</v>
      </c>
      <c r="U1489" s="734" t="s">
        <v>5839</v>
      </c>
      <c r="V1489" s="735" t="s">
        <v>5569</v>
      </c>
      <c r="W1489" s="736"/>
      <c r="X1489" s="737"/>
      <c r="Y1489" s="738"/>
      <c r="Z1489" s="739"/>
      <c r="AA1489" s="739"/>
      <c r="AB1489" s="746"/>
      <c r="AC1489" s="741" t="s">
        <v>5569</v>
      </c>
      <c r="AD1489" s="741" t="s">
        <v>5569</v>
      </c>
      <c r="AE1489" s="742" t="s">
        <v>5569</v>
      </c>
      <c r="AF1489" s="743">
        <v>0.8</v>
      </c>
      <c r="AG1489" s="741"/>
    </row>
    <row r="1490" spans="1:33" x14ac:dyDescent="0.25">
      <c r="A1490" s="861" t="s">
        <v>1493</v>
      </c>
      <c r="B1490" s="861" t="s">
        <v>4637</v>
      </c>
      <c r="C1490" s="836">
        <v>445</v>
      </c>
      <c r="D1490" s="836"/>
      <c r="E1490" s="836"/>
      <c r="F1490" s="836"/>
      <c r="G1490" s="496" t="s">
        <v>7829</v>
      </c>
      <c r="H1490" s="797" t="str">
        <f>VLOOKUP(G1490,SETTINGS!$B$7:$D$97,2,0)</f>
        <v>HADE</v>
      </c>
      <c r="I1490" s="796">
        <f>VLOOKUP(G1490,SETTINGS!$B$7:$D$97,3,0)</f>
        <v>0</v>
      </c>
      <c r="J1490" s="670" t="str">
        <f>IFERROR(IF(CURRENCY.FORMAT_1=0,CONCATENATE(TEXT(FIXED(ROUND((C1490/EXC.RATE_1),CURRENCY.FORMAT_1),CURRENCY.FORMAT_1,1),"# ##0;-# ##0"),",-"),FIXED(ROUND((C1490/EXC.RATE_1),CURRENCY.FORMAT_1),CURRENCY.FORMAT_1,0)),'DICTIONARY-5'!$A$2)</f>
        <v>445,-</v>
      </c>
      <c r="K1490" s="670" t="str">
        <f>IF(EXC.RATE_2=0,"",IFERROR(IF(CURRENCY.FORMAT_2=0,CONCATENATE(TEXT(FIXED(ROUND(IF(EXC.RATE.SWITCH=1,C1490/EXC.RATE_2,C1490*EXC.RATE_2),CURRENCY.FORMAT_2),CURRENCY.FORMAT_2,1),"# ##0;-# ##0"),",-"),FIXED(ROUND(IF(EXC.RATE.SWITCH=1,C1490/EXC.RATE_2,C1490*EXC.RATE_2),CURRENCY.FORMAT_2),CURRENCY.FORMAT_2,0)),'DICTIONARY-5'!$A$2))</f>
        <v/>
      </c>
      <c r="L1490" s="670" t="str">
        <f>IFERROR(IF(CURRENCY.FORMAT_1=0,CONCATENATE(TEXT(FIXED(ROUND((C1490*(1-I1490)*(1-ADD.DISCOUNT)*(1+MAT.SURCHARGE)/EXC.RATE_1),CURRENCY.FORMAT_1),CURRENCY.FORMAT_1,1),"# ##0;-# ##0"),",-"),FIXED(ROUND((C1490*(1-I1490)*(1-ADD.DISCOUNT)*(1+MAT.SURCHARGE)/EXC.RATE_1),CURRENCY.FORMAT_1),CURRENCY.FORMAT_1,0)),'DICTIONARY-5'!$A$2)</f>
        <v>462,-</v>
      </c>
      <c r="M1490" s="670" t="str">
        <f>IF(EXC.RATE_2=0,"",IFERROR(IF(CURRENCY.FORMAT_2=0,CONCATENATE(TEXT(FIXED(ROUND(IF(EXC.RATE.SWITCH=1,C1490*(1-I1490)*(1-ADD.DISCOUNT)*(1+MAT.SURCHARGE)/EXC.RATE_2,C1490*(1-I1490)*(1-ADD.DISCOUNT)*(1+MAT.SURCHARGE)*EXC.RATE_2),CURRENCY.FORMAT_2),CURRENCY.FORMAT_2,1),"# ##0;-# ##0"),",-"),FIXED(ROUND(IF(EXC.RATE.SWITCH=1,C1490*(1-I1490)*(1-ADD.DISCOUNT)*(1+MAT.SURCHARGE)/EXC.RATE_2,C1490*(1-I1490)*(1-ADD.DISCOUNT)*(1+MAT.SURCHARGE)*EXC.RATE_2),CURRENCY.FORMAT_2),CURRENCY.FORMAT_2,0)),'DICTIONARY-5'!$A$2))</f>
        <v/>
      </c>
      <c r="N1490" s="539">
        <v>5</v>
      </c>
      <c r="O1490" s="539"/>
      <c r="P1490" s="732" t="str">
        <f>'DICTIONARY-3'!$A$35</f>
        <v>HADE PTK-A</v>
      </c>
      <c r="Q1490" s="732" t="str">
        <f>'DICTIONARY-3'!$A$231</f>
        <v>Zestaw kotwiący</v>
      </c>
      <c r="R1490" s="732" t="str">
        <f>CONCATENATE('DICTIONARY-3'!$A$231," ",'DICTIONARY-5'!$A$7," ",'DICTIONARY-3'!$A$35," ",'DICTIONARY-2'!$A$2,"1500")</f>
        <v>Zestaw kotwiący dla HADE PTK-A DN1500</v>
      </c>
      <c r="S1490" s="733" t="s">
        <v>5569</v>
      </c>
      <c r="T1490" s="732" t="s">
        <v>5569</v>
      </c>
      <c r="U1490" s="734" t="s">
        <v>5845</v>
      </c>
      <c r="V1490" s="735" t="s">
        <v>5569</v>
      </c>
      <c r="W1490" s="736"/>
      <c r="X1490" s="737"/>
      <c r="Y1490" s="738"/>
      <c r="Z1490" s="739"/>
      <c r="AA1490" s="739"/>
      <c r="AB1490" s="746"/>
      <c r="AC1490" s="741" t="s">
        <v>5569</v>
      </c>
      <c r="AD1490" s="741" t="s">
        <v>5569</v>
      </c>
      <c r="AE1490" s="742" t="s">
        <v>5569</v>
      </c>
      <c r="AF1490" s="743">
        <v>0.8</v>
      </c>
      <c r="AG1490" s="741"/>
    </row>
    <row r="1491" spans="1:33" x14ac:dyDescent="0.25">
      <c r="A1491" s="861" t="s">
        <v>1495</v>
      </c>
      <c r="B1491" s="861" t="s">
        <v>4644</v>
      </c>
      <c r="C1491" s="836">
        <v>472</v>
      </c>
      <c r="D1491" s="836"/>
      <c r="E1491" s="836"/>
      <c r="F1491" s="836"/>
      <c r="G1491" s="496" t="s">
        <v>7829</v>
      </c>
      <c r="H1491" s="797" t="str">
        <f>VLOOKUP(G1491,SETTINGS!$B$7:$D$97,2,0)</f>
        <v>HADE</v>
      </c>
      <c r="I1491" s="796">
        <f>VLOOKUP(G1491,SETTINGS!$B$7:$D$97,3,0)</f>
        <v>0</v>
      </c>
      <c r="J1491" s="670" t="str">
        <f>IFERROR(IF(CURRENCY.FORMAT_1=0,CONCATENATE(TEXT(FIXED(ROUND((C1491/EXC.RATE_1),CURRENCY.FORMAT_1),CURRENCY.FORMAT_1,1),"# ##0;-# ##0"),",-"),FIXED(ROUND((C1491/EXC.RATE_1),CURRENCY.FORMAT_1),CURRENCY.FORMAT_1,0)),'DICTIONARY-5'!$A$2)</f>
        <v>472,-</v>
      </c>
      <c r="K1491" s="670" t="str">
        <f>IF(EXC.RATE_2=0,"",IFERROR(IF(CURRENCY.FORMAT_2=0,CONCATENATE(TEXT(FIXED(ROUND(IF(EXC.RATE.SWITCH=1,C1491/EXC.RATE_2,C1491*EXC.RATE_2),CURRENCY.FORMAT_2),CURRENCY.FORMAT_2,1),"# ##0;-# ##0"),",-"),FIXED(ROUND(IF(EXC.RATE.SWITCH=1,C1491/EXC.RATE_2,C1491*EXC.RATE_2),CURRENCY.FORMAT_2),CURRENCY.FORMAT_2,0)),'DICTIONARY-5'!$A$2))</f>
        <v/>
      </c>
      <c r="L1491" s="670" t="str">
        <f>IFERROR(IF(CURRENCY.FORMAT_1=0,CONCATENATE(TEXT(FIXED(ROUND((C1491*(1-I1491)*(1-ADD.DISCOUNT)*(1+MAT.SURCHARGE)/EXC.RATE_1),CURRENCY.FORMAT_1),CURRENCY.FORMAT_1,1),"# ##0;-# ##0"),",-"),FIXED(ROUND((C1491*(1-I1491)*(1-ADD.DISCOUNT)*(1+MAT.SURCHARGE)/EXC.RATE_1),CURRENCY.FORMAT_1),CURRENCY.FORMAT_1,0)),'DICTIONARY-5'!$A$2)</f>
        <v>490,-</v>
      </c>
      <c r="M1491" s="670" t="str">
        <f>IF(EXC.RATE_2=0,"",IFERROR(IF(CURRENCY.FORMAT_2=0,CONCATENATE(TEXT(FIXED(ROUND(IF(EXC.RATE.SWITCH=1,C1491*(1-I1491)*(1-ADD.DISCOUNT)*(1+MAT.SURCHARGE)/EXC.RATE_2,C1491*(1-I1491)*(1-ADD.DISCOUNT)*(1+MAT.SURCHARGE)*EXC.RATE_2),CURRENCY.FORMAT_2),CURRENCY.FORMAT_2,1),"# ##0;-# ##0"),",-"),FIXED(ROUND(IF(EXC.RATE.SWITCH=1,C1491*(1-I1491)*(1-ADD.DISCOUNT)*(1+MAT.SURCHARGE)/EXC.RATE_2,C1491*(1-I1491)*(1-ADD.DISCOUNT)*(1+MAT.SURCHARGE)*EXC.RATE_2),CURRENCY.FORMAT_2),CURRENCY.FORMAT_2,0)),'DICTIONARY-5'!$A$2))</f>
        <v/>
      </c>
      <c r="N1491" s="539">
        <v>5</v>
      </c>
      <c r="O1491" s="539"/>
      <c r="P1491" s="732" t="str">
        <f>'DICTIONARY-3'!$A$35</f>
        <v>HADE PTK-A</v>
      </c>
      <c r="Q1491" s="732" t="str">
        <f>'DICTIONARY-3'!$A$231</f>
        <v>Zestaw kotwiący</v>
      </c>
      <c r="R1491" s="732" t="str">
        <f>CONCATENATE('DICTIONARY-3'!$A$231," ",'DICTIONARY-5'!$A$7," ",'DICTIONARY-3'!$A$35," ",'DICTIONARY-2'!$A$2,"1600")</f>
        <v>Zestaw kotwiący dla HADE PTK-A DN1600</v>
      </c>
      <c r="S1491" s="733" t="s">
        <v>5569</v>
      </c>
      <c r="T1491" s="732" t="s">
        <v>5569</v>
      </c>
      <c r="U1491" s="734" t="s">
        <v>5840</v>
      </c>
      <c r="V1491" s="735" t="s">
        <v>5569</v>
      </c>
      <c r="W1491" s="736"/>
      <c r="X1491" s="737"/>
      <c r="Y1491" s="738"/>
      <c r="Z1491" s="739"/>
      <c r="AA1491" s="739"/>
      <c r="AB1491" s="746"/>
      <c r="AC1491" s="741" t="s">
        <v>5569</v>
      </c>
      <c r="AD1491" s="741" t="s">
        <v>5569</v>
      </c>
      <c r="AE1491" s="742" t="s">
        <v>5569</v>
      </c>
      <c r="AF1491" s="743">
        <v>0.8</v>
      </c>
      <c r="AG1491" s="741"/>
    </row>
    <row r="1492" spans="1:33" x14ac:dyDescent="0.25">
      <c r="A1492" s="861" t="s">
        <v>1497</v>
      </c>
      <c r="B1492" s="861" t="s">
        <v>4645</v>
      </c>
      <c r="C1492" s="836">
        <v>493</v>
      </c>
      <c r="D1492" s="836"/>
      <c r="E1492" s="836"/>
      <c r="F1492" s="836"/>
      <c r="G1492" s="496" t="s">
        <v>7829</v>
      </c>
      <c r="H1492" s="797" t="str">
        <f>VLOOKUP(G1492,SETTINGS!$B$7:$D$97,2,0)</f>
        <v>HADE</v>
      </c>
      <c r="I1492" s="796">
        <f>VLOOKUP(G1492,SETTINGS!$B$7:$D$97,3,0)</f>
        <v>0</v>
      </c>
      <c r="J1492" s="670" t="str">
        <f>IFERROR(IF(CURRENCY.FORMAT_1=0,CONCATENATE(TEXT(FIXED(ROUND((C1492/EXC.RATE_1),CURRENCY.FORMAT_1),CURRENCY.FORMAT_1,1),"# ##0;-# ##0"),",-"),FIXED(ROUND((C1492/EXC.RATE_1),CURRENCY.FORMAT_1),CURRENCY.FORMAT_1,0)),'DICTIONARY-5'!$A$2)</f>
        <v>493,-</v>
      </c>
      <c r="K1492" s="670" t="str">
        <f>IF(EXC.RATE_2=0,"",IFERROR(IF(CURRENCY.FORMAT_2=0,CONCATENATE(TEXT(FIXED(ROUND(IF(EXC.RATE.SWITCH=1,C1492/EXC.RATE_2,C1492*EXC.RATE_2),CURRENCY.FORMAT_2),CURRENCY.FORMAT_2,1),"# ##0;-# ##0"),",-"),FIXED(ROUND(IF(EXC.RATE.SWITCH=1,C1492/EXC.RATE_2,C1492*EXC.RATE_2),CURRENCY.FORMAT_2),CURRENCY.FORMAT_2,0)),'DICTIONARY-5'!$A$2))</f>
        <v/>
      </c>
      <c r="L1492" s="670" t="str">
        <f>IFERROR(IF(CURRENCY.FORMAT_1=0,CONCATENATE(TEXT(FIXED(ROUND((C1492*(1-I1492)*(1-ADD.DISCOUNT)*(1+MAT.SURCHARGE)/EXC.RATE_1),CURRENCY.FORMAT_1),CURRENCY.FORMAT_1,1),"# ##0;-# ##0"),",-"),FIXED(ROUND((C1492*(1-I1492)*(1-ADD.DISCOUNT)*(1+MAT.SURCHARGE)/EXC.RATE_1),CURRENCY.FORMAT_1),CURRENCY.FORMAT_1,0)),'DICTIONARY-5'!$A$2)</f>
        <v>512,-</v>
      </c>
      <c r="M1492" s="670" t="str">
        <f>IF(EXC.RATE_2=0,"",IFERROR(IF(CURRENCY.FORMAT_2=0,CONCATENATE(TEXT(FIXED(ROUND(IF(EXC.RATE.SWITCH=1,C1492*(1-I1492)*(1-ADD.DISCOUNT)*(1+MAT.SURCHARGE)/EXC.RATE_2,C1492*(1-I1492)*(1-ADD.DISCOUNT)*(1+MAT.SURCHARGE)*EXC.RATE_2),CURRENCY.FORMAT_2),CURRENCY.FORMAT_2,1),"# ##0;-# ##0"),",-"),FIXED(ROUND(IF(EXC.RATE.SWITCH=1,C1492*(1-I1492)*(1-ADD.DISCOUNT)*(1+MAT.SURCHARGE)/EXC.RATE_2,C1492*(1-I1492)*(1-ADD.DISCOUNT)*(1+MAT.SURCHARGE)*EXC.RATE_2),CURRENCY.FORMAT_2),CURRENCY.FORMAT_2,0)),'DICTIONARY-5'!$A$2))</f>
        <v/>
      </c>
      <c r="N1492" s="539">
        <v>5</v>
      </c>
      <c r="O1492" s="539"/>
      <c r="P1492" s="732" t="str">
        <f>'DICTIONARY-3'!$A$35</f>
        <v>HADE PTK-A</v>
      </c>
      <c r="Q1492" s="732" t="str">
        <f>'DICTIONARY-3'!$A$231</f>
        <v>Zestaw kotwiący</v>
      </c>
      <c r="R1492" s="732" t="str">
        <f>CONCATENATE('DICTIONARY-3'!$A$231," ",'DICTIONARY-5'!$A$7," ",'DICTIONARY-3'!$A$35," ",'DICTIONARY-2'!$A$2,"1800")</f>
        <v>Zestaw kotwiący dla HADE PTK-A DN1800</v>
      </c>
      <c r="S1492" s="733" t="s">
        <v>5569</v>
      </c>
      <c r="T1492" s="732" t="s">
        <v>5569</v>
      </c>
      <c r="U1492" s="734" t="s">
        <v>5841</v>
      </c>
      <c r="V1492" s="735" t="s">
        <v>5569</v>
      </c>
      <c r="W1492" s="736"/>
      <c r="X1492" s="737"/>
      <c r="Y1492" s="738"/>
      <c r="Z1492" s="739"/>
      <c r="AA1492" s="739"/>
      <c r="AB1492" s="746"/>
      <c r="AC1492" s="741" t="s">
        <v>5569</v>
      </c>
      <c r="AD1492" s="741" t="s">
        <v>5569</v>
      </c>
      <c r="AE1492" s="742" t="s">
        <v>5569</v>
      </c>
      <c r="AF1492" s="743">
        <v>0.8</v>
      </c>
      <c r="AG1492" s="741"/>
    </row>
    <row r="1493" spans="1:33" x14ac:dyDescent="0.25">
      <c r="A1493" s="861" t="s">
        <v>1499</v>
      </c>
      <c r="B1493" s="861" t="s">
        <v>4646</v>
      </c>
      <c r="C1493" s="836">
        <v>569</v>
      </c>
      <c r="D1493" s="836"/>
      <c r="E1493" s="836"/>
      <c r="F1493" s="836"/>
      <c r="G1493" s="496" t="s">
        <v>7829</v>
      </c>
      <c r="H1493" s="797" t="str">
        <f>VLOOKUP(G1493,SETTINGS!$B$7:$D$97,2,0)</f>
        <v>HADE</v>
      </c>
      <c r="I1493" s="796">
        <f>VLOOKUP(G1493,SETTINGS!$B$7:$D$97,3,0)</f>
        <v>0</v>
      </c>
      <c r="J1493" s="670" t="str">
        <f>IFERROR(IF(CURRENCY.FORMAT_1=0,CONCATENATE(TEXT(FIXED(ROUND((C1493/EXC.RATE_1),CURRENCY.FORMAT_1),CURRENCY.FORMAT_1,1),"# ##0;-# ##0"),",-"),FIXED(ROUND((C1493/EXC.RATE_1),CURRENCY.FORMAT_1),CURRENCY.FORMAT_1,0)),'DICTIONARY-5'!$A$2)</f>
        <v>569,-</v>
      </c>
      <c r="K1493" s="670" t="str">
        <f>IF(EXC.RATE_2=0,"",IFERROR(IF(CURRENCY.FORMAT_2=0,CONCATENATE(TEXT(FIXED(ROUND(IF(EXC.RATE.SWITCH=1,C1493/EXC.RATE_2,C1493*EXC.RATE_2),CURRENCY.FORMAT_2),CURRENCY.FORMAT_2,1),"# ##0;-# ##0"),",-"),FIXED(ROUND(IF(EXC.RATE.SWITCH=1,C1493/EXC.RATE_2,C1493*EXC.RATE_2),CURRENCY.FORMAT_2),CURRENCY.FORMAT_2,0)),'DICTIONARY-5'!$A$2))</f>
        <v/>
      </c>
      <c r="L1493" s="670" t="str">
        <f>IFERROR(IF(CURRENCY.FORMAT_1=0,CONCATENATE(TEXT(FIXED(ROUND((C1493*(1-I1493)*(1-ADD.DISCOUNT)*(1+MAT.SURCHARGE)/EXC.RATE_1),CURRENCY.FORMAT_1),CURRENCY.FORMAT_1,1),"# ##0;-# ##0"),",-"),FIXED(ROUND((C1493*(1-I1493)*(1-ADD.DISCOUNT)*(1+MAT.SURCHARGE)/EXC.RATE_1),CURRENCY.FORMAT_1),CURRENCY.FORMAT_1,0)),'DICTIONARY-5'!$A$2)</f>
        <v>591,-</v>
      </c>
      <c r="M1493" s="670" t="str">
        <f>IF(EXC.RATE_2=0,"",IFERROR(IF(CURRENCY.FORMAT_2=0,CONCATENATE(TEXT(FIXED(ROUND(IF(EXC.RATE.SWITCH=1,C1493*(1-I1493)*(1-ADD.DISCOUNT)*(1+MAT.SURCHARGE)/EXC.RATE_2,C1493*(1-I1493)*(1-ADD.DISCOUNT)*(1+MAT.SURCHARGE)*EXC.RATE_2),CURRENCY.FORMAT_2),CURRENCY.FORMAT_2,1),"# ##0;-# ##0"),",-"),FIXED(ROUND(IF(EXC.RATE.SWITCH=1,C1493*(1-I1493)*(1-ADD.DISCOUNT)*(1+MAT.SURCHARGE)/EXC.RATE_2,C1493*(1-I1493)*(1-ADD.DISCOUNT)*(1+MAT.SURCHARGE)*EXC.RATE_2),CURRENCY.FORMAT_2),CURRENCY.FORMAT_2,0)),'DICTIONARY-5'!$A$2))</f>
        <v/>
      </c>
      <c r="N1493" s="539">
        <v>5</v>
      </c>
      <c r="O1493" s="539"/>
      <c r="P1493" s="732" t="str">
        <f>'DICTIONARY-3'!$A$35</f>
        <v>HADE PTK-A</v>
      </c>
      <c r="Q1493" s="732" t="str">
        <f>'DICTIONARY-3'!$A$231</f>
        <v>Zestaw kotwiący</v>
      </c>
      <c r="R1493" s="732" t="str">
        <f>CONCATENATE('DICTIONARY-3'!$A$231," ",'DICTIONARY-5'!$A$7," ",'DICTIONARY-3'!$A$35," ",'DICTIONARY-2'!$A$2,"2000")</f>
        <v>Zestaw kotwiący dla HADE PTK-A DN2000</v>
      </c>
      <c r="S1493" s="733" t="s">
        <v>5569</v>
      </c>
      <c r="T1493" s="732" t="s">
        <v>5569</v>
      </c>
      <c r="U1493" s="734" t="s">
        <v>5842</v>
      </c>
      <c r="V1493" s="735" t="s">
        <v>5569</v>
      </c>
      <c r="W1493" s="736"/>
      <c r="X1493" s="737"/>
      <c r="Y1493" s="738"/>
      <c r="Z1493" s="739"/>
      <c r="AA1493" s="739"/>
      <c r="AB1493" s="746"/>
      <c r="AC1493" s="741" t="s">
        <v>5569</v>
      </c>
      <c r="AD1493" s="741" t="s">
        <v>5569</v>
      </c>
      <c r="AE1493" s="742" t="s">
        <v>5569</v>
      </c>
      <c r="AF1493" s="743">
        <v>0.9</v>
      </c>
      <c r="AG1493" s="741"/>
    </row>
    <row r="1494" spans="1:33" x14ac:dyDescent="0.25">
      <c r="A1494" s="861" t="s">
        <v>1500</v>
      </c>
      <c r="B1494" s="861" t="s">
        <v>4492</v>
      </c>
      <c r="C1494" s="836">
        <v>685</v>
      </c>
      <c r="D1494" s="836"/>
      <c r="E1494" s="836"/>
      <c r="F1494" s="836"/>
      <c r="G1494" s="496" t="s">
        <v>7829</v>
      </c>
      <c r="H1494" s="797" t="str">
        <f>VLOOKUP(G1494,SETTINGS!$B$7:$D$97,2,0)</f>
        <v>HADE</v>
      </c>
      <c r="I1494" s="796">
        <f>VLOOKUP(G1494,SETTINGS!$B$7:$D$97,3,0)</f>
        <v>0</v>
      </c>
      <c r="J1494" s="670" t="str">
        <f>IFERROR(IF(CURRENCY.FORMAT_1=0,CONCATENATE(TEXT(FIXED(ROUND((C1494/EXC.RATE_1),CURRENCY.FORMAT_1),CURRENCY.FORMAT_1,1),"# ##0;-# ##0"),",-"),FIXED(ROUND((C1494/EXC.RATE_1),CURRENCY.FORMAT_1),CURRENCY.FORMAT_1,0)),'DICTIONARY-5'!$A$2)</f>
        <v>685,-</v>
      </c>
      <c r="K1494" s="670" t="str">
        <f>IF(EXC.RATE_2=0,"",IFERROR(IF(CURRENCY.FORMAT_2=0,CONCATENATE(TEXT(FIXED(ROUND(IF(EXC.RATE.SWITCH=1,C1494/EXC.RATE_2,C1494*EXC.RATE_2),CURRENCY.FORMAT_2),CURRENCY.FORMAT_2,1),"# ##0;-# ##0"),",-"),FIXED(ROUND(IF(EXC.RATE.SWITCH=1,C1494/EXC.RATE_2,C1494*EXC.RATE_2),CURRENCY.FORMAT_2),CURRENCY.FORMAT_2,0)),'DICTIONARY-5'!$A$2))</f>
        <v/>
      </c>
      <c r="L1494" s="670" t="str">
        <f>IFERROR(IF(CURRENCY.FORMAT_1=0,CONCATENATE(TEXT(FIXED(ROUND((C1494*(1-I1494)*(1-ADD.DISCOUNT)*(1+MAT.SURCHARGE)/EXC.RATE_1),CURRENCY.FORMAT_1),CURRENCY.FORMAT_1,1),"# ##0;-# ##0"),",-"),FIXED(ROUND((C1494*(1-I1494)*(1-ADD.DISCOUNT)*(1+MAT.SURCHARGE)/EXC.RATE_1),CURRENCY.FORMAT_1),CURRENCY.FORMAT_1,0)),'DICTIONARY-5'!$A$2)</f>
        <v>712,-</v>
      </c>
      <c r="M1494" s="670" t="str">
        <f>IF(EXC.RATE_2=0,"",IFERROR(IF(CURRENCY.FORMAT_2=0,CONCATENATE(TEXT(FIXED(ROUND(IF(EXC.RATE.SWITCH=1,C1494*(1-I1494)*(1-ADD.DISCOUNT)*(1+MAT.SURCHARGE)/EXC.RATE_2,C1494*(1-I1494)*(1-ADD.DISCOUNT)*(1+MAT.SURCHARGE)*EXC.RATE_2),CURRENCY.FORMAT_2),CURRENCY.FORMAT_2,1),"# ##0;-# ##0"),",-"),FIXED(ROUND(IF(EXC.RATE.SWITCH=1,C1494*(1-I1494)*(1-ADD.DISCOUNT)*(1+MAT.SURCHARGE)/EXC.RATE_2,C1494*(1-I1494)*(1-ADD.DISCOUNT)*(1+MAT.SURCHARGE)*EXC.RATE_2),CURRENCY.FORMAT_2),CURRENCY.FORMAT_2,0)),'DICTIONARY-5'!$A$2))</f>
        <v/>
      </c>
      <c r="N1494" s="539">
        <v>5</v>
      </c>
      <c r="O1494" s="539"/>
      <c r="P1494" s="732" t="str">
        <f>'DICTIONARY-3'!$A$32</f>
        <v>HADE PTK-F</v>
      </c>
      <c r="Q1494" s="732" t="str">
        <f>'DICTIONARY-3'!$A$203</f>
        <v>Klapa przeciwcofkowa</v>
      </c>
      <c r="R1494" s="732" t="str">
        <f>CONCATENATE('DICTIONARY-3'!$A$32," ",'DICTIONARY-6'!$A$19," ",'DICTIONARY-2'!$A$2,"150"," ",'DICTIONARY-2'!$A$3,"10, ",'DICTIONARY-6'!$A$73)</f>
        <v>HADE PTK-F Klapa przeciwcofk. DN150 PN10, kołnierz.</v>
      </c>
      <c r="S1494" s="733" t="s">
        <v>5569</v>
      </c>
      <c r="T1494" s="732" t="s">
        <v>5569</v>
      </c>
      <c r="U1494" s="734" t="s">
        <v>5572</v>
      </c>
      <c r="V1494" s="735">
        <v>10</v>
      </c>
      <c r="W1494" s="736"/>
      <c r="X1494" s="737"/>
      <c r="Y1494" s="738"/>
      <c r="Z1494" s="739"/>
      <c r="AA1494" s="739"/>
      <c r="AB1494" s="746">
        <v>0.1</v>
      </c>
      <c r="AC1494" s="741" t="s">
        <v>5569</v>
      </c>
      <c r="AD1494" s="741" t="s">
        <v>5569</v>
      </c>
      <c r="AE1494" s="742" t="s">
        <v>5569</v>
      </c>
      <c r="AF1494" s="743">
        <v>6</v>
      </c>
      <c r="AG1494" s="741" t="s">
        <v>5569</v>
      </c>
    </row>
    <row r="1495" spans="1:33" x14ac:dyDescent="0.25">
      <c r="A1495" s="861" t="s">
        <v>1501</v>
      </c>
      <c r="B1495" s="861" t="s">
        <v>4502</v>
      </c>
      <c r="C1495" s="836">
        <v>870</v>
      </c>
      <c r="D1495" s="836"/>
      <c r="E1495" s="836"/>
      <c r="F1495" s="836"/>
      <c r="G1495" s="496" t="s">
        <v>7829</v>
      </c>
      <c r="H1495" s="797" t="str">
        <f>VLOOKUP(G1495,SETTINGS!$B$7:$D$97,2,0)</f>
        <v>HADE</v>
      </c>
      <c r="I1495" s="796">
        <f>VLOOKUP(G1495,SETTINGS!$B$7:$D$97,3,0)</f>
        <v>0</v>
      </c>
      <c r="J1495" s="670" t="str">
        <f>IFERROR(IF(CURRENCY.FORMAT_1=0,CONCATENATE(TEXT(FIXED(ROUND((C1495/EXC.RATE_1),CURRENCY.FORMAT_1),CURRENCY.FORMAT_1,1),"# ##0;-# ##0"),",-"),FIXED(ROUND((C1495/EXC.RATE_1),CURRENCY.FORMAT_1),CURRENCY.FORMAT_1,0)),'DICTIONARY-5'!$A$2)</f>
        <v>870,-</v>
      </c>
      <c r="K1495" s="670" t="str">
        <f>IF(EXC.RATE_2=0,"",IFERROR(IF(CURRENCY.FORMAT_2=0,CONCATENATE(TEXT(FIXED(ROUND(IF(EXC.RATE.SWITCH=1,C1495/EXC.RATE_2,C1495*EXC.RATE_2),CURRENCY.FORMAT_2),CURRENCY.FORMAT_2,1),"# ##0;-# ##0"),",-"),FIXED(ROUND(IF(EXC.RATE.SWITCH=1,C1495/EXC.RATE_2,C1495*EXC.RATE_2),CURRENCY.FORMAT_2),CURRENCY.FORMAT_2,0)),'DICTIONARY-5'!$A$2))</f>
        <v/>
      </c>
      <c r="L1495" s="670" t="str">
        <f>IFERROR(IF(CURRENCY.FORMAT_1=0,CONCATENATE(TEXT(FIXED(ROUND((C1495*(1-I1495)*(1-ADD.DISCOUNT)*(1+MAT.SURCHARGE)/EXC.RATE_1),CURRENCY.FORMAT_1),CURRENCY.FORMAT_1,1),"# ##0;-# ##0"),",-"),FIXED(ROUND((C1495*(1-I1495)*(1-ADD.DISCOUNT)*(1+MAT.SURCHARGE)/EXC.RATE_1),CURRENCY.FORMAT_1),CURRENCY.FORMAT_1,0)),'DICTIONARY-5'!$A$2)</f>
        <v>904,-</v>
      </c>
      <c r="M1495" s="670" t="str">
        <f>IF(EXC.RATE_2=0,"",IFERROR(IF(CURRENCY.FORMAT_2=0,CONCATENATE(TEXT(FIXED(ROUND(IF(EXC.RATE.SWITCH=1,C1495*(1-I1495)*(1-ADD.DISCOUNT)*(1+MAT.SURCHARGE)/EXC.RATE_2,C1495*(1-I1495)*(1-ADD.DISCOUNT)*(1+MAT.SURCHARGE)*EXC.RATE_2),CURRENCY.FORMAT_2),CURRENCY.FORMAT_2,1),"# ##0;-# ##0"),",-"),FIXED(ROUND(IF(EXC.RATE.SWITCH=1,C1495*(1-I1495)*(1-ADD.DISCOUNT)*(1+MAT.SURCHARGE)/EXC.RATE_2,C1495*(1-I1495)*(1-ADD.DISCOUNT)*(1+MAT.SURCHARGE)*EXC.RATE_2),CURRENCY.FORMAT_2),CURRENCY.FORMAT_2,0)),'DICTIONARY-5'!$A$2))</f>
        <v/>
      </c>
      <c r="N1495" s="539">
        <v>5</v>
      </c>
      <c r="O1495" s="539"/>
      <c r="P1495" s="732" t="str">
        <f>'DICTIONARY-3'!$A$32</f>
        <v>HADE PTK-F</v>
      </c>
      <c r="Q1495" s="732" t="str">
        <f>'DICTIONARY-3'!$A$203</f>
        <v>Klapa przeciwcofkowa</v>
      </c>
      <c r="R1495" s="732" t="str">
        <f>CONCATENATE('DICTIONARY-3'!$A$32," ",'DICTIONARY-6'!$A$19," ",'DICTIONARY-2'!$A$2,"200"," ",'DICTIONARY-2'!$A$3,"10, ",'DICTIONARY-6'!$A$73)</f>
        <v>HADE PTK-F Klapa przeciwcofk. DN200 PN10, kołnierz.</v>
      </c>
      <c r="S1495" s="733" t="s">
        <v>5569</v>
      </c>
      <c r="T1495" s="732" t="s">
        <v>5569</v>
      </c>
      <c r="U1495" s="734" t="s">
        <v>5750</v>
      </c>
      <c r="V1495" s="735">
        <v>10</v>
      </c>
      <c r="W1495" s="736"/>
      <c r="X1495" s="737"/>
      <c r="Y1495" s="738"/>
      <c r="Z1495" s="739"/>
      <c r="AA1495" s="739"/>
      <c r="AB1495" s="746">
        <v>0.1</v>
      </c>
      <c r="AC1495" s="741" t="s">
        <v>5569</v>
      </c>
      <c r="AD1495" s="741" t="s">
        <v>5569</v>
      </c>
      <c r="AE1495" s="742" t="s">
        <v>5569</v>
      </c>
      <c r="AF1495" s="743">
        <v>8</v>
      </c>
      <c r="AG1495" s="741" t="s">
        <v>5569</v>
      </c>
    </row>
    <row r="1496" spans="1:33" x14ac:dyDescent="0.25">
      <c r="A1496" s="861" t="s">
        <v>1502</v>
      </c>
      <c r="B1496" s="861" t="s">
        <v>4508</v>
      </c>
      <c r="C1496" s="836">
        <v>946</v>
      </c>
      <c r="D1496" s="836"/>
      <c r="E1496" s="836"/>
      <c r="F1496" s="836"/>
      <c r="G1496" s="496" t="s">
        <v>7829</v>
      </c>
      <c r="H1496" s="797" t="str">
        <f>VLOOKUP(G1496,SETTINGS!$B$7:$D$97,2,0)</f>
        <v>HADE</v>
      </c>
      <c r="I1496" s="796">
        <f>VLOOKUP(G1496,SETTINGS!$B$7:$D$97,3,0)</f>
        <v>0</v>
      </c>
      <c r="J1496" s="670" t="str">
        <f>IFERROR(IF(CURRENCY.FORMAT_1=0,CONCATENATE(TEXT(FIXED(ROUND((C1496/EXC.RATE_1),CURRENCY.FORMAT_1),CURRENCY.FORMAT_1,1),"# ##0;-# ##0"),",-"),FIXED(ROUND((C1496/EXC.RATE_1),CURRENCY.FORMAT_1),CURRENCY.FORMAT_1,0)),'DICTIONARY-5'!$A$2)</f>
        <v>946,-</v>
      </c>
      <c r="K1496" s="670" t="str">
        <f>IF(EXC.RATE_2=0,"",IFERROR(IF(CURRENCY.FORMAT_2=0,CONCATENATE(TEXT(FIXED(ROUND(IF(EXC.RATE.SWITCH=1,C1496/EXC.RATE_2,C1496*EXC.RATE_2),CURRENCY.FORMAT_2),CURRENCY.FORMAT_2,1),"# ##0;-# ##0"),",-"),FIXED(ROUND(IF(EXC.RATE.SWITCH=1,C1496/EXC.RATE_2,C1496*EXC.RATE_2),CURRENCY.FORMAT_2),CURRENCY.FORMAT_2,0)),'DICTIONARY-5'!$A$2))</f>
        <v/>
      </c>
      <c r="L1496" s="670" t="str">
        <f>IFERROR(IF(CURRENCY.FORMAT_1=0,CONCATENATE(TEXT(FIXED(ROUND((C1496*(1-I1496)*(1-ADD.DISCOUNT)*(1+MAT.SURCHARGE)/EXC.RATE_1),CURRENCY.FORMAT_1),CURRENCY.FORMAT_1,1),"# ##0;-# ##0"),",-"),FIXED(ROUND((C1496*(1-I1496)*(1-ADD.DISCOUNT)*(1+MAT.SURCHARGE)/EXC.RATE_1),CURRENCY.FORMAT_1),CURRENCY.FORMAT_1,0)),'DICTIONARY-5'!$A$2)</f>
        <v>983,-</v>
      </c>
      <c r="M1496" s="670" t="str">
        <f>IF(EXC.RATE_2=0,"",IFERROR(IF(CURRENCY.FORMAT_2=0,CONCATENATE(TEXT(FIXED(ROUND(IF(EXC.RATE.SWITCH=1,C1496*(1-I1496)*(1-ADD.DISCOUNT)*(1+MAT.SURCHARGE)/EXC.RATE_2,C1496*(1-I1496)*(1-ADD.DISCOUNT)*(1+MAT.SURCHARGE)*EXC.RATE_2),CURRENCY.FORMAT_2),CURRENCY.FORMAT_2,1),"# ##0;-# ##0"),",-"),FIXED(ROUND(IF(EXC.RATE.SWITCH=1,C1496*(1-I1496)*(1-ADD.DISCOUNT)*(1+MAT.SURCHARGE)/EXC.RATE_2,C1496*(1-I1496)*(1-ADD.DISCOUNT)*(1+MAT.SURCHARGE)*EXC.RATE_2),CURRENCY.FORMAT_2),CURRENCY.FORMAT_2,0)),'DICTIONARY-5'!$A$2))</f>
        <v/>
      </c>
      <c r="N1496" s="539">
        <v>5</v>
      </c>
      <c r="O1496" s="539"/>
      <c r="P1496" s="732" t="str">
        <f>'DICTIONARY-3'!$A$32</f>
        <v>HADE PTK-F</v>
      </c>
      <c r="Q1496" s="732" t="str">
        <f>'DICTIONARY-3'!$A$203</f>
        <v>Klapa przeciwcofkowa</v>
      </c>
      <c r="R1496" s="732" t="str">
        <f>CONCATENATE('DICTIONARY-3'!$A$32," ",'DICTIONARY-6'!$A$19," ",'DICTIONARY-2'!$A$2,"250"," ",'DICTIONARY-2'!$A$3,"10, ",'DICTIONARY-6'!$A$73)</f>
        <v>HADE PTK-F Klapa przeciwcofk. DN250 PN10, kołnierz.</v>
      </c>
      <c r="S1496" s="733" t="s">
        <v>5569</v>
      </c>
      <c r="T1496" s="732" t="s">
        <v>5569</v>
      </c>
      <c r="U1496" s="734" t="s">
        <v>5751</v>
      </c>
      <c r="V1496" s="735">
        <v>10</v>
      </c>
      <c r="W1496" s="736"/>
      <c r="X1496" s="737"/>
      <c r="Y1496" s="738"/>
      <c r="Z1496" s="739"/>
      <c r="AA1496" s="739"/>
      <c r="AB1496" s="746">
        <v>0.1</v>
      </c>
      <c r="AC1496" s="741" t="s">
        <v>5569</v>
      </c>
      <c r="AD1496" s="741" t="s">
        <v>5569</v>
      </c>
      <c r="AE1496" s="742" t="s">
        <v>5569</v>
      </c>
      <c r="AF1496" s="743">
        <v>10</v>
      </c>
      <c r="AG1496" s="741" t="s">
        <v>5569</v>
      </c>
    </row>
    <row r="1497" spans="1:33" x14ac:dyDescent="0.25">
      <c r="A1497" s="861" t="s">
        <v>1503</v>
      </c>
      <c r="B1497" s="861" t="s">
        <v>4518</v>
      </c>
      <c r="C1497" s="836">
        <v>1233</v>
      </c>
      <c r="D1497" s="836"/>
      <c r="E1497" s="836"/>
      <c r="F1497" s="836"/>
      <c r="G1497" s="496" t="s">
        <v>7829</v>
      </c>
      <c r="H1497" s="797" t="str">
        <f>VLOOKUP(G1497,SETTINGS!$B$7:$D$97,2,0)</f>
        <v>HADE</v>
      </c>
      <c r="I1497" s="796">
        <f>VLOOKUP(G1497,SETTINGS!$B$7:$D$97,3,0)</f>
        <v>0</v>
      </c>
      <c r="J1497" s="670" t="str">
        <f>IFERROR(IF(CURRENCY.FORMAT_1=0,CONCATENATE(TEXT(FIXED(ROUND((C1497/EXC.RATE_1),CURRENCY.FORMAT_1),CURRENCY.FORMAT_1,1),"# ##0;-# ##0"),",-"),FIXED(ROUND((C1497/EXC.RATE_1),CURRENCY.FORMAT_1),CURRENCY.FORMAT_1,0)),'DICTIONARY-5'!$A$2)</f>
        <v>1 233,-</v>
      </c>
      <c r="K1497" s="670" t="str">
        <f>IF(EXC.RATE_2=0,"",IFERROR(IF(CURRENCY.FORMAT_2=0,CONCATENATE(TEXT(FIXED(ROUND(IF(EXC.RATE.SWITCH=1,C1497/EXC.RATE_2,C1497*EXC.RATE_2),CURRENCY.FORMAT_2),CURRENCY.FORMAT_2,1),"# ##0;-# ##0"),",-"),FIXED(ROUND(IF(EXC.RATE.SWITCH=1,C1497/EXC.RATE_2,C1497*EXC.RATE_2),CURRENCY.FORMAT_2),CURRENCY.FORMAT_2,0)),'DICTIONARY-5'!$A$2))</f>
        <v/>
      </c>
      <c r="L1497" s="670" t="str">
        <f>IFERROR(IF(CURRENCY.FORMAT_1=0,CONCATENATE(TEXT(FIXED(ROUND((C1497*(1-I1497)*(1-ADD.DISCOUNT)*(1+MAT.SURCHARGE)/EXC.RATE_1),CURRENCY.FORMAT_1),CURRENCY.FORMAT_1,1),"# ##0;-# ##0"),",-"),FIXED(ROUND((C1497*(1-I1497)*(1-ADD.DISCOUNT)*(1+MAT.SURCHARGE)/EXC.RATE_1),CURRENCY.FORMAT_1),CURRENCY.FORMAT_1,0)),'DICTIONARY-5'!$A$2)</f>
        <v>1 281,-</v>
      </c>
      <c r="M1497" s="670" t="str">
        <f>IF(EXC.RATE_2=0,"",IFERROR(IF(CURRENCY.FORMAT_2=0,CONCATENATE(TEXT(FIXED(ROUND(IF(EXC.RATE.SWITCH=1,C1497*(1-I1497)*(1-ADD.DISCOUNT)*(1+MAT.SURCHARGE)/EXC.RATE_2,C1497*(1-I1497)*(1-ADD.DISCOUNT)*(1+MAT.SURCHARGE)*EXC.RATE_2),CURRENCY.FORMAT_2),CURRENCY.FORMAT_2,1),"# ##0;-# ##0"),",-"),FIXED(ROUND(IF(EXC.RATE.SWITCH=1,C1497*(1-I1497)*(1-ADD.DISCOUNT)*(1+MAT.SURCHARGE)/EXC.RATE_2,C1497*(1-I1497)*(1-ADD.DISCOUNT)*(1+MAT.SURCHARGE)*EXC.RATE_2),CURRENCY.FORMAT_2),CURRENCY.FORMAT_2,0)),'DICTIONARY-5'!$A$2))</f>
        <v/>
      </c>
      <c r="N1497" s="539">
        <v>5</v>
      </c>
      <c r="O1497" s="539"/>
      <c r="P1497" s="732" t="str">
        <f>'DICTIONARY-3'!$A$32</f>
        <v>HADE PTK-F</v>
      </c>
      <c r="Q1497" s="732" t="str">
        <f>'DICTIONARY-3'!$A$203</f>
        <v>Klapa przeciwcofkowa</v>
      </c>
      <c r="R1497" s="732" t="str">
        <f>CONCATENATE('DICTIONARY-3'!$A$32," ",'DICTIONARY-6'!$A$19," ",'DICTIONARY-2'!$A$2,"300"," ",'DICTIONARY-2'!$A$3,"10, ",'DICTIONARY-6'!$A$73)</f>
        <v>HADE PTK-F Klapa przeciwcofk. DN300 PN10, kołnierz.</v>
      </c>
      <c r="S1497" s="733" t="s">
        <v>5569</v>
      </c>
      <c r="T1497" s="732" t="s">
        <v>5569</v>
      </c>
      <c r="U1497" s="734" t="s">
        <v>5752</v>
      </c>
      <c r="V1497" s="735">
        <v>10</v>
      </c>
      <c r="W1497" s="736"/>
      <c r="X1497" s="737"/>
      <c r="Y1497" s="738"/>
      <c r="Z1497" s="739"/>
      <c r="AA1497" s="739"/>
      <c r="AB1497" s="746">
        <v>0.1</v>
      </c>
      <c r="AC1497" s="741" t="s">
        <v>5569</v>
      </c>
      <c r="AD1497" s="741" t="s">
        <v>5569</v>
      </c>
      <c r="AE1497" s="742" t="s">
        <v>5569</v>
      </c>
      <c r="AF1497" s="743">
        <v>12.5</v>
      </c>
      <c r="AG1497" s="741" t="s">
        <v>5569</v>
      </c>
    </row>
    <row r="1498" spans="1:33" x14ac:dyDescent="0.25">
      <c r="A1498" s="861" t="s">
        <v>1504</v>
      </c>
      <c r="B1498" s="861" t="s">
        <v>4525</v>
      </c>
      <c r="C1498" s="836">
        <v>1691</v>
      </c>
      <c r="D1498" s="836"/>
      <c r="E1498" s="836"/>
      <c r="F1498" s="836"/>
      <c r="G1498" s="496" t="s">
        <v>7829</v>
      </c>
      <c r="H1498" s="797" t="str">
        <f>VLOOKUP(G1498,SETTINGS!$B$7:$D$97,2,0)</f>
        <v>HADE</v>
      </c>
      <c r="I1498" s="796">
        <f>VLOOKUP(G1498,SETTINGS!$B$7:$D$97,3,0)</f>
        <v>0</v>
      </c>
      <c r="J1498" s="670" t="str">
        <f>IFERROR(IF(CURRENCY.FORMAT_1=0,CONCATENATE(TEXT(FIXED(ROUND((C1498/EXC.RATE_1),CURRENCY.FORMAT_1),CURRENCY.FORMAT_1,1),"# ##0;-# ##0"),",-"),FIXED(ROUND((C1498/EXC.RATE_1),CURRENCY.FORMAT_1),CURRENCY.FORMAT_1,0)),'DICTIONARY-5'!$A$2)</f>
        <v>1 691,-</v>
      </c>
      <c r="K1498" s="670" t="str">
        <f>IF(EXC.RATE_2=0,"",IFERROR(IF(CURRENCY.FORMAT_2=0,CONCATENATE(TEXT(FIXED(ROUND(IF(EXC.RATE.SWITCH=1,C1498/EXC.RATE_2,C1498*EXC.RATE_2),CURRENCY.FORMAT_2),CURRENCY.FORMAT_2,1),"# ##0;-# ##0"),",-"),FIXED(ROUND(IF(EXC.RATE.SWITCH=1,C1498/EXC.RATE_2,C1498*EXC.RATE_2),CURRENCY.FORMAT_2),CURRENCY.FORMAT_2,0)),'DICTIONARY-5'!$A$2))</f>
        <v/>
      </c>
      <c r="L1498" s="670" t="str">
        <f>IFERROR(IF(CURRENCY.FORMAT_1=0,CONCATENATE(TEXT(FIXED(ROUND((C1498*(1-I1498)*(1-ADD.DISCOUNT)*(1+MAT.SURCHARGE)/EXC.RATE_1),CURRENCY.FORMAT_1),CURRENCY.FORMAT_1,1),"# ##0;-# ##0"),",-"),FIXED(ROUND((C1498*(1-I1498)*(1-ADD.DISCOUNT)*(1+MAT.SURCHARGE)/EXC.RATE_1),CURRENCY.FORMAT_1),CURRENCY.FORMAT_1,0)),'DICTIONARY-5'!$A$2)</f>
        <v>1 757,-</v>
      </c>
      <c r="M1498" s="670" t="str">
        <f>IF(EXC.RATE_2=0,"",IFERROR(IF(CURRENCY.FORMAT_2=0,CONCATENATE(TEXT(FIXED(ROUND(IF(EXC.RATE.SWITCH=1,C1498*(1-I1498)*(1-ADD.DISCOUNT)*(1+MAT.SURCHARGE)/EXC.RATE_2,C1498*(1-I1498)*(1-ADD.DISCOUNT)*(1+MAT.SURCHARGE)*EXC.RATE_2),CURRENCY.FORMAT_2),CURRENCY.FORMAT_2,1),"# ##0;-# ##0"),",-"),FIXED(ROUND(IF(EXC.RATE.SWITCH=1,C1498*(1-I1498)*(1-ADD.DISCOUNT)*(1+MAT.SURCHARGE)/EXC.RATE_2,C1498*(1-I1498)*(1-ADD.DISCOUNT)*(1+MAT.SURCHARGE)*EXC.RATE_2),CURRENCY.FORMAT_2),CURRENCY.FORMAT_2,0)),'DICTIONARY-5'!$A$2))</f>
        <v/>
      </c>
      <c r="N1498" s="539">
        <v>5</v>
      </c>
      <c r="O1498" s="539"/>
      <c r="P1498" s="732" t="str">
        <f>'DICTIONARY-3'!$A$32</f>
        <v>HADE PTK-F</v>
      </c>
      <c r="Q1498" s="732" t="str">
        <f>'DICTIONARY-3'!$A$203</f>
        <v>Klapa przeciwcofkowa</v>
      </c>
      <c r="R1498" s="732" t="str">
        <f>CONCATENATE('DICTIONARY-3'!$A$32," ",'DICTIONARY-6'!$A$19," ",'DICTIONARY-2'!$A$2,"400"," ",'DICTIONARY-2'!$A$3,"10, ",'DICTIONARY-6'!$A$73)</f>
        <v>HADE PTK-F Klapa przeciwcofk. DN400 PN10, kołnierz.</v>
      </c>
      <c r="S1498" s="733" t="s">
        <v>5569</v>
      </c>
      <c r="T1498" s="732" t="s">
        <v>5569</v>
      </c>
      <c r="U1498" s="734" t="s">
        <v>5754</v>
      </c>
      <c r="V1498" s="735">
        <v>10</v>
      </c>
      <c r="W1498" s="736"/>
      <c r="X1498" s="737"/>
      <c r="Y1498" s="738"/>
      <c r="Z1498" s="739"/>
      <c r="AA1498" s="739"/>
      <c r="AB1498" s="746">
        <v>0.1</v>
      </c>
      <c r="AC1498" s="741" t="s">
        <v>5569</v>
      </c>
      <c r="AD1498" s="741" t="s">
        <v>5569</v>
      </c>
      <c r="AE1498" s="742" t="s">
        <v>5569</v>
      </c>
      <c r="AF1498" s="743">
        <v>18</v>
      </c>
      <c r="AG1498" s="741" t="s">
        <v>5569</v>
      </c>
    </row>
    <row r="1499" spans="1:33" x14ac:dyDescent="0.25">
      <c r="A1499" s="861" t="s">
        <v>1505</v>
      </c>
      <c r="B1499" s="861" t="s">
        <v>4532</v>
      </c>
      <c r="C1499" s="836">
        <v>2359</v>
      </c>
      <c r="D1499" s="836"/>
      <c r="E1499" s="836"/>
      <c r="F1499" s="836"/>
      <c r="G1499" s="496" t="s">
        <v>7829</v>
      </c>
      <c r="H1499" s="797" t="str">
        <f>VLOOKUP(G1499,SETTINGS!$B$7:$D$97,2,0)</f>
        <v>HADE</v>
      </c>
      <c r="I1499" s="796">
        <f>VLOOKUP(G1499,SETTINGS!$B$7:$D$97,3,0)</f>
        <v>0</v>
      </c>
      <c r="J1499" s="670" t="str">
        <f>IFERROR(IF(CURRENCY.FORMAT_1=0,CONCATENATE(TEXT(FIXED(ROUND((C1499/EXC.RATE_1),CURRENCY.FORMAT_1),CURRENCY.FORMAT_1,1),"# ##0;-# ##0"),",-"),FIXED(ROUND((C1499/EXC.RATE_1),CURRENCY.FORMAT_1),CURRENCY.FORMAT_1,0)),'DICTIONARY-5'!$A$2)</f>
        <v>2 359,-</v>
      </c>
      <c r="K1499" s="670" t="str">
        <f>IF(EXC.RATE_2=0,"",IFERROR(IF(CURRENCY.FORMAT_2=0,CONCATENATE(TEXT(FIXED(ROUND(IF(EXC.RATE.SWITCH=1,C1499/EXC.RATE_2,C1499*EXC.RATE_2),CURRENCY.FORMAT_2),CURRENCY.FORMAT_2,1),"# ##0;-# ##0"),",-"),FIXED(ROUND(IF(EXC.RATE.SWITCH=1,C1499/EXC.RATE_2,C1499*EXC.RATE_2),CURRENCY.FORMAT_2),CURRENCY.FORMAT_2,0)),'DICTIONARY-5'!$A$2))</f>
        <v/>
      </c>
      <c r="L1499" s="670" t="str">
        <f>IFERROR(IF(CURRENCY.FORMAT_1=0,CONCATENATE(TEXT(FIXED(ROUND((C1499*(1-I1499)*(1-ADD.DISCOUNT)*(1+MAT.SURCHARGE)/EXC.RATE_1),CURRENCY.FORMAT_1),CURRENCY.FORMAT_1,1),"# ##0;-# ##0"),",-"),FIXED(ROUND((C1499*(1-I1499)*(1-ADD.DISCOUNT)*(1+MAT.SURCHARGE)/EXC.RATE_1),CURRENCY.FORMAT_1),CURRENCY.FORMAT_1,0)),'DICTIONARY-5'!$A$2)</f>
        <v>2 451,-</v>
      </c>
      <c r="M1499" s="670" t="str">
        <f>IF(EXC.RATE_2=0,"",IFERROR(IF(CURRENCY.FORMAT_2=0,CONCATENATE(TEXT(FIXED(ROUND(IF(EXC.RATE.SWITCH=1,C1499*(1-I1499)*(1-ADD.DISCOUNT)*(1+MAT.SURCHARGE)/EXC.RATE_2,C1499*(1-I1499)*(1-ADD.DISCOUNT)*(1+MAT.SURCHARGE)*EXC.RATE_2),CURRENCY.FORMAT_2),CURRENCY.FORMAT_2,1),"# ##0;-# ##0"),",-"),FIXED(ROUND(IF(EXC.RATE.SWITCH=1,C1499*(1-I1499)*(1-ADD.DISCOUNT)*(1+MAT.SURCHARGE)/EXC.RATE_2,C1499*(1-I1499)*(1-ADD.DISCOUNT)*(1+MAT.SURCHARGE)*EXC.RATE_2),CURRENCY.FORMAT_2),CURRENCY.FORMAT_2,0)),'DICTIONARY-5'!$A$2))</f>
        <v/>
      </c>
      <c r="N1499" s="539">
        <v>5</v>
      </c>
      <c r="O1499" s="539"/>
      <c r="P1499" s="732" t="str">
        <f>'DICTIONARY-3'!$A$32</f>
        <v>HADE PTK-F</v>
      </c>
      <c r="Q1499" s="732" t="str">
        <f>'DICTIONARY-3'!$A$203</f>
        <v>Klapa przeciwcofkowa</v>
      </c>
      <c r="R1499" s="732" t="str">
        <f>CONCATENATE('DICTIONARY-3'!$A$32," ",'DICTIONARY-6'!$A$19," ",'DICTIONARY-2'!$A$2,"500"," ",'DICTIONARY-2'!$A$3,"10, ",'DICTIONARY-6'!$A$73)</f>
        <v>HADE PTK-F Klapa przeciwcofk. DN500 PN10, kołnierz.</v>
      </c>
      <c r="S1499" s="733" t="s">
        <v>5569</v>
      </c>
      <c r="T1499" s="732" t="s">
        <v>5569</v>
      </c>
      <c r="U1499" s="734" t="s">
        <v>5756</v>
      </c>
      <c r="V1499" s="735">
        <v>10</v>
      </c>
      <c r="W1499" s="736"/>
      <c r="X1499" s="737"/>
      <c r="Y1499" s="738"/>
      <c r="Z1499" s="739"/>
      <c r="AA1499" s="739"/>
      <c r="AB1499" s="746">
        <v>0.1</v>
      </c>
      <c r="AC1499" s="741" t="s">
        <v>5569</v>
      </c>
      <c r="AD1499" s="741" t="s">
        <v>5569</v>
      </c>
      <c r="AE1499" s="742" t="s">
        <v>5569</v>
      </c>
      <c r="AF1499" s="743">
        <v>27</v>
      </c>
      <c r="AG1499" s="741" t="s">
        <v>5569</v>
      </c>
    </row>
    <row r="1500" spans="1:33" x14ac:dyDescent="0.25">
      <c r="A1500" s="861" t="s">
        <v>1506</v>
      </c>
      <c r="B1500" s="861" t="s">
        <v>4539</v>
      </c>
      <c r="C1500" s="836">
        <v>2739</v>
      </c>
      <c r="D1500" s="836"/>
      <c r="E1500" s="836"/>
      <c r="F1500" s="836"/>
      <c r="G1500" s="496" t="s">
        <v>7829</v>
      </c>
      <c r="H1500" s="797" t="str">
        <f>VLOOKUP(G1500,SETTINGS!$B$7:$D$97,2,0)</f>
        <v>HADE</v>
      </c>
      <c r="I1500" s="796">
        <f>VLOOKUP(G1500,SETTINGS!$B$7:$D$97,3,0)</f>
        <v>0</v>
      </c>
      <c r="J1500" s="670" t="str">
        <f>IFERROR(IF(CURRENCY.FORMAT_1=0,CONCATENATE(TEXT(FIXED(ROUND((C1500/EXC.RATE_1),CURRENCY.FORMAT_1),CURRENCY.FORMAT_1,1),"# ##0;-# ##0"),",-"),FIXED(ROUND((C1500/EXC.RATE_1),CURRENCY.FORMAT_1),CURRENCY.FORMAT_1,0)),'DICTIONARY-5'!$A$2)</f>
        <v>2 739,-</v>
      </c>
      <c r="K1500" s="670" t="str">
        <f>IF(EXC.RATE_2=0,"",IFERROR(IF(CURRENCY.FORMAT_2=0,CONCATENATE(TEXT(FIXED(ROUND(IF(EXC.RATE.SWITCH=1,C1500/EXC.RATE_2,C1500*EXC.RATE_2),CURRENCY.FORMAT_2),CURRENCY.FORMAT_2,1),"# ##0;-# ##0"),",-"),FIXED(ROUND(IF(EXC.RATE.SWITCH=1,C1500/EXC.RATE_2,C1500*EXC.RATE_2),CURRENCY.FORMAT_2),CURRENCY.FORMAT_2,0)),'DICTIONARY-5'!$A$2))</f>
        <v/>
      </c>
      <c r="L1500" s="670" t="str">
        <f>IFERROR(IF(CURRENCY.FORMAT_1=0,CONCATENATE(TEXT(FIXED(ROUND((C1500*(1-I1500)*(1-ADD.DISCOUNT)*(1+MAT.SURCHARGE)/EXC.RATE_1),CURRENCY.FORMAT_1),CURRENCY.FORMAT_1,1),"# ##0;-# ##0"),",-"),FIXED(ROUND((C1500*(1-I1500)*(1-ADD.DISCOUNT)*(1+MAT.SURCHARGE)/EXC.RATE_1),CURRENCY.FORMAT_1),CURRENCY.FORMAT_1,0)),'DICTIONARY-5'!$A$2)</f>
        <v>2 846,-</v>
      </c>
      <c r="M1500" s="670" t="str">
        <f>IF(EXC.RATE_2=0,"",IFERROR(IF(CURRENCY.FORMAT_2=0,CONCATENATE(TEXT(FIXED(ROUND(IF(EXC.RATE.SWITCH=1,C1500*(1-I1500)*(1-ADD.DISCOUNT)*(1+MAT.SURCHARGE)/EXC.RATE_2,C1500*(1-I1500)*(1-ADD.DISCOUNT)*(1+MAT.SURCHARGE)*EXC.RATE_2),CURRENCY.FORMAT_2),CURRENCY.FORMAT_2,1),"# ##0;-# ##0"),",-"),FIXED(ROUND(IF(EXC.RATE.SWITCH=1,C1500*(1-I1500)*(1-ADD.DISCOUNT)*(1+MAT.SURCHARGE)/EXC.RATE_2,C1500*(1-I1500)*(1-ADD.DISCOUNT)*(1+MAT.SURCHARGE)*EXC.RATE_2),CURRENCY.FORMAT_2),CURRENCY.FORMAT_2,0)),'DICTIONARY-5'!$A$2))</f>
        <v/>
      </c>
      <c r="N1500" s="539">
        <v>5</v>
      </c>
      <c r="O1500" s="539"/>
      <c r="P1500" s="732" t="str">
        <f>'DICTIONARY-3'!$A$32</f>
        <v>HADE PTK-F</v>
      </c>
      <c r="Q1500" s="732" t="str">
        <f>'DICTIONARY-3'!$A$203</f>
        <v>Klapa przeciwcofkowa</v>
      </c>
      <c r="R1500" s="732" t="str">
        <f>CONCATENATE('DICTIONARY-3'!$A$32," ",'DICTIONARY-6'!$A$19," ",'DICTIONARY-2'!$A$2,"600"," ",'DICTIONARY-2'!$A$3,"10, ",'DICTIONARY-6'!$A$73)</f>
        <v>HADE PTK-F Klapa przeciwcofk. DN600 PN10, kołnierz.</v>
      </c>
      <c r="S1500" s="733" t="s">
        <v>5569</v>
      </c>
      <c r="T1500" s="732" t="s">
        <v>5569</v>
      </c>
      <c r="U1500" s="734" t="s">
        <v>5757</v>
      </c>
      <c r="V1500" s="735">
        <v>10</v>
      </c>
      <c r="W1500" s="736"/>
      <c r="X1500" s="737"/>
      <c r="Y1500" s="738"/>
      <c r="Z1500" s="739"/>
      <c r="AA1500" s="739"/>
      <c r="AB1500" s="746">
        <v>0.1</v>
      </c>
      <c r="AC1500" s="741" t="s">
        <v>5569</v>
      </c>
      <c r="AD1500" s="741" t="s">
        <v>5569</v>
      </c>
      <c r="AE1500" s="742" t="s">
        <v>5569</v>
      </c>
      <c r="AF1500" s="743">
        <v>38.5</v>
      </c>
      <c r="AG1500" s="741" t="s">
        <v>5569</v>
      </c>
    </row>
    <row r="1501" spans="1:33" x14ac:dyDescent="0.25">
      <c r="A1501" s="861" t="s">
        <v>1507</v>
      </c>
      <c r="B1501" s="861" t="s">
        <v>4546</v>
      </c>
      <c r="C1501" s="836">
        <v>3330</v>
      </c>
      <c r="D1501" s="836"/>
      <c r="E1501" s="836"/>
      <c r="F1501" s="836"/>
      <c r="G1501" s="496" t="s">
        <v>7829</v>
      </c>
      <c r="H1501" s="797" t="str">
        <f>VLOOKUP(G1501,SETTINGS!$B$7:$D$97,2,0)</f>
        <v>HADE</v>
      </c>
      <c r="I1501" s="796">
        <f>VLOOKUP(G1501,SETTINGS!$B$7:$D$97,3,0)</f>
        <v>0</v>
      </c>
      <c r="J1501" s="670" t="str">
        <f>IFERROR(IF(CURRENCY.FORMAT_1=0,CONCATENATE(TEXT(FIXED(ROUND((C1501/EXC.RATE_1),CURRENCY.FORMAT_1),CURRENCY.FORMAT_1,1),"# ##0;-# ##0"),",-"),FIXED(ROUND((C1501/EXC.RATE_1),CURRENCY.FORMAT_1),CURRENCY.FORMAT_1,0)),'DICTIONARY-5'!$A$2)</f>
        <v>3 330,-</v>
      </c>
      <c r="K1501" s="670" t="str">
        <f>IF(EXC.RATE_2=0,"",IFERROR(IF(CURRENCY.FORMAT_2=0,CONCATENATE(TEXT(FIXED(ROUND(IF(EXC.RATE.SWITCH=1,C1501/EXC.RATE_2,C1501*EXC.RATE_2),CURRENCY.FORMAT_2),CURRENCY.FORMAT_2,1),"# ##0;-# ##0"),",-"),FIXED(ROUND(IF(EXC.RATE.SWITCH=1,C1501/EXC.RATE_2,C1501*EXC.RATE_2),CURRENCY.FORMAT_2),CURRENCY.FORMAT_2,0)),'DICTIONARY-5'!$A$2))</f>
        <v/>
      </c>
      <c r="L1501" s="670" t="str">
        <f>IFERROR(IF(CURRENCY.FORMAT_1=0,CONCATENATE(TEXT(FIXED(ROUND((C1501*(1-I1501)*(1-ADD.DISCOUNT)*(1+MAT.SURCHARGE)/EXC.RATE_1),CURRENCY.FORMAT_1),CURRENCY.FORMAT_1,1),"# ##0;-# ##0"),",-"),FIXED(ROUND((C1501*(1-I1501)*(1-ADD.DISCOUNT)*(1+MAT.SURCHARGE)/EXC.RATE_1),CURRENCY.FORMAT_1),CURRENCY.FORMAT_1,0)),'DICTIONARY-5'!$A$2)</f>
        <v>3 460,-</v>
      </c>
      <c r="M1501" s="670" t="str">
        <f>IF(EXC.RATE_2=0,"",IFERROR(IF(CURRENCY.FORMAT_2=0,CONCATENATE(TEXT(FIXED(ROUND(IF(EXC.RATE.SWITCH=1,C1501*(1-I1501)*(1-ADD.DISCOUNT)*(1+MAT.SURCHARGE)/EXC.RATE_2,C1501*(1-I1501)*(1-ADD.DISCOUNT)*(1+MAT.SURCHARGE)*EXC.RATE_2),CURRENCY.FORMAT_2),CURRENCY.FORMAT_2,1),"# ##0;-# ##0"),",-"),FIXED(ROUND(IF(EXC.RATE.SWITCH=1,C1501*(1-I1501)*(1-ADD.DISCOUNT)*(1+MAT.SURCHARGE)/EXC.RATE_2,C1501*(1-I1501)*(1-ADD.DISCOUNT)*(1+MAT.SURCHARGE)*EXC.RATE_2),CURRENCY.FORMAT_2),CURRENCY.FORMAT_2,0)),'DICTIONARY-5'!$A$2))</f>
        <v/>
      </c>
      <c r="N1501" s="539">
        <v>5</v>
      </c>
      <c r="O1501" s="539"/>
      <c r="P1501" s="732" t="str">
        <f>'DICTIONARY-3'!$A$32</f>
        <v>HADE PTK-F</v>
      </c>
      <c r="Q1501" s="732" t="str">
        <f>'DICTIONARY-3'!$A$203</f>
        <v>Klapa przeciwcofkowa</v>
      </c>
      <c r="R1501" s="732" t="str">
        <f>CONCATENATE('DICTIONARY-3'!$A$32," ",'DICTIONARY-6'!$A$19," ",'DICTIONARY-2'!$A$2,"700"," ",'DICTIONARY-2'!$A$3,"10, ",'DICTIONARY-6'!$A$73)</f>
        <v>HADE PTK-F Klapa przeciwcofk. DN700 PN10, kołnierz.</v>
      </c>
      <c r="S1501" s="733" t="s">
        <v>5569</v>
      </c>
      <c r="T1501" s="732" t="s">
        <v>5569</v>
      </c>
      <c r="U1501" s="734" t="s">
        <v>5834</v>
      </c>
      <c r="V1501" s="735">
        <v>10</v>
      </c>
      <c r="W1501" s="736"/>
      <c r="X1501" s="737"/>
      <c r="Y1501" s="738"/>
      <c r="Z1501" s="739"/>
      <c r="AA1501" s="739"/>
      <c r="AB1501" s="746">
        <v>0.1</v>
      </c>
      <c r="AC1501" s="741" t="s">
        <v>5569</v>
      </c>
      <c r="AD1501" s="741" t="s">
        <v>5569</v>
      </c>
      <c r="AE1501" s="742" t="s">
        <v>5569</v>
      </c>
      <c r="AF1501" s="743">
        <v>63</v>
      </c>
      <c r="AG1501" s="741" t="s">
        <v>5569</v>
      </c>
    </row>
    <row r="1502" spans="1:33" x14ac:dyDescent="0.25">
      <c r="A1502" s="861" t="s">
        <v>1508</v>
      </c>
      <c r="B1502" s="861" t="s">
        <v>4552</v>
      </c>
      <c r="C1502" s="836">
        <v>4038</v>
      </c>
      <c r="D1502" s="836"/>
      <c r="E1502" s="836"/>
      <c r="F1502" s="836"/>
      <c r="G1502" s="496" t="s">
        <v>7829</v>
      </c>
      <c r="H1502" s="797" t="str">
        <f>VLOOKUP(G1502,SETTINGS!$B$7:$D$97,2,0)</f>
        <v>HADE</v>
      </c>
      <c r="I1502" s="796">
        <f>VLOOKUP(G1502,SETTINGS!$B$7:$D$97,3,0)</f>
        <v>0</v>
      </c>
      <c r="J1502" s="670" t="str">
        <f>IFERROR(IF(CURRENCY.FORMAT_1=0,CONCATENATE(TEXT(FIXED(ROUND((C1502/EXC.RATE_1),CURRENCY.FORMAT_1),CURRENCY.FORMAT_1,1),"# ##0;-# ##0"),",-"),FIXED(ROUND((C1502/EXC.RATE_1),CURRENCY.FORMAT_1),CURRENCY.FORMAT_1,0)),'DICTIONARY-5'!$A$2)</f>
        <v>4 038,-</v>
      </c>
      <c r="K1502" s="670" t="str">
        <f>IF(EXC.RATE_2=0,"",IFERROR(IF(CURRENCY.FORMAT_2=0,CONCATENATE(TEXT(FIXED(ROUND(IF(EXC.RATE.SWITCH=1,C1502/EXC.RATE_2,C1502*EXC.RATE_2),CURRENCY.FORMAT_2),CURRENCY.FORMAT_2,1),"# ##0;-# ##0"),",-"),FIXED(ROUND(IF(EXC.RATE.SWITCH=1,C1502/EXC.RATE_2,C1502*EXC.RATE_2),CURRENCY.FORMAT_2),CURRENCY.FORMAT_2,0)),'DICTIONARY-5'!$A$2))</f>
        <v/>
      </c>
      <c r="L1502" s="670" t="str">
        <f>IFERROR(IF(CURRENCY.FORMAT_1=0,CONCATENATE(TEXT(FIXED(ROUND((C1502*(1-I1502)*(1-ADD.DISCOUNT)*(1+MAT.SURCHARGE)/EXC.RATE_1),CURRENCY.FORMAT_1),CURRENCY.FORMAT_1,1),"# ##0;-# ##0"),",-"),FIXED(ROUND((C1502*(1-I1502)*(1-ADD.DISCOUNT)*(1+MAT.SURCHARGE)/EXC.RATE_1),CURRENCY.FORMAT_1),CURRENCY.FORMAT_1,0)),'DICTIONARY-5'!$A$2)</f>
        <v>4 195,-</v>
      </c>
      <c r="M1502" s="670" t="str">
        <f>IF(EXC.RATE_2=0,"",IFERROR(IF(CURRENCY.FORMAT_2=0,CONCATENATE(TEXT(FIXED(ROUND(IF(EXC.RATE.SWITCH=1,C1502*(1-I1502)*(1-ADD.DISCOUNT)*(1+MAT.SURCHARGE)/EXC.RATE_2,C1502*(1-I1502)*(1-ADD.DISCOUNT)*(1+MAT.SURCHARGE)*EXC.RATE_2),CURRENCY.FORMAT_2),CURRENCY.FORMAT_2,1),"# ##0;-# ##0"),",-"),FIXED(ROUND(IF(EXC.RATE.SWITCH=1,C1502*(1-I1502)*(1-ADD.DISCOUNT)*(1+MAT.SURCHARGE)/EXC.RATE_2,C1502*(1-I1502)*(1-ADD.DISCOUNT)*(1+MAT.SURCHARGE)*EXC.RATE_2),CURRENCY.FORMAT_2),CURRENCY.FORMAT_2,0)),'DICTIONARY-5'!$A$2))</f>
        <v/>
      </c>
      <c r="N1502" s="539">
        <v>5</v>
      </c>
      <c r="O1502" s="539"/>
      <c r="P1502" s="732" t="str">
        <f>'DICTIONARY-3'!$A$32</f>
        <v>HADE PTK-F</v>
      </c>
      <c r="Q1502" s="732" t="str">
        <f>'DICTIONARY-3'!$A$203</f>
        <v>Klapa przeciwcofkowa</v>
      </c>
      <c r="R1502" s="732" t="str">
        <f>CONCATENATE('DICTIONARY-3'!$A$32," ",'DICTIONARY-6'!$A$19," ",'DICTIONARY-2'!$A$2,"800"," ",'DICTIONARY-2'!$A$3,"10, ",'DICTIONARY-6'!$A$73)</f>
        <v>HADE PTK-F Klapa przeciwcofk. DN800 PN10, kołnierz.</v>
      </c>
      <c r="S1502" s="733" t="s">
        <v>5569</v>
      </c>
      <c r="T1502" s="732" t="s">
        <v>5569</v>
      </c>
      <c r="U1502" s="734" t="s">
        <v>5835</v>
      </c>
      <c r="V1502" s="735">
        <v>10</v>
      </c>
      <c r="W1502" s="736"/>
      <c r="X1502" s="737"/>
      <c r="Y1502" s="738"/>
      <c r="Z1502" s="739"/>
      <c r="AA1502" s="739"/>
      <c r="AB1502" s="746">
        <v>0.1</v>
      </c>
      <c r="AC1502" s="741" t="s">
        <v>5569</v>
      </c>
      <c r="AD1502" s="741" t="s">
        <v>5569</v>
      </c>
      <c r="AE1502" s="742" t="s">
        <v>5569</v>
      </c>
      <c r="AF1502" s="743">
        <v>60</v>
      </c>
      <c r="AG1502" s="741" t="s">
        <v>5569</v>
      </c>
    </row>
    <row r="1503" spans="1:33" x14ac:dyDescent="0.25">
      <c r="A1503" s="861" t="s">
        <v>1509</v>
      </c>
      <c r="B1503" s="861" t="s">
        <v>4558</v>
      </c>
      <c r="C1503" s="836">
        <v>4946</v>
      </c>
      <c r="D1503" s="836"/>
      <c r="E1503" s="836"/>
      <c r="F1503" s="836"/>
      <c r="G1503" s="496" t="s">
        <v>7829</v>
      </c>
      <c r="H1503" s="797" t="str">
        <f>VLOOKUP(G1503,SETTINGS!$B$7:$D$97,2,0)</f>
        <v>HADE</v>
      </c>
      <c r="I1503" s="796">
        <f>VLOOKUP(G1503,SETTINGS!$B$7:$D$97,3,0)</f>
        <v>0</v>
      </c>
      <c r="J1503" s="670" t="str">
        <f>IFERROR(IF(CURRENCY.FORMAT_1=0,CONCATENATE(TEXT(FIXED(ROUND((C1503/EXC.RATE_1),CURRENCY.FORMAT_1),CURRENCY.FORMAT_1,1),"# ##0;-# ##0"),",-"),FIXED(ROUND((C1503/EXC.RATE_1),CURRENCY.FORMAT_1),CURRENCY.FORMAT_1,0)),'DICTIONARY-5'!$A$2)</f>
        <v>4 946,-</v>
      </c>
      <c r="K1503" s="670" t="str">
        <f>IF(EXC.RATE_2=0,"",IFERROR(IF(CURRENCY.FORMAT_2=0,CONCATENATE(TEXT(FIXED(ROUND(IF(EXC.RATE.SWITCH=1,C1503/EXC.RATE_2,C1503*EXC.RATE_2),CURRENCY.FORMAT_2),CURRENCY.FORMAT_2,1),"# ##0;-# ##0"),",-"),FIXED(ROUND(IF(EXC.RATE.SWITCH=1,C1503/EXC.RATE_2,C1503*EXC.RATE_2),CURRENCY.FORMAT_2),CURRENCY.FORMAT_2,0)),'DICTIONARY-5'!$A$2))</f>
        <v/>
      </c>
      <c r="L1503" s="670" t="str">
        <f>IFERROR(IF(CURRENCY.FORMAT_1=0,CONCATENATE(TEXT(FIXED(ROUND((C1503*(1-I1503)*(1-ADD.DISCOUNT)*(1+MAT.SURCHARGE)/EXC.RATE_1),CURRENCY.FORMAT_1),CURRENCY.FORMAT_1,1),"# ##0;-# ##0"),",-"),FIXED(ROUND((C1503*(1-I1503)*(1-ADD.DISCOUNT)*(1+MAT.SURCHARGE)/EXC.RATE_1),CURRENCY.FORMAT_1),CURRENCY.FORMAT_1,0)),'DICTIONARY-5'!$A$2)</f>
        <v>5 139,-</v>
      </c>
      <c r="M1503" s="670" t="str">
        <f>IF(EXC.RATE_2=0,"",IFERROR(IF(CURRENCY.FORMAT_2=0,CONCATENATE(TEXT(FIXED(ROUND(IF(EXC.RATE.SWITCH=1,C1503*(1-I1503)*(1-ADD.DISCOUNT)*(1+MAT.SURCHARGE)/EXC.RATE_2,C1503*(1-I1503)*(1-ADD.DISCOUNT)*(1+MAT.SURCHARGE)*EXC.RATE_2),CURRENCY.FORMAT_2),CURRENCY.FORMAT_2,1),"# ##0;-# ##0"),",-"),FIXED(ROUND(IF(EXC.RATE.SWITCH=1,C1503*(1-I1503)*(1-ADD.DISCOUNT)*(1+MAT.SURCHARGE)/EXC.RATE_2,C1503*(1-I1503)*(1-ADD.DISCOUNT)*(1+MAT.SURCHARGE)*EXC.RATE_2),CURRENCY.FORMAT_2),CURRENCY.FORMAT_2,0)),'DICTIONARY-5'!$A$2))</f>
        <v/>
      </c>
      <c r="N1503" s="539">
        <v>5</v>
      </c>
      <c r="O1503" s="539"/>
      <c r="P1503" s="732" t="str">
        <f>'DICTIONARY-3'!$A$32</f>
        <v>HADE PTK-F</v>
      </c>
      <c r="Q1503" s="732" t="str">
        <f>'DICTIONARY-3'!$A$203</f>
        <v>Klapa przeciwcofkowa</v>
      </c>
      <c r="R1503" s="732" t="str">
        <f>CONCATENATE('DICTIONARY-3'!$A$32," ",'DICTIONARY-6'!$A$19," ",'DICTIONARY-2'!$A$2,"900"," ",'DICTIONARY-2'!$A$3,"10, ",'DICTIONARY-6'!$A$73)</f>
        <v>HADE PTK-F Klapa przeciwcofk. DN900 PN10, kołnierz.</v>
      </c>
      <c r="S1503" s="733" t="s">
        <v>5569</v>
      </c>
      <c r="T1503" s="732" t="s">
        <v>5569</v>
      </c>
      <c r="U1503" s="734" t="s">
        <v>5837</v>
      </c>
      <c r="V1503" s="735">
        <v>10</v>
      </c>
      <c r="W1503" s="736"/>
      <c r="X1503" s="737"/>
      <c r="Y1503" s="738"/>
      <c r="Z1503" s="739"/>
      <c r="AA1503" s="739"/>
      <c r="AB1503" s="746">
        <v>0.1</v>
      </c>
      <c r="AC1503" s="741" t="s">
        <v>5569</v>
      </c>
      <c r="AD1503" s="741" t="s">
        <v>5569</v>
      </c>
      <c r="AE1503" s="742" t="s">
        <v>5569</v>
      </c>
      <c r="AF1503" s="743">
        <v>116</v>
      </c>
      <c r="AG1503" s="741" t="s">
        <v>5569</v>
      </c>
    </row>
    <row r="1504" spans="1:33" x14ac:dyDescent="0.25">
      <c r="A1504" s="861" t="s">
        <v>1510</v>
      </c>
      <c r="B1504" s="861" t="s">
        <v>4564</v>
      </c>
      <c r="C1504" s="836">
        <v>5869</v>
      </c>
      <c r="D1504" s="836"/>
      <c r="E1504" s="836"/>
      <c r="F1504" s="836"/>
      <c r="G1504" s="496" t="s">
        <v>7829</v>
      </c>
      <c r="H1504" s="797" t="str">
        <f>VLOOKUP(G1504,SETTINGS!$B$7:$D$97,2,0)</f>
        <v>HADE</v>
      </c>
      <c r="I1504" s="796">
        <f>VLOOKUP(G1504,SETTINGS!$B$7:$D$97,3,0)</f>
        <v>0</v>
      </c>
      <c r="J1504" s="670" t="str">
        <f>IFERROR(IF(CURRENCY.FORMAT_1=0,CONCATENATE(TEXT(FIXED(ROUND((C1504/EXC.RATE_1),CURRENCY.FORMAT_1),CURRENCY.FORMAT_1,1),"# ##0;-# ##0"),",-"),FIXED(ROUND((C1504/EXC.RATE_1),CURRENCY.FORMAT_1),CURRENCY.FORMAT_1,0)),'DICTIONARY-5'!$A$2)</f>
        <v>5 869,-</v>
      </c>
      <c r="K1504" s="670" t="str">
        <f>IF(EXC.RATE_2=0,"",IFERROR(IF(CURRENCY.FORMAT_2=0,CONCATENATE(TEXT(FIXED(ROUND(IF(EXC.RATE.SWITCH=1,C1504/EXC.RATE_2,C1504*EXC.RATE_2),CURRENCY.FORMAT_2),CURRENCY.FORMAT_2,1),"# ##0;-# ##0"),",-"),FIXED(ROUND(IF(EXC.RATE.SWITCH=1,C1504/EXC.RATE_2,C1504*EXC.RATE_2),CURRENCY.FORMAT_2),CURRENCY.FORMAT_2,0)),'DICTIONARY-5'!$A$2))</f>
        <v/>
      </c>
      <c r="L1504" s="670" t="str">
        <f>IFERROR(IF(CURRENCY.FORMAT_1=0,CONCATENATE(TEXT(FIXED(ROUND((C1504*(1-I1504)*(1-ADD.DISCOUNT)*(1+MAT.SURCHARGE)/EXC.RATE_1),CURRENCY.FORMAT_1),CURRENCY.FORMAT_1,1),"# ##0;-# ##0"),",-"),FIXED(ROUND((C1504*(1-I1504)*(1-ADD.DISCOUNT)*(1+MAT.SURCHARGE)/EXC.RATE_1),CURRENCY.FORMAT_1),CURRENCY.FORMAT_1,0)),'DICTIONARY-5'!$A$2)</f>
        <v>6 098,-</v>
      </c>
      <c r="M1504" s="670" t="str">
        <f>IF(EXC.RATE_2=0,"",IFERROR(IF(CURRENCY.FORMAT_2=0,CONCATENATE(TEXT(FIXED(ROUND(IF(EXC.RATE.SWITCH=1,C1504*(1-I1504)*(1-ADD.DISCOUNT)*(1+MAT.SURCHARGE)/EXC.RATE_2,C1504*(1-I1504)*(1-ADD.DISCOUNT)*(1+MAT.SURCHARGE)*EXC.RATE_2),CURRENCY.FORMAT_2),CURRENCY.FORMAT_2,1),"# ##0;-# ##0"),",-"),FIXED(ROUND(IF(EXC.RATE.SWITCH=1,C1504*(1-I1504)*(1-ADD.DISCOUNT)*(1+MAT.SURCHARGE)/EXC.RATE_2,C1504*(1-I1504)*(1-ADD.DISCOUNT)*(1+MAT.SURCHARGE)*EXC.RATE_2),CURRENCY.FORMAT_2),CURRENCY.FORMAT_2,0)),'DICTIONARY-5'!$A$2))</f>
        <v/>
      </c>
      <c r="N1504" s="539">
        <v>5</v>
      </c>
      <c r="O1504" s="539"/>
      <c r="P1504" s="732" t="str">
        <f>'DICTIONARY-3'!$A$32</f>
        <v>HADE PTK-F</v>
      </c>
      <c r="Q1504" s="732" t="str">
        <f>'DICTIONARY-3'!$A$203</f>
        <v>Klapa przeciwcofkowa</v>
      </c>
      <c r="R1504" s="732" t="str">
        <f>CONCATENATE('DICTIONARY-3'!$A$32," ",'DICTIONARY-6'!$A$19," ",'DICTIONARY-2'!$A$2,"1000"," ",'DICTIONARY-2'!$A$3,"10, ",'DICTIONARY-6'!$A$73)</f>
        <v>HADE PTK-F Klapa przeciwcofk. DN1000 PN10, kołnierz.</v>
      </c>
      <c r="S1504" s="733" t="s">
        <v>5569</v>
      </c>
      <c r="T1504" s="732" t="s">
        <v>5569</v>
      </c>
      <c r="U1504" s="734" t="s">
        <v>5836</v>
      </c>
      <c r="V1504" s="735">
        <v>10</v>
      </c>
      <c r="W1504" s="736"/>
      <c r="X1504" s="737"/>
      <c r="Y1504" s="738"/>
      <c r="Z1504" s="739"/>
      <c r="AA1504" s="739"/>
      <c r="AB1504" s="746">
        <v>0.1</v>
      </c>
      <c r="AC1504" s="741" t="s">
        <v>5569</v>
      </c>
      <c r="AD1504" s="741" t="s">
        <v>5569</v>
      </c>
      <c r="AE1504" s="742" t="s">
        <v>5569</v>
      </c>
      <c r="AF1504" s="743">
        <v>83</v>
      </c>
      <c r="AG1504" s="741" t="s">
        <v>5569</v>
      </c>
    </row>
    <row r="1505" spans="1:33" x14ac:dyDescent="0.25">
      <c r="A1505" s="861" t="s">
        <v>1511</v>
      </c>
      <c r="B1505" s="861" t="s">
        <v>4569</v>
      </c>
      <c r="C1505" s="836">
        <v>9472</v>
      </c>
      <c r="D1505" s="836"/>
      <c r="E1505" s="836"/>
      <c r="F1505" s="836"/>
      <c r="G1505" s="496" t="s">
        <v>7829</v>
      </c>
      <c r="H1505" s="797" t="str">
        <f>VLOOKUP(G1505,SETTINGS!$B$7:$D$97,2,0)</f>
        <v>HADE</v>
      </c>
      <c r="I1505" s="796">
        <f>VLOOKUP(G1505,SETTINGS!$B$7:$D$97,3,0)</f>
        <v>0</v>
      </c>
      <c r="J1505" s="670" t="str">
        <f>IFERROR(IF(CURRENCY.FORMAT_1=0,CONCATENATE(TEXT(FIXED(ROUND((C1505/EXC.RATE_1),CURRENCY.FORMAT_1),CURRENCY.FORMAT_1,1),"# ##0;-# ##0"),",-"),FIXED(ROUND((C1505/EXC.RATE_1),CURRENCY.FORMAT_1),CURRENCY.FORMAT_1,0)),'DICTIONARY-5'!$A$2)</f>
        <v>9 472,-</v>
      </c>
      <c r="K1505" s="670" t="str">
        <f>IF(EXC.RATE_2=0,"",IFERROR(IF(CURRENCY.FORMAT_2=0,CONCATENATE(TEXT(FIXED(ROUND(IF(EXC.RATE.SWITCH=1,C1505/EXC.RATE_2,C1505*EXC.RATE_2),CURRENCY.FORMAT_2),CURRENCY.FORMAT_2,1),"# ##0;-# ##0"),",-"),FIXED(ROUND(IF(EXC.RATE.SWITCH=1,C1505/EXC.RATE_2,C1505*EXC.RATE_2),CURRENCY.FORMAT_2),CURRENCY.FORMAT_2,0)),'DICTIONARY-5'!$A$2))</f>
        <v/>
      </c>
      <c r="L1505" s="670" t="str">
        <f>IFERROR(IF(CURRENCY.FORMAT_1=0,CONCATENATE(TEXT(FIXED(ROUND((C1505*(1-I1505)*(1-ADD.DISCOUNT)*(1+MAT.SURCHARGE)/EXC.RATE_1),CURRENCY.FORMAT_1),CURRENCY.FORMAT_1,1),"# ##0;-# ##0"),",-"),FIXED(ROUND((C1505*(1-I1505)*(1-ADD.DISCOUNT)*(1+MAT.SURCHARGE)/EXC.RATE_1),CURRENCY.FORMAT_1),CURRENCY.FORMAT_1,0)),'DICTIONARY-5'!$A$2)</f>
        <v>9 841,-</v>
      </c>
      <c r="M1505" s="670" t="str">
        <f>IF(EXC.RATE_2=0,"",IFERROR(IF(CURRENCY.FORMAT_2=0,CONCATENATE(TEXT(FIXED(ROUND(IF(EXC.RATE.SWITCH=1,C1505*(1-I1505)*(1-ADD.DISCOUNT)*(1+MAT.SURCHARGE)/EXC.RATE_2,C1505*(1-I1505)*(1-ADD.DISCOUNT)*(1+MAT.SURCHARGE)*EXC.RATE_2),CURRENCY.FORMAT_2),CURRENCY.FORMAT_2,1),"# ##0;-# ##0"),",-"),FIXED(ROUND(IF(EXC.RATE.SWITCH=1,C1505*(1-I1505)*(1-ADD.DISCOUNT)*(1+MAT.SURCHARGE)/EXC.RATE_2,C1505*(1-I1505)*(1-ADD.DISCOUNT)*(1+MAT.SURCHARGE)*EXC.RATE_2),CURRENCY.FORMAT_2),CURRENCY.FORMAT_2,0)),'DICTIONARY-5'!$A$2))</f>
        <v/>
      </c>
      <c r="N1505" s="539">
        <v>5</v>
      </c>
      <c r="O1505" s="539"/>
      <c r="P1505" s="732" t="str">
        <f>'DICTIONARY-3'!$A$32</f>
        <v>HADE PTK-F</v>
      </c>
      <c r="Q1505" s="732" t="str">
        <f>'DICTIONARY-3'!$A$203</f>
        <v>Klapa przeciwcofkowa</v>
      </c>
      <c r="R1505" s="732" t="str">
        <f>CONCATENATE('DICTIONARY-3'!$A$32," ",'DICTIONARY-6'!$A$19," ",'DICTIONARY-2'!$A$2,"1100"," ",'DICTIONARY-2'!$A$3,"10, ",'DICTIONARY-6'!$A$73)</f>
        <v>HADE PTK-F Klapa przeciwcofk. DN1100 PN10, kołnierz.</v>
      </c>
      <c r="S1505" s="733" t="s">
        <v>5569</v>
      </c>
      <c r="T1505" s="732" t="s">
        <v>5569</v>
      </c>
      <c r="U1505" s="734" t="s">
        <v>5843</v>
      </c>
      <c r="V1505" s="735">
        <v>10</v>
      </c>
      <c r="W1505" s="736"/>
      <c r="X1505" s="737"/>
      <c r="Y1505" s="738"/>
      <c r="Z1505" s="739"/>
      <c r="AA1505" s="739"/>
      <c r="AB1505" s="746">
        <v>0.1</v>
      </c>
      <c r="AC1505" s="741" t="s">
        <v>5569</v>
      </c>
      <c r="AD1505" s="741" t="s">
        <v>5569</v>
      </c>
      <c r="AE1505" s="742" t="s">
        <v>5569</v>
      </c>
      <c r="AF1505" s="743">
        <v>180</v>
      </c>
      <c r="AG1505" s="741" t="s">
        <v>5569</v>
      </c>
    </row>
    <row r="1506" spans="1:33" x14ac:dyDescent="0.25">
      <c r="A1506" s="861" t="s">
        <v>1512</v>
      </c>
      <c r="B1506" s="861" t="s">
        <v>4574</v>
      </c>
      <c r="C1506" s="836">
        <v>8792</v>
      </c>
      <c r="D1506" s="836"/>
      <c r="E1506" s="836"/>
      <c r="F1506" s="836"/>
      <c r="G1506" s="496" t="s">
        <v>7829</v>
      </c>
      <c r="H1506" s="797" t="str">
        <f>VLOOKUP(G1506,SETTINGS!$B$7:$D$97,2,0)</f>
        <v>HADE</v>
      </c>
      <c r="I1506" s="796">
        <f>VLOOKUP(G1506,SETTINGS!$B$7:$D$97,3,0)</f>
        <v>0</v>
      </c>
      <c r="J1506" s="670" t="str">
        <f>IFERROR(IF(CURRENCY.FORMAT_1=0,CONCATENATE(TEXT(FIXED(ROUND((C1506/EXC.RATE_1),CURRENCY.FORMAT_1),CURRENCY.FORMAT_1,1),"# ##0;-# ##0"),",-"),FIXED(ROUND((C1506/EXC.RATE_1),CURRENCY.FORMAT_1),CURRENCY.FORMAT_1,0)),'DICTIONARY-5'!$A$2)</f>
        <v>8 792,-</v>
      </c>
      <c r="K1506" s="670" t="str">
        <f>IF(EXC.RATE_2=0,"",IFERROR(IF(CURRENCY.FORMAT_2=0,CONCATENATE(TEXT(FIXED(ROUND(IF(EXC.RATE.SWITCH=1,C1506/EXC.RATE_2,C1506*EXC.RATE_2),CURRENCY.FORMAT_2),CURRENCY.FORMAT_2,1),"# ##0;-# ##0"),",-"),FIXED(ROUND(IF(EXC.RATE.SWITCH=1,C1506/EXC.RATE_2,C1506*EXC.RATE_2),CURRENCY.FORMAT_2),CURRENCY.FORMAT_2,0)),'DICTIONARY-5'!$A$2))</f>
        <v/>
      </c>
      <c r="L1506" s="670" t="str">
        <f>IFERROR(IF(CURRENCY.FORMAT_1=0,CONCATENATE(TEXT(FIXED(ROUND((C1506*(1-I1506)*(1-ADD.DISCOUNT)*(1+MAT.SURCHARGE)/EXC.RATE_1),CURRENCY.FORMAT_1),CURRENCY.FORMAT_1,1),"# ##0;-# ##0"),",-"),FIXED(ROUND((C1506*(1-I1506)*(1-ADD.DISCOUNT)*(1+MAT.SURCHARGE)/EXC.RATE_1),CURRENCY.FORMAT_1),CURRENCY.FORMAT_1,0)),'DICTIONARY-5'!$A$2)</f>
        <v>9 135,-</v>
      </c>
      <c r="M1506" s="670" t="str">
        <f>IF(EXC.RATE_2=0,"",IFERROR(IF(CURRENCY.FORMAT_2=0,CONCATENATE(TEXT(FIXED(ROUND(IF(EXC.RATE.SWITCH=1,C1506*(1-I1506)*(1-ADD.DISCOUNT)*(1+MAT.SURCHARGE)/EXC.RATE_2,C1506*(1-I1506)*(1-ADD.DISCOUNT)*(1+MAT.SURCHARGE)*EXC.RATE_2),CURRENCY.FORMAT_2),CURRENCY.FORMAT_2,1),"# ##0;-# ##0"),",-"),FIXED(ROUND(IF(EXC.RATE.SWITCH=1,C1506*(1-I1506)*(1-ADD.DISCOUNT)*(1+MAT.SURCHARGE)/EXC.RATE_2,C1506*(1-I1506)*(1-ADD.DISCOUNT)*(1+MAT.SURCHARGE)*EXC.RATE_2),CURRENCY.FORMAT_2),CURRENCY.FORMAT_2,0)),'DICTIONARY-5'!$A$2))</f>
        <v/>
      </c>
      <c r="N1506" s="539">
        <v>5</v>
      </c>
      <c r="O1506" s="539"/>
      <c r="P1506" s="732" t="str">
        <f>'DICTIONARY-3'!$A$32</f>
        <v>HADE PTK-F</v>
      </c>
      <c r="Q1506" s="732" t="str">
        <f>'DICTIONARY-3'!$A$203</f>
        <v>Klapa przeciwcofkowa</v>
      </c>
      <c r="R1506" s="732" t="str">
        <f>CONCATENATE('DICTIONARY-3'!$A$32," ",'DICTIONARY-6'!$A$19," ",'DICTIONARY-2'!$A$2,"1200"," ",'DICTIONARY-2'!$A$3,"10, ",'DICTIONARY-6'!$A$73)</f>
        <v>HADE PTK-F Klapa przeciwcofk. DN1200 PN10, kołnierz.</v>
      </c>
      <c r="S1506" s="733" t="s">
        <v>5569</v>
      </c>
      <c r="T1506" s="732" t="s">
        <v>5569</v>
      </c>
      <c r="U1506" s="734" t="s">
        <v>5838</v>
      </c>
      <c r="V1506" s="735">
        <v>10</v>
      </c>
      <c r="W1506" s="736"/>
      <c r="X1506" s="737"/>
      <c r="Y1506" s="738"/>
      <c r="Z1506" s="739"/>
      <c r="AA1506" s="739"/>
      <c r="AB1506" s="746">
        <v>0.1</v>
      </c>
      <c r="AC1506" s="741" t="s">
        <v>5569</v>
      </c>
      <c r="AD1506" s="741" t="s">
        <v>5569</v>
      </c>
      <c r="AE1506" s="742" t="s">
        <v>5569</v>
      </c>
      <c r="AF1506" s="743">
        <v>148</v>
      </c>
      <c r="AG1506" s="741" t="s">
        <v>5569</v>
      </c>
    </row>
    <row r="1507" spans="1:33" x14ac:dyDescent="0.25">
      <c r="A1507" s="861" t="s">
        <v>1513</v>
      </c>
      <c r="B1507" s="861" t="s">
        <v>4578</v>
      </c>
      <c r="C1507" s="836">
        <v>14198</v>
      </c>
      <c r="D1507" s="836"/>
      <c r="E1507" s="836"/>
      <c r="F1507" s="836"/>
      <c r="G1507" s="496" t="s">
        <v>7829</v>
      </c>
      <c r="H1507" s="797" t="str">
        <f>VLOOKUP(G1507,SETTINGS!$B$7:$D$97,2,0)</f>
        <v>HADE</v>
      </c>
      <c r="I1507" s="796">
        <f>VLOOKUP(G1507,SETTINGS!$B$7:$D$97,3,0)</f>
        <v>0</v>
      </c>
      <c r="J1507" s="670" t="str">
        <f>IFERROR(IF(CURRENCY.FORMAT_1=0,CONCATENATE(TEXT(FIXED(ROUND((C1507/EXC.RATE_1),CURRENCY.FORMAT_1),CURRENCY.FORMAT_1,1),"# ##0;-# ##0"),",-"),FIXED(ROUND((C1507/EXC.RATE_1),CURRENCY.FORMAT_1),CURRENCY.FORMAT_1,0)),'DICTIONARY-5'!$A$2)</f>
        <v>14 198,-</v>
      </c>
      <c r="K1507" s="670" t="str">
        <f>IF(EXC.RATE_2=0,"",IFERROR(IF(CURRENCY.FORMAT_2=0,CONCATENATE(TEXT(FIXED(ROUND(IF(EXC.RATE.SWITCH=1,C1507/EXC.RATE_2,C1507*EXC.RATE_2),CURRENCY.FORMAT_2),CURRENCY.FORMAT_2,1),"# ##0;-# ##0"),",-"),FIXED(ROUND(IF(EXC.RATE.SWITCH=1,C1507/EXC.RATE_2,C1507*EXC.RATE_2),CURRENCY.FORMAT_2),CURRENCY.FORMAT_2,0)),'DICTIONARY-5'!$A$2))</f>
        <v/>
      </c>
      <c r="L1507" s="670" t="str">
        <f>IFERROR(IF(CURRENCY.FORMAT_1=0,CONCATENATE(TEXT(FIXED(ROUND((C1507*(1-I1507)*(1-ADD.DISCOUNT)*(1+MAT.SURCHARGE)/EXC.RATE_1),CURRENCY.FORMAT_1),CURRENCY.FORMAT_1,1),"# ##0;-# ##0"),",-"),FIXED(ROUND((C1507*(1-I1507)*(1-ADD.DISCOUNT)*(1+MAT.SURCHARGE)/EXC.RATE_1),CURRENCY.FORMAT_1),CURRENCY.FORMAT_1,0)),'DICTIONARY-5'!$A$2)</f>
        <v>14 752,-</v>
      </c>
      <c r="M1507" s="670" t="str">
        <f>IF(EXC.RATE_2=0,"",IFERROR(IF(CURRENCY.FORMAT_2=0,CONCATENATE(TEXT(FIXED(ROUND(IF(EXC.RATE.SWITCH=1,C1507*(1-I1507)*(1-ADD.DISCOUNT)*(1+MAT.SURCHARGE)/EXC.RATE_2,C1507*(1-I1507)*(1-ADD.DISCOUNT)*(1+MAT.SURCHARGE)*EXC.RATE_2),CURRENCY.FORMAT_2),CURRENCY.FORMAT_2,1),"# ##0;-# ##0"),",-"),FIXED(ROUND(IF(EXC.RATE.SWITCH=1,C1507*(1-I1507)*(1-ADD.DISCOUNT)*(1+MAT.SURCHARGE)/EXC.RATE_2,C1507*(1-I1507)*(1-ADD.DISCOUNT)*(1+MAT.SURCHARGE)*EXC.RATE_2),CURRENCY.FORMAT_2),CURRENCY.FORMAT_2,0)),'DICTIONARY-5'!$A$2))</f>
        <v/>
      </c>
      <c r="N1507" s="539">
        <v>5</v>
      </c>
      <c r="O1507" s="539"/>
      <c r="P1507" s="732" t="str">
        <f>'DICTIONARY-3'!$A$32</f>
        <v>HADE PTK-F</v>
      </c>
      <c r="Q1507" s="732" t="str">
        <f>'DICTIONARY-3'!$A$203</f>
        <v>Klapa przeciwcofkowa</v>
      </c>
      <c r="R1507" s="732" t="str">
        <f>CONCATENATE('DICTIONARY-3'!$A$32," ",'DICTIONARY-6'!$A$19," ",'DICTIONARY-2'!$A$2,"1300"," ",'DICTIONARY-2'!$A$3,"10, ",'DICTIONARY-6'!$A$73)</f>
        <v>HADE PTK-F Klapa przeciwcofk. DN1300 PN10, kołnierz.</v>
      </c>
      <c r="S1507" s="733" t="s">
        <v>5569</v>
      </c>
      <c r="T1507" s="732" t="s">
        <v>5569</v>
      </c>
      <c r="U1507" s="734" t="s">
        <v>5844</v>
      </c>
      <c r="V1507" s="735">
        <v>10</v>
      </c>
      <c r="W1507" s="736"/>
      <c r="X1507" s="737"/>
      <c r="Y1507" s="738"/>
      <c r="Z1507" s="739"/>
      <c r="AA1507" s="739"/>
      <c r="AB1507" s="746">
        <v>0.1</v>
      </c>
      <c r="AC1507" s="741" t="s">
        <v>5569</v>
      </c>
      <c r="AD1507" s="741" t="s">
        <v>5569</v>
      </c>
      <c r="AE1507" s="742" t="s">
        <v>5569</v>
      </c>
      <c r="AF1507" s="743">
        <v>115</v>
      </c>
      <c r="AG1507" s="741" t="s">
        <v>5569</v>
      </c>
    </row>
    <row r="1508" spans="1:33" x14ac:dyDescent="0.25">
      <c r="A1508" s="861" t="s">
        <v>1514</v>
      </c>
      <c r="B1508" s="861" t="s">
        <v>4583</v>
      </c>
      <c r="C1508" s="836">
        <v>15470</v>
      </c>
      <c r="D1508" s="836"/>
      <c r="E1508" s="836"/>
      <c r="F1508" s="836"/>
      <c r="G1508" s="496" t="s">
        <v>7829</v>
      </c>
      <c r="H1508" s="797" t="str">
        <f>VLOOKUP(G1508,SETTINGS!$B$7:$D$97,2,0)</f>
        <v>HADE</v>
      </c>
      <c r="I1508" s="796">
        <f>VLOOKUP(G1508,SETTINGS!$B$7:$D$97,3,0)</f>
        <v>0</v>
      </c>
      <c r="J1508" s="670" t="str">
        <f>IFERROR(IF(CURRENCY.FORMAT_1=0,CONCATENATE(TEXT(FIXED(ROUND((C1508/EXC.RATE_1),CURRENCY.FORMAT_1),CURRENCY.FORMAT_1,1),"# ##0;-# ##0"),",-"),FIXED(ROUND((C1508/EXC.RATE_1),CURRENCY.FORMAT_1),CURRENCY.FORMAT_1,0)),'DICTIONARY-5'!$A$2)</f>
        <v>15 470,-</v>
      </c>
      <c r="K1508" s="670" t="str">
        <f>IF(EXC.RATE_2=0,"",IFERROR(IF(CURRENCY.FORMAT_2=0,CONCATENATE(TEXT(FIXED(ROUND(IF(EXC.RATE.SWITCH=1,C1508/EXC.RATE_2,C1508*EXC.RATE_2),CURRENCY.FORMAT_2),CURRENCY.FORMAT_2,1),"# ##0;-# ##0"),",-"),FIXED(ROUND(IF(EXC.RATE.SWITCH=1,C1508/EXC.RATE_2,C1508*EXC.RATE_2),CURRENCY.FORMAT_2),CURRENCY.FORMAT_2,0)),'DICTIONARY-5'!$A$2))</f>
        <v/>
      </c>
      <c r="L1508" s="670" t="str">
        <f>IFERROR(IF(CURRENCY.FORMAT_1=0,CONCATENATE(TEXT(FIXED(ROUND((C1508*(1-I1508)*(1-ADD.DISCOUNT)*(1+MAT.SURCHARGE)/EXC.RATE_1),CURRENCY.FORMAT_1),CURRENCY.FORMAT_1,1),"# ##0;-# ##0"),",-"),FIXED(ROUND((C1508*(1-I1508)*(1-ADD.DISCOUNT)*(1+MAT.SURCHARGE)/EXC.RATE_1),CURRENCY.FORMAT_1),CURRENCY.FORMAT_1,0)),'DICTIONARY-5'!$A$2)</f>
        <v>16 073,-</v>
      </c>
      <c r="M1508" s="670" t="str">
        <f>IF(EXC.RATE_2=0,"",IFERROR(IF(CURRENCY.FORMAT_2=0,CONCATENATE(TEXT(FIXED(ROUND(IF(EXC.RATE.SWITCH=1,C1508*(1-I1508)*(1-ADD.DISCOUNT)*(1+MAT.SURCHARGE)/EXC.RATE_2,C1508*(1-I1508)*(1-ADD.DISCOUNT)*(1+MAT.SURCHARGE)*EXC.RATE_2),CURRENCY.FORMAT_2),CURRENCY.FORMAT_2,1),"# ##0;-# ##0"),",-"),FIXED(ROUND(IF(EXC.RATE.SWITCH=1,C1508*(1-I1508)*(1-ADD.DISCOUNT)*(1+MAT.SURCHARGE)/EXC.RATE_2,C1508*(1-I1508)*(1-ADD.DISCOUNT)*(1+MAT.SURCHARGE)*EXC.RATE_2),CURRENCY.FORMAT_2),CURRENCY.FORMAT_2,0)),'DICTIONARY-5'!$A$2))</f>
        <v/>
      </c>
      <c r="N1508" s="539">
        <v>5</v>
      </c>
      <c r="O1508" s="539"/>
      <c r="P1508" s="732" t="str">
        <f>'DICTIONARY-3'!$A$32</f>
        <v>HADE PTK-F</v>
      </c>
      <c r="Q1508" s="732" t="str">
        <f>'DICTIONARY-3'!$A$203</f>
        <v>Klapa przeciwcofkowa</v>
      </c>
      <c r="R1508" s="732" t="str">
        <f>CONCATENATE('DICTIONARY-3'!$A$32," ",'DICTIONARY-6'!$A$19," ",'DICTIONARY-2'!$A$2,"1400"," ",'DICTIONARY-2'!$A$3,"10, ",'DICTIONARY-6'!$A$73)</f>
        <v>HADE PTK-F Klapa przeciwcofk. DN1400 PN10, kołnierz.</v>
      </c>
      <c r="S1508" s="733" t="s">
        <v>5569</v>
      </c>
      <c r="T1508" s="732" t="s">
        <v>5569</v>
      </c>
      <c r="U1508" s="734" t="s">
        <v>5839</v>
      </c>
      <c r="V1508" s="735">
        <v>10</v>
      </c>
      <c r="W1508" s="736"/>
      <c r="X1508" s="737"/>
      <c r="Y1508" s="738"/>
      <c r="Z1508" s="739"/>
      <c r="AA1508" s="739"/>
      <c r="AB1508" s="746">
        <v>0.1</v>
      </c>
      <c r="AC1508" s="741" t="s">
        <v>5569</v>
      </c>
      <c r="AD1508" s="741" t="s">
        <v>5569</v>
      </c>
      <c r="AE1508" s="742" t="s">
        <v>5569</v>
      </c>
      <c r="AF1508" s="743">
        <v>120</v>
      </c>
      <c r="AG1508" s="741" t="s">
        <v>5569</v>
      </c>
    </row>
    <row r="1509" spans="1:33" x14ac:dyDescent="0.25">
      <c r="A1509" s="861" t="s">
        <v>1515</v>
      </c>
      <c r="B1509" s="861" t="s">
        <v>4588</v>
      </c>
      <c r="C1509" s="836">
        <v>14044</v>
      </c>
      <c r="D1509" s="836"/>
      <c r="E1509" s="836"/>
      <c r="F1509" s="836"/>
      <c r="G1509" s="496" t="s">
        <v>7829</v>
      </c>
      <c r="H1509" s="797" t="str">
        <f>VLOOKUP(G1509,SETTINGS!$B$7:$D$97,2,0)</f>
        <v>HADE</v>
      </c>
      <c r="I1509" s="796">
        <f>VLOOKUP(G1509,SETTINGS!$B$7:$D$97,3,0)</f>
        <v>0</v>
      </c>
      <c r="J1509" s="670" t="str">
        <f>IFERROR(IF(CURRENCY.FORMAT_1=0,CONCATENATE(TEXT(FIXED(ROUND((C1509/EXC.RATE_1),CURRENCY.FORMAT_1),CURRENCY.FORMAT_1,1),"# ##0;-# ##0"),",-"),FIXED(ROUND((C1509/EXC.RATE_1),CURRENCY.FORMAT_1),CURRENCY.FORMAT_1,0)),'DICTIONARY-5'!$A$2)</f>
        <v>14 044,-</v>
      </c>
      <c r="K1509" s="670" t="str">
        <f>IF(EXC.RATE_2=0,"",IFERROR(IF(CURRENCY.FORMAT_2=0,CONCATENATE(TEXT(FIXED(ROUND(IF(EXC.RATE.SWITCH=1,C1509/EXC.RATE_2,C1509*EXC.RATE_2),CURRENCY.FORMAT_2),CURRENCY.FORMAT_2,1),"# ##0;-# ##0"),",-"),FIXED(ROUND(IF(EXC.RATE.SWITCH=1,C1509/EXC.RATE_2,C1509*EXC.RATE_2),CURRENCY.FORMAT_2),CURRENCY.FORMAT_2,0)),'DICTIONARY-5'!$A$2))</f>
        <v/>
      </c>
      <c r="L1509" s="670" t="str">
        <f>IFERROR(IF(CURRENCY.FORMAT_1=0,CONCATENATE(TEXT(FIXED(ROUND((C1509*(1-I1509)*(1-ADD.DISCOUNT)*(1+MAT.SURCHARGE)/EXC.RATE_1),CURRENCY.FORMAT_1),CURRENCY.FORMAT_1,1),"# ##0;-# ##0"),",-"),FIXED(ROUND((C1509*(1-I1509)*(1-ADD.DISCOUNT)*(1+MAT.SURCHARGE)/EXC.RATE_1),CURRENCY.FORMAT_1),CURRENCY.FORMAT_1,0)),'DICTIONARY-5'!$A$2)</f>
        <v>14 592,-</v>
      </c>
      <c r="M1509" s="670" t="str">
        <f>IF(EXC.RATE_2=0,"",IFERROR(IF(CURRENCY.FORMAT_2=0,CONCATENATE(TEXT(FIXED(ROUND(IF(EXC.RATE.SWITCH=1,C1509*(1-I1509)*(1-ADD.DISCOUNT)*(1+MAT.SURCHARGE)/EXC.RATE_2,C1509*(1-I1509)*(1-ADD.DISCOUNT)*(1+MAT.SURCHARGE)*EXC.RATE_2),CURRENCY.FORMAT_2),CURRENCY.FORMAT_2,1),"# ##0;-# ##0"),",-"),FIXED(ROUND(IF(EXC.RATE.SWITCH=1,C1509*(1-I1509)*(1-ADD.DISCOUNT)*(1+MAT.SURCHARGE)/EXC.RATE_2,C1509*(1-I1509)*(1-ADD.DISCOUNT)*(1+MAT.SURCHARGE)*EXC.RATE_2),CURRENCY.FORMAT_2),CURRENCY.FORMAT_2,0)),'DICTIONARY-5'!$A$2))</f>
        <v/>
      </c>
      <c r="N1509" s="539">
        <v>5</v>
      </c>
      <c r="O1509" s="539"/>
      <c r="P1509" s="732" t="str">
        <f>'DICTIONARY-3'!$A$32</f>
        <v>HADE PTK-F</v>
      </c>
      <c r="Q1509" s="732" t="str">
        <f>'DICTIONARY-3'!$A$203</f>
        <v>Klapa przeciwcofkowa</v>
      </c>
      <c r="R1509" s="732" t="str">
        <f>CONCATENATE('DICTIONARY-3'!$A$32," ",'DICTIONARY-6'!$A$19," ",'DICTIONARY-2'!$A$2,"1500"," ",'DICTIONARY-2'!$A$3,"10, ",'DICTIONARY-6'!$A$73)</f>
        <v>HADE PTK-F Klapa przeciwcofk. DN1500 PN10, kołnierz.</v>
      </c>
      <c r="S1509" s="733" t="s">
        <v>5569</v>
      </c>
      <c r="T1509" s="732" t="s">
        <v>5569</v>
      </c>
      <c r="U1509" s="734" t="s">
        <v>5845</v>
      </c>
      <c r="V1509" s="735">
        <v>10</v>
      </c>
      <c r="W1509" s="736"/>
      <c r="X1509" s="737"/>
      <c r="Y1509" s="738"/>
      <c r="Z1509" s="739"/>
      <c r="AA1509" s="739"/>
      <c r="AB1509" s="746">
        <v>0.1</v>
      </c>
      <c r="AC1509" s="741" t="s">
        <v>5569</v>
      </c>
      <c r="AD1509" s="741" t="s">
        <v>5569</v>
      </c>
      <c r="AE1509" s="742" t="s">
        <v>5569</v>
      </c>
      <c r="AF1509" s="743">
        <v>130</v>
      </c>
      <c r="AG1509" s="741" t="s">
        <v>5569</v>
      </c>
    </row>
    <row r="1510" spans="1:33" x14ac:dyDescent="0.25">
      <c r="A1510" s="861" t="s">
        <v>1516</v>
      </c>
      <c r="B1510" s="861" t="s">
        <v>4593</v>
      </c>
      <c r="C1510" s="836">
        <v>17282</v>
      </c>
      <c r="D1510" s="836"/>
      <c r="E1510" s="836"/>
      <c r="F1510" s="836"/>
      <c r="G1510" s="496" t="s">
        <v>7829</v>
      </c>
      <c r="H1510" s="797" t="str">
        <f>VLOOKUP(G1510,SETTINGS!$B$7:$D$97,2,0)</f>
        <v>HADE</v>
      </c>
      <c r="I1510" s="796">
        <f>VLOOKUP(G1510,SETTINGS!$B$7:$D$97,3,0)</f>
        <v>0</v>
      </c>
      <c r="J1510" s="670" t="str">
        <f>IFERROR(IF(CURRENCY.FORMAT_1=0,CONCATENATE(TEXT(FIXED(ROUND((C1510/EXC.RATE_1),CURRENCY.FORMAT_1),CURRENCY.FORMAT_1,1),"# ##0;-# ##0"),",-"),FIXED(ROUND((C1510/EXC.RATE_1),CURRENCY.FORMAT_1),CURRENCY.FORMAT_1,0)),'DICTIONARY-5'!$A$2)</f>
        <v>17 282,-</v>
      </c>
      <c r="K1510" s="670" t="str">
        <f>IF(EXC.RATE_2=0,"",IFERROR(IF(CURRENCY.FORMAT_2=0,CONCATENATE(TEXT(FIXED(ROUND(IF(EXC.RATE.SWITCH=1,C1510/EXC.RATE_2,C1510*EXC.RATE_2),CURRENCY.FORMAT_2),CURRENCY.FORMAT_2,1),"# ##0;-# ##0"),",-"),FIXED(ROUND(IF(EXC.RATE.SWITCH=1,C1510/EXC.RATE_2,C1510*EXC.RATE_2),CURRENCY.FORMAT_2),CURRENCY.FORMAT_2,0)),'DICTIONARY-5'!$A$2))</f>
        <v/>
      </c>
      <c r="L1510" s="670" t="str">
        <f>IFERROR(IF(CURRENCY.FORMAT_1=0,CONCATENATE(TEXT(FIXED(ROUND((C1510*(1-I1510)*(1-ADD.DISCOUNT)*(1+MAT.SURCHARGE)/EXC.RATE_1),CURRENCY.FORMAT_1),CURRENCY.FORMAT_1,1),"# ##0;-# ##0"),",-"),FIXED(ROUND((C1510*(1-I1510)*(1-ADD.DISCOUNT)*(1+MAT.SURCHARGE)/EXC.RATE_1),CURRENCY.FORMAT_1),CURRENCY.FORMAT_1,0)),'DICTIONARY-5'!$A$2)</f>
        <v>17 956,-</v>
      </c>
      <c r="M1510" s="670" t="str">
        <f>IF(EXC.RATE_2=0,"",IFERROR(IF(CURRENCY.FORMAT_2=0,CONCATENATE(TEXT(FIXED(ROUND(IF(EXC.RATE.SWITCH=1,C1510*(1-I1510)*(1-ADD.DISCOUNT)*(1+MAT.SURCHARGE)/EXC.RATE_2,C1510*(1-I1510)*(1-ADD.DISCOUNT)*(1+MAT.SURCHARGE)*EXC.RATE_2),CURRENCY.FORMAT_2),CURRENCY.FORMAT_2,1),"# ##0;-# ##0"),",-"),FIXED(ROUND(IF(EXC.RATE.SWITCH=1,C1510*(1-I1510)*(1-ADD.DISCOUNT)*(1+MAT.SURCHARGE)/EXC.RATE_2,C1510*(1-I1510)*(1-ADD.DISCOUNT)*(1+MAT.SURCHARGE)*EXC.RATE_2),CURRENCY.FORMAT_2),CURRENCY.FORMAT_2,0)),'DICTIONARY-5'!$A$2))</f>
        <v/>
      </c>
      <c r="N1510" s="539">
        <v>5</v>
      </c>
      <c r="O1510" s="539"/>
      <c r="P1510" s="732" t="str">
        <f>'DICTIONARY-3'!$A$32</f>
        <v>HADE PTK-F</v>
      </c>
      <c r="Q1510" s="732" t="str">
        <f>'DICTIONARY-3'!$A$203</f>
        <v>Klapa przeciwcofkowa</v>
      </c>
      <c r="R1510" s="732" t="str">
        <f>CONCATENATE('DICTIONARY-3'!$A$32," ",'DICTIONARY-6'!$A$19," ",'DICTIONARY-2'!$A$2,"1600"," ",'DICTIONARY-2'!$A$3,"10, ",'DICTIONARY-6'!$A$73)</f>
        <v>HADE PTK-F Klapa przeciwcofk. DN1600 PN10, kołnierz.</v>
      </c>
      <c r="S1510" s="733" t="s">
        <v>5569</v>
      </c>
      <c r="T1510" s="732" t="s">
        <v>5569</v>
      </c>
      <c r="U1510" s="734" t="s">
        <v>5840</v>
      </c>
      <c r="V1510" s="735">
        <v>10</v>
      </c>
      <c r="W1510" s="736"/>
      <c r="X1510" s="737"/>
      <c r="Y1510" s="738"/>
      <c r="Z1510" s="739"/>
      <c r="AA1510" s="739"/>
      <c r="AB1510" s="746">
        <v>0.1</v>
      </c>
      <c r="AC1510" s="741" t="s">
        <v>5569</v>
      </c>
      <c r="AD1510" s="741" t="s">
        <v>5569</v>
      </c>
      <c r="AE1510" s="742" t="s">
        <v>5569</v>
      </c>
      <c r="AF1510" s="743">
        <v>140</v>
      </c>
      <c r="AG1510" s="741" t="s">
        <v>5569</v>
      </c>
    </row>
    <row r="1511" spans="1:33" x14ac:dyDescent="0.25">
      <c r="A1511" s="861" t="s">
        <v>1517</v>
      </c>
      <c r="B1511" s="861" t="s">
        <v>4598</v>
      </c>
      <c r="C1511" s="836">
        <v>20482</v>
      </c>
      <c r="D1511" s="836"/>
      <c r="E1511" s="836"/>
      <c r="F1511" s="836"/>
      <c r="G1511" s="496" t="s">
        <v>7829</v>
      </c>
      <c r="H1511" s="797" t="str">
        <f>VLOOKUP(G1511,SETTINGS!$B$7:$D$97,2,0)</f>
        <v>HADE</v>
      </c>
      <c r="I1511" s="796">
        <f>VLOOKUP(G1511,SETTINGS!$B$7:$D$97,3,0)</f>
        <v>0</v>
      </c>
      <c r="J1511" s="670" t="str">
        <f>IFERROR(IF(CURRENCY.FORMAT_1=0,CONCATENATE(TEXT(FIXED(ROUND((C1511/EXC.RATE_1),CURRENCY.FORMAT_1),CURRENCY.FORMAT_1,1),"# ##0;-# ##0"),",-"),FIXED(ROUND((C1511/EXC.RATE_1),CURRENCY.FORMAT_1),CURRENCY.FORMAT_1,0)),'DICTIONARY-5'!$A$2)</f>
        <v>20 482,-</v>
      </c>
      <c r="K1511" s="670" t="str">
        <f>IF(EXC.RATE_2=0,"",IFERROR(IF(CURRENCY.FORMAT_2=0,CONCATENATE(TEXT(FIXED(ROUND(IF(EXC.RATE.SWITCH=1,C1511/EXC.RATE_2,C1511*EXC.RATE_2),CURRENCY.FORMAT_2),CURRENCY.FORMAT_2,1),"# ##0;-# ##0"),",-"),FIXED(ROUND(IF(EXC.RATE.SWITCH=1,C1511/EXC.RATE_2,C1511*EXC.RATE_2),CURRENCY.FORMAT_2),CURRENCY.FORMAT_2,0)),'DICTIONARY-5'!$A$2))</f>
        <v/>
      </c>
      <c r="L1511" s="670" t="str">
        <f>IFERROR(IF(CURRENCY.FORMAT_1=0,CONCATENATE(TEXT(FIXED(ROUND((C1511*(1-I1511)*(1-ADD.DISCOUNT)*(1+MAT.SURCHARGE)/EXC.RATE_1),CURRENCY.FORMAT_1),CURRENCY.FORMAT_1,1),"# ##0;-# ##0"),",-"),FIXED(ROUND((C1511*(1-I1511)*(1-ADD.DISCOUNT)*(1+MAT.SURCHARGE)/EXC.RATE_1),CURRENCY.FORMAT_1),CURRENCY.FORMAT_1,0)),'DICTIONARY-5'!$A$2)</f>
        <v>21 281,-</v>
      </c>
      <c r="M1511" s="670" t="str">
        <f>IF(EXC.RATE_2=0,"",IFERROR(IF(CURRENCY.FORMAT_2=0,CONCATENATE(TEXT(FIXED(ROUND(IF(EXC.RATE.SWITCH=1,C1511*(1-I1511)*(1-ADD.DISCOUNT)*(1+MAT.SURCHARGE)/EXC.RATE_2,C1511*(1-I1511)*(1-ADD.DISCOUNT)*(1+MAT.SURCHARGE)*EXC.RATE_2),CURRENCY.FORMAT_2),CURRENCY.FORMAT_2,1),"# ##0;-# ##0"),",-"),FIXED(ROUND(IF(EXC.RATE.SWITCH=1,C1511*(1-I1511)*(1-ADD.DISCOUNT)*(1+MAT.SURCHARGE)/EXC.RATE_2,C1511*(1-I1511)*(1-ADD.DISCOUNT)*(1+MAT.SURCHARGE)*EXC.RATE_2),CURRENCY.FORMAT_2),CURRENCY.FORMAT_2,0)),'DICTIONARY-5'!$A$2))</f>
        <v/>
      </c>
      <c r="N1511" s="539">
        <v>5</v>
      </c>
      <c r="O1511" s="539"/>
      <c r="P1511" s="732" t="str">
        <f>'DICTIONARY-3'!$A$32</f>
        <v>HADE PTK-F</v>
      </c>
      <c r="Q1511" s="732" t="str">
        <f>'DICTIONARY-3'!$A$203</f>
        <v>Klapa przeciwcofkowa</v>
      </c>
      <c r="R1511" s="732" t="str">
        <f>CONCATENATE('DICTIONARY-3'!$A$32," ",'DICTIONARY-6'!$A$19," ",'DICTIONARY-2'!$A$2,"1800"," ",'DICTIONARY-2'!$A$3,"10, ",'DICTIONARY-6'!$A$73)</f>
        <v>HADE PTK-F Klapa przeciwcofk. DN1800 PN10, kołnierz.</v>
      </c>
      <c r="S1511" s="733" t="s">
        <v>5569</v>
      </c>
      <c r="T1511" s="732" t="s">
        <v>5569</v>
      </c>
      <c r="U1511" s="734" t="s">
        <v>5841</v>
      </c>
      <c r="V1511" s="735">
        <v>10</v>
      </c>
      <c r="W1511" s="736"/>
      <c r="X1511" s="737"/>
      <c r="Y1511" s="738"/>
      <c r="Z1511" s="739"/>
      <c r="AA1511" s="739"/>
      <c r="AB1511" s="746">
        <v>0.1</v>
      </c>
      <c r="AC1511" s="741" t="s">
        <v>5569</v>
      </c>
      <c r="AD1511" s="741" t="s">
        <v>5569</v>
      </c>
      <c r="AE1511" s="742" t="s">
        <v>5569</v>
      </c>
      <c r="AF1511" s="743">
        <v>150</v>
      </c>
      <c r="AG1511" s="741" t="s">
        <v>5569</v>
      </c>
    </row>
    <row r="1512" spans="1:33" x14ac:dyDescent="0.25">
      <c r="A1512" s="861" t="s">
        <v>1518</v>
      </c>
      <c r="B1512" s="861" t="s">
        <v>4607</v>
      </c>
      <c r="C1512" s="836">
        <v>25349</v>
      </c>
      <c r="D1512" s="836"/>
      <c r="E1512" s="836"/>
      <c r="F1512" s="836"/>
      <c r="G1512" s="496" t="s">
        <v>7829</v>
      </c>
      <c r="H1512" s="797" t="str">
        <f>VLOOKUP(G1512,SETTINGS!$B$7:$D$97,2,0)</f>
        <v>HADE</v>
      </c>
      <c r="I1512" s="796">
        <f>VLOOKUP(G1512,SETTINGS!$B$7:$D$97,3,0)</f>
        <v>0</v>
      </c>
      <c r="J1512" s="670" t="str">
        <f>IFERROR(IF(CURRENCY.FORMAT_1=0,CONCATENATE(TEXT(FIXED(ROUND((C1512/EXC.RATE_1),CURRENCY.FORMAT_1),CURRENCY.FORMAT_1,1),"# ##0;-# ##0"),",-"),FIXED(ROUND((C1512/EXC.RATE_1),CURRENCY.FORMAT_1),CURRENCY.FORMAT_1,0)),'DICTIONARY-5'!$A$2)</f>
        <v>25 349,-</v>
      </c>
      <c r="K1512" s="670" t="str">
        <f>IF(EXC.RATE_2=0,"",IFERROR(IF(CURRENCY.FORMAT_2=0,CONCATENATE(TEXT(FIXED(ROUND(IF(EXC.RATE.SWITCH=1,C1512/EXC.RATE_2,C1512*EXC.RATE_2),CURRENCY.FORMAT_2),CURRENCY.FORMAT_2,1),"# ##0;-# ##0"),",-"),FIXED(ROUND(IF(EXC.RATE.SWITCH=1,C1512/EXC.RATE_2,C1512*EXC.RATE_2),CURRENCY.FORMAT_2),CURRENCY.FORMAT_2,0)),'DICTIONARY-5'!$A$2))</f>
        <v/>
      </c>
      <c r="L1512" s="670" t="str">
        <f>IFERROR(IF(CURRENCY.FORMAT_1=0,CONCATENATE(TEXT(FIXED(ROUND((C1512*(1-I1512)*(1-ADD.DISCOUNT)*(1+MAT.SURCHARGE)/EXC.RATE_1),CURRENCY.FORMAT_1),CURRENCY.FORMAT_1,1),"# ##0;-# ##0"),",-"),FIXED(ROUND((C1512*(1-I1512)*(1-ADD.DISCOUNT)*(1+MAT.SURCHARGE)/EXC.RATE_1),CURRENCY.FORMAT_1),CURRENCY.FORMAT_1,0)),'DICTIONARY-5'!$A$2)</f>
        <v>26 338,-</v>
      </c>
      <c r="M1512" s="670" t="str">
        <f>IF(EXC.RATE_2=0,"",IFERROR(IF(CURRENCY.FORMAT_2=0,CONCATENATE(TEXT(FIXED(ROUND(IF(EXC.RATE.SWITCH=1,C1512*(1-I1512)*(1-ADD.DISCOUNT)*(1+MAT.SURCHARGE)/EXC.RATE_2,C1512*(1-I1512)*(1-ADD.DISCOUNT)*(1+MAT.SURCHARGE)*EXC.RATE_2),CURRENCY.FORMAT_2),CURRENCY.FORMAT_2,1),"# ##0;-# ##0"),",-"),FIXED(ROUND(IF(EXC.RATE.SWITCH=1,C1512*(1-I1512)*(1-ADD.DISCOUNT)*(1+MAT.SURCHARGE)/EXC.RATE_2,C1512*(1-I1512)*(1-ADD.DISCOUNT)*(1+MAT.SURCHARGE)*EXC.RATE_2),CURRENCY.FORMAT_2),CURRENCY.FORMAT_2,0)),'DICTIONARY-5'!$A$2))</f>
        <v/>
      </c>
      <c r="N1512" s="539">
        <v>5</v>
      </c>
      <c r="O1512" s="539"/>
      <c r="P1512" s="732" t="str">
        <f>'DICTIONARY-3'!$A$32</f>
        <v>HADE PTK-F</v>
      </c>
      <c r="Q1512" s="732" t="str">
        <f>'DICTIONARY-3'!$A$203</f>
        <v>Klapa przeciwcofkowa</v>
      </c>
      <c r="R1512" s="732" t="str">
        <f>CONCATENATE('DICTIONARY-3'!$A$32," ",'DICTIONARY-6'!$A$19," ",'DICTIONARY-2'!$A$2,"2000"," ",'DICTIONARY-2'!$A$3,"10, ",'DICTIONARY-6'!$A$73)</f>
        <v>HADE PTK-F Klapa przeciwcofk. DN2000 PN10, kołnierz.</v>
      </c>
      <c r="S1512" s="733" t="s">
        <v>5569</v>
      </c>
      <c r="T1512" s="732" t="s">
        <v>5569</v>
      </c>
      <c r="U1512" s="734" t="s">
        <v>5842</v>
      </c>
      <c r="V1512" s="735">
        <v>10</v>
      </c>
      <c r="W1512" s="736"/>
      <c r="X1512" s="737"/>
      <c r="Y1512" s="738"/>
      <c r="Z1512" s="739"/>
      <c r="AA1512" s="739"/>
      <c r="AB1512" s="746">
        <v>0.1</v>
      </c>
      <c r="AC1512" s="741" t="s">
        <v>5569</v>
      </c>
      <c r="AD1512" s="741" t="s">
        <v>5569</v>
      </c>
      <c r="AE1512" s="742" t="s">
        <v>5569</v>
      </c>
      <c r="AF1512" s="743">
        <v>160</v>
      </c>
      <c r="AG1512" s="741" t="s">
        <v>5569</v>
      </c>
    </row>
    <row r="1513" spans="1:33" x14ac:dyDescent="0.25">
      <c r="A1513" s="861" t="s">
        <v>1519</v>
      </c>
      <c r="B1513" s="861" t="s">
        <v>4494</v>
      </c>
      <c r="C1513" s="836">
        <v>854</v>
      </c>
      <c r="D1513" s="836"/>
      <c r="E1513" s="836"/>
      <c r="F1513" s="836"/>
      <c r="G1513" s="496" t="s">
        <v>7829</v>
      </c>
      <c r="H1513" s="797" t="str">
        <f>VLOOKUP(G1513,SETTINGS!$B$7:$D$97,2,0)</f>
        <v>HADE</v>
      </c>
      <c r="I1513" s="796">
        <f>VLOOKUP(G1513,SETTINGS!$B$7:$D$97,3,0)</f>
        <v>0</v>
      </c>
      <c r="J1513" s="670" t="str">
        <f>IFERROR(IF(CURRENCY.FORMAT_1=0,CONCATENATE(TEXT(FIXED(ROUND((C1513/EXC.RATE_1),CURRENCY.FORMAT_1),CURRENCY.FORMAT_1,1),"# ##0;-# ##0"),",-"),FIXED(ROUND((C1513/EXC.RATE_1),CURRENCY.FORMAT_1),CURRENCY.FORMAT_1,0)),'DICTIONARY-5'!$A$2)</f>
        <v>854,-</v>
      </c>
      <c r="K1513" s="670" t="str">
        <f>IF(EXC.RATE_2=0,"",IFERROR(IF(CURRENCY.FORMAT_2=0,CONCATENATE(TEXT(FIXED(ROUND(IF(EXC.RATE.SWITCH=1,C1513/EXC.RATE_2,C1513*EXC.RATE_2),CURRENCY.FORMAT_2),CURRENCY.FORMAT_2,1),"# ##0;-# ##0"),",-"),FIXED(ROUND(IF(EXC.RATE.SWITCH=1,C1513/EXC.RATE_2,C1513*EXC.RATE_2),CURRENCY.FORMAT_2),CURRENCY.FORMAT_2,0)),'DICTIONARY-5'!$A$2))</f>
        <v/>
      </c>
      <c r="L1513" s="670" t="str">
        <f>IFERROR(IF(CURRENCY.FORMAT_1=0,CONCATENATE(TEXT(FIXED(ROUND((C1513*(1-I1513)*(1-ADD.DISCOUNT)*(1+MAT.SURCHARGE)/EXC.RATE_1),CURRENCY.FORMAT_1),CURRENCY.FORMAT_1,1),"# ##0;-# ##0"),",-"),FIXED(ROUND((C1513*(1-I1513)*(1-ADD.DISCOUNT)*(1+MAT.SURCHARGE)/EXC.RATE_1),CURRENCY.FORMAT_1),CURRENCY.FORMAT_1,0)),'DICTIONARY-5'!$A$2)</f>
        <v>887,-</v>
      </c>
      <c r="M1513" s="670" t="str">
        <f>IF(EXC.RATE_2=0,"",IFERROR(IF(CURRENCY.FORMAT_2=0,CONCATENATE(TEXT(FIXED(ROUND(IF(EXC.RATE.SWITCH=1,C1513*(1-I1513)*(1-ADD.DISCOUNT)*(1+MAT.SURCHARGE)/EXC.RATE_2,C1513*(1-I1513)*(1-ADD.DISCOUNT)*(1+MAT.SURCHARGE)*EXC.RATE_2),CURRENCY.FORMAT_2),CURRENCY.FORMAT_2,1),"# ##0;-# ##0"),",-"),FIXED(ROUND(IF(EXC.RATE.SWITCH=1,C1513*(1-I1513)*(1-ADD.DISCOUNT)*(1+MAT.SURCHARGE)/EXC.RATE_2,C1513*(1-I1513)*(1-ADD.DISCOUNT)*(1+MAT.SURCHARGE)*EXC.RATE_2),CURRENCY.FORMAT_2),CURRENCY.FORMAT_2,0)),'DICTIONARY-5'!$A$2))</f>
        <v/>
      </c>
      <c r="N1513" s="539">
        <v>5</v>
      </c>
      <c r="O1513" s="539"/>
      <c r="P1513" s="732" t="str">
        <f>'DICTIONARY-3'!$A$33</f>
        <v>HADE PWK-F</v>
      </c>
      <c r="Q1513" s="732" t="str">
        <f>'DICTIONARY-3'!$A$203</f>
        <v>Klapa przeciwcofkowa</v>
      </c>
      <c r="R1513" s="732" t="str">
        <f>CONCATENATE('DICTIONARY-3'!$A$33," ",'DICTIONARY-6'!$A$19," ",'DICTIONARY-2'!$A$2,"150"," ",'DICTIONARY-2'!$A$3,"10, ",'DICTIONARY-6'!$A$73," ",'DICTIONARY-6'!$A$74)</f>
        <v>HADE PWK-F Klapa przeciwcofk. DN150 PN10, kołnierz. do ruroc. tłocz.</v>
      </c>
      <c r="S1513" s="733" t="s">
        <v>5569</v>
      </c>
      <c r="T1513" s="732" t="s">
        <v>5569</v>
      </c>
      <c r="U1513" s="734" t="s">
        <v>5572</v>
      </c>
      <c r="V1513" s="735">
        <v>10</v>
      </c>
      <c r="W1513" s="736"/>
      <c r="X1513" s="737"/>
      <c r="Y1513" s="738"/>
      <c r="Z1513" s="739"/>
      <c r="AA1513" s="739"/>
      <c r="AB1513" s="746">
        <v>0.1</v>
      </c>
      <c r="AC1513" s="741" t="s">
        <v>5569</v>
      </c>
      <c r="AD1513" s="741" t="s">
        <v>5569</v>
      </c>
      <c r="AE1513" s="742" t="s">
        <v>5569</v>
      </c>
      <c r="AF1513" s="743">
        <v>6.25</v>
      </c>
      <c r="AG1513" s="741" t="s">
        <v>5569</v>
      </c>
    </row>
    <row r="1514" spans="1:33" x14ac:dyDescent="0.25">
      <c r="A1514" s="861" t="s">
        <v>1520</v>
      </c>
      <c r="B1514" s="861" t="s">
        <v>4505</v>
      </c>
      <c r="C1514" s="836">
        <v>984</v>
      </c>
      <c r="D1514" s="836"/>
      <c r="E1514" s="836"/>
      <c r="F1514" s="836"/>
      <c r="G1514" s="496" t="s">
        <v>7829</v>
      </c>
      <c r="H1514" s="797" t="str">
        <f>VLOOKUP(G1514,SETTINGS!$B$7:$D$97,2,0)</f>
        <v>HADE</v>
      </c>
      <c r="I1514" s="796">
        <f>VLOOKUP(G1514,SETTINGS!$B$7:$D$97,3,0)</f>
        <v>0</v>
      </c>
      <c r="J1514" s="670" t="str">
        <f>IFERROR(IF(CURRENCY.FORMAT_1=0,CONCATENATE(TEXT(FIXED(ROUND((C1514/EXC.RATE_1),CURRENCY.FORMAT_1),CURRENCY.FORMAT_1,1),"# ##0;-# ##0"),",-"),FIXED(ROUND((C1514/EXC.RATE_1),CURRENCY.FORMAT_1),CURRENCY.FORMAT_1,0)),'DICTIONARY-5'!$A$2)</f>
        <v>984,-</v>
      </c>
      <c r="K1514" s="670" t="str">
        <f>IF(EXC.RATE_2=0,"",IFERROR(IF(CURRENCY.FORMAT_2=0,CONCATENATE(TEXT(FIXED(ROUND(IF(EXC.RATE.SWITCH=1,C1514/EXC.RATE_2,C1514*EXC.RATE_2),CURRENCY.FORMAT_2),CURRENCY.FORMAT_2,1),"# ##0;-# ##0"),",-"),FIXED(ROUND(IF(EXC.RATE.SWITCH=1,C1514/EXC.RATE_2,C1514*EXC.RATE_2),CURRENCY.FORMAT_2),CURRENCY.FORMAT_2,0)),'DICTIONARY-5'!$A$2))</f>
        <v/>
      </c>
      <c r="L1514" s="670" t="str">
        <f>IFERROR(IF(CURRENCY.FORMAT_1=0,CONCATENATE(TEXT(FIXED(ROUND((C1514*(1-I1514)*(1-ADD.DISCOUNT)*(1+MAT.SURCHARGE)/EXC.RATE_1),CURRENCY.FORMAT_1),CURRENCY.FORMAT_1,1),"# ##0;-# ##0"),",-"),FIXED(ROUND((C1514*(1-I1514)*(1-ADD.DISCOUNT)*(1+MAT.SURCHARGE)/EXC.RATE_1),CURRENCY.FORMAT_1),CURRENCY.FORMAT_1,0)),'DICTIONARY-5'!$A$2)</f>
        <v>1 022,-</v>
      </c>
      <c r="M1514" s="670" t="str">
        <f>IF(EXC.RATE_2=0,"",IFERROR(IF(CURRENCY.FORMAT_2=0,CONCATENATE(TEXT(FIXED(ROUND(IF(EXC.RATE.SWITCH=1,C1514*(1-I1514)*(1-ADD.DISCOUNT)*(1+MAT.SURCHARGE)/EXC.RATE_2,C1514*(1-I1514)*(1-ADD.DISCOUNT)*(1+MAT.SURCHARGE)*EXC.RATE_2),CURRENCY.FORMAT_2),CURRENCY.FORMAT_2,1),"# ##0;-# ##0"),",-"),FIXED(ROUND(IF(EXC.RATE.SWITCH=1,C1514*(1-I1514)*(1-ADD.DISCOUNT)*(1+MAT.SURCHARGE)/EXC.RATE_2,C1514*(1-I1514)*(1-ADD.DISCOUNT)*(1+MAT.SURCHARGE)*EXC.RATE_2),CURRENCY.FORMAT_2),CURRENCY.FORMAT_2,0)),'DICTIONARY-5'!$A$2))</f>
        <v/>
      </c>
      <c r="N1514" s="539">
        <v>5</v>
      </c>
      <c r="O1514" s="539"/>
      <c r="P1514" s="732" t="str">
        <f>'DICTIONARY-3'!$A$33</f>
        <v>HADE PWK-F</v>
      </c>
      <c r="Q1514" s="732" t="str">
        <f>'DICTIONARY-3'!$A$203</f>
        <v>Klapa przeciwcofkowa</v>
      </c>
      <c r="R1514" s="732" t="str">
        <f>CONCATENATE('DICTIONARY-3'!$A$33," ",'DICTIONARY-6'!$A$19," ",'DICTIONARY-2'!$A$2,"200"," ",'DICTIONARY-2'!$A$3,"10, ",'DICTIONARY-6'!$A$73," ",'DICTIONARY-6'!$A$74)</f>
        <v>HADE PWK-F Klapa przeciwcofk. DN200 PN10, kołnierz. do ruroc. tłocz.</v>
      </c>
      <c r="S1514" s="733" t="s">
        <v>5569</v>
      </c>
      <c r="T1514" s="732" t="s">
        <v>5569</v>
      </c>
      <c r="U1514" s="734" t="s">
        <v>5750</v>
      </c>
      <c r="V1514" s="735">
        <v>10</v>
      </c>
      <c r="W1514" s="736"/>
      <c r="X1514" s="737"/>
      <c r="Y1514" s="738"/>
      <c r="Z1514" s="739"/>
      <c r="AA1514" s="739"/>
      <c r="AB1514" s="746">
        <v>0.1</v>
      </c>
      <c r="AC1514" s="741" t="s">
        <v>5569</v>
      </c>
      <c r="AD1514" s="741" t="s">
        <v>5569</v>
      </c>
      <c r="AE1514" s="742" t="s">
        <v>5569</v>
      </c>
      <c r="AF1514" s="743">
        <v>10</v>
      </c>
      <c r="AG1514" s="741" t="s">
        <v>5569</v>
      </c>
    </row>
    <row r="1515" spans="1:33" x14ac:dyDescent="0.25">
      <c r="A1515" s="861" t="s">
        <v>1521</v>
      </c>
      <c r="B1515" s="861" t="s">
        <v>4511</v>
      </c>
      <c r="C1515" s="836">
        <v>1140</v>
      </c>
      <c r="D1515" s="836"/>
      <c r="E1515" s="836"/>
      <c r="F1515" s="836"/>
      <c r="G1515" s="496" t="s">
        <v>7829</v>
      </c>
      <c r="H1515" s="797" t="str">
        <f>VLOOKUP(G1515,SETTINGS!$B$7:$D$97,2,0)</f>
        <v>HADE</v>
      </c>
      <c r="I1515" s="796">
        <f>VLOOKUP(G1515,SETTINGS!$B$7:$D$97,3,0)</f>
        <v>0</v>
      </c>
      <c r="J1515" s="670" t="str">
        <f>IFERROR(IF(CURRENCY.FORMAT_1=0,CONCATENATE(TEXT(FIXED(ROUND((C1515/EXC.RATE_1),CURRENCY.FORMAT_1),CURRENCY.FORMAT_1,1),"# ##0;-# ##0"),",-"),FIXED(ROUND((C1515/EXC.RATE_1),CURRENCY.FORMAT_1),CURRENCY.FORMAT_1,0)),'DICTIONARY-5'!$A$2)</f>
        <v>1 140,-</v>
      </c>
      <c r="K1515" s="670" t="str">
        <f>IF(EXC.RATE_2=0,"",IFERROR(IF(CURRENCY.FORMAT_2=0,CONCATENATE(TEXT(FIXED(ROUND(IF(EXC.RATE.SWITCH=1,C1515/EXC.RATE_2,C1515*EXC.RATE_2),CURRENCY.FORMAT_2),CURRENCY.FORMAT_2,1),"# ##0;-# ##0"),",-"),FIXED(ROUND(IF(EXC.RATE.SWITCH=1,C1515/EXC.RATE_2,C1515*EXC.RATE_2),CURRENCY.FORMAT_2),CURRENCY.FORMAT_2,0)),'DICTIONARY-5'!$A$2))</f>
        <v/>
      </c>
      <c r="L1515" s="670" t="str">
        <f>IFERROR(IF(CURRENCY.FORMAT_1=0,CONCATENATE(TEXT(FIXED(ROUND((C1515*(1-I1515)*(1-ADD.DISCOUNT)*(1+MAT.SURCHARGE)/EXC.RATE_1),CURRENCY.FORMAT_1),CURRENCY.FORMAT_1,1),"# ##0;-# ##0"),",-"),FIXED(ROUND((C1515*(1-I1515)*(1-ADD.DISCOUNT)*(1+MAT.SURCHARGE)/EXC.RATE_1),CURRENCY.FORMAT_1),CURRENCY.FORMAT_1,0)),'DICTIONARY-5'!$A$2)</f>
        <v>1 184,-</v>
      </c>
      <c r="M1515" s="670" t="str">
        <f>IF(EXC.RATE_2=0,"",IFERROR(IF(CURRENCY.FORMAT_2=0,CONCATENATE(TEXT(FIXED(ROUND(IF(EXC.RATE.SWITCH=1,C1515*(1-I1515)*(1-ADD.DISCOUNT)*(1+MAT.SURCHARGE)/EXC.RATE_2,C1515*(1-I1515)*(1-ADD.DISCOUNT)*(1+MAT.SURCHARGE)*EXC.RATE_2),CURRENCY.FORMAT_2),CURRENCY.FORMAT_2,1),"# ##0;-# ##0"),",-"),FIXED(ROUND(IF(EXC.RATE.SWITCH=1,C1515*(1-I1515)*(1-ADD.DISCOUNT)*(1+MAT.SURCHARGE)/EXC.RATE_2,C1515*(1-I1515)*(1-ADD.DISCOUNT)*(1+MAT.SURCHARGE)*EXC.RATE_2),CURRENCY.FORMAT_2),CURRENCY.FORMAT_2,0)),'DICTIONARY-5'!$A$2))</f>
        <v/>
      </c>
      <c r="N1515" s="539">
        <v>5</v>
      </c>
      <c r="O1515" s="539"/>
      <c r="P1515" s="732" t="str">
        <f>'DICTIONARY-3'!$A$33</f>
        <v>HADE PWK-F</v>
      </c>
      <c r="Q1515" s="732" t="str">
        <f>'DICTIONARY-3'!$A$203</f>
        <v>Klapa przeciwcofkowa</v>
      </c>
      <c r="R1515" s="732" t="str">
        <f>CONCATENATE('DICTIONARY-3'!$A$33," ",'DICTIONARY-6'!$A$19," ",'DICTIONARY-2'!$A$2,"250"," ",'DICTIONARY-2'!$A$3,"10, ",'DICTIONARY-6'!$A$73," ",'DICTIONARY-6'!$A$74)</f>
        <v>HADE PWK-F Klapa przeciwcofk. DN250 PN10, kołnierz. do ruroc. tłocz.</v>
      </c>
      <c r="S1515" s="733" t="s">
        <v>5569</v>
      </c>
      <c r="T1515" s="732" t="s">
        <v>5569</v>
      </c>
      <c r="U1515" s="734" t="s">
        <v>5751</v>
      </c>
      <c r="V1515" s="735">
        <v>10</v>
      </c>
      <c r="W1515" s="736"/>
      <c r="X1515" s="737"/>
      <c r="Y1515" s="738"/>
      <c r="Z1515" s="739"/>
      <c r="AA1515" s="739"/>
      <c r="AB1515" s="746">
        <v>0.1</v>
      </c>
      <c r="AC1515" s="741" t="s">
        <v>5569</v>
      </c>
      <c r="AD1515" s="741" t="s">
        <v>5569</v>
      </c>
      <c r="AE1515" s="742" t="s">
        <v>5569</v>
      </c>
      <c r="AF1515" s="743">
        <v>13.5</v>
      </c>
      <c r="AG1515" s="741" t="s">
        <v>5569</v>
      </c>
    </row>
    <row r="1516" spans="1:33" x14ac:dyDescent="0.25">
      <c r="A1516" s="861" t="s">
        <v>1522</v>
      </c>
      <c r="B1516" s="861" t="s">
        <v>4520</v>
      </c>
      <c r="C1516" s="836">
        <v>1485</v>
      </c>
      <c r="D1516" s="836"/>
      <c r="E1516" s="836"/>
      <c r="F1516" s="836"/>
      <c r="G1516" s="496" t="s">
        <v>7829</v>
      </c>
      <c r="H1516" s="797" t="str">
        <f>VLOOKUP(G1516,SETTINGS!$B$7:$D$97,2,0)</f>
        <v>HADE</v>
      </c>
      <c r="I1516" s="796">
        <f>VLOOKUP(G1516,SETTINGS!$B$7:$D$97,3,0)</f>
        <v>0</v>
      </c>
      <c r="J1516" s="670" t="str">
        <f>IFERROR(IF(CURRENCY.FORMAT_1=0,CONCATENATE(TEXT(FIXED(ROUND((C1516/EXC.RATE_1),CURRENCY.FORMAT_1),CURRENCY.FORMAT_1,1),"# ##0;-# ##0"),",-"),FIXED(ROUND((C1516/EXC.RATE_1),CURRENCY.FORMAT_1),CURRENCY.FORMAT_1,0)),'DICTIONARY-5'!$A$2)</f>
        <v>1 485,-</v>
      </c>
      <c r="K1516" s="670" t="str">
        <f>IF(EXC.RATE_2=0,"",IFERROR(IF(CURRENCY.FORMAT_2=0,CONCATENATE(TEXT(FIXED(ROUND(IF(EXC.RATE.SWITCH=1,C1516/EXC.RATE_2,C1516*EXC.RATE_2),CURRENCY.FORMAT_2),CURRENCY.FORMAT_2,1),"# ##0;-# ##0"),",-"),FIXED(ROUND(IF(EXC.RATE.SWITCH=1,C1516/EXC.RATE_2,C1516*EXC.RATE_2),CURRENCY.FORMAT_2),CURRENCY.FORMAT_2,0)),'DICTIONARY-5'!$A$2))</f>
        <v/>
      </c>
      <c r="L1516" s="670" t="str">
        <f>IFERROR(IF(CURRENCY.FORMAT_1=0,CONCATENATE(TEXT(FIXED(ROUND((C1516*(1-I1516)*(1-ADD.DISCOUNT)*(1+MAT.SURCHARGE)/EXC.RATE_1),CURRENCY.FORMAT_1),CURRENCY.FORMAT_1,1),"# ##0;-# ##0"),",-"),FIXED(ROUND((C1516*(1-I1516)*(1-ADD.DISCOUNT)*(1+MAT.SURCHARGE)/EXC.RATE_1),CURRENCY.FORMAT_1),CURRENCY.FORMAT_1,0)),'DICTIONARY-5'!$A$2)</f>
        <v>1 543,-</v>
      </c>
      <c r="M1516" s="670" t="str">
        <f>IF(EXC.RATE_2=0,"",IFERROR(IF(CURRENCY.FORMAT_2=0,CONCATENATE(TEXT(FIXED(ROUND(IF(EXC.RATE.SWITCH=1,C1516*(1-I1516)*(1-ADD.DISCOUNT)*(1+MAT.SURCHARGE)/EXC.RATE_2,C1516*(1-I1516)*(1-ADD.DISCOUNT)*(1+MAT.SURCHARGE)*EXC.RATE_2),CURRENCY.FORMAT_2),CURRENCY.FORMAT_2,1),"# ##0;-# ##0"),",-"),FIXED(ROUND(IF(EXC.RATE.SWITCH=1,C1516*(1-I1516)*(1-ADD.DISCOUNT)*(1+MAT.SURCHARGE)/EXC.RATE_2,C1516*(1-I1516)*(1-ADD.DISCOUNT)*(1+MAT.SURCHARGE)*EXC.RATE_2),CURRENCY.FORMAT_2),CURRENCY.FORMAT_2,0)),'DICTIONARY-5'!$A$2))</f>
        <v/>
      </c>
      <c r="N1516" s="539">
        <v>5</v>
      </c>
      <c r="O1516" s="539"/>
      <c r="P1516" s="732" t="str">
        <f>'DICTIONARY-3'!$A$33</f>
        <v>HADE PWK-F</v>
      </c>
      <c r="Q1516" s="732" t="str">
        <f>'DICTIONARY-3'!$A$203</f>
        <v>Klapa przeciwcofkowa</v>
      </c>
      <c r="R1516" s="732" t="str">
        <f>CONCATENATE('DICTIONARY-3'!$A$33," ",'DICTIONARY-6'!$A$19," ",'DICTIONARY-2'!$A$2,"300"," ",'DICTIONARY-2'!$A$3,"10, ",'DICTIONARY-6'!$A$73," ",'DICTIONARY-6'!$A$74)</f>
        <v>HADE PWK-F Klapa przeciwcofk. DN300 PN10, kołnierz. do ruroc. tłocz.</v>
      </c>
      <c r="S1516" s="733" t="s">
        <v>5569</v>
      </c>
      <c r="T1516" s="732" t="s">
        <v>5569</v>
      </c>
      <c r="U1516" s="734" t="s">
        <v>5752</v>
      </c>
      <c r="V1516" s="735">
        <v>10</v>
      </c>
      <c r="W1516" s="736"/>
      <c r="X1516" s="737"/>
      <c r="Y1516" s="738"/>
      <c r="Z1516" s="739"/>
      <c r="AA1516" s="739"/>
      <c r="AB1516" s="746">
        <v>0.1</v>
      </c>
      <c r="AC1516" s="741" t="s">
        <v>5569</v>
      </c>
      <c r="AD1516" s="741" t="s">
        <v>5569</v>
      </c>
      <c r="AE1516" s="742" t="s">
        <v>5569</v>
      </c>
      <c r="AF1516" s="743">
        <v>12.5</v>
      </c>
      <c r="AG1516" s="741" t="s">
        <v>5569</v>
      </c>
    </row>
    <row r="1517" spans="1:33" x14ac:dyDescent="0.25">
      <c r="A1517" s="861" t="s">
        <v>1523</v>
      </c>
      <c r="B1517" s="861" t="s">
        <v>4528</v>
      </c>
      <c r="C1517" s="836">
        <v>1960</v>
      </c>
      <c r="D1517" s="836"/>
      <c r="E1517" s="836"/>
      <c r="F1517" s="836"/>
      <c r="G1517" s="496" t="s">
        <v>7829</v>
      </c>
      <c r="H1517" s="797" t="str">
        <f>VLOOKUP(G1517,SETTINGS!$B$7:$D$97,2,0)</f>
        <v>HADE</v>
      </c>
      <c r="I1517" s="796">
        <f>VLOOKUP(G1517,SETTINGS!$B$7:$D$97,3,0)</f>
        <v>0</v>
      </c>
      <c r="J1517" s="670" t="str">
        <f>IFERROR(IF(CURRENCY.FORMAT_1=0,CONCATENATE(TEXT(FIXED(ROUND((C1517/EXC.RATE_1),CURRENCY.FORMAT_1),CURRENCY.FORMAT_1,1),"# ##0;-# ##0"),",-"),FIXED(ROUND((C1517/EXC.RATE_1),CURRENCY.FORMAT_1),CURRENCY.FORMAT_1,0)),'DICTIONARY-5'!$A$2)</f>
        <v>1 960,-</v>
      </c>
      <c r="K1517" s="670" t="str">
        <f>IF(EXC.RATE_2=0,"",IFERROR(IF(CURRENCY.FORMAT_2=0,CONCATENATE(TEXT(FIXED(ROUND(IF(EXC.RATE.SWITCH=1,C1517/EXC.RATE_2,C1517*EXC.RATE_2),CURRENCY.FORMAT_2),CURRENCY.FORMAT_2,1),"# ##0;-# ##0"),",-"),FIXED(ROUND(IF(EXC.RATE.SWITCH=1,C1517/EXC.RATE_2,C1517*EXC.RATE_2),CURRENCY.FORMAT_2),CURRENCY.FORMAT_2,0)),'DICTIONARY-5'!$A$2))</f>
        <v/>
      </c>
      <c r="L1517" s="670" t="str">
        <f>IFERROR(IF(CURRENCY.FORMAT_1=0,CONCATENATE(TEXT(FIXED(ROUND((C1517*(1-I1517)*(1-ADD.DISCOUNT)*(1+MAT.SURCHARGE)/EXC.RATE_1),CURRENCY.FORMAT_1),CURRENCY.FORMAT_1,1),"# ##0;-# ##0"),",-"),FIXED(ROUND((C1517*(1-I1517)*(1-ADD.DISCOUNT)*(1+MAT.SURCHARGE)/EXC.RATE_1),CURRENCY.FORMAT_1),CURRENCY.FORMAT_1,0)),'DICTIONARY-5'!$A$2)</f>
        <v>2 036,-</v>
      </c>
      <c r="M1517" s="670" t="str">
        <f>IF(EXC.RATE_2=0,"",IFERROR(IF(CURRENCY.FORMAT_2=0,CONCATENATE(TEXT(FIXED(ROUND(IF(EXC.RATE.SWITCH=1,C1517*(1-I1517)*(1-ADD.DISCOUNT)*(1+MAT.SURCHARGE)/EXC.RATE_2,C1517*(1-I1517)*(1-ADD.DISCOUNT)*(1+MAT.SURCHARGE)*EXC.RATE_2),CURRENCY.FORMAT_2),CURRENCY.FORMAT_2,1),"# ##0;-# ##0"),",-"),FIXED(ROUND(IF(EXC.RATE.SWITCH=1,C1517*(1-I1517)*(1-ADD.DISCOUNT)*(1+MAT.SURCHARGE)/EXC.RATE_2,C1517*(1-I1517)*(1-ADD.DISCOUNT)*(1+MAT.SURCHARGE)*EXC.RATE_2),CURRENCY.FORMAT_2),CURRENCY.FORMAT_2,0)),'DICTIONARY-5'!$A$2))</f>
        <v/>
      </c>
      <c r="N1517" s="539">
        <v>5</v>
      </c>
      <c r="O1517" s="539"/>
      <c r="P1517" s="732" t="str">
        <f>'DICTIONARY-3'!$A$33</f>
        <v>HADE PWK-F</v>
      </c>
      <c r="Q1517" s="732" t="str">
        <f>'DICTIONARY-3'!$A$203</f>
        <v>Klapa przeciwcofkowa</v>
      </c>
      <c r="R1517" s="732" t="str">
        <f>CONCATENATE('DICTIONARY-3'!$A$33," ",'DICTIONARY-6'!$A$19," ",'DICTIONARY-2'!$A$2,"400"," ",'DICTIONARY-2'!$A$3,"10, ",'DICTIONARY-6'!$A$73," ",'DICTIONARY-6'!$A$74)</f>
        <v>HADE PWK-F Klapa przeciwcofk. DN400 PN10, kołnierz. do ruroc. tłocz.</v>
      </c>
      <c r="S1517" s="733" t="s">
        <v>5569</v>
      </c>
      <c r="T1517" s="732" t="s">
        <v>5569</v>
      </c>
      <c r="U1517" s="734" t="s">
        <v>5754</v>
      </c>
      <c r="V1517" s="735">
        <v>10</v>
      </c>
      <c r="W1517" s="736"/>
      <c r="X1517" s="737"/>
      <c r="Y1517" s="738"/>
      <c r="Z1517" s="739"/>
      <c r="AA1517" s="739"/>
      <c r="AB1517" s="746">
        <v>0.1</v>
      </c>
      <c r="AC1517" s="741" t="s">
        <v>5569</v>
      </c>
      <c r="AD1517" s="741" t="s">
        <v>5569</v>
      </c>
      <c r="AE1517" s="742" t="s">
        <v>5569</v>
      </c>
      <c r="AF1517" s="743">
        <v>19</v>
      </c>
      <c r="AG1517" s="741"/>
    </row>
    <row r="1518" spans="1:33" x14ac:dyDescent="0.25">
      <c r="A1518" s="861" t="s">
        <v>1524</v>
      </c>
      <c r="B1518" s="861" t="s">
        <v>4535</v>
      </c>
      <c r="C1518" s="836">
        <v>2644</v>
      </c>
      <c r="D1518" s="836"/>
      <c r="E1518" s="836"/>
      <c r="F1518" s="836"/>
      <c r="G1518" s="496" t="s">
        <v>7829</v>
      </c>
      <c r="H1518" s="797" t="str">
        <f>VLOOKUP(G1518,SETTINGS!$B$7:$D$97,2,0)</f>
        <v>HADE</v>
      </c>
      <c r="I1518" s="796">
        <f>VLOOKUP(G1518,SETTINGS!$B$7:$D$97,3,0)</f>
        <v>0</v>
      </c>
      <c r="J1518" s="670" t="str">
        <f>IFERROR(IF(CURRENCY.FORMAT_1=0,CONCATENATE(TEXT(FIXED(ROUND((C1518/EXC.RATE_1),CURRENCY.FORMAT_1),CURRENCY.FORMAT_1,1),"# ##0;-# ##0"),",-"),FIXED(ROUND((C1518/EXC.RATE_1),CURRENCY.FORMAT_1),CURRENCY.FORMAT_1,0)),'DICTIONARY-5'!$A$2)</f>
        <v>2 644,-</v>
      </c>
      <c r="K1518" s="670" t="str">
        <f>IF(EXC.RATE_2=0,"",IFERROR(IF(CURRENCY.FORMAT_2=0,CONCATENATE(TEXT(FIXED(ROUND(IF(EXC.RATE.SWITCH=1,C1518/EXC.RATE_2,C1518*EXC.RATE_2),CURRENCY.FORMAT_2),CURRENCY.FORMAT_2,1),"# ##0;-# ##0"),",-"),FIXED(ROUND(IF(EXC.RATE.SWITCH=1,C1518/EXC.RATE_2,C1518*EXC.RATE_2),CURRENCY.FORMAT_2),CURRENCY.FORMAT_2,0)),'DICTIONARY-5'!$A$2))</f>
        <v/>
      </c>
      <c r="L1518" s="670" t="str">
        <f>IFERROR(IF(CURRENCY.FORMAT_1=0,CONCATENATE(TEXT(FIXED(ROUND((C1518*(1-I1518)*(1-ADD.DISCOUNT)*(1+MAT.SURCHARGE)/EXC.RATE_1),CURRENCY.FORMAT_1),CURRENCY.FORMAT_1,1),"# ##0;-# ##0"),",-"),FIXED(ROUND((C1518*(1-I1518)*(1-ADD.DISCOUNT)*(1+MAT.SURCHARGE)/EXC.RATE_1),CURRENCY.FORMAT_1),CURRENCY.FORMAT_1,0)),'DICTIONARY-5'!$A$2)</f>
        <v>2 747,-</v>
      </c>
      <c r="M1518" s="670" t="str">
        <f>IF(EXC.RATE_2=0,"",IFERROR(IF(CURRENCY.FORMAT_2=0,CONCATENATE(TEXT(FIXED(ROUND(IF(EXC.RATE.SWITCH=1,C1518*(1-I1518)*(1-ADD.DISCOUNT)*(1+MAT.SURCHARGE)/EXC.RATE_2,C1518*(1-I1518)*(1-ADD.DISCOUNT)*(1+MAT.SURCHARGE)*EXC.RATE_2),CURRENCY.FORMAT_2),CURRENCY.FORMAT_2,1),"# ##0;-# ##0"),",-"),FIXED(ROUND(IF(EXC.RATE.SWITCH=1,C1518*(1-I1518)*(1-ADD.DISCOUNT)*(1+MAT.SURCHARGE)/EXC.RATE_2,C1518*(1-I1518)*(1-ADD.DISCOUNT)*(1+MAT.SURCHARGE)*EXC.RATE_2),CURRENCY.FORMAT_2),CURRENCY.FORMAT_2,0)),'DICTIONARY-5'!$A$2))</f>
        <v/>
      </c>
      <c r="N1518" s="539">
        <v>5</v>
      </c>
      <c r="O1518" s="539"/>
      <c r="P1518" s="732" t="str">
        <f>'DICTIONARY-3'!$A$33</f>
        <v>HADE PWK-F</v>
      </c>
      <c r="Q1518" s="732" t="str">
        <f>'DICTIONARY-3'!$A$203</f>
        <v>Klapa przeciwcofkowa</v>
      </c>
      <c r="R1518" s="732" t="str">
        <f>CONCATENATE('DICTIONARY-3'!$A$33," ",'DICTIONARY-6'!$A$19," ",'DICTIONARY-2'!$A$2,"500"," ",'DICTIONARY-2'!$A$3,"10, ",'DICTIONARY-6'!$A$73," ",'DICTIONARY-6'!$A$74)</f>
        <v>HADE PWK-F Klapa przeciwcofk. DN500 PN10, kołnierz. do ruroc. tłocz.</v>
      </c>
      <c r="S1518" s="733" t="s">
        <v>5569</v>
      </c>
      <c r="T1518" s="732" t="s">
        <v>5569</v>
      </c>
      <c r="U1518" s="734" t="s">
        <v>5756</v>
      </c>
      <c r="V1518" s="735">
        <v>10</v>
      </c>
      <c r="W1518" s="736"/>
      <c r="X1518" s="737"/>
      <c r="Y1518" s="738"/>
      <c r="Z1518" s="739"/>
      <c r="AA1518" s="739"/>
      <c r="AB1518" s="746">
        <v>0.1</v>
      </c>
      <c r="AC1518" s="741" t="s">
        <v>5569</v>
      </c>
      <c r="AD1518" s="741" t="s">
        <v>5569</v>
      </c>
      <c r="AE1518" s="742" t="s">
        <v>5569</v>
      </c>
      <c r="AF1518" s="743">
        <v>38</v>
      </c>
      <c r="AG1518" s="741"/>
    </row>
    <row r="1519" spans="1:33" x14ac:dyDescent="0.25">
      <c r="A1519" s="861" t="s">
        <v>1525</v>
      </c>
      <c r="B1519" s="861" t="s">
        <v>4542</v>
      </c>
      <c r="C1519" s="836">
        <v>3167</v>
      </c>
      <c r="D1519" s="836"/>
      <c r="E1519" s="836"/>
      <c r="F1519" s="836"/>
      <c r="G1519" s="496" t="s">
        <v>7829</v>
      </c>
      <c r="H1519" s="797" t="str">
        <f>VLOOKUP(G1519,SETTINGS!$B$7:$D$97,2,0)</f>
        <v>HADE</v>
      </c>
      <c r="I1519" s="796">
        <f>VLOOKUP(G1519,SETTINGS!$B$7:$D$97,3,0)</f>
        <v>0</v>
      </c>
      <c r="J1519" s="670" t="str">
        <f>IFERROR(IF(CURRENCY.FORMAT_1=0,CONCATENATE(TEXT(FIXED(ROUND((C1519/EXC.RATE_1),CURRENCY.FORMAT_1),CURRENCY.FORMAT_1,1),"# ##0;-# ##0"),",-"),FIXED(ROUND((C1519/EXC.RATE_1),CURRENCY.FORMAT_1),CURRENCY.FORMAT_1,0)),'DICTIONARY-5'!$A$2)</f>
        <v>3 167,-</v>
      </c>
      <c r="K1519" s="670" t="str">
        <f>IF(EXC.RATE_2=0,"",IFERROR(IF(CURRENCY.FORMAT_2=0,CONCATENATE(TEXT(FIXED(ROUND(IF(EXC.RATE.SWITCH=1,C1519/EXC.RATE_2,C1519*EXC.RATE_2),CURRENCY.FORMAT_2),CURRENCY.FORMAT_2,1),"# ##0;-# ##0"),",-"),FIXED(ROUND(IF(EXC.RATE.SWITCH=1,C1519/EXC.RATE_2,C1519*EXC.RATE_2),CURRENCY.FORMAT_2),CURRENCY.FORMAT_2,0)),'DICTIONARY-5'!$A$2))</f>
        <v/>
      </c>
      <c r="L1519" s="670" t="str">
        <f>IFERROR(IF(CURRENCY.FORMAT_1=0,CONCATENATE(TEXT(FIXED(ROUND((C1519*(1-I1519)*(1-ADD.DISCOUNT)*(1+MAT.SURCHARGE)/EXC.RATE_1),CURRENCY.FORMAT_1),CURRENCY.FORMAT_1,1),"# ##0;-# ##0"),",-"),FIXED(ROUND((C1519*(1-I1519)*(1-ADD.DISCOUNT)*(1+MAT.SURCHARGE)/EXC.RATE_1),CURRENCY.FORMAT_1),CURRENCY.FORMAT_1,0)),'DICTIONARY-5'!$A$2)</f>
        <v>3 291,-</v>
      </c>
      <c r="M1519" s="670" t="str">
        <f>IF(EXC.RATE_2=0,"",IFERROR(IF(CURRENCY.FORMAT_2=0,CONCATENATE(TEXT(FIXED(ROUND(IF(EXC.RATE.SWITCH=1,C1519*(1-I1519)*(1-ADD.DISCOUNT)*(1+MAT.SURCHARGE)/EXC.RATE_2,C1519*(1-I1519)*(1-ADD.DISCOUNT)*(1+MAT.SURCHARGE)*EXC.RATE_2),CURRENCY.FORMAT_2),CURRENCY.FORMAT_2,1),"# ##0;-# ##0"),",-"),FIXED(ROUND(IF(EXC.RATE.SWITCH=1,C1519*(1-I1519)*(1-ADD.DISCOUNT)*(1+MAT.SURCHARGE)/EXC.RATE_2,C1519*(1-I1519)*(1-ADD.DISCOUNT)*(1+MAT.SURCHARGE)*EXC.RATE_2),CURRENCY.FORMAT_2),CURRENCY.FORMAT_2,0)),'DICTIONARY-5'!$A$2))</f>
        <v/>
      </c>
      <c r="N1519" s="539">
        <v>5</v>
      </c>
      <c r="O1519" s="539"/>
      <c r="P1519" s="732" t="str">
        <f>'DICTIONARY-3'!$A$33</f>
        <v>HADE PWK-F</v>
      </c>
      <c r="Q1519" s="732" t="str">
        <f>'DICTIONARY-3'!$A$203</f>
        <v>Klapa przeciwcofkowa</v>
      </c>
      <c r="R1519" s="732" t="str">
        <f>CONCATENATE('DICTIONARY-3'!$A$33," ",'DICTIONARY-6'!$A$19," ",'DICTIONARY-2'!$A$2,"600"," ",'DICTIONARY-2'!$A$3,"10, ",'DICTIONARY-6'!$A$73," ",'DICTIONARY-6'!$A$74)</f>
        <v>HADE PWK-F Klapa przeciwcofk. DN600 PN10, kołnierz. do ruroc. tłocz.</v>
      </c>
      <c r="S1519" s="733" t="s">
        <v>5569</v>
      </c>
      <c r="T1519" s="732" t="s">
        <v>5569</v>
      </c>
      <c r="U1519" s="734" t="s">
        <v>5757</v>
      </c>
      <c r="V1519" s="735">
        <v>10</v>
      </c>
      <c r="W1519" s="736"/>
      <c r="X1519" s="737"/>
      <c r="Y1519" s="738"/>
      <c r="Z1519" s="739"/>
      <c r="AA1519" s="739"/>
      <c r="AB1519" s="746">
        <v>0.1</v>
      </c>
      <c r="AC1519" s="741" t="s">
        <v>5569</v>
      </c>
      <c r="AD1519" s="741" t="s">
        <v>5569</v>
      </c>
      <c r="AE1519" s="742" t="s">
        <v>5569</v>
      </c>
      <c r="AF1519" s="743">
        <v>42</v>
      </c>
      <c r="AG1519" s="741"/>
    </row>
    <row r="1520" spans="1:33" x14ac:dyDescent="0.25">
      <c r="A1520" s="861" t="s">
        <v>1526</v>
      </c>
      <c r="B1520" s="861" t="s">
        <v>4548</v>
      </c>
      <c r="C1520" s="836">
        <v>3665</v>
      </c>
      <c r="D1520" s="836"/>
      <c r="E1520" s="836"/>
      <c r="F1520" s="836"/>
      <c r="G1520" s="496" t="s">
        <v>7829</v>
      </c>
      <c r="H1520" s="797" t="str">
        <f>VLOOKUP(G1520,SETTINGS!$B$7:$D$97,2,0)</f>
        <v>HADE</v>
      </c>
      <c r="I1520" s="796">
        <f>VLOOKUP(G1520,SETTINGS!$B$7:$D$97,3,0)</f>
        <v>0</v>
      </c>
      <c r="J1520" s="670" t="str">
        <f>IFERROR(IF(CURRENCY.FORMAT_1=0,CONCATENATE(TEXT(FIXED(ROUND((C1520/EXC.RATE_1),CURRENCY.FORMAT_1),CURRENCY.FORMAT_1,1),"# ##0;-# ##0"),",-"),FIXED(ROUND((C1520/EXC.RATE_1),CURRENCY.FORMAT_1),CURRENCY.FORMAT_1,0)),'DICTIONARY-5'!$A$2)</f>
        <v>3 665,-</v>
      </c>
      <c r="K1520" s="670" t="str">
        <f>IF(EXC.RATE_2=0,"",IFERROR(IF(CURRENCY.FORMAT_2=0,CONCATENATE(TEXT(FIXED(ROUND(IF(EXC.RATE.SWITCH=1,C1520/EXC.RATE_2,C1520*EXC.RATE_2),CURRENCY.FORMAT_2),CURRENCY.FORMAT_2,1),"# ##0;-# ##0"),",-"),FIXED(ROUND(IF(EXC.RATE.SWITCH=1,C1520/EXC.RATE_2,C1520*EXC.RATE_2),CURRENCY.FORMAT_2),CURRENCY.FORMAT_2,0)),'DICTIONARY-5'!$A$2))</f>
        <v/>
      </c>
      <c r="L1520" s="670" t="str">
        <f>IFERROR(IF(CURRENCY.FORMAT_1=0,CONCATENATE(TEXT(FIXED(ROUND((C1520*(1-I1520)*(1-ADD.DISCOUNT)*(1+MAT.SURCHARGE)/EXC.RATE_1),CURRENCY.FORMAT_1),CURRENCY.FORMAT_1,1),"# ##0;-# ##0"),",-"),FIXED(ROUND((C1520*(1-I1520)*(1-ADD.DISCOUNT)*(1+MAT.SURCHARGE)/EXC.RATE_1),CURRENCY.FORMAT_1),CURRENCY.FORMAT_1,0)),'DICTIONARY-5'!$A$2)</f>
        <v>3 808,-</v>
      </c>
      <c r="M1520" s="670" t="str">
        <f>IF(EXC.RATE_2=0,"",IFERROR(IF(CURRENCY.FORMAT_2=0,CONCATENATE(TEXT(FIXED(ROUND(IF(EXC.RATE.SWITCH=1,C1520*(1-I1520)*(1-ADD.DISCOUNT)*(1+MAT.SURCHARGE)/EXC.RATE_2,C1520*(1-I1520)*(1-ADD.DISCOUNT)*(1+MAT.SURCHARGE)*EXC.RATE_2),CURRENCY.FORMAT_2),CURRENCY.FORMAT_2,1),"# ##0;-# ##0"),",-"),FIXED(ROUND(IF(EXC.RATE.SWITCH=1,C1520*(1-I1520)*(1-ADD.DISCOUNT)*(1+MAT.SURCHARGE)/EXC.RATE_2,C1520*(1-I1520)*(1-ADD.DISCOUNT)*(1+MAT.SURCHARGE)*EXC.RATE_2),CURRENCY.FORMAT_2),CURRENCY.FORMAT_2,0)),'DICTIONARY-5'!$A$2))</f>
        <v/>
      </c>
      <c r="N1520" s="539">
        <v>5</v>
      </c>
      <c r="O1520" s="539"/>
      <c r="P1520" s="732" t="str">
        <f>'DICTIONARY-3'!$A$33</f>
        <v>HADE PWK-F</v>
      </c>
      <c r="Q1520" s="732" t="str">
        <f>'DICTIONARY-3'!$A$203</f>
        <v>Klapa przeciwcofkowa</v>
      </c>
      <c r="R1520" s="732" t="str">
        <f>CONCATENATE('DICTIONARY-3'!$A$33," ",'DICTIONARY-6'!$A$19," ",'DICTIONARY-2'!$A$2,"700"," ",'DICTIONARY-2'!$A$3,"10, ",'DICTIONARY-6'!$A$73," ",'DICTIONARY-6'!$A$74)</f>
        <v>HADE PWK-F Klapa przeciwcofk. DN700 PN10, kołnierz. do ruroc. tłocz.</v>
      </c>
      <c r="S1520" s="733" t="s">
        <v>5569</v>
      </c>
      <c r="T1520" s="732" t="s">
        <v>5569</v>
      </c>
      <c r="U1520" s="734" t="s">
        <v>5834</v>
      </c>
      <c r="V1520" s="735">
        <v>10</v>
      </c>
      <c r="W1520" s="736"/>
      <c r="X1520" s="737"/>
      <c r="Y1520" s="738"/>
      <c r="Z1520" s="739"/>
      <c r="AA1520" s="739"/>
      <c r="AB1520" s="746">
        <v>0.1</v>
      </c>
      <c r="AC1520" s="741" t="s">
        <v>5569</v>
      </c>
      <c r="AD1520" s="741" t="s">
        <v>5569</v>
      </c>
      <c r="AE1520" s="742" t="s">
        <v>5569</v>
      </c>
      <c r="AF1520" s="743">
        <v>68</v>
      </c>
      <c r="AG1520" s="741"/>
    </row>
    <row r="1521" spans="1:33" x14ac:dyDescent="0.25">
      <c r="A1521" s="861" t="s">
        <v>1527</v>
      </c>
      <c r="B1521" s="861" t="s">
        <v>4554</v>
      </c>
      <c r="C1521" s="836">
        <v>4369</v>
      </c>
      <c r="D1521" s="836"/>
      <c r="E1521" s="836"/>
      <c r="F1521" s="836"/>
      <c r="G1521" s="496" t="s">
        <v>7829</v>
      </c>
      <c r="H1521" s="797" t="str">
        <f>VLOOKUP(G1521,SETTINGS!$B$7:$D$97,2,0)</f>
        <v>HADE</v>
      </c>
      <c r="I1521" s="796">
        <f>VLOOKUP(G1521,SETTINGS!$B$7:$D$97,3,0)</f>
        <v>0</v>
      </c>
      <c r="J1521" s="670" t="str">
        <f>IFERROR(IF(CURRENCY.FORMAT_1=0,CONCATENATE(TEXT(FIXED(ROUND((C1521/EXC.RATE_1),CURRENCY.FORMAT_1),CURRENCY.FORMAT_1,1),"# ##0;-# ##0"),",-"),FIXED(ROUND((C1521/EXC.RATE_1),CURRENCY.FORMAT_1),CURRENCY.FORMAT_1,0)),'DICTIONARY-5'!$A$2)</f>
        <v>4 369,-</v>
      </c>
      <c r="K1521" s="670" t="str">
        <f>IF(EXC.RATE_2=0,"",IFERROR(IF(CURRENCY.FORMAT_2=0,CONCATENATE(TEXT(FIXED(ROUND(IF(EXC.RATE.SWITCH=1,C1521/EXC.RATE_2,C1521*EXC.RATE_2),CURRENCY.FORMAT_2),CURRENCY.FORMAT_2,1),"# ##0;-# ##0"),",-"),FIXED(ROUND(IF(EXC.RATE.SWITCH=1,C1521/EXC.RATE_2,C1521*EXC.RATE_2),CURRENCY.FORMAT_2),CURRENCY.FORMAT_2,0)),'DICTIONARY-5'!$A$2))</f>
        <v/>
      </c>
      <c r="L1521" s="670" t="str">
        <f>IFERROR(IF(CURRENCY.FORMAT_1=0,CONCATENATE(TEXT(FIXED(ROUND((C1521*(1-I1521)*(1-ADD.DISCOUNT)*(1+MAT.SURCHARGE)/EXC.RATE_1),CURRENCY.FORMAT_1),CURRENCY.FORMAT_1,1),"# ##0;-# ##0"),",-"),FIXED(ROUND((C1521*(1-I1521)*(1-ADD.DISCOUNT)*(1+MAT.SURCHARGE)/EXC.RATE_1),CURRENCY.FORMAT_1),CURRENCY.FORMAT_1,0)),'DICTIONARY-5'!$A$2)</f>
        <v>4 539,-</v>
      </c>
      <c r="M1521" s="670" t="str">
        <f>IF(EXC.RATE_2=0,"",IFERROR(IF(CURRENCY.FORMAT_2=0,CONCATENATE(TEXT(FIXED(ROUND(IF(EXC.RATE.SWITCH=1,C1521*(1-I1521)*(1-ADD.DISCOUNT)*(1+MAT.SURCHARGE)/EXC.RATE_2,C1521*(1-I1521)*(1-ADD.DISCOUNT)*(1+MAT.SURCHARGE)*EXC.RATE_2),CURRENCY.FORMAT_2),CURRENCY.FORMAT_2,1),"# ##0;-# ##0"),",-"),FIXED(ROUND(IF(EXC.RATE.SWITCH=1,C1521*(1-I1521)*(1-ADD.DISCOUNT)*(1+MAT.SURCHARGE)/EXC.RATE_2,C1521*(1-I1521)*(1-ADD.DISCOUNT)*(1+MAT.SURCHARGE)*EXC.RATE_2),CURRENCY.FORMAT_2),CURRENCY.FORMAT_2,0)),'DICTIONARY-5'!$A$2))</f>
        <v/>
      </c>
      <c r="N1521" s="539">
        <v>5</v>
      </c>
      <c r="O1521" s="539"/>
      <c r="P1521" s="732" t="str">
        <f>'DICTIONARY-3'!$A$33</f>
        <v>HADE PWK-F</v>
      </c>
      <c r="Q1521" s="732" t="str">
        <f>'DICTIONARY-3'!$A$203</f>
        <v>Klapa przeciwcofkowa</v>
      </c>
      <c r="R1521" s="732" t="str">
        <f>CONCATENATE('DICTIONARY-3'!$A$33," ",'DICTIONARY-6'!$A$19," ",'DICTIONARY-2'!$A$2,"800"," ",'DICTIONARY-2'!$A$3,"10, ",'DICTIONARY-6'!$A$73," ",'DICTIONARY-6'!$A$74)</f>
        <v>HADE PWK-F Klapa przeciwcofk. DN800 PN10, kołnierz. do ruroc. tłocz.</v>
      </c>
      <c r="S1521" s="733" t="s">
        <v>5569</v>
      </c>
      <c r="T1521" s="732" t="s">
        <v>5569</v>
      </c>
      <c r="U1521" s="734" t="s">
        <v>5835</v>
      </c>
      <c r="V1521" s="735">
        <v>10</v>
      </c>
      <c r="W1521" s="736"/>
      <c r="X1521" s="737"/>
      <c r="Y1521" s="738"/>
      <c r="Z1521" s="739"/>
      <c r="AA1521" s="739"/>
      <c r="AB1521" s="746">
        <v>0.1</v>
      </c>
      <c r="AC1521" s="741" t="s">
        <v>5569</v>
      </c>
      <c r="AD1521" s="741" t="s">
        <v>5569</v>
      </c>
      <c r="AE1521" s="742" t="s">
        <v>5569</v>
      </c>
      <c r="AF1521" s="743">
        <v>64</v>
      </c>
      <c r="AG1521" s="741"/>
    </row>
    <row r="1522" spans="1:33" x14ac:dyDescent="0.25">
      <c r="A1522" s="861" t="s">
        <v>1528</v>
      </c>
      <c r="B1522" s="861" t="s">
        <v>4560</v>
      </c>
      <c r="C1522" s="836">
        <v>5221</v>
      </c>
      <c r="D1522" s="836"/>
      <c r="E1522" s="836"/>
      <c r="F1522" s="836"/>
      <c r="G1522" s="496" t="s">
        <v>7829</v>
      </c>
      <c r="H1522" s="797" t="str">
        <f>VLOOKUP(G1522,SETTINGS!$B$7:$D$97,2,0)</f>
        <v>HADE</v>
      </c>
      <c r="I1522" s="796">
        <f>VLOOKUP(G1522,SETTINGS!$B$7:$D$97,3,0)</f>
        <v>0</v>
      </c>
      <c r="J1522" s="670" t="str">
        <f>IFERROR(IF(CURRENCY.FORMAT_1=0,CONCATENATE(TEXT(FIXED(ROUND((C1522/EXC.RATE_1),CURRENCY.FORMAT_1),CURRENCY.FORMAT_1,1),"# ##0;-# ##0"),",-"),FIXED(ROUND((C1522/EXC.RATE_1),CURRENCY.FORMAT_1),CURRENCY.FORMAT_1,0)),'DICTIONARY-5'!$A$2)</f>
        <v>5 221,-</v>
      </c>
      <c r="K1522" s="670" t="str">
        <f>IF(EXC.RATE_2=0,"",IFERROR(IF(CURRENCY.FORMAT_2=0,CONCATENATE(TEXT(FIXED(ROUND(IF(EXC.RATE.SWITCH=1,C1522/EXC.RATE_2,C1522*EXC.RATE_2),CURRENCY.FORMAT_2),CURRENCY.FORMAT_2,1),"# ##0;-# ##0"),",-"),FIXED(ROUND(IF(EXC.RATE.SWITCH=1,C1522/EXC.RATE_2,C1522*EXC.RATE_2),CURRENCY.FORMAT_2),CURRENCY.FORMAT_2,0)),'DICTIONARY-5'!$A$2))</f>
        <v/>
      </c>
      <c r="L1522" s="670" t="str">
        <f>IFERROR(IF(CURRENCY.FORMAT_1=0,CONCATENATE(TEXT(FIXED(ROUND((C1522*(1-I1522)*(1-ADD.DISCOUNT)*(1+MAT.SURCHARGE)/EXC.RATE_1),CURRENCY.FORMAT_1),CURRENCY.FORMAT_1,1),"# ##0;-# ##0"),",-"),FIXED(ROUND((C1522*(1-I1522)*(1-ADD.DISCOUNT)*(1+MAT.SURCHARGE)/EXC.RATE_1),CURRENCY.FORMAT_1),CURRENCY.FORMAT_1,0)),'DICTIONARY-5'!$A$2)</f>
        <v>5 425,-</v>
      </c>
      <c r="M1522" s="670" t="str">
        <f>IF(EXC.RATE_2=0,"",IFERROR(IF(CURRENCY.FORMAT_2=0,CONCATENATE(TEXT(FIXED(ROUND(IF(EXC.RATE.SWITCH=1,C1522*(1-I1522)*(1-ADD.DISCOUNT)*(1+MAT.SURCHARGE)/EXC.RATE_2,C1522*(1-I1522)*(1-ADD.DISCOUNT)*(1+MAT.SURCHARGE)*EXC.RATE_2),CURRENCY.FORMAT_2),CURRENCY.FORMAT_2,1),"# ##0;-# ##0"),",-"),FIXED(ROUND(IF(EXC.RATE.SWITCH=1,C1522*(1-I1522)*(1-ADD.DISCOUNT)*(1+MAT.SURCHARGE)/EXC.RATE_2,C1522*(1-I1522)*(1-ADD.DISCOUNT)*(1+MAT.SURCHARGE)*EXC.RATE_2),CURRENCY.FORMAT_2),CURRENCY.FORMAT_2,0)),'DICTIONARY-5'!$A$2))</f>
        <v/>
      </c>
      <c r="N1522" s="539">
        <v>5</v>
      </c>
      <c r="O1522" s="539"/>
      <c r="P1522" s="732" t="str">
        <f>'DICTIONARY-3'!$A$33</f>
        <v>HADE PWK-F</v>
      </c>
      <c r="Q1522" s="732" t="str">
        <f>'DICTIONARY-3'!$A$203</f>
        <v>Klapa przeciwcofkowa</v>
      </c>
      <c r="R1522" s="732" t="str">
        <f>CONCATENATE('DICTIONARY-3'!$A$33," ",'DICTIONARY-6'!$A$19," ",'DICTIONARY-2'!$A$2,"900"," ",'DICTIONARY-2'!$A$3,"10, ",'DICTIONARY-6'!$A$73," ",'DICTIONARY-6'!$A$74)</f>
        <v>HADE PWK-F Klapa przeciwcofk. DN900 PN10, kołnierz. do ruroc. tłocz.</v>
      </c>
      <c r="S1522" s="733" t="s">
        <v>5569</v>
      </c>
      <c r="T1522" s="732" t="s">
        <v>5569</v>
      </c>
      <c r="U1522" s="734" t="s">
        <v>5837</v>
      </c>
      <c r="V1522" s="735">
        <v>10</v>
      </c>
      <c r="W1522" s="736"/>
      <c r="X1522" s="737"/>
      <c r="Y1522" s="738"/>
      <c r="Z1522" s="739"/>
      <c r="AA1522" s="739"/>
      <c r="AB1522" s="746">
        <v>0.1</v>
      </c>
      <c r="AC1522" s="741" t="s">
        <v>5569</v>
      </c>
      <c r="AD1522" s="741" t="s">
        <v>5569</v>
      </c>
      <c r="AE1522" s="742" t="s">
        <v>5569</v>
      </c>
      <c r="AF1522" s="743">
        <v>126</v>
      </c>
      <c r="AG1522" s="741"/>
    </row>
    <row r="1523" spans="1:33" x14ac:dyDescent="0.25">
      <c r="A1523" s="861" t="s">
        <v>1529</v>
      </c>
      <c r="B1523" s="861" t="s">
        <v>4566</v>
      </c>
      <c r="C1523" s="836">
        <v>6398</v>
      </c>
      <c r="D1523" s="836"/>
      <c r="E1523" s="836"/>
      <c r="F1523" s="836"/>
      <c r="G1523" s="496" t="s">
        <v>7829</v>
      </c>
      <c r="H1523" s="797" t="str">
        <f>VLOOKUP(G1523,SETTINGS!$B$7:$D$97,2,0)</f>
        <v>HADE</v>
      </c>
      <c r="I1523" s="796">
        <f>VLOOKUP(G1523,SETTINGS!$B$7:$D$97,3,0)</f>
        <v>0</v>
      </c>
      <c r="J1523" s="670" t="str">
        <f>IFERROR(IF(CURRENCY.FORMAT_1=0,CONCATENATE(TEXT(FIXED(ROUND((C1523/EXC.RATE_1),CURRENCY.FORMAT_1),CURRENCY.FORMAT_1,1),"# ##0;-# ##0"),",-"),FIXED(ROUND((C1523/EXC.RATE_1),CURRENCY.FORMAT_1),CURRENCY.FORMAT_1,0)),'DICTIONARY-5'!$A$2)</f>
        <v>6 398,-</v>
      </c>
      <c r="K1523" s="670" t="str">
        <f>IF(EXC.RATE_2=0,"",IFERROR(IF(CURRENCY.FORMAT_2=0,CONCATENATE(TEXT(FIXED(ROUND(IF(EXC.RATE.SWITCH=1,C1523/EXC.RATE_2,C1523*EXC.RATE_2),CURRENCY.FORMAT_2),CURRENCY.FORMAT_2,1),"# ##0;-# ##0"),",-"),FIXED(ROUND(IF(EXC.RATE.SWITCH=1,C1523/EXC.RATE_2,C1523*EXC.RATE_2),CURRENCY.FORMAT_2),CURRENCY.FORMAT_2,0)),'DICTIONARY-5'!$A$2))</f>
        <v/>
      </c>
      <c r="L1523" s="670" t="str">
        <f>IFERROR(IF(CURRENCY.FORMAT_1=0,CONCATENATE(TEXT(FIXED(ROUND((C1523*(1-I1523)*(1-ADD.DISCOUNT)*(1+MAT.SURCHARGE)/EXC.RATE_1),CURRENCY.FORMAT_1),CURRENCY.FORMAT_1,1),"# ##0;-# ##0"),",-"),FIXED(ROUND((C1523*(1-I1523)*(1-ADD.DISCOUNT)*(1+MAT.SURCHARGE)/EXC.RATE_1),CURRENCY.FORMAT_1),CURRENCY.FORMAT_1,0)),'DICTIONARY-5'!$A$2)</f>
        <v>6 648,-</v>
      </c>
      <c r="M1523" s="670" t="str">
        <f>IF(EXC.RATE_2=0,"",IFERROR(IF(CURRENCY.FORMAT_2=0,CONCATENATE(TEXT(FIXED(ROUND(IF(EXC.RATE.SWITCH=1,C1523*(1-I1523)*(1-ADD.DISCOUNT)*(1+MAT.SURCHARGE)/EXC.RATE_2,C1523*(1-I1523)*(1-ADD.DISCOUNT)*(1+MAT.SURCHARGE)*EXC.RATE_2),CURRENCY.FORMAT_2),CURRENCY.FORMAT_2,1),"# ##0;-# ##0"),",-"),FIXED(ROUND(IF(EXC.RATE.SWITCH=1,C1523*(1-I1523)*(1-ADD.DISCOUNT)*(1+MAT.SURCHARGE)/EXC.RATE_2,C1523*(1-I1523)*(1-ADD.DISCOUNT)*(1+MAT.SURCHARGE)*EXC.RATE_2),CURRENCY.FORMAT_2),CURRENCY.FORMAT_2,0)),'DICTIONARY-5'!$A$2))</f>
        <v/>
      </c>
      <c r="N1523" s="539">
        <v>5</v>
      </c>
      <c r="O1523" s="539"/>
      <c r="P1523" s="732" t="str">
        <f>'DICTIONARY-3'!$A$33</f>
        <v>HADE PWK-F</v>
      </c>
      <c r="Q1523" s="732" t="str">
        <f>'DICTIONARY-3'!$A$203</f>
        <v>Klapa przeciwcofkowa</v>
      </c>
      <c r="R1523" s="732" t="str">
        <f>CONCATENATE('DICTIONARY-3'!$A$33," ",'DICTIONARY-6'!$A$19," ",'DICTIONARY-2'!$A$2,"1000"," ",'DICTIONARY-2'!$A$3,"10, ",'DICTIONARY-6'!$A$73," ",'DICTIONARY-6'!$A$74)</f>
        <v>HADE PWK-F Klapa przeciwcofk. DN1000 PN10, kołnierz. do ruroc. tłocz.</v>
      </c>
      <c r="S1523" s="733" t="s">
        <v>5569</v>
      </c>
      <c r="T1523" s="732" t="s">
        <v>5569</v>
      </c>
      <c r="U1523" s="734" t="s">
        <v>5836</v>
      </c>
      <c r="V1523" s="735">
        <v>10</v>
      </c>
      <c r="W1523" s="736"/>
      <c r="X1523" s="737"/>
      <c r="Y1523" s="738"/>
      <c r="Z1523" s="739"/>
      <c r="AA1523" s="739"/>
      <c r="AB1523" s="746">
        <v>0.1</v>
      </c>
      <c r="AC1523" s="741" t="s">
        <v>5569</v>
      </c>
      <c r="AD1523" s="741" t="s">
        <v>5569</v>
      </c>
      <c r="AE1523" s="742" t="s">
        <v>5569</v>
      </c>
      <c r="AF1523" s="743">
        <v>90</v>
      </c>
      <c r="AG1523" s="741"/>
    </row>
    <row r="1524" spans="1:33" x14ac:dyDescent="0.25">
      <c r="A1524" s="861" t="s">
        <v>1530</v>
      </c>
      <c r="B1524" s="861" t="s">
        <v>4571</v>
      </c>
      <c r="C1524" s="836">
        <v>10086</v>
      </c>
      <c r="D1524" s="836"/>
      <c r="E1524" s="836"/>
      <c r="F1524" s="836"/>
      <c r="G1524" s="496" t="s">
        <v>7829</v>
      </c>
      <c r="H1524" s="797" t="str">
        <f>VLOOKUP(G1524,SETTINGS!$B$7:$D$97,2,0)</f>
        <v>HADE</v>
      </c>
      <c r="I1524" s="796">
        <f>VLOOKUP(G1524,SETTINGS!$B$7:$D$97,3,0)</f>
        <v>0</v>
      </c>
      <c r="J1524" s="670" t="str">
        <f>IFERROR(IF(CURRENCY.FORMAT_1=0,CONCATENATE(TEXT(FIXED(ROUND((C1524/EXC.RATE_1),CURRENCY.FORMAT_1),CURRENCY.FORMAT_1,1),"# ##0;-# ##0"),",-"),FIXED(ROUND((C1524/EXC.RATE_1),CURRENCY.FORMAT_1),CURRENCY.FORMAT_1,0)),'DICTIONARY-5'!$A$2)</f>
        <v>10 086,-</v>
      </c>
      <c r="K1524" s="670" t="str">
        <f>IF(EXC.RATE_2=0,"",IFERROR(IF(CURRENCY.FORMAT_2=0,CONCATENATE(TEXT(FIXED(ROUND(IF(EXC.RATE.SWITCH=1,C1524/EXC.RATE_2,C1524*EXC.RATE_2),CURRENCY.FORMAT_2),CURRENCY.FORMAT_2,1),"# ##0;-# ##0"),",-"),FIXED(ROUND(IF(EXC.RATE.SWITCH=1,C1524/EXC.RATE_2,C1524*EXC.RATE_2),CURRENCY.FORMAT_2),CURRENCY.FORMAT_2,0)),'DICTIONARY-5'!$A$2))</f>
        <v/>
      </c>
      <c r="L1524" s="670" t="str">
        <f>IFERROR(IF(CURRENCY.FORMAT_1=0,CONCATENATE(TEXT(FIXED(ROUND((C1524*(1-I1524)*(1-ADD.DISCOUNT)*(1+MAT.SURCHARGE)/EXC.RATE_1),CURRENCY.FORMAT_1),CURRENCY.FORMAT_1,1),"# ##0;-# ##0"),",-"),FIXED(ROUND((C1524*(1-I1524)*(1-ADD.DISCOUNT)*(1+MAT.SURCHARGE)/EXC.RATE_1),CURRENCY.FORMAT_1),CURRENCY.FORMAT_1,0)),'DICTIONARY-5'!$A$2)</f>
        <v>10 479,-</v>
      </c>
      <c r="M1524" s="670" t="str">
        <f>IF(EXC.RATE_2=0,"",IFERROR(IF(CURRENCY.FORMAT_2=0,CONCATENATE(TEXT(FIXED(ROUND(IF(EXC.RATE.SWITCH=1,C1524*(1-I1524)*(1-ADD.DISCOUNT)*(1+MAT.SURCHARGE)/EXC.RATE_2,C1524*(1-I1524)*(1-ADD.DISCOUNT)*(1+MAT.SURCHARGE)*EXC.RATE_2),CURRENCY.FORMAT_2),CURRENCY.FORMAT_2,1),"# ##0;-# ##0"),",-"),FIXED(ROUND(IF(EXC.RATE.SWITCH=1,C1524*(1-I1524)*(1-ADD.DISCOUNT)*(1+MAT.SURCHARGE)/EXC.RATE_2,C1524*(1-I1524)*(1-ADD.DISCOUNT)*(1+MAT.SURCHARGE)*EXC.RATE_2),CURRENCY.FORMAT_2),CURRENCY.FORMAT_2,0)),'DICTIONARY-5'!$A$2))</f>
        <v/>
      </c>
      <c r="N1524" s="539">
        <v>5</v>
      </c>
      <c r="O1524" s="539"/>
      <c r="P1524" s="732" t="str">
        <f>'DICTIONARY-3'!$A$33</f>
        <v>HADE PWK-F</v>
      </c>
      <c r="Q1524" s="732" t="str">
        <f>'DICTIONARY-3'!$A$203</f>
        <v>Klapa przeciwcofkowa</v>
      </c>
      <c r="R1524" s="732" t="str">
        <f>CONCATENATE('DICTIONARY-3'!$A$33," ",'DICTIONARY-6'!$A$19," ",'DICTIONARY-2'!$A$2,"1100"," ",'DICTIONARY-2'!$A$3,"10, ",'DICTIONARY-6'!$A$73," ",'DICTIONARY-6'!$A$74)</f>
        <v>HADE PWK-F Klapa przeciwcofk. DN1100 PN10, kołnierz. do ruroc. tłocz.</v>
      </c>
      <c r="S1524" s="733" t="s">
        <v>5569</v>
      </c>
      <c r="T1524" s="732" t="s">
        <v>5569</v>
      </c>
      <c r="U1524" s="734" t="s">
        <v>5843</v>
      </c>
      <c r="V1524" s="735">
        <v>10</v>
      </c>
      <c r="W1524" s="736"/>
      <c r="X1524" s="737"/>
      <c r="Y1524" s="738"/>
      <c r="Z1524" s="739"/>
      <c r="AA1524" s="739"/>
      <c r="AB1524" s="746">
        <v>0.1</v>
      </c>
      <c r="AC1524" s="741" t="s">
        <v>5569</v>
      </c>
      <c r="AD1524" s="741" t="s">
        <v>5569</v>
      </c>
      <c r="AE1524" s="742" t="s">
        <v>5569</v>
      </c>
      <c r="AF1524" s="743">
        <v>110</v>
      </c>
      <c r="AG1524" s="741"/>
    </row>
    <row r="1525" spans="1:33" x14ac:dyDescent="0.25">
      <c r="A1525" s="861" t="s">
        <v>1531</v>
      </c>
      <c r="B1525" s="861" t="s">
        <v>4576</v>
      </c>
      <c r="C1525" s="836">
        <v>8994</v>
      </c>
      <c r="D1525" s="836"/>
      <c r="E1525" s="836"/>
      <c r="F1525" s="836"/>
      <c r="G1525" s="496" t="s">
        <v>7829</v>
      </c>
      <c r="H1525" s="797" t="str">
        <f>VLOOKUP(G1525,SETTINGS!$B$7:$D$97,2,0)</f>
        <v>HADE</v>
      </c>
      <c r="I1525" s="796">
        <f>VLOOKUP(G1525,SETTINGS!$B$7:$D$97,3,0)</f>
        <v>0</v>
      </c>
      <c r="J1525" s="670" t="str">
        <f>IFERROR(IF(CURRENCY.FORMAT_1=0,CONCATENATE(TEXT(FIXED(ROUND((C1525/EXC.RATE_1),CURRENCY.FORMAT_1),CURRENCY.FORMAT_1,1),"# ##0;-# ##0"),",-"),FIXED(ROUND((C1525/EXC.RATE_1),CURRENCY.FORMAT_1),CURRENCY.FORMAT_1,0)),'DICTIONARY-5'!$A$2)</f>
        <v>8 994,-</v>
      </c>
      <c r="K1525" s="670" t="str">
        <f>IF(EXC.RATE_2=0,"",IFERROR(IF(CURRENCY.FORMAT_2=0,CONCATENATE(TEXT(FIXED(ROUND(IF(EXC.RATE.SWITCH=1,C1525/EXC.RATE_2,C1525*EXC.RATE_2),CURRENCY.FORMAT_2),CURRENCY.FORMAT_2,1),"# ##0;-# ##0"),",-"),FIXED(ROUND(IF(EXC.RATE.SWITCH=1,C1525/EXC.RATE_2,C1525*EXC.RATE_2),CURRENCY.FORMAT_2),CURRENCY.FORMAT_2,0)),'DICTIONARY-5'!$A$2))</f>
        <v/>
      </c>
      <c r="L1525" s="670" t="str">
        <f>IFERROR(IF(CURRENCY.FORMAT_1=0,CONCATENATE(TEXT(FIXED(ROUND((C1525*(1-I1525)*(1-ADD.DISCOUNT)*(1+MAT.SURCHARGE)/EXC.RATE_1),CURRENCY.FORMAT_1),CURRENCY.FORMAT_1,1),"# ##0;-# ##0"),",-"),FIXED(ROUND((C1525*(1-I1525)*(1-ADD.DISCOUNT)*(1+MAT.SURCHARGE)/EXC.RATE_1),CURRENCY.FORMAT_1),CURRENCY.FORMAT_1,0)),'DICTIONARY-5'!$A$2)</f>
        <v>9 345,-</v>
      </c>
      <c r="M1525" s="670" t="str">
        <f>IF(EXC.RATE_2=0,"",IFERROR(IF(CURRENCY.FORMAT_2=0,CONCATENATE(TEXT(FIXED(ROUND(IF(EXC.RATE.SWITCH=1,C1525*(1-I1525)*(1-ADD.DISCOUNT)*(1+MAT.SURCHARGE)/EXC.RATE_2,C1525*(1-I1525)*(1-ADD.DISCOUNT)*(1+MAT.SURCHARGE)*EXC.RATE_2),CURRENCY.FORMAT_2),CURRENCY.FORMAT_2,1),"# ##0;-# ##0"),",-"),FIXED(ROUND(IF(EXC.RATE.SWITCH=1,C1525*(1-I1525)*(1-ADD.DISCOUNT)*(1+MAT.SURCHARGE)/EXC.RATE_2,C1525*(1-I1525)*(1-ADD.DISCOUNT)*(1+MAT.SURCHARGE)*EXC.RATE_2),CURRENCY.FORMAT_2),CURRENCY.FORMAT_2,0)),'DICTIONARY-5'!$A$2))</f>
        <v/>
      </c>
      <c r="N1525" s="539">
        <v>5</v>
      </c>
      <c r="O1525" s="539"/>
      <c r="P1525" s="732" t="str">
        <f>'DICTIONARY-3'!$A$33</f>
        <v>HADE PWK-F</v>
      </c>
      <c r="Q1525" s="732" t="str">
        <f>'DICTIONARY-3'!$A$203</f>
        <v>Klapa przeciwcofkowa</v>
      </c>
      <c r="R1525" s="732" t="str">
        <f>CONCATENATE('DICTIONARY-3'!$A$33," ",'DICTIONARY-6'!$A$19," ",'DICTIONARY-2'!$A$2,"1200"," ",'DICTIONARY-2'!$A$3,"10, ",'DICTIONARY-6'!$A$73," ",'DICTIONARY-6'!$A$74)</f>
        <v>HADE PWK-F Klapa przeciwcofk. DN1200 PN10, kołnierz. do ruroc. tłocz.</v>
      </c>
      <c r="S1525" s="733" t="s">
        <v>5569</v>
      </c>
      <c r="T1525" s="732" t="s">
        <v>5569</v>
      </c>
      <c r="U1525" s="734" t="s">
        <v>5838</v>
      </c>
      <c r="V1525" s="735">
        <v>10</v>
      </c>
      <c r="W1525" s="736"/>
      <c r="X1525" s="737"/>
      <c r="Y1525" s="738"/>
      <c r="Z1525" s="739"/>
      <c r="AA1525" s="739"/>
      <c r="AB1525" s="746">
        <v>0.1</v>
      </c>
      <c r="AC1525" s="741" t="s">
        <v>5569</v>
      </c>
      <c r="AD1525" s="741" t="s">
        <v>5569</v>
      </c>
      <c r="AE1525" s="742" t="s">
        <v>5569</v>
      </c>
      <c r="AF1525" s="743">
        <v>110</v>
      </c>
      <c r="AG1525" s="741"/>
    </row>
    <row r="1526" spans="1:33" x14ac:dyDescent="0.25">
      <c r="A1526" s="861" t="s">
        <v>1532</v>
      </c>
      <c r="B1526" s="861" t="s">
        <v>4580</v>
      </c>
      <c r="C1526" s="836">
        <v>12706</v>
      </c>
      <c r="D1526" s="836"/>
      <c r="E1526" s="836"/>
      <c r="F1526" s="836"/>
      <c r="G1526" s="496" t="s">
        <v>7829</v>
      </c>
      <c r="H1526" s="797" t="str">
        <f>VLOOKUP(G1526,SETTINGS!$B$7:$D$97,2,0)</f>
        <v>HADE</v>
      </c>
      <c r="I1526" s="796">
        <f>VLOOKUP(G1526,SETTINGS!$B$7:$D$97,3,0)</f>
        <v>0</v>
      </c>
      <c r="J1526" s="670" t="str">
        <f>IFERROR(IF(CURRENCY.FORMAT_1=0,CONCATENATE(TEXT(FIXED(ROUND((C1526/EXC.RATE_1),CURRENCY.FORMAT_1),CURRENCY.FORMAT_1,1),"# ##0;-# ##0"),",-"),FIXED(ROUND((C1526/EXC.RATE_1),CURRENCY.FORMAT_1),CURRENCY.FORMAT_1,0)),'DICTIONARY-5'!$A$2)</f>
        <v>12 706,-</v>
      </c>
      <c r="K1526" s="670" t="str">
        <f>IF(EXC.RATE_2=0,"",IFERROR(IF(CURRENCY.FORMAT_2=0,CONCATENATE(TEXT(FIXED(ROUND(IF(EXC.RATE.SWITCH=1,C1526/EXC.RATE_2,C1526*EXC.RATE_2),CURRENCY.FORMAT_2),CURRENCY.FORMAT_2,1),"# ##0;-# ##0"),",-"),FIXED(ROUND(IF(EXC.RATE.SWITCH=1,C1526/EXC.RATE_2,C1526*EXC.RATE_2),CURRENCY.FORMAT_2),CURRENCY.FORMAT_2,0)),'DICTIONARY-5'!$A$2))</f>
        <v/>
      </c>
      <c r="L1526" s="670" t="str">
        <f>IFERROR(IF(CURRENCY.FORMAT_1=0,CONCATENATE(TEXT(FIXED(ROUND((C1526*(1-I1526)*(1-ADD.DISCOUNT)*(1+MAT.SURCHARGE)/EXC.RATE_1),CURRENCY.FORMAT_1),CURRENCY.FORMAT_1,1),"# ##0;-# ##0"),",-"),FIXED(ROUND((C1526*(1-I1526)*(1-ADD.DISCOUNT)*(1+MAT.SURCHARGE)/EXC.RATE_1),CURRENCY.FORMAT_1),CURRENCY.FORMAT_1,0)),'DICTIONARY-5'!$A$2)</f>
        <v>13 202,-</v>
      </c>
      <c r="M1526" s="670" t="str">
        <f>IF(EXC.RATE_2=0,"",IFERROR(IF(CURRENCY.FORMAT_2=0,CONCATENATE(TEXT(FIXED(ROUND(IF(EXC.RATE.SWITCH=1,C1526*(1-I1526)*(1-ADD.DISCOUNT)*(1+MAT.SURCHARGE)/EXC.RATE_2,C1526*(1-I1526)*(1-ADD.DISCOUNT)*(1+MAT.SURCHARGE)*EXC.RATE_2),CURRENCY.FORMAT_2),CURRENCY.FORMAT_2,1),"# ##0;-# ##0"),",-"),FIXED(ROUND(IF(EXC.RATE.SWITCH=1,C1526*(1-I1526)*(1-ADD.DISCOUNT)*(1+MAT.SURCHARGE)/EXC.RATE_2,C1526*(1-I1526)*(1-ADD.DISCOUNT)*(1+MAT.SURCHARGE)*EXC.RATE_2),CURRENCY.FORMAT_2),CURRENCY.FORMAT_2,0)),'DICTIONARY-5'!$A$2))</f>
        <v/>
      </c>
      <c r="N1526" s="539">
        <v>5</v>
      </c>
      <c r="O1526" s="539"/>
      <c r="P1526" s="732" t="str">
        <f>'DICTIONARY-3'!$A$33</f>
        <v>HADE PWK-F</v>
      </c>
      <c r="Q1526" s="732" t="str">
        <f>'DICTIONARY-3'!$A$203</f>
        <v>Klapa przeciwcofkowa</v>
      </c>
      <c r="R1526" s="732" t="str">
        <f>CONCATENATE('DICTIONARY-3'!$A$33," ",'DICTIONARY-6'!$A$19," ",'DICTIONARY-2'!$A$2,"1300"," ",'DICTIONARY-2'!$A$3,"10, ",'DICTIONARY-6'!$A$73," ",'DICTIONARY-6'!$A$74)</f>
        <v>HADE PWK-F Klapa przeciwcofk. DN1300 PN10, kołnierz. do ruroc. tłocz.</v>
      </c>
      <c r="S1526" s="733" t="s">
        <v>5569</v>
      </c>
      <c r="T1526" s="732" t="s">
        <v>5569</v>
      </c>
      <c r="U1526" s="734" t="s">
        <v>5844</v>
      </c>
      <c r="V1526" s="735">
        <v>10</v>
      </c>
      <c r="W1526" s="736"/>
      <c r="X1526" s="737"/>
      <c r="Y1526" s="738"/>
      <c r="Z1526" s="739"/>
      <c r="AA1526" s="739"/>
      <c r="AB1526" s="746">
        <v>0.1</v>
      </c>
      <c r="AC1526" s="741" t="s">
        <v>5569</v>
      </c>
      <c r="AD1526" s="741" t="s">
        <v>5569</v>
      </c>
      <c r="AE1526" s="742" t="s">
        <v>5569</v>
      </c>
      <c r="AF1526" s="743">
        <v>115</v>
      </c>
      <c r="AG1526" s="741"/>
    </row>
    <row r="1527" spans="1:33" x14ac:dyDescent="0.25">
      <c r="A1527" s="861" t="s">
        <v>1533</v>
      </c>
      <c r="B1527" s="861" t="s">
        <v>4585</v>
      </c>
      <c r="C1527" s="836">
        <v>13773</v>
      </c>
      <c r="D1527" s="836"/>
      <c r="E1527" s="836"/>
      <c r="F1527" s="836"/>
      <c r="G1527" s="496" t="s">
        <v>7829</v>
      </c>
      <c r="H1527" s="797" t="str">
        <f>VLOOKUP(G1527,SETTINGS!$B$7:$D$97,2,0)</f>
        <v>HADE</v>
      </c>
      <c r="I1527" s="796">
        <f>VLOOKUP(G1527,SETTINGS!$B$7:$D$97,3,0)</f>
        <v>0</v>
      </c>
      <c r="J1527" s="670" t="str">
        <f>IFERROR(IF(CURRENCY.FORMAT_1=0,CONCATENATE(TEXT(FIXED(ROUND((C1527/EXC.RATE_1),CURRENCY.FORMAT_1),CURRENCY.FORMAT_1,1),"# ##0;-# ##0"),",-"),FIXED(ROUND((C1527/EXC.RATE_1),CURRENCY.FORMAT_1),CURRENCY.FORMAT_1,0)),'DICTIONARY-5'!$A$2)</f>
        <v>13 773,-</v>
      </c>
      <c r="K1527" s="670" t="str">
        <f>IF(EXC.RATE_2=0,"",IFERROR(IF(CURRENCY.FORMAT_2=0,CONCATENATE(TEXT(FIXED(ROUND(IF(EXC.RATE.SWITCH=1,C1527/EXC.RATE_2,C1527*EXC.RATE_2),CURRENCY.FORMAT_2),CURRENCY.FORMAT_2,1),"# ##0;-# ##0"),",-"),FIXED(ROUND(IF(EXC.RATE.SWITCH=1,C1527/EXC.RATE_2,C1527*EXC.RATE_2),CURRENCY.FORMAT_2),CURRENCY.FORMAT_2,0)),'DICTIONARY-5'!$A$2))</f>
        <v/>
      </c>
      <c r="L1527" s="670" t="str">
        <f>IFERROR(IF(CURRENCY.FORMAT_1=0,CONCATENATE(TEXT(FIXED(ROUND((C1527*(1-I1527)*(1-ADD.DISCOUNT)*(1+MAT.SURCHARGE)/EXC.RATE_1),CURRENCY.FORMAT_1),CURRENCY.FORMAT_1,1),"# ##0;-# ##0"),",-"),FIXED(ROUND((C1527*(1-I1527)*(1-ADD.DISCOUNT)*(1+MAT.SURCHARGE)/EXC.RATE_1),CURRENCY.FORMAT_1),CURRENCY.FORMAT_1,0)),'DICTIONARY-5'!$A$2)</f>
        <v>14 310,-</v>
      </c>
      <c r="M1527" s="670" t="str">
        <f>IF(EXC.RATE_2=0,"",IFERROR(IF(CURRENCY.FORMAT_2=0,CONCATENATE(TEXT(FIXED(ROUND(IF(EXC.RATE.SWITCH=1,C1527*(1-I1527)*(1-ADD.DISCOUNT)*(1+MAT.SURCHARGE)/EXC.RATE_2,C1527*(1-I1527)*(1-ADD.DISCOUNT)*(1+MAT.SURCHARGE)*EXC.RATE_2),CURRENCY.FORMAT_2),CURRENCY.FORMAT_2,1),"# ##0;-# ##0"),",-"),FIXED(ROUND(IF(EXC.RATE.SWITCH=1,C1527*(1-I1527)*(1-ADD.DISCOUNT)*(1+MAT.SURCHARGE)/EXC.RATE_2,C1527*(1-I1527)*(1-ADD.DISCOUNT)*(1+MAT.SURCHARGE)*EXC.RATE_2),CURRENCY.FORMAT_2),CURRENCY.FORMAT_2,0)),'DICTIONARY-5'!$A$2))</f>
        <v/>
      </c>
      <c r="N1527" s="539">
        <v>5</v>
      </c>
      <c r="O1527" s="539"/>
      <c r="P1527" s="732" t="str">
        <f>'DICTIONARY-3'!$A$33</f>
        <v>HADE PWK-F</v>
      </c>
      <c r="Q1527" s="732" t="str">
        <f>'DICTIONARY-3'!$A$203</f>
        <v>Klapa przeciwcofkowa</v>
      </c>
      <c r="R1527" s="732" t="str">
        <f>CONCATENATE('DICTIONARY-3'!$A$33," ",'DICTIONARY-6'!$A$19," ",'DICTIONARY-2'!$A$2,"1400"," ",'DICTIONARY-2'!$A$3,"10, ",'DICTIONARY-6'!$A$73," ",'DICTIONARY-6'!$A$74)</f>
        <v>HADE PWK-F Klapa przeciwcofk. DN1400 PN10, kołnierz. do ruroc. tłocz.</v>
      </c>
      <c r="S1527" s="733" t="s">
        <v>5569</v>
      </c>
      <c r="T1527" s="732" t="s">
        <v>5569</v>
      </c>
      <c r="U1527" s="734" t="s">
        <v>5839</v>
      </c>
      <c r="V1527" s="735">
        <v>10</v>
      </c>
      <c r="W1527" s="736"/>
      <c r="X1527" s="737"/>
      <c r="Y1527" s="738"/>
      <c r="Z1527" s="739"/>
      <c r="AA1527" s="739"/>
      <c r="AB1527" s="746">
        <v>0.1</v>
      </c>
      <c r="AC1527" s="741" t="s">
        <v>5569</v>
      </c>
      <c r="AD1527" s="741" t="s">
        <v>5569</v>
      </c>
      <c r="AE1527" s="742" t="s">
        <v>5569</v>
      </c>
      <c r="AF1527" s="743">
        <v>120</v>
      </c>
      <c r="AG1527" s="741"/>
    </row>
    <row r="1528" spans="1:33" x14ac:dyDescent="0.25">
      <c r="A1528" s="861" t="s">
        <v>1534</v>
      </c>
      <c r="B1528" s="861" t="s">
        <v>4590</v>
      </c>
      <c r="C1528" s="836">
        <v>14717</v>
      </c>
      <c r="D1528" s="836"/>
      <c r="E1528" s="836"/>
      <c r="F1528" s="836"/>
      <c r="G1528" s="496" t="s">
        <v>7829</v>
      </c>
      <c r="H1528" s="797" t="str">
        <f>VLOOKUP(G1528,SETTINGS!$B$7:$D$97,2,0)</f>
        <v>HADE</v>
      </c>
      <c r="I1528" s="796">
        <f>VLOOKUP(G1528,SETTINGS!$B$7:$D$97,3,0)</f>
        <v>0</v>
      </c>
      <c r="J1528" s="670" t="str">
        <f>IFERROR(IF(CURRENCY.FORMAT_1=0,CONCATENATE(TEXT(FIXED(ROUND((C1528/EXC.RATE_1),CURRENCY.FORMAT_1),CURRENCY.FORMAT_1,1),"# ##0;-# ##0"),",-"),FIXED(ROUND((C1528/EXC.RATE_1),CURRENCY.FORMAT_1),CURRENCY.FORMAT_1,0)),'DICTIONARY-5'!$A$2)</f>
        <v>14 717,-</v>
      </c>
      <c r="K1528" s="670" t="str">
        <f>IF(EXC.RATE_2=0,"",IFERROR(IF(CURRENCY.FORMAT_2=0,CONCATENATE(TEXT(FIXED(ROUND(IF(EXC.RATE.SWITCH=1,C1528/EXC.RATE_2,C1528*EXC.RATE_2),CURRENCY.FORMAT_2),CURRENCY.FORMAT_2,1),"# ##0;-# ##0"),",-"),FIXED(ROUND(IF(EXC.RATE.SWITCH=1,C1528/EXC.RATE_2,C1528*EXC.RATE_2),CURRENCY.FORMAT_2),CURRENCY.FORMAT_2,0)),'DICTIONARY-5'!$A$2))</f>
        <v/>
      </c>
      <c r="L1528" s="670" t="str">
        <f>IFERROR(IF(CURRENCY.FORMAT_1=0,CONCATENATE(TEXT(FIXED(ROUND((C1528*(1-I1528)*(1-ADD.DISCOUNT)*(1+MAT.SURCHARGE)/EXC.RATE_1),CURRENCY.FORMAT_1),CURRENCY.FORMAT_1,1),"# ##0;-# ##0"),",-"),FIXED(ROUND((C1528*(1-I1528)*(1-ADD.DISCOUNT)*(1+MAT.SURCHARGE)/EXC.RATE_1),CURRENCY.FORMAT_1),CURRENCY.FORMAT_1,0)),'DICTIONARY-5'!$A$2)</f>
        <v>15 291,-</v>
      </c>
      <c r="M1528" s="670" t="str">
        <f>IF(EXC.RATE_2=0,"",IFERROR(IF(CURRENCY.FORMAT_2=0,CONCATENATE(TEXT(FIXED(ROUND(IF(EXC.RATE.SWITCH=1,C1528*(1-I1528)*(1-ADD.DISCOUNT)*(1+MAT.SURCHARGE)/EXC.RATE_2,C1528*(1-I1528)*(1-ADD.DISCOUNT)*(1+MAT.SURCHARGE)*EXC.RATE_2),CURRENCY.FORMAT_2),CURRENCY.FORMAT_2,1),"# ##0;-# ##0"),",-"),FIXED(ROUND(IF(EXC.RATE.SWITCH=1,C1528*(1-I1528)*(1-ADD.DISCOUNT)*(1+MAT.SURCHARGE)/EXC.RATE_2,C1528*(1-I1528)*(1-ADD.DISCOUNT)*(1+MAT.SURCHARGE)*EXC.RATE_2),CURRENCY.FORMAT_2),CURRENCY.FORMAT_2,0)),'DICTIONARY-5'!$A$2))</f>
        <v/>
      </c>
      <c r="N1528" s="539">
        <v>5</v>
      </c>
      <c r="O1528" s="539"/>
      <c r="P1528" s="732" t="str">
        <f>'DICTIONARY-3'!$A$33</f>
        <v>HADE PWK-F</v>
      </c>
      <c r="Q1528" s="732" t="str">
        <f>'DICTIONARY-3'!$A$203</f>
        <v>Klapa przeciwcofkowa</v>
      </c>
      <c r="R1528" s="732" t="str">
        <f>CONCATENATE('DICTIONARY-3'!$A$33," ",'DICTIONARY-6'!$A$19," ",'DICTIONARY-2'!$A$2,"1500"," ",'DICTIONARY-2'!$A$3,"10, ",'DICTIONARY-6'!$A$73," ",'DICTIONARY-6'!$A$74)</f>
        <v>HADE PWK-F Klapa przeciwcofk. DN1500 PN10, kołnierz. do ruroc. tłocz.</v>
      </c>
      <c r="S1528" s="733" t="s">
        <v>5569</v>
      </c>
      <c r="T1528" s="732" t="s">
        <v>5569</v>
      </c>
      <c r="U1528" s="734" t="s">
        <v>5845</v>
      </c>
      <c r="V1528" s="735">
        <v>10</v>
      </c>
      <c r="W1528" s="736"/>
      <c r="X1528" s="737"/>
      <c r="Y1528" s="738"/>
      <c r="Z1528" s="739"/>
      <c r="AA1528" s="739"/>
      <c r="AB1528" s="746">
        <v>0.1</v>
      </c>
      <c r="AC1528" s="741" t="s">
        <v>5569</v>
      </c>
      <c r="AD1528" s="741" t="s">
        <v>5569</v>
      </c>
      <c r="AE1528" s="742" t="s">
        <v>5569</v>
      </c>
      <c r="AF1528" s="743">
        <v>130</v>
      </c>
      <c r="AG1528" s="741"/>
    </row>
    <row r="1529" spans="1:33" x14ac:dyDescent="0.25">
      <c r="A1529" s="861" t="s">
        <v>1535</v>
      </c>
      <c r="B1529" s="861" t="s">
        <v>4595</v>
      </c>
      <c r="C1529" s="836">
        <v>17824</v>
      </c>
      <c r="D1529" s="836"/>
      <c r="E1529" s="836"/>
      <c r="F1529" s="836"/>
      <c r="G1529" s="496" t="s">
        <v>7829</v>
      </c>
      <c r="H1529" s="797" t="str">
        <f>VLOOKUP(G1529,SETTINGS!$B$7:$D$97,2,0)</f>
        <v>HADE</v>
      </c>
      <c r="I1529" s="796">
        <f>VLOOKUP(G1529,SETTINGS!$B$7:$D$97,3,0)</f>
        <v>0</v>
      </c>
      <c r="J1529" s="670" t="str">
        <f>IFERROR(IF(CURRENCY.FORMAT_1=0,CONCATENATE(TEXT(FIXED(ROUND((C1529/EXC.RATE_1),CURRENCY.FORMAT_1),CURRENCY.FORMAT_1,1),"# ##0;-# ##0"),",-"),FIXED(ROUND((C1529/EXC.RATE_1),CURRENCY.FORMAT_1),CURRENCY.FORMAT_1,0)),'DICTIONARY-5'!$A$2)</f>
        <v>17 824,-</v>
      </c>
      <c r="K1529" s="670" t="str">
        <f>IF(EXC.RATE_2=0,"",IFERROR(IF(CURRENCY.FORMAT_2=0,CONCATENATE(TEXT(FIXED(ROUND(IF(EXC.RATE.SWITCH=1,C1529/EXC.RATE_2,C1529*EXC.RATE_2),CURRENCY.FORMAT_2),CURRENCY.FORMAT_2,1),"# ##0;-# ##0"),",-"),FIXED(ROUND(IF(EXC.RATE.SWITCH=1,C1529/EXC.RATE_2,C1529*EXC.RATE_2),CURRENCY.FORMAT_2),CURRENCY.FORMAT_2,0)),'DICTIONARY-5'!$A$2))</f>
        <v/>
      </c>
      <c r="L1529" s="670" t="str">
        <f>IFERROR(IF(CURRENCY.FORMAT_1=0,CONCATENATE(TEXT(FIXED(ROUND((C1529*(1-I1529)*(1-ADD.DISCOUNT)*(1+MAT.SURCHARGE)/EXC.RATE_1),CURRENCY.FORMAT_1),CURRENCY.FORMAT_1,1),"# ##0;-# ##0"),",-"),FIXED(ROUND((C1529*(1-I1529)*(1-ADD.DISCOUNT)*(1+MAT.SURCHARGE)/EXC.RATE_1),CURRENCY.FORMAT_1),CURRENCY.FORMAT_1,0)),'DICTIONARY-5'!$A$2)</f>
        <v>18 519,-</v>
      </c>
      <c r="M1529" s="670" t="str">
        <f>IF(EXC.RATE_2=0,"",IFERROR(IF(CURRENCY.FORMAT_2=0,CONCATENATE(TEXT(FIXED(ROUND(IF(EXC.RATE.SWITCH=1,C1529*(1-I1529)*(1-ADD.DISCOUNT)*(1+MAT.SURCHARGE)/EXC.RATE_2,C1529*(1-I1529)*(1-ADD.DISCOUNT)*(1+MAT.SURCHARGE)*EXC.RATE_2),CURRENCY.FORMAT_2),CURRENCY.FORMAT_2,1),"# ##0;-# ##0"),",-"),FIXED(ROUND(IF(EXC.RATE.SWITCH=1,C1529*(1-I1529)*(1-ADD.DISCOUNT)*(1+MAT.SURCHARGE)/EXC.RATE_2,C1529*(1-I1529)*(1-ADD.DISCOUNT)*(1+MAT.SURCHARGE)*EXC.RATE_2),CURRENCY.FORMAT_2),CURRENCY.FORMAT_2,0)),'DICTIONARY-5'!$A$2))</f>
        <v/>
      </c>
      <c r="N1529" s="539">
        <v>5</v>
      </c>
      <c r="O1529" s="539"/>
      <c r="P1529" s="732" t="str">
        <f>'DICTIONARY-3'!$A$33</f>
        <v>HADE PWK-F</v>
      </c>
      <c r="Q1529" s="732" t="str">
        <f>'DICTIONARY-3'!$A$203</f>
        <v>Klapa przeciwcofkowa</v>
      </c>
      <c r="R1529" s="732" t="str">
        <f>CONCATENATE('DICTIONARY-3'!$A$33," ",'DICTIONARY-6'!$A$19," ",'DICTIONARY-2'!$A$2,"1600"," ",'DICTIONARY-2'!$A$3,"10, ",'DICTIONARY-6'!$A$73," ",'DICTIONARY-6'!$A$74)</f>
        <v>HADE PWK-F Klapa przeciwcofk. DN1600 PN10, kołnierz. do ruroc. tłocz.</v>
      </c>
      <c r="S1529" s="733" t="s">
        <v>5569</v>
      </c>
      <c r="T1529" s="732" t="s">
        <v>5569</v>
      </c>
      <c r="U1529" s="734" t="s">
        <v>5840</v>
      </c>
      <c r="V1529" s="735">
        <v>10</v>
      </c>
      <c r="W1529" s="736"/>
      <c r="X1529" s="737"/>
      <c r="Y1529" s="738"/>
      <c r="Z1529" s="739"/>
      <c r="AA1529" s="739"/>
      <c r="AB1529" s="746">
        <v>0.1</v>
      </c>
      <c r="AC1529" s="741" t="s">
        <v>5569</v>
      </c>
      <c r="AD1529" s="741" t="s">
        <v>5569</v>
      </c>
      <c r="AE1529" s="742" t="s">
        <v>5569</v>
      </c>
      <c r="AF1529" s="743">
        <v>140</v>
      </c>
      <c r="AG1529" s="741"/>
    </row>
    <row r="1530" spans="1:33" x14ac:dyDescent="0.25">
      <c r="A1530" s="861" t="s">
        <v>1536</v>
      </c>
      <c r="B1530" s="861" t="s">
        <v>4600</v>
      </c>
      <c r="C1530" s="836">
        <v>21085</v>
      </c>
      <c r="D1530" s="836"/>
      <c r="E1530" s="836"/>
      <c r="F1530" s="836"/>
      <c r="G1530" s="496" t="s">
        <v>7829</v>
      </c>
      <c r="H1530" s="797" t="str">
        <f>VLOOKUP(G1530,SETTINGS!$B$7:$D$97,2,0)</f>
        <v>HADE</v>
      </c>
      <c r="I1530" s="796">
        <f>VLOOKUP(G1530,SETTINGS!$B$7:$D$97,3,0)</f>
        <v>0</v>
      </c>
      <c r="J1530" s="670" t="str">
        <f>IFERROR(IF(CURRENCY.FORMAT_1=0,CONCATENATE(TEXT(FIXED(ROUND((C1530/EXC.RATE_1),CURRENCY.FORMAT_1),CURRENCY.FORMAT_1,1),"# ##0;-# ##0"),",-"),FIXED(ROUND((C1530/EXC.RATE_1),CURRENCY.FORMAT_1),CURRENCY.FORMAT_1,0)),'DICTIONARY-5'!$A$2)</f>
        <v>21 085,-</v>
      </c>
      <c r="K1530" s="670" t="str">
        <f>IF(EXC.RATE_2=0,"",IFERROR(IF(CURRENCY.FORMAT_2=0,CONCATENATE(TEXT(FIXED(ROUND(IF(EXC.RATE.SWITCH=1,C1530/EXC.RATE_2,C1530*EXC.RATE_2),CURRENCY.FORMAT_2),CURRENCY.FORMAT_2,1),"# ##0;-# ##0"),",-"),FIXED(ROUND(IF(EXC.RATE.SWITCH=1,C1530/EXC.RATE_2,C1530*EXC.RATE_2),CURRENCY.FORMAT_2),CURRENCY.FORMAT_2,0)),'DICTIONARY-5'!$A$2))</f>
        <v/>
      </c>
      <c r="L1530" s="670" t="str">
        <f>IFERROR(IF(CURRENCY.FORMAT_1=0,CONCATENATE(TEXT(FIXED(ROUND((C1530*(1-I1530)*(1-ADD.DISCOUNT)*(1+MAT.SURCHARGE)/EXC.RATE_1),CURRENCY.FORMAT_1),CURRENCY.FORMAT_1,1),"# ##0;-# ##0"),",-"),FIXED(ROUND((C1530*(1-I1530)*(1-ADD.DISCOUNT)*(1+MAT.SURCHARGE)/EXC.RATE_1),CURRENCY.FORMAT_1),CURRENCY.FORMAT_1,0)),'DICTIONARY-5'!$A$2)</f>
        <v>21 907,-</v>
      </c>
      <c r="M1530" s="670" t="str">
        <f>IF(EXC.RATE_2=0,"",IFERROR(IF(CURRENCY.FORMAT_2=0,CONCATENATE(TEXT(FIXED(ROUND(IF(EXC.RATE.SWITCH=1,C1530*(1-I1530)*(1-ADD.DISCOUNT)*(1+MAT.SURCHARGE)/EXC.RATE_2,C1530*(1-I1530)*(1-ADD.DISCOUNT)*(1+MAT.SURCHARGE)*EXC.RATE_2),CURRENCY.FORMAT_2),CURRENCY.FORMAT_2,1),"# ##0;-# ##0"),",-"),FIXED(ROUND(IF(EXC.RATE.SWITCH=1,C1530*(1-I1530)*(1-ADD.DISCOUNT)*(1+MAT.SURCHARGE)/EXC.RATE_2,C1530*(1-I1530)*(1-ADD.DISCOUNT)*(1+MAT.SURCHARGE)*EXC.RATE_2),CURRENCY.FORMAT_2),CURRENCY.FORMAT_2,0)),'DICTIONARY-5'!$A$2))</f>
        <v/>
      </c>
      <c r="N1530" s="539">
        <v>5</v>
      </c>
      <c r="O1530" s="539"/>
      <c r="P1530" s="732" t="str">
        <f>'DICTIONARY-3'!$A$33</f>
        <v>HADE PWK-F</v>
      </c>
      <c r="Q1530" s="732" t="str">
        <f>'DICTIONARY-3'!$A$203</f>
        <v>Klapa przeciwcofkowa</v>
      </c>
      <c r="R1530" s="732" t="str">
        <f>CONCATENATE('DICTIONARY-3'!$A$33," ",'DICTIONARY-6'!$A$19," ",'DICTIONARY-2'!$A$2,"1800"," ",'DICTIONARY-2'!$A$3,"10, ",'DICTIONARY-6'!$A$73," ",'DICTIONARY-6'!$A$74)</f>
        <v>HADE PWK-F Klapa przeciwcofk. DN1800 PN10, kołnierz. do ruroc. tłocz.</v>
      </c>
      <c r="S1530" s="733" t="s">
        <v>5569</v>
      </c>
      <c r="T1530" s="732" t="s">
        <v>5569</v>
      </c>
      <c r="U1530" s="734" t="s">
        <v>5841</v>
      </c>
      <c r="V1530" s="735">
        <v>10</v>
      </c>
      <c r="W1530" s="736"/>
      <c r="X1530" s="737"/>
      <c r="Y1530" s="738"/>
      <c r="Z1530" s="739"/>
      <c r="AA1530" s="739"/>
      <c r="AB1530" s="746">
        <v>0.1</v>
      </c>
      <c r="AC1530" s="741" t="s">
        <v>5569</v>
      </c>
      <c r="AD1530" s="741" t="s">
        <v>5569</v>
      </c>
      <c r="AE1530" s="742" t="s">
        <v>5569</v>
      </c>
      <c r="AF1530" s="743">
        <v>150</v>
      </c>
      <c r="AG1530" s="741"/>
    </row>
    <row r="1531" spans="1:33" x14ac:dyDescent="0.25">
      <c r="A1531" s="861" t="s">
        <v>1537</v>
      </c>
      <c r="B1531" s="861" t="s">
        <v>4608</v>
      </c>
      <c r="C1531" s="836">
        <v>26158</v>
      </c>
      <c r="D1531" s="836"/>
      <c r="E1531" s="836"/>
      <c r="F1531" s="836"/>
      <c r="G1531" s="496" t="s">
        <v>7829</v>
      </c>
      <c r="H1531" s="797" t="str">
        <f>VLOOKUP(G1531,SETTINGS!$B$7:$D$97,2,0)</f>
        <v>HADE</v>
      </c>
      <c r="I1531" s="796">
        <f>VLOOKUP(G1531,SETTINGS!$B$7:$D$97,3,0)</f>
        <v>0</v>
      </c>
      <c r="J1531" s="670" t="str">
        <f>IFERROR(IF(CURRENCY.FORMAT_1=0,CONCATENATE(TEXT(FIXED(ROUND((C1531/EXC.RATE_1),CURRENCY.FORMAT_1),CURRENCY.FORMAT_1,1),"# ##0;-# ##0"),",-"),FIXED(ROUND((C1531/EXC.RATE_1),CURRENCY.FORMAT_1),CURRENCY.FORMAT_1,0)),'DICTIONARY-5'!$A$2)</f>
        <v>26 158,-</v>
      </c>
      <c r="K1531" s="670" t="str">
        <f>IF(EXC.RATE_2=0,"",IFERROR(IF(CURRENCY.FORMAT_2=0,CONCATENATE(TEXT(FIXED(ROUND(IF(EXC.RATE.SWITCH=1,C1531/EXC.RATE_2,C1531*EXC.RATE_2),CURRENCY.FORMAT_2),CURRENCY.FORMAT_2,1),"# ##0;-# ##0"),",-"),FIXED(ROUND(IF(EXC.RATE.SWITCH=1,C1531/EXC.RATE_2,C1531*EXC.RATE_2),CURRENCY.FORMAT_2),CURRENCY.FORMAT_2,0)),'DICTIONARY-5'!$A$2))</f>
        <v/>
      </c>
      <c r="L1531" s="670" t="str">
        <f>IFERROR(IF(CURRENCY.FORMAT_1=0,CONCATENATE(TEXT(FIXED(ROUND((C1531*(1-I1531)*(1-ADD.DISCOUNT)*(1+MAT.SURCHARGE)/EXC.RATE_1),CURRENCY.FORMAT_1),CURRENCY.FORMAT_1,1),"# ##0;-# ##0"),",-"),FIXED(ROUND((C1531*(1-I1531)*(1-ADD.DISCOUNT)*(1+MAT.SURCHARGE)/EXC.RATE_1),CURRENCY.FORMAT_1),CURRENCY.FORMAT_1,0)),'DICTIONARY-5'!$A$2)</f>
        <v>27 178,-</v>
      </c>
      <c r="M1531" s="670" t="str">
        <f>IF(EXC.RATE_2=0,"",IFERROR(IF(CURRENCY.FORMAT_2=0,CONCATENATE(TEXT(FIXED(ROUND(IF(EXC.RATE.SWITCH=1,C1531*(1-I1531)*(1-ADD.DISCOUNT)*(1+MAT.SURCHARGE)/EXC.RATE_2,C1531*(1-I1531)*(1-ADD.DISCOUNT)*(1+MAT.SURCHARGE)*EXC.RATE_2),CURRENCY.FORMAT_2),CURRENCY.FORMAT_2,1),"# ##0;-# ##0"),",-"),FIXED(ROUND(IF(EXC.RATE.SWITCH=1,C1531*(1-I1531)*(1-ADD.DISCOUNT)*(1+MAT.SURCHARGE)/EXC.RATE_2,C1531*(1-I1531)*(1-ADD.DISCOUNT)*(1+MAT.SURCHARGE)*EXC.RATE_2),CURRENCY.FORMAT_2),CURRENCY.FORMAT_2,0)),'DICTIONARY-5'!$A$2))</f>
        <v/>
      </c>
      <c r="N1531" s="539">
        <v>5</v>
      </c>
      <c r="O1531" s="539"/>
      <c r="P1531" s="732" t="str">
        <f>'DICTIONARY-3'!$A$33</f>
        <v>HADE PWK-F</v>
      </c>
      <c r="Q1531" s="732" t="str">
        <f>'DICTIONARY-3'!$A$203</f>
        <v>Klapa przeciwcofkowa</v>
      </c>
      <c r="R1531" s="732" t="str">
        <f>CONCATENATE('DICTIONARY-3'!$A$33," ",'DICTIONARY-6'!$A$19," ",'DICTIONARY-2'!$A$2,"2000"," ",'DICTIONARY-2'!$A$3,"10, ",'DICTIONARY-6'!$A$73," ",'DICTIONARY-6'!$A$74)</f>
        <v>HADE PWK-F Klapa przeciwcofk. DN2000 PN10, kołnierz. do ruroc. tłocz.</v>
      </c>
      <c r="S1531" s="733" t="s">
        <v>5569</v>
      </c>
      <c r="T1531" s="732" t="s">
        <v>5569</v>
      </c>
      <c r="U1531" s="734" t="s">
        <v>5842</v>
      </c>
      <c r="V1531" s="735">
        <v>10</v>
      </c>
      <c r="W1531" s="736"/>
      <c r="X1531" s="737"/>
      <c r="Y1531" s="738"/>
      <c r="Z1531" s="739"/>
      <c r="AA1531" s="739"/>
      <c r="AB1531" s="746">
        <v>0.1</v>
      </c>
      <c r="AC1531" s="741" t="s">
        <v>5569</v>
      </c>
      <c r="AD1531" s="741" t="s">
        <v>5569</v>
      </c>
      <c r="AE1531" s="742" t="s">
        <v>5569</v>
      </c>
      <c r="AF1531" s="743">
        <v>160</v>
      </c>
      <c r="AG1531" s="741"/>
    </row>
    <row r="1532" spans="1:33" x14ac:dyDescent="0.25">
      <c r="A1532" s="754" t="s">
        <v>7888</v>
      </c>
      <c r="B1532" s="754" t="s">
        <v>7889</v>
      </c>
      <c r="C1532" s="836">
        <v>1233</v>
      </c>
      <c r="D1532" s="836"/>
      <c r="E1532" s="836"/>
      <c r="F1532" s="836"/>
      <c r="G1532" s="496" t="s">
        <v>7830</v>
      </c>
      <c r="H1532" s="797" t="str">
        <f>VLOOKUP(G1532,SETTINGS!$B$7:$D$97,2,0)</f>
        <v>EKN (≤DN600)</v>
      </c>
      <c r="I1532" s="796">
        <f>VLOOKUP(G1532,SETTINGS!$B$7:$D$97,3,0)</f>
        <v>0</v>
      </c>
      <c r="J1532" s="670" t="str">
        <f>IFERROR(IF(CURRENCY.FORMAT_1=0,CONCATENATE(TEXT(FIXED(ROUND((C1532/EXC.RATE_1),CURRENCY.FORMAT_1),CURRENCY.FORMAT_1,1),"# ##0;-# ##0"),",-"),FIXED(ROUND((C1532/EXC.RATE_1),CURRENCY.FORMAT_1),CURRENCY.FORMAT_1,0)),'DICTIONARY-5'!$A$2)</f>
        <v>1 233,-</v>
      </c>
      <c r="K1532" s="670" t="str">
        <f>IF(EXC.RATE_2=0,"",IFERROR(IF(CURRENCY.FORMAT_2=0,CONCATENATE(TEXT(FIXED(ROUND(IF(EXC.RATE.SWITCH=1,C1532/EXC.RATE_2,C1532*EXC.RATE_2),CURRENCY.FORMAT_2),CURRENCY.FORMAT_2,1),"# ##0;-# ##0"),",-"),FIXED(ROUND(IF(EXC.RATE.SWITCH=1,C1532/EXC.RATE_2,C1532*EXC.RATE_2),CURRENCY.FORMAT_2),CURRENCY.FORMAT_2,0)),'DICTIONARY-5'!$A$2))</f>
        <v/>
      </c>
      <c r="L1532" s="670" t="str">
        <f>IFERROR(IF(CURRENCY.FORMAT_1=0,CONCATENATE(TEXT(FIXED(ROUND((C1532*(1-I1532)*(1-ADD.DISCOUNT)*(1+MAT.SURCHARGE)/EXC.RATE_1),CURRENCY.FORMAT_1),CURRENCY.FORMAT_1,1),"# ##0;-# ##0"),",-"),FIXED(ROUND((C1532*(1-I1532)*(1-ADD.DISCOUNT)*(1+MAT.SURCHARGE)/EXC.RATE_1),CURRENCY.FORMAT_1),CURRENCY.FORMAT_1,0)),'DICTIONARY-5'!$A$2)</f>
        <v>1 281,-</v>
      </c>
      <c r="M1532" s="670" t="str">
        <f>IF(EXC.RATE_2=0,"",IFERROR(IF(CURRENCY.FORMAT_2=0,CONCATENATE(TEXT(FIXED(ROUND(IF(EXC.RATE.SWITCH=1,C1532*(1-I1532)*(1-ADD.DISCOUNT)*(1+MAT.SURCHARGE)/EXC.RATE_2,C1532*(1-I1532)*(1-ADD.DISCOUNT)*(1+MAT.SURCHARGE)*EXC.RATE_2),CURRENCY.FORMAT_2),CURRENCY.FORMAT_2,1),"# ##0;-# ##0"),",-"),FIXED(ROUND(IF(EXC.RATE.SWITCH=1,C1532*(1-I1532)*(1-ADD.DISCOUNT)*(1+MAT.SURCHARGE)/EXC.RATE_2,C1532*(1-I1532)*(1-ADD.DISCOUNT)*(1+MAT.SURCHARGE)*EXC.RATE_2),CURRENCY.FORMAT_2),CURRENCY.FORMAT_2,0)),'DICTIONARY-5'!$A$2))</f>
        <v/>
      </c>
      <c r="N1532" s="541">
        <v>6</v>
      </c>
      <c r="O1532" s="541"/>
      <c r="P1532" s="731" t="str">
        <f>'DICTIONARY-3'!$A$145</f>
        <v>EKN H</v>
      </c>
      <c r="Q1532" s="731" t="str">
        <f>'DICTIONARY-3'!$A$204</f>
        <v>Przepustnica kołnierzowa</v>
      </c>
      <c r="R1532" s="732" t="str">
        <f>CONCATENATE('DICTIONARY-3'!$A$145," ",'DICTIONARY-6'!$A$2," ",'DICTIONARY-2'!$A$2,U1532," ",'DICTIONARY-2'!$A$3,"10/",V1532," ","R14",", ",'DICTIONARY-4'!$A$8," ","GSH 50.3")</f>
        <v>EKN H Przep. kołnierz. DN150 PN10/16 R14, PK GSH 50.3</v>
      </c>
      <c r="S1532" s="733" t="str">
        <f>'DICTIONARY-4'!$A$8</f>
        <v>PK</v>
      </c>
      <c r="T1532" s="732" t="str">
        <f>'DICTIONARY-4'!$A$24</f>
        <v>Przekładnia z kółkiem</v>
      </c>
      <c r="U1532" s="734" t="s">
        <v>5572</v>
      </c>
      <c r="V1532" s="735">
        <v>16</v>
      </c>
      <c r="W1532" s="736"/>
      <c r="X1532" s="737"/>
      <c r="Y1532" s="738"/>
      <c r="Z1532" s="739"/>
      <c r="AA1532" s="739"/>
      <c r="AB1532" s="740">
        <v>16</v>
      </c>
      <c r="AC1532" s="741" t="str">
        <f>'DICTIONARY-5'!$A$11&amp;" 14"</f>
        <v>EN 558 szereg 14</v>
      </c>
      <c r="AD1532" s="741" t="str">
        <f>'DICTIONARY-5'!$A$13</f>
        <v>woda pitna</v>
      </c>
      <c r="AE1532" s="742">
        <v>50</v>
      </c>
      <c r="AF1532" s="743">
        <v>38</v>
      </c>
      <c r="AG1532" s="741" t="str">
        <f>'DICTIONARY-5'!$A$23</f>
        <v>powłoka epoksydowa</v>
      </c>
    </row>
    <row r="1533" spans="1:33" x14ac:dyDescent="0.25">
      <c r="A1533" s="754" t="s">
        <v>7890</v>
      </c>
      <c r="B1533" s="754" t="s">
        <v>7891</v>
      </c>
      <c r="C1533" s="836">
        <v>1450</v>
      </c>
      <c r="D1533" s="836"/>
      <c r="E1533" s="836"/>
      <c r="F1533" s="836"/>
      <c r="G1533" s="496" t="s">
        <v>7830</v>
      </c>
      <c r="H1533" s="797" t="str">
        <f>VLOOKUP(G1533,SETTINGS!$B$7:$D$97,2,0)</f>
        <v>EKN (≤DN600)</v>
      </c>
      <c r="I1533" s="796">
        <f>VLOOKUP(G1533,SETTINGS!$B$7:$D$97,3,0)</f>
        <v>0</v>
      </c>
      <c r="J1533" s="670" t="str">
        <f>IFERROR(IF(CURRENCY.FORMAT_1=0,CONCATENATE(TEXT(FIXED(ROUND((C1533/EXC.RATE_1),CURRENCY.FORMAT_1),CURRENCY.FORMAT_1,1),"# ##0;-# ##0"),",-"),FIXED(ROUND((C1533/EXC.RATE_1),CURRENCY.FORMAT_1),CURRENCY.FORMAT_1,0)),'DICTIONARY-5'!$A$2)</f>
        <v>1 450,-</v>
      </c>
      <c r="K1533" s="670" t="str">
        <f>IF(EXC.RATE_2=0,"",IFERROR(IF(CURRENCY.FORMAT_2=0,CONCATENATE(TEXT(FIXED(ROUND(IF(EXC.RATE.SWITCH=1,C1533/EXC.RATE_2,C1533*EXC.RATE_2),CURRENCY.FORMAT_2),CURRENCY.FORMAT_2,1),"# ##0;-# ##0"),",-"),FIXED(ROUND(IF(EXC.RATE.SWITCH=1,C1533/EXC.RATE_2,C1533*EXC.RATE_2),CURRENCY.FORMAT_2),CURRENCY.FORMAT_2,0)),'DICTIONARY-5'!$A$2))</f>
        <v/>
      </c>
      <c r="L1533" s="670" t="str">
        <f>IFERROR(IF(CURRENCY.FORMAT_1=0,CONCATENATE(TEXT(FIXED(ROUND((C1533*(1-I1533)*(1-ADD.DISCOUNT)*(1+MAT.SURCHARGE)/EXC.RATE_1),CURRENCY.FORMAT_1),CURRENCY.FORMAT_1,1),"# ##0;-# ##0"),",-"),FIXED(ROUND((C1533*(1-I1533)*(1-ADD.DISCOUNT)*(1+MAT.SURCHARGE)/EXC.RATE_1),CURRENCY.FORMAT_1),CURRENCY.FORMAT_1,0)),'DICTIONARY-5'!$A$2)</f>
        <v>1 507,-</v>
      </c>
      <c r="M1533" s="670" t="str">
        <f>IF(EXC.RATE_2=0,"",IFERROR(IF(CURRENCY.FORMAT_2=0,CONCATENATE(TEXT(FIXED(ROUND(IF(EXC.RATE.SWITCH=1,C1533*(1-I1533)*(1-ADD.DISCOUNT)*(1+MAT.SURCHARGE)/EXC.RATE_2,C1533*(1-I1533)*(1-ADD.DISCOUNT)*(1+MAT.SURCHARGE)*EXC.RATE_2),CURRENCY.FORMAT_2),CURRENCY.FORMAT_2,1),"# ##0;-# ##0"),",-"),FIXED(ROUND(IF(EXC.RATE.SWITCH=1,C1533*(1-I1533)*(1-ADD.DISCOUNT)*(1+MAT.SURCHARGE)/EXC.RATE_2,C1533*(1-I1533)*(1-ADD.DISCOUNT)*(1+MAT.SURCHARGE)*EXC.RATE_2),CURRENCY.FORMAT_2),CURRENCY.FORMAT_2,0)),'DICTIONARY-5'!$A$2))</f>
        <v/>
      </c>
      <c r="N1533" s="541">
        <v>6</v>
      </c>
      <c r="O1533" s="541"/>
      <c r="P1533" s="731" t="str">
        <f>'DICTIONARY-3'!$A$145</f>
        <v>EKN H</v>
      </c>
      <c r="Q1533" s="731" t="str">
        <f>'DICTIONARY-3'!$A$204</f>
        <v>Przepustnica kołnierzowa</v>
      </c>
      <c r="R1533" s="732" t="str">
        <f>CONCATENATE('DICTIONARY-3'!$A$145," ",'DICTIONARY-6'!$A$2," ",'DICTIONARY-2'!$A$2,U1533," ",'DICTIONARY-2'!$A$3,V1533," ","R14",", ",'DICTIONARY-4'!$A$8," ","GSH 50.3")</f>
        <v>EKN H Przep. kołnierz. DN200 PN10 R14, PK GSH 50.3</v>
      </c>
      <c r="S1533" s="733" t="str">
        <f>'DICTIONARY-4'!$A$8</f>
        <v>PK</v>
      </c>
      <c r="T1533" s="732" t="str">
        <f>'DICTIONARY-4'!$A$24</f>
        <v>Przekładnia z kółkiem</v>
      </c>
      <c r="U1533" s="734" t="s">
        <v>5750</v>
      </c>
      <c r="V1533" s="735">
        <v>10</v>
      </c>
      <c r="W1533" s="736"/>
      <c r="X1533" s="737"/>
      <c r="Y1533" s="738"/>
      <c r="Z1533" s="739"/>
      <c r="AA1533" s="739"/>
      <c r="AB1533" s="740">
        <v>10</v>
      </c>
      <c r="AC1533" s="741" t="str">
        <f>'DICTIONARY-5'!$A$11&amp;" 14"</f>
        <v>EN 558 szereg 14</v>
      </c>
      <c r="AD1533" s="741" t="str">
        <f>'DICTIONARY-5'!$A$13</f>
        <v>woda pitna</v>
      </c>
      <c r="AE1533" s="742">
        <v>50</v>
      </c>
      <c r="AF1533" s="743">
        <v>51</v>
      </c>
      <c r="AG1533" s="741" t="str">
        <f>'DICTIONARY-5'!$A$23</f>
        <v>powłoka epoksydowa</v>
      </c>
    </row>
    <row r="1534" spans="1:33" x14ac:dyDescent="0.25">
      <c r="A1534" s="754" t="s">
        <v>7892</v>
      </c>
      <c r="B1534" s="754" t="s">
        <v>7893</v>
      </c>
      <c r="C1534" s="836">
        <v>1464</v>
      </c>
      <c r="D1534" s="836"/>
      <c r="E1534" s="836"/>
      <c r="F1534" s="836"/>
      <c r="G1534" s="496" t="s">
        <v>7830</v>
      </c>
      <c r="H1534" s="797" t="str">
        <f>VLOOKUP(G1534,SETTINGS!$B$7:$D$97,2,0)</f>
        <v>EKN (≤DN600)</v>
      </c>
      <c r="I1534" s="796">
        <f>VLOOKUP(G1534,SETTINGS!$B$7:$D$97,3,0)</f>
        <v>0</v>
      </c>
      <c r="J1534" s="670" t="str">
        <f>IFERROR(IF(CURRENCY.FORMAT_1=0,CONCATENATE(TEXT(FIXED(ROUND((C1534/EXC.RATE_1),CURRENCY.FORMAT_1),CURRENCY.FORMAT_1,1),"# ##0;-# ##0"),",-"),FIXED(ROUND((C1534/EXC.RATE_1),CURRENCY.FORMAT_1),CURRENCY.FORMAT_1,0)),'DICTIONARY-5'!$A$2)</f>
        <v>1 464,-</v>
      </c>
      <c r="K1534" s="670" t="str">
        <f>IF(EXC.RATE_2=0,"",IFERROR(IF(CURRENCY.FORMAT_2=0,CONCATENATE(TEXT(FIXED(ROUND(IF(EXC.RATE.SWITCH=1,C1534/EXC.RATE_2,C1534*EXC.RATE_2),CURRENCY.FORMAT_2),CURRENCY.FORMAT_2,1),"# ##0;-# ##0"),",-"),FIXED(ROUND(IF(EXC.RATE.SWITCH=1,C1534/EXC.RATE_2,C1534*EXC.RATE_2),CURRENCY.FORMAT_2),CURRENCY.FORMAT_2,0)),'DICTIONARY-5'!$A$2))</f>
        <v/>
      </c>
      <c r="L1534" s="670" t="str">
        <f>IFERROR(IF(CURRENCY.FORMAT_1=0,CONCATENATE(TEXT(FIXED(ROUND((C1534*(1-I1534)*(1-ADD.DISCOUNT)*(1+MAT.SURCHARGE)/EXC.RATE_1),CURRENCY.FORMAT_1),CURRENCY.FORMAT_1,1),"# ##0;-# ##0"),",-"),FIXED(ROUND((C1534*(1-I1534)*(1-ADD.DISCOUNT)*(1+MAT.SURCHARGE)/EXC.RATE_1),CURRENCY.FORMAT_1),CURRENCY.FORMAT_1,0)),'DICTIONARY-5'!$A$2)</f>
        <v>1 521,-</v>
      </c>
      <c r="M1534" s="670" t="str">
        <f>IF(EXC.RATE_2=0,"",IFERROR(IF(CURRENCY.FORMAT_2=0,CONCATENATE(TEXT(FIXED(ROUND(IF(EXC.RATE.SWITCH=1,C1534*(1-I1534)*(1-ADD.DISCOUNT)*(1+MAT.SURCHARGE)/EXC.RATE_2,C1534*(1-I1534)*(1-ADD.DISCOUNT)*(1+MAT.SURCHARGE)*EXC.RATE_2),CURRENCY.FORMAT_2),CURRENCY.FORMAT_2,1),"# ##0;-# ##0"),",-"),FIXED(ROUND(IF(EXC.RATE.SWITCH=1,C1534*(1-I1534)*(1-ADD.DISCOUNT)*(1+MAT.SURCHARGE)/EXC.RATE_2,C1534*(1-I1534)*(1-ADD.DISCOUNT)*(1+MAT.SURCHARGE)*EXC.RATE_2),CURRENCY.FORMAT_2),CURRENCY.FORMAT_2,0)),'DICTIONARY-5'!$A$2))</f>
        <v/>
      </c>
      <c r="N1534" s="541">
        <v>6</v>
      </c>
      <c r="O1534" s="541"/>
      <c r="P1534" s="731" t="str">
        <f>'DICTIONARY-3'!$A$145</f>
        <v>EKN H</v>
      </c>
      <c r="Q1534" s="731" t="str">
        <f>'DICTIONARY-3'!$A$204</f>
        <v>Przepustnica kołnierzowa</v>
      </c>
      <c r="R1534" s="732" t="str">
        <f>CONCATENATE('DICTIONARY-3'!$A$145," ",'DICTIONARY-6'!$A$2," ",'DICTIONARY-2'!$A$2,U1534," ",'DICTIONARY-2'!$A$3,V1534," ","R14",", ",'DICTIONARY-4'!$A$8," ","GSH 50.3")</f>
        <v>EKN H Przep. kołnierz. DN200 PN16 R14, PK GSH 50.3</v>
      </c>
      <c r="S1534" s="733" t="str">
        <f>'DICTIONARY-4'!$A$8</f>
        <v>PK</v>
      </c>
      <c r="T1534" s="732" t="str">
        <f>'DICTIONARY-4'!$A$24</f>
        <v>Przekładnia z kółkiem</v>
      </c>
      <c r="U1534" s="734" t="s">
        <v>5750</v>
      </c>
      <c r="V1534" s="735">
        <v>16</v>
      </c>
      <c r="W1534" s="736"/>
      <c r="X1534" s="737"/>
      <c r="Y1534" s="738"/>
      <c r="Z1534" s="739"/>
      <c r="AA1534" s="739"/>
      <c r="AB1534" s="740">
        <v>16</v>
      </c>
      <c r="AC1534" s="741" t="str">
        <f>'DICTIONARY-5'!$A$11&amp;" 14"</f>
        <v>EN 558 szereg 14</v>
      </c>
      <c r="AD1534" s="741" t="str">
        <f>'DICTIONARY-5'!$A$13</f>
        <v>woda pitna</v>
      </c>
      <c r="AE1534" s="742">
        <v>50</v>
      </c>
      <c r="AF1534" s="743">
        <v>51</v>
      </c>
      <c r="AG1534" s="741" t="str">
        <f>'DICTIONARY-5'!$A$23</f>
        <v>powłoka epoksydowa</v>
      </c>
    </row>
    <row r="1535" spans="1:33" x14ac:dyDescent="0.25">
      <c r="A1535" s="754" t="s">
        <v>7894</v>
      </c>
      <c r="B1535" s="754" t="s">
        <v>7895</v>
      </c>
      <c r="C1535" s="836">
        <v>1633</v>
      </c>
      <c r="D1535" s="836"/>
      <c r="E1535" s="836"/>
      <c r="F1535" s="836"/>
      <c r="G1535" s="496" t="s">
        <v>7830</v>
      </c>
      <c r="H1535" s="797" t="str">
        <f>VLOOKUP(G1535,SETTINGS!$B$7:$D$97,2,0)</f>
        <v>EKN (≤DN600)</v>
      </c>
      <c r="I1535" s="796">
        <f>VLOOKUP(G1535,SETTINGS!$B$7:$D$97,3,0)</f>
        <v>0</v>
      </c>
      <c r="J1535" s="670" t="str">
        <f>IFERROR(IF(CURRENCY.FORMAT_1=0,CONCATENATE(TEXT(FIXED(ROUND((C1535/EXC.RATE_1),CURRENCY.FORMAT_1),CURRENCY.FORMAT_1,1),"# ##0;-# ##0"),",-"),FIXED(ROUND((C1535/EXC.RATE_1),CURRENCY.FORMAT_1),CURRENCY.FORMAT_1,0)),'DICTIONARY-5'!$A$2)</f>
        <v>1 633,-</v>
      </c>
      <c r="K1535" s="670" t="str">
        <f>IF(EXC.RATE_2=0,"",IFERROR(IF(CURRENCY.FORMAT_2=0,CONCATENATE(TEXT(FIXED(ROUND(IF(EXC.RATE.SWITCH=1,C1535/EXC.RATE_2,C1535*EXC.RATE_2),CURRENCY.FORMAT_2),CURRENCY.FORMAT_2,1),"# ##0;-# ##0"),",-"),FIXED(ROUND(IF(EXC.RATE.SWITCH=1,C1535/EXC.RATE_2,C1535*EXC.RATE_2),CURRENCY.FORMAT_2),CURRENCY.FORMAT_2,0)),'DICTIONARY-5'!$A$2))</f>
        <v/>
      </c>
      <c r="L1535" s="670" t="str">
        <f>IFERROR(IF(CURRENCY.FORMAT_1=0,CONCATENATE(TEXT(FIXED(ROUND((C1535*(1-I1535)*(1-ADD.DISCOUNT)*(1+MAT.SURCHARGE)/EXC.RATE_1),CURRENCY.FORMAT_1),CURRENCY.FORMAT_1,1),"# ##0;-# ##0"),",-"),FIXED(ROUND((C1535*(1-I1535)*(1-ADD.DISCOUNT)*(1+MAT.SURCHARGE)/EXC.RATE_1),CURRENCY.FORMAT_1),CURRENCY.FORMAT_1,0)),'DICTIONARY-5'!$A$2)</f>
        <v>1 697,-</v>
      </c>
      <c r="M1535" s="670" t="str">
        <f>IF(EXC.RATE_2=0,"",IFERROR(IF(CURRENCY.FORMAT_2=0,CONCATENATE(TEXT(FIXED(ROUND(IF(EXC.RATE.SWITCH=1,C1535*(1-I1535)*(1-ADD.DISCOUNT)*(1+MAT.SURCHARGE)/EXC.RATE_2,C1535*(1-I1535)*(1-ADD.DISCOUNT)*(1+MAT.SURCHARGE)*EXC.RATE_2),CURRENCY.FORMAT_2),CURRENCY.FORMAT_2,1),"# ##0;-# ##0"),",-"),FIXED(ROUND(IF(EXC.RATE.SWITCH=1,C1535*(1-I1535)*(1-ADD.DISCOUNT)*(1+MAT.SURCHARGE)/EXC.RATE_2,C1535*(1-I1535)*(1-ADD.DISCOUNT)*(1+MAT.SURCHARGE)*EXC.RATE_2),CURRENCY.FORMAT_2),CURRENCY.FORMAT_2,0)),'DICTIONARY-5'!$A$2))</f>
        <v/>
      </c>
      <c r="N1535" s="541">
        <v>6</v>
      </c>
      <c r="O1535" s="541"/>
      <c r="P1535" s="731" t="str">
        <f>'DICTIONARY-3'!$A$145</f>
        <v>EKN H</v>
      </c>
      <c r="Q1535" s="731" t="str">
        <f>'DICTIONARY-3'!$A$204</f>
        <v>Przepustnica kołnierzowa</v>
      </c>
      <c r="R1535" s="732" t="str">
        <f>CONCATENATE('DICTIONARY-3'!$A$145," ",'DICTIONARY-6'!$A$2," ",'DICTIONARY-2'!$A$2,U1535," ",'DICTIONARY-2'!$A$3,V1535," ","R14",", ",'DICTIONARY-4'!$A$8," ","GSH 50.3")</f>
        <v>EKN H Przep. kołnierz. DN250 PN10 R14, PK GSH 50.3</v>
      </c>
      <c r="S1535" s="733" t="str">
        <f>'DICTIONARY-4'!$A$8</f>
        <v>PK</v>
      </c>
      <c r="T1535" s="732" t="str">
        <f>'DICTIONARY-4'!$A$24</f>
        <v>Przekładnia z kółkiem</v>
      </c>
      <c r="U1535" s="734" t="s">
        <v>5751</v>
      </c>
      <c r="V1535" s="735">
        <v>10</v>
      </c>
      <c r="W1535" s="736"/>
      <c r="X1535" s="737"/>
      <c r="Y1535" s="738"/>
      <c r="Z1535" s="739"/>
      <c r="AA1535" s="739"/>
      <c r="AB1535" s="740">
        <v>10</v>
      </c>
      <c r="AC1535" s="741" t="str">
        <f>'DICTIONARY-5'!$A$11&amp;" 14"</f>
        <v>EN 558 szereg 14</v>
      </c>
      <c r="AD1535" s="741" t="str">
        <f>'DICTIONARY-5'!$A$13</f>
        <v>woda pitna</v>
      </c>
      <c r="AE1535" s="742">
        <v>50</v>
      </c>
      <c r="AF1535" s="743">
        <v>67</v>
      </c>
      <c r="AG1535" s="741" t="str">
        <f>'DICTIONARY-5'!$A$23</f>
        <v>powłoka epoksydowa</v>
      </c>
    </row>
    <row r="1536" spans="1:33" x14ac:dyDescent="0.25">
      <c r="A1536" s="754" t="s">
        <v>7896</v>
      </c>
      <c r="B1536" s="754" t="s">
        <v>7897</v>
      </c>
      <c r="C1536" s="836">
        <v>1653</v>
      </c>
      <c r="D1536" s="836"/>
      <c r="E1536" s="836"/>
      <c r="F1536" s="836"/>
      <c r="G1536" s="496" t="s">
        <v>7830</v>
      </c>
      <c r="H1536" s="797" t="str">
        <f>VLOOKUP(G1536,SETTINGS!$B$7:$D$97,2,0)</f>
        <v>EKN (≤DN600)</v>
      </c>
      <c r="I1536" s="796">
        <f>VLOOKUP(G1536,SETTINGS!$B$7:$D$97,3,0)</f>
        <v>0</v>
      </c>
      <c r="J1536" s="670" t="str">
        <f>IFERROR(IF(CURRENCY.FORMAT_1=0,CONCATENATE(TEXT(FIXED(ROUND((C1536/EXC.RATE_1),CURRENCY.FORMAT_1),CURRENCY.FORMAT_1,1),"# ##0;-# ##0"),",-"),FIXED(ROUND((C1536/EXC.RATE_1),CURRENCY.FORMAT_1),CURRENCY.FORMAT_1,0)),'DICTIONARY-5'!$A$2)</f>
        <v>1 653,-</v>
      </c>
      <c r="K1536" s="670" t="str">
        <f>IF(EXC.RATE_2=0,"",IFERROR(IF(CURRENCY.FORMAT_2=0,CONCATENATE(TEXT(FIXED(ROUND(IF(EXC.RATE.SWITCH=1,C1536/EXC.RATE_2,C1536*EXC.RATE_2),CURRENCY.FORMAT_2),CURRENCY.FORMAT_2,1),"# ##0;-# ##0"),",-"),FIXED(ROUND(IF(EXC.RATE.SWITCH=1,C1536/EXC.RATE_2,C1536*EXC.RATE_2),CURRENCY.FORMAT_2),CURRENCY.FORMAT_2,0)),'DICTIONARY-5'!$A$2))</f>
        <v/>
      </c>
      <c r="L1536" s="670" t="str">
        <f>IFERROR(IF(CURRENCY.FORMAT_1=0,CONCATENATE(TEXT(FIXED(ROUND((C1536*(1-I1536)*(1-ADD.DISCOUNT)*(1+MAT.SURCHARGE)/EXC.RATE_1),CURRENCY.FORMAT_1),CURRENCY.FORMAT_1,1),"# ##0;-# ##0"),",-"),FIXED(ROUND((C1536*(1-I1536)*(1-ADD.DISCOUNT)*(1+MAT.SURCHARGE)/EXC.RATE_1),CURRENCY.FORMAT_1),CURRENCY.FORMAT_1,0)),'DICTIONARY-5'!$A$2)</f>
        <v>1 717,-</v>
      </c>
      <c r="M1536" s="670" t="str">
        <f>IF(EXC.RATE_2=0,"",IFERROR(IF(CURRENCY.FORMAT_2=0,CONCATENATE(TEXT(FIXED(ROUND(IF(EXC.RATE.SWITCH=1,C1536*(1-I1536)*(1-ADD.DISCOUNT)*(1+MAT.SURCHARGE)/EXC.RATE_2,C1536*(1-I1536)*(1-ADD.DISCOUNT)*(1+MAT.SURCHARGE)*EXC.RATE_2),CURRENCY.FORMAT_2),CURRENCY.FORMAT_2,1),"# ##0;-# ##0"),",-"),FIXED(ROUND(IF(EXC.RATE.SWITCH=1,C1536*(1-I1536)*(1-ADD.DISCOUNT)*(1+MAT.SURCHARGE)/EXC.RATE_2,C1536*(1-I1536)*(1-ADD.DISCOUNT)*(1+MAT.SURCHARGE)*EXC.RATE_2),CURRENCY.FORMAT_2),CURRENCY.FORMAT_2,0)),'DICTIONARY-5'!$A$2))</f>
        <v/>
      </c>
      <c r="N1536" s="541">
        <v>6</v>
      </c>
      <c r="O1536" s="541"/>
      <c r="P1536" s="731" t="str">
        <f>'DICTIONARY-3'!$A$145</f>
        <v>EKN H</v>
      </c>
      <c r="Q1536" s="731" t="str">
        <f>'DICTIONARY-3'!$A$204</f>
        <v>Przepustnica kołnierzowa</v>
      </c>
      <c r="R1536" s="732" t="str">
        <f>CONCATENATE('DICTIONARY-3'!$A$145," ",'DICTIONARY-6'!$A$2," ",'DICTIONARY-2'!$A$2,U1536," ",'DICTIONARY-2'!$A$3,V1536," ","R14",", ",'DICTIONARY-4'!$A$8," ","GSH 50.3")</f>
        <v>EKN H Przep. kołnierz. DN250 PN16 R14, PK GSH 50.3</v>
      </c>
      <c r="S1536" s="733" t="str">
        <f>'DICTIONARY-4'!$A$8</f>
        <v>PK</v>
      </c>
      <c r="T1536" s="732" t="str">
        <f>'DICTIONARY-4'!$A$24</f>
        <v>Przekładnia z kółkiem</v>
      </c>
      <c r="U1536" s="734" t="s">
        <v>5751</v>
      </c>
      <c r="V1536" s="735">
        <v>16</v>
      </c>
      <c r="W1536" s="736"/>
      <c r="X1536" s="737"/>
      <c r="Y1536" s="738"/>
      <c r="Z1536" s="739"/>
      <c r="AA1536" s="739"/>
      <c r="AB1536" s="740">
        <v>16</v>
      </c>
      <c r="AC1536" s="741" t="str">
        <f>'DICTIONARY-5'!$A$11&amp;" 14"</f>
        <v>EN 558 szereg 14</v>
      </c>
      <c r="AD1536" s="741" t="str">
        <f>'DICTIONARY-5'!$A$13</f>
        <v>woda pitna</v>
      </c>
      <c r="AE1536" s="742">
        <v>50</v>
      </c>
      <c r="AF1536" s="743">
        <v>67</v>
      </c>
      <c r="AG1536" s="741" t="str">
        <f>'DICTIONARY-5'!$A$23</f>
        <v>powłoka epoksydowa</v>
      </c>
    </row>
    <row r="1537" spans="1:33" x14ac:dyDescent="0.25">
      <c r="A1537" s="754" t="s">
        <v>7898</v>
      </c>
      <c r="B1537" s="754" t="s">
        <v>7899</v>
      </c>
      <c r="C1537" s="836">
        <v>1926</v>
      </c>
      <c r="D1537" s="836"/>
      <c r="E1537" s="836"/>
      <c r="F1537" s="836"/>
      <c r="G1537" s="496" t="s">
        <v>7830</v>
      </c>
      <c r="H1537" s="797" t="str">
        <f>VLOOKUP(G1537,SETTINGS!$B$7:$D$97,2,0)</f>
        <v>EKN (≤DN600)</v>
      </c>
      <c r="I1537" s="796">
        <f>VLOOKUP(G1537,SETTINGS!$B$7:$D$97,3,0)</f>
        <v>0</v>
      </c>
      <c r="J1537" s="670" t="str">
        <f>IFERROR(IF(CURRENCY.FORMAT_1=0,CONCATENATE(TEXT(FIXED(ROUND((C1537/EXC.RATE_1),CURRENCY.FORMAT_1),CURRENCY.FORMAT_1,1),"# ##0;-# ##0"),",-"),FIXED(ROUND((C1537/EXC.RATE_1),CURRENCY.FORMAT_1),CURRENCY.FORMAT_1,0)),'DICTIONARY-5'!$A$2)</f>
        <v>1 926,-</v>
      </c>
      <c r="K1537" s="670" t="str">
        <f>IF(EXC.RATE_2=0,"",IFERROR(IF(CURRENCY.FORMAT_2=0,CONCATENATE(TEXT(FIXED(ROUND(IF(EXC.RATE.SWITCH=1,C1537/EXC.RATE_2,C1537*EXC.RATE_2),CURRENCY.FORMAT_2),CURRENCY.FORMAT_2,1),"# ##0;-# ##0"),",-"),FIXED(ROUND(IF(EXC.RATE.SWITCH=1,C1537/EXC.RATE_2,C1537*EXC.RATE_2),CURRENCY.FORMAT_2),CURRENCY.FORMAT_2,0)),'DICTIONARY-5'!$A$2))</f>
        <v/>
      </c>
      <c r="L1537" s="670" t="str">
        <f>IFERROR(IF(CURRENCY.FORMAT_1=0,CONCATENATE(TEXT(FIXED(ROUND((C1537*(1-I1537)*(1-ADD.DISCOUNT)*(1+MAT.SURCHARGE)/EXC.RATE_1),CURRENCY.FORMAT_1),CURRENCY.FORMAT_1,1),"# ##0;-# ##0"),",-"),FIXED(ROUND((C1537*(1-I1537)*(1-ADD.DISCOUNT)*(1+MAT.SURCHARGE)/EXC.RATE_1),CURRENCY.FORMAT_1),CURRENCY.FORMAT_1,0)),'DICTIONARY-5'!$A$2)</f>
        <v>2 001,-</v>
      </c>
      <c r="M1537" s="670" t="str">
        <f>IF(EXC.RATE_2=0,"",IFERROR(IF(CURRENCY.FORMAT_2=0,CONCATENATE(TEXT(FIXED(ROUND(IF(EXC.RATE.SWITCH=1,C1537*(1-I1537)*(1-ADD.DISCOUNT)*(1+MAT.SURCHARGE)/EXC.RATE_2,C1537*(1-I1537)*(1-ADD.DISCOUNT)*(1+MAT.SURCHARGE)*EXC.RATE_2),CURRENCY.FORMAT_2),CURRENCY.FORMAT_2,1),"# ##0;-# ##0"),",-"),FIXED(ROUND(IF(EXC.RATE.SWITCH=1,C1537*(1-I1537)*(1-ADD.DISCOUNT)*(1+MAT.SURCHARGE)/EXC.RATE_2,C1537*(1-I1537)*(1-ADD.DISCOUNT)*(1+MAT.SURCHARGE)*EXC.RATE_2),CURRENCY.FORMAT_2),CURRENCY.FORMAT_2,0)),'DICTIONARY-5'!$A$2))</f>
        <v/>
      </c>
      <c r="N1537" s="541">
        <v>6</v>
      </c>
      <c r="O1537" s="541"/>
      <c r="P1537" s="731" t="str">
        <f>'DICTIONARY-3'!$A$145</f>
        <v>EKN H</v>
      </c>
      <c r="Q1537" s="731" t="str">
        <f>'DICTIONARY-3'!$A$204</f>
        <v>Przepustnica kołnierzowa</v>
      </c>
      <c r="R1537" s="732" t="str">
        <f>CONCATENATE('DICTIONARY-3'!$A$145," ",'DICTIONARY-6'!$A$2," ",'DICTIONARY-2'!$A$2,U1537," ",'DICTIONARY-2'!$A$3,V1537," ","R14",", ",'DICTIONARY-4'!$A$8," ","GSH 63.3")</f>
        <v>EKN H Przep. kołnierz. DN300 PN10 R14, PK GSH 63.3</v>
      </c>
      <c r="S1537" s="733" t="str">
        <f>'DICTIONARY-4'!$A$8</f>
        <v>PK</v>
      </c>
      <c r="T1537" s="732" t="str">
        <f>'DICTIONARY-4'!$A$24</f>
        <v>Przekładnia z kółkiem</v>
      </c>
      <c r="U1537" s="734" t="s">
        <v>5752</v>
      </c>
      <c r="V1537" s="735">
        <v>10</v>
      </c>
      <c r="W1537" s="736"/>
      <c r="X1537" s="737"/>
      <c r="Y1537" s="738"/>
      <c r="Z1537" s="739"/>
      <c r="AA1537" s="739"/>
      <c r="AB1537" s="740">
        <v>10</v>
      </c>
      <c r="AC1537" s="741" t="str">
        <f>'DICTIONARY-5'!$A$11&amp;" 14"</f>
        <v>EN 558 szereg 14</v>
      </c>
      <c r="AD1537" s="741" t="str">
        <f>'DICTIONARY-5'!$A$13</f>
        <v>woda pitna</v>
      </c>
      <c r="AE1537" s="742">
        <v>50</v>
      </c>
      <c r="AF1537" s="743">
        <v>94</v>
      </c>
      <c r="AG1537" s="741" t="str">
        <f>'DICTIONARY-5'!$A$23</f>
        <v>powłoka epoksydowa</v>
      </c>
    </row>
    <row r="1538" spans="1:33" x14ac:dyDescent="0.25">
      <c r="A1538" s="754" t="s">
        <v>7900</v>
      </c>
      <c r="B1538" s="754" t="s">
        <v>7901</v>
      </c>
      <c r="C1538" s="836">
        <v>1946</v>
      </c>
      <c r="D1538" s="836"/>
      <c r="E1538" s="836"/>
      <c r="F1538" s="836"/>
      <c r="G1538" s="496" t="s">
        <v>7830</v>
      </c>
      <c r="H1538" s="797" t="str">
        <f>VLOOKUP(G1538,SETTINGS!$B$7:$D$97,2,0)</f>
        <v>EKN (≤DN600)</v>
      </c>
      <c r="I1538" s="796">
        <f>VLOOKUP(G1538,SETTINGS!$B$7:$D$97,3,0)</f>
        <v>0</v>
      </c>
      <c r="J1538" s="670" t="str">
        <f>IFERROR(IF(CURRENCY.FORMAT_1=0,CONCATENATE(TEXT(FIXED(ROUND((C1538/EXC.RATE_1),CURRENCY.FORMAT_1),CURRENCY.FORMAT_1,1),"# ##0;-# ##0"),",-"),FIXED(ROUND((C1538/EXC.RATE_1),CURRENCY.FORMAT_1),CURRENCY.FORMAT_1,0)),'DICTIONARY-5'!$A$2)</f>
        <v>1 946,-</v>
      </c>
      <c r="K1538" s="670" t="str">
        <f>IF(EXC.RATE_2=0,"",IFERROR(IF(CURRENCY.FORMAT_2=0,CONCATENATE(TEXT(FIXED(ROUND(IF(EXC.RATE.SWITCH=1,C1538/EXC.RATE_2,C1538*EXC.RATE_2),CURRENCY.FORMAT_2),CURRENCY.FORMAT_2,1),"# ##0;-# ##0"),",-"),FIXED(ROUND(IF(EXC.RATE.SWITCH=1,C1538/EXC.RATE_2,C1538*EXC.RATE_2),CURRENCY.FORMAT_2),CURRENCY.FORMAT_2,0)),'DICTIONARY-5'!$A$2))</f>
        <v/>
      </c>
      <c r="L1538" s="670" t="str">
        <f>IFERROR(IF(CURRENCY.FORMAT_1=0,CONCATENATE(TEXT(FIXED(ROUND((C1538*(1-I1538)*(1-ADD.DISCOUNT)*(1+MAT.SURCHARGE)/EXC.RATE_1),CURRENCY.FORMAT_1),CURRENCY.FORMAT_1,1),"# ##0;-# ##0"),",-"),FIXED(ROUND((C1538*(1-I1538)*(1-ADD.DISCOUNT)*(1+MAT.SURCHARGE)/EXC.RATE_1),CURRENCY.FORMAT_1),CURRENCY.FORMAT_1,0)),'DICTIONARY-5'!$A$2)</f>
        <v>2 022,-</v>
      </c>
      <c r="M1538" s="670" t="str">
        <f>IF(EXC.RATE_2=0,"",IFERROR(IF(CURRENCY.FORMAT_2=0,CONCATENATE(TEXT(FIXED(ROUND(IF(EXC.RATE.SWITCH=1,C1538*(1-I1538)*(1-ADD.DISCOUNT)*(1+MAT.SURCHARGE)/EXC.RATE_2,C1538*(1-I1538)*(1-ADD.DISCOUNT)*(1+MAT.SURCHARGE)*EXC.RATE_2),CURRENCY.FORMAT_2),CURRENCY.FORMAT_2,1),"# ##0;-# ##0"),",-"),FIXED(ROUND(IF(EXC.RATE.SWITCH=1,C1538*(1-I1538)*(1-ADD.DISCOUNT)*(1+MAT.SURCHARGE)/EXC.RATE_2,C1538*(1-I1538)*(1-ADD.DISCOUNT)*(1+MAT.SURCHARGE)*EXC.RATE_2),CURRENCY.FORMAT_2),CURRENCY.FORMAT_2,0)),'DICTIONARY-5'!$A$2))</f>
        <v/>
      </c>
      <c r="N1538" s="541">
        <v>6</v>
      </c>
      <c r="O1538" s="541"/>
      <c r="P1538" s="731" t="str">
        <f>'DICTIONARY-3'!$A$145</f>
        <v>EKN H</v>
      </c>
      <c r="Q1538" s="731" t="str">
        <f>'DICTIONARY-3'!$A$204</f>
        <v>Przepustnica kołnierzowa</v>
      </c>
      <c r="R1538" s="732" t="str">
        <f>CONCATENATE('DICTIONARY-3'!$A$145," ",'DICTIONARY-6'!$A$2," ",'DICTIONARY-2'!$A$2,U1538," ",'DICTIONARY-2'!$A$3,V1538," ","R14",", ",'DICTIONARY-4'!$A$8," ","GSH 63.3")</f>
        <v>EKN H Przep. kołnierz. DN300 PN16 R14, PK GSH 63.3</v>
      </c>
      <c r="S1538" s="733" t="str">
        <f>'DICTIONARY-4'!$A$8</f>
        <v>PK</v>
      </c>
      <c r="T1538" s="732" t="str">
        <f>'DICTIONARY-4'!$A$24</f>
        <v>Przekładnia z kółkiem</v>
      </c>
      <c r="U1538" s="734" t="s">
        <v>5752</v>
      </c>
      <c r="V1538" s="735">
        <v>16</v>
      </c>
      <c r="W1538" s="736"/>
      <c r="X1538" s="737"/>
      <c r="Y1538" s="738"/>
      <c r="Z1538" s="739"/>
      <c r="AA1538" s="739"/>
      <c r="AB1538" s="740">
        <v>16</v>
      </c>
      <c r="AC1538" s="741" t="str">
        <f>'DICTIONARY-5'!$A$11&amp;" 14"</f>
        <v>EN 558 szereg 14</v>
      </c>
      <c r="AD1538" s="741" t="str">
        <f>'DICTIONARY-5'!$A$13</f>
        <v>woda pitna</v>
      </c>
      <c r="AE1538" s="742">
        <v>50</v>
      </c>
      <c r="AF1538" s="743">
        <v>94</v>
      </c>
      <c r="AG1538" s="741" t="str">
        <f>'DICTIONARY-5'!$A$23</f>
        <v>powłoka epoksydowa</v>
      </c>
    </row>
    <row r="1539" spans="1:33" x14ac:dyDescent="0.25">
      <c r="A1539" s="754" t="s">
        <v>7902</v>
      </c>
      <c r="B1539" s="754" t="s">
        <v>7903</v>
      </c>
      <c r="C1539" s="836">
        <v>2301</v>
      </c>
      <c r="D1539" s="836"/>
      <c r="E1539" s="836"/>
      <c r="F1539" s="836"/>
      <c r="G1539" s="496" t="s">
        <v>7830</v>
      </c>
      <c r="H1539" s="797" t="str">
        <f>VLOOKUP(G1539,SETTINGS!$B$7:$D$97,2,0)</f>
        <v>EKN (≤DN600)</v>
      </c>
      <c r="I1539" s="796">
        <f>VLOOKUP(G1539,SETTINGS!$B$7:$D$97,3,0)</f>
        <v>0</v>
      </c>
      <c r="J1539" s="670" t="str">
        <f>IFERROR(IF(CURRENCY.FORMAT_1=0,CONCATENATE(TEXT(FIXED(ROUND((C1539/EXC.RATE_1),CURRENCY.FORMAT_1),CURRENCY.FORMAT_1,1),"# ##0;-# ##0"),",-"),FIXED(ROUND((C1539/EXC.RATE_1),CURRENCY.FORMAT_1),CURRENCY.FORMAT_1,0)),'DICTIONARY-5'!$A$2)</f>
        <v>2 301,-</v>
      </c>
      <c r="K1539" s="670" t="str">
        <f>IF(EXC.RATE_2=0,"",IFERROR(IF(CURRENCY.FORMAT_2=0,CONCATENATE(TEXT(FIXED(ROUND(IF(EXC.RATE.SWITCH=1,C1539/EXC.RATE_2,C1539*EXC.RATE_2),CURRENCY.FORMAT_2),CURRENCY.FORMAT_2,1),"# ##0;-# ##0"),",-"),FIXED(ROUND(IF(EXC.RATE.SWITCH=1,C1539/EXC.RATE_2,C1539*EXC.RATE_2),CURRENCY.FORMAT_2),CURRENCY.FORMAT_2,0)),'DICTIONARY-5'!$A$2))</f>
        <v/>
      </c>
      <c r="L1539" s="670" t="str">
        <f>IFERROR(IF(CURRENCY.FORMAT_1=0,CONCATENATE(TEXT(FIXED(ROUND((C1539*(1-I1539)*(1-ADD.DISCOUNT)*(1+MAT.SURCHARGE)/EXC.RATE_1),CURRENCY.FORMAT_1),CURRENCY.FORMAT_1,1),"# ##0;-# ##0"),",-"),FIXED(ROUND((C1539*(1-I1539)*(1-ADD.DISCOUNT)*(1+MAT.SURCHARGE)/EXC.RATE_1),CURRENCY.FORMAT_1),CURRENCY.FORMAT_1,0)),'DICTIONARY-5'!$A$2)</f>
        <v>2 391,-</v>
      </c>
      <c r="M1539" s="670" t="str">
        <f>IF(EXC.RATE_2=0,"",IFERROR(IF(CURRENCY.FORMAT_2=0,CONCATENATE(TEXT(FIXED(ROUND(IF(EXC.RATE.SWITCH=1,C1539*(1-I1539)*(1-ADD.DISCOUNT)*(1+MAT.SURCHARGE)/EXC.RATE_2,C1539*(1-I1539)*(1-ADD.DISCOUNT)*(1+MAT.SURCHARGE)*EXC.RATE_2),CURRENCY.FORMAT_2),CURRENCY.FORMAT_2,1),"# ##0;-# ##0"),",-"),FIXED(ROUND(IF(EXC.RATE.SWITCH=1,C1539*(1-I1539)*(1-ADD.DISCOUNT)*(1+MAT.SURCHARGE)/EXC.RATE_2,C1539*(1-I1539)*(1-ADD.DISCOUNT)*(1+MAT.SURCHARGE)*EXC.RATE_2),CURRENCY.FORMAT_2),CURRENCY.FORMAT_2,0)),'DICTIONARY-5'!$A$2))</f>
        <v/>
      </c>
      <c r="N1539" s="541">
        <v>6</v>
      </c>
      <c r="O1539" s="541"/>
      <c r="P1539" s="731" t="str">
        <f>'DICTIONARY-3'!$A$145</f>
        <v>EKN H</v>
      </c>
      <c r="Q1539" s="731" t="str">
        <f>'DICTIONARY-3'!$A$204</f>
        <v>Przepustnica kołnierzowa</v>
      </c>
      <c r="R1539" s="732" t="str">
        <f>CONCATENATE('DICTIONARY-3'!$A$145," ",'DICTIONARY-6'!$A$2," ",'DICTIONARY-2'!$A$2,U1539," ",'DICTIONARY-2'!$A$3,V1539," ","R14",", ",'DICTIONARY-4'!$A$8," ","GSH 63.3")</f>
        <v>EKN H Przep. kołnierz. DN350 PN10 R14, PK GSH 63.3</v>
      </c>
      <c r="S1539" s="733" t="str">
        <f>'DICTIONARY-4'!$A$8</f>
        <v>PK</v>
      </c>
      <c r="T1539" s="732" t="str">
        <f>'DICTIONARY-4'!$A$24</f>
        <v>Przekładnia z kółkiem</v>
      </c>
      <c r="U1539" s="734" t="s">
        <v>5753</v>
      </c>
      <c r="V1539" s="735">
        <v>10</v>
      </c>
      <c r="W1539" s="736"/>
      <c r="X1539" s="737"/>
      <c r="Y1539" s="738"/>
      <c r="Z1539" s="739"/>
      <c r="AA1539" s="739"/>
      <c r="AB1539" s="740">
        <v>10</v>
      </c>
      <c r="AC1539" s="741" t="str">
        <f>'DICTIONARY-5'!$A$11&amp;" 14"</f>
        <v>EN 558 szereg 14</v>
      </c>
      <c r="AD1539" s="741" t="str">
        <f>'DICTIONARY-5'!$A$13</f>
        <v>woda pitna</v>
      </c>
      <c r="AE1539" s="742">
        <v>50</v>
      </c>
      <c r="AF1539" s="743">
        <v>127</v>
      </c>
      <c r="AG1539" s="741" t="str">
        <f>'DICTIONARY-5'!$A$23</f>
        <v>powłoka epoksydowa</v>
      </c>
    </row>
    <row r="1540" spans="1:33" x14ac:dyDescent="0.25">
      <c r="A1540" s="754" t="s">
        <v>7904</v>
      </c>
      <c r="B1540" s="754" t="s">
        <v>7905</v>
      </c>
      <c r="C1540" s="836">
        <v>2466</v>
      </c>
      <c r="D1540" s="836"/>
      <c r="E1540" s="836"/>
      <c r="F1540" s="836"/>
      <c r="G1540" s="496" t="s">
        <v>7830</v>
      </c>
      <c r="H1540" s="797" t="str">
        <f>VLOOKUP(G1540,SETTINGS!$B$7:$D$97,2,0)</f>
        <v>EKN (≤DN600)</v>
      </c>
      <c r="I1540" s="796">
        <f>VLOOKUP(G1540,SETTINGS!$B$7:$D$97,3,0)</f>
        <v>0</v>
      </c>
      <c r="J1540" s="670" t="str">
        <f>IFERROR(IF(CURRENCY.FORMAT_1=0,CONCATENATE(TEXT(FIXED(ROUND((C1540/EXC.RATE_1),CURRENCY.FORMAT_1),CURRENCY.FORMAT_1,1),"# ##0;-# ##0"),",-"),FIXED(ROUND((C1540/EXC.RATE_1),CURRENCY.FORMAT_1),CURRENCY.FORMAT_1,0)),'DICTIONARY-5'!$A$2)</f>
        <v>2 466,-</v>
      </c>
      <c r="K1540" s="670" t="str">
        <f>IF(EXC.RATE_2=0,"",IFERROR(IF(CURRENCY.FORMAT_2=0,CONCATENATE(TEXT(FIXED(ROUND(IF(EXC.RATE.SWITCH=1,C1540/EXC.RATE_2,C1540*EXC.RATE_2),CURRENCY.FORMAT_2),CURRENCY.FORMAT_2,1),"# ##0;-# ##0"),",-"),FIXED(ROUND(IF(EXC.RATE.SWITCH=1,C1540/EXC.RATE_2,C1540*EXC.RATE_2),CURRENCY.FORMAT_2),CURRENCY.FORMAT_2,0)),'DICTIONARY-5'!$A$2))</f>
        <v/>
      </c>
      <c r="L1540" s="670" t="str">
        <f>IFERROR(IF(CURRENCY.FORMAT_1=0,CONCATENATE(TEXT(FIXED(ROUND((C1540*(1-I1540)*(1-ADD.DISCOUNT)*(1+MAT.SURCHARGE)/EXC.RATE_1),CURRENCY.FORMAT_1),CURRENCY.FORMAT_1,1),"# ##0;-# ##0"),",-"),FIXED(ROUND((C1540*(1-I1540)*(1-ADD.DISCOUNT)*(1+MAT.SURCHARGE)/EXC.RATE_1),CURRENCY.FORMAT_1),CURRENCY.FORMAT_1,0)),'DICTIONARY-5'!$A$2)</f>
        <v>2 562,-</v>
      </c>
      <c r="M1540" s="670" t="str">
        <f>IF(EXC.RATE_2=0,"",IFERROR(IF(CURRENCY.FORMAT_2=0,CONCATENATE(TEXT(FIXED(ROUND(IF(EXC.RATE.SWITCH=1,C1540*(1-I1540)*(1-ADD.DISCOUNT)*(1+MAT.SURCHARGE)/EXC.RATE_2,C1540*(1-I1540)*(1-ADD.DISCOUNT)*(1+MAT.SURCHARGE)*EXC.RATE_2),CURRENCY.FORMAT_2),CURRENCY.FORMAT_2,1),"# ##0;-# ##0"),",-"),FIXED(ROUND(IF(EXC.RATE.SWITCH=1,C1540*(1-I1540)*(1-ADD.DISCOUNT)*(1+MAT.SURCHARGE)/EXC.RATE_2,C1540*(1-I1540)*(1-ADD.DISCOUNT)*(1+MAT.SURCHARGE)*EXC.RATE_2),CURRENCY.FORMAT_2),CURRENCY.FORMAT_2,0)),'DICTIONARY-5'!$A$2))</f>
        <v/>
      </c>
      <c r="N1540" s="541">
        <v>6</v>
      </c>
      <c r="O1540" s="541"/>
      <c r="P1540" s="731" t="str">
        <f>'DICTIONARY-3'!$A$145</f>
        <v>EKN H</v>
      </c>
      <c r="Q1540" s="731" t="str">
        <f>'DICTIONARY-3'!$A$204</f>
        <v>Przepustnica kołnierzowa</v>
      </c>
      <c r="R1540" s="732" t="str">
        <f>CONCATENATE('DICTIONARY-3'!$A$145," ",'DICTIONARY-6'!$A$2," ",'DICTIONARY-2'!$A$2,U1540," ",'DICTIONARY-2'!$A$3,V1540," ","R14",", ",'DICTIONARY-4'!$A$8," ","GSH 63.3")</f>
        <v>EKN H Przep. kołnierz. DN350 PN16 R14, PK GSH 63.3</v>
      </c>
      <c r="S1540" s="733" t="str">
        <f>'DICTIONARY-4'!$A$8</f>
        <v>PK</v>
      </c>
      <c r="T1540" s="732" t="str">
        <f>'DICTIONARY-4'!$A$24</f>
        <v>Przekładnia z kółkiem</v>
      </c>
      <c r="U1540" s="734" t="s">
        <v>5753</v>
      </c>
      <c r="V1540" s="735">
        <v>16</v>
      </c>
      <c r="W1540" s="736"/>
      <c r="X1540" s="737"/>
      <c r="Y1540" s="738"/>
      <c r="Z1540" s="739"/>
      <c r="AA1540" s="739"/>
      <c r="AB1540" s="740">
        <v>16</v>
      </c>
      <c r="AC1540" s="741" t="str">
        <f>'DICTIONARY-5'!$A$11&amp;" 14"</f>
        <v>EN 558 szereg 14</v>
      </c>
      <c r="AD1540" s="741" t="str">
        <f>'DICTIONARY-5'!$A$13</f>
        <v>woda pitna</v>
      </c>
      <c r="AE1540" s="742">
        <v>50</v>
      </c>
      <c r="AF1540" s="743">
        <v>127</v>
      </c>
      <c r="AG1540" s="741" t="str">
        <f>'DICTIONARY-5'!$A$23</f>
        <v>powłoka epoksydowa</v>
      </c>
    </row>
    <row r="1541" spans="1:33" x14ac:dyDescent="0.25">
      <c r="A1541" s="754" t="s">
        <v>7906</v>
      </c>
      <c r="B1541" s="754" t="s">
        <v>7907</v>
      </c>
      <c r="C1541" s="836">
        <v>2629</v>
      </c>
      <c r="D1541" s="836"/>
      <c r="E1541" s="836"/>
      <c r="F1541" s="836"/>
      <c r="G1541" s="496" t="s">
        <v>7830</v>
      </c>
      <c r="H1541" s="797" t="str">
        <f>VLOOKUP(G1541,SETTINGS!$B$7:$D$97,2,0)</f>
        <v>EKN (≤DN600)</v>
      </c>
      <c r="I1541" s="796">
        <f>VLOOKUP(G1541,SETTINGS!$B$7:$D$97,3,0)</f>
        <v>0</v>
      </c>
      <c r="J1541" s="670" t="str">
        <f>IFERROR(IF(CURRENCY.FORMAT_1=0,CONCATENATE(TEXT(FIXED(ROUND((C1541/EXC.RATE_1),CURRENCY.FORMAT_1),CURRENCY.FORMAT_1,1),"# ##0;-# ##0"),",-"),FIXED(ROUND((C1541/EXC.RATE_1),CURRENCY.FORMAT_1),CURRENCY.FORMAT_1,0)),'DICTIONARY-5'!$A$2)</f>
        <v>2 629,-</v>
      </c>
      <c r="K1541" s="670" t="str">
        <f>IF(EXC.RATE_2=0,"",IFERROR(IF(CURRENCY.FORMAT_2=0,CONCATENATE(TEXT(FIXED(ROUND(IF(EXC.RATE.SWITCH=1,C1541/EXC.RATE_2,C1541*EXC.RATE_2),CURRENCY.FORMAT_2),CURRENCY.FORMAT_2,1),"# ##0;-# ##0"),",-"),FIXED(ROUND(IF(EXC.RATE.SWITCH=1,C1541/EXC.RATE_2,C1541*EXC.RATE_2),CURRENCY.FORMAT_2),CURRENCY.FORMAT_2,0)),'DICTIONARY-5'!$A$2))</f>
        <v/>
      </c>
      <c r="L1541" s="670" t="str">
        <f>IFERROR(IF(CURRENCY.FORMAT_1=0,CONCATENATE(TEXT(FIXED(ROUND((C1541*(1-I1541)*(1-ADD.DISCOUNT)*(1+MAT.SURCHARGE)/EXC.RATE_1),CURRENCY.FORMAT_1),CURRENCY.FORMAT_1,1),"# ##0;-# ##0"),",-"),FIXED(ROUND((C1541*(1-I1541)*(1-ADD.DISCOUNT)*(1+MAT.SURCHARGE)/EXC.RATE_1),CURRENCY.FORMAT_1),CURRENCY.FORMAT_1,0)),'DICTIONARY-5'!$A$2)</f>
        <v>2 732,-</v>
      </c>
      <c r="M1541" s="670" t="str">
        <f>IF(EXC.RATE_2=0,"",IFERROR(IF(CURRENCY.FORMAT_2=0,CONCATENATE(TEXT(FIXED(ROUND(IF(EXC.RATE.SWITCH=1,C1541*(1-I1541)*(1-ADD.DISCOUNT)*(1+MAT.SURCHARGE)/EXC.RATE_2,C1541*(1-I1541)*(1-ADD.DISCOUNT)*(1+MAT.SURCHARGE)*EXC.RATE_2),CURRENCY.FORMAT_2),CURRENCY.FORMAT_2,1),"# ##0;-# ##0"),",-"),FIXED(ROUND(IF(EXC.RATE.SWITCH=1,C1541*(1-I1541)*(1-ADD.DISCOUNT)*(1+MAT.SURCHARGE)/EXC.RATE_2,C1541*(1-I1541)*(1-ADD.DISCOUNT)*(1+MAT.SURCHARGE)*EXC.RATE_2),CURRENCY.FORMAT_2),CURRENCY.FORMAT_2,0)),'DICTIONARY-5'!$A$2))</f>
        <v/>
      </c>
      <c r="N1541" s="541">
        <v>6</v>
      </c>
      <c r="O1541" s="541"/>
      <c r="P1541" s="731" t="str">
        <f>'DICTIONARY-3'!$A$145</f>
        <v>EKN H</v>
      </c>
      <c r="Q1541" s="731" t="str">
        <f>'DICTIONARY-3'!$A$204</f>
        <v>Przepustnica kołnierzowa</v>
      </c>
      <c r="R1541" s="732" t="str">
        <f>CONCATENATE('DICTIONARY-3'!$A$145," ",'DICTIONARY-6'!$A$2," ",'DICTIONARY-2'!$A$2,U1541," ",'DICTIONARY-2'!$A$3,V1541," ","R14",", ",'DICTIONARY-4'!$A$8," ","GSH 63.3")</f>
        <v>EKN H Przep. kołnierz. DN400 PN10 R14, PK GSH 63.3</v>
      </c>
      <c r="S1541" s="733" t="str">
        <f>'DICTIONARY-4'!$A$8</f>
        <v>PK</v>
      </c>
      <c r="T1541" s="732" t="str">
        <f>'DICTIONARY-4'!$A$24</f>
        <v>Przekładnia z kółkiem</v>
      </c>
      <c r="U1541" s="734" t="s">
        <v>5754</v>
      </c>
      <c r="V1541" s="735">
        <v>10</v>
      </c>
      <c r="W1541" s="736"/>
      <c r="X1541" s="737"/>
      <c r="Y1541" s="738"/>
      <c r="Z1541" s="739"/>
      <c r="AA1541" s="739"/>
      <c r="AB1541" s="740">
        <v>10</v>
      </c>
      <c r="AC1541" s="741" t="str">
        <f>'DICTIONARY-5'!$A$11&amp;" 14"</f>
        <v>EN 558 szereg 14</v>
      </c>
      <c r="AD1541" s="741" t="str">
        <f>'DICTIONARY-5'!$A$13</f>
        <v>woda pitna</v>
      </c>
      <c r="AE1541" s="742">
        <v>50</v>
      </c>
      <c r="AF1541" s="743">
        <v>146</v>
      </c>
      <c r="AG1541" s="741" t="str">
        <f>'DICTIONARY-5'!$A$23</f>
        <v>powłoka epoksydowa</v>
      </c>
    </row>
    <row r="1542" spans="1:33" x14ac:dyDescent="0.25">
      <c r="A1542" s="754" t="s">
        <v>7908</v>
      </c>
      <c r="B1542" s="754" t="s">
        <v>7909</v>
      </c>
      <c r="C1542" s="836">
        <v>2952</v>
      </c>
      <c r="D1542" s="836"/>
      <c r="E1542" s="836"/>
      <c r="F1542" s="836"/>
      <c r="G1542" s="496" t="s">
        <v>7830</v>
      </c>
      <c r="H1542" s="797" t="str">
        <f>VLOOKUP(G1542,SETTINGS!$B$7:$D$97,2,0)</f>
        <v>EKN (≤DN600)</v>
      </c>
      <c r="I1542" s="796">
        <f>VLOOKUP(G1542,SETTINGS!$B$7:$D$97,3,0)</f>
        <v>0</v>
      </c>
      <c r="J1542" s="670" t="str">
        <f>IFERROR(IF(CURRENCY.FORMAT_1=0,CONCATENATE(TEXT(FIXED(ROUND((C1542/EXC.RATE_1),CURRENCY.FORMAT_1),CURRENCY.FORMAT_1,1),"# ##0;-# ##0"),",-"),FIXED(ROUND((C1542/EXC.RATE_1),CURRENCY.FORMAT_1),CURRENCY.FORMAT_1,0)),'DICTIONARY-5'!$A$2)</f>
        <v>2 952,-</v>
      </c>
      <c r="K1542" s="670" t="str">
        <f>IF(EXC.RATE_2=0,"",IFERROR(IF(CURRENCY.FORMAT_2=0,CONCATENATE(TEXT(FIXED(ROUND(IF(EXC.RATE.SWITCH=1,C1542/EXC.RATE_2,C1542*EXC.RATE_2),CURRENCY.FORMAT_2),CURRENCY.FORMAT_2,1),"# ##0;-# ##0"),",-"),FIXED(ROUND(IF(EXC.RATE.SWITCH=1,C1542/EXC.RATE_2,C1542*EXC.RATE_2),CURRENCY.FORMAT_2),CURRENCY.FORMAT_2,0)),'DICTIONARY-5'!$A$2))</f>
        <v/>
      </c>
      <c r="L1542" s="670" t="str">
        <f>IFERROR(IF(CURRENCY.FORMAT_1=0,CONCATENATE(TEXT(FIXED(ROUND((C1542*(1-I1542)*(1-ADD.DISCOUNT)*(1+MAT.SURCHARGE)/EXC.RATE_1),CURRENCY.FORMAT_1),CURRENCY.FORMAT_1,1),"# ##0;-# ##0"),",-"),FIXED(ROUND((C1542*(1-I1542)*(1-ADD.DISCOUNT)*(1+MAT.SURCHARGE)/EXC.RATE_1),CURRENCY.FORMAT_1),CURRENCY.FORMAT_1,0)),'DICTIONARY-5'!$A$2)</f>
        <v>3 067,-</v>
      </c>
      <c r="M1542" s="670" t="str">
        <f>IF(EXC.RATE_2=0,"",IFERROR(IF(CURRENCY.FORMAT_2=0,CONCATENATE(TEXT(FIXED(ROUND(IF(EXC.RATE.SWITCH=1,C1542*(1-I1542)*(1-ADD.DISCOUNT)*(1+MAT.SURCHARGE)/EXC.RATE_2,C1542*(1-I1542)*(1-ADD.DISCOUNT)*(1+MAT.SURCHARGE)*EXC.RATE_2),CURRENCY.FORMAT_2),CURRENCY.FORMAT_2,1),"# ##0;-# ##0"),",-"),FIXED(ROUND(IF(EXC.RATE.SWITCH=1,C1542*(1-I1542)*(1-ADD.DISCOUNT)*(1+MAT.SURCHARGE)/EXC.RATE_2,C1542*(1-I1542)*(1-ADD.DISCOUNT)*(1+MAT.SURCHARGE)*EXC.RATE_2),CURRENCY.FORMAT_2),CURRENCY.FORMAT_2,0)),'DICTIONARY-5'!$A$2))</f>
        <v/>
      </c>
      <c r="N1542" s="541">
        <v>6</v>
      </c>
      <c r="O1542" s="541"/>
      <c r="P1542" s="731" t="str">
        <f>'DICTIONARY-3'!$A$145</f>
        <v>EKN H</v>
      </c>
      <c r="Q1542" s="731" t="str">
        <f>'DICTIONARY-3'!$A$204</f>
        <v>Przepustnica kołnierzowa</v>
      </c>
      <c r="R1542" s="732" t="str">
        <f>CONCATENATE('DICTIONARY-3'!$A$145," ",'DICTIONARY-6'!$A$2," ",'DICTIONARY-2'!$A$2,U1542," ",'DICTIONARY-2'!$A$3,V1542," ","R14",", ",'DICTIONARY-4'!$A$8," ","GQB 80.1")</f>
        <v>EKN H Przep. kołnierz. DN400 PN16 R14, PK GQB 80.1</v>
      </c>
      <c r="S1542" s="733" t="str">
        <f>'DICTIONARY-4'!$A$8</f>
        <v>PK</v>
      </c>
      <c r="T1542" s="732" t="str">
        <f>'DICTIONARY-4'!$A$24</f>
        <v>Przekładnia z kółkiem</v>
      </c>
      <c r="U1542" s="734" t="s">
        <v>5754</v>
      </c>
      <c r="V1542" s="735">
        <v>16</v>
      </c>
      <c r="W1542" s="736"/>
      <c r="X1542" s="737"/>
      <c r="Y1542" s="738"/>
      <c r="Z1542" s="739"/>
      <c r="AA1542" s="739"/>
      <c r="AB1542" s="740">
        <v>16</v>
      </c>
      <c r="AC1542" s="741" t="str">
        <f>'DICTIONARY-5'!$A$11&amp;" 14"</f>
        <v>EN 558 szereg 14</v>
      </c>
      <c r="AD1542" s="741" t="str">
        <f>'DICTIONARY-5'!$A$13</f>
        <v>woda pitna</v>
      </c>
      <c r="AE1542" s="742">
        <v>50</v>
      </c>
      <c r="AF1542" s="743">
        <v>165</v>
      </c>
      <c r="AG1542" s="741" t="str">
        <f>'DICTIONARY-5'!$A$23</f>
        <v>powłoka epoksydowa</v>
      </c>
    </row>
    <row r="1543" spans="1:33" x14ac:dyDescent="0.25">
      <c r="A1543" s="754" t="s">
        <v>7910</v>
      </c>
      <c r="B1543" s="754" t="s">
        <v>7911</v>
      </c>
      <c r="C1543" s="836">
        <v>3321</v>
      </c>
      <c r="D1543" s="836"/>
      <c r="E1543" s="836"/>
      <c r="F1543" s="836"/>
      <c r="G1543" s="496" t="s">
        <v>7830</v>
      </c>
      <c r="H1543" s="797" t="str">
        <f>VLOOKUP(G1543,SETTINGS!$B$7:$D$97,2,0)</f>
        <v>EKN (≤DN600)</v>
      </c>
      <c r="I1543" s="796">
        <f>VLOOKUP(G1543,SETTINGS!$B$7:$D$97,3,0)</f>
        <v>0</v>
      </c>
      <c r="J1543" s="670" t="str">
        <f>IFERROR(IF(CURRENCY.FORMAT_1=0,CONCATENATE(TEXT(FIXED(ROUND((C1543/EXC.RATE_1),CURRENCY.FORMAT_1),CURRENCY.FORMAT_1,1),"# ##0;-# ##0"),",-"),FIXED(ROUND((C1543/EXC.RATE_1),CURRENCY.FORMAT_1),CURRENCY.FORMAT_1,0)),'DICTIONARY-5'!$A$2)</f>
        <v>3 321,-</v>
      </c>
      <c r="K1543" s="670" t="str">
        <f>IF(EXC.RATE_2=0,"",IFERROR(IF(CURRENCY.FORMAT_2=0,CONCATENATE(TEXT(FIXED(ROUND(IF(EXC.RATE.SWITCH=1,C1543/EXC.RATE_2,C1543*EXC.RATE_2),CURRENCY.FORMAT_2),CURRENCY.FORMAT_2,1),"# ##0;-# ##0"),",-"),FIXED(ROUND(IF(EXC.RATE.SWITCH=1,C1543/EXC.RATE_2,C1543*EXC.RATE_2),CURRENCY.FORMAT_2),CURRENCY.FORMAT_2,0)),'DICTIONARY-5'!$A$2))</f>
        <v/>
      </c>
      <c r="L1543" s="670" t="str">
        <f>IFERROR(IF(CURRENCY.FORMAT_1=0,CONCATENATE(TEXT(FIXED(ROUND((C1543*(1-I1543)*(1-ADD.DISCOUNT)*(1+MAT.SURCHARGE)/EXC.RATE_1),CURRENCY.FORMAT_1),CURRENCY.FORMAT_1,1),"# ##0;-# ##0"),",-"),FIXED(ROUND((C1543*(1-I1543)*(1-ADD.DISCOUNT)*(1+MAT.SURCHARGE)/EXC.RATE_1),CURRENCY.FORMAT_1),CURRENCY.FORMAT_1,0)),'DICTIONARY-5'!$A$2)</f>
        <v>3 451,-</v>
      </c>
      <c r="M1543" s="670" t="str">
        <f>IF(EXC.RATE_2=0,"",IFERROR(IF(CURRENCY.FORMAT_2=0,CONCATENATE(TEXT(FIXED(ROUND(IF(EXC.RATE.SWITCH=1,C1543*(1-I1543)*(1-ADD.DISCOUNT)*(1+MAT.SURCHARGE)/EXC.RATE_2,C1543*(1-I1543)*(1-ADD.DISCOUNT)*(1+MAT.SURCHARGE)*EXC.RATE_2),CURRENCY.FORMAT_2),CURRENCY.FORMAT_2,1),"# ##0;-# ##0"),",-"),FIXED(ROUND(IF(EXC.RATE.SWITCH=1,C1543*(1-I1543)*(1-ADD.DISCOUNT)*(1+MAT.SURCHARGE)/EXC.RATE_2,C1543*(1-I1543)*(1-ADD.DISCOUNT)*(1+MAT.SURCHARGE)*EXC.RATE_2),CURRENCY.FORMAT_2),CURRENCY.FORMAT_2,0)),'DICTIONARY-5'!$A$2))</f>
        <v/>
      </c>
      <c r="N1543" s="541">
        <v>6</v>
      </c>
      <c r="O1543" s="541"/>
      <c r="P1543" s="731" t="str">
        <f>'DICTIONARY-3'!$A$145</f>
        <v>EKN H</v>
      </c>
      <c r="Q1543" s="731" t="str">
        <f>'DICTIONARY-3'!$A$204</f>
        <v>Przepustnica kołnierzowa</v>
      </c>
      <c r="R1543" s="732" t="str">
        <f>CONCATENATE('DICTIONARY-3'!$A$145," ",'DICTIONARY-6'!$A$2," ",'DICTIONARY-2'!$A$2,U1543," ",'DICTIONARY-2'!$A$3,V1543," ","R14",", ",'DICTIONARY-4'!$A$8," ","GQB 80.1")</f>
        <v>EKN H Przep. kołnierz. DN450 PN16 R14, PK GQB 80.1</v>
      </c>
      <c r="S1543" s="733" t="str">
        <f>'DICTIONARY-4'!$A$8</f>
        <v>PK</v>
      </c>
      <c r="T1543" s="732" t="str">
        <f>'DICTIONARY-4'!$A$24</f>
        <v>Przekładnia z kółkiem</v>
      </c>
      <c r="U1543" s="734" t="s">
        <v>5755</v>
      </c>
      <c r="V1543" s="735">
        <v>16</v>
      </c>
      <c r="W1543" s="736"/>
      <c r="X1543" s="737"/>
      <c r="Y1543" s="738"/>
      <c r="Z1543" s="739"/>
      <c r="AA1543" s="739"/>
      <c r="AB1543" s="740">
        <v>16</v>
      </c>
      <c r="AC1543" s="741" t="str">
        <f>'DICTIONARY-5'!$A$11&amp;" 14"</f>
        <v>EN 558 szereg 14</v>
      </c>
      <c r="AD1543" s="741" t="str">
        <f>'DICTIONARY-5'!$A$13</f>
        <v>woda pitna</v>
      </c>
      <c r="AE1543" s="742">
        <v>50</v>
      </c>
      <c r="AF1543" s="743">
        <v>201</v>
      </c>
      <c r="AG1543" s="741" t="str">
        <f>'DICTIONARY-5'!$A$23</f>
        <v>powłoka epoksydowa</v>
      </c>
    </row>
    <row r="1544" spans="1:33" x14ac:dyDescent="0.25">
      <c r="A1544" s="754" t="s">
        <v>7912</v>
      </c>
      <c r="B1544" s="754" t="s">
        <v>7913</v>
      </c>
      <c r="C1544" s="836">
        <v>3243</v>
      </c>
      <c r="D1544" s="836"/>
      <c r="E1544" s="836"/>
      <c r="F1544" s="836"/>
      <c r="G1544" s="496" t="s">
        <v>7830</v>
      </c>
      <c r="H1544" s="797" t="str">
        <f>VLOOKUP(G1544,SETTINGS!$B$7:$D$97,2,0)</f>
        <v>EKN (≤DN600)</v>
      </c>
      <c r="I1544" s="796">
        <f>VLOOKUP(G1544,SETTINGS!$B$7:$D$97,3,0)</f>
        <v>0</v>
      </c>
      <c r="J1544" s="670" t="str">
        <f>IFERROR(IF(CURRENCY.FORMAT_1=0,CONCATENATE(TEXT(FIXED(ROUND((C1544/EXC.RATE_1),CURRENCY.FORMAT_1),CURRENCY.FORMAT_1,1),"# ##0;-# ##0"),",-"),FIXED(ROUND((C1544/EXC.RATE_1),CURRENCY.FORMAT_1),CURRENCY.FORMAT_1,0)),'DICTIONARY-5'!$A$2)</f>
        <v>3 243,-</v>
      </c>
      <c r="K1544" s="670" t="str">
        <f>IF(EXC.RATE_2=0,"",IFERROR(IF(CURRENCY.FORMAT_2=0,CONCATENATE(TEXT(FIXED(ROUND(IF(EXC.RATE.SWITCH=1,C1544/EXC.RATE_2,C1544*EXC.RATE_2),CURRENCY.FORMAT_2),CURRENCY.FORMAT_2,1),"# ##0;-# ##0"),",-"),FIXED(ROUND(IF(EXC.RATE.SWITCH=1,C1544/EXC.RATE_2,C1544*EXC.RATE_2),CURRENCY.FORMAT_2),CURRENCY.FORMAT_2,0)),'DICTIONARY-5'!$A$2))</f>
        <v/>
      </c>
      <c r="L1544" s="670" t="str">
        <f>IFERROR(IF(CURRENCY.FORMAT_1=0,CONCATENATE(TEXT(FIXED(ROUND((C1544*(1-I1544)*(1-ADD.DISCOUNT)*(1+MAT.SURCHARGE)/EXC.RATE_1),CURRENCY.FORMAT_1),CURRENCY.FORMAT_1,1),"# ##0;-# ##0"),",-"),FIXED(ROUND((C1544*(1-I1544)*(1-ADD.DISCOUNT)*(1+MAT.SURCHARGE)/EXC.RATE_1),CURRENCY.FORMAT_1),CURRENCY.FORMAT_1,0)),'DICTIONARY-5'!$A$2)</f>
        <v>3 369,-</v>
      </c>
      <c r="M1544" s="670" t="str">
        <f>IF(EXC.RATE_2=0,"",IFERROR(IF(CURRENCY.FORMAT_2=0,CONCATENATE(TEXT(FIXED(ROUND(IF(EXC.RATE.SWITCH=1,C1544*(1-I1544)*(1-ADD.DISCOUNT)*(1+MAT.SURCHARGE)/EXC.RATE_2,C1544*(1-I1544)*(1-ADD.DISCOUNT)*(1+MAT.SURCHARGE)*EXC.RATE_2),CURRENCY.FORMAT_2),CURRENCY.FORMAT_2,1),"# ##0;-# ##0"),",-"),FIXED(ROUND(IF(EXC.RATE.SWITCH=1,C1544*(1-I1544)*(1-ADD.DISCOUNT)*(1+MAT.SURCHARGE)/EXC.RATE_2,C1544*(1-I1544)*(1-ADD.DISCOUNT)*(1+MAT.SURCHARGE)*EXC.RATE_2),CURRENCY.FORMAT_2),CURRENCY.FORMAT_2,0)),'DICTIONARY-5'!$A$2))</f>
        <v/>
      </c>
      <c r="N1544" s="541">
        <v>6</v>
      </c>
      <c r="O1544" s="541"/>
      <c r="P1544" s="731" t="str">
        <f>'DICTIONARY-3'!$A$145</f>
        <v>EKN H</v>
      </c>
      <c r="Q1544" s="731" t="str">
        <f>'DICTIONARY-3'!$A$204</f>
        <v>Przepustnica kołnierzowa</v>
      </c>
      <c r="R1544" s="732" t="str">
        <f>CONCATENATE('DICTIONARY-3'!$A$145," ",'DICTIONARY-6'!$A$2," ",'DICTIONARY-2'!$A$2,U1544," ",'DICTIONARY-2'!$A$3,V1544," ","R14",", ",'DICTIONARY-4'!$A$8," ","GQB 80.1")</f>
        <v>EKN H Przep. kołnierz. DN500 PN10 R14, PK GQB 80.1</v>
      </c>
      <c r="S1544" s="733" t="str">
        <f>'DICTIONARY-4'!$A$8</f>
        <v>PK</v>
      </c>
      <c r="T1544" s="732" t="str">
        <f>'DICTIONARY-4'!$A$24</f>
        <v>Przekładnia z kółkiem</v>
      </c>
      <c r="U1544" s="734" t="s">
        <v>5756</v>
      </c>
      <c r="V1544" s="735">
        <v>10</v>
      </c>
      <c r="W1544" s="736"/>
      <c r="X1544" s="737"/>
      <c r="Y1544" s="738"/>
      <c r="Z1544" s="739"/>
      <c r="AA1544" s="739"/>
      <c r="AB1544" s="740">
        <v>10</v>
      </c>
      <c r="AC1544" s="741" t="str">
        <f>'DICTIONARY-5'!$A$11&amp;" 14"</f>
        <v>EN 558 szereg 14</v>
      </c>
      <c r="AD1544" s="741" t="str">
        <f>'DICTIONARY-5'!$A$13</f>
        <v>woda pitna</v>
      </c>
      <c r="AE1544" s="742">
        <v>50</v>
      </c>
      <c r="AF1544" s="743">
        <v>208</v>
      </c>
      <c r="AG1544" s="741" t="str">
        <f>'DICTIONARY-5'!$A$23</f>
        <v>powłoka epoksydowa</v>
      </c>
    </row>
    <row r="1545" spans="1:33" x14ac:dyDescent="0.25">
      <c r="A1545" s="754" t="s">
        <v>7914</v>
      </c>
      <c r="B1545" s="754" t="s">
        <v>7915</v>
      </c>
      <c r="C1545" s="836">
        <v>4008</v>
      </c>
      <c r="D1545" s="836"/>
      <c r="E1545" s="836"/>
      <c r="F1545" s="836"/>
      <c r="G1545" s="496" t="s">
        <v>7830</v>
      </c>
      <c r="H1545" s="797" t="str">
        <f>VLOOKUP(G1545,SETTINGS!$B$7:$D$97,2,0)</f>
        <v>EKN (≤DN600)</v>
      </c>
      <c r="I1545" s="796">
        <f>VLOOKUP(G1545,SETTINGS!$B$7:$D$97,3,0)</f>
        <v>0</v>
      </c>
      <c r="J1545" s="670" t="str">
        <f>IFERROR(IF(CURRENCY.FORMAT_1=0,CONCATENATE(TEXT(FIXED(ROUND((C1545/EXC.RATE_1),CURRENCY.FORMAT_1),CURRENCY.FORMAT_1,1),"# ##0;-# ##0"),",-"),FIXED(ROUND((C1545/EXC.RATE_1),CURRENCY.FORMAT_1),CURRENCY.FORMAT_1,0)),'DICTIONARY-5'!$A$2)</f>
        <v>4 008,-</v>
      </c>
      <c r="K1545" s="670" t="str">
        <f>IF(EXC.RATE_2=0,"",IFERROR(IF(CURRENCY.FORMAT_2=0,CONCATENATE(TEXT(FIXED(ROUND(IF(EXC.RATE.SWITCH=1,C1545/EXC.RATE_2,C1545*EXC.RATE_2),CURRENCY.FORMAT_2),CURRENCY.FORMAT_2,1),"# ##0;-# ##0"),",-"),FIXED(ROUND(IF(EXC.RATE.SWITCH=1,C1545/EXC.RATE_2,C1545*EXC.RATE_2),CURRENCY.FORMAT_2),CURRENCY.FORMAT_2,0)),'DICTIONARY-5'!$A$2))</f>
        <v/>
      </c>
      <c r="L1545" s="670" t="str">
        <f>IFERROR(IF(CURRENCY.FORMAT_1=0,CONCATENATE(TEXT(FIXED(ROUND((C1545*(1-I1545)*(1-ADD.DISCOUNT)*(1+MAT.SURCHARGE)/EXC.RATE_1),CURRENCY.FORMAT_1),CURRENCY.FORMAT_1,1),"# ##0;-# ##0"),",-"),FIXED(ROUND((C1545*(1-I1545)*(1-ADD.DISCOUNT)*(1+MAT.SURCHARGE)/EXC.RATE_1),CURRENCY.FORMAT_1),CURRENCY.FORMAT_1,0)),'DICTIONARY-5'!$A$2)</f>
        <v>4 164,-</v>
      </c>
      <c r="M1545" s="670" t="str">
        <f>IF(EXC.RATE_2=0,"",IFERROR(IF(CURRENCY.FORMAT_2=0,CONCATENATE(TEXT(FIXED(ROUND(IF(EXC.RATE.SWITCH=1,C1545*(1-I1545)*(1-ADD.DISCOUNT)*(1+MAT.SURCHARGE)/EXC.RATE_2,C1545*(1-I1545)*(1-ADD.DISCOUNT)*(1+MAT.SURCHARGE)*EXC.RATE_2),CURRENCY.FORMAT_2),CURRENCY.FORMAT_2,1),"# ##0;-# ##0"),",-"),FIXED(ROUND(IF(EXC.RATE.SWITCH=1,C1545*(1-I1545)*(1-ADD.DISCOUNT)*(1+MAT.SURCHARGE)/EXC.RATE_2,C1545*(1-I1545)*(1-ADD.DISCOUNT)*(1+MAT.SURCHARGE)*EXC.RATE_2),CURRENCY.FORMAT_2),CURRENCY.FORMAT_2,0)),'DICTIONARY-5'!$A$2))</f>
        <v/>
      </c>
      <c r="N1545" s="541">
        <v>6</v>
      </c>
      <c r="O1545" s="541"/>
      <c r="P1545" s="731" t="str">
        <f>'DICTIONARY-3'!$A$145</f>
        <v>EKN H</v>
      </c>
      <c r="Q1545" s="731" t="str">
        <f>'DICTIONARY-3'!$A$204</f>
        <v>Przepustnica kołnierzowa</v>
      </c>
      <c r="R1545" s="732" t="str">
        <f>CONCATENATE('DICTIONARY-3'!$A$145," ",'DICTIONARY-6'!$A$2," ",'DICTIONARY-2'!$A$2,U1545," ",'DICTIONARY-2'!$A$3,V1545," ","R14",", ",'DICTIONARY-4'!$A$8," ","GQB 80.1")</f>
        <v>EKN H Przep. kołnierz. DN500 PN16 R14, PK GQB 80.1</v>
      </c>
      <c r="S1545" s="733" t="str">
        <f>'DICTIONARY-4'!$A$8</f>
        <v>PK</v>
      </c>
      <c r="T1545" s="732" t="str">
        <f>'DICTIONARY-4'!$A$24</f>
        <v>Przekładnia z kółkiem</v>
      </c>
      <c r="U1545" s="734" t="s">
        <v>5756</v>
      </c>
      <c r="V1545" s="735">
        <v>16</v>
      </c>
      <c r="W1545" s="736"/>
      <c r="X1545" s="737"/>
      <c r="Y1545" s="738"/>
      <c r="Z1545" s="739"/>
      <c r="AA1545" s="739"/>
      <c r="AB1545" s="740">
        <v>16</v>
      </c>
      <c r="AC1545" s="741" t="str">
        <f>'DICTIONARY-5'!$A$11&amp;" 14"</f>
        <v>EN 558 szereg 14</v>
      </c>
      <c r="AD1545" s="741" t="str">
        <f>'DICTIONARY-5'!$A$13</f>
        <v>woda pitna</v>
      </c>
      <c r="AE1545" s="742">
        <v>50</v>
      </c>
      <c r="AF1545" s="743">
        <v>292</v>
      </c>
      <c r="AG1545" s="741" t="str">
        <f>'DICTIONARY-5'!$A$23</f>
        <v>powłoka epoksydowa</v>
      </c>
    </row>
    <row r="1546" spans="1:33" x14ac:dyDescent="0.25">
      <c r="A1546" s="754" t="s">
        <v>7916</v>
      </c>
      <c r="B1546" s="754" t="s">
        <v>7917</v>
      </c>
      <c r="C1546" s="836">
        <v>4399</v>
      </c>
      <c r="D1546" s="836"/>
      <c r="E1546" s="836"/>
      <c r="F1546" s="836"/>
      <c r="G1546" s="496" t="s">
        <v>7830</v>
      </c>
      <c r="H1546" s="797" t="str">
        <f>VLOOKUP(G1546,SETTINGS!$B$7:$D$97,2,0)</f>
        <v>EKN (≤DN600)</v>
      </c>
      <c r="I1546" s="796">
        <f>VLOOKUP(G1546,SETTINGS!$B$7:$D$97,3,0)</f>
        <v>0</v>
      </c>
      <c r="J1546" s="670" t="str">
        <f>IFERROR(IF(CURRENCY.FORMAT_1=0,CONCATENATE(TEXT(FIXED(ROUND((C1546/EXC.RATE_1),CURRENCY.FORMAT_1),CURRENCY.FORMAT_1,1),"# ##0;-# ##0"),",-"),FIXED(ROUND((C1546/EXC.RATE_1),CURRENCY.FORMAT_1),CURRENCY.FORMAT_1,0)),'DICTIONARY-5'!$A$2)</f>
        <v>4 399,-</v>
      </c>
      <c r="K1546" s="670" t="str">
        <f>IF(EXC.RATE_2=0,"",IFERROR(IF(CURRENCY.FORMAT_2=0,CONCATENATE(TEXT(FIXED(ROUND(IF(EXC.RATE.SWITCH=1,C1546/EXC.RATE_2,C1546*EXC.RATE_2),CURRENCY.FORMAT_2),CURRENCY.FORMAT_2,1),"# ##0;-# ##0"),",-"),FIXED(ROUND(IF(EXC.RATE.SWITCH=1,C1546/EXC.RATE_2,C1546*EXC.RATE_2),CURRENCY.FORMAT_2),CURRENCY.FORMAT_2,0)),'DICTIONARY-5'!$A$2))</f>
        <v/>
      </c>
      <c r="L1546" s="670" t="str">
        <f>IFERROR(IF(CURRENCY.FORMAT_1=0,CONCATENATE(TEXT(FIXED(ROUND((C1546*(1-I1546)*(1-ADD.DISCOUNT)*(1+MAT.SURCHARGE)/EXC.RATE_1),CURRENCY.FORMAT_1),CURRENCY.FORMAT_1,1),"# ##0;-# ##0"),",-"),FIXED(ROUND((C1546*(1-I1546)*(1-ADD.DISCOUNT)*(1+MAT.SURCHARGE)/EXC.RATE_1),CURRENCY.FORMAT_1),CURRENCY.FORMAT_1,0)),'DICTIONARY-5'!$A$2)</f>
        <v>4 571,-</v>
      </c>
      <c r="M1546" s="670" t="str">
        <f>IF(EXC.RATE_2=0,"",IFERROR(IF(CURRENCY.FORMAT_2=0,CONCATENATE(TEXT(FIXED(ROUND(IF(EXC.RATE.SWITCH=1,C1546*(1-I1546)*(1-ADD.DISCOUNT)*(1+MAT.SURCHARGE)/EXC.RATE_2,C1546*(1-I1546)*(1-ADD.DISCOUNT)*(1+MAT.SURCHARGE)*EXC.RATE_2),CURRENCY.FORMAT_2),CURRENCY.FORMAT_2,1),"# ##0;-# ##0"),",-"),FIXED(ROUND(IF(EXC.RATE.SWITCH=1,C1546*(1-I1546)*(1-ADD.DISCOUNT)*(1+MAT.SURCHARGE)/EXC.RATE_2,C1546*(1-I1546)*(1-ADD.DISCOUNT)*(1+MAT.SURCHARGE)*EXC.RATE_2),CURRENCY.FORMAT_2),CURRENCY.FORMAT_2,0)),'DICTIONARY-5'!$A$2))</f>
        <v/>
      </c>
      <c r="N1546" s="541">
        <v>6</v>
      </c>
      <c r="O1546" s="541"/>
      <c r="P1546" s="731" t="str">
        <f>'DICTIONARY-3'!$A$145</f>
        <v>EKN H</v>
      </c>
      <c r="Q1546" s="731" t="str">
        <f>'DICTIONARY-3'!$A$204</f>
        <v>Przepustnica kołnierzowa</v>
      </c>
      <c r="R1546" s="732" t="str">
        <f>CONCATENATE('DICTIONARY-3'!$A$145," ",'DICTIONARY-6'!$A$2," ",'DICTIONARY-2'!$A$2,U1546," ",'DICTIONARY-2'!$A$3,V1546," ","R14",", ",'DICTIONARY-4'!$A$8," ","GQB 100.1")</f>
        <v>EKN H Przep. kołnierz. DN600 PN10 R14, PK GQB 100.1</v>
      </c>
      <c r="S1546" s="733" t="str">
        <f>'DICTIONARY-4'!$A$8</f>
        <v>PK</v>
      </c>
      <c r="T1546" s="732" t="str">
        <f>'DICTIONARY-4'!$A$24</f>
        <v>Przekładnia z kółkiem</v>
      </c>
      <c r="U1546" s="734" t="s">
        <v>5757</v>
      </c>
      <c r="V1546" s="735">
        <v>10</v>
      </c>
      <c r="W1546" s="736"/>
      <c r="X1546" s="737"/>
      <c r="Y1546" s="738"/>
      <c r="Z1546" s="739"/>
      <c r="AA1546" s="739"/>
      <c r="AB1546" s="740">
        <v>10</v>
      </c>
      <c r="AC1546" s="741" t="str">
        <f>'DICTIONARY-5'!$A$11&amp;" 14"</f>
        <v>EN 558 szereg 14</v>
      </c>
      <c r="AD1546" s="741" t="str">
        <f>'DICTIONARY-5'!$A$13</f>
        <v>woda pitna</v>
      </c>
      <c r="AE1546" s="742">
        <v>50</v>
      </c>
      <c r="AF1546" s="743">
        <v>322</v>
      </c>
      <c r="AG1546" s="741" t="str">
        <f>'DICTIONARY-5'!$A$23</f>
        <v>powłoka epoksydowa</v>
      </c>
    </row>
    <row r="1547" spans="1:33" x14ac:dyDescent="0.25">
      <c r="A1547" s="754" t="s">
        <v>7918</v>
      </c>
      <c r="B1547" s="754" t="s">
        <v>7919</v>
      </c>
      <c r="C1547" s="836">
        <v>5714</v>
      </c>
      <c r="D1547" s="836"/>
      <c r="E1547" s="836"/>
      <c r="F1547" s="836"/>
      <c r="G1547" s="496" t="s">
        <v>7830</v>
      </c>
      <c r="H1547" s="797" t="str">
        <f>VLOOKUP(G1547,SETTINGS!$B$7:$D$97,2,0)</f>
        <v>EKN (≤DN600)</v>
      </c>
      <c r="I1547" s="796">
        <f>VLOOKUP(G1547,SETTINGS!$B$7:$D$97,3,0)</f>
        <v>0</v>
      </c>
      <c r="J1547" s="670" t="str">
        <f>IFERROR(IF(CURRENCY.FORMAT_1=0,CONCATENATE(TEXT(FIXED(ROUND((C1547/EXC.RATE_1),CURRENCY.FORMAT_1),CURRENCY.FORMAT_1,1),"# ##0;-# ##0"),",-"),FIXED(ROUND((C1547/EXC.RATE_1),CURRENCY.FORMAT_1),CURRENCY.FORMAT_1,0)),'DICTIONARY-5'!$A$2)</f>
        <v>5 714,-</v>
      </c>
      <c r="K1547" s="670" t="str">
        <f>IF(EXC.RATE_2=0,"",IFERROR(IF(CURRENCY.FORMAT_2=0,CONCATENATE(TEXT(FIXED(ROUND(IF(EXC.RATE.SWITCH=1,C1547/EXC.RATE_2,C1547*EXC.RATE_2),CURRENCY.FORMAT_2),CURRENCY.FORMAT_2,1),"# ##0;-# ##0"),",-"),FIXED(ROUND(IF(EXC.RATE.SWITCH=1,C1547/EXC.RATE_2,C1547*EXC.RATE_2),CURRENCY.FORMAT_2),CURRENCY.FORMAT_2,0)),'DICTIONARY-5'!$A$2))</f>
        <v/>
      </c>
      <c r="L1547" s="670" t="str">
        <f>IFERROR(IF(CURRENCY.FORMAT_1=0,CONCATENATE(TEXT(FIXED(ROUND((C1547*(1-I1547)*(1-ADD.DISCOUNT)*(1+MAT.SURCHARGE)/EXC.RATE_1),CURRENCY.FORMAT_1),CURRENCY.FORMAT_1,1),"# ##0;-# ##0"),",-"),FIXED(ROUND((C1547*(1-I1547)*(1-ADD.DISCOUNT)*(1+MAT.SURCHARGE)/EXC.RATE_1),CURRENCY.FORMAT_1),CURRENCY.FORMAT_1,0)),'DICTIONARY-5'!$A$2)</f>
        <v>5 937,-</v>
      </c>
      <c r="M1547" s="670" t="str">
        <f>IF(EXC.RATE_2=0,"",IFERROR(IF(CURRENCY.FORMAT_2=0,CONCATENATE(TEXT(FIXED(ROUND(IF(EXC.RATE.SWITCH=1,C1547*(1-I1547)*(1-ADD.DISCOUNT)*(1+MAT.SURCHARGE)/EXC.RATE_2,C1547*(1-I1547)*(1-ADD.DISCOUNT)*(1+MAT.SURCHARGE)*EXC.RATE_2),CURRENCY.FORMAT_2),CURRENCY.FORMAT_2,1),"# ##0;-# ##0"),",-"),FIXED(ROUND(IF(EXC.RATE.SWITCH=1,C1547*(1-I1547)*(1-ADD.DISCOUNT)*(1+MAT.SURCHARGE)/EXC.RATE_2,C1547*(1-I1547)*(1-ADD.DISCOUNT)*(1+MAT.SURCHARGE)*EXC.RATE_2),CURRENCY.FORMAT_2),CURRENCY.FORMAT_2,0)),'DICTIONARY-5'!$A$2))</f>
        <v/>
      </c>
      <c r="N1547" s="541">
        <v>6</v>
      </c>
      <c r="O1547" s="541"/>
      <c r="P1547" s="731" t="str">
        <f>'DICTIONARY-3'!$A$145</f>
        <v>EKN H</v>
      </c>
      <c r="Q1547" s="731" t="str">
        <f>'DICTIONARY-3'!$A$204</f>
        <v>Przepustnica kołnierzowa</v>
      </c>
      <c r="R1547" s="732" t="str">
        <f>CONCATENATE('DICTIONARY-3'!$A$145," ",'DICTIONARY-6'!$A$2," ",'DICTIONARY-2'!$A$2,U1547," ",'DICTIONARY-2'!$A$3,V1547," ","R14",", ",'DICTIONARY-4'!$A$8," ","GQB 100.1")</f>
        <v>EKN H Przep. kołnierz. DN600 PN16 R14, PK GQB 100.1</v>
      </c>
      <c r="S1547" s="733" t="str">
        <f>'DICTIONARY-4'!$A$8</f>
        <v>PK</v>
      </c>
      <c r="T1547" s="732" t="str">
        <f>'DICTIONARY-4'!$A$24</f>
        <v>Przekładnia z kółkiem</v>
      </c>
      <c r="U1547" s="734" t="s">
        <v>5757</v>
      </c>
      <c r="V1547" s="735">
        <v>16</v>
      </c>
      <c r="W1547" s="736"/>
      <c r="X1547" s="737"/>
      <c r="Y1547" s="738"/>
      <c r="Z1547" s="739"/>
      <c r="AA1547" s="739"/>
      <c r="AB1547" s="740">
        <v>16</v>
      </c>
      <c r="AC1547" s="741" t="str">
        <f>'DICTIONARY-5'!$A$11&amp;" 14"</f>
        <v>EN 558 szereg 14</v>
      </c>
      <c r="AD1547" s="741" t="str">
        <f>'DICTIONARY-5'!$A$13</f>
        <v>woda pitna</v>
      </c>
      <c r="AE1547" s="742">
        <v>50</v>
      </c>
      <c r="AF1547" s="743">
        <v>451</v>
      </c>
      <c r="AG1547" s="741" t="str">
        <f>'DICTIONARY-5'!$A$23</f>
        <v>powłoka epoksydowa</v>
      </c>
    </row>
    <row r="1548" spans="1:33" x14ac:dyDescent="0.25">
      <c r="A1548" s="754" t="s">
        <v>7920</v>
      </c>
      <c r="B1548" s="866" t="s">
        <v>7921</v>
      </c>
      <c r="C1548" s="836">
        <v>1246</v>
      </c>
      <c r="D1548" s="836"/>
      <c r="E1548" s="836"/>
      <c r="F1548" s="836"/>
      <c r="G1548" s="496" t="s">
        <v>7830</v>
      </c>
      <c r="H1548" s="797" t="str">
        <f>VLOOKUP(G1548,SETTINGS!$B$7:$D$97,2,0)</f>
        <v>EKN (≤DN600)</v>
      </c>
      <c r="I1548" s="796">
        <f>VLOOKUP(G1548,SETTINGS!$B$7:$D$97,3,0)</f>
        <v>0</v>
      </c>
      <c r="J1548" s="670" t="str">
        <f>IFERROR(IF(CURRENCY.FORMAT_1=0,CONCATENATE(TEXT(FIXED(ROUND((C1548/EXC.RATE_1),CURRENCY.FORMAT_1),CURRENCY.FORMAT_1,1),"# ##0;-# ##0"),",-"),FIXED(ROUND((C1548/EXC.RATE_1),CURRENCY.FORMAT_1),CURRENCY.FORMAT_1,0)),'DICTIONARY-5'!$A$2)</f>
        <v>1 246,-</v>
      </c>
      <c r="K1548" s="670" t="str">
        <f>IF(EXC.RATE_2=0,"",IFERROR(IF(CURRENCY.FORMAT_2=0,CONCATENATE(TEXT(FIXED(ROUND(IF(EXC.RATE.SWITCH=1,C1548/EXC.RATE_2,C1548*EXC.RATE_2),CURRENCY.FORMAT_2),CURRENCY.FORMAT_2,1),"# ##0;-# ##0"),",-"),FIXED(ROUND(IF(EXC.RATE.SWITCH=1,C1548/EXC.RATE_2,C1548*EXC.RATE_2),CURRENCY.FORMAT_2),CURRENCY.FORMAT_2,0)),'DICTIONARY-5'!$A$2))</f>
        <v/>
      </c>
      <c r="L1548" s="670" t="str">
        <f>IFERROR(IF(CURRENCY.FORMAT_1=0,CONCATENATE(TEXT(FIXED(ROUND((C1548*(1-I1548)*(1-ADD.DISCOUNT)*(1+MAT.SURCHARGE)/EXC.RATE_1),CURRENCY.FORMAT_1),CURRENCY.FORMAT_1,1),"# ##0;-# ##0"),",-"),FIXED(ROUND((C1548*(1-I1548)*(1-ADD.DISCOUNT)*(1+MAT.SURCHARGE)/EXC.RATE_1),CURRENCY.FORMAT_1),CURRENCY.FORMAT_1,0)),'DICTIONARY-5'!$A$2)</f>
        <v>1 295,-</v>
      </c>
      <c r="M1548" s="670" t="str">
        <f>IF(EXC.RATE_2=0,"",IFERROR(IF(CURRENCY.FORMAT_2=0,CONCATENATE(TEXT(FIXED(ROUND(IF(EXC.RATE.SWITCH=1,C1548*(1-I1548)*(1-ADD.DISCOUNT)*(1+MAT.SURCHARGE)/EXC.RATE_2,C1548*(1-I1548)*(1-ADD.DISCOUNT)*(1+MAT.SURCHARGE)*EXC.RATE_2),CURRENCY.FORMAT_2),CURRENCY.FORMAT_2,1),"# ##0;-# ##0"),",-"),FIXED(ROUND(IF(EXC.RATE.SWITCH=1,C1548*(1-I1548)*(1-ADD.DISCOUNT)*(1+MAT.SURCHARGE)/EXC.RATE_2,C1548*(1-I1548)*(1-ADD.DISCOUNT)*(1+MAT.SURCHARGE)*EXC.RATE_2),CURRENCY.FORMAT_2),CURRENCY.FORMAT_2,0)),'DICTIONARY-5'!$A$2))</f>
        <v/>
      </c>
      <c r="N1548" s="541">
        <v>6</v>
      </c>
      <c r="O1548" s="541"/>
      <c r="P1548" s="731" t="str">
        <f>'DICTIONARY-3'!$A$145</f>
        <v>EKN H</v>
      </c>
      <c r="Q1548" s="731" t="str">
        <f>'DICTIONARY-3'!$A$204</f>
        <v>Przepustnica kołnierzowa</v>
      </c>
      <c r="R1548" s="732" t="str">
        <f>CONCATENATE('DICTIONARY-3'!$A$145," ",'DICTIONARY-6'!$A$2," ",'DICTIONARY-2'!$A$2,U1548," ",'DICTIONARY-2'!$A$3,V1548," ","R14",", ",'DICTIONARY-4'!$A$8," ","GSH 50.3")</f>
        <v>EKN H Przep. kołnierz. DN150 PN25 R14, PK GSH 50.3</v>
      </c>
      <c r="S1548" s="733" t="str">
        <f>'DICTIONARY-4'!$A$8</f>
        <v>PK</v>
      </c>
      <c r="T1548" s="732" t="str">
        <f>'DICTIONARY-4'!$A$24</f>
        <v>Przekładnia z kółkiem</v>
      </c>
      <c r="U1548" s="734" t="s">
        <v>5572</v>
      </c>
      <c r="V1548" s="735">
        <v>25</v>
      </c>
      <c r="W1548" s="736"/>
      <c r="X1548" s="737"/>
      <c r="Y1548" s="738"/>
      <c r="Z1548" s="739"/>
      <c r="AA1548" s="739"/>
      <c r="AB1548" s="740">
        <v>25</v>
      </c>
      <c r="AC1548" s="741" t="str">
        <f>'DICTIONARY-5'!$A$11&amp;" 14"</f>
        <v>EN 558 szereg 14</v>
      </c>
      <c r="AD1548" s="741" t="str">
        <f>'DICTIONARY-5'!$A$13</f>
        <v>woda pitna</v>
      </c>
      <c r="AE1548" s="742">
        <v>50</v>
      </c>
      <c r="AF1548" s="743">
        <v>39</v>
      </c>
      <c r="AG1548" s="741" t="str">
        <f>'DICTIONARY-5'!$A$23</f>
        <v>powłoka epoksydowa</v>
      </c>
    </row>
    <row r="1549" spans="1:33" x14ac:dyDescent="0.25">
      <c r="A1549" s="754" t="s">
        <v>7922</v>
      </c>
      <c r="B1549" s="866" t="s">
        <v>7923</v>
      </c>
      <c r="C1549" s="836">
        <v>1456</v>
      </c>
      <c r="D1549" s="836"/>
      <c r="E1549" s="836"/>
      <c r="F1549" s="836"/>
      <c r="G1549" s="496" t="s">
        <v>7830</v>
      </c>
      <c r="H1549" s="797" t="str">
        <f>VLOOKUP(G1549,SETTINGS!$B$7:$D$97,2,0)</f>
        <v>EKN (≤DN600)</v>
      </c>
      <c r="I1549" s="796">
        <f>VLOOKUP(G1549,SETTINGS!$B$7:$D$97,3,0)</f>
        <v>0</v>
      </c>
      <c r="J1549" s="670" t="str">
        <f>IFERROR(IF(CURRENCY.FORMAT_1=0,CONCATENATE(TEXT(FIXED(ROUND((C1549/EXC.RATE_1),CURRENCY.FORMAT_1),CURRENCY.FORMAT_1,1),"# ##0;-# ##0"),",-"),FIXED(ROUND((C1549/EXC.RATE_1),CURRENCY.FORMAT_1),CURRENCY.FORMAT_1,0)),'DICTIONARY-5'!$A$2)</f>
        <v>1 456,-</v>
      </c>
      <c r="K1549" s="670" t="str">
        <f>IF(EXC.RATE_2=0,"",IFERROR(IF(CURRENCY.FORMAT_2=0,CONCATENATE(TEXT(FIXED(ROUND(IF(EXC.RATE.SWITCH=1,C1549/EXC.RATE_2,C1549*EXC.RATE_2),CURRENCY.FORMAT_2),CURRENCY.FORMAT_2,1),"# ##0;-# ##0"),",-"),FIXED(ROUND(IF(EXC.RATE.SWITCH=1,C1549/EXC.RATE_2,C1549*EXC.RATE_2),CURRENCY.FORMAT_2),CURRENCY.FORMAT_2,0)),'DICTIONARY-5'!$A$2))</f>
        <v/>
      </c>
      <c r="L1549" s="670" t="str">
        <f>IFERROR(IF(CURRENCY.FORMAT_1=0,CONCATENATE(TEXT(FIXED(ROUND((C1549*(1-I1549)*(1-ADD.DISCOUNT)*(1+MAT.SURCHARGE)/EXC.RATE_1),CURRENCY.FORMAT_1),CURRENCY.FORMAT_1,1),"# ##0;-# ##0"),",-"),FIXED(ROUND((C1549*(1-I1549)*(1-ADD.DISCOUNT)*(1+MAT.SURCHARGE)/EXC.RATE_1),CURRENCY.FORMAT_1),CURRENCY.FORMAT_1,0)),'DICTIONARY-5'!$A$2)</f>
        <v>1 513,-</v>
      </c>
      <c r="M1549" s="670" t="str">
        <f>IF(EXC.RATE_2=0,"",IFERROR(IF(CURRENCY.FORMAT_2=0,CONCATENATE(TEXT(FIXED(ROUND(IF(EXC.RATE.SWITCH=1,C1549*(1-I1549)*(1-ADD.DISCOUNT)*(1+MAT.SURCHARGE)/EXC.RATE_2,C1549*(1-I1549)*(1-ADD.DISCOUNT)*(1+MAT.SURCHARGE)*EXC.RATE_2),CURRENCY.FORMAT_2),CURRENCY.FORMAT_2,1),"# ##0;-# ##0"),",-"),FIXED(ROUND(IF(EXC.RATE.SWITCH=1,C1549*(1-I1549)*(1-ADD.DISCOUNT)*(1+MAT.SURCHARGE)/EXC.RATE_2,C1549*(1-I1549)*(1-ADD.DISCOUNT)*(1+MAT.SURCHARGE)*EXC.RATE_2),CURRENCY.FORMAT_2),CURRENCY.FORMAT_2,0)),'DICTIONARY-5'!$A$2))</f>
        <v/>
      </c>
      <c r="N1549" s="541">
        <v>6</v>
      </c>
      <c r="O1549" s="541"/>
      <c r="P1549" s="731" t="str">
        <f>'DICTIONARY-3'!$A$145</f>
        <v>EKN H</v>
      </c>
      <c r="Q1549" s="731" t="str">
        <f>'DICTIONARY-3'!$A$204</f>
        <v>Przepustnica kołnierzowa</v>
      </c>
      <c r="R1549" s="732" t="str">
        <f>CONCATENATE('DICTIONARY-3'!$A$145," ",'DICTIONARY-6'!$A$2," ",'DICTIONARY-2'!$A$2,U1549," ",'DICTIONARY-2'!$A$3,V1549," ","R14",", ",'DICTIONARY-4'!$A$8," ","GSH 50.3")</f>
        <v>EKN H Przep. kołnierz. DN200 PN25 R14, PK GSH 50.3</v>
      </c>
      <c r="S1549" s="733" t="str">
        <f>'DICTIONARY-4'!$A$8</f>
        <v>PK</v>
      </c>
      <c r="T1549" s="732" t="str">
        <f>'DICTIONARY-4'!$A$24</f>
        <v>Przekładnia z kółkiem</v>
      </c>
      <c r="U1549" s="734" t="s">
        <v>5750</v>
      </c>
      <c r="V1549" s="735">
        <v>25</v>
      </c>
      <c r="W1549" s="736"/>
      <c r="X1549" s="737"/>
      <c r="Y1549" s="738"/>
      <c r="Z1549" s="739"/>
      <c r="AA1549" s="739"/>
      <c r="AB1549" s="740">
        <v>25</v>
      </c>
      <c r="AC1549" s="741" t="str">
        <f>'DICTIONARY-5'!$A$11&amp;" 14"</f>
        <v>EN 558 szereg 14</v>
      </c>
      <c r="AD1549" s="741" t="str">
        <f>'DICTIONARY-5'!$A$13</f>
        <v>woda pitna</v>
      </c>
      <c r="AE1549" s="742">
        <v>50</v>
      </c>
      <c r="AF1549" s="743">
        <v>55</v>
      </c>
      <c r="AG1549" s="741" t="str">
        <f>'DICTIONARY-5'!$A$23</f>
        <v>powłoka epoksydowa</v>
      </c>
    </row>
    <row r="1550" spans="1:33" x14ac:dyDescent="0.25">
      <c r="A1550" s="754" t="s">
        <v>7924</v>
      </c>
      <c r="B1550" s="866" t="s">
        <v>7925</v>
      </c>
      <c r="C1550" s="836">
        <v>1710</v>
      </c>
      <c r="D1550" s="836"/>
      <c r="E1550" s="836"/>
      <c r="F1550" s="836"/>
      <c r="G1550" s="496" t="s">
        <v>7830</v>
      </c>
      <c r="H1550" s="797" t="str">
        <f>VLOOKUP(G1550,SETTINGS!$B$7:$D$97,2,0)</f>
        <v>EKN (≤DN600)</v>
      </c>
      <c r="I1550" s="796">
        <f>VLOOKUP(G1550,SETTINGS!$B$7:$D$97,3,0)</f>
        <v>0</v>
      </c>
      <c r="J1550" s="670" t="str">
        <f>IFERROR(IF(CURRENCY.FORMAT_1=0,CONCATENATE(TEXT(FIXED(ROUND((C1550/EXC.RATE_1),CURRENCY.FORMAT_1),CURRENCY.FORMAT_1,1),"# ##0;-# ##0"),",-"),FIXED(ROUND((C1550/EXC.RATE_1),CURRENCY.FORMAT_1),CURRENCY.FORMAT_1,0)),'DICTIONARY-5'!$A$2)</f>
        <v>1 710,-</v>
      </c>
      <c r="K1550" s="670" t="str">
        <f>IF(EXC.RATE_2=0,"",IFERROR(IF(CURRENCY.FORMAT_2=0,CONCATENATE(TEXT(FIXED(ROUND(IF(EXC.RATE.SWITCH=1,C1550/EXC.RATE_2,C1550*EXC.RATE_2),CURRENCY.FORMAT_2),CURRENCY.FORMAT_2,1),"# ##0;-# ##0"),",-"),FIXED(ROUND(IF(EXC.RATE.SWITCH=1,C1550/EXC.RATE_2,C1550*EXC.RATE_2),CURRENCY.FORMAT_2),CURRENCY.FORMAT_2,0)),'DICTIONARY-5'!$A$2))</f>
        <v/>
      </c>
      <c r="L1550" s="670" t="str">
        <f>IFERROR(IF(CURRENCY.FORMAT_1=0,CONCATENATE(TEXT(FIXED(ROUND((C1550*(1-I1550)*(1-ADD.DISCOUNT)*(1+MAT.SURCHARGE)/EXC.RATE_1),CURRENCY.FORMAT_1),CURRENCY.FORMAT_1,1),"# ##0;-# ##0"),",-"),FIXED(ROUND((C1550*(1-I1550)*(1-ADD.DISCOUNT)*(1+MAT.SURCHARGE)/EXC.RATE_1),CURRENCY.FORMAT_1),CURRENCY.FORMAT_1,0)),'DICTIONARY-5'!$A$2)</f>
        <v>1 777,-</v>
      </c>
      <c r="M1550" s="670" t="str">
        <f>IF(EXC.RATE_2=0,"",IFERROR(IF(CURRENCY.FORMAT_2=0,CONCATENATE(TEXT(FIXED(ROUND(IF(EXC.RATE.SWITCH=1,C1550*(1-I1550)*(1-ADD.DISCOUNT)*(1+MAT.SURCHARGE)/EXC.RATE_2,C1550*(1-I1550)*(1-ADD.DISCOUNT)*(1+MAT.SURCHARGE)*EXC.RATE_2),CURRENCY.FORMAT_2),CURRENCY.FORMAT_2,1),"# ##0;-# ##0"),",-"),FIXED(ROUND(IF(EXC.RATE.SWITCH=1,C1550*(1-I1550)*(1-ADD.DISCOUNT)*(1+MAT.SURCHARGE)/EXC.RATE_2,C1550*(1-I1550)*(1-ADD.DISCOUNT)*(1+MAT.SURCHARGE)*EXC.RATE_2),CURRENCY.FORMAT_2),CURRENCY.FORMAT_2,0)),'DICTIONARY-5'!$A$2))</f>
        <v/>
      </c>
      <c r="N1550" s="541">
        <v>6</v>
      </c>
      <c r="O1550" s="541"/>
      <c r="P1550" s="731" t="str">
        <f>'DICTIONARY-3'!$A$145</f>
        <v>EKN H</v>
      </c>
      <c r="Q1550" s="731" t="str">
        <f>'DICTIONARY-3'!$A$204</f>
        <v>Przepustnica kołnierzowa</v>
      </c>
      <c r="R1550" s="732" t="str">
        <f>CONCATENATE('DICTIONARY-3'!$A$145," ",'DICTIONARY-6'!$A$2," ",'DICTIONARY-2'!$A$2,U1550," ",'DICTIONARY-2'!$A$3,V1550," ","R14",", ",'DICTIONARY-4'!$A$8," ","GSH 50.3")</f>
        <v>EKN H Przep. kołnierz. DN250 PN25 R14, PK GSH 50.3</v>
      </c>
      <c r="S1550" s="733" t="str">
        <f>'DICTIONARY-4'!$A$8</f>
        <v>PK</v>
      </c>
      <c r="T1550" s="732" t="str">
        <f>'DICTIONARY-4'!$A$24</f>
        <v>Przekładnia z kółkiem</v>
      </c>
      <c r="U1550" s="734" t="s">
        <v>5751</v>
      </c>
      <c r="V1550" s="735">
        <v>25</v>
      </c>
      <c r="W1550" s="736"/>
      <c r="X1550" s="737"/>
      <c r="Y1550" s="738"/>
      <c r="Z1550" s="739"/>
      <c r="AA1550" s="739"/>
      <c r="AB1550" s="740">
        <v>25</v>
      </c>
      <c r="AC1550" s="741" t="str">
        <f>'DICTIONARY-5'!$A$11&amp;" 14"</f>
        <v>EN 558 szereg 14</v>
      </c>
      <c r="AD1550" s="741" t="str">
        <f>'DICTIONARY-5'!$A$13</f>
        <v>woda pitna</v>
      </c>
      <c r="AE1550" s="742">
        <v>50</v>
      </c>
      <c r="AF1550" s="743">
        <v>73</v>
      </c>
      <c r="AG1550" s="741" t="str">
        <f>'DICTIONARY-5'!$A$23</f>
        <v>powłoka epoksydowa</v>
      </c>
    </row>
    <row r="1551" spans="1:33" x14ac:dyDescent="0.25">
      <c r="A1551" s="754" t="s">
        <v>7926</v>
      </c>
      <c r="B1551" s="866" t="s">
        <v>7927</v>
      </c>
      <c r="C1551" s="836">
        <v>2242</v>
      </c>
      <c r="D1551" s="836"/>
      <c r="E1551" s="836"/>
      <c r="F1551" s="836"/>
      <c r="G1551" s="496" t="s">
        <v>7830</v>
      </c>
      <c r="H1551" s="797" t="str">
        <f>VLOOKUP(G1551,SETTINGS!$B$7:$D$97,2,0)</f>
        <v>EKN (≤DN600)</v>
      </c>
      <c r="I1551" s="796">
        <f>VLOOKUP(G1551,SETTINGS!$B$7:$D$97,3,0)</f>
        <v>0</v>
      </c>
      <c r="J1551" s="670" t="str">
        <f>IFERROR(IF(CURRENCY.FORMAT_1=0,CONCATENATE(TEXT(FIXED(ROUND((C1551/EXC.RATE_1),CURRENCY.FORMAT_1),CURRENCY.FORMAT_1,1),"# ##0;-# ##0"),",-"),FIXED(ROUND((C1551/EXC.RATE_1),CURRENCY.FORMAT_1),CURRENCY.FORMAT_1,0)),'DICTIONARY-5'!$A$2)</f>
        <v>2 242,-</v>
      </c>
      <c r="K1551" s="670" t="str">
        <f>IF(EXC.RATE_2=0,"",IFERROR(IF(CURRENCY.FORMAT_2=0,CONCATENATE(TEXT(FIXED(ROUND(IF(EXC.RATE.SWITCH=1,C1551/EXC.RATE_2,C1551*EXC.RATE_2),CURRENCY.FORMAT_2),CURRENCY.FORMAT_2,1),"# ##0;-# ##0"),",-"),FIXED(ROUND(IF(EXC.RATE.SWITCH=1,C1551/EXC.RATE_2,C1551*EXC.RATE_2),CURRENCY.FORMAT_2),CURRENCY.FORMAT_2,0)),'DICTIONARY-5'!$A$2))</f>
        <v/>
      </c>
      <c r="L1551" s="670" t="str">
        <f>IFERROR(IF(CURRENCY.FORMAT_1=0,CONCATENATE(TEXT(FIXED(ROUND((C1551*(1-I1551)*(1-ADD.DISCOUNT)*(1+MAT.SURCHARGE)/EXC.RATE_1),CURRENCY.FORMAT_1),CURRENCY.FORMAT_1,1),"# ##0;-# ##0"),",-"),FIXED(ROUND((C1551*(1-I1551)*(1-ADD.DISCOUNT)*(1+MAT.SURCHARGE)/EXC.RATE_1),CURRENCY.FORMAT_1),CURRENCY.FORMAT_1,0)),'DICTIONARY-5'!$A$2)</f>
        <v>2 329,-</v>
      </c>
      <c r="M1551" s="670" t="str">
        <f>IF(EXC.RATE_2=0,"",IFERROR(IF(CURRENCY.FORMAT_2=0,CONCATENATE(TEXT(FIXED(ROUND(IF(EXC.RATE.SWITCH=1,C1551*(1-I1551)*(1-ADD.DISCOUNT)*(1+MAT.SURCHARGE)/EXC.RATE_2,C1551*(1-I1551)*(1-ADD.DISCOUNT)*(1+MAT.SURCHARGE)*EXC.RATE_2),CURRENCY.FORMAT_2),CURRENCY.FORMAT_2,1),"# ##0;-# ##0"),",-"),FIXED(ROUND(IF(EXC.RATE.SWITCH=1,C1551*(1-I1551)*(1-ADD.DISCOUNT)*(1+MAT.SURCHARGE)/EXC.RATE_2,C1551*(1-I1551)*(1-ADD.DISCOUNT)*(1+MAT.SURCHARGE)*EXC.RATE_2),CURRENCY.FORMAT_2),CURRENCY.FORMAT_2,0)),'DICTIONARY-5'!$A$2))</f>
        <v/>
      </c>
      <c r="N1551" s="541">
        <v>6</v>
      </c>
      <c r="O1551" s="541"/>
      <c r="P1551" s="731" t="str">
        <f>'DICTIONARY-3'!$A$145</f>
        <v>EKN H</v>
      </c>
      <c r="Q1551" s="731" t="str">
        <f>'DICTIONARY-3'!$A$204</f>
        <v>Przepustnica kołnierzowa</v>
      </c>
      <c r="R1551" s="732" t="str">
        <f>CONCATENATE('DICTIONARY-3'!$A$145," ",'DICTIONARY-6'!$A$2," ",'DICTIONARY-2'!$A$2,U1551," ",'DICTIONARY-2'!$A$3,V1551," ","R14",", ",'DICTIONARY-4'!$A$8," ","GQB 80.1")</f>
        <v>EKN H Przep. kołnierz. DN300 PN25 R14, PK GQB 80.1</v>
      </c>
      <c r="S1551" s="733" t="str">
        <f>'DICTIONARY-4'!$A$8</f>
        <v>PK</v>
      </c>
      <c r="T1551" s="732" t="str">
        <f>'DICTIONARY-4'!$A$24</f>
        <v>Przekładnia z kółkiem</v>
      </c>
      <c r="U1551" s="734" t="s">
        <v>5752</v>
      </c>
      <c r="V1551" s="735">
        <v>25</v>
      </c>
      <c r="W1551" s="736"/>
      <c r="X1551" s="737"/>
      <c r="Y1551" s="738"/>
      <c r="Z1551" s="739"/>
      <c r="AA1551" s="739"/>
      <c r="AB1551" s="740">
        <v>25</v>
      </c>
      <c r="AC1551" s="741" t="str">
        <f>'DICTIONARY-5'!$A$11&amp;" 14"</f>
        <v>EN 558 szereg 14</v>
      </c>
      <c r="AD1551" s="741" t="str">
        <f>'DICTIONARY-5'!$A$13</f>
        <v>woda pitna</v>
      </c>
      <c r="AE1551" s="742">
        <v>50</v>
      </c>
      <c r="AF1551" s="743">
        <v>104</v>
      </c>
      <c r="AG1551" s="741" t="str">
        <f>'DICTIONARY-5'!$A$23</f>
        <v>powłoka epoksydowa</v>
      </c>
    </row>
    <row r="1552" spans="1:33" x14ac:dyDescent="0.25">
      <c r="A1552" s="754" t="s">
        <v>7928</v>
      </c>
      <c r="B1552" s="866" t="s">
        <v>7929</v>
      </c>
      <c r="C1552" s="836">
        <v>2590</v>
      </c>
      <c r="D1552" s="836"/>
      <c r="E1552" s="836"/>
      <c r="F1552" s="836"/>
      <c r="G1552" s="496" t="s">
        <v>7830</v>
      </c>
      <c r="H1552" s="797" t="str">
        <f>VLOOKUP(G1552,SETTINGS!$B$7:$D$97,2,0)</f>
        <v>EKN (≤DN600)</v>
      </c>
      <c r="I1552" s="796">
        <f>VLOOKUP(G1552,SETTINGS!$B$7:$D$97,3,0)</f>
        <v>0</v>
      </c>
      <c r="J1552" s="670" t="str">
        <f>IFERROR(IF(CURRENCY.FORMAT_1=0,CONCATENATE(TEXT(FIXED(ROUND((C1552/EXC.RATE_1),CURRENCY.FORMAT_1),CURRENCY.FORMAT_1,1),"# ##0;-# ##0"),",-"),FIXED(ROUND((C1552/EXC.RATE_1),CURRENCY.FORMAT_1),CURRENCY.FORMAT_1,0)),'DICTIONARY-5'!$A$2)</f>
        <v>2 590,-</v>
      </c>
      <c r="K1552" s="670" t="str">
        <f>IF(EXC.RATE_2=0,"",IFERROR(IF(CURRENCY.FORMAT_2=0,CONCATENATE(TEXT(FIXED(ROUND(IF(EXC.RATE.SWITCH=1,C1552/EXC.RATE_2,C1552*EXC.RATE_2),CURRENCY.FORMAT_2),CURRENCY.FORMAT_2,1),"# ##0;-# ##0"),",-"),FIXED(ROUND(IF(EXC.RATE.SWITCH=1,C1552/EXC.RATE_2,C1552*EXC.RATE_2),CURRENCY.FORMAT_2),CURRENCY.FORMAT_2,0)),'DICTIONARY-5'!$A$2))</f>
        <v/>
      </c>
      <c r="L1552" s="670" t="str">
        <f>IFERROR(IF(CURRENCY.FORMAT_1=0,CONCATENATE(TEXT(FIXED(ROUND((C1552*(1-I1552)*(1-ADD.DISCOUNT)*(1+MAT.SURCHARGE)/EXC.RATE_1),CURRENCY.FORMAT_1),CURRENCY.FORMAT_1,1),"# ##0;-# ##0"),",-"),FIXED(ROUND((C1552*(1-I1552)*(1-ADD.DISCOUNT)*(1+MAT.SURCHARGE)/EXC.RATE_1),CURRENCY.FORMAT_1),CURRENCY.FORMAT_1,0)),'DICTIONARY-5'!$A$2)</f>
        <v>2 691,-</v>
      </c>
      <c r="M1552" s="670" t="str">
        <f>IF(EXC.RATE_2=0,"",IFERROR(IF(CURRENCY.FORMAT_2=0,CONCATENATE(TEXT(FIXED(ROUND(IF(EXC.RATE.SWITCH=1,C1552*(1-I1552)*(1-ADD.DISCOUNT)*(1+MAT.SURCHARGE)/EXC.RATE_2,C1552*(1-I1552)*(1-ADD.DISCOUNT)*(1+MAT.SURCHARGE)*EXC.RATE_2),CURRENCY.FORMAT_2),CURRENCY.FORMAT_2,1),"# ##0;-# ##0"),",-"),FIXED(ROUND(IF(EXC.RATE.SWITCH=1,C1552*(1-I1552)*(1-ADD.DISCOUNT)*(1+MAT.SURCHARGE)/EXC.RATE_2,C1552*(1-I1552)*(1-ADD.DISCOUNT)*(1+MAT.SURCHARGE)*EXC.RATE_2),CURRENCY.FORMAT_2),CURRENCY.FORMAT_2,0)),'DICTIONARY-5'!$A$2))</f>
        <v/>
      </c>
      <c r="N1552" s="541">
        <v>6</v>
      </c>
      <c r="O1552" s="541"/>
      <c r="P1552" s="731" t="str">
        <f>'DICTIONARY-3'!$A$145</f>
        <v>EKN H</v>
      </c>
      <c r="Q1552" s="731" t="str">
        <f>'DICTIONARY-3'!$A$204</f>
        <v>Przepustnica kołnierzowa</v>
      </c>
      <c r="R1552" s="732" t="str">
        <f>CONCATENATE('DICTIONARY-3'!$A$145," ",'DICTIONARY-6'!$A$2," ",'DICTIONARY-2'!$A$2,U1552," ",'DICTIONARY-2'!$A$3,V1552," ","R14",", ",'DICTIONARY-4'!$A$8," ","GQB 80.1")</f>
        <v>EKN H Przep. kołnierz. DN350 PN25 R14, PK GQB 80.1</v>
      </c>
      <c r="S1552" s="733" t="str">
        <f>'DICTIONARY-4'!$A$8</f>
        <v>PK</v>
      </c>
      <c r="T1552" s="732" t="str">
        <f>'DICTIONARY-4'!$A$24</f>
        <v>Przekładnia z kółkiem</v>
      </c>
      <c r="U1552" s="734" t="s">
        <v>5753</v>
      </c>
      <c r="V1552" s="735">
        <v>25</v>
      </c>
      <c r="W1552" s="736"/>
      <c r="X1552" s="737"/>
      <c r="Y1552" s="738"/>
      <c r="Z1552" s="739"/>
      <c r="AA1552" s="739"/>
      <c r="AB1552" s="740">
        <v>25</v>
      </c>
      <c r="AC1552" s="741" t="str">
        <f>'DICTIONARY-5'!$A$11&amp;" 14"</f>
        <v>EN 558 szereg 14</v>
      </c>
      <c r="AD1552" s="741" t="str">
        <f>'DICTIONARY-5'!$A$13</f>
        <v>woda pitna</v>
      </c>
      <c r="AE1552" s="742">
        <v>50</v>
      </c>
      <c r="AF1552" s="743">
        <v>142</v>
      </c>
      <c r="AG1552" s="741" t="str">
        <f>'DICTIONARY-5'!$A$23</f>
        <v>powłoka epoksydowa</v>
      </c>
    </row>
    <row r="1553" spans="1:33" x14ac:dyDescent="0.25">
      <c r="A1553" s="754" t="s">
        <v>7930</v>
      </c>
      <c r="B1553" s="866" t="s">
        <v>7931</v>
      </c>
      <c r="C1553" s="836">
        <v>3047</v>
      </c>
      <c r="D1553" s="836"/>
      <c r="E1553" s="836"/>
      <c r="F1553" s="836"/>
      <c r="G1553" s="496" t="s">
        <v>7830</v>
      </c>
      <c r="H1553" s="797" t="str">
        <f>VLOOKUP(G1553,SETTINGS!$B$7:$D$97,2,0)</f>
        <v>EKN (≤DN600)</v>
      </c>
      <c r="I1553" s="796">
        <f>VLOOKUP(G1553,SETTINGS!$B$7:$D$97,3,0)</f>
        <v>0</v>
      </c>
      <c r="J1553" s="670" t="str">
        <f>IFERROR(IF(CURRENCY.FORMAT_1=0,CONCATENATE(TEXT(FIXED(ROUND((C1553/EXC.RATE_1),CURRENCY.FORMAT_1),CURRENCY.FORMAT_1,1),"# ##0;-# ##0"),",-"),FIXED(ROUND((C1553/EXC.RATE_1),CURRENCY.FORMAT_1),CURRENCY.FORMAT_1,0)),'DICTIONARY-5'!$A$2)</f>
        <v>3 047,-</v>
      </c>
      <c r="K1553" s="670" t="str">
        <f>IF(EXC.RATE_2=0,"",IFERROR(IF(CURRENCY.FORMAT_2=0,CONCATENATE(TEXT(FIXED(ROUND(IF(EXC.RATE.SWITCH=1,C1553/EXC.RATE_2,C1553*EXC.RATE_2),CURRENCY.FORMAT_2),CURRENCY.FORMAT_2,1),"# ##0;-# ##0"),",-"),FIXED(ROUND(IF(EXC.RATE.SWITCH=1,C1553/EXC.RATE_2,C1553*EXC.RATE_2),CURRENCY.FORMAT_2),CURRENCY.FORMAT_2,0)),'DICTIONARY-5'!$A$2))</f>
        <v/>
      </c>
      <c r="L1553" s="670" t="str">
        <f>IFERROR(IF(CURRENCY.FORMAT_1=0,CONCATENATE(TEXT(FIXED(ROUND((C1553*(1-I1553)*(1-ADD.DISCOUNT)*(1+MAT.SURCHARGE)/EXC.RATE_1),CURRENCY.FORMAT_1),CURRENCY.FORMAT_1,1),"# ##0;-# ##0"),",-"),FIXED(ROUND((C1553*(1-I1553)*(1-ADD.DISCOUNT)*(1+MAT.SURCHARGE)/EXC.RATE_1),CURRENCY.FORMAT_1),CURRENCY.FORMAT_1,0)),'DICTIONARY-5'!$A$2)</f>
        <v>3 166,-</v>
      </c>
      <c r="M1553" s="670" t="str">
        <f>IF(EXC.RATE_2=0,"",IFERROR(IF(CURRENCY.FORMAT_2=0,CONCATENATE(TEXT(FIXED(ROUND(IF(EXC.RATE.SWITCH=1,C1553*(1-I1553)*(1-ADD.DISCOUNT)*(1+MAT.SURCHARGE)/EXC.RATE_2,C1553*(1-I1553)*(1-ADD.DISCOUNT)*(1+MAT.SURCHARGE)*EXC.RATE_2),CURRENCY.FORMAT_2),CURRENCY.FORMAT_2,1),"# ##0;-# ##0"),",-"),FIXED(ROUND(IF(EXC.RATE.SWITCH=1,C1553*(1-I1553)*(1-ADD.DISCOUNT)*(1+MAT.SURCHARGE)/EXC.RATE_2,C1553*(1-I1553)*(1-ADD.DISCOUNT)*(1+MAT.SURCHARGE)*EXC.RATE_2),CURRENCY.FORMAT_2),CURRENCY.FORMAT_2,0)),'DICTIONARY-5'!$A$2))</f>
        <v/>
      </c>
      <c r="N1553" s="541">
        <v>6</v>
      </c>
      <c r="O1553" s="541"/>
      <c r="P1553" s="731" t="str">
        <f>'DICTIONARY-3'!$A$145</f>
        <v>EKN H</v>
      </c>
      <c r="Q1553" s="731" t="str">
        <f>'DICTIONARY-3'!$A$204</f>
        <v>Przepustnica kołnierzowa</v>
      </c>
      <c r="R1553" s="732" t="str">
        <f>CONCATENATE('DICTIONARY-3'!$A$145," ",'DICTIONARY-6'!$A$2," ",'DICTIONARY-2'!$A$2,U1553," ",'DICTIONARY-2'!$A$3,V1553," ","R14",", ",'DICTIONARY-4'!$A$8," ","GQB 80.1")</f>
        <v>EKN H Przep. kołnierz. DN400 PN25 R14, PK GQB 80.1</v>
      </c>
      <c r="S1553" s="733" t="str">
        <f>'DICTIONARY-4'!$A$8</f>
        <v>PK</v>
      </c>
      <c r="T1553" s="732" t="str">
        <f>'DICTIONARY-4'!$A$24</f>
        <v>Przekładnia z kółkiem</v>
      </c>
      <c r="U1553" s="734" t="s">
        <v>5754</v>
      </c>
      <c r="V1553" s="735">
        <v>25</v>
      </c>
      <c r="W1553" s="736"/>
      <c r="X1553" s="737"/>
      <c r="Y1553" s="738"/>
      <c r="Z1553" s="739"/>
      <c r="AA1553" s="739"/>
      <c r="AB1553" s="740">
        <v>25</v>
      </c>
      <c r="AC1553" s="741" t="str">
        <f>'DICTIONARY-5'!$A$11&amp;" 14"</f>
        <v>EN 558 szereg 14</v>
      </c>
      <c r="AD1553" s="741" t="str">
        <f>'DICTIONARY-5'!$A$13</f>
        <v>woda pitna</v>
      </c>
      <c r="AE1553" s="742">
        <v>50</v>
      </c>
      <c r="AF1553" s="743">
        <v>170</v>
      </c>
      <c r="AG1553" s="741" t="str">
        <f>'DICTIONARY-5'!$A$23</f>
        <v>powłoka epoksydowa</v>
      </c>
    </row>
    <row r="1554" spans="1:33" x14ac:dyDescent="0.25">
      <c r="A1554" s="754" t="s">
        <v>7932</v>
      </c>
      <c r="B1554" s="866" t="s">
        <v>7933</v>
      </c>
      <c r="C1554" s="836">
        <v>5399</v>
      </c>
      <c r="D1554" s="836"/>
      <c r="E1554" s="836"/>
      <c r="F1554" s="836"/>
      <c r="G1554" s="496" t="s">
        <v>7830</v>
      </c>
      <c r="H1554" s="797" t="str">
        <f>VLOOKUP(G1554,SETTINGS!$B$7:$D$97,2,0)</f>
        <v>EKN (≤DN600)</v>
      </c>
      <c r="I1554" s="796">
        <f>VLOOKUP(G1554,SETTINGS!$B$7:$D$97,3,0)</f>
        <v>0</v>
      </c>
      <c r="J1554" s="670" t="str">
        <f>IFERROR(IF(CURRENCY.FORMAT_1=0,CONCATENATE(TEXT(FIXED(ROUND((C1554/EXC.RATE_1),CURRENCY.FORMAT_1),CURRENCY.FORMAT_1,1),"# ##0;-# ##0"),",-"),FIXED(ROUND((C1554/EXC.RATE_1),CURRENCY.FORMAT_1),CURRENCY.FORMAT_1,0)),'DICTIONARY-5'!$A$2)</f>
        <v>5 399,-</v>
      </c>
      <c r="K1554" s="670" t="str">
        <f>IF(EXC.RATE_2=0,"",IFERROR(IF(CURRENCY.FORMAT_2=0,CONCATENATE(TEXT(FIXED(ROUND(IF(EXC.RATE.SWITCH=1,C1554/EXC.RATE_2,C1554*EXC.RATE_2),CURRENCY.FORMAT_2),CURRENCY.FORMAT_2,1),"# ##0;-# ##0"),",-"),FIXED(ROUND(IF(EXC.RATE.SWITCH=1,C1554/EXC.RATE_2,C1554*EXC.RATE_2),CURRENCY.FORMAT_2),CURRENCY.FORMAT_2,0)),'DICTIONARY-5'!$A$2))</f>
        <v/>
      </c>
      <c r="L1554" s="670" t="str">
        <f>IFERROR(IF(CURRENCY.FORMAT_1=0,CONCATENATE(TEXT(FIXED(ROUND((C1554*(1-I1554)*(1-ADD.DISCOUNT)*(1+MAT.SURCHARGE)/EXC.RATE_1),CURRENCY.FORMAT_1),CURRENCY.FORMAT_1,1),"# ##0;-# ##0"),",-"),FIXED(ROUND((C1554*(1-I1554)*(1-ADD.DISCOUNT)*(1+MAT.SURCHARGE)/EXC.RATE_1),CURRENCY.FORMAT_1),CURRENCY.FORMAT_1,0)),'DICTIONARY-5'!$A$2)</f>
        <v>5 610,-</v>
      </c>
      <c r="M1554" s="670" t="str">
        <f>IF(EXC.RATE_2=0,"",IFERROR(IF(CURRENCY.FORMAT_2=0,CONCATENATE(TEXT(FIXED(ROUND(IF(EXC.RATE.SWITCH=1,C1554*(1-I1554)*(1-ADD.DISCOUNT)*(1+MAT.SURCHARGE)/EXC.RATE_2,C1554*(1-I1554)*(1-ADD.DISCOUNT)*(1+MAT.SURCHARGE)*EXC.RATE_2),CURRENCY.FORMAT_2),CURRENCY.FORMAT_2,1),"# ##0;-# ##0"),",-"),FIXED(ROUND(IF(EXC.RATE.SWITCH=1,C1554*(1-I1554)*(1-ADD.DISCOUNT)*(1+MAT.SURCHARGE)/EXC.RATE_2,C1554*(1-I1554)*(1-ADD.DISCOUNT)*(1+MAT.SURCHARGE)*EXC.RATE_2),CURRENCY.FORMAT_2),CURRENCY.FORMAT_2,0)),'DICTIONARY-5'!$A$2))</f>
        <v/>
      </c>
      <c r="N1554" s="541">
        <v>6</v>
      </c>
      <c r="O1554" s="541"/>
      <c r="P1554" s="731" t="str">
        <f>'DICTIONARY-3'!$A$145</f>
        <v>EKN H</v>
      </c>
      <c r="Q1554" s="731" t="str">
        <f>'DICTIONARY-3'!$A$204</f>
        <v>Przepustnica kołnierzowa</v>
      </c>
      <c r="R1554" s="732" t="str">
        <f>CONCATENATE('DICTIONARY-3'!$A$145," ",'DICTIONARY-6'!$A$2," ",'DICTIONARY-2'!$A$2,U1554," ",'DICTIONARY-2'!$A$3,V1554," ","R14",", ",'DICTIONARY-4'!$A$8," ","GQB 100.1")</f>
        <v>EKN H Przep. kołnierz. DN500 PN25 R14, PK GQB 100.1</v>
      </c>
      <c r="S1554" s="733" t="str">
        <f>'DICTIONARY-4'!$A$8</f>
        <v>PK</v>
      </c>
      <c r="T1554" s="732" t="str">
        <f>'DICTIONARY-4'!$A$24</f>
        <v>Przekładnia z kółkiem</v>
      </c>
      <c r="U1554" s="734" t="s">
        <v>5756</v>
      </c>
      <c r="V1554" s="735">
        <v>25</v>
      </c>
      <c r="W1554" s="736"/>
      <c r="X1554" s="737"/>
      <c r="Y1554" s="738"/>
      <c r="Z1554" s="739"/>
      <c r="AA1554" s="739"/>
      <c r="AB1554" s="740">
        <v>25</v>
      </c>
      <c r="AC1554" s="741" t="str">
        <f>'DICTIONARY-5'!$A$11&amp;" 14"</f>
        <v>EN 558 szereg 14</v>
      </c>
      <c r="AD1554" s="741" t="str">
        <f>'DICTIONARY-5'!$A$13</f>
        <v>woda pitna</v>
      </c>
      <c r="AE1554" s="742">
        <v>50</v>
      </c>
      <c r="AF1554" s="743">
        <v>405</v>
      </c>
      <c r="AG1554" s="741" t="str">
        <f>'DICTIONARY-5'!$A$23</f>
        <v>powłoka epoksydowa</v>
      </c>
    </row>
    <row r="1555" spans="1:33" x14ac:dyDescent="0.25">
      <c r="A1555" s="754" t="s">
        <v>7934</v>
      </c>
      <c r="B1555" s="866" t="s">
        <v>7935</v>
      </c>
      <c r="C1555" s="836">
        <v>7676</v>
      </c>
      <c r="D1555" s="836"/>
      <c r="E1555" s="836"/>
      <c r="F1555" s="836"/>
      <c r="G1555" s="496" t="s">
        <v>7830</v>
      </c>
      <c r="H1555" s="797" t="str">
        <f>VLOOKUP(G1555,SETTINGS!$B$7:$D$97,2,0)</f>
        <v>EKN (≤DN600)</v>
      </c>
      <c r="I1555" s="796">
        <f>VLOOKUP(G1555,SETTINGS!$B$7:$D$97,3,0)</f>
        <v>0</v>
      </c>
      <c r="J1555" s="670" t="str">
        <f>IFERROR(IF(CURRENCY.FORMAT_1=0,CONCATENATE(TEXT(FIXED(ROUND((C1555/EXC.RATE_1),CURRENCY.FORMAT_1),CURRENCY.FORMAT_1,1),"# ##0;-# ##0"),",-"),FIXED(ROUND((C1555/EXC.RATE_1),CURRENCY.FORMAT_1),CURRENCY.FORMAT_1,0)),'DICTIONARY-5'!$A$2)</f>
        <v>7 676,-</v>
      </c>
      <c r="K1555" s="670" t="str">
        <f>IF(EXC.RATE_2=0,"",IFERROR(IF(CURRENCY.FORMAT_2=0,CONCATENATE(TEXT(FIXED(ROUND(IF(EXC.RATE.SWITCH=1,C1555/EXC.RATE_2,C1555*EXC.RATE_2),CURRENCY.FORMAT_2),CURRENCY.FORMAT_2,1),"# ##0;-# ##0"),",-"),FIXED(ROUND(IF(EXC.RATE.SWITCH=1,C1555/EXC.RATE_2,C1555*EXC.RATE_2),CURRENCY.FORMAT_2),CURRENCY.FORMAT_2,0)),'DICTIONARY-5'!$A$2))</f>
        <v/>
      </c>
      <c r="L1555" s="670" t="str">
        <f>IFERROR(IF(CURRENCY.FORMAT_1=0,CONCATENATE(TEXT(FIXED(ROUND((C1555*(1-I1555)*(1-ADD.DISCOUNT)*(1+MAT.SURCHARGE)/EXC.RATE_1),CURRENCY.FORMAT_1),CURRENCY.FORMAT_1,1),"# ##0;-# ##0"),",-"),FIXED(ROUND((C1555*(1-I1555)*(1-ADD.DISCOUNT)*(1+MAT.SURCHARGE)/EXC.RATE_1),CURRENCY.FORMAT_1),CURRENCY.FORMAT_1,0)),'DICTIONARY-5'!$A$2)</f>
        <v>7 975,-</v>
      </c>
      <c r="M1555" s="670" t="str">
        <f>IF(EXC.RATE_2=0,"",IFERROR(IF(CURRENCY.FORMAT_2=0,CONCATENATE(TEXT(FIXED(ROUND(IF(EXC.RATE.SWITCH=1,C1555*(1-I1555)*(1-ADD.DISCOUNT)*(1+MAT.SURCHARGE)/EXC.RATE_2,C1555*(1-I1555)*(1-ADD.DISCOUNT)*(1+MAT.SURCHARGE)*EXC.RATE_2),CURRENCY.FORMAT_2),CURRENCY.FORMAT_2,1),"# ##0;-# ##0"),",-"),FIXED(ROUND(IF(EXC.RATE.SWITCH=1,C1555*(1-I1555)*(1-ADD.DISCOUNT)*(1+MAT.SURCHARGE)/EXC.RATE_2,C1555*(1-I1555)*(1-ADD.DISCOUNT)*(1+MAT.SURCHARGE)*EXC.RATE_2),CURRENCY.FORMAT_2),CURRENCY.FORMAT_2,0)),'DICTIONARY-5'!$A$2))</f>
        <v/>
      </c>
      <c r="N1555" s="541">
        <v>6</v>
      </c>
      <c r="O1555" s="541"/>
      <c r="P1555" s="731" t="str">
        <f>'DICTIONARY-3'!$A$145</f>
        <v>EKN H</v>
      </c>
      <c r="Q1555" s="731" t="str">
        <f>'DICTIONARY-3'!$A$204</f>
        <v>Przepustnica kołnierzowa</v>
      </c>
      <c r="R1555" s="732" t="str">
        <f>CONCATENATE('DICTIONARY-3'!$A$145," ",'DICTIONARY-6'!$A$2," ",'DICTIONARY-2'!$A$2,U1555," ",'DICTIONARY-2'!$A$3,V1555," ","R14",", ",'DICTIONARY-4'!$A$8," ","GQB 100.1")</f>
        <v>EKN H Przep. kołnierz. DN600 PN25 R14, PK GQB 100.1</v>
      </c>
      <c r="S1555" s="733" t="str">
        <f>'DICTIONARY-4'!$A$8</f>
        <v>PK</v>
      </c>
      <c r="T1555" s="732" t="str">
        <f>'DICTIONARY-4'!$A$24</f>
        <v>Przekładnia z kółkiem</v>
      </c>
      <c r="U1555" s="734" t="s">
        <v>5757</v>
      </c>
      <c r="V1555" s="735">
        <v>25</v>
      </c>
      <c r="W1555" s="736"/>
      <c r="X1555" s="737"/>
      <c r="Y1555" s="738"/>
      <c r="Z1555" s="739"/>
      <c r="AA1555" s="739"/>
      <c r="AB1555" s="740">
        <v>25</v>
      </c>
      <c r="AC1555" s="741" t="str">
        <f>'DICTIONARY-5'!$A$11&amp;" 14"</f>
        <v>EN 558 szereg 14</v>
      </c>
      <c r="AD1555" s="741" t="str">
        <f>'DICTIONARY-5'!$A$13</f>
        <v>woda pitna</v>
      </c>
      <c r="AE1555" s="742">
        <v>50</v>
      </c>
      <c r="AF1555" s="743">
        <v>494</v>
      </c>
      <c r="AG1555" s="741" t="str">
        <f>'DICTIONARY-5'!$A$23</f>
        <v>powłoka epoksydowa</v>
      </c>
    </row>
    <row r="1556" spans="1:33" x14ac:dyDescent="0.25">
      <c r="A1556" s="867" t="s">
        <v>4926</v>
      </c>
      <c r="B1556" s="867" t="s">
        <v>1540</v>
      </c>
      <c r="C1556" s="836" t="s">
        <v>5967</v>
      </c>
      <c r="D1556" s="836"/>
      <c r="E1556" s="836"/>
      <c r="F1556" s="836"/>
      <c r="G1556" s="496" t="s">
        <v>7830</v>
      </c>
      <c r="H1556" s="797" t="str">
        <f>VLOOKUP(G1556,SETTINGS!$B$7:$D$97,2,0)</f>
        <v>EKN (≤DN600)</v>
      </c>
      <c r="I1556" s="796">
        <f>VLOOKUP(G1556,SETTINGS!$B$7:$D$97,3,0)</f>
        <v>0</v>
      </c>
      <c r="J1556" s="670" t="str">
        <f>IFERROR(IF(CURRENCY.FORMAT_1=0,CONCATENATE(TEXT(FIXED(ROUND((C1556/EXC.RATE_1),CURRENCY.FORMAT_1),CURRENCY.FORMAT_1,1),"# ##0;-# ##0"),",-"),FIXED(ROUND((C1556/EXC.RATE_1),CURRENCY.FORMAT_1),CURRENCY.FORMAT_1,0)),'DICTIONARY-5'!$A$2)</f>
        <v>na zapytanie</v>
      </c>
      <c r="K1556" s="670" t="str">
        <f>IF(EXC.RATE_2=0,"",IFERROR(IF(CURRENCY.FORMAT_2=0,CONCATENATE(TEXT(FIXED(ROUND(IF(EXC.RATE.SWITCH=1,C1556/EXC.RATE_2,C1556*EXC.RATE_2),CURRENCY.FORMAT_2),CURRENCY.FORMAT_2,1),"# ##0;-# ##0"),",-"),FIXED(ROUND(IF(EXC.RATE.SWITCH=1,C1556/EXC.RATE_2,C1556*EXC.RATE_2),CURRENCY.FORMAT_2),CURRENCY.FORMAT_2,0)),'DICTIONARY-5'!$A$2))</f>
        <v/>
      </c>
      <c r="L1556" s="670" t="str">
        <f>IFERROR(IF(CURRENCY.FORMAT_1=0,CONCATENATE(TEXT(FIXED(ROUND((C1556*(1-I1556)*(1-ADD.DISCOUNT)*(1+MAT.SURCHARGE)/EXC.RATE_1),CURRENCY.FORMAT_1),CURRENCY.FORMAT_1,1),"# ##0;-# ##0"),",-"),FIXED(ROUND((C1556*(1-I1556)*(1-ADD.DISCOUNT)*(1+MAT.SURCHARGE)/EXC.RATE_1),CURRENCY.FORMAT_1),CURRENCY.FORMAT_1,0)),'DICTIONARY-5'!$A$2)</f>
        <v>na zapytanie</v>
      </c>
      <c r="M1556" s="670" t="str">
        <f>IF(EXC.RATE_2=0,"",IFERROR(IF(CURRENCY.FORMAT_2=0,CONCATENATE(TEXT(FIXED(ROUND(IF(EXC.RATE.SWITCH=1,C1556*(1-I1556)*(1-ADD.DISCOUNT)*(1+MAT.SURCHARGE)/EXC.RATE_2,C1556*(1-I1556)*(1-ADD.DISCOUNT)*(1+MAT.SURCHARGE)*EXC.RATE_2),CURRENCY.FORMAT_2),CURRENCY.FORMAT_2,1),"# ##0;-# ##0"),",-"),FIXED(ROUND(IF(EXC.RATE.SWITCH=1,C1556*(1-I1556)*(1-ADD.DISCOUNT)*(1+MAT.SURCHARGE)/EXC.RATE_2,C1556*(1-I1556)*(1-ADD.DISCOUNT)*(1+MAT.SURCHARGE)*EXC.RATE_2),CURRENCY.FORMAT_2),CURRENCY.FORMAT_2,0)),'DICTIONARY-5'!$A$2))</f>
        <v/>
      </c>
      <c r="N1556" s="541">
        <v>6</v>
      </c>
      <c r="O1556" s="541"/>
      <c r="P1556" s="732" t="str">
        <f>'DICTIONARY-3'!$A$146</f>
        <v>EKN M</v>
      </c>
      <c r="Q1556" s="731" t="str">
        <f>'DICTIONARY-3'!$A$204</f>
        <v>Przepustnica kołnierzowa</v>
      </c>
      <c r="R1556" s="732" t="str">
        <f>CONCATENATE('DICTIONARY-3'!$A$146," ",'DICTIONARY-6'!$A$2," ",'DICTIONARY-2'!$A$2,U1556," ",'DICTIONARY-2'!$A$3,"10/",V1556," ","R14",", ",'DICTIONARY-4'!$A$10,)</f>
        <v>EKN M Przep. kołnierz. DN150 PN10/16 R14, PPW</v>
      </c>
      <c r="S1556" s="733" t="str">
        <f>'DICTIONARY-4'!$A$10</f>
        <v>PPW</v>
      </c>
      <c r="T1556" s="732" t="str">
        <f>'DICTIONARY-4'!$A$26</f>
        <v>Przygotowane pod przedł. wrzciona</v>
      </c>
      <c r="U1556" s="734" t="s">
        <v>5572</v>
      </c>
      <c r="V1556" s="735">
        <v>16</v>
      </c>
      <c r="W1556" s="736"/>
      <c r="X1556" s="737"/>
      <c r="Y1556" s="738"/>
      <c r="Z1556" s="739"/>
      <c r="AA1556" s="739"/>
      <c r="AB1556" s="740">
        <v>16</v>
      </c>
      <c r="AC1556" s="741" t="str">
        <f>'DICTIONARY-5'!$A$11&amp;" 14"</f>
        <v>EN 558 szereg 14</v>
      </c>
      <c r="AD1556" s="741" t="str">
        <f>'DICTIONARY-5'!$A$13</f>
        <v>woda pitna</v>
      </c>
      <c r="AE1556" s="742">
        <v>50</v>
      </c>
      <c r="AF1556" s="743">
        <v>30.5</v>
      </c>
      <c r="AG1556" s="741" t="str">
        <f>'DICTIONARY-5'!$A$23</f>
        <v>powłoka epoksydowa</v>
      </c>
    </row>
    <row r="1557" spans="1:33" x14ac:dyDescent="0.25">
      <c r="A1557" s="867" t="s">
        <v>4927</v>
      </c>
      <c r="B1557" s="867" t="s">
        <v>1540</v>
      </c>
      <c r="C1557" s="836" t="s">
        <v>5967</v>
      </c>
      <c r="D1557" s="836"/>
      <c r="E1557" s="836"/>
      <c r="F1557" s="836"/>
      <c r="G1557" s="496" t="s">
        <v>7830</v>
      </c>
      <c r="H1557" s="797" t="str">
        <f>VLOOKUP(G1557,SETTINGS!$B$7:$D$97,2,0)</f>
        <v>EKN (≤DN600)</v>
      </c>
      <c r="I1557" s="796">
        <f>VLOOKUP(G1557,SETTINGS!$B$7:$D$97,3,0)</f>
        <v>0</v>
      </c>
      <c r="J1557" s="670" t="str">
        <f>IFERROR(IF(CURRENCY.FORMAT_1=0,CONCATENATE(TEXT(FIXED(ROUND((C1557/EXC.RATE_1),CURRENCY.FORMAT_1),CURRENCY.FORMAT_1,1),"# ##0;-# ##0"),",-"),FIXED(ROUND((C1557/EXC.RATE_1),CURRENCY.FORMAT_1),CURRENCY.FORMAT_1,0)),'DICTIONARY-5'!$A$2)</f>
        <v>na zapytanie</v>
      </c>
      <c r="K1557" s="670" t="str">
        <f>IF(EXC.RATE_2=0,"",IFERROR(IF(CURRENCY.FORMAT_2=0,CONCATENATE(TEXT(FIXED(ROUND(IF(EXC.RATE.SWITCH=1,C1557/EXC.RATE_2,C1557*EXC.RATE_2),CURRENCY.FORMAT_2),CURRENCY.FORMAT_2,1),"# ##0;-# ##0"),",-"),FIXED(ROUND(IF(EXC.RATE.SWITCH=1,C1557/EXC.RATE_2,C1557*EXC.RATE_2),CURRENCY.FORMAT_2),CURRENCY.FORMAT_2,0)),'DICTIONARY-5'!$A$2))</f>
        <v/>
      </c>
      <c r="L1557" s="670" t="str">
        <f>IFERROR(IF(CURRENCY.FORMAT_1=0,CONCATENATE(TEXT(FIXED(ROUND((C1557*(1-I1557)*(1-ADD.DISCOUNT)*(1+MAT.SURCHARGE)/EXC.RATE_1),CURRENCY.FORMAT_1),CURRENCY.FORMAT_1,1),"# ##0;-# ##0"),",-"),FIXED(ROUND((C1557*(1-I1557)*(1-ADD.DISCOUNT)*(1+MAT.SURCHARGE)/EXC.RATE_1),CURRENCY.FORMAT_1),CURRENCY.FORMAT_1,0)),'DICTIONARY-5'!$A$2)</f>
        <v>na zapytanie</v>
      </c>
      <c r="M1557" s="670" t="str">
        <f>IF(EXC.RATE_2=0,"",IFERROR(IF(CURRENCY.FORMAT_2=0,CONCATENATE(TEXT(FIXED(ROUND(IF(EXC.RATE.SWITCH=1,C1557*(1-I1557)*(1-ADD.DISCOUNT)*(1+MAT.SURCHARGE)/EXC.RATE_2,C1557*(1-I1557)*(1-ADD.DISCOUNT)*(1+MAT.SURCHARGE)*EXC.RATE_2),CURRENCY.FORMAT_2),CURRENCY.FORMAT_2,1),"# ##0;-# ##0"),",-"),FIXED(ROUND(IF(EXC.RATE.SWITCH=1,C1557*(1-I1557)*(1-ADD.DISCOUNT)*(1+MAT.SURCHARGE)/EXC.RATE_2,C1557*(1-I1557)*(1-ADD.DISCOUNT)*(1+MAT.SURCHARGE)*EXC.RATE_2),CURRENCY.FORMAT_2),CURRENCY.FORMAT_2,0)),'DICTIONARY-5'!$A$2))</f>
        <v/>
      </c>
      <c r="N1557" s="541">
        <v>6</v>
      </c>
      <c r="O1557" s="541"/>
      <c r="P1557" s="732" t="str">
        <f>'DICTIONARY-3'!$A$146</f>
        <v>EKN M</v>
      </c>
      <c r="Q1557" s="731" t="str">
        <f>'DICTIONARY-3'!$A$204</f>
        <v>Przepustnica kołnierzowa</v>
      </c>
      <c r="R1557" s="732" t="str">
        <f>CONCATENATE('DICTIONARY-3'!$A$146," ",'DICTIONARY-6'!$A$2," ",'DICTIONARY-2'!$A$2,U1557," ",'DICTIONARY-2'!$A$3,V1557," ","R14",", ",'DICTIONARY-4'!$A$10,)</f>
        <v>EKN M Przep. kołnierz. DN200 PN10 R14, PPW</v>
      </c>
      <c r="S1557" s="733" t="str">
        <f>'DICTIONARY-4'!$A$10</f>
        <v>PPW</v>
      </c>
      <c r="T1557" s="732" t="str">
        <f>'DICTIONARY-4'!$A$26</f>
        <v>Przygotowane pod przedł. wrzciona</v>
      </c>
      <c r="U1557" s="734" t="s">
        <v>5750</v>
      </c>
      <c r="V1557" s="735">
        <v>10</v>
      </c>
      <c r="W1557" s="736"/>
      <c r="X1557" s="737"/>
      <c r="Y1557" s="738"/>
      <c r="Z1557" s="739"/>
      <c r="AA1557" s="739"/>
      <c r="AB1557" s="740">
        <v>10</v>
      </c>
      <c r="AC1557" s="741" t="str">
        <f>'DICTIONARY-5'!$A$11&amp;" 14"</f>
        <v>EN 558 szereg 14</v>
      </c>
      <c r="AD1557" s="741" t="str">
        <f>'DICTIONARY-5'!$A$13</f>
        <v>woda pitna</v>
      </c>
      <c r="AE1557" s="742">
        <v>50</v>
      </c>
      <c r="AF1557" s="743">
        <v>44</v>
      </c>
      <c r="AG1557" s="741" t="str">
        <f>'DICTIONARY-5'!$A$23</f>
        <v>powłoka epoksydowa</v>
      </c>
    </row>
    <row r="1558" spans="1:33" x14ac:dyDescent="0.25">
      <c r="A1558" s="867" t="s">
        <v>4934</v>
      </c>
      <c r="B1558" s="867" t="s">
        <v>1540</v>
      </c>
      <c r="C1558" s="836" t="s">
        <v>5967</v>
      </c>
      <c r="D1558" s="836"/>
      <c r="E1558" s="836"/>
      <c r="F1558" s="836"/>
      <c r="G1558" s="496" t="s">
        <v>7830</v>
      </c>
      <c r="H1558" s="797" t="str">
        <f>VLOOKUP(G1558,SETTINGS!$B$7:$D$97,2,0)</f>
        <v>EKN (≤DN600)</v>
      </c>
      <c r="I1558" s="796">
        <f>VLOOKUP(G1558,SETTINGS!$B$7:$D$97,3,0)</f>
        <v>0</v>
      </c>
      <c r="J1558" s="670" t="str">
        <f>IFERROR(IF(CURRENCY.FORMAT_1=0,CONCATENATE(TEXT(FIXED(ROUND((C1558/EXC.RATE_1),CURRENCY.FORMAT_1),CURRENCY.FORMAT_1,1),"# ##0;-# ##0"),",-"),FIXED(ROUND((C1558/EXC.RATE_1),CURRENCY.FORMAT_1),CURRENCY.FORMAT_1,0)),'DICTIONARY-5'!$A$2)</f>
        <v>na zapytanie</v>
      </c>
      <c r="K1558" s="670" t="str">
        <f>IF(EXC.RATE_2=0,"",IFERROR(IF(CURRENCY.FORMAT_2=0,CONCATENATE(TEXT(FIXED(ROUND(IF(EXC.RATE.SWITCH=1,C1558/EXC.RATE_2,C1558*EXC.RATE_2),CURRENCY.FORMAT_2),CURRENCY.FORMAT_2,1),"# ##0;-# ##0"),",-"),FIXED(ROUND(IF(EXC.RATE.SWITCH=1,C1558/EXC.RATE_2,C1558*EXC.RATE_2),CURRENCY.FORMAT_2),CURRENCY.FORMAT_2,0)),'DICTIONARY-5'!$A$2))</f>
        <v/>
      </c>
      <c r="L1558" s="670" t="str">
        <f>IFERROR(IF(CURRENCY.FORMAT_1=0,CONCATENATE(TEXT(FIXED(ROUND((C1558*(1-I1558)*(1-ADD.DISCOUNT)*(1+MAT.SURCHARGE)/EXC.RATE_1),CURRENCY.FORMAT_1),CURRENCY.FORMAT_1,1),"# ##0;-# ##0"),",-"),FIXED(ROUND((C1558*(1-I1558)*(1-ADD.DISCOUNT)*(1+MAT.SURCHARGE)/EXC.RATE_1),CURRENCY.FORMAT_1),CURRENCY.FORMAT_1,0)),'DICTIONARY-5'!$A$2)</f>
        <v>na zapytanie</v>
      </c>
      <c r="M1558" s="670" t="str">
        <f>IF(EXC.RATE_2=0,"",IFERROR(IF(CURRENCY.FORMAT_2=0,CONCATENATE(TEXT(FIXED(ROUND(IF(EXC.RATE.SWITCH=1,C1558*(1-I1558)*(1-ADD.DISCOUNT)*(1+MAT.SURCHARGE)/EXC.RATE_2,C1558*(1-I1558)*(1-ADD.DISCOUNT)*(1+MAT.SURCHARGE)*EXC.RATE_2),CURRENCY.FORMAT_2),CURRENCY.FORMAT_2,1),"# ##0;-# ##0"),",-"),FIXED(ROUND(IF(EXC.RATE.SWITCH=1,C1558*(1-I1558)*(1-ADD.DISCOUNT)*(1+MAT.SURCHARGE)/EXC.RATE_2,C1558*(1-I1558)*(1-ADD.DISCOUNT)*(1+MAT.SURCHARGE)*EXC.RATE_2),CURRENCY.FORMAT_2),CURRENCY.FORMAT_2,0)),'DICTIONARY-5'!$A$2))</f>
        <v/>
      </c>
      <c r="N1558" s="541">
        <v>6</v>
      </c>
      <c r="O1558" s="541"/>
      <c r="P1558" s="732" t="str">
        <f>'DICTIONARY-3'!$A$146</f>
        <v>EKN M</v>
      </c>
      <c r="Q1558" s="731" t="str">
        <f>'DICTIONARY-3'!$A$204</f>
        <v>Przepustnica kołnierzowa</v>
      </c>
      <c r="R1558" s="732" t="str">
        <f>CONCATENATE('DICTIONARY-3'!$A$146," ",'DICTIONARY-6'!$A$2," ",'DICTIONARY-2'!$A$2,U1558," ",'DICTIONARY-2'!$A$3,V1558," ","R14",", ",'DICTIONARY-4'!$A$10,)</f>
        <v>EKN M Przep. kołnierz. DN200 PN16 R14, PPW</v>
      </c>
      <c r="S1558" s="733" t="str">
        <f>'DICTIONARY-4'!$A$10</f>
        <v>PPW</v>
      </c>
      <c r="T1558" s="732" t="str">
        <f>'DICTIONARY-4'!$A$26</f>
        <v>Przygotowane pod przedł. wrzciona</v>
      </c>
      <c r="U1558" s="734" t="s">
        <v>5750</v>
      </c>
      <c r="V1558" s="735">
        <v>16</v>
      </c>
      <c r="W1558" s="736"/>
      <c r="X1558" s="737"/>
      <c r="Y1558" s="738"/>
      <c r="Z1558" s="739"/>
      <c r="AA1558" s="739"/>
      <c r="AB1558" s="740">
        <v>16</v>
      </c>
      <c r="AC1558" s="741" t="str">
        <f>'DICTIONARY-5'!$A$11&amp;" 14"</f>
        <v>EN 558 szereg 14</v>
      </c>
      <c r="AD1558" s="741" t="str">
        <f>'DICTIONARY-5'!$A$13</f>
        <v>woda pitna</v>
      </c>
      <c r="AE1558" s="742">
        <v>50</v>
      </c>
      <c r="AF1558" s="743">
        <v>46</v>
      </c>
      <c r="AG1558" s="741" t="str">
        <f>'DICTIONARY-5'!$A$23</f>
        <v>powłoka epoksydowa</v>
      </c>
    </row>
    <row r="1559" spans="1:33" x14ac:dyDescent="0.25">
      <c r="A1559" s="867" t="s">
        <v>4928</v>
      </c>
      <c r="B1559" s="867" t="s">
        <v>1540</v>
      </c>
      <c r="C1559" s="836" t="s">
        <v>5967</v>
      </c>
      <c r="D1559" s="836"/>
      <c r="E1559" s="836"/>
      <c r="F1559" s="836"/>
      <c r="G1559" s="496" t="s">
        <v>7830</v>
      </c>
      <c r="H1559" s="797" t="str">
        <f>VLOOKUP(G1559,SETTINGS!$B$7:$D$97,2,0)</f>
        <v>EKN (≤DN600)</v>
      </c>
      <c r="I1559" s="796">
        <f>VLOOKUP(G1559,SETTINGS!$B$7:$D$97,3,0)</f>
        <v>0</v>
      </c>
      <c r="J1559" s="670" t="str">
        <f>IFERROR(IF(CURRENCY.FORMAT_1=0,CONCATENATE(TEXT(FIXED(ROUND((C1559/EXC.RATE_1),CURRENCY.FORMAT_1),CURRENCY.FORMAT_1,1),"# ##0;-# ##0"),",-"),FIXED(ROUND((C1559/EXC.RATE_1),CURRENCY.FORMAT_1),CURRENCY.FORMAT_1,0)),'DICTIONARY-5'!$A$2)</f>
        <v>na zapytanie</v>
      </c>
      <c r="K1559" s="670" t="str">
        <f>IF(EXC.RATE_2=0,"",IFERROR(IF(CURRENCY.FORMAT_2=0,CONCATENATE(TEXT(FIXED(ROUND(IF(EXC.RATE.SWITCH=1,C1559/EXC.RATE_2,C1559*EXC.RATE_2),CURRENCY.FORMAT_2),CURRENCY.FORMAT_2,1),"# ##0;-# ##0"),",-"),FIXED(ROUND(IF(EXC.RATE.SWITCH=1,C1559/EXC.RATE_2,C1559*EXC.RATE_2),CURRENCY.FORMAT_2),CURRENCY.FORMAT_2,0)),'DICTIONARY-5'!$A$2))</f>
        <v/>
      </c>
      <c r="L1559" s="670" t="str">
        <f>IFERROR(IF(CURRENCY.FORMAT_1=0,CONCATENATE(TEXT(FIXED(ROUND((C1559*(1-I1559)*(1-ADD.DISCOUNT)*(1+MAT.SURCHARGE)/EXC.RATE_1),CURRENCY.FORMAT_1),CURRENCY.FORMAT_1,1),"# ##0;-# ##0"),",-"),FIXED(ROUND((C1559*(1-I1559)*(1-ADD.DISCOUNT)*(1+MAT.SURCHARGE)/EXC.RATE_1),CURRENCY.FORMAT_1),CURRENCY.FORMAT_1,0)),'DICTIONARY-5'!$A$2)</f>
        <v>na zapytanie</v>
      </c>
      <c r="M1559" s="670" t="str">
        <f>IF(EXC.RATE_2=0,"",IFERROR(IF(CURRENCY.FORMAT_2=0,CONCATENATE(TEXT(FIXED(ROUND(IF(EXC.RATE.SWITCH=1,C1559*(1-I1559)*(1-ADD.DISCOUNT)*(1+MAT.SURCHARGE)/EXC.RATE_2,C1559*(1-I1559)*(1-ADD.DISCOUNT)*(1+MAT.SURCHARGE)*EXC.RATE_2),CURRENCY.FORMAT_2),CURRENCY.FORMAT_2,1),"# ##0;-# ##0"),",-"),FIXED(ROUND(IF(EXC.RATE.SWITCH=1,C1559*(1-I1559)*(1-ADD.DISCOUNT)*(1+MAT.SURCHARGE)/EXC.RATE_2,C1559*(1-I1559)*(1-ADD.DISCOUNT)*(1+MAT.SURCHARGE)*EXC.RATE_2),CURRENCY.FORMAT_2),CURRENCY.FORMAT_2,0)),'DICTIONARY-5'!$A$2))</f>
        <v/>
      </c>
      <c r="N1559" s="541">
        <v>6</v>
      </c>
      <c r="O1559" s="541"/>
      <c r="P1559" s="732" t="str">
        <f>'DICTIONARY-3'!$A$146</f>
        <v>EKN M</v>
      </c>
      <c r="Q1559" s="731" t="str">
        <f>'DICTIONARY-3'!$A$204</f>
        <v>Przepustnica kołnierzowa</v>
      </c>
      <c r="R1559" s="732" t="str">
        <f>CONCATENATE('DICTIONARY-3'!$A$146," ",'DICTIONARY-6'!$A$2," ",'DICTIONARY-2'!$A$2,U1559," ",'DICTIONARY-2'!$A$3,V1559," ","R14",", ",'DICTIONARY-4'!$A$10,)</f>
        <v>EKN M Przep. kołnierz. DN250 PN10 R14, PPW</v>
      </c>
      <c r="S1559" s="733" t="str">
        <f>'DICTIONARY-4'!$A$10</f>
        <v>PPW</v>
      </c>
      <c r="T1559" s="732" t="str">
        <f>'DICTIONARY-4'!$A$26</f>
        <v>Przygotowane pod przedł. wrzciona</v>
      </c>
      <c r="U1559" s="734" t="s">
        <v>5751</v>
      </c>
      <c r="V1559" s="735">
        <v>10</v>
      </c>
      <c r="W1559" s="736"/>
      <c r="X1559" s="737"/>
      <c r="Y1559" s="738"/>
      <c r="Z1559" s="739"/>
      <c r="AA1559" s="739"/>
      <c r="AB1559" s="740">
        <v>10</v>
      </c>
      <c r="AC1559" s="741" t="str">
        <f>'DICTIONARY-5'!$A$11&amp;" 14"</f>
        <v>EN 558 szereg 14</v>
      </c>
      <c r="AD1559" s="741" t="str">
        <f>'DICTIONARY-5'!$A$13</f>
        <v>woda pitna</v>
      </c>
      <c r="AE1559" s="742">
        <v>50</v>
      </c>
      <c r="AF1559" s="743">
        <v>64</v>
      </c>
      <c r="AG1559" s="741" t="str">
        <f>'DICTIONARY-5'!$A$23</f>
        <v>powłoka epoksydowa</v>
      </c>
    </row>
    <row r="1560" spans="1:33" x14ac:dyDescent="0.25">
      <c r="A1560" s="867" t="s">
        <v>4935</v>
      </c>
      <c r="B1560" s="867" t="s">
        <v>1540</v>
      </c>
      <c r="C1560" s="836" t="s">
        <v>5967</v>
      </c>
      <c r="D1560" s="836"/>
      <c r="E1560" s="836"/>
      <c r="F1560" s="836"/>
      <c r="G1560" s="496" t="s">
        <v>7830</v>
      </c>
      <c r="H1560" s="797" t="str">
        <f>VLOOKUP(G1560,SETTINGS!$B$7:$D$97,2,0)</f>
        <v>EKN (≤DN600)</v>
      </c>
      <c r="I1560" s="796">
        <f>VLOOKUP(G1560,SETTINGS!$B$7:$D$97,3,0)</f>
        <v>0</v>
      </c>
      <c r="J1560" s="670" t="str">
        <f>IFERROR(IF(CURRENCY.FORMAT_1=0,CONCATENATE(TEXT(FIXED(ROUND((C1560/EXC.RATE_1),CURRENCY.FORMAT_1),CURRENCY.FORMAT_1,1),"# ##0;-# ##0"),",-"),FIXED(ROUND((C1560/EXC.RATE_1),CURRENCY.FORMAT_1),CURRENCY.FORMAT_1,0)),'DICTIONARY-5'!$A$2)</f>
        <v>na zapytanie</v>
      </c>
      <c r="K1560" s="670" t="str">
        <f>IF(EXC.RATE_2=0,"",IFERROR(IF(CURRENCY.FORMAT_2=0,CONCATENATE(TEXT(FIXED(ROUND(IF(EXC.RATE.SWITCH=1,C1560/EXC.RATE_2,C1560*EXC.RATE_2),CURRENCY.FORMAT_2),CURRENCY.FORMAT_2,1),"# ##0;-# ##0"),",-"),FIXED(ROUND(IF(EXC.RATE.SWITCH=1,C1560/EXC.RATE_2,C1560*EXC.RATE_2),CURRENCY.FORMAT_2),CURRENCY.FORMAT_2,0)),'DICTIONARY-5'!$A$2))</f>
        <v/>
      </c>
      <c r="L1560" s="670" t="str">
        <f>IFERROR(IF(CURRENCY.FORMAT_1=0,CONCATENATE(TEXT(FIXED(ROUND((C1560*(1-I1560)*(1-ADD.DISCOUNT)*(1+MAT.SURCHARGE)/EXC.RATE_1),CURRENCY.FORMAT_1),CURRENCY.FORMAT_1,1),"# ##0;-# ##0"),",-"),FIXED(ROUND((C1560*(1-I1560)*(1-ADD.DISCOUNT)*(1+MAT.SURCHARGE)/EXC.RATE_1),CURRENCY.FORMAT_1),CURRENCY.FORMAT_1,0)),'DICTIONARY-5'!$A$2)</f>
        <v>na zapytanie</v>
      </c>
      <c r="M1560" s="670" t="str">
        <f>IF(EXC.RATE_2=0,"",IFERROR(IF(CURRENCY.FORMAT_2=0,CONCATENATE(TEXT(FIXED(ROUND(IF(EXC.RATE.SWITCH=1,C1560*(1-I1560)*(1-ADD.DISCOUNT)*(1+MAT.SURCHARGE)/EXC.RATE_2,C1560*(1-I1560)*(1-ADD.DISCOUNT)*(1+MAT.SURCHARGE)*EXC.RATE_2),CURRENCY.FORMAT_2),CURRENCY.FORMAT_2,1),"# ##0;-# ##0"),",-"),FIXED(ROUND(IF(EXC.RATE.SWITCH=1,C1560*(1-I1560)*(1-ADD.DISCOUNT)*(1+MAT.SURCHARGE)/EXC.RATE_2,C1560*(1-I1560)*(1-ADD.DISCOUNT)*(1+MAT.SURCHARGE)*EXC.RATE_2),CURRENCY.FORMAT_2),CURRENCY.FORMAT_2,0)),'DICTIONARY-5'!$A$2))</f>
        <v/>
      </c>
      <c r="N1560" s="541">
        <v>6</v>
      </c>
      <c r="O1560" s="541"/>
      <c r="P1560" s="732" t="str">
        <f>'DICTIONARY-3'!$A$146</f>
        <v>EKN M</v>
      </c>
      <c r="Q1560" s="731" t="str">
        <f>'DICTIONARY-3'!$A$204</f>
        <v>Przepustnica kołnierzowa</v>
      </c>
      <c r="R1560" s="732" t="str">
        <f>CONCATENATE('DICTIONARY-3'!$A$146," ",'DICTIONARY-6'!$A$2," ",'DICTIONARY-2'!$A$2,U1560," ",'DICTIONARY-2'!$A$3,V1560," ","R14",", ",'DICTIONARY-4'!$A$10,)</f>
        <v>EKN M Przep. kołnierz. DN250 PN16 R14, PPW</v>
      </c>
      <c r="S1560" s="733" t="str">
        <f>'DICTIONARY-4'!$A$10</f>
        <v>PPW</v>
      </c>
      <c r="T1560" s="732" t="str">
        <f>'DICTIONARY-4'!$A$26</f>
        <v>Przygotowane pod przedł. wrzciona</v>
      </c>
      <c r="U1560" s="734" t="s">
        <v>5751</v>
      </c>
      <c r="V1560" s="735">
        <v>16</v>
      </c>
      <c r="W1560" s="736"/>
      <c r="X1560" s="737"/>
      <c r="Y1560" s="738"/>
      <c r="Z1560" s="739"/>
      <c r="AA1560" s="739"/>
      <c r="AB1560" s="740">
        <v>16</v>
      </c>
      <c r="AC1560" s="741" t="str">
        <f>'DICTIONARY-5'!$A$11&amp;" 14"</f>
        <v>EN 558 szereg 14</v>
      </c>
      <c r="AD1560" s="741" t="str">
        <f>'DICTIONARY-5'!$A$13</f>
        <v>woda pitna</v>
      </c>
      <c r="AE1560" s="742">
        <v>50</v>
      </c>
      <c r="AF1560" s="743">
        <v>64</v>
      </c>
      <c r="AG1560" s="741" t="str">
        <f>'DICTIONARY-5'!$A$23</f>
        <v>powłoka epoksydowa</v>
      </c>
    </row>
    <row r="1561" spans="1:33" x14ac:dyDescent="0.25">
      <c r="A1561" s="867" t="s">
        <v>4929</v>
      </c>
      <c r="B1561" s="867" t="s">
        <v>1540</v>
      </c>
      <c r="C1561" s="836" t="s">
        <v>5967</v>
      </c>
      <c r="D1561" s="836"/>
      <c r="E1561" s="836"/>
      <c r="F1561" s="836"/>
      <c r="G1561" s="496" t="s">
        <v>7830</v>
      </c>
      <c r="H1561" s="797" t="str">
        <f>VLOOKUP(G1561,SETTINGS!$B$7:$D$97,2,0)</f>
        <v>EKN (≤DN600)</v>
      </c>
      <c r="I1561" s="796">
        <f>VLOOKUP(G1561,SETTINGS!$B$7:$D$97,3,0)</f>
        <v>0</v>
      </c>
      <c r="J1561" s="670" t="str">
        <f>IFERROR(IF(CURRENCY.FORMAT_1=0,CONCATENATE(TEXT(FIXED(ROUND((C1561/EXC.RATE_1),CURRENCY.FORMAT_1),CURRENCY.FORMAT_1,1),"# ##0;-# ##0"),",-"),FIXED(ROUND((C1561/EXC.RATE_1),CURRENCY.FORMAT_1),CURRENCY.FORMAT_1,0)),'DICTIONARY-5'!$A$2)</f>
        <v>na zapytanie</v>
      </c>
      <c r="K1561" s="670" t="str">
        <f>IF(EXC.RATE_2=0,"",IFERROR(IF(CURRENCY.FORMAT_2=0,CONCATENATE(TEXT(FIXED(ROUND(IF(EXC.RATE.SWITCH=1,C1561/EXC.RATE_2,C1561*EXC.RATE_2),CURRENCY.FORMAT_2),CURRENCY.FORMAT_2,1),"# ##0;-# ##0"),",-"),FIXED(ROUND(IF(EXC.RATE.SWITCH=1,C1561/EXC.RATE_2,C1561*EXC.RATE_2),CURRENCY.FORMAT_2),CURRENCY.FORMAT_2,0)),'DICTIONARY-5'!$A$2))</f>
        <v/>
      </c>
      <c r="L1561" s="670" t="str">
        <f>IFERROR(IF(CURRENCY.FORMAT_1=0,CONCATENATE(TEXT(FIXED(ROUND((C1561*(1-I1561)*(1-ADD.DISCOUNT)*(1+MAT.SURCHARGE)/EXC.RATE_1),CURRENCY.FORMAT_1),CURRENCY.FORMAT_1,1),"# ##0;-# ##0"),",-"),FIXED(ROUND((C1561*(1-I1561)*(1-ADD.DISCOUNT)*(1+MAT.SURCHARGE)/EXC.RATE_1),CURRENCY.FORMAT_1),CURRENCY.FORMAT_1,0)),'DICTIONARY-5'!$A$2)</f>
        <v>na zapytanie</v>
      </c>
      <c r="M1561" s="670" t="str">
        <f>IF(EXC.RATE_2=0,"",IFERROR(IF(CURRENCY.FORMAT_2=0,CONCATENATE(TEXT(FIXED(ROUND(IF(EXC.RATE.SWITCH=1,C1561*(1-I1561)*(1-ADD.DISCOUNT)*(1+MAT.SURCHARGE)/EXC.RATE_2,C1561*(1-I1561)*(1-ADD.DISCOUNT)*(1+MAT.SURCHARGE)*EXC.RATE_2),CURRENCY.FORMAT_2),CURRENCY.FORMAT_2,1),"# ##0;-# ##0"),",-"),FIXED(ROUND(IF(EXC.RATE.SWITCH=1,C1561*(1-I1561)*(1-ADD.DISCOUNT)*(1+MAT.SURCHARGE)/EXC.RATE_2,C1561*(1-I1561)*(1-ADD.DISCOUNT)*(1+MAT.SURCHARGE)*EXC.RATE_2),CURRENCY.FORMAT_2),CURRENCY.FORMAT_2,0)),'DICTIONARY-5'!$A$2))</f>
        <v/>
      </c>
      <c r="N1561" s="541">
        <v>6</v>
      </c>
      <c r="O1561" s="541"/>
      <c r="P1561" s="732" t="str">
        <f>'DICTIONARY-3'!$A$146</f>
        <v>EKN M</v>
      </c>
      <c r="Q1561" s="731" t="str">
        <f>'DICTIONARY-3'!$A$204</f>
        <v>Przepustnica kołnierzowa</v>
      </c>
      <c r="R1561" s="732" t="str">
        <f>CONCATENATE('DICTIONARY-3'!$A$146," ",'DICTIONARY-6'!$A$2," ",'DICTIONARY-2'!$A$2,U1561," ",'DICTIONARY-2'!$A$3,V1561," ","R14",", ",'DICTIONARY-4'!$A$10,)</f>
        <v>EKN M Przep. kołnierz. DN300 PN10 R14, PPW</v>
      </c>
      <c r="S1561" s="733" t="str">
        <f>'DICTIONARY-4'!$A$10</f>
        <v>PPW</v>
      </c>
      <c r="T1561" s="732" t="str">
        <f>'DICTIONARY-4'!$A$26</f>
        <v>Przygotowane pod przedł. wrzciona</v>
      </c>
      <c r="U1561" s="734" t="s">
        <v>5752</v>
      </c>
      <c r="V1561" s="735">
        <v>10</v>
      </c>
      <c r="W1561" s="736"/>
      <c r="X1561" s="737"/>
      <c r="Y1561" s="738"/>
      <c r="Z1561" s="739"/>
      <c r="AA1561" s="739"/>
      <c r="AB1561" s="740">
        <v>10</v>
      </c>
      <c r="AC1561" s="741" t="str">
        <f>'DICTIONARY-5'!$A$11&amp;" 14"</f>
        <v>EN 558 szereg 14</v>
      </c>
      <c r="AD1561" s="741" t="str">
        <f>'DICTIONARY-5'!$A$13</f>
        <v>woda pitna</v>
      </c>
      <c r="AE1561" s="742">
        <v>50</v>
      </c>
      <c r="AF1561" s="743">
        <v>84</v>
      </c>
      <c r="AG1561" s="741" t="str">
        <f>'DICTIONARY-5'!$A$23</f>
        <v>powłoka epoksydowa</v>
      </c>
    </row>
    <row r="1562" spans="1:33" x14ac:dyDescent="0.25">
      <c r="A1562" s="867" t="s">
        <v>4936</v>
      </c>
      <c r="B1562" s="867" t="s">
        <v>1540</v>
      </c>
      <c r="C1562" s="836" t="s">
        <v>5967</v>
      </c>
      <c r="D1562" s="836"/>
      <c r="E1562" s="836"/>
      <c r="F1562" s="836"/>
      <c r="G1562" s="496" t="s">
        <v>7830</v>
      </c>
      <c r="H1562" s="797" t="str">
        <f>VLOOKUP(G1562,SETTINGS!$B$7:$D$97,2,0)</f>
        <v>EKN (≤DN600)</v>
      </c>
      <c r="I1562" s="796">
        <f>VLOOKUP(G1562,SETTINGS!$B$7:$D$97,3,0)</f>
        <v>0</v>
      </c>
      <c r="J1562" s="670" t="str">
        <f>IFERROR(IF(CURRENCY.FORMAT_1=0,CONCATENATE(TEXT(FIXED(ROUND((C1562/EXC.RATE_1),CURRENCY.FORMAT_1),CURRENCY.FORMAT_1,1),"# ##0;-# ##0"),",-"),FIXED(ROUND((C1562/EXC.RATE_1),CURRENCY.FORMAT_1),CURRENCY.FORMAT_1,0)),'DICTIONARY-5'!$A$2)</f>
        <v>na zapytanie</v>
      </c>
      <c r="K1562" s="670" t="str">
        <f>IF(EXC.RATE_2=0,"",IFERROR(IF(CURRENCY.FORMAT_2=0,CONCATENATE(TEXT(FIXED(ROUND(IF(EXC.RATE.SWITCH=1,C1562/EXC.RATE_2,C1562*EXC.RATE_2),CURRENCY.FORMAT_2),CURRENCY.FORMAT_2,1),"# ##0;-# ##0"),",-"),FIXED(ROUND(IF(EXC.RATE.SWITCH=1,C1562/EXC.RATE_2,C1562*EXC.RATE_2),CURRENCY.FORMAT_2),CURRENCY.FORMAT_2,0)),'DICTIONARY-5'!$A$2))</f>
        <v/>
      </c>
      <c r="L1562" s="670" t="str">
        <f>IFERROR(IF(CURRENCY.FORMAT_1=0,CONCATENATE(TEXT(FIXED(ROUND((C1562*(1-I1562)*(1-ADD.DISCOUNT)*(1+MAT.SURCHARGE)/EXC.RATE_1),CURRENCY.FORMAT_1),CURRENCY.FORMAT_1,1),"# ##0;-# ##0"),",-"),FIXED(ROUND((C1562*(1-I1562)*(1-ADD.DISCOUNT)*(1+MAT.SURCHARGE)/EXC.RATE_1),CURRENCY.FORMAT_1),CURRENCY.FORMAT_1,0)),'DICTIONARY-5'!$A$2)</f>
        <v>na zapytanie</v>
      </c>
      <c r="M1562" s="670" t="str">
        <f>IF(EXC.RATE_2=0,"",IFERROR(IF(CURRENCY.FORMAT_2=0,CONCATENATE(TEXT(FIXED(ROUND(IF(EXC.RATE.SWITCH=1,C1562*(1-I1562)*(1-ADD.DISCOUNT)*(1+MAT.SURCHARGE)/EXC.RATE_2,C1562*(1-I1562)*(1-ADD.DISCOUNT)*(1+MAT.SURCHARGE)*EXC.RATE_2),CURRENCY.FORMAT_2),CURRENCY.FORMAT_2,1),"# ##0;-# ##0"),",-"),FIXED(ROUND(IF(EXC.RATE.SWITCH=1,C1562*(1-I1562)*(1-ADD.DISCOUNT)*(1+MAT.SURCHARGE)/EXC.RATE_2,C1562*(1-I1562)*(1-ADD.DISCOUNT)*(1+MAT.SURCHARGE)*EXC.RATE_2),CURRENCY.FORMAT_2),CURRENCY.FORMAT_2,0)),'DICTIONARY-5'!$A$2))</f>
        <v/>
      </c>
      <c r="N1562" s="541">
        <v>6</v>
      </c>
      <c r="O1562" s="541"/>
      <c r="P1562" s="732" t="str">
        <f>'DICTIONARY-3'!$A$146</f>
        <v>EKN M</v>
      </c>
      <c r="Q1562" s="731" t="str">
        <f>'DICTIONARY-3'!$A$204</f>
        <v>Przepustnica kołnierzowa</v>
      </c>
      <c r="R1562" s="732" t="str">
        <f>CONCATENATE('DICTIONARY-3'!$A$146," ",'DICTIONARY-6'!$A$2," ",'DICTIONARY-2'!$A$2,U1562," ",'DICTIONARY-2'!$A$3,V1562," ","R14",", ",'DICTIONARY-4'!$A$10,)</f>
        <v>EKN M Przep. kołnierz. DN300 PN16 R14, PPW</v>
      </c>
      <c r="S1562" s="733" t="str">
        <f>'DICTIONARY-4'!$A$10</f>
        <v>PPW</v>
      </c>
      <c r="T1562" s="732" t="str">
        <f>'DICTIONARY-4'!$A$26</f>
        <v>Przygotowane pod przedł. wrzciona</v>
      </c>
      <c r="U1562" s="734" t="s">
        <v>5752</v>
      </c>
      <c r="V1562" s="735">
        <v>16</v>
      </c>
      <c r="W1562" s="736"/>
      <c r="X1562" s="737"/>
      <c r="Y1562" s="738"/>
      <c r="Z1562" s="739"/>
      <c r="AA1562" s="739"/>
      <c r="AB1562" s="740">
        <v>16</v>
      </c>
      <c r="AC1562" s="741" t="str">
        <f>'DICTIONARY-5'!$A$11&amp;" 14"</f>
        <v>EN 558 szereg 14</v>
      </c>
      <c r="AD1562" s="741" t="str">
        <f>'DICTIONARY-5'!$A$13</f>
        <v>woda pitna</v>
      </c>
      <c r="AE1562" s="742">
        <v>50</v>
      </c>
      <c r="AF1562" s="743">
        <v>92</v>
      </c>
      <c r="AG1562" s="741" t="str">
        <f>'DICTIONARY-5'!$A$23</f>
        <v>powłoka epoksydowa</v>
      </c>
    </row>
    <row r="1563" spans="1:33" x14ac:dyDescent="0.25">
      <c r="A1563" s="867" t="s">
        <v>4930</v>
      </c>
      <c r="B1563" s="867" t="s">
        <v>1540</v>
      </c>
      <c r="C1563" s="836" t="s">
        <v>5967</v>
      </c>
      <c r="D1563" s="836"/>
      <c r="E1563" s="836"/>
      <c r="F1563" s="836"/>
      <c r="G1563" s="496" t="s">
        <v>7830</v>
      </c>
      <c r="H1563" s="797" t="str">
        <f>VLOOKUP(G1563,SETTINGS!$B$7:$D$97,2,0)</f>
        <v>EKN (≤DN600)</v>
      </c>
      <c r="I1563" s="796">
        <f>VLOOKUP(G1563,SETTINGS!$B$7:$D$97,3,0)</f>
        <v>0</v>
      </c>
      <c r="J1563" s="670" t="str">
        <f>IFERROR(IF(CURRENCY.FORMAT_1=0,CONCATENATE(TEXT(FIXED(ROUND((C1563/EXC.RATE_1),CURRENCY.FORMAT_1),CURRENCY.FORMAT_1,1),"# ##0;-# ##0"),",-"),FIXED(ROUND((C1563/EXC.RATE_1),CURRENCY.FORMAT_1),CURRENCY.FORMAT_1,0)),'DICTIONARY-5'!$A$2)</f>
        <v>na zapytanie</v>
      </c>
      <c r="K1563" s="670" t="str">
        <f>IF(EXC.RATE_2=0,"",IFERROR(IF(CURRENCY.FORMAT_2=0,CONCATENATE(TEXT(FIXED(ROUND(IF(EXC.RATE.SWITCH=1,C1563/EXC.RATE_2,C1563*EXC.RATE_2),CURRENCY.FORMAT_2),CURRENCY.FORMAT_2,1),"# ##0;-# ##0"),",-"),FIXED(ROUND(IF(EXC.RATE.SWITCH=1,C1563/EXC.RATE_2,C1563*EXC.RATE_2),CURRENCY.FORMAT_2),CURRENCY.FORMAT_2,0)),'DICTIONARY-5'!$A$2))</f>
        <v/>
      </c>
      <c r="L1563" s="670" t="str">
        <f>IFERROR(IF(CURRENCY.FORMAT_1=0,CONCATENATE(TEXT(FIXED(ROUND((C1563*(1-I1563)*(1-ADD.DISCOUNT)*(1+MAT.SURCHARGE)/EXC.RATE_1),CURRENCY.FORMAT_1),CURRENCY.FORMAT_1,1),"# ##0;-# ##0"),",-"),FIXED(ROUND((C1563*(1-I1563)*(1-ADD.DISCOUNT)*(1+MAT.SURCHARGE)/EXC.RATE_1),CURRENCY.FORMAT_1),CURRENCY.FORMAT_1,0)),'DICTIONARY-5'!$A$2)</f>
        <v>na zapytanie</v>
      </c>
      <c r="M1563" s="670" t="str">
        <f>IF(EXC.RATE_2=0,"",IFERROR(IF(CURRENCY.FORMAT_2=0,CONCATENATE(TEXT(FIXED(ROUND(IF(EXC.RATE.SWITCH=1,C1563*(1-I1563)*(1-ADD.DISCOUNT)*(1+MAT.SURCHARGE)/EXC.RATE_2,C1563*(1-I1563)*(1-ADD.DISCOUNT)*(1+MAT.SURCHARGE)*EXC.RATE_2),CURRENCY.FORMAT_2),CURRENCY.FORMAT_2,1),"# ##0;-# ##0"),",-"),FIXED(ROUND(IF(EXC.RATE.SWITCH=1,C1563*(1-I1563)*(1-ADD.DISCOUNT)*(1+MAT.SURCHARGE)/EXC.RATE_2,C1563*(1-I1563)*(1-ADD.DISCOUNT)*(1+MAT.SURCHARGE)*EXC.RATE_2),CURRENCY.FORMAT_2),CURRENCY.FORMAT_2,0)),'DICTIONARY-5'!$A$2))</f>
        <v/>
      </c>
      <c r="N1563" s="541">
        <v>6</v>
      </c>
      <c r="O1563" s="541"/>
      <c r="P1563" s="732" t="str">
        <f>'DICTIONARY-3'!$A$146</f>
        <v>EKN M</v>
      </c>
      <c r="Q1563" s="731" t="str">
        <f>'DICTIONARY-3'!$A$204</f>
        <v>Przepustnica kołnierzowa</v>
      </c>
      <c r="R1563" s="732" t="str">
        <f>CONCATENATE('DICTIONARY-3'!$A$146," ",'DICTIONARY-6'!$A$2," ",'DICTIONARY-2'!$A$2,U1563," ",'DICTIONARY-2'!$A$3,V1563," ","R14",", ",'DICTIONARY-4'!$A$10,)</f>
        <v>EKN M Przep. kołnierz. DN350 PN10 R14, PPW</v>
      </c>
      <c r="S1563" s="733" t="str">
        <f>'DICTIONARY-4'!$A$10</f>
        <v>PPW</v>
      </c>
      <c r="T1563" s="732" t="str">
        <f>'DICTIONARY-4'!$A$26</f>
        <v>Przygotowane pod przedł. wrzciona</v>
      </c>
      <c r="U1563" s="734" t="s">
        <v>5753</v>
      </c>
      <c r="V1563" s="735">
        <v>10</v>
      </c>
      <c r="W1563" s="736"/>
      <c r="X1563" s="737"/>
      <c r="Y1563" s="738"/>
      <c r="Z1563" s="739"/>
      <c r="AA1563" s="739"/>
      <c r="AB1563" s="740">
        <v>10</v>
      </c>
      <c r="AC1563" s="741" t="str">
        <f>'DICTIONARY-5'!$A$11&amp;" 14"</f>
        <v>EN 558 szereg 14</v>
      </c>
      <c r="AD1563" s="741" t="str">
        <f>'DICTIONARY-5'!$A$13</f>
        <v>woda pitna</v>
      </c>
      <c r="AE1563" s="742">
        <v>50</v>
      </c>
      <c r="AF1563" s="743"/>
      <c r="AG1563" s="741" t="str">
        <f>'DICTIONARY-5'!$A$23</f>
        <v>powłoka epoksydowa</v>
      </c>
    </row>
    <row r="1564" spans="1:33" x14ac:dyDescent="0.25">
      <c r="A1564" s="867" t="s">
        <v>4937</v>
      </c>
      <c r="B1564" s="867" t="s">
        <v>1540</v>
      </c>
      <c r="C1564" s="836" t="s">
        <v>5967</v>
      </c>
      <c r="D1564" s="836"/>
      <c r="E1564" s="836"/>
      <c r="F1564" s="836"/>
      <c r="G1564" s="496" t="s">
        <v>7830</v>
      </c>
      <c r="H1564" s="797" t="str">
        <f>VLOOKUP(G1564,SETTINGS!$B$7:$D$97,2,0)</f>
        <v>EKN (≤DN600)</v>
      </c>
      <c r="I1564" s="796">
        <f>VLOOKUP(G1564,SETTINGS!$B$7:$D$97,3,0)</f>
        <v>0</v>
      </c>
      <c r="J1564" s="670" t="str">
        <f>IFERROR(IF(CURRENCY.FORMAT_1=0,CONCATENATE(TEXT(FIXED(ROUND((C1564/EXC.RATE_1),CURRENCY.FORMAT_1),CURRENCY.FORMAT_1,1),"# ##0;-# ##0"),",-"),FIXED(ROUND((C1564/EXC.RATE_1),CURRENCY.FORMAT_1),CURRENCY.FORMAT_1,0)),'DICTIONARY-5'!$A$2)</f>
        <v>na zapytanie</v>
      </c>
      <c r="K1564" s="670" t="str">
        <f>IF(EXC.RATE_2=0,"",IFERROR(IF(CURRENCY.FORMAT_2=0,CONCATENATE(TEXT(FIXED(ROUND(IF(EXC.RATE.SWITCH=1,C1564/EXC.RATE_2,C1564*EXC.RATE_2),CURRENCY.FORMAT_2),CURRENCY.FORMAT_2,1),"# ##0;-# ##0"),",-"),FIXED(ROUND(IF(EXC.RATE.SWITCH=1,C1564/EXC.RATE_2,C1564*EXC.RATE_2),CURRENCY.FORMAT_2),CURRENCY.FORMAT_2,0)),'DICTIONARY-5'!$A$2))</f>
        <v/>
      </c>
      <c r="L1564" s="670" t="str">
        <f>IFERROR(IF(CURRENCY.FORMAT_1=0,CONCATENATE(TEXT(FIXED(ROUND((C1564*(1-I1564)*(1-ADD.DISCOUNT)*(1+MAT.SURCHARGE)/EXC.RATE_1),CURRENCY.FORMAT_1),CURRENCY.FORMAT_1,1),"# ##0;-# ##0"),",-"),FIXED(ROUND((C1564*(1-I1564)*(1-ADD.DISCOUNT)*(1+MAT.SURCHARGE)/EXC.RATE_1),CURRENCY.FORMAT_1),CURRENCY.FORMAT_1,0)),'DICTIONARY-5'!$A$2)</f>
        <v>na zapytanie</v>
      </c>
      <c r="M1564" s="670" t="str">
        <f>IF(EXC.RATE_2=0,"",IFERROR(IF(CURRENCY.FORMAT_2=0,CONCATENATE(TEXT(FIXED(ROUND(IF(EXC.RATE.SWITCH=1,C1564*(1-I1564)*(1-ADD.DISCOUNT)*(1+MAT.SURCHARGE)/EXC.RATE_2,C1564*(1-I1564)*(1-ADD.DISCOUNT)*(1+MAT.SURCHARGE)*EXC.RATE_2),CURRENCY.FORMAT_2),CURRENCY.FORMAT_2,1),"# ##0;-# ##0"),",-"),FIXED(ROUND(IF(EXC.RATE.SWITCH=1,C1564*(1-I1564)*(1-ADD.DISCOUNT)*(1+MAT.SURCHARGE)/EXC.RATE_2,C1564*(1-I1564)*(1-ADD.DISCOUNT)*(1+MAT.SURCHARGE)*EXC.RATE_2),CURRENCY.FORMAT_2),CURRENCY.FORMAT_2,0)),'DICTIONARY-5'!$A$2))</f>
        <v/>
      </c>
      <c r="N1564" s="541">
        <v>6</v>
      </c>
      <c r="O1564" s="541"/>
      <c r="P1564" s="732" t="str">
        <f>'DICTIONARY-3'!$A$146</f>
        <v>EKN M</v>
      </c>
      <c r="Q1564" s="731" t="str">
        <f>'DICTIONARY-3'!$A$204</f>
        <v>Przepustnica kołnierzowa</v>
      </c>
      <c r="R1564" s="732" t="str">
        <f>CONCATENATE('DICTIONARY-3'!$A$146," ",'DICTIONARY-6'!$A$2," ",'DICTIONARY-2'!$A$2,U1564," ",'DICTIONARY-2'!$A$3,V1564," ","R14",", ",'DICTIONARY-4'!$A$10,)</f>
        <v>EKN M Przep. kołnierz. DN350 PN16 R14, PPW</v>
      </c>
      <c r="S1564" s="733" t="str">
        <f>'DICTIONARY-4'!$A$10</f>
        <v>PPW</v>
      </c>
      <c r="T1564" s="732" t="str">
        <f>'DICTIONARY-4'!$A$26</f>
        <v>Przygotowane pod przedł. wrzciona</v>
      </c>
      <c r="U1564" s="734" t="s">
        <v>5753</v>
      </c>
      <c r="V1564" s="735">
        <v>16</v>
      </c>
      <c r="W1564" s="736"/>
      <c r="X1564" s="737"/>
      <c r="Y1564" s="738"/>
      <c r="Z1564" s="739"/>
      <c r="AA1564" s="739"/>
      <c r="AB1564" s="740">
        <v>16</v>
      </c>
      <c r="AC1564" s="741" t="str">
        <f>'DICTIONARY-5'!$A$11&amp;" 14"</f>
        <v>EN 558 szereg 14</v>
      </c>
      <c r="AD1564" s="741" t="str">
        <f>'DICTIONARY-5'!$A$13</f>
        <v>woda pitna</v>
      </c>
      <c r="AE1564" s="742">
        <v>50</v>
      </c>
      <c r="AF1564" s="743">
        <v>115</v>
      </c>
      <c r="AG1564" s="741" t="str">
        <f>'DICTIONARY-5'!$A$23</f>
        <v>powłoka epoksydowa</v>
      </c>
    </row>
    <row r="1565" spans="1:33" x14ac:dyDescent="0.25">
      <c r="A1565" s="867" t="s">
        <v>4931</v>
      </c>
      <c r="B1565" s="867" t="s">
        <v>1540</v>
      </c>
      <c r="C1565" s="836" t="s">
        <v>5967</v>
      </c>
      <c r="D1565" s="836"/>
      <c r="E1565" s="836"/>
      <c r="F1565" s="836"/>
      <c r="G1565" s="496" t="s">
        <v>7830</v>
      </c>
      <c r="H1565" s="797" t="str">
        <f>VLOOKUP(G1565,SETTINGS!$B$7:$D$97,2,0)</f>
        <v>EKN (≤DN600)</v>
      </c>
      <c r="I1565" s="796">
        <f>VLOOKUP(G1565,SETTINGS!$B$7:$D$97,3,0)</f>
        <v>0</v>
      </c>
      <c r="J1565" s="670" t="str">
        <f>IFERROR(IF(CURRENCY.FORMAT_1=0,CONCATENATE(TEXT(FIXED(ROUND((C1565/EXC.RATE_1),CURRENCY.FORMAT_1),CURRENCY.FORMAT_1,1),"# ##0;-# ##0"),",-"),FIXED(ROUND((C1565/EXC.RATE_1),CURRENCY.FORMAT_1),CURRENCY.FORMAT_1,0)),'DICTIONARY-5'!$A$2)</f>
        <v>na zapytanie</v>
      </c>
      <c r="K1565" s="670" t="str">
        <f>IF(EXC.RATE_2=0,"",IFERROR(IF(CURRENCY.FORMAT_2=0,CONCATENATE(TEXT(FIXED(ROUND(IF(EXC.RATE.SWITCH=1,C1565/EXC.RATE_2,C1565*EXC.RATE_2),CURRENCY.FORMAT_2),CURRENCY.FORMAT_2,1),"# ##0;-# ##0"),",-"),FIXED(ROUND(IF(EXC.RATE.SWITCH=1,C1565/EXC.RATE_2,C1565*EXC.RATE_2),CURRENCY.FORMAT_2),CURRENCY.FORMAT_2,0)),'DICTIONARY-5'!$A$2))</f>
        <v/>
      </c>
      <c r="L1565" s="670" t="str">
        <f>IFERROR(IF(CURRENCY.FORMAT_1=0,CONCATENATE(TEXT(FIXED(ROUND((C1565*(1-I1565)*(1-ADD.DISCOUNT)*(1+MAT.SURCHARGE)/EXC.RATE_1),CURRENCY.FORMAT_1),CURRENCY.FORMAT_1,1),"# ##0;-# ##0"),",-"),FIXED(ROUND((C1565*(1-I1565)*(1-ADD.DISCOUNT)*(1+MAT.SURCHARGE)/EXC.RATE_1),CURRENCY.FORMAT_1),CURRENCY.FORMAT_1,0)),'DICTIONARY-5'!$A$2)</f>
        <v>na zapytanie</v>
      </c>
      <c r="M1565" s="670" t="str">
        <f>IF(EXC.RATE_2=0,"",IFERROR(IF(CURRENCY.FORMAT_2=0,CONCATENATE(TEXT(FIXED(ROUND(IF(EXC.RATE.SWITCH=1,C1565*(1-I1565)*(1-ADD.DISCOUNT)*(1+MAT.SURCHARGE)/EXC.RATE_2,C1565*(1-I1565)*(1-ADD.DISCOUNT)*(1+MAT.SURCHARGE)*EXC.RATE_2),CURRENCY.FORMAT_2),CURRENCY.FORMAT_2,1),"# ##0;-# ##0"),",-"),FIXED(ROUND(IF(EXC.RATE.SWITCH=1,C1565*(1-I1565)*(1-ADD.DISCOUNT)*(1+MAT.SURCHARGE)/EXC.RATE_2,C1565*(1-I1565)*(1-ADD.DISCOUNT)*(1+MAT.SURCHARGE)*EXC.RATE_2),CURRENCY.FORMAT_2),CURRENCY.FORMAT_2,0)),'DICTIONARY-5'!$A$2))</f>
        <v/>
      </c>
      <c r="N1565" s="541">
        <v>6</v>
      </c>
      <c r="O1565" s="541"/>
      <c r="P1565" s="732" t="str">
        <f>'DICTIONARY-3'!$A$146</f>
        <v>EKN M</v>
      </c>
      <c r="Q1565" s="731" t="str">
        <f>'DICTIONARY-3'!$A$204</f>
        <v>Przepustnica kołnierzowa</v>
      </c>
      <c r="R1565" s="732" t="str">
        <f>CONCATENATE('DICTIONARY-3'!$A$146," ",'DICTIONARY-6'!$A$2," ",'DICTIONARY-2'!$A$2,U1565," ",'DICTIONARY-2'!$A$3,V1565," ","R14",", ",'DICTIONARY-4'!$A$10,)</f>
        <v>EKN M Przep. kołnierz. DN400 PN10 R14, PPW</v>
      </c>
      <c r="S1565" s="733" t="str">
        <f>'DICTIONARY-4'!$A$10</f>
        <v>PPW</v>
      </c>
      <c r="T1565" s="732" t="str">
        <f>'DICTIONARY-4'!$A$26</f>
        <v>Przygotowane pod przedł. wrzciona</v>
      </c>
      <c r="U1565" s="734" t="s">
        <v>5754</v>
      </c>
      <c r="V1565" s="735">
        <v>10</v>
      </c>
      <c r="W1565" s="736"/>
      <c r="X1565" s="737"/>
      <c r="Y1565" s="738"/>
      <c r="Z1565" s="739"/>
      <c r="AA1565" s="739"/>
      <c r="AB1565" s="740">
        <v>10</v>
      </c>
      <c r="AC1565" s="741" t="str">
        <f>'DICTIONARY-5'!$A$11&amp;" 14"</f>
        <v>EN 558 szereg 14</v>
      </c>
      <c r="AD1565" s="741" t="str">
        <f>'DICTIONARY-5'!$A$13</f>
        <v>woda pitna</v>
      </c>
      <c r="AE1565" s="742">
        <v>50</v>
      </c>
      <c r="AF1565" s="743">
        <v>122</v>
      </c>
      <c r="AG1565" s="741" t="str">
        <f>'DICTIONARY-5'!$A$23</f>
        <v>powłoka epoksydowa</v>
      </c>
    </row>
    <row r="1566" spans="1:33" x14ac:dyDescent="0.25">
      <c r="A1566" s="867" t="s">
        <v>4938</v>
      </c>
      <c r="B1566" s="867" t="s">
        <v>1540</v>
      </c>
      <c r="C1566" s="836" t="s">
        <v>5967</v>
      </c>
      <c r="D1566" s="836"/>
      <c r="E1566" s="836"/>
      <c r="F1566" s="836"/>
      <c r="G1566" s="496" t="s">
        <v>7830</v>
      </c>
      <c r="H1566" s="797" t="str">
        <f>VLOOKUP(G1566,SETTINGS!$B$7:$D$97,2,0)</f>
        <v>EKN (≤DN600)</v>
      </c>
      <c r="I1566" s="796">
        <f>VLOOKUP(G1566,SETTINGS!$B$7:$D$97,3,0)</f>
        <v>0</v>
      </c>
      <c r="J1566" s="670" t="str">
        <f>IFERROR(IF(CURRENCY.FORMAT_1=0,CONCATENATE(TEXT(FIXED(ROUND((C1566/EXC.RATE_1),CURRENCY.FORMAT_1),CURRENCY.FORMAT_1,1),"# ##0;-# ##0"),",-"),FIXED(ROUND((C1566/EXC.RATE_1),CURRENCY.FORMAT_1),CURRENCY.FORMAT_1,0)),'DICTIONARY-5'!$A$2)</f>
        <v>na zapytanie</v>
      </c>
      <c r="K1566" s="670" t="str">
        <f>IF(EXC.RATE_2=0,"",IFERROR(IF(CURRENCY.FORMAT_2=0,CONCATENATE(TEXT(FIXED(ROUND(IF(EXC.RATE.SWITCH=1,C1566/EXC.RATE_2,C1566*EXC.RATE_2),CURRENCY.FORMAT_2),CURRENCY.FORMAT_2,1),"# ##0;-# ##0"),",-"),FIXED(ROUND(IF(EXC.RATE.SWITCH=1,C1566/EXC.RATE_2,C1566*EXC.RATE_2),CURRENCY.FORMAT_2),CURRENCY.FORMAT_2,0)),'DICTIONARY-5'!$A$2))</f>
        <v/>
      </c>
      <c r="L1566" s="670" t="str">
        <f>IFERROR(IF(CURRENCY.FORMAT_1=0,CONCATENATE(TEXT(FIXED(ROUND((C1566*(1-I1566)*(1-ADD.DISCOUNT)*(1+MAT.SURCHARGE)/EXC.RATE_1),CURRENCY.FORMAT_1),CURRENCY.FORMAT_1,1),"# ##0;-# ##0"),",-"),FIXED(ROUND((C1566*(1-I1566)*(1-ADD.DISCOUNT)*(1+MAT.SURCHARGE)/EXC.RATE_1),CURRENCY.FORMAT_1),CURRENCY.FORMAT_1,0)),'DICTIONARY-5'!$A$2)</f>
        <v>na zapytanie</v>
      </c>
      <c r="M1566" s="670" t="str">
        <f>IF(EXC.RATE_2=0,"",IFERROR(IF(CURRENCY.FORMAT_2=0,CONCATENATE(TEXT(FIXED(ROUND(IF(EXC.RATE.SWITCH=1,C1566*(1-I1566)*(1-ADD.DISCOUNT)*(1+MAT.SURCHARGE)/EXC.RATE_2,C1566*(1-I1566)*(1-ADD.DISCOUNT)*(1+MAT.SURCHARGE)*EXC.RATE_2),CURRENCY.FORMAT_2),CURRENCY.FORMAT_2,1),"# ##0;-# ##0"),",-"),FIXED(ROUND(IF(EXC.RATE.SWITCH=1,C1566*(1-I1566)*(1-ADD.DISCOUNT)*(1+MAT.SURCHARGE)/EXC.RATE_2,C1566*(1-I1566)*(1-ADD.DISCOUNT)*(1+MAT.SURCHARGE)*EXC.RATE_2),CURRENCY.FORMAT_2),CURRENCY.FORMAT_2,0)),'DICTIONARY-5'!$A$2))</f>
        <v/>
      </c>
      <c r="N1566" s="541">
        <v>6</v>
      </c>
      <c r="O1566" s="541"/>
      <c r="P1566" s="732" t="str">
        <f>'DICTIONARY-3'!$A$146</f>
        <v>EKN M</v>
      </c>
      <c r="Q1566" s="731" t="str">
        <f>'DICTIONARY-3'!$A$204</f>
        <v>Przepustnica kołnierzowa</v>
      </c>
      <c r="R1566" s="732" t="str">
        <f>CONCATENATE('DICTIONARY-3'!$A$146," ",'DICTIONARY-6'!$A$2," ",'DICTIONARY-2'!$A$2,U1566," ",'DICTIONARY-2'!$A$3,V1566," ","R14",", ",'DICTIONARY-4'!$A$10,)</f>
        <v>EKN M Przep. kołnierz. DN400 PN16 R14, PPW</v>
      </c>
      <c r="S1566" s="733" t="str">
        <f>'DICTIONARY-4'!$A$10</f>
        <v>PPW</v>
      </c>
      <c r="T1566" s="732" t="str">
        <f>'DICTIONARY-4'!$A$26</f>
        <v>Przygotowane pod przedł. wrzciona</v>
      </c>
      <c r="U1566" s="734" t="s">
        <v>5754</v>
      </c>
      <c r="V1566" s="735">
        <v>16</v>
      </c>
      <c r="W1566" s="736"/>
      <c r="X1566" s="737"/>
      <c r="Y1566" s="738"/>
      <c r="Z1566" s="739"/>
      <c r="AA1566" s="739"/>
      <c r="AB1566" s="740">
        <v>16</v>
      </c>
      <c r="AC1566" s="741" t="str">
        <f>'DICTIONARY-5'!$A$11&amp;" 14"</f>
        <v>EN 558 szereg 14</v>
      </c>
      <c r="AD1566" s="741" t="str">
        <f>'DICTIONARY-5'!$A$13</f>
        <v>woda pitna</v>
      </c>
      <c r="AE1566" s="742">
        <v>50</v>
      </c>
      <c r="AF1566" s="743">
        <v>155</v>
      </c>
      <c r="AG1566" s="741" t="str">
        <f>'DICTIONARY-5'!$A$23</f>
        <v>powłoka epoksydowa</v>
      </c>
    </row>
    <row r="1567" spans="1:33" x14ac:dyDescent="0.25">
      <c r="A1567" s="867" t="s">
        <v>4932</v>
      </c>
      <c r="B1567" s="867" t="s">
        <v>1540</v>
      </c>
      <c r="C1567" s="836" t="s">
        <v>5967</v>
      </c>
      <c r="D1567" s="836"/>
      <c r="E1567" s="836"/>
      <c r="F1567" s="836"/>
      <c r="G1567" s="496" t="s">
        <v>7830</v>
      </c>
      <c r="H1567" s="797" t="str">
        <f>VLOOKUP(G1567,SETTINGS!$B$7:$D$97,2,0)</f>
        <v>EKN (≤DN600)</v>
      </c>
      <c r="I1567" s="796">
        <f>VLOOKUP(G1567,SETTINGS!$B$7:$D$97,3,0)</f>
        <v>0</v>
      </c>
      <c r="J1567" s="670" t="str">
        <f>IFERROR(IF(CURRENCY.FORMAT_1=0,CONCATENATE(TEXT(FIXED(ROUND((C1567/EXC.RATE_1),CURRENCY.FORMAT_1),CURRENCY.FORMAT_1,1),"# ##0;-# ##0"),",-"),FIXED(ROUND((C1567/EXC.RATE_1),CURRENCY.FORMAT_1),CURRENCY.FORMAT_1,0)),'DICTIONARY-5'!$A$2)</f>
        <v>na zapytanie</v>
      </c>
      <c r="K1567" s="670" t="str">
        <f>IF(EXC.RATE_2=0,"",IFERROR(IF(CURRENCY.FORMAT_2=0,CONCATENATE(TEXT(FIXED(ROUND(IF(EXC.RATE.SWITCH=1,C1567/EXC.RATE_2,C1567*EXC.RATE_2),CURRENCY.FORMAT_2),CURRENCY.FORMAT_2,1),"# ##0;-# ##0"),",-"),FIXED(ROUND(IF(EXC.RATE.SWITCH=1,C1567/EXC.RATE_2,C1567*EXC.RATE_2),CURRENCY.FORMAT_2),CURRENCY.FORMAT_2,0)),'DICTIONARY-5'!$A$2))</f>
        <v/>
      </c>
      <c r="L1567" s="670" t="str">
        <f>IFERROR(IF(CURRENCY.FORMAT_1=0,CONCATENATE(TEXT(FIXED(ROUND((C1567*(1-I1567)*(1-ADD.DISCOUNT)*(1+MAT.SURCHARGE)/EXC.RATE_1),CURRENCY.FORMAT_1),CURRENCY.FORMAT_1,1),"# ##0;-# ##0"),",-"),FIXED(ROUND((C1567*(1-I1567)*(1-ADD.DISCOUNT)*(1+MAT.SURCHARGE)/EXC.RATE_1),CURRENCY.FORMAT_1),CURRENCY.FORMAT_1,0)),'DICTIONARY-5'!$A$2)</f>
        <v>na zapytanie</v>
      </c>
      <c r="M1567" s="670" t="str">
        <f>IF(EXC.RATE_2=0,"",IFERROR(IF(CURRENCY.FORMAT_2=0,CONCATENATE(TEXT(FIXED(ROUND(IF(EXC.RATE.SWITCH=1,C1567*(1-I1567)*(1-ADD.DISCOUNT)*(1+MAT.SURCHARGE)/EXC.RATE_2,C1567*(1-I1567)*(1-ADD.DISCOUNT)*(1+MAT.SURCHARGE)*EXC.RATE_2),CURRENCY.FORMAT_2),CURRENCY.FORMAT_2,1),"# ##0;-# ##0"),",-"),FIXED(ROUND(IF(EXC.RATE.SWITCH=1,C1567*(1-I1567)*(1-ADD.DISCOUNT)*(1+MAT.SURCHARGE)/EXC.RATE_2,C1567*(1-I1567)*(1-ADD.DISCOUNT)*(1+MAT.SURCHARGE)*EXC.RATE_2),CURRENCY.FORMAT_2),CURRENCY.FORMAT_2,0)),'DICTIONARY-5'!$A$2))</f>
        <v/>
      </c>
      <c r="N1567" s="541">
        <v>6</v>
      </c>
      <c r="O1567" s="541"/>
      <c r="P1567" s="732" t="str">
        <f>'DICTIONARY-3'!$A$146</f>
        <v>EKN M</v>
      </c>
      <c r="Q1567" s="731" t="str">
        <f>'DICTIONARY-3'!$A$204</f>
        <v>Przepustnica kołnierzowa</v>
      </c>
      <c r="R1567" s="732" t="str">
        <f>CONCATENATE('DICTIONARY-3'!$A$146," ",'DICTIONARY-6'!$A$2," ",'DICTIONARY-2'!$A$2,U1567," ",'DICTIONARY-2'!$A$3,V1567," ","R14",", ",'DICTIONARY-4'!$A$10,)</f>
        <v>EKN M Przep. kołnierz. DN500 PN10 R14, PPW</v>
      </c>
      <c r="S1567" s="733" t="str">
        <f>'DICTIONARY-4'!$A$10</f>
        <v>PPW</v>
      </c>
      <c r="T1567" s="732" t="str">
        <f>'DICTIONARY-4'!$A$26</f>
        <v>Przygotowane pod przedł. wrzciona</v>
      </c>
      <c r="U1567" s="734" t="s">
        <v>5756</v>
      </c>
      <c r="V1567" s="735">
        <v>10</v>
      </c>
      <c r="W1567" s="736"/>
      <c r="X1567" s="737"/>
      <c r="Y1567" s="738"/>
      <c r="Z1567" s="739"/>
      <c r="AA1567" s="739"/>
      <c r="AB1567" s="740">
        <v>10</v>
      </c>
      <c r="AC1567" s="741" t="str">
        <f>'DICTIONARY-5'!$A$11&amp;" 14"</f>
        <v>EN 558 szereg 14</v>
      </c>
      <c r="AD1567" s="741" t="str">
        <f>'DICTIONARY-5'!$A$13</f>
        <v>woda pitna</v>
      </c>
      <c r="AE1567" s="742">
        <v>50</v>
      </c>
      <c r="AF1567" s="743">
        <v>205.5</v>
      </c>
      <c r="AG1567" s="741" t="str">
        <f>'DICTIONARY-5'!$A$23</f>
        <v>powłoka epoksydowa</v>
      </c>
    </row>
    <row r="1568" spans="1:33" x14ac:dyDescent="0.25">
      <c r="A1568" s="867" t="s">
        <v>4939</v>
      </c>
      <c r="B1568" s="867" t="s">
        <v>1540</v>
      </c>
      <c r="C1568" s="836" t="s">
        <v>5967</v>
      </c>
      <c r="D1568" s="836"/>
      <c r="E1568" s="836"/>
      <c r="F1568" s="836"/>
      <c r="G1568" s="496" t="s">
        <v>7830</v>
      </c>
      <c r="H1568" s="797" t="str">
        <f>VLOOKUP(G1568,SETTINGS!$B$7:$D$97,2,0)</f>
        <v>EKN (≤DN600)</v>
      </c>
      <c r="I1568" s="796">
        <f>VLOOKUP(G1568,SETTINGS!$B$7:$D$97,3,0)</f>
        <v>0</v>
      </c>
      <c r="J1568" s="670" t="str">
        <f>IFERROR(IF(CURRENCY.FORMAT_1=0,CONCATENATE(TEXT(FIXED(ROUND((C1568/EXC.RATE_1),CURRENCY.FORMAT_1),CURRENCY.FORMAT_1,1),"# ##0;-# ##0"),",-"),FIXED(ROUND((C1568/EXC.RATE_1),CURRENCY.FORMAT_1),CURRENCY.FORMAT_1,0)),'DICTIONARY-5'!$A$2)</f>
        <v>na zapytanie</v>
      </c>
      <c r="K1568" s="670" t="str">
        <f>IF(EXC.RATE_2=0,"",IFERROR(IF(CURRENCY.FORMAT_2=0,CONCATENATE(TEXT(FIXED(ROUND(IF(EXC.RATE.SWITCH=1,C1568/EXC.RATE_2,C1568*EXC.RATE_2),CURRENCY.FORMAT_2),CURRENCY.FORMAT_2,1),"# ##0;-# ##0"),",-"),FIXED(ROUND(IF(EXC.RATE.SWITCH=1,C1568/EXC.RATE_2,C1568*EXC.RATE_2),CURRENCY.FORMAT_2),CURRENCY.FORMAT_2,0)),'DICTIONARY-5'!$A$2))</f>
        <v/>
      </c>
      <c r="L1568" s="670" t="str">
        <f>IFERROR(IF(CURRENCY.FORMAT_1=0,CONCATENATE(TEXT(FIXED(ROUND((C1568*(1-I1568)*(1-ADD.DISCOUNT)*(1+MAT.SURCHARGE)/EXC.RATE_1),CURRENCY.FORMAT_1),CURRENCY.FORMAT_1,1),"# ##0;-# ##0"),",-"),FIXED(ROUND((C1568*(1-I1568)*(1-ADD.DISCOUNT)*(1+MAT.SURCHARGE)/EXC.RATE_1),CURRENCY.FORMAT_1),CURRENCY.FORMAT_1,0)),'DICTIONARY-5'!$A$2)</f>
        <v>na zapytanie</v>
      </c>
      <c r="M1568" s="670" t="str">
        <f>IF(EXC.RATE_2=0,"",IFERROR(IF(CURRENCY.FORMAT_2=0,CONCATENATE(TEXT(FIXED(ROUND(IF(EXC.RATE.SWITCH=1,C1568*(1-I1568)*(1-ADD.DISCOUNT)*(1+MAT.SURCHARGE)/EXC.RATE_2,C1568*(1-I1568)*(1-ADD.DISCOUNT)*(1+MAT.SURCHARGE)*EXC.RATE_2),CURRENCY.FORMAT_2),CURRENCY.FORMAT_2,1),"# ##0;-# ##0"),",-"),FIXED(ROUND(IF(EXC.RATE.SWITCH=1,C1568*(1-I1568)*(1-ADD.DISCOUNT)*(1+MAT.SURCHARGE)/EXC.RATE_2,C1568*(1-I1568)*(1-ADD.DISCOUNT)*(1+MAT.SURCHARGE)*EXC.RATE_2),CURRENCY.FORMAT_2),CURRENCY.FORMAT_2,0)),'DICTIONARY-5'!$A$2))</f>
        <v/>
      </c>
      <c r="N1568" s="541">
        <v>6</v>
      </c>
      <c r="O1568" s="541"/>
      <c r="P1568" s="732" t="str">
        <f>'DICTIONARY-3'!$A$146</f>
        <v>EKN M</v>
      </c>
      <c r="Q1568" s="731" t="str">
        <f>'DICTIONARY-3'!$A$204</f>
        <v>Przepustnica kołnierzowa</v>
      </c>
      <c r="R1568" s="732" t="str">
        <f>CONCATENATE('DICTIONARY-3'!$A$146," ",'DICTIONARY-6'!$A$2," ",'DICTIONARY-2'!$A$2,U1568," ",'DICTIONARY-2'!$A$3,V1568," ","R14",", ",'DICTIONARY-4'!$A$10,)</f>
        <v>EKN M Przep. kołnierz. DN500 PN16 R14, PPW</v>
      </c>
      <c r="S1568" s="733" t="str">
        <f>'DICTIONARY-4'!$A$10</f>
        <v>PPW</v>
      </c>
      <c r="T1568" s="732" t="str">
        <f>'DICTIONARY-4'!$A$26</f>
        <v>Przygotowane pod przedł. wrzciona</v>
      </c>
      <c r="U1568" s="734" t="s">
        <v>5756</v>
      </c>
      <c r="V1568" s="735">
        <v>16</v>
      </c>
      <c r="W1568" s="736"/>
      <c r="X1568" s="737"/>
      <c r="Y1568" s="738"/>
      <c r="Z1568" s="739"/>
      <c r="AA1568" s="739"/>
      <c r="AB1568" s="740">
        <v>16</v>
      </c>
      <c r="AC1568" s="741" t="str">
        <f>'DICTIONARY-5'!$A$11&amp;" 14"</f>
        <v>EN 558 szereg 14</v>
      </c>
      <c r="AD1568" s="741" t="str">
        <f>'DICTIONARY-5'!$A$13</f>
        <v>woda pitna</v>
      </c>
      <c r="AE1568" s="742">
        <v>50</v>
      </c>
      <c r="AF1568" s="743">
        <v>280</v>
      </c>
      <c r="AG1568" s="741" t="str">
        <f>'DICTIONARY-5'!$A$23</f>
        <v>powłoka epoksydowa</v>
      </c>
    </row>
    <row r="1569" spans="1:33" x14ac:dyDescent="0.25">
      <c r="A1569" s="867" t="s">
        <v>4933</v>
      </c>
      <c r="B1569" s="867" t="s">
        <v>1540</v>
      </c>
      <c r="C1569" s="836" t="s">
        <v>5967</v>
      </c>
      <c r="D1569" s="836"/>
      <c r="E1569" s="836"/>
      <c r="F1569" s="836"/>
      <c r="G1569" s="496" t="s">
        <v>7830</v>
      </c>
      <c r="H1569" s="797" t="str">
        <f>VLOOKUP(G1569,SETTINGS!$B$7:$D$97,2,0)</f>
        <v>EKN (≤DN600)</v>
      </c>
      <c r="I1569" s="796">
        <f>VLOOKUP(G1569,SETTINGS!$B$7:$D$97,3,0)</f>
        <v>0</v>
      </c>
      <c r="J1569" s="670" t="str">
        <f>IFERROR(IF(CURRENCY.FORMAT_1=0,CONCATENATE(TEXT(FIXED(ROUND((C1569/EXC.RATE_1),CURRENCY.FORMAT_1),CURRENCY.FORMAT_1,1),"# ##0;-# ##0"),",-"),FIXED(ROUND((C1569/EXC.RATE_1),CURRENCY.FORMAT_1),CURRENCY.FORMAT_1,0)),'DICTIONARY-5'!$A$2)</f>
        <v>na zapytanie</v>
      </c>
      <c r="K1569" s="670" t="str">
        <f>IF(EXC.RATE_2=0,"",IFERROR(IF(CURRENCY.FORMAT_2=0,CONCATENATE(TEXT(FIXED(ROUND(IF(EXC.RATE.SWITCH=1,C1569/EXC.RATE_2,C1569*EXC.RATE_2),CURRENCY.FORMAT_2),CURRENCY.FORMAT_2,1),"# ##0;-# ##0"),",-"),FIXED(ROUND(IF(EXC.RATE.SWITCH=1,C1569/EXC.RATE_2,C1569*EXC.RATE_2),CURRENCY.FORMAT_2),CURRENCY.FORMAT_2,0)),'DICTIONARY-5'!$A$2))</f>
        <v/>
      </c>
      <c r="L1569" s="670" t="str">
        <f>IFERROR(IF(CURRENCY.FORMAT_1=0,CONCATENATE(TEXT(FIXED(ROUND((C1569*(1-I1569)*(1-ADD.DISCOUNT)*(1+MAT.SURCHARGE)/EXC.RATE_1),CURRENCY.FORMAT_1),CURRENCY.FORMAT_1,1),"# ##0;-# ##0"),",-"),FIXED(ROUND((C1569*(1-I1569)*(1-ADD.DISCOUNT)*(1+MAT.SURCHARGE)/EXC.RATE_1),CURRENCY.FORMAT_1),CURRENCY.FORMAT_1,0)),'DICTIONARY-5'!$A$2)</f>
        <v>na zapytanie</v>
      </c>
      <c r="M1569" s="670" t="str">
        <f>IF(EXC.RATE_2=0,"",IFERROR(IF(CURRENCY.FORMAT_2=0,CONCATENATE(TEXT(FIXED(ROUND(IF(EXC.RATE.SWITCH=1,C1569*(1-I1569)*(1-ADD.DISCOUNT)*(1+MAT.SURCHARGE)/EXC.RATE_2,C1569*(1-I1569)*(1-ADD.DISCOUNT)*(1+MAT.SURCHARGE)*EXC.RATE_2),CURRENCY.FORMAT_2),CURRENCY.FORMAT_2,1),"# ##0;-# ##0"),",-"),FIXED(ROUND(IF(EXC.RATE.SWITCH=1,C1569*(1-I1569)*(1-ADD.DISCOUNT)*(1+MAT.SURCHARGE)/EXC.RATE_2,C1569*(1-I1569)*(1-ADD.DISCOUNT)*(1+MAT.SURCHARGE)*EXC.RATE_2),CURRENCY.FORMAT_2),CURRENCY.FORMAT_2,0)),'DICTIONARY-5'!$A$2))</f>
        <v/>
      </c>
      <c r="N1569" s="541">
        <v>6</v>
      </c>
      <c r="O1569" s="541"/>
      <c r="P1569" s="732" t="str">
        <f>'DICTIONARY-3'!$A$146</f>
        <v>EKN M</v>
      </c>
      <c r="Q1569" s="731" t="str">
        <f>'DICTIONARY-3'!$A$204</f>
        <v>Przepustnica kołnierzowa</v>
      </c>
      <c r="R1569" s="732" t="str">
        <f>CONCATENATE('DICTIONARY-3'!$A$146," ",'DICTIONARY-6'!$A$2," ",'DICTIONARY-2'!$A$2,U1569," ",'DICTIONARY-2'!$A$3,V1569," ","R14",", ",'DICTIONARY-4'!$A$10,)</f>
        <v>EKN M Przep. kołnierz. DN600 PN10 R14, PPW</v>
      </c>
      <c r="S1569" s="733" t="str">
        <f>'DICTIONARY-4'!$A$10</f>
        <v>PPW</v>
      </c>
      <c r="T1569" s="732" t="str">
        <f>'DICTIONARY-4'!$A$26</f>
        <v>Przygotowane pod przedł. wrzciona</v>
      </c>
      <c r="U1569" s="734" t="s">
        <v>5757</v>
      </c>
      <c r="V1569" s="735">
        <v>10</v>
      </c>
      <c r="W1569" s="736"/>
      <c r="X1569" s="737"/>
      <c r="Y1569" s="738"/>
      <c r="Z1569" s="739"/>
      <c r="AA1569" s="739"/>
      <c r="AB1569" s="740">
        <v>10</v>
      </c>
      <c r="AC1569" s="741" t="str">
        <f>'DICTIONARY-5'!$A$11&amp;" 14"</f>
        <v>EN 558 szereg 14</v>
      </c>
      <c r="AD1569" s="741" t="str">
        <f>'DICTIONARY-5'!$A$13</f>
        <v>woda pitna</v>
      </c>
      <c r="AE1569" s="742">
        <v>50</v>
      </c>
      <c r="AF1569" s="743">
        <v>324</v>
      </c>
      <c r="AG1569" s="741" t="str">
        <f>'DICTIONARY-5'!$A$23</f>
        <v>powłoka epoksydowa</v>
      </c>
    </row>
    <row r="1570" spans="1:33" x14ac:dyDescent="0.25">
      <c r="A1570" s="867" t="s">
        <v>4940</v>
      </c>
      <c r="B1570" s="867" t="s">
        <v>1540</v>
      </c>
      <c r="C1570" s="836" t="s">
        <v>5967</v>
      </c>
      <c r="D1570" s="836"/>
      <c r="E1570" s="836"/>
      <c r="F1570" s="836"/>
      <c r="G1570" s="496" t="s">
        <v>7830</v>
      </c>
      <c r="H1570" s="797" t="str">
        <f>VLOOKUP(G1570,SETTINGS!$B$7:$D$97,2,0)</f>
        <v>EKN (≤DN600)</v>
      </c>
      <c r="I1570" s="796">
        <f>VLOOKUP(G1570,SETTINGS!$B$7:$D$97,3,0)</f>
        <v>0</v>
      </c>
      <c r="J1570" s="670" t="str">
        <f>IFERROR(IF(CURRENCY.FORMAT_1=0,CONCATENATE(TEXT(FIXED(ROUND((C1570/EXC.RATE_1),CURRENCY.FORMAT_1),CURRENCY.FORMAT_1,1),"# ##0;-# ##0"),",-"),FIXED(ROUND((C1570/EXC.RATE_1),CURRENCY.FORMAT_1),CURRENCY.FORMAT_1,0)),'DICTIONARY-5'!$A$2)</f>
        <v>na zapytanie</v>
      </c>
      <c r="K1570" s="670" t="str">
        <f>IF(EXC.RATE_2=0,"",IFERROR(IF(CURRENCY.FORMAT_2=0,CONCATENATE(TEXT(FIXED(ROUND(IF(EXC.RATE.SWITCH=1,C1570/EXC.RATE_2,C1570*EXC.RATE_2),CURRENCY.FORMAT_2),CURRENCY.FORMAT_2,1),"# ##0;-# ##0"),",-"),FIXED(ROUND(IF(EXC.RATE.SWITCH=1,C1570/EXC.RATE_2,C1570*EXC.RATE_2),CURRENCY.FORMAT_2),CURRENCY.FORMAT_2,0)),'DICTIONARY-5'!$A$2))</f>
        <v/>
      </c>
      <c r="L1570" s="670" t="str">
        <f>IFERROR(IF(CURRENCY.FORMAT_1=0,CONCATENATE(TEXT(FIXED(ROUND((C1570*(1-I1570)*(1-ADD.DISCOUNT)*(1+MAT.SURCHARGE)/EXC.RATE_1),CURRENCY.FORMAT_1),CURRENCY.FORMAT_1,1),"# ##0;-# ##0"),",-"),FIXED(ROUND((C1570*(1-I1570)*(1-ADD.DISCOUNT)*(1+MAT.SURCHARGE)/EXC.RATE_1),CURRENCY.FORMAT_1),CURRENCY.FORMAT_1,0)),'DICTIONARY-5'!$A$2)</f>
        <v>na zapytanie</v>
      </c>
      <c r="M1570" s="670" t="str">
        <f>IF(EXC.RATE_2=0,"",IFERROR(IF(CURRENCY.FORMAT_2=0,CONCATENATE(TEXT(FIXED(ROUND(IF(EXC.RATE.SWITCH=1,C1570*(1-I1570)*(1-ADD.DISCOUNT)*(1+MAT.SURCHARGE)/EXC.RATE_2,C1570*(1-I1570)*(1-ADD.DISCOUNT)*(1+MAT.SURCHARGE)*EXC.RATE_2),CURRENCY.FORMAT_2),CURRENCY.FORMAT_2,1),"# ##0;-# ##0"),",-"),FIXED(ROUND(IF(EXC.RATE.SWITCH=1,C1570*(1-I1570)*(1-ADD.DISCOUNT)*(1+MAT.SURCHARGE)/EXC.RATE_2,C1570*(1-I1570)*(1-ADD.DISCOUNT)*(1+MAT.SURCHARGE)*EXC.RATE_2),CURRENCY.FORMAT_2),CURRENCY.FORMAT_2,0)),'DICTIONARY-5'!$A$2))</f>
        <v/>
      </c>
      <c r="N1570" s="541">
        <v>6</v>
      </c>
      <c r="O1570" s="541"/>
      <c r="P1570" s="732" t="str">
        <f>'DICTIONARY-3'!$A$146</f>
        <v>EKN M</v>
      </c>
      <c r="Q1570" s="731" t="str">
        <f>'DICTIONARY-3'!$A$204</f>
        <v>Przepustnica kołnierzowa</v>
      </c>
      <c r="R1570" s="732" t="str">
        <f>CONCATENATE('DICTIONARY-3'!$A$146," ",'DICTIONARY-6'!$A$2," ",'DICTIONARY-2'!$A$2,U1570," ",'DICTIONARY-2'!$A$3,V1570," ","R14",", ",'DICTIONARY-4'!$A$10,)</f>
        <v>EKN M Przep. kołnierz. DN600 PN16 R14, PPW</v>
      </c>
      <c r="S1570" s="733" t="str">
        <f>'DICTIONARY-4'!$A$10</f>
        <v>PPW</v>
      </c>
      <c r="T1570" s="732" t="str">
        <f>'DICTIONARY-4'!$A$26</f>
        <v>Przygotowane pod przedł. wrzciona</v>
      </c>
      <c r="U1570" s="734" t="s">
        <v>5757</v>
      </c>
      <c r="V1570" s="735">
        <v>16</v>
      </c>
      <c r="W1570" s="736"/>
      <c r="X1570" s="737"/>
      <c r="Y1570" s="738"/>
      <c r="Z1570" s="739"/>
      <c r="AA1570" s="739"/>
      <c r="AB1570" s="740">
        <v>16</v>
      </c>
      <c r="AC1570" s="741" t="str">
        <f>'DICTIONARY-5'!$A$11&amp;" 14"</f>
        <v>EN 558 szereg 14</v>
      </c>
      <c r="AD1570" s="741" t="str">
        <f>'DICTIONARY-5'!$A$13</f>
        <v>woda pitna</v>
      </c>
      <c r="AE1570" s="742">
        <v>50</v>
      </c>
      <c r="AF1570" s="743">
        <v>443</v>
      </c>
      <c r="AG1570" s="741" t="str">
        <f>'DICTIONARY-5'!$A$23</f>
        <v>powłoka epoksydowa</v>
      </c>
    </row>
    <row r="1571" spans="1:33" x14ac:dyDescent="0.25">
      <c r="A1571" s="844" t="s">
        <v>5265</v>
      </c>
      <c r="B1571" s="844" t="s">
        <v>5447</v>
      </c>
      <c r="C1571" s="836">
        <v>419</v>
      </c>
      <c r="D1571" s="836"/>
      <c r="E1571" s="836"/>
      <c r="F1571" s="836"/>
      <c r="G1571" s="496" t="s">
        <v>7832</v>
      </c>
      <c r="H1571" s="797" t="str">
        <f>VLOOKUP(G1571,SETTINGS!$B$7:$D$97,2,0)</f>
        <v>CEREX 300</v>
      </c>
      <c r="I1571" s="796">
        <f>VLOOKUP(G1571,SETTINGS!$B$7:$D$97,3,0)</f>
        <v>0</v>
      </c>
      <c r="J1571" s="670" t="str">
        <f>IFERROR(IF(CURRENCY.FORMAT_1=0,CONCATENATE(TEXT(FIXED(ROUND((C1571/EXC.RATE_1),CURRENCY.FORMAT_1),CURRENCY.FORMAT_1,1),"# ##0;-# ##0"),",-"),FIXED(ROUND((C1571/EXC.RATE_1),CURRENCY.FORMAT_1),CURRENCY.FORMAT_1,0)),'DICTIONARY-5'!$A$2)</f>
        <v>419,-</v>
      </c>
      <c r="K1571" s="670" t="str">
        <f>IF(EXC.RATE_2=0,"",IFERROR(IF(CURRENCY.FORMAT_2=0,CONCATENATE(TEXT(FIXED(ROUND(IF(EXC.RATE.SWITCH=1,C1571/EXC.RATE_2,C1571*EXC.RATE_2),CURRENCY.FORMAT_2),CURRENCY.FORMAT_2,1),"# ##0;-# ##0"),",-"),FIXED(ROUND(IF(EXC.RATE.SWITCH=1,C1571/EXC.RATE_2,C1571*EXC.RATE_2),CURRENCY.FORMAT_2),CURRENCY.FORMAT_2,0)),'DICTIONARY-5'!$A$2))</f>
        <v/>
      </c>
      <c r="L1571" s="670" t="str">
        <f>IFERROR(IF(CURRENCY.FORMAT_1=0,CONCATENATE(TEXT(FIXED(ROUND((C1571*(1-I1571)*(1-ADD.DISCOUNT)*(1+MAT.SURCHARGE)/EXC.RATE_1),CURRENCY.FORMAT_1),CURRENCY.FORMAT_1,1),"# ##0;-# ##0"),",-"),FIXED(ROUND((C1571*(1-I1571)*(1-ADD.DISCOUNT)*(1+MAT.SURCHARGE)/EXC.RATE_1),CURRENCY.FORMAT_1),CURRENCY.FORMAT_1,0)),'DICTIONARY-5'!$A$2)</f>
        <v>435,-</v>
      </c>
      <c r="M1571" s="670" t="str">
        <f>IF(EXC.RATE_2=0,"",IFERROR(IF(CURRENCY.FORMAT_2=0,CONCATENATE(TEXT(FIXED(ROUND(IF(EXC.RATE.SWITCH=1,C1571*(1-I1571)*(1-ADD.DISCOUNT)*(1+MAT.SURCHARGE)/EXC.RATE_2,C1571*(1-I1571)*(1-ADD.DISCOUNT)*(1+MAT.SURCHARGE)*EXC.RATE_2),CURRENCY.FORMAT_2),CURRENCY.FORMAT_2,1),"# ##0;-# ##0"),",-"),FIXED(ROUND(IF(EXC.RATE.SWITCH=1,C1571*(1-I1571)*(1-ADD.DISCOUNT)*(1+MAT.SURCHARGE)/EXC.RATE_2,C1571*(1-I1571)*(1-ADD.DISCOUNT)*(1+MAT.SURCHARGE)*EXC.RATE_2),CURRENCY.FORMAT_2),CURRENCY.FORMAT_2,0)),'DICTIONARY-5'!$A$2))</f>
        <v/>
      </c>
      <c r="N1571" s="541">
        <v>6</v>
      </c>
      <c r="O1571" s="654" t="s">
        <v>7363</v>
      </c>
      <c r="P1571" s="731" t="str">
        <f>'DICTIONARY-3'!$A$149</f>
        <v>CEREX 300-W</v>
      </c>
      <c r="Q1571" s="731" t="str">
        <f>'DICTIONARY-3'!$A$204</f>
        <v>Przepustnica kołnierzowa</v>
      </c>
      <c r="R1571" s="732" t="str">
        <f>CONCATENATE('DICTIONARY-3'!$A$149," ",'DICTIONARY-6'!$A$2," ",'DICTIONARY-2'!$A$2,"250"," ",'DICTIONARY-2'!$A$3,"10/16"," ",'DICTIONARY-5'!$A$51,"/",'DICTIONARY-5'!$A$44,", ",'DICTIONARY-4'!$A$2)</f>
        <v>CEREX 300-W Przep. kołnierz. DN250 PN10/16 GGG/EPDM, WW</v>
      </c>
      <c r="S1571" s="733" t="str">
        <f>'DICTIONARY-4'!$A$2</f>
        <v>WW</v>
      </c>
      <c r="T1571" s="732" t="str">
        <f>'DICTIONARY-4'!$A$18</f>
        <v>Wolny wałek</v>
      </c>
      <c r="U1571" s="734" t="s">
        <v>5751</v>
      </c>
      <c r="V1571" s="735">
        <v>16</v>
      </c>
      <c r="W1571" s="736"/>
      <c r="X1571" s="737"/>
      <c r="Y1571" s="738"/>
      <c r="Z1571" s="739"/>
      <c r="AA1571" s="739"/>
      <c r="AB1571" s="740">
        <v>16</v>
      </c>
      <c r="AC1571" s="741" t="str">
        <f>'DICTIONARY-5'!$A$11&amp;" 20"</f>
        <v>EN 558 szereg 20</v>
      </c>
      <c r="AD1571" s="741" t="str">
        <f>'DICTIONARY-5'!$A$13</f>
        <v>woda pitna</v>
      </c>
      <c r="AE1571" s="742">
        <v>80</v>
      </c>
      <c r="AF1571" s="743">
        <v>22</v>
      </c>
      <c r="AG1571" s="741" t="str">
        <f>'DICTIONARY-5'!$A$23</f>
        <v>powłoka epoksydowa</v>
      </c>
    </row>
    <row r="1572" spans="1:33" x14ac:dyDescent="0.25">
      <c r="A1572" s="844" t="s">
        <v>5267</v>
      </c>
      <c r="B1572" s="844" t="s">
        <v>5448</v>
      </c>
      <c r="C1572" s="836">
        <v>594</v>
      </c>
      <c r="D1572" s="836"/>
      <c r="E1572" s="836"/>
      <c r="F1572" s="836"/>
      <c r="G1572" s="496" t="s">
        <v>7832</v>
      </c>
      <c r="H1572" s="797" t="str">
        <f>VLOOKUP(G1572,SETTINGS!$B$7:$D$97,2,0)</f>
        <v>CEREX 300</v>
      </c>
      <c r="I1572" s="796">
        <f>VLOOKUP(G1572,SETTINGS!$B$7:$D$97,3,0)</f>
        <v>0</v>
      </c>
      <c r="J1572" s="670" t="str">
        <f>IFERROR(IF(CURRENCY.FORMAT_1=0,CONCATENATE(TEXT(FIXED(ROUND((C1572/EXC.RATE_1),CURRENCY.FORMAT_1),CURRENCY.FORMAT_1,1),"# ##0;-# ##0"),",-"),FIXED(ROUND((C1572/EXC.RATE_1),CURRENCY.FORMAT_1),CURRENCY.FORMAT_1,0)),'DICTIONARY-5'!$A$2)</f>
        <v>594,-</v>
      </c>
      <c r="K1572" s="670" t="str">
        <f>IF(EXC.RATE_2=0,"",IFERROR(IF(CURRENCY.FORMAT_2=0,CONCATENATE(TEXT(FIXED(ROUND(IF(EXC.RATE.SWITCH=1,C1572/EXC.RATE_2,C1572*EXC.RATE_2),CURRENCY.FORMAT_2),CURRENCY.FORMAT_2,1),"# ##0;-# ##0"),",-"),FIXED(ROUND(IF(EXC.RATE.SWITCH=1,C1572/EXC.RATE_2,C1572*EXC.RATE_2),CURRENCY.FORMAT_2),CURRENCY.FORMAT_2,0)),'DICTIONARY-5'!$A$2))</f>
        <v/>
      </c>
      <c r="L1572" s="670" t="str">
        <f>IFERROR(IF(CURRENCY.FORMAT_1=0,CONCATENATE(TEXT(FIXED(ROUND((C1572*(1-I1572)*(1-ADD.DISCOUNT)*(1+MAT.SURCHARGE)/EXC.RATE_1),CURRENCY.FORMAT_1),CURRENCY.FORMAT_1,1),"# ##0;-# ##0"),",-"),FIXED(ROUND((C1572*(1-I1572)*(1-ADD.DISCOUNT)*(1+MAT.SURCHARGE)/EXC.RATE_1),CURRENCY.FORMAT_1),CURRENCY.FORMAT_1,0)),'DICTIONARY-5'!$A$2)</f>
        <v>617,-</v>
      </c>
      <c r="M1572" s="670" t="str">
        <f>IF(EXC.RATE_2=0,"",IFERROR(IF(CURRENCY.FORMAT_2=0,CONCATENATE(TEXT(FIXED(ROUND(IF(EXC.RATE.SWITCH=1,C1572*(1-I1572)*(1-ADD.DISCOUNT)*(1+MAT.SURCHARGE)/EXC.RATE_2,C1572*(1-I1572)*(1-ADD.DISCOUNT)*(1+MAT.SURCHARGE)*EXC.RATE_2),CURRENCY.FORMAT_2),CURRENCY.FORMAT_2,1),"# ##0;-# ##0"),",-"),FIXED(ROUND(IF(EXC.RATE.SWITCH=1,C1572*(1-I1572)*(1-ADD.DISCOUNT)*(1+MAT.SURCHARGE)/EXC.RATE_2,C1572*(1-I1572)*(1-ADD.DISCOUNT)*(1+MAT.SURCHARGE)*EXC.RATE_2),CURRENCY.FORMAT_2),CURRENCY.FORMAT_2,0)),'DICTIONARY-5'!$A$2))</f>
        <v/>
      </c>
      <c r="N1572" s="541">
        <v>6</v>
      </c>
      <c r="O1572" s="654" t="s">
        <v>7363</v>
      </c>
      <c r="P1572" s="731" t="str">
        <f>'DICTIONARY-3'!$A$149</f>
        <v>CEREX 300-W</v>
      </c>
      <c r="Q1572" s="731" t="str">
        <f>'DICTIONARY-3'!$A$204</f>
        <v>Przepustnica kołnierzowa</v>
      </c>
      <c r="R1572" s="732" t="str">
        <f>CONCATENATE('DICTIONARY-3'!$A$149," ",'DICTIONARY-6'!$A$2," ",'DICTIONARY-2'!$A$2,"300"," ",'DICTIONARY-2'!$A$3,"10/16"," ",'DICTIONARY-5'!$A$51,"/",'DICTIONARY-5'!$A$44,", ",'DICTIONARY-4'!$A$2)</f>
        <v>CEREX 300-W Przep. kołnierz. DN300 PN10/16 GGG/EPDM, WW</v>
      </c>
      <c r="S1572" s="733" t="str">
        <f>'DICTIONARY-4'!$A$2</f>
        <v>WW</v>
      </c>
      <c r="T1572" s="732" t="str">
        <f>'DICTIONARY-4'!$A$18</f>
        <v>Wolny wałek</v>
      </c>
      <c r="U1572" s="734" t="s">
        <v>5752</v>
      </c>
      <c r="V1572" s="735">
        <v>16</v>
      </c>
      <c r="W1572" s="736"/>
      <c r="X1572" s="737"/>
      <c r="Y1572" s="738"/>
      <c r="Z1572" s="739"/>
      <c r="AA1572" s="739"/>
      <c r="AB1572" s="740">
        <v>16</v>
      </c>
      <c r="AC1572" s="741" t="str">
        <f>'DICTIONARY-5'!$A$11&amp;" 20"</f>
        <v>EN 558 szereg 20</v>
      </c>
      <c r="AD1572" s="741" t="str">
        <f>'DICTIONARY-5'!$A$13</f>
        <v>woda pitna</v>
      </c>
      <c r="AE1572" s="742">
        <v>80</v>
      </c>
      <c r="AF1572" s="743">
        <v>30.5</v>
      </c>
      <c r="AG1572" s="741" t="str">
        <f>'DICTIONARY-5'!$A$23</f>
        <v>powłoka epoksydowa</v>
      </c>
    </row>
    <row r="1573" spans="1:33" x14ac:dyDescent="0.25">
      <c r="A1573" s="844" t="s">
        <v>5269</v>
      </c>
      <c r="B1573" s="844" t="s">
        <v>5449</v>
      </c>
      <c r="C1573" s="836">
        <v>865</v>
      </c>
      <c r="D1573" s="836"/>
      <c r="E1573" s="836"/>
      <c r="F1573" s="836"/>
      <c r="G1573" s="496" t="s">
        <v>7832</v>
      </c>
      <c r="H1573" s="797" t="str">
        <f>VLOOKUP(G1573,SETTINGS!$B$7:$D$97,2,0)</f>
        <v>CEREX 300</v>
      </c>
      <c r="I1573" s="796">
        <f>VLOOKUP(G1573,SETTINGS!$B$7:$D$97,3,0)</f>
        <v>0</v>
      </c>
      <c r="J1573" s="670" t="str">
        <f>IFERROR(IF(CURRENCY.FORMAT_1=0,CONCATENATE(TEXT(FIXED(ROUND((C1573/EXC.RATE_1),CURRENCY.FORMAT_1),CURRENCY.FORMAT_1,1),"# ##0;-# ##0"),",-"),FIXED(ROUND((C1573/EXC.RATE_1),CURRENCY.FORMAT_1),CURRENCY.FORMAT_1,0)),'DICTIONARY-5'!$A$2)</f>
        <v>865,-</v>
      </c>
      <c r="K1573" s="670" t="str">
        <f>IF(EXC.RATE_2=0,"",IFERROR(IF(CURRENCY.FORMAT_2=0,CONCATENATE(TEXT(FIXED(ROUND(IF(EXC.RATE.SWITCH=1,C1573/EXC.RATE_2,C1573*EXC.RATE_2),CURRENCY.FORMAT_2),CURRENCY.FORMAT_2,1),"# ##0;-# ##0"),",-"),FIXED(ROUND(IF(EXC.RATE.SWITCH=1,C1573/EXC.RATE_2,C1573*EXC.RATE_2),CURRENCY.FORMAT_2),CURRENCY.FORMAT_2,0)),'DICTIONARY-5'!$A$2))</f>
        <v/>
      </c>
      <c r="L1573" s="670" t="str">
        <f>IFERROR(IF(CURRENCY.FORMAT_1=0,CONCATENATE(TEXT(FIXED(ROUND((C1573*(1-I1573)*(1-ADD.DISCOUNT)*(1+MAT.SURCHARGE)/EXC.RATE_1),CURRENCY.FORMAT_1),CURRENCY.FORMAT_1,1),"# ##0;-# ##0"),",-"),FIXED(ROUND((C1573*(1-I1573)*(1-ADD.DISCOUNT)*(1+MAT.SURCHARGE)/EXC.RATE_1),CURRENCY.FORMAT_1),CURRENCY.FORMAT_1,0)),'DICTIONARY-5'!$A$2)</f>
        <v>899,-</v>
      </c>
      <c r="M1573" s="670" t="str">
        <f>IF(EXC.RATE_2=0,"",IFERROR(IF(CURRENCY.FORMAT_2=0,CONCATENATE(TEXT(FIXED(ROUND(IF(EXC.RATE.SWITCH=1,C1573*(1-I1573)*(1-ADD.DISCOUNT)*(1+MAT.SURCHARGE)/EXC.RATE_2,C1573*(1-I1573)*(1-ADD.DISCOUNT)*(1+MAT.SURCHARGE)*EXC.RATE_2),CURRENCY.FORMAT_2),CURRENCY.FORMAT_2,1),"# ##0;-# ##0"),",-"),FIXED(ROUND(IF(EXC.RATE.SWITCH=1,C1573*(1-I1573)*(1-ADD.DISCOUNT)*(1+MAT.SURCHARGE)/EXC.RATE_2,C1573*(1-I1573)*(1-ADD.DISCOUNT)*(1+MAT.SURCHARGE)*EXC.RATE_2),CURRENCY.FORMAT_2),CURRENCY.FORMAT_2,0)),'DICTIONARY-5'!$A$2))</f>
        <v/>
      </c>
      <c r="N1573" s="541">
        <v>6</v>
      </c>
      <c r="O1573" s="654" t="s">
        <v>7363</v>
      </c>
      <c r="P1573" s="731" t="str">
        <f>'DICTIONARY-3'!$A$149</f>
        <v>CEREX 300-W</v>
      </c>
      <c r="Q1573" s="731" t="str">
        <f>'DICTIONARY-3'!$A$204</f>
        <v>Przepustnica kołnierzowa</v>
      </c>
      <c r="R1573" s="732" t="str">
        <f>CONCATENATE('DICTIONARY-3'!$A$149," ",'DICTIONARY-6'!$A$2," ",'DICTIONARY-2'!$A$2,"350"," ",'DICTIONARY-2'!$A$3,"10/16"," ",'DICTIONARY-5'!$A$51,"/",'DICTIONARY-5'!$A$44,", ",'DICTIONARY-4'!$A$2)</f>
        <v>CEREX 300-W Przep. kołnierz. DN350 PN10/16 GGG/EPDM, WW</v>
      </c>
      <c r="S1573" s="733" t="str">
        <f>'DICTIONARY-4'!$A$2</f>
        <v>WW</v>
      </c>
      <c r="T1573" s="732" t="str">
        <f>'DICTIONARY-4'!$A$18</f>
        <v>Wolny wałek</v>
      </c>
      <c r="U1573" s="734" t="s">
        <v>5753</v>
      </c>
      <c r="V1573" s="735">
        <v>16</v>
      </c>
      <c r="W1573" s="736"/>
      <c r="X1573" s="737"/>
      <c r="Y1573" s="738"/>
      <c r="Z1573" s="739"/>
      <c r="AA1573" s="739"/>
      <c r="AB1573" s="740">
        <v>16</v>
      </c>
      <c r="AC1573" s="741" t="str">
        <f>'DICTIONARY-5'!$A$11&amp;" 20"</f>
        <v>EN 558 szereg 20</v>
      </c>
      <c r="AD1573" s="741" t="str">
        <f>'DICTIONARY-5'!$A$13</f>
        <v>woda pitna</v>
      </c>
      <c r="AE1573" s="742">
        <v>80</v>
      </c>
      <c r="AF1573" s="743">
        <v>40.5</v>
      </c>
      <c r="AG1573" s="741" t="str">
        <f>'DICTIONARY-5'!$A$23</f>
        <v>powłoka epoksydowa</v>
      </c>
    </row>
    <row r="1574" spans="1:33" x14ac:dyDescent="0.25">
      <c r="A1574" s="844" t="s">
        <v>5271</v>
      </c>
      <c r="B1574" s="844" t="s">
        <v>5450</v>
      </c>
      <c r="C1574" s="836">
        <v>1194</v>
      </c>
      <c r="D1574" s="836"/>
      <c r="E1574" s="836"/>
      <c r="F1574" s="836"/>
      <c r="G1574" s="496" t="s">
        <v>7832</v>
      </c>
      <c r="H1574" s="797" t="str">
        <f>VLOOKUP(G1574,SETTINGS!$B$7:$D$97,2,0)</f>
        <v>CEREX 300</v>
      </c>
      <c r="I1574" s="796">
        <f>VLOOKUP(G1574,SETTINGS!$B$7:$D$97,3,0)</f>
        <v>0</v>
      </c>
      <c r="J1574" s="670" t="str">
        <f>IFERROR(IF(CURRENCY.FORMAT_1=0,CONCATENATE(TEXT(FIXED(ROUND((C1574/EXC.RATE_1),CURRENCY.FORMAT_1),CURRENCY.FORMAT_1,1),"# ##0;-# ##0"),",-"),FIXED(ROUND((C1574/EXC.RATE_1),CURRENCY.FORMAT_1),CURRENCY.FORMAT_1,0)),'DICTIONARY-5'!$A$2)</f>
        <v>1 194,-</v>
      </c>
      <c r="K1574" s="670" t="str">
        <f>IF(EXC.RATE_2=0,"",IFERROR(IF(CURRENCY.FORMAT_2=0,CONCATENATE(TEXT(FIXED(ROUND(IF(EXC.RATE.SWITCH=1,C1574/EXC.RATE_2,C1574*EXC.RATE_2),CURRENCY.FORMAT_2),CURRENCY.FORMAT_2,1),"# ##0;-# ##0"),",-"),FIXED(ROUND(IF(EXC.RATE.SWITCH=1,C1574/EXC.RATE_2,C1574*EXC.RATE_2),CURRENCY.FORMAT_2),CURRENCY.FORMAT_2,0)),'DICTIONARY-5'!$A$2))</f>
        <v/>
      </c>
      <c r="L1574" s="670" t="str">
        <f>IFERROR(IF(CURRENCY.FORMAT_1=0,CONCATENATE(TEXT(FIXED(ROUND((C1574*(1-I1574)*(1-ADD.DISCOUNT)*(1+MAT.SURCHARGE)/EXC.RATE_1),CURRENCY.FORMAT_1),CURRENCY.FORMAT_1,1),"# ##0;-# ##0"),",-"),FIXED(ROUND((C1574*(1-I1574)*(1-ADD.DISCOUNT)*(1+MAT.SURCHARGE)/EXC.RATE_1),CURRENCY.FORMAT_1),CURRENCY.FORMAT_1,0)),'DICTIONARY-5'!$A$2)</f>
        <v>1 241,-</v>
      </c>
      <c r="M1574" s="670" t="str">
        <f>IF(EXC.RATE_2=0,"",IFERROR(IF(CURRENCY.FORMAT_2=0,CONCATENATE(TEXT(FIXED(ROUND(IF(EXC.RATE.SWITCH=1,C1574*(1-I1574)*(1-ADD.DISCOUNT)*(1+MAT.SURCHARGE)/EXC.RATE_2,C1574*(1-I1574)*(1-ADD.DISCOUNT)*(1+MAT.SURCHARGE)*EXC.RATE_2),CURRENCY.FORMAT_2),CURRENCY.FORMAT_2,1),"# ##0;-# ##0"),",-"),FIXED(ROUND(IF(EXC.RATE.SWITCH=1,C1574*(1-I1574)*(1-ADD.DISCOUNT)*(1+MAT.SURCHARGE)/EXC.RATE_2,C1574*(1-I1574)*(1-ADD.DISCOUNT)*(1+MAT.SURCHARGE)*EXC.RATE_2),CURRENCY.FORMAT_2),CURRENCY.FORMAT_2,0)),'DICTIONARY-5'!$A$2))</f>
        <v/>
      </c>
      <c r="N1574" s="541">
        <v>6</v>
      </c>
      <c r="O1574" s="654" t="s">
        <v>7363</v>
      </c>
      <c r="P1574" s="731" t="str">
        <f>'DICTIONARY-3'!$A$149</f>
        <v>CEREX 300-W</v>
      </c>
      <c r="Q1574" s="731" t="str">
        <f>'DICTIONARY-3'!$A$204</f>
        <v>Przepustnica kołnierzowa</v>
      </c>
      <c r="R1574" s="732" t="str">
        <f>CONCATENATE('DICTIONARY-3'!$A$149," ",'DICTIONARY-6'!$A$2," ",'DICTIONARY-2'!$A$2,"400"," ",'DICTIONARY-2'!$A$3,"10/16"," ",'DICTIONARY-5'!$A$51,"/",'DICTIONARY-5'!$A$44,", ",'DICTIONARY-4'!$A$2)</f>
        <v>CEREX 300-W Przep. kołnierz. DN400 PN10/16 GGG/EPDM, WW</v>
      </c>
      <c r="S1574" s="733" t="str">
        <f>'DICTIONARY-4'!$A$2</f>
        <v>WW</v>
      </c>
      <c r="T1574" s="732" t="str">
        <f>'DICTIONARY-4'!$A$18</f>
        <v>Wolny wałek</v>
      </c>
      <c r="U1574" s="734" t="s">
        <v>5754</v>
      </c>
      <c r="V1574" s="735">
        <v>16</v>
      </c>
      <c r="W1574" s="736"/>
      <c r="X1574" s="737"/>
      <c r="Y1574" s="738"/>
      <c r="Z1574" s="739"/>
      <c r="AA1574" s="739"/>
      <c r="AB1574" s="740">
        <v>16</v>
      </c>
      <c r="AC1574" s="741" t="str">
        <f>'DICTIONARY-5'!$A$11&amp;" 20"</f>
        <v>EN 558 szereg 20</v>
      </c>
      <c r="AD1574" s="741" t="str">
        <f>'DICTIONARY-5'!$A$13</f>
        <v>woda pitna</v>
      </c>
      <c r="AE1574" s="742">
        <v>80</v>
      </c>
      <c r="AF1574" s="743">
        <v>61.5</v>
      </c>
      <c r="AG1574" s="741" t="str">
        <f>'DICTIONARY-5'!$A$23</f>
        <v>powłoka epoksydowa</v>
      </c>
    </row>
    <row r="1575" spans="1:33" x14ac:dyDescent="0.25">
      <c r="A1575" s="844" t="s">
        <v>5273</v>
      </c>
      <c r="B1575" s="844" t="s">
        <v>5451</v>
      </c>
      <c r="C1575" s="836">
        <v>1820</v>
      </c>
      <c r="D1575" s="836"/>
      <c r="E1575" s="836"/>
      <c r="F1575" s="836"/>
      <c r="G1575" s="496" t="s">
        <v>7832</v>
      </c>
      <c r="H1575" s="797" t="str">
        <f>VLOOKUP(G1575,SETTINGS!$B$7:$D$97,2,0)</f>
        <v>CEREX 300</v>
      </c>
      <c r="I1575" s="796">
        <f>VLOOKUP(G1575,SETTINGS!$B$7:$D$97,3,0)</f>
        <v>0</v>
      </c>
      <c r="J1575" s="670" t="str">
        <f>IFERROR(IF(CURRENCY.FORMAT_1=0,CONCATENATE(TEXT(FIXED(ROUND((C1575/EXC.RATE_1),CURRENCY.FORMAT_1),CURRENCY.FORMAT_1,1),"# ##0;-# ##0"),",-"),FIXED(ROUND((C1575/EXC.RATE_1),CURRENCY.FORMAT_1),CURRENCY.FORMAT_1,0)),'DICTIONARY-5'!$A$2)</f>
        <v>1 820,-</v>
      </c>
      <c r="K1575" s="670" t="str">
        <f>IF(EXC.RATE_2=0,"",IFERROR(IF(CURRENCY.FORMAT_2=0,CONCATENATE(TEXT(FIXED(ROUND(IF(EXC.RATE.SWITCH=1,C1575/EXC.RATE_2,C1575*EXC.RATE_2),CURRENCY.FORMAT_2),CURRENCY.FORMAT_2,1),"# ##0;-# ##0"),",-"),FIXED(ROUND(IF(EXC.RATE.SWITCH=1,C1575/EXC.RATE_2,C1575*EXC.RATE_2),CURRENCY.FORMAT_2),CURRENCY.FORMAT_2,0)),'DICTIONARY-5'!$A$2))</f>
        <v/>
      </c>
      <c r="L1575" s="670" t="str">
        <f>IFERROR(IF(CURRENCY.FORMAT_1=0,CONCATENATE(TEXT(FIXED(ROUND((C1575*(1-I1575)*(1-ADD.DISCOUNT)*(1+MAT.SURCHARGE)/EXC.RATE_1),CURRENCY.FORMAT_1),CURRENCY.FORMAT_1,1),"# ##0;-# ##0"),",-"),FIXED(ROUND((C1575*(1-I1575)*(1-ADD.DISCOUNT)*(1+MAT.SURCHARGE)/EXC.RATE_1),CURRENCY.FORMAT_1),CURRENCY.FORMAT_1,0)),'DICTIONARY-5'!$A$2)</f>
        <v>1 891,-</v>
      </c>
      <c r="M1575" s="670" t="str">
        <f>IF(EXC.RATE_2=0,"",IFERROR(IF(CURRENCY.FORMAT_2=0,CONCATENATE(TEXT(FIXED(ROUND(IF(EXC.RATE.SWITCH=1,C1575*(1-I1575)*(1-ADD.DISCOUNT)*(1+MAT.SURCHARGE)/EXC.RATE_2,C1575*(1-I1575)*(1-ADD.DISCOUNT)*(1+MAT.SURCHARGE)*EXC.RATE_2),CURRENCY.FORMAT_2),CURRENCY.FORMAT_2,1),"# ##0;-# ##0"),",-"),FIXED(ROUND(IF(EXC.RATE.SWITCH=1,C1575*(1-I1575)*(1-ADD.DISCOUNT)*(1+MAT.SURCHARGE)/EXC.RATE_2,C1575*(1-I1575)*(1-ADD.DISCOUNT)*(1+MAT.SURCHARGE)*EXC.RATE_2),CURRENCY.FORMAT_2),CURRENCY.FORMAT_2,0)),'DICTIONARY-5'!$A$2))</f>
        <v/>
      </c>
      <c r="N1575" s="541">
        <v>6</v>
      </c>
      <c r="O1575" s="654" t="s">
        <v>7363</v>
      </c>
      <c r="P1575" s="731" t="str">
        <f>'DICTIONARY-3'!$A$149</f>
        <v>CEREX 300-W</v>
      </c>
      <c r="Q1575" s="731" t="str">
        <f>'DICTIONARY-3'!$A$204</f>
        <v>Przepustnica kołnierzowa</v>
      </c>
      <c r="R1575" s="732" t="str">
        <f>CONCATENATE('DICTIONARY-3'!$A$149," ",'DICTIONARY-6'!$A$2," ",'DICTIONARY-2'!$A$2,"450"," ",'DICTIONARY-2'!$A$3,"10/16"," ",'DICTIONARY-2'!$A$10,"10",'DICTIONARY-2'!$A$20," ",'DICTIONARY-5'!$A$51,"/",'DICTIONARY-5'!$A$44,", ",'DICTIONARY-4'!$A$2)</f>
        <v>CEREX 300-W Przep. kołnierz. DN450 PN10/16 PS10bar GGG/EPDM, WW</v>
      </c>
      <c r="S1575" s="733" t="str">
        <f>'DICTIONARY-4'!$A$2</f>
        <v>WW</v>
      </c>
      <c r="T1575" s="732" t="str">
        <f>'DICTIONARY-4'!$A$18</f>
        <v>Wolny wałek</v>
      </c>
      <c r="U1575" s="734" t="s">
        <v>5755</v>
      </c>
      <c r="V1575" s="735">
        <v>16</v>
      </c>
      <c r="W1575" s="736"/>
      <c r="X1575" s="737"/>
      <c r="Y1575" s="738"/>
      <c r="Z1575" s="739"/>
      <c r="AA1575" s="739"/>
      <c r="AB1575" s="740">
        <v>10</v>
      </c>
      <c r="AC1575" s="741" t="str">
        <f>'DICTIONARY-5'!$A$11&amp;" 20"</f>
        <v>EN 558 szereg 20</v>
      </c>
      <c r="AD1575" s="741" t="str">
        <f>'DICTIONARY-5'!$A$13</f>
        <v>woda pitna</v>
      </c>
      <c r="AE1575" s="742">
        <v>80</v>
      </c>
      <c r="AF1575" s="743">
        <v>89</v>
      </c>
      <c r="AG1575" s="741" t="str">
        <f>'DICTIONARY-5'!$A$23</f>
        <v>powłoka epoksydowa</v>
      </c>
    </row>
    <row r="1576" spans="1:33" x14ac:dyDescent="0.25">
      <c r="A1576" s="844" t="s">
        <v>5275</v>
      </c>
      <c r="B1576" s="844" t="s">
        <v>5452</v>
      </c>
      <c r="C1576" s="836">
        <v>2084</v>
      </c>
      <c r="D1576" s="836"/>
      <c r="E1576" s="836"/>
      <c r="F1576" s="836"/>
      <c r="G1576" s="496" t="s">
        <v>7832</v>
      </c>
      <c r="H1576" s="797" t="str">
        <f>VLOOKUP(G1576,SETTINGS!$B$7:$D$97,2,0)</f>
        <v>CEREX 300</v>
      </c>
      <c r="I1576" s="796">
        <f>VLOOKUP(G1576,SETTINGS!$B$7:$D$97,3,0)</f>
        <v>0</v>
      </c>
      <c r="J1576" s="670" t="str">
        <f>IFERROR(IF(CURRENCY.FORMAT_1=0,CONCATENATE(TEXT(FIXED(ROUND((C1576/EXC.RATE_1),CURRENCY.FORMAT_1),CURRENCY.FORMAT_1,1),"# ##0;-# ##0"),",-"),FIXED(ROUND((C1576/EXC.RATE_1),CURRENCY.FORMAT_1),CURRENCY.FORMAT_1,0)),'DICTIONARY-5'!$A$2)</f>
        <v>2 084,-</v>
      </c>
      <c r="K1576" s="670" t="str">
        <f>IF(EXC.RATE_2=0,"",IFERROR(IF(CURRENCY.FORMAT_2=0,CONCATENATE(TEXT(FIXED(ROUND(IF(EXC.RATE.SWITCH=1,C1576/EXC.RATE_2,C1576*EXC.RATE_2),CURRENCY.FORMAT_2),CURRENCY.FORMAT_2,1),"# ##0;-# ##0"),",-"),FIXED(ROUND(IF(EXC.RATE.SWITCH=1,C1576/EXC.RATE_2,C1576*EXC.RATE_2),CURRENCY.FORMAT_2),CURRENCY.FORMAT_2,0)),'DICTIONARY-5'!$A$2))</f>
        <v/>
      </c>
      <c r="L1576" s="670" t="str">
        <f>IFERROR(IF(CURRENCY.FORMAT_1=0,CONCATENATE(TEXT(FIXED(ROUND((C1576*(1-I1576)*(1-ADD.DISCOUNT)*(1+MAT.SURCHARGE)/EXC.RATE_1),CURRENCY.FORMAT_1),CURRENCY.FORMAT_1,1),"# ##0;-# ##0"),",-"),FIXED(ROUND((C1576*(1-I1576)*(1-ADD.DISCOUNT)*(1+MAT.SURCHARGE)/EXC.RATE_1),CURRENCY.FORMAT_1),CURRENCY.FORMAT_1,0)),'DICTIONARY-5'!$A$2)</f>
        <v>2 165,-</v>
      </c>
      <c r="M1576" s="670" t="str">
        <f>IF(EXC.RATE_2=0,"",IFERROR(IF(CURRENCY.FORMAT_2=0,CONCATENATE(TEXT(FIXED(ROUND(IF(EXC.RATE.SWITCH=1,C1576*(1-I1576)*(1-ADD.DISCOUNT)*(1+MAT.SURCHARGE)/EXC.RATE_2,C1576*(1-I1576)*(1-ADD.DISCOUNT)*(1+MAT.SURCHARGE)*EXC.RATE_2),CURRENCY.FORMAT_2),CURRENCY.FORMAT_2,1),"# ##0;-# ##0"),",-"),FIXED(ROUND(IF(EXC.RATE.SWITCH=1,C1576*(1-I1576)*(1-ADD.DISCOUNT)*(1+MAT.SURCHARGE)/EXC.RATE_2,C1576*(1-I1576)*(1-ADD.DISCOUNT)*(1+MAT.SURCHARGE)*EXC.RATE_2),CURRENCY.FORMAT_2),CURRENCY.FORMAT_2,0)),'DICTIONARY-5'!$A$2))</f>
        <v/>
      </c>
      <c r="N1576" s="541">
        <v>6</v>
      </c>
      <c r="O1576" s="654" t="s">
        <v>7363</v>
      </c>
      <c r="P1576" s="731" t="str">
        <f>'DICTIONARY-3'!$A$149</f>
        <v>CEREX 300-W</v>
      </c>
      <c r="Q1576" s="731" t="str">
        <f>'DICTIONARY-3'!$A$204</f>
        <v>Przepustnica kołnierzowa</v>
      </c>
      <c r="R1576" s="732" t="str">
        <f>CONCATENATE('DICTIONARY-3'!$A$149," ",'DICTIONARY-6'!$A$2," ",'DICTIONARY-2'!$A$2,"500"," ",'DICTIONARY-2'!$A$3,"10"," ",'DICTIONARY-5'!$A$51,"/",'DICTIONARY-5'!$A$44,", ",'DICTIONARY-4'!$A$2)</f>
        <v>CEREX 300-W Przep. kołnierz. DN500 PN10 GGG/EPDM, WW</v>
      </c>
      <c r="S1576" s="733" t="str">
        <f>'DICTIONARY-4'!$A$2</f>
        <v>WW</v>
      </c>
      <c r="T1576" s="732" t="str">
        <f>'DICTIONARY-4'!$A$18</f>
        <v>Wolny wałek</v>
      </c>
      <c r="U1576" s="734" t="s">
        <v>5756</v>
      </c>
      <c r="V1576" s="735">
        <v>10</v>
      </c>
      <c r="W1576" s="736"/>
      <c r="X1576" s="737"/>
      <c r="Y1576" s="738"/>
      <c r="Z1576" s="739"/>
      <c r="AA1576" s="739"/>
      <c r="AB1576" s="740">
        <v>10</v>
      </c>
      <c r="AC1576" s="741" t="str">
        <f>'DICTIONARY-5'!$A$11&amp;" 20"</f>
        <v>EN 558 szereg 20</v>
      </c>
      <c r="AD1576" s="741" t="str">
        <f>'DICTIONARY-5'!$A$13</f>
        <v>woda pitna</v>
      </c>
      <c r="AE1576" s="742">
        <v>80</v>
      </c>
      <c r="AF1576" s="743">
        <v>123</v>
      </c>
      <c r="AG1576" s="741" t="str">
        <f>'DICTIONARY-5'!$A$23</f>
        <v>powłoka epoksydowa</v>
      </c>
    </row>
    <row r="1577" spans="1:33" x14ac:dyDescent="0.25">
      <c r="A1577" s="844" t="s">
        <v>5277</v>
      </c>
      <c r="B1577" s="844" t="s">
        <v>5453</v>
      </c>
      <c r="C1577" s="836">
        <v>2081</v>
      </c>
      <c r="D1577" s="836"/>
      <c r="E1577" s="836"/>
      <c r="F1577" s="836"/>
      <c r="G1577" s="496" t="s">
        <v>7832</v>
      </c>
      <c r="H1577" s="797" t="str">
        <f>VLOOKUP(G1577,SETTINGS!$B$7:$D$97,2,0)</f>
        <v>CEREX 300</v>
      </c>
      <c r="I1577" s="796">
        <f>VLOOKUP(G1577,SETTINGS!$B$7:$D$97,3,0)</f>
        <v>0</v>
      </c>
      <c r="J1577" s="670" t="str">
        <f>IFERROR(IF(CURRENCY.FORMAT_1=0,CONCATENATE(TEXT(FIXED(ROUND((C1577/EXC.RATE_1),CURRENCY.FORMAT_1),CURRENCY.FORMAT_1,1),"# ##0;-# ##0"),",-"),FIXED(ROUND((C1577/EXC.RATE_1),CURRENCY.FORMAT_1),CURRENCY.FORMAT_1,0)),'DICTIONARY-5'!$A$2)</f>
        <v>2 081,-</v>
      </c>
      <c r="K1577" s="670" t="str">
        <f>IF(EXC.RATE_2=0,"",IFERROR(IF(CURRENCY.FORMAT_2=0,CONCATENATE(TEXT(FIXED(ROUND(IF(EXC.RATE.SWITCH=1,C1577/EXC.RATE_2,C1577*EXC.RATE_2),CURRENCY.FORMAT_2),CURRENCY.FORMAT_2,1),"# ##0;-# ##0"),",-"),FIXED(ROUND(IF(EXC.RATE.SWITCH=1,C1577/EXC.RATE_2,C1577*EXC.RATE_2),CURRENCY.FORMAT_2),CURRENCY.FORMAT_2,0)),'DICTIONARY-5'!$A$2))</f>
        <v/>
      </c>
      <c r="L1577" s="670" t="str">
        <f>IFERROR(IF(CURRENCY.FORMAT_1=0,CONCATENATE(TEXT(FIXED(ROUND((C1577*(1-I1577)*(1-ADD.DISCOUNT)*(1+MAT.SURCHARGE)/EXC.RATE_1),CURRENCY.FORMAT_1),CURRENCY.FORMAT_1,1),"# ##0;-# ##0"),",-"),FIXED(ROUND((C1577*(1-I1577)*(1-ADD.DISCOUNT)*(1+MAT.SURCHARGE)/EXC.RATE_1),CURRENCY.FORMAT_1),CURRENCY.FORMAT_1,0)),'DICTIONARY-5'!$A$2)</f>
        <v>2 162,-</v>
      </c>
      <c r="M1577" s="670" t="str">
        <f>IF(EXC.RATE_2=0,"",IFERROR(IF(CURRENCY.FORMAT_2=0,CONCATENATE(TEXT(FIXED(ROUND(IF(EXC.RATE.SWITCH=1,C1577*(1-I1577)*(1-ADD.DISCOUNT)*(1+MAT.SURCHARGE)/EXC.RATE_2,C1577*(1-I1577)*(1-ADD.DISCOUNT)*(1+MAT.SURCHARGE)*EXC.RATE_2),CURRENCY.FORMAT_2),CURRENCY.FORMAT_2,1),"# ##0;-# ##0"),",-"),FIXED(ROUND(IF(EXC.RATE.SWITCH=1,C1577*(1-I1577)*(1-ADD.DISCOUNT)*(1+MAT.SURCHARGE)/EXC.RATE_2,C1577*(1-I1577)*(1-ADD.DISCOUNT)*(1+MAT.SURCHARGE)*EXC.RATE_2),CURRENCY.FORMAT_2),CURRENCY.FORMAT_2,0)),'DICTIONARY-5'!$A$2))</f>
        <v/>
      </c>
      <c r="N1577" s="541">
        <v>6</v>
      </c>
      <c r="O1577" s="654" t="s">
        <v>7363</v>
      </c>
      <c r="P1577" s="731" t="str">
        <f>'DICTIONARY-3'!$A$149</f>
        <v>CEREX 300-W</v>
      </c>
      <c r="Q1577" s="731" t="str">
        <f>'DICTIONARY-3'!$A$204</f>
        <v>Przepustnica kołnierzowa</v>
      </c>
      <c r="R1577" s="732" t="str">
        <f>CONCATENATE('DICTIONARY-3'!$A$149," ",'DICTIONARY-6'!$A$2," ",'DICTIONARY-2'!$A$2,"500"," ",'DICTIONARY-2'!$A$3,"16"," ",'DICTIONARY-2'!$A$10,"10",'DICTIONARY-2'!$A$20," ",'DICTIONARY-5'!$A$51,"/",'DICTIONARY-5'!$A$44,", ",'DICTIONARY-4'!$A$2)</f>
        <v>CEREX 300-W Przep. kołnierz. DN500 PN16 PS10bar GGG/EPDM, WW</v>
      </c>
      <c r="S1577" s="733" t="str">
        <f>'DICTIONARY-4'!$A$2</f>
        <v>WW</v>
      </c>
      <c r="T1577" s="732" t="str">
        <f>'DICTIONARY-4'!$A$18</f>
        <v>Wolny wałek</v>
      </c>
      <c r="U1577" s="734" t="s">
        <v>5756</v>
      </c>
      <c r="V1577" s="735">
        <v>16</v>
      </c>
      <c r="W1577" s="736"/>
      <c r="X1577" s="737"/>
      <c r="Y1577" s="738"/>
      <c r="Z1577" s="739"/>
      <c r="AA1577" s="739"/>
      <c r="AB1577" s="740">
        <v>10</v>
      </c>
      <c r="AC1577" s="741" t="str">
        <f>'DICTIONARY-5'!$A$11&amp;" 20"</f>
        <v>EN 558 szereg 20</v>
      </c>
      <c r="AD1577" s="741" t="str">
        <f>'DICTIONARY-5'!$A$13</f>
        <v>woda pitna</v>
      </c>
      <c r="AE1577" s="742">
        <v>80</v>
      </c>
      <c r="AF1577" s="743">
        <v>121.5</v>
      </c>
      <c r="AG1577" s="741" t="str">
        <f>'DICTIONARY-5'!$A$23</f>
        <v>powłoka epoksydowa</v>
      </c>
    </row>
    <row r="1578" spans="1:33" x14ac:dyDescent="0.25">
      <c r="A1578" s="844" t="s">
        <v>5279</v>
      </c>
      <c r="B1578" s="844" t="s">
        <v>5454</v>
      </c>
      <c r="C1578" s="836">
        <v>3450</v>
      </c>
      <c r="D1578" s="836"/>
      <c r="E1578" s="836"/>
      <c r="F1578" s="836"/>
      <c r="G1578" s="496" t="s">
        <v>7832</v>
      </c>
      <c r="H1578" s="797" t="str">
        <f>VLOOKUP(G1578,SETTINGS!$B$7:$D$97,2,0)</f>
        <v>CEREX 300</v>
      </c>
      <c r="I1578" s="796">
        <f>VLOOKUP(G1578,SETTINGS!$B$7:$D$97,3,0)</f>
        <v>0</v>
      </c>
      <c r="J1578" s="670" t="str">
        <f>IFERROR(IF(CURRENCY.FORMAT_1=0,CONCATENATE(TEXT(FIXED(ROUND((C1578/EXC.RATE_1),CURRENCY.FORMAT_1),CURRENCY.FORMAT_1,1),"# ##0;-# ##0"),",-"),FIXED(ROUND((C1578/EXC.RATE_1),CURRENCY.FORMAT_1),CURRENCY.FORMAT_1,0)),'DICTIONARY-5'!$A$2)</f>
        <v>3 450,-</v>
      </c>
      <c r="K1578" s="670" t="str">
        <f>IF(EXC.RATE_2=0,"",IFERROR(IF(CURRENCY.FORMAT_2=0,CONCATENATE(TEXT(FIXED(ROUND(IF(EXC.RATE.SWITCH=1,C1578/EXC.RATE_2,C1578*EXC.RATE_2),CURRENCY.FORMAT_2),CURRENCY.FORMAT_2,1),"# ##0;-# ##0"),",-"),FIXED(ROUND(IF(EXC.RATE.SWITCH=1,C1578/EXC.RATE_2,C1578*EXC.RATE_2),CURRENCY.FORMAT_2),CURRENCY.FORMAT_2,0)),'DICTIONARY-5'!$A$2))</f>
        <v/>
      </c>
      <c r="L1578" s="670" t="str">
        <f>IFERROR(IF(CURRENCY.FORMAT_1=0,CONCATENATE(TEXT(FIXED(ROUND((C1578*(1-I1578)*(1-ADD.DISCOUNT)*(1+MAT.SURCHARGE)/EXC.RATE_1),CURRENCY.FORMAT_1),CURRENCY.FORMAT_1,1),"# ##0;-# ##0"),",-"),FIXED(ROUND((C1578*(1-I1578)*(1-ADD.DISCOUNT)*(1+MAT.SURCHARGE)/EXC.RATE_1),CURRENCY.FORMAT_1),CURRENCY.FORMAT_1,0)),'DICTIONARY-5'!$A$2)</f>
        <v>3 585,-</v>
      </c>
      <c r="M1578" s="670" t="str">
        <f>IF(EXC.RATE_2=0,"",IFERROR(IF(CURRENCY.FORMAT_2=0,CONCATENATE(TEXT(FIXED(ROUND(IF(EXC.RATE.SWITCH=1,C1578*(1-I1578)*(1-ADD.DISCOUNT)*(1+MAT.SURCHARGE)/EXC.RATE_2,C1578*(1-I1578)*(1-ADD.DISCOUNT)*(1+MAT.SURCHARGE)*EXC.RATE_2),CURRENCY.FORMAT_2),CURRENCY.FORMAT_2,1),"# ##0;-# ##0"),",-"),FIXED(ROUND(IF(EXC.RATE.SWITCH=1,C1578*(1-I1578)*(1-ADD.DISCOUNT)*(1+MAT.SURCHARGE)/EXC.RATE_2,C1578*(1-I1578)*(1-ADD.DISCOUNT)*(1+MAT.SURCHARGE)*EXC.RATE_2),CURRENCY.FORMAT_2),CURRENCY.FORMAT_2,0)),'DICTIONARY-5'!$A$2))</f>
        <v/>
      </c>
      <c r="N1578" s="541">
        <v>6</v>
      </c>
      <c r="O1578" s="654" t="s">
        <v>7363</v>
      </c>
      <c r="P1578" s="731" t="str">
        <f>'DICTIONARY-3'!$A$149</f>
        <v>CEREX 300-W</v>
      </c>
      <c r="Q1578" s="731" t="str">
        <f>'DICTIONARY-3'!$A$204</f>
        <v>Przepustnica kołnierzowa</v>
      </c>
      <c r="R1578" s="732" t="str">
        <f>CONCATENATE('DICTIONARY-3'!$A$149," ",'DICTIONARY-6'!$A$2," ",'DICTIONARY-2'!$A$2,"600"," ",'DICTIONARY-2'!$A$3,"10"," ",'DICTIONARY-5'!$A$51,"/",'DICTIONARY-5'!$A$44,", ",'DICTIONARY-4'!$A$2)</f>
        <v>CEREX 300-W Przep. kołnierz. DN600 PN10 GGG/EPDM, WW</v>
      </c>
      <c r="S1578" s="733" t="str">
        <f>'DICTIONARY-4'!$A$2</f>
        <v>WW</v>
      </c>
      <c r="T1578" s="732" t="str">
        <f>'DICTIONARY-4'!$A$18</f>
        <v>Wolny wałek</v>
      </c>
      <c r="U1578" s="734" t="s">
        <v>5757</v>
      </c>
      <c r="V1578" s="735">
        <v>10</v>
      </c>
      <c r="W1578" s="736"/>
      <c r="X1578" s="737"/>
      <c r="Y1578" s="738"/>
      <c r="Z1578" s="739"/>
      <c r="AA1578" s="739"/>
      <c r="AB1578" s="740">
        <v>10</v>
      </c>
      <c r="AC1578" s="741" t="str">
        <f>'DICTIONARY-5'!$A$11&amp;" 20"</f>
        <v>EN 558 szereg 20</v>
      </c>
      <c r="AD1578" s="741" t="str">
        <f>'DICTIONARY-5'!$A$13</f>
        <v>woda pitna</v>
      </c>
      <c r="AE1578" s="742">
        <v>80</v>
      </c>
      <c r="AF1578" s="743">
        <v>191</v>
      </c>
      <c r="AG1578" s="741" t="str">
        <f>'DICTIONARY-5'!$A$23</f>
        <v>powłoka epoksydowa</v>
      </c>
    </row>
    <row r="1579" spans="1:33" x14ac:dyDescent="0.25">
      <c r="A1579" s="844" t="s">
        <v>5281</v>
      </c>
      <c r="B1579" s="844" t="s">
        <v>5455</v>
      </c>
      <c r="C1579" s="836">
        <v>3408</v>
      </c>
      <c r="D1579" s="836"/>
      <c r="E1579" s="836"/>
      <c r="F1579" s="836"/>
      <c r="G1579" s="496" t="s">
        <v>7832</v>
      </c>
      <c r="H1579" s="797" t="str">
        <f>VLOOKUP(G1579,SETTINGS!$B$7:$D$97,2,0)</f>
        <v>CEREX 300</v>
      </c>
      <c r="I1579" s="796">
        <f>VLOOKUP(G1579,SETTINGS!$B$7:$D$97,3,0)</f>
        <v>0</v>
      </c>
      <c r="J1579" s="670" t="str">
        <f>IFERROR(IF(CURRENCY.FORMAT_1=0,CONCATENATE(TEXT(FIXED(ROUND((C1579/EXC.RATE_1),CURRENCY.FORMAT_1),CURRENCY.FORMAT_1,1),"# ##0;-# ##0"),",-"),FIXED(ROUND((C1579/EXC.RATE_1),CURRENCY.FORMAT_1),CURRENCY.FORMAT_1,0)),'DICTIONARY-5'!$A$2)</f>
        <v>3 408,-</v>
      </c>
      <c r="K1579" s="670" t="str">
        <f>IF(EXC.RATE_2=0,"",IFERROR(IF(CURRENCY.FORMAT_2=0,CONCATENATE(TEXT(FIXED(ROUND(IF(EXC.RATE.SWITCH=1,C1579/EXC.RATE_2,C1579*EXC.RATE_2),CURRENCY.FORMAT_2),CURRENCY.FORMAT_2,1),"# ##0;-# ##0"),",-"),FIXED(ROUND(IF(EXC.RATE.SWITCH=1,C1579/EXC.RATE_2,C1579*EXC.RATE_2),CURRENCY.FORMAT_2),CURRENCY.FORMAT_2,0)),'DICTIONARY-5'!$A$2))</f>
        <v/>
      </c>
      <c r="L1579" s="670" t="str">
        <f>IFERROR(IF(CURRENCY.FORMAT_1=0,CONCATENATE(TEXT(FIXED(ROUND((C1579*(1-I1579)*(1-ADD.DISCOUNT)*(1+MAT.SURCHARGE)/EXC.RATE_1),CURRENCY.FORMAT_1),CURRENCY.FORMAT_1,1),"# ##0;-# ##0"),",-"),FIXED(ROUND((C1579*(1-I1579)*(1-ADD.DISCOUNT)*(1+MAT.SURCHARGE)/EXC.RATE_1),CURRENCY.FORMAT_1),CURRENCY.FORMAT_1,0)),'DICTIONARY-5'!$A$2)</f>
        <v>3 541,-</v>
      </c>
      <c r="M1579" s="670" t="str">
        <f>IF(EXC.RATE_2=0,"",IFERROR(IF(CURRENCY.FORMAT_2=0,CONCATENATE(TEXT(FIXED(ROUND(IF(EXC.RATE.SWITCH=1,C1579*(1-I1579)*(1-ADD.DISCOUNT)*(1+MAT.SURCHARGE)/EXC.RATE_2,C1579*(1-I1579)*(1-ADD.DISCOUNT)*(1+MAT.SURCHARGE)*EXC.RATE_2),CURRENCY.FORMAT_2),CURRENCY.FORMAT_2,1),"# ##0;-# ##0"),",-"),FIXED(ROUND(IF(EXC.RATE.SWITCH=1,C1579*(1-I1579)*(1-ADD.DISCOUNT)*(1+MAT.SURCHARGE)/EXC.RATE_2,C1579*(1-I1579)*(1-ADD.DISCOUNT)*(1+MAT.SURCHARGE)*EXC.RATE_2),CURRENCY.FORMAT_2),CURRENCY.FORMAT_2,0)),'DICTIONARY-5'!$A$2))</f>
        <v/>
      </c>
      <c r="N1579" s="541">
        <v>6</v>
      </c>
      <c r="O1579" s="654" t="s">
        <v>7363</v>
      </c>
      <c r="P1579" s="731" t="str">
        <f>'DICTIONARY-3'!$A$149</f>
        <v>CEREX 300-W</v>
      </c>
      <c r="Q1579" s="731" t="str">
        <f>'DICTIONARY-3'!$A$204</f>
        <v>Przepustnica kołnierzowa</v>
      </c>
      <c r="R1579" s="732" t="str">
        <f>CONCATENATE('DICTIONARY-3'!$A$149," ",'DICTIONARY-6'!$A$2," ",'DICTIONARY-2'!$A$2,"600"," ",'DICTIONARY-2'!$A$3,"16"," ",'DICTIONARY-2'!$A$10,"10",'DICTIONARY-2'!$A$20," ",'DICTIONARY-5'!$A$51,"/",'DICTIONARY-5'!$A$44,", ",'DICTIONARY-4'!$A$2)</f>
        <v>CEREX 300-W Przep. kołnierz. DN600 PN16 PS10bar GGG/EPDM, WW</v>
      </c>
      <c r="S1579" s="733" t="str">
        <f>'DICTIONARY-4'!$A$2</f>
        <v>WW</v>
      </c>
      <c r="T1579" s="732" t="str">
        <f>'DICTIONARY-4'!$A$18</f>
        <v>Wolny wałek</v>
      </c>
      <c r="U1579" s="734" t="s">
        <v>5757</v>
      </c>
      <c r="V1579" s="735">
        <v>16</v>
      </c>
      <c r="W1579" s="736"/>
      <c r="X1579" s="737"/>
      <c r="Y1579" s="738"/>
      <c r="Z1579" s="739"/>
      <c r="AA1579" s="739"/>
      <c r="AB1579" s="740">
        <v>10</v>
      </c>
      <c r="AC1579" s="741" t="str">
        <f>'DICTIONARY-5'!$A$11&amp;" 20"</f>
        <v>EN 558 szereg 20</v>
      </c>
      <c r="AD1579" s="741" t="str">
        <f>'DICTIONARY-5'!$A$13</f>
        <v>woda pitna</v>
      </c>
      <c r="AE1579" s="742">
        <v>80</v>
      </c>
      <c r="AF1579" s="743">
        <v>188</v>
      </c>
      <c r="AG1579" s="741" t="str">
        <f>'DICTIONARY-5'!$A$23</f>
        <v>powłoka epoksydowa</v>
      </c>
    </row>
    <row r="1580" spans="1:33" x14ac:dyDescent="0.25">
      <c r="A1580" s="844" t="s">
        <v>5266</v>
      </c>
      <c r="B1580" s="844" t="s">
        <v>5456</v>
      </c>
      <c r="C1580" s="836">
        <v>565</v>
      </c>
      <c r="D1580" s="836"/>
      <c r="E1580" s="836"/>
      <c r="F1580" s="836"/>
      <c r="G1580" s="496" t="s">
        <v>7832</v>
      </c>
      <c r="H1580" s="797" t="str">
        <f>VLOOKUP(G1580,SETTINGS!$B$7:$D$97,2,0)</f>
        <v>CEREX 300</v>
      </c>
      <c r="I1580" s="796">
        <f>VLOOKUP(G1580,SETTINGS!$B$7:$D$97,3,0)</f>
        <v>0</v>
      </c>
      <c r="J1580" s="670" t="str">
        <f>IFERROR(IF(CURRENCY.FORMAT_1=0,CONCATENATE(TEXT(FIXED(ROUND((C1580/EXC.RATE_1),CURRENCY.FORMAT_1),CURRENCY.FORMAT_1,1),"# ##0;-# ##0"),",-"),FIXED(ROUND((C1580/EXC.RATE_1),CURRENCY.FORMAT_1),CURRENCY.FORMAT_1,0)),'DICTIONARY-5'!$A$2)</f>
        <v>565,-</v>
      </c>
      <c r="K1580" s="670" t="str">
        <f>IF(EXC.RATE_2=0,"",IFERROR(IF(CURRENCY.FORMAT_2=0,CONCATENATE(TEXT(FIXED(ROUND(IF(EXC.RATE.SWITCH=1,C1580/EXC.RATE_2,C1580*EXC.RATE_2),CURRENCY.FORMAT_2),CURRENCY.FORMAT_2,1),"# ##0;-# ##0"),",-"),FIXED(ROUND(IF(EXC.RATE.SWITCH=1,C1580/EXC.RATE_2,C1580*EXC.RATE_2),CURRENCY.FORMAT_2),CURRENCY.FORMAT_2,0)),'DICTIONARY-5'!$A$2))</f>
        <v/>
      </c>
      <c r="L1580" s="670" t="str">
        <f>IFERROR(IF(CURRENCY.FORMAT_1=0,CONCATENATE(TEXT(FIXED(ROUND((C1580*(1-I1580)*(1-ADD.DISCOUNT)*(1+MAT.SURCHARGE)/EXC.RATE_1),CURRENCY.FORMAT_1),CURRENCY.FORMAT_1,1),"# ##0;-# ##0"),",-"),FIXED(ROUND((C1580*(1-I1580)*(1-ADD.DISCOUNT)*(1+MAT.SURCHARGE)/EXC.RATE_1),CURRENCY.FORMAT_1),CURRENCY.FORMAT_1,0)),'DICTIONARY-5'!$A$2)</f>
        <v>587,-</v>
      </c>
      <c r="M1580" s="670" t="str">
        <f>IF(EXC.RATE_2=0,"",IFERROR(IF(CURRENCY.FORMAT_2=0,CONCATENATE(TEXT(FIXED(ROUND(IF(EXC.RATE.SWITCH=1,C1580*(1-I1580)*(1-ADD.DISCOUNT)*(1+MAT.SURCHARGE)/EXC.RATE_2,C1580*(1-I1580)*(1-ADD.DISCOUNT)*(1+MAT.SURCHARGE)*EXC.RATE_2),CURRENCY.FORMAT_2),CURRENCY.FORMAT_2,1),"# ##0;-# ##0"),",-"),FIXED(ROUND(IF(EXC.RATE.SWITCH=1,C1580*(1-I1580)*(1-ADD.DISCOUNT)*(1+MAT.SURCHARGE)/EXC.RATE_2,C1580*(1-I1580)*(1-ADD.DISCOUNT)*(1+MAT.SURCHARGE)*EXC.RATE_2),CURRENCY.FORMAT_2),CURRENCY.FORMAT_2,0)),'DICTIONARY-5'!$A$2))</f>
        <v/>
      </c>
      <c r="N1580" s="541">
        <v>6</v>
      </c>
      <c r="O1580" s="654" t="s">
        <v>7363</v>
      </c>
      <c r="P1580" s="731" t="str">
        <f>'DICTIONARY-3'!$A$149</f>
        <v>CEREX 300-W</v>
      </c>
      <c r="Q1580" s="731" t="str">
        <f>'DICTIONARY-3'!$A$204</f>
        <v>Przepustnica kołnierzowa</v>
      </c>
      <c r="R1580" s="732" t="str">
        <f>CONCATENATE('DICTIONARY-3'!$A$149," ",'DICTIONARY-6'!$A$2," ",'DICTIONARY-2'!$A$2,"250"," ",'DICTIONARY-2'!$A$3,"10/16"," ",'DICTIONARY-5'!$A$37,"/",'DICTIONARY-5'!$A$44,", ",'DICTIONARY-4'!$A$2)</f>
        <v>CEREX 300-W Przep. kołnierz. DN250 PN10/16 CF8M/EPDM, WW</v>
      </c>
      <c r="S1580" s="733" t="str">
        <f>'DICTIONARY-4'!$A$2</f>
        <v>WW</v>
      </c>
      <c r="T1580" s="732" t="str">
        <f>'DICTIONARY-4'!$A$18</f>
        <v>Wolny wałek</v>
      </c>
      <c r="U1580" s="734" t="s">
        <v>5751</v>
      </c>
      <c r="V1580" s="735">
        <v>16</v>
      </c>
      <c r="W1580" s="736"/>
      <c r="X1580" s="737"/>
      <c r="Y1580" s="738"/>
      <c r="Z1580" s="739"/>
      <c r="AA1580" s="739"/>
      <c r="AB1580" s="740">
        <v>16</v>
      </c>
      <c r="AC1580" s="741" t="str">
        <f>'DICTIONARY-5'!$A$11&amp;" 20"</f>
        <v>EN 558 szereg 20</v>
      </c>
      <c r="AD1580" s="741" t="str">
        <f>'DICTIONARY-5'!$A$13</f>
        <v>woda pitna</v>
      </c>
      <c r="AE1580" s="742">
        <v>110</v>
      </c>
      <c r="AF1580" s="743">
        <v>22.5</v>
      </c>
      <c r="AG1580" s="741" t="str">
        <f>'DICTIONARY-5'!$A$23</f>
        <v>powłoka epoksydowa</v>
      </c>
    </row>
    <row r="1581" spans="1:33" x14ac:dyDescent="0.25">
      <c r="A1581" s="844" t="s">
        <v>5268</v>
      </c>
      <c r="B1581" s="844" t="s">
        <v>5457</v>
      </c>
      <c r="C1581" s="836">
        <v>831</v>
      </c>
      <c r="D1581" s="836"/>
      <c r="E1581" s="836"/>
      <c r="F1581" s="836"/>
      <c r="G1581" s="496" t="s">
        <v>7832</v>
      </c>
      <c r="H1581" s="797" t="str">
        <f>VLOOKUP(G1581,SETTINGS!$B$7:$D$97,2,0)</f>
        <v>CEREX 300</v>
      </c>
      <c r="I1581" s="796">
        <f>VLOOKUP(G1581,SETTINGS!$B$7:$D$97,3,0)</f>
        <v>0</v>
      </c>
      <c r="J1581" s="670" t="str">
        <f>IFERROR(IF(CURRENCY.FORMAT_1=0,CONCATENATE(TEXT(FIXED(ROUND((C1581/EXC.RATE_1),CURRENCY.FORMAT_1),CURRENCY.FORMAT_1,1),"# ##0;-# ##0"),",-"),FIXED(ROUND((C1581/EXC.RATE_1),CURRENCY.FORMAT_1),CURRENCY.FORMAT_1,0)),'DICTIONARY-5'!$A$2)</f>
        <v>831,-</v>
      </c>
      <c r="K1581" s="670" t="str">
        <f>IF(EXC.RATE_2=0,"",IFERROR(IF(CURRENCY.FORMAT_2=0,CONCATENATE(TEXT(FIXED(ROUND(IF(EXC.RATE.SWITCH=1,C1581/EXC.RATE_2,C1581*EXC.RATE_2),CURRENCY.FORMAT_2),CURRENCY.FORMAT_2,1),"# ##0;-# ##0"),",-"),FIXED(ROUND(IF(EXC.RATE.SWITCH=1,C1581/EXC.RATE_2,C1581*EXC.RATE_2),CURRENCY.FORMAT_2),CURRENCY.FORMAT_2,0)),'DICTIONARY-5'!$A$2))</f>
        <v/>
      </c>
      <c r="L1581" s="670" t="str">
        <f>IFERROR(IF(CURRENCY.FORMAT_1=0,CONCATENATE(TEXT(FIXED(ROUND((C1581*(1-I1581)*(1-ADD.DISCOUNT)*(1+MAT.SURCHARGE)/EXC.RATE_1),CURRENCY.FORMAT_1),CURRENCY.FORMAT_1,1),"# ##0;-# ##0"),",-"),FIXED(ROUND((C1581*(1-I1581)*(1-ADD.DISCOUNT)*(1+MAT.SURCHARGE)/EXC.RATE_1),CURRENCY.FORMAT_1),CURRENCY.FORMAT_1,0)),'DICTIONARY-5'!$A$2)</f>
        <v>863,-</v>
      </c>
      <c r="M1581" s="670" t="str">
        <f>IF(EXC.RATE_2=0,"",IFERROR(IF(CURRENCY.FORMAT_2=0,CONCATENATE(TEXT(FIXED(ROUND(IF(EXC.RATE.SWITCH=1,C1581*(1-I1581)*(1-ADD.DISCOUNT)*(1+MAT.SURCHARGE)/EXC.RATE_2,C1581*(1-I1581)*(1-ADD.DISCOUNT)*(1+MAT.SURCHARGE)*EXC.RATE_2),CURRENCY.FORMAT_2),CURRENCY.FORMAT_2,1),"# ##0;-# ##0"),",-"),FIXED(ROUND(IF(EXC.RATE.SWITCH=1,C1581*(1-I1581)*(1-ADD.DISCOUNT)*(1+MAT.SURCHARGE)/EXC.RATE_2,C1581*(1-I1581)*(1-ADD.DISCOUNT)*(1+MAT.SURCHARGE)*EXC.RATE_2),CURRENCY.FORMAT_2),CURRENCY.FORMAT_2,0)),'DICTIONARY-5'!$A$2))</f>
        <v/>
      </c>
      <c r="N1581" s="541">
        <v>6</v>
      </c>
      <c r="O1581" s="654" t="s">
        <v>7363</v>
      </c>
      <c r="P1581" s="731" t="str">
        <f>'DICTIONARY-3'!$A$149</f>
        <v>CEREX 300-W</v>
      </c>
      <c r="Q1581" s="731" t="str">
        <f>'DICTIONARY-3'!$A$204</f>
        <v>Przepustnica kołnierzowa</v>
      </c>
      <c r="R1581" s="732" t="str">
        <f>CONCATENATE('DICTIONARY-3'!$A$149," ",'DICTIONARY-6'!$A$2," ",'DICTIONARY-2'!$A$2,"300"," ",'DICTIONARY-2'!$A$3,"10/16"," ",'DICTIONARY-5'!$A$37,"/",'DICTIONARY-5'!$A$44,", ",'DICTIONARY-4'!$A$2)</f>
        <v>CEREX 300-W Przep. kołnierz. DN300 PN10/16 CF8M/EPDM, WW</v>
      </c>
      <c r="S1581" s="733" t="str">
        <f>'DICTIONARY-4'!$A$2</f>
        <v>WW</v>
      </c>
      <c r="T1581" s="732" t="str">
        <f>'DICTIONARY-4'!$A$18</f>
        <v>Wolny wałek</v>
      </c>
      <c r="U1581" s="734" t="s">
        <v>5752</v>
      </c>
      <c r="V1581" s="735">
        <v>16</v>
      </c>
      <c r="W1581" s="736"/>
      <c r="X1581" s="737"/>
      <c r="Y1581" s="738"/>
      <c r="Z1581" s="739"/>
      <c r="AA1581" s="739"/>
      <c r="AB1581" s="740">
        <v>16</v>
      </c>
      <c r="AC1581" s="741" t="str">
        <f>'DICTIONARY-5'!$A$11&amp;" 20"</f>
        <v>EN 558 szereg 20</v>
      </c>
      <c r="AD1581" s="741" t="str">
        <f>'DICTIONARY-5'!$A$13</f>
        <v>woda pitna</v>
      </c>
      <c r="AE1581" s="742">
        <v>110</v>
      </c>
      <c r="AF1581" s="743">
        <v>31</v>
      </c>
      <c r="AG1581" s="741" t="str">
        <f>'DICTIONARY-5'!$A$23</f>
        <v>powłoka epoksydowa</v>
      </c>
    </row>
    <row r="1582" spans="1:33" x14ac:dyDescent="0.25">
      <c r="A1582" s="844" t="s">
        <v>5270</v>
      </c>
      <c r="B1582" s="844" t="s">
        <v>5458</v>
      </c>
      <c r="C1582" s="836">
        <v>1208</v>
      </c>
      <c r="D1582" s="836"/>
      <c r="E1582" s="836"/>
      <c r="F1582" s="836"/>
      <c r="G1582" s="496" t="s">
        <v>7832</v>
      </c>
      <c r="H1582" s="797" t="str">
        <f>VLOOKUP(G1582,SETTINGS!$B$7:$D$97,2,0)</f>
        <v>CEREX 300</v>
      </c>
      <c r="I1582" s="796">
        <f>VLOOKUP(G1582,SETTINGS!$B$7:$D$97,3,0)</f>
        <v>0</v>
      </c>
      <c r="J1582" s="670" t="str">
        <f>IFERROR(IF(CURRENCY.FORMAT_1=0,CONCATENATE(TEXT(FIXED(ROUND((C1582/EXC.RATE_1),CURRENCY.FORMAT_1),CURRENCY.FORMAT_1,1),"# ##0;-# ##0"),",-"),FIXED(ROUND((C1582/EXC.RATE_1),CURRENCY.FORMAT_1),CURRENCY.FORMAT_1,0)),'DICTIONARY-5'!$A$2)</f>
        <v>1 208,-</v>
      </c>
      <c r="K1582" s="670" t="str">
        <f>IF(EXC.RATE_2=0,"",IFERROR(IF(CURRENCY.FORMAT_2=0,CONCATENATE(TEXT(FIXED(ROUND(IF(EXC.RATE.SWITCH=1,C1582/EXC.RATE_2,C1582*EXC.RATE_2),CURRENCY.FORMAT_2),CURRENCY.FORMAT_2,1),"# ##0;-# ##0"),",-"),FIXED(ROUND(IF(EXC.RATE.SWITCH=1,C1582/EXC.RATE_2,C1582*EXC.RATE_2),CURRENCY.FORMAT_2),CURRENCY.FORMAT_2,0)),'DICTIONARY-5'!$A$2))</f>
        <v/>
      </c>
      <c r="L1582" s="670" t="str">
        <f>IFERROR(IF(CURRENCY.FORMAT_1=0,CONCATENATE(TEXT(FIXED(ROUND((C1582*(1-I1582)*(1-ADD.DISCOUNT)*(1+MAT.SURCHARGE)/EXC.RATE_1),CURRENCY.FORMAT_1),CURRENCY.FORMAT_1,1),"# ##0;-# ##0"),",-"),FIXED(ROUND((C1582*(1-I1582)*(1-ADD.DISCOUNT)*(1+MAT.SURCHARGE)/EXC.RATE_1),CURRENCY.FORMAT_1),CURRENCY.FORMAT_1,0)),'DICTIONARY-5'!$A$2)</f>
        <v>1 255,-</v>
      </c>
      <c r="M1582" s="670" t="str">
        <f>IF(EXC.RATE_2=0,"",IFERROR(IF(CURRENCY.FORMAT_2=0,CONCATENATE(TEXT(FIXED(ROUND(IF(EXC.RATE.SWITCH=1,C1582*(1-I1582)*(1-ADD.DISCOUNT)*(1+MAT.SURCHARGE)/EXC.RATE_2,C1582*(1-I1582)*(1-ADD.DISCOUNT)*(1+MAT.SURCHARGE)*EXC.RATE_2),CURRENCY.FORMAT_2),CURRENCY.FORMAT_2,1),"# ##0;-# ##0"),",-"),FIXED(ROUND(IF(EXC.RATE.SWITCH=1,C1582*(1-I1582)*(1-ADD.DISCOUNT)*(1+MAT.SURCHARGE)/EXC.RATE_2,C1582*(1-I1582)*(1-ADD.DISCOUNT)*(1+MAT.SURCHARGE)*EXC.RATE_2),CURRENCY.FORMAT_2),CURRENCY.FORMAT_2,0)),'DICTIONARY-5'!$A$2))</f>
        <v/>
      </c>
      <c r="N1582" s="541">
        <v>6</v>
      </c>
      <c r="O1582" s="654" t="s">
        <v>7363</v>
      </c>
      <c r="P1582" s="731" t="str">
        <f>'DICTIONARY-3'!$A$149</f>
        <v>CEREX 300-W</v>
      </c>
      <c r="Q1582" s="731" t="str">
        <f>'DICTIONARY-3'!$A$204</f>
        <v>Przepustnica kołnierzowa</v>
      </c>
      <c r="R1582" s="732" t="str">
        <f>CONCATENATE('DICTIONARY-3'!$A$149," ",'DICTIONARY-6'!$A$2," ",'DICTIONARY-2'!$A$2,"350"," ",'DICTIONARY-2'!$A$3,"10/16"," ",'DICTIONARY-5'!$A$37,"/",'DICTIONARY-5'!$A$44,", ",'DICTIONARY-4'!$A$2)</f>
        <v>CEREX 300-W Przep. kołnierz. DN350 PN10/16 CF8M/EPDM, WW</v>
      </c>
      <c r="S1582" s="733" t="str">
        <f>'DICTIONARY-4'!$A$2</f>
        <v>WW</v>
      </c>
      <c r="T1582" s="732" t="str">
        <f>'DICTIONARY-4'!$A$18</f>
        <v>Wolny wałek</v>
      </c>
      <c r="U1582" s="734" t="s">
        <v>5753</v>
      </c>
      <c r="V1582" s="735">
        <v>16</v>
      </c>
      <c r="W1582" s="736"/>
      <c r="X1582" s="737"/>
      <c r="Y1582" s="738"/>
      <c r="Z1582" s="739"/>
      <c r="AA1582" s="739"/>
      <c r="AB1582" s="740">
        <v>16</v>
      </c>
      <c r="AC1582" s="741" t="str">
        <f>'DICTIONARY-5'!$A$11&amp;" 20"</f>
        <v>EN 558 szereg 20</v>
      </c>
      <c r="AD1582" s="741" t="str">
        <f>'DICTIONARY-5'!$A$13</f>
        <v>woda pitna</v>
      </c>
      <c r="AE1582" s="742">
        <v>110</v>
      </c>
      <c r="AF1582" s="743">
        <v>39.5</v>
      </c>
      <c r="AG1582" s="741" t="str">
        <f>'DICTIONARY-5'!$A$23</f>
        <v>powłoka epoksydowa</v>
      </c>
    </row>
    <row r="1583" spans="1:33" x14ac:dyDescent="0.25">
      <c r="A1583" s="844" t="s">
        <v>5272</v>
      </c>
      <c r="B1583" s="844" t="s">
        <v>5459</v>
      </c>
      <c r="C1583" s="836">
        <v>1664</v>
      </c>
      <c r="D1583" s="836"/>
      <c r="E1583" s="836"/>
      <c r="F1583" s="836"/>
      <c r="G1583" s="496" t="s">
        <v>7832</v>
      </c>
      <c r="H1583" s="797" t="str">
        <f>VLOOKUP(G1583,SETTINGS!$B$7:$D$97,2,0)</f>
        <v>CEREX 300</v>
      </c>
      <c r="I1583" s="796">
        <f>VLOOKUP(G1583,SETTINGS!$B$7:$D$97,3,0)</f>
        <v>0</v>
      </c>
      <c r="J1583" s="670" t="str">
        <f>IFERROR(IF(CURRENCY.FORMAT_1=0,CONCATENATE(TEXT(FIXED(ROUND((C1583/EXC.RATE_1),CURRENCY.FORMAT_1),CURRENCY.FORMAT_1,1),"# ##0;-# ##0"),",-"),FIXED(ROUND((C1583/EXC.RATE_1),CURRENCY.FORMAT_1),CURRENCY.FORMAT_1,0)),'DICTIONARY-5'!$A$2)</f>
        <v>1 664,-</v>
      </c>
      <c r="K1583" s="670" t="str">
        <f>IF(EXC.RATE_2=0,"",IFERROR(IF(CURRENCY.FORMAT_2=0,CONCATENATE(TEXT(FIXED(ROUND(IF(EXC.RATE.SWITCH=1,C1583/EXC.RATE_2,C1583*EXC.RATE_2),CURRENCY.FORMAT_2),CURRENCY.FORMAT_2,1),"# ##0;-# ##0"),",-"),FIXED(ROUND(IF(EXC.RATE.SWITCH=1,C1583/EXC.RATE_2,C1583*EXC.RATE_2),CURRENCY.FORMAT_2),CURRENCY.FORMAT_2,0)),'DICTIONARY-5'!$A$2))</f>
        <v/>
      </c>
      <c r="L1583" s="670" t="str">
        <f>IFERROR(IF(CURRENCY.FORMAT_1=0,CONCATENATE(TEXT(FIXED(ROUND((C1583*(1-I1583)*(1-ADD.DISCOUNT)*(1+MAT.SURCHARGE)/EXC.RATE_1),CURRENCY.FORMAT_1),CURRENCY.FORMAT_1,1),"# ##0;-# ##0"),",-"),FIXED(ROUND((C1583*(1-I1583)*(1-ADD.DISCOUNT)*(1+MAT.SURCHARGE)/EXC.RATE_1),CURRENCY.FORMAT_1),CURRENCY.FORMAT_1,0)),'DICTIONARY-5'!$A$2)</f>
        <v>1 729,-</v>
      </c>
      <c r="M1583" s="670" t="str">
        <f>IF(EXC.RATE_2=0,"",IFERROR(IF(CURRENCY.FORMAT_2=0,CONCATENATE(TEXT(FIXED(ROUND(IF(EXC.RATE.SWITCH=1,C1583*(1-I1583)*(1-ADD.DISCOUNT)*(1+MAT.SURCHARGE)/EXC.RATE_2,C1583*(1-I1583)*(1-ADD.DISCOUNT)*(1+MAT.SURCHARGE)*EXC.RATE_2),CURRENCY.FORMAT_2),CURRENCY.FORMAT_2,1),"# ##0;-# ##0"),",-"),FIXED(ROUND(IF(EXC.RATE.SWITCH=1,C1583*(1-I1583)*(1-ADD.DISCOUNT)*(1+MAT.SURCHARGE)/EXC.RATE_2,C1583*(1-I1583)*(1-ADD.DISCOUNT)*(1+MAT.SURCHARGE)*EXC.RATE_2),CURRENCY.FORMAT_2),CURRENCY.FORMAT_2,0)),'DICTIONARY-5'!$A$2))</f>
        <v/>
      </c>
      <c r="N1583" s="541">
        <v>6</v>
      </c>
      <c r="O1583" s="654" t="s">
        <v>7363</v>
      </c>
      <c r="P1583" s="731" t="str">
        <f>'DICTIONARY-3'!$A$149</f>
        <v>CEREX 300-W</v>
      </c>
      <c r="Q1583" s="731" t="str">
        <f>'DICTIONARY-3'!$A$204</f>
        <v>Przepustnica kołnierzowa</v>
      </c>
      <c r="R1583" s="732" t="str">
        <f>CONCATENATE('DICTIONARY-3'!$A$149," ",'DICTIONARY-6'!$A$2," ",'DICTIONARY-2'!$A$2,"400"," ",'DICTIONARY-2'!$A$3,"10/16"," ",'DICTIONARY-5'!$A$37,"/",'DICTIONARY-5'!$A$44,", ",'DICTIONARY-4'!$A$2)</f>
        <v>CEREX 300-W Przep. kołnierz. DN400 PN10/16 CF8M/EPDM, WW</v>
      </c>
      <c r="S1583" s="733" t="str">
        <f>'DICTIONARY-4'!$A$2</f>
        <v>WW</v>
      </c>
      <c r="T1583" s="732" t="str">
        <f>'DICTIONARY-4'!$A$18</f>
        <v>Wolny wałek</v>
      </c>
      <c r="U1583" s="734" t="s">
        <v>5754</v>
      </c>
      <c r="V1583" s="735">
        <v>16</v>
      </c>
      <c r="W1583" s="736"/>
      <c r="X1583" s="737"/>
      <c r="Y1583" s="738"/>
      <c r="Z1583" s="739"/>
      <c r="AA1583" s="739"/>
      <c r="AB1583" s="740">
        <v>16</v>
      </c>
      <c r="AC1583" s="741" t="str">
        <f>'DICTIONARY-5'!$A$11&amp;" 20"</f>
        <v>EN 558 szereg 20</v>
      </c>
      <c r="AD1583" s="741" t="str">
        <f>'DICTIONARY-5'!$A$13</f>
        <v>woda pitna</v>
      </c>
      <c r="AE1583" s="742">
        <v>110</v>
      </c>
      <c r="AF1583" s="743">
        <v>60.5</v>
      </c>
      <c r="AG1583" s="741" t="str">
        <f>'DICTIONARY-5'!$A$23</f>
        <v>powłoka epoksydowa</v>
      </c>
    </row>
    <row r="1584" spans="1:33" x14ac:dyDescent="0.25">
      <c r="A1584" s="844" t="s">
        <v>5274</v>
      </c>
      <c r="B1584" s="844" t="s">
        <v>5460</v>
      </c>
      <c r="C1584" s="836">
        <v>2817</v>
      </c>
      <c r="D1584" s="836"/>
      <c r="E1584" s="836"/>
      <c r="F1584" s="836"/>
      <c r="G1584" s="496" t="s">
        <v>7832</v>
      </c>
      <c r="H1584" s="797" t="str">
        <f>VLOOKUP(G1584,SETTINGS!$B$7:$D$97,2,0)</f>
        <v>CEREX 300</v>
      </c>
      <c r="I1584" s="796">
        <f>VLOOKUP(G1584,SETTINGS!$B$7:$D$97,3,0)</f>
        <v>0</v>
      </c>
      <c r="J1584" s="670" t="str">
        <f>IFERROR(IF(CURRENCY.FORMAT_1=0,CONCATENATE(TEXT(FIXED(ROUND((C1584/EXC.RATE_1),CURRENCY.FORMAT_1),CURRENCY.FORMAT_1,1),"# ##0;-# ##0"),",-"),FIXED(ROUND((C1584/EXC.RATE_1),CURRENCY.FORMAT_1),CURRENCY.FORMAT_1,0)),'DICTIONARY-5'!$A$2)</f>
        <v>2 817,-</v>
      </c>
      <c r="K1584" s="670" t="str">
        <f>IF(EXC.RATE_2=0,"",IFERROR(IF(CURRENCY.FORMAT_2=0,CONCATENATE(TEXT(FIXED(ROUND(IF(EXC.RATE.SWITCH=1,C1584/EXC.RATE_2,C1584*EXC.RATE_2),CURRENCY.FORMAT_2),CURRENCY.FORMAT_2,1),"# ##0;-# ##0"),",-"),FIXED(ROUND(IF(EXC.RATE.SWITCH=1,C1584/EXC.RATE_2,C1584*EXC.RATE_2),CURRENCY.FORMAT_2),CURRENCY.FORMAT_2,0)),'DICTIONARY-5'!$A$2))</f>
        <v/>
      </c>
      <c r="L1584" s="670" t="str">
        <f>IFERROR(IF(CURRENCY.FORMAT_1=0,CONCATENATE(TEXT(FIXED(ROUND((C1584*(1-I1584)*(1-ADD.DISCOUNT)*(1+MAT.SURCHARGE)/EXC.RATE_1),CURRENCY.FORMAT_1),CURRENCY.FORMAT_1,1),"# ##0;-# ##0"),",-"),FIXED(ROUND((C1584*(1-I1584)*(1-ADD.DISCOUNT)*(1+MAT.SURCHARGE)/EXC.RATE_1),CURRENCY.FORMAT_1),CURRENCY.FORMAT_1,0)),'DICTIONARY-5'!$A$2)</f>
        <v>2 927,-</v>
      </c>
      <c r="M1584" s="670" t="str">
        <f>IF(EXC.RATE_2=0,"",IFERROR(IF(CURRENCY.FORMAT_2=0,CONCATENATE(TEXT(FIXED(ROUND(IF(EXC.RATE.SWITCH=1,C1584*(1-I1584)*(1-ADD.DISCOUNT)*(1+MAT.SURCHARGE)/EXC.RATE_2,C1584*(1-I1584)*(1-ADD.DISCOUNT)*(1+MAT.SURCHARGE)*EXC.RATE_2),CURRENCY.FORMAT_2),CURRENCY.FORMAT_2,1),"# ##0;-# ##0"),",-"),FIXED(ROUND(IF(EXC.RATE.SWITCH=1,C1584*(1-I1584)*(1-ADD.DISCOUNT)*(1+MAT.SURCHARGE)/EXC.RATE_2,C1584*(1-I1584)*(1-ADD.DISCOUNT)*(1+MAT.SURCHARGE)*EXC.RATE_2),CURRENCY.FORMAT_2),CURRENCY.FORMAT_2,0)),'DICTIONARY-5'!$A$2))</f>
        <v/>
      </c>
      <c r="N1584" s="541">
        <v>6</v>
      </c>
      <c r="O1584" s="654" t="s">
        <v>7363</v>
      </c>
      <c r="P1584" s="731" t="str">
        <f>'DICTIONARY-3'!$A$149</f>
        <v>CEREX 300-W</v>
      </c>
      <c r="Q1584" s="731" t="str">
        <f>'DICTIONARY-3'!$A$204</f>
        <v>Przepustnica kołnierzowa</v>
      </c>
      <c r="R1584" s="732" t="str">
        <f>CONCATENATE('DICTIONARY-3'!$A$149," ",'DICTIONARY-6'!$A$2," ",'DICTIONARY-2'!$A$2,"450"," ",'DICTIONARY-2'!$A$3,"10/16"," ",'DICTIONARY-2'!$A$10,"10",'DICTIONARY-2'!$A$20," ",'DICTIONARY-5'!$A$37,"/",'DICTIONARY-5'!$A$44,", ",'DICTIONARY-4'!$A$2)</f>
        <v>CEREX 300-W Przep. kołnierz. DN450 PN10/16 PS10bar CF8M/EPDM, WW</v>
      </c>
      <c r="S1584" s="733" t="str">
        <f>'DICTIONARY-4'!$A$2</f>
        <v>WW</v>
      </c>
      <c r="T1584" s="732" t="str">
        <f>'DICTIONARY-4'!$A$18</f>
        <v>Wolny wałek</v>
      </c>
      <c r="U1584" s="734" t="s">
        <v>5755</v>
      </c>
      <c r="V1584" s="735">
        <v>16</v>
      </c>
      <c r="W1584" s="736"/>
      <c r="X1584" s="737"/>
      <c r="Y1584" s="738"/>
      <c r="Z1584" s="739"/>
      <c r="AA1584" s="739"/>
      <c r="AB1584" s="740">
        <v>10</v>
      </c>
      <c r="AC1584" s="741" t="str">
        <f>'DICTIONARY-5'!$A$11&amp;" 20"</f>
        <v>EN 558 szereg 20</v>
      </c>
      <c r="AD1584" s="741" t="str">
        <f>'DICTIONARY-5'!$A$13</f>
        <v>woda pitna</v>
      </c>
      <c r="AE1584" s="742">
        <v>110</v>
      </c>
      <c r="AF1584" s="743">
        <v>96</v>
      </c>
      <c r="AG1584" s="741" t="str">
        <f>'DICTIONARY-5'!$A$23</f>
        <v>powłoka epoksydowa</v>
      </c>
    </row>
    <row r="1585" spans="1:33" x14ac:dyDescent="0.25">
      <c r="A1585" s="844" t="s">
        <v>5276</v>
      </c>
      <c r="B1585" s="844" t="s">
        <v>5461</v>
      </c>
      <c r="C1585" s="836">
        <v>3335</v>
      </c>
      <c r="D1585" s="836"/>
      <c r="E1585" s="836"/>
      <c r="F1585" s="836"/>
      <c r="G1585" s="496" t="s">
        <v>7832</v>
      </c>
      <c r="H1585" s="797" t="str">
        <f>VLOOKUP(G1585,SETTINGS!$B$7:$D$97,2,0)</f>
        <v>CEREX 300</v>
      </c>
      <c r="I1585" s="796">
        <f>VLOOKUP(G1585,SETTINGS!$B$7:$D$97,3,0)</f>
        <v>0</v>
      </c>
      <c r="J1585" s="670" t="str">
        <f>IFERROR(IF(CURRENCY.FORMAT_1=0,CONCATENATE(TEXT(FIXED(ROUND((C1585/EXC.RATE_1),CURRENCY.FORMAT_1),CURRENCY.FORMAT_1,1),"# ##0;-# ##0"),",-"),FIXED(ROUND((C1585/EXC.RATE_1),CURRENCY.FORMAT_1),CURRENCY.FORMAT_1,0)),'DICTIONARY-5'!$A$2)</f>
        <v>3 335,-</v>
      </c>
      <c r="K1585" s="670" t="str">
        <f>IF(EXC.RATE_2=0,"",IFERROR(IF(CURRENCY.FORMAT_2=0,CONCATENATE(TEXT(FIXED(ROUND(IF(EXC.RATE.SWITCH=1,C1585/EXC.RATE_2,C1585*EXC.RATE_2),CURRENCY.FORMAT_2),CURRENCY.FORMAT_2,1),"# ##0;-# ##0"),",-"),FIXED(ROUND(IF(EXC.RATE.SWITCH=1,C1585/EXC.RATE_2,C1585*EXC.RATE_2),CURRENCY.FORMAT_2),CURRENCY.FORMAT_2,0)),'DICTIONARY-5'!$A$2))</f>
        <v/>
      </c>
      <c r="L1585" s="670" t="str">
        <f>IFERROR(IF(CURRENCY.FORMAT_1=0,CONCATENATE(TEXT(FIXED(ROUND((C1585*(1-I1585)*(1-ADD.DISCOUNT)*(1+MAT.SURCHARGE)/EXC.RATE_1),CURRENCY.FORMAT_1),CURRENCY.FORMAT_1,1),"# ##0;-# ##0"),",-"),FIXED(ROUND((C1585*(1-I1585)*(1-ADD.DISCOUNT)*(1+MAT.SURCHARGE)/EXC.RATE_1),CURRENCY.FORMAT_1),CURRENCY.FORMAT_1,0)),'DICTIONARY-5'!$A$2)</f>
        <v>3 465,-</v>
      </c>
      <c r="M1585" s="670" t="str">
        <f>IF(EXC.RATE_2=0,"",IFERROR(IF(CURRENCY.FORMAT_2=0,CONCATENATE(TEXT(FIXED(ROUND(IF(EXC.RATE.SWITCH=1,C1585*(1-I1585)*(1-ADD.DISCOUNT)*(1+MAT.SURCHARGE)/EXC.RATE_2,C1585*(1-I1585)*(1-ADD.DISCOUNT)*(1+MAT.SURCHARGE)*EXC.RATE_2),CURRENCY.FORMAT_2),CURRENCY.FORMAT_2,1),"# ##0;-# ##0"),",-"),FIXED(ROUND(IF(EXC.RATE.SWITCH=1,C1585*(1-I1585)*(1-ADD.DISCOUNT)*(1+MAT.SURCHARGE)/EXC.RATE_2,C1585*(1-I1585)*(1-ADD.DISCOUNT)*(1+MAT.SURCHARGE)*EXC.RATE_2),CURRENCY.FORMAT_2),CURRENCY.FORMAT_2,0)),'DICTIONARY-5'!$A$2))</f>
        <v/>
      </c>
      <c r="N1585" s="541">
        <v>6</v>
      </c>
      <c r="O1585" s="654" t="s">
        <v>7363</v>
      </c>
      <c r="P1585" s="731" t="str">
        <f>'DICTIONARY-3'!$A$149</f>
        <v>CEREX 300-W</v>
      </c>
      <c r="Q1585" s="731" t="str">
        <f>'DICTIONARY-3'!$A$204</f>
        <v>Przepustnica kołnierzowa</v>
      </c>
      <c r="R1585" s="732" t="str">
        <f>CONCATENATE('DICTIONARY-3'!$A$149," ",'DICTIONARY-6'!$A$2," ",'DICTIONARY-2'!$A$2,"500"," ",'DICTIONARY-2'!$A$3,"10"," ",'DICTIONARY-5'!$A$37,"/",'DICTIONARY-5'!$A$44,", ",'DICTIONARY-4'!$A$2)</f>
        <v>CEREX 300-W Przep. kołnierz. DN500 PN10 CF8M/EPDM, WW</v>
      </c>
      <c r="S1585" s="733" t="str">
        <f>'DICTIONARY-4'!$A$2</f>
        <v>WW</v>
      </c>
      <c r="T1585" s="732" t="str">
        <f>'DICTIONARY-4'!$A$18</f>
        <v>Wolny wałek</v>
      </c>
      <c r="U1585" s="734" t="s">
        <v>5756</v>
      </c>
      <c r="V1585" s="735">
        <v>10</v>
      </c>
      <c r="W1585" s="736"/>
      <c r="X1585" s="737"/>
      <c r="Y1585" s="738"/>
      <c r="Z1585" s="739"/>
      <c r="AA1585" s="739"/>
      <c r="AB1585" s="740">
        <v>10</v>
      </c>
      <c r="AC1585" s="741" t="str">
        <f>'DICTIONARY-5'!$A$11&amp;" 20"</f>
        <v>EN 558 szereg 20</v>
      </c>
      <c r="AD1585" s="741" t="str">
        <f>'DICTIONARY-5'!$A$13</f>
        <v>woda pitna</v>
      </c>
      <c r="AE1585" s="742">
        <v>110</v>
      </c>
      <c r="AF1585" s="743">
        <v>124.5</v>
      </c>
      <c r="AG1585" s="741" t="str">
        <f>'DICTIONARY-5'!$A$23</f>
        <v>powłoka epoksydowa</v>
      </c>
    </row>
    <row r="1586" spans="1:33" x14ac:dyDescent="0.25">
      <c r="A1586" s="844" t="s">
        <v>5278</v>
      </c>
      <c r="B1586" s="844" t="s">
        <v>5462</v>
      </c>
      <c r="C1586" s="836">
        <v>4186</v>
      </c>
      <c r="D1586" s="836"/>
      <c r="E1586" s="836"/>
      <c r="F1586" s="836"/>
      <c r="G1586" s="496" t="s">
        <v>7832</v>
      </c>
      <c r="H1586" s="797" t="str">
        <f>VLOOKUP(G1586,SETTINGS!$B$7:$D$97,2,0)</f>
        <v>CEREX 300</v>
      </c>
      <c r="I1586" s="796">
        <f>VLOOKUP(G1586,SETTINGS!$B$7:$D$97,3,0)</f>
        <v>0</v>
      </c>
      <c r="J1586" s="670" t="str">
        <f>IFERROR(IF(CURRENCY.FORMAT_1=0,CONCATENATE(TEXT(FIXED(ROUND((C1586/EXC.RATE_1),CURRENCY.FORMAT_1),CURRENCY.FORMAT_1,1),"# ##0;-# ##0"),",-"),FIXED(ROUND((C1586/EXC.RATE_1),CURRENCY.FORMAT_1),CURRENCY.FORMAT_1,0)),'DICTIONARY-5'!$A$2)</f>
        <v>4 186,-</v>
      </c>
      <c r="K1586" s="670" t="str">
        <f>IF(EXC.RATE_2=0,"",IFERROR(IF(CURRENCY.FORMAT_2=0,CONCATENATE(TEXT(FIXED(ROUND(IF(EXC.RATE.SWITCH=1,C1586/EXC.RATE_2,C1586*EXC.RATE_2),CURRENCY.FORMAT_2),CURRENCY.FORMAT_2,1),"# ##0;-# ##0"),",-"),FIXED(ROUND(IF(EXC.RATE.SWITCH=1,C1586/EXC.RATE_2,C1586*EXC.RATE_2),CURRENCY.FORMAT_2),CURRENCY.FORMAT_2,0)),'DICTIONARY-5'!$A$2))</f>
        <v/>
      </c>
      <c r="L1586" s="670" t="str">
        <f>IFERROR(IF(CURRENCY.FORMAT_1=0,CONCATENATE(TEXT(FIXED(ROUND((C1586*(1-I1586)*(1-ADD.DISCOUNT)*(1+MAT.SURCHARGE)/EXC.RATE_1),CURRENCY.FORMAT_1),CURRENCY.FORMAT_1,1),"# ##0;-# ##0"),",-"),FIXED(ROUND((C1586*(1-I1586)*(1-ADD.DISCOUNT)*(1+MAT.SURCHARGE)/EXC.RATE_1),CURRENCY.FORMAT_1),CURRENCY.FORMAT_1,0)),'DICTIONARY-5'!$A$2)</f>
        <v>4 349,-</v>
      </c>
      <c r="M1586" s="670" t="str">
        <f>IF(EXC.RATE_2=0,"",IFERROR(IF(CURRENCY.FORMAT_2=0,CONCATENATE(TEXT(FIXED(ROUND(IF(EXC.RATE.SWITCH=1,C1586*(1-I1586)*(1-ADD.DISCOUNT)*(1+MAT.SURCHARGE)/EXC.RATE_2,C1586*(1-I1586)*(1-ADD.DISCOUNT)*(1+MAT.SURCHARGE)*EXC.RATE_2),CURRENCY.FORMAT_2),CURRENCY.FORMAT_2,1),"# ##0;-# ##0"),",-"),FIXED(ROUND(IF(EXC.RATE.SWITCH=1,C1586*(1-I1586)*(1-ADD.DISCOUNT)*(1+MAT.SURCHARGE)/EXC.RATE_2,C1586*(1-I1586)*(1-ADD.DISCOUNT)*(1+MAT.SURCHARGE)*EXC.RATE_2),CURRENCY.FORMAT_2),CURRENCY.FORMAT_2,0)),'DICTIONARY-5'!$A$2))</f>
        <v/>
      </c>
      <c r="N1586" s="541">
        <v>6</v>
      </c>
      <c r="O1586" s="654" t="s">
        <v>7363</v>
      </c>
      <c r="P1586" s="731" t="str">
        <f>'DICTIONARY-3'!$A$149</f>
        <v>CEREX 300-W</v>
      </c>
      <c r="Q1586" s="731" t="str">
        <f>'DICTIONARY-3'!$A$204</f>
        <v>Przepustnica kołnierzowa</v>
      </c>
      <c r="R1586" s="732" t="str">
        <f>CONCATENATE('DICTIONARY-3'!$A$149," ",'DICTIONARY-6'!$A$2," ",'DICTIONARY-2'!$A$2,"500"," ",'DICTIONARY-2'!$A$3,"16"," ",'DICTIONARY-2'!$A$10,"10",'DICTIONARY-2'!$A$20," ",'DICTIONARY-5'!$A$37,"/",'DICTIONARY-5'!$A$44,", ",'DICTIONARY-4'!$A$2)</f>
        <v>CEREX 300-W Przep. kołnierz. DN500 PN16 PS10bar CF8M/EPDM, WW</v>
      </c>
      <c r="S1586" s="733" t="str">
        <f>'DICTIONARY-4'!$A$2</f>
        <v>WW</v>
      </c>
      <c r="T1586" s="732" t="str">
        <f>'DICTIONARY-4'!$A$18</f>
        <v>Wolny wałek</v>
      </c>
      <c r="U1586" s="734" t="s">
        <v>5756</v>
      </c>
      <c r="V1586" s="735">
        <v>16</v>
      </c>
      <c r="W1586" s="736"/>
      <c r="X1586" s="737"/>
      <c r="Y1586" s="738"/>
      <c r="Z1586" s="739"/>
      <c r="AA1586" s="739"/>
      <c r="AB1586" s="740">
        <v>10</v>
      </c>
      <c r="AC1586" s="741" t="str">
        <f>'DICTIONARY-5'!$A$11&amp;" 20"</f>
        <v>EN 558 szereg 20</v>
      </c>
      <c r="AD1586" s="741" t="str">
        <f>'DICTIONARY-5'!$A$13</f>
        <v>woda pitna</v>
      </c>
      <c r="AE1586" s="742">
        <v>110</v>
      </c>
      <c r="AF1586" s="743">
        <v>124</v>
      </c>
      <c r="AG1586" s="741" t="str">
        <f>'DICTIONARY-5'!$A$23</f>
        <v>powłoka epoksydowa</v>
      </c>
    </row>
    <row r="1587" spans="1:33" x14ac:dyDescent="0.25">
      <c r="A1587" s="844" t="s">
        <v>5280</v>
      </c>
      <c r="B1587" s="844" t="s">
        <v>5463</v>
      </c>
      <c r="C1587" s="836">
        <v>5444</v>
      </c>
      <c r="D1587" s="836"/>
      <c r="E1587" s="836"/>
      <c r="F1587" s="836"/>
      <c r="G1587" s="496" t="s">
        <v>7832</v>
      </c>
      <c r="H1587" s="797" t="str">
        <f>VLOOKUP(G1587,SETTINGS!$B$7:$D$97,2,0)</f>
        <v>CEREX 300</v>
      </c>
      <c r="I1587" s="796">
        <f>VLOOKUP(G1587,SETTINGS!$B$7:$D$97,3,0)</f>
        <v>0</v>
      </c>
      <c r="J1587" s="670" t="str">
        <f>IFERROR(IF(CURRENCY.FORMAT_1=0,CONCATENATE(TEXT(FIXED(ROUND((C1587/EXC.RATE_1),CURRENCY.FORMAT_1),CURRENCY.FORMAT_1,1),"# ##0;-# ##0"),",-"),FIXED(ROUND((C1587/EXC.RATE_1),CURRENCY.FORMAT_1),CURRENCY.FORMAT_1,0)),'DICTIONARY-5'!$A$2)</f>
        <v>5 444,-</v>
      </c>
      <c r="K1587" s="670" t="str">
        <f>IF(EXC.RATE_2=0,"",IFERROR(IF(CURRENCY.FORMAT_2=0,CONCATENATE(TEXT(FIXED(ROUND(IF(EXC.RATE.SWITCH=1,C1587/EXC.RATE_2,C1587*EXC.RATE_2),CURRENCY.FORMAT_2),CURRENCY.FORMAT_2,1),"# ##0;-# ##0"),",-"),FIXED(ROUND(IF(EXC.RATE.SWITCH=1,C1587/EXC.RATE_2,C1587*EXC.RATE_2),CURRENCY.FORMAT_2),CURRENCY.FORMAT_2,0)),'DICTIONARY-5'!$A$2))</f>
        <v/>
      </c>
      <c r="L1587" s="670" t="str">
        <f>IFERROR(IF(CURRENCY.FORMAT_1=0,CONCATENATE(TEXT(FIXED(ROUND((C1587*(1-I1587)*(1-ADD.DISCOUNT)*(1+MAT.SURCHARGE)/EXC.RATE_1),CURRENCY.FORMAT_1),CURRENCY.FORMAT_1,1),"# ##0;-# ##0"),",-"),FIXED(ROUND((C1587*(1-I1587)*(1-ADD.DISCOUNT)*(1+MAT.SURCHARGE)/EXC.RATE_1),CURRENCY.FORMAT_1),CURRENCY.FORMAT_1,0)),'DICTIONARY-5'!$A$2)</f>
        <v>5 656,-</v>
      </c>
      <c r="M1587" s="670" t="str">
        <f>IF(EXC.RATE_2=0,"",IFERROR(IF(CURRENCY.FORMAT_2=0,CONCATENATE(TEXT(FIXED(ROUND(IF(EXC.RATE.SWITCH=1,C1587*(1-I1587)*(1-ADD.DISCOUNT)*(1+MAT.SURCHARGE)/EXC.RATE_2,C1587*(1-I1587)*(1-ADD.DISCOUNT)*(1+MAT.SURCHARGE)*EXC.RATE_2),CURRENCY.FORMAT_2),CURRENCY.FORMAT_2,1),"# ##0;-# ##0"),",-"),FIXED(ROUND(IF(EXC.RATE.SWITCH=1,C1587*(1-I1587)*(1-ADD.DISCOUNT)*(1+MAT.SURCHARGE)/EXC.RATE_2,C1587*(1-I1587)*(1-ADD.DISCOUNT)*(1+MAT.SURCHARGE)*EXC.RATE_2),CURRENCY.FORMAT_2),CURRENCY.FORMAT_2,0)),'DICTIONARY-5'!$A$2))</f>
        <v/>
      </c>
      <c r="N1587" s="541">
        <v>6</v>
      </c>
      <c r="O1587" s="654" t="s">
        <v>7363</v>
      </c>
      <c r="P1587" s="731" t="str">
        <f>'DICTIONARY-3'!$A$149</f>
        <v>CEREX 300-W</v>
      </c>
      <c r="Q1587" s="731" t="str">
        <f>'DICTIONARY-3'!$A$204</f>
        <v>Przepustnica kołnierzowa</v>
      </c>
      <c r="R1587" s="732" t="str">
        <f>CONCATENATE('DICTIONARY-3'!$A$149," ",'DICTIONARY-6'!$A$2," ",'DICTIONARY-2'!$A$2,"600"," ",'DICTIONARY-2'!$A$3,"10"," ",'DICTIONARY-5'!$A$37,"/",'DICTIONARY-5'!$A$44,", ",'DICTIONARY-4'!$A$2)</f>
        <v>CEREX 300-W Przep. kołnierz. DN600 PN10 CF8M/EPDM, WW</v>
      </c>
      <c r="S1587" s="733" t="str">
        <f>'DICTIONARY-4'!$A$2</f>
        <v>WW</v>
      </c>
      <c r="T1587" s="732" t="str">
        <f>'DICTIONARY-4'!$A$18</f>
        <v>Wolny wałek</v>
      </c>
      <c r="U1587" s="734" t="s">
        <v>5757</v>
      </c>
      <c r="V1587" s="735">
        <v>10</v>
      </c>
      <c r="W1587" s="736"/>
      <c r="X1587" s="737"/>
      <c r="Y1587" s="738"/>
      <c r="Z1587" s="739"/>
      <c r="AA1587" s="739"/>
      <c r="AB1587" s="740">
        <v>10</v>
      </c>
      <c r="AC1587" s="741" t="str">
        <f>'DICTIONARY-5'!$A$11&amp;" 20"</f>
        <v>EN 558 szereg 20</v>
      </c>
      <c r="AD1587" s="741" t="str">
        <f>'DICTIONARY-5'!$A$13</f>
        <v>woda pitna</v>
      </c>
      <c r="AE1587" s="742">
        <v>110</v>
      </c>
      <c r="AF1587" s="743">
        <v>196</v>
      </c>
      <c r="AG1587" s="741" t="str">
        <f>'DICTIONARY-5'!$A$23</f>
        <v>powłoka epoksydowa</v>
      </c>
    </row>
    <row r="1588" spans="1:33" x14ac:dyDescent="0.25">
      <c r="A1588" s="844" t="s">
        <v>5282</v>
      </c>
      <c r="B1588" s="844" t="s">
        <v>5464</v>
      </c>
      <c r="C1588" s="836">
        <v>5778</v>
      </c>
      <c r="D1588" s="836"/>
      <c r="E1588" s="836"/>
      <c r="F1588" s="836"/>
      <c r="G1588" s="496" t="s">
        <v>7832</v>
      </c>
      <c r="H1588" s="797" t="str">
        <f>VLOOKUP(G1588,SETTINGS!$B$7:$D$97,2,0)</f>
        <v>CEREX 300</v>
      </c>
      <c r="I1588" s="796">
        <f>VLOOKUP(G1588,SETTINGS!$B$7:$D$97,3,0)</f>
        <v>0</v>
      </c>
      <c r="J1588" s="670" t="str">
        <f>IFERROR(IF(CURRENCY.FORMAT_1=0,CONCATENATE(TEXT(FIXED(ROUND((C1588/EXC.RATE_1),CURRENCY.FORMAT_1),CURRENCY.FORMAT_1,1),"# ##0;-# ##0"),",-"),FIXED(ROUND((C1588/EXC.RATE_1),CURRENCY.FORMAT_1),CURRENCY.FORMAT_1,0)),'DICTIONARY-5'!$A$2)</f>
        <v>5 778,-</v>
      </c>
      <c r="K1588" s="670" t="str">
        <f>IF(EXC.RATE_2=0,"",IFERROR(IF(CURRENCY.FORMAT_2=0,CONCATENATE(TEXT(FIXED(ROUND(IF(EXC.RATE.SWITCH=1,C1588/EXC.RATE_2,C1588*EXC.RATE_2),CURRENCY.FORMAT_2),CURRENCY.FORMAT_2,1),"# ##0;-# ##0"),",-"),FIXED(ROUND(IF(EXC.RATE.SWITCH=1,C1588/EXC.RATE_2,C1588*EXC.RATE_2),CURRENCY.FORMAT_2),CURRENCY.FORMAT_2,0)),'DICTIONARY-5'!$A$2))</f>
        <v/>
      </c>
      <c r="L1588" s="670" t="str">
        <f>IFERROR(IF(CURRENCY.FORMAT_1=0,CONCATENATE(TEXT(FIXED(ROUND((C1588*(1-I1588)*(1-ADD.DISCOUNT)*(1+MAT.SURCHARGE)/EXC.RATE_1),CURRENCY.FORMAT_1),CURRENCY.FORMAT_1,1),"# ##0;-# ##0"),",-"),FIXED(ROUND((C1588*(1-I1588)*(1-ADD.DISCOUNT)*(1+MAT.SURCHARGE)/EXC.RATE_1),CURRENCY.FORMAT_1),CURRENCY.FORMAT_1,0)),'DICTIONARY-5'!$A$2)</f>
        <v>6 003,-</v>
      </c>
      <c r="M1588" s="670" t="str">
        <f>IF(EXC.RATE_2=0,"",IFERROR(IF(CURRENCY.FORMAT_2=0,CONCATENATE(TEXT(FIXED(ROUND(IF(EXC.RATE.SWITCH=1,C1588*(1-I1588)*(1-ADD.DISCOUNT)*(1+MAT.SURCHARGE)/EXC.RATE_2,C1588*(1-I1588)*(1-ADD.DISCOUNT)*(1+MAT.SURCHARGE)*EXC.RATE_2),CURRENCY.FORMAT_2),CURRENCY.FORMAT_2,1),"# ##0;-# ##0"),",-"),FIXED(ROUND(IF(EXC.RATE.SWITCH=1,C1588*(1-I1588)*(1-ADD.DISCOUNT)*(1+MAT.SURCHARGE)/EXC.RATE_2,C1588*(1-I1588)*(1-ADD.DISCOUNT)*(1+MAT.SURCHARGE)*EXC.RATE_2),CURRENCY.FORMAT_2),CURRENCY.FORMAT_2,0)),'DICTIONARY-5'!$A$2))</f>
        <v/>
      </c>
      <c r="N1588" s="541">
        <v>6</v>
      </c>
      <c r="O1588" s="654" t="s">
        <v>7363</v>
      </c>
      <c r="P1588" s="731" t="str">
        <f>'DICTIONARY-3'!$A$149</f>
        <v>CEREX 300-W</v>
      </c>
      <c r="Q1588" s="731" t="str">
        <f>'DICTIONARY-3'!$A$204</f>
        <v>Przepustnica kołnierzowa</v>
      </c>
      <c r="R1588" s="732" t="str">
        <f>CONCATENATE('DICTIONARY-3'!$A$149," ",'DICTIONARY-6'!$A$2," ",'DICTIONARY-2'!$A$2,"600"," ",'DICTIONARY-2'!$A$3,"16"," ",'DICTIONARY-2'!$A$10,"10",'DICTIONARY-2'!$A$20," ",'DICTIONARY-5'!$A$37,"/",'DICTIONARY-5'!$A$44,", ",'DICTIONARY-4'!$A$2)</f>
        <v>CEREX 300-W Przep. kołnierz. DN600 PN16 PS10bar CF8M/EPDM, WW</v>
      </c>
      <c r="S1588" s="733" t="str">
        <f>'DICTIONARY-4'!$A$2</f>
        <v>WW</v>
      </c>
      <c r="T1588" s="732" t="str">
        <f>'DICTIONARY-4'!$A$18</f>
        <v>Wolny wałek</v>
      </c>
      <c r="U1588" s="734" t="s">
        <v>5757</v>
      </c>
      <c r="V1588" s="735">
        <v>16</v>
      </c>
      <c r="W1588" s="736"/>
      <c r="X1588" s="737"/>
      <c r="Y1588" s="738"/>
      <c r="Z1588" s="739"/>
      <c r="AA1588" s="739"/>
      <c r="AB1588" s="740">
        <v>10</v>
      </c>
      <c r="AC1588" s="741" t="str">
        <f>'DICTIONARY-5'!$A$11&amp;" 20"</f>
        <v>EN 558 szereg 20</v>
      </c>
      <c r="AD1588" s="741" t="str">
        <f>'DICTIONARY-5'!$A$13</f>
        <v>woda pitna</v>
      </c>
      <c r="AE1588" s="742">
        <v>110</v>
      </c>
      <c r="AF1588" s="743">
        <v>194</v>
      </c>
      <c r="AG1588" s="741" t="str">
        <f>'DICTIONARY-5'!$A$23</f>
        <v>powłoka epoksydowa</v>
      </c>
    </row>
    <row r="1589" spans="1:33" x14ac:dyDescent="0.25">
      <c r="A1589" s="844" t="s">
        <v>5283</v>
      </c>
      <c r="B1589" s="844" t="s">
        <v>5465</v>
      </c>
      <c r="C1589" s="836">
        <v>140</v>
      </c>
      <c r="D1589" s="836"/>
      <c r="E1589" s="836"/>
      <c r="F1589" s="836"/>
      <c r="G1589" s="496" t="s">
        <v>7832</v>
      </c>
      <c r="H1589" s="797" t="str">
        <f>VLOOKUP(G1589,SETTINGS!$B$7:$D$97,2,0)</f>
        <v>CEREX 300</v>
      </c>
      <c r="I1589" s="796">
        <f>VLOOKUP(G1589,SETTINGS!$B$7:$D$97,3,0)</f>
        <v>0</v>
      </c>
      <c r="J1589" s="670" t="str">
        <f>IFERROR(IF(CURRENCY.FORMAT_1=0,CONCATENATE(TEXT(FIXED(ROUND((C1589/EXC.RATE_1),CURRENCY.FORMAT_1),CURRENCY.FORMAT_1,1),"# ##0;-# ##0"),",-"),FIXED(ROUND((C1589/EXC.RATE_1),CURRENCY.FORMAT_1),CURRENCY.FORMAT_1,0)),'DICTIONARY-5'!$A$2)</f>
        <v>140,-</v>
      </c>
      <c r="K1589" s="670" t="str">
        <f>IF(EXC.RATE_2=0,"",IFERROR(IF(CURRENCY.FORMAT_2=0,CONCATENATE(TEXT(FIXED(ROUND(IF(EXC.RATE.SWITCH=1,C1589/EXC.RATE_2,C1589*EXC.RATE_2),CURRENCY.FORMAT_2),CURRENCY.FORMAT_2,1),"# ##0;-# ##0"),",-"),FIXED(ROUND(IF(EXC.RATE.SWITCH=1,C1589/EXC.RATE_2,C1589*EXC.RATE_2),CURRENCY.FORMAT_2),CURRENCY.FORMAT_2,0)),'DICTIONARY-5'!$A$2))</f>
        <v/>
      </c>
      <c r="L1589" s="670" t="str">
        <f>IFERROR(IF(CURRENCY.FORMAT_1=0,CONCATENATE(TEXT(FIXED(ROUND((C1589*(1-I1589)*(1-ADD.DISCOUNT)*(1+MAT.SURCHARGE)/EXC.RATE_1),CURRENCY.FORMAT_1),CURRENCY.FORMAT_1,1),"# ##0;-# ##0"),",-"),FIXED(ROUND((C1589*(1-I1589)*(1-ADD.DISCOUNT)*(1+MAT.SURCHARGE)/EXC.RATE_1),CURRENCY.FORMAT_1),CURRENCY.FORMAT_1,0)),'DICTIONARY-5'!$A$2)</f>
        <v>145,-</v>
      </c>
      <c r="M1589" s="670" t="str">
        <f>IF(EXC.RATE_2=0,"",IFERROR(IF(CURRENCY.FORMAT_2=0,CONCATENATE(TEXT(FIXED(ROUND(IF(EXC.RATE.SWITCH=1,C1589*(1-I1589)*(1-ADD.DISCOUNT)*(1+MAT.SURCHARGE)/EXC.RATE_2,C1589*(1-I1589)*(1-ADD.DISCOUNT)*(1+MAT.SURCHARGE)*EXC.RATE_2),CURRENCY.FORMAT_2),CURRENCY.FORMAT_2,1),"# ##0;-# ##0"),",-"),FIXED(ROUND(IF(EXC.RATE.SWITCH=1,C1589*(1-I1589)*(1-ADD.DISCOUNT)*(1+MAT.SURCHARGE)/EXC.RATE_2,C1589*(1-I1589)*(1-ADD.DISCOUNT)*(1+MAT.SURCHARGE)*EXC.RATE_2),CURRENCY.FORMAT_2),CURRENCY.FORMAT_2,0)),'DICTIONARY-5'!$A$2))</f>
        <v/>
      </c>
      <c r="N1589" s="541">
        <v>6</v>
      </c>
      <c r="O1589" s="654" t="s">
        <v>7363</v>
      </c>
      <c r="P1589" s="731" t="str">
        <f>'DICTIONARY-3'!$A$149</f>
        <v>CEREX 300-W</v>
      </c>
      <c r="Q1589" s="731" t="str">
        <f>'DICTIONARY-3'!$A$204</f>
        <v>Przepustnica kołnierzowa</v>
      </c>
      <c r="R1589" s="732" t="str">
        <f>CONCATENATE('DICTIONARY-3'!$A$149," ",'DICTIONARY-6'!$A$2," ",UPPER('DICTIONARY-5'!$A$18)," ",'DICTIONARY-2'!$A$2,"50"," ",'DICTIONARY-2'!$A$3,"10/16"," ",'DICTIONARY-5'!$A$51,"/",'DICTIONARY-5'!$A$45,", ",'DICTIONARY-4'!$A$2)</f>
        <v>CEREX 300-W Przep. kołnierz. GAZ DN50 PN10/16 GGG/NBR, WW</v>
      </c>
      <c r="S1589" s="733" t="str">
        <f>'DICTIONARY-4'!$A$2</f>
        <v>WW</v>
      </c>
      <c r="T1589" s="732" t="str">
        <f>'DICTIONARY-4'!$A$18</f>
        <v>Wolny wałek</v>
      </c>
      <c r="U1589" s="734" t="s">
        <v>5748</v>
      </c>
      <c r="V1589" s="735">
        <v>16</v>
      </c>
      <c r="W1589" s="736"/>
      <c r="X1589" s="737"/>
      <c r="Y1589" s="738"/>
      <c r="Z1589" s="739"/>
      <c r="AA1589" s="739"/>
      <c r="AB1589" s="740">
        <v>16</v>
      </c>
      <c r="AC1589" s="741" t="str">
        <f>'DICTIONARY-5'!$A$11&amp;" 20"</f>
        <v>EN 558 szereg 20</v>
      </c>
      <c r="AD1589" s="733" t="str">
        <f>'DICTIONARY-5'!$A$18&amp;", "&amp;'DICTIONARY-5'!$A$14</f>
        <v>gaz, ścieki</v>
      </c>
      <c r="AE1589" s="742">
        <v>80</v>
      </c>
      <c r="AF1589" s="743">
        <v>2.4</v>
      </c>
      <c r="AG1589" s="741" t="str">
        <f>'DICTIONARY-5'!$A$23</f>
        <v>powłoka epoksydowa</v>
      </c>
    </row>
    <row r="1590" spans="1:33" x14ac:dyDescent="0.25">
      <c r="A1590" s="844" t="s">
        <v>5285</v>
      </c>
      <c r="B1590" s="844" t="s">
        <v>5466</v>
      </c>
      <c r="C1590" s="836">
        <v>153</v>
      </c>
      <c r="D1590" s="836"/>
      <c r="E1590" s="836"/>
      <c r="F1590" s="836"/>
      <c r="G1590" s="496" t="s">
        <v>7832</v>
      </c>
      <c r="H1590" s="797" t="str">
        <f>VLOOKUP(G1590,SETTINGS!$B$7:$D$97,2,0)</f>
        <v>CEREX 300</v>
      </c>
      <c r="I1590" s="796">
        <f>VLOOKUP(G1590,SETTINGS!$B$7:$D$97,3,0)</f>
        <v>0</v>
      </c>
      <c r="J1590" s="670" t="str">
        <f>IFERROR(IF(CURRENCY.FORMAT_1=0,CONCATENATE(TEXT(FIXED(ROUND((C1590/EXC.RATE_1),CURRENCY.FORMAT_1),CURRENCY.FORMAT_1,1),"# ##0;-# ##0"),",-"),FIXED(ROUND((C1590/EXC.RATE_1),CURRENCY.FORMAT_1),CURRENCY.FORMAT_1,0)),'DICTIONARY-5'!$A$2)</f>
        <v>153,-</v>
      </c>
      <c r="K1590" s="670" t="str">
        <f>IF(EXC.RATE_2=0,"",IFERROR(IF(CURRENCY.FORMAT_2=0,CONCATENATE(TEXT(FIXED(ROUND(IF(EXC.RATE.SWITCH=1,C1590/EXC.RATE_2,C1590*EXC.RATE_2),CURRENCY.FORMAT_2),CURRENCY.FORMAT_2,1),"# ##0;-# ##0"),",-"),FIXED(ROUND(IF(EXC.RATE.SWITCH=1,C1590/EXC.RATE_2,C1590*EXC.RATE_2),CURRENCY.FORMAT_2),CURRENCY.FORMAT_2,0)),'DICTIONARY-5'!$A$2))</f>
        <v/>
      </c>
      <c r="L1590" s="670" t="str">
        <f>IFERROR(IF(CURRENCY.FORMAT_1=0,CONCATENATE(TEXT(FIXED(ROUND((C1590*(1-I1590)*(1-ADD.DISCOUNT)*(1+MAT.SURCHARGE)/EXC.RATE_1),CURRENCY.FORMAT_1),CURRENCY.FORMAT_1,1),"# ##0;-# ##0"),",-"),FIXED(ROUND((C1590*(1-I1590)*(1-ADD.DISCOUNT)*(1+MAT.SURCHARGE)/EXC.RATE_1),CURRENCY.FORMAT_1),CURRENCY.FORMAT_1,0)),'DICTIONARY-5'!$A$2)</f>
        <v>159,-</v>
      </c>
      <c r="M1590" s="670" t="str">
        <f>IF(EXC.RATE_2=0,"",IFERROR(IF(CURRENCY.FORMAT_2=0,CONCATENATE(TEXT(FIXED(ROUND(IF(EXC.RATE.SWITCH=1,C1590*(1-I1590)*(1-ADD.DISCOUNT)*(1+MAT.SURCHARGE)/EXC.RATE_2,C1590*(1-I1590)*(1-ADD.DISCOUNT)*(1+MAT.SURCHARGE)*EXC.RATE_2),CURRENCY.FORMAT_2),CURRENCY.FORMAT_2,1),"# ##0;-# ##0"),",-"),FIXED(ROUND(IF(EXC.RATE.SWITCH=1,C1590*(1-I1590)*(1-ADD.DISCOUNT)*(1+MAT.SURCHARGE)/EXC.RATE_2,C1590*(1-I1590)*(1-ADD.DISCOUNT)*(1+MAT.SURCHARGE)*EXC.RATE_2),CURRENCY.FORMAT_2),CURRENCY.FORMAT_2,0)),'DICTIONARY-5'!$A$2))</f>
        <v/>
      </c>
      <c r="N1590" s="541">
        <v>6</v>
      </c>
      <c r="O1590" s="654" t="s">
        <v>7363</v>
      </c>
      <c r="P1590" s="731" t="str">
        <f>'DICTIONARY-3'!$A$149</f>
        <v>CEREX 300-W</v>
      </c>
      <c r="Q1590" s="731" t="str">
        <f>'DICTIONARY-3'!$A$204</f>
        <v>Przepustnica kołnierzowa</v>
      </c>
      <c r="R1590" s="732" t="str">
        <f>CONCATENATE('DICTIONARY-3'!$A$149," ",'DICTIONARY-6'!$A$2," ",UPPER('DICTIONARY-5'!$A$18)," ",'DICTIONARY-2'!$A$2,"65"," ",'DICTIONARY-2'!$A$3,"10/16"," ",'DICTIONARY-5'!$A$51,"/",'DICTIONARY-5'!$A$45,", ",'DICTIONARY-4'!$A$2)</f>
        <v>CEREX 300-W Przep. kołnierz. GAZ DN65 PN10/16 GGG/NBR, WW</v>
      </c>
      <c r="S1590" s="733" t="str">
        <f>'DICTIONARY-4'!$A$2</f>
        <v>WW</v>
      </c>
      <c r="T1590" s="732" t="str">
        <f>'DICTIONARY-4'!$A$18</f>
        <v>Wolny wałek</v>
      </c>
      <c r="U1590" s="734" t="s">
        <v>5759</v>
      </c>
      <c r="V1590" s="735">
        <v>16</v>
      </c>
      <c r="W1590" s="736"/>
      <c r="X1590" s="737"/>
      <c r="Y1590" s="738"/>
      <c r="Z1590" s="739"/>
      <c r="AA1590" s="739"/>
      <c r="AB1590" s="740">
        <v>16</v>
      </c>
      <c r="AC1590" s="741" t="str">
        <f>'DICTIONARY-5'!$A$11&amp;" 20"</f>
        <v>EN 558 szereg 20</v>
      </c>
      <c r="AD1590" s="733" t="str">
        <f>'DICTIONARY-5'!$A$18&amp;", "&amp;'DICTIONARY-5'!$A$14</f>
        <v>gaz, ścieki</v>
      </c>
      <c r="AE1590" s="742">
        <v>80</v>
      </c>
      <c r="AF1590" s="743">
        <v>2.9</v>
      </c>
      <c r="AG1590" s="741" t="str">
        <f>'DICTIONARY-5'!$A$23</f>
        <v>powłoka epoksydowa</v>
      </c>
    </row>
    <row r="1591" spans="1:33" x14ac:dyDescent="0.25">
      <c r="A1591" s="844" t="s">
        <v>5287</v>
      </c>
      <c r="B1591" s="844" t="s">
        <v>5467</v>
      </c>
      <c r="C1591" s="836">
        <v>159</v>
      </c>
      <c r="D1591" s="836"/>
      <c r="E1591" s="836"/>
      <c r="F1591" s="836"/>
      <c r="G1591" s="496" t="s">
        <v>7832</v>
      </c>
      <c r="H1591" s="797" t="str">
        <f>VLOOKUP(G1591,SETTINGS!$B$7:$D$97,2,0)</f>
        <v>CEREX 300</v>
      </c>
      <c r="I1591" s="796">
        <f>VLOOKUP(G1591,SETTINGS!$B$7:$D$97,3,0)</f>
        <v>0</v>
      </c>
      <c r="J1591" s="670" t="str">
        <f>IFERROR(IF(CURRENCY.FORMAT_1=0,CONCATENATE(TEXT(FIXED(ROUND((C1591/EXC.RATE_1),CURRENCY.FORMAT_1),CURRENCY.FORMAT_1,1),"# ##0;-# ##0"),",-"),FIXED(ROUND((C1591/EXC.RATE_1),CURRENCY.FORMAT_1),CURRENCY.FORMAT_1,0)),'DICTIONARY-5'!$A$2)</f>
        <v>159,-</v>
      </c>
      <c r="K1591" s="670" t="str">
        <f>IF(EXC.RATE_2=0,"",IFERROR(IF(CURRENCY.FORMAT_2=0,CONCATENATE(TEXT(FIXED(ROUND(IF(EXC.RATE.SWITCH=1,C1591/EXC.RATE_2,C1591*EXC.RATE_2),CURRENCY.FORMAT_2),CURRENCY.FORMAT_2,1),"# ##0;-# ##0"),",-"),FIXED(ROUND(IF(EXC.RATE.SWITCH=1,C1591/EXC.RATE_2,C1591*EXC.RATE_2),CURRENCY.FORMAT_2),CURRENCY.FORMAT_2,0)),'DICTIONARY-5'!$A$2))</f>
        <v/>
      </c>
      <c r="L1591" s="670" t="str">
        <f>IFERROR(IF(CURRENCY.FORMAT_1=0,CONCATENATE(TEXT(FIXED(ROUND((C1591*(1-I1591)*(1-ADD.DISCOUNT)*(1+MAT.SURCHARGE)/EXC.RATE_1),CURRENCY.FORMAT_1),CURRENCY.FORMAT_1,1),"# ##0;-# ##0"),",-"),FIXED(ROUND((C1591*(1-I1591)*(1-ADD.DISCOUNT)*(1+MAT.SURCHARGE)/EXC.RATE_1),CURRENCY.FORMAT_1),CURRENCY.FORMAT_1,0)),'DICTIONARY-5'!$A$2)</f>
        <v>165,-</v>
      </c>
      <c r="M1591" s="670" t="str">
        <f>IF(EXC.RATE_2=0,"",IFERROR(IF(CURRENCY.FORMAT_2=0,CONCATENATE(TEXT(FIXED(ROUND(IF(EXC.RATE.SWITCH=1,C1591*(1-I1591)*(1-ADD.DISCOUNT)*(1+MAT.SURCHARGE)/EXC.RATE_2,C1591*(1-I1591)*(1-ADD.DISCOUNT)*(1+MAT.SURCHARGE)*EXC.RATE_2),CURRENCY.FORMAT_2),CURRENCY.FORMAT_2,1),"# ##0;-# ##0"),",-"),FIXED(ROUND(IF(EXC.RATE.SWITCH=1,C1591*(1-I1591)*(1-ADD.DISCOUNT)*(1+MAT.SURCHARGE)/EXC.RATE_2,C1591*(1-I1591)*(1-ADD.DISCOUNT)*(1+MAT.SURCHARGE)*EXC.RATE_2),CURRENCY.FORMAT_2),CURRENCY.FORMAT_2,0)),'DICTIONARY-5'!$A$2))</f>
        <v/>
      </c>
      <c r="N1591" s="541">
        <v>6</v>
      </c>
      <c r="O1591" s="654" t="s">
        <v>7363</v>
      </c>
      <c r="P1591" s="731" t="str">
        <f>'DICTIONARY-3'!$A$149</f>
        <v>CEREX 300-W</v>
      </c>
      <c r="Q1591" s="731" t="str">
        <f>'DICTIONARY-3'!$A$204</f>
        <v>Przepustnica kołnierzowa</v>
      </c>
      <c r="R1591" s="732" t="str">
        <f>CONCATENATE('DICTIONARY-3'!$A$149," ",'DICTIONARY-6'!$A$2," ",UPPER('DICTIONARY-5'!$A$18)," ",'DICTIONARY-2'!$A$2,"80"," ",'DICTIONARY-2'!$A$3,"10/16"," ",'DICTIONARY-5'!$A$51,"/",'DICTIONARY-5'!$A$45,", ",'DICTIONARY-4'!$A$2)</f>
        <v>CEREX 300-W Przep. kołnierz. GAZ DN80 PN10/16 GGG/NBR, WW</v>
      </c>
      <c r="S1591" s="733" t="str">
        <f>'DICTIONARY-4'!$A$2</f>
        <v>WW</v>
      </c>
      <c r="T1591" s="732" t="str">
        <f>'DICTIONARY-4'!$A$18</f>
        <v>Wolny wałek</v>
      </c>
      <c r="U1591" s="734" t="s">
        <v>5760</v>
      </c>
      <c r="V1591" s="735">
        <v>16</v>
      </c>
      <c r="W1591" s="736"/>
      <c r="X1591" s="737"/>
      <c r="Y1591" s="738"/>
      <c r="Z1591" s="739"/>
      <c r="AA1591" s="739"/>
      <c r="AB1591" s="740">
        <v>16</v>
      </c>
      <c r="AC1591" s="741" t="str">
        <f>'DICTIONARY-5'!$A$11&amp;" 20"</f>
        <v>EN 558 szereg 20</v>
      </c>
      <c r="AD1591" s="733" t="str">
        <f>'DICTIONARY-5'!$A$18&amp;", "&amp;'DICTIONARY-5'!$A$14</f>
        <v>gaz, ścieki</v>
      </c>
      <c r="AE1591" s="742">
        <v>80</v>
      </c>
      <c r="AF1591" s="743">
        <v>3.4</v>
      </c>
      <c r="AG1591" s="741" t="str">
        <f>'DICTIONARY-5'!$A$23</f>
        <v>powłoka epoksydowa</v>
      </c>
    </row>
    <row r="1592" spans="1:33" x14ac:dyDescent="0.25">
      <c r="A1592" s="844" t="s">
        <v>5289</v>
      </c>
      <c r="B1592" s="844" t="s">
        <v>5468</v>
      </c>
      <c r="C1592" s="836">
        <v>198</v>
      </c>
      <c r="D1592" s="836"/>
      <c r="E1592" s="836"/>
      <c r="F1592" s="836"/>
      <c r="G1592" s="496" t="s">
        <v>7832</v>
      </c>
      <c r="H1592" s="797" t="str">
        <f>VLOOKUP(G1592,SETTINGS!$B$7:$D$97,2,0)</f>
        <v>CEREX 300</v>
      </c>
      <c r="I1592" s="796">
        <f>VLOOKUP(G1592,SETTINGS!$B$7:$D$97,3,0)</f>
        <v>0</v>
      </c>
      <c r="J1592" s="670" t="str">
        <f>IFERROR(IF(CURRENCY.FORMAT_1=0,CONCATENATE(TEXT(FIXED(ROUND((C1592/EXC.RATE_1),CURRENCY.FORMAT_1),CURRENCY.FORMAT_1,1),"# ##0;-# ##0"),",-"),FIXED(ROUND((C1592/EXC.RATE_1),CURRENCY.FORMAT_1),CURRENCY.FORMAT_1,0)),'DICTIONARY-5'!$A$2)</f>
        <v>198,-</v>
      </c>
      <c r="K1592" s="670" t="str">
        <f>IF(EXC.RATE_2=0,"",IFERROR(IF(CURRENCY.FORMAT_2=0,CONCATENATE(TEXT(FIXED(ROUND(IF(EXC.RATE.SWITCH=1,C1592/EXC.RATE_2,C1592*EXC.RATE_2),CURRENCY.FORMAT_2),CURRENCY.FORMAT_2,1),"# ##0;-# ##0"),",-"),FIXED(ROUND(IF(EXC.RATE.SWITCH=1,C1592/EXC.RATE_2,C1592*EXC.RATE_2),CURRENCY.FORMAT_2),CURRENCY.FORMAT_2,0)),'DICTIONARY-5'!$A$2))</f>
        <v/>
      </c>
      <c r="L1592" s="670" t="str">
        <f>IFERROR(IF(CURRENCY.FORMAT_1=0,CONCATENATE(TEXT(FIXED(ROUND((C1592*(1-I1592)*(1-ADD.DISCOUNT)*(1+MAT.SURCHARGE)/EXC.RATE_1),CURRENCY.FORMAT_1),CURRENCY.FORMAT_1,1),"# ##0;-# ##0"),",-"),FIXED(ROUND((C1592*(1-I1592)*(1-ADD.DISCOUNT)*(1+MAT.SURCHARGE)/EXC.RATE_1),CURRENCY.FORMAT_1),CURRENCY.FORMAT_1,0)),'DICTIONARY-5'!$A$2)</f>
        <v>206,-</v>
      </c>
      <c r="M1592" s="670" t="str">
        <f>IF(EXC.RATE_2=0,"",IFERROR(IF(CURRENCY.FORMAT_2=0,CONCATENATE(TEXT(FIXED(ROUND(IF(EXC.RATE.SWITCH=1,C1592*(1-I1592)*(1-ADD.DISCOUNT)*(1+MAT.SURCHARGE)/EXC.RATE_2,C1592*(1-I1592)*(1-ADD.DISCOUNT)*(1+MAT.SURCHARGE)*EXC.RATE_2),CURRENCY.FORMAT_2),CURRENCY.FORMAT_2,1),"# ##0;-# ##0"),",-"),FIXED(ROUND(IF(EXC.RATE.SWITCH=1,C1592*(1-I1592)*(1-ADD.DISCOUNT)*(1+MAT.SURCHARGE)/EXC.RATE_2,C1592*(1-I1592)*(1-ADD.DISCOUNT)*(1+MAT.SURCHARGE)*EXC.RATE_2),CURRENCY.FORMAT_2),CURRENCY.FORMAT_2,0)),'DICTIONARY-5'!$A$2))</f>
        <v/>
      </c>
      <c r="N1592" s="541">
        <v>6</v>
      </c>
      <c r="O1592" s="654" t="s">
        <v>7363</v>
      </c>
      <c r="P1592" s="731" t="str">
        <f>'DICTIONARY-3'!$A$149</f>
        <v>CEREX 300-W</v>
      </c>
      <c r="Q1592" s="731" t="str">
        <f>'DICTIONARY-3'!$A$204</f>
        <v>Przepustnica kołnierzowa</v>
      </c>
      <c r="R1592" s="732" t="str">
        <f>CONCATENATE('DICTIONARY-3'!$A$149," ",'DICTIONARY-6'!$A$2," ",UPPER('DICTIONARY-5'!$A$18)," ",'DICTIONARY-2'!$A$2,"100"," ",'DICTIONARY-2'!$A$3,"10/16"," ",'DICTIONARY-5'!$A$51,"/",'DICTIONARY-5'!$A$45,", ",'DICTIONARY-4'!$A$2)</f>
        <v>CEREX 300-W Przep. kołnierz. GAZ DN100 PN10/16 GGG/NBR, WW</v>
      </c>
      <c r="S1592" s="733" t="str">
        <f>'DICTIONARY-4'!$A$2</f>
        <v>WW</v>
      </c>
      <c r="T1592" s="732" t="str">
        <f>'DICTIONARY-4'!$A$18</f>
        <v>Wolny wałek</v>
      </c>
      <c r="U1592" s="734" t="s">
        <v>5749</v>
      </c>
      <c r="V1592" s="735">
        <v>16</v>
      </c>
      <c r="W1592" s="736"/>
      <c r="X1592" s="737"/>
      <c r="Y1592" s="738"/>
      <c r="Z1592" s="739"/>
      <c r="AA1592" s="739"/>
      <c r="AB1592" s="740">
        <v>16</v>
      </c>
      <c r="AC1592" s="741" t="str">
        <f>'DICTIONARY-5'!$A$11&amp;" 20"</f>
        <v>EN 558 szereg 20</v>
      </c>
      <c r="AD1592" s="733" t="str">
        <f>'DICTIONARY-5'!$A$18&amp;", "&amp;'DICTIONARY-5'!$A$14</f>
        <v>gaz, ścieki</v>
      </c>
      <c r="AE1592" s="742">
        <v>80</v>
      </c>
      <c r="AF1592" s="743">
        <v>4.9000000000000004</v>
      </c>
      <c r="AG1592" s="741" t="str">
        <f>'DICTIONARY-5'!$A$23</f>
        <v>powłoka epoksydowa</v>
      </c>
    </row>
    <row r="1593" spans="1:33" x14ac:dyDescent="0.25">
      <c r="A1593" s="844" t="s">
        <v>5291</v>
      </c>
      <c r="B1593" s="844" t="s">
        <v>5469</v>
      </c>
      <c r="C1593" s="836">
        <v>225</v>
      </c>
      <c r="D1593" s="836"/>
      <c r="E1593" s="836"/>
      <c r="F1593" s="836"/>
      <c r="G1593" s="496" t="s">
        <v>7832</v>
      </c>
      <c r="H1593" s="797" t="str">
        <f>VLOOKUP(G1593,SETTINGS!$B$7:$D$97,2,0)</f>
        <v>CEREX 300</v>
      </c>
      <c r="I1593" s="796">
        <f>VLOOKUP(G1593,SETTINGS!$B$7:$D$97,3,0)</f>
        <v>0</v>
      </c>
      <c r="J1593" s="670" t="str">
        <f>IFERROR(IF(CURRENCY.FORMAT_1=0,CONCATENATE(TEXT(FIXED(ROUND((C1593/EXC.RATE_1),CURRENCY.FORMAT_1),CURRENCY.FORMAT_1,1),"# ##0;-# ##0"),",-"),FIXED(ROUND((C1593/EXC.RATE_1),CURRENCY.FORMAT_1),CURRENCY.FORMAT_1,0)),'DICTIONARY-5'!$A$2)</f>
        <v>225,-</v>
      </c>
      <c r="K1593" s="670" t="str">
        <f>IF(EXC.RATE_2=0,"",IFERROR(IF(CURRENCY.FORMAT_2=0,CONCATENATE(TEXT(FIXED(ROUND(IF(EXC.RATE.SWITCH=1,C1593/EXC.RATE_2,C1593*EXC.RATE_2),CURRENCY.FORMAT_2),CURRENCY.FORMAT_2,1),"# ##0;-# ##0"),",-"),FIXED(ROUND(IF(EXC.RATE.SWITCH=1,C1593/EXC.RATE_2,C1593*EXC.RATE_2),CURRENCY.FORMAT_2),CURRENCY.FORMAT_2,0)),'DICTIONARY-5'!$A$2))</f>
        <v/>
      </c>
      <c r="L1593" s="670" t="str">
        <f>IFERROR(IF(CURRENCY.FORMAT_1=0,CONCATENATE(TEXT(FIXED(ROUND((C1593*(1-I1593)*(1-ADD.DISCOUNT)*(1+MAT.SURCHARGE)/EXC.RATE_1),CURRENCY.FORMAT_1),CURRENCY.FORMAT_1,1),"# ##0;-# ##0"),",-"),FIXED(ROUND((C1593*(1-I1593)*(1-ADD.DISCOUNT)*(1+MAT.SURCHARGE)/EXC.RATE_1),CURRENCY.FORMAT_1),CURRENCY.FORMAT_1,0)),'DICTIONARY-5'!$A$2)</f>
        <v>234,-</v>
      </c>
      <c r="M1593" s="670" t="str">
        <f>IF(EXC.RATE_2=0,"",IFERROR(IF(CURRENCY.FORMAT_2=0,CONCATENATE(TEXT(FIXED(ROUND(IF(EXC.RATE.SWITCH=1,C1593*(1-I1593)*(1-ADD.DISCOUNT)*(1+MAT.SURCHARGE)/EXC.RATE_2,C1593*(1-I1593)*(1-ADD.DISCOUNT)*(1+MAT.SURCHARGE)*EXC.RATE_2),CURRENCY.FORMAT_2),CURRENCY.FORMAT_2,1),"# ##0;-# ##0"),",-"),FIXED(ROUND(IF(EXC.RATE.SWITCH=1,C1593*(1-I1593)*(1-ADD.DISCOUNT)*(1+MAT.SURCHARGE)/EXC.RATE_2,C1593*(1-I1593)*(1-ADD.DISCOUNT)*(1+MAT.SURCHARGE)*EXC.RATE_2),CURRENCY.FORMAT_2),CURRENCY.FORMAT_2,0)),'DICTIONARY-5'!$A$2))</f>
        <v/>
      </c>
      <c r="N1593" s="541">
        <v>6</v>
      </c>
      <c r="O1593" s="654" t="s">
        <v>7363</v>
      </c>
      <c r="P1593" s="731" t="str">
        <f>'DICTIONARY-3'!$A$149</f>
        <v>CEREX 300-W</v>
      </c>
      <c r="Q1593" s="731" t="str">
        <f>'DICTIONARY-3'!$A$204</f>
        <v>Przepustnica kołnierzowa</v>
      </c>
      <c r="R1593" s="732" t="str">
        <f>CONCATENATE('DICTIONARY-3'!$A$149," ",'DICTIONARY-6'!$A$2," ",UPPER('DICTIONARY-5'!$A$18)," ",'DICTIONARY-2'!$A$2,"125"," ",'DICTIONARY-2'!$A$3,"10/16"," ",'DICTIONARY-5'!$A$51,"/",'DICTIONARY-5'!$A$45,", ",'DICTIONARY-4'!$A$2)</f>
        <v>CEREX 300-W Przep. kołnierz. GAZ DN125 PN10/16 GGG/NBR, WW</v>
      </c>
      <c r="S1593" s="733" t="str">
        <f>'DICTIONARY-4'!$A$2</f>
        <v>WW</v>
      </c>
      <c r="T1593" s="732" t="str">
        <f>'DICTIONARY-4'!$A$18</f>
        <v>Wolny wałek</v>
      </c>
      <c r="U1593" s="734" t="s">
        <v>5761</v>
      </c>
      <c r="V1593" s="735">
        <v>16</v>
      </c>
      <c r="W1593" s="736"/>
      <c r="X1593" s="737"/>
      <c r="Y1593" s="738"/>
      <c r="Z1593" s="739"/>
      <c r="AA1593" s="739"/>
      <c r="AB1593" s="740">
        <v>16</v>
      </c>
      <c r="AC1593" s="741" t="str">
        <f>'DICTIONARY-5'!$A$11&amp;" 20"</f>
        <v>EN 558 szereg 20</v>
      </c>
      <c r="AD1593" s="733" t="str">
        <f>'DICTIONARY-5'!$A$18&amp;", "&amp;'DICTIONARY-5'!$A$14</f>
        <v>gaz, ścieki</v>
      </c>
      <c r="AE1593" s="742">
        <v>80</v>
      </c>
      <c r="AF1593" s="743">
        <v>6.7</v>
      </c>
      <c r="AG1593" s="741" t="str">
        <f>'DICTIONARY-5'!$A$23</f>
        <v>powłoka epoksydowa</v>
      </c>
    </row>
    <row r="1594" spans="1:33" x14ac:dyDescent="0.25">
      <c r="A1594" s="844" t="s">
        <v>5293</v>
      </c>
      <c r="B1594" s="844" t="s">
        <v>5470</v>
      </c>
      <c r="C1594" s="836">
        <v>314</v>
      </c>
      <c r="D1594" s="836"/>
      <c r="E1594" s="836"/>
      <c r="F1594" s="836"/>
      <c r="G1594" s="496" t="s">
        <v>7832</v>
      </c>
      <c r="H1594" s="797" t="str">
        <f>VLOOKUP(G1594,SETTINGS!$B$7:$D$97,2,0)</f>
        <v>CEREX 300</v>
      </c>
      <c r="I1594" s="796">
        <f>VLOOKUP(G1594,SETTINGS!$B$7:$D$97,3,0)</f>
        <v>0</v>
      </c>
      <c r="J1594" s="670" t="str">
        <f>IFERROR(IF(CURRENCY.FORMAT_1=0,CONCATENATE(TEXT(FIXED(ROUND((C1594/EXC.RATE_1),CURRENCY.FORMAT_1),CURRENCY.FORMAT_1,1),"# ##0;-# ##0"),",-"),FIXED(ROUND((C1594/EXC.RATE_1),CURRENCY.FORMAT_1),CURRENCY.FORMAT_1,0)),'DICTIONARY-5'!$A$2)</f>
        <v>314,-</v>
      </c>
      <c r="K1594" s="670" t="str">
        <f>IF(EXC.RATE_2=0,"",IFERROR(IF(CURRENCY.FORMAT_2=0,CONCATENATE(TEXT(FIXED(ROUND(IF(EXC.RATE.SWITCH=1,C1594/EXC.RATE_2,C1594*EXC.RATE_2),CURRENCY.FORMAT_2),CURRENCY.FORMAT_2,1),"# ##0;-# ##0"),",-"),FIXED(ROUND(IF(EXC.RATE.SWITCH=1,C1594/EXC.RATE_2,C1594*EXC.RATE_2),CURRENCY.FORMAT_2),CURRENCY.FORMAT_2,0)),'DICTIONARY-5'!$A$2))</f>
        <v/>
      </c>
      <c r="L1594" s="670" t="str">
        <f>IFERROR(IF(CURRENCY.FORMAT_1=0,CONCATENATE(TEXT(FIXED(ROUND((C1594*(1-I1594)*(1-ADD.DISCOUNT)*(1+MAT.SURCHARGE)/EXC.RATE_1),CURRENCY.FORMAT_1),CURRENCY.FORMAT_1,1),"# ##0;-# ##0"),",-"),FIXED(ROUND((C1594*(1-I1594)*(1-ADD.DISCOUNT)*(1+MAT.SURCHARGE)/EXC.RATE_1),CURRENCY.FORMAT_1),CURRENCY.FORMAT_1,0)),'DICTIONARY-5'!$A$2)</f>
        <v>326,-</v>
      </c>
      <c r="M1594" s="670" t="str">
        <f>IF(EXC.RATE_2=0,"",IFERROR(IF(CURRENCY.FORMAT_2=0,CONCATENATE(TEXT(FIXED(ROUND(IF(EXC.RATE.SWITCH=1,C1594*(1-I1594)*(1-ADD.DISCOUNT)*(1+MAT.SURCHARGE)/EXC.RATE_2,C1594*(1-I1594)*(1-ADD.DISCOUNT)*(1+MAT.SURCHARGE)*EXC.RATE_2),CURRENCY.FORMAT_2),CURRENCY.FORMAT_2,1),"# ##0;-# ##0"),",-"),FIXED(ROUND(IF(EXC.RATE.SWITCH=1,C1594*(1-I1594)*(1-ADD.DISCOUNT)*(1+MAT.SURCHARGE)/EXC.RATE_2,C1594*(1-I1594)*(1-ADD.DISCOUNT)*(1+MAT.SURCHARGE)*EXC.RATE_2),CURRENCY.FORMAT_2),CURRENCY.FORMAT_2,0)),'DICTIONARY-5'!$A$2))</f>
        <v/>
      </c>
      <c r="N1594" s="541">
        <v>6</v>
      </c>
      <c r="O1594" s="654" t="s">
        <v>7363</v>
      </c>
      <c r="P1594" s="731" t="str">
        <f>'DICTIONARY-3'!$A$149</f>
        <v>CEREX 300-W</v>
      </c>
      <c r="Q1594" s="731" t="str">
        <f>'DICTIONARY-3'!$A$204</f>
        <v>Przepustnica kołnierzowa</v>
      </c>
      <c r="R1594" s="732" t="str">
        <f>CONCATENATE('DICTIONARY-3'!$A$149," ",'DICTIONARY-6'!$A$2," ",UPPER('DICTIONARY-5'!$A$18)," ",'DICTIONARY-2'!$A$2,"150"," ",'DICTIONARY-2'!$A$3,"10/16"," ",'DICTIONARY-5'!$A$51,"/",'DICTIONARY-5'!$A$45,", ",'DICTIONARY-4'!$A$2)</f>
        <v>CEREX 300-W Przep. kołnierz. GAZ DN150 PN10/16 GGG/NBR, WW</v>
      </c>
      <c r="S1594" s="733" t="str">
        <f>'DICTIONARY-4'!$A$2</f>
        <v>WW</v>
      </c>
      <c r="T1594" s="732" t="str">
        <f>'DICTIONARY-4'!$A$18</f>
        <v>Wolny wałek</v>
      </c>
      <c r="U1594" s="734" t="s">
        <v>5572</v>
      </c>
      <c r="V1594" s="735">
        <v>16</v>
      </c>
      <c r="W1594" s="736"/>
      <c r="X1594" s="737"/>
      <c r="Y1594" s="738"/>
      <c r="Z1594" s="739"/>
      <c r="AA1594" s="739"/>
      <c r="AB1594" s="740">
        <v>16</v>
      </c>
      <c r="AC1594" s="741" t="str">
        <f>'DICTIONARY-5'!$A$11&amp;" 20"</f>
        <v>EN 558 szereg 20</v>
      </c>
      <c r="AD1594" s="733" t="str">
        <f>'DICTIONARY-5'!$A$18&amp;", "&amp;'DICTIONARY-5'!$A$14</f>
        <v>gaz, ścieki</v>
      </c>
      <c r="AE1594" s="742">
        <v>80</v>
      </c>
      <c r="AF1594" s="743">
        <v>9.5</v>
      </c>
      <c r="AG1594" s="741" t="str">
        <f>'DICTIONARY-5'!$A$23</f>
        <v>powłoka epoksydowa</v>
      </c>
    </row>
    <row r="1595" spans="1:33" x14ac:dyDescent="0.25">
      <c r="A1595" s="844" t="s">
        <v>5295</v>
      </c>
      <c r="B1595" s="844" t="s">
        <v>5471</v>
      </c>
      <c r="C1595" s="836">
        <v>410</v>
      </c>
      <c r="D1595" s="836"/>
      <c r="E1595" s="836"/>
      <c r="F1595" s="836"/>
      <c r="G1595" s="496" t="s">
        <v>7832</v>
      </c>
      <c r="H1595" s="797" t="str">
        <f>VLOOKUP(G1595,SETTINGS!$B$7:$D$97,2,0)</f>
        <v>CEREX 300</v>
      </c>
      <c r="I1595" s="796">
        <f>VLOOKUP(G1595,SETTINGS!$B$7:$D$97,3,0)</f>
        <v>0</v>
      </c>
      <c r="J1595" s="670" t="str">
        <f>IFERROR(IF(CURRENCY.FORMAT_1=0,CONCATENATE(TEXT(FIXED(ROUND((C1595/EXC.RATE_1),CURRENCY.FORMAT_1),CURRENCY.FORMAT_1,1),"# ##0;-# ##0"),",-"),FIXED(ROUND((C1595/EXC.RATE_1),CURRENCY.FORMAT_1),CURRENCY.FORMAT_1,0)),'DICTIONARY-5'!$A$2)</f>
        <v>410,-</v>
      </c>
      <c r="K1595" s="670" t="str">
        <f>IF(EXC.RATE_2=0,"",IFERROR(IF(CURRENCY.FORMAT_2=0,CONCATENATE(TEXT(FIXED(ROUND(IF(EXC.RATE.SWITCH=1,C1595/EXC.RATE_2,C1595*EXC.RATE_2),CURRENCY.FORMAT_2),CURRENCY.FORMAT_2,1),"# ##0;-# ##0"),",-"),FIXED(ROUND(IF(EXC.RATE.SWITCH=1,C1595/EXC.RATE_2,C1595*EXC.RATE_2),CURRENCY.FORMAT_2),CURRENCY.FORMAT_2,0)),'DICTIONARY-5'!$A$2))</f>
        <v/>
      </c>
      <c r="L1595" s="670" t="str">
        <f>IFERROR(IF(CURRENCY.FORMAT_1=0,CONCATENATE(TEXT(FIXED(ROUND((C1595*(1-I1595)*(1-ADD.DISCOUNT)*(1+MAT.SURCHARGE)/EXC.RATE_1),CURRENCY.FORMAT_1),CURRENCY.FORMAT_1,1),"# ##0;-# ##0"),",-"),FIXED(ROUND((C1595*(1-I1595)*(1-ADD.DISCOUNT)*(1+MAT.SURCHARGE)/EXC.RATE_1),CURRENCY.FORMAT_1),CURRENCY.FORMAT_1,0)),'DICTIONARY-5'!$A$2)</f>
        <v>426,-</v>
      </c>
      <c r="M1595" s="670" t="str">
        <f>IF(EXC.RATE_2=0,"",IFERROR(IF(CURRENCY.FORMAT_2=0,CONCATENATE(TEXT(FIXED(ROUND(IF(EXC.RATE.SWITCH=1,C1595*(1-I1595)*(1-ADD.DISCOUNT)*(1+MAT.SURCHARGE)/EXC.RATE_2,C1595*(1-I1595)*(1-ADD.DISCOUNT)*(1+MAT.SURCHARGE)*EXC.RATE_2),CURRENCY.FORMAT_2),CURRENCY.FORMAT_2,1),"# ##0;-# ##0"),",-"),FIXED(ROUND(IF(EXC.RATE.SWITCH=1,C1595*(1-I1595)*(1-ADD.DISCOUNT)*(1+MAT.SURCHARGE)/EXC.RATE_2,C1595*(1-I1595)*(1-ADD.DISCOUNT)*(1+MAT.SURCHARGE)*EXC.RATE_2),CURRENCY.FORMAT_2),CURRENCY.FORMAT_2,0)),'DICTIONARY-5'!$A$2))</f>
        <v/>
      </c>
      <c r="N1595" s="541">
        <v>6</v>
      </c>
      <c r="O1595" s="654" t="s">
        <v>7363</v>
      </c>
      <c r="P1595" s="731" t="str">
        <f>'DICTIONARY-3'!$A$149</f>
        <v>CEREX 300-W</v>
      </c>
      <c r="Q1595" s="731" t="str">
        <f>'DICTIONARY-3'!$A$204</f>
        <v>Przepustnica kołnierzowa</v>
      </c>
      <c r="R1595" s="732" t="str">
        <f>CONCATENATE('DICTIONARY-3'!$A$149," ",'DICTIONARY-6'!$A$2," ",UPPER('DICTIONARY-5'!$A$18)," ",'DICTIONARY-2'!$A$2,"200"," ",'DICTIONARY-2'!$A$3,"10/16"," ",'DICTIONARY-5'!$A$51,"/",'DICTIONARY-5'!$A$45,", ",'DICTIONARY-4'!$A$2)</f>
        <v>CEREX 300-W Przep. kołnierz. GAZ DN200 PN10/16 GGG/NBR, WW</v>
      </c>
      <c r="S1595" s="733" t="str">
        <f>'DICTIONARY-4'!$A$2</f>
        <v>WW</v>
      </c>
      <c r="T1595" s="732" t="str">
        <f>'DICTIONARY-4'!$A$18</f>
        <v>Wolny wałek</v>
      </c>
      <c r="U1595" s="734" t="s">
        <v>5750</v>
      </c>
      <c r="V1595" s="735">
        <v>16</v>
      </c>
      <c r="W1595" s="736"/>
      <c r="X1595" s="737"/>
      <c r="Y1595" s="738"/>
      <c r="Z1595" s="739"/>
      <c r="AA1595" s="739"/>
      <c r="AB1595" s="740">
        <v>16</v>
      </c>
      <c r="AC1595" s="741" t="str">
        <f>'DICTIONARY-5'!$A$11&amp;" 20"</f>
        <v>EN 558 szereg 20</v>
      </c>
      <c r="AD1595" s="733" t="str">
        <f>'DICTIONARY-5'!$A$18&amp;", "&amp;'DICTIONARY-5'!$A$14</f>
        <v>gaz, ścieki</v>
      </c>
      <c r="AE1595" s="742">
        <v>80</v>
      </c>
      <c r="AF1595" s="743">
        <v>13.4</v>
      </c>
      <c r="AG1595" s="741" t="str">
        <f>'DICTIONARY-5'!$A$23</f>
        <v>powłoka epoksydowa</v>
      </c>
    </row>
    <row r="1596" spans="1:33" x14ac:dyDescent="0.25">
      <c r="A1596" s="844" t="s">
        <v>5297</v>
      </c>
      <c r="B1596" s="844" t="s">
        <v>5472</v>
      </c>
      <c r="C1596" s="836">
        <v>429</v>
      </c>
      <c r="D1596" s="836"/>
      <c r="E1596" s="836"/>
      <c r="F1596" s="836"/>
      <c r="G1596" s="496" t="s">
        <v>7832</v>
      </c>
      <c r="H1596" s="797" t="str">
        <f>VLOOKUP(G1596,SETTINGS!$B$7:$D$97,2,0)</f>
        <v>CEREX 300</v>
      </c>
      <c r="I1596" s="796">
        <f>VLOOKUP(G1596,SETTINGS!$B$7:$D$97,3,0)</f>
        <v>0</v>
      </c>
      <c r="J1596" s="670" t="str">
        <f>IFERROR(IF(CURRENCY.FORMAT_1=0,CONCATENATE(TEXT(FIXED(ROUND((C1596/EXC.RATE_1),CURRENCY.FORMAT_1),CURRENCY.FORMAT_1,1),"# ##0;-# ##0"),",-"),FIXED(ROUND((C1596/EXC.RATE_1),CURRENCY.FORMAT_1),CURRENCY.FORMAT_1,0)),'DICTIONARY-5'!$A$2)</f>
        <v>429,-</v>
      </c>
      <c r="K1596" s="670" t="str">
        <f>IF(EXC.RATE_2=0,"",IFERROR(IF(CURRENCY.FORMAT_2=0,CONCATENATE(TEXT(FIXED(ROUND(IF(EXC.RATE.SWITCH=1,C1596/EXC.RATE_2,C1596*EXC.RATE_2),CURRENCY.FORMAT_2),CURRENCY.FORMAT_2,1),"# ##0;-# ##0"),",-"),FIXED(ROUND(IF(EXC.RATE.SWITCH=1,C1596/EXC.RATE_2,C1596*EXC.RATE_2),CURRENCY.FORMAT_2),CURRENCY.FORMAT_2,0)),'DICTIONARY-5'!$A$2))</f>
        <v/>
      </c>
      <c r="L1596" s="670" t="str">
        <f>IFERROR(IF(CURRENCY.FORMAT_1=0,CONCATENATE(TEXT(FIXED(ROUND((C1596*(1-I1596)*(1-ADD.DISCOUNT)*(1+MAT.SURCHARGE)/EXC.RATE_1),CURRENCY.FORMAT_1),CURRENCY.FORMAT_1,1),"# ##0;-# ##0"),",-"),FIXED(ROUND((C1596*(1-I1596)*(1-ADD.DISCOUNT)*(1+MAT.SURCHARGE)/EXC.RATE_1),CURRENCY.FORMAT_1),CURRENCY.FORMAT_1,0)),'DICTIONARY-5'!$A$2)</f>
        <v>446,-</v>
      </c>
      <c r="M1596" s="670" t="str">
        <f>IF(EXC.RATE_2=0,"",IFERROR(IF(CURRENCY.FORMAT_2=0,CONCATENATE(TEXT(FIXED(ROUND(IF(EXC.RATE.SWITCH=1,C1596*(1-I1596)*(1-ADD.DISCOUNT)*(1+MAT.SURCHARGE)/EXC.RATE_2,C1596*(1-I1596)*(1-ADD.DISCOUNT)*(1+MAT.SURCHARGE)*EXC.RATE_2),CURRENCY.FORMAT_2),CURRENCY.FORMAT_2,1),"# ##0;-# ##0"),",-"),FIXED(ROUND(IF(EXC.RATE.SWITCH=1,C1596*(1-I1596)*(1-ADD.DISCOUNT)*(1+MAT.SURCHARGE)/EXC.RATE_2,C1596*(1-I1596)*(1-ADD.DISCOUNT)*(1+MAT.SURCHARGE)*EXC.RATE_2),CURRENCY.FORMAT_2),CURRENCY.FORMAT_2,0)),'DICTIONARY-5'!$A$2))</f>
        <v/>
      </c>
      <c r="N1596" s="541">
        <v>6</v>
      </c>
      <c r="O1596" s="654" t="s">
        <v>7363</v>
      </c>
      <c r="P1596" s="731" t="str">
        <f>'DICTIONARY-3'!$A$149</f>
        <v>CEREX 300-W</v>
      </c>
      <c r="Q1596" s="731" t="str">
        <f>'DICTIONARY-3'!$A$204</f>
        <v>Przepustnica kołnierzowa</v>
      </c>
      <c r="R1596" s="732" t="str">
        <f>CONCATENATE('DICTIONARY-3'!$A$149," ",'DICTIONARY-6'!$A$2," ",UPPER('DICTIONARY-5'!$A$18)," ",'DICTIONARY-2'!$A$2,"250"," ",'DICTIONARY-2'!$A$3,"10/16"," ",'DICTIONARY-5'!$A$51,"/",'DICTIONARY-5'!$A$45,", ",'DICTIONARY-4'!$A$2)</f>
        <v>CEREX 300-W Przep. kołnierz. GAZ DN250 PN10/16 GGG/NBR, WW</v>
      </c>
      <c r="S1596" s="733" t="str">
        <f>'DICTIONARY-4'!$A$2</f>
        <v>WW</v>
      </c>
      <c r="T1596" s="732" t="str">
        <f>'DICTIONARY-4'!$A$18</f>
        <v>Wolny wałek</v>
      </c>
      <c r="U1596" s="734" t="s">
        <v>5751</v>
      </c>
      <c r="V1596" s="735">
        <v>16</v>
      </c>
      <c r="W1596" s="736"/>
      <c r="X1596" s="737"/>
      <c r="Y1596" s="738"/>
      <c r="Z1596" s="739"/>
      <c r="AA1596" s="739"/>
      <c r="AB1596" s="740">
        <v>16</v>
      </c>
      <c r="AC1596" s="741" t="str">
        <f>'DICTIONARY-5'!$A$11&amp;" 20"</f>
        <v>EN 558 szereg 20</v>
      </c>
      <c r="AD1596" s="733" t="str">
        <f>'DICTIONARY-5'!$A$18&amp;", "&amp;'DICTIONARY-5'!$A$14</f>
        <v>gaz, ścieki</v>
      </c>
      <c r="AE1596" s="742">
        <v>80</v>
      </c>
      <c r="AF1596" s="743">
        <v>20.9</v>
      </c>
      <c r="AG1596" s="741" t="str">
        <f>'DICTIONARY-5'!$A$23</f>
        <v>powłoka epoksydowa</v>
      </c>
    </row>
    <row r="1597" spans="1:33" x14ac:dyDescent="0.25">
      <c r="A1597" s="844" t="s">
        <v>5299</v>
      </c>
      <c r="B1597" s="844" t="s">
        <v>5473</v>
      </c>
      <c r="C1597" s="836">
        <v>616</v>
      </c>
      <c r="D1597" s="836"/>
      <c r="E1597" s="836"/>
      <c r="F1597" s="836"/>
      <c r="G1597" s="496" t="s">
        <v>7832</v>
      </c>
      <c r="H1597" s="797" t="str">
        <f>VLOOKUP(G1597,SETTINGS!$B$7:$D$97,2,0)</f>
        <v>CEREX 300</v>
      </c>
      <c r="I1597" s="796">
        <f>VLOOKUP(G1597,SETTINGS!$B$7:$D$97,3,0)</f>
        <v>0</v>
      </c>
      <c r="J1597" s="670" t="str">
        <f>IFERROR(IF(CURRENCY.FORMAT_1=0,CONCATENATE(TEXT(FIXED(ROUND((C1597/EXC.RATE_1),CURRENCY.FORMAT_1),CURRENCY.FORMAT_1,1),"# ##0;-# ##0"),",-"),FIXED(ROUND((C1597/EXC.RATE_1),CURRENCY.FORMAT_1),CURRENCY.FORMAT_1,0)),'DICTIONARY-5'!$A$2)</f>
        <v>616,-</v>
      </c>
      <c r="K1597" s="670" t="str">
        <f>IF(EXC.RATE_2=0,"",IFERROR(IF(CURRENCY.FORMAT_2=0,CONCATENATE(TEXT(FIXED(ROUND(IF(EXC.RATE.SWITCH=1,C1597/EXC.RATE_2,C1597*EXC.RATE_2),CURRENCY.FORMAT_2),CURRENCY.FORMAT_2,1),"# ##0;-# ##0"),",-"),FIXED(ROUND(IF(EXC.RATE.SWITCH=1,C1597/EXC.RATE_2,C1597*EXC.RATE_2),CURRENCY.FORMAT_2),CURRENCY.FORMAT_2,0)),'DICTIONARY-5'!$A$2))</f>
        <v/>
      </c>
      <c r="L1597" s="670" t="str">
        <f>IFERROR(IF(CURRENCY.FORMAT_1=0,CONCATENATE(TEXT(FIXED(ROUND((C1597*(1-I1597)*(1-ADD.DISCOUNT)*(1+MAT.SURCHARGE)/EXC.RATE_1),CURRENCY.FORMAT_1),CURRENCY.FORMAT_1,1),"# ##0;-# ##0"),",-"),FIXED(ROUND((C1597*(1-I1597)*(1-ADD.DISCOUNT)*(1+MAT.SURCHARGE)/EXC.RATE_1),CURRENCY.FORMAT_1),CURRENCY.FORMAT_1,0)),'DICTIONARY-5'!$A$2)</f>
        <v>640,-</v>
      </c>
      <c r="M1597" s="670" t="str">
        <f>IF(EXC.RATE_2=0,"",IFERROR(IF(CURRENCY.FORMAT_2=0,CONCATENATE(TEXT(FIXED(ROUND(IF(EXC.RATE.SWITCH=1,C1597*(1-I1597)*(1-ADD.DISCOUNT)*(1+MAT.SURCHARGE)/EXC.RATE_2,C1597*(1-I1597)*(1-ADD.DISCOUNT)*(1+MAT.SURCHARGE)*EXC.RATE_2),CURRENCY.FORMAT_2),CURRENCY.FORMAT_2,1),"# ##0;-# ##0"),",-"),FIXED(ROUND(IF(EXC.RATE.SWITCH=1,C1597*(1-I1597)*(1-ADD.DISCOUNT)*(1+MAT.SURCHARGE)/EXC.RATE_2,C1597*(1-I1597)*(1-ADD.DISCOUNT)*(1+MAT.SURCHARGE)*EXC.RATE_2),CURRENCY.FORMAT_2),CURRENCY.FORMAT_2,0)),'DICTIONARY-5'!$A$2))</f>
        <v/>
      </c>
      <c r="N1597" s="541">
        <v>6</v>
      </c>
      <c r="O1597" s="654" t="s">
        <v>7363</v>
      </c>
      <c r="P1597" s="731" t="str">
        <f>'DICTIONARY-3'!$A$149</f>
        <v>CEREX 300-W</v>
      </c>
      <c r="Q1597" s="731" t="str">
        <f>'DICTIONARY-3'!$A$204</f>
        <v>Przepustnica kołnierzowa</v>
      </c>
      <c r="R1597" s="732" t="str">
        <f>CONCATENATE('DICTIONARY-3'!$A$149," ",'DICTIONARY-6'!$A$2," ",UPPER('DICTIONARY-5'!$A$18)," ",'DICTIONARY-2'!$A$2,"300"," ",'DICTIONARY-2'!$A$3,"10/16"," ",'DICTIONARY-5'!$A$51,"/",'DICTIONARY-5'!$A$45,", ",'DICTIONARY-4'!$A$2)</f>
        <v>CEREX 300-W Przep. kołnierz. GAZ DN300 PN10/16 GGG/NBR, WW</v>
      </c>
      <c r="S1597" s="733" t="str">
        <f>'DICTIONARY-4'!$A$2</f>
        <v>WW</v>
      </c>
      <c r="T1597" s="732" t="str">
        <f>'DICTIONARY-4'!$A$18</f>
        <v>Wolny wałek</v>
      </c>
      <c r="U1597" s="734" t="s">
        <v>5752</v>
      </c>
      <c r="V1597" s="735">
        <v>16</v>
      </c>
      <c r="W1597" s="736"/>
      <c r="X1597" s="737"/>
      <c r="Y1597" s="738"/>
      <c r="Z1597" s="739"/>
      <c r="AA1597" s="739"/>
      <c r="AB1597" s="740">
        <v>16</v>
      </c>
      <c r="AC1597" s="741" t="str">
        <f>'DICTIONARY-5'!$A$11&amp;" 20"</f>
        <v>EN 558 szereg 20</v>
      </c>
      <c r="AD1597" s="733" t="str">
        <f>'DICTIONARY-5'!$A$18&amp;", "&amp;'DICTIONARY-5'!$A$14</f>
        <v>gaz, ścieki</v>
      </c>
      <c r="AE1597" s="742">
        <v>80</v>
      </c>
      <c r="AF1597" s="743">
        <v>30</v>
      </c>
      <c r="AG1597" s="741" t="str">
        <f>'DICTIONARY-5'!$A$23</f>
        <v>powłoka epoksydowa</v>
      </c>
    </row>
    <row r="1598" spans="1:33" x14ac:dyDescent="0.25">
      <c r="A1598" s="844" t="s">
        <v>5301</v>
      </c>
      <c r="B1598" s="844" t="s">
        <v>5474</v>
      </c>
      <c r="C1598" s="836">
        <v>882</v>
      </c>
      <c r="D1598" s="836"/>
      <c r="E1598" s="836"/>
      <c r="F1598" s="836"/>
      <c r="G1598" s="496" t="s">
        <v>7832</v>
      </c>
      <c r="H1598" s="797" t="str">
        <f>VLOOKUP(G1598,SETTINGS!$B$7:$D$97,2,0)</f>
        <v>CEREX 300</v>
      </c>
      <c r="I1598" s="796">
        <f>VLOOKUP(G1598,SETTINGS!$B$7:$D$97,3,0)</f>
        <v>0</v>
      </c>
      <c r="J1598" s="670" t="str">
        <f>IFERROR(IF(CURRENCY.FORMAT_1=0,CONCATENATE(TEXT(FIXED(ROUND((C1598/EXC.RATE_1),CURRENCY.FORMAT_1),CURRENCY.FORMAT_1,1),"# ##0;-# ##0"),",-"),FIXED(ROUND((C1598/EXC.RATE_1),CURRENCY.FORMAT_1),CURRENCY.FORMAT_1,0)),'DICTIONARY-5'!$A$2)</f>
        <v>882,-</v>
      </c>
      <c r="K1598" s="670" t="str">
        <f>IF(EXC.RATE_2=0,"",IFERROR(IF(CURRENCY.FORMAT_2=0,CONCATENATE(TEXT(FIXED(ROUND(IF(EXC.RATE.SWITCH=1,C1598/EXC.RATE_2,C1598*EXC.RATE_2),CURRENCY.FORMAT_2),CURRENCY.FORMAT_2,1),"# ##0;-# ##0"),",-"),FIXED(ROUND(IF(EXC.RATE.SWITCH=1,C1598/EXC.RATE_2,C1598*EXC.RATE_2),CURRENCY.FORMAT_2),CURRENCY.FORMAT_2,0)),'DICTIONARY-5'!$A$2))</f>
        <v/>
      </c>
      <c r="L1598" s="670" t="str">
        <f>IFERROR(IF(CURRENCY.FORMAT_1=0,CONCATENATE(TEXT(FIXED(ROUND((C1598*(1-I1598)*(1-ADD.DISCOUNT)*(1+MAT.SURCHARGE)/EXC.RATE_1),CURRENCY.FORMAT_1),CURRENCY.FORMAT_1,1),"# ##0;-# ##0"),",-"),FIXED(ROUND((C1598*(1-I1598)*(1-ADD.DISCOUNT)*(1+MAT.SURCHARGE)/EXC.RATE_1),CURRENCY.FORMAT_1),CURRENCY.FORMAT_1,0)),'DICTIONARY-5'!$A$2)</f>
        <v>916,-</v>
      </c>
      <c r="M1598" s="670" t="str">
        <f>IF(EXC.RATE_2=0,"",IFERROR(IF(CURRENCY.FORMAT_2=0,CONCATENATE(TEXT(FIXED(ROUND(IF(EXC.RATE.SWITCH=1,C1598*(1-I1598)*(1-ADD.DISCOUNT)*(1+MAT.SURCHARGE)/EXC.RATE_2,C1598*(1-I1598)*(1-ADD.DISCOUNT)*(1+MAT.SURCHARGE)*EXC.RATE_2),CURRENCY.FORMAT_2),CURRENCY.FORMAT_2,1),"# ##0;-# ##0"),",-"),FIXED(ROUND(IF(EXC.RATE.SWITCH=1,C1598*(1-I1598)*(1-ADD.DISCOUNT)*(1+MAT.SURCHARGE)/EXC.RATE_2,C1598*(1-I1598)*(1-ADD.DISCOUNT)*(1+MAT.SURCHARGE)*EXC.RATE_2),CURRENCY.FORMAT_2),CURRENCY.FORMAT_2,0)),'DICTIONARY-5'!$A$2))</f>
        <v/>
      </c>
      <c r="N1598" s="541">
        <v>6</v>
      </c>
      <c r="O1598" s="654" t="s">
        <v>7363</v>
      </c>
      <c r="P1598" s="731" t="str">
        <f>'DICTIONARY-3'!$A$149</f>
        <v>CEREX 300-W</v>
      </c>
      <c r="Q1598" s="731" t="str">
        <f>'DICTIONARY-3'!$A$204</f>
        <v>Przepustnica kołnierzowa</v>
      </c>
      <c r="R1598" s="732" t="str">
        <f>CONCATENATE('DICTIONARY-3'!$A$149," ",'DICTIONARY-6'!$A$2," ",'DICTIONARY-2'!$A$2,"350"," ",'DICTIONARY-2'!$A$3,"10/16"," ",'DICTIONARY-5'!$A$51,"/",'DICTIONARY-5'!$A$45,", ",'DICTIONARY-4'!$A$2)</f>
        <v>CEREX 300-W Przep. kołnierz. DN350 PN10/16 GGG/NBR, WW</v>
      </c>
      <c r="S1598" s="733" t="str">
        <f>'DICTIONARY-4'!$A$2</f>
        <v>WW</v>
      </c>
      <c r="T1598" s="732" t="str">
        <f>'DICTIONARY-4'!$A$18</f>
        <v>Wolny wałek</v>
      </c>
      <c r="U1598" s="734" t="s">
        <v>5753</v>
      </c>
      <c r="V1598" s="735">
        <v>16</v>
      </c>
      <c r="W1598" s="736"/>
      <c r="X1598" s="737"/>
      <c r="Y1598" s="738"/>
      <c r="Z1598" s="739"/>
      <c r="AA1598" s="739"/>
      <c r="AB1598" s="740">
        <v>16</v>
      </c>
      <c r="AC1598" s="741" t="str">
        <f>'DICTIONARY-5'!$A$11&amp;" 20"</f>
        <v>EN 558 szereg 20</v>
      </c>
      <c r="AD1598" s="741" t="str">
        <f>'DICTIONARY-5'!$A$14</f>
        <v>ścieki</v>
      </c>
      <c r="AE1598" s="742">
        <v>80</v>
      </c>
      <c r="AF1598" s="743">
        <v>40.5</v>
      </c>
      <c r="AG1598" s="741" t="str">
        <f>'DICTIONARY-5'!$A$23</f>
        <v>powłoka epoksydowa</v>
      </c>
    </row>
    <row r="1599" spans="1:33" x14ac:dyDescent="0.25">
      <c r="A1599" s="844" t="s">
        <v>5303</v>
      </c>
      <c r="B1599" s="844" t="s">
        <v>5475</v>
      </c>
      <c r="C1599" s="836">
        <v>1191</v>
      </c>
      <c r="D1599" s="836"/>
      <c r="E1599" s="836"/>
      <c r="F1599" s="836"/>
      <c r="G1599" s="496" t="s">
        <v>7832</v>
      </c>
      <c r="H1599" s="797" t="str">
        <f>VLOOKUP(G1599,SETTINGS!$B$7:$D$97,2,0)</f>
        <v>CEREX 300</v>
      </c>
      <c r="I1599" s="796">
        <f>VLOOKUP(G1599,SETTINGS!$B$7:$D$97,3,0)</f>
        <v>0</v>
      </c>
      <c r="J1599" s="670" t="str">
        <f>IFERROR(IF(CURRENCY.FORMAT_1=0,CONCATENATE(TEXT(FIXED(ROUND((C1599/EXC.RATE_1),CURRENCY.FORMAT_1),CURRENCY.FORMAT_1,1),"# ##0;-# ##0"),",-"),FIXED(ROUND((C1599/EXC.RATE_1),CURRENCY.FORMAT_1),CURRENCY.FORMAT_1,0)),'DICTIONARY-5'!$A$2)</f>
        <v>1 191,-</v>
      </c>
      <c r="K1599" s="670" t="str">
        <f>IF(EXC.RATE_2=0,"",IFERROR(IF(CURRENCY.FORMAT_2=0,CONCATENATE(TEXT(FIXED(ROUND(IF(EXC.RATE.SWITCH=1,C1599/EXC.RATE_2,C1599*EXC.RATE_2),CURRENCY.FORMAT_2),CURRENCY.FORMAT_2,1),"# ##0;-# ##0"),",-"),FIXED(ROUND(IF(EXC.RATE.SWITCH=1,C1599/EXC.RATE_2,C1599*EXC.RATE_2),CURRENCY.FORMAT_2),CURRENCY.FORMAT_2,0)),'DICTIONARY-5'!$A$2))</f>
        <v/>
      </c>
      <c r="L1599" s="670" t="str">
        <f>IFERROR(IF(CURRENCY.FORMAT_1=0,CONCATENATE(TEXT(FIXED(ROUND((C1599*(1-I1599)*(1-ADD.DISCOUNT)*(1+MAT.SURCHARGE)/EXC.RATE_1),CURRENCY.FORMAT_1),CURRENCY.FORMAT_1,1),"# ##0;-# ##0"),",-"),FIXED(ROUND((C1599*(1-I1599)*(1-ADD.DISCOUNT)*(1+MAT.SURCHARGE)/EXC.RATE_1),CURRENCY.FORMAT_1),CURRENCY.FORMAT_1,0)),'DICTIONARY-5'!$A$2)</f>
        <v>1 237,-</v>
      </c>
      <c r="M1599" s="670" t="str">
        <f>IF(EXC.RATE_2=0,"",IFERROR(IF(CURRENCY.FORMAT_2=0,CONCATENATE(TEXT(FIXED(ROUND(IF(EXC.RATE.SWITCH=1,C1599*(1-I1599)*(1-ADD.DISCOUNT)*(1+MAT.SURCHARGE)/EXC.RATE_2,C1599*(1-I1599)*(1-ADD.DISCOUNT)*(1+MAT.SURCHARGE)*EXC.RATE_2),CURRENCY.FORMAT_2),CURRENCY.FORMAT_2,1),"# ##0;-# ##0"),",-"),FIXED(ROUND(IF(EXC.RATE.SWITCH=1,C1599*(1-I1599)*(1-ADD.DISCOUNT)*(1+MAT.SURCHARGE)/EXC.RATE_2,C1599*(1-I1599)*(1-ADD.DISCOUNT)*(1+MAT.SURCHARGE)*EXC.RATE_2),CURRENCY.FORMAT_2),CURRENCY.FORMAT_2,0)),'DICTIONARY-5'!$A$2))</f>
        <v/>
      </c>
      <c r="N1599" s="541">
        <v>6</v>
      </c>
      <c r="O1599" s="654" t="s">
        <v>7363</v>
      </c>
      <c r="P1599" s="731" t="str">
        <f>'DICTIONARY-3'!$A$149</f>
        <v>CEREX 300-W</v>
      </c>
      <c r="Q1599" s="731" t="str">
        <f>'DICTIONARY-3'!$A$204</f>
        <v>Przepustnica kołnierzowa</v>
      </c>
      <c r="R1599" s="732" t="str">
        <f>CONCATENATE('DICTIONARY-3'!$A$149," ",'DICTIONARY-6'!$A$2," ",'DICTIONARY-2'!$A$2,"400"," ",'DICTIONARY-2'!$A$3,"10/16"," ",'DICTIONARY-5'!$A$51,"/",'DICTIONARY-5'!$A$45,", ",'DICTIONARY-4'!$A$2)</f>
        <v>CEREX 300-W Przep. kołnierz. DN400 PN10/16 GGG/NBR, WW</v>
      </c>
      <c r="S1599" s="733" t="str">
        <f>'DICTIONARY-4'!$A$2</f>
        <v>WW</v>
      </c>
      <c r="T1599" s="732" t="str">
        <f>'DICTIONARY-4'!$A$18</f>
        <v>Wolny wałek</v>
      </c>
      <c r="U1599" s="734" t="s">
        <v>5754</v>
      </c>
      <c r="V1599" s="735">
        <v>16</v>
      </c>
      <c r="W1599" s="736"/>
      <c r="X1599" s="737"/>
      <c r="Y1599" s="738"/>
      <c r="Z1599" s="739"/>
      <c r="AA1599" s="739"/>
      <c r="AB1599" s="740">
        <v>16</v>
      </c>
      <c r="AC1599" s="741" t="str">
        <f>'DICTIONARY-5'!$A$11&amp;" 20"</f>
        <v>EN 558 szereg 20</v>
      </c>
      <c r="AD1599" s="741" t="str">
        <f>'DICTIONARY-5'!$A$14</f>
        <v>ścieki</v>
      </c>
      <c r="AE1599" s="742">
        <v>80</v>
      </c>
      <c r="AF1599" s="743">
        <v>62</v>
      </c>
      <c r="AG1599" s="741" t="str">
        <f>'DICTIONARY-5'!$A$23</f>
        <v>powłoka epoksydowa</v>
      </c>
    </row>
    <row r="1600" spans="1:33" x14ac:dyDescent="0.25">
      <c r="A1600" s="844" t="s">
        <v>5305</v>
      </c>
      <c r="B1600" s="844" t="s">
        <v>5476</v>
      </c>
      <c r="C1600" s="836">
        <v>1819</v>
      </c>
      <c r="D1600" s="836"/>
      <c r="E1600" s="836"/>
      <c r="F1600" s="836"/>
      <c r="G1600" s="496" t="s">
        <v>7832</v>
      </c>
      <c r="H1600" s="797" t="str">
        <f>VLOOKUP(G1600,SETTINGS!$B$7:$D$97,2,0)</f>
        <v>CEREX 300</v>
      </c>
      <c r="I1600" s="796">
        <f>VLOOKUP(G1600,SETTINGS!$B$7:$D$97,3,0)</f>
        <v>0</v>
      </c>
      <c r="J1600" s="670" t="str">
        <f>IFERROR(IF(CURRENCY.FORMAT_1=0,CONCATENATE(TEXT(FIXED(ROUND((C1600/EXC.RATE_1),CURRENCY.FORMAT_1),CURRENCY.FORMAT_1,1),"# ##0;-# ##0"),",-"),FIXED(ROUND((C1600/EXC.RATE_1),CURRENCY.FORMAT_1),CURRENCY.FORMAT_1,0)),'DICTIONARY-5'!$A$2)</f>
        <v>1 819,-</v>
      </c>
      <c r="K1600" s="670" t="str">
        <f>IF(EXC.RATE_2=0,"",IFERROR(IF(CURRENCY.FORMAT_2=0,CONCATENATE(TEXT(FIXED(ROUND(IF(EXC.RATE.SWITCH=1,C1600/EXC.RATE_2,C1600*EXC.RATE_2),CURRENCY.FORMAT_2),CURRENCY.FORMAT_2,1),"# ##0;-# ##0"),",-"),FIXED(ROUND(IF(EXC.RATE.SWITCH=1,C1600/EXC.RATE_2,C1600*EXC.RATE_2),CURRENCY.FORMAT_2),CURRENCY.FORMAT_2,0)),'DICTIONARY-5'!$A$2))</f>
        <v/>
      </c>
      <c r="L1600" s="670" t="str">
        <f>IFERROR(IF(CURRENCY.FORMAT_1=0,CONCATENATE(TEXT(FIXED(ROUND((C1600*(1-I1600)*(1-ADD.DISCOUNT)*(1+MAT.SURCHARGE)/EXC.RATE_1),CURRENCY.FORMAT_1),CURRENCY.FORMAT_1,1),"# ##0;-# ##0"),",-"),FIXED(ROUND((C1600*(1-I1600)*(1-ADD.DISCOUNT)*(1+MAT.SURCHARGE)/EXC.RATE_1),CURRENCY.FORMAT_1),CURRENCY.FORMAT_1,0)),'DICTIONARY-5'!$A$2)</f>
        <v>1 890,-</v>
      </c>
      <c r="M1600" s="670" t="str">
        <f>IF(EXC.RATE_2=0,"",IFERROR(IF(CURRENCY.FORMAT_2=0,CONCATENATE(TEXT(FIXED(ROUND(IF(EXC.RATE.SWITCH=1,C1600*(1-I1600)*(1-ADD.DISCOUNT)*(1+MAT.SURCHARGE)/EXC.RATE_2,C1600*(1-I1600)*(1-ADD.DISCOUNT)*(1+MAT.SURCHARGE)*EXC.RATE_2),CURRENCY.FORMAT_2),CURRENCY.FORMAT_2,1),"# ##0;-# ##0"),",-"),FIXED(ROUND(IF(EXC.RATE.SWITCH=1,C1600*(1-I1600)*(1-ADD.DISCOUNT)*(1+MAT.SURCHARGE)/EXC.RATE_2,C1600*(1-I1600)*(1-ADD.DISCOUNT)*(1+MAT.SURCHARGE)*EXC.RATE_2),CURRENCY.FORMAT_2),CURRENCY.FORMAT_2,0)),'DICTIONARY-5'!$A$2))</f>
        <v/>
      </c>
      <c r="N1600" s="541">
        <v>6</v>
      </c>
      <c r="O1600" s="654" t="s">
        <v>7363</v>
      </c>
      <c r="P1600" s="731" t="str">
        <f>'DICTIONARY-3'!$A$149</f>
        <v>CEREX 300-W</v>
      </c>
      <c r="Q1600" s="731" t="str">
        <f>'DICTIONARY-3'!$A$204</f>
        <v>Przepustnica kołnierzowa</v>
      </c>
      <c r="R1600" s="732" t="str">
        <f>CONCATENATE('DICTIONARY-3'!$A$149," ",'DICTIONARY-6'!$A$2," ",'DICTIONARY-2'!$A$2,"450"," ",'DICTIONARY-2'!$A$3,"10/16"," ",'DICTIONARY-2'!$A$10,"10",'DICTIONARY-2'!$A$20," ",'DICTIONARY-5'!$A$51,"/",'DICTIONARY-5'!$A$45,", ",'DICTIONARY-4'!$A$2)</f>
        <v>CEREX 300-W Przep. kołnierz. DN450 PN10/16 PS10bar GGG/NBR, WW</v>
      </c>
      <c r="S1600" s="733" t="str">
        <f>'DICTIONARY-4'!$A$2</f>
        <v>WW</v>
      </c>
      <c r="T1600" s="732" t="str">
        <f>'DICTIONARY-4'!$A$18</f>
        <v>Wolny wałek</v>
      </c>
      <c r="U1600" s="734" t="s">
        <v>5755</v>
      </c>
      <c r="V1600" s="735">
        <v>16</v>
      </c>
      <c r="W1600" s="736"/>
      <c r="X1600" s="737"/>
      <c r="Y1600" s="738"/>
      <c r="Z1600" s="739"/>
      <c r="AA1600" s="739"/>
      <c r="AB1600" s="740">
        <v>10</v>
      </c>
      <c r="AC1600" s="741" t="str">
        <f>'DICTIONARY-5'!$A$11&amp;" 20"</f>
        <v>EN 558 szereg 20</v>
      </c>
      <c r="AD1600" s="741" t="str">
        <f>'DICTIONARY-5'!$A$14</f>
        <v>ścieki</v>
      </c>
      <c r="AE1600" s="742">
        <v>80</v>
      </c>
      <c r="AF1600" s="743">
        <v>89.5</v>
      </c>
      <c r="AG1600" s="741" t="str">
        <f>'DICTIONARY-5'!$A$23</f>
        <v>powłoka epoksydowa</v>
      </c>
    </row>
    <row r="1601" spans="1:33" x14ac:dyDescent="0.25">
      <c r="A1601" s="844" t="s">
        <v>5307</v>
      </c>
      <c r="B1601" s="844" t="s">
        <v>5477</v>
      </c>
      <c r="C1601" s="836">
        <v>2146</v>
      </c>
      <c r="D1601" s="836"/>
      <c r="E1601" s="836"/>
      <c r="F1601" s="836"/>
      <c r="G1601" s="496" t="s">
        <v>7832</v>
      </c>
      <c r="H1601" s="797" t="str">
        <f>VLOOKUP(G1601,SETTINGS!$B$7:$D$97,2,0)</f>
        <v>CEREX 300</v>
      </c>
      <c r="I1601" s="796">
        <f>VLOOKUP(G1601,SETTINGS!$B$7:$D$97,3,0)</f>
        <v>0</v>
      </c>
      <c r="J1601" s="670" t="str">
        <f>IFERROR(IF(CURRENCY.FORMAT_1=0,CONCATENATE(TEXT(FIXED(ROUND((C1601/EXC.RATE_1),CURRENCY.FORMAT_1),CURRENCY.FORMAT_1,1),"# ##0;-# ##0"),",-"),FIXED(ROUND((C1601/EXC.RATE_1),CURRENCY.FORMAT_1),CURRENCY.FORMAT_1,0)),'DICTIONARY-5'!$A$2)</f>
        <v>2 146,-</v>
      </c>
      <c r="K1601" s="670" t="str">
        <f>IF(EXC.RATE_2=0,"",IFERROR(IF(CURRENCY.FORMAT_2=0,CONCATENATE(TEXT(FIXED(ROUND(IF(EXC.RATE.SWITCH=1,C1601/EXC.RATE_2,C1601*EXC.RATE_2),CURRENCY.FORMAT_2),CURRENCY.FORMAT_2,1),"# ##0;-# ##0"),",-"),FIXED(ROUND(IF(EXC.RATE.SWITCH=1,C1601/EXC.RATE_2,C1601*EXC.RATE_2),CURRENCY.FORMAT_2),CURRENCY.FORMAT_2,0)),'DICTIONARY-5'!$A$2))</f>
        <v/>
      </c>
      <c r="L1601" s="670" t="str">
        <f>IFERROR(IF(CURRENCY.FORMAT_1=0,CONCATENATE(TEXT(FIXED(ROUND((C1601*(1-I1601)*(1-ADD.DISCOUNT)*(1+MAT.SURCHARGE)/EXC.RATE_1),CURRENCY.FORMAT_1),CURRENCY.FORMAT_1,1),"# ##0;-# ##0"),",-"),FIXED(ROUND((C1601*(1-I1601)*(1-ADD.DISCOUNT)*(1+MAT.SURCHARGE)/EXC.RATE_1),CURRENCY.FORMAT_1),CURRENCY.FORMAT_1,0)),'DICTIONARY-5'!$A$2)</f>
        <v>2 230,-</v>
      </c>
      <c r="M1601" s="670" t="str">
        <f>IF(EXC.RATE_2=0,"",IFERROR(IF(CURRENCY.FORMAT_2=0,CONCATENATE(TEXT(FIXED(ROUND(IF(EXC.RATE.SWITCH=1,C1601*(1-I1601)*(1-ADD.DISCOUNT)*(1+MAT.SURCHARGE)/EXC.RATE_2,C1601*(1-I1601)*(1-ADD.DISCOUNT)*(1+MAT.SURCHARGE)*EXC.RATE_2),CURRENCY.FORMAT_2),CURRENCY.FORMAT_2,1),"# ##0;-# ##0"),",-"),FIXED(ROUND(IF(EXC.RATE.SWITCH=1,C1601*(1-I1601)*(1-ADD.DISCOUNT)*(1+MAT.SURCHARGE)/EXC.RATE_2,C1601*(1-I1601)*(1-ADD.DISCOUNT)*(1+MAT.SURCHARGE)*EXC.RATE_2),CURRENCY.FORMAT_2),CURRENCY.FORMAT_2,0)),'DICTIONARY-5'!$A$2))</f>
        <v/>
      </c>
      <c r="N1601" s="541">
        <v>6</v>
      </c>
      <c r="O1601" s="654" t="s">
        <v>7363</v>
      </c>
      <c r="P1601" s="731" t="str">
        <f>'DICTIONARY-3'!$A$149</f>
        <v>CEREX 300-W</v>
      </c>
      <c r="Q1601" s="731" t="str">
        <f>'DICTIONARY-3'!$A$204</f>
        <v>Przepustnica kołnierzowa</v>
      </c>
      <c r="R1601" s="732" t="str">
        <f>CONCATENATE('DICTIONARY-3'!$A$149," ",'DICTIONARY-6'!$A$2," ",'DICTIONARY-2'!$A$2,"500"," ",'DICTIONARY-2'!$A$3,"10"," ",'DICTIONARY-5'!$A$51,"/",'DICTIONARY-5'!$A$45,", ",'DICTIONARY-4'!$A$2)</f>
        <v>CEREX 300-W Przep. kołnierz. DN500 PN10 GGG/NBR, WW</v>
      </c>
      <c r="S1601" s="733" t="str">
        <f>'DICTIONARY-4'!$A$2</f>
        <v>WW</v>
      </c>
      <c r="T1601" s="732" t="str">
        <f>'DICTIONARY-4'!$A$18</f>
        <v>Wolny wałek</v>
      </c>
      <c r="U1601" s="734" t="s">
        <v>5756</v>
      </c>
      <c r="V1601" s="735">
        <v>10</v>
      </c>
      <c r="W1601" s="736"/>
      <c r="X1601" s="737"/>
      <c r="Y1601" s="738"/>
      <c r="Z1601" s="739"/>
      <c r="AA1601" s="739"/>
      <c r="AB1601" s="740">
        <v>10</v>
      </c>
      <c r="AC1601" s="741" t="str">
        <f>'DICTIONARY-5'!$A$11&amp;" 20"</f>
        <v>EN 558 szereg 20</v>
      </c>
      <c r="AD1601" s="741" t="str">
        <f>'DICTIONARY-5'!$A$14</f>
        <v>ścieki</v>
      </c>
      <c r="AE1601" s="742">
        <v>80</v>
      </c>
      <c r="AF1601" s="743">
        <v>123</v>
      </c>
      <c r="AG1601" s="741" t="str">
        <f>'DICTIONARY-5'!$A$23</f>
        <v>powłoka epoksydowa</v>
      </c>
    </row>
    <row r="1602" spans="1:33" x14ac:dyDescent="0.25">
      <c r="A1602" s="844" t="s">
        <v>5309</v>
      </c>
      <c r="B1602" s="844" t="s">
        <v>5478</v>
      </c>
      <c r="C1602" s="836">
        <v>2144</v>
      </c>
      <c r="D1602" s="836"/>
      <c r="E1602" s="836"/>
      <c r="F1602" s="836"/>
      <c r="G1602" s="496" t="s">
        <v>7832</v>
      </c>
      <c r="H1602" s="797" t="str">
        <f>VLOOKUP(G1602,SETTINGS!$B$7:$D$97,2,0)</f>
        <v>CEREX 300</v>
      </c>
      <c r="I1602" s="796">
        <f>VLOOKUP(G1602,SETTINGS!$B$7:$D$97,3,0)</f>
        <v>0</v>
      </c>
      <c r="J1602" s="670" t="str">
        <f>IFERROR(IF(CURRENCY.FORMAT_1=0,CONCATENATE(TEXT(FIXED(ROUND((C1602/EXC.RATE_1),CURRENCY.FORMAT_1),CURRENCY.FORMAT_1,1),"# ##0;-# ##0"),",-"),FIXED(ROUND((C1602/EXC.RATE_1),CURRENCY.FORMAT_1),CURRENCY.FORMAT_1,0)),'DICTIONARY-5'!$A$2)</f>
        <v>2 144,-</v>
      </c>
      <c r="K1602" s="670" t="str">
        <f>IF(EXC.RATE_2=0,"",IFERROR(IF(CURRENCY.FORMAT_2=0,CONCATENATE(TEXT(FIXED(ROUND(IF(EXC.RATE.SWITCH=1,C1602/EXC.RATE_2,C1602*EXC.RATE_2),CURRENCY.FORMAT_2),CURRENCY.FORMAT_2,1),"# ##0;-# ##0"),",-"),FIXED(ROUND(IF(EXC.RATE.SWITCH=1,C1602/EXC.RATE_2,C1602*EXC.RATE_2),CURRENCY.FORMAT_2),CURRENCY.FORMAT_2,0)),'DICTIONARY-5'!$A$2))</f>
        <v/>
      </c>
      <c r="L1602" s="670" t="str">
        <f>IFERROR(IF(CURRENCY.FORMAT_1=0,CONCATENATE(TEXT(FIXED(ROUND((C1602*(1-I1602)*(1-ADD.DISCOUNT)*(1+MAT.SURCHARGE)/EXC.RATE_1),CURRENCY.FORMAT_1),CURRENCY.FORMAT_1,1),"# ##0;-# ##0"),",-"),FIXED(ROUND((C1602*(1-I1602)*(1-ADD.DISCOUNT)*(1+MAT.SURCHARGE)/EXC.RATE_1),CURRENCY.FORMAT_1),CURRENCY.FORMAT_1,0)),'DICTIONARY-5'!$A$2)</f>
        <v>2 228,-</v>
      </c>
      <c r="M1602" s="670" t="str">
        <f>IF(EXC.RATE_2=0,"",IFERROR(IF(CURRENCY.FORMAT_2=0,CONCATENATE(TEXT(FIXED(ROUND(IF(EXC.RATE.SWITCH=1,C1602*(1-I1602)*(1-ADD.DISCOUNT)*(1+MAT.SURCHARGE)/EXC.RATE_2,C1602*(1-I1602)*(1-ADD.DISCOUNT)*(1+MAT.SURCHARGE)*EXC.RATE_2),CURRENCY.FORMAT_2),CURRENCY.FORMAT_2,1),"# ##0;-# ##0"),",-"),FIXED(ROUND(IF(EXC.RATE.SWITCH=1,C1602*(1-I1602)*(1-ADD.DISCOUNT)*(1+MAT.SURCHARGE)/EXC.RATE_2,C1602*(1-I1602)*(1-ADD.DISCOUNT)*(1+MAT.SURCHARGE)*EXC.RATE_2),CURRENCY.FORMAT_2),CURRENCY.FORMAT_2,0)),'DICTIONARY-5'!$A$2))</f>
        <v/>
      </c>
      <c r="N1602" s="541">
        <v>6</v>
      </c>
      <c r="O1602" s="654" t="s">
        <v>7363</v>
      </c>
      <c r="P1602" s="731" t="str">
        <f>'DICTIONARY-3'!$A$149</f>
        <v>CEREX 300-W</v>
      </c>
      <c r="Q1602" s="731" t="str">
        <f>'DICTIONARY-3'!$A$204</f>
        <v>Przepustnica kołnierzowa</v>
      </c>
      <c r="R1602" s="732" t="str">
        <f>CONCATENATE('DICTIONARY-3'!$A$149," ",'DICTIONARY-6'!$A$2," ",'DICTIONARY-2'!$A$2,"500"," ",'DICTIONARY-2'!$A$3,"16"," ",'DICTIONARY-2'!$A$10,"10",'DICTIONARY-2'!$A$20," ",'DICTIONARY-5'!$A$51,"/",'DICTIONARY-5'!$A$45,", ",'DICTIONARY-4'!$A$2)</f>
        <v>CEREX 300-W Przep. kołnierz. DN500 PN16 PS10bar GGG/NBR, WW</v>
      </c>
      <c r="S1602" s="733" t="str">
        <f>'DICTIONARY-4'!$A$2</f>
        <v>WW</v>
      </c>
      <c r="T1602" s="732" t="str">
        <f>'DICTIONARY-4'!$A$18</f>
        <v>Wolny wałek</v>
      </c>
      <c r="U1602" s="734" t="s">
        <v>5756</v>
      </c>
      <c r="V1602" s="735">
        <v>16</v>
      </c>
      <c r="W1602" s="736"/>
      <c r="X1602" s="737"/>
      <c r="Y1602" s="738"/>
      <c r="Z1602" s="739"/>
      <c r="AA1602" s="739"/>
      <c r="AB1602" s="740">
        <v>10</v>
      </c>
      <c r="AC1602" s="741" t="str">
        <f>'DICTIONARY-5'!$A$11&amp;" 20"</f>
        <v>EN 558 szereg 20</v>
      </c>
      <c r="AD1602" s="741" t="str">
        <f>'DICTIONARY-5'!$A$14</f>
        <v>ścieki</v>
      </c>
      <c r="AE1602" s="742">
        <v>80</v>
      </c>
      <c r="AF1602" s="743">
        <v>122</v>
      </c>
      <c r="AG1602" s="741" t="str">
        <f>'DICTIONARY-5'!$A$23</f>
        <v>powłoka epoksydowa</v>
      </c>
    </row>
    <row r="1603" spans="1:33" x14ac:dyDescent="0.25">
      <c r="A1603" s="844" t="s">
        <v>5311</v>
      </c>
      <c r="B1603" s="844" t="s">
        <v>5479</v>
      </c>
      <c r="C1603" s="836">
        <v>3411</v>
      </c>
      <c r="D1603" s="836"/>
      <c r="E1603" s="836"/>
      <c r="F1603" s="836"/>
      <c r="G1603" s="496" t="s">
        <v>7832</v>
      </c>
      <c r="H1603" s="797" t="str">
        <f>VLOOKUP(G1603,SETTINGS!$B$7:$D$97,2,0)</f>
        <v>CEREX 300</v>
      </c>
      <c r="I1603" s="796">
        <f>VLOOKUP(G1603,SETTINGS!$B$7:$D$97,3,0)</f>
        <v>0</v>
      </c>
      <c r="J1603" s="670" t="str">
        <f>IFERROR(IF(CURRENCY.FORMAT_1=0,CONCATENATE(TEXT(FIXED(ROUND((C1603/EXC.RATE_1),CURRENCY.FORMAT_1),CURRENCY.FORMAT_1,1),"# ##0;-# ##0"),",-"),FIXED(ROUND((C1603/EXC.RATE_1),CURRENCY.FORMAT_1),CURRENCY.FORMAT_1,0)),'DICTIONARY-5'!$A$2)</f>
        <v>3 411,-</v>
      </c>
      <c r="K1603" s="670" t="str">
        <f>IF(EXC.RATE_2=0,"",IFERROR(IF(CURRENCY.FORMAT_2=0,CONCATENATE(TEXT(FIXED(ROUND(IF(EXC.RATE.SWITCH=1,C1603/EXC.RATE_2,C1603*EXC.RATE_2),CURRENCY.FORMAT_2),CURRENCY.FORMAT_2,1),"# ##0;-# ##0"),",-"),FIXED(ROUND(IF(EXC.RATE.SWITCH=1,C1603/EXC.RATE_2,C1603*EXC.RATE_2),CURRENCY.FORMAT_2),CURRENCY.FORMAT_2,0)),'DICTIONARY-5'!$A$2))</f>
        <v/>
      </c>
      <c r="L1603" s="670" t="str">
        <f>IFERROR(IF(CURRENCY.FORMAT_1=0,CONCATENATE(TEXT(FIXED(ROUND((C1603*(1-I1603)*(1-ADD.DISCOUNT)*(1+MAT.SURCHARGE)/EXC.RATE_1),CURRENCY.FORMAT_1),CURRENCY.FORMAT_1,1),"# ##0;-# ##0"),",-"),FIXED(ROUND((C1603*(1-I1603)*(1-ADD.DISCOUNT)*(1+MAT.SURCHARGE)/EXC.RATE_1),CURRENCY.FORMAT_1),CURRENCY.FORMAT_1,0)),'DICTIONARY-5'!$A$2)</f>
        <v>3 544,-</v>
      </c>
      <c r="M1603" s="670" t="str">
        <f>IF(EXC.RATE_2=0,"",IFERROR(IF(CURRENCY.FORMAT_2=0,CONCATENATE(TEXT(FIXED(ROUND(IF(EXC.RATE.SWITCH=1,C1603*(1-I1603)*(1-ADD.DISCOUNT)*(1+MAT.SURCHARGE)/EXC.RATE_2,C1603*(1-I1603)*(1-ADD.DISCOUNT)*(1+MAT.SURCHARGE)*EXC.RATE_2),CURRENCY.FORMAT_2),CURRENCY.FORMAT_2,1),"# ##0;-# ##0"),",-"),FIXED(ROUND(IF(EXC.RATE.SWITCH=1,C1603*(1-I1603)*(1-ADD.DISCOUNT)*(1+MAT.SURCHARGE)/EXC.RATE_2,C1603*(1-I1603)*(1-ADD.DISCOUNT)*(1+MAT.SURCHARGE)*EXC.RATE_2),CURRENCY.FORMAT_2),CURRENCY.FORMAT_2,0)),'DICTIONARY-5'!$A$2))</f>
        <v/>
      </c>
      <c r="N1603" s="541">
        <v>6</v>
      </c>
      <c r="O1603" s="654" t="s">
        <v>7363</v>
      </c>
      <c r="P1603" s="731" t="str">
        <f>'DICTIONARY-3'!$A$149</f>
        <v>CEREX 300-W</v>
      </c>
      <c r="Q1603" s="731" t="str">
        <f>'DICTIONARY-3'!$A$204</f>
        <v>Przepustnica kołnierzowa</v>
      </c>
      <c r="R1603" s="732" t="str">
        <f>CONCATENATE('DICTIONARY-3'!$A$149," ",'DICTIONARY-6'!$A$2," ",'DICTIONARY-2'!$A$2,"600"," ",'DICTIONARY-2'!$A$3,"10"," ",'DICTIONARY-5'!$A$51,"/",'DICTIONARY-5'!$A$45,", ",'DICTIONARY-4'!$A$2)</f>
        <v>CEREX 300-W Przep. kołnierz. DN600 PN10 GGG/NBR, WW</v>
      </c>
      <c r="S1603" s="733" t="str">
        <f>'DICTIONARY-4'!$A$2</f>
        <v>WW</v>
      </c>
      <c r="T1603" s="732" t="str">
        <f>'DICTIONARY-4'!$A$18</f>
        <v>Wolny wałek</v>
      </c>
      <c r="U1603" s="734" t="s">
        <v>5757</v>
      </c>
      <c r="V1603" s="735">
        <v>10</v>
      </c>
      <c r="W1603" s="736"/>
      <c r="X1603" s="737"/>
      <c r="Y1603" s="738"/>
      <c r="Z1603" s="739"/>
      <c r="AA1603" s="739"/>
      <c r="AB1603" s="740">
        <v>10</v>
      </c>
      <c r="AC1603" s="741" t="str">
        <f>'DICTIONARY-5'!$A$11&amp;" 20"</f>
        <v>EN 558 szereg 20</v>
      </c>
      <c r="AD1603" s="741" t="str">
        <f>'DICTIONARY-5'!$A$14</f>
        <v>ścieki</v>
      </c>
      <c r="AE1603" s="742">
        <v>80</v>
      </c>
      <c r="AF1603" s="743">
        <v>190</v>
      </c>
      <c r="AG1603" s="741" t="str">
        <f>'DICTIONARY-5'!$A$23</f>
        <v>powłoka epoksydowa</v>
      </c>
    </row>
    <row r="1604" spans="1:33" x14ac:dyDescent="0.25">
      <c r="A1604" s="844" t="s">
        <v>5313</v>
      </c>
      <c r="B1604" s="844" t="s">
        <v>5480</v>
      </c>
      <c r="C1604" s="836">
        <v>3406</v>
      </c>
      <c r="D1604" s="836"/>
      <c r="E1604" s="836"/>
      <c r="F1604" s="836"/>
      <c r="G1604" s="496" t="s">
        <v>7832</v>
      </c>
      <c r="H1604" s="797" t="str">
        <f>VLOOKUP(G1604,SETTINGS!$B$7:$D$97,2,0)</f>
        <v>CEREX 300</v>
      </c>
      <c r="I1604" s="796">
        <f>VLOOKUP(G1604,SETTINGS!$B$7:$D$97,3,0)</f>
        <v>0</v>
      </c>
      <c r="J1604" s="670" t="str">
        <f>IFERROR(IF(CURRENCY.FORMAT_1=0,CONCATENATE(TEXT(FIXED(ROUND((C1604/EXC.RATE_1),CURRENCY.FORMAT_1),CURRENCY.FORMAT_1,1),"# ##0;-# ##0"),",-"),FIXED(ROUND((C1604/EXC.RATE_1),CURRENCY.FORMAT_1),CURRENCY.FORMAT_1,0)),'DICTIONARY-5'!$A$2)</f>
        <v>3 406,-</v>
      </c>
      <c r="K1604" s="670" t="str">
        <f>IF(EXC.RATE_2=0,"",IFERROR(IF(CURRENCY.FORMAT_2=0,CONCATENATE(TEXT(FIXED(ROUND(IF(EXC.RATE.SWITCH=1,C1604/EXC.RATE_2,C1604*EXC.RATE_2),CURRENCY.FORMAT_2),CURRENCY.FORMAT_2,1),"# ##0;-# ##0"),",-"),FIXED(ROUND(IF(EXC.RATE.SWITCH=1,C1604/EXC.RATE_2,C1604*EXC.RATE_2),CURRENCY.FORMAT_2),CURRENCY.FORMAT_2,0)),'DICTIONARY-5'!$A$2))</f>
        <v/>
      </c>
      <c r="L1604" s="670" t="str">
        <f>IFERROR(IF(CURRENCY.FORMAT_1=0,CONCATENATE(TEXT(FIXED(ROUND((C1604*(1-I1604)*(1-ADD.DISCOUNT)*(1+MAT.SURCHARGE)/EXC.RATE_1),CURRENCY.FORMAT_1),CURRENCY.FORMAT_1,1),"# ##0;-# ##0"),",-"),FIXED(ROUND((C1604*(1-I1604)*(1-ADD.DISCOUNT)*(1+MAT.SURCHARGE)/EXC.RATE_1),CURRENCY.FORMAT_1),CURRENCY.FORMAT_1,0)),'DICTIONARY-5'!$A$2)</f>
        <v>3 539,-</v>
      </c>
      <c r="M1604" s="670" t="str">
        <f>IF(EXC.RATE_2=0,"",IFERROR(IF(CURRENCY.FORMAT_2=0,CONCATENATE(TEXT(FIXED(ROUND(IF(EXC.RATE.SWITCH=1,C1604*(1-I1604)*(1-ADD.DISCOUNT)*(1+MAT.SURCHARGE)/EXC.RATE_2,C1604*(1-I1604)*(1-ADD.DISCOUNT)*(1+MAT.SURCHARGE)*EXC.RATE_2),CURRENCY.FORMAT_2),CURRENCY.FORMAT_2,1),"# ##0;-# ##0"),",-"),FIXED(ROUND(IF(EXC.RATE.SWITCH=1,C1604*(1-I1604)*(1-ADD.DISCOUNT)*(1+MAT.SURCHARGE)/EXC.RATE_2,C1604*(1-I1604)*(1-ADD.DISCOUNT)*(1+MAT.SURCHARGE)*EXC.RATE_2),CURRENCY.FORMAT_2),CURRENCY.FORMAT_2,0)),'DICTIONARY-5'!$A$2))</f>
        <v/>
      </c>
      <c r="N1604" s="541">
        <v>6</v>
      </c>
      <c r="O1604" s="654" t="s">
        <v>7363</v>
      </c>
      <c r="P1604" s="731" t="str">
        <f>'DICTIONARY-3'!$A$149</f>
        <v>CEREX 300-W</v>
      </c>
      <c r="Q1604" s="731" t="str">
        <f>'DICTIONARY-3'!$A$204</f>
        <v>Przepustnica kołnierzowa</v>
      </c>
      <c r="R1604" s="732" t="str">
        <f>CONCATENATE('DICTIONARY-3'!$A$149," ",'DICTIONARY-6'!$A$2," ",'DICTIONARY-2'!$A$2,"600"," ",'DICTIONARY-2'!$A$3,"16"," ",'DICTIONARY-2'!$A$10,"10",'DICTIONARY-2'!$A$20," ",'DICTIONARY-5'!$A$51,"/",'DICTIONARY-5'!$A$45,", ",'DICTIONARY-4'!$A$2)</f>
        <v>CEREX 300-W Przep. kołnierz. DN600 PN16 PS10bar GGG/NBR, WW</v>
      </c>
      <c r="S1604" s="733" t="str">
        <f>'DICTIONARY-4'!$A$2</f>
        <v>WW</v>
      </c>
      <c r="T1604" s="732" t="str">
        <f>'DICTIONARY-4'!$A$18</f>
        <v>Wolny wałek</v>
      </c>
      <c r="U1604" s="734" t="s">
        <v>5757</v>
      </c>
      <c r="V1604" s="735">
        <v>16</v>
      </c>
      <c r="W1604" s="736"/>
      <c r="X1604" s="737"/>
      <c r="Y1604" s="738"/>
      <c r="Z1604" s="739"/>
      <c r="AA1604" s="739"/>
      <c r="AB1604" s="740">
        <v>10</v>
      </c>
      <c r="AC1604" s="741" t="str">
        <f>'DICTIONARY-5'!$A$11&amp;" 20"</f>
        <v>EN 558 szereg 20</v>
      </c>
      <c r="AD1604" s="741" t="str">
        <f>'DICTIONARY-5'!$A$14</f>
        <v>ścieki</v>
      </c>
      <c r="AE1604" s="742">
        <v>80</v>
      </c>
      <c r="AF1604" s="743">
        <v>189</v>
      </c>
      <c r="AG1604" s="741" t="str">
        <f>'DICTIONARY-5'!$A$23</f>
        <v>powłoka epoksydowa</v>
      </c>
    </row>
    <row r="1605" spans="1:33" x14ac:dyDescent="0.25">
      <c r="A1605" s="844" t="s">
        <v>5284</v>
      </c>
      <c r="B1605" s="844" t="s">
        <v>5481</v>
      </c>
      <c r="C1605" s="836">
        <v>140</v>
      </c>
      <c r="D1605" s="836"/>
      <c r="E1605" s="836"/>
      <c r="F1605" s="836"/>
      <c r="G1605" s="496" t="s">
        <v>7832</v>
      </c>
      <c r="H1605" s="797" t="str">
        <f>VLOOKUP(G1605,SETTINGS!$B$7:$D$97,2,0)</f>
        <v>CEREX 300</v>
      </c>
      <c r="I1605" s="796">
        <f>VLOOKUP(G1605,SETTINGS!$B$7:$D$97,3,0)</f>
        <v>0</v>
      </c>
      <c r="J1605" s="670" t="str">
        <f>IFERROR(IF(CURRENCY.FORMAT_1=0,CONCATENATE(TEXT(FIXED(ROUND((C1605/EXC.RATE_1),CURRENCY.FORMAT_1),CURRENCY.FORMAT_1,1),"# ##0;-# ##0"),",-"),FIXED(ROUND((C1605/EXC.RATE_1),CURRENCY.FORMAT_1),CURRENCY.FORMAT_1,0)),'DICTIONARY-5'!$A$2)</f>
        <v>140,-</v>
      </c>
      <c r="K1605" s="670" t="str">
        <f>IF(EXC.RATE_2=0,"",IFERROR(IF(CURRENCY.FORMAT_2=0,CONCATENATE(TEXT(FIXED(ROUND(IF(EXC.RATE.SWITCH=1,C1605/EXC.RATE_2,C1605*EXC.RATE_2),CURRENCY.FORMAT_2),CURRENCY.FORMAT_2,1),"# ##0;-# ##0"),",-"),FIXED(ROUND(IF(EXC.RATE.SWITCH=1,C1605/EXC.RATE_2,C1605*EXC.RATE_2),CURRENCY.FORMAT_2),CURRENCY.FORMAT_2,0)),'DICTIONARY-5'!$A$2))</f>
        <v/>
      </c>
      <c r="L1605" s="670" t="str">
        <f>IFERROR(IF(CURRENCY.FORMAT_1=0,CONCATENATE(TEXT(FIXED(ROUND((C1605*(1-I1605)*(1-ADD.DISCOUNT)*(1+MAT.SURCHARGE)/EXC.RATE_1),CURRENCY.FORMAT_1),CURRENCY.FORMAT_1,1),"# ##0;-# ##0"),",-"),FIXED(ROUND((C1605*(1-I1605)*(1-ADD.DISCOUNT)*(1+MAT.SURCHARGE)/EXC.RATE_1),CURRENCY.FORMAT_1),CURRENCY.FORMAT_1,0)),'DICTIONARY-5'!$A$2)</f>
        <v>145,-</v>
      </c>
      <c r="M1605" s="670" t="str">
        <f>IF(EXC.RATE_2=0,"",IFERROR(IF(CURRENCY.FORMAT_2=0,CONCATENATE(TEXT(FIXED(ROUND(IF(EXC.RATE.SWITCH=1,C1605*(1-I1605)*(1-ADD.DISCOUNT)*(1+MAT.SURCHARGE)/EXC.RATE_2,C1605*(1-I1605)*(1-ADD.DISCOUNT)*(1+MAT.SURCHARGE)*EXC.RATE_2),CURRENCY.FORMAT_2),CURRENCY.FORMAT_2,1),"# ##0;-# ##0"),",-"),FIXED(ROUND(IF(EXC.RATE.SWITCH=1,C1605*(1-I1605)*(1-ADD.DISCOUNT)*(1+MAT.SURCHARGE)/EXC.RATE_2,C1605*(1-I1605)*(1-ADD.DISCOUNT)*(1+MAT.SURCHARGE)*EXC.RATE_2),CURRENCY.FORMAT_2),CURRENCY.FORMAT_2,0)),'DICTIONARY-5'!$A$2))</f>
        <v/>
      </c>
      <c r="N1605" s="541">
        <v>6</v>
      </c>
      <c r="O1605" s="654" t="s">
        <v>7363</v>
      </c>
      <c r="P1605" s="731" t="str">
        <f>'DICTIONARY-3'!$A$149</f>
        <v>CEREX 300-W</v>
      </c>
      <c r="Q1605" s="731" t="str">
        <f>'DICTIONARY-3'!$A$204</f>
        <v>Przepustnica kołnierzowa</v>
      </c>
      <c r="R1605" s="732" t="str">
        <f>CONCATENATE('DICTIONARY-3'!$A$149," ",'DICTIONARY-6'!$A$2," ",UPPER('DICTIONARY-5'!$A$18)," ",'DICTIONARY-2'!$A$2,"50"," ",'DICTIONARY-2'!$A$3,"10/16"," ",'DICTIONARY-5'!$A$37,"/",'DICTIONARY-5'!$A$45,", ",'DICTIONARY-4'!$A$2)</f>
        <v>CEREX 300-W Przep. kołnierz. GAZ DN50 PN10/16 CF8M/NBR, WW</v>
      </c>
      <c r="S1605" s="733" t="str">
        <f>'DICTIONARY-4'!$A$2</f>
        <v>WW</v>
      </c>
      <c r="T1605" s="732" t="str">
        <f>'DICTIONARY-4'!$A$18</f>
        <v>Wolny wałek</v>
      </c>
      <c r="U1605" s="734" t="s">
        <v>5748</v>
      </c>
      <c r="V1605" s="735">
        <v>16</v>
      </c>
      <c r="W1605" s="736"/>
      <c r="X1605" s="737"/>
      <c r="Y1605" s="738"/>
      <c r="Z1605" s="739"/>
      <c r="AA1605" s="739"/>
      <c r="AB1605" s="740">
        <v>16</v>
      </c>
      <c r="AC1605" s="741" t="str">
        <f>'DICTIONARY-5'!$A$11&amp;" 20"</f>
        <v>EN 558 szereg 20</v>
      </c>
      <c r="AD1605" s="733" t="str">
        <f>'DICTIONARY-5'!$A$18&amp;", "&amp;'DICTIONARY-5'!$A$14</f>
        <v>gaz, ścieki</v>
      </c>
      <c r="AE1605" s="742">
        <v>80</v>
      </c>
      <c r="AF1605" s="743">
        <v>2.5</v>
      </c>
      <c r="AG1605" s="741" t="str">
        <f>'DICTIONARY-5'!$A$23</f>
        <v>powłoka epoksydowa</v>
      </c>
    </row>
    <row r="1606" spans="1:33" x14ac:dyDescent="0.25">
      <c r="A1606" s="844" t="s">
        <v>5286</v>
      </c>
      <c r="B1606" s="844" t="s">
        <v>5482</v>
      </c>
      <c r="C1606" s="836">
        <v>155</v>
      </c>
      <c r="D1606" s="836"/>
      <c r="E1606" s="836"/>
      <c r="F1606" s="836"/>
      <c r="G1606" s="496" t="s">
        <v>7832</v>
      </c>
      <c r="H1606" s="797" t="str">
        <f>VLOOKUP(G1606,SETTINGS!$B$7:$D$97,2,0)</f>
        <v>CEREX 300</v>
      </c>
      <c r="I1606" s="796">
        <f>VLOOKUP(G1606,SETTINGS!$B$7:$D$97,3,0)</f>
        <v>0</v>
      </c>
      <c r="J1606" s="670" t="str">
        <f>IFERROR(IF(CURRENCY.FORMAT_1=0,CONCATENATE(TEXT(FIXED(ROUND((C1606/EXC.RATE_1),CURRENCY.FORMAT_1),CURRENCY.FORMAT_1,1),"# ##0;-# ##0"),",-"),FIXED(ROUND((C1606/EXC.RATE_1),CURRENCY.FORMAT_1),CURRENCY.FORMAT_1,0)),'DICTIONARY-5'!$A$2)</f>
        <v>155,-</v>
      </c>
      <c r="K1606" s="670" t="str">
        <f>IF(EXC.RATE_2=0,"",IFERROR(IF(CURRENCY.FORMAT_2=0,CONCATENATE(TEXT(FIXED(ROUND(IF(EXC.RATE.SWITCH=1,C1606/EXC.RATE_2,C1606*EXC.RATE_2),CURRENCY.FORMAT_2),CURRENCY.FORMAT_2,1),"# ##0;-# ##0"),",-"),FIXED(ROUND(IF(EXC.RATE.SWITCH=1,C1606/EXC.RATE_2,C1606*EXC.RATE_2),CURRENCY.FORMAT_2),CURRENCY.FORMAT_2,0)),'DICTIONARY-5'!$A$2))</f>
        <v/>
      </c>
      <c r="L1606" s="670" t="str">
        <f>IFERROR(IF(CURRENCY.FORMAT_1=0,CONCATENATE(TEXT(FIXED(ROUND((C1606*(1-I1606)*(1-ADD.DISCOUNT)*(1+MAT.SURCHARGE)/EXC.RATE_1),CURRENCY.FORMAT_1),CURRENCY.FORMAT_1,1),"# ##0;-# ##0"),",-"),FIXED(ROUND((C1606*(1-I1606)*(1-ADD.DISCOUNT)*(1+MAT.SURCHARGE)/EXC.RATE_1),CURRENCY.FORMAT_1),CURRENCY.FORMAT_1,0)),'DICTIONARY-5'!$A$2)</f>
        <v>161,-</v>
      </c>
      <c r="M1606" s="670" t="str">
        <f>IF(EXC.RATE_2=0,"",IFERROR(IF(CURRENCY.FORMAT_2=0,CONCATENATE(TEXT(FIXED(ROUND(IF(EXC.RATE.SWITCH=1,C1606*(1-I1606)*(1-ADD.DISCOUNT)*(1+MAT.SURCHARGE)/EXC.RATE_2,C1606*(1-I1606)*(1-ADD.DISCOUNT)*(1+MAT.SURCHARGE)*EXC.RATE_2),CURRENCY.FORMAT_2),CURRENCY.FORMAT_2,1),"# ##0;-# ##0"),",-"),FIXED(ROUND(IF(EXC.RATE.SWITCH=1,C1606*(1-I1606)*(1-ADD.DISCOUNT)*(1+MAT.SURCHARGE)/EXC.RATE_2,C1606*(1-I1606)*(1-ADD.DISCOUNT)*(1+MAT.SURCHARGE)*EXC.RATE_2),CURRENCY.FORMAT_2),CURRENCY.FORMAT_2,0)),'DICTIONARY-5'!$A$2))</f>
        <v/>
      </c>
      <c r="N1606" s="541">
        <v>6</v>
      </c>
      <c r="O1606" s="654" t="s">
        <v>7363</v>
      </c>
      <c r="P1606" s="731" t="str">
        <f>'DICTIONARY-3'!$A$149</f>
        <v>CEREX 300-W</v>
      </c>
      <c r="Q1606" s="731" t="str">
        <f>'DICTIONARY-3'!$A$204</f>
        <v>Przepustnica kołnierzowa</v>
      </c>
      <c r="R1606" s="732" t="str">
        <f>CONCATENATE('DICTIONARY-3'!$A$149," ",'DICTIONARY-6'!$A$2," ",UPPER('DICTIONARY-5'!$A$18)," ",'DICTIONARY-2'!$A$2,"65"," ",'DICTIONARY-2'!$A$3,"10/16"," ",'DICTIONARY-5'!$A$37,"/",'DICTIONARY-5'!$A$45,", ",'DICTIONARY-4'!$A$2)</f>
        <v>CEREX 300-W Przep. kołnierz. GAZ DN65 PN10/16 CF8M/NBR, WW</v>
      </c>
      <c r="S1606" s="733" t="str">
        <f>'DICTIONARY-4'!$A$2</f>
        <v>WW</v>
      </c>
      <c r="T1606" s="732" t="str">
        <f>'DICTIONARY-4'!$A$18</f>
        <v>Wolny wałek</v>
      </c>
      <c r="U1606" s="734" t="s">
        <v>5759</v>
      </c>
      <c r="V1606" s="735">
        <v>16</v>
      </c>
      <c r="W1606" s="736"/>
      <c r="X1606" s="737"/>
      <c r="Y1606" s="738"/>
      <c r="Z1606" s="739"/>
      <c r="AA1606" s="739"/>
      <c r="AB1606" s="740">
        <v>16</v>
      </c>
      <c r="AC1606" s="741" t="str">
        <f>'DICTIONARY-5'!$A$11&amp;" 20"</f>
        <v>EN 558 szereg 20</v>
      </c>
      <c r="AD1606" s="733" t="str">
        <f>'DICTIONARY-5'!$A$18&amp;", "&amp;'DICTIONARY-5'!$A$14</f>
        <v>gaz, ścieki</v>
      </c>
      <c r="AE1606" s="742">
        <v>80</v>
      </c>
      <c r="AF1606" s="743">
        <v>3</v>
      </c>
      <c r="AG1606" s="741" t="str">
        <f>'DICTIONARY-5'!$A$23</f>
        <v>powłoka epoksydowa</v>
      </c>
    </row>
    <row r="1607" spans="1:33" x14ac:dyDescent="0.25">
      <c r="A1607" s="844" t="s">
        <v>5288</v>
      </c>
      <c r="B1607" s="844" t="s">
        <v>5483</v>
      </c>
      <c r="C1607" s="836">
        <v>163</v>
      </c>
      <c r="D1607" s="836"/>
      <c r="E1607" s="836"/>
      <c r="F1607" s="836"/>
      <c r="G1607" s="496" t="s">
        <v>7832</v>
      </c>
      <c r="H1607" s="797" t="str">
        <f>VLOOKUP(G1607,SETTINGS!$B$7:$D$97,2,0)</f>
        <v>CEREX 300</v>
      </c>
      <c r="I1607" s="796">
        <f>VLOOKUP(G1607,SETTINGS!$B$7:$D$97,3,0)</f>
        <v>0</v>
      </c>
      <c r="J1607" s="670" t="str">
        <f>IFERROR(IF(CURRENCY.FORMAT_1=0,CONCATENATE(TEXT(FIXED(ROUND((C1607/EXC.RATE_1),CURRENCY.FORMAT_1),CURRENCY.FORMAT_1,1),"# ##0;-# ##0"),",-"),FIXED(ROUND((C1607/EXC.RATE_1),CURRENCY.FORMAT_1),CURRENCY.FORMAT_1,0)),'DICTIONARY-5'!$A$2)</f>
        <v>163,-</v>
      </c>
      <c r="K1607" s="670" t="str">
        <f>IF(EXC.RATE_2=0,"",IFERROR(IF(CURRENCY.FORMAT_2=0,CONCATENATE(TEXT(FIXED(ROUND(IF(EXC.RATE.SWITCH=1,C1607/EXC.RATE_2,C1607*EXC.RATE_2),CURRENCY.FORMAT_2),CURRENCY.FORMAT_2,1),"# ##0;-# ##0"),",-"),FIXED(ROUND(IF(EXC.RATE.SWITCH=1,C1607/EXC.RATE_2,C1607*EXC.RATE_2),CURRENCY.FORMAT_2),CURRENCY.FORMAT_2,0)),'DICTIONARY-5'!$A$2))</f>
        <v/>
      </c>
      <c r="L1607" s="670" t="str">
        <f>IFERROR(IF(CURRENCY.FORMAT_1=0,CONCATENATE(TEXT(FIXED(ROUND((C1607*(1-I1607)*(1-ADD.DISCOUNT)*(1+MAT.SURCHARGE)/EXC.RATE_1),CURRENCY.FORMAT_1),CURRENCY.FORMAT_1,1),"# ##0;-# ##0"),",-"),FIXED(ROUND((C1607*(1-I1607)*(1-ADD.DISCOUNT)*(1+MAT.SURCHARGE)/EXC.RATE_1),CURRENCY.FORMAT_1),CURRENCY.FORMAT_1,0)),'DICTIONARY-5'!$A$2)</f>
        <v>169,-</v>
      </c>
      <c r="M1607" s="670" t="str">
        <f>IF(EXC.RATE_2=0,"",IFERROR(IF(CURRENCY.FORMAT_2=0,CONCATENATE(TEXT(FIXED(ROUND(IF(EXC.RATE.SWITCH=1,C1607*(1-I1607)*(1-ADD.DISCOUNT)*(1+MAT.SURCHARGE)/EXC.RATE_2,C1607*(1-I1607)*(1-ADD.DISCOUNT)*(1+MAT.SURCHARGE)*EXC.RATE_2),CURRENCY.FORMAT_2),CURRENCY.FORMAT_2,1),"# ##0;-# ##0"),",-"),FIXED(ROUND(IF(EXC.RATE.SWITCH=1,C1607*(1-I1607)*(1-ADD.DISCOUNT)*(1+MAT.SURCHARGE)/EXC.RATE_2,C1607*(1-I1607)*(1-ADD.DISCOUNT)*(1+MAT.SURCHARGE)*EXC.RATE_2),CURRENCY.FORMAT_2),CURRENCY.FORMAT_2,0)),'DICTIONARY-5'!$A$2))</f>
        <v/>
      </c>
      <c r="N1607" s="541">
        <v>6</v>
      </c>
      <c r="O1607" s="654" t="s">
        <v>7363</v>
      </c>
      <c r="P1607" s="731" t="str">
        <f>'DICTIONARY-3'!$A$149</f>
        <v>CEREX 300-W</v>
      </c>
      <c r="Q1607" s="731" t="str">
        <f>'DICTIONARY-3'!$A$204</f>
        <v>Przepustnica kołnierzowa</v>
      </c>
      <c r="R1607" s="732" t="str">
        <f>CONCATENATE('DICTIONARY-3'!$A$149," ",'DICTIONARY-6'!$A$2," ",UPPER('DICTIONARY-5'!$A$18)," ",'DICTIONARY-2'!$A$2,"80"," ",'DICTIONARY-2'!$A$3,"10/16"," ",'DICTIONARY-5'!$A$37,"/",'DICTIONARY-5'!$A$45,", ",'DICTIONARY-4'!$A$2)</f>
        <v>CEREX 300-W Przep. kołnierz. GAZ DN80 PN10/16 CF8M/NBR, WW</v>
      </c>
      <c r="S1607" s="733" t="str">
        <f>'DICTIONARY-4'!$A$2</f>
        <v>WW</v>
      </c>
      <c r="T1607" s="732" t="str">
        <f>'DICTIONARY-4'!$A$18</f>
        <v>Wolny wałek</v>
      </c>
      <c r="U1607" s="734" t="s">
        <v>5760</v>
      </c>
      <c r="V1607" s="735">
        <v>16</v>
      </c>
      <c r="W1607" s="736"/>
      <c r="X1607" s="737"/>
      <c r="Y1607" s="738"/>
      <c r="Z1607" s="739"/>
      <c r="AA1607" s="739"/>
      <c r="AB1607" s="740">
        <v>16</v>
      </c>
      <c r="AC1607" s="741" t="str">
        <f>'DICTIONARY-5'!$A$11&amp;" 20"</f>
        <v>EN 558 szereg 20</v>
      </c>
      <c r="AD1607" s="733" t="str">
        <f>'DICTIONARY-5'!$A$18&amp;", "&amp;'DICTIONARY-5'!$A$14</f>
        <v>gaz, ścieki</v>
      </c>
      <c r="AE1607" s="742">
        <v>80</v>
      </c>
      <c r="AF1607" s="743">
        <v>3.5</v>
      </c>
      <c r="AG1607" s="741" t="str">
        <f>'DICTIONARY-5'!$A$23</f>
        <v>powłoka epoksydowa</v>
      </c>
    </row>
    <row r="1608" spans="1:33" x14ac:dyDescent="0.25">
      <c r="A1608" s="844" t="s">
        <v>5290</v>
      </c>
      <c r="B1608" s="844" t="s">
        <v>5484</v>
      </c>
      <c r="C1608" s="836">
        <v>204</v>
      </c>
      <c r="D1608" s="836"/>
      <c r="E1608" s="836"/>
      <c r="F1608" s="836"/>
      <c r="G1608" s="496" t="s">
        <v>7832</v>
      </c>
      <c r="H1608" s="797" t="str">
        <f>VLOOKUP(G1608,SETTINGS!$B$7:$D$97,2,0)</f>
        <v>CEREX 300</v>
      </c>
      <c r="I1608" s="796">
        <f>VLOOKUP(G1608,SETTINGS!$B$7:$D$97,3,0)</f>
        <v>0</v>
      </c>
      <c r="J1608" s="670" t="str">
        <f>IFERROR(IF(CURRENCY.FORMAT_1=0,CONCATENATE(TEXT(FIXED(ROUND((C1608/EXC.RATE_1),CURRENCY.FORMAT_1),CURRENCY.FORMAT_1,1),"# ##0;-# ##0"),",-"),FIXED(ROUND((C1608/EXC.RATE_1),CURRENCY.FORMAT_1),CURRENCY.FORMAT_1,0)),'DICTIONARY-5'!$A$2)</f>
        <v>204,-</v>
      </c>
      <c r="K1608" s="670" t="str">
        <f>IF(EXC.RATE_2=0,"",IFERROR(IF(CURRENCY.FORMAT_2=0,CONCATENATE(TEXT(FIXED(ROUND(IF(EXC.RATE.SWITCH=1,C1608/EXC.RATE_2,C1608*EXC.RATE_2),CURRENCY.FORMAT_2),CURRENCY.FORMAT_2,1),"# ##0;-# ##0"),",-"),FIXED(ROUND(IF(EXC.RATE.SWITCH=1,C1608/EXC.RATE_2,C1608*EXC.RATE_2),CURRENCY.FORMAT_2),CURRENCY.FORMAT_2,0)),'DICTIONARY-5'!$A$2))</f>
        <v/>
      </c>
      <c r="L1608" s="670" t="str">
        <f>IFERROR(IF(CURRENCY.FORMAT_1=0,CONCATENATE(TEXT(FIXED(ROUND((C1608*(1-I1608)*(1-ADD.DISCOUNT)*(1+MAT.SURCHARGE)/EXC.RATE_1),CURRENCY.FORMAT_1),CURRENCY.FORMAT_1,1),"# ##0;-# ##0"),",-"),FIXED(ROUND((C1608*(1-I1608)*(1-ADD.DISCOUNT)*(1+MAT.SURCHARGE)/EXC.RATE_1),CURRENCY.FORMAT_1),CURRENCY.FORMAT_1,0)),'DICTIONARY-5'!$A$2)</f>
        <v>212,-</v>
      </c>
      <c r="M1608" s="670" t="str">
        <f>IF(EXC.RATE_2=0,"",IFERROR(IF(CURRENCY.FORMAT_2=0,CONCATENATE(TEXT(FIXED(ROUND(IF(EXC.RATE.SWITCH=1,C1608*(1-I1608)*(1-ADD.DISCOUNT)*(1+MAT.SURCHARGE)/EXC.RATE_2,C1608*(1-I1608)*(1-ADD.DISCOUNT)*(1+MAT.SURCHARGE)*EXC.RATE_2),CURRENCY.FORMAT_2),CURRENCY.FORMAT_2,1),"# ##0;-# ##0"),",-"),FIXED(ROUND(IF(EXC.RATE.SWITCH=1,C1608*(1-I1608)*(1-ADD.DISCOUNT)*(1+MAT.SURCHARGE)/EXC.RATE_2,C1608*(1-I1608)*(1-ADD.DISCOUNT)*(1+MAT.SURCHARGE)*EXC.RATE_2),CURRENCY.FORMAT_2),CURRENCY.FORMAT_2,0)),'DICTIONARY-5'!$A$2))</f>
        <v/>
      </c>
      <c r="N1608" s="541">
        <v>6</v>
      </c>
      <c r="O1608" s="654" t="s">
        <v>7363</v>
      </c>
      <c r="P1608" s="731" t="str">
        <f>'DICTIONARY-3'!$A$149</f>
        <v>CEREX 300-W</v>
      </c>
      <c r="Q1608" s="731" t="str">
        <f>'DICTIONARY-3'!$A$204</f>
        <v>Przepustnica kołnierzowa</v>
      </c>
      <c r="R1608" s="732" t="str">
        <f>CONCATENATE('DICTIONARY-3'!$A$149," ",'DICTIONARY-6'!$A$2," ",UPPER('DICTIONARY-5'!$A$18)," ",'DICTIONARY-2'!$A$2,"100"," ",'DICTIONARY-2'!$A$3,"10/16"," ",'DICTIONARY-5'!$A$37,"/",'DICTIONARY-5'!$A$45,", ",'DICTIONARY-4'!$A$2)</f>
        <v>CEREX 300-W Przep. kołnierz. GAZ DN100 PN10/16 CF8M/NBR, WW</v>
      </c>
      <c r="S1608" s="733" t="str">
        <f>'DICTIONARY-4'!$A$2</f>
        <v>WW</v>
      </c>
      <c r="T1608" s="732" t="str">
        <f>'DICTIONARY-4'!$A$18</f>
        <v>Wolny wałek</v>
      </c>
      <c r="U1608" s="734" t="s">
        <v>5749</v>
      </c>
      <c r="V1608" s="735">
        <v>16</v>
      </c>
      <c r="W1608" s="736"/>
      <c r="X1608" s="737"/>
      <c r="Y1608" s="738"/>
      <c r="Z1608" s="739"/>
      <c r="AA1608" s="739"/>
      <c r="AB1608" s="740">
        <v>16</v>
      </c>
      <c r="AC1608" s="741" t="str">
        <f>'DICTIONARY-5'!$A$11&amp;" 20"</f>
        <v>EN 558 szereg 20</v>
      </c>
      <c r="AD1608" s="733" t="str">
        <f>'DICTIONARY-5'!$A$18&amp;", "&amp;'DICTIONARY-5'!$A$14</f>
        <v>gaz, ścieki</v>
      </c>
      <c r="AE1608" s="742">
        <v>80</v>
      </c>
      <c r="AF1608" s="743">
        <v>5.5</v>
      </c>
      <c r="AG1608" s="741" t="str">
        <f>'DICTIONARY-5'!$A$23</f>
        <v>powłoka epoksydowa</v>
      </c>
    </row>
    <row r="1609" spans="1:33" x14ac:dyDescent="0.25">
      <c r="A1609" s="844" t="s">
        <v>5292</v>
      </c>
      <c r="B1609" s="844" t="s">
        <v>5485</v>
      </c>
      <c r="C1609" s="836">
        <v>240</v>
      </c>
      <c r="D1609" s="836"/>
      <c r="E1609" s="836"/>
      <c r="F1609" s="836"/>
      <c r="G1609" s="496" t="s">
        <v>7832</v>
      </c>
      <c r="H1609" s="797" t="str">
        <f>VLOOKUP(G1609,SETTINGS!$B$7:$D$97,2,0)</f>
        <v>CEREX 300</v>
      </c>
      <c r="I1609" s="796">
        <f>VLOOKUP(G1609,SETTINGS!$B$7:$D$97,3,0)</f>
        <v>0</v>
      </c>
      <c r="J1609" s="670" t="str">
        <f>IFERROR(IF(CURRENCY.FORMAT_1=0,CONCATENATE(TEXT(FIXED(ROUND((C1609/EXC.RATE_1),CURRENCY.FORMAT_1),CURRENCY.FORMAT_1,1),"# ##0;-# ##0"),",-"),FIXED(ROUND((C1609/EXC.RATE_1),CURRENCY.FORMAT_1),CURRENCY.FORMAT_1,0)),'DICTIONARY-5'!$A$2)</f>
        <v>240,-</v>
      </c>
      <c r="K1609" s="670" t="str">
        <f>IF(EXC.RATE_2=0,"",IFERROR(IF(CURRENCY.FORMAT_2=0,CONCATENATE(TEXT(FIXED(ROUND(IF(EXC.RATE.SWITCH=1,C1609/EXC.RATE_2,C1609*EXC.RATE_2),CURRENCY.FORMAT_2),CURRENCY.FORMAT_2,1),"# ##0;-# ##0"),",-"),FIXED(ROUND(IF(EXC.RATE.SWITCH=1,C1609/EXC.RATE_2,C1609*EXC.RATE_2),CURRENCY.FORMAT_2),CURRENCY.FORMAT_2,0)),'DICTIONARY-5'!$A$2))</f>
        <v/>
      </c>
      <c r="L1609" s="670" t="str">
        <f>IFERROR(IF(CURRENCY.FORMAT_1=0,CONCATENATE(TEXT(FIXED(ROUND((C1609*(1-I1609)*(1-ADD.DISCOUNT)*(1+MAT.SURCHARGE)/EXC.RATE_1),CURRENCY.FORMAT_1),CURRENCY.FORMAT_1,1),"# ##0;-# ##0"),",-"),FIXED(ROUND((C1609*(1-I1609)*(1-ADD.DISCOUNT)*(1+MAT.SURCHARGE)/EXC.RATE_1),CURRENCY.FORMAT_1),CURRENCY.FORMAT_1,0)),'DICTIONARY-5'!$A$2)</f>
        <v>249,-</v>
      </c>
      <c r="M1609" s="670" t="str">
        <f>IF(EXC.RATE_2=0,"",IFERROR(IF(CURRENCY.FORMAT_2=0,CONCATENATE(TEXT(FIXED(ROUND(IF(EXC.RATE.SWITCH=1,C1609*(1-I1609)*(1-ADD.DISCOUNT)*(1+MAT.SURCHARGE)/EXC.RATE_2,C1609*(1-I1609)*(1-ADD.DISCOUNT)*(1+MAT.SURCHARGE)*EXC.RATE_2),CURRENCY.FORMAT_2),CURRENCY.FORMAT_2,1),"# ##0;-# ##0"),",-"),FIXED(ROUND(IF(EXC.RATE.SWITCH=1,C1609*(1-I1609)*(1-ADD.DISCOUNT)*(1+MAT.SURCHARGE)/EXC.RATE_2,C1609*(1-I1609)*(1-ADD.DISCOUNT)*(1+MAT.SURCHARGE)*EXC.RATE_2),CURRENCY.FORMAT_2),CURRENCY.FORMAT_2,0)),'DICTIONARY-5'!$A$2))</f>
        <v/>
      </c>
      <c r="N1609" s="541">
        <v>6</v>
      </c>
      <c r="O1609" s="654" t="s">
        <v>7363</v>
      </c>
      <c r="P1609" s="731" t="str">
        <f>'DICTIONARY-3'!$A$149</f>
        <v>CEREX 300-W</v>
      </c>
      <c r="Q1609" s="731" t="str">
        <f>'DICTIONARY-3'!$A$204</f>
        <v>Przepustnica kołnierzowa</v>
      </c>
      <c r="R1609" s="732" t="str">
        <f>CONCATENATE('DICTIONARY-3'!$A$149," ",'DICTIONARY-6'!$A$2," ",UPPER('DICTIONARY-5'!$A$18)," ",'DICTIONARY-2'!$A$2,"125"," ",'DICTIONARY-2'!$A$3,"10/16"," ",'DICTIONARY-5'!$A$37,"/",'DICTIONARY-5'!$A$45,", ",'DICTIONARY-4'!$A$2)</f>
        <v>CEREX 300-W Przep. kołnierz. GAZ DN125 PN10/16 CF8M/NBR, WW</v>
      </c>
      <c r="S1609" s="733" t="str">
        <f>'DICTIONARY-4'!$A$2</f>
        <v>WW</v>
      </c>
      <c r="T1609" s="732" t="str">
        <f>'DICTIONARY-4'!$A$18</f>
        <v>Wolny wałek</v>
      </c>
      <c r="U1609" s="734" t="s">
        <v>5761</v>
      </c>
      <c r="V1609" s="735">
        <v>16</v>
      </c>
      <c r="W1609" s="736"/>
      <c r="X1609" s="737"/>
      <c r="Y1609" s="738"/>
      <c r="Z1609" s="739"/>
      <c r="AA1609" s="739"/>
      <c r="AB1609" s="740">
        <v>16</v>
      </c>
      <c r="AC1609" s="741" t="str">
        <f>'DICTIONARY-5'!$A$11&amp;" 20"</f>
        <v>EN 558 szereg 20</v>
      </c>
      <c r="AD1609" s="733" t="str">
        <f>'DICTIONARY-5'!$A$18&amp;", "&amp;'DICTIONARY-5'!$A$14</f>
        <v>gaz, ścieki</v>
      </c>
      <c r="AE1609" s="742">
        <v>80</v>
      </c>
      <c r="AF1609" s="743">
        <v>6.8</v>
      </c>
      <c r="AG1609" s="741" t="str">
        <f>'DICTIONARY-5'!$A$23</f>
        <v>powłoka epoksydowa</v>
      </c>
    </row>
    <row r="1610" spans="1:33" x14ac:dyDescent="0.25">
      <c r="A1610" s="844" t="s">
        <v>5294</v>
      </c>
      <c r="B1610" s="844" t="s">
        <v>5486</v>
      </c>
      <c r="C1610" s="836">
        <v>341</v>
      </c>
      <c r="D1610" s="836"/>
      <c r="E1610" s="836"/>
      <c r="F1610" s="836"/>
      <c r="G1610" s="496" t="s">
        <v>7832</v>
      </c>
      <c r="H1610" s="797" t="str">
        <f>VLOOKUP(G1610,SETTINGS!$B$7:$D$97,2,0)</f>
        <v>CEREX 300</v>
      </c>
      <c r="I1610" s="796">
        <f>VLOOKUP(G1610,SETTINGS!$B$7:$D$97,3,0)</f>
        <v>0</v>
      </c>
      <c r="J1610" s="670" t="str">
        <f>IFERROR(IF(CURRENCY.FORMAT_1=0,CONCATENATE(TEXT(FIXED(ROUND((C1610/EXC.RATE_1),CURRENCY.FORMAT_1),CURRENCY.FORMAT_1,1),"# ##0;-# ##0"),",-"),FIXED(ROUND((C1610/EXC.RATE_1),CURRENCY.FORMAT_1),CURRENCY.FORMAT_1,0)),'DICTIONARY-5'!$A$2)</f>
        <v>341,-</v>
      </c>
      <c r="K1610" s="670" t="str">
        <f>IF(EXC.RATE_2=0,"",IFERROR(IF(CURRENCY.FORMAT_2=0,CONCATENATE(TEXT(FIXED(ROUND(IF(EXC.RATE.SWITCH=1,C1610/EXC.RATE_2,C1610*EXC.RATE_2),CURRENCY.FORMAT_2),CURRENCY.FORMAT_2,1),"# ##0;-# ##0"),",-"),FIXED(ROUND(IF(EXC.RATE.SWITCH=1,C1610/EXC.RATE_2,C1610*EXC.RATE_2),CURRENCY.FORMAT_2),CURRENCY.FORMAT_2,0)),'DICTIONARY-5'!$A$2))</f>
        <v/>
      </c>
      <c r="L1610" s="670" t="str">
        <f>IFERROR(IF(CURRENCY.FORMAT_1=0,CONCATENATE(TEXT(FIXED(ROUND((C1610*(1-I1610)*(1-ADD.DISCOUNT)*(1+MAT.SURCHARGE)/EXC.RATE_1),CURRENCY.FORMAT_1),CURRENCY.FORMAT_1,1),"# ##0;-# ##0"),",-"),FIXED(ROUND((C1610*(1-I1610)*(1-ADD.DISCOUNT)*(1+MAT.SURCHARGE)/EXC.RATE_1),CURRENCY.FORMAT_1),CURRENCY.FORMAT_1,0)),'DICTIONARY-5'!$A$2)</f>
        <v>354,-</v>
      </c>
      <c r="M1610" s="670" t="str">
        <f>IF(EXC.RATE_2=0,"",IFERROR(IF(CURRENCY.FORMAT_2=0,CONCATENATE(TEXT(FIXED(ROUND(IF(EXC.RATE.SWITCH=1,C1610*(1-I1610)*(1-ADD.DISCOUNT)*(1+MAT.SURCHARGE)/EXC.RATE_2,C1610*(1-I1610)*(1-ADD.DISCOUNT)*(1+MAT.SURCHARGE)*EXC.RATE_2),CURRENCY.FORMAT_2),CURRENCY.FORMAT_2,1),"# ##0;-# ##0"),",-"),FIXED(ROUND(IF(EXC.RATE.SWITCH=1,C1610*(1-I1610)*(1-ADD.DISCOUNT)*(1+MAT.SURCHARGE)/EXC.RATE_2,C1610*(1-I1610)*(1-ADD.DISCOUNT)*(1+MAT.SURCHARGE)*EXC.RATE_2),CURRENCY.FORMAT_2),CURRENCY.FORMAT_2,0)),'DICTIONARY-5'!$A$2))</f>
        <v/>
      </c>
      <c r="N1610" s="541">
        <v>6</v>
      </c>
      <c r="O1610" s="654" t="s">
        <v>7363</v>
      </c>
      <c r="P1610" s="731" t="str">
        <f>'DICTIONARY-3'!$A$149</f>
        <v>CEREX 300-W</v>
      </c>
      <c r="Q1610" s="731" t="str">
        <f>'DICTIONARY-3'!$A$204</f>
        <v>Przepustnica kołnierzowa</v>
      </c>
      <c r="R1610" s="732" t="str">
        <f>CONCATENATE('DICTIONARY-3'!$A$149," ",'DICTIONARY-6'!$A$2," ",UPPER('DICTIONARY-5'!$A$18)," ",'DICTIONARY-2'!$A$2,"150"," ",'DICTIONARY-2'!$A$3,"10/16"," ",'DICTIONARY-5'!$A$37,"/",'DICTIONARY-5'!$A$45,", ",'DICTIONARY-4'!$A$2)</f>
        <v>CEREX 300-W Przep. kołnierz. GAZ DN150 PN10/16 CF8M/NBR, WW</v>
      </c>
      <c r="S1610" s="733" t="str">
        <f>'DICTIONARY-4'!$A$2</f>
        <v>WW</v>
      </c>
      <c r="T1610" s="732" t="str">
        <f>'DICTIONARY-4'!$A$18</f>
        <v>Wolny wałek</v>
      </c>
      <c r="U1610" s="734" t="s">
        <v>5572</v>
      </c>
      <c r="V1610" s="735">
        <v>16</v>
      </c>
      <c r="W1610" s="736"/>
      <c r="X1610" s="737"/>
      <c r="Y1610" s="738"/>
      <c r="Z1610" s="739"/>
      <c r="AA1610" s="739"/>
      <c r="AB1610" s="740">
        <v>16</v>
      </c>
      <c r="AC1610" s="741" t="str">
        <f>'DICTIONARY-5'!$A$11&amp;" 20"</f>
        <v>EN 558 szereg 20</v>
      </c>
      <c r="AD1610" s="733" t="str">
        <f>'DICTIONARY-5'!$A$18&amp;", "&amp;'DICTIONARY-5'!$A$14</f>
        <v>gaz, ścieki</v>
      </c>
      <c r="AE1610" s="742">
        <v>80</v>
      </c>
      <c r="AF1610" s="743">
        <v>9.5</v>
      </c>
      <c r="AG1610" s="741" t="str">
        <f>'DICTIONARY-5'!$A$23</f>
        <v>powłoka epoksydowa</v>
      </c>
    </row>
    <row r="1611" spans="1:33" x14ac:dyDescent="0.25">
      <c r="A1611" s="844" t="s">
        <v>5296</v>
      </c>
      <c r="B1611" s="844" t="s">
        <v>5487</v>
      </c>
      <c r="C1611" s="836">
        <v>464</v>
      </c>
      <c r="D1611" s="836"/>
      <c r="E1611" s="836"/>
      <c r="F1611" s="836"/>
      <c r="G1611" s="496" t="s">
        <v>7832</v>
      </c>
      <c r="H1611" s="797" t="str">
        <f>VLOOKUP(G1611,SETTINGS!$B$7:$D$97,2,0)</f>
        <v>CEREX 300</v>
      </c>
      <c r="I1611" s="796">
        <f>VLOOKUP(G1611,SETTINGS!$B$7:$D$97,3,0)</f>
        <v>0</v>
      </c>
      <c r="J1611" s="670" t="str">
        <f>IFERROR(IF(CURRENCY.FORMAT_1=0,CONCATENATE(TEXT(FIXED(ROUND((C1611/EXC.RATE_1),CURRENCY.FORMAT_1),CURRENCY.FORMAT_1,1),"# ##0;-# ##0"),",-"),FIXED(ROUND((C1611/EXC.RATE_1),CURRENCY.FORMAT_1),CURRENCY.FORMAT_1,0)),'DICTIONARY-5'!$A$2)</f>
        <v>464,-</v>
      </c>
      <c r="K1611" s="670" t="str">
        <f>IF(EXC.RATE_2=0,"",IFERROR(IF(CURRENCY.FORMAT_2=0,CONCATENATE(TEXT(FIXED(ROUND(IF(EXC.RATE.SWITCH=1,C1611/EXC.RATE_2,C1611*EXC.RATE_2),CURRENCY.FORMAT_2),CURRENCY.FORMAT_2,1),"# ##0;-# ##0"),",-"),FIXED(ROUND(IF(EXC.RATE.SWITCH=1,C1611/EXC.RATE_2,C1611*EXC.RATE_2),CURRENCY.FORMAT_2),CURRENCY.FORMAT_2,0)),'DICTIONARY-5'!$A$2))</f>
        <v/>
      </c>
      <c r="L1611" s="670" t="str">
        <f>IFERROR(IF(CURRENCY.FORMAT_1=0,CONCATENATE(TEXT(FIXED(ROUND((C1611*(1-I1611)*(1-ADD.DISCOUNT)*(1+MAT.SURCHARGE)/EXC.RATE_1),CURRENCY.FORMAT_1),CURRENCY.FORMAT_1,1),"# ##0;-# ##0"),",-"),FIXED(ROUND((C1611*(1-I1611)*(1-ADD.DISCOUNT)*(1+MAT.SURCHARGE)/EXC.RATE_1),CURRENCY.FORMAT_1),CURRENCY.FORMAT_1,0)),'DICTIONARY-5'!$A$2)</f>
        <v>482,-</v>
      </c>
      <c r="M1611" s="670" t="str">
        <f>IF(EXC.RATE_2=0,"",IFERROR(IF(CURRENCY.FORMAT_2=0,CONCATENATE(TEXT(FIXED(ROUND(IF(EXC.RATE.SWITCH=1,C1611*(1-I1611)*(1-ADD.DISCOUNT)*(1+MAT.SURCHARGE)/EXC.RATE_2,C1611*(1-I1611)*(1-ADD.DISCOUNT)*(1+MAT.SURCHARGE)*EXC.RATE_2),CURRENCY.FORMAT_2),CURRENCY.FORMAT_2,1),"# ##0;-# ##0"),",-"),FIXED(ROUND(IF(EXC.RATE.SWITCH=1,C1611*(1-I1611)*(1-ADD.DISCOUNT)*(1+MAT.SURCHARGE)/EXC.RATE_2,C1611*(1-I1611)*(1-ADD.DISCOUNT)*(1+MAT.SURCHARGE)*EXC.RATE_2),CURRENCY.FORMAT_2),CURRENCY.FORMAT_2,0)),'DICTIONARY-5'!$A$2))</f>
        <v/>
      </c>
      <c r="N1611" s="541">
        <v>6</v>
      </c>
      <c r="O1611" s="654" t="s">
        <v>7363</v>
      </c>
      <c r="P1611" s="731" t="str">
        <f>'DICTIONARY-3'!$A$149</f>
        <v>CEREX 300-W</v>
      </c>
      <c r="Q1611" s="731" t="str">
        <f>'DICTIONARY-3'!$A$204</f>
        <v>Przepustnica kołnierzowa</v>
      </c>
      <c r="R1611" s="732" t="str">
        <f>CONCATENATE('DICTIONARY-3'!$A$149," ",'DICTIONARY-6'!$A$2," ",UPPER('DICTIONARY-5'!$A$18)," ",'DICTIONARY-2'!$A$2,"200"," ",'DICTIONARY-2'!$A$3,"10/16"," ",'DICTIONARY-5'!$A$37,"/",'DICTIONARY-5'!$A$45,", ",'DICTIONARY-4'!$A$2)</f>
        <v>CEREX 300-W Przep. kołnierz. GAZ DN200 PN10/16 CF8M/NBR, WW</v>
      </c>
      <c r="S1611" s="733" t="str">
        <f>'DICTIONARY-4'!$A$2</f>
        <v>WW</v>
      </c>
      <c r="T1611" s="732" t="str">
        <f>'DICTIONARY-4'!$A$18</f>
        <v>Wolny wałek</v>
      </c>
      <c r="U1611" s="734" t="s">
        <v>5750</v>
      </c>
      <c r="V1611" s="735">
        <v>16</v>
      </c>
      <c r="W1611" s="736"/>
      <c r="X1611" s="737"/>
      <c r="Y1611" s="738"/>
      <c r="Z1611" s="739"/>
      <c r="AA1611" s="739"/>
      <c r="AB1611" s="740">
        <v>16</v>
      </c>
      <c r="AC1611" s="741" t="str">
        <f>'DICTIONARY-5'!$A$11&amp;" 20"</f>
        <v>EN 558 szereg 20</v>
      </c>
      <c r="AD1611" s="733" t="str">
        <f>'DICTIONARY-5'!$A$18&amp;", "&amp;'DICTIONARY-5'!$A$14</f>
        <v>gaz, ścieki</v>
      </c>
      <c r="AE1611" s="742">
        <v>80</v>
      </c>
      <c r="AF1611" s="743">
        <v>14</v>
      </c>
      <c r="AG1611" s="741" t="str">
        <f>'DICTIONARY-5'!$A$23</f>
        <v>powłoka epoksydowa</v>
      </c>
    </row>
    <row r="1612" spans="1:33" x14ac:dyDescent="0.25">
      <c r="A1612" s="844" t="s">
        <v>5298</v>
      </c>
      <c r="B1612" s="844" t="s">
        <v>5488</v>
      </c>
      <c r="C1612" s="836">
        <v>574</v>
      </c>
      <c r="D1612" s="836"/>
      <c r="E1612" s="836"/>
      <c r="F1612" s="836"/>
      <c r="G1612" s="496" t="s">
        <v>7832</v>
      </c>
      <c r="H1612" s="797" t="str">
        <f>VLOOKUP(G1612,SETTINGS!$B$7:$D$97,2,0)</f>
        <v>CEREX 300</v>
      </c>
      <c r="I1612" s="796">
        <f>VLOOKUP(G1612,SETTINGS!$B$7:$D$97,3,0)</f>
        <v>0</v>
      </c>
      <c r="J1612" s="670" t="str">
        <f>IFERROR(IF(CURRENCY.FORMAT_1=0,CONCATENATE(TEXT(FIXED(ROUND((C1612/EXC.RATE_1),CURRENCY.FORMAT_1),CURRENCY.FORMAT_1,1),"# ##0;-# ##0"),",-"),FIXED(ROUND((C1612/EXC.RATE_1),CURRENCY.FORMAT_1),CURRENCY.FORMAT_1,0)),'DICTIONARY-5'!$A$2)</f>
        <v>574,-</v>
      </c>
      <c r="K1612" s="670" t="str">
        <f>IF(EXC.RATE_2=0,"",IFERROR(IF(CURRENCY.FORMAT_2=0,CONCATENATE(TEXT(FIXED(ROUND(IF(EXC.RATE.SWITCH=1,C1612/EXC.RATE_2,C1612*EXC.RATE_2),CURRENCY.FORMAT_2),CURRENCY.FORMAT_2,1),"# ##0;-# ##0"),",-"),FIXED(ROUND(IF(EXC.RATE.SWITCH=1,C1612/EXC.RATE_2,C1612*EXC.RATE_2),CURRENCY.FORMAT_2),CURRENCY.FORMAT_2,0)),'DICTIONARY-5'!$A$2))</f>
        <v/>
      </c>
      <c r="L1612" s="670" t="str">
        <f>IFERROR(IF(CURRENCY.FORMAT_1=0,CONCATENATE(TEXT(FIXED(ROUND((C1612*(1-I1612)*(1-ADD.DISCOUNT)*(1+MAT.SURCHARGE)/EXC.RATE_1),CURRENCY.FORMAT_1),CURRENCY.FORMAT_1,1),"# ##0;-# ##0"),",-"),FIXED(ROUND((C1612*(1-I1612)*(1-ADD.DISCOUNT)*(1+MAT.SURCHARGE)/EXC.RATE_1),CURRENCY.FORMAT_1),CURRENCY.FORMAT_1,0)),'DICTIONARY-5'!$A$2)</f>
        <v>596,-</v>
      </c>
      <c r="M1612" s="670" t="str">
        <f>IF(EXC.RATE_2=0,"",IFERROR(IF(CURRENCY.FORMAT_2=0,CONCATENATE(TEXT(FIXED(ROUND(IF(EXC.RATE.SWITCH=1,C1612*(1-I1612)*(1-ADD.DISCOUNT)*(1+MAT.SURCHARGE)/EXC.RATE_2,C1612*(1-I1612)*(1-ADD.DISCOUNT)*(1+MAT.SURCHARGE)*EXC.RATE_2),CURRENCY.FORMAT_2),CURRENCY.FORMAT_2,1),"# ##0;-# ##0"),",-"),FIXED(ROUND(IF(EXC.RATE.SWITCH=1,C1612*(1-I1612)*(1-ADD.DISCOUNT)*(1+MAT.SURCHARGE)/EXC.RATE_2,C1612*(1-I1612)*(1-ADD.DISCOUNT)*(1+MAT.SURCHARGE)*EXC.RATE_2),CURRENCY.FORMAT_2),CURRENCY.FORMAT_2,0)),'DICTIONARY-5'!$A$2))</f>
        <v/>
      </c>
      <c r="N1612" s="541">
        <v>6</v>
      </c>
      <c r="O1612" s="654" t="s">
        <v>7363</v>
      </c>
      <c r="P1612" s="731" t="str">
        <f>'DICTIONARY-3'!$A$149</f>
        <v>CEREX 300-W</v>
      </c>
      <c r="Q1612" s="731" t="str">
        <f>'DICTIONARY-3'!$A$204</f>
        <v>Przepustnica kołnierzowa</v>
      </c>
      <c r="R1612" s="732" t="str">
        <f>CONCATENATE('DICTIONARY-3'!$A$149," ",'DICTIONARY-6'!$A$2," ",UPPER('DICTIONARY-5'!$A$18)," ",'DICTIONARY-2'!$A$2,"250"," ",'DICTIONARY-2'!$A$3,"10/16"," ",'DICTIONARY-5'!$A$37,"/",'DICTIONARY-5'!$A$45,", ",'DICTIONARY-4'!$A$2)</f>
        <v>CEREX 300-W Przep. kołnierz. GAZ DN250 PN10/16 CF8M/NBR, WW</v>
      </c>
      <c r="S1612" s="733" t="str">
        <f>'DICTIONARY-4'!$A$2</f>
        <v>WW</v>
      </c>
      <c r="T1612" s="732" t="str">
        <f>'DICTIONARY-4'!$A$18</f>
        <v>Wolny wałek</v>
      </c>
      <c r="U1612" s="734" t="s">
        <v>5751</v>
      </c>
      <c r="V1612" s="735">
        <v>16</v>
      </c>
      <c r="W1612" s="736"/>
      <c r="X1612" s="737"/>
      <c r="Y1612" s="738"/>
      <c r="Z1612" s="739"/>
      <c r="AA1612" s="739"/>
      <c r="AB1612" s="740">
        <v>16</v>
      </c>
      <c r="AC1612" s="741" t="str">
        <f>'DICTIONARY-5'!$A$11&amp;" 20"</f>
        <v>EN 558 szereg 20</v>
      </c>
      <c r="AD1612" s="733" t="str">
        <f>'DICTIONARY-5'!$A$18&amp;", "&amp;'DICTIONARY-5'!$A$14</f>
        <v>gaz, ścieki</v>
      </c>
      <c r="AE1612" s="742">
        <v>80</v>
      </c>
      <c r="AF1612" s="743">
        <v>23</v>
      </c>
      <c r="AG1612" s="741" t="str">
        <f>'DICTIONARY-5'!$A$23</f>
        <v>powłoka epoksydowa</v>
      </c>
    </row>
    <row r="1613" spans="1:33" x14ac:dyDescent="0.25">
      <c r="A1613" s="844" t="s">
        <v>5300</v>
      </c>
      <c r="B1613" s="844" t="s">
        <v>5489</v>
      </c>
      <c r="C1613" s="836">
        <v>820</v>
      </c>
      <c r="D1613" s="836"/>
      <c r="E1613" s="836"/>
      <c r="F1613" s="836"/>
      <c r="G1613" s="496" t="s">
        <v>7832</v>
      </c>
      <c r="H1613" s="797" t="str">
        <f>VLOOKUP(G1613,SETTINGS!$B$7:$D$97,2,0)</f>
        <v>CEREX 300</v>
      </c>
      <c r="I1613" s="796">
        <f>VLOOKUP(G1613,SETTINGS!$B$7:$D$97,3,0)</f>
        <v>0</v>
      </c>
      <c r="J1613" s="670" t="str">
        <f>IFERROR(IF(CURRENCY.FORMAT_1=0,CONCATENATE(TEXT(FIXED(ROUND((C1613/EXC.RATE_1),CURRENCY.FORMAT_1),CURRENCY.FORMAT_1,1),"# ##0;-# ##0"),",-"),FIXED(ROUND((C1613/EXC.RATE_1),CURRENCY.FORMAT_1),CURRENCY.FORMAT_1,0)),'DICTIONARY-5'!$A$2)</f>
        <v>820,-</v>
      </c>
      <c r="K1613" s="670" t="str">
        <f>IF(EXC.RATE_2=0,"",IFERROR(IF(CURRENCY.FORMAT_2=0,CONCATENATE(TEXT(FIXED(ROUND(IF(EXC.RATE.SWITCH=1,C1613/EXC.RATE_2,C1613*EXC.RATE_2),CURRENCY.FORMAT_2),CURRENCY.FORMAT_2,1),"# ##0;-# ##0"),",-"),FIXED(ROUND(IF(EXC.RATE.SWITCH=1,C1613/EXC.RATE_2,C1613*EXC.RATE_2),CURRENCY.FORMAT_2),CURRENCY.FORMAT_2,0)),'DICTIONARY-5'!$A$2))</f>
        <v/>
      </c>
      <c r="L1613" s="670" t="str">
        <f>IFERROR(IF(CURRENCY.FORMAT_1=0,CONCATENATE(TEXT(FIXED(ROUND((C1613*(1-I1613)*(1-ADD.DISCOUNT)*(1+MAT.SURCHARGE)/EXC.RATE_1),CURRENCY.FORMAT_1),CURRENCY.FORMAT_1,1),"# ##0;-# ##0"),",-"),FIXED(ROUND((C1613*(1-I1613)*(1-ADD.DISCOUNT)*(1+MAT.SURCHARGE)/EXC.RATE_1),CURRENCY.FORMAT_1),CURRENCY.FORMAT_1,0)),'DICTIONARY-5'!$A$2)</f>
        <v>852,-</v>
      </c>
      <c r="M1613" s="670" t="str">
        <f>IF(EXC.RATE_2=0,"",IFERROR(IF(CURRENCY.FORMAT_2=0,CONCATENATE(TEXT(FIXED(ROUND(IF(EXC.RATE.SWITCH=1,C1613*(1-I1613)*(1-ADD.DISCOUNT)*(1+MAT.SURCHARGE)/EXC.RATE_2,C1613*(1-I1613)*(1-ADD.DISCOUNT)*(1+MAT.SURCHARGE)*EXC.RATE_2),CURRENCY.FORMAT_2),CURRENCY.FORMAT_2,1),"# ##0;-# ##0"),",-"),FIXED(ROUND(IF(EXC.RATE.SWITCH=1,C1613*(1-I1613)*(1-ADD.DISCOUNT)*(1+MAT.SURCHARGE)/EXC.RATE_2,C1613*(1-I1613)*(1-ADD.DISCOUNT)*(1+MAT.SURCHARGE)*EXC.RATE_2),CURRENCY.FORMAT_2),CURRENCY.FORMAT_2,0)),'DICTIONARY-5'!$A$2))</f>
        <v/>
      </c>
      <c r="N1613" s="541">
        <v>6</v>
      </c>
      <c r="O1613" s="654" t="s">
        <v>7363</v>
      </c>
      <c r="P1613" s="731" t="str">
        <f>'DICTIONARY-3'!$A$149</f>
        <v>CEREX 300-W</v>
      </c>
      <c r="Q1613" s="731" t="str">
        <f>'DICTIONARY-3'!$A$204</f>
        <v>Przepustnica kołnierzowa</v>
      </c>
      <c r="R1613" s="732" t="str">
        <f>CONCATENATE('DICTIONARY-3'!$A$149," ",'DICTIONARY-6'!$A$2," ",UPPER('DICTIONARY-5'!$A$18)," ",'DICTIONARY-2'!$A$2,"300"," ",'DICTIONARY-2'!$A$3,"10/16"," ",'DICTIONARY-5'!$A$37,"/",'DICTIONARY-5'!$A$45,", ",'DICTIONARY-4'!$A$2)</f>
        <v>CEREX 300-W Przep. kołnierz. GAZ DN300 PN10/16 CF8M/NBR, WW</v>
      </c>
      <c r="S1613" s="733" t="str">
        <f>'DICTIONARY-4'!$A$2</f>
        <v>WW</v>
      </c>
      <c r="T1613" s="732" t="str">
        <f>'DICTIONARY-4'!$A$18</f>
        <v>Wolny wałek</v>
      </c>
      <c r="U1613" s="734" t="s">
        <v>5752</v>
      </c>
      <c r="V1613" s="735">
        <v>16</v>
      </c>
      <c r="W1613" s="736"/>
      <c r="X1613" s="737"/>
      <c r="Y1613" s="738"/>
      <c r="Z1613" s="739"/>
      <c r="AA1613" s="739"/>
      <c r="AB1613" s="740">
        <v>16</v>
      </c>
      <c r="AC1613" s="741" t="str">
        <f>'DICTIONARY-5'!$A$11&amp;" 20"</f>
        <v>EN 558 szereg 20</v>
      </c>
      <c r="AD1613" s="733" t="str">
        <f>'DICTIONARY-5'!$A$18&amp;", "&amp;'DICTIONARY-5'!$A$14</f>
        <v>gaz, ścieki</v>
      </c>
      <c r="AE1613" s="742">
        <v>80</v>
      </c>
      <c r="AF1613" s="743">
        <v>31</v>
      </c>
      <c r="AG1613" s="741" t="str">
        <f>'DICTIONARY-5'!$A$23</f>
        <v>powłoka epoksydowa</v>
      </c>
    </row>
    <row r="1614" spans="1:33" x14ac:dyDescent="0.25">
      <c r="A1614" s="844" t="s">
        <v>5302</v>
      </c>
      <c r="B1614" s="844" t="s">
        <v>5490</v>
      </c>
      <c r="C1614" s="836">
        <v>1222</v>
      </c>
      <c r="D1614" s="836"/>
      <c r="E1614" s="836"/>
      <c r="F1614" s="836"/>
      <c r="G1614" s="496" t="s">
        <v>7832</v>
      </c>
      <c r="H1614" s="797" t="str">
        <f>VLOOKUP(G1614,SETTINGS!$B$7:$D$97,2,0)</f>
        <v>CEREX 300</v>
      </c>
      <c r="I1614" s="796">
        <f>VLOOKUP(G1614,SETTINGS!$B$7:$D$97,3,0)</f>
        <v>0</v>
      </c>
      <c r="J1614" s="670" t="str">
        <f>IFERROR(IF(CURRENCY.FORMAT_1=0,CONCATENATE(TEXT(FIXED(ROUND((C1614/EXC.RATE_1),CURRENCY.FORMAT_1),CURRENCY.FORMAT_1,1),"# ##0;-# ##0"),",-"),FIXED(ROUND((C1614/EXC.RATE_1),CURRENCY.FORMAT_1),CURRENCY.FORMAT_1,0)),'DICTIONARY-5'!$A$2)</f>
        <v>1 222,-</v>
      </c>
      <c r="K1614" s="670" t="str">
        <f>IF(EXC.RATE_2=0,"",IFERROR(IF(CURRENCY.FORMAT_2=0,CONCATENATE(TEXT(FIXED(ROUND(IF(EXC.RATE.SWITCH=1,C1614/EXC.RATE_2,C1614*EXC.RATE_2),CURRENCY.FORMAT_2),CURRENCY.FORMAT_2,1),"# ##0;-# ##0"),",-"),FIXED(ROUND(IF(EXC.RATE.SWITCH=1,C1614/EXC.RATE_2,C1614*EXC.RATE_2),CURRENCY.FORMAT_2),CURRENCY.FORMAT_2,0)),'DICTIONARY-5'!$A$2))</f>
        <v/>
      </c>
      <c r="L1614" s="670" t="str">
        <f>IFERROR(IF(CURRENCY.FORMAT_1=0,CONCATENATE(TEXT(FIXED(ROUND((C1614*(1-I1614)*(1-ADD.DISCOUNT)*(1+MAT.SURCHARGE)/EXC.RATE_1),CURRENCY.FORMAT_1),CURRENCY.FORMAT_1,1),"# ##0;-# ##0"),",-"),FIXED(ROUND((C1614*(1-I1614)*(1-ADD.DISCOUNT)*(1+MAT.SURCHARGE)/EXC.RATE_1),CURRENCY.FORMAT_1),CURRENCY.FORMAT_1,0)),'DICTIONARY-5'!$A$2)</f>
        <v>1 270,-</v>
      </c>
      <c r="M1614" s="670" t="str">
        <f>IF(EXC.RATE_2=0,"",IFERROR(IF(CURRENCY.FORMAT_2=0,CONCATENATE(TEXT(FIXED(ROUND(IF(EXC.RATE.SWITCH=1,C1614*(1-I1614)*(1-ADD.DISCOUNT)*(1+MAT.SURCHARGE)/EXC.RATE_2,C1614*(1-I1614)*(1-ADD.DISCOUNT)*(1+MAT.SURCHARGE)*EXC.RATE_2),CURRENCY.FORMAT_2),CURRENCY.FORMAT_2,1),"# ##0;-# ##0"),",-"),FIXED(ROUND(IF(EXC.RATE.SWITCH=1,C1614*(1-I1614)*(1-ADD.DISCOUNT)*(1+MAT.SURCHARGE)/EXC.RATE_2,C1614*(1-I1614)*(1-ADD.DISCOUNT)*(1+MAT.SURCHARGE)*EXC.RATE_2),CURRENCY.FORMAT_2),CURRENCY.FORMAT_2,0)),'DICTIONARY-5'!$A$2))</f>
        <v/>
      </c>
      <c r="N1614" s="541">
        <v>6</v>
      </c>
      <c r="O1614" s="654" t="s">
        <v>7363</v>
      </c>
      <c r="P1614" s="731" t="str">
        <f>'DICTIONARY-3'!$A$149</f>
        <v>CEREX 300-W</v>
      </c>
      <c r="Q1614" s="731" t="str">
        <f>'DICTIONARY-3'!$A$204</f>
        <v>Przepustnica kołnierzowa</v>
      </c>
      <c r="R1614" s="732" t="str">
        <f>CONCATENATE('DICTIONARY-3'!$A$149," ",'DICTIONARY-6'!$A$2," ",'DICTIONARY-2'!$A$2,"350"," ",'DICTIONARY-2'!$A$3,"10/16"," ",'DICTIONARY-5'!$A$37,"/",'DICTIONARY-5'!$A$45,", ",'DICTIONARY-4'!$A$2)</f>
        <v>CEREX 300-W Przep. kołnierz. DN350 PN10/16 CF8M/NBR, WW</v>
      </c>
      <c r="S1614" s="733" t="str">
        <f>'DICTIONARY-4'!$A$2</f>
        <v>WW</v>
      </c>
      <c r="T1614" s="732" t="str">
        <f>'DICTIONARY-4'!$A$18</f>
        <v>Wolny wałek</v>
      </c>
      <c r="U1614" s="734" t="s">
        <v>5753</v>
      </c>
      <c r="V1614" s="735">
        <v>16</v>
      </c>
      <c r="W1614" s="736"/>
      <c r="X1614" s="737"/>
      <c r="Y1614" s="738"/>
      <c r="Z1614" s="739"/>
      <c r="AA1614" s="739"/>
      <c r="AB1614" s="740">
        <v>16</v>
      </c>
      <c r="AC1614" s="741" t="str">
        <f>'DICTIONARY-5'!$A$11&amp;" 20"</f>
        <v>EN 558 szereg 20</v>
      </c>
      <c r="AD1614" s="741" t="str">
        <f>'DICTIONARY-5'!$A$14</f>
        <v>ścieki</v>
      </c>
      <c r="AE1614" s="742">
        <v>80</v>
      </c>
      <c r="AF1614" s="743">
        <v>42</v>
      </c>
      <c r="AG1614" s="741" t="str">
        <f>'DICTIONARY-5'!$A$23</f>
        <v>powłoka epoksydowa</v>
      </c>
    </row>
    <row r="1615" spans="1:33" x14ac:dyDescent="0.25">
      <c r="A1615" s="844" t="s">
        <v>5304</v>
      </c>
      <c r="B1615" s="844" t="s">
        <v>5491</v>
      </c>
      <c r="C1615" s="836">
        <v>1727</v>
      </c>
      <c r="D1615" s="836"/>
      <c r="E1615" s="836"/>
      <c r="F1615" s="836"/>
      <c r="G1615" s="496" t="s">
        <v>7832</v>
      </c>
      <c r="H1615" s="797" t="str">
        <f>VLOOKUP(G1615,SETTINGS!$B$7:$D$97,2,0)</f>
        <v>CEREX 300</v>
      </c>
      <c r="I1615" s="796">
        <f>VLOOKUP(G1615,SETTINGS!$B$7:$D$97,3,0)</f>
        <v>0</v>
      </c>
      <c r="J1615" s="670" t="str">
        <f>IFERROR(IF(CURRENCY.FORMAT_1=0,CONCATENATE(TEXT(FIXED(ROUND((C1615/EXC.RATE_1),CURRENCY.FORMAT_1),CURRENCY.FORMAT_1,1),"# ##0;-# ##0"),",-"),FIXED(ROUND((C1615/EXC.RATE_1),CURRENCY.FORMAT_1),CURRENCY.FORMAT_1,0)),'DICTIONARY-5'!$A$2)</f>
        <v>1 727,-</v>
      </c>
      <c r="K1615" s="670" t="str">
        <f>IF(EXC.RATE_2=0,"",IFERROR(IF(CURRENCY.FORMAT_2=0,CONCATENATE(TEXT(FIXED(ROUND(IF(EXC.RATE.SWITCH=1,C1615/EXC.RATE_2,C1615*EXC.RATE_2),CURRENCY.FORMAT_2),CURRENCY.FORMAT_2,1),"# ##0;-# ##0"),",-"),FIXED(ROUND(IF(EXC.RATE.SWITCH=1,C1615/EXC.RATE_2,C1615*EXC.RATE_2),CURRENCY.FORMAT_2),CURRENCY.FORMAT_2,0)),'DICTIONARY-5'!$A$2))</f>
        <v/>
      </c>
      <c r="L1615" s="670" t="str">
        <f>IFERROR(IF(CURRENCY.FORMAT_1=0,CONCATENATE(TEXT(FIXED(ROUND((C1615*(1-I1615)*(1-ADD.DISCOUNT)*(1+MAT.SURCHARGE)/EXC.RATE_1),CURRENCY.FORMAT_1),CURRENCY.FORMAT_1,1),"# ##0;-# ##0"),",-"),FIXED(ROUND((C1615*(1-I1615)*(1-ADD.DISCOUNT)*(1+MAT.SURCHARGE)/EXC.RATE_1),CURRENCY.FORMAT_1),CURRENCY.FORMAT_1,0)),'DICTIONARY-5'!$A$2)</f>
        <v>1 794,-</v>
      </c>
      <c r="M1615" s="670" t="str">
        <f>IF(EXC.RATE_2=0,"",IFERROR(IF(CURRENCY.FORMAT_2=0,CONCATENATE(TEXT(FIXED(ROUND(IF(EXC.RATE.SWITCH=1,C1615*(1-I1615)*(1-ADD.DISCOUNT)*(1+MAT.SURCHARGE)/EXC.RATE_2,C1615*(1-I1615)*(1-ADD.DISCOUNT)*(1+MAT.SURCHARGE)*EXC.RATE_2),CURRENCY.FORMAT_2),CURRENCY.FORMAT_2,1),"# ##0;-# ##0"),",-"),FIXED(ROUND(IF(EXC.RATE.SWITCH=1,C1615*(1-I1615)*(1-ADD.DISCOUNT)*(1+MAT.SURCHARGE)/EXC.RATE_2,C1615*(1-I1615)*(1-ADD.DISCOUNT)*(1+MAT.SURCHARGE)*EXC.RATE_2),CURRENCY.FORMAT_2),CURRENCY.FORMAT_2,0)),'DICTIONARY-5'!$A$2))</f>
        <v/>
      </c>
      <c r="N1615" s="541">
        <v>6</v>
      </c>
      <c r="O1615" s="654" t="s">
        <v>7363</v>
      </c>
      <c r="P1615" s="731" t="str">
        <f>'DICTIONARY-3'!$A$149</f>
        <v>CEREX 300-W</v>
      </c>
      <c r="Q1615" s="731" t="str">
        <f>'DICTIONARY-3'!$A$204</f>
        <v>Przepustnica kołnierzowa</v>
      </c>
      <c r="R1615" s="732" t="str">
        <f>CONCATENATE('DICTIONARY-3'!$A$149," ",'DICTIONARY-6'!$A$2," ",'DICTIONARY-2'!$A$2,"400"," ",'DICTIONARY-2'!$A$3,"10/16"," ",'DICTIONARY-5'!$A$37,"/",'DICTIONARY-5'!$A$45,", ",'DICTIONARY-4'!$A$2)</f>
        <v>CEREX 300-W Przep. kołnierz. DN400 PN10/16 CF8M/NBR, WW</v>
      </c>
      <c r="S1615" s="733" t="str">
        <f>'DICTIONARY-4'!$A$2</f>
        <v>WW</v>
      </c>
      <c r="T1615" s="732" t="str">
        <f>'DICTIONARY-4'!$A$18</f>
        <v>Wolny wałek</v>
      </c>
      <c r="U1615" s="734" t="s">
        <v>5754</v>
      </c>
      <c r="V1615" s="735">
        <v>16</v>
      </c>
      <c r="W1615" s="736"/>
      <c r="X1615" s="737"/>
      <c r="Y1615" s="738"/>
      <c r="Z1615" s="739"/>
      <c r="AA1615" s="739"/>
      <c r="AB1615" s="740">
        <v>16</v>
      </c>
      <c r="AC1615" s="741" t="str">
        <f>'DICTIONARY-5'!$A$11&amp;" 20"</f>
        <v>EN 558 szereg 20</v>
      </c>
      <c r="AD1615" s="741" t="str">
        <f>'DICTIONARY-5'!$A$14</f>
        <v>ścieki</v>
      </c>
      <c r="AE1615" s="742">
        <v>80</v>
      </c>
      <c r="AF1615" s="743">
        <v>68</v>
      </c>
      <c r="AG1615" s="741" t="str">
        <f>'DICTIONARY-5'!$A$23</f>
        <v>powłoka epoksydowa</v>
      </c>
    </row>
    <row r="1616" spans="1:33" x14ac:dyDescent="0.25">
      <c r="A1616" s="844" t="s">
        <v>5306</v>
      </c>
      <c r="B1616" s="844" t="s">
        <v>5492</v>
      </c>
      <c r="C1616" s="836">
        <v>2815</v>
      </c>
      <c r="D1616" s="836"/>
      <c r="E1616" s="836"/>
      <c r="F1616" s="836"/>
      <c r="G1616" s="496" t="s">
        <v>7832</v>
      </c>
      <c r="H1616" s="797" t="str">
        <f>VLOOKUP(G1616,SETTINGS!$B$7:$D$97,2,0)</f>
        <v>CEREX 300</v>
      </c>
      <c r="I1616" s="796">
        <f>VLOOKUP(G1616,SETTINGS!$B$7:$D$97,3,0)</f>
        <v>0</v>
      </c>
      <c r="J1616" s="670" t="str">
        <f>IFERROR(IF(CURRENCY.FORMAT_1=0,CONCATENATE(TEXT(FIXED(ROUND((C1616/EXC.RATE_1),CURRENCY.FORMAT_1),CURRENCY.FORMAT_1,1),"# ##0;-# ##0"),",-"),FIXED(ROUND((C1616/EXC.RATE_1),CURRENCY.FORMAT_1),CURRENCY.FORMAT_1,0)),'DICTIONARY-5'!$A$2)</f>
        <v>2 815,-</v>
      </c>
      <c r="K1616" s="670" t="str">
        <f>IF(EXC.RATE_2=0,"",IFERROR(IF(CURRENCY.FORMAT_2=0,CONCATENATE(TEXT(FIXED(ROUND(IF(EXC.RATE.SWITCH=1,C1616/EXC.RATE_2,C1616*EXC.RATE_2),CURRENCY.FORMAT_2),CURRENCY.FORMAT_2,1),"# ##0;-# ##0"),",-"),FIXED(ROUND(IF(EXC.RATE.SWITCH=1,C1616/EXC.RATE_2,C1616*EXC.RATE_2),CURRENCY.FORMAT_2),CURRENCY.FORMAT_2,0)),'DICTIONARY-5'!$A$2))</f>
        <v/>
      </c>
      <c r="L1616" s="670" t="str">
        <f>IFERROR(IF(CURRENCY.FORMAT_1=0,CONCATENATE(TEXT(FIXED(ROUND((C1616*(1-I1616)*(1-ADD.DISCOUNT)*(1+MAT.SURCHARGE)/EXC.RATE_1),CURRENCY.FORMAT_1),CURRENCY.FORMAT_1,1),"# ##0;-# ##0"),",-"),FIXED(ROUND((C1616*(1-I1616)*(1-ADD.DISCOUNT)*(1+MAT.SURCHARGE)/EXC.RATE_1),CURRENCY.FORMAT_1),CURRENCY.FORMAT_1,0)),'DICTIONARY-5'!$A$2)</f>
        <v>2 925,-</v>
      </c>
      <c r="M1616" s="670" t="str">
        <f>IF(EXC.RATE_2=0,"",IFERROR(IF(CURRENCY.FORMAT_2=0,CONCATENATE(TEXT(FIXED(ROUND(IF(EXC.RATE.SWITCH=1,C1616*(1-I1616)*(1-ADD.DISCOUNT)*(1+MAT.SURCHARGE)/EXC.RATE_2,C1616*(1-I1616)*(1-ADD.DISCOUNT)*(1+MAT.SURCHARGE)*EXC.RATE_2),CURRENCY.FORMAT_2),CURRENCY.FORMAT_2,1),"# ##0;-# ##0"),",-"),FIXED(ROUND(IF(EXC.RATE.SWITCH=1,C1616*(1-I1616)*(1-ADD.DISCOUNT)*(1+MAT.SURCHARGE)/EXC.RATE_2,C1616*(1-I1616)*(1-ADD.DISCOUNT)*(1+MAT.SURCHARGE)*EXC.RATE_2),CURRENCY.FORMAT_2),CURRENCY.FORMAT_2,0)),'DICTIONARY-5'!$A$2))</f>
        <v/>
      </c>
      <c r="N1616" s="541">
        <v>6</v>
      </c>
      <c r="O1616" s="654" t="s">
        <v>7363</v>
      </c>
      <c r="P1616" s="731" t="str">
        <f>'DICTIONARY-3'!$A$149</f>
        <v>CEREX 300-W</v>
      </c>
      <c r="Q1616" s="731" t="str">
        <f>'DICTIONARY-3'!$A$204</f>
        <v>Przepustnica kołnierzowa</v>
      </c>
      <c r="R1616" s="732" t="str">
        <f>CONCATENATE('DICTIONARY-3'!$A$149," ",'DICTIONARY-6'!$A$2," ",'DICTIONARY-2'!$A$2,"450"," ",'DICTIONARY-2'!$A$3,"10/16"," ",'DICTIONARY-2'!$A$10,"10",'DICTIONARY-2'!$A$20," ",'DICTIONARY-5'!$A$37,"/",'DICTIONARY-5'!$A$45,", ",'DICTIONARY-4'!$A$2)</f>
        <v>CEREX 300-W Przep. kołnierz. DN450 PN10/16 PS10bar CF8M/NBR, WW</v>
      </c>
      <c r="S1616" s="733" t="str">
        <f>'DICTIONARY-4'!$A$2</f>
        <v>WW</v>
      </c>
      <c r="T1616" s="732" t="str">
        <f>'DICTIONARY-4'!$A$18</f>
        <v>Wolny wałek</v>
      </c>
      <c r="U1616" s="734" t="s">
        <v>5755</v>
      </c>
      <c r="V1616" s="735">
        <v>16</v>
      </c>
      <c r="W1616" s="736"/>
      <c r="X1616" s="737"/>
      <c r="Y1616" s="738"/>
      <c r="Z1616" s="739"/>
      <c r="AA1616" s="739"/>
      <c r="AB1616" s="740">
        <v>10</v>
      </c>
      <c r="AC1616" s="741" t="str">
        <f>'DICTIONARY-5'!$A$11&amp;" 20"</f>
        <v>EN 558 szereg 20</v>
      </c>
      <c r="AD1616" s="741" t="str">
        <f>'DICTIONARY-5'!$A$14</f>
        <v>ścieki</v>
      </c>
      <c r="AE1616" s="742">
        <v>80</v>
      </c>
      <c r="AF1616" s="743">
        <v>86.5</v>
      </c>
      <c r="AG1616" s="741" t="str">
        <f>'DICTIONARY-5'!$A$23</f>
        <v>powłoka epoksydowa</v>
      </c>
    </row>
    <row r="1617" spans="1:33" x14ac:dyDescent="0.25">
      <c r="A1617" s="844" t="s">
        <v>5308</v>
      </c>
      <c r="B1617" s="844" t="s">
        <v>5493</v>
      </c>
      <c r="C1617" s="836">
        <v>3399</v>
      </c>
      <c r="D1617" s="836"/>
      <c r="E1617" s="836"/>
      <c r="F1617" s="836"/>
      <c r="G1617" s="496" t="s">
        <v>7832</v>
      </c>
      <c r="H1617" s="797" t="str">
        <f>VLOOKUP(G1617,SETTINGS!$B$7:$D$97,2,0)</f>
        <v>CEREX 300</v>
      </c>
      <c r="I1617" s="796">
        <f>VLOOKUP(G1617,SETTINGS!$B$7:$D$97,3,0)</f>
        <v>0</v>
      </c>
      <c r="J1617" s="670" t="str">
        <f>IFERROR(IF(CURRENCY.FORMAT_1=0,CONCATENATE(TEXT(FIXED(ROUND((C1617/EXC.RATE_1),CURRENCY.FORMAT_1),CURRENCY.FORMAT_1,1),"# ##0;-# ##0"),",-"),FIXED(ROUND((C1617/EXC.RATE_1),CURRENCY.FORMAT_1),CURRENCY.FORMAT_1,0)),'DICTIONARY-5'!$A$2)</f>
        <v>3 399,-</v>
      </c>
      <c r="K1617" s="670" t="str">
        <f>IF(EXC.RATE_2=0,"",IFERROR(IF(CURRENCY.FORMAT_2=0,CONCATENATE(TEXT(FIXED(ROUND(IF(EXC.RATE.SWITCH=1,C1617/EXC.RATE_2,C1617*EXC.RATE_2),CURRENCY.FORMAT_2),CURRENCY.FORMAT_2,1),"# ##0;-# ##0"),",-"),FIXED(ROUND(IF(EXC.RATE.SWITCH=1,C1617/EXC.RATE_2,C1617*EXC.RATE_2),CURRENCY.FORMAT_2),CURRENCY.FORMAT_2,0)),'DICTIONARY-5'!$A$2))</f>
        <v/>
      </c>
      <c r="L1617" s="670" t="str">
        <f>IFERROR(IF(CURRENCY.FORMAT_1=0,CONCATENATE(TEXT(FIXED(ROUND((C1617*(1-I1617)*(1-ADD.DISCOUNT)*(1+MAT.SURCHARGE)/EXC.RATE_1),CURRENCY.FORMAT_1),CURRENCY.FORMAT_1,1),"# ##0;-# ##0"),",-"),FIXED(ROUND((C1617*(1-I1617)*(1-ADD.DISCOUNT)*(1+MAT.SURCHARGE)/EXC.RATE_1),CURRENCY.FORMAT_1),CURRENCY.FORMAT_1,0)),'DICTIONARY-5'!$A$2)</f>
        <v>3 532,-</v>
      </c>
      <c r="M1617" s="670" t="str">
        <f>IF(EXC.RATE_2=0,"",IFERROR(IF(CURRENCY.FORMAT_2=0,CONCATENATE(TEXT(FIXED(ROUND(IF(EXC.RATE.SWITCH=1,C1617*(1-I1617)*(1-ADD.DISCOUNT)*(1+MAT.SURCHARGE)/EXC.RATE_2,C1617*(1-I1617)*(1-ADD.DISCOUNT)*(1+MAT.SURCHARGE)*EXC.RATE_2),CURRENCY.FORMAT_2),CURRENCY.FORMAT_2,1),"# ##0;-# ##0"),",-"),FIXED(ROUND(IF(EXC.RATE.SWITCH=1,C1617*(1-I1617)*(1-ADD.DISCOUNT)*(1+MAT.SURCHARGE)/EXC.RATE_2,C1617*(1-I1617)*(1-ADD.DISCOUNT)*(1+MAT.SURCHARGE)*EXC.RATE_2),CURRENCY.FORMAT_2),CURRENCY.FORMAT_2,0)),'DICTIONARY-5'!$A$2))</f>
        <v/>
      </c>
      <c r="N1617" s="541">
        <v>6</v>
      </c>
      <c r="O1617" s="654" t="s">
        <v>7363</v>
      </c>
      <c r="P1617" s="731" t="str">
        <f>'DICTIONARY-3'!$A$149</f>
        <v>CEREX 300-W</v>
      </c>
      <c r="Q1617" s="731" t="str">
        <f>'DICTIONARY-3'!$A$204</f>
        <v>Przepustnica kołnierzowa</v>
      </c>
      <c r="R1617" s="732" t="str">
        <f>CONCATENATE('DICTIONARY-3'!$A$149," ",'DICTIONARY-6'!$A$2," ",'DICTIONARY-2'!$A$2,"500"," ",'DICTIONARY-2'!$A$3,"10"," ",'DICTIONARY-5'!$A$37,"/",'DICTIONARY-5'!$A$45,", ",'DICTIONARY-4'!$A$2)</f>
        <v>CEREX 300-W Przep. kołnierz. DN500 PN10 CF8M/NBR, WW</v>
      </c>
      <c r="S1617" s="733" t="str">
        <f>'DICTIONARY-4'!$A$2</f>
        <v>WW</v>
      </c>
      <c r="T1617" s="732" t="str">
        <f>'DICTIONARY-4'!$A$18</f>
        <v>Wolny wałek</v>
      </c>
      <c r="U1617" s="734" t="s">
        <v>5756</v>
      </c>
      <c r="V1617" s="735">
        <v>10</v>
      </c>
      <c r="W1617" s="736"/>
      <c r="X1617" s="737"/>
      <c r="Y1617" s="738"/>
      <c r="Z1617" s="739"/>
      <c r="AA1617" s="739"/>
      <c r="AB1617" s="740">
        <v>10</v>
      </c>
      <c r="AC1617" s="741" t="str">
        <f>'DICTIONARY-5'!$A$11&amp;" 20"</f>
        <v>EN 558 szereg 20</v>
      </c>
      <c r="AD1617" s="741" t="str">
        <f>'DICTIONARY-5'!$A$14</f>
        <v>ścieki</v>
      </c>
      <c r="AE1617" s="742">
        <v>80</v>
      </c>
      <c r="AF1617" s="743">
        <v>125</v>
      </c>
      <c r="AG1617" s="741" t="str">
        <f>'DICTIONARY-5'!$A$23</f>
        <v>powłoka epoksydowa</v>
      </c>
    </row>
    <row r="1618" spans="1:33" x14ac:dyDescent="0.25">
      <c r="A1618" s="844" t="s">
        <v>5310</v>
      </c>
      <c r="B1618" s="844" t="s">
        <v>5494</v>
      </c>
      <c r="C1618" s="836">
        <v>4251</v>
      </c>
      <c r="D1618" s="836"/>
      <c r="E1618" s="836"/>
      <c r="F1618" s="836"/>
      <c r="G1618" s="496" t="s">
        <v>7832</v>
      </c>
      <c r="H1618" s="797" t="str">
        <f>VLOOKUP(G1618,SETTINGS!$B$7:$D$97,2,0)</f>
        <v>CEREX 300</v>
      </c>
      <c r="I1618" s="796">
        <f>VLOOKUP(G1618,SETTINGS!$B$7:$D$97,3,0)</f>
        <v>0</v>
      </c>
      <c r="J1618" s="670" t="str">
        <f>IFERROR(IF(CURRENCY.FORMAT_1=0,CONCATENATE(TEXT(FIXED(ROUND((C1618/EXC.RATE_1),CURRENCY.FORMAT_1),CURRENCY.FORMAT_1,1),"# ##0;-# ##0"),",-"),FIXED(ROUND((C1618/EXC.RATE_1),CURRENCY.FORMAT_1),CURRENCY.FORMAT_1,0)),'DICTIONARY-5'!$A$2)</f>
        <v>4 251,-</v>
      </c>
      <c r="K1618" s="670" t="str">
        <f>IF(EXC.RATE_2=0,"",IFERROR(IF(CURRENCY.FORMAT_2=0,CONCATENATE(TEXT(FIXED(ROUND(IF(EXC.RATE.SWITCH=1,C1618/EXC.RATE_2,C1618*EXC.RATE_2),CURRENCY.FORMAT_2),CURRENCY.FORMAT_2,1),"# ##0;-# ##0"),",-"),FIXED(ROUND(IF(EXC.RATE.SWITCH=1,C1618/EXC.RATE_2,C1618*EXC.RATE_2),CURRENCY.FORMAT_2),CURRENCY.FORMAT_2,0)),'DICTIONARY-5'!$A$2))</f>
        <v/>
      </c>
      <c r="L1618" s="670" t="str">
        <f>IFERROR(IF(CURRENCY.FORMAT_1=0,CONCATENATE(TEXT(FIXED(ROUND((C1618*(1-I1618)*(1-ADD.DISCOUNT)*(1+MAT.SURCHARGE)/EXC.RATE_1),CURRENCY.FORMAT_1),CURRENCY.FORMAT_1,1),"# ##0;-# ##0"),",-"),FIXED(ROUND((C1618*(1-I1618)*(1-ADD.DISCOUNT)*(1+MAT.SURCHARGE)/EXC.RATE_1),CURRENCY.FORMAT_1),CURRENCY.FORMAT_1,0)),'DICTIONARY-5'!$A$2)</f>
        <v>4 417,-</v>
      </c>
      <c r="M1618" s="670" t="str">
        <f>IF(EXC.RATE_2=0,"",IFERROR(IF(CURRENCY.FORMAT_2=0,CONCATENATE(TEXT(FIXED(ROUND(IF(EXC.RATE.SWITCH=1,C1618*(1-I1618)*(1-ADD.DISCOUNT)*(1+MAT.SURCHARGE)/EXC.RATE_2,C1618*(1-I1618)*(1-ADD.DISCOUNT)*(1+MAT.SURCHARGE)*EXC.RATE_2),CURRENCY.FORMAT_2),CURRENCY.FORMAT_2,1),"# ##0;-# ##0"),",-"),FIXED(ROUND(IF(EXC.RATE.SWITCH=1,C1618*(1-I1618)*(1-ADD.DISCOUNT)*(1+MAT.SURCHARGE)/EXC.RATE_2,C1618*(1-I1618)*(1-ADD.DISCOUNT)*(1+MAT.SURCHARGE)*EXC.RATE_2),CURRENCY.FORMAT_2),CURRENCY.FORMAT_2,0)),'DICTIONARY-5'!$A$2))</f>
        <v/>
      </c>
      <c r="N1618" s="541">
        <v>6</v>
      </c>
      <c r="O1618" s="654" t="s">
        <v>7363</v>
      </c>
      <c r="P1618" s="731" t="str">
        <f>'DICTIONARY-3'!$A$149</f>
        <v>CEREX 300-W</v>
      </c>
      <c r="Q1618" s="731" t="str">
        <f>'DICTIONARY-3'!$A$204</f>
        <v>Przepustnica kołnierzowa</v>
      </c>
      <c r="R1618" s="732" t="str">
        <f>CONCATENATE('DICTIONARY-3'!$A$149," ",'DICTIONARY-6'!$A$2," ",'DICTIONARY-2'!$A$2,"500"," ",'DICTIONARY-2'!$A$3,"16"," ",'DICTIONARY-2'!$A$10,"10",'DICTIONARY-2'!$A$20," ",'DICTIONARY-5'!$A$37,"/",'DICTIONARY-5'!$A$45,", ",'DICTIONARY-4'!$A$2)</f>
        <v>CEREX 300-W Przep. kołnierz. DN500 PN16 PS10bar CF8M/NBR, WW</v>
      </c>
      <c r="S1618" s="733" t="str">
        <f>'DICTIONARY-4'!$A$2</f>
        <v>WW</v>
      </c>
      <c r="T1618" s="732" t="str">
        <f>'DICTIONARY-4'!$A$18</f>
        <v>Wolny wałek</v>
      </c>
      <c r="U1618" s="734" t="s">
        <v>5756</v>
      </c>
      <c r="V1618" s="735">
        <v>16</v>
      </c>
      <c r="W1618" s="736"/>
      <c r="X1618" s="737"/>
      <c r="Y1618" s="738"/>
      <c r="Z1618" s="739"/>
      <c r="AA1618" s="739"/>
      <c r="AB1618" s="740">
        <v>10</v>
      </c>
      <c r="AC1618" s="741" t="str">
        <f>'DICTIONARY-5'!$A$11&amp;" 20"</f>
        <v>EN 558 szereg 20</v>
      </c>
      <c r="AD1618" s="741" t="str">
        <f>'DICTIONARY-5'!$A$14</f>
        <v>ścieki</v>
      </c>
      <c r="AE1618" s="742">
        <v>80</v>
      </c>
      <c r="AF1618" s="743">
        <v>130</v>
      </c>
      <c r="AG1618" s="741" t="str">
        <f>'DICTIONARY-5'!$A$23</f>
        <v>powłoka epoksydowa</v>
      </c>
    </row>
    <row r="1619" spans="1:33" x14ac:dyDescent="0.25">
      <c r="A1619" s="844" t="s">
        <v>5312</v>
      </c>
      <c r="B1619" s="844" t="s">
        <v>5495</v>
      </c>
      <c r="C1619" s="836">
        <v>5442</v>
      </c>
      <c r="D1619" s="836"/>
      <c r="E1619" s="836"/>
      <c r="F1619" s="836"/>
      <c r="G1619" s="496" t="s">
        <v>7832</v>
      </c>
      <c r="H1619" s="797" t="str">
        <f>VLOOKUP(G1619,SETTINGS!$B$7:$D$97,2,0)</f>
        <v>CEREX 300</v>
      </c>
      <c r="I1619" s="796">
        <f>VLOOKUP(G1619,SETTINGS!$B$7:$D$97,3,0)</f>
        <v>0</v>
      </c>
      <c r="J1619" s="670" t="str">
        <f>IFERROR(IF(CURRENCY.FORMAT_1=0,CONCATENATE(TEXT(FIXED(ROUND((C1619/EXC.RATE_1),CURRENCY.FORMAT_1),CURRENCY.FORMAT_1,1),"# ##0;-# ##0"),",-"),FIXED(ROUND((C1619/EXC.RATE_1),CURRENCY.FORMAT_1),CURRENCY.FORMAT_1,0)),'DICTIONARY-5'!$A$2)</f>
        <v>5 442,-</v>
      </c>
      <c r="K1619" s="670" t="str">
        <f>IF(EXC.RATE_2=0,"",IFERROR(IF(CURRENCY.FORMAT_2=0,CONCATENATE(TEXT(FIXED(ROUND(IF(EXC.RATE.SWITCH=1,C1619/EXC.RATE_2,C1619*EXC.RATE_2),CURRENCY.FORMAT_2),CURRENCY.FORMAT_2,1),"# ##0;-# ##0"),",-"),FIXED(ROUND(IF(EXC.RATE.SWITCH=1,C1619/EXC.RATE_2,C1619*EXC.RATE_2),CURRENCY.FORMAT_2),CURRENCY.FORMAT_2,0)),'DICTIONARY-5'!$A$2))</f>
        <v/>
      </c>
      <c r="L1619" s="670" t="str">
        <f>IFERROR(IF(CURRENCY.FORMAT_1=0,CONCATENATE(TEXT(FIXED(ROUND((C1619*(1-I1619)*(1-ADD.DISCOUNT)*(1+MAT.SURCHARGE)/EXC.RATE_1),CURRENCY.FORMAT_1),CURRENCY.FORMAT_1,1),"# ##0;-# ##0"),",-"),FIXED(ROUND((C1619*(1-I1619)*(1-ADD.DISCOUNT)*(1+MAT.SURCHARGE)/EXC.RATE_1),CURRENCY.FORMAT_1),CURRENCY.FORMAT_1,0)),'DICTIONARY-5'!$A$2)</f>
        <v>5 654,-</v>
      </c>
      <c r="M1619" s="670" t="str">
        <f>IF(EXC.RATE_2=0,"",IFERROR(IF(CURRENCY.FORMAT_2=0,CONCATENATE(TEXT(FIXED(ROUND(IF(EXC.RATE.SWITCH=1,C1619*(1-I1619)*(1-ADD.DISCOUNT)*(1+MAT.SURCHARGE)/EXC.RATE_2,C1619*(1-I1619)*(1-ADD.DISCOUNT)*(1+MAT.SURCHARGE)*EXC.RATE_2),CURRENCY.FORMAT_2),CURRENCY.FORMAT_2,1),"# ##0;-# ##0"),",-"),FIXED(ROUND(IF(EXC.RATE.SWITCH=1,C1619*(1-I1619)*(1-ADD.DISCOUNT)*(1+MAT.SURCHARGE)/EXC.RATE_2,C1619*(1-I1619)*(1-ADD.DISCOUNT)*(1+MAT.SURCHARGE)*EXC.RATE_2),CURRENCY.FORMAT_2),CURRENCY.FORMAT_2,0)),'DICTIONARY-5'!$A$2))</f>
        <v/>
      </c>
      <c r="N1619" s="541">
        <v>6</v>
      </c>
      <c r="O1619" s="654" t="s">
        <v>7363</v>
      </c>
      <c r="P1619" s="731" t="str">
        <f>'DICTIONARY-3'!$A$149</f>
        <v>CEREX 300-W</v>
      </c>
      <c r="Q1619" s="731" t="str">
        <f>'DICTIONARY-3'!$A$204</f>
        <v>Przepustnica kołnierzowa</v>
      </c>
      <c r="R1619" s="732" t="str">
        <f>CONCATENATE('DICTIONARY-3'!$A$149," ",'DICTIONARY-6'!$A$2," ",'DICTIONARY-2'!$A$2,"600"," ",'DICTIONARY-2'!$A$3,"10"," ",'DICTIONARY-5'!$A$37,"/",'DICTIONARY-5'!$A$45,", ",'DICTIONARY-4'!$A$2)</f>
        <v>CEREX 300-W Przep. kołnierz. DN600 PN10 CF8M/NBR, WW</v>
      </c>
      <c r="S1619" s="733" t="str">
        <f>'DICTIONARY-4'!$A$2</f>
        <v>WW</v>
      </c>
      <c r="T1619" s="732" t="str">
        <f>'DICTIONARY-4'!$A$18</f>
        <v>Wolny wałek</v>
      </c>
      <c r="U1619" s="734" t="s">
        <v>5757</v>
      </c>
      <c r="V1619" s="735">
        <v>10</v>
      </c>
      <c r="W1619" s="736"/>
      <c r="X1619" s="737"/>
      <c r="Y1619" s="738"/>
      <c r="Z1619" s="739"/>
      <c r="AA1619" s="739"/>
      <c r="AB1619" s="740">
        <v>10</v>
      </c>
      <c r="AC1619" s="741" t="str">
        <f>'DICTIONARY-5'!$A$11&amp;" 20"</f>
        <v>EN 558 szereg 20</v>
      </c>
      <c r="AD1619" s="741" t="str">
        <f>'DICTIONARY-5'!$A$14</f>
        <v>ścieki</v>
      </c>
      <c r="AE1619" s="742">
        <v>80</v>
      </c>
      <c r="AF1619" s="743">
        <v>196</v>
      </c>
      <c r="AG1619" s="741" t="str">
        <f>'DICTIONARY-5'!$A$23</f>
        <v>powłoka epoksydowa</v>
      </c>
    </row>
    <row r="1620" spans="1:33" x14ac:dyDescent="0.25">
      <c r="A1620" s="844" t="s">
        <v>5314</v>
      </c>
      <c r="B1620" s="844" t="s">
        <v>5496</v>
      </c>
      <c r="C1620" s="836">
        <v>5777</v>
      </c>
      <c r="D1620" s="836"/>
      <c r="E1620" s="836"/>
      <c r="F1620" s="836"/>
      <c r="G1620" s="496" t="s">
        <v>7832</v>
      </c>
      <c r="H1620" s="806" t="str">
        <f>VLOOKUP(G1620,SETTINGS!$B$7:$D$97,2,0)</f>
        <v>CEREX 300</v>
      </c>
      <c r="I1620" s="807">
        <f>VLOOKUP(G1620,SETTINGS!$B$7:$D$97,3,0)</f>
        <v>0</v>
      </c>
      <c r="J1620" s="670" t="str">
        <f>IFERROR(IF(CURRENCY.FORMAT_1=0,CONCATENATE(TEXT(FIXED(ROUND((C1620/EXC.RATE_1),CURRENCY.FORMAT_1),CURRENCY.FORMAT_1,1),"# ##0;-# ##0"),",-"),FIXED(ROUND((C1620/EXC.RATE_1),CURRENCY.FORMAT_1),CURRENCY.FORMAT_1,0)),'DICTIONARY-5'!$A$2)</f>
        <v>5 777,-</v>
      </c>
      <c r="K1620" s="670" t="str">
        <f>IF(EXC.RATE_2=0,"",IFERROR(IF(CURRENCY.FORMAT_2=0,CONCATENATE(TEXT(FIXED(ROUND(IF(EXC.RATE.SWITCH=1,C1620/EXC.RATE_2,C1620*EXC.RATE_2),CURRENCY.FORMAT_2),CURRENCY.FORMAT_2,1),"# ##0;-# ##0"),",-"),FIXED(ROUND(IF(EXC.RATE.SWITCH=1,C1620/EXC.RATE_2,C1620*EXC.RATE_2),CURRENCY.FORMAT_2),CURRENCY.FORMAT_2,0)),'DICTIONARY-5'!$A$2))</f>
        <v/>
      </c>
      <c r="L1620" s="670" t="str">
        <f>IFERROR(IF(CURRENCY.FORMAT_1=0,CONCATENATE(TEXT(FIXED(ROUND((C1620*(1-I1620)*(1-ADD.DISCOUNT)*(1+MAT.SURCHARGE)/EXC.RATE_1),CURRENCY.FORMAT_1),CURRENCY.FORMAT_1,1),"# ##0;-# ##0"),",-"),FIXED(ROUND((C1620*(1-I1620)*(1-ADD.DISCOUNT)*(1+MAT.SURCHARGE)/EXC.RATE_1),CURRENCY.FORMAT_1),CURRENCY.FORMAT_1,0)),'DICTIONARY-5'!$A$2)</f>
        <v>6 002,-</v>
      </c>
      <c r="M1620" s="670" t="str">
        <f>IF(EXC.RATE_2=0,"",IFERROR(IF(CURRENCY.FORMAT_2=0,CONCATENATE(TEXT(FIXED(ROUND(IF(EXC.RATE.SWITCH=1,C1620*(1-I1620)*(1-ADD.DISCOUNT)*(1+MAT.SURCHARGE)/EXC.RATE_2,C1620*(1-I1620)*(1-ADD.DISCOUNT)*(1+MAT.SURCHARGE)*EXC.RATE_2),CURRENCY.FORMAT_2),CURRENCY.FORMAT_2,1),"# ##0;-# ##0"),",-"),FIXED(ROUND(IF(EXC.RATE.SWITCH=1,C1620*(1-I1620)*(1-ADD.DISCOUNT)*(1+MAT.SURCHARGE)/EXC.RATE_2,C1620*(1-I1620)*(1-ADD.DISCOUNT)*(1+MAT.SURCHARGE)*EXC.RATE_2),CURRENCY.FORMAT_2),CURRENCY.FORMAT_2,0)),'DICTIONARY-5'!$A$2))</f>
        <v/>
      </c>
      <c r="N1620" s="541">
        <v>6</v>
      </c>
      <c r="O1620" s="654" t="s">
        <v>7363</v>
      </c>
      <c r="P1620" s="731" t="str">
        <f>'DICTIONARY-3'!$A$149</f>
        <v>CEREX 300-W</v>
      </c>
      <c r="Q1620" s="731" t="str">
        <f>'DICTIONARY-3'!$A$204</f>
        <v>Przepustnica kołnierzowa</v>
      </c>
      <c r="R1620" s="732" t="str">
        <f>CONCATENATE('DICTIONARY-3'!$A$149," ",'DICTIONARY-6'!$A$2," ",'DICTIONARY-2'!$A$2,"600"," ",'DICTIONARY-2'!$A$3,"16"," ",'DICTIONARY-2'!$A$10,"10",'DICTIONARY-2'!$A$20," ",'DICTIONARY-5'!$A$37,"/",'DICTIONARY-5'!$A$45,", ",'DICTIONARY-4'!$A$2)</f>
        <v>CEREX 300-W Przep. kołnierz. DN600 PN16 PS10bar CF8M/NBR, WW</v>
      </c>
      <c r="S1620" s="733" t="str">
        <f>'DICTIONARY-4'!$A$2</f>
        <v>WW</v>
      </c>
      <c r="T1620" s="732" t="str">
        <f>'DICTIONARY-4'!$A$18</f>
        <v>Wolny wałek</v>
      </c>
      <c r="U1620" s="734" t="s">
        <v>5757</v>
      </c>
      <c r="V1620" s="735">
        <v>16</v>
      </c>
      <c r="W1620" s="736"/>
      <c r="X1620" s="737"/>
      <c r="Y1620" s="738"/>
      <c r="Z1620" s="739"/>
      <c r="AA1620" s="739"/>
      <c r="AB1620" s="740">
        <v>10</v>
      </c>
      <c r="AC1620" s="741" t="str">
        <f>'DICTIONARY-5'!$A$11&amp;" 20"</f>
        <v>EN 558 szereg 20</v>
      </c>
      <c r="AD1620" s="741" t="str">
        <f>'DICTIONARY-5'!$A$14</f>
        <v>ścieki</v>
      </c>
      <c r="AE1620" s="742">
        <v>80</v>
      </c>
      <c r="AF1620" s="743">
        <v>196</v>
      </c>
      <c r="AG1620" s="741" t="str">
        <f>'DICTIONARY-5'!$A$23</f>
        <v>powłoka epoksydowa</v>
      </c>
    </row>
    <row r="1621" spans="1:33" x14ac:dyDescent="0.25">
      <c r="A1621" s="866" t="s">
        <v>1704</v>
      </c>
      <c r="B1621" s="866" t="s">
        <v>3747</v>
      </c>
      <c r="C1621" s="836">
        <v>159</v>
      </c>
      <c r="D1621" s="836"/>
      <c r="E1621" s="836"/>
      <c r="F1621" s="836"/>
      <c r="G1621" s="496" t="s">
        <v>7832</v>
      </c>
      <c r="H1621" s="797" t="str">
        <f>VLOOKUP(G1621,SETTINGS!$B$7:$D$97,2,0)</f>
        <v>CEREX 300</v>
      </c>
      <c r="I1621" s="796">
        <f>VLOOKUP(G1621,SETTINGS!$B$7:$D$97,3,0)</f>
        <v>0</v>
      </c>
      <c r="J1621" s="670" t="str">
        <f>IFERROR(IF(CURRENCY.FORMAT_1=0,CONCATENATE(TEXT(FIXED(ROUND((C1621/EXC.RATE_1),CURRENCY.FORMAT_1),CURRENCY.FORMAT_1,1),"# ##0;-# ##0"),",-"),FIXED(ROUND((C1621/EXC.RATE_1),CURRENCY.FORMAT_1),CURRENCY.FORMAT_1,0)),'DICTIONARY-5'!$A$2)</f>
        <v>159,-</v>
      </c>
      <c r="K1621" s="670" t="str">
        <f>IF(EXC.RATE_2=0,"",IFERROR(IF(CURRENCY.FORMAT_2=0,CONCATENATE(TEXT(FIXED(ROUND(IF(EXC.RATE.SWITCH=1,C1621/EXC.RATE_2,C1621*EXC.RATE_2),CURRENCY.FORMAT_2),CURRENCY.FORMAT_2,1),"# ##0;-# ##0"),",-"),FIXED(ROUND(IF(EXC.RATE.SWITCH=1,C1621/EXC.RATE_2,C1621*EXC.RATE_2),CURRENCY.FORMAT_2),CURRENCY.FORMAT_2,0)),'DICTIONARY-5'!$A$2))</f>
        <v/>
      </c>
      <c r="L1621" s="670" t="str">
        <f>IFERROR(IF(CURRENCY.FORMAT_1=0,CONCATENATE(TEXT(FIXED(ROUND((C1621*(1-I1621)*(1-ADD.DISCOUNT)*(1+MAT.SURCHARGE)/EXC.RATE_1),CURRENCY.FORMAT_1),CURRENCY.FORMAT_1,1),"# ##0;-# ##0"),",-"),FIXED(ROUND((C1621*(1-I1621)*(1-ADD.DISCOUNT)*(1+MAT.SURCHARGE)/EXC.RATE_1),CURRENCY.FORMAT_1),CURRENCY.FORMAT_1,0)),'DICTIONARY-5'!$A$2)</f>
        <v>165,-</v>
      </c>
      <c r="M1621" s="670" t="str">
        <f>IF(EXC.RATE_2=0,"",IFERROR(IF(CURRENCY.FORMAT_2=0,CONCATENATE(TEXT(FIXED(ROUND(IF(EXC.RATE.SWITCH=1,C1621*(1-I1621)*(1-ADD.DISCOUNT)*(1+MAT.SURCHARGE)/EXC.RATE_2,C1621*(1-I1621)*(1-ADD.DISCOUNT)*(1+MAT.SURCHARGE)*EXC.RATE_2),CURRENCY.FORMAT_2),CURRENCY.FORMAT_2,1),"# ##0;-# ##0"),",-"),FIXED(ROUND(IF(EXC.RATE.SWITCH=1,C1621*(1-I1621)*(1-ADD.DISCOUNT)*(1+MAT.SURCHARGE)/EXC.RATE_2,C1621*(1-I1621)*(1-ADD.DISCOUNT)*(1+MAT.SURCHARGE)*EXC.RATE_2),CURRENCY.FORMAT_2),CURRENCY.FORMAT_2,0)),'DICTIONARY-5'!$A$2))</f>
        <v/>
      </c>
      <c r="N1621" s="541">
        <v>6</v>
      </c>
      <c r="O1621" s="541"/>
      <c r="P1621" s="731" t="str">
        <f>'DICTIONARY-3'!$A$149</f>
        <v>CEREX 300-W</v>
      </c>
      <c r="Q1621" s="731" t="str">
        <f>'DICTIONARY-3'!$A$204</f>
        <v>Przepustnica kołnierzowa</v>
      </c>
      <c r="R1621" s="732" t="str">
        <f>CONCATENATE('DICTIONARY-3'!$A$149," ",'DICTIONARY-6'!$A$2," ",'DICTIONARY-2'!$A$2,"50"," ",'DICTIONARY-2'!$A$3,"10/16"," ","R20"," ",'DICTIONARY-5'!$A$51,"/",'DICTIONARY-5'!$A$44,", ",'DICTIONARY-4'!$A$3," ",'DICTIONARY-5'!$A$40)</f>
        <v>CEREX 300-W Przep. kołnierz. DN50 PN10/16 R20 GGG/EPDM, DR stal</v>
      </c>
      <c r="S1621" s="733" t="str">
        <f>'DICTIONARY-4'!$A$3</f>
        <v>DR</v>
      </c>
      <c r="T1621" s="732" t="str">
        <f>'DICTIONARY-4'!$A$19</f>
        <v>Dźwignia ręczna</v>
      </c>
      <c r="U1621" s="734" t="s">
        <v>5748</v>
      </c>
      <c r="V1621" s="735">
        <v>16</v>
      </c>
      <c r="W1621" s="736"/>
      <c r="X1621" s="737"/>
      <c r="Y1621" s="738"/>
      <c r="Z1621" s="739"/>
      <c r="AA1621" s="739"/>
      <c r="AB1621" s="740">
        <v>16</v>
      </c>
      <c r="AC1621" s="741" t="str">
        <f>'DICTIONARY-5'!$A$11&amp;" 20"</f>
        <v>EN 558 szereg 20</v>
      </c>
      <c r="AD1621" s="741" t="str">
        <f>'DICTIONARY-5'!$A$13</f>
        <v>woda pitna</v>
      </c>
      <c r="AE1621" s="742">
        <v>80</v>
      </c>
      <c r="AF1621" s="743">
        <v>3.1</v>
      </c>
      <c r="AG1621" s="741" t="str">
        <f>'DICTIONARY-5'!$A$23</f>
        <v>powłoka epoksydowa</v>
      </c>
    </row>
    <row r="1622" spans="1:33" x14ac:dyDescent="0.25">
      <c r="A1622" s="866" t="s">
        <v>1706</v>
      </c>
      <c r="B1622" s="866" t="s">
        <v>3754</v>
      </c>
      <c r="C1622" s="836">
        <v>164</v>
      </c>
      <c r="D1622" s="836"/>
      <c r="E1622" s="836"/>
      <c r="F1622" s="836"/>
      <c r="G1622" s="496" t="s">
        <v>7832</v>
      </c>
      <c r="H1622" s="797" t="str">
        <f>VLOOKUP(G1622,SETTINGS!$B$7:$D$97,2,0)</f>
        <v>CEREX 300</v>
      </c>
      <c r="I1622" s="796">
        <f>VLOOKUP(G1622,SETTINGS!$B$7:$D$97,3,0)</f>
        <v>0</v>
      </c>
      <c r="J1622" s="670" t="str">
        <f>IFERROR(IF(CURRENCY.FORMAT_1=0,CONCATENATE(TEXT(FIXED(ROUND((C1622/EXC.RATE_1),CURRENCY.FORMAT_1),CURRENCY.FORMAT_1,1),"# ##0;-# ##0"),",-"),FIXED(ROUND((C1622/EXC.RATE_1),CURRENCY.FORMAT_1),CURRENCY.FORMAT_1,0)),'DICTIONARY-5'!$A$2)</f>
        <v>164,-</v>
      </c>
      <c r="K1622" s="670" t="str">
        <f>IF(EXC.RATE_2=0,"",IFERROR(IF(CURRENCY.FORMAT_2=0,CONCATENATE(TEXT(FIXED(ROUND(IF(EXC.RATE.SWITCH=1,C1622/EXC.RATE_2,C1622*EXC.RATE_2),CURRENCY.FORMAT_2),CURRENCY.FORMAT_2,1),"# ##0;-# ##0"),",-"),FIXED(ROUND(IF(EXC.RATE.SWITCH=1,C1622/EXC.RATE_2,C1622*EXC.RATE_2),CURRENCY.FORMAT_2),CURRENCY.FORMAT_2,0)),'DICTIONARY-5'!$A$2))</f>
        <v/>
      </c>
      <c r="L1622" s="670" t="str">
        <f>IFERROR(IF(CURRENCY.FORMAT_1=0,CONCATENATE(TEXT(FIXED(ROUND((C1622*(1-I1622)*(1-ADD.DISCOUNT)*(1+MAT.SURCHARGE)/EXC.RATE_1),CURRENCY.FORMAT_1),CURRENCY.FORMAT_1,1),"# ##0;-# ##0"),",-"),FIXED(ROUND((C1622*(1-I1622)*(1-ADD.DISCOUNT)*(1+MAT.SURCHARGE)/EXC.RATE_1),CURRENCY.FORMAT_1),CURRENCY.FORMAT_1,0)),'DICTIONARY-5'!$A$2)</f>
        <v>170,-</v>
      </c>
      <c r="M1622" s="670" t="str">
        <f>IF(EXC.RATE_2=0,"",IFERROR(IF(CURRENCY.FORMAT_2=0,CONCATENATE(TEXT(FIXED(ROUND(IF(EXC.RATE.SWITCH=1,C1622*(1-I1622)*(1-ADD.DISCOUNT)*(1+MAT.SURCHARGE)/EXC.RATE_2,C1622*(1-I1622)*(1-ADD.DISCOUNT)*(1+MAT.SURCHARGE)*EXC.RATE_2),CURRENCY.FORMAT_2),CURRENCY.FORMAT_2,1),"# ##0;-# ##0"),",-"),FIXED(ROUND(IF(EXC.RATE.SWITCH=1,C1622*(1-I1622)*(1-ADD.DISCOUNT)*(1+MAT.SURCHARGE)/EXC.RATE_2,C1622*(1-I1622)*(1-ADD.DISCOUNT)*(1+MAT.SURCHARGE)*EXC.RATE_2),CURRENCY.FORMAT_2),CURRENCY.FORMAT_2,0)),'DICTIONARY-5'!$A$2))</f>
        <v/>
      </c>
      <c r="N1622" s="541">
        <v>6</v>
      </c>
      <c r="O1622" s="541"/>
      <c r="P1622" s="731" t="str">
        <f>'DICTIONARY-3'!$A$149</f>
        <v>CEREX 300-W</v>
      </c>
      <c r="Q1622" s="731" t="str">
        <f>'DICTIONARY-3'!$A$204</f>
        <v>Przepustnica kołnierzowa</v>
      </c>
      <c r="R1622" s="732" t="str">
        <f>CONCATENATE('DICTIONARY-3'!$A$149," ",'DICTIONARY-6'!$A$2," ",'DICTIONARY-2'!$A$2,"65"," ",'DICTIONARY-2'!$A$3,"10/16"," ","R20"," ",'DICTIONARY-5'!$A$51,"/",'DICTIONARY-5'!$A$44,", ",'DICTIONARY-4'!$A$3," ",'DICTIONARY-5'!$A$40)</f>
        <v>CEREX 300-W Przep. kołnierz. DN65 PN10/16 R20 GGG/EPDM, DR stal</v>
      </c>
      <c r="S1622" s="733" t="str">
        <f>'DICTIONARY-4'!$A$3</f>
        <v>DR</v>
      </c>
      <c r="T1622" s="732" t="str">
        <f>'DICTIONARY-4'!$A$19</f>
        <v>Dźwignia ręczna</v>
      </c>
      <c r="U1622" s="734" t="s">
        <v>5759</v>
      </c>
      <c r="V1622" s="735">
        <v>16</v>
      </c>
      <c r="W1622" s="736"/>
      <c r="X1622" s="737"/>
      <c r="Y1622" s="738"/>
      <c r="Z1622" s="739"/>
      <c r="AA1622" s="739"/>
      <c r="AB1622" s="740">
        <v>16</v>
      </c>
      <c r="AC1622" s="741" t="str">
        <f>'DICTIONARY-5'!$A$11&amp;" 20"</f>
        <v>EN 558 szereg 20</v>
      </c>
      <c r="AD1622" s="741" t="str">
        <f>'DICTIONARY-5'!$A$13</f>
        <v>woda pitna</v>
      </c>
      <c r="AE1622" s="742">
        <v>80</v>
      </c>
      <c r="AF1622" s="743">
        <v>3.5</v>
      </c>
      <c r="AG1622" s="741" t="str">
        <f>'DICTIONARY-5'!$A$23</f>
        <v>powłoka epoksydowa</v>
      </c>
    </row>
    <row r="1623" spans="1:33" x14ac:dyDescent="0.25">
      <c r="A1623" s="866" t="s">
        <v>1708</v>
      </c>
      <c r="B1623" s="866" t="s">
        <v>3761</v>
      </c>
      <c r="C1623" s="836">
        <v>171</v>
      </c>
      <c r="D1623" s="836"/>
      <c r="E1623" s="836"/>
      <c r="F1623" s="836"/>
      <c r="G1623" s="496" t="s">
        <v>7832</v>
      </c>
      <c r="H1623" s="797" t="str">
        <f>VLOOKUP(G1623,SETTINGS!$B$7:$D$97,2,0)</f>
        <v>CEREX 300</v>
      </c>
      <c r="I1623" s="796">
        <f>VLOOKUP(G1623,SETTINGS!$B$7:$D$97,3,0)</f>
        <v>0</v>
      </c>
      <c r="J1623" s="670" t="str">
        <f>IFERROR(IF(CURRENCY.FORMAT_1=0,CONCATENATE(TEXT(FIXED(ROUND((C1623/EXC.RATE_1),CURRENCY.FORMAT_1),CURRENCY.FORMAT_1,1),"# ##0;-# ##0"),",-"),FIXED(ROUND((C1623/EXC.RATE_1),CURRENCY.FORMAT_1),CURRENCY.FORMAT_1,0)),'DICTIONARY-5'!$A$2)</f>
        <v>171,-</v>
      </c>
      <c r="K1623" s="670" t="str">
        <f>IF(EXC.RATE_2=0,"",IFERROR(IF(CURRENCY.FORMAT_2=0,CONCATENATE(TEXT(FIXED(ROUND(IF(EXC.RATE.SWITCH=1,C1623/EXC.RATE_2,C1623*EXC.RATE_2),CURRENCY.FORMAT_2),CURRENCY.FORMAT_2,1),"# ##0;-# ##0"),",-"),FIXED(ROUND(IF(EXC.RATE.SWITCH=1,C1623/EXC.RATE_2,C1623*EXC.RATE_2),CURRENCY.FORMAT_2),CURRENCY.FORMAT_2,0)),'DICTIONARY-5'!$A$2))</f>
        <v/>
      </c>
      <c r="L1623" s="670" t="str">
        <f>IFERROR(IF(CURRENCY.FORMAT_1=0,CONCATENATE(TEXT(FIXED(ROUND((C1623*(1-I1623)*(1-ADD.DISCOUNT)*(1+MAT.SURCHARGE)/EXC.RATE_1),CURRENCY.FORMAT_1),CURRENCY.FORMAT_1,1),"# ##0;-# ##0"),",-"),FIXED(ROUND((C1623*(1-I1623)*(1-ADD.DISCOUNT)*(1+MAT.SURCHARGE)/EXC.RATE_1),CURRENCY.FORMAT_1),CURRENCY.FORMAT_1,0)),'DICTIONARY-5'!$A$2)</f>
        <v>178,-</v>
      </c>
      <c r="M1623" s="670" t="str">
        <f>IF(EXC.RATE_2=0,"",IFERROR(IF(CURRENCY.FORMAT_2=0,CONCATENATE(TEXT(FIXED(ROUND(IF(EXC.RATE.SWITCH=1,C1623*(1-I1623)*(1-ADD.DISCOUNT)*(1+MAT.SURCHARGE)/EXC.RATE_2,C1623*(1-I1623)*(1-ADD.DISCOUNT)*(1+MAT.SURCHARGE)*EXC.RATE_2),CURRENCY.FORMAT_2),CURRENCY.FORMAT_2,1),"# ##0;-# ##0"),",-"),FIXED(ROUND(IF(EXC.RATE.SWITCH=1,C1623*(1-I1623)*(1-ADD.DISCOUNT)*(1+MAT.SURCHARGE)/EXC.RATE_2,C1623*(1-I1623)*(1-ADD.DISCOUNT)*(1+MAT.SURCHARGE)*EXC.RATE_2),CURRENCY.FORMAT_2),CURRENCY.FORMAT_2,0)),'DICTIONARY-5'!$A$2))</f>
        <v/>
      </c>
      <c r="N1623" s="541">
        <v>6</v>
      </c>
      <c r="O1623" s="541"/>
      <c r="P1623" s="731" t="str">
        <f>'DICTIONARY-3'!$A$149</f>
        <v>CEREX 300-W</v>
      </c>
      <c r="Q1623" s="731" t="str">
        <f>'DICTIONARY-3'!$A$204</f>
        <v>Przepustnica kołnierzowa</v>
      </c>
      <c r="R1623" s="732" t="str">
        <f>CONCATENATE('DICTIONARY-3'!$A$149," ",'DICTIONARY-6'!$A$2," ",'DICTIONARY-2'!$A$2,"80"," ",'DICTIONARY-2'!$A$3,"10/16"," ","R20"," ",'DICTIONARY-5'!$A$51,"/",'DICTIONARY-5'!$A$44,", ",'DICTIONARY-4'!$A$3," ",'DICTIONARY-5'!$A$40)</f>
        <v>CEREX 300-W Przep. kołnierz. DN80 PN10/16 R20 GGG/EPDM, DR stal</v>
      </c>
      <c r="S1623" s="733" t="str">
        <f>'DICTIONARY-4'!$A$3</f>
        <v>DR</v>
      </c>
      <c r="T1623" s="732" t="str">
        <f>'DICTIONARY-4'!$A$19</f>
        <v>Dźwignia ręczna</v>
      </c>
      <c r="U1623" s="734" t="s">
        <v>5760</v>
      </c>
      <c r="V1623" s="735">
        <v>16</v>
      </c>
      <c r="W1623" s="736"/>
      <c r="X1623" s="737"/>
      <c r="Y1623" s="738"/>
      <c r="Z1623" s="739"/>
      <c r="AA1623" s="739"/>
      <c r="AB1623" s="740">
        <v>16</v>
      </c>
      <c r="AC1623" s="741" t="str">
        <f>'DICTIONARY-5'!$A$11&amp;" 20"</f>
        <v>EN 558 szereg 20</v>
      </c>
      <c r="AD1623" s="741" t="str">
        <f>'DICTIONARY-5'!$A$13</f>
        <v>woda pitna</v>
      </c>
      <c r="AE1623" s="742">
        <v>80</v>
      </c>
      <c r="AF1623" s="743">
        <v>4</v>
      </c>
      <c r="AG1623" s="741" t="str">
        <f>'DICTIONARY-5'!$A$23</f>
        <v>powłoka epoksydowa</v>
      </c>
    </row>
    <row r="1624" spans="1:33" x14ac:dyDescent="0.25">
      <c r="A1624" s="866" t="s">
        <v>1710</v>
      </c>
      <c r="B1624" s="866" t="s">
        <v>3768</v>
      </c>
      <c r="C1624" s="836">
        <v>208</v>
      </c>
      <c r="D1624" s="836"/>
      <c r="E1624" s="836"/>
      <c r="F1624" s="836"/>
      <c r="G1624" s="496" t="s">
        <v>7832</v>
      </c>
      <c r="H1624" s="797" t="str">
        <f>VLOOKUP(G1624,SETTINGS!$B$7:$D$97,2,0)</f>
        <v>CEREX 300</v>
      </c>
      <c r="I1624" s="796">
        <f>VLOOKUP(G1624,SETTINGS!$B$7:$D$97,3,0)</f>
        <v>0</v>
      </c>
      <c r="J1624" s="670" t="str">
        <f>IFERROR(IF(CURRENCY.FORMAT_1=0,CONCATENATE(TEXT(FIXED(ROUND((C1624/EXC.RATE_1),CURRENCY.FORMAT_1),CURRENCY.FORMAT_1,1),"# ##0;-# ##0"),",-"),FIXED(ROUND((C1624/EXC.RATE_1),CURRENCY.FORMAT_1),CURRENCY.FORMAT_1,0)),'DICTIONARY-5'!$A$2)</f>
        <v>208,-</v>
      </c>
      <c r="K1624" s="670" t="str">
        <f>IF(EXC.RATE_2=0,"",IFERROR(IF(CURRENCY.FORMAT_2=0,CONCATENATE(TEXT(FIXED(ROUND(IF(EXC.RATE.SWITCH=1,C1624/EXC.RATE_2,C1624*EXC.RATE_2),CURRENCY.FORMAT_2),CURRENCY.FORMAT_2,1),"# ##0;-# ##0"),",-"),FIXED(ROUND(IF(EXC.RATE.SWITCH=1,C1624/EXC.RATE_2,C1624*EXC.RATE_2),CURRENCY.FORMAT_2),CURRENCY.FORMAT_2,0)),'DICTIONARY-5'!$A$2))</f>
        <v/>
      </c>
      <c r="L1624" s="670" t="str">
        <f>IFERROR(IF(CURRENCY.FORMAT_1=0,CONCATENATE(TEXT(FIXED(ROUND((C1624*(1-I1624)*(1-ADD.DISCOUNT)*(1+MAT.SURCHARGE)/EXC.RATE_1),CURRENCY.FORMAT_1),CURRENCY.FORMAT_1,1),"# ##0;-# ##0"),",-"),FIXED(ROUND((C1624*(1-I1624)*(1-ADD.DISCOUNT)*(1+MAT.SURCHARGE)/EXC.RATE_1),CURRENCY.FORMAT_1),CURRENCY.FORMAT_1,0)),'DICTIONARY-5'!$A$2)</f>
        <v>216,-</v>
      </c>
      <c r="M1624" s="670" t="str">
        <f>IF(EXC.RATE_2=0,"",IFERROR(IF(CURRENCY.FORMAT_2=0,CONCATENATE(TEXT(FIXED(ROUND(IF(EXC.RATE.SWITCH=1,C1624*(1-I1624)*(1-ADD.DISCOUNT)*(1+MAT.SURCHARGE)/EXC.RATE_2,C1624*(1-I1624)*(1-ADD.DISCOUNT)*(1+MAT.SURCHARGE)*EXC.RATE_2),CURRENCY.FORMAT_2),CURRENCY.FORMAT_2,1),"# ##0;-# ##0"),",-"),FIXED(ROUND(IF(EXC.RATE.SWITCH=1,C1624*(1-I1624)*(1-ADD.DISCOUNT)*(1+MAT.SURCHARGE)/EXC.RATE_2,C1624*(1-I1624)*(1-ADD.DISCOUNT)*(1+MAT.SURCHARGE)*EXC.RATE_2),CURRENCY.FORMAT_2),CURRENCY.FORMAT_2,0)),'DICTIONARY-5'!$A$2))</f>
        <v/>
      </c>
      <c r="N1624" s="541">
        <v>6</v>
      </c>
      <c r="O1624" s="541"/>
      <c r="P1624" s="731" t="str">
        <f>'DICTIONARY-3'!$A$149</f>
        <v>CEREX 300-W</v>
      </c>
      <c r="Q1624" s="731" t="str">
        <f>'DICTIONARY-3'!$A$204</f>
        <v>Przepustnica kołnierzowa</v>
      </c>
      <c r="R1624" s="732" t="str">
        <f>CONCATENATE('DICTIONARY-3'!$A$149," ",'DICTIONARY-6'!$A$2," ",'DICTIONARY-2'!$A$2,"100"," ",'DICTIONARY-2'!$A$3,"10/16"," ","R20"," ",'DICTIONARY-5'!$A$51,"/",'DICTIONARY-5'!$A$44,", ",'DICTIONARY-4'!$A$3," ",'DICTIONARY-5'!$A$40)</f>
        <v>CEREX 300-W Przep. kołnierz. DN100 PN10/16 R20 GGG/EPDM, DR stal</v>
      </c>
      <c r="S1624" s="733" t="str">
        <f>'DICTIONARY-4'!$A$3</f>
        <v>DR</v>
      </c>
      <c r="T1624" s="732" t="str">
        <f>'DICTIONARY-4'!$A$19</f>
        <v>Dźwignia ręczna</v>
      </c>
      <c r="U1624" s="734" t="s">
        <v>5749</v>
      </c>
      <c r="V1624" s="735">
        <v>16</v>
      </c>
      <c r="W1624" s="736"/>
      <c r="X1624" s="737"/>
      <c r="Y1624" s="738"/>
      <c r="Z1624" s="739"/>
      <c r="AA1624" s="739"/>
      <c r="AB1624" s="740">
        <v>16</v>
      </c>
      <c r="AC1624" s="741" t="str">
        <f>'DICTIONARY-5'!$A$11&amp;" 20"</f>
        <v>EN 558 szereg 20</v>
      </c>
      <c r="AD1624" s="741" t="str">
        <f>'DICTIONARY-5'!$A$13</f>
        <v>woda pitna</v>
      </c>
      <c r="AE1624" s="742">
        <v>80</v>
      </c>
      <c r="AF1624" s="743">
        <v>6</v>
      </c>
      <c r="AG1624" s="741" t="str">
        <f>'DICTIONARY-5'!$A$23</f>
        <v>powłoka epoksydowa</v>
      </c>
    </row>
    <row r="1625" spans="1:33" x14ac:dyDescent="0.25">
      <c r="A1625" s="866" t="s">
        <v>1712</v>
      </c>
      <c r="B1625" s="866" t="s">
        <v>3775</v>
      </c>
      <c r="C1625" s="836">
        <v>237</v>
      </c>
      <c r="D1625" s="836"/>
      <c r="E1625" s="836"/>
      <c r="F1625" s="836"/>
      <c r="G1625" s="496" t="s">
        <v>7832</v>
      </c>
      <c r="H1625" s="797" t="str">
        <f>VLOOKUP(G1625,SETTINGS!$B$7:$D$97,2,0)</f>
        <v>CEREX 300</v>
      </c>
      <c r="I1625" s="796">
        <f>VLOOKUP(G1625,SETTINGS!$B$7:$D$97,3,0)</f>
        <v>0</v>
      </c>
      <c r="J1625" s="670" t="str">
        <f>IFERROR(IF(CURRENCY.FORMAT_1=0,CONCATENATE(TEXT(FIXED(ROUND((C1625/EXC.RATE_1),CURRENCY.FORMAT_1),CURRENCY.FORMAT_1,1),"# ##0;-# ##0"),",-"),FIXED(ROUND((C1625/EXC.RATE_1),CURRENCY.FORMAT_1),CURRENCY.FORMAT_1,0)),'DICTIONARY-5'!$A$2)</f>
        <v>237,-</v>
      </c>
      <c r="K1625" s="670" t="str">
        <f>IF(EXC.RATE_2=0,"",IFERROR(IF(CURRENCY.FORMAT_2=0,CONCATENATE(TEXT(FIXED(ROUND(IF(EXC.RATE.SWITCH=1,C1625/EXC.RATE_2,C1625*EXC.RATE_2),CURRENCY.FORMAT_2),CURRENCY.FORMAT_2,1),"# ##0;-# ##0"),",-"),FIXED(ROUND(IF(EXC.RATE.SWITCH=1,C1625/EXC.RATE_2,C1625*EXC.RATE_2),CURRENCY.FORMAT_2),CURRENCY.FORMAT_2,0)),'DICTIONARY-5'!$A$2))</f>
        <v/>
      </c>
      <c r="L1625" s="670" t="str">
        <f>IFERROR(IF(CURRENCY.FORMAT_1=0,CONCATENATE(TEXT(FIXED(ROUND((C1625*(1-I1625)*(1-ADD.DISCOUNT)*(1+MAT.SURCHARGE)/EXC.RATE_1),CURRENCY.FORMAT_1),CURRENCY.FORMAT_1,1),"# ##0;-# ##0"),",-"),FIXED(ROUND((C1625*(1-I1625)*(1-ADD.DISCOUNT)*(1+MAT.SURCHARGE)/EXC.RATE_1),CURRENCY.FORMAT_1),CURRENCY.FORMAT_1,0)),'DICTIONARY-5'!$A$2)</f>
        <v>246,-</v>
      </c>
      <c r="M1625" s="670" t="str">
        <f>IF(EXC.RATE_2=0,"",IFERROR(IF(CURRENCY.FORMAT_2=0,CONCATENATE(TEXT(FIXED(ROUND(IF(EXC.RATE.SWITCH=1,C1625*(1-I1625)*(1-ADD.DISCOUNT)*(1+MAT.SURCHARGE)/EXC.RATE_2,C1625*(1-I1625)*(1-ADD.DISCOUNT)*(1+MAT.SURCHARGE)*EXC.RATE_2),CURRENCY.FORMAT_2),CURRENCY.FORMAT_2,1),"# ##0;-# ##0"),",-"),FIXED(ROUND(IF(EXC.RATE.SWITCH=1,C1625*(1-I1625)*(1-ADD.DISCOUNT)*(1+MAT.SURCHARGE)/EXC.RATE_2,C1625*(1-I1625)*(1-ADD.DISCOUNT)*(1+MAT.SURCHARGE)*EXC.RATE_2),CURRENCY.FORMAT_2),CURRENCY.FORMAT_2,0)),'DICTIONARY-5'!$A$2))</f>
        <v/>
      </c>
      <c r="N1625" s="541">
        <v>6</v>
      </c>
      <c r="O1625" s="541"/>
      <c r="P1625" s="731" t="str">
        <f>'DICTIONARY-3'!$A$149</f>
        <v>CEREX 300-W</v>
      </c>
      <c r="Q1625" s="731" t="str">
        <f>'DICTIONARY-3'!$A$204</f>
        <v>Przepustnica kołnierzowa</v>
      </c>
      <c r="R1625" s="732" t="str">
        <f>CONCATENATE('DICTIONARY-3'!$A$149," ",'DICTIONARY-6'!$A$2," ",'DICTIONARY-2'!$A$2,"125"," ",'DICTIONARY-2'!$A$3,"10/16"," ","R20"," ",'DICTIONARY-5'!$A$51,"/",'DICTIONARY-5'!$A$44,", ",'DICTIONARY-4'!$A$3," ",'DICTIONARY-5'!$A$40)</f>
        <v>CEREX 300-W Przep. kołnierz. DN125 PN10/16 R20 GGG/EPDM, DR stal</v>
      </c>
      <c r="S1625" s="733" t="str">
        <f>'DICTIONARY-4'!$A$3</f>
        <v>DR</v>
      </c>
      <c r="T1625" s="732" t="str">
        <f>'DICTIONARY-4'!$A$19</f>
        <v>Dźwignia ręczna</v>
      </c>
      <c r="U1625" s="734" t="s">
        <v>5761</v>
      </c>
      <c r="V1625" s="735">
        <v>16</v>
      </c>
      <c r="W1625" s="736"/>
      <c r="X1625" s="737"/>
      <c r="Y1625" s="738"/>
      <c r="Z1625" s="739"/>
      <c r="AA1625" s="739"/>
      <c r="AB1625" s="740">
        <v>16</v>
      </c>
      <c r="AC1625" s="741" t="str">
        <f>'DICTIONARY-5'!$A$11&amp;" 20"</f>
        <v>EN 558 szereg 20</v>
      </c>
      <c r="AD1625" s="741" t="str">
        <f>'DICTIONARY-5'!$A$13</f>
        <v>woda pitna</v>
      </c>
      <c r="AE1625" s="742">
        <v>80</v>
      </c>
      <c r="AF1625" s="743">
        <v>7</v>
      </c>
      <c r="AG1625" s="741" t="str">
        <f>'DICTIONARY-5'!$A$23</f>
        <v>powłoka epoksydowa</v>
      </c>
    </row>
    <row r="1626" spans="1:33" x14ac:dyDescent="0.25">
      <c r="A1626" s="866" t="s">
        <v>1714</v>
      </c>
      <c r="B1626" s="866" t="s">
        <v>3782</v>
      </c>
      <c r="C1626" s="836">
        <v>329</v>
      </c>
      <c r="D1626" s="836"/>
      <c r="E1626" s="836"/>
      <c r="F1626" s="836"/>
      <c r="G1626" s="496" t="s">
        <v>7832</v>
      </c>
      <c r="H1626" s="797" t="str">
        <f>VLOOKUP(G1626,SETTINGS!$B$7:$D$97,2,0)</f>
        <v>CEREX 300</v>
      </c>
      <c r="I1626" s="796">
        <f>VLOOKUP(G1626,SETTINGS!$B$7:$D$97,3,0)</f>
        <v>0</v>
      </c>
      <c r="J1626" s="670" t="str">
        <f>IFERROR(IF(CURRENCY.FORMAT_1=0,CONCATENATE(TEXT(FIXED(ROUND((C1626/EXC.RATE_1),CURRENCY.FORMAT_1),CURRENCY.FORMAT_1,1),"# ##0;-# ##0"),",-"),FIXED(ROUND((C1626/EXC.RATE_1),CURRENCY.FORMAT_1),CURRENCY.FORMAT_1,0)),'DICTIONARY-5'!$A$2)</f>
        <v>329,-</v>
      </c>
      <c r="K1626" s="670" t="str">
        <f>IF(EXC.RATE_2=0,"",IFERROR(IF(CURRENCY.FORMAT_2=0,CONCATENATE(TEXT(FIXED(ROUND(IF(EXC.RATE.SWITCH=1,C1626/EXC.RATE_2,C1626*EXC.RATE_2),CURRENCY.FORMAT_2),CURRENCY.FORMAT_2,1),"# ##0;-# ##0"),",-"),FIXED(ROUND(IF(EXC.RATE.SWITCH=1,C1626/EXC.RATE_2,C1626*EXC.RATE_2),CURRENCY.FORMAT_2),CURRENCY.FORMAT_2,0)),'DICTIONARY-5'!$A$2))</f>
        <v/>
      </c>
      <c r="L1626" s="670" t="str">
        <f>IFERROR(IF(CURRENCY.FORMAT_1=0,CONCATENATE(TEXT(FIXED(ROUND((C1626*(1-I1626)*(1-ADD.DISCOUNT)*(1+MAT.SURCHARGE)/EXC.RATE_1),CURRENCY.FORMAT_1),CURRENCY.FORMAT_1,1),"# ##0;-# ##0"),",-"),FIXED(ROUND((C1626*(1-I1626)*(1-ADD.DISCOUNT)*(1+MAT.SURCHARGE)/EXC.RATE_1),CURRENCY.FORMAT_1),CURRENCY.FORMAT_1,0)),'DICTIONARY-5'!$A$2)</f>
        <v>342,-</v>
      </c>
      <c r="M1626" s="670" t="str">
        <f>IF(EXC.RATE_2=0,"",IFERROR(IF(CURRENCY.FORMAT_2=0,CONCATENATE(TEXT(FIXED(ROUND(IF(EXC.RATE.SWITCH=1,C1626*(1-I1626)*(1-ADD.DISCOUNT)*(1+MAT.SURCHARGE)/EXC.RATE_2,C1626*(1-I1626)*(1-ADD.DISCOUNT)*(1+MAT.SURCHARGE)*EXC.RATE_2),CURRENCY.FORMAT_2),CURRENCY.FORMAT_2,1),"# ##0;-# ##0"),",-"),FIXED(ROUND(IF(EXC.RATE.SWITCH=1,C1626*(1-I1626)*(1-ADD.DISCOUNT)*(1+MAT.SURCHARGE)/EXC.RATE_2,C1626*(1-I1626)*(1-ADD.DISCOUNT)*(1+MAT.SURCHARGE)*EXC.RATE_2),CURRENCY.FORMAT_2),CURRENCY.FORMAT_2,0)),'DICTIONARY-5'!$A$2))</f>
        <v/>
      </c>
      <c r="N1626" s="541">
        <v>6</v>
      </c>
      <c r="O1626" s="541"/>
      <c r="P1626" s="731" t="str">
        <f>'DICTIONARY-3'!$A$149</f>
        <v>CEREX 300-W</v>
      </c>
      <c r="Q1626" s="731" t="str">
        <f>'DICTIONARY-3'!$A$204</f>
        <v>Przepustnica kołnierzowa</v>
      </c>
      <c r="R1626" s="732" t="str">
        <f>CONCATENATE('DICTIONARY-3'!$A$149," ",'DICTIONARY-6'!$A$2," ",'DICTIONARY-2'!$A$2,"150"," ",'DICTIONARY-2'!$A$3,"10/16"," ","R20"," ",'DICTIONARY-5'!$A$51,"/",'DICTIONARY-5'!$A$44,", ",'DICTIONARY-4'!$A$3," ",'DICTIONARY-5'!$A$40)</f>
        <v>CEREX 300-W Przep. kołnierz. DN150 PN10/16 R20 GGG/EPDM, DR stal</v>
      </c>
      <c r="S1626" s="733" t="str">
        <f>'DICTIONARY-4'!$A$3</f>
        <v>DR</v>
      </c>
      <c r="T1626" s="732" t="str">
        <f>'DICTIONARY-4'!$A$19</f>
        <v>Dźwignia ręczna</v>
      </c>
      <c r="U1626" s="734" t="s">
        <v>5572</v>
      </c>
      <c r="V1626" s="735">
        <v>16</v>
      </c>
      <c r="W1626" s="736"/>
      <c r="X1626" s="737"/>
      <c r="Y1626" s="738"/>
      <c r="Z1626" s="739"/>
      <c r="AA1626" s="739"/>
      <c r="AB1626" s="740">
        <v>16</v>
      </c>
      <c r="AC1626" s="741" t="str">
        <f>'DICTIONARY-5'!$A$11&amp;" 20"</f>
        <v>EN 558 szereg 20</v>
      </c>
      <c r="AD1626" s="741" t="str">
        <f>'DICTIONARY-5'!$A$13</f>
        <v>woda pitna</v>
      </c>
      <c r="AE1626" s="742">
        <v>80</v>
      </c>
      <c r="AF1626" s="743">
        <v>10.5</v>
      </c>
      <c r="AG1626" s="741" t="str">
        <f>'DICTIONARY-5'!$A$23</f>
        <v>powłoka epoksydowa</v>
      </c>
    </row>
    <row r="1627" spans="1:33" x14ac:dyDescent="0.25">
      <c r="A1627" s="866" t="s">
        <v>1716</v>
      </c>
      <c r="B1627" s="866" t="s">
        <v>3789</v>
      </c>
      <c r="C1627" s="836">
        <v>432</v>
      </c>
      <c r="D1627" s="836"/>
      <c r="E1627" s="836"/>
      <c r="F1627" s="836"/>
      <c r="G1627" s="496" t="s">
        <v>7832</v>
      </c>
      <c r="H1627" s="797" t="str">
        <f>VLOOKUP(G1627,SETTINGS!$B$7:$D$97,2,0)</f>
        <v>CEREX 300</v>
      </c>
      <c r="I1627" s="796">
        <f>VLOOKUP(G1627,SETTINGS!$B$7:$D$97,3,0)</f>
        <v>0</v>
      </c>
      <c r="J1627" s="670" t="str">
        <f>IFERROR(IF(CURRENCY.FORMAT_1=0,CONCATENATE(TEXT(FIXED(ROUND((C1627/EXC.RATE_1),CURRENCY.FORMAT_1),CURRENCY.FORMAT_1,1),"# ##0;-# ##0"),",-"),FIXED(ROUND((C1627/EXC.RATE_1),CURRENCY.FORMAT_1),CURRENCY.FORMAT_1,0)),'DICTIONARY-5'!$A$2)</f>
        <v>432,-</v>
      </c>
      <c r="K1627" s="670" t="str">
        <f>IF(EXC.RATE_2=0,"",IFERROR(IF(CURRENCY.FORMAT_2=0,CONCATENATE(TEXT(FIXED(ROUND(IF(EXC.RATE.SWITCH=1,C1627/EXC.RATE_2,C1627*EXC.RATE_2),CURRENCY.FORMAT_2),CURRENCY.FORMAT_2,1),"# ##0;-# ##0"),",-"),FIXED(ROUND(IF(EXC.RATE.SWITCH=1,C1627/EXC.RATE_2,C1627*EXC.RATE_2),CURRENCY.FORMAT_2),CURRENCY.FORMAT_2,0)),'DICTIONARY-5'!$A$2))</f>
        <v/>
      </c>
      <c r="L1627" s="670" t="str">
        <f>IFERROR(IF(CURRENCY.FORMAT_1=0,CONCATENATE(TEXT(FIXED(ROUND((C1627*(1-I1627)*(1-ADD.DISCOUNT)*(1+MAT.SURCHARGE)/EXC.RATE_1),CURRENCY.FORMAT_1),CURRENCY.FORMAT_1,1),"# ##0;-# ##0"),",-"),FIXED(ROUND((C1627*(1-I1627)*(1-ADD.DISCOUNT)*(1+MAT.SURCHARGE)/EXC.RATE_1),CURRENCY.FORMAT_1),CURRENCY.FORMAT_1,0)),'DICTIONARY-5'!$A$2)</f>
        <v>449,-</v>
      </c>
      <c r="M1627" s="670" t="str">
        <f>IF(EXC.RATE_2=0,"",IFERROR(IF(CURRENCY.FORMAT_2=0,CONCATENATE(TEXT(FIXED(ROUND(IF(EXC.RATE.SWITCH=1,C1627*(1-I1627)*(1-ADD.DISCOUNT)*(1+MAT.SURCHARGE)/EXC.RATE_2,C1627*(1-I1627)*(1-ADD.DISCOUNT)*(1+MAT.SURCHARGE)*EXC.RATE_2),CURRENCY.FORMAT_2),CURRENCY.FORMAT_2,1),"# ##0;-# ##0"),",-"),FIXED(ROUND(IF(EXC.RATE.SWITCH=1,C1627*(1-I1627)*(1-ADD.DISCOUNT)*(1+MAT.SURCHARGE)/EXC.RATE_2,C1627*(1-I1627)*(1-ADD.DISCOUNT)*(1+MAT.SURCHARGE)*EXC.RATE_2),CURRENCY.FORMAT_2),CURRENCY.FORMAT_2,0)),'DICTIONARY-5'!$A$2))</f>
        <v/>
      </c>
      <c r="N1627" s="541">
        <v>6</v>
      </c>
      <c r="O1627" s="541"/>
      <c r="P1627" s="731" t="str">
        <f>'DICTIONARY-3'!$A$149</f>
        <v>CEREX 300-W</v>
      </c>
      <c r="Q1627" s="731" t="str">
        <f>'DICTIONARY-3'!$A$204</f>
        <v>Przepustnica kołnierzowa</v>
      </c>
      <c r="R1627" s="732" t="str">
        <f>CONCATENATE('DICTIONARY-3'!$A$149," ",'DICTIONARY-6'!$A$2," ",'DICTIONARY-2'!$A$2,"200"," ",'DICTIONARY-2'!$A$3,"10/16"," ","R20"," ",'DICTIONARY-5'!$A$51,"/",'DICTIONARY-5'!$A$44,", ",'DICTIONARY-4'!$A$3," ",'DICTIONARY-5'!$A$40)</f>
        <v>CEREX 300-W Przep. kołnierz. DN200 PN10/16 R20 GGG/EPDM, DR stal</v>
      </c>
      <c r="S1627" s="733" t="str">
        <f>'DICTIONARY-4'!$A$3</f>
        <v>DR</v>
      </c>
      <c r="T1627" s="732" t="str">
        <f>'DICTIONARY-4'!$A$19</f>
        <v>Dźwignia ręczna</v>
      </c>
      <c r="U1627" s="734" t="s">
        <v>5750</v>
      </c>
      <c r="V1627" s="735">
        <v>16</v>
      </c>
      <c r="W1627" s="736"/>
      <c r="X1627" s="737"/>
      <c r="Y1627" s="738"/>
      <c r="Z1627" s="739"/>
      <c r="AA1627" s="739"/>
      <c r="AB1627" s="740">
        <v>16</v>
      </c>
      <c r="AC1627" s="741" t="str">
        <f>'DICTIONARY-5'!$A$11&amp;" 20"</f>
        <v>EN 558 szereg 20</v>
      </c>
      <c r="AD1627" s="741" t="str">
        <f>'DICTIONARY-5'!$A$13</f>
        <v>woda pitna</v>
      </c>
      <c r="AE1627" s="742">
        <v>80</v>
      </c>
      <c r="AF1627" s="743">
        <v>15</v>
      </c>
      <c r="AG1627" s="741" t="str">
        <f>'DICTIONARY-5'!$A$23</f>
        <v>powłoka epoksydowa</v>
      </c>
    </row>
    <row r="1628" spans="1:33" x14ac:dyDescent="0.25">
      <c r="A1628" s="866" t="s">
        <v>1705</v>
      </c>
      <c r="B1628" s="866" t="s">
        <v>3680</v>
      </c>
      <c r="C1628" s="836">
        <v>159</v>
      </c>
      <c r="D1628" s="836"/>
      <c r="E1628" s="836"/>
      <c r="F1628" s="836"/>
      <c r="G1628" s="496" t="s">
        <v>7832</v>
      </c>
      <c r="H1628" s="797" t="str">
        <f>VLOOKUP(G1628,SETTINGS!$B$7:$D$97,2,0)</f>
        <v>CEREX 300</v>
      </c>
      <c r="I1628" s="796">
        <f>VLOOKUP(G1628,SETTINGS!$B$7:$D$97,3,0)</f>
        <v>0</v>
      </c>
      <c r="J1628" s="670" t="str">
        <f>IFERROR(IF(CURRENCY.FORMAT_1=0,CONCATENATE(TEXT(FIXED(ROUND((C1628/EXC.RATE_1),CURRENCY.FORMAT_1),CURRENCY.FORMAT_1,1),"# ##0;-# ##0"),",-"),FIXED(ROUND((C1628/EXC.RATE_1),CURRENCY.FORMAT_1),CURRENCY.FORMAT_1,0)),'DICTIONARY-5'!$A$2)</f>
        <v>159,-</v>
      </c>
      <c r="K1628" s="670" t="str">
        <f>IF(EXC.RATE_2=0,"",IFERROR(IF(CURRENCY.FORMAT_2=0,CONCATENATE(TEXT(FIXED(ROUND(IF(EXC.RATE.SWITCH=1,C1628/EXC.RATE_2,C1628*EXC.RATE_2),CURRENCY.FORMAT_2),CURRENCY.FORMAT_2,1),"# ##0;-# ##0"),",-"),FIXED(ROUND(IF(EXC.RATE.SWITCH=1,C1628/EXC.RATE_2,C1628*EXC.RATE_2),CURRENCY.FORMAT_2),CURRENCY.FORMAT_2,0)),'DICTIONARY-5'!$A$2))</f>
        <v/>
      </c>
      <c r="L1628" s="670" t="str">
        <f>IFERROR(IF(CURRENCY.FORMAT_1=0,CONCATENATE(TEXT(FIXED(ROUND((C1628*(1-I1628)*(1-ADD.DISCOUNT)*(1+MAT.SURCHARGE)/EXC.RATE_1),CURRENCY.FORMAT_1),CURRENCY.FORMAT_1,1),"# ##0;-# ##0"),",-"),FIXED(ROUND((C1628*(1-I1628)*(1-ADD.DISCOUNT)*(1+MAT.SURCHARGE)/EXC.RATE_1),CURRENCY.FORMAT_1),CURRENCY.FORMAT_1,0)),'DICTIONARY-5'!$A$2)</f>
        <v>165,-</v>
      </c>
      <c r="M1628" s="670" t="str">
        <f>IF(EXC.RATE_2=0,"",IFERROR(IF(CURRENCY.FORMAT_2=0,CONCATENATE(TEXT(FIXED(ROUND(IF(EXC.RATE.SWITCH=1,C1628*(1-I1628)*(1-ADD.DISCOUNT)*(1+MAT.SURCHARGE)/EXC.RATE_2,C1628*(1-I1628)*(1-ADD.DISCOUNT)*(1+MAT.SURCHARGE)*EXC.RATE_2),CURRENCY.FORMAT_2),CURRENCY.FORMAT_2,1),"# ##0;-# ##0"),",-"),FIXED(ROUND(IF(EXC.RATE.SWITCH=1,C1628*(1-I1628)*(1-ADD.DISCOUNT)*(1+MAT.SURCHARGE)/EXC.RATE_2,C1628*(1-I1628)*(1-ADD.DISCOUNT)*(1+MAT.SURCHARGE)*EXC.RATE_2),CURRENCY.FORMAT_2),CURRENCY.FORMAT_2,0)),'DICTIONARY-5'!$A$2))</f>
        <v/>
      </c>
      <c r="N1628" s="541">
        <v>6</v>
      </c>
      <c r="O1628" s="541"/>
      <c r="P1628" s="731" t="str">
        <f>'DICTIONARY-3'!$A$149</f>
        <v>CEREX 300-W</v>
      </c>
      <c r="Q1628" s="731" t="str">
        <f>'DICTIONARY-3'!$A$204</f>
        <v>Przepustnica kołnierzowa</v>
      </c>
      <c r="R1628" s="732" t="str">
        <f>CONCATENATE('DICTIONARY-3'!$A$149," ",'DICTIONARY-6'!$A$2," ",'DICTIONARY-2'!$A$2,"50"," ",'DICTIONARY-2'!$A$3,"10/16"," ","R20"," ",'DICTIONARY-5'!$A$37,"/",'DICTIONARY-5'!$A$44,", ",'DICTIONARY-4'!$A$3," ",'DICTIONARY-5'!$A$40)</f>
        <v>CEREX 300-W Przep. kołnierz. DN50 PN10/16 R20 CF8M/EPDM, DR stal</v>
      </c>
      <c r="S1628" s="733" t="str">
        <f>'DICTIONARY-4'!$A$3</f>
        <v>DR</v>
      </c>
      <c r="T1628" s="732" t="str">
        <f>'DICTIONARY-4'!$A$19</f>
        <v>Dźwignia ręczna</v>
      </c>
      <c r="U1628" s="734" t="s">
        <v>5748</v>
      </c>
      <c r="V1628" s="735">
        <v>16</v>
      </c>
      <c r="W1628" s="736"/>
      <c r="X1628" s="737"/>
      <c r="Y1628" s="738"/>
      <c r="Z1628" s="739"/>
      <c r="AA1628" s="739"/>
      <c r="AB1628" s="740">
        <v>16</v>
      </c>
      <c r="AC1628" s="741" t="str">
        <f>'DICTIONARY-5'!$A$11&amp;" 20"</f>
        <v>EN 558 szereg 20</v>
      </c>
      <c r="AD1628" s="741" t="str">
        <f>'DICTIONARY-5'!$A$13</f>
        <v>woda pitna</v>
      </c>
      <c r="AE1628" s="742">
        <v>110</v>
      </c>
      <c r="AF1628" s="743">
        <v>3</v>
      </c>
      <c r="AG1628" s="741" t="str">
        <f>'DICTIONARY-5'!$A$23</f>
        <v>powłoka epoksydowa</v>
      </c>
    </row>
    <row r="1629" spans="1:33" x14ac:dyDescent="0.25">
      <c r="A1629" s="866" t="s">
        <v>1707</v>
      </c>
      <c r="B1629" s="866" t="s">
        <v>3687</v>
      </c>
      <c r="C1629" s="836">
        <v>166</v>
      </c>
      <c r="D1629" s="836"/>
      <c r="E1629" s="836"/>
      <c r="F1629" s="836"/>
      <c r="G1629" s="496" t="s">
        <v>7832</v>
      </c>
      <c r="H1629" s="797" t="str">
        <f>VLOOKUP(G1629,SETTINGS!$B$7:$D$97,2,0)</f>
        <v>CEREX 300</v>
      </c>
      <c r="I1629" s="796">
        <f>VLOOKUP(G1629,SETTINGS!$B$7:$D$97,3,0)</f>
        <v>0</v>
      </c>
      <c r="J1629" s="670" t="str">
        <f>IFERROR(IF(CURRENCY.FORMAT_1=0,CONCATENATE(TEXT(FIXED(ROUND((C1629/EXC.RATE_1),CURRENCY.FORMAT_1),CURRENCY.FORMAT_1,1),"# ##0;-# ##0"),",-"),FIXED(ROUND((C1629/EXC.RATE_1),CURRENCY.FORMAT_1),CURRENCY.FORMAT_1,0)),'DICTIONARY-5'!$A$2)</f>
        <v>166,-</v>
      </c>
      <c r="K1629" s="670" t="str">
        <f>IF(EXC.RATE_2=0,"",IFERROR(IF(CURRENCY.FORMAT_2=0,CONCATENATE(TEXT(FIXED(ROUND(IF(EXC.RATE.SWITCH=1,C1629/EXC.RATE_2,C1629*EXC.RATE_2),CURRENCY.FORMAT_2),CURRENCY.FORMAT_2,1),"# ##0;-# ##0"),",-"),FIXED(ROUND(IF(EXC.RATE.SWITCH=1,C1629/EXC.RATE_2,C1629*EXC.RATE_2),CURRENCY.FORMAT_2),CURRENCY.FORMAT_2,0)),'DICTIONARY-5'!$A$2))</f>
        <v/>
      </c>
      <c r="L1629" s="670" t="str">
        <f>IFERROR(IF(CURRENCY.FORMAT_1=0,CONCATENATE(TEXT(FIXED(ROUND((C1629*(1-I1629)*(1-ADD.DISCOUNT)*(1+MAT.SURCHARGE)/EXC.RATE_1),CURRENCY.FORMAT_1),CURRENCY.FORMAT_1,1),"# ##0;-# ##0"),",-"),FIXED(ROUND((C1629*(1-I1629)*(1-ADD.DISCOUNT)*(1+MAT.SURCHARGE)/EXC.RATE_1),CURRENCY.FORMAT_1),CURRENCY.FORMAT_1,0)),'DICTIONARY-5'!$A$2)</f>
        <v>172,-</v>
      </c>
      <c r="M1629" s="670" t="str">
        <f>IF(EXC.RATE_2=0,"",IFERROR(IF(CURRENCY.FORMAT_2=0,CONCATENATE(TEXT(FIXED(ROUND(IF(EXC.RATE.SWITCH=1,C1629*(1-I1629)*(1-ADD.DISCOUNT)*(1+MAT.SURCHARGE)/EXC.RATE_2,C1629*(1-I1629)*(1-ADD.DISCOUNT)*(1+MAT.SURCHARGE)*EXC.RATE_2),CURRENCY.FORMAT_2),CURRENCY.FORMAT_2,1),"# ##0;-# ##0"),",-"),FIXED(ROUND(IF(EXC.RATE.SWITCH=1,C1629*(1-I1629)*(1-ADD.DISCOUNT)*(1+MAT.SURCHARGE)/EXC.RATE_2,C1629*(1-I1629)*(1-ADD.DISCOUNT)*(1+MAT.SURCHARGE)*EXC.RATE_2),CURRENCY.FORMAT_2),CURRENCY.FORMAT_2,0)),'DICTIONARY-5'!$A$2))</f>
        <v/>
      </c>
      <c r="N1629" s="541">
        <v>6</v>
      </c>
      <c r="O1629" s="541"/>
      <c r="P1629" s="731" t="str">
        <f>'DICTIONARY-3'!$A$149</f>
        <v>CEREX 300-W</v>
      </c>
      <c r="Q1629" s="731" t="str">
        <f>'DICTIONARY-3'!$A$204</f>
        <v>Przepustnica kołnierzowa</v>
      </c>
      <c r="R1629" s="732" t="str">
        <f>CONCATENATE('DICTIONARY-3'!$A$149," ",'DICTIONARY-6'!$A$2," ",'DICTIONARY-2'!$A$2,"65"," ",'DICTIONARY-2'!$A$3,"10/16"," ","R20"," ",'DICTIONARY-5'!$A$37,"/",'DICTIONARY-5'!$A$44,", ",'DICTIONARY-4'!$A$3," ",'DICTIONARY-5'!$A$40)</f>
        <v>CEREX 300-W Przep. kołnierz. DN65 PN10/16 R20 CF8M/EPDM, DR stal</v>
      </c>
      <c r="S1629" s="733" t="str">
        <f>'DICTIONARY-4'!$A$3</f>
        <v>DR</v>
      </c>
      <c r="T1629" s="732" t="str">
        <f>'DICTIONARY-4'!$A$19</f>
        <v>Dźwignia ręczna</v>
      </c>
      <c r="U1629" s="734" t="s">
        <v>5759</v>
      </c>
      <c r="V1629" s="735">
        <v>16</v>
      </c>
      <c r="W1629" s="736"/>
      <c r="X1629" s="737"/>
      <c r="Y1629" s="738"/>
      <c r="Z1629" s="739"/>
      <c r="AA1629" s="739"/>
      <c r="AB1629" s="740">
        <v>16</v>
      </c>
      <c r="AC1629" s="741" t="str">
        <f>'DICTIONARY-5'!$A$11&amp;" 20"</f>
        <v>EN 558 szereg 20</v>
      </c>
      <c r="AD1629" s="741" t="str">
        <f>'DICTIONARY-5'!$A$13</f>
        <v>woda pitna</v>
      </c>
      <c r="AE1629" s="742">
        <v>110</v>
      </c>
      <c r="AF1629" s="743">
        <v>3.5</v>
      </c>
      <c r="AG1629" s="741" t="str">
        <f>'DICTIONARY-5'!$A$23</f>
        <v>powłoka epoksydowa</v>
      </c>
    </row>
    <row r="1630" spans="1:33" x14ac:dyDescent="0.25">
      <c r="A1630" s="866" t="s">
        <v>1709</v>
      </c>
      <c r="B1630" s="866" t="s">
        <v>3694</v>
      </c>
      <c r="C1630" s="836">
        <v>176</v>
      </c>
      <c r="D1630" s="836"/>
      <c r="E1630" s="836"/>
      <c r="F1630" s="836"/>
      <c r="G1630" s="496" t="s">
        <v>7832</v>
      </c>
      <c r="H1630" s="797" t="str">
        <f>VLOOKUP(G1630,SETTINGS!$B$7:$D$97,2,0)</f>
        <v>CEREX 300</v>
      </c>
      <c r="I1630" s="796">
        <f>VLOOKUP(G1630,SETTINGS!$B$7:$D$97,3,0)</f>
        <v>0</v>
      </c>
      <c r="J1630" s="670" t="str">
        <f>IFERROR(IF(CURRENCY.FORMAT_1=0,CONCATENATE(TEXT(FIXED(ROUND((C1630/EXC.RATE_1),CURRENCY.FORMAT_1),CURRENCY.FORMAT_1,1),"# ##0;-# ##0"),",-"),FIXED(ROUND((C1630/EXC.RATE_1),CURRENCY.FORMAT_1),CURRENCY.FORMAT_1,0)),'DICTIONARY-5'!$A$2)</f>
        <v>176,-</v>
      </c>
      <c r="K1630" s="670" t="str">
        <f>IF(EXC.RATE_2=0,"",IFERROR(IF(CURRENCY.FORMAT_2=0,CONCATENATE(TEXT(FIXED(ROUND(IF(EXC.RATE.SWITCH=1,C1630/EXC.RATE_2,C1630*EXC.RATE_2),CURRENCY.FORMAT_2),CURRENCY.FORMAT_2,1),"# ##0;-# ##0"),",-"),FIXED(ROUND(IF(EXC.RATE.SWITCH=1,C1630/EXC.RATE_2,C1630*EXC.RATE_2),CURRENCY.FORMAT_2),CURRENCY.FORMAT_2,0)),'DICTIONARY-5'!$A$2))</f>
        <v/>
      </c>
      <c r="L1630" s="670" t="str">
        <f>IFERROR(IF(CURRENCY.FORMAT_1=0,CONCATENATE(TEXT(FIXED(ROUND((C1630*(1-I1630)*(1-ADD.DISCOUNT)*(1+MAT.SURCHARGE)/EXC.RATE_1),CURRENCY.FORMAT_1),CURRENCY.FORMAT_1,1),"# ##0;-# ##0"),",-"),FIXED(ROUND((C1630*(1-I1630)*(1-ADD.DISCOUNT)*(1+MAT.SURCHARGE)/EXC.RATE_1),CURRENCY.FORMAT_1),CURRENCY.FORMAT_1,0)),'DICTIONARY-5'!$A$2)</f>
        <v>183,-</v>
      </c>
      <c r="M1630" s="670" t="str">
        <f>IF(EXC.RATE_2=0,"",IFERROR(IF(CURRENCY.FORMAT_2=0,CONCATENATE(TEXT(FIXED(ROUND(IF(EXC.RATE.SWITCH=1,C1630*(1-I1630)*(1-ADD.DISCOUNT)*(1+MAT.SURCHARGE)/EXC.RATE_2,C1630*(1-I1630)*(1-ADD.DISCOUNT)*(1+MAT.SURCHARGE)*EXC.RATE_2),CURRENCY.FORMAT_2),CURRENCY.FORMAT_2,1),"# ##0;-# ##0"),",-"),FIXED(ROUND(IF(EXC.RATE.SWITCH=1,C1630*(1-I1630)*(1-ADD.DISCOUNT)*(1+MAT.SURCHARGE)/EXC.RATE_2,C1630*(1-I1630)*(1-ADD.DISCOUNT)*(1+MAT.SURCHARGE)*EXC.RATE_2),CURRENCY.FORMAT_2),CURRENCY.FORMAT_2,0)),'DICTIONARY-5'!$A$2))</f>
        <v/>
      </c>
      <c r="N1630" s="541">
        <v>6</v>
      </c>
      <c r="O1630" s="541"/>
      <c r="P1630" s="731" t="str">
        <f>'DICTIONARY-3'!$A$149</f>
        <v>CEREX 300-W</v>
      </c>
      <c r="Q1630" s="731" t="str">
        <f>'DICTIONARY-3'!$A$204</f>
        <v>Przepustnica kołnierzowa</v>
      </c>
      <c r="R1630" s="732" t="str">
        <f>CONCATENATE('DICTIONARY-3'!$A$149," ",'DICTIONARY-6'!$A$2," ",'DICTIONARY-2'!$A$2,"80"," ",'DICTIONARY-2'!$A$3,"10/16"," ","R20"," ",'DICTIONARY-5'!$A$37,"/",'DICTIONARY-5'!$A$44,", ",'DICTIONARY-4'!$A$3," ",'DICTIONARY-5'!$A$40)</f>
        <v>CEREX 300-W Przep. kołnierz. DN80 PN10/16 R20 CF8M/EPDM, DR stal</v>
      </c>
      <c r="S1630" s="733" t="str">
        <f>'DICTIONARY-4'!$A$3</f>
        <v>DR</v>
      </c>
      <c r="T1630" s="732" t="str">
        <f>'DICTIONARY-4'!$A$19</f>
        <v>Dźwignia ręczna</v>
      </c>
      <c r="U1630" s="734" t="s">
        <v>5760</v>
      </c>
      <c r="V1630" s="735">
        <v>16</v>
      </c>
      <c r="W1630" s="736"/>
      <c r="X1630" s="737"/>
      <c r="Y1630" s="738"/>
      <c r="Z1630" s="739"/>
      <c r="AA1630" s="739"/>
      <c r="AB1630" s="740">
        <v>16</v>
      </c>
      <c r="AC1630" s="741" t="str">
        <f>'DICTIONARY-5'!$A$11&amp;" 20"</f>
        <v>EN 558 szereg 20</v>
      </c>
      <c r="AD1630" s="741" t="str">
        <f>'DICTIONARY-5'!$A$13</f>
        <v>woda pitna</v>
      </c>
      <c r="AE1630" s="742">
        <v>110</v>
      </c>
      <c r="AF1630" s="743">
        <v>4.25</v>
      </c>
      <c r="AG1630" s="741" t="str">
        <f>'DICTIONARY-5'!$A$23</f>
        <v>powłoka epoksydowa</v>
      </c>
    </row>
    <row r="1631" spans="1:33" x14ac:dyDescent="0.25">
      <c r="A1631" s="866" t="s">
        <v>1711</v>
      </c>
      <c r="B1631" s="866" t="s">
        <v>3701</v>
      </c>
      <c r="C1631" s="836">
        <v>214</v>
      </c>
      <c r="D1631" s="836"/>
      <c r="E1631" s="836"/>
      <c r="F1631" s="836"/>
      <c r="G1631" s="496" t="s">
        <v>7832</v>
      </c>
      <c r="H1631" s="797" t="str">
        <f>VLOOKUP(G1631,SETTINGS!$B$7:$D$97,2,0)</f>
        <v>CEREX 300</v>
      </c>
      <c r="I1631" s="796">
        <f>VLOOKUP(G1631,SETTINGS!$B$7:$D$97,3,0)</f>
        <v>0</v>
      </c>
      <c r="J1631" s="670" t="str">
        <f>IFERROR(IF(CURRENCY.FORMAT_1=0,CONCATENATE(TEXT(FIXED(ROUND((C1631/EXC.RATE_1),CURRENCY.FORMAT_1),CURRENCY.FORMAT_1,1),"# ##0;-# ##0"),",-"),FIXED(ROUND((C1631/EXC.RATE_1),CURRENCY.FORMAT_1),CURRENCY.FORMAT_1,0)),'DICTIONARY-5'!$A$2)</f>
        <v>214,-</v>
      </c>
      <c r="K1631" s="670" t="str">
        <f>IF(EXC.RATE_2=0,"",IFERROR(IF(CURRENCY.FORMAT_2=0,CONCATENATE(TEXT(FIXED(ROUND(IF(EXC.RATE.SWITCH=1,C1631/EXC.RATE_2,C1631*EXC.RATE_2),CURRENCY.FORMAT_2),CURRENCY.FORMAT_2,1),"# ##0;-# ##0"),",-"),FIXED(ROUND(IF(EXC.RATE.SWITCH=1,C1631/EXC.RATE_2,C1631*EXC.RATE_2),CURRENCY.FORMAT_2),CURRENCY.FORMAT_2,0)),'DICTIONARY-5'!$A$2))</f>
        <v/>
      </c>
      <c r="L1631" s="670" t="str">
        <f>IFERROR(IF(CURRENCY.FORMAT_1=0,CONCATENATE(TEXT(FIXED(ROUND((C1631*(1-I1631)*(1-ADD.DISCOUNT)*(1+MAT.SURCHARGE)/EXC.RATE_1),CURRENCY.FORMAT_1),CURRENCY.FORMAT_1,1),"# ##0;-# ##0"),",-"),FIXED(ROUND((C1631*(1-I1631)*(1-ADD.DISCOUNT)*(1+MAT.SURCHARGE)/EXC.RATE_1),CURRENCY.FORMAT_1),CURRENCY.FORMAT_1,0)),'DICTIONARY-5'!$A$2)</f>
        <v>222,-</v>
      </c>
      <c r="M1631" s="670" t="str">
        <f>IF(EXC.RATE_2=0,"",IFERROR(IF(CURRENCY.FORMAT_2=0,CONCATENATE(TEXT(FIXED(ROUND(IF(EXC.RATE.SWITCH=1,C1631*(1-I1631)*(1-ADD.DISCOUNT)*(1+MAT.SURCHARGE)/EXC.RATE_2,C1631*(1-I1631)*(1-ADD.DISCOUNT)*(1+MAT.SURCHARGE)*EXC.RATE_2),CURRENCY.FORMAT_2),CURRENCY.FORMAT_2,1),"# ##0;-# ##0"),",-"),FIXED(ROUND(IF(EXC.RATE.SWITCH=1,C1631*(1-I1631)*(1-ADD.DISCOUNT)*(1+MAT.SURCHARGE)/EXC.RATE_2,C1631*(1-I1631)*(1-ADD.DISCOUNT)*(1+MAT.SURCHARGE)*EXC.RATE_2),CURRENCY.FORMAT_2),CURRENCY.FORMAT_2,0)),'DICTIONARY-5'!$A$2))</f>
        <v/>
      </c>
      <c r="N1631" s="541">
        <v>6</v>
      </c>
      <c r="O1631" s="541"/>
      <c r="P1631" s="731" t="str">
        <f>'DICTIONARY-3'!$A$149</f>
        <v>CEREX 300-W</v>
      </c>
      <c r="Q1631" s="731" t="str">
        <f>'DICTIONARY-3'!$A$204</f>
        <v>Przepustnica kołnierzowa</v>
      </c>
      <c r="R1631" s="732" t="str">
        <f>CONCATENATE('DICTIONARY-3'!$A$149," ",'DICTIONARY-6'!$A$2," ",'DICTIONARY-2'!$A$2,"100"," ",'DICTIONARY-2'!$A$3,"10/16"," ","R20"," ",'DICTIONARY-5'!$A$37,"/",'DICTIONARY-5'!$A$44,", ",'DICTIONARY-4'!$A$3," ",'DICTIONARY-5'!$A$40)</f>
        <v>CEREX 300-W Przep. kołnierz. DN100 PN10/16 R20 CF8M/EPDM, DR stal</v>
      </c>
      <c r="S1631" s="733" t="str">
        <f>'DICTIONARY-4'!$A$3</f>
        <v>DR</v>
      </c>
      <c r="T1631" s="732" t="str">
        <f>'DICTIONARY-4'!$A$19</f>
        <v>Dźwignia ręczna</v>
      </c>
      <c r="U1631" s="734" t="s">
        <v>5749</v>
      </c>
      <c r="V1631" s="735">
        <v>16</v>
      </c>
      <c r="W1631" s="736"/>
      <c r="X1631" s="737"/>
      <c r="Y1631" s="738"/>
      <c r="Z1631" s="739"/>
      <c r="AA1631" s="739"/>
      <c r="AB1631" s="740">
        <v>16</v>
      </c>
      <c r="AC1631" s="741" t="str">
        <f>'DICTIONARY-5'!$A$11&amp;" 20"</f>
        <v>EN 558 szereg 20</v>
      </c>
      <c r="AD1631" s="741" t="str">
        <f>'DICTIONARY-5'!$A$13</f>
        <v>woda pitna</v>
      </c>
      <c r="AE1631" s="742">
        <v>110</v>
      </c>
      <c r="AF1631" s="743">
        <v>5.75</v>
      </c>
      <c r="AG1631" s="741" t="str">
        <f>'DICTIONARY-5'!$A$23</f>
        <v>powłoka epoksydowa</v>
      </c>
    </row>
    <row r="1632" spans="1:33" x14ac:dyDescent="0.25">
      <c r="A1632" s="866" t="s">
        <v>1713</v>
      </c>
      <c r="B1632" s="866" t="s">
        <v>3708</v>
      </c>
      <c r="C1632" s="836">
        <v>252</v>
      </c>
      <c r="D1632" s="836"/>
      <c r="E1632" s="836"/>
      <c r="F1632" s="836"/>
      <c r="G1632" s="496" t="s">
        <v>7832</v>
      </c>
      <c r="H1632" s="797" t="str">
        <f>VLOOKUP(G1632,SETTINGS!$B$7:$D$97,2,0)</f>
        <v>CEREX 300</v>
      </c>
      <c r="I1632" s="796">
        <f>VLOOKUP(G1632,SETTINGS!$B$7:$D$97,3,0)</f>
        <v>0</v>
      </c>
      <c r="J1632" s="670" t="str">
        <f>IFERROR(IF(CURRENCY.FORMAT_1=0,CONCATENATE(TEXT(FIXED(ROUND((C1632/EXC.RATE_1),CURRENCY.FORMAT_1),CURRENCY.FORMAT_1,1),"# ##0;-# ##0"),",-"),FIXED(ROUND((C1632/EXC.RATE_1),CURRENCY.FORMAT_1),CURRENCY.FORMAT_1,0)),'DICTIONARY-5'!$A$2)</f>
        <v>252,-</v>
      </c>
      <c r="K1632" s="670" t="str">
        <f>IF(EXC.RATE_2=0,"",IFERROR(IF(CURRENCY.FORMAT_2=0,CONCATENATE(TEXT(FIXED(ROUND(IF(EXC.RATE.SWITCH=1,C1632/EXC.RATE_2,C1632*EXC.RATE_2),CURRENCY.FORMAT_2),CURRENCY.FORMAT_2,1),"# ##0;-# ##0"),",-"),FIXED(ROUND(IF(EXC.RATE.SWITCH=1,C1632/EXC.RATE_2,C1632*EXC.RATE_2),CURRENCY.FORMAT_2),CURRENCY.FORMAT_2,0)),'DICTIONARY-5'!$A$2))</f>
        <v/>
      </c>
      <c r="L1632" s="670" t="str">
        <f>IFERROR(IF(CURRENCY.FORMAT_1=0,CONCATENATE(TEXT(FIXED(ROUND((C1632*(1-I1632)*(1-ADD.DISCOUNT)*(1+MAT.SURCHARGE)/EXC.RATE_1),CURRENCY.FORMAT_1),CURRENCY.FORMAT_1,1),"# ##0;-# ##0"),",-"),FIXED(ROUND((C1632*(1-I1632)*(1-ADD.DISCOUNT)*(1+MAT.SURCHARGE)/EXC.RATE_1),CURRENCY.FORMAT_1),CURRENCY.FORMAT_1,0)),'DICTIONARY-5'!$A$2)</f>
        <v>262,-</v>
      </c>
      <c r="M1632" s="670" t="str">
        <f>IF(EXC.RATE_2=0,"",IFERROR(IF(CURRENCY.FORMAT_2=0,CONCATENATE(TEXT(FIXED(ROUND(IF(EXC.RATE.SWITCH=1,C1632*(1-I1632)*(1-ADD.DISCOUNT)*(1+MAT.SURCHARGE)/EXC.RATE_2,C1632*(1-I1632)*(1-ADD.DISCOUNT)*(1+MAT.SURCHARGE)*EXC.RATE_2),CURRENCY.FORMAT_2),CURRENCY.FORMAT_2,1),"# ##0;-# ##0"),",-"),FIXED(ROUND(IF(EXC.RATE.SWITCH=1,C1632*(1-I1632)*(1-ADD.DISCOUNT)*(1+MAT.SURCHARGE)/EXC.RATE_2,C1632*(1-I1632)*(1-ADD.DISCOUNT)*(1+MAT.SURCHARGE)*EXC.RATE_2),CURRENCY.FORMAT_2),CURRENCY.FORMAT_2,0)),'DICTIONARY-5'!$A$2))</f>
        <v/>
      </c>
      <c r="N1632" s="541">
        <v>6</v>
      </c>
      <c r="O1632" s="541"/>
      <c r="P1632" s="731" t="str">
        <f>'DICTIONARY-3'!$A$149</f>
        <v>CEREX 300-W</v>
      </c>
      <c r="Q1632" s="731" t="str">
        <f>'DICTIONARY-3'!$A$204</f>
        <v>Przepustnica kołnierzowa</v>
      </c>
      <c r="R1632" s="732" t="str">
        <f>CONCATENATE('DICTIONARY-3'!$A$149," ",'DICTIONARY-6'!$A$2," ",'DICTIONARY-2'!$A$2,"125"," ",'DICTIONARY-2'!$A$3,"10/16"," ","R20"," ",'DICTIONARY-5'!$A$37,"/",'DICTIONARY-5'!$A$44,", ",'DICTIONARY-4'!$A$3," ",'DICTIONARY-5'!$A$40)</f>
        <v>CEREX 300-W Przep. kołnierz. DN125 PN10/16 R20 CF8M/EPDM, DR stal</v>
      </c>
      <c r="S1632" s="733" t="str">
        <f>'DICTIONARY-4'!$A$3</f>
        <v>DR</v>
      </c>
      <c r="T1632" s="732" t="str">
        <f>'DICTIONARY-4'!$A$19</f>
        <v>Dźwignia ręczna</v>
      </c>
      <c r="U1632" s="734" t="s">
        <v>5761</v>
      </c>
      <c r="V1632" s="735">
        <v>16</v>
      </c>
      <c r="W1632" s="736"/>
      <c r="X1632" s="737"/>
      <c r="Y1632" s="738"/>
      <c r="Z1632" s="739"/>
      <c r="AA1632" s="739"/>
      <c r="AB1632" s="740">
        <v>16</v>
      </c>
      <c r="AC1632" s="741" t="str">
        <f>'DICTIONARY-5'!$A$11&amp;" 20"</f>
        <v>EN 558 szereg 20</v>
      </c>
      <c r="AD1632" s="741" t="str">
        <f>'DICTIONARY-5'!$A$13</f>
        <v>woda pitna</v>
      </c>
      <c r="AE1632" s="742">
        <v>110</v>
      </c>
      <c r="AF1632" s="743">
        <v>7.5</v>
      </c>
      <c r="AG1632" s="741" t="str">
        <f>'DICTIONARY-5'!$A$23</f>
        <v>powłoka epoksydowa</v>
      </c>
    </row>
    <row r="1633" spans="1:33" x14ac:dyDescent="0.25">
      <c r="A1633" s="866" t="s">
        <v>1715</v>
      </c>
      <c r="B1633" s="866" t="s">
        <v>3715</v>
      </c>
      <c r="C1633" s="836">
        <v>366</v>
      </c>
      <c r="D1633" s="836"/>
      <c r="E1633" s="836"/>
      <c r="F1633" s="836"/>
      <c r="G1633" s="496" t="s">
        <v>7832</v>
      </c>
      <c r="H1633" s="797" t="str">
        <f>VLOOKUP(G1633,SETTINGS!$B$7:$D$97,2,0)</f>
        <v>CEREX 300</v>
      </c>
      <c r="I1633" s="796">
        <f>VLOOKUP(G1633,SETTINGS!$B$7:$D$97,3,0)</f>
        <v>0</v>
      </c>
      <c r="J1633" s="670" t="str">
        <f>IFERROR(IF(CURRENCY.FORMAT_1=0,CONCATENATE(TEXT(FIXED(ROUND((C1633/EXC.RATE_1),CURRENCY.FORMAT_1),CURRENCY.FORMAT_1,1),"# ##0;-# ##0"),",-"),FIXED(ROUND((C1633/EXC.RATE_1),CURRENCY.FORMAT_1),CURRENCY.FORMAT_1,0)),'DICTIONARY-5'!$A$2)</f>
        <v>366,-</v>
      </c>
      <c r="K1633" s="670" t="str">
        <f>IF(EXC.RATE_2=0,"",IFERROR(IF(CURRENCY.FORMAT_2=0,CONCATENATE(TEXT(FIXED(ROUND(IF(EXC.RATE.SWITCH=1,C1633/EXC.RATE_2,C1633*EXC.RATE_2),CURRENCY.FORMAT_2),CURRENCY.FORMAT_2,1),"# ##0;-# ##0"),",-"),FIXED(ROUND(IF(EXC.RATE.SWITCH=1,C1633/EXC.RATE_2,C1633*EXC.RATE_2),CURRENCY.FORMAT_2),CURRENCY.FORMAT_2,0)),'DICTIONARY-5'!$A$2))</f>
        <v/>
      </c>
      <c r="L1633" s="670" t="str">
        <f>IFERROR(IF(CURRENCY.FORMAT_1=0,CONCATENATE(TEXT(FIXED(ROUND((C1633*(1-I1633)*(1-ADD.DISCOUNT)*(1+MAT.SURCHARGE)/EXC.RATE_1),CURRENCY.FORMAT_1),CURRENCY.FORMAT_1,1),"# ##0;-# ##0"),",-"),FIXED(ROUND((C1633*(1-I1633)*(1-ADD.DISCOUNT)*(1+MAT.SURCHARGE)/EXC.RATE_1),CURRENCY.FORMAT_1),CURRENCY.FORMAT_1,0)),'DICTIONARY-5'!$A$2)</f>
        <v>380,-</v>
      </c>
      <c r="M1633" s="670" t="str">
        <f>IF(EXC.RATE_2=0,"",IFERROR(IF(CURRENCY.FORMAT_2=0,CONCATENATE(TEXT(FIXED(ROUND(IF(EXC.RATE.SWITCH=1,C1633*(1-I1633)*(1-ADD.DISCOUNT)*(1+MAT.SURCHARGE)/EXC.RATE_2,C1633*(1-I1633)*(1-ADD.DISCOUNT)*(1+MAT.SURCHARGE)*EXC.RATE_2),CURRENCY.FORMAT_2),CURRENCY.FORMAT_2,1),"# ##0;-# ##0"),",-"),FIXED(ROUND(IF(EXC.RATE.SWITCH=1,C1633*(1-I1633)*(1-ADD.DISCOUNT)*(1+MAT.SURCHARGE)/EXC.RATE_2,C1633*(1-I1633)*(1-ADD.DISCOUNT)*(1+MAT.SURCHARGE)*EXC.RATE_2),CURRENCY.FORMAT_2),CURRENCY.FORMAT_2,0)),'DICTIONARY-5'!$A$2))</f>
        <v/>
      </c>
      <c r="N1633" s="541">
        <v>6</v>
      </c>
      <c r="O1633" s="541"/>
      <c r="P1633" s="731" t="str">
        <f>'DICTIONARY-3'!$A$149</f>
        <v>CEREX 300-W</v>
      </c>
      <c r="Q1633" s="731" t="str">
        <f>'DICTIONARY-3'!$A$204</f>
        <v>Przepustnica kołnierzowa</v>
      </c>
      <c r="R1633" s="732" t="str">
        <f>CONCATENATE('DICTIONARY-3'!$A$149," ",'DICTIONARY-6'!$A$2," ",'DICTIONARY-2'!$A$2,"150"," ",'DICTIONARY-2'!$A$3,"10/16"," ","R20"," ",'DICTIONARY-5'!$A$37,"/",'DICTIONARY-5'!$A$44,", ",'DICTIONARY-4'!$A$3," ",'DICTIONARY-5'!$A$40)</f>
        <v>CEREX 300-W Przep. kołnierz. DN150 PN10/16 R20 CF8M/EPDM, DR stal</v>
      </c>
      <c r="S1633" s="733" t="str">
        <f>'DICTIONARY-4'!$A$3</f>
        <v>DR</v>
      </c>
      <c r="T1633" s="732" t="str">
        <f>'DICTIONARY-4'!$A$19</f>
        <v>Dźwignia ręczna</v>
      </c>
      <c r="U1633" s="734" t="s">
        <v>5572</v>
      </c>
      <c r="V1633" s="735">
        <v>16</v>
      </c>
      <c r="W1633" s="736"/>
      <c r="X1633" s="737"/>
      <c r="Y1633" s="738"/>
      <c r="Z1633" s="739"/>
      <c r="AA1633" s="739"/>
      <c r="AB1633" s="740">
        <v>16</v>
      </c>
      <c r="AC1633" s="741" t="str">
        <f>'DICTIONARY-5'!$A$11&amp;" 20"</f>
        <v>EN 558 szereg 20</v>
      </c>
      <c r="AD1633" s="741" t="str">
        <f>'DICTIONARY-5'!$A$13</f>
        <v>woda pitna</v>
      </c>
      <c r="AE1633" s="742">
        <v>110</v>
      </c>
      <c r="AF1633" s="743">
        <v>10.7</v>
      </c>
      <c r="AG1633" s="741" t="str">
        <f>'DICTIONARY-5'!$A$23</f>
        <v>powłoka epoksydowa</v>
      </c>
    </row>
    <row r="1634" spans="1:33" x14ac:dyDescent="0.25">
      <c r="A1634" s="866" t="s">
        <v>1717</v>
      </c>
      <c r="B1634" s="866" t="s">
        <v>3722</v>
      </c>
      <c r="C1634" s="836">
        <v>485</v>
      </c>
      <c r="D1634" s="836"/>
      <c r="E1634" s="836"/>
      <c r="F1634" s="836"/>
      <c r="G1634" s="496" t="s">
        <v>7832</v>
      </c>
      <c r="H1634" s="797" t="str">
        <f>VLOOKUP(G1634,SETTINGS!$B$7:$D$97,2,0)</f>
        <v>CEREX 300</v>
      </c>
      <c r="I1634" s="796">
        <f>VLOOKUP(G1634,SETTINGS!$B$7:$D$97,3,0)</f>
        <v>0</v>
      </c>
      <c r="J1634" s="670" t="str">
        <f>IFERROR(IF(CURRENCY.FORMAT_1=0,CONCATENATE(TEXT(FIXED(ROUND((C1634/EXC.RATE_1),CURRENCY.FORMAT_1),CURRENCY.FORMAT_1,1),"# ##0;-# ##0"),",-"),FIXED(ROUND((C1634/EXC.RATE_1),CURRENCY.FORMAT_1),CURRENCY.FORMAT_1,0)),'DICTIONARY-5'!$A$2)</f>
        <v>485,-</v>
      </c>
      <c r="K1634" s="670" t="str">
        <f>IF(EXC.RATE_2=0,"",IFERROR(IF(CURRENCY.FORMAT_2=0,CONCATENATE(TEXT(FIXED(ROUND(IF(EXC.RATE.SWITCH=1,C1634/EXC.RATE_2,C1634*EXC.RATE_2),CURRENCY.FORMAT_2),CURRENCY.FORMAT_2,1),"# ##0;-# ##0"),",-"),FIXED(ROUND(IF(EXC.RATE.SWITCH=1,C1634/EXC.RATE_2,C1634*EXC.RATE_2),CURRENCY.FORMAT_2),CURRENCY.FORMAT_2,0)),'DICTIONARY-5'!$A$2))</f>
        <v/>
      </c>
      <c r="L1634" s="670" t="str">
        <f>IFERROR(IF(CURRENCY.FORMAT_1=0,CONCATENATE(TEXT(FIXED(ROUND((C1634*(1-I1634)*(1-ADD.DISCOUNT)*(1+MAT.SURCHARGE)/EXC.RATE_1),CURRENCY.FORMAT_1),CURRENCY.FORMAT_1,1),"# ##0;-# ##0"),",-"),FIXED(ROUND((C1634*(1-I1634)*(1-ADD.DISCOUNT)*(1+MAT.SURCHARGE)/EXC.RATE_1),CURRENCY.FORMAT_1),CURRENCY.FORMAT_1,0)),'DICTIONARY-5'!$A$2)</f>
        <v>504,-</v>
      </c>
      <c r="M1634" s="670" t="str">
        <f>IF(EXC.RATE_2=0,"",IFERROR(IF(CURRENCY.FORMAT_2=0,CONCATENATE(TEXT(FIXED(ROUND(IF(EXC.RATE.SWITCH=1,C1634*(1-I1634)*(1-ADD.DISCOUNT)*(1+MAT.SURCHARGE)/EXC.RATE_2,C1634*(1-I1634)*(1-ADD.DISCOUNT)*(1+MAT.SURCHARGE)*EXC.RATE_2),CURRENCY.FORMAT_2),CURRENCY.FORMAT_2,1),"# ##0;-# ##0"),",-"),FIXED(ROUND(IF(EXC.RATE.SWITCH=1,C1634*(1-I1634)*(1-ADD.DISCOUNT)*(1+MAT.SURCHARGE)/EXC.RATE_2,C1634*(1-I1634)*(1-ADD.DISCOUNT)*(1+MAT.SURCHARGE)*EXC.RATE_2),CURRENCY.FORMAT_2),CURRENCY.FORMAT_2,0)),'DICTIONARY-5'!$A$2))</f>
        <v/>
      </c>
      <c r="N1634" s="541">
        <v>6</v>
      </c>
      <c r="O1634" s="541"/>
      <c r="P1634" s="731" t="str">
        <f>'DICTIONARY-3'!$A$149</f>
        <v>CEREX 300-W</v>
      </c>
      <c r="Q1634" s="731" t="str">
        <f>'DICTIONARY-3'!$A$204</f>
        <v>Przepustnica kołnierzowa</v>
      </c>
      <c r="R1634" s="732" t="str">
        <f>CONCATENATE('DICTIONARY-3'!$A$149," ",'DICTIONARY-6'!$A$2," ",'DICTIONARY-2'!$A$2,"200"," ",'DICTIONARY-2'!$A$3,"10/16"," ","R20"," ",'DICTIONARY-5'!$A$37,"/",'DICTIONARY-5'!$A$44,", ",'DICTIONARY-4'!$A$3," ",'DICTIONARY-5'!$A$40)</f>
        <v>CEREX 300-W Przep. kołnierz. DN200 PN10/16 R20 CF8M/EPDM, DR stal</v>
      </c>
      <c r="S1634" s="733" t="str">
        <f>'DICTIONARY-4'!$A$3</f>
        <v>DR</v>
      </c>
      <c r="T1634" s="732" t="str">
        <f>'DICTIONARY-4'!$A$19</f>
        <v>Dźwignia ręczna</v>
      </c>
      <c r="U1634" s="734" t="s">
        <v>5750</v>
      </c>
      <c r="V1634" s="735">
        <v>16</v>
      </c>
      <c r="W1634" s="736"/>
      <c r="X1634" s="737"/>
      <c r="Y1634" s="738"/>
      <c r="Z1634" s="739"/>
      <c r="AA1634" s="739"/>
      <c r="AB1634" s="740">
        <v>16</v>
      </c>
      <c r="AC1634" s="741" t="str">
        <f>'DICTIONARY-5'!$A$11&amp;" 20"</f>
        <v>EN 558 szereg 20</v>
      </c>
      <c r="AD1634" s="741" t="str">
        <f>'DICTIONARY-5'!$A$13</f>
        <v>woda pitna</v>
      </c>
      <c r="AE1634" s="742">
        <v>110</v>
      </c>
      <c r="AF1634" s="743">
        <v>15.5</v>
      </c>
      <c r="AG1634" s="741" t="str">
        <f>'DICTIONARY-5'!$A$23</f>
        <v>powłoka epoksydowa</v>
      </c>
    </row>
    <row r="1635" spans="1:33" x14ac:dyDescent="0.25">
      <c r="A1635" s="868" t="s">
        <v>1718</v>
      </c>
      <c r="B1635" s="869" t="s">
        <v>3748</v>
      </c>
      <c r="C1635" s="836">
        <v>161</v>
      </c>
      <c r="D1635" s="836"/>
      <c r="E1635" s="836"/>
      <c r="F1635" s="836"/>
      <c r="G1635" s="496" t="s">
        <v>7832</v>
      </c>
      <c r="H1635" s="797" t="str">
        <f>VLOOKUP(G1635,SETTINGS!$B$7:$D$97,2,0)</f>
        <v>CEREX 300</v>
      </c>
      <c r="I1635" s="796">
        <f>VLOOKUP(G1635,SETTINGS!$B$7:$D$97,3,0)</f>
        <v>0</v>
      </c>
      <c r="J1635" s="670" t="str">
        <f>IFERROR(IF(CURRENCY.FORMAT_1=0,CONCATENATE(TEXT(FIXED(ROUND((C1635/EXC.RATE_1),CURRENCY.FORMAT_1),CURRENCY.FORMAT_1,1),"# ##0;-# ##0"),",-"),FIXED(ROUND((C1635/EXC.RATE_1),CURRENCY.FORMAT_1),CURRENCY.FORMAT_1,0)),'DICTIONARY-5'!$A$2)</f>
        <v>161,-</v>
      </c>
      <c r="K1635" s="670" t="str">
        <f>IF(EXC.RATE_2=0,"",IFERROR(IF(CURRENCY.FORMAT_2=0,CONCATENATE(TEXT(FIXED(ROUND(IF(EXC.RATE.SWITCH=1,C1635/EXC.RATE_2,C1635*EXC.RATE_2),CURRENCY.FORMAT_2),CURRENCY.FORMAT_2,1),"# ##0;-# ##0"),",-"),FIXED(ROUND(IF(EXC.RATE.SWITCH=1,C1635/EXC.RATE_2,C1635*EXC.RATE_2),CURRENCY.FORMAT_2),CURRENCY.FORMAT_2,0)),'DICTIONARY-5'!$A$2))</f>
        <v/>
      </c>
      <c r="L1635" s="670" t="str">
        <f>IFERROR(IF(CURRENCY.FORMAT_1=0,CONCATENATE(TEXT(FIXED(ROUND((C1635*(1-I1635)*(1-ADD.DISCOUNT)*(1+MAT.SURCHARGE)/EXC.RATE_1),CURRENCY.FORMAT_1),CURRENCY.FORMAT_1,1),"# ##0;-# ##0"),",-"),FIXED(ROUND((C1635*(1-I1635)*(1-ADD.DISCOUNT)*(1+MAT.SURCHARGE)/EXC.RATE_1),CURRENCY.FORMAT_1),CURRENCY.FORMAT_1,0)),'DICTIONARY-5'!$A$2)</f>
        <v>167,-</v>
      </c>
      <c r="M1635" s="670" t="str">
        <f>IF(EXC.RATE_2=0,"",IFERROR(IF(CURRENCY.FORMAT_2=0,CONCATENATE(TEXT(FIXED(ROUND(IF(EXC.RATE.SWITCH=1,C1635*(1-I1635)*(1-ADD.DISCOUNT)*(1+MAT.SURCHARGE)/EXC.RATE_2,C1635*(1-I1635)*(1-ADD.DISCOUNT)*(1+MAT.SURCHARGE)*EXC.RATE_2),CURRENCY.FORMAT_2),CURRENCY.FORMAT_2,1),"# ##0;-# ##0"),",-"),FIXED(ROUND(IF(EXC.RATE.SWITCH=1,C1635*(1-I1635)*(1-ADD.DISCOUNT)*(1+MAT.SURCHARGE)/EXC.RATE_2,C1635*(1-I1635)*(1-ADD.DISCOUNT)*(1+MAT.SURCHARGE)*EXC.RATE_2),CURRENCY.FORMAT_2),CURRENCY.FORMAT_2,0)),'DICTIONARY-5'!$A$2))</f>
        <v/>
      </c>
      <c r="N1635" s="535">
        <v>6</v>
      </c>
      <c r="O1635" s="535"/>
      <c r="P1635" s="731" t="str">
        <f>'DICTIONARY-3'!$A$149</f>
        <v>CEREX 300-W</v>
      </c>
      <c r="Q1635" s="732" t="str">
        <f>'DICTIONARY-3'!$A$204</f>
        <v>Przepustnica kołnierzowa</v>
      </c>
      <c r="R1635" s="732" t="str">
        <f>CONCATENATE('DICTIONARY-3'!$A$149," ",'DICTIONARY-6'!$A$2," ",UPPER('DICTIONARY-5'!$A$18)," ",'DICTIONARY-2'!$A$2,"50"," ",'DICTIONARY-2'!$A$3,"10/16"," ","R20"," ",'DICTIONARY-5'!$A$51,"/",'DICTIONARY-5'!$A$45,", ",'DICTIONARY-4'!$A$3," ",'DICTIONARY-5'!$A$40)</f>
        <v>CEREX 300-W Przep. kołnierz. GAZ DN50 PN10/16 R20 GGG/NBR, DR stal</v>
      </c>
      <c r="S1635" s="733" t="str">
        <f>'DICTIONARY-4'!$A$3</f>
        <v>DR</v>
      </c>
      <c r="T1635" s="732" t="str">
        <f>'DICTIONARY-4'!$A$19</f>
        <v>Dźwignia ręczna</v>
      </c>
      <c r="U1635" s="734" t="s">
        <v>5748</v>
      </c>
      <c r="V1635" s="735">
        <v>16</v>
      </c>
      <c r="W1635" s="736"/>
      <c r="X1635" s="737"/>
      <c r="Y1635" s="738"/>
      <c r="Z1635" s="739"/>
      <c r="AA1635" s="739"/>
      <c r="AB1635" s="740">
        <v>16</v>
      </c>
      <c r="AC1635" s="741" t="str">
        <f>'DICTIONARY-5'!$A$11&amp;" 20"</f>
        <v>EN 558 szereg 20</v>
      </c>
      <c r="AD1635" s="741" t="str">
        <f>'DICTIONARY-5'!$A$18&amp;", "&amp;'DICTIONARY-5'!$A$14</f>
        <v>gaz, ścieki</v>
      </c>
      <c r="AE1635" s="742">
        <v>80</v>
      </c>
      <c r="AF1635" s="743">
        <v>3</v>
      </c>
      <c r="AG1635" s="741" t="str">
        <f>'DICTIONARY-5'!$A$23</f>
        <v>powłoka epoksydowa</v>
      </c>
    </row>
    <row r="1636" spans="1:33" x14ac:dyDescent="0.25">
      <c r="A1636" s="869" t="s">
        <v>1720</v>
      </c>
      <c r="B1636" s="869" t="s">
        <v>3755</v>
      </c>
      <c r="C1636" s="836">
        <v>175</v>
      </c>
      <c r="D1636" s="836"/>
      <c r="E1636" s="836"/>
      <c r="F1636" s="836"/>
      <c r="G1636" s="496" t="s">
        <v>7832</v>
      </c>
      <c r="H1636" s="797" t="str">
        <f>VLOOKUP(G1636,SETTINGS!$B$7:$D$97,2,0)</f>
        <v>CEREX 300</v>
      </c>
      <c r="I1636" s="796">
        <f>VLOOKUP(G1636,SETTINGS!$B$7:$D$97,3,0)</f>
        <v>0</v>
      </c>
      <c r="J1636" s="670" t="str">
        <f>IFERROR(IF(CURRENCY.FORMAT_1=0,CONCATENATE(TEXT(FIXED(ROUND((C1636/EXC.RATE_1),CURRENCY.FORMAT_1),CURRENCY.FORMAT_1,1),"# ##0;-# ##0"),",-"),FIXED(ROUND((C1636/EXC.RATE_1),CURRENCY.FORMAT_1),CURRENCY.FORMAT_1,0)),'DICTIONARY-5'!$A$2)</f>
        <v>175,-</v>
      </c>
      <c r="K1636" s="670" t="str">
        <f>IF(EXC.RATE_2=0,"",IFERROR(IF(CURRENCY.FORMAT_2=0,CONCATENATE(TEXT(FIXED(ROUND(IF(EXC.RATE.SWITCH=1,C1636/EXC.RATE_2,C1636*EXC.RATE_2),CURRENCY.FORMAT_2),CURRENCY.FORMAT_2,1),"# ##0;-# ##0"),",-"),FIXED(ROUND(IF(EXC.RATE.SWITCH=1,C1636/EXC.RATE_2,C1636*EXC.RATE_2),CURRENCY.FORMAT_2),CURRENCY.FORMAT_2,0)),'DICTIONARY-5'!$A$2))</f>
        <v/>
      </c>
      <c r="L1636" s="670" t="str">
        <f>IFERROR(IF(CURRENCY.FORMAT_1=0,CONCATENATE(TEXT(FIXED(ROUND((C1636*(1-I1636)*(1-ADD.DISCOUNT)*(1+MAT.SURCHARGE)/EXC.RATE_1),CURRENCY.FORMAT_1),CURRENCY.FORMAT_1,1),"# ##0;-# ##0"),",-"),FIXED(ROUND((C1636*(1-I1636)*(1-ADD.DISCOUNT)*(1+MAT.SURCHARGE)/EXC.RATE_1),CURRENCY.FORMAT_1),CURRENCY.FORMAT_1,0)),'DICTIONARY-5'!$A$2)</f>
        <v>182,-</v>
      </c>
      <c r="M1636" s="670" t="str">
        <f>IF(EXC.RATE_2=0,"",IFERROR(IF(CURRENCY.FORMAT_2=0,CONCATENATE(TEXT(FIXED(ROUND(IF(EXC.RATE.SWITCH=1,C1636*(1-I1636)*(1-ADD.DISCOUNT)*(1+MAT.SURCHARGE)/EXC.RATE_2,C1636*(1-I1636)*(1-ADD.DISCOUNT)*(1+MAT.SURCHARGE)*EXC.RATE_2),CURRENCY.FORMAT_2),CURRENCY.FORMAT_2,1),"# ##0;-# ##0"),",-"),FIXED(ROUND(IF(EXC.RATE.SWITCH=1,C1636*(1-I1636)*(1-ADD.DISCOUNT)*(1+MAT.SURCHARGE)/EXC.RATE_2,C1636*(1-I1636)*(1-ADD.DISCOUNT)*(1+MAT.SURCHARGE)*EXC.RATE_2),CURRENCY.FORMAT_2),CURRENCY.FORMAT_2,0)),'DICTIONARY-5'!$A$2))</f>
        <v/>
      </c>
      <c r="N1636" s="535">
        <v>6</v>
      </c>
      <c r="O1636" s="535"/>
      <c r="P1636" s="731" t="str">
        <f>'DICTIONARY-3'!$A$149</f>
        <v>CEREX 300-W</v>
      </c>
      <c r="Q1636" s="732" t="str">
        <f>'DICTIONARY-3'!$A$204</f>
        <v>Przepustnica kołnierzowa</v>
      </c>
      <c r="R1636" s="732" t="str">
        <f>CONCATENATE('DICTIONARY-3'!$A$149," ",'DICTIONARY-6'!$A$2," ",UPPER('DICTIONARY-5'!$A$18)," ",'DICTIONARY-2'!$A$2,"65"," ",'DICTIONARY-2'!$A$3,"10/16"," ","R20"," ",'DICTIONARY-5'!$A$51,"/",'DICTIONARY-5'!$A$45,", ",'DICTIONARY-4'!$A$3," ",'DICTIONARY-5'!$A$40)</f>
        <v>CEREX 300-W Przep. kołnierz. GAZ DN65 PN10/16 R20 GGG/NBR, DR stal</v>
      </c>
      <c r="S1636" s="733" t="str">
        <f>'DICTIONARY-4'!$A$3</f>
        <v>DR</v>
      </c>
      <c r="T1636" s="732" t="str">
        <f>'DICTIONARY-4'!$A$19</f>
        <v>Dźwignia ręczna</v>
      </c>
      <c r="U1636" s="734" t="s">
        <v>5759</v>
      </c>
      <c r="V1636" s="735">
        <v>16</v>
      </c>
      <c r="W1636" s="736"/>
      <c r="X1636" s="737"/>
      <c r="Y1636" s="738"/>
      <c r="Z1636" s="739"/>
      <c r="AA1636" s="739"/>
      <c r="AB1636" s="740">
        <v>16</v>
      </c>
      <c r="AC1636" s="741" t="str">
        <f>'DICTIONARY-5'!$A$11&amp;" 20"</f>
        <v>EN 558 szereg 20</v>
      </c>
      <c r="AD1636" s="741" t="str">
        <f>'DICTIONARY-5'!$A$18&amp;", "&amp;'DICTIONARY-5'!$A$14</f>
        <v>gaz, ścieki</v>
      </c>
      <c r="AE1636" s="742">
        <v>80</v>
      </c>
      <c r="AF1636" s="743">
        <v>3.5</v>
      </c>
      <c r="AG1636" s="741" t="str">
        <f>'DICTIONARY-5'!$A$23</f>
        <v>powłoka epoksydowa</v>
      </c>
    </row>
    <row r="1637" spans="1:33" x14ac:dyDescent="0.25">
      <c r="A1637" s="869" t="s">
        <v>1722</v>
      </c>
      <c r="B1637" s="869" t="s">
        <v>3762</v>
      </c>
      <c r="C1637" s="836">
        <v>181</v>
      </c>
      <c r="D1637" s="836"/>
      <c r="E1637" s="836"/>
      <c r="F1637" s="836"/>
      <c r="G1637" s="496" t="s">
        <v>7832</v>
      </c>
      <c r="H1637" s="797" t="str">
        <f>VLOOKUP(G1637,SETTINGS!$B$7:$D$97,2,0)</f>
        <v>CEREX 300</v>
      </c>
      <c r="I1637" s="796">
        <f>VLOOKUP(G1637,SETTINGS!$B$7:$D$97,3,0)</f>
        <v>0</v>
      </c>
      <c r="J1637" s="670" t="str">
        <f>IFERROR(IF(CURRENCY.FORMAT_1=0,CONCATENATE(TEXT(FIXED(ROUND((C1637/EXC.RATE_1),CURRENCY.FORMAT_1),CURRENCY.FORMAT_1,1),"# ##0;-# ##0"),",-"),FIXED(ROUND((C1637/EXC.RATE_1),CURRENCY.FORMAT_1),CURRENCY.FORMAT_1,0)),'DICTIONARY-5'!$A$2)</f>
        <v>181,-</v>
      </c>
      <c r="K1637" s="670" t="str">
        <f>IF(EXC.RATE_2=0,"",IFERROR(IF(CURRENCY.FORMAT_2=0,CONCATENATE(TEXT(FIXED(ROUND(IF(EXC.RATE.SWITCH=1,C1637/EXC.RATE_2,C1637*EXC.RATE_2),CURRENCY.FORMAT_2),CURRENCY.FORMAT_2,1),"# ##0;-# ##0"),",-"),FIXED(ROUND(IF(EXC.RATE.SWITCH=1,C1637/EXC.RATE_2,C1637*EXC.RATE_2),CURRENCY.FORMAT_2),CURRENCY.FORMAT_2,0)),'DICTIONARY-5'!$A$2))</f>
        <v/>
      </c>
      <c r="L1637" s="670" t="str">
        <f>IFERROR(IF(CURRENCY.FORMAT_1=0,CONCATENATE(TEXT(FIXED(ROUND((C1637*(1-I1637)*(1-ADD.DISCOUNT)*(1+MAT.SURCHARGE)/EXC.RATE_1),CURRENCY.FORMAT_1),CURRENCY.FORMAT_1,1),"# ##0;-# ##0"),",-"),FIXED(ROUND((C1637*(1-I1637)*(1-ADD.DISCOUNT)*(1+MAT.SURCHARGE)/EXC.RATE_1),CURRENCY.FORMAT_1),CURRENCY.FORMAT_1,0)),'DICTIONARY-5'!$A$2)</f>
        <v>188,-</v>
      </c>
      <c r="M1637" s="670" t="str">
        <f>IF(EXC.RATE_2=0,"",IFERROR(IF(CURRENCY.FORMAT_2=0,CONCATENATE(TEXT(FIXED(ROUND(IF(EXC.RATE.SWITCH=1,C1637*(1-I1637)*(1-ADD.DISCOUNT)*(1+MAT.SURCHARGE)/EXC.RATE_2,C1637*(1-I1637)*(1-ADD.DISCOUNT)*(1+MAT.SURCHARGE)*EXC.RATE_2),CURRENCY.FORMAT_2),CURRENCY.FORMAT_2,1),"# ##0;-# ##0"),",-"),FIXED(ROUND(IF(EXC.RATE.SWITCH=1,C1637*(1-I1637)*(1-ADD.DISCOUNT)*(1+MAT.SURCHARGE)/EXC.RATE_2,C1637*(1-I1637)*(1-ADD.DISCOUNT)*(1+MAT.SURCHARGE)*EXC.RATE_2),CURRENCY.FORMAT_2),CURRENCY.FORMAT_2,0)),'DICTIONARY-5'!$A$2))</f>
        <v/>
      </c>
      <c r="N1637" s="535">
        <v>6</v>
      </c>
      <c r="O1637" s="535"/>
      <c r="P1637" s="731" t="str">
        <f>'DICTIONARY-3'!$A$149</f>
        <v>CEREX 300-W</v>
      </c>
      <c r="Q1637" s="732" t="str">
        <f>'DICTIONARY-3'!$A$204</f>
        <v>Przepustnica kołnierzowa</v>
      </c>
      <c r="R1637" s="732" t="str">
        <f>CONCATENATE('DICTIONARY-3'!$A$149," ",'DICTIONARY-6'!$A$2," ",UPPER('DICTIONARY-5'!$A$18)," ",'DICTIONARY-2'!$A$2,"80"," ",'DICTIONARY-2'!$A$3,"10/16"," ","R20"," ",'DICTIONARY-5'!$A$51,"/",'DICTIONARY-5'!$A$45,", ",'DICTIONARY-4'!$A$3," ",'DICTIONARY-5'!$A$40)</f>
        <v>CEREX 300-W Przep. kołnierz. GAZ DN80 PN10/16 R20 GGG/NBR, DR stal</v>
      </c>
      <c r="S1637" s="733" t="str">
        <f>'DICTIONARY-4'!$A$3</f>
        <v>DR</v>
      </c>
      <c r="T1637" s="732" t="str">
        <f>'DICTIONARY-4'!$A$19</f>
        <v>Dźwignia ręczna</v>
      </c>
      <c r="U1637" s="734" t="s">
        <v>5760</v>
      </c>
      <c r="V1637" s="735">
        <v>16</v>
      </c>
      <c r="W1637" s="736"/>
      <c r="X1637" s="737"/>
      <c r="Y1637" s="738"/>
      <c r="Z1637" s="739"/>
      <c r="AA1637" s="739"/>
      <c r="AB1637" s="740">
        <v>16</v>
      </c>
      <c r="AC1637" s="741" t="str">
        <f>'DICTIONARY-5'!$A$11&amp;" 20"</f>
        <v>EN 558 szereg 20</v>
      </c>
      <c r="AD1637" s="741" t="str">
        <f>'DICTIONARY-5'!$A$18&amp;", "&amp;'DICTIONARY-5'!$A$14</f>
        <v>gaz, ścieki</v>
      </c>
      <c r="AE1637" s="742">
        <v>80</v>
      </c>
      <c r="AF1637" s="743">
        <v>4</v>
      </c>
      <c r="AG1637" s="741" t="str">
        <f>'DICTIONARY-5'!$A$23</f>
        <v>powłoka epoksydowa</v>
      </c>
    </row>
    <row r="1638" spans="1:33" x14ac:dyDescent="0.25">
      <c r="A1638" s="869" t="s">
        <v>1724</v>
      </c>
      <c r="B1638" s="869" t="s">
        <v>3769</v>
      </c>
      <c r="C1638" s="836">
        <v>221</v>
      </c>
      <c r="D1638" s="836"/>
      <c r="E1638" s="836"/>
      <c r="F1638" s="836"/>
      <c r="G1638" s="496" t="s">
        <v>7832</v>
      </c>
      <c r="H1638" s="797" t="str">
        <f>VLOOKUP(G1638,SETTINGS!$B$7:$D$97,2,0)</f>
        <v>CEREX 300</v>
      </c>
      <c r="I1638" s="796">
        <f>VLOOKUP(G1638,SETTINGS!$B$7:$D$97,3,0)</f>
        <v>0</v>
      </c>
      <c r="J1638" s="670" t="str">
        <f>IFERROR(IF(CURRENCY.FORMAT_1=0,CONCATENATE(TEXT(FIXED(ROUND((C1638/EXC.RATE_1),CURRENCY.FORMAT_1),CURRENCY.FORMAT_1,1),"# ##0;-# ##0"),",-"),FIXED(ROUND((C1638/EXC.RATE_1),CURRENCY.FORMAT_1),CURRENCY.FORMAT_1,0)),'DICTIONARY-5'!$A$2)</f>
        <v>221,-</v>
      </c>
      <c r="K1638" s="670" t="str">
        <f>IF(EXC.RATE_2=0,"",IFERROR(IF(CURRENCY.FORMAT_2=0,CONCATENATE(TEXT(FIXED(ROUND(IF(EXC.RATE.SWITCH=1,C1638/EXC.RATE_2,C1638*EXC.RATE_2),CURRENCY.FORMAT_2),CURRENCY.FORMAT_2,1),"# ##0;-# ##0"),",-"),FIXED(ROUND(IF(EXC.RATE.SWITCH=1,C1638/EXC.RATE_2,C1638*EXC.RATE_2),CURRENCY.FORMAT_2),CURRENCY.FORMAT_2,0)),'DICTIONARY-5'!$A$2))</f>
        <v/>
      </c>
      <c r="L1638" s="670" t="str">
        <f>IFERROR(IF(CURRENCY.FORMAT_1=0,CONCATENATE(TEXT(FIXED(ROUND((C1638*(1-I1638)*(1-ADD.DISCOUNT)*(1+MAT.SURCHARGE)/EXC.RATE_1),CURRENCY.FORMAT_1),CURRENCY.FORMAT_1,1),"# ##0;-# ##0"),",-"),FIXED(ROUND((C1638*(1-I1638)*(1-ADD.DISCOUNT)*(1+MAT.SURCHARGE)/EXC.RATE_1),CURRENCY.FORMAT_1),CURRENCY.FORMAT_1,0)),'DICTIONARY-5'!$A$2)</f>
        <v>230,-</v>
      </c>
      <c r="M1638" s="670" t="str">
        <f>IF(EXC.RATE_2=0,"",IFERROR(IF(CURRENCY.FORMAT_2=0,CONCATENATE(TEXT(FIXED(ROUND(IF(EXC.RATE.SWITCH=1,C1638*(1-I1638)*(1-ADD.DISCOUNT)*(1+MAT.SURCHARGE)/EXC.RATE_2,C1638*(1-I1638)*(1-ADD.DISCOUNT)*(1+MAT.SURCHARGE)*EXC.RATE_2),CURRENCY.FORMAT_2),CURRENCY.FORMAT_2,1),"# ##0;-# ##0"),",-"),FIXED(ROUND(IF(EXC.RATE.SWITCH=1,C1638*(1-I1638)*(1-ADD.DISCOUNT)*(1+MAT.SURCHARGE)/EXC.RATE_2,C1638*(1-I1638)*(1-ADD.DISCOUNT)*(1+MAT.SURCHARGE)*EXC.RATE_2),CURRENCY.FORMAT_2),CURRENCY.FORMAT_2,0)),'DICTIONARY-5'!$A$2))</f>
        <v/>
      </c>
      <c r="N1638" s="535">
        <v>6</v>
      </c>
      <c r="O1638" s="535"/>
      <c r="P1638" s="731" t="str">
        <f>'DICTIONARY-3'!$A$149</f>
        <v>CEREX 300-W</v>
      </c>
      <c r="Q1638" s="732" t="str">
        <f>'DICTIONARY-3'!$A$204</f>
        <v>Przepustnica kołnierzowa</v>
      </c>
      <c r="R1638" s="732" t="str">
        <f>CONCATENATE('DICTIONARY-3'!$A$149," ",'DICTIONARY-6'!$A$2," ",UPPER('DICTIONARY-5'!$A$18)," ",'DICTIONARY-2'!$A$2,"100"," ",'DICTIONARY-2'!$A$3,"10/16"," ","R20"," ",'DICTIONARY-5'!$A$51,"/",'DICTIONARY-5'!$A$45,", ",'DICTIONARY-4'!$A$3," ",'DICTIONARY-5'!$A$40)</f>
        <v>CEREX 300-W Przep. kołnierz. GAZ DN100 PN10/16 R20 GGG/NBR, DR stal</v>
      </c>
      <c r="S1638" s="733" t="str">
        <f>'DICTIONARY-4'!$A$3</f>
        <v>DR</v>
      </c>
      <c r="T1638" s="732" t="str">
        <f>'DICTIONARY-4'!$A$19</f>
        <v>Dźwignia ręczna</v>
      </c>
      <c r="U1638" s="734" t="s">
        <v>5749</v>
      </c>
      <c r="V1638" s="735">
        <v>16</v>
      </c>
      <c r="W1638" s="736"/>
      <c r="X1638" s="737"/>
      <c r="Y1638" s="738"/>
      <c r="Z1638" s="739"/>
      <c r="AA1638" s="739"/>
      <c r="AB1638" s="740">
        <v>16</v>
      </c>
      <c r="AC1638" s="741" t="str">
        <f>'DICTIONARY-5'!$A$11&amp;" 20"</f>
        <v>EN 558 szereg 20</v>
      </c>
      <c r="AD1638" s="741" t="str">
        <f>'DICTIONARY-5'!$A$18&amp;", "&amp;'DICTIONARY-5'!$A$14</f>
        <v>gaz, ścieki</v>
      </c>
      <c r="AE1638" s="742">
        <v>80</v>
      </c>
      <c r="AF1638" s="743">
        <v>5.6</v>
      </c>
      <c r="AG1638" s="741" t="str">
        <f>'DICTIONARY-5'!$A$23</f>
        <v>powłoka epoksydowa</v>
      </c>
    </row>
    <row r="1639" spans="1:33" x14ac:dyDescent="0.25">
      <c r="A1639" s="869" t="s">
        <v>1726</v>
      </c>
      <c r="B1639" s="869" t="s">
        <v>3776</v>
      </c>
      <c r="C1639" s="836">
        <v>248</v>
      </c>
      <c r="D1639" s="836"/>
      <c r="E1639" s="836"/>
      <c r="F1639" s="836"/>
      <c r="G1639" s="496" t="s">
        <v>7832</v>
      </c>
      <c r="H1639" s="797" t="str">
        <f>VLOOKUP(G1639,SETTINGS!$B$7:$D$97,2,0)</f>
        <v>CEREX 300</v>
      </c>
      <c r="I1639" s="796">
        <f>VLOOKUP(G1639,SETTINGS!$B$7:$D$97,3,0)</f>
        <v>0</v>
      </c>
      <c r="J1639" s="670" t="str">
        <f>IFERROR(IF(CURRENCY.FORMAT_1=0,CONCATENATE(TEXT(FIXED(ROUND((C1639/EXC.RATE_1),CURRENCY.FORMAT_1),CURRENCY.FORMAT_1,1),"# ##0;-# ##0"),",-"),FIXED(ROUND((C1639/EXC.RATE_1),CURRENCY.FORMAT_1),CURRENCY.FORMAT_1,0)),'DICTIONARY-5'!$A$2)</f>
        <v>248,-</v>
      </c>
      <c r="K1639" s="670" t="str">
        <f>IF(EXC.RATE_2=0,"",IFERROR(IF(CURRENCY.FORMAT_2=0,CONCATENATE(TEXT(FIXED(ROUND(IF(EXC.RATE.SWITCH=1,C1639/EXC.RATE_2,C1639*EXC.RATE_2),CURRENCY.FORMAT_2),CURRENCY.FORMAT_2,1),"# ##0;-# ##0"),",-"),FIXED(ROUND(IF(EXC.RATE.SWITCH=1,C1639/EXC.RATE_2,C1639*EXC.RATE_2),CURRENCY.FORMAT_2),CURRENCY.FORMAT_2,0)),'DICTIONARY-5'!$A$2))</f>
        <v/>
      </c>
      <c r="L1639" s="670" t="str">
        <f>IFERROR(IF(CURRENCY.FORMAT_1=0,CONCATENATE(TEXT(FIXED(ROUND((C1639*(1-I1639)*(1-ADD.DISCOUNT)*(1+MAT.SURCHARGE)/EXC.RATE_1),CURRENCY.FORMAT_1),CURRENCY.FORMAT_1,1),"# ##0;-# ##0"),",-"),FIXED(ROUND((C1639*(1-I1639)*(1-ADD.DISCOUNT)*(1+MAT.SURCHARGE)/EXC.RATE_1),CURRENCY.FORMAT_1),CURRENCY.FORMAT_1,0)),'DICTIONARY-5'!$A$2)</f>
        <v>258,-</v>
      </c>
      <c r="M1639" s="670" t="str">
        <f>IF(EXC.RATE_2=0,"",IFERROR(IF(CURRENCY.FORMAT_2=0,CONCATENATE(TEXT(FIXED(ROUND(IF(EXC.RATE.SWITCH=1,C1639*(1-I1639)*(1-ADD.DISCOUNT)*(1+MAT.SURCHARGE)/EXC.RATE_2,C1639*(1-I1639)*(1-ADD.DISCOUNT)*(1+MAT.SURCHARGE)*EXC.RATE_2),CURRENCY.FORMAT_2),CURRENCY.FORMAT_2,1),"# ##0;-# ##0"),",-"),FIXED(ROUND(IF(EXC.RATE.SWITCH=1,C1639*(1-I1639)*(1-ADD.DISCOUNT)*(1+MAT.SURCHARGE)/EXC.RATE_2,C1639*(1-I1639)*(1-ADD.DISCOUNT)*(1+MAT.SURCHARGE)*EXC.RATE_2),CURRENCY.FORMAT_2),CURRENCY.FORMAT_2,0)),'DICTIONARY-5'!$A$2))</f>
        <v/>
      </c>
      <c r="N1639" s="535">
        <v>6</v>
      </c>
      <c r="O1639" s="535"/>
      <c r="P1639" s="731" t="str">
        <f>'DICTIONARY-3'!$A$149</f>
        <v>CEREX 300-W</v>
      </c>
      <c r="Q1639" s="732" t="str">
        <f>'DICTIONARY-3'!$A$204</f>
        <v>Przepustnica kołnierzowa</v>
      </c>
      <c r="R1639" s="732" t="str">
        <f>CONCATENATE('DICTIONARY-3'!$A$149," ",'DICTIONARY-6'!$A$2," ",UPPER('DICTIONARY-5'!$A$18)," ",'DICTIONARY-2'!$A$2,"125"," ",'DICTIONARY-2'!$A$3,"10/16"," ","R20"," ",'DICTIONARY-5'!$A$51,"/",'DICTIONARY-5'!$A$45,", ",'DICTIONARY-4'!$A$3," ",'DICTIONARY-5'!$A$40)</f>
        <v>CEREX 300-W Przep. kołnierz. GAZ DN125 PN10/16 R20 GGG/NBR, DR stal</v>
      </c>
      <c r="S1639" s="733" t="str">
        <f>'DICTIONARY-4'!$A$3</f>
        <v>DR</v>
      </c>
      <c r="T1639" s="732" t="str">
        <f>'DICTIONARY-4'!$A$19</f>
        <v>Dźwignia ręczna</v>
      </c>
      <c r="U1639" s="734" t="s">
        <v>5761</v>
      </c>
      <c r="V1639" s="735">
        <v>16</v>
      </c>
      <c r="W1639" s="736"/>
      <c r="X1639" s="737"/>
      <c r="Y1639" s="738"/>
      <c r="Z1639" s="739"/>
      <c r="AA1639" s="739"/>
      <c r="AB1639" s="740">
        <v>16</v>
      </c>
      <c r="AC1639" s="741" t="str">
        <f>'DICTIONARY-5'!$A$11&amp;" 20"</f>
        <v>EN 558 szereg 20</v>
      </c>
      <c r="AD1639" s="741" t="str">
        <f>'DICTIONARY-5'!$A$18&amp;", "&amp;'DICTIONARY-5'!$A$14</f>
        <v>gaz, ścieki</v>
      </c>
      <c r="AE1639" s="742">
        <v>80</v>
      </c>
      <c r="AF1639" s="743">
        <v>7</v>
      </c>
      <c r="AG1639" s="741" t="str">
        <f>'DICTIONARY-5'!$A$23</f>
        <v>powłoka epoksydowa</v>
      </c>
    </row>
    <row r="1640" spans="1:33" x14ac:dyDescent="0.25">
      <c r="A1640" s="869" t="s">
        <v>1728</v>
      </c>
      <c r="B1640" s="869" t="s">
        <v>3783</v>
      </c>
      <c r="C1640" s="836">
        <v>342</v>
      </c>
      <c r="D1640" s="836"/>
      <c r="E1640" s="836"/>
      <c r="F1640" s="836"/>
      <c r="G1640" s="496" t="s">
        <v>7832</v>
      </c>
      <c r="H1640" s="797" t="str">
        <f>VLOOKUP(G1640,SETTINGS!$B$7:$D$97,2,0)</f>
        <v>CEREX 300</v>
      </c>
      <c r="I1640" s="796">
        <f>VLOOKUP(G1640,SETTINGS!$B$7:$D$97,3,0)</f>
        <v>0</v>
      </c>
      <c r="J1640" s="670" t="str">
        <f>IFERROR(IF(CURRENCY.FORMAT_1=0,CONCATENATE(TEXT(FIXED(ROUND((C1640/EXC.RATE_1),CURRENCY.FORMAT_1),CURRENCY.FORMAT_1,1),"# ##0;-# ##0"),",-"),FIXED(ROUND((C1640/EXC.RATE_1),CURRENCY.FORMAT_1),CURRENCY.FORMAT_1,0)),'DICTIONARY-5'!$A$2)</f>
        <v>342,-</v>
      </c>
      <c r="K1640" s="670" t="str">
        <f>IF(EXC.RATE_2=0,"",IFERROR(IF(CURRENCY.FORMAT_2=0,CONCATENATE(TEXT(FIXED(ROUND(IF(EXC.RATE.SWITCH=1,C1640/EXC.RATE_2,C1640*EXC.RATE_2),CURRENCY.FORMAT_2),CURRENCY.FORMAT_2,1),"# ##0;-# ##0"),",-"),FIXED(ROUND(IF(EXC.RATE.SWITCH=1,C1640/EXC.RATE_2,C1640*EXC.RATE_2),CURRENCY.FORMAT_2),CURRENCY.FORMAT_2,0)),'DICTIONARY-5'!$A$2))</f>
        <v/>
      </c>
      <c r="L1640" s="670" t="str">
        <f>IFERROR(IF(CURRENCY.FORMAT_1=0,CONCATENATE(TEXT(FIXED(ROUND((C1640*(1-I1640)*(1-ADD.DISCOUNT)*(1+MAT.SURCHARGE)/EXC.RATE_1),CURRENCY.FORMAT_1),CURRENCY.FORMAT_1,1),"# ##0;-# ##0"),",-"),FIXED(ROUND((C1640*(1-I1640)*(1-ADD.DISCOUNT)*(1+MAT.SURCHARGE)/EXC.RATE_1),CURRENCY.FORMAT_1),CURRENCY.FORMAT_1,0)),'DICTIONARY-5'!$A$2)</f>
        <v>355,-</v>
      </c>
      <c r="M1640" s="670" t="str">
        <f>IF(EXC.RATE_2=0,"",IFERROR(IF(CURRENCY.FORMAT_2=0,CONCATENATE(TEXT(FIXED(ROUND(IF(EXC.RATE.SWITCH=1,C1640*(1-I1640)*(1-ADD.DISCOUNT)*(1+MAT.SURCHARGE)/EXC.RATE_2,C1640*(1-I1640)*(1-ADD.DISCOUNT)*(1+MAT.SURCHARGE)*EXC.RATE_2),CURRENCY.FORMAT_2),CURRENCY.FORMAT_2,1),"# ##0;-# ##0"),",-"),FIXED(ROUND(IF(EXC.RATE.SWITCH=1,C1640*(1-I1640)*(1-ADD.DISCOUNT)*(1+MAT.SURCHARGE)/EXC.RATE_2,C1640*(1-I1640)*(1-ADD.DISCOUNT)*(1+MAT.SURCHARGE)*EXC.RATE_2),CURRENCY.FORMAT_2),CURRENCY.FORMAT_2,0)),'DICTIONARY-5'!$A$2))</f>
        <v/>
      </c>
      <c r="N1640" s="535">
        <v>6</v>
      </c>
      <c r="O1640" s="535"/>
      <c r="P1640" s="731" t="str">
        <f>'DICTIONARY-3'!$A$149</f>
        <v>CEREX 300-W</v>
      </c>
      <c r="Q1640" s="732" t="str">
        <f>'DICTIONARY-3'!$A$204</f>
        <v>Przepustnica kołnierzowa</v>
      </c>
      <c r="R1640" s="732" t="str">
        <f>CONCATENATE('DICTIONARY-3'!$A$149," ",'DICTIONARY-6'!$A$2," ",UPPER('DICTIONARY-5'!$A$18)," ",'DICTIONARY-2'!$A$2,"150"," ",'DICTIONARY-2'!$A$3,"10/16"," ","R20"," ",'DICTIONARY-5'!$A$51,"/",'DICTIONARY-5'!$A$45,", ",'DICTIONARY-4'!$A$3," ",'DICTIONARY-5'!$A$40)</f>
        <v>CEREX 300-W Przep. kołnierz. GAZ DN150 PN10/16 R20 GGG/NBR, DR stal</v>
      </c>
      <c r="S1640" s="733" t="str">
        <f>'DICTIONARY-4'!$A$3</f>
        <v>DR</v>
      </c>
      <c r="T1640" s="732" t="str">
        <f>'DICTIONARY-4'!$A$19</f>
        <v>Dźwignia ręczna</v>
      </c>
      <c r="U1640" s="734" t="s">
        <v>5572</v>
      </c>
      <c r="V1640" s="735">
        <v>16</v>
      </c>
      <c r="W1640" s="736"/>
      <c r="X1640" s="737"/>
      <c r="Y1640" s="738"/>
      <c r="Z1640" s="739"/>
      <c r="AA1640" s="739"/>
      <c r="AB1640" s="740">
        <v>16</v>
      </c>
      <c r="AC1640" s="741" t="str">
        <f>'DICTIONARY-5'!$A$11&amp;" 20"</f>
        <v>EN 558 szereg 20</v>
      </c>
      <c r="AD1640" s="741" t="str">
        <f>'DICTIONARY-5'!$A$18&amp;", "&amp;'DICTIONARY-5'!$A$14</f>
        <v>gaz, ścieki</v>
      </c>
      <c r="AE1640" s="742">
        <v>80</v>
      </c>
      <c r="AF1640" s="743">
        <v>10.5</v>
      </c>
      <c r="AG1640" s="741" t="str">
        <f>'DICTIONARY-5'!$A$23</f>
        <v>powłoka epoksydowa</v>
      </c>
    </row>
    <row r="1641" spans="1:33" x14ac:dyDescent="0.25">
      <c r="A1641" s="869" t="s">
        <v>1730</v>
      </c>
      <c r="B1641" s="869" t="s">
        <v>3790</v>
      </c>
      <c r="C1641" s="836">
        <v>449</v>
      </c>
      <c r="D1641" s="836"/>
      <c r="E1641" s="836"/>
      <c r="F1641" s="836"/>
      <c r="G1641" s="496" t="s">
        <v>7832</v>
      </c>
      <c r="H1641" s="797" t="str">
        <f>VLOOKUP(G1641,SETTINGS!$B$7:$D$97,2,0)</f>
        <v>CEREX 300</v>
      </c>
      <c r="I1641" s="796">
        <f>VLOOKUP(G1641,SETTINGS!$B$7:$D$97,3,0)</f>
        <v>0</v>
      </c>
      <c r="J1641" s="670" t="str">
        <f>IFERROR(IF(CURRENCY.FORMAT_1=0,CONCATENATE(TEXT(FIXED(ROUND((C1641/EXC.RATE_1),CURRENCY.FORMAT_1),CURRENCY.FORMAT_1,1),"# ##0;-# ##0"),",-"),FIXED(ROUND((C1641/EXC.RATE_1),CURRENCY.FORMAT_1),CURRENCY.FORMAT_1,0)),'DICTIONARY-5'!$A$2)</f>
        <v>449,-</v>
      </c>
      <c r="K1641" s="670" t="str">
        <f>IF(EXC.RATE_2=0,"",IFERROR(IF(CURRENCY.FORMAT_2=0,CONCATENATE(TEXT(FIXED(ROUND(IF(EXC.RATE.SWITCH=1,C1641/EXC.RATE_2,C1641*EXC.RATE_2),CURRENCY.FORMAT_2),CURRENCY.FORMAT_2,1),"# ##0;-# ##0"),",-"),FIXED(ROUND(IF(EXC.RATE.SWITCH=1,C1641/EXC.RATE_2,C1641*EXC.RATE_2),CURRENCY.FORMAT_2),CURRENCY.FORMAT_2,0)),'DICTIONARY-5'!$A$2))</f>
        <v/>
      </c>
      <c r="L1641" s="670" t="str">
        <f>IFERROR(IF(CURRENCY.FORMAT_1=0,CONCATENATE(TEXT(FIXED(ROUND((C1641*(1-I1641)*(1-ADD.DISCOUNT)*(1+MAT.SURCHARGE)/EXC.RATE_1),CURRENCY.FORMAT_1),CURRENCY.FORMAT_1,1),"# ##0;-# ##0"),",-"),FIXED(ROUND((C1641*(1-I1641)*(1-ADD.DISCOUNT)*(1+MAT.SURCHARGE)/EXC.RATE_1),CURRENCY.FORMAT_1),CURRENCY.FORMAT_1,0)),'DICTIONARY-5'!$A$2)</f>
        <v>467,-</v>
      </c>
      <c r="M1641" s="670" t="str">
        <f>IF(EXC.RATE_2=0,"",IFERROR(IF(CURRENCY.FORMAT_2=0,CONCATENATE(TEXT(FIXED(ROUND(IF(EXC.RATE.SWITCH=1,C1641*(1-I1641)*(1-ADD.DISCOUNT)*(1+MAT.SURCHARGE)/EXC.RATE_2,C1641*(1-I1641)*(1-ADD.DISCOUNT)*(1+MAT.SURCHARGE)*EXC.RATE_2),CURRENCY.FORMAT_2),CURRENCY.FORMAT_2,1),"# ##0;-# ##0"),",-"),FIXED(ROUND(IF(EXC.RATE.SWITCH=1,C1641*(1-I1641)*(1-ADD.DISCOUNT)*(1+MAT.SURCHARGE)/EXC.RATE_2,C1641*(1-I1641)*(1-ADD.DISCOUNT)*(1+MAT.SURCHARGE)*EXC.RATE_2),CURRENCY.FORMAT_2),CURRENCY.FORMAT_2,0)),'DICTIONARY-5'!$A$2))</f>
        <v/>
      </c>
      <c r="N1641" s="535">
        <v>6</v>
      </c>
      <c r="O1641" s="535"/>
      <c r="P1641" s="731" t="str">
        <f>'DICTIONARY-3'!$A$149</f>
        <v>CEREX 300-W</v>
      </c>
      <c r="Q1641" s="732" t="str">
        <f>'DICTIONARY-3'!$A$204</f>
        <v>Przepustnica kołnierzowa</v>
      </c>
      <c r="R1641" s="732" t="str">
        <f>CONCATENATE('DICTIONARY-3'!$A$149," ",'DICTIONARY-6'!$A$2," ",UPPER('DICTIONARY-5'!$A$18)," ",'DICTIONARY-2'!$A$2,"200"," ",'DICTIONARY-2'!$A$3,"10/16"," ","R20"," ",'DICTIONARY-5'!$A$51,"/",'DICTIONARY-5'!$A$45,", ",'DICTIONARY-4'!$A$3," ",'DICTIONARY-5'!$A$40)</f>
        <v>CEREX 300-W Przep. kołnierz. GAZ DN200 PN10/16 R20 GGG/NBR, DR stal</v>
      </c>
      <c r="S1641" s="733" t="str">
        <f>'DICTIONARY-4'!$A$3</f>
        <v>DR</v>
      </c>
      <c r="T1641" s="732" t="str">
        <f>'DICTIONARY-4'!$A$19</f>
        <v>Dźwignia ręczna</v>
      </c>
      <c r="U1641" s="734" t="s">
        <v>5750</v>
      </c>
      <c r="V1641" s="735">
        <v>16</v>
      </c>
      <c r="W1641" s="736"/>
      <c r="X1641" s="737"/>
      <c r="Y1641" s="738"/>
      <c r="Z1641" s="739"/>
      <c r="AA1641" s="739"/>
      <c r="AB1641" s="740">
        <v>16</v>
      </c>
      <c r="AC1641" s="741" t="str">
        <f>'DICTIONARY-5'!$A$11&amp;" 20"</f>
        <v>EN 558 szereg 20</v>
      </c>
      <c r="AD1641" s="741" t="str">
        <f>'DICTIONARY-5'!$A$18&amp;", "&amp;'DICTIONARY-5'!$A$14</f>
        <v>gaz, ścieki</v>
      </c>
      <c r="AE1641" s="742">
        <v>80</v>
      </c>
      <c r="AF1641" s="743">
        <v>12</v>
      </c>
      <c r="AG1641" s="741" t="str">
        <f>'DICTIONARY-5'!$A$23</f>
        <v>powłoka epoksydowa</v>
      </c>
    </row>
    <row r="1642" spans="1:33" x14ac:dyDescent="0.25">
      <c r="A1642" s="869" t="s">
        <v>1719</v>
      </c>
      <c r="B1642" s="869" t="s">
        <v>3681</v>
      </c>
      <c r="C1642" s="836">
        <v>161</v>
      </c>
      <c r="D1642" s="836"/>
      <c r="E1642" s="836"/>
      <c r="F1642" s="836"/>
      <c r="G1642" s="496" t="s">
        <v>7832</v>
      </c>
      <c r="H1642" s="797" t="str">
        <f>VLOOKUP(G1642,SETTINGS!$B$7:$D$97,2,0)</f>
        <v>CEREX 300</v>
      </c>
      <c r="I1642" s="796">
        <f>VLOOKUP(G1642,SETTINGS!$B$7:$D$97,3,0)</f>
        <v>0</v>
      </c>
      <c r="J1642" s="670" t="str">
        <f>IFERROR(IF(CURRENCY.FORMAT_1=0,CONCATENATE(TEXT(FIXED(ROUND((C1642/EXC.RATE_1),CURRENCY.FORMAT_1),CURRENCY.FORMAT_1,1),"# ##0;-# ##0"),",-"),FIXED(ROUND((C1642/EXC.RATE_1),CURRENCY.FORMAT_1),CURRENCY.FORMAT_1,0)),'DICTIONARY-5'!$A$2)</f>
        <v>161,-</v>
      </c>
      <c r="K1642" s="670" t="str">
        <f>IF(EXC.RATE_2=0,"",IFERROR(IF(CURRENCY.FORMAT_2=0,CONCATENATE(TEXT(FIXED(ROUND(IF(EXC.RATE.SWITCH=1,C1642/EXC.RATE_2,C1642*EXC.RATE_2),CURRENCY.FORMAT_2),CURRENCY.FORMAT_2,1),"# ##0;-# ##0"),",-"),FIXED(ROUND(IF(EXC.RATE.SWITCH=1,C1642/EXC.RATE_2,C1642*EXC.RATE_2),CURRENCY.FORMAT_2),CURRENCY.FORMAT_2,0)),'DICTIONARY-5'!$A$2))</f>
        <v/>
      </c>
      <c r="L1642" s="670" t="str">
        <f>IFERROR(IF(CURRENCY.FORMAT_1=0,CONCATENATE(TEXT(FIXED(ROUND((C1642*(1-I1642)*(1-ADD.DISCOUNT)*(1+MAT.SURCHARGE)/EXC.RATE_1),CURRENCY.FORMAT_1),CURRENCY.FORMAT_1,1),"# ##0;-# ##0"),",-"),FIXED(ROUND((C1642*(1-I1642)*(1-ADD.DISCOUNT)*(1+MAT.SURCHARGE)/EXC.RATE_1),CURRENCY.FORMAT_1),CURRENCY.FORMAT_1,0)),'DICTIONARY-5'!$A$2)</f>
        <v>167,-</v>
      </c>
      <c r="M1642" s="670" t="str">
        <f>IF(EXC.RATE_2=0,"",IFERROR(IF(CURRENCY.FORMAT_2=0,CONCATENATE(TEXT(FIXED(ROUND(IF(EXC.RATE.SWITCH=1,C1642*(1-I1642)*(1-ADD.DISCOUNT)*(1+MAT.SURCHARGE)/EXC.RATE_2,C1642*(1-I1642)*(1-ADD.DISCOUNT)*(1+MAT.SURCHARGE)*EXC.RATE_2),CURRENCY.FORMAT_2),CURRENCY.FORMAT_2,1),"# ##0;-# ##0"),",-"),FIXED(ROUND(IF(EXC.RATE.SWITCH=1,C1642*(1-I1642)*(1-ADD.DISCOUNT)*(1+MAT.SURCHARGE)/EXC.RATE_2,C1642*(1-I1642)*(1-ADD.DISCOUNT)*(1+MAT.SURCHARGE)*EXC.RATE_2),CURRENCY.FORMAT_2),CURRENCY.FORMAT_2,0)),'DICTIONARY-5'!$A$2))</f>
        <v/>
      </c>
      <c r="N1642" s="535">
        <v>6</v>
      </c>
      <c r="O1642" s="535"/>
      <c r="P1642" s="731" t="str">
        <f>'DICTIONARY-3'!$A$149</f>
        <v>CEREX 300-W</v>
      </c>
      <c r="Q1642" s="732" t="str">
        <f>'DICTIONARY-3'!$A$204</f>
        <v>Przepustnica kołnierzowa</v>
      </c>
      <c r="R1642" s="732" t="str">
        <f>CONCATENATE('DICTIONARY-3'!$A$149," ",'DICTIONARY-6'!$A$2," ",UPPER('DICTIONARY-5'!$A$18)," ",'DICTIONARY-2'!$A$2,"50"," ",'DICTIONARY-2'!$A$3,"10/16"," ","R20"," ",'DICTIONARY-5'!$A$37,"/",'DICTIONARY-5'!$A$45,", ",'DICTIONARY-4'!$A$3," ",'DICTIONARY-5'!$A$40)</f>
        <v>CEREX 300-W Przep. kołnierz. GAZ DN50 PN10/16 R20 CF8M/NBR, DR stal</v>
      </c>
      <c r="S1642" s="733" t="str">
        <f>'DICTIONARY-4'!$A$3</f>
        <v>DR</v>
      </c>
      <c r="T1642" s="732" t="str">
        <f>'DICTIONARY-4'!$A$19</f>
        <v>Dźwignia ręczna</v>
      </c>
      <c r="U1642" s="734" t="s">
        <v>5748</v>
      </c>
      <c r="V1642" s="735">
        <v>16</v>
      </c>
      <c r="W1642" s="736"/>
      <c r="X1642" s="737"/>
      <c r="Y1642" s="738"/>
      <c r="Z1642" s="739"/>
      <c r="AA1642" s="739"/>
      <c r="AB1642" s="740">
        <v>16</v>
      </c>
      <c r="AC1642" s="741" t="str">
        <f>'DICTIONARY-5'!$A$11&amp;" 20"</f>
        <v>EN 558 szereg 20</v>
      </c>
      <c r="AD1642" s="741" t="str">
        <f>'DICTIONARY-5'!$A$18&amp;", "&amp;'DICTIONARY-5'!$A$14</f>
        <v>gaz, ścieki</v>
      </c>
      <c r="AE1642" s="742">
        <v>80</v>
      </c>
      <c r="AF1642" s="743">
        <v>3</v>
      </c>
      <c r="AG1642" s="741" t="str">
        <f>'DICTIONARY-5'!$A$23</f>
        <v>powłoka epoksydowa</v>
      </c>
    </row>
    <row r="1643" spans="1:33" x14ac:dyDescent="0.25">
      <c r="A1643" s="869" t="s">
        <v>1721</v>
      </c>
      <c r="B1643" s="869" t="s">
        <v>3688</v>
      </c>
      <c r="C1643" s="836">
        <v>176</v>
      </c>
      <c r="D1643" s="836"/>
      <c r="E1643" s="836"/>
      <c r="F1643" s="836"/>
      <c r="G1643" s="496" t="s">
        <v>7832</v>
      </c>
      <c r="H1643" s="797" t="str">
        <f>VLOOKUP(G1643,SETTINGS!$B$7:$D$97,2,0)</f>
        <v>CEREX 300</v>
      </c>
      <c r="I1643" s="796">
        <f>VLOOKUP(G1643,SETTINGS!$B$7:$D$97,3,0)</f>
        <v>0</v>
      </c>
      <c r="J1643" s="670" t="str">
        <f>IFERROR(IF(CURRENCY.FORMAT_1=0,CONCATENATE(TEXT(FIXED(ROUND((C1643/EXC.RATE_1),CURRENCY.FORMAT_1),CURRENCY.FORMAT_1,1),"# ##0;-# ##0"),",-"),FIXED(ROUND((C1643/EXC.RATE_1),CURRENCY.FORMAT_1),CURRENCY.FORMAT_1,0)),'DICTIONARY-5'!$A$2)</f>
        <v>176,-</v>
      </c>
      <c r="K1643" s="670" t="str">
        <f>IF(EXC.RATE_2=0,"",IFERROR(IF(CURRENCY.FORMAT_2=0,CONCATENATE(TEXT(FIXED(ROUND(IF(EXC.RATE.SWITCH=1,C1643/EXC.RATE_2,C1643*EXC.RATE_2),CURRENCY.FORMAT_2),CURRENCY.FORMAT_2,1),"# ##0;-# ##0"),",-"),FIXED(ROUND(IF(EXC.RATE.SWITCH=1,C1643/EXC.RATE_2,C1643*EXC.RATE_2),CURRENCY.FORMAT_2),CURRENCY.FORMAT_2,0)),'DICTIONARY-5'!$A$2))</f>
        <v/>
      </c>
      <c r="L1643" s="670" t="str">
        <f>IFERROR(IF(CURRENCY.FORMAT_1=0,CONCATENATE(TEXT(FIXED(ROUND((C1643*(1-I1643)*(1-ADD.DISCOUNT)*(1+MAT.SURCHARGE)/EXC.RATE_1),CURRENCY.FORMAT_1),CURRENCY.FORMAT_1,1),"# ##0;-# ##0"),",-"),FIXED(ROUND((C1643*(1-I1643)*(1-ADD.DISCOUNT)*(1+MAT.SURCHARGE)/EXC.RATE_1),CURRENCY.FORMAT_1),CURRENCY.FORMAT_1,0)),'DICTIONARY-5'!$A$2)</f>
        <v>183,-</v>
      </c>
      <c r="M1643" s="670" t="str">
        <f>IF(EXC.RATE_2=0,"",IFERROR(IF(CURRENCY.FORMAT_2=0,CONCATENATE(TEXT(FIXED(ROUND(IF(EXC.RATE.SWITCH=1,C1643*(1-I1643)*(1-ADD.DISCOUNT)*(1+MAT.SURCHARGE)/EXC.RATE_2,C1643*(1-I1643)*(1-ADD.DISCOUNT)*(1+MAT.SURCHARGE)*EXC.RATE_2),CURRENCY.FORMAT_2),CURRENCY.FORMAT_2,1),"# ##0;-# ##0"),",-"),FIXED(ROUND(IF(EXC.RATE.SWITCH=1,C1643*(1-I1643)*(1-ADD.DISCOUNT)*(1+MAT.SURCHARGE)/EXC.RATE_2,C1643*(1-I1643)*(1-ADD.DISCOUNT)*(1+MAT.SURCHARGE)*EXC.RATE_2),CURRENCY.FORMAT_2),CURRENCY.FORMAT_2,0)),'DICTIONARY-5'!$A$2))</f>
        <v/>
      </c>
      <c r="N1643" s="535">
        <v>6</v>
      </c>
      <c r="O1643" s="535"/>
      <c r="P1643" s="731" t="str">
        <f>'DICTIONARY-3'!$A$149</f>
        <v>CEREX 300-W</v>
      </c>
      <c r="Q1643" s="732" t="str">
        <f>'DICTIONARY-3'!$A$204</f>
        <v>Przepustnica kołnierzowa</v>
      </c>
      <c r="R1643" s="732" t="str">
        <f>CONCATENATE('DICTIONARY-3'!$A$149," ",'DICTIONARY-6'!$A$2," ",UPPER('DICTIONARY-5'!$A$18)," ",'DICTIONARY-2'!$A$2,"65"," ",'DICTIONARY-2'!$A$3,"10/16"," ","R20"," ",'DICTIONARY-5'!$A$37,"/",'DICTIONARY-5'!$A$45,", ",'DICTIONARY-4'!$A$3," ",'DICTIONARY-5'!$A$40)</f>
        <v>CEREX 300-W Przep. kołnierz. GAZ DN65 PN10/16 R20 CF8M/NBR, DR stal</v>
      </c>
      <c r="S1643" s="733" t="str">
        <f>'DICTIONARY-4'!$A$3</f>
        <v>DR</v>
      </c>
      <c r="T1643" s="732" t="str">
        <f>'DICTIONARY-4'!$A$19</f>
        <v>Dźwignia ręczna</v>
      </c>
      <c r="U1643" s="734" t="s">
        <v>5759</v>
      </c>
      <c r="V1643" s="735">
        <v>16</v>
      </c>
      <c r="W1643" s="736"/>
      <c r="X1643" s="737"/>
      <c r="Y1643" s="738"/>
      <c r="Z1643" s="739"/>
      <c r="AA1643" s="739"/>
      <c r="AB1643" s="740">
        <v>16</v>
      </c>
      <c r="AC1643" s="741" t="str">
        <f>'DICTIONARY-5'!$A$11&amp;" 20"</f>
        <v>EN 558 szereg 20</v>
      </c>
      <c r="AD1643" s="741" t="str">
        <f>'DICTIONARY-5'!$A$18&amp;", "&amp;'DICTIONARY-5'!$A$14</f>
        <v>gaz, ścieki</v>
      </c>
      <c r="AE1643" s="742">
        <v>80</v>
      </c>
      <c r="AF1643" s="743">
        <v>2</v>
      </c>
      <c r="AG1643" s="741" t="str">
        <f>'DICTIONARY-5'!$A$23</f>
        <v>powłoka epoksydowa</v>
      </c>
    </row>
    <row r="1644" spans="1:33" x14ac:dyDescent="0.25">
      <c r="A1644" s="869" t="s">
        <v>1723</v>
      </c>
      <c r="B1644" s="869" t="s">
        <v>3695</v>
      </c>
      <c r="C1644" s="836">
        <v>186</v>
      </c>
      <c r="D1644" s="836"/>
      <c r="E1644" s="836"/>
      <c r="F1644" s="836"/>
      <c r="G1644" s="496" t="s">
        <v>7832</v>
      </c>
      <c r="H1644" s="797" t="str">
        <f>VLOOKUP(G1644,SETTINGS!$B$7:$D$97,2,0)</f>
        <v>CEREX 300</v>
      </c>
      <c r="I1644" s="796">
        <f>VLOOKUP(G1644,SETTINGS!$B$7:$D$97,3,0)</f>
        <v>0</v>
      </c>
      <c r="J1644" s="670" t="str">
        <f>IFERROR(IF(CURRENCY.FORMAT_1=0,CONCATENATE(TEXT(FIXED(ROUND((C1644/EXC.RATE_1),CURRENCY.FORMAT_1),CURRENCY.FORMAT_1,1),"# ##0;-# ##0"),",-"),FIXED(ROUND((C1644/EXC.RATE_1),CURRENCY.FORMAT_1),CURRENCY.FORMAT_1,0)),'DICTIONARY-5'!$A$2)</f>
        <v>186,-</v>
      </c>
      <c r="K1644" s="670" t="str">
        <f>IF(EXC.RATE_2=0,"",IFERROR(IF(CURRENCY.FORMAT_2=0,CONCATENATE(TEXT(FIXED(ROUND(IF(EXC.RATE.SWITCH=1,C1644/EXC.RATE_2,C1644*EXC.RATE_2),CURRENCY.FORMAT_2),CURRENCY.FORMAT_2,1),"# ##0;-# ##0"),",-"),FIXED(ROUND(IF(EXC.RATE.SWITCH=1,C1644/EXC.RATE_2,C1644*EXC.RATE_2),CURRENCY.FORMAT_2),CURRENCY.FORMAT_2,0)),'DICTIONARY-5'!$A$2))</f>
        <v/>
      </c>
      <c r="L1644" s="670" t="str">
        <f>IFERROR(IF(CURRENCY.FORMAT_1=0,CONCATENATE(TEXT(FIXED(ROUND((C1644*(1-I1644)*(1-ADD.DISCOUNT)*(1+MAT.SURCHARGE)/EXC.RATE_1),CURRENCY.FORMAT_1),CURRENCY.FORMAT_1,1),"# ##0;-# ##0"),",-"),FIXED(ROUND((C1644*(1-I1644)*(1-ADD.DISCOUNT)*(1+MAT.SURCHARGE)/EXC.RATE_1),CURRENCY.FORMAT_1),CURRENCY.FORMAT_1,0)),'DICTIONARY-5'!$A$2)</f>
        <v>193,-</v>
      </c>
      <c r="M1644" s="670" t="str">
        <f>IF(EXC.RATE_2=0,"",IFERROR(IF(CURRENCY.FORMAT_2=0,CONCATENATE(TEXT(FIXED(ROUND(IF(EXC.RATE.SWITCH=1,C1644*(1-I1644)*(1-ADD.DISCOUNT)*(1+MAT.SURCHARGE)/EXC.RATE_2,C1644*(1-I1644)*(1-ADD.DISCOUNT)*(1+MAT.SURCHARGE)*EXC.RATE_2),CURRENCY.FORMAT_2),CURRENCY.FORMAT_2,1),"# ##0;-# ##0"),",-"),FIXED(ROUND(IF(EXC.RATE.SWITCH=1,C1644*(1-I1644)*(1-ADD.DISCOUNT)*(1+MAT.SURCHARGE)/EXC.RATE_2,C1644*(1-I1644)*(1-ADD.DISCOUNT)*(1+MAT.SURCHARGE)*EXC.RATE_2),CURRENCY.FORMAT_2),CURRENCY.FORMAT_2,0)),'DICTIONARY-5'!$A$2))</f>
        <v/>
      </c>
      <c r="N1644" s="535">
        <v>6</v>
      </c>
      <c r="O1644" s="535"/>
      <c r="P1644" s="731" t="str">
        <f>'DICTIONARY-3'!$A$149</f>
        <v>CEREX 300-W</v>
      </c>
      <c r="Q1644" s="732" t="str">
        <f>'DICTIONARY-3'!$A$204</f>
        <v>Przepustnica kołnierzowa</v>
      </c>
      <c r="R1644" s="732" t="str">
        <f>CONCATENATE('DICTIONARY-3'!$A$149," ",'DICTIONARY-6'!$A$2," ",UPPER('DICTIONARY-5'!$A$18)," ",'DICTIONARY-2'!$A$2,"80"," ",'DICTIONARY-2'!$A$3,"10/16"," ","R20"," ",'DICTIONARY-5'!$A$37,"/",'DICTIONARY-5'!$A$45,", ",'DICTIONARY-4'!$A$3," ",'DICTIONARY-5'!$A$40)</f>
        <v>CEREX 300-W Przep. kołnierz. GAZ DN80 PN10/16 R20 CF8M/NBR, DR stal</v>
      </c>
      <c r="S1644" s="733" t="str">
        <f>'DICTIONARY-4'!$A$3</f>
        <v>DR</v>
      </c>
      <c r="T1644" s="732" t="str">
        <f>'DICTIONARY-4'!$A$19</f>
        <v>Dźwignia ręczna</v>
      </c>
      <c r="U1644" s="734" t="s">
        <v>5760</v>
      </c>
      <c r="V1644" s="735">
        <v>16</v>
      </c>
      <c r="W1644" s="736"/>
      <c r="X1644" s="737"/>
      <c r="Y1644" s="738"/>
      <c r="Z1644" s="739"/>
      <c r="AA1644" s="739"/>
      <c r="AB1644" s="740">
        <v>16</v>
      </c>
      <c r="AC1644" s="741" t="str">
        <f>'DICTIONARY-5'!$A$11&amp;" 20"</f>
        <v>EN 558 szereg 20</v>
      </c>
      <c r="AD1644" s="741" t="str">
        <f>'DICTIONARY-5'!$A$18&amp;", "&amp;'DICTIONARY-5'!$A$14</f>
        <v>gaz, ścieki</v>
      </c>
      <c r="AE1644" s="742">
        <v>80</v>
      </c>
      <c r="AF1644" s="743">
        <v>4.25</v>
      </c>
      <c r="AG1644" s="741" t="str">
        <f>'DICTIONARY-5'!$A$23</f>
        <v>powłoka epoksydowa</v>
      </c>
    </row>
    <row r="1645" spans="1:33" x14ac:dyDescent="0.25">
      <c r="A1645" s="869" t="s">
        <v>1725</v>
      </c>
      <c r="B1645" s="869" t="s">
        <v>3702</v>
      </c>
      <c r="C1645" s="836">
        <v>227</v>
      </c>
      <c r="D1645" s="836"/>
      <c r="E1645" s="836"/>
      <c r="F1645" s="836"/>
      <c r="G1645" s="496" t="s">
        <v>7832</v>
      </c>
      <c r="H1645" s="797" t="str">
        <f>VLOOKUP(G1645,SETTINGS!$B$7:$D$97,2,0)</f>
        <v>CEREX 300</v>
      </c>
      <c r="I1645" s="796">
        <f>VLOOKUP(G1645,SETTINGS!$B$7:$D$97,3,0)</f>
        <v>0</v>
      </c>
      <c r="J1645" s="670" t="str">
        <f>IFERROR(IF(CURRENCY.FORMAT_1=0,CONCATENATE(TEXT(FIXED(ROUND((C1645/EXC.RATE_1),CURRENCY.FORMAT_1),CURRENCY.FORMAT_1,1),"# ##0;-# ##0"),",-"),FIXED(ROUND((C1645/EXC.RATE_1),CURRENCY.FORMAT_1),CURRENCY.FORMAT_1,0)),'DICTIONARY-5'!$A$2)</f>
        <v>227,-</v>
      </c>
      <c r="K1645" s="670" t="str">
        <f>IF(EXC.RATE_2=0,"",IFERROR(IF(CURRENCY.FORMAT_2=0,CONCATENATE(TEXT(FIXED(ROUND(IF(EXC.RATE.SWITCH=1,C1645/EXC.RATE_2,C1645*EXC.RATE_2),CURRENCY.FORMAT_2),CURRENCY.FORMAT_2,1),"# ##0;-# ##0"),",-"),FIXED(ROUND(IF(EXC.RATE.SWITCH=1,C1645/EXC.RATE_2,C1645*EXC.RATE_2),CURRENCY.FORMAT_2),CURRENCY.FORMAT_2,0)),'DICTIONARY-5'!$A$2))</f>
        <v/>
      </c>
      <c r="L1645" s="670" t="str">
        <f>IFERROR(IF(CURRENCY.FORMAT_1=0,CONCATENATE(TEXT(FIXED(ROUND((C1645*(1-I1645)*(1-ADD.DISCOUNT)*(1+MAT.SURCHARGE)/EXC.RATE_1),CURRENCY.FORMAT_1),CURRENCY.FORMAT_1,1),"# ##0;-# ##0"),",-"),FIXED(ROUND((C1645*(1-I1645)*(1-ADD.DISCOUNT)*(1+MAT.SURCHARGE)/EXC.RATE_1),CURRENCY.FORMAT_1),CURRENCY.FORMAT_1,0)),'DICTIONARY-5'!$A$2)</f>
        <v>236,-</v>
      </c>
      <c r="M1645" s="670" t="str">
        <f>IF(EXC.RATE_2=0,"",IFERROR(IF(CURRENCY.FORMAT_2=0,CONCATENATE(TEXT(FIXED(ROUND(IF(EXC.RATE.SWITCH=1,C1645*(1-I1645)*(1-ADD.DISCOUNT)*(1+MAT.SURCHARGE)/EXC.RATE_2,C1645*(1-I1645)*(1-ADD.DISCOUNT)*(1+MAT.SURCHARGE)*EXC.RATE_2),CURRENCY.FORMAT_2),CURRENCY.FORMAT_2,1),"# ##0;-# ##0"),",-"),FIXED(ROUND(IF(EXC.RATE.SWITCH=1,C1645*(1-I1645)*(1-ADD.DISCOUNT)*(1+MAT.SURCHARGE)/EXC.RATE_2,C1645*(1-I1645)*(1-ADD.DISCOUNT)*(1+MAT.SURCHARGE)*EXC.RATE_2),CURRENCY.FORMAT_2),CURRENCY.FORMAT_2,0)),'DICTIONARY-5'!$A$2))</f>
        <v/>
      </c>
      <c r="N1645" s="535">
        <v>6</v>
      </c>
      <c r="O1645" s="535"/>
      <c r="P1645" s="731" t="str">
        <f>'DICTIONARY-3'!$A$149</f>
        <v>CEREX 300-W</v>
      </c>
      <c r="Q1645" s="732" t="str">
        <f>'DICTIONARY-3'!$A$204</f>
        <v>Przepustnica kołnierzowa</v>
      </c>
      <c r="R1645" s="732" t="str">
        <f>CONCATENATE('DICTIONARY-3'!$A$149," ",'DICTIONARY-6'!$A$2," ",UPPER('DICTIONARY-5'!$A$18)," ",'DICTIONARY-2'!$A$2,"100"," ",'DICTIONARY-2'!$A$3,"10/16"," ","R20"," ",'DICTIONARY-5'!$A$37,"/",'DICTIONARY-5'!$A$45,", ",'DICTIONARY-4'!$A$3," ",'DICTIONARY-5'!$A$40)</f>
        <v>CEREX 300-W Przep. kołnierz. GAZ DN100 PN10/16 R20 CF8M/NBR, DR stal</v>
      </c>
      <c r="S1645" s="733" t="str">
        <f>'DICTIONARY-4'!$A$3</f>
        <v>DR</v>
      </c>
      <c r="T1645" s="732" t="str">
        <f>'DICTIONARY-4'!$A$19</f>
        <v>Dźwignia ręczna</v>
      </c>
      <c r="U1645" s="734" t="s">
        <v>5749</v>
      </c>
      <c r="V1645" s="735">
        <v>16</v>
      </c>
      <c r="W1645" s="736"/>
      <c r="X1645" s="737"/>
      <c r="Y1645" s="738"/>
      <c r="Z1645" s="739"/>
      <c r="AA1645" s="739"/>
      <c r="AB1645" s="740">
        <v>16</v>
      </c>
      <c r="AC1645" s="741" t="str">
        <f>'DICTIONARY-5'!$A$11&amp;" 20"</f>
        <v>EN 558 szereg 20</v>
      </c>
      <c r="AD1645" s="741" t="str">
        <f>'DICTIONARY-5'!$A$18&amp;", "&amp;'DICTIONARY-5'!$A$14</f>
        <v>gaz, ścieki</v>
      </c>
      <c r="AE1645" s="742">
        <v>80</v>
      </c>
      <c r="AF1645" s="743">
        <v>5.5</v>
      </c>
      <c r="AG1645" s="741" t="str">
        <f>'DICTIONARY-5'!$A$23</f>
        <v>powłoka epoksydowa</v>
      </c>
    </row>
    <row r="1646" spans="1:33" x14ac:dyDescent="0.25">
      <c r="A1646" s="869" t="s">
        <v>1727</v>
      </c>
      <c r="B1646" s="869" t="s">
        <v>3709</v>
      </c>
      <c r="C1646" s="836">
        <v>263</v>
      </c>
      <c r="D1646" s="836"/>
      <c r="E1646" s="836"/>
      <c r="F1646" s="836"/>
      <c r="G1646" s="496" t="s">
        <v>7832</v>
      </c>
      <c r="H1646" s="797" t="str">
        <f>VLOOKUP(G1646,SETTINGS!$B$7:$D$97,2,0)</f>
        <v>CEREX 300</v>
      </c>
      <c r="I1646" s="796">
        <f>VLOOKUP(G1646,SETTINGS!$B$7:$D$97,3,0)</f>
        <v>0</v>
      </c>
      <c r="J1646" s="670" t="str">
        <f>IFERROR(IF(CURRENCY.FORMAT_1=0,CONCATENATE(TEXT(FIXED(ROUND((C1646/EXC.RATE_1),CURRENCY.FORMAT_1),CURRENCY.FORMAT_1,1),"# ##0;-# ##0"),",-"),FIXED(ROUND((C1646/EXC.RATE_1),CURRENCY.FORMAT_1),CURRENCY.FORMAT_1,0)),'DICTIONARY-5'!$A$2)</f>
        <v>263,-</v>
      </c>
      <c r="K1646" s="670" t="str">
        <f>IF(EXC.RATE_2=0,"",IFERROR(IF(CURRENCY.FORMAT_2=0,CONCATENATE(TEXT(FIXED(ROUND(IF(EXC.RATE.SWITCH=1,C1646/EXC.RATE_2,C1646*EXC.RATE_2),CURRENCY.FORMAT_2),CURRENCY.FORMAT_2,1),"# ##0;-# ##0"),",-"),FIXED(ROUND(IF(EXC.RATE.SWITCH=1,C1646/EXC.RATE_2,C1646*EXC.RATE_2),CURRENCY.FORMAT_2),CURRENCY.FORMAT_2,0)),'DICTIONARY-5'!$A$2))</f>
        <v/>
      </c>
      <c r="L1646" s="670" t="str">
        <f>IFERROR(IF(CURRENCY.FORMAT_1=0,CONCATENATE(TEXT(FIXED(ROUND((C1646*(1-I1646)*(1-ADD.DISCOUNT)*(1+MAT.SURCHARGE)/EXC.RATE_1),CURRENCY.FORMAT_1),CURRENCY.FORMAT_1,1),"# ##0;-# ##0"),",-"),FIXED(ROUND((C1646*(1-I1646)*(1-ADD.DISCOUNT)*(1+MAT.SURCHARGE)/EXC.RATE_1),CURRENCY.FORMAT_1),CURRENCY.FORMAT_1,0)),'DICTIONARY-5'!$A$2)</f>
        <v>273,-</v>
      </c>
      <c r="M1646" s="670" t="str">
        <f>IF(EXC.RATE_2=0,"",IFERROR(IF(CURRENCY.FORMAT_2=0,CONCATENATE(TEXT(FIXED(ROUND(IF(EXC.RATE.SWITCH=1,C1646*(1-I1646)*(1-ADD.DISCOUNT)*(1+MAT.SURCHARGE)/EXC.RATE_2,C1646*(1-I1646)*(1-ADD.DISCOUNT)*(1+MAT.SURCHARGE)*EXC.RATE_2),CURRENCY.FORMAT_2),CURRENCY.FORMAT_2,1),"# ##0;-# ##0"),",-"),FIXED(ROUND(IF(EXC.RATE.SWITCH=1,C1646*(1-I1646)*(1-ADD.DISCOUNT)*(1+MAT.SURCHARGE)/EXC.RATE_2,C1646*(1-I1646)*(1-ADD.DISCOUNT)*(1+MAT.SURCHARGE)*EXC.RATE_2),CURRENCY.FORMAT_2),CURRENCY.FORMAT_2,0)),'DICTIONARY-5'!$A$2))</f>
        <v/>
      </c>
      <c r="N1646" s="535">
        <v>6</v>
      </c>
      <c r="O1646" s="535"/>
      <c r="P1646" s="731" t="str">
        <f>'DICTIONARY-3'!$A$149</f>
        <v>CEREX 300-W</v>
      </c>
      <c r="Q1646" s="732" t="str">
        <f>'DICTIONARY-3'!$A$204</f>
        <v>Przepustnica kołnierzowa</v>
      </c>
      <c r="R1646" s="732" t="str">
        <f>CONCATENATE('DICTIONARY-3'!$A$149," ",'DICTIONARY-6'!$A$2," ",UPPER('DICTIONARY-5'!$A$18)," ",'DICTIONARY-2'!$A$2,"125"," ",'DICTIONARY-2'!$A$3,"10/16"," ","R20"," ",'DICTIONARY-5'!$A$37,"/",'DICTIONARY-5'!$A$45,", ",'DICTIONARY-4'!$A$3," ",'DICTIONARY-5'!$A$40)</f>
        <v>CEREX 300-W Przep. kołnierz. GAZ DN125 PN10/16 R20 CF8M/NBR, DR stal</v>
      </c>
      <c r="S1646" s="733" t="str">
        <f>'DICTIONARY-4'!$A$3</f>
        <v>DR</v>
      </c>
      <c r="T1646" s="732" t="str">
        <f>'DICTIONARY-4'!$A$19</f>
        <v>Dźwignia ręczna</v>
      </c>
      <c r="U1646" s="734" t="s">
        <v>5761</v>
      </c>
      <c r="V1646" s="735">
        <v>16</v>
      </c>
      <c r="W1646" s="736"/>
      <c r="X1646" s="737"/>
      <c r="Y1646" s="738"/>
      <c r="Z1646" s="739"/>
      <c r="AA1646" s="739"/>
      <c r="AB1646" s="740">
        <v>16</v>
      </c>
      <c r="AC1646" s="741" t="str">
        <f>'DICTIONARY-5'!$A$11&amp;" 20"</f>
        <v>EN 558 szereg 20</v>
      </c>
      <c r="AD1646" s="741" t="str">
        <f>'DICTIONARY-5'!$A$18&amp;", "&amp;'DICTIONARY-5'!$A$14</f>
        <v>gaz, ścieki</v>
      </c>
      <c r="AE1646" s="742">
        <v>80</v>
      </c>
      <c r="AF1646" s="743">
        <v>4</v>
      </c>
      <c r="AG1646" s="741" t="str">
        <f>'DICTIONARY-5'!$A$23</f>
        <v>powłoka epoksydowa</v>
      </c>
    </row>
    <row r="1647" spans="1:33" x14ac:dyDescent="0.25">
      <c r="A1647" s="869" t="s">
        <v>1729</v>
      </c>
      <c r="B1647" s="869" t="s">
        <v>3716</v>
      </c>
      <c r="C1647" s="836">
        <v>379</v>
      </c>
      <c r="D1647" s="836"/>
      <c r="E1647" s="836"/>
      <c r="F1647" s="836"/>
      <c r="G1647" s="496" t="s">
        <v>7832</v>
      </c>
      <c r="H1647" s="797" t="str">
        <f>VLOOKUP(G1647,SETTINGS!$B$7:$D$97,2,0)</f>
        <v>CEREX 300</v>
      </c>
      <c r="I1647" s="796">
        <f>VLOOKUP(G1647,SETTINGS!$B$7:$D$97,3,0)</f>
        <v>0</v>
      </c>
      <c r="J1647" s="670" t="str">
        <f>IFERROR(IF(CURRENCY.FORMAT_1=0,CONCATENATE(TEXT(FIXED(ROUND((C1647/EXC.RATE_1),CURRENCY.FORMAT_1),CURRENCY.FORMAT_1,1),"# ##0;-# ##0"),",-"),FIXED(ROUND((C1647/EXC.RATE_1),CURRENCY.FORMAT_1),CURRENCY.FORMAT_1,0)),'DICTIONARY-5'!$A$2)</f>
        <v>379,-</v>
      </c>
      <c r="K1647" s="670" t="str">
        <f>IF(EXC.RATE_2=0,"",IFERROR(IF(CURRENCY.FORMAT_2=0,CONCATENATE(TEXT(FIXED(ROUND(IF(EXC.RATE.SWITCH=1,C1647/EXC.RATE_2,C1647*EXC.RATE_2),CURRENCY.FORMAT_2),CURRENCY.FORMAT_2,1),"# ##0;-# ##0"),",-"),FIXED(ROUND(IF(EXC.RATE.SWITCH=1,C1647/EXC.RATE_2,C1647*EXC.RATE_2),CURRENCY.FORMAT_2),CURRENCY.FORMAT_2,0)),'DICTIONARY-5'!$A$2))</f>
        <v/>
      </c>
      <c r="L1647" s="670" t="str">
        <f>IFERROR(IF(CURRENCY.FORMAT_1=0,CONCATENATE(TEXT(FIXED(ROUND((C1647*(1-I1647)*(1-ADD.DISCOUNT)*(1+MAT.SURCHARGE)/EXC.RATE_1),CURRENCY.FORMAT_1),CURRENCY.FORMAT_1,1),"# ##0;-# ##0"),",-"),FIXED(ROUND((C1647*(1-I1647)*(1-ADD.DISCOUNT)*(1+MAT.SURCHARGE)/EXC.RATE_1),CURRENCY.FORMAT_1),CURRENCY.FORMAT_1,0)),'DICTIONARY-5'!$A$2)</f>
        <v>394,-</v>
      </c>
      <c r="M1647" s="670" t="str">
        <f>IF(EXC.RATE_2=0,"",IFERROR(IF(CURRENCY.FORMAT_2=0,CONCATENATE(TEXT(FIXED(ROUND(IF(EXC.RATE.SWITCH=1,C1647*(1-I1647)*(1-ADD.DISCOUNT)*(1+MAT.SURCHARGE)/EXC.RATE_2,C1647*(1-I1647)*(1-ADD.DISCOUNT)*(1+MAT.SURCHARGE)*EXC.RATE_2),CURRENCY.FORMAT_2),CURRENCY.FORMAT_2,1),"# ##0;-# ##0"),",-"),FIXED(ROUND(IF(EXC.RATE.SWITCH=1,C1647*(1-I1647)*(1-ADD.DISCOUNT)*(1+MAT.SURCHARGE)/EXC.RATE_2,C1647*(1-I1647)*(1-ADD.DISCOUNT)*(1+MAT.SURCHARGE)*EXC.RATE_2),CURRENCY.FORMAT_2),CURRENCY.FORMAT_2,0)),'DICTIONARY-5'!$A$2))</f>
        <v/>
      </c>
      <c r="N1647" s="535">
        <v>6</v>
      </c>
      <c r="O1647" s="535"/>
      <c r="P1647" s="731" t="str">
        <f>'DICTIONARY-3'!$A$149</f>
        <v>CEREX 300-W</v>
      </c>
      <c r="Q1647" s="732" t="str">
        <f>'DICTIONARY-3'!$A$204</f>
        <v>Przepustnica kołnierzowa</v>
      </c>
      <c r="R1647" s="732" t="str">
        <f>CONCATENATE('DICTIONARY-3'!$A$149," ",'DICTIONARY-6'!$A$2," ",UPPER('DICTIONARY-5'!$A$18)," ",'DICTIONARY-2'!$A$2,"150"," ",'DICTIONARY-2'!$A$3,"10/16"," ","R20"," ",'DICTIONARY-5'!$A$37,"/",'DICTIONARY-5'!$A$45,", ",'DICTIONARY-4'!$A$3," ",'DICTIONARY-5'!$A$40)</f>
        <v>CEREX 300-W Przep. kołnierz. GAZ DN150 PN10/16 R20 CF8M/NBR, DR stal</v>
      </c>
      <c r="S1647" s="733" t="str">
        <f>'DICTIONARY-4'!$A$3</f>
        <v>DR</v>
      </c>
      <c r="T1647" s="732" t="str">
        <f>'DICTIONARY-4'!$A$19</f>
        <v>Dźwignia ręczna</v>
      </c>
      <c r="U1647" s="734" t="s">
        <v>5572</v>
      </c>
      <c r="V1647" s="735">
        <v>16</v>
      </c>
      <c r="W1647" s="736"/>
      <c r="X1647" s="737"/>
      <c r="Y1647" s="738"/>
      <c r="Z1647" s="739"/>
      <c r="AA1647" s="739"/>
      <c r="AB1647" s="740">
        <v>16</v>
      </c>
      <c r="AC1647" s="741" t="str">
        <f>'DICTIONARY-5'!$A$11&amp;" 20"</f>
        <v>EN 558 szereg 20</v>
      </c>
      <c r="AD1647" s="741" t="str">
        <f>'DICTIONARY-5'!$A$18&amp;", "&amp;'DICTIONARY-5'!$A$14</f>
        <v>gaz, ścieki</v>
      </c>
      <c r="AE1647" s="742">
        <v>80</v>
      </c>
      <c r="AF1647" s="743">
        <v>10.7</v>
      </c>
      <c r="AG1647" s="741" t="str">
        <f>'DICTIONARY-5'!$A$23</f>
        <v>powłoka epoksydowa</v>
      </c>
    </row>
    <row r="1648" spans="1:33" x14ac:dyDescent="0.25">
      <c r="A1648" s="869" t="s">
        <v>1731</v>
      </c>
      <c r="B1648" s="869" t="s">
        <v>3723</v>
      </c>
      <c r="C1648" s="836">
        <v>501</v>
      </c>
      <c r="D1648" s="836"/>
      <c r="E1648" s="836"/>
      <c r="F1648" s="836"/>
      <c r="G1648" s="496" t="s">
        <v>7832</v>
      </c>
      <c r="H1648" s="797" t="str">
        <f>VLOOKUP(G1648,SETTINGS!$B$7:$D$97,2,0)</f>
        <v>CEREX 300</v>
      </c>
      <c r="I1648" s="796">
        <f>VLOOKUP(G1648,SETTINGS!$B$7:$D$97,3,0)</f>
        <v>0</v>
      </c>
      <c r="J1648" s="670" t="str">
        <f>IFERROR(IF(CURRENCY.FORMAT_1=0,CONCATENATE(TEXT(FIXED(ROUND((C1648/EXC.RATE_1),CURRENCY.FORMAT_1),CURRENCY.FORMAT_1,1),"# ##0;-# ##0"),",-"),FIXED(ROUND((C1648/EXC.RATE_1),CURRENCY.FORMAT_1),CURRENCY.FORMAT_1,0)),'DICTIONARY-5'!$A$2)</f>
        <v>501,-</v>
      </c>
      <c r="K1648" s="670" t="str">
        <f>IF(EXC.RATE_2=0,"",IFERROR(IF(CURRENCY.FORMAT_2=0,CONCATENATE(TEXT(FIXED(ROUND(IF(EXC.RATE.SWITCH=1,C1648/EXC.RATE_2,C1648*EXC.RATE_2),CURRENCY.FORMAT_2),CURRENCY.FORMAT_2,1),"# ##0;-# ##0"),",-"),FIXED(ROUND(IF(EXC.RATE.SWITCH=1,C1648/EXC.RATE_2,C1648*EXC.RATE_2),CURRENCY.FORMAT_2),CURRENCY.FORMAT_2,0)),'DICTIONARY-5'!$A$2))</f>
        <v/>
      </c>
      <c r="L1648" s="670" t="str">
        <f>IFERROR(IF(CURRENCY.FORMAT_1=0,CONCATENATE(TEXT(FIXED(ROUND((C1648*(1-I1648)*(1-ADD.DISCOUNT)*(1+MAT.SURCHARGE)/EXC.RATE_1),CURRENCY.FORMAT_1),CURRENCY.FORMAT_1,1),"# ##0;-# ##0"),",-"),FIXED(ROUND((C1648*(1-I1648)*(1-ADD.DISCOUNT)*(1+MAT.SURCHARGE)/EXC.RATE_1),CURRENCY.FORMAT_1),CURRENCY.FORMAT_1,0)),'DICTIONARY-5'!$A$2)</f>
        <v>521,-</v>
      </c>
      <c r="M1648" s="670" t="str">
        <f>IF(EXC.RATE_2=0,"",IFERROR(IF(CURRENCY.FORMAT_2=0,CONCATENATE(TEXT(FIXED(ROUND(IF(EXC.RATE.SWITCH=1,C1648*(1-I1648)*(1-ADD.DISCOUNT)*(1+MAT.SURCHARGE)/EXC.RATE_2,C1648*(1-I1648)*(1-ADD.DISCOUNT)*(1+MAT.SURCHARGE)*EXC.RATE_2),CURRENCY.FORMAT_2),CURRENCY.FORMAT_2,1),"# ##0;-# ##0"),",-"),FIXED(ROUND(IF(EXC.RATE.SWITCH=1,C1648*(1-I1648)*(1-ADD.DISCOUNT)*(1+MAT.SURCHARGE)/EXC.RATE_2,C1648*(1-I1648)*(1-ADD.DISCOUNT)*(1+MAT.SURCHARGE)*EXC.RATE_2),CURRENCY.FORMAT_2),CURRENCY.FORMAT_2,0)),'DICTIONARY-5'!$A$2))</f>
        <v/>
      </c>
      <c r="N1648" s="535">
        <v>6</v>
      </c>
      <c r="O1648" s="535"/>
      <c r="P1648" s="731" t="str">
        <f>'DICTIONARY-3'!$A$149</f>
        <v>CEREX 300-W</v>
      </c>
      <c r="Q1648" s="732" t="str">
        <f>'DICTIONARY-3'!$A$204</f>
        <v>Przepustnica kołnierzowa</v>
      </c>
      <c r="R1648" s="732" t="str">
        <f>CONCATENATE('DICTIONARY-3'!$A$149," ",'DICTIONARY-6'!$A$2," ",UPPER('DICTIONARY-5'!$A$18)," ",'DICTIONARY-2'!$A$2,"200"," ",'DICTIONARY-2'!$A$3,"10/16"," ","R20"," ",'DICTIONARY-5'!$A$37,"/",'DICTIONARY-5'!$A$45,", ",'DICTIONARY-4'!$A$3," ",'DICTIONARY-5'!$A$40)</f>
        <v>CEREX 300-W Przep. kołnierz. GAZ DN200 PN10/16 R20 CF8M/NBR, DR stal</v>
      </c>
      <c r="S1648" s="733" t="str">
        <f>'DICTIONARY-4'!$A$3</f>
        <v>DR</v>
      </c>
      <c r="T1648" s="732" t="str">
        <f>'DICTIONARY-4'!$A$19</f>
        <v>Dźwignia ręczna</v>
      </c>
      <c r="U1648" s="734" t="s">
        <v>5750</v>
      </c>
      <c r="V1648" s="735">
        <v>16</v>
      </c>
      <c r="W1648" s="736"/>
      <c r="X1648" s="737"/>
      <c r="Y1648" s="738"/>
      <c r="Z1648" s="739"/>
      <c r="AA1648" s="739"/>
      <c r="AB1648" s="740">
        <v>16</v>
      </c>
      <c r="AC1648" s="741" t="str">
        <f>'DICTIONARY-5'!$A$11&amp;" 20"</f>
        <v>EN 558 szereg 20</v>
      </c>
      <c r="AD1648" s="741" t="str">
        <f>'DICTIONARY-5'!$A$18&amp;", "&amp;'DICTIONARY-5'!$A$14</f>
        <v>gaz, ścieki</v>
      </c>
      <c r="AE1648" s="742">
        <v>80</v>
      </c>
      <c r="AF1648" s="743">
        <v>15.5</v>
      </c>
      <c r="AG1648" s="741" t="str">
        <f>'DICTIONARY-5'!$A$23</f>
        <v>powłoka epoksydowa</v>
      </c>
    </row>
    <row r="1649" spans="1:33" x14ac:dyDescent="0.25">
      <c r="A1649" s="866" t="s">
        <v>1732</v>
      </c>
      <c r="B1649" s="866" t="s">
        <v>3743</v>
      </c>
      <c r="C1649" s="836">
        <v>180</v>
      </c>
      <c r="D1649" s="836"/>
      <c r="E1649" s="836"/>
      <c r="F1649" s="836"/>
      <c r="G1649" s="496" t="s">
        <v>7832</v>
      </c>
      <c r="H1649" s="797" t="str">
        <f>VLOOKUP(G1649,SETTINGS!$B$7:$D$97,2,0)</f>
        <v>CEREX 300</v>
      </c>
      <c r="I1649" s="796">
        <f>VLOOKUP(G1649,SETTINGS!$B$7:$D$97,3,0)</f>
        <v>0</v>
      </c>
      <c r="J1649" s="670" t="str">
        <f>IFERROR(IF(CURRENCY.FORMAT_1=0,CONCATENATE(TEXT(FIXED(ROUND((C1649/EXC.RATE_1),CURRENCY.FORMAT_1),CURRENCY.FORMAT_1,1),"# ##0;-# ##0"),",-"),FIXED(ROUND((C1649/EXC.RATE_1),CURRENCY.FORMAT_1),CURRENCY.FORMAT_1,0)),'DICTIONARY-5'!$A$2)</f>
        <v>180,-</v>
      </c>
      <c r="K1649" s="670" t="str">
        <f>IF(EXC.RATE_2=0,"",IFERROR(IF(CURRENCY.FORMAT_2=0,CONCATENATE(TEXT(FIXED(ROUND(IF(EXC.RATE.SWITCH=1,C1649/EXC.RATE_2,C1649*EXC.RATE_2),CURRENCY.FORMAT_2),CURRENCY.FORMAT_2,1),"# ##0;-# ##0"),",-"),FIXED(ROUND(IF(EXC.RATE.SWITCH=1,C1649/EXC.RATE_2,C1649*EXC.RATE_2),CURRENCY.FORMAT_2),CURRENCY.FORMAT_2,0)),'DICTIONARY-5'!$A$2))</f>
        <v/>
      </c>
      <c r="L1649" s="670" t="str">
        <f>IFERROR(IF(CURRENCY.FORMAT_1=0,CONCATENATE(TEXT(FIXED(ROUND((C1649*(1-I1649)*(1-ADD.DISCOUNT)*(1+MAT.SURCHARGE)/EXC.RATE_1),CURRENCY.FORMAT_1),CURRENCY.FORMAT_1,1),"# ##0;-# ##0"),",-"),FIXED(ROUND((C1649*(1-I1649)*(1-ADD.DISCOUNT)*(1+MAT.SURCHARGE)/EXC.RATE_1),CURRENCY.FORMAT_1),CURRENCY.FORMAT_1,0)),'DICTIONARY-5'!$A$2)</f>
        <v>187,-</v>
      </c>
      <c r="M1649" s="670" t="str">
        <f>IF(EXC.RATE_2=0,"",IFERROR(IF(CURRENCY.FORMAT_2=0,CONCATENATE(TEXT(FIXED(ROUND(IF(EXC.RATE.SWITCH=1,C1649*(1-I1649)*(1-ADD.DISCOUNT)*(1+MAT.SURCHARGE)/EXC.RATE_2,C1649*(1-I1649)*(1-ADD.DISCOUNT)*(1+MAT.SURCHARGE)*EXC.RATE_2),CURRENCY.FORMAT_2),CURRENCY.FORMAT_2,1),"# ##0;-# ##0"),",-"),FIXED(ROUND(IF(EXC.RATE.SWITCH=1,C1649*(1-I1649)*(1-ADD.DISCOUNT)*(1+MAT.SURCHARGE)/EXC.RATE_2,C1649*(1-I1649)*(1-ADD.DISCOUNT)*(1+MAT.SURCHARGE)*EXC.RATE_2),CURRENCY.FORMAT_2),CURRENCY.FORMAT_2,0)),'DICTIONARY-5'!$A$2))</f>
        <v/>
      </c>
      <c r="N1649" s="541">
        <v>6</v>
      </c>
      <c r="O1649" s="541"/>
      <c r="P1649" s="731" t="str">
        <f>'DICTIONARY-3'!$A$149</f>
        <v>CEREX 300-W</v>
      </c>
      <c r="Q1649" s="731" t="str">
        <f>'DICTIONARY-3'!$A$204</f>
        <v>Przepustnica kołnierzowa</v>
      </c>
      <c r="R1649" s="732" t="str">
        <f>CONCATENATE('DICTIONARY-3'!$A$149," ",'DICTIONARY-6'!$A$2," ",'DICTIONARY-2'!$A$2,"50"," ",'DICTIONARY-2'!$A$3,"10/16"," ","R20"," ",'DICTIONARY-5'!$A$51,"/",'DICTIONARY-5'!$A$44,", ",'DICTIONARY-4'!$A$3," ",'DICTIONARY-5'!$A$33)</f>
        <v>CEREX 300-W Przep. kołnierz. DN50 PN10/16 R20 GGG/EPDM, DR st. nierdz.</v>
      </c>
      <c r="S1649" s="733" t="str">
        <f>'DICTIONARY-4'!$A$3</f>
        <v>DR</v>
      </c>
      <c r="T1649" s="732" t="str">
        <f>'DICTIONARY-4'!$A$19</f>
        <v>Dźwignia ręczna</v>
      </c>
      <c r="U1649" s="734" t="s">
        <v>5748</v>
      </c>
      <c r="V1649" s="735">
        <v>16</v>
      </c>
      <c r="W1649" s="736"/>
      <c r="X1649" s="737"/>
      <c r="Y1649" s="738"/>
      <c r="Z1649" s="739"/>
      <c r="AA1649" s="739"/>
      <c r="AB1649" s="740">
        <v>16</v>
      </c>
      <c r="AC1649" s="741" t="str">
        <f>'DICTIONARY-5'!$A$11&amp;" 20"</f>
        <v>EN 558 szereg 20</v>
      </c>
      <c r="AD1649" s="741" t="str">
        <f>'DICTIONARY-5'!$A$13</f>
        <v>woda pitna</v>
      </c>
      <c r="AE1649" s="742">
        <v>80</v>
      </c>
      <c r="AF1649" s="743">
        <v>3.1</v>
      </c>
      <c r="AG1649" s="741" t="str">
        <f>'DICTIONARY-5'!$A$23</f>
        <v>powłoka epoksydowa</v>
      </c>
    </row>
    <row r="1650" spans="1:33" x14ac:dyDescent="0.25">
      <c r="A1650" s="866" t="s">
        <v>1734</v>
      </c>
      <c r="B1650" s="866" t="s">
        <v>3750</v>
      </c>
      <c r="C1650" s="836">
        <v>186</v>
      </c>
      <c r="D1650" s="836"/>
      <c r="E1650" s="836"/>
      <c r="F1650" s="836"/>
      <c r="G1650" s="496" t="s">
        <v>7832</v>
      </c>
      <c r="H1650" s="797" t="str">
        <f>VLOOKUP(G1650,SETTINGS!$B$7:$D$97,2,0)</f>
        <v>CEREX 300</v>
      </c>
      <c r="I1650" s="796">
        <f>VLOOKUP(G1650,SETTINGS!$B$7:$D$97,3,0)</f>
        <v>0</v>
      </c>
      <c r="J1650" s="670" t="str">
        <f>IFERROR(IF(CURRENCY.FORMAT_1=0,CONCATENATE(TEXT(FIXED(ROUND((C1650/EXC.RATE_1),CURRENCY.FORMAT_1),CURRENCY.FORMAT_1,1),"# ##0;-# ##0"),",-"),FIXED(ROUND((C1650/EXC.RATE_1),CURRENCY.FORMAT_1),CURRENCY.FORMAT_1,0)),'DICTIONARY-5'!$A$2)</f>
        <v>186,-</v>
      </c>
      <c r="K1650" s="670" t="str">
        <f>IF(EXC.RATE_2=0,"",IFERROR(IF(CURRENCY.FORMAT_2=0,CONCATENATE(TEXT(FIXED(ROUND(IF(EXC.RATE.SWITCH=1,C1650/EXC.RATE_2,C1650*EXC.RATE_2),CURRENCY.FORMAT_2),CURRENCY.FORMAT_2,1),"# ##0;-# ##0"),",-"),FIXED(ROUND(IF(EXC.RATE.SWITCH=1,C1650/EXC.RATE_2,C1650*EXC.RATE_2),CURRENCY.FORMAT_2),CURRENCY.FORMAT_2,0)),'DICTIONARY-5'!$A$2))</f>
        <v/>
      </c>
      <c r="L1650" s="670" t="str">
        <f>IFERROR(IF(CURRENCY.FORMAT_1=0,CONCATENATE(TEXT(FIXED(ROUND((C1650*(1-I1650)*(1-ADD.DISCOUNT)*(1+MAT.SURCHARGE)/EXC.RATE_1),CURRENCY.FORMAT_1),CURRENCY.FORMAT_1,1),"# ##0;-# ##0"),",-"),FIXED(ROUND((C1650*(1-I1650)*(1-ADD.DISCOUNT)*(1+MAT.SURCHARGE)/EXC.RATE_1),CURRENCY.FORMAT_1),CURRENCY.FORMAT_1,0)),'DICTIONARY-5'!$A$2)</f>
        <v>193,-</v>
      </c>
      <c r="M1650" s="670" t="str">
        <f>IF(EXC.RATE_2=0,"",IFERROR(IF(CURRENCY.FORMAT_2=0,CONCATENATE(TEXT(FIXED(ROUND(IF(EXC.RATE.SWITCH=1,C1650*(1-I1650)*(1-ADD.DISCOUNT)*(1+MAT.SURCHARGE)/EXC.RATE_2,C1650*(1-I1650)*(1-ADD.DISCOUNT)*(1+MAT.SURCHARGE)*EXC.RATE_2),CURRENCY.FORMAT_2),CURRENCY.FORMAT_2,1),"# ##0;-# ##0"),",-"),FIXED(ROUND(IF(EXC.RATE.SWITCH=1,C1650*(1-I1650)*(1-ADD.DISCOUNT)*(1+MAT.SURCHARGE)/EXC.RATE_2,C1650*(1-I1650)*(1-ADD.DISCOUNT)*(1+MAT.SURCHARGE)*EXC.RATE_2),CURRENCY.FORMAT_2),CURRENCY.FORMAT_2,0)),'DICTIONARY-5'!$A$2))</f>
        <v/>
      </c>
      <c r="N1650" s="541">
        <v>6</v>
      </c>
      <c r="O1650" s="541"/>
      <c r="P1650" s="731" t="str">
        <f>'DICTIONARY-3'!$A$149</f>
        <v>CEREX 300-W</v>
      </c>
      <c r="Q1650" s="731" t="str">
        <f>'DICTIONARY-3'!$A$204</f>
        <v>Przepustnica kołnierzowa</v>
      </c>
      <c r="R1650" s="732" t="str">
        <f>CONCATENATE('DICTIONARY-3'!$A$149," ",'DICTIONARY-6'!$A$2," ",'DICTIONARY-2'!$A$2,"65"," ",'DICTIONARY-2'!$A$3,"10/16"," ","R20"," ",'DICTIONARY-5'!$A$51,"/",'DICTIONARY-5'!$A$44,", ",'DICTIONARY-4'!$A$3," ",'DICTIONARY-5'!$A$33)</f>
        <v>CEREX 300-W Przep. kołnierz. DN65 PN10/16 R20 GGG/EPDM, DR st. nierdz.</v>
      </c>
      <c r="S1650" s="733" t="str">
        <f>'DICTIONARY-4'!$A$3</f>
        <v>DR</v>
      </c>
      <c r="T1650" s="732" t="str">
        <f>'DICTIONARY-4'!$A$19</f>
        <v>Dźwignia ręczna</v>
      </c>
      <c r="U1650" s="734" t="s">
        <v>5759</v>
      </c>
      <c r="V1650" s="735">
        <v>16</v>
      </c>
      <c r="W1650" s="736"/>
      <c r="X1650" s="737"/>
      <c r="Y1650" s="738"/>
      <c r="Z1650" s="739"/>
      <c r="AA1650" s="739"/>
      <c r="AB1650" s="740">
        <v>16</v>
      </c>
      <c r="AC1650" s="741" t="str">
        <f>'DICTIONARY-5'!$A$11&amp;" 20"</f>
        <v>EN 558 szereg 20</v>
      </c>
      <c r="AD1650" s="741" t="str">
        <f>'DICTIONARY-5'!$A$13</f>
        <v>woda pitna</v>
      </c>
      <c r="AE1650" s="742">
        <v>80</v>
      </c>
      <c r="AF1650" s="743">
        <v>3.6</v>
      </c>
      <c r="AG1650" s="741" t="str">
        <f>'DICTIONARY-5'!$A$23</f>
        <v>powłoka epoksydowa</v>
      </c>
    </row>
    <row r="1651" spans="1:33" x14ac:dyDescent="0.25">
      <c r="A1651" s="866" t="s">
        <v>1736</v>
      </c>
      <c r="B1651" s="866" t="s">
        <v>3757</v>
      </c>
      <c r="C1651" s="836">
        <v>193</v>
      </c>
      <c r="D1651" s="836"/>
      <c r="E1651" s="836"/>
      <c r="F1651" s="836"/>
      <c r="G1651" s="496" t="s">
        <v>7832</v>
      </c>
      <c r="H1651" s="797" t="str">
        <f>VLOOKUP(G1651,SETTINGS!$B$7:$D$97,2,0)</f>
        <v>CEREX 300</v>
      </c>
      <c r="I1651" s="796">
        <f>VLOOKUP(G1651,SETTINGS!$B$7:$D$97,3,0)</f>
        <v>0</v>
      </c>
      <c r="J1651" s="670" t="str">
        <f>IFERROR(IF(CURRENCY.FORMAT_1=0,CONCATENATE(TEXT(FIXED(ROUND((C1651/EXC.RATE_1),CURRENCY.FORMAT_1),CURRENCY.FORMAT_1,1),"# ##0;-# ##0"),",-"),FIXED(ROUND((C1651/EXC.RATE_1),CURRENCY.FORMAT_1),CURRENCY.FORMAT_1,0)),'DICTIONARY-5'!$A$2)</f>
        <v>193,-</v>
      </c>
      <c r="K1651" s="670" t="str">
        <f>IF(EXC.RATE_2=0,"",IFERROR(IF(CURRENCY.FORMAT_2=0,CONCATENATE(TEXT(FIXED(ROUND(IF(EXC.RATE.SWITCH=1,C1651/EXC.RATE_2,C1651*EXC.RATE_2),CURRENCY.FORMAT_2),CURRENCY.FORMAT_2,1),"# ##0;-# ##0"),",-"),FIXED(ROUND(IF(EXC.RATE.SWITCH=1,C1651/EXC.RATE_2,C1651*EXC.RATE_2),CURRENCY.FORMAT_2),CURRENCY.FORMAT_2,0)),'DICTIONARY-5'!$A$2))</f>
        <v/>
      </c>
      <c r="L1651" s="670" t="str">
        <f>IFERROR(IF(CURRENCY.FORMAT_1=0,CONCATENATE(TEXT(FIXED(ROUND((C1651*(1-I1651)*(1-ADD.DISCOUNT)*(1+MAT.SURCHARGE)/EXC.RATE_1),CURRENCY.FORMAT_1),CURRENCY.FORMAT_1,1),"# ##0;-# ##0"),",-"),FIXED(ROUND((C1651*(1-I1651)*(1-ADD.DISCOUNT)*(1+MAT.SURCHARGE)/EXC.RATE_1),CURRENCY.FORMAT_1),CURRENCY.FORMAT_1,0)),'DICTIONARY-5'!$A$2)</f>
        <v>201,-</v>
      </c>
      <c r="M1651" s="670" t="str">
        <f>IF(EXC.RATE_2=0,"",IFERROR(IF(CURRENCY.FORMAT_2=0,CONCATENATE(TEXT(FIXED(ROUND(IF(EXC.RATE.SWITCH=1,C1651*(1-I1651)*(1-ADD.DISCOUNT)*(1+MAT.SURCHARGE)/EXC.RATE_2,C1651*(1-I1651)*(1-ADD.DISCOUNT)*(1+MAT.SURCHARGE)*EXC.RATE_2),CURRENCY.FORMAT_2),CURRENCY.FORMAT_2,1),"# ##0;-# ##0"),",-"),FIXED(ROUND(IF(EXC.RATE.SWITCH=1,C1651*(1-I1651)*(1-ADD.DISCOUNT)*(1+MAT.SURCHARGE)/EXC.RATE_2,C1651*(1-I1651)*(1-ADD.DISCOUNT)*(1+MAT.SURCHARGE)*EXC.RATE_2),CURRENCY.FORMAT_2),CURRENCY.FORMAT_2,0)),'DICTIONARY-5'!$A$2))</f>
        <v/>
      </c>
      <c r="N1651" s="541">
        <v>6</v>
      </c>
      <c r="O1651" s="541"/>
      <c r="P1651" s="731" t="str">
        <f>'DICTIONARY-3'!$A$149</f>
        <v>CEREX 300-W</v>
      </c>
      <c r="Q1651" s="731" t="str">
        <f>'DICTIONARY-3'!$A$204</f>
        <v>Przepustnica kołnierzowa</v>
      </c>
      <c r="R1651" s="732" t="str">
        <f>CONCATENATE('DICTIONARY-3'!$A$149," ",'DICTIONARY-6'!$A$2," ",'DICTIONARY-2'!$A$2,"80"," ",'DICTIONARY-2'!$A$3,"10/16"," ","R20"," ",'DICTIONARY-5'!$A$51,"/",'DICTIONARY-5'!$A$44,", ",'DICTIONARY-4'!$A$3," ",'DICTIONARY-5'!$A$33)</f>
        <v>CEREX 300-W Przep. kołnierz. DN80 PN10/16 R20 GGG/EPDM, DR st. nierdz.</v>
      </c>
      <c r="S1651" s="733" t="str">
        <f>'DICTIONARY-4'!$A$3</f>
        <v>DR</v>
      </c>
      <c r="T1651" s="732" t="str">
        <f>'DICTIONARY-4'!$A$19</f>
        <v>Dźwignia ręczna</v>
      </c>
      <c r="U1651" s="734" t="s">
        <v>5760</v>
      </c>
      <c r="V1651" s="735">
        <v>16</v>
      </c>
      <c r="W1651" s="736"/>
      <c r="X1651" s="737"/>
      <c r="Y1651" s="738"/>
      <c r="Z1651" s="739"/>
      <c r="AA1651" s="739"/>
      <c r="AB1651" s="740">
        <v>16</v>
      </c>
      <c r="AC1651" s="741" t="str">
        <f>'DICTIONARY-5'!$A$11&amp;" 20"</f>
        <v>EN 558 szereg 20</v>
      </c>
      <c r="AD1651" s="741" t="str">
        <f>'DICTIONARY-5'!$A$13</f>
        <v>woda pitna</v>
      </c>
      <c r="AE1651" s="742">
        <v>80</v>
      </c>
      <c r="AF1651" s="743">
        <v>4.25</v>
      </c>
      <c r="AG1651" s="741" t="str">
        <f>'DICTIONARY-5'!$A$23</f>
        <v>powłoka epoksydowa</v>
      </c>
    </row>
    <row r="1652" spans="1:33" x14ac:dyDescent="0.25">
      <c r="A1652" s="866" t="s">
        <v>1738</v>
      </c>
      <c r="B1652" s="866" t="s">
        <v>3764</v>
      </c>
      <c r="C1652" s="836">
        <v>228</v>
      </c>
      <c r="D1652" s="836"/>
      <c r="E1652" s="836"/>
      <c r="F1652" s="836"/>
      <c r="G1652" s="496" t="s">
        <v>7832</v>
      </c>
      <c r="H1652" s="797" t="str">
        <f>VLOOKUP(G1652,SETTINGS!$B$7:$D$97,2,0)</f>
        <v>CEREX 300</v>
      </c>
      <c r="I1652" s="796">
        <f>VLOOKUP(G1652,SETTINGS!$B$7:$D$97,3,0)</f>
        <v>0</v>
      </c>
      <c r="J1652" s="670" t="str">
        <f>IFERROR(IF(CURRENCY.FORMAT_1=0,CONCATENATE(TEXT(FIXED(ROUND((C1652/EXC.RATE_1),CURRENCY.FORMAT_1),CURRENCY.FORMAT_1,1),"# ##0;-# ##0"),",-"),FIXED(ROUND((C1652/EXC.RATE_1),CURRENCY.FORMAT_1),CURRENCY.FORMAT_1,0)),'DICTIONARY-5'!$A$2)</f>
        <v>228,-</v>
      </c>
      <c r="K1652" s="670" t="str">
        <f>IF(EXC.RATE_2=0,"",IFERROR(IF(CURRENCY.FORMAT_2=0,CONCATENATE(TEXT(FIXED(ROUND(IF(EXC.RATE.SWITCH=1,C1652/EXC.RATE_2,C1652*EXC.RATE_2),CURRENCY.FORMAT_2),CURRENCY.FORMAT_2,1),"# ##0;-# ##0"),",-"),FIXED(ROUND(IF(EXC.RATE.SWITCH=1,C1652/EXC.RATE_2,C1652*EXC.RATE_2),CURRENCY.FORMAT_2),CURRENCY.FORMAT_2,0)),'DICTIONARY-5'!$A$2))</f>
        <v/>
      </c>
      <c r="L1652" s="670" t="str">
        <f>IFERROR(IF(CURRENCY.FORMAT_1=0,CONCATENATE(TEXT(FIXED(ROUND((C1652*(1-I1652)*(1-ADD.DISCOUNT)*(1+MAT.SURCHARGE)/EXC.RATE_1),CURRENCY.FORMAT_1),CURRENCY.FORMAT_1,1),"# ##0;-# ##0"),",-"),FIXED(ROUND((C1652*(1-I1652)*(1-ADD.DISCOUNT)*(1+MAT.SURCHARGE)/EXC.RATE_1),CURRENCY.FORMAT_1),CURRENCY.FORMAT_1,0)),'DICTIONARY-5'!$A$2)</f>
        <v>237,-</v>
      </c>
      <c r="M1652" s="670" t="str">
        <f>IF(EXC.RATE_2=0,"",IFERROR(IF(CURRENCY.FORMAT_2=0,CONCATENATE(TEXT(FIXED(ROUND(IF(EXC.RATE.SWITCH=1,C1652*(1-I1652)*(1-ADD.DISCOUNT)*(1+MAT.SURCHARGE)/EXC.RATE_2,C1652*(1-I1652)*(1-ADD.DISCOUNT)*(1+MAT.SURCHARGE)*EXC.RATE_2),CURRENCY.FORMAT_2),CURRENCY.FORMAT_2,1),"# ##0;-# ##0"),",-"),FIXED(ROUND(IF(EXC.RATE.SWITCH=1,C1652*(1-I1652)*(1-ADD.DISCOUNT)*(1+MAT.SURCHARGE)/EXC.RATE_2,C1652*(1-I1652)*(1-ADD.DISCOUNT)*(1+MAT.SURCHARGE)*EXC.RATE_2),CURRENCY.FORMAT_2),CURRENCY.FORMAT_2,0)),'DICTIONARY-5'!$A$2))</f>
        <v/>
      </c>
      <c r="N1652" s="541">
        <v>6</v>
      </c>
      <c r="O1652" s="541"/>
      <c r="P1652" s="731" t="str">
        <f>'DICTIONARY-3'!$A$149</f>
        <v>CEREX 300-W</v>
      </c>
      <c r="Q1652" s="731" t="str">
        <f>'DICTIONARY-3'!$A$204</f>
        <v>Przepustnica kołnierzowa</v>
      </c>
      <c r="R1652" s="732" t="str">
        <f>CONCATENATE('DICTIONARY-3'!$A$149," ",'DICTIONARY-6'!$A$2," ",'DICTIONARY-2'!$A$2,"100"," ",'DICTIONARY-2'!$A$3,"10/16"," ","R20"," ",'DICTIONARY-5'!$A$51,"/",'DICTIONARY-5'!$A$44,", ",'DICTIONARY-4'!$A$3," ",'DICTIONARY-5'!$A$33)</f>
        <v>CEREX 300-W Przep. kołnierz. DN100 PN10/16 R20 GGG/EPDM, DR st. nierdz.</v>
      </c>
      <c r="S1652" s="733" t="str">
        <f>'DICTIONARY-4'!$A$3</f>
        <v>DR</v>
      </c>
      <c r="T1652" s="732" t="str">
        <f>'DICTIONARY-4'!$A$19</f>
        <v>Dźwignia ręczna</v>
      </c>
      <c r="U1652" s="734" t="s">
        <v>5749</v>
      </c>
      <c r="V1652" s="735">
        <v>16</v>
      </c>
      <c r="W1652" s="736"/>
      <c r="X1652" s="737"/>
      <c r="Y1652" s="738"/>
      <c r="Z1652" s="739"/>
      <c r="AA1652" s="739"/>
      <c r="AB1652" s="740">
        <v>16</v>
      </c>
      <c r="AC1652" s="741" t="str">
        <f>'DICTIONARY-5'!$A$11&amp;" 20"</f>
        <v>EN 558 szereg 20</v>
      </c>
      <c r="AD1652" s="741" t="str">
        <f>'DICTIONARY-5'!$A$13</f>
        <v>woda pitna</v>
      </c>
      <c r="AE1652" s="742">
        <v>80</v>
      </c>
      <c r="AF1652" s="743">
        <v>6</v>
      </c>
      <c r="AG1652" s="741" t="str">
        <f>'DICTIONARY-5'!$A$23</f>
        <v>powłoka epoksydowa</v>
      </c>
    </row>
    <row r="1653" spans="1:33" x14ac:dyDescent="0.25">
      <c r="A1653" s="866" t="s">
        <v>1740</v>
      </c>
      <c r="B1653" s="866" t="s">
        <v>3771</v>
      </c>
      <c r="C1653" s="836">
        <v>258</v>
      </c>
      <c r="D1653" s="836"/>
      <c r="E1653" s="836"/>
      <c r="F1653" s="836"/>
      <c r="G1653" s="496" t="s">
        <v>7832</v>
      </c>
      <c r="H1653" s="797" t="str">
        <f>VLOOKUP(G1653,SETTINGS!$B$7:$D$97,2,0)</f>
        <v>CEREX 300</v>
      </c>
      <c r="I1653" s="796">
        <f>VLOOKUP(G1653,SETTINGS!$B$7:$D$97,3,0)</f>
        <v>0</v>
      </c>
      <c r="J1653" s="670" t="str">
        <f>IFERROR(IF(CURRENCY.FORMAT_1=0,CONCATENATE(TEXT(FIXED(ROUND((C1653/EXC.RATE_1),CURRENCY.FORMAT_1),CURRENCY.FORMAT_1,1),"# ##0;-# ##0"),",-"),FIXED(ROUND((C1653/EXC.RATE_1),CURRENCY.FORMAT_1),CURRENCY.FORMAT_1,0)),'DICTIONARY-5'!$A$2)</f>
        <v>258,-</v>
      </c>
      <c r="K1653" s="670" t="str">
        <f>IF(EXC.RATE_2=0,"",IFERROR(IF(CURRENCY.FORMAT_2=0,CONCATENATE(TEXT(FIXED(ROUND(IF(EXC.RATE.SWITCH=1,C1653/EXC.RATE_2,C1653*EXC.RATE_2),CURRENCY.FORMAT_2),CURRENCY.FORMAT_2,1),"# ##0;-# ##0"),",-"),FIXED(ROUND(IF(EXC.RATE.SWITCH=1,C1653/EXC.RATE_2,C1653*EXC.RATE_2),CURRENCY.FORMAT_2),CURRENCY.FORMAT_2,0)),'DICTIONARY-5'!$A$2))</f>
        <v/>
      </c>
      <c r="L1653" s="670" t="str">
        <f>IFERROR(IF(CURRENCY.FORMAT_1=0,CONCATENATE(TEXT(FIXED(ROUND((C1653*(1-I1653)*(1-ADD.DISCOUNT)*(1+MAT.SURCHARGE)/EXC.RATE_1),CURRENCY.FORMAT_1),CURRENCY.FORMAT_1,1),"# ##0;-# ##0"),",-"),FIXED(ROUND((C1653*(1-I1653)*(1-ADD.DISCOUNT)*(1+MAT.SURCHARGE)/EXC.RATE_1),CURRENCY.FORMAT_1),CURRENCY.FORMAT_1,0)),'DICTIONARY-5'!$A$2)</f>
        <v>268,-</v>
      </c>
      <c r="M1653" s="670" t="str">
        <f>IF(EXC.RATE_2=0,"",IFERROR(IF(CURRENCY.FORMAT_2=0,CONCATENATE(TEXT(FIXED(ROUND(IF(EXC.RATE.SWITCH=1,C1653*(1-I1653)*(1-ADD.DISCOUNT)*(1+MAT.SURCHARGE)/EXC.RATE_2,C1653*(1-I1653)*(1-ADD.DISCOUNT)*(1+MAT.SURCHARGE)*EXC.RATE_2),CURRENCY.FORMAT_2),CURRENCY.FORMAT_2,1),"# ##0;-# ##0"),",-"),FIXED(ROUND(IF(EXC.RATE.SWITCH=1,C1653*(1-I1653)*(1-ADD.DISCOUNT)*(1+MAT.SURCHARGE)/EXC.RATE_2,C1653*(1-I1653)*(1-ADD.DISCOUNT)*(1+MAT.SURCHARGE)*EXC.RATE_2),CURRENCY.FORMAT_2),CURRENCY.FORMAT_2,0)),'DICTIONARY-5'!$A$2))</f>
        <v/>
      </c>
      <c r="N1653" s="541">
        <v>6</v>
      </c>
      <c r="O1653" s="541"/>
      <c r="P1653" s="731" t="str">
        <f>'DICTIONARY-3'!$A$149</f>
        <v>CEREX 300-W</v>
      </c>
      <c r="Q1653" s="731" t="str">
        <f>'DICTIONARY-3'!$A$204</f>
        <v>Przepustnica kołnierzowa</v>
      </c>
      <c r="R1653" s="732" t="str">
        <f>CONCATENATE('DICTIONARY-3'!$A$149," ",'DICTIONARY-6'!$A$2," ",'DICTIONARY-2'!$A$2,"125"," ",'DICTIONARY-2'!$A$3,"10/16"," ","R20"," ",'DICTIONARY-5'!$A$51,"/",'DICTIONARY-5'!$A$44,", ",'DICTIONARY-4'!$A$3," ",'DICTIONARY-5'!$A$33)</f>
        <v>CEREX 300-W Przep. kołnierz. DN125 PN10/16 R20 GGG/EPDM, DR st. nierdz.</v>
      </c>
      <c r="S1653" s="733" t="str">
        <f>'DICTIONARY-4'!$A$3</f>
        <v>DR</v>
      </c>
      <c r="T1653" s="732" t="str">
        <f>'DICTIONARY-4'!$A$19</f>
        <v>Dźwignia ręczna</v>
      </c>
      <c r="U1653" s="734" t="s">
        <v>5761</v>
      </c>
      <c r="V1653" s="735">
        <v>16</v>
      </c>
      <c r="W1653" s="736"/>
      <c r="X1653" s="737"/>
      <c r="Y1653" s="738"/>
      <c r="Z1653" s="739"/>
      <c r="AA1653" s="739"/>
      <c r="AB1653" s="740">
        <v>16</v>
      </c>
      <c r="AC1653" s="741" t="str">
        <f>'DICTIONARY-5'!$A$11&amp;" 20"</f>
        <v>EN 558 szereg 20</v>
      </c>
      <c r="AD1653" s="741" t="str">
        <f>'DICTIONARY-5'!$A$13</f>
        <v>woda pitna</v>
      </c>
      <c r="AE1653" s="742">
        <v>80</v>
      </c>
      <c r="AF1653" s="743">
        <v>7.5</v>
      </c>
      <c r="AG1653" s="741" t="str">
        <f>'DICTIONARY-5'!$A$23</f>
        <v>powłoka epoksydowa</v>
      </c>
    </row>
    <row r="1654" spans="1:33" x14ac:dyDescent="0.25">
      <c r="A1654" s="866" t="s">
        <v>1742</v>
      </c>
      <c r="B1654" s="866" t="s">
        <v>3778</v>
      </c>
      <c r="C1654" s="836">
        <v>341</v>
      </c>
      <c r="D1654" s="836"/>
      <c r="E1654" s="836"/>
      <c r="F1654" s="836"/>
      <c r="G1654" s="496" t="s">
        <v>7832</v>
      </c>
      <c r="H1654" s="797" t="str">
        <f>VLOOKUP(G1654,SETTINGS!$B$7:$D$97,2,0)</f>
        <v>CEREX 300</v>
      </c>
      <c r="I1654" s="796">
        <f>VLOOKUP(G1654,SETTINGS!$B$7:$D$97,3,0)</f>
        <v>0</v>
      </c>
      <c r="J1654" s="670" t="str">
        <f>IFERROR(IF(CURRENCY.FORMAT_1=0,CONCATENATE(TEXT(FIXED(ROUND((C1654/EXC.RATE_1),CURRENCY.FORMAT_1),CURRENCY.FORMAT_1,1),"# ##0;-# ##0"),",-"),FIXED(ROUND((C1654/EXC.RATE_1),CURRENCY.FORMAT_1),CURRENCY.FORMAT_1,0)),'DICTIONARY-5'!$A$2)</f>
        <v>341,-</v>
      </c>
      <c r="K1654" s="670" t="str">
        <f>IF(EXC.RATE_2=0,"",IFERROR(IF(CURRENCY.FORMAT_2=0,CONCATENATE(TEXT(FIXED(ROUND(IF(EXC.RATE.SWITCH=1,C1654/EXC.RATE_2,C1654*EXC.RATE_2),CURRENCY.FORMAT_2),CURRENCY.FORMAT_2,1),"# ##0;-# ##0"),",-"),FIXED(ROUND(IF(EXC.RATE.SWITCH=1,C1654/EXC.RATE_2,C1654*EXC.RATE_2),CURRENCY.FORMAT_2),CURRENCY.FORMAT_2,0)),'DICTIONARY-5'!$A$2))</f>
        <v/>
      </c>
      <c r="L1654" s="670" t="str">
        <f>IFERROR(IF(CURRENCY.FORMAT_1=0,CONCATENATE(TEXT(FIXED(ROUND((C1654*(1-I1654)*(1-ADD.DISCOUNT)*(1+MAT.SURCHARGE)/EXC.RATE_1),CURRENCY.FORMAT_1),CURRENCY.FORMAT_1,1),"# ##0;-# ##0"),",-"),FIXED(ROUND((C1654*(1-I1654)*(1-ADD.DISCOUNT)*(1+MAT.SURCHARGE)/EXC.RATE_1),CURRENCY.FORMAT_1),CURRENCY.FORMAT_1,0)),'DICTIONARY-5'!$A$2)</f>
        <v>354,-</v>
      </c>
      <c r="M1654" s="670" t="str">
        <f>IF(EXC.RATE_2=0,"",IFERROR(IF(CURRENCY.FORMAT_2=0,CONCATENATE(TEXT(FIXED(ROUND(IF(EXC.RATE.SWITCH=1,C1654*(1-I1654)*(1-ADD.DISCOUNT)*(1+MAT.SURCHARGE)/EXC.RATE_2,C1654*(1-I1654)*(1-ADD.DISCOUNT)*(1+MAT.SURCHARGE)*EXC.RATE_2),CURRENCY.FORMAT_2),CURRENCY.FORMAT_2,1),"# ##0;-# ##0"),",-"),FIXED(ROUND(IF(EXC.RATE.SWITCH=1,C1654*(1-I1654)*(1-ADD.DISCOUNT)*(1+MAT.SURCHARGE)/EXC.RATE_2,C1654*(1-I1654)*(1-ADD.DISCOUNT)*(1+MAT.SURCHARGE)*EXC.RATE_2),CURRENCY.FORMAT_2),CURRENCY.FORMAT_2,0)),'DICTIONARY-5'!$A$2))</f>
        <v/>
      </c>
      <c r="N1654" s="541">
        <v>6</v>
      </c>
      <c r="O1654" s="541"/>
      <c r="P1654" s="731" t="str">
        <f>'DICTIONARY-3'!$A$149</f>
        <v>CEREX 300-W</v>
      </c>
      <c r="Q1654" s="731" t="str">
        <f>'DICTIONARY-3'!$A$204</f>
        <v>Przepustnica kołnierzowa</v>
      </c>
      <c r="R1654" s="732" t="str">
        <f>CONCATENATE('DICTIONARY-3'!$A$149," ",'DICTIONARY-6'!$A$2," ",'DICTIONARY-2'!$A$2,"150"," ",'DICTIONARY-2'!$A$3,"10/16"," ","R20"," ",'DICTIONARY-5'!$A$51,"/",'DICTIONARY-5'!$A$44,", ",'DICTIONARY-4'!$A$3," ",'DICTIONARY-5'!$A$33)</f>
        <v>CEREX 300-W Przep. kołnierz. DN150 PN10/16 R20 GGG/EPDM, DR st. nierdz.</v>
      </c>
      <c r="S1654" s="733" t="str">
        <f>'DICTIONARY-4'!$A$3</f>
        <v>DR</v>
      </c>
      <c r="T1654" s="732" t="str">
        <f>'DICTIONARY-4'!$A$19</f>
        <v>Dźwignia ręczna</v>
      </c>
      <c r="U1654" s="734" t="s">
        <v>5572</v>
      </c>
      <c r="V1654" s="735">
        <v>16</v>
      </c>
      <c r="W1654" s="736"/>
      <c r="X1654" s="737"/>
      <c r="Y1654" s="738"/>
      <c r="Z1654" s="739"/>
      <c r="AA1654" s="739"/>
      <c r="AB1654" s="740">
        <v>16</v>
      </c>
      <c r="AC1654" s="741" t="str">
        <f>'DICTIONARY-5'!$A$11&amp;" 20"</f>
        <v>EN 558 szereg 20</v>
      </c>
      <c r="AD1654" s="741" t="str">
        <f>'DICTIONARY-5'!$A$13</f>
        <v>woda pitna</v>
      </c>
      <c r="AE1654" s="742">
        <v>80</v>
      </c>
      <c r="AF1654" s="743">
        <v>10</v>
      </c>
      <c r="AG1654" s="741" t="str">
        <f>'DICTIONARY-5'!$A$23</f>
        <v>powłoka epoksydowa</v>
      </c>
    </row>
    <row r="1655" spans="1:33" x14ac:dyDescent="0.25">
      <c r="A1655" s="866" t="s">
        <v>1744</v>
      </c>
      <c r="B1655" s="866" t="s">
        <v>3785</v>
      </c>
      <c r="C1655" s="836">
        <v>444</v>
      </c>
      <c r="D1655" s="836"/>
      <c r="E1655" s="836"/>
      <c r="F1655" s="836"/>
      <c r="G1655" s="496" t="s">
        <v>7832</v>
      </c>
      <c r="H1655" s="797" t="str">
        <f>VLOOKUP(G1655,SETTINGS!$B$7:$D$97,2,0)</f>
        <v>CEREX 300</v>
      </c>
      <c r="I1655" s="796">
        <f>VLOOKUP(G1655,SETTINGS!$B$7:$D$97,3,0)</f>
        <v>0</v>
      </c>
      <c r="J1655" s="670" t="str">
        <f>IFERROR(IF(CURRENCY.FORMAT_1=0,CONCATENATE(TEXT(FIXED(ROUND((C1655/EXC.RATE_1),CURRENCY.FORMAT_1),CURRENCY.FORMAT_1,1),"# ##0;-# ##0"),",-"),FIXED(ROUND((C1655/EXC.RATE_1),CURRENCY.FORMAT_1),CURRENCY.FORMAT_1,0)),'DICTIONARY-5'!$A$2)</f>
        <v>444,-</v>
      </c>
      <c r="K1655" s="670" t="str">
        <f>IF(EXC.RATE_2=0,"",IFERROR(IF(CURRENCY.FORMAT_2=0,CONCATENATE(TEXT(FIXED(ROUND(IF(EXC.RATE.SWITCH=1,C1655/EXC.RATE_2,C1655*EXC.RATE_2),CURRENCY.FORMAT_2),CURRENCY.FORMAT_2,1),"# ##0;-# ##0"),",-"),FIXED(ROUND(IF(EXC.RATE.SWITCH=1,C1655/EXC.RATE_2,C1655*EXC.RATE_2),CURRENCY.FORMAT_2),CURRENCY.FORMAT_2,0)),'DICTIONARY-5'!$A$2))</f>
        <v/>
      </c>
      <c r="L1655" s="670" t="str">
        <f>IFERROR(IF(CURRENCY.FORMAT_1=0,CONCATENATE(TEXT(FIXED(ROUND((C1655*(1-I1655)*(1-ADD.DISCOUNT)*(1+MAT.SURCHARGE)/EXC.RATE_1),CURRENCY.FORMAT_1),CURRENCY.FORMAT_1,1),"# ##0;-# ##0"),",-"),FIXED(ROUND((C1655*(1-I1655)*(1-ADD.DISCOUNT)*(1+MAT.SURCHARGE)/EXC.RATE_1),CURRENCY.FORMAT_1),CURRENCY.FORMAT_1,0)),'DICTIONARY-5'!$A$2)</f>
        <v>461,-</v>
      </c>
      <c r="M1655" s="670" t="str">
        <f>IF(EXC.RATE_2=0,"",IFERROR(IF(CURRENCY.FORMAT_2=0,CONCATENATE(TEXT(FIXED(ROUND(IF(EXC.RATE.SWITCH=1,C1655*(1-I1655)*(1-ADD.DISCOUNT)*(1+MAT.SURCHARGE)/EXC.RATE_2,C1655*(1-I1655)*(1-ADD.DISCOUNT)*(1+MAT.SURCHARGE)*EXC.RATE_2),CURRENCY.FORMAT_2),CURRENCY.FORMAT_2,1),"# ##0;-# ##0"),",-"),FIXED(ROUND(IF(EXC.RATE.SWITCH=1,C1655*(1-I1655)*(1-ADD.DISCOUNT)*(1+MAT.SURCHARGE)/EXC.RATE_2,C1655*(1-I1655)*(1-ADD.DISCOUNT)*(1+MAT.SURCHARGE)*EXC.RATE_2),CURRENCY.FORMAT_2),CURRENCY.FORMAT_2,0)),'DICTIONARY-5'!$A$2))</f>
        <v/>
      </c>
      <c r="N1655" s="541">
        <v>6</v>
      </c>
      <c r="O1655" s="541"/>
      <c r="P1655" s="731" t="str">
        <f>'DICTIONARY-3'!$A$149</f>
        <v>CEREX 300-W</v>
      </c>
      <c r="Q1655" s="731" t="str">
        <f>'DICTIONARY-3'!$A$204</f>
        <v>Przepustnica kołnierzowa</v>
      </c>
      <c r="R1655" s="732" t="str">
        <f>CONCATENATE('DICTIONARY-3'!$A$149," ",'DICTIONARY-6'!$A$2," ",'DICTIONARY-2'!$A$2,"200"," ",'DICTIONARY-2'!$A$3,"10/16"," ","R20"," ",'DICTIONARY-5'!$A$51,"/",'DICTIONARY-5'!$A$44,", ",'DICTIONARY-4'!$A$3," ",'DICTIONARY-5'!$A$33)</f>
        <v>CEREX 300-W Przep. kołnierz. DN200 PN10/16 R20 GGG/EPDM, DR st. nierdz.</v>
      </c>
      <c r="S1655" s="733" t="str">
        <f>'DICTIONARY-4'!$A$3</f>
        <v>DR</v>
      </c>
      <c r="T1655" s="732" t="str">
        <f>'DICTIONARY-4'!$A$19</f>
        <v>Dźwignia ręczna</v>
      </c>
      <c r="U1655" s="734" t="s">
        <v>5750</v>
      </c>
      <c r="V1655" s="735">
        <v>16</v>
      </c>
      <c r="W1655" s="736"/>
      <c r="X1655" s="737"/>
      <c r="Y1655" s="738"/>
      <c r="Z1655" s="739"/>
      <c r="AA1655" s="739"/>
      <c r="AB1655" s="740">
        <v>16</v>
      </c>
      <c r="AC1655" s="741" t="str">
        <f>'DICTIONARY-5'!$A$11&amp;" 20"</f>
        <v>EN 558 szereg 20</v>
      </c>
      <c r="AD1655" s="741" t="str">
        <f>'DICTIONARY-5'!$A$13</f>
        <v>woda pitna</v>
      </c>
      <c r="AE1655" s="742">
        <v>80</v>
      </c>
      <c r="AF1655" s="743">
        <v>15</v>
      </c>
      <c r="AG1655" s="741" t="str">
        <f>'DICTIONARY-5'!$A$23</f>
        <v>powłoka epoksydowa</v>
      </c>
    </row>
    <row r="1656" spans="1:33" x14ac:dyDescent="0.25">
      <c r="A1656" s="866" t="s">
        <v>1733</v>
      </c>
      <c r="B1656" s="866" t="s">
        <v>3676</v>
      </c>
      <c r="C1656" s="836">
        <v>178</v>
      </c>
      <c r="D1656" s="836"/>
      <c r="E1656" s="836"/>
      <c r="F1656" s="836"/>
      <c r="G1656" s="496" t="s">
        <v>7832</v>
      </c>
      <c r="H1656" s="797" t="str">
        <f>VLOOKUP(G1656,SETTINGS!$B$7:$D$97,2,0)</f>
        <v>CEREX 300</v>
      </c>
      <c r="I1656" s="796">
        <f>VLOOKUP(G1656,SETTINGS!$B$7:$D$97,3,0)</f>
        <v>0</v>
      </c>
      <c r="J1656" s="670" t="str">
        <f>IFERROR(IF(CURRENCY.FORMAT_1=0,CONCATENATE(TEXT(FIXED(ROUND((C1656/EXC.RATE_1),CURRENCY.FORMAT_1),CURRENCY.FORMAT_1,1),"# ##0;-# ##0"),",-"),FIXED(ROUND((C1656/EXC.RATE_1),CURRENCY.FORMAT_1),CURRENCY.FORMAT_1,0)),'DICTIONARY-5'!$A$2)</f>
        <v>178,-</v>
      </c>
      <c r="K1656" s="670" t="str">
        <f>IF(EXC.RATE_2=0,"",IFERROR(IF(CURRENCY.FORMAT_2=0,CONCATENATE(TEXT(FIXED(ROUND(IF(EXC.RATE.SWITCH=1,C1656/EXC.RATE_2,C1656*EXC.RATE_2),CURRENCY.FORMAT_2),CURRENCY.FORMAT_2,1),"# ##0;-# ##0"),",-"),FIXED(ROUND(IF(EXC.RATE.SWITCH=1,C1656/EXC.RATE_2,C1656*EXC.RATE_2),CURRENCY.FORMAT_2),CURRENCY.FORMAT_2,0)),'DICTIONARY-5'!$A$2))</f>
        <v/>
      </c>
      <c r="L1656" s="670" t="str">
        <f>IFERROR(IF(CURRENCY.FORMAT_1=0,CONCATENATE(TEXT(FIXED(ROUND((C1656*(1-I1656)*(1-ADD.DISCOUNT)*(1+MAT.SURCHARGE)/EXC.RATE_1),CURRENCY.FORMAT_1),CURRENCY.FORMAT_1,1),"# ##0;-# ##0"),",-"),FIXED(ROUND((C1656*(1-I1656)*(1-ADD.DISCOUNT)*(1+MAT.SURCHARGE)/EXC.RATE_1),CURRENCY.FORMAT_1),CURRENCY.FORMAT_1,0)),'DICTIONARY-5'!$A$2)</f>
        <v>185,-</v>
      </c>
      <c r="M1656" s="670" t="str">
        <f>IF(EXC.RATE_2=0,"",IFERROR(IF(CURRENCY.FORMAT_2=0,CONCATENATE(TEXT(FIXED(ROUND(IF(EXC.RATE.SWITCH=1,C1656*(1-I1656)*(1-ADD.DISCOUNT)*(1+MAT.SURCHARGE)/EXC.RATE_2,C1656*(1-I1656)*(1-ADD.DISCOUNT)*(1+MAT.SURCHARGE)*EXC.RATE_2),CURRENCY.FORMAT_2),CURRENCY.FORMAT_2,1),"# ##0;-# ##0"),",-"),FIXED(ROUND(IF(EXC.RATE.SWITCH=1,C1656*(1-I1656)*(1-ADD.DISCOUNT)*(1+MAT.SURCHARGE)/EXC.RATE_2,C1656*(1-I1656)*(1-ADD.DISCOUNT)*(1+MAT.SURCHARGE)*EXC.RATE_2),CURRENCY.FORMAT_2),CURRENCY.FORMAT_2,0)),'DICTIONARY-5'!$A$2))</f>
        <v/>
      </c>
      <c r="N1656" s="541">
        <v>6</v>
      </c>
      <c r="O1656" s="541"/>
      <c r="P1656" s="731" t="str">
        <f>'DICTIONARY-3'!$A$149</f>
        <v>CEREX 300-W</v>
      </c>
      <c r="Q1656" s="731" t="str">
        <f>'DICTIONARY-3'!$A$204</f>
        <v>Przepustnica kołnierzowa</v>
      </c>
      <c r="R1656" s="732" t="str">
        <f>CONCATENATE('DICTIONARY-3'!$A$149," ",'DICTIONARY-6'!$A$2," ",'DICTIONARY-2'!$A$2,"50"," ",'DICTIONARY-2'!$A$3,"10/16"," ","R20"," ",'DICTIONARY-5'!$A$37,"/",'DICTIONARY-5'!$A$44,", ",'DICTIONARY-4'!$A$3," ",'DICTIONARY-5'!$A$33)</f>
        <v>CEREX 300-W Przep. kołnierz. DN50 PN10/16 R20 CF8M/EPDM, DR st. nierdz.</v>
      </c>
      <c r="S1656" s="733" t="str">
        <f>'DICTIONARY-4'!$A$3</f>
        <v>DR</v>
      </c>
      <c r="T1656" s="732" t="str">
        <f>'DICTIONARY-4'!$A$19</f>
        <v>Dźwignia ręczna</v>
      </c>
      <c r="U1656" s="734" t="s">
        <v>5748</v>
      </c>
      <c r="V1656" s="735">
        <v>16</v>
      </c>
      <c r="W1656" s="736"/>
      <c r="X1656" s="737"/>
      <c r="Y1656" s="738"/>
      <c r="Z1656" s="739"/>
      <c r="AA1656" s="739"/>
      <c r="AB1656" s="740">
        <v>16</v>
      </c>
      <c r="AC1656" s="741" t="str">
        <f>'DICTIONARY-5'!$A$11&amp;" 20"</f>
        <v>EN 558 szereg 20</v>
      </c>
      <c r="AD1656" s="741" t="str">
        <f>'DICTIONARY-5'!$A$13</f>
        <v>woda pitna</v>
      </c>
      <c r="AE1656" s="742">
        <v>110</v>
      </c>
      <c r="AF1656" s="743">
        <v>3</v>
      </c>
      <c r="AG1656" s="741" t="str">
        <f>'DICTIONARY-5'!$A$23</f>
        <v>powłoka epoksydowa</v>
      </c>
    </row>
    <row r="1657" spans="1:33" x14ac:dyDescent="0.25">
      <c r="A1657" s="866" t="s">
        <v>1735</v>
      </c>
      <c r="B1657" s="866" t="s">
        <v>3683</v>
      </c>
      <c r="C1657" s="836">
        <v>187</v>
      </c>
      <c r="D1657" s="836"/>
      <c r="E1657" s="836"/>
      <c r="F1657" s="836"/>
      <c r="G1657" s="496" t="s">
        <v>7832</v>
      </c>
      <c r="H1657" s="797" t="str">
        <f>VLOOKUP(G1657,SETTINGS!$B$7:$D$97,2,0)</f>
        <v>CEREX 300</v>
      </c>
      <c r="I1657" s="796">
        <f>VLOOKUP(G1657,SETTINGS!$B$7:$D$97,3,0)</f>
        <v>0</v>
      </c>
      <c r="J1657" s="670" t="str">
        <f>IFERROR(IF(CURRENCY.FORMAT_1=0,CONCATENATE(TEXT(FIXED(ROUND((C1657/EXC.RATE_1),CURRENCY.FORMAT_1),CURRENCY.FORMAT_1,1),"# ##0;-# ##0"),",-"),FIXED(ROUND((C1657/EXC.RATE_1),CURRENCY.FORMAT_1),CURRENCY.FORMAT_1,0)),'DICTIONARY-5'!$A$2)</f>
        <v>187,-</v>
      </c>
      <c r="K1657" s="670" t="str">
        <f>IF(EXC.RATE_2=0,"",IFERROR(IF(CURRENCY.FORMAT_2=0,CONCATENATE(TEXT(FIXED(ROUND(IF(EXC.RATE.SWITCH=1,C1657/EXC.RATE_2,C1657*EXC.RATE_2),CURRENCY.FORMAT_2),CURRENCY.FORMAT_2,1),"# ##0;-# ##0"),",-"),FIXED(ROUND(IF(EXC.RATE.SWITCH=1,C1657/EXC.RATE_2,C1657*EXC.RATE_2),CURRENCY.FORMAT_2),CURRENCY.FORMAT_2,0)),'DICTIONARY-5'!$A$2))</f>
        <v/>
      </c>
      <c r="L1657" s="670" t="str">
        <f>IFERROR(IF(CURRENCY.FORMAT_1=0,CONCATENATE(TEXT(FIXED(ROUND((C1657*(1-I1657)*(1-ADD.DISCOUNT)*(1+MAT.SURCHARGE)/EXC.RATE_1),CURRENCY.FORMAT_1),CURRENCY.FORMAT_1,1),"# ##0;-# ##0"),",-"),FIXED(ROUND((C1657*(1-I1657)*(1-ADD.DISCOUNT)*(1+MAT.SURCHARGE)/EXC.RATE_1),CURRENCY.FORMAT_1),CURRENCY.FORMAT_1,0)),'DICTIONARY-5'!$A$2)</f>
        <v>194,-</v>
      </c>
      <c r="M1657" s="670" t="str">
        <f>IF(EXC.RATE_2=0,"",IFERROR(IF(CURRENCY.FORMAT_2=0,CONCATENATE(TEXT(FIXED(ROUND(IF(EXC.RATE.SWITCH=1,C1657*(1-I1657)*(1-ADD.DISCOUNT)*(1+MAT.SURCHARGE)/EXC.RATE_2,C1657*(1-I1657)*(1-ADD.DISCOUNT)*(1+MAT.SURCHARGE)*EXC.RATE_2),CURRENCY.FORMAT_2),CURRENCY.FORMAT_2,1),"# ##0;-# ##0"),",-"),FIXED(ROUND(IF(EXC.RATE.SWITCH=1,C1657*(1-I1657)*(1-ADD.DISCOUNT)*(1+MAT.SURCHARGE)/EXC.RATE_2,C1657*(1-I1657)*(1-ADD.DISCOUNT)*(1+MAT.SURCHARGE)*EXC.RATE_2),CURRENCY.FORMAT_2),CURRENCY.FORMAT_2,0)),'DICTIONARY-5'!$A$2))</f>
        <v/>
      </c>
      <c r="N1657" s="541">
        <v>6</v>
      </c>
      <c r="O1657" s="541"/>
      <c r="P1657" s="731" t="str">
        <f>'DICTIONARY-3'!$A$149</f>
        <v>CEREX 300-W</v>
      </c>
      <c r="Q1657" s="731" t="str">
        <f>'DICTIONARY-3'!$A$204</f>
        <v>Przepustnica kołnierzowa</v>
      </c>
      <c r="R1657" s="732" t="str">
        <f>CONCATENATE('DICTIONARY-3'!$A$149," ",'DICTIONARY-6'!$A$2," ",'DICTIONARY-2'!$A$2,"65"," ",'DICTIONARY-2'!$A$3,"10/16"," ","R20"," ",'DICTIONARY-5'!$A$37,"/",'DICTIONARY-5'!$A$44,", ",'DICTIONARY-4'!$A$3," ",'DICTIONARY-5'!$A$33)</f>
        <v>CEREX 300-W Przep. kołnierz. DN65 PN10/16 R20 CF8M/EPDM, DR st. nierdz.</v>
      </c>
      <c r="S1657" s="733" t="str">
        <f>'DICTIONARY-4'!$A$3</f>
        <v>DR</v>
      </c>
      <c r="T1657" s="732" t="str">
        <f>'DICTIONARY-4'!$A$19</f>
        <v>Dźwignia ręczna</v>
      </c>
      <c r="U1657" s="734" t="s">
        <v>5759</v>
      </c>
      <c r="V1657" s="735">
        <v>16</v>
      </c>
      <c r="W1657" s="736"/>
      <c r="X1657" s="737"/>
      <c r="Y1657" s="738"/>
      <c r="Z1657" s="739"/>
      <c r="AA1657" s="739"/>
      <c r="AB1657" s="740">
        <v>16</v>
      </c>
      <c r="AC1657" s="741" t="str">
        <f>'DICTIONARY-5'!$A$11&amp;" 20"</f>
        <v>EN 558 szereg 20</v>
      </c>
      <c r="AD1657" s="741" t="str">
        <f>'DICTIONARY-5'!$A$13</f>
        <v>woda pitna</v>
      </c>
      <c r="AE1657" s="742">
        <v>110</v>
      </c>
      <c r="AF1657" s="743">
        <v>3.7</v>
      </c>
      <c r="AG1657" s="741" t="str">
        <f>'DICTIONARY-5'!$A$23</f>
        <v>powłoka epoksydowa</v>
      </c>
    </row>
    <row r="1658" spans="1:33" x14ac:dyDescent="0.25">
      <c r="A1658" s="866" t="s">
        <v>1737</v>
      </c>
      <c r="B1658" s="866" t="s">
        <v>3690</v>
      </c>
      <c r="C1658" s="836">
        <v>197</v>
      </c>
      <c r="D1658" s="836"/>
      <c r="E1658" s="836"/>
      <c r="F1658" s="836"/>
      <c r="G1658" s="496" t="s">
        <v>7832</v>
      </c>
      <c r="H1658" s="797" t="str">
        <f>VLOOKUP(G1658,SETTINGS!$B$7:$D$97,2,0)</f>
        <v>CEREX 300</v>
      </c>
      <c r="I1658" s="796">
        <f>VLOOKUP(G1658,SETTINGS!$B$7:$D$97,3,0)</f>
        <v>0</v>
      </c>
      <c r="J1658" s="670" t="str">
        <f>IFERROR(IF(CURRENCY.FORMAT_1=0,CONCATENATE(TEXT(FIXED(ROUND((C1658/EXC.RATE_1),CURRENCY.FORMAT_1),CURRENCY.FORMAT_1,1),"# ##0;-# ##0"),",-"),FIXED(ROUND((C1658/EXC.RATE_1),CURRENCY.FORMAT_1),CURRENCY.FORMAT_1,0)),'DICTIONARY-5'!$A$2)</f>
        <v>197,-</v>
      </c>
      <c r="K1658" s="670" t="str">
        <f>IF(EXC.RATE_2=0,"",IFERROR(IF(CURRENCY.FORMAT_2=0,CONCATENATE(TEXT(FIXED(ROUND(IF(EXC.RATE.SWITCH=1,C1658/EXC.RATE_2,C1658*EXC.RATE_2),CURRENCY.FORMAT_2),CURRENCY.FORMAT_2,1),"# ##0;-# ##0"),",-"),FIXED(ROUND(IF(EXC.RATE.SWITCH=1,C1658/EXC.RATE_2,C1658*EXC.RATE_2),CURRENCY.FORMAT_2),CURRENCY.FORMAT_2,0)),'DICTIONARY-5'!$A$2))</f>
        <v/>
      </c>
      <c r="L1658" s="670" t="str">
        <f>IFERROR(IF(CURRENCY.FORMAT_1=0,CONCATENATE(TEXT(FIXED(ROUND((C1658*(1-I1658)*(1-ADD.DISCOUNT)*(1+MAT.SURCHARGE)/EXC.RATE_1),CURRENCY.FORMAT_1),CURRENCY.FORMAT_1,1),"# ##0;-# ##0"),",-"),FIXED(ROUND((C1658*(1-I1658)*(1-ADD.DISCOUNT)*(1+MAT.SURCHARGE)/EXC.RATE_1),CURRENCY.FORMAT_1),CURRENCY.FORMAT_1,0)),'DICTIONARY-5'!$A$2)</f>
        <v>205,-</v>
      </c>
      <c r="M1658" s="670" t="str">
        <f>IF(EXC.RATE_2=0,"",IFERROR(IF(CURRENCY.FORMAT_2=0,CONCATENATE(TEXT(FIXED(ROUND(IF(EXC.RATE.SWITCH=1,C1658*(1-I1658)*(1-ADD.DISCOUNT)*(1+MAT.SURCHARGE)/EXC.RATE_2,C1658*(1-I1658)*(1-ADD.DISCOUNT)*(1+MAT.SURCHARGE)*EXC.RATE_2),CURRENCY.FORMAT_2),CURRENCY.FORMAT_2,1),"# ##0;-# ##0"),",-"),FIXED(ROUND(IF(EXC.RATE.SWITCH=1,C1658*(1-I1658)*(1-ADD.DISCOUNT)*(1+MAT.SURCHARGE)/EXC.RATE_2,C1658*(1-I1658)*(1-ADD.DISCOUNT)*(1+MAT.SURCHARGE)*EXC.RATE_2),CURRENCY.FORMAT_2),CURRENCY.FORMAT_2,0)),'DICTIONARY-5'!$A$2))</f>
        <v/>
      </c>
      <c r="N1658" s="541">
        <v>6</v>
      </c>
      <c r="O1658" s="541"/>
      <c r="P1658" s="731" t="str">
        <f>'DICTIONARY-3'!$A$149</f>
        <v>CEREX 300-W</v>
      </c>
      <c r="Q1658" s="731" t="str">
        <f>'DICTIONARY-3'!$A$204</f>
        <v>Przepustnica kołnierzowa</v>
      </c>
      <c r="R1658" s="732" t="str">
        <f>CONCATENATE('DICTIONARY-3'!$A$149," ",'DICTIONARY-6'!$A$2," ",'DICTIONARY-2'!$A$2,"80"," ",'DICTIONARY-2'!$A$3,"10/16"," ","R20"," ",'DICTIONARY-5'!$A$37,"/",'DICTIONARY-5'!$A$44,", ",'DICTIONARY-4'!$A$3," ",'DICTIONARY-5'!$A$33)</f>
        <v>CEREX 300-W Przep. kołnierz. DN80 PN10/16 R20 CF8M/EPDM, DR st. nierdz.</v>
      </c>
      <c r="S1658" s="733" t="str">
        <f>'DICTIONARY-4'!$A$3</f>
        <v>DR</v>
      </c>
      <c r="T1658" s="732" t="str">
        <f>'DICTIONARY-4'!$A$19</f>
        <v>Dźwignia ręczna</v>
      </c>
      <c r="U1658" s="734" t="s">
        <v>5760</v>
      </c>
      <c r="V1658" s="735">
        <v>16</v>
      </c>
      <c r="W1658" s="736"/>
      <c r="X1658" s="737"/>
      <c r="Y1658" s="738"/>
      <c r="Z1658" s="739"/>
      <c r="AA1658" s="739"/>
      <c r="AB1658" s="740">
        <v>16</v>
      </c>
      <c r="AC1658" s="741" t="str">
        <f>'DICTIONARY-5'!$A$11&amp;" 20"</f>
        <v>EN 558 szereg 20</v>
      </c>
      <c r="AD1658" s="741" t="str">
        <f>'DICTIONARY-5'!$A$13</f>
        <v>woda pitna</v>
      </c>
      <c r="AE1658" s="742">
        <v>110</v>
      </c>
      <c r="AF1658" s="743">
        <v>4.25</v>
      </c>
      <c r="AG1658" s="741" t="str">
        <f>'DICTIONARY-5'!$A$23</f>
        <v>powłoka epoksydowa</v>
      </c>
    </row>
    <row r="1659" spans="1:33" x14ac:dyDescent="0.25">
      <c r="A1659" s="866" t="s">
        <v>1739</v>
      </c>
      <c r="B1659" s="866" t="s">
        <v>3697</v>
      </c>
      <c r="C1659" s="836">
        <v>235</v>
      </c>
      <c r="D1659" s="836"/>
      <c r="E1659" s="836"/>
      <c r="F1659" s="836"/>
      <c r="G1659" s="496" t="s">
        <v>7832</v>
      </c>
      <c r="H1659" s="797" t="str">
        <f>VLOOKUP(G1659,SETTINGS!$B$7:$D$97,2,0)</f>
        <v>CEREX 300</v>
      </c>
      <c r="I1659" s="796">
        <f>VLOOKUP(G1659,SETTINGS!$B$7:$D$97,3,0)</f>
        <v>0</v>
      </c>
      <c r="J1659" s="670" t="str">
        <f>IFERROR(IF(CURRENCY.FORMAT_1=0,CONCATENATE(TEXT(FIXED(ROUND((C1659/EXC.RATE_1),CURRENCY.FORMAT_1),CURRENCY.FORMAT_1,1),"# ##0;-# ##0"),",-"),FIXED(ROUND((C1659/EXC.RATE_1),CURRENCY.FORMAT_1),CURRENCY.FORMAT_1,0)),'DICTIONARY-5'!$A$2)</f>
        <v>235,-</v>
      </c>
      <c r="K1659" s="670" t="str">
        <f>IF(EXC.RATE_2=0,"",IFERROR(IF(CURRENCY.FORMAT_2=0,CONCATENATE(TEXT(FIXED(ROUND(IF(EXC.RATE.SWITCH=1,C1659/EXC.RATE_2,C1659*EXC.RATE_2),CURRENCY.FORMAT_2),CURRENCY.FORMAT_2,1),"# ##0;-# ##0"),",-"),FIXED(ROUND(IF(EXC.RATE.SWITCH=1,C1659/EXC.RATE_2,C1659*EXC.RATE_2),CURRENCY.FORMAT_2),CURRENCY.FORMAT_2,0)),'DICTIONARY-5'!$A$2))</f>
        <v/>
      </c>
      <c r="L1659" s="670" t="str">
        <f>IFERROR(IF(CURRENCY.FORMAT_1=0,CONCATENATE(TEXT(FIXED(ROUND((C1659*(1-I1659)*(1-ADD.DISCOUNT)*(1+MAT.SURCHARGE)/EXC.RATE_1),CURRENCY.FORMAT_1),CURRENCY.FORMAT_1,1),"# ##0;-# ##0"),",-"),FIXED(ROUND((C1659*(1-I1659)*(1-ADD.DISCOUNT)*(1+MAT.SURCHARGE)/EXC.RATE_1),CURRENCY.FORMAT_1),CURRENCY.FORMAT_1,0)),'DICTIONARY-5'!$A$2)</f>
        <v>244,-</v>
      </c>
      <c r="M1659" s="670" t="str">
        <f>IF(EXC.RATE_2=0,"",IFERROR(IF(CURRENCY.FORMAT_2=0,CONCATENATE(TEXT(FIXED(ROUND(IF(EXC.RATE.SWITCH=1,C1659*(1-I1659)*(1-ADD.DISCOUNT)*(1+MAT.SURCHARGE)/EXC.RATE_2,C1659*(1-I1659)*(1-ADD.DISCOUNT)*(1+MAT.SURCHARGE)*EXC.RATE_2),CURRENCY.FORMAT_2),CURRENCY.FORMAT_2,1),"# ##0;-# ##0"),",-"),FIXED(ROUND(IF(EXC.RATE.SWITCH=1,C1659*(1-I1659)*(1-ADD.DISCOUNT)*(1+MAT.SURCHARGE)/EXC.RATE_2,C1659*(1-I1659)*(1-ADD.DISCOUNT)*(1+MAT.SURCHARGE)*EXC.RATE_2),CURRENCY.FORMAT_2),CURRENCY.FORMAT_2,0)),'DICTIONARY-5'!$A$2))</f>
        <v/>
      </c>
      <c r="N1659" s="541">
        <v>6</v>
      </c>
      <c r="O1659" s="541"/>
      <c r="P1659" s="731" t="str">
        <f>'DICTIONARY-3'!$A$149</f>
        <v>CEREX 300-W</v>
      </c>
      <c r="Q1659" s="731" t="str">
        <f>'DICTIONARY-3'!$A$204</f>
        <v>Przepustnica kołnierzowa</v>
      </c>
      <c r="R1659" s="732" t="str">
        <f>CONCATENATE('DICTIONARY-3'!$A$149," ",'DICTIONARY-6'!$A$2," ",'DICTIONARY-2'!$A$2,"100"," ",'DICTIONARY-2'!$A$3,"10/16"," ","R20"," ",'DICTIONARY-5'!$A$37,"/",'DICTIONARY-5'!$A$44,", ",'DICTIONARY-4'!$A$3," ",'DICTIONARY-5'!$A$33)</f>
        <v>CEREX 300-W Przep. kołnierz. DN100 PN10/16 R20 CF8M/EPDM, DR st. nierdz.</v>
      </c>
      <c r="S1659" s="733" t="str">
        <f>'DICTIONARY-4'!$A$3</f>
        <v>DR</v>
      </c>
      <c r="T1659" s="732" t="str">
        <f>'DICTIONARY-4'!$A$19</f>
        <v>Dźwignia ręczna</v>
      </c>
      <c r="U1659" s="734" t="s">
        <v>5749</v>
      </c>
      <c r="V1659" s="735">
        <v>16</v>
      </c>
      <c r="W1659" s="736"/>
      <c r="X1659" s="737"/>
      <c r="Y1659" s="738"/>
      <c r="Z1659" s="739"/>
      <c r="AA1659" s="739"/>
      <c r="AB1659" s="740">
        <v>16</v>
      </c>
      <c r="AC1659" s="741" t="str">
        <f>'DICTIONARY-5'!$A$11&amp;" 20"</f>
        <v>EN 558 szereg 20</v>
      </c>
      <c r="AD1659" s="741" t="str">
        <f>'DICTIONARY-5'!$A$13</f>
        <v>woda pitna</v>
      </c>
      <c r="AE1659" s="742">
        <v>110</v>
      </c>
      <c r="AF1659" s="743">
        <v>5.75</v>
      </c>
      <c r="AG1659" s="741" t="str">
        <f>'DICTIONARY-5'!$A$23</f>
        <v>powłoka epoksydowa</v>
      </c>
    </row>
    <row r="1660" spans="1:33" x14ac:dyDescent="0.25">
      <c r="A1660" s="866" t="s">
        <v>1741</v>
      </c>
      <c r="B1660" s="866" t="s">
        <v>3704</v>
      </c>
      <c r="C1660" s="836">
        <v>272</v>
      </c>
      <c r="D1660" s="836"/>
      <c r="E1660" s="836"/>
      <c r="F1660" s="836"/>
      <c r="G1660" s="496" t="s">
        <v>7832</v>
      </c>
      <c r="H1660" s="797" t="str">
        <f>VLOOKUP(G1660,SETTINGS!$B$7:$D$97,2,0)</f>
        <v>CEREX 300</v>
      </c>
      <c r="I1660" s="796">
        <f>VLOOKUP(G1660,SETTINGS!$B$7:$D$97,3,0)</f>
        <v>0</v>
      </c>
      <c r="J1660" s="670" t="str">
        <f>IFERROR(IF(CURRENCY.FORMAT_1=0,CONCATENATE(TEXT(FIXED(ROUND((C1660/EXC.RATE_1),CURRENCY.FORMAT_1),CURRENCY.FORMAT_1,1),"# ##0;-# ##0"),",-"),FIXED(ROUND((C1660/EXC.RATE_1),CURRENCY.FORMAT_1),CURRENCY.FORMAT_1,0)),'DICTIONARY-5'!$A$2)</f>
        <v>272,-</v>
      </c>
      <c r="K1660" s="670" t="str">
        <f>IF(EXC.RATE_2=0,"",IFERROR(IF(CURRENCY.FORMAT_2=0,CONCATENATE(TEXT(FIXED(ROUND(IF(EXC.RATE.SWITCH=1,C1660/EXC.RATE_2,C1660*EXC.RATE_2),CURRENCY.FORMAT_2),CURRENCY.FORMAT_2,1),"# ##0;-# ##0"),",-"),FIXED(ROUND(IF(EXC.RATE.SWITCH=1,C1660/EXC.RATE_2,C1660*EXC.RATE_2),CURRENCY.FORMAT_2),CURRENCY.FORMAT_2,0)),'DICTIONARY-5'!$A$2))</f>
        <v/>
      </c>
      <c r="L1660" s="670" t="str">
        <f>IFERROR(IF(CURRENCY.FORMAT_1=0,CONCATENATE(TEXT(FIXED(ROUND((C1660*(1-I1660)*(1-ADD.DISCOUNT)*(1+MAT.SURCHARGE)/EXC.RATE_1),CURRENCY.FORMAT_1),CURRENCY.FORMAT_1,1),"# ##0;-# ##0"),",-"),FIXED(ROUND((C1660*(1-I1660)*(1-ADD.DISCOUNT)*(1+MAT.SURCHARGE)/EXC.RATE_1),CURRENCY.FORMAT_1),CURRENCY.FORMAT_1,0)),'DICTIONARY-5'!$A$2)</f>
        <v>283,-</v>
      </c>
      <c r="M1660" s="670" t="str">
        <f>IF(EXC.RATE_2=0,"",IFERROR(IF(CURRENCY.FORMAT_2=0,CONCATENATE(TEXT(FIXED(ROUND(IF(EXC.RATE.SWITCH=1,C1660*(1-I1660)*(1-ADD.DISCOUNT)*(1+MAT.SURCHARGE)/EXC.RATE_2,C1660*(1-I1660)*(1-ADD.DISCOUNT)*(1+MAT.SURCHARGE)*EXC.RATE_2),CURRENCY.FORMAT_2),CURRENCY.FORMAT_2,1),"# ##0;-# ##0"),",-"),FIXED(ROUND(IF(EXC.RATE.SWITCH=1,C1660*(1-I1660)*(1-ADD.DISCOUNT)*(1+MAT.SURCHARGE)/EXC.RATE_2,C1660*(1-I1660)*(1-ADD.DISCOUNT)*(1+MAT.SURCHARGE)*EXC.RATE_2),CURRENCY.FORMAT_2),CURRENCY.FORMAT_2,0)),'DICTIONARY-5'!$A$2))</f>
        <v/>
      </c>
      <c r="N1660" s="541">
        <v>6</v>
      </c>
      <c r="O1660" s="541"/>
      <c r="P1660" s="731" t="str">
        <f>'DICTIONARY-3'!$A$149</f>
        <v>CEREX 300-W</v>
      </c>
      <c r="Q1660" s="731" t="str">
        <f>'DICTIONARY-3'!$A$204</f>
        <v>Przepustnica kołnierzowa</v>
      </c>
      <c r="R1660" s="732" t="str">
        <f>CONCATENATE('DICTIONARY-3'!$A$149," ",'DICTIONARY-6'!$A$2," ",'DICTIONARY-2'!$A$2,"125"," ",'DICTIONARY-2'!$A$3,"10/16"," ","R20"," ",'DICTIONARY-5'!$A$37,"/",'DICTIONARY-5'!$A$44,", ",'DICTIONARY-4'!$A$3," ",'DICTIONARY-5'!$A$33)</f>
        <v>CEREX 300-W Przep. kołnierz. DN125 PN10/16 R20 CF8M/EPDM, DR st. nierdz.</v>
      </c>
      <c r="S1660" s="733" t="str">
        <f>'DICTIONARY-4'!$A$3</f>
        <v>DR</v>
      </c>
      <c r="T1660" s="732" t="str">
        <f>'DICTIONARY-4'!$A$19</f>
        <v>Dźwignia ręczna</v>
      </c>
      <c r="U1660" s="734" t="s">
        <v>5761</v>
      </c>
      <c r="V1660" s="735">
        <v>16</v>
      </c>
      <c r="W1660" s="736"/>
      <c r="X1660" s="737"/>
      <c r="Y1660" s="738"/>
      <c r="Z1660" s="739"/>
      <c r="AA1660" s="739"/>
      <c r="AB1660" s="740">
        <v>16</v>
      </c>
      <c r="AC1660" s="741" t="str">
        <f>'DICTIONARY-5'!$A$11&amp;" 20"</f>
        <v>EN 558 szereg 20</v>
      </c>
      <c r="AD1660" s="741" t="str">
        <f>'DICTIONARY-5'!$A$13</f>
        <v>woda pitna</v>
      </c>
      <c r="AE1660" s="742">
        <v>110</v>
      </c>
      <c r="AF1660" s="743">
        <v>7.5</v>
      </c>
      <c r="AG1660" s="741" t="str">
        <f>'DICTIONARY-5'!$A$23</f>
        <v>powłoka epoksydowa</v>
      </c>
    </row>
    <row r="1661" spans="1:33" x14ac:dyDescent="0.25">
      <c r="A1661" s="866" t="s">
        <v>1743</v>
      </c>
      <c r="B1661" s="866" t="s">
        <v>3711</v>
      </c>
      <c r="C1661" s="836">
        <v>378</v>
      </c>
      <c r="D1661" s="836"/>
      <c r="E1661" s="836"/>
      <c r="F1661" s="836"/>
      <c r="G1661" s="496" t="s">
        <v>7832</v>
      </c>
      <c r="H1661" s="797" t="str">
        <f>VLOOKUP(G1661,SETTINGS!$B$7:$D$97,2,0)</f>
        <v>CEREX 300</v>
      </c>
      <c r="I1661" s="796">
        <f>VLOOKUP(G1661,SETTINGS!$B$7:$D$97,3,0)</f>
        <v>0</v>
      </c>
      <c r="J1661" s="670" t="str">
        <f>IFERROR(IF(CURRENCY.FORMAT_1=0,CONCATENATE(TEXT(FIXED(ROUND((C1661/EXC.RATE_1),CURRENCY.FORMAT_1),CURRENCY.FORMAT_1,1),"# ##0;-# ##0"),",-"),FIXED(ROUND((C1661/EXC.RATE_1),CURRENCY.FORMAT_1),CURRENCY.FORMAT_1,0)),'DICTIONARY-5'!$A$2)</f>
        <v>378,-</v>
      </c>
      <c r="K1661" s="670" t="str">
        <f>IF(EXC.RATE_2=0,"",IFERROR(IF(CURRENCY.FORMAT_2=0,CONCATENATE(TEXT(FIXED(ROUND(IF(EXC.RATE.SWITCH=1,C1661/EXC.RATE_2,C1661*EXC.RATE_2),CURRENCY.FORMAT_2),CURRENCY.FORMAT_2,1),"# ##0;-# ##0"),",-"),FIXED(ROUND(IF(EXC.RATE.SWITCH=1,C1661/EXC.RATE_2,C1661*EXC.RATE_2),CURRENCY.FORMAT_2),CURRENCY.FORMAT_2,0)),'DICTIONARY-5'!$A$2))</f>
        <v/>
      </c>
      <c r="L1661" s="670" t="str">
        <f>IFERROR(IF(CURRENCY.FORMAT_1=0,CONCATENATE(TEXT(FIXED(ROUND((C1661*(1-I1661)*(1-ADD.DISCOUNT)*(1+MAT.SURCHARGE)/EXC.RATE_1),CURRENCY.FORMAT_1),CURRENCY.FORMAT_1,1),"# ##0;-# ##0"),",-"),FIXED(ROUND((C1661*(1-I1661)*(1-ADD.DISCOUNT)*(1+MAT.SURCHARGE)/EXC.RATE_1),CURRENCY.FORMAT_1),CURRENCY.FORMAT_1,0)),'DICTIONARY-5'!$A$2)</f>
        <v>393,-</v>
      </c>
      <c r="M1661" s="670" t="str">
        <f>IF(EXC.RATE_2=0,"",IFERROR(IF(CURRENCY.FORMAT_2=0,CONCATENATE(TEXT(FIXED(ROUND(IF(EXC.RATE.SWITCH=1,C1661*(1-I1661)*(1-ADD.DISCOUNT)*(1+MAT.SURCHARGE)/EXC.RATE_2,C1661*(1-I1661)*(1-ADD.DISCOUNT)*(1+MAT.SURCHARGE)*EXC.RATE_2),CURRENCY.FORMAT_2),CURRENCY.FORMAT_2,1),"# ##0;-# ##0"),",-"),FIXED(ROUND(IF(EXC.RATE.SWITCH=1,C1661*(1-I1661)*(1-ADD.DISCOUNT)*(1+MAT.SURCHARGE)/EXC.RATE_2,C1661*(1-I1661)*(1-ADD.DISCOUNT)*(1+MAT.SURCHARGE)*EXC.RATE_2),CURRENCY.FORMAT_2),CURRENCY.FORMAT_2,0)),'DICTIONARY-5'!$A$2))</f>
        <v/>
      </c>
      <c r="N1661" s="541">
        <v>6</v>
      </c>
      <c r="O1661" s="541"/>
      <c r="P1661" s="731" t="str">
        <f>'DICTIONARY-3'!$A$149</f>
        <v>CEREX 300-W</v>
      </c>
      <c r="Q1661" s="731" t="str">
        <f>'DICTIONARY-3'!$A$204</f>
        <v>Przepustnica kołnierzowa</v>
      </c>
      <c r="R1661" s="732" t="str">
        <f>CONCATENATE('DICTIONARY-3'!$A$149," ",'DICTIONARY-6'!$A$2," ",'DICTIONARY-2'!$A$2,"150"," ",'DICTIONARY-2'!$A$3,"10/16"," ","R20"," ",'DICTIONARY-5'!$A$37,"/",'DICTIONARY-5'!$A$44,", ",'DICTIONARY-4'!$A$3," ",'DICTIONARY-5'!$A$33)</f>
        <v>CEREX 300-W Przep. kołnierz. DN150 PN10/16 R20 CF8M/EPDM, DR st. nierdz.</v>
      </c>
      <c r="S1661" s="733" t="str">
        <f>'DICTIONARY-4'!$A$3</f>
        <v>DR</v>
      </c>
      <c r="T1661" s="732" t="str">
        <f>'DICTIONARY-4'!$A$19</f>
        <v>Dźwignia ręczna</v>
      </c>
      <c r="U1661" s="734" t="s">
        <v>5572</v>
      </c>
      <c r="V1661" s="735">
        <v>16</v>
      </c>
      <c r="W1661" s="736"/>
      <c r="X1661" s="737"/>
      <c r="Y1661" s="738"/>
      <c r="Z1661" s="739"/>
      <c r="AA1661" s="739"/>
      <c r="AB1661" s="740">
        <v>16</v>
      </c>
      <c r="AC1661" s="741" t="str">
        <f>'DICTIONARY-5'!$A$11&amp;" 20"</f>
        <v>EN 558 szereg 20</v>
      </c>
      <c r="AD1661" s="741" t="str">
        <f>'DICTIONARY-5'!$A$13</f>
        <v>woda pitna</v>
      </c>
      <c r="AE1661" s="742">
        <v>110</v>
      </c>
      <c r="AF1661" s="743">
        <v>10.5</v>
      </c>
      <c r="AG1661" s="741" t="str">
        <f>'DICTIONARY-5'!$A$23</f>
        <v>powłoka epoksydowa</v>
      </c>
    </row>
    <row r="1662" spans="1:33" x14ac:dyDescent="0.25">
      <c r="A1662" s="866" t="s">
        <v>1745</v>
      </c>
      <c r="B1662" s="866" t="s">
        <v>3718</v>
      </c>
      <c r="C1662" s="836">
        <v>497</v>
      </c>
      <c r="D1662" s="836"/>
      <c r="E1662" s="836"/>
      <c r="F1662" s="836"/>
      <c r="G1662" s="496" t="s">
        <v>7832</v>
      </c>
      <c r="H1662" s="797" t="str">
        <f>VLOOKUP(G1662,SETTINGS!$B$7:$D$97,2,0)</f>
        <v>CEREX 300</v>
      </c>
      <c r="I1662" s="796">
        <f>VLOOKUP(G1662,SETTINGS!$B$7:$D$97,3,0)</f>
        <v>0</v>
      </c>
      <c r="J1662" s="670" t="str">
        <f>IFERROR(IF(CURRENCY.FORMAT_1=0,CONCATENATE(TEXT(FIXED(ROUND((C1662/EXC.RATE_1),CURRENCY.FORMAT_1),CURRENCY.FORMAT_1,1),"# ##0;-# ##0"),",-"),FIXED(ROUND((C1662/EXC.RATE_1),CURRENCY.FORMAT_1),CURRENCY.FORMAT_1,0)),'DICTIONARY-5'!$A$2)</f>
        <v>497,-</v>
      </c>
      <c r="K1662" s="670" t="str">
        <f>IF(EXC.RATE_2=0,"",IFERROR(IF(CURRENCY.FORMAT_2=0,CONCATENATE(TEXT(FIXED(ROUND(IF(EXC.RATE.SWITCH=1,C1662/EXC.RATE_2,C1662*EXC.RATE_2),CURRENCY.FORMAT_2),CURRENCY.FORMAT_2,1),"# ##0;-# ##0"),",-"),FIXED(ROUND(IF(EXC.RATE.SWITCH=1,C1662/EXC.RATE_2,C1662*EXC.RATE_2),CURRENCY.FORMAT_2),CURRENCY.FORMAT_2,0)),'DICTIONARY-5'!$A$2))</f>
        <v/>
      </c>
      <c r="L1662" s="670" t="str">
        <f>IFERROR(IF(CURRENCY.FORMAT_1=0,CONCATENATE(TEXT(FIXED(ROUND((C1662*(1-I1662)*(1-ADD.DISCOUNT)*(1+MAT.SURCHARGE)/EXC.RATE_1),CURRENCY.FORMAT_1),CURRENCY.FORMAT_1,1),"# ##0;-# ##0"),",-"),FIXED(ROUND((C1662*(1-I1662)*(1-ADD.DISCOUNT)*(1+MAT.SURCHARGE)/EXC.RATE_1),CURRENCY.FORMAT_1),CURRENCY.FORMAT_1,0)),'DICTIONARY-5'!$A$2)</f>
        <v>516,-</v>
      </c>
      <c r="M1662" s="670" t="str">
        <f>IF(EXC.RATE_2=0,"",IFERROR(IF(CURRENCY.FORMAT_2=0,CONCATENATE(TEXT(FIXED(ROUND(IF(EXC.RATE.SWITCH=1,C1662*(1-I1662)*(1-ADD.DISCOUNT)*(1+MAT.SURCHARGE)/EXC.RATE_2,C1662*(1-I1662)*(1-ADD.DISCOUNT)*(1+MAT.SURCHARGE)*EXC.RATE_2),CURRENCY.FORMAT_2),CURRENCY.FORMAT_2,1),"# ##0;-# ##0"),",-"),FIXED(ROUND(IF(EXC.RATE.SWITCH=1,C1662*(1-I1662)*(1-ADD.DISCOUNT)*(1+MAT.SURCHARGE)/EXC.RATE_2,C1662*(1-I1662)*(1-ADD.DISCOUNT)*(1+MAT.SURCHARGE)*EXC.RATE_2),CURRENCY.FORMAT_2),CURRENCY.FORMAT_2,0)),'DICTIONARY-5'!$A$2))</f>
        <v/>
      </c>
      <c r="N1662" s="541">
        <v>6</v>
      </c>
      <c r="O1662" s="541"/>
      <c r="P1662" s="731" t="str">
        <f>'DICTIONARY-3'!$A$149</f>
        <v>CEREX 300-W</v>
      </c>
      <c r="Q1662" s="731" t="str">
        <f>'DICTIONARY-3'!$A$204</f>
        <v>Przepustnica kołnierzowa</v>
      </c>
      <c r="R1662" s="732" t="str">
        <f>CONCATENATE('DICTIONARY-3'!$A$149," ",'DICTIONARY-6'!$A$2," ",'DICTIONARY-2'!$A$2,"200"," ",'DICTIONARY-2'!$A$3,"10/16"," ","R20"," ",'DICTIONARY-5'!$A$37,"/",'DICTIONARY-5'!$A$44,", ",'DICTIONARY-4'!$A$3," ",'DICTIONARY-5'!$A$33)</f>
        <v>CEREX 300-W Przep. kołnierz. DN200 PN10/16 R20 CF8M/EPDM, DR st. nierdz.</v>
      </c>
      <c r="S1662" s="733" t="str">
        <f>'DICTIONARY-4'!$A$3</f>
        <v>DR</v>
      </c>
      <c r="T1662" s="732" t="str">
        <f>'DICTIONARY-4'!$A$19</f>
        <v>Dźwignia ręczna</v>
      </c>
      <c r="U1662" s="734" t="s">
        <v>5750</v>
      </c>
      <c r="V1662" s="735">
        <v>16</v>
      </c>
      <c r="W1662" s="736"/>
      <c r="X1662" s="737"/>
      <c r="Y1662" s="738"/>
      <c r="Z1662" s="739"/>
      <c r="AA1662" s="739"/>
      <c r="AB1662" s="740">
        <v>16</v>
      </c>
      <c r="AC1662" s="741" t="str">
        <f>'DICTIONARY-5'!$A$11&amp;" 20"</f>
        <v>EN 558 szereg 20</v>
      </c>
      <c r="AD1662" s="741" t="str">
        <f>'DICTIONARY-5'!$A$13</f>
        <v>woda pitna</v>
      </c>
      <c r="AE1662" s="742">
        <v>110</v>
      </c>
      <c r="AF1662" s="743">
        <v>15.5</v>
      </c>
      <c r="AG1662" s="741" t="str">
        <f>'DICTIONARY-5'!$A$23</f>
        <v>powłoka epoksydowa</v>
      </c>
    </row>
    <row r="1663" spans="1:33" x14ac:dyDescent="0.25">
      <c r="A1663" s="869" t="s">
        <v>1746</v>
      </c>
      <c r="B1663" s="869" t="s">
        <v>3744</v>
      </c>
      <c r="C1663" s="836">
        <v>182</v>
      </c>
      <c r="D1663" s="836"/>
      <c r="E1663" s="836"/>
      <c r="F1663" s="836"/>
      <c r="G1663" s="496" t="s">
        <v>7832</v>
      </c>
      <c r="H1663" s="797" t="str">
        <f>VLOOKUP(G1663,SETTINGS!$B$7:$D$97,2,0)</f>
        <v>CEREX 300</v>
      </c>
      <c r="I1663" s="796">
        <f>VLOOKUP(G1663,SETTINGS!$B$7:$D$97,3,0)</f>
        <v>0</v>
      </c>
      <c r="J1663" s="670" t="str">
        <f>IFERROR(IF(CURRENCY.FORMAT_1=0,CONCATENATE(TEXT(FIXED(ROUND((C1663/EXC.RATE_1),CURRENCY.FORMAT_1),CURRENCY.FORMAT_1,1),"# ##0;-# ##0"),",-"),FIXED(ROUND((C1663/EXC.RATE_1),CURRENCY.FORMAT_1),CURRENCY.FORMAT_1,0)),'DICTIONARY-5'!$A$2)</f>
        <v>182,-</v>
      </c>
      <c r="K1663" s="670" t="str">
        <f>IF(EXC.RATE_2=0,"",IFERROR(IF(CURRENCY.FORMAT_2=0,CONCATENATE(TEXT(FIXED(ROUND(IF(EXC.RATE.SWITCH=1,C1663/EXC.RATE_2,C1663*EXC.RATE_2),CURRENCY.FORMAT_2),CURRENCY.FORMAT_2,1),"# ##0;-# ##0"),",-"),FIXED(ROUND(IF(EXC.RATE.SWITCH=1,C1663/EXC.RATE_2,C1663*EXC.RATE_2),CURRENCY.FORMAT_2),CURRENCY.FORMAT_2,0)),'DICTIONARY-5'!$A$2))</f>
        <v/>
      </c>
      <c r="L1663" s="670" t="str">
        <f>IFERROR(IF(CURRENCY.FORMAT_1=0,CONCATENATE(TEXT(FIXED(ROUND((C1663*(1-I1663)*(1-ADD.DISCOUNT)*(1+MAT.SURCHARGE)/EXC.RATE_1),CURRENCY.FORMAT_1),CURRENCY.FORMAT_1,1),"# ##0;-# ##0"),",-"),FIXED(ROUND((C1663*(1-I1663)*(1-ADD.DISCOUNT)*(1+MAT.SURCHARGE)/EXC.RATE_1),CURRENCY.FORMAT_1),CURRENCY.FORMAT_1,0)),'DICTIONARY-5'!$A$2)</f>
        <v>189,-</v>
      </c>
      <c r="M1663" s="670" t="str">
        <f>IF(EXC.RATE_2=0,"",IFERROR(IF(CURRENCY.FORMAT_2=0,CONCATENATE(TEXT(FIXED(ROUND(IF(EXC.RATE.SWITCH=1,C1663*(1-I1663)*(1-ADD.DISCOUNT)*(1+MAT.SURCHARGE)/EXC.RATE_2,C1663*(1-I1663)*(1-ADD.DISCOUNT)*(1+MAT.SURCHARGE)*EXC.RATE_2),CURRENCY.FORMAT_2),CURRENCY.FORMAT_2,1),"# ##0;-# ##0"),",-"),FIXED(ROUND(IF(EXC.RATE.SWITCH=1,C1663*(1-I1663)*(1-ADD.DISCOUNT)*(1+MAT.SURCHARGE)/EXC.RATE_2,C1663*(1-I1663)*(1-ADD.DISCOUNT)*(1+MAT.SURCHARGE)*EXC.RATE_2),CURRENCY.FORMAT_2),CURRENCY.FORMAT_2,0)),'DICTIONARY-5'!$A$2))</f>
        <v/>
      </c>
      <c r="N1663" s="535">
        <v>6</v>
      </c>
      <c r="O1663" s="535"/>
      <c r="P1663" s="731" t="str">
        <f>'DICTIONARY-3'!$A$149</f>
        <v>CEREX 300-W</v>
      </c>
      <c r="Q1663" s="732" t="str">
        <f>'DICTIONARY-3'!$A$204</f>
        <v>Przepustnica kołnierzowa</v>
      </c>
      <c r="R1663" s="732" t="str">
        <f>CONCATENATE('DICTIONARY-3'!$A$149," ",'DICTIONARY-6'!$A$2," ",UPPER('DICTIONARY-5'!$A$18)," ",'DICTIONARY-2'!$A$2,"50"," ",'DICTIONARY-2'!$A$3,"10/16"," ","R20"," ",'DICTIONARY-5'!$A$51,"/",'DICTIONARY-5'!$A$45,", ",'DICTIONARY-4'!$A$3," ",'DICTIONARY-5'!$A$33)</f>
        <v>CEREX 300-W Przep. kołnierz. GAZ DN50 PN10/16 R20 GGG/NBR, DR st. nierdz.</v>
      </c>
      <c r="S1663" s="733" t="str">
        <f>'DICTIONARY-4'!$A$3</f>
        <v>DR</v>
      </c>
      <c r="T1663" s="732" t="str">
        <f>'DICTIONARY-4'!$A$19</f>
        <v>Dźwignia ręczna</v>
      </c>
      <c r="U1663" s="734" t="s">
        <v>5748</v>
      </c>
      <c r="V1663" s="735">
        <v>16</v>
      </c>
      <c r="W1663" s="736"/>
      <c r="X1663" s="737"/>
      <c r="Y1663" s="738"/>
      <c r="Z1663" s="739"/>
      <c r="AA1663" s="739"/>
      <c r="AB1663" s="740">
        <v>16</v>
      </c>
      <c r="AC1663" s="741" t="str">
        <f>'DICTIONARY-5'!$A$11&amp;" 20"</f>
        <v>EN 558 szereg 20</v>
      </c>
      <c r="AD1663" s="741" t="str">
        <f>'DICTIONARY-5'!$A$18&amp;", "&amp;'DICTIONARY-5'!$A$14</f>
        <v>gaz, ścieki</v>
      </c>
      <c r="AE1663" s="742">
        <v>80</v>
      </c>
      <c r="AF1663" s="743">
        <v>3.2</v>
      </c>
      <c r="AG1663" s="741" t="str">
        <f>'DICTIONARY-5'!$A$23</f>
        <v>powłoka epoksydowa</v>
      </c>
    </row>
    <row r="1664" spans="1:33" x14ac:dyDescent="0.25">
      <c r="A1664" s="869" t="s">
        <v>1748</v>
      </c>
      <c r="B1664" s="869" t="s">
        <v>3751</v>
      </c>
      <c r="C1664" s="836">
        <v>196</v>
      </c>
      <c r="D1664" s="836"/>
      <c r="E1664" s="836"/>
      <c r="F1664" s="836"/>
      <c r="G1664" s="496" t="s">
        <v>7832</v>
      </c>
      <c r="H1664" s="797" t="str">
        <f>VLOOKUP(G1664,SETTINGS!$B$7:$D$97,2,0)</f>
        <v>CEREX 300</v>
      </c>
      <c r="I1664" s="796">
        <f>VLOOKUP(G1664,SETTINGS!$B$7:$D$97,3,0)</f>
        <v>0</v>
      </c>
      <c r="J1664" s="670" t="str">
        <f>IFERROR(IF(CURRENCY.FORMAT_1=0,CONCATENATE(TEXT(FIXED(ROUND((C1664/EXC.RATE_1),CURRENCY.FORMAT_1),CURRENCY.FORMAT_1,1),"# ##0;-# ##0"),",-"),FIXED(ROUND((C1664/EXC.RATE_1),CURRENCY.FORMAT_1),CURRENCY.FORMAT_1,0)),'DICTIONARY-5'!$A$2)</f>
        <v>196,-</v>
      </c>
      <c r="K1664" s="670" t="str">
        <f>IF(EXC.RATE_2=0,"",IFERROR(IF(CURRENCY.FORMAT_2=0,CONCATENATE(TEXT(FIXED(ROUND(IF(EXC.RATE.SWITCH=1,C1664/EXC.RATE_2,C1664*EXC.RATE_2),CURRENCY.FORMAT_2),CURRENCY.FORMAT_2,1),"# ##0;-# ##0"),",-"),FIXED(ROUND(IF(EXC.RATE.SWITCH=1,C1664/EXC.RATE_2,C1664*EXC.RATE_2),CURRENCY.FORMAT_2),CURRENCY.FORMAT_2,0)),'DICTIONARY-5'!$A$2))</f>
        <v/>
      </c>
      <c r="L1664" s="670" t="str">
        <f>IFERROR(IF(CURRENCY.FORMAT_1=0,CONCATENATE(TEXT(FIXED(ROUND((C1664*(1-I1664)*(1-ADD.DISCOUNT)*(1+MAT.SURCHARGE)/EXC.RATE_1),CURRENCY.FORMAT_1),CURRENCY.FORMAT_1,1),"# ##0;-# ##0"),",-"),FIXED(ROUND((C1664*(1-I1664)*(1-ADD.DISCOUNT)*(1+MAT.SURCHARGE)/EXC.RATE_1),CURRENCY.FORMAT_1),CURRENCY.FORMAT_1,0)),'DICTIONARY-5'!$A$2)</f>
        <v>204,-</v>
      </c>
      <c r="M1664" s="670" t="str">
        <f>IF(EXC.RATE_2=0,"",IFERROR(IF(CURRENCY.FORMAT_2=0,CONCATENATE(TEXT(FIXED(ROUND(IF(EXC.RATE.SWITCH=1,C1664*(1-I1664)*(1-ADD.DISCOUNT)*(1+MAT.SURCHARGE)/EXC.RATE_2,C1664*(1-I1664)*(1-ADD.DISCOUNT)*(1+MAT.SURCHARGE)*EXC.RATE_2),CURRENCY.FORMAT_2),CURRENCY.FORMAT_2,1),"# ##0;-# ##0"),",-"),FIXED(ROUND(IF(EXC.RATE.SWITCH=1,C1664*(1-I1664)*(1-ADD.DISCOUNT)*(1+MAT.SURCHARGE)/EXC.RATE_2,C1664*(1-I1664)*(1-ADD.DISCOUNT)*(1+MAT.SURCHARGE)*EXC.RATE_2),CURRENCY.FORMAT_2),CURRENCY.FORMAT_2,0)),'DICTIONARY-5'!$A$2))</f>
        <v/>
      </c>
      <c r="N1664" s="535">
        <v>6</v>
      </c>
      <c r="O1664" s="535"/>
      <c r="P1664" s="731" t="str">
        <f>'DICTIONARY-3'!$A$149</f>
        <v>CEREX 300-W</v>
      </c>
      <c r="Q1664" s="732" t="str">
        <f>'DICTIONARY-3'!$A$204</f>
        <v>Przepustnica kołnierzowa</v>
      </c>
      <c r="R1664" s="732" t="str">
        <f>CONCATENATE('DICTIONARY-3'!$A$149," ",'DICTIONARY-6'!$A$2," ",UPPER('DICTIONARY-5'!$A$18)," ",'DICTIONARY-2'!$A$2,"65"," ",'DICTIONARY-2'!$A$3,"10/16"," ","R20"," ",'DICTIONARY-5'!$A$51,"/",'DICTIONARY-5'!$A$45,", ",'DICTIONARY-4'!$A$3," ",'DICTIONARY-5'!$A$33)</f>
        <v>CEREX 300-W Przep. kołnierz. GAZ DN65 PN10/16 R20 GGG/NBR, DR st. nierdz.</v>
      </c>
      <c r="S1664" s="733" t="str">
        <f>'DICTIONARY-4'!$A$3</f>
        <v>DR</v>
      </c>
      <c r="T1664" s="732" t="str">
        <f>'DICTIONARY-4'!$A$19</f>
        <v>Dźwignia ręczna</v>
      </c>
      <c r="U1664" s="734" t="s">
        <v>5759</v>
      </c>
      <c r="V1664" s="735">
        <v>16</v>
      </c>
      <c r="W1664" s="736"/>
      <c r="X1664" s="737"/>
      <c r="Y1664" s="738"/>
      <c r="Z1664" s="739"/>
      <c r="AA1664" s="739"/>
      <c r="AB1664" s="740">
        <v>16</v>
      </c>
      <c r="AC1664" s="741" t="str">
        <f>'DICTIONARY-5'!$A$11&amp;" 20"</f>
        <v>EN 558 szereg 20</v>
      </c>
      <c r="AD1664" s="741" t="str">
        <f>'DICTIONARY-5'!$A$18&amp;", "&amp;'DICTIONARY-5'!$A$14</f>
        <v>gaz, ścieki</v>
      </c>
      <c r="AE1664" s="742">
        <v>80</v>
      </c>
      <c r="AF1664" s="743">
        <v>3.6</v>
      </c>
      <c r="AG1664" s="741" t="str">
        <f>'DICTIONARY-5'!$A$23</f>
        <v>powłoka epoksydowa</v>
      </c>
    </row>
    <row r="1665" spans="1:33" x14ac:dyDescent="0.25">
      <c r="A1665" s="869" t="s">
        <v>1750</v>
      </c>
      <c r="B1665" s="869" t="s">
        <v>3758</v>
      </c>
      <c r="C1665" s="836">
        <v>202</v>
      </c>
      <c r="D1665" s="836"/>
      <c r="E1665" s="836"/>
      <c r="F1665" s="836"/>
      <c r="G1665" s="496" t="s">
        <v>7832</v>
      </c>
      <c r="H1665" s="797" t="str">
        <f>VLOOKUP(G1665,SETTINGS!$B$7:$D$97,2,0)</f>
        <v>CEREX 300</v>
      </c>
      <c r="I1665" s="796">
        <f>VLOOKUP(G1665,SETTINGS!$B$7:$D$97,3,0)</f>
        <v>0</v>
      </c>
      <c r="J1665" s="670" t="str">
        <f>IFERROR(IF(CURRENCY.FORMAT_1=0,CONCATENATE(TEXT(FIXED(ROUND((C1665/EXC.RATE_1),CURRENCY.FORMAT_1),CURRENCY.FORMAT_1,1),"# ##0;-# ##0"),",-"),FIXED(ROUND((C1665/EXC.RATE_1),CURRENCY.FORMAT_1),CURRENCY.FORMAT_1,0)),'DICTIONARY-5'!$A$2)</f>
        <v>202,-</v>
      </c>
      <c r="K1665" s="670" t="str">
        <f>IF(EXC.RATE_2=0,"",IFERROR(IF(CURRENCY.FORMAT_2=0,CONCATENATE(TEXT(FIXED(ROUND(IF(EXC.RATE.SWITCH=1,C1665/EXC.RATE_2,C1665*EXC.RATE_2),CURRENCY.FORMAT_2),CURRENCY.FORMAT_2,1),"# ##0;-# ##0"),",-"),FIXED(ROUND(IF(EXC.RATE.SWITCH=1,C1665/EXC.RATE_2,C1665*EXC.RATE_2),CURRENCY.FORMAT_2),CURRENCY.FORMAT_2,0)),'DICTIONARY-5'!$A$2))</f>
        <v/>
      </c>
      <c r="L1665" s="670" t="str">
        <f>IFERROR(IF(CURRENCY.FORMAT_1=0,CONCATENATE(TEXT(FIXED(ROUND((C1665*(1-I1665)*(1-ADD.DISCOUNT)*(1+MAT.SURCHARGE)/EXC.RATE_1),CURRENCY.FORMAT_1),CURRENCY.FORMAT_1,1),"# ##0;-# ##0"),",-"),FIXED(ROUND((C1665*(1-I1665)*(1-ADD.DISCOUNT)*(1+MAT.SURCHARGE)/EXC.RATE_1),CURRENCY.FORMAT_1),CURRENCY.FORMAT_1,0)),'DICTIONARY-5'!$A$2)</f>
        <v>210,-</v>
      </c>
      <c r="M1665" s="670" t="str">
        <f>IF(EXC.RATE_2=0,"",IFERROR(IF(CURRENCY.FORMAT_2=0,CONCATENATE(TEXT(FIXED(ROUND(IF(EXC.RATE.SWITCH=1,C1665*(1-I1665)*(1-ADD.DISCOUNT)*(1+MAT.SURCHARGE)/EXC.RATE_2,C1665*(1-I1665)*(1-ADD.DISCOUNT)*(1+MAT.SURCHARGE)*EXC.RATE_2),CURRENCY.FORMAT_2),CURRENCY.FORMAT_2,1),"# ##0;-# ##0"),",-"),FIXED(ROUND(IF(EXC.RATE.SWITCH=1,C1665*(1-I1665)*(1-ADD.DISCOUNT)*(1+MAT.SURCHARGE)/EXC.RATE_2,C1665*(1-I1665)*(1-ADD.DISCOUNT)*(1+MAT.SURCHARGE)*EXC.RATE_2),CURRENCY.FORMAT_2),CURRENCY.FORMAT_2,0)),'DICTIONARY-5'!$A$2))</f>
        <v/>
      </c>
      <c r="N1665" s="535">
        <v>6</v>
      </c>
      <c r="O1665" s="535"/>
      <c r="P1665" s="731" t="str">
        <f>'DICTIONARY-3'!$A$149</f>
        <v>CEREX 300-W</v>
      </c>
      <c r="Q1665" s="732" t="str">
        <f>'DICTIONARY-3'!$A$204</f>
        <v>Przepustnica kołnierzowa</v>
      </c>
      <c r="R1665" s="732" t="str">
        <f>CONCATENATE('DICTIONARY-3'!$A$149," ",'DICTIONARY-6'!$A$2," ",UPPER('DICTIONARY-5'!$A$18)," ",'DICTIONARY-2'!$A$2,"80"," ",'DICTIONARY-2'!$A$3,"10/16"," ","R20"," ",'DICTIONARY-5'!$A$51,"/",'DICTIONARY-5'!$A$45,", ",'DICTIONARY-4'!$A$3," ",'DICTIONARY-5'!$A$33)</f>
        <v>CEREX 300-W Przep. kołnierz. GAZ DN80 PN10/16 R20 GGG/NBR, DR st. nierdz.</v>
      </c>
      <c r="S1665" s="733" t="str">
        <f>'DICTIONARY-4'!$A$3</f>
        <v>DR</v>
      </c>
      <c r="T1665" s="732" t="str">
        <f>'DICTIONARY-4'!$A$19</f>
        <v>Dźwignia ręczna</v>
      </c>
      <c r="U1665" s="734" t="s">
        <v>5760</v>
      </c>
      <c r="V1665" s="735">
        <v>16</v>
      </c>
      <c r="W1665" s="736"/>
      <c r="X1665" s="737"/>
      <c r="Y1665" s="738"/>
      <c r="Z1665" s="739"/>
      <c r="AA1665" s="739"/>
      <c r="AB1665" s="740">
        <v>16</v>
      </c>
      <c r="AC1665" s="741" t="str">
        <f>'DICTIONARY-5'!$A$11&amp;" 20"</f>
        <v>EN 558 szereg 20</v>
      </c>
      <c r="AD1665" s="741" t="str">
        <f>'DICTIONARY-5'!$A$18&amp;", "&amp;'DICTIONARY-5'!$A$14</f>
        <v>gaz, ścieki</v>
      </c>
      <c r="AE1665" s="742">
        <v>80</v>
      </c>
      <c r="AF1665" s="743">
        <v>5</v>
      </c>
      <c r="AG1665" s="741" t="str">
        <f>'DICTIONARY-5'!$A$23</f>
        <v>powłoka epoksydowa</v>
      </c>
    </row>
    <row r="1666" spans="1:33" x14ac:dyDescent="0.25">
      <c r="A1666" s="869" t="s">
        <v>1752</v>
      </c>
      <c r="B1666" s="869" t="s">
        <v>3765</v>
      </c>
      <c r="C1666" s="836">
        <v>241</v>
      </c>
      <c r="D1666" s="836"/>
      <c r="E1666" s="836"/>
      <c r="F1666" s="836"/>
      <c r="G1666" s="496" t="s">
        <v>7832</v>
      </c>
      <c r="H1666" s="797" t="str">
        <f>VLOOKUP(G1666,SETTINGS!$B$7:$D$97,2,0)</f>
        <v>CEREX 300</v>
      </c>
      <c r="I1666" s="796">
        <f>VLOOKUP(G1666,SETTINGS!$B$7:$D$97,3,0)</f>
        <v>0</v>
      </c>
      <c r="J1666" s="670" t="str">
        <f>IFERROR(IF(CURRENCY.FORMAT_1=0,CONCATENATE(TEXT(FIXED(ROUND((C1666/EXC.RATE_1),CURRENCY.FORMAT_1),CURRENCY.FORMAT_1,1),"# ##0;-# ##0"),",-"),FIXED(ROUND((C1666/EXC.RATE_1),CURRENCY.FORMAT_1),CURRENCY.FORMAT_1,0)),'DICTIONARY-5'!$A$2)</f>
        <v>241,-</v>
      </c>
      <c r="K1666" s="670" t="str">
        <f>IF(EXC.RATE_2=0,"",IFERROR(IF(CURRENCY.FORMAT_2=0,CONCATENATE(TEXT(FIXED(ROUND(IF(EXC.RATE.SWITCH=1,C1666/EXC.RATE_2,C1666*EXC.RATE_2),CURRENCY.FORMAT_2),CURRENCY.FORMAT_2,1),"# ##0;-# ##0"),",-"),FIXED(ROUND(IF(EXC.RATE.SWITCH=1,C1666/EXC.RATE_2,C1666*EXC.RATE_2),CURRENCY.FORMAT_2),CURRENCY.FORMAT_2,0)),'DICTIONARY-5'!$A$2))</f>
        <v/>
      </c>
      <c r="L1666" s="670" t="str">
        <f>IFERROR(IF(CURRENCY.FORMAT_1=0,CONCATENATE(TEXT(FIXED(ROUND((C1666*(1-I1666)*(1-ADD.DISCOUNT)*(1+MAT.SURCHARGE)/EXC.RATE_1),CURRENCY.FORMAT_1),CURRENCY.FORMAT_1,1),"# ##0;-# ##0"),",-"),FIXED(ROUND((C1666*(1-I1666)*(1-ADD.DISCOUNT)*(1+MAT.SURCHARGE)/EXC.RATE_1),CURRENCY.FORMAT_1),CURRENCY.FORMAT_1,0)),'DICTIONARY-5'!$A$2)</f>
        <v>250,-</v>
      </c>
      <c r="M1666" s="670" t="str">
        <f>IF(EXC.RATE_2=0,"",IFERROR(IF(CURRENCY.FORMAT_2=0,CONCATENATE(TEXT(FIXED(ROUND(IF(EXC.RATE.SWITCH=1,C1666*(1-I1666)*(1-ADD.DISCOUNT)*(1+MAT.SURCHARGE)/EXC.RATE_2,C1666*(1-I1666)*(1-ADD.DISCOUNT)*(1+MAT.SURCHARGE)*EXC.RATE_2),CURRENCY.FORMAT_2),CURRENCY.FORMAT_2,1),"# ##0;-# ##0"),",-"),FIXED(ROUND(IF(EXC.RATE.SWITCH=1,C1666*(1-I1666)*(1-ADD.DISCOUNT)*(1+MAT.SURCHARGE)/EXC.RATE_2,C1666*(1-I1666)*(1-ADD.DISCOUNT)*(1+MAT.SURCHARGE)*EXC.RATE_2),CURRENCY.FORMAT_2),CURRENCY.FORMAT_2,0)),'DICTIONARY-5'!$A$2))</f>
        <v/>
      </c>
      <c r="N1666" s="535">
        <v>6</v>
      </c>
      <c r="O1666" s="535"/>
      <c r="P1666" s="731" t="str">
        <f>'DICTIONARY-3'!$A$149</f>
        <v>CEREX 300-W</v>
      </c>
      <c r="Q1666" s="732" t="str">
        <f>'DICTIONARY-3'!$A$204</f>
        <v>Przepustnica kołnierzowa</v>
      </c>
      <c r="R1666" s="732" t="str">
        <f>CONCATENATE('DICTIONARY-3'!$A$149," ",'DICTIONARY-6'!$A$2," ",UPPER('DICTIONARY-5'!$A$18)," ",'DICTIONARY-2'!$A$2,"100"," ",'DICTIONARY-2'!$A$3,"10/16"," ","R20"," ",'DICTIONARY-5'!$A$51,"/",'DICTIONARY-5'!$A$45,", ",'DICTIONARY-4'!$A$3," ",'DICTIONARY-5'!$A$33)</f>
        <v>CEREX 300-W Przep. kołnierz. GAZ DN100 PN10/16 R20 GGG/NBR, DR st. nierdz.</v>
      </c>
      <c r="S1666" s="733" t="str">
        <f>'DICTIONARY-4'!$A$3</f>
        <v>DR</v>
      </c>
      <c r="T1666" s="732" t="str">
        <f>'DICTIONARY-4'!$A$19</f>
        <v>Dźwignia ręczna</v>
      </c>
      <c r="U1666" s="734" t="s">
        <v>5749</v>
      </c>
      <c r="V1666" s="735">
        <v>16</v>
      </c>
      <c r="W1666" s="736"/>
      <c r="X1666" s="737"/>
      <c r="Y1666" s="738"/>
      <c r="Z1666" s="739"/>
      <c r="AA1666" s="739"/>
      <c r="AB1666" s="740">
        <v>16</v>
      </c>
      <c r="AC1666" s="741" t="str">
        <f>'DICTIONARY-5'!$A$11&amp;" 20"</f>
        <v>EN 558 szereg 20</v>
      </c>
      <c r="AD1666" s="741" t="str">
        <f>'DICTIONARY-5'!$A$18&amp;", "&amp;'DICTIONARY-5'!$A$14</f>
        <v>gaz, ścieki</v>
      </c>
      <c r="AE1666" s="742">
        <v>80</v>
      </c>
      <c r="AF1666" s="743">
        <v>5.6</v>
      </c>
      <c r="AG1666" s="741" t="str">
        <f>'DICTIONARY-5'!$A$23</f>
        <v>powłoka epoksydowa</v>
      </c>
    </row>
    <row r="1667" spans="1:33" x14ac:dyDescent="0.25">
      <c r="A1667" s="869" t="s">
        <v>1754</v>
      </c>
      <c r="B1667" s="869" t="s">
        <v>3772</v>
      </c>
      <c r="C1667" s="836">
        <v>269</v>
      </c>
      <c r="D1667" s="836"/>
      <c r="E1667" s="836"/>
      <c r="F1667" s="836"/>
      <c r="G1667" s="496" t="s">
        <v>7832</v>
      </c>
      <c r="H1667" s="797" t="str">
        <f>VLOOKUP(G1667,SETTINGS!$B$7:$D$97,2,0)</f>
        <v>CEREX 300</v>
      </c>
      <c r="I1667" s="796">
        <f>VLOOKUP(G1667,SETTINGS!$B$7:$D$97,3,0)</f>
        <v>0</v>
      </c>
      <c r="J1667" s="670" t="str">
        <f>IFERROR(IF(CURRENCY.FORMAT_1=0,CONCATENATE(TEXT(FIXED(ROUND((C1667/EXC.RATE_1),CURRENCY.FORMAT_1),CURRENCY.FORMAT_1,1),"# ##0;-# ##0"),",-"),FIXED(ROUND((C1667/EXC.RATE_1),CURRENCY.FORMAT_1),CURRENCY.FORMAT_1,0)),'DICTIONARY-5'!$A$2)</f>
        <v>269,-</v>
      </c>
      <c r="K1667" s="670" t="str">
        <f>IF(EXC.RATE_2=0,"",IFERROR(IF(CURRENCY.FORMAT_2=0,CONCATENATE(TEXT(FIXED(ROUND(IF(EXC.RATE.SWITCH=1,C1667/EXC.RATE_2,C1667*EXC.RATE_2),CURRENCY.FORMAT_2),CURRENCY.FORMAT_2,1),"# ##0;-# ##0"),",-"),FIXED(ROUND(IF(EXC.RATE.SWITCH=1,C1667/EXC.RATE_2,C1667*EXC.RATE_2),CURRENCY.FORMAT_2),CURRENCY.FORMAT_2,0)),'DICTIONARY-5'!$A$2))</f>
        <v/>
      </c>
      <c r="L1667" s="670" t="str">
        <f>IFERROR(IF(CURRENCY.FORMAT_1=0,CONCATENATE(TEXT(FIXED(ROUND((C1667*(1-I1667)*(1-ADD.DISCOUNT)*(1+MAT.SURCHARGE)/EXC.RATE_1),CURRENCY.FORMAT_1),CURRENCY.FORMAT_1,1),"# ##0;-# ##0"),",-"),FIXED(ROUND((C1667*(1-I1667)*(1-ADD.DISCOUNT)*(1+MAT.SURCHARGE)/EXC.RATE_1),CURRENCY.FORMAT_1),CURRENCY.FORMAT_1,0)),'DICTIONARY-5'!$A$2)</f>
        <v>279,-</v>
      </c>
      <c r="M1667" s="670" t="str">
        <f>IF(EXC.RATE_2=0,"",IFERROR(IF(CURRENCY.FORMAT_2=0,CONCATENATE(TEXT(FIXED(ROUND(IF(EXC.RATE.SWITCH=1,C1667*(1-I1667)*(1-ADD.DISCOUNT)*(1+MAT.SURCHARGE)/EXC.RATE_2,C1667*(1-I1667)*(1-ADD.DISCOUNT)*(1+MAT.SURCHARGE)*EXC.RATE_2),CURRENCY.FORMAT_2),CURRENCY.FORMAT_2,1),"# ##0;-# ##0"),",-"),FIXED(ROUND(IF(EXC.RATE.SWITCH=1,C1667*(1-I1667)*(1-ADD.DISCOUNT)*(1+MAT.SURCHARGE)/EXC.RATE_2,C1667*(1-I1667)*(1-ADD.DISCOUNT)*(1+MAT.SURCHARGE)*EXC.RATE_2),CURRENCY.FORMAT_2),CURRENCY.FORMAT_2,0)),'DICTIONARY-5'!$A$2))</f>
        <v/>
      </c>
      <c r="N1667" s="535">
        <v>6</v>
      </c>
      <c r="O1667" s="535"/>
      <c r="P1667" s="731" t="str">
        <f>'DICTIONARY-3'!$A$149</f>
        <v>CEREX 300-W</v>
      </c>
      <c r="Q1667" s="732" t="str">
        <f>'DICTIONARY-3'!$A$204</f>
        <v>Przepustnica kołnierzowa</v>
      </c>
      <c r="R1667" s="732" t="str">
        <f>CONCATENATE('DICTIONARY-3'!$A$149," ",'DICTIONARY-6'!$A$2," ",UPPER('DICTIONARY-5'!$A$18)," ",'DICTIONARY-2'!$A$2,"125"," ",'DICTIONARY-2'!$A$3,"10/16"," ","R20"," ",'DICTIONARY-5'!$A$51,"/",'DICTIONARY-5'!$A$45,", ",'DICTIONARY-4'!$A$3," ",'DICTIONARY-5'!$A$33)</f>
        <v>CEREX 300-W Przep. kołnierz. GAZ DN125 PN10/16 R20 GGG/NBR, DR st. nierdz.</v>
      </c>
      <c r="S1667" s="733" t="str">
        <f>'DICTIONARY-4'!$A$3</f>
        <v>DR</v>
      </c>
      <c r="T1667" s="732" t="str">
        <f>'DICTIONARY-4'!$A$19</f>
        <v>Dźwignia ręczna</v>
      </c>
      <c r="U1667" s="734" t="s">
        <v>5761</v>
      </c>
      <c r="V1667" s="735">
        <v>16</v>
      </c>
      <c r="W1667" s="736"/>
      <c r="X1667" s="737"/>
      <c r="Y1667" s="738"/>
      <c r="Z1667" s="739"/>
      <c r="AA1667" s="739"/>
      <c r="AB1667" s="740">
        <v>16</v>
      </c>
      <c r="AC1667" s="741" t="str">
        <f>'DICTIONARY-5'!$A$11&amp;" 20"</f>
        <v>EN 558 szereg 20</v>
      </c>
      <c r="AD1667" s="741" t="str">
        <f>'DICTIONARY-5'!$A$18&amp;", "&amp;'DICTIONARY-5'!$A$14</f>
        <v>gaz, ścieki</v>
      </c>
      <c r="AE1667" s="742">
        <v>80</v>
      </c>
      <c r="AF1667" s="743">
        <v>7.5</v>
      </c>
      <c r="AG1667" s="741" t="str">
        <f>'DICTIONARY-5'!$A$23</f>
        <v>powłoka epoksydowa</v>
      </c>
    </row>
    <row r="1668" spans="1:33" x14ac:dyDescent="0.25">
      <c r="A1668" s="869" t="s">
        <v>1756</v>
      </c>
      <c r="B1668" s="869" t="s">
        <v>3779</v>
      </c>
      <c r="C1668" s="836">
        <v>353</v>
      </c>
      <c r="D1668" s="836"/>
      <c r="E1668" s="836"/>
      <c r="F1668" s="836"/>
      <c r="G1668" s="496" t="s">
        <v>7832</v>
      </c>
      <c r="H1668" s="797" t="str">
        <f>VLOOKUP(G1668,SETTINGS!$B$7:$D$97,2,0)</f>
        <v>CEREX 300</v>
      </c>
      <c r="I1668" s="796">
        <f>VLOOKUP(G1668,SETTINGS!$B$7:$D$97,3,0)</f>
        <v>0</v>
      </c>
      <c r="J1668" s="670" t="str">
        <f>IFERROR(IF(CURRENCY.FORMAT_1=0,CONCATENATE(TEXT(FIXED(ROUND((C1668/EXC.RATE_1),CURRENCY.FORMAT_1),CURRENCY.FORMAT_1,1),"# ##0;-# ##0"),",-"),FIXED(ROUND((C1668/EXC.RATE_1),CURRENCY.FORMAT_1),CURRENCY.FORMAT_1,0)),'DICTIONARY-5'!$A$2)</f>
        <v>353,-</v>
      </c>
      <c r="K1668" s="670" t="str">
        <f>IF(EXC.RATE_2=0,"",IFERROR(IF(CURRENCY.FORMAT_2=0,CONCATENATE(TEXT(FIXED(ROUND(IF(EXC.RATE.SWITCH=1,C1668/EXC.RATE_2,C1668*EXC.RATE_2),CURRENCY.FORMAT_2),CURRENCY.FORMAT_2,1),"# ##0;-# ##0"),",-"),FIXED(ROUND(IF(EXC.RATE.SWITCH=1,C1668/EXC.RATE_2,C1668*EXC.RATE_2),CURRENCY.FORMAT_2),CURRENCY.FORMAT_2,0)),'DICTIONARY-5'!$A$2))</f>
        <v/>
      </c>
      <c r="L1668" s="670" t="str">
        <f>IFERROR(IF(CURRENCY.FORMAT_1=0,CONCATENATE(TEXT(FIXED(ROUND((C1668*(1-I1668)*(1-ADD.DISCOUNT)*(1+MAT.SURCHARGE)/EXC.RATE_1),CURRENCY.FORMAT_1),CURRENCY.FORMAT_1,1),"# ##0;-# ##0"),",-"),FIXED(ROUND((C1668*(1-I1668)*(1-ADD.DISCOUNT)*(1+MAT.SURCHARGE)/EXC.RATE_1),CURRENCY.FORMAT_1),CURRENCY.FORMAT_1,0)),'DICTIONARY-5'!$A$2)</f>
        <v>367,-</v>
      </c>
      <c r="M1668" s="670" t="str">
        <f>IF(EXC.RATE_2=0,"",IFERROR(IF(CURRENCY.FORMAT_2=0,CONCATENATE(TEXT(FIXED(ROUND(IF(EXC.RATE.SWITCH=1,C1668*(1-I1668)*(1-ADD.DISCOUNT)*(1+MAT.SURCHARGE)/EXC.RATE_2,C1668*(1-I1668)*(1-ADD.DISCOUNT)*(1+MAT.SURCHARGE)*EXC.RATE_2),CURRENCY.FORMAT_2),CURRENCY.FORMAT_2,1),"# ##0;-# ##0"),",-"),FIXED(ROUND(IF(EXC.RATE.SWITCH=1,C1668*(1-I1668)*(1-ADD.DISCOUNT)*(1+MAT.SURCHARGE)/EXC.RATE_2,C1668*(1-I1668)*(1-ADD.DISCOUNT)*(1+MAT.SURCHARGE)*EXC.RATE_2),CURRENCY.FORMAT_2),CURRENCY.FORMAT_2,0)),'DICTIONARY-5'!$A$2))</f>
        <v/>
      </c>
      <c r="N1668" s="535">
        <v>6</v>
      </c>
      <c r="O1668" s="535"/>
      <c r="P1668" s="731" t="str">
        <f>'DICTIONARY-3'!$A$149</f>
        <v>CEREX 300-W</v>
      </c>
      <c r="Q1668" s="732" t="str">
        <f>'DICTIONARY-3'!$A$204</f>
        <v>Przepustnica kołnierzowa</v>
      </c>
      <c r="R1668" s="732" t="str">
        <f>CONCATENATE('DICTIONARY-3'!$A$149," ",'DICTIONARY-6'!$A$2," ",UPPER('DICTIONARY-5'!$A$18)," ",'DICTIONARY-2'!$A$2,"150"," ",'DICTIONARY-2'!$A$3,"10/16"," ","R20"," ",'DICTIONARY-5'!$A$51,"/",'DICTIONARY-5'!$A$45,", ",'DICTIONARY-4'!$A$3," ",'DICTIONARY-5'!$A$33)</f>
        <v>CEREX 300-W Przep. kołnierz. GAZ DN150 PN10/16 R20 GGG/NBR, DR st. nierdz.</v>
      </c>
      <c r="S1668" s="733" t="str">
        <f>'DICTIONARY-4'!$A$3</f>
        <v>DR</v>
      </c>
      <c r="T1668" s="732" t="str">
        <f>'DICTIONARY-4'!$A$19</f>
        <v>Dźwignia ręczna</v>
      </c>
      <c r="U1668" s="734" t="s">
        <v>5572</v>
      </c>
      <c r="V1668" s="735">
        <v>16</v>
      </c>
      <c r="W1668" s="736"/>
      <c r="X1668" s="737"/>
      <c r="Y1668" s="738"/>
      <c r="Z1668" s="739"/>
      <c r="AA1668" s="739"/>
      <c r="AB1668" s="740">
        <v>16</v>
      </c>
      <c r="AC1668" s="741" t="str">
        <f>'DICTIONARY-5'!$A$11&amp;" 20"</f>
        <v>EN 558 szereg 20</v>
      </c>
      <c r="AD1668" s="741" t="str">
        <f>'DICTIONARY-5'!$A$18&amp;", "&amp;'DICTIONARY-5'!$A$14</f>
        <v>gaz, ścieki</v>
      </c>
      <c r="AE1668" s="742">
        <v>80</v>
      </c>
      <c r="AF1668" s="743">
        <v>10.5</v>
      </c>
      <c r="AG1668" s="741" t="str">
        <f>'DICTIONARY-5'!$A$23</f>
        <v>powłoka epoksydowa</v>
      </c>
    </row>
    <row r="1669" spans="1:33" x14ac:dyDescent="0.25">
      <c r="A1669" s="869" t="s">
        <v>1758</v>
      </c>
      <c r="B1669" s="869" t="s">
        <v>3786</v>
      </c>
      <c r="C1669" s="836">
        <v>459</v>
      </c>
      <c r="D1669" s="836"/>
      <c r="E1669" s="836"/>
      <c r="F1669" s="836"/>
      <c r="G1669" s="496" t="s">
        <v>7832</v>
      </c>
      <c r="H1669" s="797" t="str">
        <f>VLOOKUP(G1669,SETTINGS!$B$7:$D$97,2,0)</f>
        <v>CEREX 300</v>
      </c>
      <c r="I1669" s="796">
        <f>VLOOKUP(G1669,SETTINGS!$B$7:$D$97,3,0)</f>
        <v>0</v>
      </c>
      <c r="J1669" s="670" t="str">
        <f>IFERROR(IF(CURRENCY.FORMAT_1=0,CONCATENATE(TEXT(FIXED(ROUND((C1669/EXC.RATE_1),CURRENCY.FORMAT_1),CURRENCY.FORMAT_1,1),"# ##0;-# ##0"),",-"),FIXED(ROUND((C1669/EXC.RATE_1),CURRENCY.FORMAT_1),CURRENCY.FORMAT_1,0)),'DICTIONARY-5'!$A$2)</f>
        <v>459,-</v>
      </c>
      <c r="K1669" s="670" t="str">
        <f>IF(EXC.RATE_2=0,"",IFERROR(IF(CURRENCY.FORMAT_2=0,CONCATENATE(TEXT(FIXED(ROUND(IF(EXC.RATE.SWITCH=1,C1669/EXC.RATE_2,C1669*EXC.RATE_2),CURRENCY.FORMAT_2),CURRENCY.FORMAT_2,1),"# ##0;-# ##0"),",-"),FIXED(ROUND(IF(EXC.RATE.SWITCH=1,C1669/EXC.RATE_2,C1669*EXC.RATE_2),CURRENCY.FORMAT_2),CURRENCY.FORMAT_2,0)),'DICTIONARY-5'!$A$2))</f>
        <v/>
      </c>
      <c r="L1669" s="670" t="str">
        <f>IFERROR(IF(CURRENCY.FORMAT_1=0,CONCATENATE(TEXT(FIXED(ROUND((C1669*(1-I1669)*(1-ADD.DISCOUNT)*(1+MAT.SURCHARGE)/EXC.RATE_1),CURRENCY.FORMAT_1),CURRENCY.FORMAT_1,1),"# ##0;-# ##0"),",-"),FIXED(ROUND((C1669*(1-I1669)*(1-ADD.DISCOUNT)*(1+MAT.SURCHARGE)/EXC.RATE_1),CURRENCY.FORMAT_1),CURRENCY.FORMAT_1,0)),'DICTIONARY-5'!$A$2)</f>
        <v>477,-</v>
      </c>
      <c r="M1669" s="670" t="str">
        <f>IF(EXC.RATE_2=0,"",IFERROR(IF(CURRENCY.FORMAT_2=0,CONCATENATE(TEXT(FIXED(ROUND(IF(EXC.RATE.SWITCH=1,C1669*(1-I1669)*(1-ADD.DISCOUNT)*(1+MAT.SURCHARGE)/EXC.RATE_2,C1669*(1-I1669)*(1-ADD.DISCOUNT)*(1+MAT.SURCHARGE)*EXC.RATE_2),CURRENCY.FORMAT_2),CURRENCY.FORMAT_2,1),"# ##0;-# ##0"),",-"),FIXED(ROUND(IF(EXC.RATE.SWITCH=1,C1669*(1-I1669)*(1-ADD.DISCOUNT)*(1+MAT.SURCHARGE)/EXC.RATE_2,C1669*(1-I1669)*(1-ADD.DISCOUNT)*(1+MAT.SURCHARGE)*EXC.RATE_2),CURRENCY.FORMAT_2),CURRENCY.FORMAT_2,0)),'DICTIONARY-5'!$A$2))</f>
        <v/>
      </c>
      <c r="N1669" s="535">
        <v>6</v>
      </c>
      <c r="O1669" s="535"/>
      <c r="P1669" s="731" t="str">
        <f>'DICTIONARY-3'!$A$149</f>
        <v>CEREX 300-W</v>
      </c>
      <c r="Q1669" s="732" t="str">
        <f>'DICTIONARY-3'!$A$204</f>
        <v>Przepustnica kołnierzowa</v>
      </c>
      <c r="R1669" s="732" t="str">
        <f>CONCATENATE('DICTIONARY-3'!$A$149," ",'DICTIONARY-6'!$A$2," ",UPPER('DICTIONARY-5'!$A$18)," ",'DICTIONARY-2'!$A$2,"200"," ",'DICTIONARY-2'!$A$3,"10/16"," ","R20"," ",'DICTIONARY-5'!$A$51,"/",'DICTIONARY-5'!$A$45,", ",'DICTIONARY-4'!$A$3," ",'DICTIONARY-5'!$A$33)</f>
        <v>CEREX 300-W Przep. kołnierz. GAZ DN200 PN10/16 R20 GGG/NBR, DR st. nierdz.</v>
      </c>
      <c r="S1669" s="733" t="str">
        <f>'DICTIONARY-4'!$A$3</f>
        <v>DR</v>
      </c>
      <c r="T1669" s="732" t="str">
        <f>'DICTIONARY-4'!$A$19</f>
        <v>Dźwignia ręczna</v>
      </c>
      <c r="U1669" s="734" t="s">
        <v>5750</v>
      </c>
      <c r="V1669" s="735">
        <v>16</v>
      </c>
      <c r="W1669" s="736"/>
      <c r="X1669" s="737"/>
      <c r="Y1669" s="738"/>
      <c r="Z1669" s="739"/>
      <c r="AA1669" s="739"/>
      <c r="AB1669" s="740">
        <v>16</v>
      </c>
      <c r="AC1669" s="741" t="str">
        <f>'DICTIONARY-5'!$A$11&amp;" 20"</f>
        <v>EN 558 szereg 20</v>
      </c>
      <c r="AD1669" s="741" t="str">
        <f>'DICTIONARY-5'!$A$18&amp;", "&amp;'DICTIONARY-5'!$A$14</f>
        <v>gaz, ścieki</v>
      </c>
      <c r="AE1669" s="742">
        <v>80</v>
      </c>
      <c r="AF1669" s="743">
        <v>12</v>
      </c>
      <c r="AG1669" s="741" t="str">
        <f>'DICTIONARY-5'!$A$23</f>
        <v>powłoka epoksydowa</v>
      </c>
    </row>
    <row r="1670" spans="1:33" x14ac:dyDescent="0.25">
      <c r="A1670" s="869" t="s">
        <v>1747</v>
      </c>
      <c r="B1670" s="869" t="s">
        <v>3677</v>
      </c>
      <c r="C1670" s="836">
        <v>182</v>
      </c>
      <c r="D1670" s="836"/>
      <c r="E1670" s="836"/>
      <c r="F1670" s="836"/>
      <c r="G1670" s="496" t="s">
        <v>7832</v>
      </c>
      <c r="H1670" s="797" t="str">
        <f>VLOOKUP(G1670,SETTINGS!$B$7:$D$97,2,0)</f>
        <v>CEREX 300</v>
      </c>
      <c r="I1670" s="796">
        <f>VLOOKUP(G1670,SETTINGS!$B$7:$D$97,3,0)</f>
        <v>0</v>
      </c>
      <c r="J1670" s="670" t="str">
        <f>IFERROR(IF(CURRENCY.FORMAT_1=0,CONCATENATE(TEXT(FIXED(ROUND((C1670/EXC.RATE_1),CURRENCY.FORMAT_1),CURRENCY.FORMAT_1,1),"# ##0;-# ##0"),",-"),FIXED(ROUND((C1670/EXC.RATE_1),CURRENCY.FORMAT_1),CURRENCY.FORMAT_1,0)),'DICTIONARY-5'!$A$2)</f>
        <v>182,-</v>
      </c>
      <c r="K1670" s="670" t="str">
        <f>IF(EXC.RATE_2=0,"",IFERROR(IF(CURRENCY.FORMAT_2=0,CONCATENATE(TEXT(FIXED(ROUND(IF(EXC.RATE.SWITCH=1,C1670/EXC.RATE_2,C1670*EXC.RATE_2),CURRENCY.FORMAT_2),CURRENCY.FORMAT_2,1),"# ##0;-# ##0"),",-"),FIXED(ROUND(IF(EXC.RATE.SWITCH=1,C1670/EXC.RATE_2,C1670*EXC.RATE_2),CURRENCY.FORMAT_2),CURRENCY.FORMAT_2,0)),'DICTIONARY-5'!$A$2))</f>
        <v/>
      </c>
      <c r="L1670" s="670" t="str">
        <f>IFERROR(IF(CURRENCY.FORMAT_1=0,CONCATENATE(TEXT(FIXED(ROUND((C1670*(1-I1670)*(1-ADD.DISCOUNT)*(1+MAT.SURCHARGE)/EXC.RATE_1),CURRENCY.FORMAT_1),CURRENCY.FORMAT_1,1),"# ##0;-# ##0"),",-"),FIXED(ROUND((C1670*(1-I1670)*(1-ADD.DISCOUNT)*(1+MAT.SURCHARGE)/EXC.RATE_1),CURRENCY.FORMAT_1),CURRENCY.FORMAT_1,0)),'DICTIONARY-5'!$A$2)</f>
        <v>189,-</v>
      </c>
      <c r="M1670" s="670" t="str">
        <f>IF(EXC.RATE_2=0,"",IFERROR(IF(CURRENCY.FORMAT_2=0,CONCATENATE(TEXT(FIXED(ROUND(IF(EXC.RATE.SWITCH=1,C1670*(1-I1670)*(1-ADD.DISCOUNT)*(1+MAT.SURCHARGE)/EXC.RATE_2,C1670*(1-I1670)*(1-ADD.DISCOUNT)*(1+MAT.SURCHARGE)*EXC.RATE_2),CURRENCY.FORMAT_2),CURRENCY.FORMAT_2,1),"# ##0;-# ##0"),",-"),FIXED(ROUND(IF(EXC.RATE.SWITCH=1,C1670*(1-I1670)*(1-ADD.DISCOUNT)*(1+MAT.SURCHARGE)/EXC.RATE_2,C1670*(1-I1670)*(1-ADD.DISCOUNT)*(1+MAT.SURCHARGE)*EXC.RATE_2),CURRENCY.FORMAT_2),CURRENCY.FORMAT_2,0)),'DICTIONARY-5'!$A$2))</f>
        <v/>
      </c>
      <c r="N1670" s="535">
        <v>6</v>
      </c>
      <c r="O1670" s="535"/>
      <c r="P1670" s="731" t="str">
        <f>'DICTIONARY-3'!$A$149</f>
        <v>CEREX 300-W</v>
      </c>
      <c r="Q1670" s="732" t="str">
        <f>'DICTIONARY-3'!$A$204</f>
        <v>Przepustnica kołnierzowa</v>
      </c>
      <c r="R1670" s="732" t="str">
        <f>CONCATENATE('DICTIONARY-3'!$A$149," ",'DICTIONARY-6'!$A$2," ",UPPER('DICTIONARY-5'!$A$18)," ",'DICTIONARY-2'!$A$2,"50"," ",'DICTIONARY-2'!$A$3,"10/16"," ","R20"," ",'DICTIONARY-5'!$A$37,"/",'DICTIONARY-5'!$A$45,", ",'DICTIONARY-4'!$A$3," ",'DICTIONARY-5'!$A$33)</f>
        <v>CEREX 300-W Przep. kołnierz. GAZ DN50 PN10/16 R20 CF8M/NBR, DR st. nierdz.</v>
      </c>
      <c r="S1670" s="733" t="str">
        <f>'DICTIONARY-4'!$A$3</f>
        <v>DR</v>
      </c>
      <c r="T1670" s="732" t="str">
        <f>'DICTIONARY-4'!$A$19</f>
        <v>Dźwignia ręczna</v>
      </c>
      <c r="U1670" s="734" t="s">
        <v>5748</v>
      </c>
      <c r="V1670" s="735">
        <v>16</v>
      </c>
      <c r="W1670" s="736"/>
      <c r="X1670" s="737"/>
      <c r="Y1670" s="738"/>
      <c r="Z1670" s="739"/>
      <c r="AA1670" s="739"/>
      <c r="AB1670" s="740">
        <v>16</v>
      </c>
      <c r="AC1670" s="741" t="str">
        <f>'DICTIONARY-5'!$A$11&amp;" 20"</f>
        <v>EN 558 szereg 20</v>
      </c>
      <c r="AD1670" s="741" t="str">
        <f>'DICTIONARY-5'!$A$18&amp;", "&amp;'DICTIONARY-5'!$A$14</f>
        <v>gaz, ścieki</v>
      </c>
      <c r="AE1670" s="742">
        <v>80</v>
      </c>
      <c r="AF1670" s="743">
        <v>3.2360000000000002</v>
      </c>
      <c r="AG1670" s="741" t="str">
        <f>'DICTIONARY-5'!$A$23</f>
        <v>powłoka epoksydowa</v>
      </c>
    </row>
    <row r="1671" spans="1:33" x14ac:dyDescent="0.25">
      <c r="A1671" s="869" t="s">
        <v>1749</v>
      </c>
      <c r="B1671" s="869" t="s">
        <v>3684</v>
      </c>
      <c r="C1671" s="836">
        <v>197</v>
      </c>
      <c r="D1671" s="836"/>
      <c r="E1671" s="836"/>
      <c r="F1671" s="836"/>
      <c r="G1671" s="496" t="s">
        <v>7832</v>
      </c>
      <c r="H1671" s="797" t="str">
        <f>VLOOKUP(G1671,SETTINGS!$B$7:$D$97,2,0)</f>
        <v>CEREX 300</v>
      </c>
      <c r="I1671" s="796">
        <f>VLOOKUP(G1671,SETTINGS!$B$7:$D$97,3,0)</f>
        <v>0</v>
      </c>
      <c r="J1671" s="670" t="str">
        <f>IFERROR(IF(CURRENCY.FORMAT_1=0,CONCATENATE(TEXT(FIXED(ROUND((C1671/EXC.RATE_1),CURRENCY.FORMAT_1),CURRENCY.FORMAT_1,1),"# ##0;-# ##0"),",-"),FIXED(ROUND((C1671/EXC.RATE_1),CURRENCY.FORMAT_1),CURRENCY.FORMAT_1,0)),'DICTIONARY-5'!$A$2)</f>
        <v>197,-</v>
      </c>
      <c r="K1671" s="670" t="str">
        <f>IF(EXC.RATE_2=0,"",IFERROR(IF(CURRENCY.FORMAT_2=0,CONCATENATE(TEXT(FIXED(ROUND(IF(EXC.RATE.SWITCH=1,C1671/EXC.RATE_2,C1671*EXC.RATE_2),CURRENCY.FORMAT_2),CURRENCY.FORMAT_2,1),"# ##0;-# ##0"),",-"),FIXED(ROUND(IF(EXC.RATE.SWITCH=1,C1671/EXC.RATE_2,C1671*EXC.RATE_2),CURRENCY.FORMAT_2),CURRENCY.FORMAT_2,0)),'DICTIONARY-5'!$A$2))</f>
        <v/>
      </c>
      <c r="L1671" s="670" t="str">
        <f>IFERROR(IF(CURRENCY.FORMAT_1=0,CONCATENATE(TEXT(FIXED(ROUND((C1671*(1-I1671)*(1-ADD.DISCOUNT)*(1+MAT.SURCHARGE)/EXC.RATE_1),CURRENCY.FORMAT_1),CURRENCY.FORMAT_1,1),"# ##0;-# ##0"),",-"),FIXED(ROUND((C1671*(1-I1671)*(1-ADD.DISCOUNT)*(1+MAT.SURCHARGE)/EXC.RATE_1),CURRENCY.FORMAT_1),CURRENCY.FORMAT_1,0)),'DICTIONARY-5'!$A$2)</f>
        <v>205,-</v>
      </c>
      <c r="M1671" s="670" t="str">
        <f>IF(EXC.RATE_2=0,"",IFERROR(IF(CURRENCY.FORMAT_2=0,CONCATENATE(TEXT(FIXED(ROUND(IF(EXC.RATE.SWITCH=1,C1671*(1-I1671)*(1-ADD.DISCOUNT)*(1+MAT.SURCHARGE)/EXC.RATE_2,C1671*(1-I1671)*(1-ADD.DISCOUNT)*(1+MAT.SURCHARGE)*EXC.RATE_2),CURRENCY.FORMAT_2),CURRENCY.FORMAT_2,1),"# ##0;-# ##0"),",-"),FIXED(ROUND(IF(EXC.RATE.SWITCH=1,C1671*(1-I1671)*(1-ADD.DISCOUNT)*(1+MAT.SURCHARGE)/EXC.RATE_2,C1671*(1-I1671)*(1-ADD.DISCOUNT)*(1+MAT.SURCHARGE)*EXC.RATE_2),CURRENCY.FORMAT_2),CURRENCY.FORMAT_2,0)),'DICTIONARY-5'!$A$2))</f>
        <v/>
      </c>
      <c r="N1671" s="535">
        <v>6</v>
      </c>
      <c r="O1671" s="535"/>
      <c r="P1671" s="731" t="str">
        <f>'DICTIONARY-3'!$A$149</f>
        <v>CEREX 300-W</v>
      </c>
      <c r="Q1671" s="732" t="str">
        <f>'DICTIONARY-3'!$A$204</f>
        <v>Przepustnica kołnierzowa</v>
      </c>
      <c r="R1671" s="732" t="str">
        <f>CONCATENATE('DICTIONARY-3'!$A$149," ",'DICTIONARY-6'!$A$2," ",UPPER('DICTIONARY-5'!$A$18)," ",'DICTIONARY-2'!$A$2,"65"," ",'DICTIONARY-2'!$A$3,"10/16"," ","R20"," ",'DICTIONARY-5'!$A$37,"/",'DICTIONARY-5'!$A$45,", ",'DICTIONARY-4'!$A$3," ",'DICTIONARY-5'!$A$33)</f>
        <v>CEREX 300-W Przep. kołnierz. GAZ DN65 PN10/16 R20 CF8M/NBR, DR st. nierdz.</v>
      </c>
      <c r="S1671" s="733" t="str">
        <f>'DICTIONARY-4'!$A$3</f>
        <v>DR</v>
      </c>
      <c r="T1671" s="732" t="str">
        <f>'DICTIONARY-4'!$A$19</f>
        <v>Dźwignia ręczna</v>
      </c>
      <c r="U1671" s="734" t="s">
        <v>5759</v>
      </c>
      <c r="V1671" s="735">
        <v>16</v>
      </c>
      <c r="W1671" s="736"/>
      <c r="X1671" s="737"/>
      <c r="Y1671" s="738"/>
      <c r="Z1671" s="739"/>
      <c r="AA1671" s="739"/>
      <c r="AB1671" s="740">
        <v>16</v>
      </c>
      <c r="AC1671" s="741" t="str">
        <f>'DICTIONARY-5'!$A$11&amp;" 20"</f>
        <v>EN 558 szereg 20</v>
      </c>
      <c r="AD1671" s="741" t="str">
        <f>'DICTIONARY-5'!$A$18&amp;", "&amp;'DICTIONARY-5'!$A$14</f>
        <v>gaz, ścieki</v>
      </c>
      <c r="AE1671" s="742">
        <v>80</v>
      </c>
      <c r="AF1671" s="743">
        <v>3.7</v>
      </c>
      <c r="AG1671" s="741" t="str">
        <f>'DICTIONARY-5'!$A$23</f>
        <v>powłoka epoksydowa</v>
      </c>
    </row>
    <row r="1672" spans="1:33" x14ac:dyDescent="0.25">
      <c r="A1672" s="869" t="s">
        <v>1751</v>
      </c>
      <c r="B1672" s="869" t="s">
        <v>3691</v>
      </c>
      <c r="C1672" s="836">
        <v>207</v>
      </c>
      <c r="D1672" s="836"/>
      <c r="E1672" s="836"/>
      <c r="F1672" s="836"/>
      <c r="G1672" s="496" t="s">
        <v>7832</v>
      </c>
      <c r="H1672" s="797" t="str">
        <f>VLOOKUP(G1672,SETTINGS!$B$7:$D$97,2,0)</f>
        <v>CEREX 300</v>
      </c>
      <c r="I1672" s="796">
        <f>VLOOKUP(G1672,SETTINGS!$B$7:$D$97,3,0)</f>
        <v>0</v>
      </c>
      <c r="J1672" s="670" t="str">
        <f>IFERROR(IF(CURRENCY.FORMAT_1=0,CONCATENATE(TEXT(FIXED(ROUND((C1672/EXC.RATE_1),CURRENCY.FORMAT_1),CURRENCY.FORMAT_1,1),"# ##0;-# ##0"),",-"),FIXED(ROUND((C1672/EXC.RATE_1),CURRENCY.FORMAT_1),CURRENCY.FORMAT_1,0)),'DICTIONARY-5'!$A$2)</f>
        <v>207,-</v>
      </c>
      <c r="K1672" s="670" t="str">
        <f>IF(EXC.RATE_2=0,"",IFERROR(IF(CURRENCY.FORMAT_2=0,CONCATENATE(TEXT(FIXED(ROUND(IF(EXC.RATE.SWITCH=1,C1672/EXC.RATE_2,C1672*EXC.RATE_2),CURRENCY.FORMAT_2),CURRENCY.FORMAT_2,1),"# ##0;-# ##0"),",-"),FIXED(ROUND(IF(EXC.RATE.SWITCH=1,C1672/EXC.RATE_2,C1672*EXC.RATE_2),CURRENCY.FORMAT_2),CURRENCY.FORMAT_2,0)),'DICTIONARY-5'!$A$2))</f>
        <v/>
      </c>
      <c r="L1672" s="670" t="str">
        <f>IFERROR(IF(CURRENCY.FORMAT_1=0,CONCATENATE(TEXT(FIXED(ROUND((C1672*(1-I1672)*(1-ADD.DISCOUNT)*(1+MAT.SURCHARGE)/EXC.RATE_1),CURRENCY.FORMAT_1),CURRENCY.FORMAT_1,1),"# ##0;-# ##0"),",-"),FIXED(ROUND((C1672*(1-I1672)*(1-ADD.DISCOUNT)*(1+MAT.SURCHARGE)/EXC.RATE_1),CURRENCY.FORMAT_1),CURRENCY.FORMAT_1,0)),'DICTIONARY-5'!$A$2)</f>
        <v>215,-</v>
      </c>
      <c r="M1672" s="670" t="str">
        <f>IF(EXC.RATE_2=0,"",IFERROR(IF(CURRENCY.FORMAT_2=0,CONCATENATE(TEXT(FIXED(ROUND(IF(EXC.RATE.SWITCH=1,C1672*(1-I1672)*(1-ADD.DISCOUNT)*(1+MAT.SURCHARGE)/EXC.RATE_2,C1672*(1-I1672)*(1-ADD.DISCOUNT)*(1+MAT.SURCHARGE)*EXC.RATE_2),CURRENCY.FORMAT_2),CURRENCY.FORMAT_2,1),"# ##0;-# ##0"),",-"),FIXED(ROUND(IF(EXC.RATE.SWITCH=1,C1672*(1-I1672)*(1-ADD.DISCOUNT)*(1+MAT.SURCHARGE)/EXC.RATE_2,C1672*(1-I1672)*(1-ADD.DISCOUNT)*(1+MAT.SURCHARGE)*EXC.RATE_2),CURRENCY.FORMAT_2),CURRENCY.FORMAT_2,0)),'DICTIONARY-5'!$A$2))</f>
        <v/>
      </c>
      <c r="N1672" s="535">
        <v>6</v>
      </c>
      <c r="O1672" s="535"/>
      <c r="P1672" s="731" t="str">
        <f>'DICTIONARY-3'!$A$149</f>
        <v>CEREX 300-W</v>
      </c>
      <c r="Q1672" s="732" t="str">
        <f>'DICTIONARY-3'!$A$204</f>
        <v>Przepustnica kołnierzowa</v>
      </c>
      <c r="R1672" s="732" t="str">
        <f>CONCATENATE('DICTIONARY-3'!$A$149," ",'DICTIONARY-6'!$A$2," ",UPPER('DICTIONARY-5'!$A$18)," ",'DICTIONARY-2'!$A$2,"80"," ",'DICTIONARY-2'!$A$3,"10/16"," ","R20"," ",'DICTIONARY-5'!$A$37,"/",'DICTIONARY-5'!$A$45,", ",'DICTIONARY-4'!$A$3," ",'DICTIONARY-5'!$A$33)</f>
        <v>CEREX 300-W Przep. kołnierz. GAZ DN80 PN10/16 R20 CF8M/NBR, DR st. nierdz.</v>
      </c>
      <c r="S1672" s="733" t="str">
        <f>'DICTIONARY-4'!$A$3</f>
        <v>DR</v>
      </c>
      <c r="T1672" s="732" t="str">
        <f>'DICTIONARY-4'!$A$19</f>
        <v>Dźwignia ręczna</v>
      </c>
      <c r="U1672" s="734" t="s">
        <v>5760</v>
      </c>
      <c r="V1672" s="735">
        <v>16</v>
      </c>
      <c r="W1672" s="736"/>
      <c r="X1672" s="737"/>
      <c r="Y1672" s="738"/>
      <c r="Z1672" s="739"/>
      <c r="AA1672" s="739"/>
      <c r="AB1672" s="740">
        <v>16</v>
      </c>
      <c r="AC1672" s="741" t="str">
        <f>'DICTIONARY-5'!$A$11&amp;" 20"</f>
        <v>EN 558 szereg 20</v>
      </c>
      <c r="AD1672" s="741" t="str">
        <f>'DICTIONARY-5'!$A$18&amp;", "&amp;'DICTIONARY-5'!$A$14</f>
        <v>gaz, ścieki</v>
      </c>
      <c r="AE1672" s="742">
        <v>80</v>
      </c>
      <c r="AF1672" s="743">
        <v>4</v>
      </c>
      <c r="AG1672" s="741" t="str">
        <f>'DICTIONARY-5'!$A$23</f>
        <v>powłoka epoksydowa</v>
      </c>
    </row>
    <row r="1673" spans="1:33" x14ac:dyDescent="0.25">
      <c r="A1673" s="869" t="s">
        <v>1753</v>
      </c>
      <c r="B1673" s="869" t="s">
        <v>3698</v>
      </c>
      <c r="C1673" s="836">
        <v>248</v>
      </c>
      <c r="D1673" s="836"/>
      <c r="E1673" s="836"/>
      <c r="F1673" s="836"/>
      <c r="G1673" s="496" t="s">
        <v>7832</v>
      </c>
      <c r="H1673" s="797" t="str">
        <f>VLOOKUP(G1673,SETTINGS!$B$7:$D$97,2,0)</f>
        <v>CEREX 300</v>
      </c>
      <c r="I1673" s="796">
        <f>VLOOKUP(G1673,SETTINGS!$B$7:$D$97,3,0)</f>
        <v>0</v>
      </c>
      <c r="J1673" s="670" t="str">
        <f>IFERROR(IF(CURRENCY.FORMAT_1=0,CONCATENATE(TEXT(FIXED(ROUND((C1673/EXC.RATE_1),CURRENCY.FORMAT_1),CURRENCY.FORMAT_1,1),"# ##0;-# ##0"),",-"),FIXED(ROUND((C1673/EXC.RATE_1),CURRENCY.FORMAT_1),CURRENCY.FORMAT_1,0)),'DICTIONARY-5'!$A$2)</f>
        <v>248,-</v>
      </c>
      <c r="K1673" s="670" t="str">
        <f>IF(EXC.RATE_2=0,"",IFERROR(IF(CURRENCY.FORMAT_2=0,CONCATENATE(TEXT(FIXED(ROUND(IF(EXC.RATE.SWITCH=1,C1673/EXC.RATE_2,C1673*EXC.RATE_2),CURRENCY.FORMAT_2),CURRENCY.FORMAT_2,1),"# ##0;-# ##0"),",-"),FIXED(ROUND(IF(EXC.RATE.SWITCH=1,C1673/EXC.RATE_2,C1673*EXC.RATE_2),CURRENCY.FORMAT_2),CURRENCY.FORMAT_2,0)),'DICTIONARY-5'!$A$2))</f>
        <v/>
      </c>
      <c r="L1673" s="670" t="str">
        <f>IFERROR(IF(CURRENCY.FORMAT_1=0,CONCATENATE(TEXT(FIXED(ROUND((C1673*(1-I1673)*(1-ADD.DISCOUNT)*(1+MAT.SURCHARGE)/EXC.RATE_1),CURRENCY.FORMAT_1),CURRENCY.FORMAT_1,1),"# ##0;-# ##0"),",-"),FIXED(ROUND((C1673*(1-I1673)*(1-ADD.DISCOUNT)*(1+MAT.SURCHARGE)/EXC.RATE_1),CURRENCY.FORMAT_1),CURRENCY.FORMAT_1,0)),'DICTIONARY-5'!$A$2)</f>
        <v>258,-</v>
      </c>
      <c r="M1673" s="670" t="str">
        <f>IF(EXC.RATE_2=0,"",IFERROR(IF(CURRENCY.FORMAT_2=0,CONCATENATE(TEXT(FIXED(ROUND(IF(EXC.RATE.SWITCH=1,C1673*(1-I1673)*(1-ADD.DISCOUNT)*(1+MAT.SURCHARGE)/EXC.RATE_2,C1673*(1-I1673)*(1-ADD.DISCOUNT)*(1+MAT.SURCHARGE)*EXC.RATE_2),CURRENCY.FORMAT_2),CURRENCY.FORMAT_2,1),"# ##0;-# ##0"),",-"),FIXED(ROUND(IF(EXC.RATE.SWITCH=1,C1673*(1-I1673)*(1-ADD.DISCOUNT)*(1+MAT.SURCHARGE)/EXC.RATE_2,C1673*(1-I1673)*(1-ADD.DISCOUNT)*(1+MAT.SURCHARGE)*EXC.RATE_2),CURRENCY.FORMAT_2),CURRENCY.FORMAT_2,0)),'DICTIONARY-5'!$A$2))</f>
        <v/>
      </c>
      <c r="N1673" s="535">
        <v>6</v>
      </c>
      <c r="O1673" s="535"/>
      <c r="P1673" s="731" t="str">
        <f>'DICTIONARY-3'!$A$149</f>
        <v>CEREX 300-W</v>
      </c>
      <c r="Q1673" s="732" t="str">
        <f>'DICTIONARY-3'!$A$204</f>
        <v>Przepustnica kołnierzowa</v>
      </c>
      <c r="R1673" s="732" t="str">
        <f>CONCATENATE('DICTIONARY-3'!$A$149," ",'DICTIONARY-6'!$A$2," ",UPPER('DICTIONARY-5'!$A$18)," ",'DICTIONARY-2'!$A$2,"100"," ",'DICTIONARY-2'!$A$3,"10/16"," ","R20"," ",'DICTIONARY-5'!$A$37,"/",'DICTIONARY-5'!$A$45,", ",'DICTIONARY-4'!$A$3," ",'DICTIONARY-5'!$A$33)</f>
        <v>CEREX 300-W Przep. kołnierz. GAZ DN100 PN10/16 R20 CF8M/NBR, DR st. nierdz.</v>
      </c>
      <c r="S1673" s="733" t="str">
        <f>'DICTIONARY-4'!$A$3</f>
        <v>DR</v>
      </c>
      <c r="T1673" s="732" t="str">
        <f>'DICTIONARY-4'!$A$19</f>
        <v>Dźwignia ręczna</v>
      </c>
      <c r="U1673" s="734" t="s">
        <v>5749</v>
      </c>
      <c r="V1673" s="735">
        <v>16</v>
      </c>
      <c r="W1673" s="736"/>
      <c r="X1673" s="737"/>
      <c r="Y1673" s="738"/>
      <c r="Z1673" s="739"/>
      <c r="AA1673" s="739"/>
      <c r="AB1673" s="740">
        <v>16</v>
      </c>
      <c r="AC1673" s="741" t="str">
        <f>'DICTIONARY-5'!$A$11&amp;" 20"</f>
        <v>EN 558 szereg 20</v>
      </c>
      <c r="AD1673" s="741" t="str">
        <f>'DICTIONARY-5'!$A$18&amp;", "&amp;'DICTIONARY-5'!$A$14</f>
        <v>gaz, ścieki</v>
      </c>
      <c r="AE1673" s="742">
        <v>80</v>
      </c>
      <c r="AF1673" s="743">
        <v>6</v>
      </c>
      <c r="AG1673" s="741" t="str">
        <f>'DICTIONARY-5'!$A$23</f>
        <v>powłoka epoksydowa</v>
      </c>
    </row>
    <row r="1674" spans="1:33" x14ac:dyDescent="0.25">
      <c r="A1674" s="869" t="s">
        <v>1755</v>
      </c>
      <c r="B1674" s="869" t="s">
        <v>3705</v>
      </c>
      <c r="C1674" s="836">
        <v>283</v>
      </c>
      <c r="D1674" s="836"/>
      <c r="E1674" s="836"/>
      <c r="F1674" s="836"/>
      <c r="G1674" s="496" t="s">
        <v>7832</v>
      </c>
      <c r="H1674" s="797" t="str">
        <f>VLOOKUP(G1674,SETTINGS!$B$7:$D$97,2,0)</f>
        <v>CEREX 300</v>
      </c>
      <c r="I1674" s="796">
        <f>VLOOKUP(G1674,SETTINGS!$B$7:$D$97,3,0)</f>
        <v>0</v>
      </c>
      <c r="J1674" s="670" t="str">
        <f>IFERROR(IF(CURRENCY.FORMAT_1=0,CONCATENATE(TEXT(FIXED(ROUND((C1674/EXC.RATE_1),CURRENCY.FORMAT_1),CURRENCY.FORMAT_1,1),"# ##0;-# ##0"),",-"),FIXED(ROUND((C1674/EXC.RATE_1),CURRENCY.FORMAT_1),CURRENCY.FORMAT_1,0)),'DICTIONARY-5'!$A$2)</f>
        <v>283,-</v>
      </c>
      <c r="K1674" s="670" t="str">
        <f>IF(EXC.RATE_2=0,"",IFERROR(IF(CURRENCY.FORMAT_2=0,CONCATENATE(TEXT(FIXED(ROUND(IF(EXC.RATE.SWITCH=1,C1674/EXC.RATE_2,C1674*EXC.RATE_2),CURRENCY.FORMAT_2),CURRENCY.FORMAT_2,1),"# ##0;-# ##0"),",-"),FIXED(ROUND(IF(EXC.RATE.SWITCH=1,C1674/EXC.RATE_2,C1674*EXC.RATE_2),CURRENCY.FORMAT_2),CURRENCY.FORMAT_2,0)),'DICTIONARY-5'!$A$2))</f>
        <v/>
      </c>
      <c r="L1674" s="670" t="str">
        <f>IFERROR(IF(CURRENCY.FORMAT_1=0,CONCATENATE(TEXT(FIXED(ROUND((C1674*(1-I1674)*(1-ADD.DISCOUNT)*(1+MAT.SURCHARGE)/EXC.RATE_1),CURRENCY.FORMAT_1),CURRENCY.FORMAT_1,1),"# ##0;-# ##0"),",-"),FIXED(ROUND((C1674*(1-I1674)*(1-ADD.DISCOUNT)*(1+MAT.SURCHARGE)/EXC.RATE_1),CURRENCY.FORMAT_1),CURRENCY.FORMAT_1,0)),'DICTIONARY-5'!$A$2)</f>
        <v>294,-</v>
      </c>
      <c r="M1674" s="670" t="str">
        <f>IF(EXC.RATE_2=0,"",IFERROR(IF(CURRENCY.FORMAT_2=0,CONCATENATE(TEXT(FIXED(ROUND(IF(EXC.RATE.SWITCH=1,C1674*(1-I1674)*(1-ADD.DISCOUNT)*(1+MAT.SURCHARGE)/EXC.RATE_2,C1674*(1-I1674)*(1-ADD.DISCOUNT)*(1+MAT.SURCHARGE)*EXC.RATE_2),CURRENCY.FORMAT_2),CURRENCY.FORMAT_2,1),"# ##0;-# ##0"),",-"),FIXED(ROUND(IF(EXC.RATE.SWITCH=1,C1674*(1-I1674)*(1-ADD.DISCOUNT)*(1+MAT.SURCHARGE)/EXC.RATE_2,C1674*(1-I1674)*(1-ADD.DISCOUNT)*(1+MAT.SURCHARGE)*EXC.RATE_2),CURRENCY.FORMAT_2),CURRENCY.FORMAT_2,0)),'DICTIONARY-5'!$A$2))</f>
        <v/>
      </c>
      <c r="N1674" s="535">
        <v>6</v>
      </c>
      <c r="O1674" s="535"/>
      <c r="P1674" s="731" t="str">
        <f>'DICTIONARY-3'!$A$149</f>
        <v>CEREX 300-W</v>
      </c>
      <c r="Q1674" s="732" t="str">
        <f>'DICTIONARY-3'!$A$204</f>
        <v>Przepustnica kołnierzowa</v>
      </c>
      <c r="R1674" s="732" t="str">
        <f>CONCATENATE('DICTIONARY-3'!$A$149," ",'DICTIONARY-6'!$A$2," ",UPPER('DICTIONARY-5'!$A$18)," ",'DICTIONARY-2'!$A$2,"125"," ",'DICTIONARY-2'!$A$3,"10/16"," ","R20"," ",'DICTIONARY-5'!$A$37,"/",'DICTIONARY-5'!$A$45,", ",'DICTIONARY-4'!$A$3," ",'DICTIONARY-5'!$A$33)</f>
        <v>CEREX 300-W Przep. kołnierz. GAZ DN125 PN10/16 R20 CF8M/NBR, DR st. nierdz.</v>
      </c>
      <c r="S1674" s="733" t="str">
        <f>'DICTIONARY-4'!$A$3</f>
        <v>DR</v>
      </c>
      <c r="T1674" s="732" t="str">
        <f>'DICTIONARY-4'!$A$19</f>
        <v>Dźwignia ręczna</v>
      </c>
      <c r="U1674" s="734" t="s">
        <v>5761</v>
      </c>
      <c r="V1674" s="735">
        <v>16</v>
      </c>
      <c r="W1674" s="736"/>
      <c r="X1674" s="737"/>
      <c r="Y1674" s="738"/>
      <c r="Z1674" s="739"/>
      <c r="AA1674" s="739"/>
      <c r="AB1674" s="740">
        <v>16</v>
      </c>
      <c r="AC1674" s="741" t="str">
        <f>'DICTIONARY-5'!$A$11&amp;" 20"</f>
        <v>EN 558 szereg 20</v>
      </c>
      <c r="AD1674" s="741" t="str">
        <f>'DICTIONARY-5'!$A$18&amp;", "&amp;'DICTIONARY-5'!$A$14</f>
        <v>gaz, ścieki</v>
      </c>
      <c r="AE1674" s="742">
        <v>80</v>
      </c>
      <c r="AF1674" s="743">
        <v>7.5</v>
      </c>
      <c r="AG1674" s="741" t="str">
        <f>'DICTIONARY-5'!$A$23</f>
        <v>powłoka epoksydowa</v>
      </c>
    </row>
    <row r="1675" spans="1:33" x14ac:dyDescent="0.25">
      <c r="A1675" s="869" t="s">
        <v>1757</v>
      </c>
      <c r="B1675" s="869" t="s">
        <v>3712</v>
      </c>
      <c r="C1675" s="836">
        <v>391</v>
      </c>
      <c r="D1675" s="836"/>
      <c r="E1675" s="836"/>
      <c r="F1675" s="836"/>
      <c r="G1675" s="496" t="s">
        <v>7832</v>
      </c>
      <c r="H1675" s="797" t="str">
        <f>VLOOKUP(G1675,SETTINGS!$B$7:$D$97,2,0)</f>
        <v>CEREX 300</v>
      </c>
      <c r="I1675" s="796">
        <f>VLOOKUP(G1675,SETTINGS!$B$7:$D$97,3,0)</f>
        <v>0</v>
      </c>
      <c r="J1675" s="670" t="str">
        <f>IFERROR(IF(CURRENCY.FORMAT_1=0,CONCATENATE(TEXT(FIXED(ROUND((C1675/EXC.RATE_1),CURRENCY.FORMAT_1),CURRENCY.FORMAT_1,1),"# ##0;-# ##0"),",-"),FIXED(ROUND((C1675/EXC.RATE_1),CURRENCY.FORMAT_1),CURRENCY.FORMAT_1,0)),'DICTIONARY-5'!$A$2)</f>
        <v>391,-</v>
      </c>
      <c r="K1675" s="670" t="str">
        <f>IF(EXC.RATE_2=0,"",IFERROR(IF(CURRENCY.FORMAT_2=0,CONCATENATE(TEXT(FIXED(ROUND(IF(EXC.RATE.SWITCH=1,C1675/EXC.RATE_2,C1675*EXC.RATE_2),CURRENCY.FORMAT_2),CURRENCY.FORMAT_2,1),"# ##0;-# ##0"),",-"),FIXED(ROUND(IF(EXC.RATE.SWITCH=1,C1675/EXC.RATE_2,C1675*EXC.RATE_2),CURRENCY.FORMAT_2),CURRENCY.FORMAT_2,0)),'DICTIONARY-5'!$A$2))</f>
        <v/>
      </c>
      <c r="L1675" s="670" t="str">
        <f>IFERROR(IF(CURRENCY.FORMAT_1=0,CONCATENATE(TEXT(FIXED(ROUND((C1675*(1-I1675)*(1-ADD.DISCOUNT)*(1+MAT.SURCHARGE)/EXC.RATE_1),CURRENCY.FORMAT_1),CURRENCY.FORMAT_1,1),"# ##0;-# ##0"),",-"),FIXED(ROUND((C1675*(1-I1675)*(1-ADD.DISCOUNT)*(1+MAT.SURCHARGE)/EXC.RATE_1),CURRENCY.FORMAT_1),CURRENCY.FORMAT_1,0)),'DICTIONARY-5'!$A$2)</f>
        <v>406,-</v>
      </c>
      <c r="M1675" s="670" t="str">
        <f>IF(EXC.RATE_2=0,"",IFERROR(IF(CURRENCY.FORMAT_2=0,CONCATENATE(TEXT(FIXED(ROUND(IF(EXC.RATE.SWITCH=1,C1675*(1-I1675)*(1-ADD.DISCOUNT)*(1+MAT.SURCHARGE)/EXC.RATE_2,C1675*(1-I1675)*(1-ADD.DISCOUNT)*(1+MAT.SURCHARGE)*EXC.RATE_2),CURRENCY.FORMAT_2),CURRENCY.FORMAT_2,1),"# ##0;-# ##0"),",-"),FIXED(ROUND(IF(EXC.RATE.SWITCH=1,C1675*(1-I1675)*(1-ADD.DISCOUNT)*(1+MAT.SURCHARGE)/EXC.RATE_2,C1675*(1-I1675)*(1-ADD.DISCOUNT)*(1+MAT.SURCHARGE)*EXC.RATE_2),CURRENCY.FORMAT_2),CURRENCY.FORMAT_2,0)),'DICTIONARY-5'!$A$2))</f>
        <v/>
      </c>
      <c r="N1675" s="535">
        <v>6</v>
      </c>
      <c r="O1675" s="535"/>
      <c r="P1675" s="731" t="str">
        <f>'DICTIONARY-3'!$A$149</f>
        <v>CEREX 300-W</v>
      </c>
      <c r="Q1675" s="732" t="str">
        <f>'DICTIONARY-3'!$A$204</f>
        <v>Przepustnica kołnierzowa</v>
      </c>
      <c r="R1675" s="732" t="str">
        <f>CONCATENATE('DICTIONARY-3'!$A$149," ",'DICTIONARY-6'!$A$2," ",UPPER('DICTIONARY-5'!$A$18)," ",'DICTIONARY-2'!$A$2,"150"," ",'DICTIONARY-2'!$A$3,"10/16"," ","R20"," ",'DICTIONARY-5'!$A$37,"/",'DICTIONARY-5'!$A$45,", ",'DICTIONARY-4'!$A$3," ",'DICTIONARY-5'!$A$33)</f>
        <v>CEREX 300-W Przep. kołnierz. GAZ DN150 PN10/16 R20 CF8M/NBR, DR st. nierdz.</v>
      </c>
      <c r="S1675" s="733" t="str">
        <f>'DICTIONARY-4'!$A$3</f>
        <v>DR</v>
      </c>
      <c r="T1675" s="732" t="str">
        <f>'DICTIONARY-4'!$A$19</f>
        <v>Dźwignia ręczna</v>
      </c>
      <c r="U1675" s="734" t="s">
        <v>5572</v>
      </c>
      <c r="V1675" s="735">
        <v>16</v>
      </c>
      <c r="W1675" s="736"/>
      <c r="X1675" s="737"/>
      <c r="Y1675" s="738"/>
      <c r="Z1675" s="739"/>
      <c r="AA1675" s="739"/>
      <c r="AB1675" s="740">
        <v>16</v>
      </c>
      <c r="AC1675" s="741" t="str">
        <f>'DICTIONARY-5'!$A$11&amp;" 20"</f>
        <v>EN 558 szereg 20</v>
      </c>
      <c r="AD1675" s="741" t="str">
        <f>'DICTIONARY-5'!$A$18&amp;", "&amp;'DICTIONARY-5'!$A$14</f>
        <v>gaz, ścieki</v>
      </c>
      <c r="AE1675" s="742">
        <v>80</v>
      </c>
      <c r="AF1675" s="743">
        <v>10.5</v>
      </c>
      <c r="AG1675" s="741" t="str">
        <f>'DICTIONARY-5'!$A$23</f>
        <v>powłoka epoksydowa</v>
      </c>
    </row>
    <row r="1676" spans="1:33" x14ac:dyDescent="0.25">
      <c r="A1676" s="869" t="s">
        <v>1759</v>
      </c>
      <c r="B1676" s="869" t="s">
        <v>3719</v>
      </c>
      <c r="C1676" s="836">
        <v>513</v>
      </c>
      <c r="D1676" s="836"/>
      <c r="E1676" s="836"/>
      <c r="F1676" s="836"/>
      <c r="G1676" s="496" t="s">
        <v>7832</v>
      </c>
      <c r="H1676" s="797" t="str">
        <f>VLOOKUP(G1676,SETTINGS!$B$7:$D$97,2,0)</f>
        <v>CEREX 300</v>
      </c>
      <c r="I1676" s="796">
        <f>VLOOKUP(G1676,SETTINGS!$B$7:$D$97,3,0)</f>
        <v>0</v>
      </c>
      <c r="J1676" s="670" t="str">
        <f>IFERROR(IF(CURRENCY.FORMAT_1=0,CONCATENATE(TEXT(FIXED(ROUND((C1676/EXC.RATE_1),CURRENCY.FORMAT_1),CURRENCY.FORMAT_1,1),"# ##0;-# ##0"),",-"),FIXED(ROUND((C1676/EXC.RATE_1),CURRENCY.FORMAT_1),CURRENCY.FORMAT_1,0)),'DICTIONARY-5'!$A$2)</f>
        <v>513,-</v>
      </c>
      <c r="K1676" s="670" t="str">
        <f>IF(EXC.RATE_2=0,"",IFERROR(IF(CURRENCY.FORMAT_2=0,CONCATENATE(TEXT(FIXED(ROUND(IF(EXC.RATE.SWITCH=1,C1676/EXC.RATE_2,C1676*EXC.RATE_2),CURRENCY.FORMAT_2),CURRENCY.FORMAT_2,1),"# ##0;-# ##0"),",-"),FIXED(ROUND(IF(EXC.RATE.SWITCH=1,C1676/EXC.RATE_2,C1676*EXC.RATE_2),CURRENCY.FORMAT_2),CURRENCY.FORMAT_2,0)),'DICTIONARY-5'!$A$2))</f>
        <v/>
      </c>
      <c r="L1676" s="670" t="str">
        <f>IFERROR(IF(CURRENCY.FORMAT_1=0,CONCATENATE(TEXT(FIXED(ROUND((C1676*(1-I1676)*(1-ADD.DISCOUNT)*(1+MAT.SURCHARGE)/EXC.RATE_1),CURRENCY.FORMAT_1),CURRENCY.FORMAT_1,1),"# ##0;-# ##0"),",-"),FIXED(ROUND((C1676*(1-I1676)*(1-ADD.DISCOUNT)*(1+MAT.SURCHARGE)/EXC.RATE_1),CURRENCY.FORMAT_1),CURRENCY.FORMAT_1,0)),'DICTIONARY-5'!$A$2)</f>
        <v>533,-</v>
      </c>
      <c r="M1676" s="670" t="str">
        <f>IF(EXC.RATE_2=0,"",IFERROR(IF(CURRENCY.FORMAT_2=0,CONCATENATE(TEXT(FIXED(ROUND(IF(EXC.RATE.SWITCH=1,C1676*(1-I1676)*(1-ADD.DISCOUNT)*(1+MAT.SURCHARGE)/EXC.RATE_2,C1676*(1-I1676)*(1-ADD.DISCOUNT)*(1+MAT.SURCHARGE)*EXC.RATE_2),CURRENCY.FORMAT_2),CURRENCY.FORMAT_2,1),"# ##0;-# ##0"),",-"),FIXED(ROUND(IF(EXC.RATE.SWITCH=1,C1676*(1-I1676)*(1-ADD.DISCOUNT)*(1+MAT.SURCHARGE)/EXC.RATE_2,C1676*(1-I1676)*(1-ADD.DISCOUNT)*(1+MAT.SURCHARGE)*EXC.RATE_2),CURRENCY.FORMAT_2),CURRENCY.FORMAT_2,0)),'DICTIONARY-5'!$A$2))</f>
        <v/>
      </c>
      <c r="N1676" s="535">
        <v>6</v>
      </c>
      <c r="O1676" s="535"/>
      <c r="P1676" s="731" t="str">
        <f>'DICTIONARY-3'!$A$149</f>
        <v>CEREX 300-W</v>
      </c>
      <c r="Q1676" s="732" t="str">
        <f>'DICTIONARY-3'!$A$204</f>
        <v>Przepustnica kołnierzowa</v>
      </c>
      <c r="R1676" s="732" t="str">
        <f>CONCATENATE('DICTIONARY-3'!$A$149," ",'DICTIONARY-6'!$A$2," ",UPPER('DICTIONARY-5'!$A$18)," ",'DICTIONARY-2'!$A$2,"200"," ",'DICTIONARY-2'!$A$3,"10/16"," ","R20"," ",'DICTIONARY-5'!$A$37,"/",'DICTIONARY-5'!$A$45,", ",'DICTIONARY-4'!$A$3," ",'DICTIONARY-5'!$A$33)</f>
        <v>CEREX 300-W Przep. kołnierz. GAZ DN200 PN10/16 R20 CF8M/NBR, DR st. nierdz.</v>
      </c>
      <c r="S1676" s="733" t="str">
        <f>'DICTIONARY-4'!$A$3</f>
        <v>DR</v>
      </c>
      <c r="T1676" s="732" t="str">
        <f>'DICTIONARY-4'!$A$19</f>
        <v>Dźwignia ręczna</v>
      </c>
      <c r="U1676" s="734" t="s">
        <v>5750</v>
      </c>
      <c r="V1676" s="735">
        <v>16</v>
      </c>
      <c r="W1676" s="736"/>
      <c r="X1676" s="737"/>
      <c r="Y1676" s="738"/>
      <c r="Z1676" s="739"/>
      <c r="AA1676" s="739"/>
      <c r="AB1676" s="740">
        <v>16</v>
      </c>
      <c r="AC1676" s="741" t="str">
        <f>'DICTIONARY-5'!$A$11&amp;" 20"</f>
        <v>EN 558 szereg 20</v>
      </c>
      <c r="AD1676" s="741" t="str">
        <f>'DICTIONARY-5'!$A$18&amp;", "&amp;'DICTIONARY-5'!$A$14</f>
        <v>gaz, ścieki</v>
      </c>
      <c r="AE1676" s="742">
        <v>80</v>
      </c>
      <c r="AF1676" s="743">
        <v>15.5</v>
      </c>
      <c r="AG1676" s="741" t="str">
        <f>'DICTIONARY-5'!$A$23</f>
        <v>powłoka epoksydowa</v>
      </c>
    </row>
    <row r="1677" spans="1:33" x14ac:dyDescent="0.25">
      <c r="A1677" s="866" t="s">
        <v>1760</v>
      </c>
      <c r="B1677" s="866" t="s">
        <v>3793</v>
      </c>
      <c r="C1677" s="836">
        <v>525</v>
      </c>
      <c r="D1677" s="836"/>
      <c r="E1677" s="836"/>
      <c r="F1677" s="836"/>
      <c r="G1677" s="496" t="s">
        <v>7832</v>
      </c>
      <c r="H1677" s="797" t="str">
        <f>VLOOKUP(G1677,SETTINGS!$B$7:$D$97,2,0)</f>
        <v>CEREX 300</v>
      </c>
      <c r="I1677" s="796">
        <f>VLOOKUP(G1677,SETTINGS!$B$7:$D$97,3,0)</f>
        <v>0</v>
      </c>
      <c r="J1677" s="670" t="str">
        <f>IFERROR(IF(CURRENCY.FORMAT_1=0,CONCATENATE(TEXT(FIXED(ROUND((C1677/EXC.RATE_1),CURRENCY.FORMAT_1),CURRENCY.FORMAT_1,1),"# ##0;-# ##0"),",-"),FIXED(ROUND((C1677/EXC.RATE_1),CURRENCY.FORMAT_1),CURRENCY.FORMAT_1,0)),'DICTIONARY-5'!$A$2)</f>
        <v>525,-</v>
      </c>
      <c r="K1677" s="670" t="str">
        <f>IF(EXC.RATE_2=0,"",IFERROR(IF(CURRENCY.FORMAT_2=0,CONCATENATE(TEXT(FIXED(ROUND(IF(EXC.RATE.SWITCH=1,C1677/EXC.RATE_2,C1677*EXC.RATE_2),CURRENCY.FORMAT_2),CURRENCY.FORMAT_2,1),"# ##0;-# ##0"),",-"),FIXED(ROUND(IF(EXC.RATE.SWITCH=1,C1677/EXC.RATE_2,C1677*EXC.RATE_2),CURRENCY.FORMAT_2),CURRENCY.FORMAT_2,0)),'DICTIONARY-5'!$A$2))</f>
        <v/>
      </c>
      <c r="L1677" s="670" t="str">
        <f>IFERROR(IF(CURRENCY.FORMAT_1=0,CONCATENATE(TEXT(FIXED(ROUND((C1677*(1-I1677)*(1-ADD.DISCOUNT)*(1+MAT.SURCHARGE)/EXC.RATE_1),CURRENCY.FORMAT_1),CURRENCY.FORMAT_1,1),"# ##0;-# ##0"),",-"),FIXED(ROUND((C1677*(1-I1677)*(1-ADD.DISCOUNT)*(1+MAT.SURCHARGE)/EXC.RATE_1),CURRENCY.FORMAT_1),CURRENCY.FORMAT_1,0)),'DICTIONARY-5'!$A$2)</f>
        <v>545,-</v>
      </c>
      <c r="M1677" s="670" t="str">
        <f>IF(EXC.RATE_2=0,"",IFERROR(IF(CURRENCY.FORMAT_2=0,CONCATENATE(TEXT(FIXED(ROUND(IF(EXC.RATE.SWITCH=1,C1677*(1-I1677)*(1-ADD.DISCOUNT)*(1+MAT.SURCHARGE)/EXC.RATE_2,C1677*(1-I1677)*(1-ADD.DISCOUNT)*(1+MAT.SURCHARGE)*EXC.RATE_2),CURRENCY.FORMAT_2),CURRENCY.FORMAT_2,1),"# ##0;-# ##0"),",-"),FIXED(ROUND(IF(EXC.RATE.SWITCH=1,C1677*(1-I1677)*(1-ADD.DISCOUNT)*(1+MAT.SURCHARGE)/EXC.RATE_2,C1677*(1-I1677)*(1-ADD.DISCOUNT)*(1+MAT.SURCHARGE)*EXC.RATE_2),CURRENCY.FORMAT_2),CURRENCY.FORMAT_2,0)),'DICTIONARY-5'!$A$2))</f>
        <v/>
      </c>
      <c r="N1677" s="541">
        <v>6</v>
      </c>
      <c r="O1677" s="541"/>
      <c r="P1677" s="731" t="str">
        <f>'DICTIONARY-3'!$A$149</f>
        <v>CEREX 300-W</v>
      </c>
      <c r="Q1677" s="731" t="str">
        <f>'DICTIONARY-3'!$A$204</f>
        <v>Przepustnica kołnierzowa</v>
      </c>
      <c r="R1677" s="732" t="str">
        <f>CONCATENATE('DICTIONARY-3'!$A$149," ",'DICTIONARY-6'!$A$2," ",'DICTIONARY-2'!$A$2,"250"," ",'DICTIONARY-2'!$A$3,"10/16"," ",'DICTIONARY-2'!$A$10,"6",'DICTIONARY-2'!$A$20," ","R20"," ",'DICTIONARY-5'!$A$51,"/",'DICTIONARY-5'!$A$44,", ",'DICTIONARY-4'!$A$3," ",'DICTIONARY-5'!$A$48)</f>
        <v>CEREX 300-W Przep. kołnierz. DN250 PN10/16 PS6bar R20 GGG/EPDM, DR żeliwo</v>
      </c>
      <c r="S1677" s="733" t="str">
        <f>'DICTIONARY-4'!$A$3</f>
        <v>DR</v>
      </c>
      <c r="T1677" s="732" t="str">
        <f>'DICTIONARY-4'!$A$19</f>
        <v>Dźwignia ręczna</v>
      </c>
      <c r="U1677" s="734" t="s">
        <v>5751</v>
      </c>
      <c r="V1677" s="735">
        <v>16</v>
      </c>
      <c r="W1677" s="736"/>
      <c r="X1677" s="737"/>
      <c r="Y1677" s="738"/>
      <c r="Z1677" s="739"/>
      <c r="AA1677" s="739"/>
      <c r="AB1677" s="740">
        <v>6</v>
      </c>
      <c r="AC1677" s="741" t="str">
        <f>'DICTIONARY-5'!$A$11&amp;" 20"</f>
        <v>EN 558 szereg 20</v>
      </c>
      <c r="AD1677" s="741" t="str">
        <f>'DICTIONARY-5'!$A$13</f>
        <v>woda pitna</v>
      </c>
      <c r="AE1677" s="742">
        <v>80</v>
      </c>
      <c r="AF1677" s="743">
        <v>26.5</v>
      </c>
      <c r="AG1677" s="741" t="str">
        <f>'DICTIONARY-5'!$A$23</f>
        <v>powłoka epoksydowa</v>
      </c>
    </row>
    <row r="1678" spans="1:33" x14ac:dyDescent="0.25">
      <c r="A1678" s="866" t="s">
        <v>1762</v>
      </c>
      <c r="B1678" s="866" t="s">
        <v>3797</v>
      </c>
      <c r="C1678" s="836">
        <v>694</v>
      </c>
      <c r="D1678" s="836"/>
      <c r="E1678" s="836"/>
      <c r="F1678" s="836"/>
      <c r="G1678" s="496" t="s">
        <v>7832</v>
      </c>
      <c r="H1678" s="797" t="str">
        <f>VLOOKUP(G1678,SETTINGS!$B$7:$D$97,2,0)</f>
        <v>CEREX 300</v>
      </c>
      <c r="I1678" s="796">
        <f>VLOOKUP(G1678,SETTINGS!$B$7:$D$97,3,0)</f>
        <v>0</v>
      </c>
      <c r="J1678" s="670" t="str">
        <f>IFERROR(IF(CURRENCY.FORMAT_1=0,CONCATENATE(TEXT(FIXED(ROUND((C1678/EXC.RATE_1),CURRENCY.FORMAT_1),CURRENCY.FORMAT_1,1),"# ##0;-# ##0"),",-"),FIXED(ROUND((C1678/EXC.RATE_1),CURRENCY.FORMAT_1),CURRENCY.FORMAT_1,0)),'DICTIONARY-5'!$A$2)</f>
        <v>694,-</v>
      </c>
      <c r="K1678" s="670" t="str">
        <f>IF(EXC.RATE_2=0,"",IFERROR(IF(CURRENCY.FORMAT_2=0,CONCATENATE(TEXT(FIXED(ROUND(IF(EXC.RATE.SWITCH=1,C1678/EXC.RATE_2,C1678*EXC.RATE_2),CURRENCY.FORMAT_2),CURRENCY.FORMAT_2,1),"# ##0;-# ##0"),",-"),FIXED(ROUND(IF(EXC.RATE.SWITCH=1,C1678/EXC.RATE_2,C1678*EXC.RATE_2),CURRENCY.FORMAT_2),CURRENCY.FORMAT_2,0)),'DICTIONARY-5'!$A$2))</f>
        <v/>
      </c>
      <c r="L1678" s="670" t="str">
        <f>IFERROR(IF(CURRENCY.FORMAT_1=0,CONCATENATE(TEXT(FIXED(ROUND((C1678*(1-I1678)*(1-ADD.DISCOUNT)*(1+MAT.SURCHARGE)/EXC.RATE_1),CURRENCY.FORMAT_1),CURRENCY.FORMAT_1,1),"# ##0;-# ##0"),",-"),FIXED(ROUND((C1678*(1-I1678)*(1-ADD.DISCOUNT)*(1+MAT.SURCHARGE)/EXC.RATE_1),CURRENCY.FORMAT_1),CURRENCY.FORMAT_1,0)),'DICTIONARY-5'!$A$2)</f>
        <v>721,-</v>
      </c>
      <c r="M1678" s="670" t="str">
        <f>IF(EXC.RATE_2=0,"",IFERROR(IF(CURRENCY.FORMAT_2=0,CONCATENATE(TEXT(FIXED(ROUND(IF(EXC.RATE.SWITCH=1,C1678*(1-I1678)*(1-ADD.DISCOUNT)*(1+MAT.SURCHARGE)/EXC.RATE_2,C1678*(1-I1678)*(1-ADD.DISCOUNT)*(1+MAT.SURCHARGE)*EXC.RATE_2),CURRENCY.FORMAT_2),CURRENCY.FORMAT_2,1),"# ##0;-# ##0"),",-"),FIXED(ROUND(IF(EXC.RATE.SWITCH=1,C1678*(1-I1678)*(1-ADD.DISCOUNT)*(1+MAT.SURCHARGE)/EXC.RATE_2,C1678*(1-I1678)*(1-ADD.DISCOUNT)*(1+MAT.SURCHARGE)*EXC.RATE_2),CURRENCY.FORMAT_2),CURRENCY.FORMAT_2,0)),'DICTIONARY-5'!$A$2))</f>
        <v/>
      </c>
      <c r="N1678" s="541">
        <v>6</v>
      </c>
      <c r="O1678" s="541"/>
      <c r="P1678" s="731" t="str">
        <f>'DICTIONARY-3'!$A$149</f>
        <v>CEREX 300-W</v>
      </c>
      <c r="Q1678" s="731" t="str">
        <f>'DICTIONARY-3'!$A$204</f>
        <v>Przepustnica kołnierzowa</v>
      </c>
      <c r="R1678" s="732" t="str">
        <f>CONCATENATE('DICTIONARY-3'!$A$149," ",'DICTIONARY-6'!$A$2," ",'DICTIONARY-2'!$A$2,"300"," ",'DICTIONARY-2'!$A$3,"10/16"," ",'DICTIONARY-2'!$A$10,"6",'DICTIONARY-2'!$A$20," ","R20"," ",'DICTIONARY-5'!$A$51,"/",'DICTIONARY-5'!$A$44,", ",'DICTIONARY-4'!$A$3," ",'DICTIONARY-5'!$A$48)</f>
        <v>CEREX 300-W Przep. kołnierz. DN300 PN10/16 PS6bar R20 GGG/EPDM, DR żeliwo</v>
      </c>
      <c r="S1678" s="733" t="str">
        <f>'DICTIONARY-4'!$A$3</f>
        <v>DR</v>
      </c>
      <c r="T1678" s="732" t="str">
        <f>'DICTIONARY-4'!$A$19</f>
        <v>Dźwignia ręczna</v>
      </c>
      <c r="U1678" s="734" t="s">
        <v>5752</v>
      </c>
      <c r="V1678" s="735">
        <v>16</v>
      </c>
      <c r="W1678" s="736"/>
      <c r="X1678" s="737"/>
      <c r="Y1678" s="738"/>
      <c r="Z1678" s="739"/>
      <c r="AA1678" s="739"/>
      <c r="AB1678" s="740">
        <v>6</v>
      </c>
      <c r="AC1678" s="741" t="str">
        <f>'DICTIONARY-5'!$A$11&amp;" 20"</f>
        <v>EN 558 szereg 20</v>
      </c>
      <c r="AD1678" s="741" t="str">
        <f>'DICTIONARY-5'!$A$13</f>
        <v>woda pitna</v>
      </c>
      <c r="AE1678" s="742">
        <v>80</v>
      </c>
      <c r="AF1678" s="743">
        <v>35</v>
      </c>
      <c r="AG1678" s="741" t="str">
        <f>'DICTIONARY-5'!$A$23</f>
        <v>powłoka epoksydowa</v>
      </c>
    </row>
    <row r="1679" spans="1:33" x14ac:dyDescent="0.25">
      <c r="A1679" s="866" t="s">
        <v>1761</v>
      </c>
      <c r="B1679" s="866" t="s">
        <v>3726</v>
      </c>
      <c r="C1679" s="836">
        <v>670</v>
      </c>
      <c r="D1679" s="836"/>
      <c r="E1679" s="836"/>
      <c r="F1679" s="836"/>
      <c r="G1679" s="496" t="s">
        <v>7832</v>
      </c>
      <c r="H1679" s="797" t="str">
        <f>VLOOKUP(G1679,SETTINGS!$B$7:$D$97,2,0)</f>
        <v>CEREX 300</v>
      </c>
      <c r="I1679" s="796">
        <f>VLOOKUP(G1679,SETTINGS!$B$7:$D$97,3,0)</f>
        <v>0</v>
      </c>
      <c r="J1679" s="670" t="str">
        <f>IFERROR(IF(CURRENCY.FORMAT_1=0,CONCATENATE(TEXT(FIXED(ROUND((C1679/EXC.RATE_1),CURRENCY.FORMAT_1),CURRENCY.FORMAT_1,1),"# ##0;-# ##0"),",-"),FIXED(ROUND((C1679/EXC.RATE_1),CURRENCY.FORMAT_1),CURRENCY.FORMAT_1,0)),'DICTIONARY-5'!$A$2)</f>
        <v>670,-</v>
      </c>
      <c r="K1679" s="670" t="str">
        <f>IF(EXC.RATE_2=0,"",IFERROR(IF(CURRENCY.FORMAT_2=0,CONCATENATE(TEXT(FIXED(ROUND(IF(EXC.RATE.SWITCH=1,C1679/EXC.RATE_2,C1679*EXC.RATE_2),CURRENCY.FORMAT_2),CURRENCY.FORMAT_2,1),"# ##0;-# ##0"),",-"),FIXED(ROUND(IF(EXC.RATE.SWITCH=1,C1679/EXC.RATE_2,C1679*EXC.RATE_2),CURRENCY.FORMAT_2),CURRENCY.FORMAT_2,0)),'DICTIONARY-5'!$A$2))</f>
        <v/>
      </c>
      <c r="L1679" s="670" t="str">
        <f>IFERROR(IF(CURRENCY.FORMAT_1=0,CONCATENATE(TEXT(FIXED(ROUND((C1679*(1-I1679)*(1-ADD.DISCOUNT)*(1+MAT.SURCHARGE)/EXC.RATE_1),CURRENCY.FORMAT_1),CURRENCY.FORMAT_1,1),"# ##0;-# ##0"),",-"),FIXED(ROUND((C1679*(1-I1679)*(1-ADD.DISCOUNT)*(1+MAT.SURCHARGE)/EXC.RATE_1),CURRENCY.FORMAT_1),CURRENCY.FORMAT_1,0)),'DICTIONARY-5'!$A$2)</f>
        <v>696,-</v>
      </c>
      <c r="M1679" s="670" t="str">
        <f>IF(EXC.RATE_2=0,"",IFERROR(IF(CURRENCY.FORMAT_2=0,CONCATENATE(TEXT(FIXED(ROUND(IF(EXC.RATE.SWITCH=1,C1679*(1-I1679)*(1-ADD.DISCOUNT)*(1+MAT.SURCHARGE)/EXC.RATE_2,C1679*(1-I1679)*(1-ADD.DISCOUNT)*(1+MAT.SURCHARGE)*EXC.RATE_2),CURRENCY.FORMAT_2),CURRENCY.FORMAT_2,1),"# ##0;-# ##0"),",-"),FIXED(ROUND(IF(EXC.RATE.SWITCH=1,C1679*(1-I1679)*(1-ADD.DISCOUNT)*(1+MAT.SURCHARGE)/EXC.RATE_2,C1679*(1-I1679)*(1-ADD.DISCOUNT)*(1+MAT.SURCHARGE)*EXC.RATE_2),CURRENCY.FORMAT_2),CURRENCY.FORMAT_2,0)),'DICTIONARY-5'!$A$2))</f>
        <v/>
      </c>
      <c r="N1679" s="541">
        <v>6</v>
      </c>
      <c r="O1679" s="541"/>
      <c r="P1679" s="731" t="str">
        <f>'DICTIONARY-3'!$A$149</f>
        <v>CEREX 300-W</v>
      </c>
      <c r="Q1679" s="731" t="str">
        <f>'DICTIONARY-3'!$A$204</f>
        <v>Przepustnica kołnierzowa</v>
      </c>
      <c r="R1679" s="732" t="str">
        <f>CONCATENATE('DICTIONARY-3'!$A$149," ",'DICTIONARY-6'!$A$2," ",'DICTIONARY-2'!$A$2,"250"," ",'DICTIONARY-2'!$A$3,"10/16"," ",'DICTIONARY-2'!$A$10,"6",'DICTIONARY-2'!$A$20," ","R20"," ",'DICTIONARY-5'!$A$37,"/",'DICTIONARY-5'!$A$44,", ",'DICTIONARY-4'!$A$3," ",'DICTIONARY-5'!$A$48)</f>
        <v>CEREX 300-W Przep. kołnierz. DN250 PN10/16 PS6bar R20 CF8M/EPDM, DR żeliwo</v>
      </c>
      <c r="S1679" s="733" t="str">
        <f>'DICTIONARY-4'!$A$3</f>
        <v>DR</v>
      </c>
      <c r="T1679" s="732" t="str">
        <f>'DICTIONARY-4'!$A$19</f>
        <v>Dźwignia ręczna</v>
      </c>
      <c r="U1679" s="734" t="s">
        <v>5751</v>
      </c>
      <c r="V1679" s="735">
        <v>16</v>
      </c>
      <c r="W1679" s="736"/>
      <c r="X1679" s="737"/>
      <c r="Y1679" s="738"/>
      <c r="Z1679" s="739"/>
      <c r="AA1679" s="739"/>
      <c r="AB1679" s="740">
        <v>6</v>
      </c>
      <c r="AC1679" s="741" t="str">
        <f>'DICTIONARY-5'!$A$11&amp;" 20"</f>
        <v>EN 558 szereg 20</v>
      </c>
      <c r="AD1679" s="741" t="str">
        <f>'DICTIONARY-5'!$A$13</f>
        <v>woda pitna</v>
      </c>
      <c r="AE1679" s="742">
        <v>110</v>
      </c>
      <c r="AF1679" s="743">
        <v>28</v>
      </c>
      <c r="AG1679" s="741" t="str">
        <f>'DICTIONARY-5'!$A$23</f>
        <v>powłoka epoksydowa</v>
      </c>
    </row>
    <row r="1680" spans="1:33" x14ac:dyDescent="0.25">
      <c r="A1680" s="866" t="s">
        <v>1763</v>
      </c>
      <c r="B1680" s="866" t="s">
        <v>3730</v>
      </c>
      <c r="C1680" s="836">
        <v>908</v>
      </c>
      <c r="D1680" s="836"/>
      <c r="E1680" s="836"/>
      <c r="F1680" s="836"/>
      <c r="G1680" s="496" t="s">
        <v>7832</v>
      </c>
      <c r="H1680" s="797" t="str">
        <f>VLOOKUP(G1680,SETTINGS!$B$7:$D$97,2,0)</f>
        <v>CEREX 300</v>
      </c>
      <c r="I1680" s="796">
        <f>VLOOKUP(G1680,SETTINGS!$B$7:$D$97,3,0)</f>
        <v>0</v>
      </c>
      <c r="J1680" s="670" t="str">
        <f>IFERROR(IF(CURRENCY.FORMAT_1=0,CONCATENATE(TEXT(FIXED(ROUND((C1680/EXC.RATE_1),CURRENCY.FORMAT_1),CURRENCY.FORMAT_1,1),"# ##0;-# ##0"),",-"),FIXED(ROUND((C1680/EXC.RATE_1),CURRENCY.FORMAT_1),CURRENCY.FORMAT_1,0)),'DICTIONARY-5'!$A$2)</f>
        <v>908,-</v>
      </c>
      <c r="K1680" s="670" t="str">
        <f>IF(EXC.RATE_2=0,"",IFERROR(IF(CURRENCY.FORMAT_2=0,CONCATENATE(TEXT(FIXED(ROUND(IF(EXC.RATE.SWITCH=1,C1680/EXC.RATE_2,C1680*EXC.RATE_2),CURRENCY.FORMAT_2),CURRENCY.FORMAT_2,1),"# ##0;-# ##0"),",-"),FIXED(ROUND(IF(EXC.RATE.SWITCH=1,C1680/EXC.RATE_2,C1680*EXC.RATE_2),CURRENCY.FORMAT_2),CURRENCY.FORMAT_2,0)),'DICTIONARY-5'!$A$2))</f>
        <v/>
      </c>
      <c r="L1680" s="670" t="str">
        <f>IFERROR(IF(CURRENCY.FORMAT_1=0,CONCATENATE(TEXT(FIXED(ROUND((C1680*(1-I1680)*(1-ADD.DISCOUNT)*(1+MAT.SURCHARGE)/EXC.RATE_1),CURRENCY.FORMAT_1),CURRENCY.FORMAT_1,1),"# ##0;-# ##0"),",-"),FIXED(ROUND((C1680*(1-I1680)*(1-ADD.DISCOUNT)*(1+MAT.SURCHARGE)/EXC.RATE_1),CURRENCY.FORMAT_1),CURRENCY.FORMAT_1,0)),'DICTIONARY-5'!$A$2)</f>
        <v>943,-</v>
      </c>
      <c r="M1680" s="670" t="str">
        <f>IF(EXC.RATE_2=0,"",IFERROR(IF(CURRENCY.FORMAT_2=0,CONCATENATE(TEXT(FIXED(ROUND(IF(EXC.RATE.SWITCH=1,C1680*(1-I1680)*(1-ADD.DISCOUNT)*(1+MAT.SURCHARGE)/EXC.RATE_2,C1680*(1-I1680)*(1-ADD.DISCOUNT)*(1+MAT.SURCHARGE)*EXC.RATE_2),CURRENCY.FORMAT_2),CURRENCY.FORMAT_2,1),"# ##0;-# ##0"),",-"),FIXED(ROUND(IF(EXC.RATE.SWITCH=1,C1680*(1-I1680)*(1-ADD.DISCOUNT)*(1+MAT.SURCHARGE)/EXC.RATE_2,C1680*(1-I1680)*(1-ADD.DISCOUNT)*(1+MAT.SURCHARGE)*EXC.RATE_2),CURRENCY.FORMAT_2),CURRENCY.FORMAT_2,0)),'DICTIONARY-5'!$A$2))</f>
        <v/>
      </c>
      <c r="N1680" s="541">
        <v>6</v>
      </c>
      <c r="O1680" s="541"/>
      <c r="P1680" s="731" t="str">
        <f>'DICTIONARY-3'!$A$149</f>
        <v>CEREX 300-W</v>
      </c>
      <c r="Q1680" s="731" t="str">
        <f>'DICTIONARY-3'!$A$204</f>
        <v>Przepustnica kołnierzowa</v>
      </c>
      <c r="R1680" s="732" t="str">
        <f>CONCATENATE('DICTIONARY-3'!$A$149," ",'DICTIONARY-6'!$A$2," ",'DICTIONARY-2'!$A$2,"300"," ",'DICTIONARY-2'!$A$3,"10/16"," ",'DICTIONARY-2'!$A$10,"6",'DICTIONARY-2'!$A$20," ","R20"," ",'DICTIONARY-5'!$A$37,"/",'DICTIONARY-5'!$A$44,", ",'DICTIONARY-4'!$A$3," ",'DICTIONARY-5'!$A$48)</f>
        <v>CEREX 300-W Przep. kołnierz. DN300 PN10/16 PS6bar R20 CF8M/EPDM, DR żeliwo</v>
      </c>
      <c r="S1680" s="733" t="str">
        <f>'DICTIONARY-4'!$A$3</f>
        <v>DR</v>
      </c>
      <c r="T1680" s="732" t="str">
        <f>'DICTIONARY-4'!$A$19</f>
        <v>Dźwignia ręczna</v>
      </c>
      <c r="U1680" s="734" t="s">
        <v>5752</v>
      </c>
      <c r="V1680" s="735">
        <v>16</v>
      </c>
      <c r="W1680" s="736"/>
      <c r="X1680" s="737"/>
      <c r="Y1680" s="738"/>
      <c r="Z1680" s="739"/>
      <c r="AA1680" s="739"/>
      <c r="AB1680" s="740">
        <v>6</v>
      </c>
      <c r="AC1680" s="741" t="str">
        <f>'DICTIONARY-5'!$A$11&amp;" 20"</f>
        <v>EN 558 szereg 20</v>
      </c>
      <c r="AD1680" s="741" t="str">
        <f>'DICTIONARY-5'!$A$13</f>
        <v>woda pitna</v>
      </c>
      <c r="AE1680" s="742">
        <v>110</v>
      </c>
      <c r="AF1680" s="743">
        <v>36.5</v>
      </c>
      <c r="AG1680" s="741" t="str">
        <f>'DICTIONARY-5'!$A$23</f>
        <v>powłoka epoksydowa</v>
      </c>
    </row>
    <row r="1681" spans="1:33" x14ac:dyDescent="0.25">
      <c r="A1681" s="869" t="s">
        <v>1764</v>
      </c>
      <c r="B1681" s="869" t="s">
        <v>3794</v>
      </c>
      <c r="C1681" s="836">
        <v>534</v>
      </c>
      <c r="D1681" s="836"/>
      <c r="E1681" s="836"/>
      <c r="F1681" s="836"/>
      <c r="G1681" s="496" t="s">
        <v>7832</v>
      </c>
      <c r="H1681" s="797" t="str">
        <f>VLOOKUP(G1681,SETTINGS!$B$7:$D$97,2,0)</f>
        <v>CEREX 300</v>
      </c>
      <c r="I1681" s="796">
        <f>VLOOKUP(G1681,SETTINGS!$B$7:$D$97,3,0)</f>
        <v>0</v>
      </c>
      <c r="J1681" s="670" t="str">
        <f>IFERROR(IF(CURRENCY.FORMAT_1=0,CONCATENATE(TEXT(FIXED(ROUND((C1681/EXC.RATE_1),CURRENCY.FORMAT_1),CURRENCY.FORMAT_1,1),"# ##0;-# ##0"),",-"),FIXED(ROUND((C1681/EXC.RATE_1),CURRENCY.FORMAT_1),CURRENCY.FORMAT_1,0)),'DICTIONARY-5'!$A$2)</f>
        <v>534,-</v>
      </c>
      <c r="K1681" s="670" t="str">
        <f>IF(EXC.RATE_2=0,"",IFERROR(IF(CURRENCY.FORMAT_2=0,CONCATENATE(TEXT(FIXED(ROUND(IF(EXC.RATE.SWITCH=1,C1681/EXC.RATE_2,C1681*EXC.RATE_2),CURRENCY.FORMAT_2),CURRENCY.FORMAT_2,1),"# ##0;-# ##0"),",-"),FIXED(ROUND(IF(EXC.RATE.SWITCH=1,C1681/EXC.RATE_2,C1681*EXC.RATE_2),CURRENCY.FORMAT_2),CURRENCY.FORMAT_2,0)),'DICTIONARY-5'!$A$2))</f>
        <v/>
      </c>
      <c r="L1681" s="670" t="str">
        <f>IFERROR(IF(CURRENCY.FORMAT_1=0,CONCATENATE(TEXT(FIXED(ROUND((C1681*(1-I1681)*(1-ADD.DISCOUNT)*(1+MAT.SURCHARGE)/EXC.RATE_1),CURRENCY.FORMAT_1),CURRENCY.FORMAT_1,1),"# ##0;-# ##0"),",-"),FIXED(ROUND((C1681*(1-I1681)*(1-ADD.DISCOUNT)*(1+MAT.SURCHARGE)/EXC.RATE_1),CURRENCY.FORMAT_1),CURRENCY.FORMAT_1,0)),'DICTIONARY-5'!$A$2)</f>
        <v>555,-</v>
      </c>
      <c r="M1681" s="670" t="str">
        <f>IF(EXC.RATE_2=0,"",IFERROR(IF(CURRENCY.FORMAT_2=0,CONCATENATE(TEXT(FIXED(ROUND(IF(EXC.RATE.SWITCH=1,C1681*(1-I1681)*(1-ADD.DISCOUNT)*(1+MAT.SURCHARGE)/EXC.RATE_2,C1681*(1-I1681)*(1-ADD.DISCOUNT)*(1+MAT.SURCHARGE)*EXC.RATE_2),CURRENCY.FORMAT_2),CURRENCY.FORMAT_2,1),"# ##0;-# ##0"),",-"),FIXED(ROUND(IF(EXC.RATE.SWITCH=1,C1681*(1-I1681)*(1-ADD.DISCOUNT)*(1+MAT.SURCHARGE)/EXC.RATE_2,C1681*(1-I1681)*(1-ADD.DISCOUNT)*(1+MAT.SURCHARGE)*EXC.RATE_2),CURRENCY.FORMAT_2),CURRENCY.FORMAT_2,0)),'DICTIONARY-5'!$A$2))</f>
        <v/>
      </c>
      <c r="N1681" s="535">
        <v>6</v>
      </c>
      <c r="O1681" s="535"/>
      <c r="P1681" s="731" t="str">
        <f>'DICTIONARY-3'!$A$149</f>
        <v>CEREX 300-W</v>
      </c>
      <c r="Q1681" s="732" t="str">
        <f>'DICTIONARY-3'!$A$204</f>
        <v>Przepustnica kołnierzowa</v>
      </c>
      <c r="R1681" s="732" t="str">
        <f>CONCATENATE('DICTIONARY-3'!$A$149," ",'DICTIONARY-6'!$A$2," ",UPPER('DICTIONARY-5'!$A$18)," ",'DICTIONARY-2'!$A$2,"250"," ",'DICTIONARY-2'!$A$3,"16"," ",'DICTIONARY-2'!$A$10,"6",'DICTIONARY-2'!$A$20," ","R20"," ",'DICTIONARY-5'!$A$51,"/",'DICTIONARY-5'!$A$45,", ",'DICTIONARY-4'!$A$3," ",'DICTIONARY-5'!$A$48)</f>
        <v>CEREX 300-W Przep. kołnierz. GAZ DN250 PN16 PS6bar R20 GGG/NBR, DR żeliwo</v>
      </c>
      <c r="S1681" s="733" t="str">
        <f>'DICTIONARY-4'!$A$3</f>
        <v>DR</v>
      </c>
      <c r="T1681" s="732" t="str">
        <f>'DICTIONARY-4'!$A$19</f>
        <v>Dźwignia ręczna</v>
      </c>
      <c r="U1681" s="734" t="s">
        <v>5751</v>
      </c>
      <c r="V1681" s="735">
        <v>16</v>
      </c>
      <c r="W1681" s="736"/>
      <c r="X1681" s="737"/>
      <c r="Y1681" s="738"/>
      <c r="Z1681" s="739"/>
      <c r="AA1681" s="739"/>
      <c r="AB1681" s="740">
        <v>6</v>
      </c>
      <c r="AC1681" s="741" t="str">
        <f>'DICTIONARY-5'!$A$11&amp;" 20"</f>
        <v>EN 558 szereg 20</v>
      </c>
      <c r="AD1681" s="741" t="str">
        <f>'DICTIONARY-5'!$A$18&amp;", "&amp;'DICTIONARY-5'!$A$14</f>
        <v>gaz, ścieki</v>
      </c>
      <c r="AE1681" s="742">
        <v>80</v>
      </c>
      <c r="AF1681" s="743">
        <v>26</v>
      </c>
      <c r="AG1681" s="741" t="str">
        <f>'DICTIONARY-5'!$A$23</f>
        <v>powłoka epoksydowa</v>
      </c>
    </row>
    <row r="1682" spans="1:33" x14ac:dyDescent="0.25">
      <c r="A1682" s="869" t="s">
        <v>1766</v>
      </c>
      <c r="B1682" s="869" t="s">
        <v>3798</v>
      </c>
      <c r="C1682" s="836">
        <v>706</v>
      </c>
      <c r="D1682" s="836"/>
      <c r="E1682" s="836"/>
      <c r="F1682" s="836"/>
      <c r="G1682" s="496" t="s">
        <v>7832</v>
      </c>
      <c r="H1682" s="797" t="str">
        <f>VLOOKUP(G1682,SETTINGS!$B$7:$D$97,2,0)</f>
        <v>CEREX 300</v>
      </c>
      <c r="I1682" s="796">
        <f>VLOOKUP(G1682,SETTINGS!$B$7:$D$97,3,0)</f>
        <v>0</v>
      </c>
      <c r="J1682" s="670" t="str">
        <f>IFERROR(IF(CURRENCY.FORMAT_1=0,CONCATENATE(TEXT(FIXED(ROUND((C1682/EXC.RATE_1),CURRENCY.FORMAT_1),CURRENCY.FORMAT_1,1),"# ##0;-# ##0"),",-"),FIXED(ROUND((C1682/EXC.RATE_1),CURRENCY.FORMAT_1),CURRENCY.FORMAT_1,0)),'DICTIONARY-5'!$A$2)</f>
        <v>706,-</v>
      </c>
      <c r="K1682" s="670" t="str">
        <f>IF(EXC.RATE_2=0,"",IFERROR(IF(CURRENCY.FORMAT_2=0,CONCATENATE(TEXT(FIXED(ROUND(IF(EXC.RATE.SWITCH=1,C1682/EXC.RATE_2,C1682*EXC.RATE_2),CURRENCY.FORMAT_2),CURRENCY.FORMAT_2,1),"# ##0;-# ##0"),",-"),FIXED(ROUND(IF(EXC.RATE.SWITCH=1,C1682/EXC.RATE_2,C1682*EXC.RATE_2),CURRENCY.FORMAT_2),CURRENCY.FORMAT_2,0)),'DICTIONARY-5'!$A$2))</f>
        <v/>
      </c>
      <c r="L1682" s="670" t="str">
        <f>IFERROR(IF(CURRENCY.FORMAT_1=0,CONCATENATE(TEXT(FIXED(ROUND((C1682*(1-I1682)*(1-ADD.DISCOUNT)*(1+MAT.SURCHARGE)/EXC.RATE_1),CURRENCY.FORMAT_1),CURRENCY.FORMAT_1,1),"# ##0;-# ##0"),",-"),FIXED(ROUND((C1682*(1-I1682)*(1-ADD.DISCOUNT)*(1+MAT.SURCHARGE)/EXC.RATE_1),CURRENCY.FORMAT_1),CURRENCY.FORMAT_1,0)),'DICTIONARY-5'!$A$2)</f>
        <v>734,-</v>
      </c>
      <c r="M1682" s="670" t="str">
        <f>IF(EXC.RATE_2=0,"",IFERROR(IF(CURRENCY.FORMAT_2=0,CONCATENATE(TEXT(FIXED(ROUND(IF(EXC.RATE.SWITCH=1,C1682*(1-I1682)*(1-ADD.DISCOUNT)*(1+MAT.SURCHARGE)/EXC.RATE_2,C1682*(1-I1682)*(1-ADD.DISCOUNT)*(1+MAT.SURCHARGE)*EXC.RATE_2),CURRENCY.FORMAT_2),CURRENCY.FORMAT_2,1),"# ##0;-# ##0"),",-"),FIXED(ROUND(IF(EXC.RATE.SWITCH=1,C1682*(1-I1682)*(1-ADD.DISCOUNT)*(1+MAT.SURCHARGE)/EXC.RATE_2,C1682*(1-I1682)*(1-ADD.DISCOUNT)*(1+MAT.SURCHARGE)*EXC.RATE_2),CURRENCY.FORMAT_2),CURRENCY.FORMAT_2,0)),'DICTIONARY-5'!$A$2))</f>
        <v/>
      </c>
      <c r="N1682" s="535">
        <v>6</v>
      </c>
      <c r="O1682" s="535"/>
      <c r="P1682" s="731" t="str">
        <f>'DICTIONARY-3'!$A$149</f>
        <v>CEREX 300-W</v>
      </c>
      <c r="Q1682" s="732" t="str">
        <f>'DICTIONARY-3'!$A$204</f>
        <v>Przepustnica kołnierzowa</v>
      </c>
      <c r="R1682" s="732" t="str">
        <f>CONCATENATE('DICTIONARY-3'!$A$149," ",'DICTIONARY-6'!$A$2," ",UPPER('DICTIONARY-5'!$A$18)," ",'DICTIONARY-2'!$A$2,"300"," ",'DICTIONARY-2'!$A$3,"16"," ",'DICTIONARY-2'!$A$10,"6",'DICTIONARY-2'!$A$20," ","R20"," ",'DICTIONARY-5'!$A$51,"/",'DICTIONARY-5'!$A$45,", ",'DICTIONARY-4'!$A$3," ",'DICTIONARY-5'!$A$48)</f>
        <v>CEREX 300-W Przep. kołnierz. GAZ DN300 PN16 PS6bar R20 GGG/NBR, DR żeliwo</v>
      </c>
      <c r="S1682" s="733" t="str">
        <f>'DICTIONARY-4'!$A$3</f>
        <v>DR</v>
      </c>
      <c r="T1682" s="732" t="str">
        <f>'DICTIONARY-4'!$A$19</f>
        <v>Dźwignia ręczna</v>
      </c>
      <c r="U1682" s="734" t="s">
        <v>5752</v>
      </c>
      <c r="V1682" s="735">
        <v>16</v>
      </c>
      <c r="W1682" s="736"/>
      <c r="X1682" s="737"/>
      <c r="Y1682" s="738"/>
      <c r="Z1682" s="739"/>
      <c r="AA1682" s="739"/>
      <c r="AB1682" s="740">
        <v>6</v>
      </c>
      <c r="AC1682" s="741" t="str">
        <f>'DICTIONARY-5'!$A$11&amp;" 20"</f>
        <v>EN 558 szereg 20</v>
      </c>
      <c r="AD1682" s="741" t="str">
        <f>'DICTIONARY-5'!$A$18&amp;", "&amp;'DICTIONARY-5'!$A$14</f>
        <v>gaz, ścieki</v>
      </c>
      <c r="AE1682" s="742">
        <v>80</v>
      </c>
      <c r="AF1682" s="743">
        <v>35</v>
      </c>
      <c r="AG1682" s="741" t="str">
        <f>'DICTIONARY-5'!$A$23</f>
        <v>powłoka epoksydowa</v>
      </c>
    </row>
    <row r="1683" spans="1:33" x14ac:dyDescent="0.25">
      <c r="A1683" s="869" t="s">
        <v>1765</v>
      </c>
      <c r="B1683" s="869" t="s">
        <v>3727</v>
      </c>
      <c r="C1683" s="836">
        <v>680</v>
      </c>
      <c r="D1683" s="836"/>
      <c r="E1683" s="836"/>
      <c r="F1683" s="836"/>
      <c r="G1683" s="496" t="s">
        <v>7832</v>
      </c>
      <c r="H1683" s="797" t="str">
        <f>VLOOKUP(G1683,SETTINGS!$B$7:$D$97,2,0)</f>
        <v>CEREX 300</v>
      </c>
      <c r="I1683" s="796">
        <f>VLOOKUP(G1683,SETTINGS!$B$7:$D$97,3,0)</f>
        <v>0</v>
      </c>
      <c r="J1683" s="670" t="str">
        <f>IFERROR(IF(CURRENCY.FORMAT_1=0,CONCATENATE(TEXT(FIXED(ROUND((C1683/EXC.RATE_1),CURRENCY.FORMAT_1),CURRENCY.FORMAT_1,1),"# ##0;-# ##0"),",-"),FIXED(ROUND((C1683/EXC.RATE_1),CURRENCY.FORMAT_1),CURRENCY.FORMAT_1,0)),'DICTIONARY-5'!$A$2)</f>
        <v>680,-</v>
      </c>
      <c r="K1683" s="670" t="str">
        <f>IF(EXC.RATE_2=0,"",IFERROR(IF(CURRENCY.FORMAT_2=0,CONCATENATE(TEXT(FIXED(ROUND(IF(EXC.RATE.SWITCH=1,C1683/EXC.RATE_2,C1683*EXC.RATE_2),CURRENCY.FORMAT_2),CURRENCY.FORMAT_2,1),"# ##0;-# ##0"),",-"),FIXED(ROUND(IF(EXC.RATE.SWITCH=1,C1683/EXC.RATE_2,C1683*EXC.RATE_2),CURRENCY.FORMAT_2),CURRENCY.FORMAT_2,0)),'DICTIONARY-5'!$A$2))</f>
        <v/>
      </c>
      <c r="L1683" s="670" t="str">
        <f>IFERROR(IF(CURRENCY.FORMAT_1=0,CONCATENATE(TEXT(FIXED(ROUND((C1683*(1-I1683)*(1-ADD.DISCOUNT)*(1+MAT.SURCHARGE)/EXC.RATE_1),CURRENCY.FORMAT_1),CURRENCY.FORMAT_1,1),"# ##0;-# ##0"),",-"),FIXED(ROUND((C1683*(1-I1683)*(1-ADD.DISCOUNT)*(1+MAT.SURCHARGE)/EXC.RATE_1),CURRENCY.FORMAT_1),CURRENCY.FORMAT_1,0)),'DICTIONARY-5'!$A$2)</f>
        <v>707,-</v>
      </c>
      <c r="M1683" s="670" t="str">
        <f>IF(EXC.RATE_2=0,"",IFERROR(IF(CURRENCY.FORMAT_2=0,CONCATENATE(TEXT(FIXED(ROUND(IF(EXC.RATE.SWITCH=1,C1683*(1-I1683)*(1-ADD.DISCOUNT)*(1+MAT.SURCHARGE)/EXC.RATE_2,C1683*(1-I1683)*(1-ADD.DISCOUNT)*(1+MAT.SURCHARGE)*EXC.RATE_2),CURRENCY.FORMAT_2),CURRENCY.FORMAT_2,1),"# ##0;-# ##0"),",-"),FIXED(ROUND(IF(EXC.RATE.SWITCH=1,C1683*(1-I1683)*(1-ADD.DISCOUNT)*(1+MAT.SURCHARGE)/EXC.RATE_2,C1683*(1-I1683)*(1-ADD.DISCOUNT)*(1+MAT.SURCHARGE)*EXC.RATE_2),CURRENCY.FORMAT_2),CURRENCY.FORMAT_2,0)),'DICTIONARY-5'!$A$2))</f>
        <v/>
      </c>
      <c r="N1683" s="535">
        <v>6</v>
      </c>
      <c r="O1683" s="535"/>
      <c r="P1683" s="731" t="str">
        <f>'DICTIONARY-3'!$A$149</f>
        <v>CEREX 300-W</v>
      </c>
      <c r="Q1683" s="732" t="str">
        <f>'DICTIONARY-3'!$A$204</f>
        <v>Przepustnica kołnierzowa</v>
      </c>
      <c r="R1683" s="732" t="str">
        <f>CONCATENATE('DICTIONARY-3'!$A$149," ",'DICTIONARY-6'!$A$2," ",UPPER('DICTIONARY-5'!$A$18)," ",'DICTIONARY-2'!$A$2,"250"," ",'DICTIONARY-2'!$A$3,"16"," ",'DICTIONARY-2'!$A$10,"6",'DICTIONARY-2'!$A$20," ","R20"," ",'DICTIONARY-5'!$A$37,"/",'DICTIONARY-5'!$A$45,", ",'DICTIONARY-4'!$A$3," ",'DICTIONARY-5'!$A$48)</f>
        <v>CEREX 300-W Przep. kołnierz. GAZ DN250 PN16 PS6bar R20 CF8M/NBR, DR żeliwo</v>
      </c>
      <c r="S1683" s="733" t="str">
        <f>'DICTIONARY-4'!$A$3</f>
        <v>DR</v>
      </c>
      <c r="T1683" s="732" t="str">
        <f>'DICTIONARY-4'!$A$19</f>
        <v>Dźwignia ręczna</v>
      </c>
      <c r="U1683" s="734" t="s">
        <v>5751</v>
      </c>
      <c r="V1683" s="735">
        <v>16</v>
      </c>
      <c r="W1683" s="736"/>
      <c r="X1683" s="737"/>
      <c r="Y1683" s="738"/>
      <c r="Z1683" s="739"/>
      <c r="AA1683" s="739"/>
      <c r="AB1683" s="740">
        <v>6</v>
      </c>
      <c r="AC1683" s="741" t="str">
        <f>'DICTIONARY-5'!$A$11&amp;" 20"</f>
        <v>EN 558 szereg 20</v>
      </c>
      <c r="AD1683" s="741" t="str">
        <f>'DICTIONARY-5'!$A$18&amp;", "&amp;'DICTIONARY-5'!$A$14</f>
        <v>gaz, ścieki</v>
      </c>
      <c r="AE1683" s="742">
        <v>80</v>
      </c>
      <c r="AF1683" s="743">
        <v>28</v>
      </c>
      <c r="AG1683" s="741" t="str">
        <f>'DICTIONARY-5'!$A$23</f>
        <v>powłoka epoksydowa</v>
      </c>
    </row>
    <row r="1684" spans="1:33" x14ac:dyDescent="0.25">
      <c r="A1684" s="869" t="s">
        <v>1767</v>
      </c>
      <c r="B1684" s="869" t="s">
        <v>3731</v>
      </c>
      <c r="C1684" s="836">
        <v>923</v>
      </c>
      <c r="D1684" s="836"/>
      <c r="E1684" s="836"/>
      <c r="F1684" s="836"/>
      <c r="G1684" s="496" t="s">
        <v>7832</v>
      </c>
      <c r="H1684" s="797" t="str">
        <f>VLOOKUP(G1684,SETTINGS!$B$7:$D$97,2,0)</f>
        <v>CEREX 300</v>
      </c>
      <c r="I1684" s="796">
        <f>VLOOKUP(G1684,SETTINGS!$B$7:$D$97,3,0)</f>
        <v>0</v>
      </c>
      <c r="J1684" s="670" t="str">
        <f>IFERROR(IF(CURRENCY.FORMAT_1=0,CONCATENATE(TEXT(FIXED(ROUND((C1684/EXC.RATE_1),CURRENCY.FORMAT_1),CURRENCY.FORMAT_1,1),"# ##0;-# ##0"),",-"),FIXED(ROUND((C1684/EXC.RATE_1),CURRENCY.FORMAT_1),CURRENCY.FORMAT_1,0)),'DICTIONARY-5'!$A$2)</f>
        <v>923,-</v>
      </c>
      <c r="K1684" s="670" t="str">
        <f>IF(EXC.RATE_2=0,"",IFERROR(IF(CURRENCY.FORMAT_2=0,CONCATENATE(TEXT(FIXED(ROUND(IF(EXC.RATE.SWITCH=1,C1684/EXC.RATE_2,C1684*EXC.RATE_2),CURRENCY.FORMAT_2),CURRENCY.FORMAT_2,1),"# ##0;-# ##0"),",-"),FIXED(ROUND(IF(EXC.RATE.SWITCH=1,C1684/EXC.RATE_2,C1684*EXC.RATE_2),CURRENCY.FORMAT_2),CURRENCY.FORMAT_2,0)),'DICTIONARY-5'!$A$2))</f>
        <v/>
      </c>
      <c r="L1684" s="670" t="str">
        <f>IFERROR(IF(CURRENCY.FORMAT_1=0,CONCATENATE(TEXT(FIXED(ROUND((C1684*(1-I1684)*(1-ADD.DISCOUNT)*(1+MAT.SURCHARGE)/EXC.RATE_1),CURRENCY.FORMAT_1),CURRENCY.FORMAT_1,1),"# ##0;-# ##0"),",-"),FIXED(ROUND((C1684*(1-I1684)*(1-ADD.DISCOUNT)*(1+MAT.SURCHARGE)/EXC.RATE_1),CURRENCY.FORMAT_1),CURRENCY.FORMAT_1,0)),'DICTIONARY-5'!$A$2)</f>
        <v>959,-</v>
      </c>
      <c r="M1684" s="670" t="str">
        <f>IF(EXC.RATE_2=0,"",IFERROR(IF(CURRENCY.FORMAT_2=0,CONCATENATE(TEXT(FIXED(ROUND(IF(EXC.RATE.SWITCH=1,C1684*(1-I1684)*(1-ADD.DISCOUNT)*(1+MAT.SURCHARGE)/EXC.RATE_2,C1684*(1-I1684)*(1-ADD.DISCOUNT)*(1+MAT.SURCHARGE)*EXC.RATE_2),CURRENCY.FORMAT_2),CURRENCY.FORMAT_2,1),"# ##0;-# ##0"),",-"),FIXED(ROUND(IF(EXC.RATE.SWITCH=1,C1684*(1-I1684)*(1-ADD.DISCOUNT)*(1+MAT.SURCHARGE)/EXC.RATE_2,C1684*(1-I1684)*(1-ADD.DISCOUNT)*(1+MAT.SURCHARGE)*EXC.RATE_2),CURRENCY.FORMAT_2),CURRENCY.FORMAT_2,0)),'DICTIONARY-5'!$A$2))</f>
        <v/>
      </c>
      <c r="N1684" s="535">
        <v>6</v>
      </c>
      <c r="O1684" s="535"/>
      <c r="P1684" s="731" t="str">
        <f>'DICTIONARY-3'!$A$149</f>
        <v>CEREX 300-W</v>
      </c>
      <c r="Q1684" s="732" t="str">
        <f>'DICTIONARY-3'!$A$204</f>
        <v>Przepustnica kołnierzowa</v>
      </c>
      <c r="R1684" s="732" t="str">
        <f>CONCATENATE('DICTIONARY-3'!$A$149," ",'DICTIONARY-6'!$A$2," ",UPPER('DICTIONARY-5'!$A$18)," ",'DICTIONARY-2'!$A$2,"300"," ",'DICTIONARY-2'!$A$3,"16"," ",'DICTIONARY-2'!$A$10,"6",'DICTIONARY-2'!$A$20," ","R20"," ",'DICTIONARY-5'!$A$37,"/",'DICTIONARY-5'!$A$45,", ",'DICTIONARY-4'!$A$3," ",'DICTIONARY-5'!$A$48)</f>
        <v>CEREX 300-W Przep. kołnierz. GAZ DN300 PN16 PS6bar R20 CF8M/NBR, DR żeliwo</v>
      </c>
      <c r="S1684" s="733" t="str">
        <f>'DICTIONARY-4'!$A$3</f>
        <v>DR</v>
      </c>
      <c r="T1684" s="732" t="str">
        <f>'DICTIONARY-4'!$A$19</f>
        <v>Dźwignia ręczna</v>
      </c>
      <c r="U1684" s="734" t="s">
        <v>5752</v>
      </c>
      <c r="V1684" s="735">
        <v>16</v>
      </c>
      <c r="W1684" s="736"/>
      <c r="X1684" s="737"/>
      <c r="Y1684" s="738"/>
      <c r="Z1684" s="739"/>
      <c r="AA1684" s="739"/>
      <c r="AB1684" s="740">
        <v>6</v>
      </c>
      <c r="AC1684" s="741" t="str">
        <f>'DICTIONARY-5'!$A$11&amp;" 20"</f>
        <v>EN 558 szereg 20</v>
      </c>
      <c r="AD1684" s="741" t="str">
        <f>'DICTIONARY-5'!$A$18&amp;", "&amp;'DICTIONARY-5'!$A$14</f>
        <v>gaz, ścieki</v>
      </c>
      <c r="AE1684" s="742">
        <v>80</v>
      </c>
      <c r="AF1684" s="743">
        <v>36.5</v>
      </c>
      <c r="AG1684" s="741" t="str">
        <f>'DICTIONARY-5'!$A$23</f>
        <v>powłoka epoksydowa</v>
      </c>
    </row>
    <row r="1685" spans="1:33" x14ac:dyDescent="0.25">
      <c r="A1685" s="866" t="s">
        <v>1768</v>
      </c>
      <c r="B1685" s="866" t="s">
        <v>3745</v>
      </c>
      <c r="C1685" s="836">
        <v>228</v>
      </c>
      <c r="D1685" s="836"/>
      <c r="E1685" s="836"/>
      <c r="F1685" s="836"/>
      <c r="G1685" s="496" t="s">
        <v>7832</v>
      </c>
      <c r="H1685" s="797" t="str">
        <f>VLOOKUP(G1685,SETTINGS!$B$7:$D$97,2,0)</f>
        <v>CEREX 300</v>
      </c>
      <c r="I1685" s="796">
        <f>VLOOKUP(G1685,SETTINGS!$B$7:$D$97,3,0)</f>
        <v>0</v>
      </c>
      <c r="J1685" s="670" t="str">
        <f>IFERROR(IF(CURRENCY.FORMAT_1=0,CONCATENATE(TEXT(FIXED(ROUND((C1685/EXC.RATE_1),CURRENCY.FORMAT_1),CURRENCY.FORMAT_1,1),"# ##0;-# ##0"),",-"),FIXED(ROUND((C1685/EXC.RATE_1),CURRENCY.FORMAT_1),CURRENCY.FORMAT_1,0)),'DICTIONARY-5'!$A$2)</f>
        <v>228,-</v>
      </c>
      <c r="K1685" s="670" t="str">
        <f>IF(EXC.RATE_2=0,"",IFERROR(IF(CURRENCY.FORMAT_2=0,CONCATENATE(TEXT(FIXED(ROUND(IF(EXC.RATE.SWITCH=1,C1685/EXC.RATE_2,C1685*EXC.RATE_2),CURRENCY.FORMAT_2),CURRENCY.FORMAT_2,1),"# ##0;-# ##0"),",-"),FIXED(ROUND(IF(EXC.RATE.SWITCH=1,C1685/EXC.RATE_2,C1685*EXC.RATE_2),CURRENCY.FORMAT_2),CURRENCY.FORMAT_2,0)),'DICTIONARY-5'!$A$2))</f>
        <v/>
      </c>
      <c r="L1685" s="670" t="str">
        <f>IFERROR(IF(CURRENCY.FORMAT_1=0,CONCATENATE(TEXT(FIXED(ROUND((C1685*(1-I1685)*(1-ADD.DISCOUNT)*(1+MAT.SURCHARGE)/EXC.RATE_1),CURRENCY.FORMAT_1),CURRENCY.FORMAT_1,1),"# ##0;-# ##0"),",-"),FIXED(ROUND((C1685*(1-I1685)*(1-ADD.DISCOUNT)*(1+MAT.SURCHARGE)/EXC.RATE_1),CURRENCY.FORMAT_1),CURRENCY.FORMAT_1,0)),'DICTIONARY-5'!$A$2)</f>
        <v>237,-</v>
      </c>
      <c r="M1685" s="670" t="str">
        <f>IF(EXC.RATE_2=0,"",IFERROR(IF(CURRENCY.FORMAT_2=0,CONCATENATE(TEXT(FIXED(ROUND(IF(EXC.RATE.SWITCH=1,C1685*(1-I1685)*(1-ADD.DISCOUNT)*(1+MAT.SURCHARGE)/EXC.RATE_2,C1685*(1-I1685)*(1-ADD.DISCOUNT)*(1+MAT.SURCHARGE)*EXC.RATE_2),CURRENCY.FORMAT_2),CURRENCY.FORMAT_2,1),"# ##0;-# ##0"),",-"),FIXED(ROUND(IF(EXC.RATE.SWITCH=1,C1685*(1-I1685)*(1-ADD.DISCOUNT)*(1+MAT.SURCHARGE)/EXC.RATE_2,C1685*(1-I1685)*(1-ADD.DISCOUNT)*(1+MAT.SURCHARGE)*EXC.RATE_2),CURRENCY.FORMAT_2),CURRENCY.FORMAT_2,0)),'DICTIONARY-5'!$A$2))</f>
        <v/>
      </c>
      <c r="N1685" s="541">
        <v>6</v>
      </c>
      <c r="O1685" s="541"/>
      <c r="P1685" s="731" t="str">
        <f>'DICTIONARY-3'!$A$149</f>
        <v>CEREX 300-W</v>
      </c>
      <c r="Q1685" s="731" t="str">
        <f>'DICTIONARY-3'!$A$204</f>
        <v>Przepustnica kołnierzowa</v>
      </c>
      <c r="R1685" s="732" t="str">
        <f>CONCATENATE('DICTIONARY-3'!$A$149," ",'DICTIONARY-6'!$A$2," ",'DICTIONARY-2'!$A$2,"50"," ",'DICTIONARY-2'!$A$3,"10/16"," ","R20"," ",'DICTIONARY-5'!$A$51,"/",'DICTIONARY-5'!$A$44,", ",'DICTIONARY-4'!$A$8," 232-05")</f>
        <v>CEREX 300-W Przep. kołnierz. DN50 PN10/16 R20 GGG/EPDM, PK 232-05</v>
      </c>
      <c r="S1685" s="733" t="str">
        <f>'DICTIONARY-4'!$A$8</f>
        <v>PK</v>
      </c>
      <c r="T1685" s="732" t="str">
        <f>'DICTIONARY-4'!$A$24</f>
        <v>Przekładnia z kółkiem</v>
      </c>
      <c r="U1685" s="734" t="s">
        <v>5748</v>
      </c>
      <c r="V1685" s="735">
        <v>16</v>
      </c>
      <c r="W1685" s="736"/>
      <c r="X1685" s="737"/>
      <c r="Y1685" s="738"/>
      <c r="Z1685" s="739"/>
      <c r="AA1685" s="739"/>
      <c r="AB1685" s="740">
        <v>16</v>
      </c>
      <c r="AC1685" s="741" t="str">
        <f>'DICTIONARY-5'!$A$11&amp;" 20"</f>
        <v>EN 558 szereg 20</v>
      </c>
      <c r="AD1685" s="741" t="str">
        <f>'DICTIONARY-5'!$A$13</f>
        <v>woda pitna</v>
      </c>
      <c r="AE1685" s="742">
        <v>80</v>
      </c>
      <c r="AF1685" s="743">
        <v>3.5</v>
      </c>
      <c r="AG1685" s="741" t="str">
        <f>'DICTIONARY-5'!$A$23</f>
        <v>powłoka epoksydowa</v>
      </c>
    </row>
    <row r="1686" spans="1:33" x14ac:dyDescent="0.25">
      <c r="A1686" s="866" t="s">
        <v>1770</v>
      </c>
      <c r="B1686" s="866" t="s">
        <v>3752</v>
      </c>
      <c r="C1686" s="836">
        <v>234</v>
      </c>
      <c r="D1686" s="836"/>
      <c r="E1686" s="836"/>
      <c r="F1686" s="836"/>
      <c r="G1686" s="496" t="s">
        <v>7832</v>
      </c>
      <c r="H1686" s="797" t="str">
        <f>VLOOKUP(G1686,SETTINGS!$B$7:$D$97,2,0)</f>
        <v>CEREX 300</v>
      </c>
      <c r="I1686" s="796">
        <f>VLOOKUP(G1686,SETTINGS!$B$7:$D$97,3,0)</f>
        <v>0</v>
      </c>
      <c r="J1686" s="670" t="str">
        <f>IFERROR(IF(CURRENCY.FORMAT_1=0,CONCATENATE(TEXT(FIXED(ROUND((C1686/EXC.RATE_1),CURRENCY.FORMAT_1),CURRENCY.FORMAT_1,1),"# ##0;-# ##0"),",-"),FIXED(ROUND((C1686/EXC.RATE_1),CURRENCY.FORMAT_1),CURRENCY.FORMAT_1,0)),'DICTIONARY-5'!$A$2)</f>
        <v>234,-</v>
      </c>
      <c r="K1686" s="670" t="str">
        <f>IF(EXC.RATE_2=0,"",IFERROR(IF(CURRENCY.FORMAT_2=0,CONCATENATE(TEXT(FIXED(ROUND(IF(EXC.RATE.SWITCH=1,C1686/EXC.RATE_2,C1686*EXC.RATE_2),CURRENCY.FORMAT_2),CURRENCY.FORMAT_2,1),"# ##0;-# ##0"),",-"),FIXED(ROUND(IF(EXC.RATE.SWITCH=1,C1686/EXC.RATE_2,C1686*EXC.RATE_2),CURRENCY.FORMAT_2),CURRENCY.FORMAT_2,0)),'DICTIONARY-5'!$A$2))</f>
        <v/>
      </c>
      <c r="L1686" s="670" t="str">
        <f>IFERROR(IF(CURRENCY.FORMAT_1=0,CONCATENATE(TEXT(FIXED(ROUND((C1686*(1-I1686)*(1-ADD.DISCOUNT)*(1+MAT.SURCHARGE)/EXC.RATE_1),CURRENCY.FORMAT_1),CURRENCY.FORMAT_1,1),"# ##0;-# ##0"),",-"),FIXED(ROUND((C1686*(1-I1686)*(1-ADD.DISCOUNT)*(1+MAT.SURCHARGE)/EXC.RATE_1),CURRENCY.FORMAT_1),CURRENCY.FORMAT_1,0)),'DICTIONARY-5'!$A$2)</f>
        <v>243,-</v>
      </c>
      <c r="M1686" s="670" t="str">
        <f>IF(EXC.RATE_2=0,"",IFERROR(IF(CURRENCY.FORMAT_2=0,CONCATENATE(TEXT(FIXED(ROUND(IF(EXC.RATE.SWITCH=1,C1686*(1-I1686)*(1-ADD.DISCOUNT)*(1+MAT.SURCHARGE)/EXC.RATE_2,C1686*(1-I1686)*(1-ADD.DISCOUNT)*(1+MAT.SURCHARGE)*EXC.RATE_2),CURRENCY.FORMAT_2),CURRENCY.FORMAT_2,1),"# ##0;-# ##0"),",-"),FIXED(ROUND(IF(EXC.RATE.SWITCH=1,C1686*(1-I1686)*(1-ADD.DISCOUNT)*(1+MAT.SURCHARGE)/EXC.RATE_2,C1686*(1-I1686)*(1-ADD.DISCOUNT)*(1+MAT.SURCHARGE)*EXC.RATE_2),CURRENCY.FORMAT_2),CURRENCY.FORMAT_2,0)),'DICTIONARY-5'!$A$2))</f>
        <v/>
      </c>
      <c r="N1686" s="541">
        <v>6</v>
      </c>
      <c r="O1686" s="541"/>
      <c r="P1686" s="731" t="str">
        <f>'DICTIONARY-3'!$A$149</f>
        <v>CEREX 300-W</v>
      </c>
      <c r="Q1686" s="731" t="str">
        <f>'DICTIONARY-3'!$A$204</f>
        <v>Przepustnica kołnierzowa</v>
      </c>
      <c r="R1686" s="732" t="str">
        <f>CONCATENATE('DICTIONARY-3'!$A$149," ",'DICTIONARY-6'!$A$2," ",'DICTIONARY-2'!$A$2,"65"," ",'DICTIONARY-2'!$A$3,"10/16"," ","R20"," ",'DICTIONARY-5'!$A$51,"/",'DICTIONARY-5'!$A$44,", ",'DICTIONARY-4'!$A$8," 232-05")</f>
        <v>CEREX 300-W Przep. kołnierz. DN65 PN10/16 R20 GGG/EPDM, PK 232-05</v>
      </c>
      <c r="S1686" s="733" t="str">
        <f>'DICTIONARY-4'!$A$8</f>
        <v>PK</v>
      </c>
      <c r="T1686" s="732" t="str">
        <f>'DICTIONARY-4'!$A$24</f>
        <v>Przekładnia z kółkiem</v>
      </c>
      <c r="U1686" s="734" t="s">
        <v>5759</v>
      </c>
      <c r="V1686" s="735">
        <v>16</v>
      </c>
      <c r="W1686" s="736"/>
      <c r="X1686" s="737"/>
      <c r="Y1686" s="738"/>
      <c r="Z1686" s="739"/>
      <c r="AA1686" s="739"/>
      <c r="AB1686" s="740">
        <v>16</v>
      </c>
      <c r="AC1686" s="741" t="str">
        <f>'DICTIONARY-5'!$A$11&amp;" 20"</f>
        <v>EN 558 szereg 20</v>
      </c>
      <c r="AD1686" s="741" t="str">
        <f>'DICTIONARY-5'!$A$13</f>
        <v>woda pitna</v>
      </c>
      <c r="AE1686" s="742">
        <v>80</v>
      </c>
      <c r="AF1686" s="743">
        <v>3</v>
      </c>
      <c r="AG1686" s="741" t="str">
        <f>'DICTIONARY-5'!$A$23</f>
        <v>powłoka epoksydowa</v>
      </c>
    </row>
    <row r="1687" spans="1:33" x14ac:dyDescent="0.25">
      <c r="A1687" s="866" t="s">
        <v>1772</v>
      </c>
      <c r="B1687" s="866" t="s">
        <v>3759</v>
      </c>
      <c r="C1687" s="836">
        <v>242</v>
      </c>
      <c r="D1687" s="836"/>
      <c r="E1687" s="836"/>
      <c r="F1687" s="836"/>
      <c r="G1687" s="496" t="s">
        <v>7832</v>
      </c>
      <c r="H1687" s="797" t="str">
        <f>VLOOKUP(G1687,SETTINGS!$B$7:$D$97,2,0)</f>
        <v>CEREX 300</v>
      </c>
      <c r="I1687" s="796">
        <f>VLOOKUP(G1687,SETTINGS!$B$7:$D$97,3,0)</f>
        <v>0</v>
      </c>
      <c r="J1687" s="670" t="str">
        <f>IFERROR(IF(CURRENCY.FORMAT_1=0,CONCATENATE(TEXT(FIXED(ROUND((C1687/EXC.RATE_1),CURRENCY.FORMAT_1),CURRENCY.FORMAT_1,1),"# ##0;-# ##0"),",-"),FIXED(ROUND((C1687/EXC.RATE_1),CURRENCY.FORMAT_1),CURRENCY.FORMAT_1,0)),'DICTIONARY-5'!$A$2)</f>
        <v>242,-</v>
      </c>
      <c r="K1687" s="670" t="str">
        <f>IF(EXC.RATE_2=0,"",IFERROR(IF(CURRENCY.FORMAT_2=0,CONCATENATE(TEXT(FIXED(ROUND(IF(EXC.RATE.SWITCH=1,C1687/EXC.RATE_2,C1687*EXC.RATE_2),CURRENCY.FORMAT_2),CURRENCY.FORMAT_2,1),"# ##0;-# ##0"),",-"),FIXED(ROUND(IF(EXC.RATE.SWITCH=1,C1687/EXC.RATE_2,C1687*EXC.RATE_2),CURRENCY.FORMAT_2),CURRENCY.FORMAT_2,0)),'DICTIONARY-5'!$A$2))</f>
        <v/>
      </c>
      <c r="L1687" s="670" t="str">
        <f>IFERROR(IF(CURRENCY.FORMAT_1=0,CONCATENATE(TEXT(FIXED(ROUND((C1687*(1-I1687)*(1-ADD.DISCOUNT)*(1+MAT.SURCHARGE)/EXC.RATE_1),CURRENCY.FORMAT_1),CURRENCY.FORMAT_1,1),"# ##0;-# ##0"),",-"),FIXED(ROUND((C1687*(1-I1687)*(1-ADD.DISCOUNT)*(1+MAT.SURCHARGE)/EXC.RATE_1),CURRENCY.FORMAT_1),CURRENCY.FORMAT_1,0)),'DICTIONARY-5'!$A$2)</f>
        <v>251,-</v>
      </c>
      <c r="M1687" s="670" t="str">
        <f>IF(EXC.RATE_2=0,"",IFERROR(IF(CURRENCY.FORMAT_2=0,CONCATENATE(TEXT(FIXED(ROUND(IF(EXC.RATE.SWITCH=1,C1687*(1-I1687)*(1-ADD.DISCOUNT)*(1+MAT.SURCHARGE)/EXC.RATE_2,C1687*(1-I1687)*(1-ADD.DISCOUNT)*(1+MAT.SURCHARGE)*EXC.RATE_2),CURRENCY.FORMAT_2),CURRENCY.FORMAT_2,1),"# ##0;-# ##0"),",-"),FIXED(ROUND(IF(EXC.RATE.SWITCH=1,C1687*(1-I1687)*(1-ADD.DISCOUNT)*(1+MAT.SURCHARGE)/EXC.RATE_2,C1687*(1-I1687)*(1-ADD.DISCOUNT)*(1+MAT.SURCHARGE)*EXC.RATE_2),CURRENCY.FORMAT_2),CURRENCY.FORMAT_2,0)),'DICTIONARY-5'!$A$2))</f>
        <v/>
      </c>
      <c r="N1687" s="541">
        <v>6</v>
      </c>
      <c r="O1687" s="541"/>
      <c r="P1687" s="731" t="str">
        <f>'DICTIONARY-3'!$A$149</f>
        <v>CEREX 300-W</v>
      </c>
      <c r="Q1687" s="731" t="str">
        <f>'DICTIONARY-3'!$A$204</f>
        <v>Przepustnica kołnierzowa</v>
      </c>
      <c r="R1687" s="732" t="str">
        <f>CONCATENATE('DICTIONARY-3'!$A$149," ",'DICTIONARY-6'!$A$2," ",'DICTIONARY-2'!$A$2,"80"," ",'DICTIONARY-2'!$A$3,"10/16"," ","R20"," ",'DICTIONARY-5'!$A$51,"/",'DICTIONARY-5'!$A$44,", ",'DICTIONARY-4'!$A$8," 232-05")</f>
        <v>CEREX 300-W Przep. kołnierz. DN80 PN10/16 R20 GGG/EPDM, PK 232-05</v>
      </c>
      <c r="S1687" s="733" t="str">
        <f>'DICTIONARY-4'!$A$8</f>
        <v>PK</v>
      </c>
      <c r="T1687" s="732" t="str">
        <f>'DICTIONARY-4'!$A$24</f>
        <v>Przekładnia z kółkiem</v>
      </c>
      <c r="U1687" s="734" t="s">
        <v>5760</v>
      </c>
      <c r="V1687" s="735">
        <v>16</v>
      </c>
      <c r="W1687" s="736"/>
      <c r="X1687" s="737"/>
      <c r="Y1687" s="738"/>
      <c r="Z1687" s="739"/>
      <c r="AA1687" s="739"/>
      <c r="AB1687" s="740">
        <v>16</v>
      </c>
      <c r="AC1687" s="741" t="str">
        <f>'DICTIONARY-5'!$A$11&amp;" 20"</f>
        <v>EN 558 szereg 20</v>
      </c>
      <c r="AD1687" s="741" t="str">
        <f>'DICTIONARY-5'!$A$13</f>
        <v>woda pitna</v>
      </c>
      <c r="AE1687" s="742">
        <v>80</v>
      </c>
      <c r="AF1687" s="743">
        <v>5</v>
      </c>
      <c r="AG1687" s="741" t="str">
        <f>'DICTIONARY-5'!$A$23</f>
        <v>powłoka epoksydowa</v>
      </c>
    </row>
    <row r="1688" spans="1:33" x14ac:dyDescent="0.25">
      <c r="A1688" s="866" t="s">
        <v>1774</v>
      </c>
      <c r="B1688" s="866" t="s">
        <v>3766</v>
      </c>
      <c r="C1688" s="836">
        <v>281</v>
      </c>
      <c r="D1688" s="836"/>
      <c r="E1688" s="836"/>
      <c r="F1688" s="836"/>
      <c r="G1688" s="496" t="s">
        <v>7832</v>
      </c>
      <c r="H1688" s="797" t="str">
        <f>VLOOKUP(G1688,SETTINGS!$B$7:$D$97,2,0)</f>
        <v>CEREX 300</v>
      </c>
      <c r="I1688" s="796">
        <f>VLOOKUP(G1688,SETTINGS!$B$7:$D$97,3,0)</f>
        <v>0</v>
      </c>
      <c r="J1688" s="670" t="str">
        <f>IFERROR(IF(CURRENCY.FORMAT_1=0,CONCATENATE(TEXT(FIXED(ROUND((C1688/EXC.RATE_1),CURRENCY.FORMAT_1),CURRENCY.FORMAT_1,1),"# ##0;-# ##0"),",-"),FIXED(ROUND((C1688/EXC.RATE_1),CURRENCY.FORMAT_1),CURRENCY.FORMAT_1,0)),'DICTIONARY-5'!$A$2)</f>
        <v>281,-</v>
      </c>
      <c r="K1688" s="670" t="str">
        <f>IF(EXC.RATE_2=0,"",IFERROR(IF(CURRENCY.FORMAT_2=0,CONCATENATE(TEXT(FIXED(ROUND(IF(EXC.RATE.SWITCH=1,C1688/EXC.RATE_2,C1688*EXC.RATE_2),CURRENCY.FORMAT_2),CURRENCY.FORMAT_2,1),"# ##0;-# ##0"),",-"),FIXED(ROUND(IF(EXC.RATE.SWITCH=1,C1688/EXC.RATE_2,C1688*EXC.RATE_2),CURRENCY.FORMAT_2),CURRENCY.FORMAT_2,0)),'DICTIONARY-5'!$A$2))</f>
        <v/>
      </c>
      <c r="L1688" s="670" t="str">
        <f>IFERROR(IF(CURRENCY.FORMAT_1=0,CONCATENATE(TEXT(FIXED(ROUND((C1688*(1-I1688)*(1-ADD.DISCOUNT)*(1+MAT.SURCHARGE)/EXC.RATE_1),CURRENCY.FORMAT_1),CURRENCY.FORMAT_1,1),"# ##0;-# ##0"),",-"),FIXED(ROUND((C1688*(1-I1688)*(1-ADD.DISCOUNT)*(1+MAT.SURCHARGE)/EXC.RATE_1),CURRENCY.FORMAT_1),CURRENCY.FORMAT_1,0)),'DICTIONARY-5'!$A$2)</f>
        <v>292,-</v>
      </c>
      <c r="M1688" s="670" t="str">
        <f>IF(EXC.RATE_2=0,"",IFERROR(IF(CURRENCY.FORMAT_2=0,CONCATENATE(TEXT(FIXED(ROUND(IF(EXC.RATE.SWITCH=1,C1688*(1-I1688)*(1-ADD.DISCOUNT)*(1+MAT.SURCHARGE)/EXC.RATE_2,C1688*(1-I1688)*(1-ADD.DISCOUNT)*(1+MAT.SURCHARGE)*EXC.RATE_2),CURRENCY.FORMAT_2),CURRENCY.FORMAT_2,1),"# ##0;-# ##0"),",-"),FIXED(ROUND(IF(EXC.RATE.SWITCH=1,C1688*(1-I1688)*(1-ADD.DISCOUNT)*(1+MAT.SURCHARGE)/EXC.RATE_2,C1688*(1-I1688)*(1-ADD.DISCOUNT)*(1+MAT.SURCHARGE)*EXC.RATE_2),CURRENCY.FORMAT_2),CURRENCY.FORMAT_2,0)),'DICTIONARY-5'!$A$2))</f>
        <v/>
      </c>
      <c r="N1688" s="541">
        <v>6</v>
      </c>
      <c r="O1688" s="541"/>
      <c r="P1688" s="731" t="str">
        <f>'DICTIONARY-3'!$A$149</f>
        <v>CEREX 300-W</v>
      </c>
      <c r="Q1688" s="731" t="str">
        <f>'DICTIONARY-3'!$A$204</f>
        <v>Przepustnica kołnierzowa</v>
      </c>
      <c r="R1688" s="732" t="str">
        <f>CONCATENATE('DICTIONARY-3'!$A$149," ",'DICTIONARY-6'!$A$2," ",'DICTIONARY-2'!$A$2,"100"," ",'DICTIONARY-2'!$A$3,"10/16"," ","R20"," ",'DICTIONARY-5'!$A$51,"/",'DICTIONARY-5'!$A$44,", ",'DICTIONARY-4'!$A$8," 232-05")</f>
        <v>CEREX 300-W Przep. kołnierz. DN100 PN10/16 R20 GGG/EPDM, PK 232-05</v>
      </c>
      <c r="S1688" s="733" t="str">
        <f>'DICTIONARY-4'!$A$8</f>
        <v>PK</v>
      </c>
      <c r="T1688" s="732" t="str">
        <f>'DICTIONARY-4'!$A$24</f>
        <v>Przekładnia z kółkiem</v>
      </c>
      <c r="U1688" s="734" t="s">
        <v>5749</v>
      </c>
      <c r="V1688" s="735">
        <v>16</v>
      </c>
      <c r="W1688" s="736"/>
      <c r="X1688" s="737"/>
      <c r="Y1688" s="738"/>
      <c r="Z1688" s="739"/>
      <c r="AA1688" s="739"/>
      <c r="AB1688" s="740">
        <v>16</v>
      </c>
      <c r="AC1688" s="741" t="str">
        <f>'DICTIONARY-5'!$A$11&amp;" 20"</f>
        <v>EN 558 szereg 20</v>
      </c>
      <c r="AD1688" s="741" t="str">
        <f>'DICTIONARY-5'!$A$13</f>
        <v>woda pitna</v>
      </c>
      <c r="AE1688" s="742">
        <v>80</v>
      </c>
      <c r="AF1688" s="743">
        <v>6.5</v>
      </c>
      <c r="AG1688" s="741" t="str">
        <f>'DICTIONARY-5'!$A$23</f>
        <v>powłoka epoksydowa</v>
      </c>
    </row>
    <row r="1689" spans="1:33" x14ac:dyDescent="0.25">
      <c r="A1689" s="866" t="s">
        <v>1776</v>
      </c>
      <c r="B1689" s="866" t="s">
        <v>3773</v>
      </c>
      <c r="C1689" s="836">
        <v>310</v>
      </c>
      <c r="D1689" s="836"/>
      <c r="E1689" s="836"/>
      <c r="F1689" s="836"/>
      <c r="G1689" s="496" t="s">
        <v>7832</v>
      </c>
      <c r="H1689" s="797" t="str">
        <f>VLOOKUP(G1689,SETTINGS!$B$7:$D$97,2,0)</f>
        <v>CEREX 300</v>
      </c>
      <c r="I1689" s="796">
        <f>VLOOKUP(G1689,SETTINGS!$B$7:$D$97,3,0)</f>
        <v>0</v>
      </c>
      <c r="J1689" s="670" t="str">
        <f>IFERROR(IF(CURRENCY.FORMAT_1=0,CONCATENATE(TEXT(FIXED(ROUND((C1689/EXC.RATE_1),CURRENCY.FORMAT_1),CURRENCY.FORMAT_1,1),"# ##0;-# ##0"),",-"),FIXED(ROUND((C1689/EXC.RATE_1),CURRENCY.FORMAT_1),CURRENCY.FORMAT_1,0)),'DICTIONARY-5'!$A$2)</f>
        <v>310,-</v>
      </c>
      <c r="K1689" s="670" t="str">
        <f>IF(EXC.RATE_2=0,"",IFERROR(IF(CURRENCY.FORMAT_2=0,CONCATENATE(TEXT(FIXED(ROUND(IF(EXC.RATE.SWITCH=1,C1689/EXC.RATE_2,C1689*EXC.RATE_2),CURRENCY.FORMAT_2),CURRENCY.FORMAT_2,1),"# ##0;-# ##0"),",-"),FIXED(ROUND(IF(EXC.RATE.SWITCH=1,C1689/EXC.RATE_2,C1689*EXC.RATE_2),CURRENCY.FORMAT_2),CURRENCY.FORMAT_2,0)),'DICTIONARY-5'!$A$2))</f>
        <v/>
      </c>
      <c r="L1689" s="670" t="str">
        <f>IFERROR(IF(CURRENCY.FORMAT_1=0,CONCATENATE(TEXT(FIXED(ROUND((C1689*(1-I1689)*(1-ADD.DISCOUNT)*(1+MAT.SURCHARGE)/EXC.RATE_1),CURRENCY.FORMAT_1),CURRENCY.FORMAT_1,1),"# ##0;-# ##0"),",-"),FIXED(ROUND((C1689*(1-I1689)*(1-ADD.DISCOUNT)*(1+MAT.SURCHARGE)/EXC.RATE_1),CURRENCY.FORMAT_1),CURRENCY.FORMAT_1,0)),'DICTIONARY-5'!$A$2)</f>
        <v>322,-</v>
      </c>
      <c r="M1689" s="670" t="str">
        <f>IF(EXC.RATE_2=0,"",IFERROR(IF(CURRENCY.FORMAT_2=0,CONCATENATE(TEXT(FIXED(ROUND(IF(EXC.RATE.SWITCH=1,C1689*(1-I1689)*(1-ADD.DISCOUNT)*(1+MAT.SURCHARGE)/EXC.RATE_2,C1689*(1-I1689)*(1-ADD.DISCOUNT)*(1+MAT.SURCHARGE)*EXC.RATE_2),CURRENCY.FORMAT_2),CURRENCY.FORMAT_2,1),"# ##0;-# ##0"),",-"),FIXED(ROUND(IF(EXC.RATE.SWITCH=1,C1689*(1-I1689)*(1-ADD.DISCOUNT)*(1+MAT.SURCHARGE)/EXC.RATE_2,C1689*(1-I1689)*(1-ADD.DISCOUNT)*(1+MAT.SURCHARGE)*EXC.RATE_2),CURRENCY.FORMAT_2),CURRENCY.FORMAT_2,0)),'DICTIONARY-5'!$A$2))</f>
        <v/>
      </c>
      <c r="N1689" s="541">
        <v>6</v>
      </c>
      <c r="O1689" s="541"/>
      <c r="P1689" s="731" t="str">
        <f>'DICTIONARY-3'!$A$149</f>
        <v>CEREX 300-W</v>
      </c>
      <c r="Q1689" s="731" t="str">
        <f>'DICTIONARY-3'!$A$204</f>
        <v>Przepustnica kołnierzowa</v>
      </c>
      <c r="R1689" s="732" t="str">
        <f>CONCATENATE('DICTIONARY-3'!$A$149," ",'DICTIONARY-6'!$A$2," ",'DICTIONARY-2'!$A$2,"125"," ",'DICTIONARY-2'!$A$3,"10/16"," ","R20"," ",'DICTIONARY-5'!$A$51,"/",'DICTIONARY-5'!$A$44,", ",'DICTIONARY-4'!$A$8," 232-05")</f>
        <v>CEREX 300-W Przep. kołnierz. DN125 PN10/16 R20 GGG/EPDM, PK 232-05</v>
      </c>
      <c r="S1689" s="733" t="str">
        <f>'DICTIONARY-4'!$A$8</f>
        <v>PK</v>
      </c>
      <c r="T1689" s="732" t="str">
        <f>'DICTIONARY-4'!$A$24</f>
        <v>Przekładnia z kółkiem</v>
      </c>
      <c r="U1689" s="734" t="s">
        <v>5761</v>
      </c>
      <c r="V1689" s="735">
        <v>16</v>
      </c>
      <c r="W1689" s="736"/>
      <c r="X1689" s="737"/>
      <c r="Y1689" s="738"/>
      <c r="Z1689" s="739"/>
      <c r="AA1689" s="739"/>
      <c r="AB1689" s="740">
        <v>16</v>
      </c>
      <c r="AC1689" s="741" t="str">
        <f>'DICTIONARY-5'!$A$11&amp;" 20"</f>
        <v>EN 558 szereg 20</v>
      </c>
      <c r="AD1689" s="741" t="str">
        <f>'DICTIONARY-5'!$A$13</f>
        <v>woda pitna</v>
      </c>
      <c r="AE1689" s="742">
        <v>80</v>
      </c>
      <c r="AF1689" s="743">
        <v>8.5</v>
      </c>
      <c r="AG1689" s="741" t="str">
        <f>'DICTIONARY-5'!$A$23</f>
        <v>powłoka epoksydowa</v>
      </c>
    </row>
    <row r="1690" spans="1:33" x14ac:dyDescent="0.25">
      <c r="A1690" s="866" t="s">
        <v>1778</v>
      </c>
      <c r="B1690" s="866" t="s">
        <v>3780</v>
      </c>
      <c r="C1690" s="836">
        <v>409</v>
      </c>
      <c r="D1690" s="836"/>
      <c r="E1690" s="836"/>
      <c r="F1690" s="836"/>
      <c r="G1690" s="496" t="s">
        <v>7832</v>
      </c>
      <c r="H1690" s="797" t="str">
        <f>VLOOKUP(G1690,SETTINGS!$B$7:$D$97,2,0)</f>
        <v>CEREX 300</v>
      </c>
      <c r="I1690" s="796">
        <f>VLOOKUP(G1690,SETTINGS!$B$7:$D$97,3,0)</f>
        <v>0</v>
      </c>
      <c r="J1690" s="670" t="str">
        <f>IFERROR(IF(CURRENCY.FORMAT_1=0,CONCATENATE(TEXT(FIXED(ROUND((C1690/EXC.RATE_1),CURRENCY.FORMAT_1),CURRENCY.FORMAT_1,1),"# ##0;-# ##0"),",-"),FIXED(ROUND((C1690/EXC.RATE_1),CURRENCY.FORMAT_1),CURRENCY.FORMAT_1,0)),'DICTIONARY-5'!$A$2)</f>
        <v>409,-</v>
      </c>
      <c r="K1690" s="670" t="str">
        <f>IF(EXC.RATE_2=0,"",IFERROR(IF(CURRENCY.FORMAT_2=0,CONCATENATE(TEXT(FIXED(ROUND(IF(EXC.RATE.SWITCH=1,C1690/EXC.RATE_2,C1690*EXC.RATE_2),CURRENCY.FORMAT_2),CURRENCY.FORMAT_2,1),"# ##0;-# ##0"),",-"),FIXED(ROUND(IF(EXC.RATE.SWITCH=1,C1690/EXC.RATE_2,C1690*EXC.RATE_2),CURRENCY.FORMAT_2),CURRENCY.FORMAT_2,0)),'DICTIONARY-5'!$A$2))</f>
        <v/>
      </c>
      <c r="L1690" s="670" t="str">
        <f>IFERROR(IF(CURRENCY.FORMAT_1=0,CONCATENATE(TEXT(FIXED(ROUND((C1690*(1-I1690)*(1-ADD.DISCOUNT)*(1+MAT.SURCHARGE)/EXC.RATE_1),CURRENCY.FORMAT_1),CURRENCY.FORMAT_1,1),"# ##0;-# ##0"),",-"),FIXED(ROUND((C1690*(1-I1690)*(1-ADD.DISCOUNT)*(1+MAT.SURCHARGE)/EXC.RATE_1),CURRENCY.FORMAT_1),CURRENCY.FORMAT_1,0)),'DICTIONARY-5'!$A$2)</f>
        <v>425,-</v>
      </c>
      <c r="M1690" s="670" t="str">
        <f>IF(EXC.RATE_2=0,"",IFERROR(IF(CURRENCY.FORMAT_2=0,CONCATENATE(TEXT(FIXED(ROUND(IF(EXC.RATE.SWITCH=1,C1690*(1-I1690)*(1-ADD.DISCOUNT)*(1+MAT.SURCHARGE)/EXC.RATE_2,C1690*(1-I1690)*(1-ADD.DISCOUNT)*(1+MAT.SURCHARGE)*EXC.RATE_2),CURRENCY.FORMAT_2),CURRENCY.FORMAT_2,1),"# ##0;-# ##0"),",-"),FIXED(ROUND(IF(EXC.RATE.SWITCH=1,C1690*(1-I1690)*(1-ADD.DISCOUNT)*(1+MAT.SURCHARGE)/EXC.RATE_2,C1690*(1-I1690)*(1-ADD.DISCOUNT)*(1+MAT.SURCHARGE)*EXC.RATE_2),CURRENCY.FORMAT_2),CURRENCY.FORMAT_2,0)),'DICTIONARY-5'!$A$2))</f>
        <v/>
      </c>
      <c r="N1690" s="541">
        <v>6</v>
      </c>
      <c r="O1690" s="541"/>
      <c r="P1690" s="731" t="str">
        <f>'DICTIONARY-3'!$A$149</f>
        <v>CEREX 300-W</v>
      </c>
      <c r="Q1690" s="731" t="str">
        <f>'DICTIONARY-3'!$A$204</f>
        <v>Przepustnica kołnierzowa</v>
      </c>
      <c r="R1690" s="732" t="str">
        <f>CONCATENATE('DICTIONARY-3'!$A$149," ",'DICTIONARY-6'!$A$2," ",'DICTIONARY-2'!$A$2,"150"," ",'DICTIONARY-2'!$A$3,"10/16"," ","R20"," ",'DICTIONARY-5'!$A$51,"/",'DICTIONARY-5'!$A$44,", ",'DICTIONARY-4'!$A$8," 232-06")</f>
        <v>CEREX 300-W Przep. kołnierz. DN150 PN10/16 R20 GGG/EPDM, PK 232-06</v>
      </c>
      <c r="S1690" s="733" t="str">
        <f>'DICTIONARY-4'!$A$8</f>
        <v>PK</v>
      </c>
      <c r="T1690" s="732" t="str">
        <f>'DICTIONARY-4'!$A$24</f>
        <v>Przekładnia z kółkiem</v>
      </c>
      <c r="U1690" s="734" t="s">
        <v>5572</v>
      </c>
      <c r="V1690" s="735">
        <v>16</v>
      </c>
      <c r="W1690" s="736"/>
      <c r="X1690" s="737"/>
      <c r="Y1690" s="738"/>
      <c r="Z1690" s="739"/>
      <c r="AA1690" s="739"/>
      <c r="AB1690" s="740">
        <v>16</v>
      </c>
      <c r="AC1690" s="741" t="str">
        <f>'DICTIONARY-5'!$A$11&amp;" 20"</f>
        <v>EN 558 szereg 20</v>
      </c>
      <c r="AD1690" s="741" t="str">
        <f>'DICTIONARY-5'!$A$13</f>
        <v>woda pitna</v>
      </c>
      <c r="AE1690" s="742">
        <v>80</v>
      </c>
      <c r="AF1690" s="743">
        <v>11</v>
      </c>
      <c r="AG1690" s="741" t="str">
        <f>'DICTIONARY-5'!$A$23</f>
        <v>powłoka epoksydowa</v>
      </c>
    </row>
    <row r="1691" spans="1:33" x14ac:dyDescent="0.25">
      <c r="A1691" s="866" t="s">
        <v>1780</v>
      </c>
      <c r="B1691" s="866" t="s">
        <v>3787</v>
      </c>
      <c r="C1691" s="836">
        <v>548</v>
      </c>
      <c r="D1691" s="836"/>
      <c r="E1691" s="836"/>
      <c r="F1691" s="836"/>
      <c r="G1691" s="496" t="s">
        <v>7832</v>
      </c>
      <c r="H1691" s="797" t="str">
        <f>VLOOKUP(G1691,SETTINGS!$B$7:$D$97,2,0)</f>
        <v>CEREX 300</v>
      </c>
      <c r="I1691" s="796">
        <f>VLOOKUP(G1691,SETTINGS!$B$7:$D$97,3,0)</f>
        <v>0</v>
      </c>
      <c r="J1691" s="670" t="str">
        <f>IFERROR(IF(CURRENCY.FORMAT_1=0,CONCATENATE(TEXT(FIXED(ROUND((C1691/EXC.RATE_1),CURRENCY.FORMAT_1),CURRENCY.FORMAT_1,1),"# ##0;-# ##0"),",-"),FIXED(ROUND((C1691/EXC.RATE_1),CURRENCY.FORMAT_1),CURRENCY.FORMAT_1,0)),'DICTIONARY-5'!$A$2)</f>
        <v>548,-</v>
      </c>
      <c r="K1691" s="670" t="str">
        <f>IF(EXC.RATE_2=0,"",IFERROR(IF(CURRENCY.FORMAT_2=0,CONCATENATE(TEXT(FIXED(ROUND(IF(EXC.RATE.SWITCH=1,C1691/EXC.RATE_2,C1691*EXC.RATE_2),CURRENCY.FORMAT_2),CURRENCY.FORMAT_2,1),"# ##0;-# ##0"),",-"),FIXED(ROUND(IF(EXC.RATE.SWITCH=1,C1691/EXC.RATE_2,C1691*EXC.RATE_2),CURRENCY.FORMAT_2),CURRENCY.FORMAT_2,0)),'DICTIONARY-5'!$A$2))</f>
        <v/>
      </c>
      <c r="L1691" s="670" t="str">
        <f>IFERROR(IF(CURRENCY.FORMAT_1=0,CONCATENATE(TEXT(FIXED(ROUND((C1691*(1-I1691)*(1-ADD.DISCOUNT)*(1+MAT.SURCHARGE)/EXC.RATE_1),CURRENCY.FORMAT_1),CURRENCY.FORMAT_1,1),"# ##0;-# ##0"),",-"),FIXED(ROUND((C1691*(1-I1691)*(1-ADD.DISCOUNT)*(1+MAT.SURCHARGE)/EXC.RATE_1),CURRENCY.FORMAT_1),CURRENCY.FORMAT_1,0)),'DICTIONARY-5'!$A$2)</f>
        <v>569,-</v>
      </c>
      <c r="M1691" s="670" t="str">
        <f>IF(EXC.RATE_2=0,"",IFERROR(IF(CURRENCY.FORMAT_2=0,CONCATENATE(TEXT(FIXED(ROUND(IF(EXC.RATE.SWITCH=1,C1691*(1-I1691)*(1-ADD.DISCOUNT)*(1+MAT.SURCHARGE)/EXC.RATE_2,C1691*(1-I1691)*(1-ADD.DISCOUNT)*(1+MAT.SURCHARGE)*EXC.RATE_2),CURRENCY.FORMAT_2),CURRENCY.FORMAT_2,1),"# ##0;-# ##0"),",-"),FIXED(ROUND(IF(EXC.RATE.SWITCH=1,C1691*(1-I1691)*(1-ADD.DISCOUNT)*(1+MAT.SURCHARGE)/EXC.RATE_2,C1691*(1-I1691)*(1-ADD.DISCOUNT)*(1+MAT.SURCHARGE)*EXC.RATE_2),CURRENCY.FORMAT_2),CURRENCY.FORMAT_2,0)),'DICTIONARY-5'!$A$2))</f>
        <v/>
      </c>
      <c r="N1691" s="541">
        <v>6</v>
      </c>
      <c r="O1691" s="541"/>
      <c r="P1691" s="731" t="str">
        <f>'DICTIONARY-3'!$A$149</f>
        <v>CEREX 300-W</v>
      </c>
      <c r="Q1691" s="731" t="str">
        <f>'DICTIONARY-3'!$A$204</f>
        <v>Przepustnica kołnierzowa</v>
      </c>
      <c r="R1691" s="732" t="str">
        <f>CONCATENATE('DICTIONARY-3'!$A$149," ",'DICTIONARY-6'!$A$2," ",'DICTIONARY-2'!$A$2,"200"," ",'DICTIONARY-2'!$A$3,"10/16"," ","R20"," ",'DICTIONARY-5'!$A$51,"/",'DICTIONARY-5'!$A$44,", ",'DICTIONARY-4'!$A$8," 232-08")</f>
        <v>CEREX 300-W Przep. kołnierz. DN200 PN10/16 R20 GGG/EPDM, PK 232-08</v>
      </c>
      <c r="S1691" s="733" t="str">
        <f>'DICTIONARY-4'!$A$8</f>
        <v>PK</v>
      </c>
      <c r="T1691" s="732" t="str">
        <f>'DICTIONARY-4'!$A$24</f>
        <v>Przekładnia z kółkiem</v>
      </c>
      <c r="U1691" s="734" t="s">
        <v>5750</v>
      </c>
      <c r="V1691" s="735">
        <v>16</v>
      </c>
      <c r="W1691" s="736"/>
      <c r="X1691" s="737"/>
      <c r="Y1691" s="738"/>
      <c r="Z1691" s="739"/>
      <c r="AA1691" s="739"/>
      <c r="AB1691" s="740">
        <v>16</v>
      </c>
      <c r="AC1691" s="741" t="str">
        <f>'DICTIONARY-5'!$A$11&amp;" 20"</f>
        <v>EN 558 szereg 20</v>
      </c>
      <c r="AD1691" s="741" t="str">
        <f>'DICTIONARY-5'!$A$13</f>
        <v>woda pitna</v>
      </c>
      <c r="AE1691" s="742">
        <v>80</v>
      </c>
      <c r="AF1691" s="743">
        <v>16.5</v>
      </c>
      <c r="AG1691" s="741" t="str">
        <f>'DICTIONARY-5'!$A$23</f>
        <v>powłoka epoksydowa</v>
      </c>
    </row>
    <row r="1692" spans="1:33" x14ac:dyDescent="0.25">
      <c r="A1692" s="866" t="s">
        <v>1782</v>
      </c>
      <c r="B1692" s="866" t="s">
        <v>3791</v>
      </c>
      <c r="C1692" s="836">
        <v>574</v>
      </c>
      <c r="D1692" s="836"/>
      <c r="E1692" s="836"/>
      <c r="F1692" s="836"/>
      <c r="G1692" s="496" t="s">
        <v>7832</v>
      </c>
      <c r="H1692" s="797" t="str">
        <f>VLOOKUP(G1692,SETTINGS!$B$7:$D$97,2,0)</f>
        <v>CEREX 300</v>
      </c>
      <c r="I1692" s="796">
        <f>VLOOKUP(G1692,SETTINGS!$B$7:$D$97,3,0)</f>
        <v>0</v>
      </c>
      <c r="J1692" s="670" t="str">
        <f>IFERROR(IF(CURRENCY.FORMAT_1=0,CONCATENATE(TEXT(FIXED(ROUND((C1692/EXC.RATE_1),CURRENCY.FORMAT_1),CURRENCY.FORMAT_1,1),"# ##0;-# ##0"),",-"),FIXED(ROUND((C1692/EXC.RATE_1),CURRENCY.FORMAT_1),CURRENCY.FORMAT_1,0)),'DICTIONARY-5'!$A$2)</f>
        <v>574,-</v>
      </c>
      <c r="K1692" s="670" t="str">
        <f>IF(EXC.RATE_2=0,"",IFERROR(IF(CURRENCY.FORMAT_2=0,CONCATENATE(TEXT(FIXED(ROUND(IF(EXC.RATE.SWITCH=1,C1692/EXC.RATE_2,C1692*EXC.RATE_2),CURRENCY.FORMAT_2),CURRENCY.FORMAT_2,1),"# ##0;-# ##0"),",-"),FIXED(ROUND(IF(EXC.RATE.SWITCH=1,C1692/EXC.RATE_2,C1692*EXC.RATE_2),CURRENCY.FORMAT_2),CURRENCY.FORMAT_2,0)),'DICTIONARY-5'!$A$2))</f>
        <v/>
      </c>
      <c r="L1692" s="670" t="str">
        <f>IFERROR(IF(CURRENCY.FORMAT_1=0,CONCATENATE(TEXT(FIXED(ROUND((C1692*(1-I1692)*(1-ADD.DISCOUNT)*(1+MAT.SURCHARGE)/EXC.RATE_1),CURRENCY.FORMAT_1),CURRENCY.FORMAT_1,1),"# ##0;-# ##0"),",-"),FIXED(ROUND((C1692*(1-I1692)*(1-ADD.DISCOUNT)*(1+MAT.SURCHARGE)/EXC.RATE_1),CURRENCY.FORMAT_1),CURRENCY.FORMAT_1,0)),'DICTIONARY-5'!$A$2)</f>
        <v>596,-</v>
      </c>
      <c r="M1692" s="670" t="str">
        <f>IF(EXC.RATE_2=0,"",IFERROR(IF(CURRENCY.FORMAT_2=0,CONCATENATE(TEXT(FIXED(ROUND(IF(EXC.RATE.SWITCH=1,C1692*(1-I1692)*(1-ADD.DISCOUNT)*(1+MAT.SURCHARGE)/EXC.RATE_2,C1692*(1-I1692)*(1-ADD.DISCOUNT)*(1+MAT.SURCHARGE)*EXC.RATE_2),CURRENCY.FORMAT_2),CURRENCY.FORMAT_2,1),"# ##0;-# ##0"),",-"),FIXED(ROUND(IF(EXC.RATE.SWITCH=1,C1692*(1-I1692)*(1-ADD.DISCOUNT)*(1+MAT.SURCHARGE)/EXC.RATE_2,C1692*(1-I1692)*(1-ADD.DISCOUNT)*(1+MAT.SURCHARGE)*EXC.RATE_2),CURRENCY.FORMAT_2),CURRENCY.FORMAT_2,0)),'DICTIONARY-5'!$A$2))</f>
        <v/>
      </c>
      <c r="N1692" s="541">
        <v>6</v>
      </c>
      <c r="O1692" s="541"/>
      <c r="P1692" s="731" t="str">
        <f>'DICTIONARY-3'!$A$149</f>
        <v>CEREX 300-W</v>
      </c>
      <c r="Q1692" s="731" t="str">
        <f>'DICTIONARY-3'!$A$204</f>
        <v>Przepustnica kołnierzowa</v>
      </c>
      <c r="R1692" s="732" t="str">
        <f>CONCATENATE('DICTIONARY-3'!$A$149," ",'DICTIONARY-6'!$A$2," ",'DICTIONARY-2'!$A$2,"250"," ",'DICTIONARY-2'!$A$3,"10/16"," ","R20"," ",'DICTIONARY-5'!$A$51,"/",'DICTIONARY-5'!$A$44,", ",'DICTIONARY-4'!$A$8," 232-08")</f>
        <v>CEREX 300-W Przep. kołnierz. DN250 PN10/16 R20 GGG/EPDM, PK 232-08</v>
      </c>
      <c r="S1692" s="733" t="str">
        <f>'DICTIONARY-4'!$A$8</f>
        <v>PK</v>
      </c>
      <c r="T1692" s="732" t="str">
        <f>'DICTIONARY-4'!$A$24</f>
        <v>Przekładnia z kółkiem</v>
      </c>
      <c r="U1692" s="734" t="s">
        <v>5751</v>
      </c>
      <c r="V1692" s="735">
        <v>16</v>
      </c>
      <c r="W1692" s="736"/>
      <c r="X1692" s="737"/>
      <c r="Y1692" s="738"/>
      <c r="Z1692" s="739"/>
      <c r="AA1692" s="739"/>
      <c r="AB1692" s="740">
        <v>16</v>
      </c>
      <c r="AC1692" s="741" t="str">
        <f>'DICTIONARY-5'!$A$11&amp;" 20"</f>
        <v>EN 558 szereg 20</v>
      </c>
      <c r="AD1692" s="741" t="str">
        <f>'DICTIONARY-5'!$A$13</f>
        <v>woda pitna</v>
      </c>
      <c r="AE1692" s="742">
        <v>80</v>
      </c>
      <c r="AF1692" s="743">
        <v>24</v>
      </c>
      <c r="AG1692" s="741" t="str">
        <f>'DICTIONARY-5'!$A$23</f>
        <v>powłoka epoksydowa</v>
      </c>
    </row>
    <row r="1693" spans="1:33" x14ac:dyDescent="0.25">
      <c r="A1693" s="866" t="s">
        <v>1784</v>
      </c>
      <c r="B1693" s="866" t="s">
        <v>3795</v>
      </c>
      <c r="C1693" s="836">
        <v>817</v>
      </c>
      <c r="D1693" s="836"/>
      <c r="E1693" s="836"/>
      <c r="F1693" s="836"/>
      <c r="G1693" s="496" t="s">
        <v>7832</v>
      </c>
      <c r="H1693" s="797" t="str">
        <f>VLOOKUP(G1693,SETTINGS!$B$7:$D$97,2,0)</f>
        <v>CEREX 300</v>
      </c>
      <c r="I1693" s="796">
        <f>VLOOKUP(G1693,SETTINGS!$B$7:$D$97,3,0)</f>
        <v>0</v>
      </c>
      <c r="J1693" s="670" t="str">
        <f>IFERROR(IF(CURRENCY.FORMAT_1=0,CONCATENATE(TEXT(FIXED(ROUND((C1693/EXC.RATE_1),CURRENCY.FORMAT_1),CURRENCY.FORMAT_1,1),"# ##0;-# ##0"),",-"),FIXED(ROUND((C1693/EXC.RATE_1),CURRENCY.FORMAT_1),CURRENCY.FORMAT_1,0)),'DICTIONARY-5'!$A$2)</f>
        <v>817,-</v>
      </c>
      <c r="K1693" s="670" t="str">
        <f>IF(EXC.RATE_2=0,"",IFERROR(IF(CURRENCY.FORMAT_2=0,CONCATENATE(TEXT(FIXED(ROUND(IF(EXC.RATE.SWITCH=1,C1693/EXC.RATE_2,C1693*EXC.RATE_2),CURRENCY.FORMAT_2),CURRENCY.FORMAT_2,1),"# ##0;-# ##0"),",-"),FIXED(ROUND(IF(EXC.RATE.SWITCH=1,C1693/EXC.RATE_2,C1693*EXC.RATE_2),CURRENCY.FORMAT_2),CURRENCY.FORMAT_2,0)),'DICTIONARY-5'!$A$2))</f>
        <v/>
      </c>
      <c r="L1693" s="670" t="str">
        <f>IFERROR(IF(CURRENCY.FORMAT_1=0,CONCATENATE(TEXT(FIXED(ROUND((C1693*(1-I1693)*(1-ADD.DISCOUNT)*(1+MAT.SURCHARGE)/EXC.RATE_1),CURRENCY.FORMAT_1),CURRENCY.FORMAT_1,1),"# ##0;-# ##0"),",-"),FIXED(ROUND((C1693*(1-I1693)*(1-ADD.DISCOUNT)*(1+MAT.SURCHARGE)/EXC.RATE_1),CURRENCY.FORMAT_1),CURRENCY.FORMAT_1,0)),'DICTIONARY-5'!$A$2)</f>
        <v>849,-</v>
      </c>
      <c r="M1693" s="670" t="str">
        <f>IF(EXC.RATE_2=0,"",IFERROR(IF(CURRENCY.FORMAT_2=0,CONCATENATE(TEXT(FIXED(ROUND(IF(EXC.RATE.SWITCH=1,C1693*(1-I1693)*(1-ADD.DISCOUNT)*(1+MAT.SURCHARGE)/EXC.RATE_2,C1693*(1-I1693)*(1-ADD.DISCOUNT)*(1+MAT.SURCHARGE)*EXC.RATE_2),CURRENCY.FORMAT_2),CURRENCY.FORMAT_2,1),"# ##0;-# ##0"),",-"),FIXED(ROUND(IF(EXC.RATE.SWITCH=1,C1693*(1-I1693)*(1-ADD.DISCOUNT)*(1+MAT.SURCHARGE)/EXC.RATE_2,C1693*(1-I1693)*(1-ADD.DISCOUNT)*(1+MAT.SURCHARGE)*EXC.RATE_2),CURRENCY.FORMAT_2),CURRENCY.FORMAT_2,0)),'DICTIONARY-5'!$A$2))</f>
        <v/>
      </c>
      <c r="N1693" s="541">
        <v>6</v>
      </c>
      <c r="O1693" s="541"/>
      <c r="P1693" s="731" t="str">
        <f>'DICTIONARY-3'!$A$149</f>
        <v>CEREX 300-W</v>
      </c>
      <c r="Q1693" s="731" t="str">
        <f>'DICTIONARY-3'!$A$204</f>
        <v>Przepustnica kołnierzowa</v>
      </c>
      <c r="R1693" s="732" t="str">
        <f>CONCATENATE('DICTIONARY-3'!$A$149," ",'DICTIONARY-6'!$A$2," ",'DICTIONARY-2'!$A$2,"300"," ",'DICTIONARY-2'!$A$3,"10/16"," ","R20"," ",'DICTIONARY-5'!$A$51,"/",'DICTIONARY-5'!$A$44,", ",'DICTIONARY-4'!$A$8," 232-11")</f>
        <v>CEREX 300-W Przep. kołnierz. DN300 PN10/16 R20 GGG/EPDM, PK 232-11</v>
      </c>
      <c r="S1693" s="733" t="str">
        <f>'DICTIONARY-4'!$A$8</f>
        <v>PK</v>
      </c>
      <c r="T1693" s="732" t="str">
        <f>'DICTIONARY-4'!$A$24</f>
        <v>Przekładnia z kółkiem</v>
      </c>
      <c r="U1693" s="734" t="s">
        <v>5752</v>
      </c>
      <c r="V1693" s="735">
        <v>16</v>
      </c>
      <c r="W1693" s="736"/>
      <c r="X1693" s="737"/>
      <c r="Y1693" s="738"/>
      <c r="Z1693" s="739"/>
      <c r="AA1693" s="739"/>
      <c r="AB1693" s="740">
        <v>16</v>
      </c>
      <c r="AC1693" s="741" t="str">
        <f>'DICTIONARY-5'!$A$11&amp;" 20"</f>
        <v>EN 558 szereg 20</v>
      </c>
      <c r="AD1693" s="741" t="str">
        <f>'DICTIONARY-5'!$A$13</f>
        <v>woda pitna</v>
      </c>
      <c r="AE1693" s="742">
        <v>80</v>
      </c>
      <c r="AF1693" s="743">
        <v>35.5</v>
      </c>
      <c r="AG1693" s="741" t="str">
        <f>'DICTIONARY-5'!$A$23</f>
        <v>powłoka epoksydowa</v>
      </c>
    </row>
    <row r="1694" spans="1:33" x14ac:dyDescent="0.25">
      <c r="A1694" s="866" t="s">
        <v>1786</v>
      </c>
      <c r="B1694" s="866" t="s">
        <v>3799</v>
      </c>
      <c r="C1694" s="836">
        <v>1092</v>
      </c>
      <c r="D1694" s="836"/>
      <c r="E1694" s="836"/>
      <c r="F1694" s="836"/>
      <c r="G1694" s="496" t="s">
        <v>7832</v>
      </c>
      <c r="H1694" s="797" t="str">
        <f>VLOOKUP(G1694,SETTINGS!$B$7:$D$97,2,0)</f>
        <v>CEREX 300</v>
      </c>
      <c r="I1694" s="796">
        <f>VLOOKUP(G1694,SETTINGS!$B$7:$D$97,3,0)</f>
        <v>0</v>
      </c>
      <c r="J1694" s="670" t="str">
        <f>IFERROR(IF(CURRENCY.FORMAT_1=0,CONCATENATE(TEXT(FIXED(ROUND((C1694/EXC.RATE_1),CURRENCY.FORMAT_1),CURRENCY.FORMAT_1,1),"# ##0;-# ##0"),",-"),FIXED(ROUND((C1694/EXC.RATE_1),CURRENCY.FORMAT_1),CURRENCY.FORMAT_1,0)),'DICTIONARY-5'!$A$2)</f>
        <v>1 092,-</v>
      </c>
      <c r="K1694" s="670" t="str">
        <f>IF(EXC.RATE_2=0,"",IFERROR(IF(CURRENCY.FORMAT_2=0,CONCATENATE(TEXT(FIXED(ROUND(IF(EXC.RATE.SWITCH=1,C1694/EXC.RATE_2,C1694*EXC.RATE_2),CURRENCY.FORMAT_2),CURRENCY.FORMAT_2,1),"# ##0;-# ##0"),",-"),FIXED(ROUND(IF(EXC.RATE.SWITCH=1,C1694/EXC.RATE_2,C1694*EXC.RATE_2),CURRENCY.FORMAT_2),CURRENCY.FORMAT_2,0)),'DICTIONARY-5'!$A$2))</f>
        <v/>
      </c>
      <c r="L1694" s="670" t="str">
        <f>IFERROR(IF(CURRENCY.FORMAT_1=0,CONCATENATE(TEXT(FIXED(ROUND((C1694*(1-I1694)*(1-ADD.DISCOUNT)*(1+MAT.SURCHARGE)/EXC.RATE_1),CURRENCY.FORMAT_1),CURRENCY.FORMAT_1,1),"# ##0;-# ##0"),",-"),FIXED(ROUND((C1694*(1-I1694)*(1-ADD.DISCOUNT)*(1+MAT.SURCHARGE)/EXC.RATE_1),CURRENCY.FORMAT_1),CURRENCY.FORMAT_1,0)),'DICTIONARY-5'!$A$2)</f>
        <v>1 135,-</v>
      </c>
      <c r="M1694" s="670" t="str">
        <f>IF(EXC.RATE_2=0,"",IFERROR(IF(CURRENCY.FORMAT_2=0,CONCATENATE(TEXT(FIXED(ROUND(IF(EXC.RATE.SWITCH=1,C1694*(1-I1694)*(1-ADD.DISCOUNT)*(1+MAT.SURCHARGE)/EXC.RATE_2,C1694*(1-I1694)*(1-ADD.DISCOUNT)*(1+MAT.SURCHARGE)*EXC.RATE_2),CURRENCY.FORMAT_2),CURRENCY.FORMAT_2,1),"# ##0;-# ##0"),",-"),FIXED(ROUND(IF(EXC.RATE.SWITCH=1,C1694*(1-I1694)*(1-ADD.DISCOUNT)*(1+MAT.SURCHARGE)/EXC.RATE_2,C1694*(1-I1694)*(1-ADD.DISCOUNT)*(1+MAT.SURCHARGE)*EXC.RATE_2),CURRENCY.FORMAT_2),CURRENCY.FORMAT_2,0)),'DICTIONARY-5'!$A$2))</f>
        <v/>
      </c>
      <c r="N1694" s="541">
        <v>6</v>
      </c>
      <c r="O1694" s="541"/>
      <c r="P1694" s="731" t="str">
        <f>'DICTIONARY-3'!$A$149</f>
        <v>CEREX 300-W</v>
      </c>
      <c r="Q1694" s="731" t="str">
        <f>'DICTIONARY-3'!$A$204</f>
        <v>Przepustnica kołnierzowa</v>
      </c>
      <c r="R1694" s="732" t="str">
        <f>CONCATENATE('DICTIONARY-3'!$A$149," ",'DICTIONARY-6'!$A$2," ",'DICTIONARY-2'!$A$2,"350"," ",'DICTIONARY-2'!$A$3,"10/16"," ","R20"," ",'DICTIONARY-5'!$A$51,"/",'DICTIONARY-5'!$A$44,", ",'DICTIONARY-4'!$A$8," 232-11")</f>
        <v>CEREX 300-W Przep. kołnierz. DN350 PN10/16 R20 GGG/EPDM, PK 232-11</v>
      </c>
      <c r="S1694" s="733" t="str">
        <f>'DICTIONARY-4'!$A$8</f>
        <v>PK</v>
      </c>
      <c r="T1694" s="732" t="str">
        <f>'DICTIONARY-4'!$A$24</f>
        <v>Przekładnia z kółkiem</v>
      </c>
      <c r="U1694" s="734" t="s">
        <v>5753</v>
      </c>
      <c r="V1694" s="735">
        <v>16</v>
      </c>
      <c r="W1694" s="736"/>
      <c r="X1694" s="737"/>
      <c r="Y1694" s="738"/>
      <c r="Z1694" s="739"/>
      <c r="AA1694" s="739"/>
      <c r="AB1694" s="740">
        <v>16</v>
      </c>
      <c r="AC1694" s="741" t="str">
        <f>'DICTIONARY-5'!$A$11&amp;" 20"</f>
        <v>EN 558 szereg 20</v>
      </c>
      <c r="AD1694" s="741" t="str">
        <f>'DICTIONARY-5'!$A$13</f>
        <v>woda pitna</v>
      </c>
      <c r="AE1694" s="742">
        <v>80</v>
      </c>
      <c r="AF1694" s="743">
        <v>45.5</v>
      </c>
      <c r="AG1694" s="741" t="str">
        <f>'DICTIONARY-5'!$A$23</f>
        <v>powłoka epoksydowa</v>
      </c>
    </row>
    <row r="1695" spans="1:33" x14ac:dyDescent="0.25">
      <c r="A1695" s="866" t="s">
        <v>1788</v>
      </c>
      <c r="B1695" s="866" t="s">
        <v>3801</v>
      </c>
      <c r="C1695" s="836">
        <v>1396</v>
      </c>
      <c r="D1695" s="836"/>
      <c r="E1695" s="836"/>
      <c r="F1695" s="836"/>
      <c r="G1695" s="496" t="s">
        <v>7832</v>
      </c>
      <c r="H1695" s="797" t="str">
        <f>VLOOKUP(G1695,SETTINGS!$B$7:$D$97,2,0)</f>
        <v>CEREX 300</v>
      </c>
      <c r="I1695" s="796">
        <f>VLOOKUP(G1695,SETTINGS!$B$7:$D$97,3,0)</f>
        <v>0</v>
      </c>
      <c r="J1695" s="670" t="str">
        <f>IFERROR(IF(CURRENCY.FORMAT_1=0,CONCATENATE(TEXT(FIXED(ROUND((C1695/EXC.RATE_1),CURRENCY.FORMAT_1),CURRENCY.FORMAT_1,1),"# ##0;-# ##0"),",-"),FIXED(ROUND((C1695/EXC.RATE_1),CURRENCY.FORMAT_1),CURRENCY.FORMAT_1,0)),'DICTIONARY-5'!$A$2)</f>
        <v>1 396,-</v>
      </c>
      <c r="K1695" s="670" t="str">
        <f>IF(EXC.RATE_2=0,"",IFERROR(IF(CURRENCY.FORMAT_2=0,CONCATENATE(TEXT(FIXED(ROUND(IF(EXC.RATE.SWITCH=1,C1695/EXC.RATE_2,C1695*EXC.RATE_2),CURRENCY.FORMAT_2),CURRENCY.FORMAT_2,1),"# ##0;-# ##0"),",-"),FIXED(ROUND(IF(EXC.RATE.SWITCH=1,C1695/EXC.RATE_2,C1695*EXC.RATE_2),CURRENCY.FORMAT_2),CURRENCY.FORMAT_2,0)),'DICTIONARY-5'!$A$2))</f>
        <v/>
      </c>
      <c r="L1695" s="670" t="str">
        <f>IFERROR(IF(CURRENCY.FORMAT_1=0,CONCATENATE(TEXT(FIXED(ROUND((C1695*(1-I1695)*(1-ADD.DISCOUNT)*(1+MAT.SURCHARGE)/EXC.RATE_1),CURRENCY.FORMAT_1),CURRENCY.FORMAT_1,1),"# ##0;-# ##0"),",-"),FIXED(ROUND((C1695*(1-I1695)*(1-ADD.DISCOUNT)*(1+MAT.SURCHARGE)/EXC.RATE_1),CURRENCY.FORMAT_1),CURRENCY.FORMAT_1,0)),'DICTIONARY-5'!$A$2)</f>
        <v>1 450,-</v>
      </c>
      <c r="M1695" s="670" t="str">
        <f>IF(EXC.RATE_2=0,"",IFERROR(IF(CURRENCY.FORMAT_2=0,CONCATENATE(TEXT(FIXED(ROUND(IF(EXC.RATE.SWITCH=1,C1695*(1-I1695)*(1-ADD.DISCOUNT)*(1+MAT.SURCHARGE)/EXC.RATE_2,C1695*(1-I1695)*(1-ADD.DISCOUNT)*(1+MAT.SURCHARGE)*EXC.RATE_2),CURRENCY.FORMAT_2),CURRENCY.FORMAT_2,1),"# ##0;-# ##0"),",-"),FIXED(ROUND(IF(EXC.RATE.SWITCH=1,C1695*(1-I1695)*(1-ADD.DISCOUNT)*(1+MAT.SURCHARGE)/EXC.RATE_2,C1695*(1-I1695)*(1-ADD.DISCOUNT)*(1+MAT.SURCHARGE)*EXC.RATE_2),CURRENCY.FORMAT_2),CURRENCY.FORMAT_2,0)),'DICTIONARY-5'!$A$2))</f>
        <v/>
      </c>
      <c r="N1695" s="541">
        <v>6</v>
      </c>
      <c r="O1695" s="541"/>
      <c r="P1695" s="731" t="str">
        <f>'DICTIONARY-3'!$A$149</f>
        <v>CEREX 300-W</v>
      </c>
      <c r="Q1695" s="731" t="str">
        <f>'DICTIONARY-3'!$A$204</f>
        <v>Przepustnica kołnierzowa</v>
      </c>
      <c r="R1695" s="732" t="str">
        <f>CONCATENATE('DICTIONARY-3'!$A$149," ",'DICTIONARY-6'!$A$2," ",'DICTIONARY-2'!$A$2,"400"," ",'DICTIONARY-2'!$A$3,"10/16"," ","R20"," ",'DICTIONARY-5'!$A$51,"/",'DICTIONARY-5'!$A$44,", ",'DICTIONARY-4'!$A$8," 232-14")</f>
        <v>CEREX 300-W Przep. kołnierz. DN400 PN10/16 R20 GGG/EPDM, PK 232-14</v>
      </c>
      <c r="S1695" s="733" t="str">
        <f>'DICTIONARY-4'!$A$8</f>
        <v>PK</v>
      </c>
      <c r="T1695" s="732" t="str">
        <f>'DICTIONARY-4'!$A$24</f>
        <v>Przekładnia z kółkiem</v>
      </c>
      <c r="U1695" s="734" t="s">
        <v>5754</v>
      </c>
      <c r="V1695" s="735">
        <v>16</v>
      </c>
      <c r="W1695" s="736"/>
      <c r="X1695" s="737"/>
      <c r="Y1695" s="738"/>
      <c r="Z1695" s="739"/>
      <c r="AA1695" s="739"/>
      <c r="AB1695" s="740">
        <v>16</v>
      </c>
      <c r="AC1695" s="741" t="str">
        <f>'DICTIONARY-5'!$A$11&amp;" 20"</f>
        <v>EN 558 szereg 20</v>
      </c>
      <c r="AD1695" s="741" t="str">
        <f>'DICTIONARY-5'!$A$13</f>
        <v>woda pitna</v>
      </c>
      <c r="AE1695" s="742">
        <v>80</v>
      </c>
      <c r="AF1695" s="743">
        <v>66</v>
      </c>
      <c r="AG1695" s="741" t="str">
        <f>'DICTIONARY-5'!$A$23</f>
        <v>powłoka epoksydowa</v>
      </c>
    </row>
    <row r="1696" spans="1:33" x14ac:dyDescent="0.25">
      <c r="A1696" s="866" t="s">
        <v>1791</v>
      </c>
      <c r="B1696" s="866" t="s">
        <v>3803</v>
      </c>
      <c r="C1696" s="836">
        <v>2206</v>
      </c>
      <c r="D1696" s="836"/>
      <c r="E1696" s="836"/>
      <c r="F1696" s="836"/>
      <c r="G1696" s="496" t="s">
        <v>7832</v>
      </c>
      <c r="H1696" s="797" t="str">
        <f>VLOOKUP(G1696,SETTINGS!$B$7:$D$97,2,0)</f>
        <v>CEREX 300</v>
      </c>
      <c r="I1696" s="796">
        <f>VLOOKUP(G1696,SETTINGS!$B$7:$D$97,3,0)</f>
        <v>0</v>
      </c>
      <c r="J1696" s="670" t="str">
        <f>IFERROR(IF(CURRENCY.FORMAT_1=0,CONCATENATE(TEXT(FIXED(ROUND((C1696/EXC.RATE_1),CURRENCY.FORMAT_1),CURRENCY.FORMAT_1,1),"# ##0;-# ##0"),",-"),FIXED(ROUND((C1696/EXC.RATE_1),CURRENCY.FORMAT_1),CURRENCY.FORMAT_1,0)),'DICTIONARY-5'!$A$2)</f>
        <v>2 206,-</v>
      </c>
      <c r="K1696" s="670" t="str">
        <f>IF(EXC.RATE_2=0,"",IFERROR(IF(CURRENCY.FORMAT_2=0,CONCATENATE(TEXT(FIXED(ROUND(IF(EXC.RATE.SWITCH=1,C1696/EXC.RATE_2,C1696*EXC.RATE_2),CURRENCY.FORMAT_2),CURRENCY.FORMAT_2,1),"# ##0;-# ##0"),",-"),FIXED(ROUND(IF(EXC.RATE.SWITCH=1,C1696/EXC.RATE_2,C1696*EXC.RATE_2),CURRENCY.FORMAT_2),CURRENCY.FORMAT_2,0)),'DICTIONARY-5'!$A$2))</f>
        <v/>
      </c>
      <c r="L1696" s="670" t="str">
        <f>IFERROR(IF(CURRENCY.FORMAT_1=0,CONCATENATE(TEXT(FIXED(ROUND((C1696*(1-I1696)*(1-ADD.DISCOUNT)*(1+MAT.SURCHARGE)/EXC.RATE_1),CURRENCY.FORMAT_1),CURRENCY.FORMAT_1,1),"# ##0;-# ##0"),",-"),FIXED(ROUND((C1696*(1-I1696)*(1-ADD.DISCOUNT)*(1+MAT.SURCHARGE)/EXC.RATE_1),CURRENCY.FORMAT_1),CURRENCY.FORMAT_1,0)),'DICTIONARY-5'!$A$2)</f>
        <v>2 292,-</v>
      </c>
      <c r="M1696" s="670" t="str">
        <f>IF(EXC.RATE_2=0,"",IFERROR(IF(CURRENCY.FORMAT_2=0,CONCATENATE(TEXT(FIXED(ROUND(IF(EXC.RATE.SWITCH=1,C1696*(1-I1696)*(1-ADD.DISCOUNT)*(1+MAT.SURCHARGE)/EXC.RATE_2,C1696*(1-I1696)*(1-ADD.DISCOUNT)*(1+MAT.SURCHARGE)*EXC.RATE_2),CURRENCY.FORMAT_2),CURRENCY.FORMAT_2,1),"# ##0;-# ##0"),",-"),FIXED(ROUND(IF(EXC.RATE.SWITCH=1,C1696*(1-I1696)*(1-ADD.DISCOUNT)*(1+MAT.SURCHARGE)/EXC.RATE_2,C1696*(1-I1696)*(1-ADD.DISCOUNT)*(1+MAT.SURCHARGE)*EXC.RATE_2),CURRENCY.FORMAT_2),CURRENCY.FORMAT_2,0)),'DICTIONARY-5'!$A$2))</f>
        <v/>
      </c>
      <c r="N1696" s="541">
        <v>6</v>
      </c>
      <c r="O1696" s="541"/>
      <c r="P1696" s="731" t="str">
        <f>'DICTIONARY-3'!$A$149</f>
        <v>CEREX 300-W</v>
      </c>
      <c r="Q1696" s="731" t="str">
        <f>'DICTIONARY-3'!$A$204</f>
        <v>Przepustnica kołnierzowa</v>
      </c>
      <c r="R1696" s="732" t="str">
        <f>CONCATENATE('DICTIONARY-3'!$A$149," ",'DICTIONARY-6'!$A$2," ",'DICTIONARY-2'!$A$2,"450"," ",'DICTIONARY-2'!$A$3,"10/16"," ",'DICTIONARY-2'!$A$10,"10",'DICTIONARY-2'!$A$20," ","R20"," ",'DICTIONARY-5'!$A$51,"/",'DICTIONARY-5'!$A$44,", ",'DICTIONARY-4'!$A$8," AB1250N")</f>
        <v>CEREX 300-W Przep. kołnierz. DN450 PN10/16 PS10bar R20 GGG/EPDM, PK AB1250N</v>
      </c>
      <c r="S1696" s="733" t="str">
        <f>'DICTIONARY-4'!$A$8</f>
        <v>PK</v>
      </c>
      <c r="T1696" s="732" t="str">
        <f>'DICTIONARY-4'!$A$24</f>
        <v>Przekładnia z kółkiem</v>
      </c>
      <c r="U1696" s="734" t="s">
        <v>5755</v>
      </c>
      <c r="V1696" s="735">
        <v>16</v>
      </c>
      <c r="W1696" s="736"/>
      <c r="X1696" s="737"/>
      <c r="Y1696" s="738"/>
      <c r="Z1696" s="739"/>
      <c r="AA1696" s="739"/>
      <c r="AB1696" s="740">
        <v>10</v>
      </c>
      <c r="AC1696" s="741" t="str">
        <f>'DICTIONARY-5'!$A$11&amp;" 20"</f>
        <v>EN 558 szereg 20</v>
      </c>
      <c r="AD1696" s="741" t="str">
        <f>'DICTIONARY-5'!$A$13</f>
        <v>woda pitna</v>
      </c>
      <c r="AE1696" s="742">
        <v>80</v>
      </c>
      <c r="AF1696" s="743">
        <v>112.5</v>
      </c>
      <c r="AG1696" s="741" t="str">
        <f>'DICTIONARY-5'!$A$23</f>
        <v>powłoka epoksydowa</v>
      </c>
    </row>
    <row r="1697" spans="1:33" x14ac:dyDescent="0.25">
      <c r="A1697" s="866" t="s">
        <v>1793</v>
      </c>
      <c r="B1697" s="866" t="s">
        <v>3813</v>
      </c>
      <c r="C1697" s="836">
        <v>2512</v>
      </c>
      <c r="D1697" s="836"/>
      <c r="E1697" s="836"/>
      <c r="F1697" s="836"/>
      <c r="G1697" s="496" t="s">
        <v>7832</v>
      </c>
      <c r="H1697" s="797" t="str">
        <f>VLOOKUP(G1697,SETTINGS!$B$7:$D$97,2,0)</f>
        <v>CEREX 300</v>
      </c>
      <c r="I1697" s="796">
        <f>VLOOKUP(G1697,SETTINGS!$B$7:$D$97,3,0)</f>
        <v>0</v>
      </c>
      <c r="J1697" s="670" t="str">
        <f>IFERROR(IF(CURRENCY.FORMAT_1=0,CONCATENATE(TEXT(FIXED(ROUND((C1697/EXC.RATE_1),CURRENCY.FORMAT_1),CURRENCY.FORMAT_1,1),"# ##0;-# ##0"),",-"),FIXED(ROUND((C1697/EXC.RATE_1),CURRENCY.FORMAT_1),CURRENCY.FORMAT_1,0)),'DICTIONARY-5'!$A$2)</f>
        <v>2 512,-</v>
      </c>
      <c r="K1697" s="670" t="str">
        <f>IF(EXC.RATE_2=0,"",IFERROR(IF(CURRENCY.FORMAT_2=0,CONCATENATE(TEXT(FIXED(ROUND(IF(EXC.RATE.SWITCH=1,C1697/EXC.RATE_2,C1697*EXC.RATE_2),CURRENCY.FORMAT_2),CURRENCY.FORMAT_2,1),"# ##0;-# ##0"),",-"),FIXED(ROUND(IF(EXC.RATE.SWITCH=1,C1697/EXC.RATE_2,C1697*EXC.RATE_2),CURRENCY.FORMAT_2),CURRENCY.FORMAT_2,0)),'DICTIONARY-5'!$A$2))</f>
        <v/>
      </c>
      <c r="L1697" s="670" t="str">
        <f>IFERROR(IF(CURRENCY.FORMAT_1=0,CONCATENATE(TEXT(FIXED(ROUND((C1697*(1-I1697)*(1-ADD.DISCOUNT)*(1+MAT.SURCHARGE)/EXC.RATE_1),CURRENCY.FORMAT_1),CURRENCY.FORMAT_1,1),"# ##0;-# ##0"),",-"),FIXED(ROUND((C1697*(1-I1697)*(1-ADD.DISCOUNT)*(1+MAT.SURCHARGE)/EXC.RATE_1),CURRENCY.FORMAT_1),CURRENCY.FORMAT_1,0)),'DICTIONARY-5'!$A$2)</f>
        <v>2 610,-</v>
      </c>
      <c r="M1697" s="670" t="str">
        <f>IF(EXC.RATE_2=0,"",IFERROR(IF(CURRENCY.FORMAT_2=0,CONCATENATE(TEXT(FIXED(ROUND(IF(EXC.RATE.SWITCH=1,C1697*(1-I1697)*(1-ADD.DISCOUNT)*(1+MAT.SURCHARGE)/EXC.RATE_2,C1697*(1-I1697)*(1-ADD.DISCOUNT)*(1+MAT.SURCHARGE)*EXC.RATE_2),CURRENCY.FORMAT_2),CURRENCY.FORMAT_2,1),"# ##0;-# ##0"),",-"),FIXED(ROUND(IF(EXC.RATE.SWITCH=1,C1697*(1-I1697)*(1-ADD.DISCOUNT)*(1+MAT.SURCHARGE)/EXC.RATE_2,C1697*(1-I1697)*(1-ADD.DISCOUNT)*(1+MAT.SURCHARGE)*EXC.RATE_2),CURRENCY.FORMAT_2),CURRENCY.FORMAT_2,0)),'DICTIONARY-5'!$A$2))</f>
        <v/>
      </c>
      <c r="N1697" s="541">
        <v>6</v>
      </c>
      <c r="O1697" s="541"/>
      <c r="P1697" s="731" t="str">
        <f>'DICTIONARY-3'!$A$149</f>
        <v>CEREX 300-W</v>
      </c>
      <c r="Q1697" s="731" t="str">
        <f>'DICTIONARY-3'!$A$204</f>
        <v>Przepustnica kołnierzowa</v>
      </c>
      <c r="R1697" s="732" t="str">
        <f>CONCATENATE('DICTIONARY-3'!$A$149," ",'DICTIONARY-6'!$A$2," ",'DICTIONARY-2'!$A$2,"500"," ",'DICTIONARY-2'!$A$3,"10"," ","R20"," ",'DICTIONARY-5'!$A$51,"/",'DICTIONARY-5'!$A$44,", ",'DICTIONARY-4'!$A$8," AB1250N")</f>
        <v>CEREX 300-W Przep. kołnierz. DN500 PN10 R20 GGG/EPDM, PK AB1250N</v>
      </c>
      <c r="S1697" s="733" t="str">
        <f>'DICTIONARY-4'!$A$8</f>
        <v>PK</v>
      </c>
      <c r="T1697" s="732" t="str">
        <f>'DICTIONARY-4'!$A$24</f>
        <v>Przekładnia z kółkiem</v>
      </c>
      <c r="U1697" s="734" t="s">
        <v>5756</v>
      </c>
      <c r="V1697" s="735">
        <v>10</v>
      </c>
      <c r="W1697" s="736"/>
      <c r="X1697" s="737"/>
      <c r="Y1697" s="738"/>
      <c r="Z1697" s="739"/>
      <c r="AA1697" s="739"/>
      <c r="AB1697" s="740">
        <v>10</v>
      </c>
      <c r="AC1697" s="741" t="str">
        <f>'DICTIONARY-5'!$A$11&amp;" 20"</f>
        <v>EN 558 szereg 20</v>
      </c>
      <c r="AD1697" s="741" t="str">
        <f>'DICTIONARY-5'!$A$13</f>
        <v>woda pitna</v>
      </c>
      <c r="AE1697" s="742">
        <v>80</v>
      </c>
      <c r="AF1697" s="743">
        <v>146.5</v>
      </c>
      <c r="AG1697" s="741" t="str">
        <f>'DICTIONARY-5'!$A$23</f>
        <v>powłoka epoksydowa</v>
      </c>
    </row>
    <row r="1698" spans="1:33" x14ac:dyDescent="0.25">
      <c r="A1698" s="866" t="s">
        <v>1795</v>
      </c>
      <c r="B1698" s="866" t="s">
        <v>3805</v>
      </c>
      <c r="C1698" s="836">
        <v>2507</v>
      </c>
      <c r="D1698" s="836"/>
      <c r="E1698" s="836"/>
      <c r="F1698" s="836"/>
      <c r="G1698" s="496" t="s">
        <v>7832</v>
      </c>
      <c r="H1698" s="797" t="str">
        <f>VLOOKUP(G1698,SETTINGS!$B$7:$D$97,2,0)</f>
        <v>CEREX 300</v>
      </c>
      <c r="I1698" s="796">
        <f>VLOOKUP(G1698,SETTINGS!$B$7:$D$97,3,0)</f>
        <v>0</v>
      </c>
      <c r="J1698" s="670" t="str">
        <f>IFERROR(IF(CURRENCY.FORMAT_1=0,CONCATENATE(TEXT(FIXED(ROUND((C1698/EXC.RATE_1),CURRENCY.FORMAT_1),CURRENCY.FORMAT_1,1),"# ##0;-# ##0"),",-"),FIXED(ROUND((C1698/EXC.RATE_1),CURRENCY.FORMAT_1),CURRENCY.FORMAT_1,0)),'DICTIONARY-5'!$A$2)</f>
        <v>2 507,-</v>
      </c>
      <c r="K1698" s="670" t="str">
        <f>IF(EXC.RATE_2=0,"",IFERROR(IF(CURRENCY.FORMAT_2=0,CONCATENATE(TEXT(FIXED(ROUND(IF(EXC.RATE.SWITCH=1,C1698/EXC.RATE_2,C1698*EXC.RATE_2),CURRENCY.FORMAT_2),CURRENCY.FORMAT_2,1),"# ##0;-# ##0"),",-"),FIXED(ROUND(IF(EXC.RATE.SWITCH=1,C1698/EXC.RATE_2,C1698*EXC.RATE_2),CURRENCY.FORMAT_2),CURRENCY.FORMAT_2,0)),'DICTIONARY-5'!$A$2))</f>
        <v/>
      </c>
      <c r="L1698" s="670" t="str">
        <f>IFERROR(IF(CURRENCY.FORMAT_1=0,CONCATENATE(TEXT(FIXED(ROUND((C1698*(1-I1698)*(1-ADD.DISCOUNT)*(1+MAT.SURCHARGE)/EXC.RATE_1),CURRENCY.FORMAT_1),CURRENCY.FORMAT_1,1),"# ##0;-# ##0"),",-"),FIXED(ROUND((C1698*(1-I1698)*(1-ADD.DISCOUNT)*(1+MAT.SURCHARGE)/EXC.RATE_1),CURRENCY.FORMAT_1),CURRENCY.FORMAT_1,0)),'DICTIONARY-5'!$A$2)</f>
        <v>2 605,-</v>
      </c>
      <c r="M1698" s="670" t="str">
        <f>IF(EXC.RATE_2=0,"",IFERROR(IF(CURRENCY.FORMAT_2=0,CONCATENATE(TEXT(FIXED(ROUND(IF(EXC.RATE.SWITCH=1,C1698*(1-I1698)*(1-ADD.DISCOUNT)*(1+MAT.SURCHARGE)/EXC.RATE_2,C1698*(1-I1698)*(1-ADD.DISCOUNT)*(1+MAT.SURCHARGE)*EXC.RATE_2),CURRENCY.FORMAT_2),CURRENCY.FORMAT_2,1),"# ##0;-# ##0"),",-"),FIXED(ROUND(IF(EXC.RATE.SWITCH=1,C1698*(1-I1698)*(1-ADD.DISCOUNT)*(1+MAT.SURCHARGE)/EXC.RATE_2,C1698*(1-I1698)*(1-ADD.DISCOUNT)*(1+MAT.SURCHARGE)*EXC.RATE_2),CURRENCY.FORMAT_2),CURRENCY.FORMAT_2,0)),'DICTIONARY-5'!$A$2))</f>
        <v/>
      </c>
      <c r="N1698" s="541">
        <v>6</v>
      </c>
      <c r="O1698" s="541"/>
      <c r="P1698" s="731" t="str">
        <f>'DICTIONARY-3'!$A$149</f>
        <v>CEREX 300-W</v>
      </c>
      <c r="Q1698" s="731" t="str">
        <f>'DICTIONARY-3'!$A$204</f>
        <v>Przepustnica kołnierzowa</v>
      </c>
      <c r="R1698" s="732" t="str">
        <f>CONCATENATE('DICTIONARY-3'!$A$149," ",'DICTIONARY-6'!$A$2," ",'DICTIONARY-2'!$A$2,"500"," ",'DICTIONARY-2'!$A$3,"16"," ",'DICTIONARY-2'!$A$10,"10",'DICTIONARY-2'!$A$20," ","R20"," ",'DICTIONARY-5'!$A$51,"/",'DICTIONARY-5'!$A$44,", ",'DICTIONARY-4'!$A$8," AB1250N")</f>
        <v>CEREX 300-W Przep. kołnierz. DN500 PN16 PS10bar R20 GGG/EPDM, PK AB1250N</v>
      </c>
      <c r="S1698" s="733" t="str">
        <f>'DICTIONARY-4'!$A$8</f>
        <v>PK</v>
      </c>
      <c r="T1698" s="732" t="str">
        <f>'DICTIONARY-4'!$A$24</f>
        <v>Przekładnia z kółkiem</v>
      </c>
      <c r="U1698" s="734" t="s">
        <v>5756</v>
      </c>
      <c r="V1698" s="735">
        <v>16</v>
      </c>
      <c r="W1698" s="736"/>
      <c r="X1698" s="737"/>
      <c r="Y1698" s="738"/>
      <c r="Z1698" s="739"/>
      <c r="AA1698" s="739"/>
      <c r="AB1698" s="740">
        <v>10</v>
      </c>
      <c r="AC1698" s="741" t="str">
        <f>'DICTIONARY-5'!$A$11&amp;" 20"</f>
        <v>EN 558 szereg 20</v>
      </c>
      <c r="AD1698" s="741" t="str">
        <f>'DICTIONARY-5'!$A$13</f>
        <v>woda pitna</v>
      </c>
      <c r="AE1698" s="742">
        <v>80</v>
      </c>
      <c r="AF1698" s="743">
        <v>145</v>
      </c>
      <c r="AG1698" s="741" t="str">
        <f>'DICTIONARY-5'!$A$23</f>
        <v>powłoka epoksydowa</v>
      </c>
    </row>
    <row r="1699" spans="1:33" x14ac:dyDescent="0.25">
      <c r="A1699" s="866" t="s">
        <v>1797</v>
      </c>
      <c r="B1699" s="866" t="s">
        <v>3815</v>
      </c>
      <c r="C1699" s="836">
        <v>4205</v>
      </c>
      <c r="D1699" s="836"/>
      <c r="E1699" s="836"/>
      <c r="F1699" s="836"/>
      <c r="G1699" s="496" t="s">
        <v>7832</v>
      </c>
      <c r="H1699" s="797" t="str">
        <f>VLOOKUP(G1699,SETTINGS!$B$7:$D$97,2,0)</f>
        <v>CEREX 300</v>
      </c>
      <c r="I1699" s="796">
        <f>VLOOKUP(G1699,SETTINGS!$B$7:$D$97,3,0)</f>
        <v>0</v>
      </c>
      <c r="J1699" s="670" t="str">
        <f>IFERROR(IF(CURRENCY.FORMAT_1=0,CONCATENATE(TEXT(FIXED(ROUND((C1699/EXC.RATE_1),CURRENCY.FORMAT_1),CURRENCY.FORMAT_1,1),"# ##0;-# ##0"),",-"),FIXED(ROUND((C1699/EXC.RATE_1),CURRENCY.FORMAT_1),CURRENCY.FORMAT_1,0)),'DICTIONARY-5'!$A$2)</f>
        <v>4 205,-</v>
      </c>
      <c r="K1699" s="670" t="str">
        <f>IF(EXC.RATE_2=0,"",IFERROR(IF(CURRENCY.FORMAT_2=0,CONCATENATE(TEXT(FIXED(ROUND(IF(EXC.RATE.SWITCH=1,C1699/EXC.RATE_2,C1699*EXC.RATE_2),CURRENCY.FORMAT_2),CURRENCY.FORMAT_2,1),"# ##0;-# ##0"),",-"),FIXED(ROUND(IF(EXC.RATE.SWITCH=1,C1699/EXC.RATE_2,C1699*EXC.RATE_2),CURRENCY.FORMAT_2),CURRENCY.FORMAT_2,0)),'DICTIONARY-5'!$A$2))</f>
        <v/>
      </c>
      <c r="L1699" s="670" t="str">
        <f>IFERROR(IF(CURRENCY.FORMAT_1=0,CONCATENATE(TEXT(FIXED(ROUND((C1699*(1-I1699)*(1-ADD.DISCOUNT)*(1+MAT.SURCHARGE)/EXC.RATE_1),CURRENCY.FORMAT_1),CURRENCY.FORMAT_1,1),"# ##0;-# ##0"),",-"),FIXED(ROUND((C1699*(1-I1699)*(1-ADD.DISCOUNT)*(1+MAT.SURCHARGE)/EXC.RATE_1),CURRENCY.FORMAT_1),CURRENCY.FORMAT_1,0)),'DICTIONARY-5'!$A$2)</f>
        <v>4 369,-</v>
      </c>
      <c r="M1699" s="670" t="str">
        <f>IF(EXC.RATE_2=0,"",IFERROR(IF(CURRENCY.FORMAT_2=0,CONCATENATE(TEXT(FIXED(ROUND(IF(EXC.RATE.SWITCH=1,C1699*(1-I1699)*(1-ADD.DISCOUNT)*(1+MAT.SURCHARGE)/EXC.RATE_2,C1699*(1-I1699)*(1-ADD.DISCOUNT)*(1+MAT.SURCHARGE)*EXC.RATE_2),CURRENCY.FORMAT_2),CURRENCY.FORMAT_2,1),"# ##0;-# ##0"),",-"),FIXED(ROUND(IF(EXC.RATE.SWITCH=1,C1699*(1-I1699)*(1-ADD.DISCOUNT)*(1+MAT.SURCHARGE)/EXC.RATE_2,C1699*(1-I1699)*(1-ADD.DISCOUNT)*(1+MAT.SURCHARGE)*EXC.RATE_2),CURRENCY.FORMAT_2),CURRENCY.FORMAT_2,0)),'DICTIONARY-5'!$A$2))</f>
        <v/>
      </c>
      <c r="N1699" s="541">
        <v>6</v>
      </c>
      <c r="O1699" s="541"/>
      <c r="P1699" s="731" t="str">
        <f>'DICTIONARY-3'!$A$149</f>
        <v>CEREX 300-W</v>
      </c>
      <c r="Q1699" s="731" t="str">
        <f>'DICTIONARY-3'!$A$204</f>
        <v>Przepustnica kołnierzowa</v>
      </c>
      <c r="R1699" s="732" t="str">
        <f>CONCATENATE('DICTIONARY-3'!$A$149," ",'DICTIONARY-6'!$A$2," ",'DICTIONARY-2'!$A$2,"600"," ",'DICTIONARY-2'!$A$3,"10"," ","R20"," ",'DICTIONARY-5'!$A$51,"/",'DICTIONARY-5'!$A$44,", ",'DICTIONARY-4'!$A$8," AB1950N")</f>
        <v>CEREX 300-W Przep. kołnierz. DN600 PN10 R20 GGG/EPDM, PK AB1950N</v>
      </c>
      <c r="S1699" s="733" t="str">
        <f>'DICTIONARY-4'!$A$8</f>
        <v>PK</v>
      </c>
      <c r="T1699" s="732" t="str">
        <f>'DICTIONARY-4'!$A$24</f>
        <v>Przekładnia z kółkiem</v>
      </c>
      <c r="U1699" s="734" t="s">
        <v>5757</v>
      </c>
      <c r="V1699" s="735">
        <v>10</v>
      </c>
      <c r="W1699" s="736"/>
      <c r="X1699" s="737"/>
      <c r="Y1699" s="738"/>
      <c r="Z1699" s="739"/>
      <c r="AA1699" s="739"/>
      <c r="AB1699" s="740">
        <v>10</v>
      </c>
      <c r="AC1699" s="741" t="str">
        <f>'DICTIONARY-5'!$A$11&amp;" 20"</f>
        <v>EN 558 szereg 20</v>
      </c>
      <c r="AD1699" s="741" t="str">
        <f>'DICTIONARY-5'!$A$13</f>
        <v>woda pitna</v>
      </c>
      <c r="AE1699" s="742">
        <v>80</v>
      </c>
      <c r="AF1699" s="743">
        <v>225</v>
      </c>
      <c r="AG1699" s="741" t="str">
        <f>'DICTIONARY-5'!$A$23</f>
        <v>powłoka epoksydowa</v>
      </c>
    </row>
    <row r="1700" spans="1:33" x14ac:dyDescent="0.25">
      <c r="A1700" s="866" t="s">
        <v>1799</v>
      </c>
      <c r="B1700" s="866" t="s">
        <v>3807</v>
      </c>
      <c r="C1700" s="836">
        <v>4200</v>
      </c>
      <c r="D1700" s="836"/>
      <c r="E1700" s="836"/>
      <c r="F1700" s="836"/>
      <c r="G1700" s="496" t="s">
        <v>7832</v>
      </c>
      <c r="H1700" s="797" t="str">
        <f>VLOOKUP(G1700,SETTINGS!$B$7:$D$97,2,0)</f>
        <v>CEREX 300</v>
      </c>
      <c r="I1700" s="796">
        <f>VLOOKUP(G1700,SETTINGS!$B$7:$D$97,3,0)</f>
        <v>0</v>
      </c>
      <c r="J1700" s="670" t="str">
        <f>IFERROR(IF(CURRENCY.FORMAT_1=0,CONCATENATE(TEXT(FIXED(ROUND((C1700/EXC.RATE_1),CURRENCY.FORMAT_1),CURRENCY.FORMAT_1,1),"# ##0;-# ##0"),",-"),FIXED(ROUND((C1700/EXC.RATE_1),CURRENCY.FORMAT_1),CURRENCY.FORMAT_1,0)),'DICTIONARY-5'!$A$2)</f>
        <v>4 200,-</v>
      </c>
      <c r="K1700" s="670" t="str">
        <f>IF(EXC.RATE_2=0,"",IFERROR(IF(CURRENCY.FORMAT_2=0,CONCATENATE(TEXT(FIXED(ROUND(IF(EXC.RATE.SWITCH=1,C1700/EXC.RATE_2,C1700*EXC.RATE_2),CURRENCY.FORMAT_2),CURRENCY.FORMAT_2,1),"# ##0;-# ##0"),",-"),FIXED(ROUND(IF(EXC.RATE.SWITCH=1,C1700/EXC.RATE_2,C1700*EXC.RATE_2),CURRENCY.FORMAT_2),CURRENCY.FORMAT_2,0)),'DICTIONARY-5'!$A$2))</f>
        <v/>
      </c>
      <c r="L1700" s="670" t="str">
        <f>IFERROR(IF(CURRENCY.FORMAT_1=0,CONCATENATE(TEXT(FIXED(ROUND((C1700*(1-I1700)*(1-ADD.DISCOUNT)*(1+MAT.SURCHARGE)/EXC.RATE_1),CURRENCY.FORMAT_1),CURRENCY.FORMAT_1,1),"# ##0;-# ##0"),",-"),FIXED(ROUND((C1700*(1-I1700)*(1-ADD.DISCOUNT)*(1+MAT.SURCHARGE)/EXC.RATE_1),CURRENCY.FORMAT_1),CURRENCY.FORMAT_1,0)),'DICTIONARY-5'!$A$2)</f>
        <v>4 364,-</v>
      </c>
      <c r="M1700" s="670" t="str">
        <f>IF(EXC.RATE_2=0,"",IFERROR(IF(CURRENCY.FORMAT_2=0,CONCATENATE(TEXT(FIXED(ROUND(IF(EXC.RATE.SWITCH=1,C1700*(1-I1700)*(1-ADD.DISCOUNT)*(1+MAT.SURCHARGE)/EXC.RATE_2,C1700*(1-I1700)*(1-ADD.DISCOUNT)*(1+MAT.SURCHARGE)*EXC.RATE_2),CURRENCY.FORMAT_2),CURRENCY.FORMAT_2,1),"# ##0;-# ##0"),",-"),FIXED(ROUND(IF(EXC.RATE.SWITCH=1,C1700*(1-I1700)*(1-ADD.DISCOUNT)*(1+MAT.SURCHARGE)/EXC.RATE_2,C1700*(1-I1700)*(1-ADD.DISCOUNT)*(1+MAT.SURCHARGE)*EXC.RATE_2),CURRENCY.FORMAT_2),CURRENCY.FORMAT_2,0)),'DICTIONARY-5'!$A$2))</f>
        <v/>
      </c>
      <c r="N1700" s="541">
        <v>6</v>
      </c>
      <c r="O1700" s="541"/>
      <c r="P1700" s="731" t="str">
        <f>'DICTIONARY-3'!$A$149</f>
        <v>CEREX 300-W</v>
      </c>
      <c r="Q1700" s="731" t="str">
        <f>'DICTIONARY-3'!$A$204</f>
        <v>Przepustnica kołnierzowa</v>
      </c>
      <c r="R1700" s="732" t="str">
        <f>CONCATENATE('DICTIONARY-3'!$A$149," ",'DICTIONARY-6'!$A$2," ",'DICTIONARY-2'!$A$2,"600"," ",'DICTIONARY-2'!$A$3,"16"," ",'DICTIONARY-2'!$A$10,"10",'DICTIONARY-2'!$A$20," ","R20"," ",'DICTIONARY-5'!$A$51,"/",'DICTIONARY-5'!$A$44,", ",'DICTIONARY-4'!$A$8," AB1950N")</f>
        <v>CEREX 300-W Przep. kołnierz. DN600 PN16 PS10bar R20 GGG/EPDM, PK AB1950N</v>
      </c>
      <c r="S1700" s="733" t="str">
        <f>'DICTIONARY-4'!$A$8</f>
        <v>PK</v>
      </c>
      <c r="T1700" s="732" t="str">
        <f>'DICTIONARY-4'!$A$24</f>
        <v>Przekładnia z kółkiem</v>
      </c>
      <c r="U1700" s="734" t="s">
        <v>5757</v>
      </c>
      <c r="V1700" s="735">
        <v>16</v>
      </c>
      <c r="W1700" s="736"/>
      <c r="X1700" s="737"/>
      <c r="Y1700" s="738"/>
      <c r="Z1700" s="739"/>
      <c r="AA1700" s="739"/>
      <c r="AB1700" s="740">
        <v>10</v>
      </c>
      <c r="AC1700" s="741" t="str">
        <f>'DICTIONARY-5'!$A$11&amp;" 20"</f>
        <v>EN 558 szereg 20</v>
      </c>
      <c r="AD1700" s="741" t="str">
        <f>'DICTIONARY-5'!$A$13</f>
        <v>woda pitna</v>
      </c>
      <c r="AE1700" s="742">
        <v>80</v>
      </c>
      <c r="AF1700" s="743">
        <v>229</v>
      </c>
      <c r="AG1700" s="741" t="str">
        <f>'DICTIONARY-5'!$A$23</f>
        <v>powłoka epoksydowa</v>
      </c>
    </row>
    <row r="1701" spans="1:33" x14ac:dyDescent="0.25">
      <c r="A1701" s="866" t="s">
        <v>1769</v>
      </c>
      <c r="B1701" s="866" t="s">
        <v>3678</v>
      </c>
      <c r="C1701" s="836">
        <v>228</v>
      </c>
      <c r="D1701" s="836"/>
      <c r="E1701" s="836"/>
      <c r="F1701" s="836"/>
      <c r="G1701" s="496" t="s">
        <v>7832</v>
      </c>
      <c r="H1701" s="797" t="str">
        <f>VLOOKUP(G1701,SETTINGS!$B$7:$D$97,2,0)</f>
        <v>CEREX 300</v>
      </c>
      <c r="I1701" s="796">
        <f>VLOOKUP(G1701,SETTINGS!$B$7:$D$97,3,0)</f>
        <v>0</v>
      </c>
      <c r="J1701" s="670" t="str">
        <f>IFERROR(IF(CURRENCY.FORMAT_1=0,CONCATENATE(TEXT(FIXED(ROUND((C1701/EXC.RATE_1),CURRENCY.FORMAT_1),CURRENCY.FORMAT_1,1),"# ##0;-# ##0"),",-"),FIXED(ROUND((C1701/EXC.RATE_1),CURRENCY.FORMAT_1),CURRENCY.FORMAT_1,0)),'DICTIONARY-5'!$A$2)</f>
        <v>228,-</v>
      </c>
      <c r="K1701" s="670" t="str">
        <f>IF(EXC.RATE_2=0,"",IFERROR(IF(CURRENCY.FORMAT_2=0,CONCATENATE(TEXT(FIXED(ROUND(IF(EXC.RATE.SWITCH=1,C1701/EXC.RATE_2,C1701*EXC.RATE_2),CURRENCY.FORMAT_2),CURRENCY.FORMAT_2,1),"# ##0;-# ##0"),",-"),FIXED(ROUND(IF(EXC.RATE.SWITCH=1,C1701/EXC.RATE_2,C1701*EXC.RATE_2),CURRENCY.FORMAT_2),CURRENCY.FORMAT_2,0)),'DICTIONARY-5'!$A$2))</f>
        <v/>
      </c>
      <c r="L1701" s="670" t="str">
        <f>IFERROR(IF(CURRENCY.FORMAT_1=0,CONCATENATE(TEXT(FIXED(ROUND((C1701*(1-I1701)*(1-ADD.DISCOUNT)*(1+MAT.SURCHARGE)/EXC.RATE_1),CURRENCY.FORMAT_1),CURRENCY.FORMAT_1,1),"# ##0;-# ##0"),",-"),FIXED(ROUND((C1701*(1-I1701)*(1-ADD.DISCOUNT)*(1+MAT.SURCHARGE)/EXC.RATE_1),CURRENCY.FORMAT_1),CURRENCY.FORMAT_1,0)),'DICTIONARY-5'!$A$2)</f>
        <v>237,-</v>
      </c>
      <c r="M1701" s="670" t="str">
        <f>IF(EXC.RATE_2=0,"",IFERROR(IF(CURRENCY.FORMAT_2=0,CONCATENATE(TEXT(FIXED(ROUND(IF(EXC.RATE.SWITCH=1,C1701*(1-I1701)*(1-ADD.DISCOUNT)*(1+MAT.SURCHARGE)/EXC.RATE_2,C1701*(1-I1701)*(1-ADD.DISCOUNT)*(1+MAT.SURCHARGE)*EXC.RATE_2),CURRENCY.FORMAT_2),CURRENCY.FORMAT_2,1),"# ##0;-# ##0"),",-"),FIXED(ROUND(IF(EXC.RATE.SWITCH=1,C1701*(1-I1701)*(1-ADD.DISCOUNT)*(1+MAT.SURCHARGE)/EXC.RATE_2,C1701*(1-I1701)*(1-ADD.DISCOUNT)*(1+MAT.SURCHARGE)*EXC.RATE_2),CURRENCY.FORMAT_2),CURRENCY.FORMAT_2,0)),'DICTIONARY-5'!$A$2))</f>
        <v/>
      </c>
      <c r="N1701" s="541">
        <v>6</v>
      </c>
      <c r="O1701" s="541"/>
      <c r="P1701" s="731" t="str">
        <f>'DICTIONARY-3'!$A$149</f>
        <v>CEREX 300-W</v>
      </c>
      <c r="Q1701" s="731" t="str">
        <f>'DICTIONARY-3'!$A$204</f>
        <v>Przepustnica kołnierzowa</v>
      </c>
      <c r="R1701" s="732" t="str">
        <f>CONCATENATE('DICTIONARY-3'!$A$149," ",'DICTIONARY-6'!$A$2," ",'DICTIONARY-2'!$A$2,"50"," ",'DICTIONARY-2'!$A$3,"10/16"," ","R20"," ",'DICTIONARY-5'!$A$37,"/",'DICTIONARY-5'!$A$44,", ",'DICTIONARY-4'!$A$8," 232-05")</f>
        <v>CEREX 300-W Przep. kołnierz. DN50 PN10/16 R20 CF8M/EPDM, PK 232-05</v>
      </c>
      <c r="S1701" s="733" t="str">
        <f>'DICTIONARY-4'!$A$8</f>
        <v>PK</v>
      </c>
      <c r="T1701" s="732" t="str">
        <f>'DICTIONARY-4'!$A$24</f>
        <v>Przekładnia z kółkiem</v>
      </c>
      <c r="U1701" s="734" t="s">
        <v>5748</v>
      </c>
      <c r="V1701" s="735">
        <v>16</v>
      </c>
      <c r="W1701" s="736"/>
      <c r="X1701" s="737"/>
      <c r="Y1701" s="738"/>
      <c r="Z1701" s="739"/>
      <c r="AA1701" s="739"/>
      <c r="AB1701" s="740">
        <v>16</v>
      </c>
      <c r="AC1701" s="741" t="str">
        <f>'DICTIONARY-5'!$A$11&amp;" 20"</f>
        <v>EN 558 szereg 20</v>
      </c>
      <c r="AD1701" s="741" t="str">
        <f>'DICTIONARY-5'!$A$13</f>
        <v>woda pitna</v>
      </c>
      <c r="AE1701" s="742">
        <v>110</v>
      </c>
      <c r="AF1701" s="743">
        <v>4</v>
      </c>
      <c r="AG1701" s="741" t="str">
        <f>'DICTIONARY-5'!$A$23</f>
        <v>powłoka epoksydowa</v>
      </c>
    </row>
    <row r="1702" spans="1:33" x14ac:dyDescent="0.25">
      <c r="A1702" s="866" t="s">
        <v>1771</v>
      </c>
      <c r="B1702" s="866" t="s">
        <v>3685</v>
      </c>
      <c r="C1702" s="836">
        <v>236</v>
      </c>
      <c r="D1702" s="836"/>
      <c r="E1702" s="836"/>
      <c r="F1702" s="836"/>
      <c r="G1702" s="496" t="s">
        <v>7832</v>
      </c>
      <c r="H1702" s="797" t="str">
        <f>VLOOKUP(G1702,SETTINGS!$B$7:$D$97,2,0)</f>
        <v>CEREX 300</v>
      </c>
      <c r="I1702" s="796">
        <f>VLOOKUP(G1702,SETTINGS!$B$7:$D$97,3,0)</f>
        <v>0</v>
      </c>
      <c r="J1702" s="670" t="str">
        <f>IFERROR(IF(CURRENCY.FORMAT_1=0,CONCATENATE(TEXT(FIXED(ROUND((C1702/EXC.RATE_1),CURRENCY.FORMAT_1),CURRENCY.FORMAT_1,1),"# ##0;-# ##0"),",-"),FIXED(ROUND((C1702/EXC.RATE_1),CURRENCY.FORMAT_1),CURRENCY.FORMAT_1,0)),'DICTIONARY-5'!$A$2)</f>
        <v>236,-</v>
      </c>
      <c r="K1702" s="670" t="str">
        <f>IF(EXC.RATE_2=0,"",IFERROR(IF(CURRENCY.FORMAT_2=0,CONCATENATE(TEXT(FIXED(ROUND(IF(EXC.RATE.SWITCH=1,C1702/EXC.RATE_2,C1702*EXC.RATE_2),CURRENCY.FORMAT_2),CURRENCY.FORMAT_2,1),"# ##0;-# ##0"),",-"),FIXED(ROUND(IF(EXC.RATE.SWITCH=1,C1702/EXC.RATE_2,C1702*EXC.RATE_2),CURRENCY.FORMAT_2),CURRENCY.FORMAT_2,0)),'DICTIONARY-5'!$A$2))</f>
        <v/>
      </c>
      <c r="L1702" s="670" t="str">
        <f>IFERROR(IF(CURRENCY.FORMAT_1=0,CONCATENATE(TEXT(FIXED(ROUND((C1702*(1-I1702)*(1-ADD.DISCOUNT)*(1+MAT.SURCHARGE)/EXC.RATE_1),CURRENCY.FORMAT_1),CURRENCY.FORMAT_1,1),"# ##0;-# ##0"),",-"),FIXED(ROUND((C1702*(1-I1702)*(1-ADD.DISCOUNT)*(1+MAT.SURCHARGE)/EXC.RATE_1),CURRENCY.FORMAT_1),CURRENCY.FORMAT_1,0)),'DICTIONARY-5'!$A$2)</f>
        <v>245,-</v>
      </c>
      <c r="M1702" s="670" t="str">
        <f>IF(EXC.RATE_2=0,"",IFERROR(IF(CURRENCY.FORMAT_2=0,CONCATENATE(TEXT(FIXED(ROUND(IF(EXC.RATE.SWITCH=1,C1702*(1-I1702)*(1-ADD.DISCOUNT)*(1+MAT.SURCHARGE)/EXC.RATE_2,C1702*(1-I1702)*(1-ADD.DISCOUNT)*(1+MAT.SURCHARGE)*EXC.RATE_2),CURRENCY.FORMAT_2),CURRENCY.FORMAT_2,1),"# ##0;-# ##0"),",-"),FIXED(ROUND(IF(EXC.RATE.SWITCH=1,C1702*(1-I1702)*(1-ADD.DISCOUNT)*(1+MAT.SURCHARGE)/EXC.RATE_2,C1702*(1-I1702)*(1-ADD.DISCOUNT)*(1+MAT.SURCHARGE)*EXC.RATE_2),CURRENCY.FORMAT_2),CURRENCY.FORMAT_2,0)),'DICTIONARY-5'!$A$2))</f>
        <v/>
      </c>
      <c r="N1702" s="541">
        <v>6</v>
      </c>
      <c r="O1702" s="541"/>
      <c r="P1702" s="731" t="str">
        <f>'DICTIONARY-3'!$A$149</f>
        <v>CEREX 300-W</v>
      </c>
      <c r="Q1702" s="731" t="str">
        <f>'DICTIONARY-3'!$A$204</f>
        <v>Przepustnica kołnierzowa</v>
      </c>
      <c r="R1702" s="732" t="str">
        <f>CONCATENATE('DICTIONARY-3'!$A$149," ",'DICTIONARY-6'!$A$2," ",'DICTIONARY-2'!$A$2,"65"," ",'DICTIONARY-2'!$A$3,"10/16"," ","R20"," ",'DICTIONARY-5'!$A$37,"/",'DICTIONARY-5'!$A$44,", ",'DICTIONARY-4'!$A$8," 232-05")</f>
        <v>CEREX 300-W Przep. kołnierz. DN65 PN10/16 R20 CF8M/EPDM, PK 232-05</v>
      </c>
      <c r="S1702" s="733" t="str">
        <f>'DICTIONARY-4'!$A$8</f>
        <v>PK</v>
      </c>
      <c r="T1702" s="732" t="str">
        <f>'DICTIONARY-4'!$A$24</f>
        <v>Przekładnia z kółkiem</v>
      </c>
      <c r="U1702" s="734" t="s">
        <v>5759</v>
      </c>
      <c r="V1702" s="735">
        <v>16</v>
      </c>
      <c r="W1702" s="736"/>
      <c r="X1702" s="737"/>
      <c r="Y1702" s="738"/>
      <c r="Z1702" s="739"/>
      <c r="AA1702" s="739"/>
      <c r="AB1702" s="740">
        <v>16</v>
      </c>
      <c r="AC1702" s="741" t="str">
        <f>'DICTIONARY-5'!$A$11&amp;" 20"</f>
        <v>EN 558 szereg 20</v>
      </c>
      <c r="AD1702" s="741" t="str">
        <f>'DICTIONARY-5'!$A$13</f>
        <v>woda pitna</v>
      </c>
      <c r="AE1702" s="742">
        <v>110</v>
      </c>
      <c r="AF1702" s="743">
        <v>5</v>
      </c>
      <c r="AG1702" s="741" t="str">
        <f>'DICTIONARY-5'!$A$23</f>
        <v>powłoka epoksydowa</v>
      </c>
    </row>
    <row r="1703" spans="1:33" x14ac:dyDescent="0.25">
      <c r="A1703" s="866" t="s">
        <v>1773</v>
      </c>
      <c r="B1703" s="866" t="s">
        <v>3692</v>
      </c>
      <c r="C1703" s="836">
        <v>245</v>
      </c>
      <c r="D1703" s="836"/>
      <c r="E1703" s="836"/>
      <c r="F1703" s="836"/>
      <c r="G1703" s="496" t="s">
        <v>7832</v>
      </c>
      <c r="H1703" s="797" t="str">
        <f>VLOOKUP(G1703,SETTINGS!$B$7:$D$97,2,0)</f>
        <v>CEREX 300</v>
      </c>
      <c r="I1703" s="796">
        <f>VLOOKUP(G1703,SETTINGS!$B$7:$D$97,3,0)</f>
        <v>0</v>
      </c>
      <c r="J1703" s="670" t="str">
        <f>IFERROR(IF(CURRENCY.FORMAT_1=0,CONCATENATE(TEXT(FIXED(ROUND((C1703/EXC.RATE_1),CURRENCY.FORMAT_1),CURRENCY.FORMAT_1,1),"# ##0;-# ##0"),",-"),FIXED(ROUND((C1703/EXC.RATE_1),CURRENCY.FORMAT_1),CURRENCY.FORMAT_1,0)),'DICTIONARY-5'!$A$2)</f>
        <v>245,-</v>
      </c>
      <c r="K1703" s="670" t="str">
        <f>IF(EXC.RATE_2=0,"",IFERROR(IF(CURRENCY.FORMAT_2=0,CONCATENATE(TEXT(FIXED(ROUND(IF(EXC.RATE.SWITCH=1,C1703/EXC.RATE_2,C1703*EXC.RATE_2),CURRENCY.FORMAT_2),CURRENCY.FORMAT_2,1),"# ##0;-# ##0"),",-"),FIXED(ROUND(IF(EXC.RATE.SWITCH=1,C1703/EXC.RATE_2,C1703*EXC.RATE_2),CURRENCY.FORMAT_2),CURRENCY.FORMAT_2,0)),'DICTIONARY-5'!$A$2))</f>
        <v/>
      </c>
      <c r="L1703" s="670" t="str">
        <f>IFERROR(IF(CURRENCY.FORMAT_1=0,CONCATENATE(TEXT(FIXED(ROUND((C1703*(1-I1703)*(1-ADD.DISCOUNT)*(1+MAT.SURCHARGE)/EXC.RATE_1),CURRENCY.FORMAT_1),CURRENCY.FORMAT_1,1),"# ##0;-# ##0"),",-"),FIXED(ROUND((C1703*(1-I1703)*(1-ADD.DISCOUNT)*(1+MAT.SURCHARGE)/EXC.RATE_1),CURRENCY.FORMAT_1),CURRENCY.FORMAT_1,0)),'DICTIONARY-5'!$A$2)</f>
        <v>255,-</v>
      </c>
      <c r="M1703" s="670" t="str">
        <f>IF(EXC.RATE_2=0,"",IFERROR(IF(CURRENCY.FORMAT_2=0,CONCATENATE(TEXT(FIXED(ROUND(IF(EXC.RATE.SWITCH=1,C1703*(1-I1703)*(1-ADD.DISCOUNT)*(1+MAT.SURCHARGE)/EXC.RATE_2,C1703*(1-I1703)*(1-ADD.DISCOUNT)*(1+MAT.SURCHARGE)*EXC.RATE_2),CURRENCY.FORMAT_2),CURRENCY.FORMAT_2,1),"# ##0;-# ##0"),",-"),FIXED(ROUND(IF(EXC.RATE.SWITCH=1,C1703*(1-I1703)*(1-ADD.DISCOUNT)*(1+MAT.SURCHARGE)/EXC.RATE_2,C1703*(1-I1703)*(1-ADD.DISCOUNT)*(1+MAT.SURCHARGE)*EXC.RATE_2),CURRENCY.FORMAT_2),CURRENCY.FORMAT_2,0)),'DICTIONARY-5'!$A$2))</f>
        <v/>
      </c>
      <c r="N1703" s="541">
        <v>6</v>
      </c>
      <c r="O1703" s="541"/>
      <c r="P1703" s="731" t="str">
        <f>'DICTIONARY-3'!$A$149</f>
        <v>CEREX 300-W</v>
      </c>
      <c r="Q1703" s="731" t="str">
        <f>'DICTIONARY-3'!$A$204</f>
        <v>Przepustnica kołnierzowa</v>
      </c>
      <c r="R1703" s="732" t="str">
        <f>CONCATENATE('DICTIONARY-3'!$A$149," ",'DICTIONARY-6'!$A$2," ",'DICTIONARY-2'!$A$2,"80"," ",'DICTIONARY-2'!$A$3,"10/16"," ","R20"," ",'DICTIONARY-5'!$A$37,"/",'DICTIONARY-5'!$A$44,", ",'DICTIONARY-4'!$A$8," 232-05")</f>
        <v>CEREX 300-W Przep. kołnierz. DN80 PN10/16 R20 CF8M/EPDM, PK 232-05</v>
      </c>
      <c r="S1703" s="733" t="str">
        <f>'DICTIONARY-4'!$A$8</f>
        <v>PK</v>
      </c>
      <c r="T1703" s="732" t="str">
        <f>'DICTIONARY-4'!$A$24</f>
        <v>Przekładnia z kółkiem</v>
      </c>
      <c r="U1703" s="734" t="s">
        <v>5760</v>
      </c>
      <c r="V1703" s="735">
        <v>16</v>
      </c>
      <c r="W1703" s="736"/>
      <c r="X1703" s="737"/>
      <c r="Y1703" s="738"/>
      <c r="Z1703" s="739"/>
      <c r="AA1703" s="739"/>
      <c r="AB1703" s="740">
        <v>16</v>
      </c>
      <c r="AC1703" s="741" t="str">
        <f>'DICTIONARY-5'!$A$11&amp;" 20"</f>
        <v>EN 558 szereg 20</v>
      </c>
      <c r="AD1703" s="741" t="str">
        <f>'DICTIONARY-5'!$A$13</f>
        <v>woda pitna</v>
      </c>
      <c r="AE1703" s="742">
        <v>110</v>
      </c>
      <c r="AF1703" s="743">
        <v>4.5</v>
      </c>
      <c r="AG1703" s="741" t="str">
        <f>'DICTIONARY-5'!$A$23</f>
        <v>powłoka epoksydowa</v>
      </c>
    </row>
    <row r="1704" spans="1:33" x14ac:dyDescent="0.25">
      <c r="A1704" s="866" t="s">
        <v>1775</v>
      </c>
      <c r="B1704" s="866" t="s">
        <v>3699</v>
      </c>
      <c r="C1704" s="836">
        <v>287</v>
      </c>
      <c r="D1704" s="836"/>
      <c r="E1704" s="836"/>
      <c r="F1704" s="836"/>
      <c r="G1704" s="496" t="s">
        <v>7832</v>
      </c>
      <c r="H1704" s="797" t="str">
        <f>VLOOKUP(G1704,SETTINGS!$B$7:$D$97,2,0)</f>
        <v>CEREX 300</v>
      </c>
      <c r="I1704" s="796">
        <f>VLOOKUP(G1704,SETTINGS!$B$7:$D$97,3,0)</f>
        <v>0</v>
      </c>
      <c r="J1704" s="670" t="str">
        <f>IFERROR(IF(CURRENCY.FORMAT_1=0,CONCATENATE(TEXT(FIXED(ROUND((C1704/EXC.RATE_1),CURRENCY.FORMAT_1),CURRENCY.FORMAT_1,1),"# ##0;-# ##0"),",-"),FIXED(ROUND((C1704/EXC.RATE_1),CURRENCY.FORMAT_1),CURRENCY.FORMAT_1,0)),'DICTIONARY-5'!$A$2)</f>
        <v>287,-</v>
      </c>
      <c r="K1704" s="670" t="str">
        <f>IF(EXC.RATE_2=0,"",IFERROR(IF(CURRENCY.FORMAT_2=0,CONCATENATE(TEXT(FIXED(ROUND(IF(EXC.RATE.SWITCH=1,C1704/EXC.RATE_2,C1704*EXC.RATE_2),CURRENCY.FORMAT_2),CURRENCY.FORMAT_2,1),"# ##0;-# ##0"),",-"),FIXED(ROUND(IF(EXC.RATE.SWITCH=1,C1704/EXC.RATE_2,C1704*EXC.RATE_2),CURRENCY.FORMAT_2),CURRENCY.FORMAT_2,0)),'DICTIONARY-5'!$A$2))</f>
        <v/>
      </c>
      <c r="L1704" s="670" t="str">
        <f>IFERROR(IF(CURRENCY.FORMAT_1=0,CONCATENATE(TEXT(FIXED(ROUND((C1704*(1-I1704)*(1-ADD.DISCOUNT)*(1+MAT.SURCHARGE)/EXC.RATE_1),CURRENCY.FORMAT_1),CURRENCY.FORMAT_1,1),"# ##0;-# ##0"),",-"),FIXED(ROUND((C1704*(1-I1704)*(1-ADD.DISCOUNT)*(1+MAT.SURCHARGE)/EXC.RATE_1),CURRENCY.FORMAT_1),CURRENCY.FORMAT_1,0)),'DICTIONARY-5'!$A$2)</f>
        <v>298,-</v>
      </c>
      <c r="M1704" s="670" t="str">
        <f>IF(EXC.RATE_2=0,"",IFERROR(IF(CURRENCY.FORMAT_2=0,CONCATENATE(TEXT(FIXED(ROUND(IF(EXC.RATE.SWITCH=1,C1704*(1-I1704)*(1-ADD.DISCOUNT)*(1+MAT.SURCHARGE)/EXC.RATE_2,C1704*(1-I1704)*(1-ADD.DISCOUNT)*(1+MAT.SURCHARGE)*EXC.RATE_2),CURRENCY.FORMAT_2),CURRENCY.FORMAT_2,1),"# ##0;-# ##0"),",-"),FIXED(ROUND(IF(EXC.RATE.SWITCH=1,C1704*(1-I1704)*(1-ADD.DISCOUNT)*(1+MAT.SURCHARGE)/EXC.RATE_2,C1704*(1-I1704)*(1-ADD.DISCOUNT)*(1+MAT.SURCHARGE)*EXC.RATE_2),CURRENCY.FORMAT_2),CURRENCY.FORMAT_2,0)),'DICTIONARY-5'!$A$2))</f>
        <v/>
      </c>
      <c r="N1704" s="541">
        <v>6</v>
      </c>
      <c r="O1704" s="541"/>
      <c r="P1704" s="731" t="str">
        <f>'DICTIONARY-3'!$A$149</f>
        <v>CEREX 300-W</v>
      </c>
      <c r="Q1704" s="731" t="str">
        <f>'DICTIONARY-3'!$A$204</f>
        <v>Przepustnica kołnierzowa</v>
      </c>
      <c r="R1704" s="732" t="str">
        <f>CONCATENATE('DICTIONARY-3'!$A$149," ",'DICTIONARY-6'!$A$2," ",'DICTIONARY-2'!$A$2,"100"," ",'DICTIONARY-2'!$A$3,"10/16"," ","R20"," ",'DICTIONARY-5'!$A$37,"/",'DICTIONARY-5'!$A$44,", ",'DICTIONARY-4'!$A$8," 232-05")</f>
        <v>CEREX 300-W Przep. kołnierz. DN100 PN10/16 R20 CF8M/EPDM, PK 232-05</v>
      </c>
      <c r="S1704" s="733" t="str">
        <f>'DICTIONARY-4'!$A$8</f>
        <v>PK</v>
      </c>
      <c r="T1704" s="732" t="str">
        <f>'DICTIONARY-4'!$A$24</f>
        <v>Przekładnia z kółkiem</v>
      </c>
      <c r="U1704" s="734" t="s">
        <v>5749</v>
      </c>
      <c r="V1704" s="735">
        <v>16</v>
      </c>
      <c r="W1704" s="736"/>
      <c r="X1704" s="737"/>
      <c r="Y1704" s="738"/>
      <c r="Z1704" s="739"/>
      <c r="AA1704" s="739"/>
      <c r="AB1704" s="740">
        <v>16</v>
      </c>
      <c r="AC1704" s="741" t="str">
        <f>'DICTIONARY-5'!$A$11&amp;" 20"</f>
        <v>EN 558 szereg 20</v>
      </c>
      <c r="AD1704" s="741" t="str">
        <f>'DICTIONARY-5'!$A$13</f>
        <v>woda pitna</v>
      </c>
      <c r="AE1704" s="742">
        <v>110</v>
      </c>
      <c r="AF1704" s="743">
        <v>6.5</v>
      </c>
      <c r="AG1704" s="741" t="str">
        <f>'DICTIONARY-5'!$A$23</f>
        <v>powłoka epoksydowa</v>
      </c>
    </row>
    <row r="1705" spans="1:33" x14ac:dyDescent="0.25">
      <c r="A1705" s="866" t="s">
        <v>1777</v>
      </c>
      <c r="B1705" s="866" t="s">
        <v>3706</v>
      </c>
      <c r="C1705" s="836">
        <v>324</v>
      </c>
      <c r="D1705" s="836"/>
      <c r="E1705" s="836"/>
      <c r="F1705" s="836"/>
      <c r="G1705" s="496" t="s">
        <v>7832</v>
      </c>
      <c r="H1705" s="797" t="str">
        <f>VLOOKUP(G1705,SETTINGS!$B$7:$D$97,2,0)</f>
        <v>CEREX 300</v>
      </c>
      <c r="I1705" s="796">
        <f>VLOOKUP(G1705,SETTINGS!$B$7:$D$97,3,0)</f>
        <v>0</v>
      </c>
      <c r="J1705" s="670" t="str">
        <f>IFERROR(IF(CURRENCY.FORMAT_1=0,CONCATENATE(TEXT(FIXED(ROUND((C1705/EXC.RATE_1),CURRENCY.FORMAT_1),CURRENCY.FORMAT_1,1),"# ##0;-# ##0"),",-"),FIXED(ROUND((C1705/EXC.RATE_1),CURRENCY.FORMAT_1),CURRENCY.FORMAT_1,0)),'DICTIONARY-5'!$A$2)</f>
        <v>324,-</v>
      </c>
      <c r="K1705" s="670" t="str">
        <f>IF(EXC.RATE_2=0,"",IFERROR(IF(CURRENCY.FORMAT_2=0,CONCATENATE(TEXT(FIXED(ROUND(IF(EXC.RATE.SWITCH=1,C1705/EXC.RATE_2,C1705*EXC.RATE_2),CURRENCY.FORMAT_2),CURRENCY.FORMAT_2,1),"# ##0;-# ##0"),",-"),FIXED(ROUND(IF(EXC.RATE.SWITCH=1,C1705/EXC.RATE_2,C1705*EXC.RATE_2),CURRENCY.FORMAT_2),CURRENCY.FORMAT_2,0)),'DICTIONARY-5'!$A$2))</f>
        <v/>
      </c>
      <c r="L1705" s="670" t="str">
        <f>IFERROR(IF(CURRENCY.FORMAT_1=0,CONCATENATE(TEXT(FIXED(ROUND((C1705*(1-I1705)*(1-ADD.DISCOUNT)*(1+MAT.SURCHARGE)/EXC.RATE_1),CURRENCY.FORMAT_1),CURRENCY.FORMAT_1,1),"# ##0;-# ##0"),",-"),FIXED(ROUND((C1705*(1-I1705)*(1-ADD.DISCOUNT)*(1+MAT.SURCHARGE)/EXC.RATE_1),CURRENCY.FORMAT_1),CURRENCY.FORMAT_1,0)),'DICTIONARY-5'!$A$2)</f>
        <v>337,-</v>
      </c>
      <c r="M1705" s="670" t="str">
        <f>IF(EXC.RATE_2=0,"",IFERROR(IF(CURRENCY.FORMAT_2=0,CONCATENATE(TEXT(FIXED(ROUND(IF(EXC.RATE.SWITCH=1,C1705*(1-I1705)*(1-ADD.DISCOUNT)*(1+MAT.SURCHARGE)/EXC.RATE_2,C1705*(1-I1705)*(1-ADD.DISCOUNT)*(1+MAT.SURCHARGE)*EXC.RATE_2),CURRENCY.FORMAT_2),CURRENCY.FORMAT_2,1),"# ##0;-# ##0"),",-"),FIXED(ROUND(IF(EXC.RATE.SWITCH=1,C1705*(1-I1705)*(1-ADD.DISCOUNT)*(1+MAT.SURCHARGE)/EXC.RATE_2,C1705*(1-I1705)*(1-ADD.DISCOUNT)*(1+MAT.SURCHARGE)*EXC.RATE_2),CURRENCY.FORMAT_2),CURRENCY.FORMAT_2,0)),'DICTIONARY-5'!$A$2))</f>
        <v/>
      </c>
      <c r="N1705" s="541">
        <v>6</v>
      </c>
      <c r="O1705" s="541"/>
      <c r="P1705" s="731" t="str">
        <f>'DICTIONARY-3'!$A$149</f>
        <v>CEREX 300-W</v>
      </c>
      <c r="Q1705" s="731" t="str">
        <f>'DICTIONARY-3'!$A$204</f>
        <v>Przepustnica kołnierzowa</v>
      </c>
      <c r="R1705" s="732" t="str">
        <f>CONCATENATE('DICTIONARY-3'!$A$149," ",'DICTIONARY-6'!$A$2," ",'DICTIONARY-2'!$A$2,"125"," ",'DICTIONARY-2'!$A$3,"10/16"," ","R20"," ",'DICTIONARY-5'!$A$37,"/",'DICTIONARY-5'!$A$44,", ",'DICTIONARY-4'!$A$8," 232-05")</f>
        <v>CEREX 300-W Przep. kołnierz. DN125 PN10/16 R20 CF8M/EPDM, PK 232-05</v>
      </c>
      <c r="S1705" s="733" t="str">
        <f>'DICTIONARY-4'!$A$8</f>
        <v>PK</v>
      </c>
      <c r="T1705" s="732" t="str">
        <f>'DICTIONARY-4'!$A$24</f>
        <v>Przekładnia z kółkiem</v>
      </c>
      <c r="U1705" s="734" t="s">
        <v>5761</v>
      </c>
      <c r="V1705" s="735">
        <v>16</v>
      </c>
      <c r="W1705" s="736"/>
      <c r="X1705" s="737"/>
      <c r="Y1705" s="738"/>
      <c r="Z1705" s="739"/>
      <c r="AA1705" s="739"/>
      <c r="AB1705" s="740">
        <v>16</v>
      </c>
      <c r="AC1705" s="741" t="str">
        <f>'DICTIONARY-5'!$A$11&amp;" 20"</f>
        <v>EN 558 szereg 20</v>
      </c>
      <c r="AD1705" s="741" t="str">
        <f>'DICTIONARY-5'!$A$13</f>
        <v>woda pitna</v>
      </c>
      <c r="AE1705" s="742">
        <v>110</v>
      </c>
      <c r="AF1705" s="743">
        <v>8</v>
      </c>
      <c r="AG1705" s="741" t="str">
        <f>'DICTIONARY-5'!$A$23</f>
        <v>powłoka epoksydowa</v>
      </c>
    </row>
    <row r="1706" spans="1:33" x14ac:dyDescent="0.25">
      <c r="A1706" s="866" t="s">
        <v>1779</v>
      </c>
      <c r="B1706" s="866" t="s">
        <v>3713</v>
      </c>
      <c r="C1706" s="836">
        <v>446</v>
      </c>
      <c r="D1706" s="836"/>
      <c r="E1706" s="836"/>
      <c r="F1706" s="836"/>
      <c r="G1706" s="496" t="s">
        <v>7832</v>
      </c>
      <c r="H1706" s="797" t="str">
        <f>VLOOKUP(G1706,SETTINGS!$B$7:$D$97,2,0)</f>
        <v>CEREX 300</v>
      </c>
      <c r="I1706" s="796">
        <f>VLOOKUP(G1706,SETTINGS!$B$7:$D$97,3,0)</f>
        <v>0</v>
      </c>
      <c r="J1706" s="670" t="str">
        <f>IFERROR(IF(CURRENCY.FORMAT_1=0,CONCATENATE(TEXT(FIXED(ROUND((C1706/EXC.RATE_1),CURRENCY.FORMAT_1),CURRENCY.FORMAT_1,1),"# ##0;-# ##0"),",-"),FIXED(ROUND((C1706/EXC.RATE_1),CURRENCY.FORMAT_1),CURRENCY.FORMAT_1,0)),'DICTIONARY-5'!$A$2)</f>
        <v>446,-</v>
      </c>
      <c r="K1706" s="670" t="str">
        <f>IF(EXC.RATE_2=0,"",IFERROR(IF(CURRENCY.FORMAT_2=0,CONCATENATE(TEXT(FIXED(ROUND(IF(EXC.RATE.SWITCH=1,C1706/EXC.RATE_2,C1706*EXC.RATE_2),CURRENCY.FORMAT_2),CURRENCY.FORMAT_2,1),"# ##0;-# ##0"),",-"),FIXED(ROUND(IF(EXC.RATE.SWITCH=1,C1706/EXC.RATE_2,C1706*EXC.RATE_2),CURRENCY.FORMAT_2),CURRENCY.FORMAT_2,0)),'DICTIONARY-5'!$A$2))</f>
        <v/>
      </c>
      <c r="L1706" s="670" t="str">
        <f>IFERROR(IF(CURRENCY.FORMAT_1=0,CONCATENATE(TEXT(FIXED(ROUND((C1706*(1-I1706)*(1-ADD.DISCOUNT)*(1+MAT.SURCHARGE)/EXC.RATE_1),CURRENCY.FORMAT_1),CURRENCY.FORMAT_1,1),"# ##0;-# ##0"),",-"),FIXED(ROUND((C1706*(1-I1706)*(1-ADD.DISCOUNT)*(1+MAT.SURCHARGE)/EXC.RATE_1),CURRENCY.FORMAT_1),CURRENCY.FORMAT_1,0)),'DICTIONARY-5'!$A$2)</f>
        <v>463,-</v>
      </c>
      <c r="M1706" s="670" t="str">
        <f>IF(EXC.RATE_2=0,"",IFERROR(IF(CURRENCY.FORMAT_2=0,CONCATENATE(TEXT(FIXED(ROUND(IF(EXC.RATE.SWITCH=1,C1706*(1-I1706)*(1-ADD.DISCOUNT)*(1+MAT.SURCHARGE)/EXC.RATE_2,C1706*(1-I1706)*(1-ADD.DISCOUNT)*(1+MAT.SURCHARGE)*EXC.RATE_2),CURRENCY.FORMAT_2),CURRENCY.FORMAT_2,1),"# ##0;-# ##0"),",-"),FIXED(ROUND(IF(EXC.RATE.SWITCH=1,C1706*(1-I1706)*(1-ADD.DISCOUNT)*(1+MAT.SURCHARGE)/EXC.RATE_2,C1706*(1-I1706)*(1-ADD.DISCOUNT)*(1+MAT.SURCHARGE)*EXC.RATE_2),CURRENCY.FORMAT_2),CURRENCY.FORMAT_2,0)),'DICTIONARY-5'!$A$2))</f>
        <v/>
      </c>
      <c r="N1706" s="541">
        <v>6</v>
      </c>
      <c r="O1706" s="541"/>
      <c r="P1706" s="731" t="str">
        <f>'DICTIONARY-3'!$A$149</f>
        <v>CEREX 300-W</v>
      </c>
      <c r="Q1706" s="731" t="str">
        <f>'DICTIONARY-3'!$A$204</f>
        <v>Przepustnica kołnierzowa</v>
      </c>
      <c r="R1706" s="732" t="str">
        <f>CONCATENATE('DICTIONARY-3'!$A$149," ",'DICTIONARY-6'!$A$2," ",'DICTIONARY-2'!$A$2,"150"," ",'DICTIONARY-2'!$A$3,"10/16"," ","R20"," ",'DICTIONARY-5'!$A$37,"/",'DICTIONARY-5'!$A$44,", ",'DICTIONARY-4'!$A$8," 232-06")</f>
        <v>CEREX 300-W Przep. kołnierz. DN150 PN10/16 R20 CF8M/EPDM, PK 232-06</v>
      </c>
      <c r="S1706" s="733" t="str">
        <f>'DICTIONARY-4'!$A$8</f>
        <v>PK</v>
      </c>
      <c r="T1706" s="732" t="str">
        <f>'DICTIONARY-4'!$A$24</f>
        <v>Przekładnia z kółkiem</v>
      </c>
      <c r="U1706" s="734" t="s">
        <v>5572</v>
      </c>
      <c r="V1706" s="735">
        <v>16</v>
      </c>
      <c r="W1706" s="736"/>
      <c r="X1706" s="737"/>
      <c r="Y1706" s="738"/>
      <c r="Z1706" s="739"/>
      <c r="AA1706" s="739"/>
      <c r="AB1706" s="740">
        <v>16</v>
      </c>
      <c r="AC1706" s="741" t="str">
        <f>'DICTIONARY-5'!$A$11&amp;" 20"</f>
        <v>EN 558 szereg 20</v>
      </c>
      <c r="AD1706" s="741" t="str">
        <f>'DICTIONARY-5'!$A$13</f>
        <v>woda pitna</v>
      </c>
      <c r="AE1706" s="742">
        <v>110</v>
      </c>
      <c r="AF1706" s="743">
        <v>11.5</v>
      </c>
      <c r="AG1706" s="741" t="str">
        <f>'DICTIONARY-5'!$A$23</f>
        <v>powłoka epoksydowa</v>
      </c>
    </row>
    <row r="1707" spans="1:33" x14ac:dyDescent="0.25">
      <c r="A1707" s="866" t="s">
        <v>1781</v>
      </c>
      <c r="B1707" s="866" t="s">
        <v>3720</v>
      </c>
      <c r="C1707" s="836">
        <v>601</v>
      </c>
      <c r="D1707" s="836"/>
      <c r="E1707" s="836"/>
      <c r="F1707" s="836"/>
      <c r="G1707" s="496" t="s">
        <v>7832</v>
      </c>
      <c r="H1707" s="797" t="str">
        <f>VLOOKUP(G1707,SETTINGS!$B$7:$D$97,2,0)</f>
        <v>CEREX 300</v>
      </c>
      <c r="I1707" s="796">
        <f>VLOOKUP(G1707,SETTINGS!$B$7:$D$97,3,0)</f>
        <v>0</v>
      </c>
      <c r="J1707" s="670" t="str">
        <f>IFERROR(IF(CURRENCY.FORMAT_1=0,CONCATENATE(TEXT(FIXED(ROUND((C1707/EXC.RATE_1),CURRENCY.FORMAT_1),CURRENCY.FORMAT_1,1),"# ##0;-# ##0"),",-"),FIXED(ROUND((C1707/EXC.RATE_1),CURRENCY.FORMAT_1),CURRENCY.FORMAT_1,0)),'DICTIONARY-5'!$A$2)</f>
        <v>601,-</v>
      </c>
      <c r="K1707" s="670" t="str">
        <f>IF(EXC.RATE_2=0,"",IFERROR(IF(CURRENCY.FORMAT_2=0,CONCATENATE(TEXT(FIXED(ROUND(IF(EXC.RATE.SWITCH=1,C1707/EXC.RATE_2,C1707*EXC.RATE_2),CURRENCY.FORMAT_2),CURRENCY.FORMAT_2,1),"# ##0;-# ##0"),",-"),FIXED(ROUND(IF(EXC.RATE.SWITCH=1,C1707/EXC.RATE_2,C1707*EXC.RATE_2),CURRENCY.FORMAT_2),CURRENCY.FORMAT_2,0)),'DICTIONARY-5'!$A$2))</f>
        <v/>
      </c>
      <c r="L1707" s="670" t="str">
        <f>IFERROR(IF(CURRENCY.FORMAT_1=0,CONCATENATE(TEXT(FIXED(ROUND((C1707*(1-I1707)*(1-ADD.DISCOUNT)*(1+MAT.SURCHARGE)/EXC.RATE_1),CURRENCY.FORMAT_1),CURRENCY.FORMAT_1,1),"# ##0;-# ##0"),",-"),FIXED(ROUND((C1707*(1-I1707)*(1-ADD.DISCOUNT)*(1+MAT.SURCHARGE)/EXC.RATE_1),CURRENCY.FORMAT_1),CURRENCY.FORMAT_1,0)),'DICTIONARY-5'!$A$2)</f>
        <v>624,-</v>
      </c>
      <c r="M1707" s="670" t="str">
        <f>IF(EXC.RATE_2=0,"",IFERROR(IF(CURRENCY.FORMAT_2=0,CONCATENATE(TEXT(FIXED(ROUND(IF(EXC.RATE.SWITCH=1,C1707*(1-I1707)*(1-ADD.DISCOUNT)*(1+MAT.SURCHARGE)/EXC.RATE_2,C1707*(1-I1707)*(1-ADD.DISCOUNT)*(1+MAT.SURCHARGE)*EXC.RATE_2),CURRENCY.FORMAT_2),CURRENCY.FORMAT_2,1),"# ##0;-# ##0"),",-"),FIXED(ROUND(IF(EXC.RATE.SWITCH=1,C1707*(1-I1707)*(1-ADD.DISCOUNT)*(1+MAT.SURCHARGE)/EXC.RATE_2,C1707*(1-I1707)*(1-ADD.DISCOUNT)*(1+MAT.SURCHARGE)*EXC.RATE_2),CURRENCY.FORMAT_2),CURRENCY.FORMAT_2,0)),'DICTIONARY-5'!$A$2))</f>
        <v/>
      </c>
      <c r="N1707" s="541">
        <v>6</v>
      </c>
      <c r="O1707" s="541"/>
      <c r="P1707" s="731" t="str">
        <f>'DICTIONARY-3'!$A$149</f>
        <v>CEREX 300-W</v>
      </c>
      <c r="Q1707" s="731" t="str">
        <f>'DICTIONARY-3'!$A$204</f>
        <v>Przepustnica kołnierzowa</v>
      </c>
      <c r="R1707" s="732" t="str">
        <f>CONCATENATE('DICTIONARY-3'!$A$149," ",'DICTIONARY-6'!$A$2," ",'DICTIONARY-2'!$A$2,"200"," ",'DICTIONARY-2'!$A$3,"10/16"," ","R20"," ",'DICTIONARY-5'!$A$37,"/",'DICTIONARY-5'!$A$44,", ",'DICTIONARY-4'!$A$8," 232-08")</f>
        <v>CEREX 300-W Przep. kołnierz. DN200 PN10/16 R20 CF8M/EPDM, PK 232-08</v>
      </c>
      <c r="S1707" s="733" t="str">
        <f>'DICTIONARY-4'!$A$8</f>
        <v>PK</v>
      </c>
      <c r="T1707" s="732" t="str">
        <f>'DICTIONARY-4'!$A$24</f>
        <v>Przekładnia z kółkiem</v>
      </c>
      <c r="U1707" s="734" t="s">
        <v>5750</v>
      </c>
      <c r="V1707" s="735">
        <v>16</v>
      </c>
      <c r="W1707" s="736"/>
      <c r="X1707" s="737"/>
      <c r="Y1707" s="738"/>
      <c r="Z1707" s="739"/>
      <c r="AA1707" s="739"/>
      <c r="AB1707" s="740">
        <v>16</v>
      </c>
      <c r="AC1707" s="741" t="str">
        <f>'DICTIONARY-5'!$A$11&amp;" 20"</f>
        <v>EN 558 szereg 20</v>
      </c>
      <c r="AD1707" s="741" t="str">
        <f>'DICTIONARY-5'!$A$13</f>
        <v>woda pitna</v>
      </c>
      <c r="AE1707" s="742">
        <v>110</v>
      </c>
      <c r="AF1707" s="743">
        <v>16.5</v>
      </c>
      <c r="AG1707" s="741" t="str">
        <f>'DICTIONARY-5'!$A$23</f>
        <v>powłoka epoksydowa</v>
      </c>
    </row>
    <row r="1708" spans="1:33" x14ac:dyDescent="0.25">
      <c r="A1708" s="866" t="s">
        <v>1783</v>
      </c>
      <c r="B1708" s="866" t="s">
        <v>3724</v>
      </c>
      <c r="C1708" s="836">
        <v>721</v>
      </c>
      <c r="D1708" s="836"/>
      <c r="E1708" s="836"/>
      <c r="F1708" s="836"/>
      <c r="G1708" s="496" t="s">
        <v>7832</v>
      </c>
      <c r="H1708" s="797" t="str">
        <f>VLOOKUP(G1708,SETTINGS!$B$7:$D$97,2,0)</f>
        <v>CEREX 300</v>
      </c>
      <c r="I1708" s="796">
        <f>VLOOKUP(G1708,SETTINGS!$B$7:$D$97,3,0)</f>
        <v>0</v>
      </c>
      <c r="J1708" s="670" t="str">
        <f>IFERROR(IF(CURRENCY.FORMAT_1=0,CONCATENATE(TEXT(FIXED(ROUND((C1708/EXC.RATE_1),CURRENCY.FORMAT_1),CURRENCY.FORMAT_1,1),"# ##0;-# ##0"),",-"),FIXED(ROUND((C1708/EXC.RATE_1),CURRENCY.FORMAT_1),CURRENCY.FORMAT_1,0)),'DICTIONARY-5'!$A$2)</f>
        <v>721,-</v>
      </c>
      <c r="K1708" s="670" t="str">
        <f>IF(EXC.RATE_2=0,"",IFERROR(IF(CURRENCY.FORMAT_2=0,CONCATENATE(TEXT(FIXED(ROUND(IF(EXC.RATE.SWITCH=1,C1708/EXC.RATE_2,C1708*EXC.RATE_2),CURRENCY.FORMAT_2),CURRENCY.FORMAT_2,1),"# ##0;-# ##0"),",-"),FIXED(ROUND(IF(EXC.RATE.SWITCH=1,C1708/EXC.RATE_2,C1708*EXC.RATE_2),CURRENCY.FORMAT_2),CURRENCY.FORMAT_2,0)),'DICTIONARY-5'!$A$2))</f>
        <v/>
      </c>
      <c r="L1708" s="670" t="str">
        <f>IFERROR(IF(CURRENCY.FORMAT_1=0,CONCATENATE(TEXT(FIXED(ROUND((C1708*(1-I1708)*(1-ADD.DISCOUNT)*(1+MAT.SURCHARGE)/EXC.RATE_1),CURRENCY.FORMAT_1),CURRENCY.FORMAT_1,1),"# ##0;-# ##0"),",-"),FIXED(ROUND((C1708*(1-I1708)*(1-ADD.DISCOUNT)*(1+MAT.SURCHARGE)/EXC.RATE_1),CURRENCY.FORMAT_1),CURRENCY.FORMAT_1,0)),'DICTIONARY-5'!$A$2)</f>
        <v>749,-</v>
      </c>
      <c r="M1708" s="670" t="str">
        <f>IF(EXC.RATE_2=0,"",IFERROR(IF(CURRENCY.FORMAT_2=0,CONCATENATE(TEXT(FIXED(ROUND(IF(EXC.RATE.SWITCH=1,C1708*(1-I1708)*(1-ADD.DISCOUNT)*(1+MAT.SURCHARGE)/EXC.RATE_2,C1708*(1-I1708)*(1-ADD.DISCOUNT)*(1+MAT.SURCHARGE)*EXC.RATE_2),CURRENCY.FORMAT_2),CURRENCY.FORMAT_2,1),"# ##0;-# ##0"),",-"),FIXED(ROUND(IF(EXC.RATE.SWITCH=1,C1708*(1-I1708)*(1-ADD.DISCOUNT)*(1+MAT.SURCHARGE)/EXC.RATE_2,C1708*(1-I1708)*(1-ADD.DISCOUNT)*(1+MAT.SURCHARGE)*EXC.RATE_2),CURRENCY.FORMAT_2),CURRENCY.FORMAT_2,0)),'DICTIONARY-5'!$A$2))</f>
        <v/>
      </c>
      <c r="N1708" s="541">
        <v>6</v>
      </c>
      <c r="O1708" s="541"/>
      <c r="P1708" s="731" t="str">
        <f>'DICTIONARY-3'!$A$149</f>
        <v>CEREX 300-W</v>
      </c>
      <c r="Q1708" s="731" t="str">
        <f>'DICTIONARY-3'!$A$204</f>
        <v>Przepustnica kołnierzowa</v>
      </c>
      <c r="R1708" s="732" t="str">
        <f>CONCATENATE('DICTIONARY-3'!$A$149," ",'DICTIONARY-6'!$A$2," ",'DICTIONARY-2'!$A$2,"250"," ",'DICTIONARY-2'!$A$3,"10/16"," ","R20"," ",'DICTIONARY-5'!$A$37,"/",'DICTIONARY-5'!$A$44,", ",'DICTIONARY-4'!$A$8," 232-08")</f>
        <v>CEREX 300-W Przep. kołnierz. DN250 PN10/16 R20 CF8M/EPDM, PK 232-08</v>
      </c>
      <c r="S1708" s="733" t="str">
        <f>'DICTIONARY-4'!$A$8</f>
        <v>PK</v>
      </c>
      <c r="T1708" s="732" t="str">
        <f>'DICTIONARY-4'!$A$24</f>
        <v>Przekładnia z kółkiem</v>
      </c>
      <c r="U1708" s="734" t="s">
        <v>5751</v>
      </c>
      <c r="V1708" s="735">
        <v>16</v>
      </c>
      <c r="W1708" s="736"/>
      <c r="X1708" s="737"/>
      <c r="Y1708" s="738"/>
      <c r="Z1708" s="739"/>
      <c r="AA1708" s="739"/>
      <c r="AB1708" s="740">
        <v>16</v>
      </c>
      <c r="AC1708" s="741" t="str">
        <f>'DICTIONARY-5'!$A$11&amp;" 20"</f>
        <v>EN 558 szereg 20</v>
      </c>
      <c r="AD1708" s="741" t="str">
        <f>'DICTIONARY-5'!$A$13</f>
        <v>woda pitna</v>
      </c>
      <c r="AE1708" s="742">
        <v>110</v>
      </c>
      <c r="AF1708" s="743">
        <v>25</v>
      </c>
      <c r="AG1708" s="741" t="str">
        <f>'DICTIONARY-5'!$A$23</f>
        <v>powłoka epoksydowa</v>
      </c>
    </row>
    <row r="1709" spans="1:33" x14ac:dyDescent="0.25">
      <c r="A1709" s="866" t="s">
        <v>1785</v>
      </c>
      <c r="B1709" s="866" t="s">
        <v>3728</v>
      </c>
      <c r="C1709" s="836">
        <v>1031</v>
      </c>
      <c r="D1709" s="836"/>
      <c r="E1709" s="836"/>
      <c r="F1709" s="836"/>
      <c r="G1709" s="496" t="s">
        <v>7832</v>
      </c>
      <c r="H1709" s="797" t="str">
        <f>VLOOKUP(G1709,SETTINGS!$B$7:$D$97,2,0)</f>
        <v>CEREX 300</v>
      </c>
      <c r="I1709" s="796">
        <f>VLOOKUP(G1709,SETTINGS!$B$7:$D$97,3,0)</f>
        <v>0</v>
      </c>
      <c r="J1709" s="670" t="str">
        <f>IFERROR(IF(CURRENCY.FORMAT_1=0,CONCATENATE(TEXT(FIXED(ROUND((C1709/EXC.RATE_1),CURRENCY.FORMAT_1),CURRENCY.FORMAT_1,1),"# ##0;-# ##0"),",-"),FIXED(ROUND((C1709/EXC.RATE_1),CURRENCY.FORMAT_1),CURRENCY.FORMAT_1,0)),'DICTIONARY-5'!$A$2)</f>
        <v>1 031,-</v>
      </c>
      <c r="K1709" s="670" t="str">
        <f>IF(EXC.RATE_2=0,"",IFERROR(IF(CURRENCY.FORMAT_2=0,CONCATENATE(TEXT(FIXED(ROUND(IF(EXC.RATE.SWITCH=1,C1709/EXC.RATE_2,C1709*EXC.RATE_2),CURRENCY.FORMAT_2),CURRENCY.FORMAT_2,1),"# ##0;-# ##0"),",-"),FIXED(ROUND(IF(EXC.RATE.SWITCH=1,C1709/EXC.RATE_2,C1709*EXC.RATE_2),CURRENCY.FORMAT_2),CURRENCY.FORMAT_2,0)),'DICTIONARY-5'!$A$2))</f>
        <v/>
      </c>
      <c r="L1709" s="670" t="str">
        <f>IFERROR(IF(CURRENCY.FORMAT_1=0,CONCATENATE(TEXT(FIXED(ROUND((C1709*(1-I1709)*(1-ADD.DISCOUNT)*(1+MAT.SURCHARGE)/EXC.RATE_1),CURRENCY.FORMAT_1),CURRENCY.FORMAT_1,1),"# ##0;-# ##0"),",-"),FIXED(ROUND((C1709*(1-I1709)*(1-ADD.DISCOUNT)*(1+MAT.SURCHARGE)/EXC.RATE_1),CURRENCY.FORMAT_1),CURRENCY.FORMAT_1,0)),'DICTIONARY-5'!$A$2)</f>
        <v>1 071,-</v>
      </c>
      <c r="M1709" s="670" t="str">
        <f>IF(EXC.RATE_2=0,"",IFERROR(IF(CURRENCY.FORMAT_2=0,CONCATENATE(TEXT(FIXED(ROUND(IF(EXC.RATE.SWITCH=1,C1709*(1-I1709)*(1-ADD.DISCOUNT)*(1+MAT.SURCHARGE)/EXC.RATE_2,C1709*(1-I1709)*(1-ADD.DISCOUNT)*(1+MAT.SURCHARGE)*EXC.RATE_2),CURRENCY.FORMAT_2),CURRENCY.FORMAT_2,1),"# ##0;-# ##0"),",-"),FIXED(ROUND(IF(EXC.RATE.SWITCH=1,C1709*(1-I1709)*(1-ADD.DISCOUNT)*(1+MAT.SURCHARGE)/EXC.RATE_2,C1709*(1-I1709)*(1-ADD.DISCOUNT)*(1+MAT.SURCHARGE)*EXC.RATE_2),CURRENCY.FORMAT_2),CURRENCY.FORMAT_2,0)),'DICTIONARY-5'!$A$2))</f>
        <v/>
      </c>
      <c r="N1709" s="541">
        <v>6</v>
      </c>
      <c r="O1709" s="541"/>
      <c r="P1709" s="731" t="str">
        <f>'DICTIONARY-3'!$A$149</f>
        <v>CEREX 300-W</v>
      </c>
      <c r="Q1709" s="731" t="str">
        <f>'DICTIONARY-3'!$A$204</f>
        <v>Przepustnica kołnierzowa</v>
      </c>
      <c r="R1709" s="732" t="str">
        <f>CONCATENATE('DICTIONARY-3'!$A$149," ",'DICTIONARY-6'!$A$2," ",'DICTIONARY-2'!$A$2,"300"," ",'DICTIONARY-2'!$A$3,"10/16"," ","R20"," ",'DICTIONARY-5'!$A$37,"/",'DICTIONARY-5'!$A$44,", ",'DICTIONARY-4'!$A$8," 232-11")</f>
        <v>CEREX 300-W Przep. kołnierz. DN300 PN10/16 R20 CF8M/EPDM, PK 232-11</v>
      </c>
      <c r="S1709" s="733" t="str">
        <f>'DICTIONARY-4'!$A$8</f>
        <v>PK</v>
      </c>
      <c r="T1709" s="732" t="str">
        <f>'DICTIONARY-4'!$A$24</f>
        <v>Przekładnia z kółkiem</v>
      </c>
      <c r="U1709" s="734" t="s">
        <v>5752</v>
      </c>
      <c r="V1709" s="735">
        <v>16</v>
      </c>
      <c r="W1709" s="736"/>
      <c r="X1709" s="737"/>
      <c r="Y1709" s="738"/>
      <c r="Z1709" s="739"/>
      <c r="AA1709" s="739"/>
      <c r="AB1709" s="740">
        <v>16</v>
      </c>
      <c r="AC1709" s="741" t="str">
        <f>'DICTIONARY-5'!$A$11&amp;" 20"</f>
        <v>EN 558 szereg 20</v>
      </c>
      <c r="AD1709" s="741" t="str">
        <f>'DICTIONARY-5'!$A$13</f>
        <v>woda pitna</v>
      </c>
      <c r="AE1709" s="742">
        <v>110</v>
      </c>
      <c r="AF1709" s="743">
        <v>37.5</v>
      </c>
      <c r="AG1709" s="741" t="str">
        <f>'DICTIONARY-5'!$A$23</f>
        <v>powłoka epoksydowa</v>
      </c>
    </row>
    <row r="1710" spans="1:33" x14ac:dyDescent="0.25">
      <c r="A1710" s="866" t="s">
        <v>1787</v>
      </c>
      <c r="B1710" s="866" t="s">
        <v>3732</v>
      </c>
      <c r="C1710" s="836">
        <v>1436</v>
      </c>
      <c r="D1710" s="836"/>
      <c r="E1710" s="836"/>
      <c r="F1710" s="836"/>
      <c r="G1710" s="496" t="s">
        <v>7832</v>
      </c>
      <c r="H1710" s="797" t="str">
        <f>VLOOKUP(G1710,SETTINGS!$B$7:$D$97,2,0)</f>
        <v>CEREX 300</v>
      </c>
      <c r="I1710" s="796">
        <f>VLOOKUP(G1710,SETTINGS!$B$7:$D$97,3,0)</f>
        <v>0</v>
      </c>
      <c r="J1710" s="670" t="str">
        <f>IFERROR(IF(CURRENCY.FORMAT_1=0,CONCATENATE(TEXT(FIXED(ROUND((C1710/EXC.RATE_1),CURRENCY.FORMAT_1),CURRENCY.FORMAT_1,1),"# ##0;-# ##0"),",-"),FIXED(ROUND((C1710/EXC.RATE_1),CURRENCY.FORMAT_1),CURRENCY.FORMAT_1,0)),'DICTIONARY-5'!$A$2)</f>
        <v>1 436,-</v>
      </c>
      <c r="K1710" s="670" t="str">
        <f>IF(EXC.RATE_2=0,"",IFERROR(IF(CURRENCY.FORMAT_2=0,CONCATENATE(TEXT(FIXED(ROUND(IF(EXC.RATE.SWITCH=1,C1710/EXC.RATE_2,C1710*EXC.RATE_2),CURRENCY.FORMAT_2),CURRENCY.FORMAT_2,1),"# ##0;-# ##0"),",-"),FIXED(ROUND(IF(EXC.RATE.SWITCH=1,C1710/EXC.RATE_2,C1710*EXC.RATE_2),CURRENCY.FORMAT_2),CURRENCY.FORMAT_2,0)),'DICTIONARY-5'!$A$2))</f>
        <v/>
      </c>
      <c r="L1710" s="670" t="str">
        <f>IFERROR(IF(CURRENCY.FORMAT_1=0,CONCATENATE(TEXT(FIXED(ROUND((C1710*(1-I1710)*(1-ADD.DISCOUNT)*(1+MAT.SURCHARGE)/EXC.RATE_1),CURRENCY.FORMAT_1),CURRENCY.FORMAT_1,1),"# ##0;-# ##0"),",-"),FIXED(ROUND((C1710*(1-I1710)*(1-ADD.DISCOUNT)*(1+MAT.SURCHARGE)/EXC.RATE_1),CURRENCY.FORMAT_1),CURRENCY.FORMAT_1,0)),'DICTIONARY-5'!$A$2)</f>
        <v>1 492,-</v>
      </c>
      <c r="M1710" s="670" t="str">
        <f>IF(EXC.RATE_2=0,"",IFERROR(IF(CURRENCY.FORMAT_2=0,CONCATENATE(TEXT(FIXED(ROUND(IF(EXC.RATE.SWITCH=1,C1710*(1-I1710)*(1-ADD.DISCOUNT)*(1+MAT.SURCHARGE)/EXC.RATE_2,C1710*(1-I1710)*(1-ADD.DISCOUNT)*(1+MAT.SURCHARGE)*EXC.RATE_2),CURRENCY.FORMAT_2),CURRENCY.FORMAT_2,1),"# ##0;-# ##0"),",-"),FIXED(ROUND(IF(EXC.RATE.SWITCH=1,C1710*(1-I1710)*(1-ADD.DISCOUNT)*(1+MAT.SURCHARGE)/EXC.RATE_2,C1710*(1-I1710)*(1-ADD.DISCOUNT)*(1+MAT.SURCHARGE)*EXC.RATE_2),CURRENCY.FORMAT_2),CURRENCY.FORMAT_2,0)),'DICTIONARY-5'!$A$2))</f>
        <v/>
      </c>
      <c r="N1710" s="541">
        <v>6</v>
      </c>
      <c r="O1710" s="541"/>
      <c r="P1710" s="731" t="str">
        <f>'DICTIONARY-3'!$A$149</f>
        <v>CEREX 300-W</v>
      </c>
      <c r="Q1710" s="731" t="str">
        <f>'DICTIONARY-3'!$A$204</f>
        <v>Przepustnica kołnierzowa</v>
      </c>
      <c r="R1710" s="732" t="str">
        <f>CONCATENATE('DICTIONARY-3'!$A$149," ",'DICTIONARY-6'!$A$2," ",'DICTIONARY-2'!$A$2,"350"," ",'DICTIONARY-2'!$A$3,"10/16"," ","R20"," ",'DICTIONARY-5'!$A$37,"/",'DICTIONARY-5'!$A$44,", ",'DICTIONARY-4'!$A$8," 232-11")</f>
        <v>CEREX 300-W Przep. kołnierz. DN350 PN10/16 R20 CF8M/EPDM, PK 232-11</v>
      </c>
      <c r="S1710" s="733" t="str">
        <f>'DICTIONARY-4'!$A$8</f>
        <v>PK</v>
      </c>
      <c r="T1710" s="732" t="str">
        <f>'DICTIONARY-4'!$A$24</f>
        <v>Przekładnia z kółkiem</v>
      </c>
      <c r="U1710" s="734" t="s">
        <v>5753</v>
      </c>
      <c r="V1710" s="735">
        <v>16</v>
      </c>
      <c r="W1710" s="736"/>
      <c r="X1710" s="737"/>
      <c r="Y1710" s="738"/>
      <c r="Z1710" s="739"/>
      <c r="AA1710" s="739"/>
      <c r="AB1710" s="740">
        <v>16</v>
      </c>
      <c r="AC1710" s="741" t="str">
        <f>'DICTIONARY-5'!$A$11&amp;" 20"</f>
        <v>EN 558 szereg 20</v>
      </c>
      <c r="AD1710" s="741" t="str">
        <f>'DICTIONARY-5'!$A$13</f>
        <v>woda pitna</v>
      </c>
      <c r="AE1710" s="742">
        <v>110</v>
      </c>
      <c r="AF1710" s="743">
        <v>45</v>
      </c>
      <c r="AG1710" s="741" t="str">
        <f>'DICTIONARY-5'!$A$23</f>
        <v>powłoka epoksydowa</v>
      </c>
    </row>
    <row r="1711" spans="1:33" x14ac:dyDescent="0.25">
      <c r="A1711" s="866" t="s">
        <v>1789</v>
      </c>
      <c r="B1711" s="866" t="s">
        <v>3734</v>
      </c>
      <c r="C1711" s="836">
        <v>1932</v>
      </c>
      <c r="D1711" s="836"/>
      <c r="E1711" s="836"/>
      <c r="F1711" s="836"/>
      <c r="G1711" s="496" t="s">
        <v>7832</v>
      </c>
      <c r="H1711" s="797" t="str">
        <f>VLOOKUP(G1711,SETTINGS!$B$7:$D$97,2,0)</f>
        <v>CEREX 300</v>
      </c>
      <c r="I1711" s="796">
        <f>VLOOKUP(G1711,SETTINGS!$B$7:$D$97,3,0)</f>
        <v>0</v>
      </c>
      <c r="J1711" s="670" t="str">
        <f>IFERROR(IF(CURRENCY.FORMAT_1=0,CONCATENATE(TEXT(FIXED(ROUND((C1711/EXC.RATE_1),CURRENCY.FORMAT_1),CURRENCY.FORMAT_1,1),"# ##0;-# ##0"),",-"),FIXED(ROUND((C1711/EXC.RATE_1),CURRENCY.FORMAT_1),CURRENCY.FORMAT_1,0)),'DICTIONARY-5'!$A$2)</f>
        <v>1 932,-</v>
      </c>
      <c r="K1711" s="670" t="str">
        <f>IF(EXC.RATE_2=0,"",IFERROR(IF(CURRENCY.FORMAT_2=0,CONCATENATE(TEXT(FIXED(ROUND(IF(EXC.RATE.SWITCH=1,C1711/EXC.RATE_2,C1711*EXC.RATE_2),CURRENCY.FORMAT_2),CURRENCY.FORMAT_2,1),"# ##0;-# ##0"),",-"),FIXED(ROUND(IF(EXC.RATE.SWITCH=1,C1711/EXC.RATE_2,C1711*EXC.RATE_2),CURRENCY.FORMAT_2),CURRENCY.FORMAT_2,0)),'DICTIONARY-5'!$A$2))</f>
        <v/>
      </c>
      <c r="L1711" s="670" t="str">
        <f>IFERROR(IF(CURRENCY.FORMAT_1=0,CONCATENATE(TEXT(FIXED(ROUND((C1711*(1-I1711)*(1-ADD.DISCOUNT)*(1+MAT.SURCHARGE)/EXC.RATE_1),CURRENCY.FORMAT_1),CURRENCY.FORMAT_1,1),"# ##0;-# ##0"),",-"),FIXED(ROUND((C1711*(1-I1711)*(1-ADD.DISCOUNT)*(1+MAT.SURCHARGE)/EXC.RATE_1),CURRENCY.FORMAT_1),CURRENCY.FORMAT_1,0)),'DICTIONARY-5'!$A$2)</f>
        <v>2 007,-</v>
      </c>
      <c r="M1711" s="670" t="str">
        <f>IF(EXC.RATE_2=0,"",IFERROR(IF(CURRENCY.FORMAT_2=0,CONCATENATE(TEXT(FIXED(ROUND(IF(EXC.RATE.SWITCH=1,C1711*(1-I1711)*(1-ADD.DISCOUNT)*(1+MAT.SURCHARGE)/EXC.RATE_2,C1711*(1-I1711)*(1-ADD.DISCOUNT)*(1+MAT.SURCHARGE)*EXC.RATE_2),CURRENCY.FORMAT_2),CURRENCY.FORMAT_2,1),"# ##0;-# ##0"),",-"),FIXED(ROUND(IF(EXC.RATE.SWITCH=1,C1711*(1-I1711)*(1-ADD.DISCOUNT)*(1+MAT.SURCHARGE)/EXC.RATE_2,C1711*(1-I1711)*(1-ADD.DISCOUNT)*(1+MAT.SURCHARGE)*EXC.RATE_2),CURRENCY.FORMAT_2),CURRENCY.FORMAT_2,0)),'DICTIONARY-5'!$A$2))</f>
        <v/>
      </c>
      <c r="N1711" s="541">
        <v>6</v>
      </c>
      <c r="O1711" s="541"/>
      <c r="P1711" s="731" t="str">
        <f>'DICTIONARY-3'!$A$149</f>
        <v>CEREX 300-W</v>
      </c>
      <c r="Q1711" s="731" t="str">
        <f>'DICTIONARY-3'!$A$204</f>
        <v>Przepustnica kołnierzowa</v>
      </c>
      <c r="R1711" s="732" t="str">
        <f>CONCATENATE('DICTIONARY-3'!$A$149," ",'DICTIONARY-6'!$A$2," ",'DICTIONARY-2'!$A$2,"400"," ",'DICTIONARY-2'!$A$3,"10/16"," ","R20"," ",'DICTIONARY-5'!$A$37,"/",'DICTIONARY-5'!$A$44,", ",'DICTIONARY-4'!$A$8," 232-14")</f>
        <v>CEREX 300-W Przep. kołnierz. DN400 PN10/16 R20 CF8M/EPDM, PK 232-14</v>
      </c>
      <c r="S1711" s="733" t="str">
        <f>'DICTIONARY-4'!$A$8</f>
        <v>PK</v>
      </c>
      <c r="T1711" s="732" t="str">
        <f>'DICTIONARY-4'!$A$24</f>
        <v>Przekładnia z kółkiem</v>
      </c>
      <c r="U1711" s="734" t="s">
        <v>5754</v>
      </c>
      <c r="V1711" s="735">
        <v>16</v>
      </c>
      <c r="W1711" s="736"/>
      <c r="X1711" s="737"/>
      <c r="Y1711" s="738"/>
      <c r="Z1711" s="739"/>
      <c r="AA1711" s="739"/>
      <c r="AB1711" s="740">
        <v>16</v>
      </c>
      <c r="AC1711" s="741" t="str">
        <f>'DICTIONARY-5'!$A$11&amp;" 20"</f>
        <v>EN 558 szereg 20</v>
      </c>
      <c r="AD1711" s="741" t="str">
        <f>'DICTIONARY-5'!$A$13</f>
        <v>woda pitna</v>
      </c>
      <c r="AE1711" s="742">
        <v>110</v>
      </c>
      <c r="AF1711" s="743">
        <v>70</v>
      </c>
      <c r="AG1711" s="741" t="str">
        <f>'DICTIONARY-5'!$A$23</f>
        <v>powłoka epoksydowa</v>
      </c>
    </row>
    <row r="1712" spans="1:33" x14ac:dyDescent="0.25">
      <c r="A1712" s="866" t="s">
        <v>1792</v>
      </c>
      <c r="B1712" s="866" t="s">
        <v>3736</v>
      </c>
      <c r="C1712" s="836">
        <v>3202</v>
      </c>
      <c r="D1712" s="836"/>
      <c r="E1712" s="836"/>
      <c r="F1712" s="836"/>
      <c r="G1712" s="496" t="s">
        <v>7832</v>
      </c>
      <c r="H1712" s="797" t="str">
        <f>VLOOKUP(G1712,SETTINGS!$B$7:$D$97,2,0)</f>
        <v>CEREX 300</v>
      </c>
      <c r="I1712" s="796">
        <f>VLOOKUP(G1712,SETTINGS!$B$7:$D$97,3,0)</f>
        <v>0</v>
      </c>
      <c r="J1712" s="670" t="str">
        <f>IFERROR(IF(CURRENCY.FORMAT_1=0,CONCATENATE(TEXT(FIXED(ROUND((C1712/EXC.RATE_1),CURRENCY.FORMAT_1),CURRENCY.FORMAT_1,1),"# ##0;-# ##0"),",-"),FIXED(ROUND((C1712/EXC.RATE_1),CURRENCY.FORMAT_1),CURRENCY.FORMAT_1,0)),'DICTIONARY-5'!$A$2)</f>
        <v>3 202,-</v>
      </c>
      <c r="K1712" s="670" t="str">
        <f>IF(EXC.RATE_2=0,"",IFERROR(IF(CURRENCY.FORMAT_2=0,CONCATENATE(TEXT(FIXED(ROUND(IF(EXC.RATE.SWITCH=1,C1712/EXC.RATE_2,C1712*EXC.RATE_2),CURRENCY.FORMAT_2),CURRENCY.FORMAT_2,1),"# ##0;-# ##0"),",-"),FIXED(ROUND(IF(EXC.RATE.SWITCH=1,C1712/EXC.RATE_2,C1712*EXC.RATE_2),CURRENCY.FORMAT_2),CURRENCY.FORMAT_2,0)),'DICTIONARY-5'!$A$2))</f>
        <v/>
      </c>
      <c r="L1712" s="670" t="str">
        <f>IFERROR(IF(CURRENCY.FORMAT_1=0,CONCATENATE(TEXT(FIXED(ROUND((C1712*(1-I1712)*(1-ADD.DISCOUNT)*(1+MAT.SURCHARGE)/EXC.RATE_1),CURRENCY.FORMAT_1),CURRENCY.FORMAT_1,1),"# ##0;-# ##0"),",-"),FIXED(ROUND((C1712*(1-I1712)*(1-ADD.DISCOUNT)*(1+MAT.SURCHARGE)/EXC.RATE_1),CURRENCY.FORMAT_1),CURRENCY.FORMAT_1,0)),'DICTIONARY-5'!$A$2)</f>
        <v>3 327,-</v>
      </c>
      <c r="M1712" s="670" t="str">
        <f>IF(EXC.RATE_2=0,"",IFERROR(IF(CURRENCY.FORMAT_2=0,CONCATENATE(TEXT(FIXED(ROUND(IF(EXC.RATE.SWITCH=1,C1712*(1-I1712)*(1-ADD.DISCOUNT)*(1+MAT.SURCHARGE)/EXC.RATE_2,C1712*(1-I1712)*(1-ADD.DISCOUNT)*(1+MAT.SURCHARGE)*EXC.RATE_2),CURRENCY.FORMAT_2),CURRENCY.FORMAT_2,1),"# ##0;-# ##0"),",-"),FIXED(ROUND(IF(EXC.RATE.SWITCH=1,C1712*(1-I1712)*(1-ADD.DISCOUNT)*(1+MAT.SURCHARGE)/EXC.RATE_2,C1712*(1-I1712)*(1-ADD.DISCOUNT)*(1+MAT.SURCHARGE)*EXC.RATE_2),CURRENCY.FORMAT_2),CURRENCY.FORMAT_2,0)),'DICTIONARY-5'!$A$2))</f>
        <v/>
      </c>
      <c r="N1712" s="541">
        <v>6</v>
      </c>
      <c r="O1712" s="541"/>
      <c r="P1712" s="731" t="str">
        <f>'DICTIONARY-3'!$A$149</f>
        <v>CEREX 300-W</v>
      </c>
      <c r="Q1712" s="731" t="str">
        <f>'DICTIONARY-3'!$A$204</f>
        <v>Przepustnica kołnierzowa</v>
      </c>
      <c r="R1712" s="732" t="str">
        <f>CONCATENATE('DICTIONARY-3'!$A$149," ",'DICTIONARY-6'!$A$2," ",'DICTIONARY-2'!$A$2,"450"," ",'DICTIONARY-2'!$A$3,"10/16"," ",'DICTIONARY-2'!$A$10,"10",'DICTIONARY-2'!$A$20," ","R20"," ",'DICTIONARY-5'!$A$37,"/",'DICTIONARY-5'!$A$44,", ",'DICTIONARY-4'!$A$8," AB1250N")</f>
        <v>CEREX 300-W Przep. kołnierz. DN450 PN10/16 PS10bar R20 CF8M/EPDM, PK AB1250N</v>
      </c>
      <c r="S1712" s="733" t="str">
        <f>'DICTIONARY-4'!$A$8</f>
        <v>PK</v>
      </c>
      <c r="T1712" s="732" t="str">
        <f>'DICTIONARY-4'!$A$24</f>
        <v>Przekładnia z kółkiem</v>
      </c>
      <c r="U1712" s="734" t="s">
        <v>5755</v>
      </c>
      <c r="V1712" s="735">
        <v>16</v>
      </c>
      <c r="W1712" s="736"/>
      <c r="X1712" s="737"/>
      <c r="Y1712" s="738"/>
      <c r="Z1712" s="739"/>
      <c r="AA1712" s="739"/>
      <c r="AB1712" s="740">
        <v>10</v>
      </c>
      <c r="AC1712" s="741" t="str">
        <f>'DICTIONARY-5'!$A$11&amp;" 20"</f>
        <v>EN 558 szereg 20</v>
      </c>
      <c r="AD1712" s="741" t="str">
        <f>'DICTIONARY-5'!$A$13</f>
        <v>woda pitna</v>
      </c>
      <c r="AE1712" s="742">
        <v>110</v>
      </c>
      <c r="AF1712" s="743">
        <v>114</v>
      </c>
      <c r="AG1712" s="741" t="str">
        <f>'DICTIONARY-5'!$A$23</f>
        <v>powłoka epoksydowa</v>
      </c>
    </row>
    <row r="1713" spans="1:33" x14ac:dyDescent="0.25">
      <c r="A1713" s="866" t="s">
        <v>1794</v>
      </c>
      <c r="B1713" s="866" t="s">
        <v>3809</v>
      </c>
      <c r="C1713" s="836">
        <v>3762</v>
      </c>
      <c r="D1713" s="836"/>
      <c r="E1713" s="836"/>
      <c r="F1713" s="836"/>
      <c r="G1713" s="496" t="s">
        <v>7832</v>
      </c>
      <c r="H1713" s="797" t="str">
        <f>VLOOKUP(G1713,SETTINGS!$B$7:$D$97,2,0)</f>
        <v>CEREX 300</v>
      </c>
      <c r="I1713" s="796">
        <f>VLOOKUP(G1713,SETTINGS!$B$7:$D$97,3,0)</f>
        <v>0</v>
      </c>
      <c r="J1713" s="670" t="str">
        <f>IFERROR(IF(CURRENCY.FORMAT_1=0,CONCATENATE(TEXT(FIXED(ROUND((C1713/EXC.RATE_1),CURRENCY.FORMAT_1),CURRENCY.FORMAT_1,1),"# ##0;-# ##0"),",-"),FIXED(ROUND((C1713/EXC.RATE_1),CURRENCY.FORMAT_1),CURRENCY.FORMAT_1,0)),'DICTIONARY-5'!$A$2)</f>
        <v>3 762,-</v>
      </c>
      <c r="K1713" s="670" t="str">
        <f>IF(EXC.RATE_2=0,"",IFERROR(IF(CURRENCY.FORMAT_2=0,CONCATENATE(TEXT(FIXED(ROUND(IF(EXC.RATE.SWITCH=1,C1713/EXC.RATE_2,C1713*EXC.RATE_2),CURRENCY.FORMAT_2),CURRENCY.FORMAT_2,1),"# ##0;-# ##0"),",-"),FIXED(ROUND(IF(EXC.RATE.SWITCH=1,C1713/EXC.RATE_2,C1713*EXC.RATE_2),CURRENCY.FORMAT_2),CURRENCY.FORMAT_2,0)),'DICTIONARY-5'!$A$2))</f>
        <v/>
      </c>
      <c r="L1713" s="670" t="str">
        <f>IFERROR(IF(CURRENCY.FORMAT_1=0,CONCATENATE(TEXT(FIXED(ROUND((C1713*(1-I1713)*(1-ADD.DISCOUNT)*(1+MAT.SURCHARGE)/EXC.RATE_1),CURRENCY.FORMAT_1),CURRENCY.FORMAT_1,1),"# ##0;-# ##0"),",-"),FIXED(ROUND((C1713*(1-I1713)*(1-ADD.DISCOUNT)*(1+MAT.SURCHARGE)/EXC.RATE_1),CURRENCY.FORMAT_1),CURRENCY.FORMAT_1,0)),'DICTIONARY-5'!$A$2)</f>
        <v>3 909,-</v>
      </c>
      <c r="M1713" s="670" t="str">
        <f>IF(EXC.RATE_2=0,"",IFERROR(IF(CURRENCY.FORMAT_2=0,CONCATENATE(TEXT(FIXED(ROUND(IF(EXC.RATE.SWITCH=1,C1713*(1-I1713)*(1-ADD.DISCOUNT)*(1+MAT.SURCHARGE)/EXC.RATE_2,C1713*(1-I1713)*(1-ADD.DISCOUNT)*(1+MAT.SURCHARGE)*EXC.RATE_2),CURRENCY.FORMAT_2),CURRENCY.FORMAT_2,1),"# ##0;-# ##0"),",-"),FIXED(ROUND(IF(EXC.RATE.SWITCH=1,C1713*(1-I1713)*(1-ADD.DISCOUNT)*(1+MAT.SURCHARGE)/EXC.RATE_2,C1713*(1-I1713)*(1-ADD.DISCOUNT)*(1+MAT.SURCHARGE)*EXC.RATE_2),CURRENCY.FORMAT_2),CURRENCY.FORMAT_2,0)),'DICTIONARY-5'!$A$2))</f>
        <v/>
      </c>
      <c r="N1713" s="541">
        <v>6</v>
      </c>
      <c r="O1713" s="541"/>
      <c r="P1713" s="731" t="str">
        <f>'DICTIONARY-3'!$A$149</f>
        <v>CEREX 300-W</v>
      </c>
      <c r="Q1713" s="731" t="str">
        <f>'DICTIONARY-3'!$A$204</f>
        <v>Przepustnica kołnierzowa</v>
      </c>
      <c r="R1713" s="732" t="str">
        <f>CONCATENATE('DICTIONARY-3'!$A$149," ",'DICTIONARY-6'!$A$2," ",'DICTIONARY-2'!$A$2,"500"," ",'DICTIONARY-2'!$A$3,"10"," ","R20"," ",'DICTIONARY-5'!$A$37,"/",'DICTIONARY-5'!$A$44,", ",'DICTIONARY-4'!$A$8," AB1250N")</f>
        <v>CEREX 300-W Przep. kołnierz. DN500 PN10 R20 CF8M/EPDM, PK AB1250N</v>
      </c>
      <c r="S1713" s="733" t="str">
        <f>'DICTIONARY-4'!$A$8</f>
        <v>PK</v>
      </c>
      <c r="T1713" s="732" t="str">
        <f>'DICTIONARY-4'!$A$24</f>
        <v>Przekładnia z kółkiem</v>
      </c>
      <c r="U1713" s="734" t="s">
        <v>5756</v>
      </c>
      <c r="V1713" s="735">
        <v>10</v>
      </c>
      <c r="W1713" s="736"/>
      <c r="X1713" s="737"/>
      <c r="Y1713" s="738"/>
      <c r="Z1713" s="739"/>
      <c r="AA1713" s="739"/>
      <c r="AB1713" s="740">
        <v>10</v>
      </c>
      <c r="AC1713" s="741" t="str">
        <f>'DICTIONARY-5'!$A$11&amp;" 20"</f>
        <v>EN 558 szereg 20</v>
      </c>
      <c r="AD1713" s="741" t="str">
        <f>'DICTIONARY-5'!$A$13</f>
        <v>woda pitna</v>
      </c>
      <c r="AE1713" s="742">
        <v>110</v>
      </c>
      <c r="AF1713" s="743">
        <v>149</v>
      </c>
      <c r="AG1713" s="741" t="str">
        <f>'DICTIONARY-5'!$A$23</f>
        <v>powłoka epoksydowa</v>
      </c>
    </row>
    <row r="1714" spans="1:33" x14ac:dyDescent="0.25">
      <c r="A1714" s="866" t="s">
        <v>1796</v>
      </c>
      <c r="B1714" s="866" t="s">
        <v>3738</v>
      </c>
      <c r="C1714" s="836">
        <v>4613</v>
      </c>
      <c r="D1714" s="836"/>
      <c r="E1714" s="836"/>
      <c r="F1714" s="836"/>
      <c r="G1714" s="496" t="s">
        <v>7832</v>
      </c>
      <c r="H1714" s="797" t="str">
        <f>VLOOKUP(G1714,SETTINGS!$B$7:$D$97,2,0)</f>
        <v>CEREX 300</v>
      </c>
      <c r="I1714" s="796">
        <f>VLOOKUP(G1714,SETTINGS!$B$7:$D$97,3,0)</f>
        <v>0</v>
      </c>
      <c r="J1714" s="670" t="str">
        <f>IFERROR(IF(CURRENCY.FORMAT_1=0,CONCATENATE(TEXT(FIXED(ROUND((C1714/EXC.RATE_1),CURRENCY.FORMAT_1),CURRENCY.FORMAT_1,1),"# ##0;-# ##0"),",-"),FIXED(ROUND((C1714/EXC.RATE_1),CURRENCY.FORMAT_1),CURRENCY.FORMAT_1,0)),'DICTIONARY-5'!$A$2)</f>
        <v>4 613,-</v>
      </c>
      <c r="K1714" s="670" t="str">
        <f>IF(EXC.RATE_2=0,"",IFERROR(IF(CURRENCY.FORMAT_2=0,CONCATENATE(TEXT(FIXED(ROUND(IF(EXC.RATE.SWITCH=1,C1714/EXC.RATE_2,C1714*EXC.RATE_2),CURRENCY.FORMAT_2),CURRENCY.FORMAT_2,1),"# ##0;-# ##0"),",-"),FIXED(ROUND(IF(EXC.RATE.SWITCH=1,C1714/EXC.RATE_2,C1714*EXC.RATE_2),CURRENCY.FORMAT_2),CURRENCY.FORMAT_2,0)),'DICTIONARY-5'!$A$2))</f>
        <v/>
      </c>
      <c r="L1714" s="670" t="str">
        <f>IFERROR(IF(CURRENCY.FORMAT_1=0,CONCATENATE(TEXT(FIXED(ROUND((C1714*(1-I1714)*(1-ADD.DISCOUNT)*(1+MAT.SURCHARGE)/EXC.RATE_1),CURRENCY.FORMAT_1),CURRENCY.FORMAT_1,1),"# ##0;-# ##0"),",-"),FIXED(ROUND((C1714*(1-I1714)*(1-ADD.DISCOUNT)*(1+MAT.SURCHARGE)/EXC.RATE_1),CURRENCY.FORMAT_1),CURRENCY.FORMAT_1,0)),'DICTIONARY-5'!$A$2)</f>
        <v>4 793,-</v>
      </c>
      <c r="M1714" s="670" t="str">
        <f>IF(EXC.RATE_2=0,"",IFERROR(IF(CURRENCY.FORMAT_2=0,CONCATENATE(TEXT(FIXED(ROUND(IF(EXC.RATE.SWITCH=1,C1714*(1-I1714)*(1-ADD.DISCOUNT)*(1+MAT.SURCHARGE)/EXC.RATE_2,C1714*(1-I1714)*(1-ADD.DISCOUNT)*(1+MAT.SURCHARGE)*EXC.RATE_2),CURRENCY.FORMAT_2),CURRENCY.FORMAT_2,1),"# ##0;-# ##0"),",-"),FIXED(ROUND(IF(EXC.RATE.SWITCH=1,C1714*(1-I1714)*(1-ADD.DISCOUNT)*(1+MAT.SURCHARGE)/EXC.RATE_2,C1714*(1-I1714)*(1-ADD.DISCOUNT)*(1+MAT.SURCHARGE)*EXC.RATE_2),CURRENCY.FORMAT_2),CURRENCY.FORMAT_2,0)),'DICTIONARY-5'!$A$2))</f>
        <v/>
      </c>
      <c r="N1714" s="541">
        <v>6</v>
      </c>
      <c r="O1714" s="541"/>
      <c r="P1714" s="731" t="str">
        <f>'DICTIONARY-3'!$A$149</f>
        <v>CEREX 300-W</v>
      </c>
      <c r="Q1714" s="731" t="str">
        <f>'DICTIONARY-3'!$A$204</f>
        <v>Przepustnica kołnierzowa</v>
      </c>
      <c r="R1714" s="732" t="str">
        <f>CONCATENATE('DICTIONARY-3'!$A$149," ",'DICTIONARY-6'!$A$2," ",'DICTIONARY-2'!$A$2,"500"," ",'DICTIONARY-2'!$A$3,"16"," ",'DICTIONARY-2'!$A$10,"10",'DICTIONARY-2'!$A$20," ","R20"," ",'DICTIONARY-5'!$A$37,"/",'DICTIONARY-5'!$A$44,", ",'DICTIONARY-4'!$A$8," AB1250N")</f>
        <v>CEREX 300-W Przep. kołnierz. DN500 PN16 PS10bar R20 CF8M/EPDM, PK AB1250N</v>
      </c>
      <c r="S1714" s="733" t="str">
        <f>'DICTIONARY-4'!$A$8</f>
        <v>PK</v>
      </c>
      <c r="T1714" s="732" t="str">
        <f>'DICTIONARY-4'!$A$24</f>
        <v>Przekładnia z kółkiem</v>
      </c>
      <c r="U1714" s="734" t="s">
        <v>5756</v>
      </c>
      <c r="V1714" s="735">
        <v>16</v>
      </c>
      <c r="W1714" s="736"/>
      <c r="X1714" s="737"/>
      <c r="Y1714" s="738"/>
      <c r="Z1714" s="739"/>
      <c r="AA1714" s="739"/>
      <c r="AB1714" s="740">
        <v>10</v>
      </c>
      <c r="AC1714" s="741" t="str">
        <f>'DICTIONARY-5'!$A$11&amp;" 20"</f>
        <v>EN 558 szereg 20</v>
      </c>
      <c r="AD1714" s="741" t="str">
        <f>'DICTIONARY-5'!$A$13</f>
        <v>woda pitna</v>
      </c>
      <c r="AE1714" s="742">
        <v>110</v>
      </c>
      <c r="AF1714" s="743">
        <v>148</v>
      </c>
      <c r="AG1714" s="741" t="str">
        <f>'DICTIONARY-5'!$A$23</f>
        <v>powłoka epoksydowa</v>
      </c>
    </row>
    <row r="1715" spans="1:33" x14ac:dyDescent="0.25">
      <c r="A1715" s="866" t="s">
        <v>1798</v>
      </c>
      <c r="B1715" s="866" t="s">
        <v>3811</v>
      </c>
      <c r="C1715" s="836">
        <v>6236</v>
      </c>
      <c r="D1715" s="836"/>
      <c r="E1715" s="836"/>
      <c r="F1715" s="836"/>
      <c r="G1715" s="496" t="s">
        <v>7832</v>
      </c>
      <c r="H1715" s="797" t="str">
        <f>VLOOKUP(G1715,SETTINGS!$B$7:$D$97,2,0)</f>
        <v>CEREX 300</v>
      </c>
      <c r="I1715" s="796">
        <f>VLOOKUP(G1715,SETTINGS!$B$7:$D$97,3,0)</f>
        <v>0</v>
      </c>
      <c r="J1715" s="670" t="str">
        <f>IFERROR(IF(CURRENCY.FORMAT_1=0,CONCATENATE(TEXT(FIXED(ROUND((C1715/EXC.RATE_1),CURRENCY.FORMAT_1),CURRENCY.FORMAT_1,1),"# ##0;-# ##0"),",-"),FIXED(ROUND((C1715/EXC.RATE_1),CURRENCY.FORMAT_1),CURRENCY.FORMAT_1,0)),'DICTIONARY-5'!$A$2)</f>
        <v>6 236,-</v>
      </c>
      <c r="K1715" s="670" t="str">
        <f>IF(EXC.RATE_2=0,"",IFERROR(IF(CURRENCY.FORMAT_2=0,CONCATENATE(TEXT(FIXED(ROUND(IF(EXC.RATE.SWITCH=1,C1715/EXC.RATE_2,C1715*EXC.RATE_2),CURRENCY.FORMAT_2),CURRENCY.FORMAT_2,1),"# ##0;-# ##0"),",-"),FIXED(ROUND(IF(EXC.RATE.SWITCH=1,C1715/EXC.RATE_2,C1715*EXC.RATE_2),CURRENCY.FORMAT_2),CURRENCY.FORMAT_2,0)),'DICTIONARY-5'!$A$2))</f>
        <v/>
      </c>
      <c r="L1715" s="670" t="str">
        <f>IFERROR(IF(CURRENCY.FORMAT_1=0,CONCATENATE(TEXT(FIXED(ROUND((C1715*(1-I1715)*(1-ADD.DISCOUNT)*(1+MAT.SURCHARGE)/EXC.RATE_1),CURRENCY.FORMAT_1),CURRENCY.FORMAT_1,1),"# ##0;-# ##0"),",-"),FIXED(ROUND((C1715*(1-I1715)*(1-ADD.DISCOUNT)*(1+MAT.SURCHARGE)/EXC.RATE_1),CURRENCY.FORMAT_1),CURRENCY.FORMAT_1,0)),'DICTIONARY-5'!$A$2)</f>
        <v>6 479,-</v>
      </c>
      <c r="M1715" s="670" t="str">
        <f>IF(EXC.RATE_2=0,"",IFERROR(IF(CURRENCY.FORMAT_2=0,CONCATENATE(TEXT(FIXED(ROUND(IF(EXC.RATE.SWITCH=1,C1715*(1-I1715)*(1-ADD.DISCOUNT)*(1+MAT.SURCHARGE)/EXC.RATE_2,C1715*(1-I1715)*(1-ADD.DISCOUNT)*(1+MAT.SURCHARGE)*EXC.RATE_2),CURRENCY.FORMAT_2),CURRENCY.FORMAT_2,1),"# ##0;-# ##0"),",-"),FIXED(ROUND(IF(EXC.RATE.SWITCH=1,C1715*(1-I1715)*(1-ADD.DISCOUNT)*(1+MAT.SURCHARGE)/EXC.RATE_2,C1715*(1-I1715)*(1-ADD.DISCOUNT)*(1+MAT.SURCHARGE)*EXC.RATE_2),CURRENCY.FORMAT_2),CURRENCY.FORMAT_2,0)),'DICTIONARY-5'!$A$2))</f>
        <v/>
      </c>
      <c r="N1715" s="541">
        <v>6</v>
      </c>
      <c r="O1715" s="541"/>
      <c r="P1715" s="731" t="str">
        <f>'DICTIONARY-3'!$A$149</f>
        <v>CEREX 300-W</v>
      </c>
      <c r="Q1715" s="731" t="str">
        <f>'DICTIONARY-3'!$A$204</f>
        <v>Przepustnica kołnierzowa</v>
      </c>
      <c r="R1715" s="732" t="str">
        <f>CONCATENATE('DICTIONARY-3'!$A$149," ",'DICTIONARY-6'!$A$2," ",'DICTIONARY-2'!$A$2,"600"," ",'DICTIONARY-2'!$A$3,"10"," ","R20"," ",'DICTIONARY-5'!$A$37,"/",'DICTIONARY-5'!$A$44,", ",'DICTIONARY-4'!$A$8," AB1950N")</f>
        <v>CEREX 300-W Przep. kołnierz. DN600 PN10 R20 CF8M/EPDM, PK AB1950N</v>
      </c>
      <c r="S1715" s="733" t="str">
        <f>'DICTIONARY-4'!$A$8</f>
        <v>PK</v>
      </c>
      <c r="T1715" s="732" t="str">
        <f>'DICTIONARY-4'!$A$24</f>
        <v>Przekładnia z kółkiem</v>
      </c>
      <c r="U1715" s="734" t="s">
        <v>5757</v>
      </c>
      <c r="V1715" s="735">
        <v>10</v>
      </c>
      <c r="W1715" s="736"/>
      <c r="X1715" s="737"/>
      <c r="Y1715" s="738"/>
      <c r="Z1715" s="739"/>
      <c r="AA1715" s="739"/>
      <c r="AB1715" s="740">
        <v>10</v>
      </c>
      <c r="AC1715" s="741" t="str">
        <f>'DICTIONARY-5'!$A$11&amp;" 20"</f>
        <v>EN 558 szereg 20</v>
      </c>
      <c r="AD1715" s="741" t="str">
        <f>'DICTIONARY-5'!$A$13</f>
        <v>woda pitna</v>
      </c>
      <c r="AE1715" s="742">
        <v>110</v>
      </c>
      <c r="AF1715" s="743">
        <v>238</v>
      </c>
      <c r="AG1715" s="741" t="str">
        <f>'DICTIONARY-5'!$A$23</f>
        <v>powłoka epoksydowa</v>
      </c>
    </row>
    <row r="1716" spans="1:33" x14ac:dyDescent="0.25">
      <c r="A1716" s="866" t="s">
        <v>1800</v>
      </c>
      <c r="B1716" s="866" t="s">
        <v>3740</v>
      </c>
      <c r="C1716" s="836">
        <v>6571</v>
      </c>
      <c r="D1716" s="836"/>
      <c r="E1716" s="836"/>
      <c r="F1716" s="836"/>
      <c r="G1716" s="496" t="s">
        <v>7832</v>
      </c>
      <c r="H1716" s="797" t="str">
        <f>VLOOKUP(G1716,SETTINGS!$B$7:$D$97,2,0)</f>
        <v>CEREX 300</v>
      </c>
      <c r="I1716" s="796">
        <f>VLOOKUP(G1716,SETTINGS!$B$7:$D$97,3,0)</f>
        <v>0</v>
      </c>
      <c r="J1716" s="670" t="str">
        <f>IFERROR(IF(CURRENCY.FORMAT_1=0,CONCATENATE(TEXT(FIXED(ROUND((C1716/EXC.RATE_1),CURRENCY.FORMAT_1),CURRENCY.FORMAT_1,1),"# ##0;-# ##0"),",-"),FIXED(ROUND((C1716/EXC.RATE_1),CURRENCY.FORMAT_1),CURRENCY.FORMAT_1,0)),'DICTIONARY-5'!$A$2)</f>
        <v>6 571,-</v>
      </c>
      <c r="K1716" s="670" t="str">
        <f>IF(EXC.RATE_2=0,"",IFERROR(IF(CURRENCY.FORMAT_2=0,CONCATENATE(TEXT(FIXED(ROUND(IF(EXC.RATE.SWITCH=1,C1716/EXC.RATE_2,C1716*EXC.RATE_2),CURRENCY.FORMAT_2),CURRENCY.FORMAT_2,1),"# ##0;-# ##0"),",-"),FIXED(ROUND(IF(EXC.RATE.SWITCH=1,C1716/EXC.RATE_2,C1716*EXC.RATE_2),CURRENCY.FORMAT_2),CURRENCY.FORMAT_2,0)),'DICTIONARY-5'!$A$2))</f>
        <v/>
      </c>
      <c r="L1716" s="670" t="str">
        <f>IFERROR(IF(CURRENCY.FORMAT_1=0,CONCATENATE(TEXT(FIXED(ROUND((C1716*(1-I1716)*(1-ADD.DISCOUNT)*(1+MAT.SURCHARGE)/EXC.RATE_1),CURRENCY.FORMAT_1),CURRENCY.FORMAT_1,1),"# ##0;-# ##0"),",-"),FIXED(ROUND((C1716*(1-I1716)*(1-ADD.DISCOUNT)*(1+MAT.SURCHARGE)/EXC.RATE_1),CURRENCY.FORMAT_1),CURRENCY.FORMAT_1,0)),'DICTIONARY-5'!$A$2)</f>
        <v>6 827,-</v>
      </c>
      <c r="M1716" s="670" t="str">
        <f>IF(EXC.RATE_2=0,"",IFERROR(IF(CURRENCY.FORMAT_2=0,CONCATENATE(TEXT(FIXED(ROUND(IF(EXC.RATE.SWITCH=1,C1716*(1-I1716)*(1-ADD.DISCOUNT)*(1+MAT.SURCHARGE)/EXC.RATE_2,C1716*(1-I1716)*(1-ADD.DISCOUNT)*(1+MAT.SURCHARGE)*EXC.RATE_2),CURRENCY.FORMAT_2),CURRENCY.FORMAT_2,1),"# ##0;-# ##0"),",-"),FIXED(ROUND(IF(EXC.RATE.SWITCH=1,C1716*(1-I1716)*(1-ADD.DISCOUNT)*(1+MAT.SURCHARGE)/EXC.RATE_2,C1716*(1-I1716)*(1-ADD.DISCOUNT)*(1+MAT.SURCHARGE)*EXC.RATE_2),CURRENCY.FORMAT_2),CURRENCY.FORMAT_2,0)),'DICTIONARY-5'!$A$2))</f>
        <v/>
      </c>
      <c r="N1716" s="541">
        <v>6</v>
      </c>
      <c r="O1716" s="541"/>
      <c r="P1716" s="731" t="str">
        <f>'DICTIONARY-3'!$A$149</f>
        <v>CEREX 300-W</v>
      </c>
      <c r="Q1716" s="731" t="str">
        <f>'DICTIONARY-3'!$A$204</f>
        <v>Przepustnica kołnierzowa</v>
      </c>
      <c r="R1716" s="732" t="str">
        <f>CONCATENATE('DICTIONARY-3'!$A$149," ",'DICTIONARY-6'!$A$2," ",'DICTIONARY-2'!$A$2,"600"," ",'DICTIONARY-2'!$A$3,"16"," ",'DICTIONARY-2'!$A$10,"10",'DICTIONARY-2'!$A$20," ","R20"," ",'DICTIONARY-5'!$A$37,"/",'DICTIONARY-5'!$A$44,", ",'DICTIONARY-4'!$A$8," AB1950N")</f>
        <v>CEREX 300-W Przep. kołnierz. DN600 PN16 PS10bar R20 CF8M/EPDM, PK AB1950N</v>
      </c>
      <c r="S1716" s="733" t="str">
        <f>'DICTIONARY-4'!$A$8</f>
        <v>PK</v>
      </c>
      <c r="T1716" s="732" t="str">
        <f>'DICTIONARY-4'!$A$24</f>
        <v>Przekładnia z kółkiem</v>
      </c>
      <c r="U1716" s="734" t="s">
        <v>5757</v>
      </c>
      <c r="V1716" s="735">
        <v>16</v>
      </c>
      <c r="W1716" s="736"/>
      <c r="X1716" s="737"/>
      <c r="Y1716" s="738"/>
      <c r="Z1716" s="739"/>
      <c r="AA1716" s="739"/>
      <c r="AB1716" s="740">
        <v>10</v>
      </c>
      <c r="AC1716" s="741" t="str">
        <f>'DICTIONARY-5'!$A$11&amp;" 20"</f>
        <v>EN 558 szereg 20</v>
      </c>
      <c r="AD1716" s="741" t="str">
        <f>'DICTIONARY-5'!$A$13</f>
        <v>woda pitna</v>
      </c>
      <c r="AE1716" s="742">
        <v>110</v>
      </c>
      <c r="AF1716" s="743">
        <v>233</v>
      </c>
      <c r="AG1716" s="741" t="str">
        <f>'DICTIONARY-5'!$A$23</f>
        <v>powłoka epoksydowa</v>
      </c>
    </row>
    <row r="1717" spans="1:33" x14ac:dyDescent="0.25">
      <c r="A1717" s="869" t="s">
        <v>1801</v>
      </c>
      <c r="B1717" s="869" t="s">
        <v>3746</v>
      </c>
      <c r="C1717" s="836">
        <v>231</v>
      </c>
      <c r="D1717" s="836"/>
      <c r="E1717" s="836"/>
      <c r="F1717" s="836"/>
      <c r="G1717" s="496" t="s">
        <v>7832</v>
      </c>
      <c r="H1717" s="797" t="str">
        <f>VLOOKUP(G1717,SETTINGS!$B$7:$D$97,2,0)</f>
        <v>CEREX 300</v>
      </c>
      <c r="I1717" s="796">
        <f>VLOOKUP(G1717,SETTINGS!$B$7:$D$97,3,0)</f>
        <v>0</v>
      </c>
      <c r="J1717" s="670" t="str">
        <f>IFERROR(IF(CURRENCY.FORMAT_1=0,CONCATENATE(TEXT(FIXED(ROUND((C1717/EXC.RATE_1),CURRENCY.FORMAT_1),CURRENCY.FORMAT_1,1),"# ##0;-# ##0"),",-"),FIXED(ROUND((C1717/EXC.RATE_1),CURRENCY.FORMAT_1),CURRENCY.FORMAT_1,0)),'DICTIONARY-5'!$A$2)</f>
        <v>231,-</v>
      </c>
      <c r="K1717" s="670" t="str">
        <f>IF(EXC.RATE_2=0,"",IFERROR(IF(CURRENCY.FORMAT_2=0,CONCATENATE(TEXT(FIXED(ROUND(IF(EXC.RATE.SWITCH=1,C1717/EXC.RATE_2,C1717*EXC.RATE_2),CURRENCY.FORMAT_2),CURRENCY.FORMAT_2,1),"# ##0;-# ##0"),",-"),FIXED(ROUND(IF(EXC.RATE.SWITCH=1,C1717/EXC.RATE_2,C1717*EXC.RATE_2),CURRENCY.FORMAT_2),CURRENCY.FORMAT_2,0)),'DICTIONARY-5'!$A$2))</f>
        <v/>
      </c>
      <c r="L1717" s="670" t="str">
        <f>IFERROR(IF(CURRENCY.FORMAT_1=0,CONCATENATE(TEXT(FIXED(ROUND((C1717*(1-I1717)*(1-ADD.DISCOUNT)*(1+MAT.SURCHARGE)/EXC.RATE_1),CURRENCY.FORMAT_1),CURRENCY.FORMAT_1,1),"# ##0;-# ##0"),",-"),FIXED(ROUND((C1717*(1-I1717)*(1-ADD.DISCOUNT)*(1+MAT.SURCHARGE)/EXC.RATE_1),CURRENCY.FORMAT_1),CURRENCY.FORMAT_1,0)),'DICTIONARY-5'!$A$2)</f>
        <v>240,-</v>
      </c>
      <c r="M1717" s="670" t="str">
        <f>IF(EXC.RATE_2=0,"",IFERROR(IF(CURRENCY.FORMAT_2=0,CONCATENATE(TEXT(FIXED(ROUND(IF(EXC.RATE.SWITCH=1,C1717*(1-I1717)*(1-ADD.DISCOUNT)*(1+MAT.SURCHARGE)/EXC.RATE_2,C1717*(1-I1717)*(1-ADD.DISCOUNT)*(1+MAT.SURCHARGE)*EXC.RATE_2),CURRENCY.FORMAT_2),CURRENCY.FORMAT_2,1),"# ##0;-# ##0"),",-"),FIXED(ROUND(IF(EXC.RATE.SWITCH=1,C1717*(1-I1717)*(1-ADD.DISCOUNT)*(1+MAT.SURCHARGE)/EXC.RATE_2,C1717*(1-I1717)*(1-ADD.DISCOUNT)*(1+MAT.SURCHARGE)*EXC.RATE_2),CURRENCY.FORMAT_2),CURRENCY.FORMAT_2,0)),'DICTIONARY-5'!$A$2))</f>
        <v/>
      </c>
      <c r="N1717" s="535">
        <v>6</v>
      </c>
      <c r="O1717" s="535"/>
      <c r="P1717" s="731" t="str">
        <f>'DICTIONARY-3'!$A$149</f>
        <v>CEREX 300-W</v>
      </c>
      <c r="Q1717" s="732" t="str">
        <f>'DICTIONARY-3'!$A$204</f>
        <v>Przepustnica kołnierzowa</v>
      </c>
      <c r="R1717" s="732" t="str">
        <f>CONCATENATE('DICTIONARY-3'!$A$149," ",'DICTIONARY-6'!$A$2," ",UPPER('DICTIONARY-5'!$A$18)," ",'DICTIONARY-2'!$A$2,"50"," ",'DICTIONARY-2'!$A$3,"10/16"," ","R20"," ",'DICTIONARY-5'!$A$51,"/",'DICTIONARY-5'!$A$45,", ",'DICTIONARY-4'!$A$8," 232-05")</f>
        <v>CEREX 300-W Przep. kołnierz. GAZ DN50 PN10/16 R20 GGG/NBR, PK 232-05</v>
      </c>
      <c r="S1717" s="733" t="str">
        <f>'DICTIONARY-4'!$A$8</f>
        <v>PK</v>
      </c>
      <c r="T1717" s="732" t="str">
        <f>'DICTIONARY-4'!$A$24</f>
        <v>Przekładnia z kółkiem</v>
      </c>
      <c r="U1717" s="734" t="s">
        <v>5748</v>
      </c>
      <c r="V1717" s="735">
        <v>16</v>
      </c>
      <c r="W1717" s="736"/>
      <c r="X1717" s="737"/>
      <c r="Y1717" s="738"/>
      <c r="Z1717" s="739"/>
      <c r="AA1717" s="739"/>
      <c r="AB1717" s="740">
        <v>16</v>
      </c>
      <c r="AC1717" s="741" t="str">
        <f>'DICTIONARY-5'!$A$11&amp;" 20"</f>
        <v>EN 558 szereg 20</v>
      </c>
      <c r="AD1717" s="733" t="str">
        <f>'DICTIONARY-5'!$A$18&amp;", "&amp;'DICTIONARY-5'!$A$14</f>
        <v>gaz, ścieki</v>
      </c>
      <c r="AE1717" s="742">
        <v>80</v>
      </c>
      <c r="AF1717" s="743">
        <v>3.5</v>
      </c>
      <c r="AG1717" s="741" t="str">
        <f>'DICTIONARY-5'!$A$23</f>
        <v>powłoka epoksydowa</v>
      </c>
    </row>
    <row r="1718" spans="1:33" x14ac:dyDescent="0.25">
      <c r="A1718" s="869" t="s">
        <v>1803</v>
      </c>
      <c r="B1718" s="869" t="s">
        <v>3753</v>
      </c>
      <c r="C1718" s="836">
        <v>244</v>
      </c>
      <c r="D1718" s="836"/>
      <c r="E1718" s="836"/>
      <c r="F1718" s="836"/>
      <c r="G1718" s="496" t="s">
        <v>7832</v>
      </c>
      <c r="H1718" s="797" t="str">
        <f>VLOOKUP(G1718,SETTINGS!$B$7:$D$97,2,0)</f>
        <v>CEREX 300</v>
      </c>
      <c r="I1718" s="796">
        <f>VLOOKUP(G1718,SETTINGS!$B$7:$D$97,3,0)</f>
        <v>0</v>
      </c>
      <c r="J1718" s="670" t="str">
        <f>IFERROR(IF(CURRENCY.FORMAT_1=0,CONCATENATE(TEXT(FIXED(ROUND((C1718/EXC.RATE_1),CURRENCY.FORMAT_1),CURRENCY.FORMAT_1,1),"# ##0;-# ##0"),",-"),FIXED(ROUND((C1718/EXC.RATE_1),CURRENCY.FORMAT_1),CURRENCY.FORMAT_1,0)),'DICTIONARY-5'!$A$2)</f>
        <v>244,-</v>
      </c>
      <c r="K1718" s="670" t="str">
        <f>IF(EXC.RATE_2=0,"",IFERROR(IF(CURRENCY.FORMAT_2=0,CONCATENATE(TEXT(FIXED(ROUND(IF(EXC.RATE.SWITCH=1,C1718/EXC.RATE_2,C1718*EXC.RATE_2),CURRENCY.FORMAT_2),CURRENCY.FORMAT_2,1),"# ##0;-# ##0"),",-"),FIXED(ROUND(IF(EXC.RATE.SWITCH=1,C1718/EXC.RATE_2,C1718*EXC.RATE_2),CURRENCY.FORMAT_2),CURRENCY.FORMAT_2,0)),'DICTIONARY-5'!$A$2))</f>
        <v/>
      </c>
      <c r="L1718" s="670" t="str">
        <f>IFERROR(IF(CURRENCY.FORMAT_1=0,CONCATENATE(TEXT(FIXED(ROUND((C1718*(1-I1718)*(1-ADD.DISCOUNT)*(1+MAT.SURCHARGE)/EXC.RATE_1),CURRENCY.FORMAT_1),CURRENCY.FORMAT_1,1),"# ##0;-# ##0"),",-"),FIXED(ROUND((C1718*(1-I1718)*(1-ADD.DISCOUNT)*(1+MAT.SURCHARGE)/EXC.RATE_1),CURRENCY.FORMAT_1),CURRENCY.FORMAT_1,0)),'DICTIONARY-5'!$A$2)</f>
        <v>254,-</v>
      </c>
      <c r="M1718" s="670" t="str">
        <f>IF(EXC.RATE_2=0,"",IFERROR(IF(CURRENCY.FORMAT_2=0,CONCATENATE(TEXT(FIXED(ROUND(IF(EXC.RATE.SWITCH=1,C1718*(1-I1718)*(1-ADD.DISCOUNT)*(1+MAT.SURCHARGE)/EXC.RATE_2,C1718*(1-I1718)*(1-ADD.DISCOUNT)*(1+MAT.SURCHARGE)*EXC.RATE_2),CURRENCY.FORMAT_2),CURRENCY.FORMAT_2,1),"# ##0;-# ##0"),",-"),FIXED(ROUND(IF(EXC.RATE.SWITCH=1,C1718*(1-I1718)*(1-ADD.DISCOUNT)*(1+MAT.SURCHARGE)/EXC.RATE_2,C1718*(1-I1718)*(1-ADD.DISCOUNT)*(1+MAT.SURCHARGE)*EXC.RATE_2),CURRENCY.FORMAT_2),CURRENCY.FORMAT_2,0)),'DICTIONARY-5'!$A$2))</f>
        <v/>
      </c>
      <c r="N1718" s="535">
        <v>6</v>
      </c>
      <c r="O1718" s="535"/>
      <c r="P1718" s="731" t="str">
        <f>'DICTIONARY-3'!$A$149</f>
        <v>CEREX 300-W</v>
      </c>
      <c r="Q1718" s="732" t="str">
        <f>'DICTIONARY-3'!$A$204</f>
        <v>Przepustnica kołnierzowa</v>
      </c>
      <c r="R1718" s="732" t="str">
        <f>CONCATENATE('DICTIONARY-3'!$A$149," ",'DICTIONARY-6'!$A$2," ",UPPER('DICTIONARY-5'!$A$18)," ",'DICTIONARY-2'!$A$2,"65"," ",'DICTIONARY-2'!$A$3,"10/16"," ","R20"," ",'DICTIONARY-5'!$A$51,"/",'DICTIONARY-5'!$A$45,", ",'DICTIONARY-4'!$A$8," 232-05")</f>
        <v>CEREX 300-W Przep. kołnierz. GAZ DN65 PN10/16 R20 GGG/NBR, PK 232-05</v>
      </c>
      <c r="S1718" s="733" t="str">
        <f>'DICTIONARY-4'!$A$8</f>
        <v>PK</v>
      </c>
      <c r="T1718" s="732" t="str">
        <f>'DICTIONARY-4'!$A$24</f>
        <v>Przekładnia z kółkiem</v>
      </c>
      <c r="U1718" s="734" t="s">
        <v>5759</v>
      </c>
      <c r="V1718" s="735">
        <v>16</v>
      </c>
      <c r="W1718" s="736"/>
      <c r="X1718" s="737"/>
      <c r="Y1718" s="738"/>
      <c r="Z1718" s="739"/>
      <c r="AA1718" s="739"/>
      <c r="AB1718" s="740">
        <v>16</v>
      </c>
      <c r="AC1718" s="741" t="str">
        <f>'DICTIONARY-5'!$A$11&amp;" 20"</f>
        <v>EN 558 szereg 20</v>
      </c>
      <c r="AD1718" s="733" t="str">
        <f>'DICTIONARY-5'!$A$18&amp;", "&amp;'DICTIONARY-5'!$A$14</f>
        <v>gaz, ścieki</v>
      </c>
      <c r="AE1718" s="742">
        <v>80</v>
      </c>
      <c r="AF1718" s="743">
        <v>4.5</v>
      </c>
      <c r="AG1718" s="741" t="str">
        <f>'DICTIONARY-5'!$A$23</f>
        <v>powłoka epoksydowa</v>
      </c>
    </row>
    <row r="1719" spans="1:33" x14ac:dyDescent="0.25">
      <c r="A1719" s="869" t="s">
        <v>1805</v>
      </c>
      <c r="B1719" s="869" t="s">
        <v>3760</v>
      </c>
      <c r="C1719" s="836">
        <v>250</v>
      </c>
      <c r="D1719" s="836"/>
      <c r="E1719" s="836"/>
      <c r="F1719" s="836"/>
      <c r="G1719" s="496" t="s">
        <v>7832</v>
      </c>
      <c r="H1719" s="797" t="str">
        <f>VLOOKUP(G1719,SETTINGS!$B$7:$D$97,2,0)</f>
        <v>CEREX 300</v>
      </c>
      <c r="I1719" s="796">
        <f>VLOOKUP(G1719,SETTINGS!$B$7:$D$97,3,0)</f>
        <v>0</v>
      </c>
      <c r="J1719" s="670" t="str">
        <f>IFERROR(IF(CURRENCY.FORMAT_1=0,CONCATENATE(TEXT(FIXED(ROUND((C1719/EXC.RATE_1),CURRENCY.FORMAT_1),CURRENCY.FORMAT_1,1),"# ##0;-# ##0"),",-"),FIXED(ROUND((C1719/EXC.RATE_1),CURRENCY.FORMAT_1),CURRENCY.FORMAT_1,0)),'DICTIONARY-5'!$A$2)</f>
        <v>250,-</v>
      </c>
      <c r="K1719" s="670" t="str">
        <f>IF(EXC.RATE_2=0,"",IFERROR(IF(CURRENCY.FORMAT_2=0,CONCATENATE(TEXT(FIXED(ROUND(IF(EXC.RATE.SWITCH=1,C1719/EXC.RATE_2,C1719*EXC.RATE_2),CURRENCY.FORMAT_2),CURRENCY.FORMAT_2,1),"# ##0;-# ##0"),",-"),FIXED(ROUND(IF(EXC.RATE.SWITCH=1,C1719/EXC.RATE_2,C1719*EXC.RATE_2),CURRENCY.FORMAT_2),CURRENCY.FORMAT_2,0)),'DICTIONARY-5'!$A$2))</f>
        <v/>
      </c>
      <c r="L1719" s="670" t="str">
        <f>IFERROR(IF(CURRENCY.FORMAT_1=0,CONCATENATE(TEXT(FIXED(ROUND((C1719*(1-I1719)*(1-ADD.DISCOUNT)*(1+MAT.SURCHARGE)/EXC.RATE_1),CURRENCY.FORMAT_1),CURRENCY.FORMAT_1,1),"# ##0;-# ##0"),",-"),FIXED(ROUND((C1719*(1-I1719)*(1-ADD.DISCOUNT)*(1+MAT.SURCHARGE)/EXC.RATE_1),CURRENCY.FORMAT_1),CURRENCY.FORMAT_1,0)),'DICTIONARY-5'!$A$2)</f>
        <v>260,-</v>
      </c>
      <c r="M1719" s="670" t="str">
        <f>IF(EXC.RATE_2=0,"",IFERROR(IF(CURRENCY.FORMAT_2=0,CONCATENATE(TEXT(FIXED(ROUND(IF(EXC.RATE.SWITCH=1,C1719*(1-I1719)*(1-ADD.DISCOUNT)*(1+MAT.SURCHARGE)/EXC.RATE_2,C1719*(1-I1719)*(1-ADD.DISCOUNT)*(1+MAT.SURCHARGE)*EXC.RATE_2),CURRENCY.FORMAT_2),CURRENCY.FORMAT_2,1),"# ##0;-# ##0"),",-"),FIXED(ROUND(IF(EXC.RATE.SWITCH=1,C1719*(1-I1719)*(1-ADD.DISCOUNT)*(1+MAT.SURCHARGE)/EXC.RATE_2,C1719*(1-I1719)*(1-ADD.DISCOUNT)*(1+MAT.SURCHARGE)*EXC.RATE_2),CURRENCY.FORMAT_2),CURRENCY.FORMAT_2,0)),'DICTIONARY-5'!$A$2))</f>
        <v/>
      </c>
      <c r="N1719" s="535">
        <v>6</v>
      </c>
      <c r="O1719" s="535"/>
      <c r="P1719" s="731" t="str">
        <f>'DICTIONARY-3'!$A$149</f>
        <v>CEREX 300-W</v>
      </c>
      <c r="Q1719" s="732" t="str">
        <f>'DICTIONARY-3'!$A$204</f>
        <v>Przepustnica kołnierzowa</v>
      </c>
      <c r="R1719" s="732" t="str">
        <f>CONCATENATE('DICTIONARY-3'!$A$149," ",'DICTIONARY-6'!$A$2," ",UPPER('DICTIONARY-5'!$A$18)," ",'DICTIONARY-2'!$A$2,"80"," ",'DICTIONARY-2'!$A$3,"10/16"," ","R20"," ",'DICTIONARY-5'!$A$51,"/",'DICTIONARY-5'!$A$45,", ",'DICTIONARY-4'!$A$8," 232-05")</f>
        <v>CEREX 300-W Przep. kołnierz. GAZ DN80 PN10/16 R20 GGG/NBR, PK 232-05</v>
      </c>
      <c r="S1719" s="733" t="str">
        <f>'DICTIONARY-4'!$A$8</f>
        <v>PK</v>
      </c>
      <c r="T1719" s="732" t="str">
        <f>'DICTIONARY-4'!$A$24</f>
        <v>Przekładnia z kółkiem</v>
      </c>
      <c r="U1719" s="734" t="s">
        <v>5760</v>
      </c>
      <c r="V1719" s="735">
        <v>16</v>
      </c>
      <c r="W1719" s="736"/>
      <c r="X1719" s="737"/>
      <c r="Y1719" s="738"/>
      <c r="Z1719" s="739"/>
      <c r="AA1719" s="739"/>
      <c r="AB1719" s="740">
        <v>16</v>
      </c>
      <c r="AC1719" s="741" t="str">
        <f>'DICTIONARY-5'!$A$11&amp;" 20"</f>
        <v>EN 558 szereg 20</v>
      </c>
      <c r="AD1719" s="733" t="str">
        <f>'DICTIONARY-5'!$A$18&amp;", "&amp;'DICTIONARY-5'!$A$14</f>
        <v>gaz, ścieki</v>
      </c>
      <c r="AE1719" s="742">
        <v>80</v>
      </c>
      <c r="AF1719" s="743">
        <v>4.5</v>
      </c>
      <c r="AG1719" s="741" t="str">
        <f>'DICTIONARY-5'!$A$23</f>
        <v>powłoka epoksydowa</v>
      </c>
    </row>
    <row r="1720" spans="1:33" x14ac:dyDescent="0.25">
      <c r="A1720" s="869" t="s">
        <v>1807</v>
      </c>
      <c r="B1720" s="869" t="s">
        <v>3767</v>
      </c>
      <c r="C1720" s="836">
        <v>294</v>
      </c>
      <c r="D1720" s="836"/>
      <c r="E1720" s="836"/>
      <c r="F1720" s="836"/>
      <c r="G1720" s="496" t="s">
        <v>7832</v>
      </c>
      <c r="H1720" s="797" t="str">
        <f>VLOOKUP(G1720,SETTINGS!$B$7:$D$97,2,0)</f>
        <v>CEREX 300</v>
      </c>
      <c r="I1720" s="796">
        <f>VLOOKUP(G1720,SETTINGS!$B$7:$D$97,3,0)</f>
        <v>0</v>
      </c>
      <c r="J1720" s="670" t="str">
        <f>IFERROR(IF(CURRENCY.FORMAT_1=0,CONCATENATE(TEXT(FIXED(ROUND((C1720/EXC.RATE_1),CURRENCY.FORMAT_1),CURRENCY.FORMAT_1,1),"# ##0;-# ##0"),",-"),FIXED(ROUND((C1720/EXC.RATE_1),CURRENCY.FORMAT_1),CURRENCY.FORMAT_1,0)),'DICTIONARY-5'!$A$2)</f>
        <v>294,-</v>
      </c>
      <c r="K1720" s="670" t="str">
        <f>IF(EXC.RATE_2=0,"",IFERROR(IF(CURRENCY.FORMAT_2=0,CONCATENATE(TEXT(FIXED(ROUND(IF(EXC.RATE.SWITCH=1,C1720/EXC.RATE_2,C1720*EXC.RATE_2),CURRENCY.FORMAT_2),CURRENCY.FORMAT_2,1),"# ##0;-# ##0"),",-"),FIXED(ROUND(IF(EXC.RATE.SWITCH=1,C1720/EXC.RATE_2,C1720*EXC.RATE_2),CURRENCY.FORMAT_2),CURRENCY.FORMAT_2,0)),'DICTIONARY-5'!$A$2))</f>
        <v/>
      </c>
      <c r="L1720" s="670" t="str">
        <f>IFERROR(IF(CURRENCY.FORMAT_1=0,CONCATENATE(TEXT(FIXED(ROUND((C1720*(1-I1720)*(1-ADD.DISCOUNT)*(1+MAT.SURCHARGE)/EXC.RATE_1),CURRENCY.FORMAT_1),CURRENCY.FORMAT_1,1),"# ##0;-# ##0"),",-"),FIXED(ROUND((C1720*(1-I1720)*(1-ADD.DISCOUNT)*(1+MAT.SURCHARGE)/EXC.RATE_1),CURRENCY.FORMAT_1),CURRENCY.FORMAT_1,0)),'DICTIONARY-5'!$A$2)</f>
        <v>305,-</v>
      </c>
      <c r="M1720" s="670" t="str">
        <f>IF(EXC.RATE_2=0,"",IFERROR(IF(CURRENCY.FORMAT_2=0,CONCATENATE(TEXT(FIXED(ROUND(IF(EXC.RATE.SWITCH=1,C1720*(1-I1720)*(1-ADD.DISCOUNT)*(1+MAT.SURCHARGE)/EXC.RATE_2,C1720*(1-I1720)*(1-ADD.DISCOUNT)*(1+MAT.SURCHARGE)*EXC.RATE_2),CURRENCY.FORMAT_2),CURRENCY.FORMAT_2,1),"# ##0;-# ##0"),",-"),FIXED(ROUND(IF(EXC.RATE.SWITCH=1,C1720*(1-I1720)*(1-ADD.DISCOUNT)*(1+MAT.SURCHARGE)/EXC.RATE_2,C1720*(1-I1720)*(1-ADD.DISCOUNT)*(1+MAT.SURCHARGE)*EXC.RATE_2),CURRENCY.FORMAT_2),CURRENCY.FORMAT_2,0)),'DICTIONARY-5'!$A$2))</f>
        <v/>
      </c>
      <c r="N1720" s="535">
        <v>6</v>
      </c>
      <c r="O1720" s="535"/>
      <c r="P1720" s="731" t="str">
        <f>'DICTIONARY-3'!$A$149</f>
        <v>CEREX 300-W</v>
      </c>
      <c r="Q1720" s="732" t="str">
        <f>'DICTIONARY-3'!$A$204</f>
        <v>Przepustnica kołnierzowa</v>
      </c>
      <c r="R1720" s="732" t="str">
        <f>CONCATENATE('DICTIONARY-3'!$A$149," ",'DICTIONARY-6'!$A$2," ",UPPER('DICTIONARY-5'!$A$18)," ",'DICTIONARY-2'!$A$2,"100"," ",'DICTIONARY-2'!$A$3,"10/16"," ","R20"," ",'DICTIONARY-5'!$A$51,"/",'DICTIONARY-5'!$A$45,", ",'DICTIONARY-4'!$A$8," 232-05")</f>
        <v>CEREX 300-W Przep. kołnierz. GAZ DN100 PN10/16 R20 GGG/NBR, PK 232-05</v>
      </c>
      <c r="S1720" s="733" t="str">
        <f>'DICTIONARY-4'!$A$8</f>
        <v>PK</v>
      </c>
      <c r="T1720" s="732" t="str">
        <f>'DICTIONARY-4'!$A$24</f>
        <v>Przekładnia z kółkiem</v>
      </c>
      <c r="U1720" s="734" t="s">
        <v>5749</v>
      </c>
      <c r="V1720" s="735">
        <v>16</v>
      </c>
      <c r="W1720" s="736"/>
      <c r="X1720" s="737"/>
      <c r="Y1720" s="738"/>
      <c r="Z1720" s="739"/>
      <c r="AA1720" s="739"/>
      <c r="AB1720" s="740">
        <v>16</v>
      </c>
      <c r="AC1720" s="741" t="str">
        <f>'DICTIONARY-5'!$A$11&amp;" 20"</f>
        <v>EN 558 szereg 20</v>
      </c>
      <c r="AD1720" s="733" t="str">
        <f>'DICTIONARY-5'!$A$18&amp;", "&amp;'DICTIONARY-5'!$A$14</f>
        <v>gaz, ścieki</v>
      </c>
      <c r="AE1720" s="742">
        <v>80</v>
      </c>
      <c r="AF1720" s="743">
        <v>6.5</v>
      </c>
      <c r="AG1720" s="741" t="str">
        <f>'DICTIONARY-5'!$A$23</f>
        <v>powłoka epoksydowa</v>
      </c>
    </row>
    <row r="1721" spans="1:33" x14ac:dyDescent="0.25">
      <c r="A1721" s="869" t="s">
        <v>1809</v>
      </c>
      <c r="B1721" s="869" t="s">
        <v>3774</v>
      </c>
      <c r="C1721" s="836">
        <v>321</v>
      </c>
      <c r="D1721" s="836"/>
      <c r="E1721" s="836"/>
      <c r="F1721" s="836"/>
      <c r="G1721" s="496" t="s">
        <v>7832</v>
      </c>
      <c r="H1721" s="797" t="str">
        <f>VLOOKUP(G1721,SETTINGS!$B$7:$D$97,2,0)</f>
        <v>CEREX 300</v>
      </c>
      <c r="I1721" s="796">
        <f>VLOOKUP(G1721,SETTINGS!$B$7:$D$97,3,0)</f>
        <v>0</v>
      </c>
      <c r="J1721" s="670" t="str">
        <f>IFERROR(IF(CURRENCY.FORMAT_1=0,CONCATENATE(TEXT(FIXED(ROUND((C1721/EXC.RATE_1),CURRENCY.FORMAT_1),CURRENCY.FORMAT_1,1),"# ##0;-# ##0"),",-"),FIXED(ROUND((C1721/EXC.RATE_1),CURRENCY.FORMAT_1),CURRENCY.FORMAT_1,0)),'DICTIONARY-5'!$A$2)</f>
        <v>321,-</v>
      </c>
      <c r="K1721" s="670" t="str">
        <f>IF(EXC.RATE_2=0,"",IFERROR(IF(CURRENCY.FORMAT_2=0,CONCATENATE(TEXT(FIXED(ROUND(IF(EXC.RATE.SWITCH=1,C1721/EXC.RATE_2,C1721*EXC.RATE_2),CURRENCY.FORMAT_2),CURRENCY.FORMAT_2,1),"# ##0;-# ##0"),",-"),FIXED(ROUND(IF(EXC.RATE.SWITCH=1,C1721/EXC.RATE_2,C1721*EXC.RATE_2),CURRENCY.FORMAT_2),CURRENCY.FORMAT_2,0)),'DICTIONARY-5'!$A$2))</f>
        <v/>
      </c>
      <c r="L1721" s="670" t="str">
        <f>IFERROR(IF(CURRENCY.FORMAT_1=0,CONCATENATE(TEXT(FIXED(ROUND((C1721*(1-I1721)*(1-ADD.DISCOUNT)*(1+MAT.SURCHARGE)/EXC.RATE_1),CURRENCY.FORMAT_1),CURRENCY.FORMAT_1,1),"# ##0;-# ##0"),",-"),FIXED(ROUND((C1721*(1-I1721)*(1-ADD.DISCOUNT)*(1+MAT.SURCHARGE)/EXC.RATE_1),CURRENCY.FORMAT_1),CURRENCY.FORMAT_1,0)),'DICTIONARY-5'!$A$2)</f>
        <v>334,-</v>
      </c>
      <c r="M1721" s="670" t="str">
        <f>IF(EXC.RATE_2=0,"",IFERROR(IF(CURRENCY.FORMAT_2=0,CONCATENATE(TEXT(FIXED(ROUND(IF(EXC.RATE.SWITCH=1,C1721*(1-I1721)*(1-ADD.DISCOUNT)*(1+MAT.SURCHARGE)/EXC.RATE_2,C1721*(1-I1721)*(1-ADD.DISCOUNT)*(1+MAT.SURCHARGE)*EXC.RATE_2),CURRENCY.FORMAT_2),CURRENCY.FORMAT_2,1),"# ##0;-# ##0"),",-"),FIXED(ROUND(IF(EXC.RATE.SWITCH=1,C1721*(1-I1721)*(1-ADD.DISCOUNT)*(1+MAT.SURCHARGE)/EXC.RATE_2,C1721*(1-I1721)*(1-ADD.DISCOUNT)*(1+MAT.SURCHARGE)*EXC.RATE_2),CURRENCY.FORMAT_2),CURRENCY.FORMAT_2,0)),'DICTIONARY-5'!$A$2))</f>
        <v/>
      </c>
      <c r="N1721" s="535">
        <v>6</v>
      </c>
      <c r="O1721" s="535"/>
      <c r="P1721" s="731" t="str">
        <f>'DICTIONARY-3'!$A$149</f>
        <v>CEREX 300-W</v>
      </c>
      <c r="Q1721" s="732" t="str">
        <f>'DICTIONARY-3'!$A$204</f>
        <v>Przepustnica kołnierzowa</v>
      </c>
      <c r="R1721" s="732" t="str">
        <f>CONCATENATE('DICTIONARY-3'!$A$149," ",'DICTIONARY-6'!$A$2," ",UPPER('DICTIONARY-5'!$A$18)," ",'DICTIONARY-2'!$A$2,"125"," ",'DICTIONARY-2'!$A$3,"10/16"," ","R20"," ",'DICTIONARY-5'!$A$51,"/",'DICTIONARY-5'!$A$45,", ",'DICTIONARY-4'!$A$8," 232-05")</f>
        <v>CEREX 300-W Przep. kołnierz. GAZ DN125 PN10/16 R20 GGG/NBR, PK 232-05</v>
      </c>
      <c r="S1721" s="733" t="str">
        <f>'DICTIONARY-4'!$A$8</f>
        <v>PK</v>
      </c>
      <c r="T1721" s="732" t="str">
        <f>'DICTIONARY-4'!$A$24</f>
        <v>Przekładnia z kółkiem</v>
      </c>
      <c r="U1721" s="734" t="s">
        <v>5761</v>
      </c>
      <c r="V1721" s="735">
        <v>16</v>
      </c>
      <c r="W1721" s="736"/>
      <c r="X1721" s="737"/>
      <c r="Y1721" s="738"/>
      <c r="Z1721" s="739"/>
      <c r="AA1721" s="739"/>
      <c r="AB1721" s="740">
        <v>16</v>
      </c>
      <c r="AC1721" s="741" t="str">
        <f>'DICTIONARY-5'!$A$11&amp;" 20"</f>
        <v>EN 558 szereg 20</v>
      </c>
      <c r="AD1721" s="733" t="str">
        <f>'DICTIONARY-5'!$A$18&amp;", "&amp;'DICTIONARY-5'!$A$14</f>
        <v>gaz, ścieki</v>
      </c>
      <c r="AE1721" s="742">
        <v>80</v>
      </c>
      <c r="AF1721" s="743">
        <v>8.5</v>
      </c>
      <c r="AG1721" s="741" t="str">
        <f>'DICTIONARY-5'!$A$23</f>
        <v>powłoka epoksydowa</v>
      </c>
    </row>
    <row r="1722" spans="1:33" x14ac:dyDescent="0.25">
      <c r="A1722" s="869" t="s">
        <v>1811</v>
      </c>
      <c r="B1722" s="869" t="s">
        <v>3781</v>
      </c>
      <c r="C1722" s="836">
        <v>422</v>
      </c>
      <c r="D1722" s="836"/>
      <c r="E1722" s="836"/>
      <c r="F1722" s="836"/>
      <c r="G1722" s="496" t="s">
        <v>7832</v>
      </c>
      <c r="H1722" s="797" t="str">
        <f>VLOOKUP(G1722,SETTINGS!$B$7:$D$97,2,0)</f>
        <v>CEREX 300</v>
      </c>
      <c r="I1722" s="796">
        <f>VLOOKUP(G1722,SETTINGS!$B$7:$D$97,3,0)</f>
        <v>0</v>
      </c>
      <c r="J1722" s="670" t="str">
        <f>IFERROR(IF(CURRENCY.FORMAT_1=0,CONCATENATE(TEXT(FIXED(ROUND((C1722/EXC.RATE_1),CURRENCY.FORMAT_1),CURRENCY.FORMAT_1,1),"# ##0;-# ##0"),",-"),FIXED(ROUND((C1722/EXC.RATE_1),CURRENCY.FORMAT_1),CURRENCY.FORMAT_1,0)),'DICTIONARY-5'!$A$2)</f>
        <v>422,-</v>
      </c>
      <c r="K1722" s="670" t="str">
        <f>IF(EXC.RATE_2=0,"",IFERROR(IF(CURRENCY.FORMAT_2=0,CONCATENATE(TEXT(FIXED(ROUND(IF(EXC.RATE.SWITCH=1,C1722/EXC.RATE_2,C1722*EXC.RATE_2),CURRENCY.FORMAT_2),CURRENCY.FORMAT_2,1),"# ##0;-# ##0"),",-"),FIXED(ROUND(IF(EXC.RATE.SWITCH=1,C1722/EXC.RATE_2,C1722*EXC.RATE_2),CURRENCY.FORMAT_2),CURRENCY.FORMAT_2,0)),'DICTIONARY-5'!$A$2))</f>
        <v/>
      </c>
      <c r="L1722" s="670" t="str">
        <f>IFERROR(IF(CURRENCY.FORMAT_1=0,CONCATENATE(TEXT(FIXED(ROUND((C1722*(1-I1722)*(1-ADD.DISCOUNT)*(1+MAT.SURCHARGE)/EXC.RATE_1),CURRENCY.FORMAT_1),CURRENCY.FORMAT_1,1),"# ##0;-# ##0"),",-"),FIXED(ROUND((C1722*(1-I1722)*(1-ADD.DISCOUNT)*(1+MAT.SURCHARGE)/EXC.RATE_1),CURRENCY.FORMAT_1),CURRENCY.FORMAT_1,0)),'DICTIONARY-5'!$A$2)</f>
        <v>438,-</v>
      </c>
      <c r="M1722" s="670" t="str">
        <f>IF(EXC.RATE_2=0,"",IFERROR(IF(CURRENCY.FORMAT_2=0,CONCATENATE(TEXT(FIXED(ROUND(IF(EXC.RATE.SWITCH=1,C1722*(1-I1722)*(1-ADD.DISCOUNT)*(1+MAT.SURCHARGE)/EXC.RATE_2,C1722*(1-I1722)*(1-ADD.DISCOUNT)*(1+MAT.SURCHARGE)*EXC.RATE_2),CURRENCY.FORMAT_2),CURRENCY.FORMAT_2,1),"# ##0;-# ##0"),",-"),FIXED(ROUND(IF(EXC.RATE.SWITCH=1,C1722*(1-I1722)*(1-ADD.DISCOUNT)*(1+MAT.SURCHARGE)/EXC.RATE_2,C1722*(1-I1722)*(1-ADD.DISCOUNT)*(1+MAT.SURCHARGE)*EXC.RATE_2),CURRENCY.FORMAT_2),CURRENCY.FORMAT_2,0)),'DICTIONARY-5'!$A$2))</f>
        <v/>
      </c>
      <c r="N1722" s="535">
        <v>6</v>
      </c>
      <c r="O1722" s="535"/>
      <c r="P1722" s="731" t="str">
        <f>'DICTIONARY-3'!$A$149</f>
        <v>CEREX 300-W</v>
      </c>
      <c r="Q1722" s="732" t="str">
        <f>'DICTIONARY-3'!$A$204</f>
        <v>Przepustnica kołnierzowa</v>
      </c>
      <c r="R1722" s="732" t="str">
        <f>CONCATENATE('DICTIONARY-3'!$A$149," ",'DICTIONARY-6'!$A$2," ",UPPER('DICTIONARY-5'!$A$18)," ",'DICTIONARY-2'!$A$2,"150"," ",'DICTIONARY-2'!$A$3,"10/16"," ","R20"," ",'DICTIONARY-5'!$A$51,"/",'DICTIONARY-5'!$A$45,", ",'DICTIONARY-4'!$A$8," 232-06")</f>
        <v>CEREX 300-W Przep. kołnierz. GAZ DN150 PN10/16 R20 GGG/NBR, PK 232-06</v>
      </c>
      <c r="S1722" s="733" t="str">
        <f>'DICTIONARY-4'!$A$8</f>
        <v>PK</v>
      </c>
      <c r="T1722" s="732" t="str">
        <f>'DICTIONARY-4'!$A$24</f>
        <v>Przekładnia z kółkiem</v>
      </c>
      <c r="U1722" s="734" t="s">
        <v>5572</v>
      </c>
      <c r="V1722" s="735">
        <v>16</v>
      </c>
      <c r="W1722" s="736"/>
      <c r="X1722" s="737"/>
      <c r="Y1722" s="738"/>
      <c r="Z1722" s="739"/>
      <c r="AA1722" s="739"/>
      <c r="AB1722" s="740">
        <v>16</v>
      </c>
      <c r="AC1722" s="741" t="str">
        <f>'DICTIONARY-5'!$A$11&amp;" 20"</f>
        <v>EN 558 szereg 20</v>
      </c>
      <c r="AD1722" s="733" t="str">
        <f>'DICTIONARY-5'!$A$18&amp;", "&amp;'DICTIONARY-5'!$A$14</f>
        <v>gaz, ścieki</v>
      </c>
      <c r="AE1722" s="742">
        <v>80</v>
      </c>
      <c r="AF1722" s="743">
        <v>11.5</v>
      </c>
      <c r="AG1722" s="741" t="str">
        <f>'DICTIONARY-5'!$A$23</f>
        <v>powłoka epoksydowa</v>
      </c>
    </row>
    <row r="1723" spans="1:33" x14ac:dyDescent="0.25">
      <c r="A1723" s="869" t="s">
        <v>1813</v>
      </c>
      <c r="B1723" s="869" t="s">
        <v>3788</v>
      </c>
      <c r="C1723" s="836">
        <v>564</v>
      </c>
      <c r="D1723" s="836"/>
      <c r="E1723" s="836"/>
      <c r="F1723" s="836"/>
      <c r="G1723" s="496" t="s">
        <v>7832</v>
      </c>
      <c r="H1723" s="797" t="str">
        <f>VLOOKUP(G1723,SETTINGS!$B$7:$D$97,2,0)</f>
        <v>CEREX 300</v>
      </c>
      <c r="I1723" s="796">
        <f>VLOOKUP(G1723,SETTINGS!$B$7:$D$97,3,0)</f>
        <v>0</v>
      </c>
      <c r="J1723" s="670" t="str">
        <f>IFERROR(IF(CURRENCY.FORMAT_1=0,CONCATENATE(TEXT(FIXED(ROUND((C1723/EXC.RATE_1),CURRENCY.FORMAT_1),CURRENCY.FORMAT_1,1),"# ##0;-# ##0"),",-"),FIXED(ROUND((C1723/EXC.RATE_1),CURRENCY.FORMAT_1),CURRENCY.FORMAT_1,0)),'DICTIONARY-5'!$A$2)</f>
        <v>564,-</v>
      </c>
      <c r="K1723" s="670" t="str">
        <f>IF(EXC.RATE_2=0,"",IFERROR(IF(CURRENCY.FORMAT_2=0,CONCATENATE(TEXT(FIXED(ROUND(IF(EXC.RATE.SWITCH=1,C1723/EXC.RATE_2,C1723*EXC.RATE_2),CURRENCY.FORMAT_2),CURRENCY.FORMAT_2,1),"# ##0;-# ##0"),",-"),FIXED(ROUND(IF(EXC.RATE.SWITCH=1,C1723/EXC.RATE_2,C1723*EXC.RATE_2),CURRENCY.FORMAT_2),CURRENCY.FORMAT_2,0)),'DICTIONARY-5'!$A$2))</f>
        <v/>
      </c>
      <c r="L1723" s="670" t="str">
        <f>IFERROR(IF(CURRENCY.FORMAT_1=0,CONCATENATE(TEXT(FIXED(ROUND((C1723*(1-I1723)*(1-ADD.DISCOUNT)*(1+MAT.SURCHARGE)/EXC.RATE_1),CURRENCY.FORMAT_1),CURRENCY.FORMAT_1,1),"# ##0;-# ##0"),",-"),FIXED(ROUND((C1723*(1-I1723)*(1-ADD.DISCOUNT)*(1+MAT.SURCHARGE)/EXC.RATE_1),CURRENCY.FORMAT_1),CURRENCY.FORMAT_1,0)),'DICTIONARY-5'!$A$2)</f>
        <v>586,-</v>
      </c>
      <c r="M1723" s="670" t="str">
        <f>IF(EXC.RATE_2=0,"",IFERROR(IF(CURRENCY.FORMAT_2=0,CONCATENATE(TEXT(FIXED(ROUND(IF(EXC.RATE.SWITCH=1,C1723*(1-I1723)*(1-ADD.DISCOUNT)*(1+MAT.SURCHARGE)/EXC.RATE_2,C1723*(1-I1723)*(1-ADD.DISCOUNT)*(1+MAT.SURCHARGE)*EXC.RATE_2),CURRENCY.FORMAT_2),CURRENCY.FORMAT_2,1),"# ##0;-# ##0"),",-"),FIXED(ROUND(IF(EXC.RATE.SWITCH=1,C1723*(1-I1723)*(1-ADD.DISCOUNT)*(1+MAT.SURCHARGE)/EXC.RATE_2,C1723*(1-I1723)*(1-ADD.DISCOUNT)*(1+MAT.SURCHARGE)*EXC.RATE_2),CURRENCY.FORMAT_2),CURRENCY.FORMAT_2,0)),'DICTIONARY-5'!$A$2))</f>
        <v/>
      </c>
      <c r="N1723" s="535">
        <v>6</v>
      </c>
      <c r="O1723" s="535"/>
      <c r="P1723" s="731" t="str">
        <f>'DICTIONARY-3'!$A$149</f>
        <v>CEREX 300-W</v>
      </c>
      <c r="Q1723" s="732" t="str">
        <f>'DICTIONARY-3'!$A$204</f>
        <v>Przepustnica kołnierzowa</v>
      </c>
      <c r="R1723" s="732" t="str">
        <f>CONCATENATE('DICTIONARY-3'!$A$149," ",'DICTIONARY-6'!$A$2," ",UPPER('DICTIONARY-5'!$A$18)," ",'DICTIONARY-2'!$A$2,"200"," ",'DICTIONARY-2'!$A$3,"10/16"," ","R20"," ",'DICTIONARY-5'!$A$51,"/",'DICTIONARY-5'!$A$45,", ",'DICTIONARY-4'!$A$8," 232-08")</f>
        <v>CEREX 300-W Przep. kołnierz. GAZ DN200 PN10/16 R20 GGG/NBR, PK 232-08</v>
      </c>
      <c r="S1723" s="733" t="str">
        <f>'DICTIONARY-4'!$A$8</f>
        <v>PK</v>
      </c>
      <c r="T1723" s="732" t="str">
        <f>'DICTIONARY-4'!$A$24</f>
        <v>Przekładnia z kółkiem</v>
      </c>
      <c r="U1723" s="734" t="s">
        <v>5750</v>
      </c>
      <c r="V1723" s="735">
        <v>16</v>
      </c>
      <c r="W1723" s="736"/>
      <c r="X1723" s="737"/>
      <c r="Y1723" s="738"/>
      <c r="Z1723" s="739"/>
      <c r="AA1723" s="739"/>
      <c r="AB1723" s="740">
        <v>16</v>
      </c>
      <c r="AC1723" s="741" t="str">
        <f>'DICTIONARY-5'!$A$11&amp;" 20"</f>
        <v>EN 558 szereg 20</v>
      </c>
      <c r="AD1723" s="733" t="str">
        <f>'DICTIONARY-5'!$A$18&amp;", "&amp;'DICTIONARY-5'!$A$14</f>
        <v>gaz, ścieki</v>
      </c>
      <c r="AE1723" s="742">
        <v>80</v>
      </c>
      <c r="AF1723" s="743">
        <v>16</v>
      </c>
      <c r="AG1723" s="741" t="str">
        <f>'DICTIONARY-5'!$A$23</f>
        <v>powłoka epoksydowa</v>
      </c>
    </row>
    <row r="1724" spans="1:33" x14ac:dyDescent="0.25">
      <c r="A1724" s="869" t="s">
        <v>1815</v>
      </c>
      <c r="B1724" s="869" t="s">
        <v>3792</v>
      </c>
      <c r="C1724" s="836">
        <v>585</v>
      </c>
      <c r="D1724" s="836"/>
      <c r="E1724" s="836"/>
      <c r="F1724" s="836"/>
      <c r="G1724" s="496" t="s">
        <v>7832</v>
      </c>
      <c r="H1724" s="797" t="str">
        <f>VLOOKUP(G1724,SETTINGS!$B$7:$D$97,2,0)</f>
        <v>CEREX 300</v>
      </c>
      <c r="I1724" s="796">
        <f>VLOOKUP(G1724,SETTINGS!$B$7:$D$97,3,0)</f>
        <v>0</v>
      </c>
      <c r="J1724" s="670" t="str">
        <f>IFERROR(IF(CURRENCY.FORMAT_1=0,CONCATENATE(TEXT(FIXED(ROUND((C1724/EXC.RATE_1),CURRENCY.FORMAT_1),CURRENCY.FORMAT_1,1),"# ##0;-# ##0"),",-"),FIXED(ROUND((C1724/EXC.RATE_1),CURRENCY.FORMAT_1),CURRENCY.FORMAT_1,0)),'DICTIONARY-5'!$A$2)</f>
        <v>585,-</v>
      </c>
      <c r="K1724" s="670" t="str">
        <f>IF(EXC.RATE_2=0,"",IFERROR(IF(CURRENCY.FORMAT_2=0,CONCATENATE(TEXT(FIXED(ROUND(IF(EXC.RATE.SWITCH=1,C1724/EXC.RATE_2,C1724*EXC.RATE_2),CURRENCY.FORMAT_2),CURRENCY.FORMAT_2,1),"# ##0;-# ##0"),",-"),FIXED(ROUND(IF(EXC.RATE.SWITCH=1,C1724/EXC.RATE_2,C1724*EXC.RATE_2),CURRENCY.FORMAT_2),CURRENCY.FORMAT_2,0)),'DICTIONARY-5'!$A$2))</f>
        <v/>
      </c>
      <c r="L1724" s="670" t="str">
        <f>IFERROR(IF(CURRENCY.FORMAT_1=0,CONCATENATE(TEXT(FIXED(ROUND((C1724*(1-I1724)*(1-ADD.DISCOUNT)*(1+MAT.SURCHARGE)/EXC.RATE_1),CURRENCY.FORMAT_1),CURRENCY.FORMAT_1,1),"# ##0;-# ##0"),",-"),FIXED(ROUND((C1724*(1-I1724)*(1-ADD.DISCOUNT)*(1+MAT.SURCHARGE)/EXC.RATE_1),CURRENCY.FORMAT_1),CURRENCY.FORMAT_1,0)),'DICTIONARY-5'!$A$2)</f>
        <v>608,-</v>
      </c>
      <c r="M1724" s="670" t="str">
        <f>IF(EXC.RATE_2=0,"",IFERROR(IF(CURRENCY.FORMAT_2=0,CONCATENATE(TEXT(FIXED(ROUND(IF(EXC.RATE.SWITCH=1,C1724*(1-I1724)*(1-ADD.DISCOUNT)*(1+MAT.SURCHARGE)/EXC.RATE_2,C1724*(1-I1724)*(1-ADD.DISCOUNT)*(1+MAT.SURCHARGE)*EXC.RATE_2),CURRENCY.FORMAT_2),CURRENCY.FORMAT_2,1),"# ##0;-# ##0"),",-"),FIXED(ROUND(IF(EXC.RATE.SWITCH=1,C1724*(1-I1724)*(1-ADD.DISCOUNT)*(1+MAT.SURCHARGE)/EXC.RATE_2,C1724*(1-I1724)*(1-ADD.DISCOUNT)*(1+MAT.SURCHARGE)*EXC.RATE_2),CURRENCY.FORMAT_2),CURRENCY.FORMAT_2,0)),'DICTIONARY-5'!$A$2))</f>
        <v/>
      </c>
      <c r="N1724" s="535">
        <v>6</v>
      </c>
      <c r="O1724" s="535"/>
      <c r="P1724" s="731" t="str">
        <f>'DICTIONARY-3'!$A$149</f>
        <v>CEREX 300-W</v>
      </c>
      <c r="Q1724" s="732" t="str">
        <f>'DICTIONARY-3'!$A$204</f>
        <v>Przepustnica kołnierzowa</v>
      </c>
      <c r="R1724" s="732" t="str">
        <f>CONCATENATE('DICTIONARY-3'!$A$149," ",'DICTIONARY-6'!$A$2," ",UPPER('DICTIONARY-5'!$A$18)," ",'DICTIONARY-2'!$A$2,"250"," ",'DICTIONARY-2'!$A$3,"10/16"," ","R20"," ",'DICTIONARY-5'!$A$51,"/",'DICTIONARY-5'!$A$45,", ",'DICTIONARY-4'!$A$8," 232-08")</f>
        <v>CEREX 300-W Przep. kołnierz. GAZ DN250 PN10/16 R20 GGG/NBR, PK 232-08</v>
      </c>
      <c r="S1724" s="733" t="str">
        <f>'DICTIONARY-4'!$A$8</f>
        <v>PK</v>
      </c>
      <c r="T1724" s="732" t="str">
        <f>'DICTIONARY-4'!$A$24</f>
        <v>Przekładnia z kółkiem</v>
      </c>
      <c r="U1724" s="734" t="s">
        <v>5751</v>
      </c>
      <c r="V1724" s="735">
        <v>16</v>
      </c>
      <c r="W1724" s="736"/>
      <c r="X1724" s="737"/>
      <c r="Y1724" s="738"/>
      <c r="Z1724" s="739"/>
      <c r="AA1724" s="739"/>
      <c r="AB1724" s="740">
        <v>16</v>
      </c>
      <c r="AC1724" s="741" t="str">
        <f>'DICTIONARY-5'!$A$11&amp;" 20"</f>
        <v>EN 558 szereg 20</v>
      </c>
      <c r="AD1724" s="733" t="str">
        <f>'DICTIONARY-5'!$A$18&amp;", "&amp;'DICTIONARY-5'!$A$14</f>
        <v>gaz, ścieki</v>
      </c>
      <c r="AE1724" s="742">
        <v>80</v>
      </c>
      <c r="AF1724" s="743">
        <v>24</v>
      </c>
      <c r="AG1724" s="741" t="str">
        <f>'DICTIONARY-5'!$A$23</f>
        <v>powłoka epoksydowa</v>
      </c>
    </row>
    <row r="1725" spans="1:33" x14ac:dyDescent="0.25">
      <c r="A1725" s="869" t="s">
        <v>1817</v>
      </c>
      <c r="B1725" s="869" t="s">
        <v>3796</v>
      </c>
      <c r="C1725" s="836">
        <v>825</v>
      </c>
      <c r="D1725" s="836"/>
      <c r="E1725" s="836"/>
      <c r="F1725" s="836"/>
      <c r="G1725" s="496" t="s">
        <v>7832</v>
      </c>
      <c r="H1725" s="797" t="str">
        <f>VLOOKUP(G1725,SETTINGS!$B$7:$D$97,2,0)</f>
        <v>CEREX 300</v>
      </c>
      <c r="I1725" s="796">
        <f>VLOOKUP(G1725,SETTINGS!$B$7:$D$97,3,0)</f>
        <v>0</v>
      </c>
      <c r="J1725" s="670" t="str">
        <f>IFERROR(IF(CURRENCY.FORMAT_1=0,CONCATENATE(TEXT(FIXED(ROUND((C1725/EXC.RATE_1),CURRENCY.FORMAT_1),CURRENCY.FORMAT_1,1),"# ##0;-# ##0"),",-"),FIXED(ROUND((C1725/EXC.RATE_1),CURRENCY.FORMAT_1),CURRENCY.FORMAT_1,0)),'DICTIONARY-5'!$A$2)</f>
        <v>825,-</v>
      </c>
      <c r="K1725" s="670" t="str">
        <f>IF(EXC.RATE_2=0,"",IFERROR(IF(CURRENCY.FORMAT_2=0,CONCATENATE(TEXT(FIXED(ROUND(IF(EXC.RATE.SWITCH=1,C1725/EXC.RATE_2,C1725*EXC.RATE_2),CURRENCY.FORMAT_2),CURRENCY.FORMAT_2,1),"# ##0;-# ##0"),",-"),FIXED(ROUND(IF(EXC.RATE.SWITCH=1,C1725/EXC.RATE_2,C1725*EXC.RATE_2),CURRENCY.FORMAT_2),CURRENCY.FORMAT_2,0)),'DICTIONARY-5'!$A$2))</f>
        <v/>
      </c>
      <c r="L1725" s="670" t="str">
        <f>IFERROR(IF(CURRENCY.FORMAT_1=0,CONCATENATE(TEXT(FIXED(ROUND((C1725*(1-I1725)*(1-ADD.DISCOUNT)*(1+MAT.SURCHARGE)/EXC.RATE_1),CURRENCY.FORMAT_1),CURRENCY.FORMAT_1,1),"# ##0;-# ##0"),",-"),FIXED(ROUND((C1725*(1-I1725)*(1-ADD.DISCOUNT)*(1+MAT.SURCHARGE)/EXC.RATE_1),CURRENCY.FORMAT_1),CURRENCY.FORMAT_1,0)),'DICTIONARY-5'!$A$2)</f>
        <v>857,-</v>
      </c>
      <c r="M1725" s="670" t="str">
        <f>IF(EXC.RATE_2=0,"",IFERROR(IF(CURRENCY.FORMAT_2=0,CONCATENATE(TEXT(FIXED(ROUND(IF(EXC.RATE.SWITCH=1,C1725*(1-I1725)*(1-ADD.DISCOUNT)*(1+MAT.SURCHARGE)/EXC.RATE_2,C1725*(1-I1725)*(1-ADD.DISCOUNT)*(1+MAT.SURCHARGE)*EXC.RATE_2),CURRENCY.FORMAT_2),CURRENCY.FORMAT_2,1),"# ##0;-# ##0"),",-"),FIXED(ROUND(IF(EXC.RATE.SWITCH=1,C1725*(1-I1725)*(1-ADD.DISCOUNT)*(1+MAT.SURCHARGE)/EXC.RATE_2,C1725*(1-I1725)*(1-ADD.DISCOUNT)*(1+MAT.SURCHARGE)*EXC.RATE_2),CURRENCY.FORMAT_2),CURRENCY.FORMAT_2,0)),'DICTIONARY-5'!$A$2))</f>
        <v/>
      </c>
      <c r="N1725" s="535">
        <v>6</v>
      </c>
      <c r="O1725" s="535"/>
      <c r="P1725" s="731" t="str">
        <f>'DICTIONARY-3'!$A$149</f>
        <v>CEREX 300-W</v>
      </c>
      <c r="Q1725" s="732" t="str">
        <f>'DICTIONARY-3'!$A$204</f>
        <v>Przepustnica kołnierzowa</v>
      </c>
      <c r="R1725" s="732" t="str">
        <f>CONCATENATE('DICTIONARY-3'!$A$149," ",'DICTIONARY-6'!$A$2," ",UPPER('DICTIONARY-5'!$A$18)," ",'DICTIONARY-2'!$A$2,"300"," ",'DICTIONARY-2'!$A$3,"10/16"," ","R20"," ",'DICTIONARY-5'!$A$51,"/",'DICTIONARY-5'!$A$45,", ",'DICTIONARY-4'!$A$8," 232-11")</f>
        <v>CEREX 300-W Przep. kołnierz. GAZ DN300 PN10/16 R20 GGG/NBR, PK 232-11</v>
      </c>
      <c r="S1725" s="733" t="str">
        <f>'DICTIONARY-4'!$A$8</f>
        <v>PK</v>
      </c>
      <c r="T1725" s="732" t="str">
        <f>'DICTIONARY-4'!$A$24</f>
        <v>Przekładnia z kółkiem</v>
      </c>
      <c r="U1725" s="734" t="s">
        <v>5752</v>
      </c>
      <c r="V1725" s="735">
        <v>16</v>
      </c>
      <c r="W1725" s="736"/>
      <c r="X1725" s="737"/>
      <c r="Y1725" s="738"/>
      <c r="Z1725" s="739"/>
      <c r="AA1725" s="739"/>
      <c r="AB1725" s="740">
        <v>16</v>
      </c>
      <c r="AC1725" s="741" t="str">
        <f>'DICTIONARY-5'!$A$11&amp;" 20"</f>
        <v>EN 558 szereg 20</v>
      </c>
      <c r="AD1725" s="733" t="str">
        <f>'DICTIONARY-5'!$A$18&amp;", "&amp;'DICTIONARY-5'!$A$14</f>
        <v>gaz, ścieki</v>
      </c>
      <c r="AE1725" s="742">
        <v>80</v>
      </c>
      <c r="AF1725" s="743">
        <v>35.5</v>
      </c>
      <c r="AG1725" s="741" t="str">
        <f>'DICTIONARY-5'!$A$23</f>
        <v>powłoka epoksydowa</v>
      </c>
    </row>
    <row r="1726" spans="1:33" x14ac:dyDescent="0.25">
      <c r="A1726" s="866" t="s">
        <v>1819</v>
      </c>
      <c r="B1726" s="866" t="s">
        <v>3800</v>
      </c>
      <c r="C1726" s="836">
        <v>1097</v>
      </c>
      <c r="D1726" s="836"/>
      <c r="E1726" s="836"/>
      <c r="F1726" s="836"/>
      <c r="G1726" s="496" t="s">
        <v>7832</v>
      </c>
      <c r="H1726" s="797" t="str">
        <f>VLOOKUP(G1726,SETTINGS!$B$7:$D$97,2,0)</f>
        <v>CEREX 300</v>
      </c>
      <c r="I1726" s="796">
        <f>VLOOKUP(G1726,SETTINGS!$B$7:$D$97,3,0)</f>
        <v>0</v>
      </c>
      <c r="J1726" s="670" t="str">
        <f>IFERROR(IF(CURRENCY.FORMAT_1=0,CONCATENATE(TEXT(FIXED(ROUND((C1726/EXC.RATE_1),CURRENCY.FORMAT_1),CURRENCY.FORMAT_1,1),"# ##0;-# ##0"),",-"),FIXED(ROUND((C1726/EXC.RATE_1),CURRENCY.FORMAT_1),CURRENCY.FORMAT_1,0)),'DICTIONARY-5'!$A$2)</f>
        <v>1 097,-</v>
      </c>
      <c r="K1726" s="670" t="str">
        <f>IF(EXC.RATE_2=0,"",IFERROR(IF(CURRENCY.FORMAT_2=0,CONCATENATE(TEXT(FIXED(ROUND(IF(EXC.RATE.SWITCH=1,C1726/EXC.RATE_2,C1726*EXC.RATE_2),CURRENCY.FORMAT_2),CURRENCY.FORMAT_2,1),"# ##0;-# ##0"),",-"),FIXED(ROUND(IF(EXC.RATE.SWITCH=1,C1726/EXC.RATE_2,C1726*EXC.RATE_2),CURRENCY.FORMAT_2),CURRENCY.FORMAT_2,0)),'DICTIONARY-5'!$A$2))</f>
        <v/>
      </c>
      <c r="L1726" s="670" t="str">
        <f>IFERROR(IF(CURRENCY.FORMAT_1=0,CONCATENATE(TEXT(FIXED(ROUND((C1726*(1-I1726)*(1-ADD.DISCOUNT)*(1+MAT.SURCHARGE)/EXC.RATE_1),CURRENCY.FORMAT_1),CURRENCY.FORMAT_1,1),"# ##0;-# ##0"),",-"),FIXED(ROUND((C1726*(1-I1726)*(1-ADD.DISCOUNT)*(1+MAT.SURCHARGE)/EXC.RATE_1),CURRENCY.FORMAT_1),CURRENCY.FORMAT_1,0)),'DICTIONARY-5'!$A$2)</f>
        <v>1 140,-</v>
      </c>
      <c r="M1726" s="670" t="str">
        <f>IF(EXC.RATE_2=0,"",IFERROR(IF(CURRENCY.FORMAT_2=0,CONCATENATE(TEXT(FIXED(ROUND(IF(EXC.RATE.SWITCH=1,C1726*(1-I1726)*(1-ADD.DISCOUNT)*(1+MAT.SURCHARGE)/EXC.RATE_2,C1726*(1-I1726)*(1-ADD.DISCOUNT)*(1+MAT.SURCHARGE)*EXC.RATE_2),CURRENCY.FORMAT_2),CURRENCY.FORMAT_2,1),"# ##0;-# ##0"),",-"),FIXED(ROUND(IF(EXC.RATE.SWITCH=1,C1726*(1-I1726)*(1-ADD.DISCOUNT)*(1+MAT.SURCHARGE)/EXC.RATE_2,C1726*(1-I1726)*(1-ADD.DISCOUNT)*(1+MAT.SURCHARGE)*EXC.RATE_2),CURRENCY.FORMAT_2),CURRENCY.FORMAT_2,0)),'DICTIONARY-5'!$A$2))</f>
        <v/>
      </c>
      <c r="N1726" s="541">
        <v>6</v>
      </c>
      <c r="O1726" s="541"/>
      <c r="P1726" s="731" t="str">
        <f>'DICTIONARY-3'!$A$149</f>
        <v>CEREX 300-W</v>
      </c>
      <c r="Q1726" s="731" t="str">
        <f>'DICTIONARY-3'!$A$204</f>
        <v>Przepustnica kołnierzowa</v>
      </c>
      <c r="R1726" s="732" t="str">
        <f>CONCATENATE('DICTIONARY-3'!$A$149," ",'DICTIONARY-6'!$A$2," ",'DICTIONARY-2'!$A$2,"350"," ",'DICTIONARY-2'!$A$3,"10/16"," ","R20"," ",'DICTIONARY-5'!$A$51,"/",'DICTIONARY-5'!$A$45,", ",'DICTIONARY-4'!$A$8," 232-11")</f>
        <v>CEREX 300-W Przep. kołnierz. DN350 PN10/16 R20 GGG/NBR, PK 232-11</v>
      </c>
      <c r="S1726" s="733" t="str">
        <f>'DICTIONARY-4'!$A$8</f>
        <v>PK</v>
      </c>
      <c r="T1726" s="732" t="str">
        <f>'DICTIONARY-4'!$A$24</f>
        <v>Przekładnia z kółkiem</v>
      </c>
      <c r="U1726" s="734" t="s">
        <v>5753</v>
      </c>
      <c r="V1726" s="735">
        <v>16</v>
      </c>
      <c r="W1726" s="736"/>
      <c r="X1726" s="737"/>
      <c r="Y1726" s="738"/>
      <c r="Z1726" s="739"/>
      <c r="AA1726" s="739"/>
      <c r="AB1726" s="740">
        <v>16</v>
      </c>
      <c r="AC1726" s="741" t="str">
        <f>'DICTIONARY-5'!$A$11&amp;" 20"</f>
        <v>EN 558 szereg 20</v>
      </c>
      <c r="AD1726" s="741" t="str">
        <f>'DICTIONARY-5'!$A$14</f>
        <v>ścieki</v>
      </c>
      <c r="AE1726" s="742">
        <v>80</v>
      </c>
      <c r="AF1726" s="743">
        <v>45.5</v>
      </c>
      <c r="AG1726" s="741" t="str">
        <f>'DICTIONARY-5'!$A$23</f>
        <v>powłoka epoksydowa</v>
      </c>
    </row>
    <row r="1727" spans="1:33" x14ac:dyDescent="0.25">
      <c r="A1727" s="866" t="s">
        <v>1821</v>
      </c>
      <c r="B1727" s="866" t="s">
        <v>3802</v>
      </c>
      <c r="C1727" s="836">
        <v>1460</v>
      </c>
      <c r="D1727" s="836"/>
      <c r="E1727" s="836"/>
      <c r="F1727" s="836"/>
      <c r="G1727" s="496" t="s">
        <v>7832</v>
      </c>
      <c r="H1727" s="797" t="str">
        <f>VLOOKUP(G1727,SETTINGS!$B$7:$D$97,2,0)</f>
        <v>CEREX 300</v>
      </c>
      <c r="I1727" s="796">
        <f>VLOOKUP(G1727,SETTINGS!$B$7:$D$97,3,0)</f>
        <v>0</v>
      </c>
      <c r="J1727" s="670" t="str">
        <f>IFERROR(IF(CURRENCY.FORMAT_1=0,CONCATENATE(TEXT(FIXED(ROUND((C1727/EXC.RATE_1),CURRENCY.FORMAT_1),CURRENCY.FORMAT_1,1),"# ##0;-# ##0"),",-"),FIXED(ROUND((C1727/EXC.RATE_1),CURRENCY.FORMAT_1),CURRENCY.FORMAT_1,0)),'DICTIONARY-5'!$A$2)</f>
        <v>1 460,-</v>
      </c>
      <c r="K1727" s="670" t="str">
        <f>IF(EXC.RATE_2=0,"",IFERROR(IF(CURRENCY.FORMAT_2=0,CONCATENATE(TEXT(FIXED(ROUND(IF(EXC.RATE.SWITCH=1,C1727/EXC.RATE_2,C1727*EXC.RATE_2),CURRENCY.FORMAT_2),CURRENCY.FORMAT_2,1),"# ##0;-# ##0"),",-"),FIXED(ROUND(IF(EXC.RATE.SWITCH=1,C1727/EXC.RATE_2,C1727*EXC.RATE_2),CURRENCY.FORMAT_2),CURRENCY.FORMAT_2,0)),'DICTIONARY-5'!$A$2))</f>
        <v/>
      </c>
      <c r="L1727" s="670" t="str">
        <f>IFERROR(IF(CURRENCY.FORMAT_1=0,CONCATENATE(TEXT(FIXED(ROUND((C1727*(1-I1727)*(1-ADD.DISCOUNT)*(1+MAT.SURCHARGE)/EXC.RATE_1),CURRENCY.FORMAT_1),CURRENCY.FORMAT_1,1),"# ##0;-# ##0"),",-"),FIXED(ROUND((C1727*(1-I1727)*(1-ADD.DISCOUNT)*(1+MAT.SURCHARGE)/EXC.RATE_1),CURRENCY.FORMAT_1),CURRENCY.FORMAT_1,0)),'DICTIONARY-5'!$A$2)</f>
        <v>1 517,-</v>
      </c>
      <c r="M1727" s="670" t="str">
        <f>IF(EXC.RATE_2=0,"",IFERROR(IF(CURRENCY.FORMAT_2=0,CONCATENATE(TEXT(FIXED(ROUND(IF(EXC.RATE.SWITCH=1,C1727*(1-I1727)*(1-ADD.DISCOUNT)*(1+MAT.SURCHARGE)/EXC.RATE_2,C1727*(1-I1727)*(1-ADD.DISCOUNT)*(1+MAT.SURCHARGE)*EXC.RATE_2),CURRENCY.FORMAT_2),CURRENCY.FORMAT_2,1),"# ##0;-# ##0"),",-"),FIXED(ROUND(IF(EXC.RATE.SWITCH=1,C1727*(1-I1727)*(1-ADD.DISCOUNT)*(1+MAT.SURCHARGE)/EXC.RATE_2,C1727*(1-I1727)*(1-ADD.DISCOUNT)*(1+MAT.SURCHARGE)*EXC.RATE_2),CURRENCY.FORMAT_2),CURRENCY.FORMAT_2,0)),'DICTIONARY-5'!$A$2))</f>
        <v/>
      </c>
      <c r="N1727" s="541">
        <v>6</v>
      </c>
      <c r="O1727" s="541"/>
      <c r="P1727" s="731" t="str">
        <f>'DICTIONARY-3'!$A$149</f>
        <v>CEREX 300-W</v>
      </c>
      <c r="Q1727" s="731" t="str">
        <f>'DICTIONARY-3'!$A$204</f>
        <v>Przepustnica kołnierzowa</v>
      </c>
      <c r="R1727" s="732" t="str">
        <f>CONCATENATE('DICTIONARY-3'!$A$149," ",'DICTIONARY-6'!$A$2," ",'DICTIONARY-2'!$A$2,"400"," ",'DICTIONARY-2'!$A$3,"10/16"," ","R20"," ",'DICTIONARY-5'!$A$51,"/",'DICTIONARY-5'!$A$45,", ",'DICTIONARY-4'!$A$8," 232-14")</f>
        <v>CEREX 300-W Przep. kołnierz. DN400 PN10/16 R20 GGG/NBR, PK 232-14</v>
      </c>
      <c r="S1727" s="733" t="str">
        <f>'DICTIONARY-4'!$A$8</f>
        <v>PK</v>
      </c>
      <c r="T1727" s="732" t="str">
        <f>'DICTIONARY-4'!$A$24</f>
        <v>Przekładnia z kółkiem</v>
      </c>
      <c r="U1727" s="734" t="s">
        <v>5754</v>
      </c>
      <c r="V1727" s="735">
        <v>16</v>
      </c>
      <c r="W1727" s="736"/>
      <c r="X1727" s="737"/>
      <c r="Y1727" s="738"/>
      <c r="Z1727" s="739"/>
      <c r="AA1727" s="739"/>
      <c r="AB1727" s="740">
        <v>16</v>
      </c>
      <c r="AC1727" s="741" t="str">
        <f>'DICTIONARY-5'!$A$11&amp;" 20"</f>
        <v>EN 558 szereg 20</v>
      </c>
      <c r="AD1727" s="741" t="str">
        <f>'DICTIONARY-5'!$A$14</f>
        <v>ścieki</v>
      </c>
      <c r="AE1727" s="742">
        <v>80</v>
      </c>
      <c r="AF1727" s="743">
        <v>72</v>
      </c>
      <c r="AG1727" s="741" t="str">
        <f>'DICTIONARY-5'!$A$23</f>
        <v>powłoka epoksydowa</v>
      </c>
    </row>
    <row r="1728" spans="1:33" x14ac:dyDescent="0.25">
      <c r="A1728" s="866" t="s">
        <v>1823</v>
      </c>
      <c r="B1728" s="866" t="s">
        <v>3804</v>
      </c>
      <c r="C1728" s="836">
        <v>2204</v>
      </c>
      <c r="D1728" s="836"/>
      <c r="E1728" s="836"/>
      <c r="F1728" s="836"/>
      <c r="G1728" s="496" t="s">
        <v>7832</v>
      </c>
      <c r="H1728" s="797" t="str">
        <f>VLOOKUP(G1728,SETTINGS!$B$7:$D$97,2,0)</f>
        <v>CEREX 300</v>
      </c>
      <c r="I1728" s="796">
        <f>VLOOKUP(G1728,SETTINGS!$B$7:$D$97,3,0)</f>
        <v>0</v>
      </c>
      <c r="J1728" s="670" t="str">
        <f>IFERROR(IF(CURRENCY.FORMAT_1=0,CONCATENATE(TEXT(FIXED(ROUND((C1728/EXC.RATE_1),CURRENCY.FORMAT_1),CURRENCY.FORMAT_1,1),"# ##0;-# ##0"),",-"),FIXED(ROUND((C1728/EXC.RATE_1),CURRENCY.FORMAT_1),CURRENCY.FORMAT_1,0)),'DICTIONARY-5'!$A$2)</f>
        <v>2 204,-</v>
      </c>
      <c r="K1728" s="670" t="str">
        <f>IF(EXC.RATE_2=0,"",IFERROR(IF(CURRENCY.FORMAT_2=0,CONCATENATE(TEXT(FIXED(ROUND(IF(EXC.RATE.SWITCH=1,C1728/EXC.RATE_2,C1728*EXC.RATE_2),CURRENCY.FORMAT_2),CURRENCY.FORMAT_2,1),"# ##0;-# ##0"),",-"),FIXED(ROUND(IF(EXC.RATE.SWITCH=1,C1728/EXC.RATE_2,C1728*EXC.RATE_2),CURRENCY.FORMAT_2),CURRENCY.FORMAT_2,0)),'DICTIONARY-5'!$A$2))</f>
        <v/>
      </c>
      <c r="L1728" s="670" t="str">
        <f>IFERROR(IF(CURRENCY.FORMAT_1=0,CONCATENATE(TEXT(FIXED(ROUND((C1728*(1-I1728)*(1-ADD.DISCOUNT)*(1+MAT.SURCHARGE)/EXC.RATE_1),CURRENCY.FORMAT_1),CURRENCY.FORMAT_1,1),"# ##0;-# ##0"),",-"),FIXED(ROUND((C1728*(1-I1728)*(1-ADD.DISCOUNT)*(1+MAT.SURCHARGE)/EXC.RATE_1),CURRENCY.FORMAT_1),CURRENCY.FORMAT_1,0)),'DICTIONARY-5'!$A$2)</f>
        <v>2 290,-</v>
      </c>
      <c r="M1728" s="670" t="str">
        <f>IF(EXC.RATE_2=0,"",IFERROR(IF(CURRENCY.FORMAT_2=0,CONCATENATE(TEXT(FIXED(ROUND(IF(EXC.RATE.SWITCH=1,C1728*(1-I1728)*(1-ADD.DISCOUNT)*(1+MAT.SURCHARGE)/EXC.RATE_2,C1728*(1-I1728)*(1-ADD.DISCOUNT)*(1+MAT.SURCHARGE)*EXC.RATE_2),CURRENCY.FORMAT_2),CURRENCY.FORMAT_2,1),"# ##0;-# ##0"),",-"),FIXED(ROUND(IF(EXC.RATE.SWITCH=1,C1728*(1-I1728)*(1-ADD.DISCOUNT)*(1+MAT.SURCHARGE)/EXC.RATE_2,C1728*(1-I1728)*(1-ADD.DISCOUNT)*(1+MAT.SURCHARGE)*EXC.RATE_2),CURRENCY.FORMAT_2),CURRENCY.FORMAT_2,0)),'DICTIONARY-5'!$A$2))</f>
        <v/>
      </c>
      <c r="N1728" s="541">
        <v>6</v>
      </c>
      <c r="O1728" s="541"/>
      <c r="P1728" s="731" t="str">
        <f>'DICTIONARY-3'!$A$149</f>
        <v>CEREX 300-W</v>
      </c>
      <c r="Q1728" s="731" t="str">
        <f>'DICTIONARY-3'!$A$204</f>
        <v>Przepustnica kołnierzowa</v>
      </c>
      <c r="R1728" s="732" t="str">
        <f>CONCATENATE('DICTIONARY-3'!$A$149," ",'DICTIONARY-6'!$A$2," ",'DICTIONARY-2'!$A$2,"450"," ",'DICTIONARY-2'!$A$3,"10/16"," ",'DICTIONARY-2'!$A$10,"10",'DICTIONARY-2'!$A$20," ","R20"," ",'DICTIONARY-5'!$A$51,"/",'DICTIONARY-5'!$A$45,", ",'DICTIONARY-4'!$A$8," AB1250N")</f>
        <v>CEREX 300-W Przep. kołnierz. DN450 PN10/16 PS10bar R20 GGG/NBR, PK AB1250N</v>
      </c>
      <c r="S1728" s="733" t="str">
        <f>'DICTIONARY-4'!$A$8</f>
        <v>PK</v>
      </c>
      <c r="T1728" s="732" t="str">
        <f>'DICTIONARY-4'!$A$24</f>
        <v>Przekładnia z kółkiem</v>
      </c>
      <c r="U1728" s="734" t="s">
        <v>5755</v>
      </c>
      <c r="V1728" s="735">
        <v>16</v>
      </c>
      <c r="W1728" s="736"/>
      <c r="X1728" s="737"/>
      <c r="Y1728" s="738"/>
      <c r="Z1728" s="739"/>
      <c r="AA1728" s="739"/>
      <c r="AB1728" s="740">
        <v>10</v>
      </c>
      <c r="AC1728" s="741" t="str">
        <f>'DICTIONARY-5'!$A$11&amp;" 20"</f>
        <v>EN 558 szereg 20</v>
      </c>
      <c r="AD1728" s="741" t="str">
        <f>'DICTIONARY-5'!$A$14</f>
        <v>ścieki</v>
      </c>
      <c r="AE1728" s="742">
        <v>80</v>
      </c>
      <c r="AF1728" s="743">
        <v>112.5</v>
      </c>
      <c r="AG1728" s="741" t="str">
        <f>'DICTIONARY-5'!$A$23</f>
        <v>powłoka epoksydowa</v>
      </c>
    </row>
    <row r="1729" spans="1:33" x14ac:dyDescent="0.25">
      <c r="A1729" s="866" t="s">
        <v>1825</v>
      </c>
      <c r="B1729" s="866" t="s">
        <v>3814</v>
      </c>
      <c r="C1729" s="836">
        <v>2575</v>
      </c>
      <c r="D1729" s="836"/>
      <c r="E1729" s="836"/>
      <c r="F1729" s="836"/>
      <c r="G1729" s="496" t="s">
        <v>7832</v>
      </c>
      <c r="H1729" s="797" t="str">
        <f>VLOOKUP(G1729,SETTINGS!$B$7:$D$97,2,0)</f>
        <v>CEREX 300</v>
      </c>
      <c r="I1729" s="796">
        <f>VLOOKUP(G1729,SETTINGS!$B$7:$D$97,3,0)</f>
        <v>0</v>
      </c>
      <c r="J1729" s="670" t="str">
        <f>IFERROR(IF(CURRENCY.FORMAT_1=0,CONCATENATE(TEXT(FIXED(ROUND((C1729/EXC.RATE_1),CURRENCY.FORMAT_1),CURRENCY.FORMAT_1,1),"# ##0;-# ##0"),",-"),FIXED(ROUND((C1729/EXC.RATE_1),CURRENCY.FORMAT_1),CURRENCY.FORMAT_1,0)),'DICTIONARY-5'!$A$2)</f>
        <v>2 575,-</v>
      </c>
      <c r="K1729" s="670" t="str">
        <f>IF(EXC.RATE_2=0,"",IFERROR(IF(CURRENCY.FORMAT_2=0,CONCATENATE(TEXT(FIXED(ROUND(IF(EXC.RATE.SWITCH=1,C1729/EXC.RATE_2,C1729*EXC.RATE_2),CURRENCY.FORMAT_2),CURRENCY.FORMAT_2,1),"# ##0;-# ##0"),",-"),FIXED(ROUND(IF(EXC.RATE.SWITCH=1,C1729/EXC.RATE_2,C1729*EXC.RATE_2),CURRENCY.FORMAT_2),CURRENCY.FORMAT_2,0)),'DICTIONARY-5'!$A$2))</f>
        <v/>
      </c>
      <c r="L1729" s="670" t="str">
        <f>IFERROR(IF(CURRENCY.FORMAT_1=0,CONCATENATE(TEXT(FIXED(ROUND((C1729*(1-I1729)*(1-ADD.DISCOUNT)*(1+MAT.SURCHARGE)/EXC.RATE_1),CURRENCY.FORMAT_1),CURRENCY.FORMAT_1,1),"# ##0;-# ##0"),",-"),FIXED(ROUND((C1729*(1-I1729)*(1-ADD.DISCOUNT)*(1+MAT.SURCHARGE)/EXC.RATE_1),CURRENCY.FORMAT_1),CURRENCY.FORMAT_1,0)),'DICTIONARY-5'!$A$2)</f>
        <v>2 675,-</v>
      </c>
      <c r="M1729" s="670" t="str">
        <f>IF(EXC.RATE_2=0,"",IFERROR(IF(CURRENCY.FORMAT_2=0,CONCATENATE(TEXT(FIXED(ROUND(IF(EXC.RATE.SWITCH=1,C1729*(1-I1729)*(1-ADD.DISCOUNT)*(1+MAT.SURCHARGE)/EXC.RATE_2,C1729*(1-I1729)*(1-ADD.DISCOUNT)*(1+MAT.SURCHARGE)*EXC.RATE_2),CURRENCY.FORMAT_2),CURRENCY.FORMAT_2,1),"# ##0;-# ##0"),",-"),FIXED(ROUND(IF(EXC.RATE.SWITCH=1,C1729*(1-I1729)*(1-ADD.DISCOUNT)*(1+MAT.SURCHARGE)/EXC.RATE_2,C1729*(1-I1729)*(1-ADD.DISCOUNT)*(1+MAT.SURCHARGE)*EXC.RATE_2),CURRENCY.FORMAT_2),CURRENCY.FORMAT_2,0)),'DICTIONARY-5'!$A$2))</f>
        <v/>
      </c>
      <c r="N1729" s="541">
        <v>6</v>
      </c>
      <c r="O1729" s="541"/>
      <c r="P1729" s="731" t="str">
        <f>'DICTIONARY-3'!$A$149</f>
        <v>CEREX 300-W</v>
      </c>
      <c r="Q1729" s="731" t="str">
        <f>'DICTIONARY-3'!$A$204</f>
        <v>Przepustnica kołnierzowa</v>
      </c>
      <c r="R1729" s="732" t="str">
        <f>CONCATENATE('DICTIONARY-3'!$A$149," ",'DICTIONARY-6'!$A$2," ",'DICTIONARY-2'!$A$2,"500"," ",'DICTIONARY-2'!$A$3,"10"," ","R20"," ",'DICTIONARY-5'!$A$51,"/",'DICTIONARY-5'!$A$45,", ",'DICTIONARY-4'!$A$8," AB1250N")</f>
        <v>CEREX 300-W Przep. kołnierz. DN500 PN10 R20 GGG/NBR, PK AB1250N</v>
      </c>
      <c r="S1729" s="733" t="str">
        <f>'DICTIONARY-4'!$A$8</f>
        <v>PK</v>
      </c>
      <c r="T1729" s="732" t="str">
        <f>'DICTIONARY-4'!$A$24</f>
        <v>Przekładnia z kółkiem</v>
      </c>
      <c r="U1729" s="734" t="s">
        <v>5756</v>
      </c>
      <c r="V1729" s="735">
        <v>10</v>
      </c>
      <c r="W1729" s="736"/>
      <c r="X1729" s="737"/>
      <c r="Y1729" s="738"/>
      <c r="Z1729" s="739"/>
      <c r="AA1729" s="739"/>
      <c r="AB1729" s="740">
        <v>10</v>
      </c>
      <c r="AC1729" s="741" t="str">
        <f>'DICTIONARY-5'!$A$11&amp;" 20"</f>
        <v>EN 558 szereg 20</v>
      </c>
      <c r="AD1729" s="741" t="str">
        <f>'DICTIONARY-5'!$A$14</f>
        <v>ścieki</v>
      </c>
      <c r="AE1729" s="742">
        <v>80</v>
      </c>
      <c r="AF1729" s="743">
        <v>147</v>
      </c>
      <c r="AG1729" s="741" t="str">
        <f>'DICTIONARY-5'!$A$23</f>
        <v>powłoka epoksydowa</v>
      </c>
    </row>
    <row r="1730" spans="1:33" x14ac:dyDescent="0.25">
      <c r="A1730" s="866" t="s">
        <v>1827</v>
      </c>
      <c r="B1730" s="866" t="s">
        <v>3806</v>
      </c>
      <c r="C1730" s="836">
        <v>2572</v>
      </c>
      <c r="D1730" s="836"/>
      <c r="E1730" s="836"/>
      <c r="F1730" s="836"/>
      <c r="G1730" s="496" t="s">
        <v>7832</v>
      </c>
      <c r="H1730" s="797" t="str">
        <f>VLOOKUP(G1730,SETTINGS!$B$7:$D$97,2,0)</f>
        <v>CEREX 300</v>
      </c>
      <c r="I1730" s="796">
        <f>VLOOKUP(G1730,SETTINGS!$B$7:$D$97,3,0)</f>
        <v>0</v>
      </c>
      <c r="J1730" s="670" t="str">
        <f>IFERROR(IF(CURRENCY.FORMAT_1=0,CONCATENATE(TEXT(FIXED(ROUND((C1730/EXC.RATE_1),CURRENCY.FORMAT_1),CURRENCY.FORMAT_1,1),"# ##0;-# ##0"),",-"),FIXED(ROUND((C1730/EXC.RATE_1),CURRENCY.FORMAT_1),CURRENCY.FORMAT_1,0)),'DICTIONARY-5'!$A$2)</f>
        <v>2 572,-</v>
      </c>
      <c r="K1730" s="670" t="str">
        <f>IF(EXC.RATE_2=0,"",IFERROR(IF(CURRENCY.FORMAT_2=0,CONCATENATE(TEXT(FIXED(ROUND(IF(EXC.RATE.SWITCH=1,C1730/EXC.RATE_2,C1730*EXC.RATE_2),CURRENCY.FORMAT_2),CURRENCY.FORMAT_2,1),"# ##0;-# ##0"),",-"),FIXED(ROUND(IF(EXC.RATE.SWITCH=1,C1730/EXC.RATE_2,C1730*EXC.RATE_2),CURRENCY.FORMAT_2),CURRENCY.FORMAT_2,0)),'DICTIONARY-5'!$A$2))</f>
        <v/>
      </c>
      <c r="L1730" s="670" t="str">
        <f>IFERROR(IF(CURRENCY.FORMAT_1=0,CONCATENATE(TEXT(FIXED(ROUND((C1730*(1-I1730)*(1-ADD.DISCOUNT)*(1+MAT.SURCHARGE)/EXC.RATE_1),CURRENCY.FORMAT_1),CURRENCY.FORMAT_1,1),"# ##0;-# ##0"),",-"),FIXED(ROUND((C1730*(1-I1730)*(1-ADD.DISCOUNT)*(1+MAT.SURCHARGE)/EXC.RATE_1),CURRENCY.FORMAT_1),CURRENCY.FORMAT_1,0)),'DICTIONARY-5'!$A$2)</f>
        <v>2 672,-</v>
      </c>
      <c r="M1730" s="670" t="str">
        <f>IF(EXC.RATE_2=0,"",IFERROR(IF(CURRENCY.FORMAT_2=0,CONCATENATE(TEXT(FIXED(ROUND(IF(EXC.RATE.SWITCH=1,C1730*(1-I1730)*(1-ADD.DISCOUNT)*(1+MAT.SURCHARGE)/EXC.RATE_2,C1730*(1-I1730)*(1-ADD.DISCOUNT)*(1+MAT.SURCHARGE)*EXC.RATE_2),CURRENCY.FORMAT_2),CURRENCY.FORMAT_2,1),"# ##0;-# ##0"),",-"),FIXED(ROUND(IF(EXC.RATE.SWITCH=1,C1730*(1-I1730)*(1-ADD.DISCOUNT)*(1+MAT.SURCHARGE)/EXC.RATE_2,C1730*(1-I1730)*(1-ADD.DISCOUNT)*(1+MAT.SURCHARGE)*EXC.RATE_2),CURRENCY.FORMAT_2),CURRENCY.FORMAT_2,0)),'DICTIONARY-5'!$A$2))</f>
        <v/>
      </c>
      <c r="N1730" s="541">
        <v>6</v>
      </c>
      <c r="O1730" s="541"/>
      <c r="P1730" s="731" t="str">
        <f>'DICTIONARY-3'!$A$149</f>
        <v>CEREX 300-W</v>
      </c>
      <c r="Q1730" s="731" t="str">
        <f>'DICTIONARY-3'!$A$204</f>
        <v>Przepustnica kołnierzowa</v>
      </c>
      <c r="R1730" s="732" t="str">
        <f>CONCATENATE('DICTIONARY-3'!$A$149," ",'DICTIONARY-6'!$A$2," ",'DICTIONARY-2'!$A$2,"500"," ",'DICTIONARY-2'!$A$3,"16"," ",'DICTIONARY-2'!$A$10,"10",'DICTIONARY-2'!$A$20," ","R20"," ",'DICTIONARY-5'!$A$51,"/",'DICTIONARY-5'!$A$45,", ",'DICTIONARY-4'!$A$8," AB1250N")</f>
        <v>CEREX 300-W Przep. kołnierz. DN500 PN16 PS10bar R20 GGG/NBR, PK AB1250N</v>
      </c>
      <c r="S1730" s="733" t="str">
        <f>'DICTIONARY-4'!$A$8</f>
        <v>PK</v>
      </c>
      <c r="T1730" s="732" t="str">
        <f>'DICTIONARY-4'!$A$24</f>
        <v>Przekładnia z kółkiem</v>
      </c>
      <c r="U1730" s="734" t="s">
        <v>5756</v>
      </c>
      <c r="V1730" s="735">
        <v>16</v>
      </c>
      <c r="W1730" s="736"/>
      <c r="X1730" s="737"/>
      <c r="Y1730" s="738"/>
      <c r="Z1730" s="739"/>
      <c r="AA1730" s="739"/>
      <c r="AB1730" s="740">
        <v>10</v>
      </c>
      <c r="AC1730" s="741" t="str">
        <f>'DICTIONARY-5'!$A$11&amp;" 20"</f>
        <v>EN 558 szereg 20</v>
      </c>
      <c r="AD1730" s="741" t="str">
        <f>'DICTIONARY-5'!$A$14</f>
        <v>ścieki</v>
      </c>
      <c r="AE1730" s="742">
        <v>80</v>
      </c>
      <c r="AF1730" s="743">
        <v>145</v>
      </c>
      <c r="AG1730" s="741" t="str">
        <f>'DICTIONARY-5'!$A$23</f>
        <v>powłoka epoksydowa</v>
      </c>
    </row>
    <row r="1731" spans="1:33" x14ac:dyDescent="0.25">
      <c r="A1731" s="866" t="s">
        <v>1829</v>
      </c>
      <c r="B1731" s="866" t="s">
        <v>3816</v>
      </c>
      <c r="C1731" s="836">
        <v>4205</v>
      </c>
      <c r="D1731" s="836"/>
      <c r="E1731" s="836"/>
      <c r="F1731" s="836"/>
      <c r="G1731" s="496" t="s">
        <v>7832</v>
      </c>
      <c r="H1731" s="797" t="str">
        <f>VLOOKUP(G1731,SETTINGS!$B$7:$D$97,2,0)</f>
        <v>CEREX 300</v>
      </c>
      <c r="I1731" s="796">
        <f>VLOOKUP(G1731,SETTINGS!$B$7:$D$97,3,0)</f>
        <v>0</v>
      </c>
      <c r="J1731" s="670" t="str">
        <f>IFERROR(IF(CURRENCY.FORMAT_1=0,CONCATENATE(TEXT(FIXED(ROUND((C1731/EXC.RATE_1),CURRENCY.FORMAT_1),CURRENCY.FORMAT_1,1),"# ##0;-# ##0"),",-"),FIXED(ROUND((C1731/EXC.RATE_1),CURRENCY.FORMAT_1),CURRENCY.FORMAT_1,0)),'DICTIONARY-5'!$A$2)</f>
        <v>4 205,-</v>
      </c>
      <c r="K1731" s="670" t="str">
        <f>IF(EXC.RATE_2=0,"",IFERROR(IF(CURRENCY.FORMAT_2=0,CONCATENATE(TEXT(FIXED(ROUND(IF(EXC.RATE.SWITCH=1,C1731/EXC.RATE_2,C1731*EXC.RATE_2),CURRENCY.FORMAT_2),CURRENCY.FORMAT_2,1),"# ##0;-# ##0"),",-"),FIXED(ROUND(IF(EXC.RATE.SWITCH=1,C1731/EXC.RATE_2,C1731*EXC.RATE_2),CURRENCY.FORMAT_2),CURRENCY.FORMAT_2,0)),'DICTIONARY-5'!$A$2))</f>
        <v/>
      </c>
      <c r="L1731" s="670" t="str">
        <f>IFERROR(IF(CURRENCY.FORMAT_1=0,CONCATENATE(TEXT(FIXED(ROUND((C1731*(1-I1731)*(1-ADD.DISCOUNT)*(1+MAT.SURCHARGE)/EXC.RATE_1),CURRENCY.FORMAT_1),CURRENCY.FORMAT_1,1),"# ##0;-# ##0"),",-"),FIXED(ROUND((C1731*(1-I1731)*(1-ADD.DISCOUNT)*(1+MAT.SURCHARGE)/EXC.RATE_1),CURRENCY.FORMAT_1),CURRENCY.FORMAT_1,0)),'DICTIONARY-5'!$A$2)</f>
        <v>4 369,-</v>
      </c>
      <c r="M1731" s="670" t="str">
        <f>IF(EXC.RATE_2=0,"",IFERROR(IF(CURRENCY.FORMAT_2=0,CONCATENATE(TEXT(FIXED(ROUND(IF(EXC.RATE.SWITCH=1,C1731*(1-I1731)*(1-ADD.DISCOUNT)*(1+MAT.SURCHARGE)/EXC.RATE_2,C1731*(1-I1731)*(1-ADD.DISCOUNT)*(1+MAT.SURCHARGE)*EXC.RATE_2),CURRENCY.FORMAT_2),CURRENCY.FORMAT_2,1),"# ##0;-# ##0"),",-"),FIXED(ROUND(IF(EXC.RATE.SWITCH=1,C1731*(1-I1731)*(1-ADD.DISCOUNT)*(1+MAT.SURCHARGE)/EXC.RATE_2,C1731*(1-I1731)*(1-ADD.DISCOUNT)*(1+MAT.SURCHARGE)*EXC.RATE_2),CURRENCY.FORMAT_2),CURRENCY.FORMAT_2,0)),'DICTIONARY-5'!$A$2))</f>
        <v/>
      </c>
      <c r="N1731" s="541">
        <v>6</v>
      </c>
      <c r="O1731" s="541"/>
      <c r="P1731" s="731" t="str">
        <f>'DICTIONARY-3'!$A$149</f>
        <v>CEREX 300-W</v>
      </c>
      <c r="Q1731" s="731" t="str">
        <f>'DICTIONARY-3'!$A$204</f>
        <v>Przepustnica kołnierzowa</v>
      </c>
      <c r="R1731" s="732" t="str">
        <f>CONCATENATE('DICTIONARY-3'!$A$149," ",'DICTIONARY-6'!$A$2," ",'DICTIONARY-2'!$A$2,"600"," ",'DICTIONARY-2'!$A$3,"10"," ","R20"," ",'DICTIONARY-5'!$A$51,"/",'DICTIONARY-5'!$A$45,", ",'DICTIONARY-4'!$A$8," AB1950N")</f>
        <v>CEREX 300-W Przep. kołnierz. DN600 PN10 R20 GGG/NBR, PK AB1950N</v>
      </c>
      <c r="S1731" s="733" t="str">
        <f>'DICTIONARY-4'!$A$8</f>
        <v>PK</v>
      </c>
      <c r="T1731" s="732" t="str">
        <f>'DICTIONARY-4'!$A$24</f>
        <v>Przekładnia z kółkiem</v>
      </c>
      <c r="U1731" s="734" t="s">
        <v>5757</v>
      </c>
      <c r="V1731" s="735">
        <v>10</v>
      </c>
      <c r="W1731" s="736"/>
      <c r="X1731" s="737"/>
      <c r="Y1731" s="738"/>
      <c r="Z1731" s="739"/>
      <c r="AA1731" s="739"/>
      <c r="AB1731" s="740">
        <v>10</v>
      </c>
      <c r="AC1731" s="741" t="str">
        <f>'DICTIONARY-5'!$A$11&amp;" 20"</f>
        <v>EN 558 szereg 20</v>
      </c>
      <c r="AD1731" s="741" t="str">
        <f>'DICTIONARY-5'!$A$14</f>
        <v>ścieki</v>
      </c>
      <c r="AE1731" s="742">
        <v>80</v>
      </c>
      <c r="AF1731" s="743">
        <v>230</v>
      </c>
      <c r="AG1731" s="741" t="str">
        <f>'DICTIONARY-5'!$A$23</f>
        <v>powłoka epoksydowa</v>
      </c>
    </row>
    <row r="1732" spans="1:33" x14ac:dyDescent="0.25">
      <c r="A1732" s="866" t="s">
        <v>1831</v>
      </c>
      <c r="B1732" s="866" t="s">
        <v>3808</v>
      </c>
      <c r="C1732" s="836">
        <v>4199</v>
      </c>
      <c r="D1732" s="836"/>
      <c r="E1732" s="836"/>
      <c r="F1732" s="836"/>
      <c r="G1732" s="496" t="s">
        <v>7832</v>
      </c>
      <c r="H1732" s="797" t="str">
        <f>VLOOKUP(G1732,SETTINGS!$B$7:$D$97,2,0)</f>
        <v>CEREX 300</v>
      </c>
      <c r="I1732" s="796">
        <f>VLOOKUP(G1732,SETTINGS!$B$7:$D$97,3,0)</f>
        <v>0</v>
      </c>
      <c r="J1732" s="670" t="str">
        <f>IFERROR(IF(CURRENCY.FORMAT_1=0,CONCATENATE(TEXT(FIXED(ROUND((C1732/EXC.RATE_1),CURRENCY.FORMAT_1),CURRENCY.FORMAT_1,1),"# ##0;-# ##0"),",-"),FIXED(ROUND((C1732/EXC.RATE_1),CURRENCY.FORMAT_1),CURRENCY.FORMAT_1,0)),'DICTIONARY-5'!$A$2)</f>
        <v>4 199,-</v>
      </c>
      <c r="K1732" s="670" t="str">
        <f>IF(EXC.RATE_2=0,"",IFERROR(IF(CURRENCY.FORMAT_2=0,CONCATENATE(TEXT(FIXED(ROUND(IF(EXC.RATE.SWITCH=1,C1732/EXC.RATE_2,C1732*EXC.RATE_2),CURRENCY.FORMAT_2),CURRENCY.FORMAT_2,1),"# ##0;-# ##0"),",-"),FIXED(ROUND(IF(EXC.RATE.SWITCH=1,C1732/EXC.RATE_2,C1732*EXC.RATE_2),CURRENCY.FORMAT_2),CURRENCY.FORMAT_2,0)),'DICTIONARY-5'!$A$2))</f>
        <v/>
      </c>
      <c r="L1732" s="670" t="str">
        <f>IFERROR(IF(CURRENCY.FORMAT_1=0,CONCATENATE(TEXT(FIXED(ROUND((C1732*(1-I1732)*(1-ADD.DISCOUNT)*(1+MAT.SURCHARGE)/EXC.RATE_1),CURRENCY.FORMAT_1),CURRENCY.FORMAT_1,1),"# ##0;-# ##0"),",-"),FIXED(ROUND((C1732*(1-I1732)*(1-ADD.DISCOUNT)*(1+MAT.SURCHARGE)/EXC.RATE_1),CURRENCY.FORMAT_1),CURRENCY.FORMAT_1,0)),'DICTIONARY-5'!$A$2)</f>
        <v>4 363,-</v>
      </c>
      <c r="M1732" s="670" t="str">
        <f>IF(EXC.RATE_2=0,"",IFERROR(IF(CURRENCY.FORMAT_2=0,CONCATENATE(TEXT(FIXED(ROUND(IF(EXC.RATE.SWITCH=1,C1732*(1-I1732)*(1-ADD.DISCOUNT)*(1+MAT.SURCHARGE)/EXC.RATE_2,C1732*(1-I1732)*(1-ADD.DISCOUNT)*(1+MAT.SURCHARGE)*EXC.RATE_2),CURRENCY.FORMAT_2),CURRENCY.FORMAT_2,1),"# ##0;-# ##0"),",-"),FIXED(ROUND(IF(EXC.RATE.SWITCH=1,C1732*(1-I1732)*(1-ADD.DISCOUNT)*(1+MAT.SURCHARGE)/EXC.RATE_2,C1732*(1-I1732)*(1-ADD.DISCOUNT)*(1+MAT.SURCHARGE)*EXC.RATE_2),CURRENCY.FORMAT_2),CURRENCY.FORMAT_2,0)),'DICTIONARY-5'!$A$2))</f>
        <v/>
      </c>
      <c r="N1732" s="541">
        <v>6</v>
      </c>
      <c r="O1732" s="541"/>
      <c r="P1732" s="731" t="str">
        <f>'DICTIONARY-3'!$A$149</f>
        <v>CEREX 300-W</v>
      </c>
      <c r="Q1732" s="731" t="str">
        <f>'DICTIONARY-3'!$A$204</f>
        <v>Przepustnica kołnierzowa</v>
      </c>
      <c r="R1732" s="732" t="str">
        <f>CONCATENATE('DICTIONARY-3'!$A$149," ",'DICTIONARY-6'!$A$2," ",'DICTIONARY-2'!$A$2,"600"," ",'DICTIONARY-2'!$A$3,"16"," ",'DICTIONARY-2'!$A$10,"10",'DICTIONARY-2'!$A$20," ","R20"," ",'DICTIONARY-5'!$A$51,"/",'DICTIONARY-5'!$A$45,", ",'DICTIONARY-4'!$A$8," AB1950N")</f>
        <v>CEREX 300-W Przep. kołnierz. DN600 PN16 PS10bar R20 GGG/NBR, PK AB1950N</v>
      </c>
      <c r="S1732" s="733" t="str">
        <f>'DICTIONARY-4'!$A$8</f>
        <v>PK</v>
      </c>
      <c r="T1732" s="732" t="str">
        <f>'DICTIONARY-4'!$A$24</f>
        <v>Przekładnia z kółkiem</v>
      </c>
      <c r="U1732" s="734" t="s">
        <v>5757</v>
      </c>
      <c r="V1732" s="735">
        <v>16</v>
      </c>
      <c r="W1732" s="736"/>
      <c r="X1732" s="737"/>
      <c r="Y1732" s="738"/>
      <c r="Z1732" s="739"/>
      <c r="AA1732" s="739"/>
      <c r="AB1732" s="740">
        <v>10</v>
      </c>
      <c r="AC1732" s="741" t="str">
        <f>'DICTIONARY-5'!$A$11&amp;" 20"</f>
        <v>EN 558 szereg 20</v>
      </c>
      <c r="AD1732" s="741" t="str">
        <f>'DICTIONARY-5'!$A$14</f>
        <v>ścieki</v>
      </c>
      <c r="AE1732" s="742">
        <v>80</v>
      </c>
      <c r="AF1732" s="743">
        <v>229</v>
      </c>
      <c r="AG1732" s="741" t="str">
        <f>'DICTIONARY-5'!$A$23</f>
        <v>powłoka epoksydowa</v>
      </c>
    </row>
    <row r="1733" spans="1:33" x14ac:dyDescent="0.25">
      <c r="A1733" s="869" t="s">
        <v>1802</v>
      </c>
      <c r="B1733" s="869" t="s">
        <v>3679</v>
      </c>
      <c r="C1733" s="836">
        <v>230</v>
      </c>
      <c r="D1733" s="836"/>
      <c r="E1733" s="836"/>
      <c r="F1733" s="836"/>
      <c r="G1733" s="496" t="s">
        <v>7832</v>
      </c>
      <c r="H1733" s="797" t="str">
        <f>VLOOKUP(G1733,SETTINGS!$B$7:$D$97,2,0)</f>
        <v>CEREX 300</v>
      </c>
      <c r="I1733" s="796">
        <f>VLOOKUP(G1733,SETTINGS!$B$7:$D$97,3,0)</f>
        <v>0</v>
      </c>
      <c r="J1733" s="670" t="str">
        <f>IFERROR(IF(CURRENCY.FORMAT_1=0,CONCATENATE(TEXT(FIXED(ROUND((C1733/EXC.RATE_1),CURRENCY.FORMAT_1),CURRENCY.FORMAT_1,1),"# ##0;-# ##0"),",-"),FIXED(ROUND((C1733/EXC.RATE_1),CURRENCY.FORMAT_1),CURRENCY.FORMAT_1,0)),'DICTIONARY-5'!$A$2)</f>
        <v>230,-</v>
      </c>
      <c r="K1733" s="670" t="str">
        <f>IF(EXC.RATE_2=0,"",IFERROR(IF(CURRENCY.FORMAT_2=0,CONCATENATE(TEXT(FIXED(ROUND(IF(EXC.RATE.SWITCH=1,C1733/EXC.RATE_2,C1733*EXC.RATE_2),CURRENCY.FORMAT_2),CURRENCY.FORMAT_2,1),"# ##0;-# ##0"),",-"),FIXED(ROUND(IF(EXC.RATE.SWITCH=1,C1733/EXC.RATE_2,C1733*EXC.RATE_2),CURRENCY.FORMAT_2),CURRENCY.FORMAT_2,0)),'DICTIONARY-5'!$A$2))</f>
        <v/>
      </c>
      <c r="L1733" s="670" t="str">
        <f>IFERROR(IF(CURRENCY.FORMAT_1=0,CONCATENATE(TEXT(FIXED(ROUND((C1733*(1-I1733)*(1-ADD.DISCOUNT)*(1+MAT.SURCHARGE)/EXC.RATE_1),CURRENCY.FORMAT_1),CURRENCY.FORMAT_1,1),"# ##0;-# ##0"),",-"),FIXED(ROUND((C1733*(1-I1733)*(1-ADD.DISCOUNT)*(1+MAT.SURCHARGE)/EXC.RATE_1),CURRENCY.FORMAT_1),CURRENCY.FORMAT_1,0)),'DICTIONARY-5'!$A$2)</f>
        <v>239,-</v>
      </c>
      <c r="M1733" s="670" t="str">
        <f>IF(EXC.RATE_2=0,"",IFERROR(IF(CURRENCY.FORMAT_2=0,CONCATENATE(TEXT(FIXED(ROUND(IF(EXC.RATE.SWITCH=1,C1733*(1-I1733)*(1-ADD.DISCOUNT)*(1+MAT.SURCHARGE)/EXC.RATE_2,C1733*(1-I1733)*(1-ADD.DISCOUNT)*(1+MAT.SURCHARGE)*EXC.RATE_2),CURRENCY.FORMAT_2),CURRENCY.FORMAT_2,1),"# ##0;-# ##0"),",-"),FIXED(ROUND(IF(EXC.RATE.SWITCH=1,C1733*(1-I1733)*(1-ADD.DISCOUNT)*(1+MAT.SURCHARGE)/EXC.RATE_2,C1733*(1-I1733)*(1-ADD.DISCOUNT)*(1+MAT.SURCHARGE)*EXC.RATE_2),CURRENCY.FORMAT_2),CURRENCY.FORMAT_2,0)),'DICTIONARY-5'!$A$2))</f>
        <v/>
      </c>
      <c r="N1733" s="535">
        <v>6</v>
      </c>
      <c r="O1733" s="535"/>
      <c r="P1733" s="731" t="str">
        <f>'DICTIONARY-3'!$A$149</f>
        <v>CEREX 300-W</v>
      </c>
      <c r="Q1733" s="732" t="str">
        <f>'DICTIONARY-3'!$A$204</f>
        <v>Przepustnica kołnierzowa</v>
      </c>
      <c r="R1733" s="732" t="str">
        <f>CONCATENATE('DICTIONARY-3'!$A$149," ",'DICTIONARY-6'!$A$2," ",UPPER('DICTIONARY-5'!$A$18)," ",'DICTIONARY-2'!$A$2,"50"," ",'DICTIONARY-2'!$A$3,"10/16"," ","R20"," ",'DICTIONARY-5'!$A$37,"/",'DICTIONARY-5'!$A$45,", ",'DICTIONARY-4'!$A$8," 232-05")</f>
        <v>CEREX 300-W Przep. kołnierz. GAZ DN50 PN10/16 R20 CF8M/NBR, PK 232-05</v>
      </c>
      <c r="S1733" s="733" t="str">
        <f>'DICTIONARY-4'!$A$8</f>
        <v>PK</v>
      </c>
      <c r="T1733" s="732" t="str">
        <f>'DICTIONARY-4'!$A$24</f>
        <v>Przekładnia z kółkiem</v>
      </c>
      <c r="U1733" s="734" t="s">
        <v>5748</v>
      </c>
      <c r="V1733" s="735">
        <v>16</v>
      </c>
      <c r="W1733" s="736"/>
      <c r="X1733" s="737"/>
      <c r="Y1733" s="738"/>
      <c r="Z1733" s="739"/>
      <c r="AA1733" s="739"/>
      <c r="AB1733" s="740">
        <v>16</v>
      </c>
      <c r="AC1733" s="741" t="str">
        <f>'DICTIONARY-5'!$A$11&amp;" 20"</f>
        <v>EN 558 szereg 20</v>
      </c>
      <c r="AD1733" s="733" t="str">
        <f>'DICTIONARY-5'!$A$18&amp;", "&amp;'DICTIONARY-5'!$A$14</f>
        <v>gaz, ścieki</v>
      </c>
      <c r="AE1733" s="742">
        <v>80</v>
      </c>
      <c r="AF1733" s="743">
        <v>3.5</v>
      </c>
      <c r="AG1733" s="741" t="str">
        <f>'DICTIONARY-5'!$A$23</f>
        <v>powłoka epoksydowa</v>
      </c>
    </row>
    <row r="1734" spans="1:33" x14ac:dyDescent="0.25">
      <c r="A1734" s="869" t="s">
        <v>1804</v>
      </c>
      <c r="B1734" s="869" t="s">
        <v>3686</v>
      </c>
      <c r="C1734" s="836">
        <v>247</v>
      </c>
      <c r="D1734" s="836"/>
      <c r="E1734" s="836"/>
      <c r="F1734" s="836"/>
      <c r="G1734" s="496" t="s">
        <v>7832</v>
      </c>
      <c r="H1734" s="797" t="str">
        <f>VLOOKUP(G1734,SETTINGS!$B$7:$D$97,2,0)</f>
        <v>CEREX 300</v>
      </c>
      <c r="I1734" s="796">
        <f>VLOOKUP(G1734,SETTINGS!$B$7:$D$97,3,0)</f>
        <v>0</v>
      </c>
      <c r="J1734" s="670" t="str">
        <f>IFERROR(IF(CURRENCY.FORMAT_1=0,CONCATENATE(TEXT(FIXED(ROUND((C1734/EXC.RATE_1),CURRENCY.FORMAT_1),CURRENCY.FORMAT_1,1),"# ##0;-# ##0"),",-"),FIXED(ROUND((C1734/EXC.RATE_1),CURRENCY.FORMAT_1),CURRENCY.FORMAT_1,0)),'DICTIONARY-5'!$A$2)</f>
        <v>247,-</v>
      </c>
      <c r="K1734" s="670" t="str">
        <f>IF(EXC.RATE_2=0,"",IFERROR(IF(CURRENCY.FORMAT_2=0,CONCATENATE(TEXT(FIXED(ROUND(IF(EXC.RATE.SWITCH=1,C1734/EXC.RATE_2,C1734*EXC.RATE_2),CURRENCY.FORMAT_2),CURRENCY.FORMAT_2,1),"# ##0;-# ##0"),",-"),FIXED(ROUND(IF(EXC.RATE.SWITCH=1,C1734/EXC.RATE_2,C1734*EXC.RATE_2),CURRENCY.FORMAT_2),CURRENCY.FORMAT_2,0)),'DICTIONARY-5'!$A$2))</f>
        <v/>
      </c>
      <c r="L1734" s="670" t="str">
        <f>IFERROR(IF(CURRENCY.FORMAT_1=0,CONCATENATE(TEXT(FIXED(ROUND((C1734*(1-I1734)*(1-ADD.DISCOUNT)*(1+MAT.SURCHARGE)/EXC.RATE_1),CURRENCY.FORMAT_1),CURRENCY.FORMAT_1,1),"# ##0;-# ##0"),",-"),FIXED(ROUND((C1734*(1-I1734)*(1-ADD.DISCOUNT)*(1+MAT.SURCHARGE)/EXC.RATE_1),CURRENCY.FORMAT_1),CURRENCY.FORMAT_1,0)),'DICTIONARY-5'!$A$2)</f>
        <v>257,-</v>
      </c>
      <c r="M1734" s="670" t="str">
        <f>IF(EXC.RATE_2=0,"",IFERROR(IF(CURRENCY.FORMAT_2=0,CONCATENATE(TEXT(FIXED(ROUND(IF(EXC.RATE.SWITCH=1,C1734*(1-I1734)*(1-ADD.DISCOUNT)*(1+MAT.SURCHARGE)/EXC.RATE_2,C1734*(1-I1734)*(1-ADD.DISCOUNT)*(1+MAT.SURCHARGE)*EXC.RATE_2),CURRENCY.FORMAT_2),CURRENCY.FORMAT_2,1),"# ##0;-# ##0"),",-"),FIXED(ROUND(IF(EXC.RATE.SWITCH=1,C1734*(1-I1734)*(1-ADD.DISCOUNT)*(1+MAT.SURCHARGE)/EXC.RATE_2,C1734*(1-I1734)*(1-ADD.DISCOUNT)*(1+MAT.SURCHARGE)*EXC.RATE_2),CURRENCY.FORMAT_2),CURRENCY.FORMAT_2,0)),'DICTIONARY-5'!$A$2))</f>
        <v/>
      </c>
      <c r="N1734" s="535">
        <v>6</v>
      </c>
      <c r="O1734" s="535"/>
      <c r="P1734" s="731" t="str">
        <f>'DICTIONARY-3'!$A$149</f>
        <v>CEREX 300-W</v>
      </c>
      <c r="Q1734" s="732" t="str">
        <f>'DICTIONARY-3'!$A$204</f>
        <v>Przepustnica kołnierzowa</v>
      </c>
      <c r="R1734" s="732" t="str">
        <f>CONCATENATE('DICTIONARY-3'!$A$149," ",'DICTIONARY-6'!$A$2," ",UPPER('DICTIONARY-5'!$A$18)," ",'DICTIONARY-2'!$A$2,"65"," ",'DICTIONARY-2'!$A$3,"10/16"," ","R20"," ",'DICTIONARY-5'!$A$37,"/",'DICTIONARY-5'!$A$45,", ",'DICTIONARY-4'!$A$8," 232-05")</f>
        <v>CEREX 300-W Przep. kołnierz. GAZ DN65 PN10/16 R20 CF8M/NBR, PK 232-05</v>
      </c>
      <c r="S1734" s="733" t="str">
        <f>'DICTIONARY-4'!$A$8</f>
        <v>PK</v>
      </c>
      <c r="T1734" s="732" t="str">
        <f>'DICTIONARY-4'!$A$24</f>
        <v>Przekładnia z kółkiem</v>
      </c>
      <c r="U1734" s="734" t="s">
        <v>5759</v>
      </c>
      <c r="V1734" s="735">
        <v>16</v>
      </c>
      <c r="W1734" s="736"/>
      <c r="X1734" s="737"/>
      <c r="Y1734" s="738"/>
      <c r="Z1734" s="739"/>
      <c r="AA1734" s="739"/>
      <c r="AB1734" s="740">
        <v>16</v>
      </c>
      <c r="AC1734" s="741" t="str">
        <f>'DICTIONARY-5'!$A$11&amp;" 20"</f>
        <v>EN 558 szereg 20</v>
      </c>
      <c r="AD1734" s="733" t="str">
        <f>'DICTIONARY-5'!$A$18&amp;", "&amp;'DICTIONARY-5'!$A$14</f>
        <v>gaz, ścieki</v>
      </c>
      <c r="AE1734" s="742">
        <v>80</v>
      </c>
      <c r="AF1734" s="743">
        <v>4.5</v>
      </c>
      <c r="AG1734" s="741" t="str">
        <f>'DICTIONARY-5'!$A$23</f>
        <v>powłoka epoksydowa</v>
      </c>
    </row>
    <row r="1735" spans="1:33" x14ac:dyDescent="0.25">
      <c r="A1735" s="869" t="s">
        <v>1806</v>
      </c>
      <c r="B1735" s="869" t="s">
        <v>3693</v>
      </c>
      <c r="C1735" s="836">
        <v>255</v>
      </c>
      <c r="D1735" s="836"/>
      <c r="E1735" s="836"/>
      <c r="F1735" s="836"/>
      <c r="G1735" s="496" t="s">
        <v>7832</v>
      </c>
      <c r="H1735" s="797" t="str">
        <f>VLOOKUP(G1735,SETTINGS!$B$7:$D$97,2,0)</f>
        <v>CEREX 300</v>
      </c>
      <c r="I1735" s="796">
        <f>VLOOKUP(G1735,SETTINGS!$B$7:$D$97,3,0)</f>
        <v>0</v>
      </c>
      <c r="J1735" s="670" t="str">
        <f>IFERROR(IF(CURRENCY.FORMAT_1=0,CONCATENATE(TEXT(FIXED(ROUND((C1735/EXC.RATE_1),CURRENCY.FORMAT_1),CURRENCY.FORMAT_1,1),"# ##0;-# ##0"),",-"),FIXED(ROUND((C1735/EXC.RATE_1),CURRENCY.FORMAT_1),CURRENCY.FORMAT_1,0)),'DICTIONARY-5'!$A$2)</f>
        <v>255,-</v>
      </c>
      <c r="K1735" s="670" t="str">
        <f>IF(EXC.RATE_2=0,"",IFERROR(IF(CURRENCY.FORMAT_2=0,CONCATENATE(TEXT(FIXED(ROUND(IF(EXC.RATE.SWITCH=1,C1735/EXC.RATE_2,C1735*EXC.RATE_2),CURRENCY.FORMAT_2),CURRENCY.FORMAT_2,1),"# ##0;-# ##0"),",-"),FIXED(ROUND(IF(EXC.RATE.SWITCH=1,C1735/EXC.RATE_2,C1735*EXC.RATE_2),CURRENCY.FORMAT_2),CURRENCY.FORMAT_2,0)),'DICTIONARY-5'!$A$2))</f>
        <v/>
      </c>
      <c r="L1735" s="670" t="str">
        <f>IFERROR(IF(CURRENCY.FORMAT_1=0,CONCATENATE(TEXT(FIXED(ROUND((C1735*(1-I1735)*(1-ADD.DISCOUNT)*(1+MAT.SURCHARGE)/EXC.RATE_1),CURRENCY.FORMAT_1),CURRENCY.FORMAT_1,1),"# ##0;-# ##0"),",-"),FIXED(ROUND((C1735*(1-I1735)*(1-ADD.DISCOUNT)*(1+MAT.SURCHARGE)/EXC.RATE_1),CURRENCY.FORMAT_1),CURRENCY.FORMAT_1,0)),'DICTIONARY-5'!$A$2)</f>
        <v>265,-</v>
      </c>
      <c r="M1735" s="670" t="str">
        <f>IF(EXC.RATE_2=0,"",IFERROR(IF(CURRENCY.FORMAT_2=0,CONCATENATE(TEXT(FIXED(ROUND(IF(EXC.RATE.SWITCH=1,C1735*(1-I1735)*(1-ADD.DISCOUNT)*(1+MAT.SURCHARGE)/EXC.RATE_2,C1735*(1-I1735)*(1-ADD.DISCOUNT)*(1+MAT.SURCHARGE)*EXC.RATE_2),CURRENCY.FORMAT_2),CURRENCY.FORMAT_2,1),"# ##0;-# ##0"),",-"),FIXED(ROUND(IF(EXC.RATE.SWITCH=1,C1735*(1-I1735)*(1-ADD.DISCOUNT)*(1+MAT.SURCHARGE)/EXC.RATE_2,C1735*(1-I1735)*(1-ADD.DISCOUNT)*(1+MAT.SURCHARGE)*EXC.RATE_2),CURRENCY.FORMAT_2),CURRENCY.FORMAT_2,0)),'DICTIONARY-5'!$A$2))</f>
        <v/>
      </c>
      <c r="N1735" s="535">
        <v>6</v>
      </c>
      <c r="O1735" s="535"/>
      <c r="P1735" s="731" t="str">
        <f>'DICTIONARY-3'!$A$149</f>
        <v>CEREX 300-W</v>
      </c>
      <c r="Q1735" s="732" t="str">
        <f>'DICTIONARY-3'!$A$204</f>
        <v>Przepustnica kołnierzowa</v>
      </c>
      <c r="R1735" s="732" t="str">
        <f>CONCATENATE('DICTIONARY-3'!$A$149," ",'DICTIONARY-6'!$A$2," ",UPPER('DICTIONARY-5'!$A$18)," ",'DICTIONARY-2'!$A$2,"80"," ",'DICTIONARY-2'!$A$3,"10/16"," ","R20"," ",'DICTIONARY-5'!$A$37,"/",'DICTIONARY-5'!$A$45,", ",'DICTIONARY-4'!$A$8," 232-05")</f>
        <v>CEREX 300-W Przep. kołnierz. GAZ DN80 PN10/16 R20 CF8M/NBR, PK 232-05</v>
      </c>
      <c r="S1735" s="733" t="str">
        <f>'DICTIONARY-4'!$A$8</f>
        <v>PK</v>
      </c>
      <c r="T1735" s="732" t="str">
        <f>'DICTIONARY-4'!$A$24</f>
        <v>Przekładnia z kółkiem</v>
      </c>
      <c r="U1735" s="734" t="s">
        <v>5760</v>
      </c>
      <c r="V1735" s="735">
        <v>16</v>
      </c>
      <c r="W1735" s="736"/>
      <c r="X1735" s="737"/>
      <c r="Y1735" s="738"/>
      <c r="Z1735" s="739"/>
      <c r="AA1735" s="739"/>
      <c r="AB1735" s="740">
        <v>16</v>
      </c>
      <c r="AC1735" s="741" t="str">
        <f>'DICTIONARY-5'!$A$11&amp;" 20"</f>
        <v>EN 558 szereg 20</v>
      </c>
      <c r="AD1735" s="733" t="str">
        <f>'DICTIONARY-5'!$A$18&amp;", "&amp;'DICTIONARY-5'!$A$14</f>
        <v>gaz, ścieki</v>
      </c>
      <c r="AE1735" s="742">
        <v>80</v>
      </c>
      <c r="AF1735" s="743">
        <v>4.5</v>
      </c>
      <c r="AG1735" s="741" t="str">
        <f>'DICTIONARY-5'!$A$23</f>
        <v>powłoka epoksydowa</v>
      </c>
    </row>
    <row r="1736" spans="1:33" x14ac:dyDescent="0.25">
      <c r="A1736" s="869" t="s">
        <v>1808</v>
      </c>
      <c r="B1736" s="869" t="s">
        <v>3700</v>
      </c>
      <c r="C1736" s="836">
        <v>299</v>
      </c>
      <c r="D1736" s="836"/>
      <c r="E1736" s="836"/>
      <c r="F1736" s="836"/>
      <c r="G1736" s="496" t="s">
        <v>7832</v>
      </c>
      <c r="H1736" s="797" t="str">
        <f>VLOOKUP(G1736,SETTINGS!$B$7:$D$97,2,0)</f>
        <v>CEREX 300</v>
      </c>
      <c r="I1736" s="796">
        <f>VLOOKUP(G1736,SETTINGS!$B$7:$D$97,3,0)</f>
        <v>0</v>
      </c>
      <c r="J1736" s="670" t="str">
        <f>IFERROR(IF(CURRENCY.FORMAT_1=0,CONCATENATE(TEXT(FIXED(ROUND((C1736/EXC.RATE_1),CURRENCY.FORMAT_1),CURRENCY.FORMAT_1,1),"# ##0;-# ##0"),",-"),FIXED(ROUND((C1736/EXC.RATE_1),CURRENCY.FORMAT_1),CURRENCY.FORMAT_1,0)),'DICTIONARY-5'!$A$2)</f>
        <v>299,-</v>
      </c>
      <c r="K1736" s="670" t="str">
        <f>IF(EXC.RATE_2=0,"",IFERROR(IF(CURRENCY.FORMAT_2=0,CONCATENATE(TEXT(FIXED(ROUND(IF(EXC.RATE.SWITCH=1,C1736/EXC.RATE_2,C1736*EXC.RATE_2),CURRENCY.FORMAT_2),CURRENCY.FORMAT_2,1),"# ##0;-# ##0"),",-"),FIXED(ROUND(IF(EXC.RATE.SWITCH=1,C1736/EXC.RATE_2,C1736*EXC.RATE_2),CURRENCY.FORMAT_2),CURRENCY.FORMAT_2,0)),'DICTIONARY-5'!$A$2))</f>
        <v/>
      </c>
      <c r="L1736" s="670" t="str">
        <f>IFERROR(IF(CURRENCY.FORMAT_1=0,CONCATENATE(TEXT(FIXED(ROUND((C1736*(1-I1736)*(1-ADD.DISCOUNT)*(1+MAT.SURCHARGE)/EXC.RATE_1),CURRENCY.FORMAT_1),CURRENCY.FORMAT_1,1),"# ##0;-# ##0"),",-"),FIXED(ROUND((C1736*(1-I1736)*(1-ADD.DISCOUNT)*(1+MAT.SURCHARGE)/EXC.RATE_1),CURRENCY.FORMAT_1),CURRENCY.FORMAT_1,0)),'DICTIONARY-5'!$A$2)</f>
        <v>311,-</v>
      </c>
      <c r="M1736" s="670" t="str">
        <f>IF(EXC.RATE_2=0,"",IFERROR(IF(CURRENCY.FORMAT_2=0,CONCATENATE(TEXT(FIXED(ROUND(IF(EXC.RATE.SWITCH=1,C1736*(1-I1736)*(1-ADD.DISCOUNT)*(1+MAT.SURCHARGE)/EXC.RATE_2,C1736*(1-I1736)*(1-ADD.DISCOUNT)*(1+MAT.SURCHARGE)*EXC.RATE_2),CURRENCY.FORMAT_2),CURRENCY.FORMAT_2,1),"# ##0;-# ##0"),",-"),FIXED(ROUND(IF(EXC.RATE.SWITCH=1,C1736*(1-I1736)*(1-ADD.DISCOUNT)*(1+MAT.SURCHARGE)/EXC.RATE_2,C1736*(1-I1736)*(1-ADD.DISCOUNT)*(1+MAT.SURCHARGE)*EXC.RATE_2),CURRENCY.FORMAT_2),CURRENCY.FORMAT_2,0)),'DICTIONARY-5'!$A$2))</f>
        <v/>
      </c>
      <c r="N1736" s="535">
        <v>6</v>
      </c>
      <c r="O1736" s="535"/>
      <c r="P1736" s="731" t="str">
        <f>'DICTIONARY-3'!$A$149</f>
        <v>CEREX 300-W</v>
      </c>
      <c r="Q1736" s="732" t="str">
        <f>'DICTIONARY-3'!$A$204</f>
        <v>Przepustnica kołnierzowa</v>
      </c>
      <c r="R1736" s="732" t="str">
        <f>CONCATENATE('DICTIONARY-3'!$A$149," ",'DICTIONARY-6'!$A$2," ",UPPER('DICTIONARY-5'!$A$18)," ",'DICTIONARY-2'!$A$2,"100"," ",'DICTIONARY-2'!$A$3,"10/16"," ","R20"," ",'DICTIONARY-5'!$A$37,"/",'DICTIONARY-5'!$A$45,", ",'DICTIONARY-4'!$A$8," 232-05")</f>
        <v>CEREX 300-W Przep. kołnierz. GAZ DN100 PN10/16 R20 CF8M/NBR, PK 232-05</v>
      </c>
      <c r="S1736" s="733" t="str">
        <f>'DICTIONARY-4'!$A$8</f>
        <v>PK</v>
      </c>
      <c r="T1736" s="732" t="str">
        <f>'DICTIONARY-4'!$A$24</f>
        <v>Przekładnia z kółkiem</v>
      </c>
      <c r="U1736" s="734" t="s">
        <v>5749</v>
      </c>
      <c r="V1736" s="735">
        <v>16</v>
      </c>
      <c r="W1736" s="736"/>
      <c r="X1736" s="737"/>
      <c r="Y1736" s="738"/>
      <c r="Z1736" s="739"/>
      <c r="AA1736" s="739"/>
      <c r="AB1736" s="740">
        <v>16</v>
      </c>
      <c r="AC1736" s="741" t="str">
        <f>'DICTIONARY-5'!$A$11&amp;" 20"</f>
        <v>EN 558 szereg 20</v>
      </c>
      <c r="AD1736" s="733" t="str">
        <f>'DICTIONARY-5'!$A$18&amp;", "&amp;'DICTIONARY-5'!$A$14</f>
        <v>gaz, ścieki</v>
      </c>
      <c r="AE1736" s="742">
        <v>80</v>
      </c>
      <c r="AF1736" s="743">
        <v>7</v>
      </c>
      <c r="AG1736" s="741" t="str">
        <f>'DICTIONARY-5'!$A$23</f>
        <v>powłoka epoksydowa</v>
      </c>
    </row>
    <row r="1737" spans="1:33" x14ac:dyDescent="0.25">
      <c r="A1737" s="869" t="s">
        <v>1810</v>
      </c>
      <c r="B1737" s="869" t="s">
        <v>3707</v>
      </c>
      <c r="C1737" s="836">
        <v>335</v>
      </c>
      <c r="D1737" s="836"/>
      <c r="E1737" s="836"/>
      <c r="F1737" s="836"/>
      <c r="G1737" s="496" t="s">
        <v>7832</v>
      </c>
      <c r="H1737" s="797" t="str">
        <f>VLOOKUP(G1737,SETTINGS!$B$7:$D$97,2,0)</f>
        <v>CEREX 300</v>
      </c>
      <c r="I1737" s="796">
        <f>VLOOKUP(G1737,SETTINGS!$B$7:$D$97,3,0)</f>
        <v>0</v>
      </c>
      <c r="J1737" s="670" t="str">
        <f>IFERROR(IF(CURRENCY.FORMAT_1=0,CONCATENATE(TEXT(FIXED(ROUND((C1737/EXC.RATE_1),CURRENCY.FORMAT_1),CURRENCY.FORMAT_1,1),"# ##0;-# ##0"),",-"),FIXED(ROUND((C1737/EXC.RATE_1),CURRENCY.FORMAT_1),CURRENCY.FORMAT_1,0)),'DICTIONARY-5'!$A$2)</f>
        <v>335,-</v>
      </c>
      <c r="K1737" s="670" t="str">
        <f>IF(EXC.RATE_2=0,"",IFERROR(IF(CURRENCY.FORMAT_2=0,CONCATENATE(TEXT(FIXED(ROUND(IF(EXC.RATE.SWITCH=1,C1737/EXC.RATE_2,C1737*EXC.RATE_2),CURRENCY.FORMAT_2),CURRENCY.FORMAT_2,1),"# ##0;-# ##0"),",-"),FIXED(ROUND(IF(EXC.RATE.SWITCH=1,C1737/EXC.RATE_2,C1737*EXC.RATE_2),CURRENCY.FORMAT_2),CURRENCY.FORMAT_2,0)),'DICTIONARY-5'!$A$2))</f>
        <v/>
      </c>
      <c r="L1737" s="670" t="str">
        <f>IFERROR(IF(CURRENCY.FORMAT_1=0,CONCATENATE(TEXT(FIXED(ROUND((C1737*(1-I1737)*(1-ADD.DISCOUNT)*(1+MAT.SURCHARGE)/EXC.RATE_1),CURRENCY.FORMAT_1),CURRENCY.FORMAT_1,1),"# ##0;-# ##0"),",-"),FIXED(ROUND((C1737*(1-I1737)*(1-ADD.DISCOUNT)*(1+MAT.SURCHARGE)/EXC.RATE_1),CURRENCY.FORMAT_1),CURRENCY.FORMAT_1,0)),'DICTIONARY-5'!$A$2)</f>
        <v>348,-</v>
      </c>
      <c r="M1737" s="670" t="str">
        <f>IF(EXC.RATE_2=0,"",IFERROR(IF(CURRENCY.FORMAT_2=0,CONCATENATE(TEXT(FIXED(ROUND(IF(EXC.RATE.SWITCH=1,C1737*(1-I1737)*(1-ADD.DISCOUNT)*(1+MAT.SURCHARGE)/EXC.RATE_2,C1737*(1-I1737)*(1-ADD.DISCOUNT)*(1+MAT.SURCHARGE)*EXC.RATE_2),CURRENCY.FORMAT_2),CURRENCY.FORMAT_2,1),"# ##0;-# ##0"),",-"),FIXED(ROUND(IF(EXC.RATE.SWITCH=1,C1737*(1-I1737)*(1-ADD.DISCOUNT)*(1+MAT.SURCHARGE)/EXC.RATE_2,C1737*(1-I1737)*(1-ADD.DISCOUNT)*(1+MAT.SURCHARGE)*EXC.RATE_2),CURRENCY.FORMAT_2),CURRENCY.FORMAT_2,0)),'DICTIONARY-5'!$A$2))</f>
        <v/>
      </c>
      <c r="N1737" s="535">
        <v>6</v>
      </c>
      <c r="O1737" s="535"/>
      <c r="P1737" s="731" t="str">
        <f>'DICTIONARY-3'!$A$149</f>
        <v>CEREX 300-W</v>
      </c>
      <c r="Q1737" s="732" t="str">
        <f>'DICTIONARY-3'!$A$204</f>
        <v>Przepustnica kołnierzowa</v>
      </c>
      <c r="R1737" s="732" t="str">
        <f>CONCATENATE('DICTIONARY-3'!$A$149," ",'DICTIONARY-6'!$A$2," ",UPPER('DICTIONARY-5'!$A$18)," ",'DICTIONARY-2'!$A$2,"125"," ",'DICTIONARY-2'!$A$3,"10/16"," ","R20"," ",'DICTIONARY-5'!$A$37,"/",'DICTIONARY-5'!$A$45,", ",'DICTIONARY-4'!$A$8," 232-05")</f>
        <v>CEREX 300-W Przep. kołnierz. GAZ DN125 PN10/16 R20 CF8M/NBR, PK 232-05</v>
      </c>
      <c r="S1737" s="733" t="str">
        <f>'DICTIONARY-4'!$A$8</f>
        <v>PK</v>
      </c>
      <c r="T1737" s="732" t="str">
        <f>'DICTIONARY-4'!$A$24</f>
        <v>Przekładnia z kółkiem</v>
      </c>
      <c r="U1737" s="734" t="s">
        <v>5761</v>
      </c>
      <c r="V1737" s="735">
        <v>16</v>
      </c>
      <c r="W1737" s="736"/>
      <c r="X1737" s="737"/>
      <c r="Y1737" s="738"/>
      <c r="Z1737" s="739"/>
      <c r="AA1737" s="739"/>
      <c r="AB1737" s="740">
        <v>16</v>
      </c>
      <c r="AC1737" s="741" t="str">
        <f>'DICTIONARY-5'!$A$11&amp;" 20"</f>
        <v>EN 558 szereg 20</v>
      </c>
      <c r="AD1737" s="733" t="str">
        <f>'DICTIONARY-5'!$A$18&amp;", "&amp;'DICTIONARY-5'!$A$14</f>
        <v>gaz, ścieki</v>
      </c>
      <c r="AE1737" s="742">
        <v>80</v>
      </c>
      <c r="AF1737" s="743">
        <v>8</v>
      </c>
      <c r="AG1737" s="741" t="str">
        <f>'DICTIONARY-5'!$A$23</f>
        <v>powłoka epoksydowa</v>
      </c>
    </row>
    <row r="1738" spans="1:33" x14ac:dyDescent="0.25">
      <c r="A1738" s="869" t="s">
        <v>1812</v>
      </c>
      <c r="B1738" s="869" t="s">
        <v>3714</v>
      </c>
      <c r="C1738" s="836">
        <v>459</v>
      </c>
      <c r="D1738" s="836"/>
      <c r="E1738" s="836"/>
      <c r="F1738" s="836"/>
      <c r="G1738" s="496" t="s">
        <v>7832</v>
      </c>
      <c r="H1738" s="797" t="str">
        <f>VLOOKUP(G1738,SETTINGS!$B$7:$D$97,2,0)</f>
        <v>CEREX 300</v>
      </c>
      <c r="I1738" s="796">
        <f>VLOOKUP(G1738,SETTINGS!$B$7:$D$97,3,0)</f>
        <v>0</v>
      </c>
      <c r="J1738" s="670" t="str">
        <f>IFERROR(IF(CURRENCY.FORMAT_1=0,CONCATENATE(TEXT(FIXED(ROUND((C1738/EXC.RATE_1),CURRENCY.FORMAT_1),CURRENCY.FORMAT_1,1),"# ##0;-# ##0"),",-"),FIXED(ROUND((C1738/EXC.RATE_1),CURRENCY.FORMAT_1),CURRENCY.FORMAT_1,0)),'DICTIONARY-5'!$A$2)</f>
        <v>459,-</v>
      </c>
      <c r="K1738" s="670" t="str">
        <f>IF(EXC.RATE_2=0,"",IFERROR(IF(CURRENCY.FORMAT_2=0,CONCATENATE(TEXT(FIXED(ROUND(IF(EXC.RATE.SWITCH=1,C1738/EXC.RATE_2,C1738*EXC.RATE_2),CURRENCY.FORMAT_2),CURRENCY.FORMAT_2,1),"# ##0;-# ##0"),",-"),FIXED(ROUND(IF(EXC.RATE.SWITCH=1,C1738/EXC.RATE_2,C1738*EXC.RATE_2),CURRENCY.FORMAT_2),CURRENCY.FORMAT_2,0)),'DICTIONARY-5'!$A$2))</f>
        <v/>
      </c>
      <c r="L1738" s="670" t="str">
        <f>IFERROR(IF(CURRENCY.FORMAT_1=0,CONCATENATE(TEXT(FIXED(ROUND((C1738*(1-I1738)*(1-ADD.DISCOUNT)*(1+MAT.SURCHARGE)/EXC.RATE_1),CURRENCY.FORMAT_1),CURRENCY.FORMAT_1,1),"# ##0;-# ##0"),",-"),FIXED(ROUND((C1738*(1-I1738)*(1-ADD.DISCOUNT)*(1+MAT.SURCHARGE)/EXC.RATE_1),CURRENCY.FORMAT_1),CURRENCY.FORMAT_1,0)),'DICTIONARY-5'!$A$2)</f>
        <v>477,-</v>
      </c>
      <c r="M1738" s="670" t="str">
        <f>IF(EXC.RATE_2=0,"",IFERROR(IF(CURRENCY.FORMAT_2=0,CONCATENATE(TEXT(FIXED(ROUND(IF(EXC.RATE.SWITCH=1,C1738*(1-I1738)*(1-ADD.DISCOUNT)*(1+MAT.SURCHARGE)/EXC.RATE_2,C1738*(1-I1738)*(1-ADD.DISCOUNT)*(1+MAT.SURCHARGE)*EXC.RATE_2),CURRENCY.FORMAT_2),CURRENCY.FORMAT_2,1),"# ##0;-# ##0"),",-"),FIXED(ROUND(IF(EXC.RATE.SWITCH=1,C1738*(1-I1738)*(1-ADD.DISCOUNT)*(1+MAT.SURCHARGE)/EXC.RATE_2,C1738*(1-I1738)*(1-ADD.DISCOUNT)*(1+MAT.SURCHARGE)*EXC.RATE_2),CURRENCY.FORMAT_2),CURRENCY.FORMAT_2,0)),'DICTIONARY-5'!$A$2))</f>
        <v/>
      </c>
      <c r="N1738" s="535">
        <v>6</v>
      </c>
      <c r="O1738" s="535"/>
      <c r="P1738" s="731" t="str">
        <f>'DICTIONARY-3'!$A$149</f>
        <v>CEREX 300-W</v>
      </c>
      <c r="Q1738" s="732" t="str">
        <f>'DICTIONARY-3'!$A$204</f>
        <v>Przepustnica kołnierzowa</v>
      </c>
      <c r="R1738" s="732" t="str">
        <f>CONCATENATE('DICTIONARY-3'!$A$149," ",'DICTIONARY-6'!$A$2," ",UPPER('DICTIONARY-5'!$A$18)," ",'DICTIONARY-2'!$A$2,"150"," ",'DICTIONARY-2'!$A$3,"10/16"," ","R20"," ",'DICTIONARY-5'!$A$37,"/",'DICTIONARY-5'!$A$45,", ",'DICTIONARY-4'!$A$8," 232-06")</f>
        <v>CEREX 300-W Przep. kołnierz. GAZ DN150 PN10/16 R20 CF8M/NBR, PK 232-06</v>
      </c>
      <c r="S1738" s="733" t="str">
        <f>'DICTIONARY-4'!$A$8</f>
        <v>PK</v>
      </c>
      <c r="T1738" s="732" t="str">
        <f>'DICTIONARY-4'!$A$24</f>
        <v>Przekładnia z kółkiem</v>
      </c>
      <c r="U1738" s="734" t="s">
        <v>5572</v>
      </c>
      <c r="V1738" s="735">
        <v>16</v>
      </c>
      <c r="W1738" s="736"/>
      <c r="X1738" s="737"/>
      <c r="Y1738" s="738"/>
      <c r="Z1738" s="739"/>
      <c r="AA1738" s="739"/>
      <c r="AB1738" s="740">
        <v>16</v>
      </c>
      <c r="AC1738" s="741" t="str">
        <f>'DICTIONARY-5'!$A$11&amp;" 20"</f>
        <v>EN 558 szereg 20</v>
      </c>
      <c r="AD1738" s="733" t="str">
        <f>'DICTIONARY-5'!$A$18&amp;", "&amp;'DICTIONARY-5'!$A$14</f>
        <v>gaz, ścieki</v>
      </c>
      <c r="AE1738" s="742">
        <v>80</v>
      </c>
      <c r="AF1738" s="743">
        <v>11.5</v>
      </c>
      <c r="AG1738" s="741" t="str">
        <f>'DICTIONARY-5'!$A$23</f>
        <v>powłoka epoksydowa</v>
      </c>
    </row>
    <row r="1739" spans="1:33" x14ac:dyDescent="0.25">
      <c r="A1739" s="869" t="s">
        <v>1814</v>
      </c>
      <c r="B1739" s="869" t="s">
        <v>3721</v>
      </c>
      <c r="C1739" s="836">
        <v>618</v>
      </c>
      <c r="D1739" s="836"/>
      <c r="E1739" s="836"/>
      <c r="F1739" s="836"/>
      <c r="G1739" s="496" t="s">
        <v>7832</v>
      </c>
      <c r="H1739" s="797" t="str">
        <f>VLOOKUP(G1739,SETTINGS!$B$7:$D$97,2,0)</f>
        <v>CEREX 300</v>
      </c>
      <c r="I1739" s="796">
        <f>VLOOKUP(G1739,SETTINGS!$B$7:$D$97,3,0)</f>
        <v>0</v>
      </c>
      <c r="J1739" s="670" t="str">
        <f>IFERROR(IF(CURRENCY.FORMAT_1=0,CONCATENATE(TEXT(FIXED(ROUND((C1739/EXC.RATE_1),CURRENCY.FORMAT_1),CURRENCY.FORMAT_1,1),"# ##0;-# ##0"),",-"),FIXED(ROUND((C1739/EXC.RATE_1),CURRENCY.FORMAT_1),CURRENCY.FORMAT_1,0)),'DICTIONARY-5'!$A$2)</f>
        <v>618,-</v>
      </c>
      <c r="K1739" s="670" t="str">
        <f>IF(EXC.RATE_2=0,"",IFERROR(IF(CURRENCY.FORMAT_2=0,CONCATENATE(TEXT(FIXED(ROUND(IF(EXC.RATE.SWITCH=1,C1739/EXC.RATE_2,C1739*EXC.RATE_2),CURRENCY.FORMAT_2),CURRENCY.FORMAT_2,1),"# ##0;-# ##0"),",-"),FIXED(ROUND(IF(EXC.RATE.SWITCH=1,C1739/EXC.RATE_2,C1739*EXC.RATE_2),CURRENCY.FORMAT_2),CURRENCY.FORMAT_2,0)),'DICTIONARY-5'!$A$2))</f>
        <v/>
      </c>
      <c r="L1739" s="670" t="str">
        <f>IFERROR(IF(CURRENCY.FORMAT_1=0,CONCATENATE(TEXT(FIXED(ROUND((C1739*(1-I1739)*(1-ADD.DISCOUNT)*(1+MAT.SURCHARGE)/EXC.RATE_1),CURRENCY.FORMAT_1),CURRENCY.FORMAT_1,1),"# ##0;-# ##0"),",-"),FIXED(ROUND((C1739*(1-I1739)*(1-ADD.DISCOUNT)*(1+MAT.SURCHARGE)/EXC.RATE_1),CURRENCY.FORMAT_1),CURRENCY.FORMAT_1,0)),'DICTIONARY-5'!$A$2)</f>
        <v>642,-</v>
      </c>
      <c r="M1739" s="670" t="str">
        <f>IF(EXC.RATE_2=0,"",IFERROR(IF(CURRENCY.FORMAT_2=0,CONCATENATE(TEXT(FIXED(ROUND(IF(EXC.RATE.SWITCH=1,C1739*(1-I1739)*(1-ADD.DISCOUNT)*(1+MAT.SURCHARGE)/EXC.RATE_2,C1739*(1-I1739)*(1-ADD.DISCOUNT)*(1+MAT.SURCHARGE)*EXC.RATE_2),CURRENCY.FORMAT_2),CURRENCY.FORMAT_2,1),"# ##0;-# ##0"),",-"),FIXED(ROUND(IF(EXC.RATE.SWITCH=1,C1739*(1-I1739)*(1-ADD.DISCOUNT)*(1+MAT.SURCHARGE)/EXC.RATE_2,C1739*(1-I1739)*(1-ADD.DISCOUNT)*(1+MAT.SURCHARGE)*EXC.RATE_2),CURRENCY.FORMAT_2),CURRENCY.FORMAT_2,0)),'DICTIONARY-5'!$A$2))</f>
        <v/>
      </c>
      <c r="N1739" s="535">
        <v>6</v>
      </c>
      <c r="O1739" s="535"/>
      <c r="P1739" s="731" t="str">
        <f>'DICTIONARY-3'!$A$149</f>
        <v>CEREX 300-W</v>
      </c>
      <c r="Q1739" s="732" t="str">
        <f>'DICTIONARY-3'!$A$204</f>
        <v>Przepustnica kołnierzowa</v>
      </c>
      <c r="R1739" s="732" t="str">
        <f>CONCATENATE('DICTIONARY-3'!$A$149," ",'DICTIONARY-6'!$A$2," ",UPPER('DICTIONARY-5'!$A$18)," ",'DICTIONARY-2'!$A$2,"200"," ",'DICTIONARY-2'!$A$3,"10/16"," ","R20"," ",'DICTIONARY-5'!$A$37,"/",'DICTIONARY-5'!$A$45,", ",'DICTIONARY-4'!$A$8," 232-08")</f>
        <v>CEREX 300-W Przep. kołnierz. GAZ DN200 PN10/16 R20 CF8M/NBR, PK 232-08</v>
      </c>
      <c r="S1739" s="733" t="str">
        <f>'DICTIONARY-4'!$A$8</f>
        <v>PK</v>
      </c>
      <c r="T1739" s="732" t="str">
        <f>'DICTIONARY-4'!$A$24</f>
        <v>Przekładnia z kółkiem</v>
      </c>
      <c r="U1739" s="734" t="s">
        <v>5750</v>
      </c>
      <c r="V1739" s="735">
        <v>16</v>
      </c>
      <c r="W1739" s="736"/>
      <c r="X1739" s="737"/>
      <c r="Y1739" s="738"/>
      <c r="Z1739" s="739"/>
      <c r="AA1739" s="739"/>
      <c r="AB1739" s="740">
        <v>16</v>
      </c>
      <c r="AC1739" s="741" t="str">
        <f>'DICTIONARY-5'!$A$11&amp;" 20"</f>
        <v>EN 558 szereg 20</v>
      </c>
      <c r="AD1739" s="733" t="str">
        <f>'DICTIONARY-5'!$A$18&amp;", "&amp;'DICTIONARY-5'!$A$14</f>
        <v>gaz, ścieki</v>
      </c>
      <c r="AE1739" s="742">
        <v>80</v>
      </c>
      <c r="AF1739" s="743">
        <v>16</v>
      </c>
      <c r="AG1739" s="741" t="str">
        <f>'DICTIONARY-5'!$A$23</f>
        <v>powłoka epoksydowa</v>
      </c>
    </row>
    <row r="1740" spans="1:33" x14ac:dyDescent="0.25">
      <c r="A1740" s="869" t="s">
        <v>1816</v>
      </c>
      <c r="B1740" s="869" t="s">
        <v>3725</v>
      </c>
      <c r="C1740" s="836">
        <v>730</v>
      </c>
      <c r="D1740" s="836"/>
      <c r="E1740" s="836"/>
      <c r="F1740" s="836"/>
      <c r="G1740" s="496" t="s">
        <v>7832</v>
      </c>
      <c r="H1740" s="797" t="str">
        <f>VLOOKUP(G1740,SETTINGS!$B$7:$D$97,2,0)</f>
        <v>CEREX 300</v>
      </c>
      <c r="I1740" s="796">
        <f>VLOOKUP(G1740,SETTINGS!$B$7:$D$97,3,0)</f>
        <v>0</v>
      </c>
      <c r="J1740" s="670" t="str">
        <f>IFERROR(IF(CURRENCY.FORMAT_1=0,CONCATENATE(TEXT(FIXED(ROUND((C1740/EXC.RATE_1),CURRENCY.FORMAT_1),CURRENCY.FORMAT_1,1),"# ##0;-# ##0"),",-"),FIXED(ROUND((C1740/EXC.RATE_1),CURRENCY.FORMAT_1),CURRENCY.FORMAT_1,0)),'DICTIONARY-5'!$A$2)</f>
        <v>730,-</v>
      </c>
      <c r="K1740" s="670" t="str">
        <f>IF(EXC.RATE_2=0,"",IFERROR(IF(CURRENCY.FORMAT_2=0,CONCATENATE(TEXT(FIXED(ROUND(IF(EXC.RATE.SWITCH=1,C1740/EXC.RATE_2,C1740*EXC.RATE_2),CURRENCY.FORMAT_2),CURRENCY.FORMAT_2,1),"# ##0;-# ##0"),",-"),FIXED(ROUND(IF(EXC.RATE.SWITCH=1,C1740/EXC.RATE_2,C1740*EXC.RATE_2),CURRENCY.FORMAT_2),CURRENCY.FORMAT_2,0)),'DICTIONARY-5'!$A$2))</f>
        <v/>
      </c>
      <c r="L1740" s="670" t="str">
        <f>IFERROR(IF(CURRENCY.FORMAT_1=0,CONCATENATE(TEXT(FIXED(ROUND((C1740*(1-I1740)*(1-ADD.DISCOUNT)*(1+MAT.SURCHARGE)/EXC.RATE_1),CURRENCY.FORMAT_1),CURRENCY.FORMAT_1,1),"# ##0;-# ##0"),",-"),FIXED(ROUND((C1740*(1-I1740)*(1-ADD.DISCOUNT)*(1+MAT.SURCHARGE)/EXC.RATE_1),CURRENCY.FORMAT_1),CURRENCY.FORMAT_1,0)),'DICTIONARY-5'!$A$2)</f>
        <v>758,-</v>
      </c>
      <c r="M1740" s="670" t="str">
        <f>IF(EXC.RATE_2=0,"",IFERROR(IF(CURRENCY.FORMAT_2=0,CONCATENATE(TEXT(FIXED(ROUND(IF(EXC.RATE.SWITCH=1,C1740*(1-I1740)*(1-ADD.DISCOUNT)*(1+MAT.SURCHARGE)/EXC.RATE_2,C1740*(1-I1740)*(1-ADD.DISCOUNT)*(1+MAT.SURCHARGE)*EXC.RATE_2),CURRENCY.FORMAT_2),CURRENCY.FORMAT_2,1),"# ##0;-# ##0"),",-"),FIXED(ROUND(IF(EXC.RATE.SWITCH=1,C1740*(1-I1740)*(1-ADD.DISCOUNT)*(1+MAT.SURCHARGE)/EXC.RATE_2,C1740*(1-I1740)*(1-ADD.DISCOUNT)*(1+MAT.SURCHARGE)*EXC.RATE_2),CURRENCY.FORMAT_2),CURRENCY.FORMAT_2,0)),'DICTIONARY-5'!$A$2))</f>
        <v/>
      </c>
      <c r="N1740" s="535">
        <v>6</v>
      </c>
      <c r="O1740" s="535"/>
      <c r="P1740" s="731" t="str">
        <f>'DICTIONARY-3'!$A$149</f>
        <v>CEREX 300-W</v>
      </c>
      <c r="Q1740" s="732" t="str">
        <f>'DICTIONARY-3'!$A$204</f>
        <v>Przepustnica kołnierzowa</v>
      </c>
      <c r="R1740" s="732" t="str">
        <f>CONCATENATE('DICTIONARY-3'!$A$149," ",'DICTIONARY-6'!$A$2," ",UPPER('DICTIONARY-5'!$A$18)," ",'DICTIONARY-2'!$A$2,"250"," ",'DICTIONARY-2'!$A$3,"10/16"," ","R20"," ",'DICTIONARY-5'!$A$37,"/",'DICTIONARY-5'!$A$45,", ",'DICTIONARY-4'!$A$8," 232-08")</f>
        <v>CEREX 300-W Przep. kołnierz. GAZ DN250 PN10/16 R20 CF8M/NBR, PK 232-08</v>
      </c>
      <c r="S1740" s="733" t="str">
        <f>'DICTIONARY-4'!$A$8</f>
        <v>PK</v>
      </c>
      <c r="T1740" s="732" t="str">
        <f>'DICTIONARY-4'!$A$24</f>
        <v>Przekładnia z kółkiem</v>
      </c>
      <c r="U1740" s="734" t="s">
        <v>5751</v>
      </c>
      <c r="V1740" s="735">
        <v>16</v>
      </c>
      <c r="W1740" s="736"/>
      <c r="X1740" s="737"/>
      <c r="Y1740" s="738"/>
      <c r="Z1740" s="739"/>
      <c r="AA1740" s="739"/>
      <c r="AB1740" s="740">
        <v>16</v>
      </c>
      <c r="AC1740" s="741" t="str">
        <f>'DICTIONARY-5'!$A$11&amp;" 20"</f>
        <v>EN 558 szereg 20</v>
      </c>
      <c r="AD1740" s="733" t="str">
        <f>'DICTIONARY-5'!$A$18&amp;", "&amp;'DICTIONARY-5'!$A$14</f>
        <v>gaz, ścieki</v>
      </c>
      <c r="AE1740" s="742">
        <v>80</v>
      </c>
      <c r="AF1740" s="743">
        <v>25</v>
      </c>
      <c r="AG1740" s="741" t="str">
        <f>'DICTIONARY-5'!$A$23</f>
        <v>powłoka epoksydowa</v>
      </c>
    </row>
    <row r="1741" spans="1:33" x14ac:dyDescent="0.25">
      <c r="A1741" s="869" t="s">
        <v>1818</v>
      </c>
      <c r="B1741" s="869" t="s">
        <v>3729</v>
      </c>
      <c r="C1741" s="836">
        <v>1043</v>
      </c>
      <c r="D1741" s="836"/>
      <c r="E1741" s="836"/>
      <c r="F1741" s="836"/>
      <c r="G1741" s="496" t="s">
        <v>7832</v>
      </c>
      <c r="H1741" s="797" t="str">
        <f>VLOOKUP(G1741,SETTINGS!$B$7:$D$97,2,0)</f>
        <v>CEREX 300</v>
      </c>
      <c r="I1741" s="796">
        <f>VLOOKUP(G1741,SETTINGS!$B$7:$D$97,3,0)</f>
        <v>0</v>
      </c>
      <c r="J1741" s="670" t="str">
        <f>IFERROR(IF(CURRENCY.FORMAT_1=0,CONCATENATE(TEXT(FIXED(ROUND((C1741/EXC.RATE_1),CURRENCY.FORMAT_1),CURRENCY.FORMAT_1,1),"# ##0;-# ##0"),",-"),FIXED(ROUND((C1741/EXC.RATE_1),CURRENCY.FORMAT_1),CURRENCY.FORMAT_1,0)),'DICTIONARY-5'!$A$2)</f>
        <v>1 043,-</v>
      </c>
      <c r="K1741" s="670" t="str">
        <f>IF(EXC.RATE_2=0,"",IFERROR(IF(CURRENCY.FORMAT_2=0,CONCATENATE(TEXT(FIXED(ROUND(IF(EXC.RATE.SWITCH=1,C1741/EXC.RATE_2,C1741*EXC.RATE_2),CURRENCY.FORMAT_2),CURRENCY.FORMAT_2,1),"# ##0;-# ##0"),",-"),FIXED(ROUND(IF(EXC.RATE.SWITCH=1,C1741/EXC.RATE_2,C1741*EXC.RATE_2),CURRENCY.FORMAT_2),CURRENCY.FORMAT_2,0)),'DICTIONARY-5'!$A$2))</f>
        <v/>
      </c>
      <c r="L1741" s="670" t="str">
        <f>IFERROR(IF(CURRENCY.FORMAT_1=0,CONCATENATE(TEXT(FIXED(ROUND((C1741*(1-I1741)*(1-ADD.DISCOUNT)*(1+MAT.SURCHARGE)/EXC.RATE_1),CURRENCY.FORMAT_1),CURRENCY.FORMAT_1,1),"# ##0;-# ##0"),",-"),FIXED(ROUND((C1741*(1-I1741)*(1-ADD.DISCOUNT)*(1+MAT.SURCHARGE)/EXC.RATE_1),CURRENCY.FORMAT_1),CURRENCY.FORMAT_1,0)),'DICTIONARY-5'!$A$2)</f>
        <v>1 084,-</v>
      </c>
      <c r="M1741" s="670" t="str">
        <f>IF(EXC.RATE_2=0,"",IFERROR(IF(CURRENCY.FORMAT_2=0,CONCATENATE(TEXT(FIXED(ROUND(IF(EXC.RATE.SWITCH=1,C1741*(1-I1741)*(1-ADD.DISCOUNT)*(1+MAT.SURCHARGE)/EXC.RATE_2,C1741*(1-I1741)*(1-ADD.DISCOUNT)*(1+MAT.SURCHARGE)*EXC.RATE_2),CURRENCY.FORMAT_2),CURRENCY.FORMAT_2,1),"# ##0;-# ##0"),",-"),FIXED(ROUND(IF(EXC.RATE.SWITCH=1,C1741*(1-I1741)*(1-ADD.DISCOUNT)*(1+MAT.SURCHARGE)/EXC.RATE_2,C1741*(1-I1741)*(1-ADD.DISCOUNT)*(1+MAT.SURCHARGE)*EXC.RATE_2),CURRENCY.FORMAT_2),CURRENCY.FORMAT_2,0)),'DICTIONARY-5'!$A$2))</f>
        <v/>
      </c>
      <c r="N1741" s="535">
        <v>6</v>
      </c>
      <c r="O1741" s="535"/>
      <c r="P1741" s="731" t="str">
        <f>'DICTIONARY-3'!$A$149</f>
        <v>CEREX 300-W</v>
      </c>
      <c r="Q1741" s="732" t="str">
        <f>'DICTIONARY-3'!$A$204</f>
        <v>Przepustnica kołnierzowa</v>
      </c>
      <c r="R1741" s="732" t="str">
        <f>CONCATENATE('DICTIONARY-3'!$A$149," ",'DICTIONARY-6'!$A$2," ",UPPER('DICTIONARY-5'!$A$18)," ",'DICTIONARY-2'!$A$2,"300"," ",'DICTIONARY-2'!$A$3,"10/16"," ","R20"," ",'DICTIONARY-5'!$A$37,"/",'DICTIONARY-5'!$A$45,", ",'DICTIONARY-4'!$A$8," 232-11")</f>
        <v>CEREX 300-W Przep. kołnierz. GAZ DN300 PN10/16 R20 CF8M/NBR, PK 232-11</v>
      </c>
      <c r="S1741" s="733" t="str">
        <f>'DICTIONARY-4'!$A$8</f>
        <v>PK</v>
      </c>
      <c r="T1741" s="732" t="str">
        <f>'DICTIONARY-4'!$A$24</f>
        <v>Przekładnia z kółkiem</v>
      </c>
      <c r="U1741" s="734" t="s">
        <v>5752</v>
      </c>
      <c r="V1741" s="735">
        <v>16</v>
      </c>
      <c r="W1741" s="736"/>
      <c r="X1741" s="737"/>
      <c r="Y1741" s="738"/>
      <c r="Z1741" s="739"/>
      <c r="AA1741" s="739"/>
      <c r="AB1741" s="740">
        <v>16</v>
      </c>
      <c r="AC1741" s="741" t="str">
        <f>'DICTIONARY-5'!$A$11&amp;" 20"</f>
        <v>EN 558 szereg 20</v>
      </c>
      <c r="AD1741" s="733" t="str">
        <f>'DICTIONARY-5'!$A$18&amp;", "&amp;'DICTIONARY-5'!$A$14</f>
        <v>gaz, ścieki</v>
      </c>
      <c r="AE1741" s="742">
        <v>80</v>
      </c>
      <c r="AF1741" s="743">
        <v>36.5</v>
      </c>
      <c r="AG1741" s="741" t="str">
        <f>'DICTIONARY-5'!$A$23</f>
        <v>powłoka epoksydowa</v>
      </c>
    </row>
    <row r="1742" spans="1:33" x14ac:dyDescent="0.25">
      <c r="A1742" s="866" t="s">
        <v>1820</v>
      </c>
      <c r="B1742" s="866" t="s">
        <v>3733</v>
      </c>
      <c r="C1742" s="836">
        <v>1454</v>
      </c>
      <c r="D1742" s="836"/>
      <c r="E1742" s="836"/>
      <c r="F1742" s="836"/>
      <c r="G1742" s="496" t="s">
        <v>7832</v>
      </c>
      <c r="H1742" s="797" t="str">
        <f>VLOOKUP(G1742,SETTINGS!$B$7:$D$97,2,0)</f>
        <v>CEREX 300</v>
      </c>
      <c r="I1742" s="796">
        <f>VLOOKUP(G1742,SETTINGS!$B$7:$D$97,3,0)</f>
        <v>0</v>
      </c>
      <c r="J1742" s="670" t="str">
        <f>IFERROR(IF(CURRENCY.FORMAT_1=0,CONCATENATE(TEXT(FIXED(ROUND((C1742/EXC.RATE_1),CURRENCY.FORMAT_1),CURRENCY.FORMAT_1,1),"# ##0;-# ##0"),",-"),FIXED(ROUND((C1742/EXC.RATE_1),CURRENCY.FORMAT_1),CURRENCY.FORMAT_1,0)),'DICTIONARY-5'!$A$2)</f>
        <v>1 454,-</v>
      </c>
      <c r="K1742" s="670" t="str">
        <f>IF(EXC.RATE_2=0,"",IFERROR(IF(CURRENCY.FORMAT_2=0,CONCATENATE(TEXT(FIXED(ROUND(IF(EXC.RATE.SWITCH=1,C1742/EXC.RATE_2,C1742*EXC.RATE_2),CURRENCY.FORMAT_2),CURRENCY.FORMAT_2,1),"# ##0;-# ##0"),",-"),FIXED(ROUND(IF(EXC.RATE.SWITCH=1,C1742/EXC.RATE_2,C1742*EXC.RATE_2),CURRENCY.FORMAT_2),CURRENCY.FORMAT_2,0)),'DICTIONARY-5'!$A$2))</f>
        <v/>
      </c>
      <c r="L1742" s="670" t="str">
        <f>IFERROR(IF(CURRENCY.FORMAT_1=0,CONCATENATE(TEXT(FIXED(ROUND((C1742*(1-I1742)*(1-ADD.DISCOUNT)*(1+MAT.SURCHARGE)/EXC.RATE_1),CURRENCY.FORMAT_1),CURRENCY.FORMAT_1,1),"# ##0;-# ##0"),",-"),FIXED(ROUND((C1742*(1-I1742)*(1-ADD.DISCOUNT)*(1+MAT.SURCHARGE)/EXC.RATE_1),CURRENCY.FORMAT_1),CURRENCY.FORMAT_1,0)),'DICTIONARY-5'!$A$2)</f>
        <v>1 511,-</v>
      </c>
      <c r="M1742" s="670" t="str">
        <f>IF(EXC.RATE_2=0,"",IFERROR(IF(CURRENCY.FORMAT_2=0,CONCATENATE(TEXT(FIXED(ROUND(IF(EXC.RATE.SWITCH=1,C1742*(1-I1742)*(1-ADD.DISCOUNT)*(1+MAT.SURCHARGE)/EXC.RATE_2,C1742*(1-I1742)*(1-ADD.DISCOUNT)*(1+MAT.SURCHARGE)*EXC.RATE_2),CURRENCY.FORMAT_2),CURRENCY.FORMAT_2,1),"# ##0;-# ##0"),",-"),FIXED(ROUND(IF(EXC.RATE.SWITCH=1,C1742*(1-I1742)*(1-ADD.DISCOUNT)*(1+MAT.SURCHARGE)/EXC.RATE_2,C1742*(1-I1742)*(1-ADD.DISCOUNT)*(1+MAT.SURCHARGE)*EXC.RATE_2),CURRENCY.FORMAT_2),CURRENCY.FORMAT_2,0)),'DICTIONARY-5'!$A$2))</f>
        <v/>
      </c>
      <c r="N1742" s="541">
        <v>6</v>
      </c>
      <c r="O1742" s="541"/>
      <c r="P1742" s="731" t="str">
        <f>'DICTIONARY-3'!$A$149</f>
        <v>CEREX 300-W</v>
      </c>
      <c r="Q1742" s="731" t="str">
        <f>'DICTIONARY-3'!$A$204</f>
        <v>Przepustnica kołnierzowa</v>
      </c>
      <c r="R1742" s="732" t="str">
        <f>CONCATENATE('DICTIONARY-3'!$A$149," ",'DICTIONARY-6'!$A$2," ",'DICTIONARY-2'!$A$2,"350"," ",'DICTIONARY-2'!$A$3,"10/16"," ","R20"," ",'DICTIONARY-5'!$A$37,"/",'DICTIONARY-5'!$A$45,", ",'DICTIONARY-4'!$A$8," 232-11")</f>
        <v>CEREX 300-W Przep. kołnierz. DN350 PN10/16 R20 CF8M/NBR, PK 232-11</v>
      </c>
      <c r="S1742" s="733" t="str">
        <f>'DICTIONARY-4'!$A$8</f>
        <v>PK</v>
      </c>
      <c r="T1742" s="732" t="str">
        <f>'DICTIONARY-4'!$A$24</f>
        <v>Przekładnia z kółkiem</v>
      </c>
      <c r="U1742" s="734" t="s">
        <v>5753</v>
      </c>
      <c r="V1742" s="735">
        <v>16</v>
      </c>
      <c r="W1742" s="736"/>
      <c r="X1742" s="737"/>
      <c r="Y1742" s="738"/>
      <c r="Z1742" s="739"/>
      <c r="AA1742" s="739"/>
      <c r="AB1742" s="740">
        <v>16</v>
      </c>
      <c r="AC1742" s="741" t="str">
        <f>'DICTIONARY-5'!$A$11&amp;" 20"</f>
        <v>EN 558 szereg 20</v>
      </c>
      <c r="AD1742" s="741" t="str">
        <f>'DICTIONARY-5'!$A$14</f>
        <v>ścieki</v>
      </c>
      <c r="AE1742" s="742">
        <v>80</v>
      </c>
      <c r="AF1742" s="743">
        <v>45</v>
      </c>
      <c r="AG1742" s="741" t="str">
        <f>'DICTIONARY-5'!$A$23</f>
        <v>powłoka epoksydowa</v>
      </c>
    </row>
    <row r="1743" spans="1:33" x14ac:dyDescent="0.25">
      <c r="A1743" s="866" t="s">
        <v>1822</v>
      </c>
      <c r="B1743" s="866" t="s">
        <v>3735</v>
      </c>
      <c r="C1743" s="836">
        <v>1995</v>
      </c>
      <c r="D1743" s="836"/>
      <c r="E1743" s="836"/>
      <c r="F1743" s="836"/>
      <c r="G1743" s="496" t="s">
        <v>7832</v>
      </c>
      <c r="H1743" s="797" t="str">
        <f>VLOOKUP(G1743,SETTINGS!$B$7:$D$97,2,0)</f>
        <v>CEREX 300</v>
      </c>
      <c r="I1743" s="796">
        <f>VLOOKUP(G1743,SETTINGS!$B$7:$D$97,3,0)</f>
        <v>0</v>
      </c>
      <c r="J1743" s="670" t="str">
        <f>IFERROR(IF(CURRENCY.FORMAT_1=0,CONCATENATE(TEXT(FIXED(ROUND((C1743/EXC.RATE_1),CURRENCY.FORMAT_1),CURRENCY.FORMAT_1,1),"# ##0;-# ##0"),",-"),FIXED(ROUND((C1743/EXC.RATE_1),CURRENCY.FORMAT_1),CURRENCY.FORMAT_1,0)),'DICTIONARY-5'!$A$2)</f>
        <v>1 995,-</v>
      </c>
      <c r="K1743" s="670" t="str">
        <f>IF(EXC.RATE_2=0,"",IFERROR(IF(CURRENCY.FORMAT_2=0,CONCATENATE(TEXT(FIXED(ROUND(IF(EXC.RATE.SWITCH=1,C1743/EXC.RATE_2,C1743*EXC.RATE_2),CURRENCY.FORMAT_2),CURRENCY.FORMAT_2,1),"# ##0;-# ##0"),",-"),FIXED(ROUND(IF(EXC.RATE.SWITCH=1,C1743/EXC.RATE_2,C1743*EXC.RATE_2),CURRENCY.FORMAT_2),CURRENCY.FORMAT_2,0)),'DICTIONARY-5'!$A$2))</f>
        <v/>
      </c>
      <c r="L1743" s="670" t="str">
        <f>IFERROR(IF(CURRENCY.FORMAT_1=0,CONCATENATE(TEXT(FIXED(ROUND((C1743*(1-I1743)*(1-ADD.DISCOUNT)*(1+MAT.SURCHARGE)/EXC.RATE_1),CURRENCY.FORMAT_1),CURRENCY.FORMAT_1,1),"# ##0;-# ##0"),",-"),FIXED(ROUND((C1743*(1-I1743)*(1-ADD.DISCOUNT)*(1+MAT.SURCHARGE)/EXC.RATE_1),CURRENCY.FORMAT_1),CURRENCY.FORMAT_1,0)),'DICTIONARY-5'!$A$2)</f>
        <v>2 073,-</v>
      </c>
      <c r="M1743" s="670" t="str">
        <f>IF(EXC.RATE_2=0,"",IFERROR(IF(CURRENCY.FORMAT_2=0,CONCATENATE(TEXT(FIXED(ROUND(IF(EXC.RATE.SWITCH=1,C1743*(1-I1743)*(1-ADD.DISCOUNT)*(1+MAT.SURCHARGE)/EXC.RATE_2,C1743*(1-I1743)*(1-ADD.DISCOUNT)*(1+MAT.SURCHARGE)*EXC.RATE_2),CURRENCY.FORMAT_2),CURRENCY.FORMAT_2,1),"# ##0;-# ##0"),",-"),FIXED(ROUND(IF(EXC.RATE.SWITCH=1,C1743*(1-I1743)*(1-ADD.DISCOUNT)*(1+MAT.SURCHARGE)/EXC.RATE_2,C1743*(1-I1743)*(1-ADD.DISCOUNT)*(1+MAT.SURCHARGE)*EXC.RATE_2),CURRENCY.FORMAT_2),CURRENCY.FORMAT_2,0)),'DICTIONARY-5'!$A$2))</f>
        <v/>
      </c>
      <c r="N1743" s="541">
        <v>6</v>
      </c>
      <c r="O1743" s="541"/>
      <c r="P1743" s="731" t="str">
        <f>'DICTIONARY-3'!$A$149</f>
        <v>CEREX 300-W</v>
      </c>
      <c r="Q1743" s="731" t="str">
        <f>'DICTIONARY-3'!$A$204</f>
        <v>Przepustnica kołnierzowa</v>
      </c>
      <c r="R1743" s="732" t="str">
        <f>CONCATENATE('DICTIONARY-3'!$A$149," ",'DICTIONARY-6'!$A$2," ",'DICTIONARY-2'!$A$2,"400"," ",'DICTIONARY-2'!$A$3,"10/16"," ","R20"," ",'DICTIONARY-5'!$A$37,"/",'DICTIONARY-5'!$A$45,", ",'DICTIONARY-4'!$A$8," 232-14")</f>
        <v>CEREX 300-W Przep. kołnierz. DN400 PN10/16 R20 CF8M/NBR, PK 232-14</v>
      </c>
      <c r="S1743" s="733" t="str">
        <f>'DICTIONARY-4'!$A$8</f>
        <v>PK</v>
      </c>
      <c r="T1743" s="732" t="str">
        <f>'DICTIONARY-4'!$A$24</f>
        <v>Przekładnia z kółkiem</v>
      </c>
      <c r="U1743" s="734" t="s">
        <v>5754</v>
      </c>
      <c r="V1743" s="735">
        <v>16</v>
      </c>
      <c r="W1743" s="736"/>
      <c r="X1743" s="737"/>
      <c r="Y1743" s="738"/>
      <c r="Z1743" s="739"/>
      <c r="AA1743" s="739"/>
      <c r="AB1743" s="740">
        <v>16</v>
      </c>
      <c r="AC1743" s="741" t="str">
        <f>'DICTIONARY-5'!$A$11&amp;" 20"</f>
        <v>EN 558 szereg 20</v>
      </c>
      <c r="AD1743" s="741" t="str">
        <f>'DICTIONARY-5'!$A$14</f>
        <v>ścieki</v>
      </c>
      <c r="AE1743" s="742">
        <v>80</v>
      </c>
      <c r="AF1743" s="743">
        <v>77</v>
      </c>
      <c r="AG1743" s="741" t="str">
        <f>'DICTIONARY-5'!$A$23</f>
        <v>powłoka epoksydowa</v>
      </c>
    </row>
    <row r="1744" spans="1:33" x14ac:dyDescent="0.25">
      <c r="A1744" s="866" t="s">
        <v>1824</v>
      </c>
      <c r="B1744" s="866" t="s">
        <v>3737</v>
      </c>
      <c r="C1744" s="836">
        <v>3201</v>
      </c>
      <c r="D1744" s="836"/>
      <c r="E1744" s="836"/>
      <c r="F1744" s="836"/>
      <c r="G1744" s="496" t="s">
        <v>7832</v>
      </c>
      <c r="H1744" s="797" t="str">
        <f>VLOOKUP(G1744,SETTINGS!$B$7:$D$97,2,0)</f>
        <v>CEREX 300</v>
      </c>
      <c r="I1744" s="796">
        <f>VLOOKUP(G1744,SETTINGS!$B$7:$D$97,3,0)</f>
        <v>0</v>
      </c>
      <c r="J1744" s="670" t="str">
        <f>IFERROR(IF(CURRENCY.FORMAT_1=0,CONCATENATE(TEXT(FIXED(ROUND((C1744/EXC.RATE_1),CURRENCY.FORMAT_1),CURRENCY.FORMAT_1,1),"# ##0;-# ##0"),",-"),FIXED(ROUND((C1744/EXC.RATE_1),CURRENCY.FORMAT_1),CURRENCY.FORMAT_1,0)),'DICTIONARY-5'!$A$2)</f>
        <v>3 201,-</v>
      </c>
      <c r="K1744" s="670" t="str">
        <f>IF(EXC.RATE_2=0,"",IFERROR(IF(CURRENCY.FORMAT_2=0,CONCATENATE(TEXT(FIXED(ROUND(IF(EXC.RATE.SWITCH=1,C1744/EXC.RATE_2,C1744*EXC.RATE_2),CURRENCY.FORMAT_2),CURRENCY.FORMAT_2,1),"# ##0;-# ##0"),",-"),FIXED(ROUND(IF(EXC.RATE.SWITCH=1,C1744/EXC.RATE_2,C1744*EXC.RATE_2),CURRENCY.FORMAT_2),CURRENCY.FORMAT_2,0)),'DICTIONARY-5'!$A$2))</f>
        <v/>
      </c>
      <c r="L1744" s="670" t="str">
        <f>IFERROR(IF(CURRENCY.FORMAT_1=0,CONCATENATE(TEXT(FIXED(ROUND((C1744*(1-I1744)*(1-ADD.DISCOUNT)*(1+MAT.SURCHARGE)/EXC.RATE_1),CURRENCY.FORMAT_1),CURRENCY.FORMAT_1,1),"# ##0;-# ##0"),",-"),FIXED(ROUND((C1744*(1-I1744)*(1-ADD.DISCOUNT)*(1+MAT.SURCHARGE)/EXC.RATE_1),CURRENCY.FORMAT_1),CURRENCY.FORMAT_1,0)),'DICTIONARY-5'!$A$2)</f>
        <v>3 326,-</v>
      </c>
      <c r="M1744" s="670" t="str">
        <f>IF(EXC.RATE_2=0,"",IFERROR(IF(CURRENCY.FORMAT_2=0,CONCATENATE(TEXT(FIXED(ROUND(IF(EXC.RATE.SWITCH=1,C1744*(1-I1744)*(1-ADD.DISCOUNT)*(1+MAT.SURCHARGE)/EXC.RATE_2,C1744*(1-I1744)*(1-ADD.DISCOUNT)*(1+MAT.SURCHARGE)*EXC.RATE_2),CURRENCY.FORMAT_2),CURRENCY.FORMAT_2,1),"# ##0;-# ##0"),",-"),FIXED(ROUND(IF(EXC.RATE.SWITCH=1,C1744*(1-I1744)*(1-ADD.DISCOUNT)*(1+MAT.SURCHARGE)/EXC.RATE_2,C1744*(1-I1744)*(1-ADD.DISCOUNT)*(1+MAT.SURCHARGE)*EXC.RATE_2),CURRENCY.FORMAT_2),CURRENCY.FORMAT_2,0)),'DICTIONARY-5'!$A$2))</f>
        <v/>
      </c>
      <c r="N1744" s="541">
        <v>6</v>
      </c>
      <c r="O1744" s="541"/>
      <c r="P1744" s="731" t="str">
        <f>'DICTIONARY-3'!$A$149</f>
        <v>CEREX 300-W</v>
      </c>
      <c r="Q1744" s="731" t="str">
        <f>'DICTIONARY-3'!$A$204</f>
        <v>Przepustnica kołnierzowa</v>
      </c>
      <c r="R1744" s="732" t="str">
        <f>CONCATENATE('DICTIONARY-3'!$A$149," ",'DICTIONARY-6'!$A$2," ",'DICTIONARY-2'!$A$2,"450"," ",'DICTIONARY-2'!$A$3,"10/16"," ",'DICTIONARY-2'!$A$10,"10",'DICTIONARY-2'!$A$20," ","R20"," ",'DICTIONARY-5'!$A$37,"/",'DICTIONARY-5'!$A$45,", ",'DICTIONARY-4'!$A$8," AB1250N")</f>
        <v>CEREX 300-W Przep. kołnierz. DN450 PN10/16 PS10bar R20 CF8M/NBR, PK AB1250N</v>
      </c>
      <c r="S1744" s="733" t="str">
        <f>'DICTIONARY-4'!$A$8</f>
        <v>PK</v>
      </c>
      <c r="T1744" s="732" t="str">
        <f>'DICTIONARY-4'!$A$24</f>
        <v>Przekładnia z kółkiem</v>
      </c>
      <c r="U1744" s="734" t="s">
        <v>5755</v>
      </c>
      <c r="V1744" s="735">
        <v>16</v>
      </c>
      <c r="W1744" s="736"/>
      <c r="X1744" s="737"/>
      <c r="Y1744" s="738"/>
      <c r="Z1744" s="739"/>
      <c r="AA1744" s="739"/>
      <c r="AB1744" s="740">
        <v>10</v>
      </c>
      <c r="AC1744" s="741" t="str">
        <f>'DICTIONARY-5'!$A$11&amp;" 20"</f>
        <v>EN 558 szereg 20</v>
      </c>
      <c r="AD1744" s="741" t="str">
        <f>'DICTIONARY-5'!$A$14</f>
        <v>ścieki</v>
      </c>
      <c r="AE1744" s="742">
        <v>80</v>
      </c>
      <c r="AF1744" s="743">
        <v>115</v>
      </c>
      <c r="AG1744" s="741" t="str">
        <f>'DICTIONARY-5'!$A$23</f>
        <v>powłoka epoksydowa</v>
      </c>
    </row>
    <row r="1745" spans="1:33" x14ac:dyDescent="0.25">
      <c r="A1745" s="866" t="s">
        <v>1826</v>
      </c>
      <c r="B1745" s="866" t="s">
        <v>3810</v>
      </c>
      <c r="C1745" s="836">
        <v>3826</v>
      </c>
      <c r="D1745" s="836"/>
      <c r="E1745" s="836"/>
      <c r="F1745" s="836"/>
      <c r="G1745" s="496" t="s">
        <v>7832</v>
      </c>
      <c r="H1745" s="797" t="str">
        <f>VLOOKUP(G1745,SETTINGS!$B$7:$D$97,2,0)</f>
        <v>CEREX 300</v>
      </c>
      <c r="I1745" s="796">
        <f>VLOOKUP(G1745,SETTINGS!$B$7:$D$97,3,0)</f>
        <v>0</v>
      </c>
      <c r="J1745" s="670" t="str">
        <f>IFERROR(IF(CURRENCY.FORMAT_1=0,CONCATENATE(TEXT(FIXED(ROUND((C1745/EXC.RATE_1),CURRENCY.FORMAT_1),CURRENCY.FORMAT_1,1),"# ##0;-# ##0"),",-"),FIXED(ROUND((C1745/EXC.RATE_1),CURRENCY.FORMAT_1),CURRENCY.FORMAT_1,0)),'DICTIONARY-5'!$A$2)</f>
        <v>3 826,-</v>
      </c>
      <c r="K1745" s="670" t="str">
        <f>IF(EXC.RATE_2=0,"",IFERROR(IF(CURRENCY.FORMAT_2=0,CONCATENATE(TEXT(FIXED(ROUND(IF(EXC.RATE.SWITCH=1,C1745/EXC.RATE_2,C1745*EXC.RATE_2),CURRENCY.FORMAT_2),CURRENCY.FORMAT_2,1),"# ##0;-# ##0"),",-"),FIXED(ROUND(IF(EXC.RATE.SWITCH=1,C1745/EXC.RATE_2,C1745*EXC.RATE_2),CURRENCY.FORMAT_2),CURRENCY.FORMAT_2,0)),'DICTIONARY-5'!$A$2))</f>
        <v/>
      </c>
      <c r="L1745" s="670" t="str">
        <f>IFERROR(IF(CURRENCY.FORMAT_1=0,CONCATENATE(TEXT(FIXED(ROUND((C1745*(1-I1745)*(1-ADD.DISCOUNT)*(1+MAT.SURCHARGE)/EXC.RATE_1),CURRENCY.FORMAT_1),CURRENCY.FORMAT_1,1),"# ##0;-# ##0"),",-"),FIXED(ROUND((C1745*(1-I1745)*(1-ADD.DISCOUNT)*(1+MAT.SURCHARGE)/EXC.RATE_1),CURRENCY.FORMAT_1),CURRENCY.FORMAT_1,0)),'DICTIONARY-5'!$A$2)</f>
        <v>3 975,-</v>
      </c>
      <c r="M1745" s="670" t="str">
        <f>IF(EXC.RATE_2=0,"",IFERROR(IF(CURRENCY.FORMAT_2=0,CONCATENATE(TEXT(FIXED(ROUND(IF(EXC.RATE.SWITCH=1,C1745*(1-I1745)*(1-ADD.DISCOUNT)*(1+MAT.SURCHARGE)/EXC.RATE_2,C1745*(1-I1745)*(1-ADD.DISCOUNT)*(1+MAT.SURCHARGE)*EXC.RATE_2),CURRENCY.FORMAT_2),CURRENCY.FORMAT_2,1),"# ##0;-# ##0"),",-"),FIXED(ROUND(IF(EXC.RATE.SWITCH=1,C1745*(1-I1745)*(1-ADD.DISCOUNT)*(1+MAT.SURCHARGE)/EXC.RATE_2,C1745*(1-I1745)*(1-ADD.DISCOUNT)*(1+MAT.SURCHARGE)*EXC.RATE_2),CURRENCY.FORMAT_2),CURRENCY.FORMAT_2,0)),'DICTIONARY-5'!$A$2))</f>
        <v/>
      </c>
      <c r="N1745" s="541">
        <v>6</v>
      </c>
      <c r="O1745" s="541"/>
      <c r="P1745" s="731" t="str">
        <f>'DICTIONARY-3'!$A$149</f>
        <v>CEREX 300-W</v>
      </c>
      <c r="Q1745" s="731" t="str">
        <f>'DICTIONARY-3'!$A$204</f>
        <v>Przepustnica kołnierzowa</v>
      </c>
      <c r="R1745" s="732" t="str">
        <f>CONCATENATE('DICTIONARY-3'!$A$149," ",'DICTIONARY-6'!$A$2," ",'DICTIONARY-2'!$A$2,"500"," ",'DICTIONARY-2'!$A$3,"10"," ","R20"," ",'DICTIONARY-5'!$A$37,"/",'DICTIONARY-5'!$A$45,", ",'DICTIONARY-4'!$A$8," AB1250N")</f>
        <v>CEREX 300-W Przep. kołnierz. DN500 PN10 R20 CF8M/NBR, PK AB1250N</v>
      </c>
      <c r="S1745" s="733" t="str">
        <f>'DICTIONARY-4'!$A$8</f>
        <v>PK</v>
      </c>
      <c r="T1745" s="732" t="str">
        <f>'DICTIONARY-4'!$A$24</f>
        <v>Przekładnia z kółkiem</v>
      </c>
      <c r="U1745" s="734" t="s">
        <v>5756</v>
      </c>
      <c r="V1745" s="735">
        <v>10</v>
      </c>
      <c r="W1745" s="736"/>
      <c r="X1745" s="737"/>
      <c r="Y1745" s="738"/>
      <c r="Z1745" s="739"/>
      <c r="AA1745" s="739"/>
      <c r="AB1745" s="740">
        <v>10</v>
      </c>
      <c r="AC1745" s="741" t="str">
        <f>'DICTIONARY-5'!$A$11&amp;" 20"</f>
        <v>EN 558 szereg 20</v>
      </c>
      <c r="AD1745" s="741" t="str">
        <f>'DICTIONARY-5'!$A$14</f>
        <v>ścieki</v>
      </c>
      <c r="AE1745" s="742">
        <v>80</v>
      </c>
      <c r="AF1745" s="743">
        <v>149</v>
      </c>
      <c r="AG1745" s="741" t="str">
        <f>'DICTIONARY-5'!$A$23</f>
        <v>powłoka epoksydowa</v>
      </c>
    </row>
    <row r="1746" spans="1:33" x14ac:dyDescent="0.25">
      <c r="A1746" s="866" t="s">
        <v>1828</v>
      </c>
      <c r="B1746" s="866" t="s">
        <v>3739</v>
      </c>
      <c r="C1746" s="836">
        <v>4677</v>
      </c>
      <c r="D1746" s="836"/>
      <c r="E1746" s="836"/>
      <c r="F1746" s="836"/>
      <c r="G1746" s="496" t="s">
        <v>7832</v>
      </c>
      <c r="H1746" s="797" t="str">
        <f>VLOOKUP(G1746,SETTINGS!$B$7:$D$97,2,0)</f>
        <v>CEREX 300</v>
      </c>
      <c r="I1746" s="796">
        <f>VLOOKUP(G1746,SETTINGS!$B$7:$D$97,3,0)</f>
        <v>0</v>
      </c>
      <c r="J1746" s="670" t="str">
        <f>IFERROR(IF(CURRENCY.FORMAT_1=0,CONCATENATE(TEXT(FIXED(ROUND((C1746/EXC.RATE_1),CURRENCY.FORMAT_1),CURRENCY.FORMAT_1,1),"# ##0;-# ##0"),",-"),FIXED(ROUND((C1746/EXC.RATE_1),CURRENCY.FORMAT_1),CURRENCY.FORMAT_1,0)),'DICTIONARY-5'!$A$2)</f>
        <v>4 677,-</v>
      </c>
      <c r="K1746" s="670" t="str">
        <f>IF(EXC.RATE_2=0,"",IFERROR(IF(CURRENCY.FORMAT_2=0,CONCATENATE(TEXT(FIXED(ROUND(IF(EXC.RATE.SWITCH=1,C1746/EXC.RATE_2,C1746*EXC.RATE_2),CURRENCY.FORMAT_2),CURRENCY.FORMAT_2,1),"# ##0;-# ##0"),",-"),FIXED(ROUND(IF(EXC.RATE.SWITCH=1,C1746/EXC.RATE_2,C1746*EXC.RATE_2),CURRENCY.FORMAT_2),CURRENCY.FORMAT_2,0)),'DICTIONARY-5'!$A$2))</f>
        <v/>
      </c>
      <c r="L1746" s="670" t="str">
        <f>IFERROR(IF(CURRENCY.FORMAT_1=0,CONCATENATE(TEXT(FIXED(ROUND((C1746*(1-I1746)*(1-ADD.DISCOUNT)*(1+MAT.SURCHARGE)/EXC.RATE_1),CURRENCY.FORMAT_1),CURRENCY.FORMAT_1,1),"# ##0;-# ##0"),",-"),FIXED(ROUND((C1746*(1-I1746)*(1-ADD.DISCOUNT)*(1+MAT.SURCHARGE)/EXC.RATE_1),CURRENCY.FORMAT_1),CURRENCY.FORMAT_1,0)),'DICTIONARY-5'!$A$2)</f>
        <v>4 859,-</v>
      </c>
      <c r="M1746" s="670" t="str">
        <f>IF(EXC.RATE_2=0,"",IFERROR(IF(CURRENCY.FORMAT_2=0,CONCATENATE(TEXT(FIXED(ROUND(IF(EXC.RATE.SWITCH=1,C1746*(1-I1746)*(1-ADD.DISCOUNT)*(1+MAT.SURCHARGE)/EXC.RATE_2,C1746*(1-I1746)*(1-ADD.DISCOUNT)*(1+MAT.SURCHARGE)*EXC.RATE_2),CURRENCY.FORMAT_2),CURRENCY.FORMAT_2,1),"# ##0;-# ##0"),",-"),FIXED(ROUND(IF(EXC.RATE.SWITCH=1,C1746*(1-I1746)*(1-ADD.DISCOUNT)*(1+MAT.SURCHARGE)/EXC.RATE_2,C1746*(1-I1746)*(1-ADD.DISCOUNT)*(1+MAT.SURCHARGE)*EXC.RATE_2),CURRENCY.FORMAT_2),CURRENCY.FORMAT_2,0)),'DICTIONARY-5'!$A$2))</f>
        <v/>
      </c>
      <c r="N1746" s="541">
        <v>6</v>
      </c>
      <c r="O1746" s="541"/>
      <c r="P1746" s="731" t="str">
        <f>'DICTIONARY-3'!$A$149</f>
        <v>CEREX 300-W</v>
      </c>
      <c r="Q1746" s="731" t="str">
        <f>'DICTIONARY-3'!$A$204</f>
        <v>Przepustnica kołnierzowa</v>
      </c>
      <c r="R1746" s="732" t="str">
        <f>CONCATENATE('DICTIONARY-3'!$A$149," ",'DICTIONARY-6'!$A$2," ",'DICTIONARY-2'!$A$2,"500"," ",'DICTIONARY-2'!$A$3,"16"," ",'DICTIONARY-2'!$A$10,"10",'DICTIONARY-2'!$A$20," ","R20"," ",'DICTIONARY-5'!$A$37,"/",'DICTIONARY-5'!$A$45,", ",'DICTIONARY-4'!$A$8," AB1250N")</f>
        <v>CEREX 300-W Przep. kołnierz. DN500 PN16 PS10bar R20 CF8M/NBR, PK AB1250N</v>
      </c>
      <c r="S1746" s="733" t="str">
        <f>'DICTIONARY-4'!$A$8</f>
        <v>PK</v>
      </c>
      <c r="T1746" s="732" t="str">
        <f>'DICTIONARY-4'!$A$24</f>
        <v>Przekładnia z kółkiem</v>
      </c>
      <c r="U1746" s="734" t="s">
        <v>5756</v>
      </c>
      <c r="V1746" s="735">
        <v>16</v>
      </c>
      <c r="W1746" s="736"/>
      <c r="X1746" s="737"/>
      <c r="Y1746" s="738"/>
      <c r="Z1746" s="739"/>
      <c r="AA1746" s="739"/>
      <c r="AB1746" s="740">
        <v>10</v>
      </c>
      <c r="AC1746" s="741" t="str">
        <f>'DICTIONARY-5'!$A$11&amp;" 20"</f>
        <v>EN 558 szereg 20</v>
      </c>
      <c r="AD1746" s="741" t="str">
        <f>'DICTIONARY-5'!$A$14</f>
        <v>ścieki</v>
      </c>
      <c r="AE1746" s="742">
        <v>80</v>
      </c>
      <c r="AF1746" s="743">
        <v>151</v>
      </c>
      <c r="AG1746" s="741" t="str">
        <f>'DICTIONARY-5'!$A$23</f>
        <v>powłoka epoksydowa</v>
      </c>
    </row>
    <row r="1747" spans="1:33" x14ac:dyDescent="0.25">
      <c r="A1747" s="866" t="s">
        <v>1830</v>
      </c>
      <c r="B1747" s="866" t="s">
        <v>3812</v>
      </c>
      <c r="C1747" s="836">
        <v>6235</v>
      </c>
      <c r="D1747" s="836"/>
      <c r="E1747" s="836"/>
      <c r="F1747" s="836"/>
      <c r="G1747" s="496" t="s">
        <v>7832</v>
      </c>
      <c r="H1747" s="797" t="str">
        <f>VLOOKUP(G1747,SETTINGS!$B$7:$D$97,2,0)</f>
        <v>CEREX 300</v>
      </c>
      <c r="I1747" s="796">
        <f>VLOOKUP(G1747,SETTINGS!$B$7:$D$97,3,0)</f>
        <v>0</v>
      </c>
      <c r="J1747" s="670" t="str">
        <f>IFERROR(IF(CURRENCY.FORMAT_1=0,CONCATENATE(TEXT(FIXED(ROUND((C1747/EXC.RATE_1),CURRENCY.FORMAT_1),CURRENCY.FORMAT_1,1),"# ##0;-# ##0"),",-"),FIXED(ROUND((C1747/EXC.RATE_1),CURRENCY.FORMAT_1),CURRENCY.FORMAT_1,0)),'DICTIONARY-5'!$A$2)</f>
        <v>6 235,-</v>
      </c>
      <c r="K1747" s="670" t="str">
        <f>IF(EXC.RATE_2=0,"",IFERROR(IF(CURRENCY.FORMAT_2=0,CONCATENATE(TEXT(FIXED(ROUND(IF(EXC.RATE.SWITCH=1,C1747/EXC.RATE_2,C1747*EXC.RATE_2),CURRENCY.FORMAT_2),CURRENCY.FORMAT_2,1),"# ##0;-# ##0"),",-"),FIXED(ROUND(IF(EXC.RATE.SWITCH=1,C1747/EXC.RATE_2,C1747*EXC.RATE_2),CURRENCY.FORMAT_2),CURRENCY.FORMAT_2,0)),'DICTIONARY-5'!$A$2))</f>
        <v/>
      </c>
      <c r="L1747" s="670" t="str">
        <f>IFERROR(IF(CURRENCY.FORMAT_1=0,CONCATENATE(TEXT(FIXED(ROUND((C1747*(1-I1747)*(1-ADD.DISCOUNT)*(1+MAT.SURCHARGE)/EXC.RATE_1),CURRENCY.FORMAT_1),CURRENCY.FORMAT_1,1),"# ##0;-# ##0"),",-"),FIXED(ROUND((C1747*(1-I1747)*(1-ADD.DISCOUNT)*(1+MAT.SURCHARGE)/EXC.RATE_1),CURRENCY.FORMAT_1),CURRENCY.FORMAT_1,0)),'DICTIONARY-5'!$A$2)</f>
        <v>6 478,-</v>
      </c>
      <c r="M1747" s="670" t="str">
        <f>IF(EXC.RATE_2=0,"",IFERROR(IF(CURRENCY.FORMAT_2=0,CONCATENATE(TEXT(FIXED(ROUND(IF(EXC.RATE.SWITCH=1,C1747*(1-I1747)*(1-ADD.DISCOUNT)*(1+MAT.SURCHARGE)/EXC.RATE_2,C1747*(1-I1747)*(1-ADD.DISCOUNT)*(1+MAT.SURCHARGE)*EXC.RATE_2),CURRENCY.FORMAT_2),CURRENCY.FORMAT_2,1),"# ##0;-# ##0"),",-"),FIXED(ROUND(IF(EXC.RATE.SWITCH=1,C1747*(1-I1747)*(1-ADD.DISCOUNT)*(1+MAT.SURCHARGE)/EXC.RATE_2,C1747*(1-I1747)*(1-ADD.DISCOUNT)*(1+MAT.SURCHARGE)*EXC.RATE_2),CURRENCY.FORMAT_2),CURRENCY.FORMAT_2,0)),'DICTIONARY-5'!$A$2))</f>
        <v/>
      </c>
      <c r="N1747" s="541">
        <v>6</v>
      </c>
      <c r="O1747" s="541"/>
      <c r="P1747" s="731" t="str">
        <f>'DICTIONARY-3'!$A$149</f>
        <v>CEREX 300-W</v>
      </c>
      <c r="Q1747" s="731" t="str">
        <f>'DICTIONARY-3'!$A$204</f>
        <v>Przepustnica kołnierzowa</v>
      </c>
      <c r="R1747" s="732" t="str">
        <f>CONCATENATE('DICTIONARY-3'!$A$149," ",'DICTIONARY-6'!$A$2," ",'DICTIONARY-2'!$A$2,"600"," ",'DICTIONARY-2'!$A$3,"10"," ","R20"," ",'DICTIONARY-5'!$A$37,"/",'DICTIONARY-5'!$A$45,", ",'DICTIONARY-4'!$A$8," AB1950N")</f>
        <v>CEREX 300-W Przep. kołnierz. DN600 PN10 R20 CF8M/NBR, PK AB1950N</v>
      </c>
      <c r="S1747" s="733" t="str">
        <f>'DICTIONARY-4'!$A$8</f>
        <v>PK</v>
      </c>
      <c r="T1747" s="732" t="str">
        <f>'DICTIONARY-4'!$A$24</f>
        <v>Przekładnia z kółkiem</v>
      </c>
      <c r="U1747" s="734" t="s">
        <v>5757</v>
      </c>
      <c r="V1747" s="735">
        <v>10</v>
      </c>
      <c r="W1747" s="736"/>
      <c r="X1747" s="737"/>
      <c r="Y1747" s="738"/>
      <c r="Z1747" s="739"/>
      <c r="AA1747" s="739"/>
      <c r="AB1747" s="740">
        <v>10</v>
      </c>
      <c r="AC1747" s="741" t="str">
        <f>'DICTIONARY-5'!$A$11&amp;" 20"</f>
        <v>EN 558 szereg 20</v>
      </c>
      <c r="AD1747" s="741" t="str">
        <f>'DICTIONARY-5'!$A$14</f>
        <v>ścieki</v>
      </c>
      <c r="AE1747" s="742">
        <v>80</v>
      </c>
      <c r="AF1747" s="743">
        <v>230</v>
      </c>
      <c r="AG1747" s="741" t="str">
        <f>'DICTIONARY-5'!$A$23</f>
        <v>powłoka epoksydowa</v>
      </c>
    </row>
    <row r="1748" spans="1:33" x14ac:dyDescent="0.25">
      <c r="A1748" s="866" t="s">
        <v>1832</v>
      </c>
      <c r="B1748" s="866" t="s">
        <v>3741</v>
      </c>
      <c r="C1748" s="836">
        <v>6570</v>
      </c>
      <c r="D1748" s="836"/>
      <c r="E1748" s="836"/>
      <c r="F1748" s="836"/>
      <c r="G1748" s="496" t="s">
        <v>7832</v>
      </c>
      <c r="H1748" s="797" t="str">
        <f>VLOOKUP(G1748,SETTINGS!$B$7:$D$97,2,0)</f>
        <v>CEREX 300</v>
      </c>
      <c r="I1748" s="796">
        <f>VLOOKUP(G1748,SETTINGS!$B$7:$D$97,3,0)</f>
        <v>0</v>
      </c>
      <c r="J1748" s="670" t="str">
        <f>IFERROR(IF(CURRENCY.FORMAT_1=0,CONCATENATE(TEXT(FIXED(ROUND((C1748/EXC.RATE_1),CURRENCY.FORMAT_1),CURRENCY.FORMAT_1,1),"# ##0;-# ##0"),",-"),FIXED(ROUND((C1748/EXC.RATE_1),CURRENCY.FORMAT_1),CURRENCY.FORMAT_1,0)),'DICTIONARY-5'!$A$2)</f>
        <v>6 570,-</v>
      </c>
      <c r="K1748" s="670" t="str">
        <f>IF(EXC.RATE_2=0,"",IFERROR(IF(CURRENCY.FORMAT_2=0,CONCATENATE(TEXT(FIXED(ROUND(IF(EXC.RATE.SWITCH=1,C1748/EXC.RATE_2,C1748*EXC.RATE_2),CURRENCY.FORMAT_2),CURRENCY.FORMAT_2,1),"# ##0;-# ##0"),",-"),FIXED(ROUND(IF(EXC.RATE.SWITCH=1,C1748/EXC.RATE_2,C1748*EXC.RATE_2),CURRENCY.FORMAT_2),CURRENCY.FORMAT_2,0)),'DICTIONARY-5'!$A$2))</f>
        <v/>
      </c>
      <c r="L1748" s="670" t="str">
        <f>IFERROR(IF(CURRENCY.FORMAT_1=0,CONCATENATE(TEXT(FIXED(ROUND((C1748*(1-I1748)*(1-ADD.DISCOUNT)*(1+MAT.SURCHARGE)/EXC.RATE_1),CURRENCY.FORMAT_1),CURRENCY.FORMAT_1,1),"# ##0;-# ##0"),",-"),FIXED(ROUND((C1748*(1-I1748)*(1-ADD.DISCOUNT)*(1+MAT.SURCHARGE)/EXC.RATE_1),CURRENCY.FORMAT_1),CURRENCY.FORMAT_1,0)),'DICTIONARY-5'!$A$2)</f>
        <v>6 826,-</v>
      </c>
      <c r="M1748" s="670" t="str">
        <f>IF(EXC.RATE_2=0,"",IFERROR(IF(CURRENCY.FORMAT_2=0,CONCATENATE(TEXT(FIXED(ROUND(IF(EXC.RATE.SWITCH=1,C1748*(1-I1748)*(1-ADD.DISCOUNT)*(1+MAT.SURCHARGE)/EXC.RATE_2,C1748*(1-I1748)*(1-ADD.DISCOUNT)*(1+MAT.SURCHARGE)*EXC.RATE_2),CURRENCY.FORMAT_2),CURRENCY.FORMAT_2,1),"# ##0;-# ##0"),",-"),FIXED(ROUND(IF(EXC.RATE.SWITCH=1,C1748*(1-I1748)*(1-ADD.DISCOUNT)*(1+MAT.SURCHARGE)/EXC.RATE_2,C1748*(1-I1748)*(1-ADD.DISCOUNT)*(1+MAT.SURCHARGE)*EXC.RATE_2),CURRENCY.FORMAT_2),CURRENCY.FORMAT_2,0)),'DICTIONARY-5'!$A$2))</f>
        <v/>
      </c>
      <c r="N1748" s="541">
        <v>6</v>
      </c>
      <c r="O1748" s="541"/>
      <c r="P1748" s="731" t="str">
        <f>'DICTIONARY-3'!$A$149</f>
        <v>CEREX 300-W</v>
      </c>
      <c r="Q1748" s="731" t="str">
        <f>'DICTIONARY-3'!$A$204</f>
        <v>Przepustnica kołnierzowa</v>
      </c>
      <c r="R1748" s="732" t="str">
        <f>CONCATENATE('DICTIONARY-3'!$A$149," ",'DICTIONARY-6'!$A$2," ",'DICTIONARY-2'!$A$2,"600"," ",'DICTIONARY-2'!$A$3,"16"," ",'DICTIONARY-2'!$A$10,"10",'DICTIONARY-2'!$A$20," ","R20"," ",'DICTIONARY-5'!$A$37,"/",'DICTIONARY-5'!$A$45,", ",'DICTIONARY-4'!$A$8," AB1950N")</f>
        <v>CEREX 300-W Przep. kołnierz. DN600 PN16 PS10bar R20 CF8M/NBR, PK AB1950N</v>
      </c>
      <c r="S1748" s="733" t="str">
        <f>'DICTIONARY-4'!$A$8</f>
        <v>PK</v>
      </c>
      <c r="T1748" s="732" t="str">
        <f>'DICTIONARY-4'!$A$24</f>
        <v>Przekładnia z kółkiem</v>
      </c>
      <c r="U1748" s="734" t="s">
        <v>5757</v>
      </c>
      <c r="V1748" s="735">
        <v>16</v>
      </c>
      <c r="W1748" s="736"/>
      <c r="X1748" s="737"/>
      <c r="Y1748" s="738"/>
      <c r="Z1748" s="739"/>
      <c r="AA1748" s="739"/>
      <c r="AB1748" s="740">
        <v>10</v>
      </c>
      <c r="AC1748" s="741" t="str">
        <f>'DICTIONARY-5'!$A$11&amp;" 20"</f>
        <v>EN 558 szereg 20</v>
      </c>
      <c r="AD1748" s="741" t="str">
        <f>'DICTIONARY-5'!$A$14</f>
        <v>ścieki</v>
      </c>
      <c r="AE1748" s="742">
        <v>80</v>
      </c>
      <c r="AF1748" s="743">
        <v>232</v>
      </c>
      <c r="AG1748" s="741" t="str">
        <f>'DICTIONARY-5'!$A$23</f>
        <v>powłoka epoksydowa</v>
      </c>
    </row>
    <row r="1749" spans="1:33" x14ac:dyDescent="0.25">
      <c r="A1749" s="866" t="s">
        <v>1833</v>
      </c>
      <c r="B1749" s="866" t="s">
        <v>3742</v>
      </c>
      <c r="C1749" s="836">
        <v>140</v>
      </c>
      <c r="D1749" s="836"/>
      <c r="E1749" s="836"/>
      <c r="F1749" s="836"/>
      <c r="G1749" s="496" t="s">
        <v>7832</v>
      </c>
      <c r="H1749" s="797" t="str">
        <f>VLOOKUP(G1749,SETTINGS!$B$7:$D$97,2,0)</f>
        <v>CEREX 300</v>
      </c>
      <c r="I1749" s="796">
        <f>VLOOKUP(G1749,SETTINGS!$B$7:$D$97,3,0)</f>
        <v>0</v>
      </c>
      <c r="J1749" s="670" t="str">
        <f>IFERROR(IF(CURRENCY.FORMAT_1=0,CONCATENATE(TEXT(FIXED(ROUND((C1749/EXC.RATE_1),CURRENCY.FORMAT_1),CURRENCY.FORMAT_1,1),"# ##0;-# ##0"),",-"),FIXED(ROUND((C1749/EXC.RATE_1),CURRENCY.FORMAT_1),CURRENCY.FORMAT_1,0)),'DICTIONARY-5'!$A$2)</f>
        <v>140,-</v>
      </c>
      <c r="K1749" s="670" t="str">
        <f>IF(EXC.RATE_2=0,"",IFERROR(IF(CURRENCY.FORMAT_2=0,CONCATENATE(TEXT(FIXED(ROUND(IF(EXC.RATE.SWITCH=1,C1749/EXC.RATE_2,C1749*EXC.RATE_2),CURRENCY.FORMAT_2),CURRENCY.FORMAT_2,1),"# ##0;-# ##0"),",-"),FIXED(ROUND(IF(EXC.RATE.SWITCH=1,C1749/EXC.RATE_2,C1749*EXC.RATE_2),CURRENCY.FORMAT_2),CURRENCY.FORMAT_2,0)),'DICTIONARY-5'!$A$2))</f>
        <v/>
      </c>
      <c r="L1749" s="670" t="str">
        <f>IFERROR(IF(CURRENCY.FORMAT_1=0,CONCATENATE(TEXT(FIXED(ROUND((C1749*(1-I1749)*(1-ADD.DISCOUNT)*(1+MAT.SURCHARGE)/EXC.RATE_1),CURRENCY.FORMAT_1),CURRENCY.FORMAT_1,1),"# ##0;-# ##0"),",-"),FIXED(ROUND((C1749*(1-I1749)*(1-ADD.DISCOUNT)*(1+MAT.SURCHARGE)/EXC.RATE_1),CURRENCY.FORMAT_1),CURRENCY.FORMAT_1,0)),'DICTIONARY-5'!$A$2)</f>
        <v>145,-</v>
      </c>
      <c r="M1749" s="670" t="str">
        <f>IF(EXC.RATE_2=0,"",IFERROR(IF(CURRENCY.FORMAT_2=0,CONCATENATE(TEXT(FIXED(ROUND(IF(EXC.RATE.SWITCH=1,C1749*(1-I1749)*(1-ADD.DISCOUNT)*(1+MAT.SURCHARGE)/EXC.RATE_2,C1749*(1-I1749)*(1-ADD.DISCOUNT)*(1+MAT.SURCHARGE)*EXC.RATE_2),CURRENCY.FORMAT_2),CURRENCY.FORMAT_2,1),"# ##0;-# ##0"),",-"),FIXED(ROUND(IF(EXC.RATE.SWITCH=1,C1749*(1-I1749)*(1-ADD.DISCOUNT)*(1+MAT.SURCHARGE)/EXC.RATE_2,C1749*(1-I1749)*(1-ADD.DISCOUNT)*(1+MAT.SURCHARGE)*EXC.RATE_2),CURRENCY.FORMAT_2),CURRENCY.FORMAT_2,0)),'DICTIONARY-5'!$A$2))</f>
        <v/>
      </c>
      <c r="N1749" s="541">
        <v>6</v>
      </c>
      <c r="O1749" s="541"/>
      <c r="P1749" s="731" t="str">
        <f>'DICTIONARY-3'!$A$149</f>
        <v>CEREX 300-W</v>
      </c>
      <c r="Q1749" s="731" t="str">
        <f>'DICTIONARY-3'!$A$204</f>
        <v>Przepustnica kołnierzowa</v>
      </c>
      <c r="R1749" s="732" t="str">
        <f>CONCATENATE('DICTIONARY-3'!$A$149," ",'DICTIONARY-6'!$A$2," ",'DICTIONARY-2'!$A$2,"50"," ",'DICTIONARY-2'!$A$3,"10/16"," ","R20"," ",'DICTIONARY-5'!$A$51,"/",'DICTIONARY-5'!$A$44,", ",'DICTIONARY-4'!$A$2)</f>
        <v>CEREX 300-W Przep. kołnierz. DN50 PN10/16 R20 GGG/EPDM, WW</v>
      </c>
      <c r="S1749" s="733" t="str">
        <f>'DICTIONARY-4'!$A$2</f>
        <v>WW</v>
      </c>
      <c r="T1749" s="732" t="str">
        <f>'DICTIONARY-4'!$A$18</f>
        <v>Wolny wałek</v>
      </c>
      <c r="U1749" s="734" t="s">
        <v>5748</v>
      </c>
      <c r="V1749" s="735">
        <v>16</v>
      </c>
      <c r="W1749" s="736"/>
      <c r="X1749" s="750"/>
      <c r="Y1749" s="738"/>
      <c r="Z1749" s="739"/>
      <c r="AA1749" s="739"/>
      <c r="AB1749" s="740">
        <v>16</v>
      </c>
      <c r="AC1749" s="741" t="str">
        <f>'DICTIONARY-5'!$A$11&amp;" 20"</f>
        <v>EN 558 szereg 20</v>
      </c>
      <c r="AD1749" s="741" t="str">
        <f>'DICTIONARY-5'!$A$13</f>
        <v>woda pitna</v>
      </c>
      <c r="AE1749" s="742">
        <v>80</v>
      </c>
      <c r="AF1749" s="743">
        <v>2.5</v>
      </c>
      <c r="AG1749" s="741" t="str">
        <f>'DICTIONARY-5'!$A$23</f>
        <v>powłoka epoksydowa</v>
      </c>
    </row>
    <row r="1750" spans="1:33" x14ac:dyDescent="0.25">
      <c r="A1750" s="866" t="s">
        <v>1836</v>
      </c>
      <c r="B1750" s="866" t="s">
        <v>3749</v>
      </c>
      <c r="C1750" s="836">
        <v>142</v>
      </c>
      <c r="D1750" s="836"/>
      <c r="E1750" s="836"/>
      <c r="F1750" s="836"/>
      <c r="G1750" s="496" t="s">
        <v>7832</v>
      </c>
      <c r="H1750" s="797" t="str">
        <f>VLOOKUP(G1750,SETTINGS!$B$7:$D$97,2,0)</f>
        <v>CEREX 300</v>
      </c>
      <c r="I1750" s="796">
        <f>VLOOKUP(G1750,SETTINGS!$B$7:$D$97,3,0)</f>
        <v>0</v>
      </c>
      <c r="J1750" s="670" t="str">
        <f>IFERROR(IF(CURRENCY.FORMAT_1=0,CONCATENATE(TEXT(FIXED(ROUND((C1750/EXC.RATE_1),CURRENCY.FORMAT_1),CURRENCY.FORMAT_1,1),"# ##0;-# ##0"),",-"),FIXED(ROUND((C1750/EXC.RATE_1),CURRENCY.FORMAT_1),CURRENCY.FORMAT_1,0)),'DICTIONARY-5'!$A$2)</f>
        <v>142,-</v>
      </c>
      <c r="K1750" s="670" t="str">
        <f>IF(EXC.RATE_2=0,"",IFERROR(IF(CURRENCY.FORMAT_2=0,CONCATENATE(TEXT(FIXED(ROUND(IF(EXC.RATE.SWITCH=1,C1750/EXC.RATE_2,C1750*EXC.RATE_2),CURRENCY.FORMAT_2),CURRENCY.FORMAT_2,1),"# ##0;-# ##0"),",-"),FIXED(ROUND(IF(EXC.RATE.SWITCH=1,C1750/EXC.RATE_2,C1750*EXC.RATE_2),CURRENCY.FORMAT_2),CURRENCY.FORMAT_2,0)),'DICTIONARY-5'!$A$2))</f>
        <v/>
      </c>
      <c r="L1750" s="670" t="str">
        <f>IFERROR(IF(CURRENCY.FORMAT_1=0,CONCATENATE(TEXT(FIXED(ROUND((C1750*(1-I1750)*(1-ADD.DISCOUNT)*(1+MAT.SURCHARGE)/EXC.RATE_1),CURRENCY.FORMAT_1),CURRENCY.FORMAT_1,1),"# ##0;-# ##0"),",-"),FIXED(ROUND((C1750*(1-I1750)*(1-ADD.DISCOUNT)*(1+MAT.SURCHARGE)/EXC.RATE_1),CURRENCY.FORMAT_1),CURRENCY.FORMAT_1,0)),'DICTIONARY-5'!$A$2)</f>
        <v>148,-</v>
      </c>
      <c r="M1750" s="670" t="str">
        <f>IF(EXC.RATE_2=0,"",IFERROR(IF(CURRENCY.FORMAT_2=0,CONCATENATE(TEXT(FIXED(ROUND(IF(EXC.RATE.SWITCH=1,C1750*(1-I1750)*(1-ADD.DISCOUNT)*(1+MAT.SURCHARGE)/EXC.RATE_2,C1750*(1-I1750)*(1-ADD.DISCOUNT)*(1+MAT.SURCHARGE)*EXC.RATE_2),CURRENCY.FORMAT_2),CURRENCY.FORMAT_2,1),"# ##0;-# ##0"),",-"),FIXED(ROUND(IF(EXC.RATE.SWITCH=1,C1750*(1-I1750)*(1-ADD.DISCOUNT)*(1+MAT.SURCHARGE)/EXC.RATE_2,C1750*(1-I1750)*(1-ADD.DISCOUNT)*(1+MAT.SURCHARGE)*EXC.RATE_2),CURRENCY.FORMAT_2),CURRENCY.FORMAT_2,0)),'DICTIONARY-5'!$A$2))</f>
        <v/>
      </c>
      <c r="N1750" s="541">
        <v>6</v>
      </c>
      <c r="O1750" s="541"/>
      <c r="P1750" s="731" t="str">
        <f>'DICTIONARY-3'!$A$149</f>
        <v>CEREX 300-W</v>
      </c>
      <c r="Q1750" s="731" t="str">
        <f>'DICTIONARY-3'!$A$204</f>
        <v>Przepustnica kołnierzowa</v>
      </c>
      <c r="R1750" s="732" t="str">
        <f>CONCATENATE('DICTIONARY-3'!$A$149," ",'DICTIONARY-6'!$A$2," ",'DICTIONARY-2'!$A$2,"65"," ",'DICTIONARY-2'!$A$3,"10/16"," ","R20"," ",'DICTIONARY-5'!$A$51,"/",'DICTIONARY-5'!$A$44,", ",'DICTIONARY-4'!$A$2)</f>
        <v>CEREX 300-W Przep. kołnierz. DN65 PN10/16 R20 GGG/EPDM, WW</v>
      </c>
      <c r="S1750" s="733" t="str">
        <f>'DICTIONARY-4'!$A$2</f>
        <v>WW</v>
      </c>
      <c r="T1750" s="732" t="str">
        <f>'DICTIONARY-4'!$A$18</f>
        <v>Wolny wałek</v>
      </c>
      <c r="U1750" s="734" t="s">
        <v>5759</v>
      </c>
      <c r="V1750" s="735">
        <v>16</v>
      </c>
      <c r="W1750" s="736"/>
      <c r="X1750" s="737"/>
      <c r="Y1750" s="738"/>
      <c r="Z1750" s="739"/>
      <c r="AA1750" s="739"/>
      <c r="AB1750" s="740">
        <v>16</v>
      </c>
      <c r="AC1750" s="741" t="str">
        <f>'DICTIONARY-5'!$A$11&amp;" 20"</f>
        <v>EN 558 szereg 20</v>
      </c>
      <c r="AD1750" s="741" t="str">
        <f>'DICTIONARY-5'!$A$13</f>
        <v>woda pitna</v>
      </c>
      <c r="AE1750" s="742">
        <v>80</v>
      </c>
      <c r="AF1750" s="743">
        <v>2.9</v>
      </c>
      <c r="AG1750" s="741" t="str">
        <f>'DICTIONARY-5'!$A$23</f>
        <v>powłoka epoksydowa</v>
      </c>
    </row>
    <row r="1751" spans="1:33" x14ac:dyDescent="0.25">
      <c r="A1751" s="866" t="s">
        <v>1838</v>
      </c>
      <c r="B1751" s="866" t="s">
        <v>3756</v>
      </c>
      <c r="C1751" s="836">
        <v>150</v>
      </c>
      <c r="D1751" s="836"/>
      <c r="E1751" s="836"/>
      <c r="F1751" s="836"/>
      <c r="G1751" s="496" t="s">
        <v>7832</v>
      </c>
      <c r="H1751" s="797" t="str">
        <f>VLOOKUP(G1751,SETTINGS!$B$7:$D$97,2,0)</f>
        <v>CEREX 300</v>
      </c>
      <c r="I1751" s="796">
        <f>VLOOKUP(G1751,SETTINGS!$B$7:$D$97,3,0)</f>
        <v>0</v>
      </c>
      <c r="J1751" s="670" t="str">
        <f>IFERROR(IF(CURRENCY.FORMAT_1=0,CONCATENATE(TEXT(FIXED(ROUND((C1751/EXC.RATE_1),CURRENCY.FORMAT_1),CURRENCY.FORMAT_1,1),"# ##0;-# ##0"),",-"),FIXED(ROUND((C1751/EXC.RATE_1),CURRENCY.FORMAT_1),CURRENCY.FORMAT_1,0)),'DICTIONARY-5'!$A$2)</f>
        <v>150,-</v>
      </c>
      <c r="K1751" s="670" t="str">
        <f>IF(EXC.RATE_2=0,"",IFERROR(IF(CURRENCY.FORMAT_2=0,CONCATENATE(TEXT(FIXED(ROUND(IF(EXC.RATE.SWITCH=1,C1751/EXC.RATE_2,C1751*EXC.RATE_2),CURRENCY.FORMAT_2),CURRENCY.FORMAT_2,1),"# ##0;-# ##0"),",-"),FIXED(ROUND(IF(EXC.RATE.SWITCH=1,C1751/EXC.RATE_2,C1751*EXC.RATE_2),CURRENCY.FORMAT_2),CURRENCY.FORMAT_2,0)),'DICTIONARY-5'!$A$2))</f>
        <v/>
      </c>
      <c r="L1751" s="670" t="str">
        <f>IFERROR(IF(CURRENCY.FORMAT_1=0,CONCATENATE(TEXT(FIXED(ROUND((C1751*(1-I1751)*(1-ADD.DISCOUNT)*(1+MAT.SURCHARGE)/EXC.RATE_1),CURRENCY.FORMAT_1),CURRENCY.FORMAT_1,1),"# ##0;-# ##0"),",-"),FIXED(ROUND((C1751*(1-I1751)*(1-ADD.DISCOUNT)*(1+MAT.SURCHARGE)/EXC.RATE_1),CURRENCY.FORMAT_1),CURRENCY.FORMAT_1,0)),'DICTIONARY-5'!$A$2)</f>
        <v>156,-</v>
      </c>
      <c r="M1751" s="670" t="str">
        <f>IF(EXC.RATE_2=0,"",IFERROR(IF(CURRENCY.FORMAT_2=0,CONCATENATE(TEXT(FIXED(ROUND(IF(EXC.RATE.SWITCH=1,C1751*(1-I1751)*(1-ADD.DISCOUNT)*(1+MAT.SURCHARGE)/EXC.RATE_2,C1751*(1-I1751)*(1-ADD.DISCOUNT)*(1+MAT.SURCHARGE)*EXC.RATE_2),CURRENCY.FORMAT_2),CURRENCY.FORMAT_2,1),"# ##0;-# ##0"),",-"),FIXED(ROUND(IF(EXC.RATE.SWITCH=1,C1751*(1-I1751)*(1-ADD.DISCOUNT)*(1+MAT.SURCHARGE)/EXC.RATE_2,C1751*(1-I1751)*(1-ADD.DISCOUNT)*(1+MAT.SURCHARGE)*EXC.RATE_2),CURRENCY.FORMAT_2),CURRENCY.FORMAT_2,0)),'DICTIONARY-5'!$A$2))</f>
        <v/>
      </c>
      <c r="N1751" s="541">
        <v>6</v>
      </c>
      <c r="O1751" s="541"/>
      <c r="P1751" s="731" t="str">
        <f>'DICTIONARY-3'!$A$149</f>
        <v>CEREX 300-W</v>
      </c>
      <c r="Q1751" s="731" t="str">
        <f>'DICTIONARY-3'!$A$204</f>
        <v>Przepustnica kołnierzowa</v>
      </c>
      <c r="R1751" s="732" t="str">
        <f>CONCATENATE('DICTIONARY-3'!$A$149," ",'DICTIONARY-6'!$A$2," ",'DICTIONARY-2'!$A$2,"80"," ",'DICTIONARY-2'!$A$3,"10/16"," ","R20"," ",'DICTIONARY-5'!$A$51,"/",'DICTIONARY-5'!$A$44,", ",'DICTIONARY-4'!$A$2)</f>
        <v>CEREX 300-W Przep. kołnierz. DN80 PN10/16 R20 GGG/EPDM, WW</v>
      </c>
      <c r="S1751" s="733" t="str">
        <f>'DICTIONARY-4'!$A$2</f>
        <v>WW</v>
      </c>
      <c r="T1751" s="732" t="str">
        <f>'DICTIONARY-4'!$A$18</f>
        <v>Wolny wałek</v>
      </c>
      <c r="U1751" s="734" t="s">
        <v>5760</v>
      </c>
      <c r="V1751" s="735">
        <v>16</v>
      </c>
      <c r="W1751" s="736"/>
      <c r="X1751" s="737"/>
      <c r="Y1751" s="738"/>
      <c r="Z1751" s="739"/>
      <c r="AA1751" s="739"/>
      <c r="AB1751" s="740">
        <v>16</v>
      </c>
      <c r="AC1751" s="741" t="str">
        <f>'DICTIONARY-5'!$A$11&amp;" 20"</f>
        <v>EN 558 szereg 20</v>
      </c>
      <c r="AD1751" s="741" t="str">
        <f>'DICTIONARY-5'!$A$13</f>
        <v>woda pitna</v>
      </c>
      <c r="AE1751" s="742">
        <v>80</v>
      </c>
      <c r="AF1751" s="743">
        <v>3.5</v>
      </c>
      <c r="AG1751" s="741" t="str">
        <f>'DICTIONARY-5'!$A$23</f>
        <v>powłoka epoksydowa</v>
      </c>
    </row>
    <row r="1752" spans="1:33" x14ac:dyDescent="0.25">
      <c r="A1752" s="866" t="s">
        <v>1840</v>
      </c>
      <c r="B1752" s="866" t="s">
        <v>3763</v>
      </c>
      <c r="C1752" s="836">
        <v>186</v>
      </c>
      <c r="D1752" s="836"/>
      <c r="E1752" s="836"/>
      <c r="F1752" s="836"/>
      <c r="G1752" s="496" t="s">
        <v>7832</v>
      </c>
      <c r="H1752" s="797" t="str">
        <f>VLOOKUP(G1752,SETTINGS!$B$7:$D$97,2,0)</f>
        <v>CEREX 300</v>
      </c>
      <c r="I1752" s="796">
        <f>VLOOKUP(G1752,SETTINGS!$B$7:$D$97,3,0)</f>
        <v>0</v>
      </c>
      <c r="J1752" s="670" t="str">
        <f>IFERROR(IF(CURRENCY.FORMAT_1=0,CONCATENATE(TEXT(FIXED(ROUND((C1752/EXC.RATE_1),CURRENCY.FORMAT_1),CURRENCY.FORMAT_1,1),"# ##0;-# ##0"),",-"),FIXED(ROUND((C1752/EXC.RATE_1),CURRENCY.FORMAT_1),CURRENCY.FORMAT_1,0)),'DICTIONARY-5'!$A$2)</f>
        <v>186,-</v>
      </c>
      <c r="K1752" s="670" t="str">
        <f>IF(EXC.RATE_2=0,"",IFERROR(IF(CURRENCY.FORMAT_2=0,CONCATENATE(TEXT(FIXED(ROUND(IF(EXC.RATE.SWITCH=1,C1752/EXC.RATE_2,C1752*EXC.RATE_2),CURRENCY.FORMAT_2),CURRENCY.FORMAT_2,1),"# ##0;-# ##0"),",-"),FIXED(ROUND(IF(EXC.RATE.SWITCH=1,C1752/EXC.RATE_2,C1752*EXC.RATE_2),CURRENCY.FORMAT_2),CURRENCY.FORMAT_2,0)),'DICTIONARY-5'!$A$2))</f>
        <v/>
      </c>
      <c r="L1752" s="670" t="str">
        <f>IFERROR(IF(CURRENCY.FORMAT_1=0,CONCATENATE(TEXT(FIXED(ROUND((C1752*(1-I1752)*(1-ADD.DISCOUNT)*(1+MAT.SURCHARGE)/EXC.RATE_1),CURRENCY.FORMAT_1),CURRENCY.FORMAT_1,1),"# ##0;-# ##0"),",-"),FIXED(ROUND((C1752*(1-I1752)*(1-ADD.DISCOUNT)*(1+MAT.SURCHARGE)/EXC.RATE_1),CURRENCY.FORMAT_1),CURRENCY.FORMAT_1,0)),'DICTIONARY-5'!$A$2)</f>
        <v>193,-</v>
      </c>
      <c r="M1752" s="670" t="str">
        <f>IF(EXC.RATE_2=0,"",IFERROR(IF(CURRENCY.FORMAT_2=0,CONCATENATE(TEXT(FIXED(ROUND(IF(EXC.RATE.SWITCH=1,C1752*(1-I1752)*(1-ADD.DISCOUNT)*(1+MAT.SURCHARGE)/EXC.RATE_2,C1752*(1-I1752)*(1-ADD.DISCOUNT)*(1+MAT.SURCHARGE)*EXC.RATE_2),CURRENCY.FORMAT_2),CURRENCY.FORMAT_2,1),"# ##0;-# ##0"),",-"),FIXED(ROUND(IF(EXC.RATE.SWITCH=1,C1752*(1-I1752)*(1-ADD.DISCOUNT)*(1+MAT.SURCHARGE)/EXC.RATE_2,C1752*(1-I1752)*(1-ADD.DISCOUNT)*(1+MAT.SURCHARGE)*EXC.RATE_2),CURRENCY.FORMAT_2),CURRENCY.FORMAT_2,0)),'DICTIONARY-5'!$A$2))</f>
        <v/>
      </c>
      <c r="N1752" s="541">
        <v>6</v>
      </c>
      <c r="O1752" s="541"/>
      <c r="P1752" s="731" t="str">
        <f>'DICTIONARY-3'!$A$149</f>
        <v>CEREX 300-W</v>
      </c>
      <c r="Q1752" s="731" t="str">
        <f>'DICTIONARY-3'!$A$204</f>
        <v>Przepustnica kołnierzowa</v>
      </c>
      <c r="R1752" s="732" t="str">
        <f>CONCATENATE('DICTIONARY-3'!$A$149," ",'DICTIONARY-6'!$A$2," ",'DICTIONARY-2'!$A$2,"100"," ",'DICTIONARY-2'!$A$3,"10/16"," ","R20"," ",'DICTIONARY-5'!$A$51,"/",'DICTIONARY-5'!$A$44,", ",'DICTIONARY-4'!$A$2)</f>
        <v>CEREX 300-W Przep. kołnierz. DN100 PN10/16 R20 GGG/EPDM, WW</v>
      </c>
      <c r="S1752" s="733" t="str">
        <f>'DICTIONARY-4'!$A$2</f>
        <v>WW</v>
      </c>
      <c r="T1752" s="732" t="str">
        <f>'DICTIONARY-4'!$A$18</f>
        <v>Wolny wałek</v>
      </c>
      <c r="U1752" s="734" t="s">
        <v>5749</v>
      </c>
      <c r="V1752" s="735">
        <v>16</v>
      </c>
      <c r="W1752" s="736"/>
      <c r="X1752" s="737"/>
      <c r="Y1752" s="738"/>
      <c r="Z1752" s="739"/>
      <c r="AA1752" s="739"/>
      <c r="AB1752" s="740">
        <v>16</v>
      </c>
      <c r="AC1752" s="741" t="str">
        <f>'DICTIONARY-5'!$A$11&amp;" 20"</f>
        <v>EN 558 szereg 20</v>
      </c>
      <c r="AD1752" s="741" t="str">
        <f>'DICTIONARY-5'!$A$13</f>
        <v>woda pitna</v>
      </c>
      <c r="AE1752" s="742">
        <v>80</v>
      </c>
      <c r="AF1752" s="743">
        <v>5</v>
      </c>
      <c r="AG1752" s="741" t="str">
        <f>'DICTIONARY-5'!$A$23</f>
        <v>powłoka epoksydowa</v>
      </c>
    </row>
    <row r="1753" spans="1:33" x14ac:dyDescent="0.25">
      <c r="A1753" s="866" t="s">
        <v>1843</v>
      </c>
      <c r="B1753" s="866" t="s">
        <v>3770</v>
      </c>
      <c r="C1753" s="836">
        <v>215</v>
      </c>
      <c r="D1753" s="836"/>
      <c r="E1753" s="836"/>
      <c r="F1753" s="836"/>
      <c r="G1753" s="496" t="s">
        <v>7832</v>
      </c>
      <c r="H1753" s="797" t="str">
        <f>VLOOKUP(G1753,SETTINGS!$B$7:$D$97,2,0)</f>
        <v>CEREX 300</v>
      </c>
      <c r="I1753" s="796">
        <f>VLOOKUP(G1753,SETTINGS!$B$7:$D$97,3,0)</f>
        <v>0</v>
      </c>
      <c r="J1753" s="670" t="str">
        <f>IFERROR(IF(CURRENCY.FORMAT_1=0,CONCATENATE(TEXT(FIXED(ROUND((C1753/EXC.RATE_1),CURRENCY.FORMAT_1),CURRENCY.FORMAT_1,1),"# ##0;-# ##0"),",-"),FIXED(ROUND((C1753/EXC.RATE_1),CURRENCY.FORMAT_1),CURRENCY.FORMAT_1,0)),'DICTIONARY-5'!$A$2)</f>
        <v>215,-</v>
      </c>
      <c r="K1753" s="670" t="str">
        <f>IF(EXC.RATE_2=0,"",IFERROR(IF(CURRENCY.FORMAT_2=0,CONCATENATE(TEXT(FIXED(ROUND(IF(EXC.RATE.SWITCH=1,C1753/EXC.RATE_2,C1753*EXC.RATE_2),CURRENCY.FORMAT_2),CURRENCY.FORMAT_2,1),"# ##0;-# ##0"),",-"),FIXED(ROUND(IF(EXC.RATE.SWITCH=1,C1753/EXC.RATE_2,C1753*EXC.RATE_2),CURRENCY.FORMAT_2),CURRENCY.FORMAT_2,0)),'DICTIONARY-5'!$A$2))</f>
        <v/>
      </c>
      <c r="L1753" s="670" t="str">
        <f>IFERROR(IF(CURRENCY.FORMAT_1=0,CONCATENATE(TEXT(FIXED(ROUND((C1753*(1-I1753)*(1-ADD.DISCOUNT)*(1+MAT.SURCHARGE)/EXC.RATE_1),CURRENCY.FORMAT_1),CURRENCY.FORMAT_1,1),"# ##0;-# ##0"),",-"),FIXED(ROUND((C1753*(1-I1753)*(1-ADD.DISCOUNT)*(1+MAT.SURCHARGE)/EXC.RATE_1),CURRENCY.FORMAT_1),CURRENCY.FORMAT_1,0)),'DICTIONARY-5'!$A$2)</f>
        <v>223,-</v>
      </c>
      <c r="M1753" s="670" t="str">
        <f>IF(EXC.RATE_2=0,"",IFERROR(IF(CURRENCY.FORMAT_2=0,CONCATENATE(TEXT(FIXED(ROUND(IF(EXC.RATE.SWITCH=1,C1753*(1-I1753)*(1-ADD.DISCOUNT)*(1+MAT.SURCHARGE)/EXC.RATE_2,C1753*(1-I1753)*(1-ADD.DISCOUNT)*(1+MAT.SURCHARGE)*EXC.RATE_2),CURRENCY.FORMAT_2),CURRENCY.FORMAT_2,1),"# ##0;-# ##0"),",-"),FIXED(ROUND(IF(EXC.RATE.SWITCH=1,C1753*(1-I1753)*(1-ADD.DISCOUNT)*(1+MAT.SURCHARGE)/EXC.RATE_2,C1753*(1-I1753)*(1-ADD.DISCOUNT)*(1+MAT.SURCHARGE)*EXC.RATE_2),CURRENCY.FORMAT_2),CURRENCY.FORMAT_2,0)),'DICTIONARY-5'!$A$2))</f>
        <v/>
      </c>
      <c r="N1753" s="541">
        <v>6</v>
      </c>
      <c r="O1753" s="541"/>
      <c r="P1753" s="731" t="str">
        <f>'DICTIONARY-3'!$A$149</f>
        <v>CEREX 300-W</v>
      </c>
      <c r="Q1753" s="731" t="str">
        <f>'DICTIONARY-3'!$A$204</f>
        <v>Przepustnica kołnierzowa</v>
      </c>
      <c r="R1753" s="732" t="str">
        <f>CONCATENATE('DICTIONARY-3'!$A$149," ",'DICTIONARY-6'!$A$2," ",'DICTIONARY-2'!$A$2,"125"," ",'DICTIONARY-2'!$A$3,"10/16"," ","R20"," ",'DICTIONARY-5'!$A$51,"/",'DICTIONARY-5'!$A$44,", ",'DICTIONARY-4'!$A$2)</f>
        <v>CEREX 300-W Przep. kołnierz. DN125 PN10/16 R20 GGG/EPDM, WW</v>
      </c>
      <c r="S1753" s="733" t="str">
        <f>'DICTIONARY-4'!$A$2</f>
        <v>WW</v>
      </c>
      <c r="T1753" s="732" t="str">
        <f>'DICTIONARY-4'!$A$18</f>
        <v>Wolny wałek</v>
      </c>
      <c r="U1753" s="734" t="s">
        <v>5761</v>
      </c>
      <c r="V1753" s="735">
        <v>16</v>
      </c>
      <c r="W1753" s="736"/>
      <c r="X1753" s="737"/>
      <c r="Y1753" s="738"/>
      <c r="Z1753" s="739"/>
      <c r="AA1753" s="739"/>
      <c r="AB1753" s="740">
        <v>16</v>
      </c>
      <c r="AC1753" s="741" t="str">
        <f>'DICTIONARY-5'!$A$11&amp;" 20"</f>
        <v>EN 558 szereg 20</v>
      </c>
      <c r="AD1753" s="741" t="str">
        <f>'DICTIONARY-5'!$A$13</f>
        <v>woda pitna</v>
      </c>
      <c r="AE1753" s="742">
        <v>80</v>
      </c>
      <c r="AF1753" s="743">
        <v>6.5</v>
      </c>
      <c r="AG1753" s="741" t="str">
        <f>'DICTIONARY-5'!$A$23</f>
        <v>powłoka epoksydowa</v>
      </c>
    </row>
    <row r="1754" spans="1:33" x14ac:dyDescent="0.25">
      <c r="A1754" s="866" t="s">
        <v>1846</v>
      </c>
      <c r="B1754" s="866" t="s">
        <v>3777</v>
      </c>
      <c r="C1754" s="836">
        <v>291</v>
      </c>
      <c r="D1754" s="836"/>
      <c r="E1754" s="836"/>
      <c r="F1754" s="836"/>
      <c r="G1754" s="496" t="s">
        <v>7832</v>
      </c>
      <c r="H1754" s="797" t="str">
        <f>VLOOKUP(G1754,SETTINGS!$B$7:$D$97,2,0)</f>
        <v>CEREX 300</v>
      </c>
      <c r="I1754" s="796">
        <f>VLOOKUP(G1754,SETTINGS!$B$7:$D$97,3,0)</f>
        <v>0</v>
      </c>
      <c r="J1754" s="670" t="str">
        <f>IFERROR(IF(CURRENCY.FORMAT_1=0,CONCATENATE(TEXT(FIXED(ROUND((C1754/EXC.RATE_1),CURRENCY.FORMAT_1),CURRENCY.FORMAT_1,1),"# ##0;-# ##0"),",-"),FIXED(ROUND((C1754/EXC.RATE_1),CURRENCY.FORMAT_1),CURRENCY.FORMAT_1,0)),'DICTIONARY-5'!$A$2)</f>
        <v>291,-</v>
      </c>
      <c r="K1754" s="670" t="str">
        <f>IF(EXC.RATE_2=0,"",IFERROR(IF(CURRENCY.FORMAT_2=0,CONCATENATE(TEXT(FIXED(ROUND(IF(EXC.RATE.SWITCH=1,C1754/EXC.RATE_2,C1754*EXC.RATE_2),CURRENCY.FORMAT_2),CURRENCY.FORMAT_2,1),"# ##0;-# ##0"),",-"),FIXED(ROUND(IF(EXC.RATE.SWITCH=1,C1754/EXC.RATE_2,C1754*EXC.RATE_2),CURRENCY.FORMAT_2),CURRENCY.FORMAT_2,0)),'DICTIONARY-5'!$A$2))</f>
        <v/>
      </c>
      <c r="L1754" s="670" t="str">
        <f>IFERROR(IF(CURRENCY.FORMAT_1=0,CONCATENATE(TEXT(FIXED(ROUND((C1754*(1-I1754)*(1-ADD.DISCOUNT)*(1+MAT.SURCHARGE)/EXC.RATE_1),CURRENCY.FORMAT_1),CURRENCY.FORMAT_1,1),"# ##0;-# ##0"),",-"),FIXED(ROUND((C1754*(1-I1754)*(1-ADD.DISCOUNT)*(1+MAT.SURCHARGE)/EXC.RATE_1),CURRENCY.FORMAT_1),CURRENCY.FORMAT_1,0)),'DICTIONARY-5'!$A$2)</f>
        <v>302,-</v>
      </c>
      <c r="M1754" s="670" t="str">
        <f>IF(EXC.RATE_2=0,"",IFERROR(IF(CURRENCY.FORMAT_2=0,CONCATENATE(TEXT(FIXED(ROUND(IF(EXC.RATE.SWITCH=1,C1754*(1-I1754)*(1-ADD.DISCOUNT)*(1+MAT.SURCHARGE)/EXC.RATE_2,C1754*(1-I1754)*(1-ADD.DISCOUNT)*(1+MAT.SURCHARGE)*EXC.RATE_2),CURRENCY.FORMAT_2),CURRENCY.FORMAT_2,1),"# ##0;-# ##0"),",-"),FIXED(ROUND(IF(EXC.RATE.SWITCH=1,C1754*(1-I1754)*(1-ADD.DISCOUNT)*(1+MAT.SURCHARGE)/EXC.RATE_2,C1754*(1-I1754)*(1-ADD.DISCOUNT)*(1+MAT.SURCHARGE)*EXC.RATE_2),CURRENCY.FORMAT_2),CURRENCY.FORMAT_2,0)),'DICTIONARY-5'!$A$2))</f>
        <v/>
      </c>
      <c r="N1754" s="541">
        <v>6</v>
      </c>
      <c r="O1754" s="541"/>
      <c r="P1754" s="731" t="str">
        <f>'DICTIONARY-3'!$A$149</f>
        <v>CEREX 300-W</v>
      </c>
      <c r="Q1754" s="731" t="str">
        <f>'DICTIONARY-3'!$A$204</f>
        <v>Przepustnica kołnierzowa</v>
      </c>
      <c r="R1754" s="732" t="str">
        <f>CONCATENATE('DICTIONARY-3'!$A$149," ",'DICTIONARY-6'!$A$2," ",'DICTIONARY-2'!$A$2,"150"," ",'DICTIONARY-2'!$A$3,"10/16"," ","R20"," ",'DICTIONARY-5'!$A$51,"/",'DICTIONARY-5'!$A$44,", ",'DICTIONARY-4'!$A$2)</f>
        <v>CEREX 300-W Przep. kołnierz. DN150 PN10/16 R20 GGG/EPDM, WW</v>
      </c>
      <c r="S1754" s="733" t="str">
        <f>'DICTIONARY-4'!$A$2</f>
        <v>WW</v>
      </c>
      <c r="T1754" s="732" t="str">
        <f>'DICTIONARY-4'!$A$18</f>
        <v>Wolny wałek</v>
      </c>
      <c r="U1754" s="734" t="s">
        <v>5572</v>
      </c>
      <c r="V1754" s="735">
        <v>16</v>
      </c>
      <c r="W1754" s="736"/>
      <c r="X1754" s="737"/>
      <c r="Y1754" s="738"/>
      <c r="Z1754" s="739"/>
      <c r="AA1754" s="739"/>
      <c r="AB1754" s="740">
        <v>16</v>
      </c>
      <c r="AC1754" s="741" t="str">
        <f>'DICTIONARY-5'!$A$11&amp;" 20"</f>
        <v>EN 558 szereg 20</v>
      </c>
      <c r="AD1754" s="741" t="str">
        <f>'DICTIONARY-5'!$A$13</f>
        <v>woda pitna</v>
      </c>
      <c r="AE1754" s="742">
        <v>80</v>
      </c>
      <c r="AF1754" s="743">
        <v>9.5</v>
      </c>
      <c r="AG1754" s="741" t="str">
        <f>'DICTIONARY-5'!$A$23</f>
        <v>powłoka epoksydowa</v>
      </c>
    </row>
    <row r="1755" spans="1:33" x14ac:dyDescent="0.25">
      <c r="A1755" s="866" t="s">
        <v>1849</v>
      </c>
      <c r="B1755" s="866" t="s">
        <v>3784</v>
      </c>
      <c r="C1755" s="836">
        <v>393</v>
      </c>
      <c r="D1755" s="836"/>
      <c r="E1755" s="836"/>
      <c r="F1755" s="836"/>
      <c r="G1755" s="496" t="s">
        <v>7832</v>
      </c>
      <c r="H1755" s="797" t="str">
        <f>VLOOKUP(G1755,SETTINGS!$B$7:$D$97,2,0)</f>
        <v>CEREX 300</v>
      </c>
      <c r="I1755" s="796">
        <f>VLOOKUP(G1755,SETTINGS!$B$7:$D$97,3,0)</f>
        <v>0</v>
      </c>
      <c r="J1755" s="670" t="str">
        <f>IFERROR(IF(CURRENCY.FORMAT_1=0,CONCATENATE(TEXT(FIXED(ROUND((C1755/EXC.RATE_1),CURRENCY.FORMAT_1),CURRENCY.FORMAT_1,1),"# ##0;-# ##0"),",-"),FIXED(ROUND((C1755/EXC.RATE_1),CURRENCY.FORMAT_1),CURRENCY.FORMAT_1,0)),'DICTIONARY-5'!$A$2)</f>
        <v>393,-</v>
      </c>
      <c r="K1755" s="670" t="str">
        <f>IF(EXC.RATE_2=0,"",IFERROR(IF(CURRENCY.FORMAT_2=0,CONCATENATE(TEXT(FIXED(ROUND(IF(EXC.RATE.SWITCH=1,C1755/EXC.RATE_2,C1755*EXC.RATE_2),CURRENCY.FORMAT_2),CURRENCY.FORMAT_2,1),"# ##0;-# ##0"),",-"),FIXED(ROUND(IF(EXC.RATE.SWITCH=1,C1755/EXC.RATE_2,C1755*EXC.RATE_2),CURRENCY.FORMAT_2),CURRENCY.FORMAT_2,0)),'DICTIONARY-5'!$A$2))</f>
        <v/>
      </c>
      <c r="L1755" s="670" t="str">
        <f>IFERROR(IF(CURRENCY.FORMAT_1=0,CONCATENATE(TEXT(FIXED(ROUND((C1755*(1-I1755)*(1-ADD.DISCOUNT)*(1+MAT.SURCHARGE)/EXC.RATE_1),CURRENCY.FORMAT_1),CURRENCY.FORMAT_1,1),"# ##0;-# ##0"),",-"),FIXED(ROUND((C1755*(1-I1755)*(1-ADD.DISCOUNT)*(1+MAT.SURCHARGE)/EXC.RATE_1),CURRENCY.FORMAT_1),CURRENCY.FORMAT_1,0)),'DICTIONARY-5'!$A$2)</f>
        <v>408,-</v>
      </c>
      <c r="M1755" s="670" t="str">
        <f>IF(EXC.RATE_2=0,"",IFERROR(IF(CURRENCY.FORMAT_2=0,CONCATENATE(TEXT(FIXED(ROUND(IF(EXC.RATE.SWITCH=1,C1755*(1-I1755)*(1-ADD.DISCOUNT)*(1+MAT.SURCHARGE)/EXC.RATE_2,C1755*(1-I1755)*(1-ADD.DISCOUNT)*(1+MAT.SURCHARGE)*EXC.RATE_2),CURRENCY.FORMAT_2),CURRENCY.FORMAT_2,1),"# ##0;-# ##0"),",-"),FIXED(ROUND(IF(EXC.RATE.SWITCH=1,C1755*(1-I1755)*(1-ADD.DISCOUNT)*(1+MAT.SURCHARGE)/EXC.RATE_2,C1755*(1-I1755)*(1-ADD.DISCOUNT)*(1+MAT.SURCHARGE)*EXC.RATE_2),CURRENCY.FORMAT_2),CURRENCY.FORMAT_2,0)),'DICTIONARY-5'!$A$2))</f>
        <v/>
      </c>
      <c r="N1755" s="541">
        <v>6</v>
      </c>
      <c r="O1755" s="541"/>
      <c r="P1755" s="731" t="str">
        <f>'DICTIONARY-3'!$A$149</f>
        <v>CEREX 300-W</v>
      </c>
      <c r="Q1755" s="731" t="str">
        <f>'DICTIONARY-3'!$A$204</f>
        <v>Przepustnica kołnierzowa</v>
      </c>
      <c r="R1755" s="732" t="str">
        <f>CONCATENATE('DICTIONARY-3'!$A$149," ",'DICTIONARY-6'!$A$2," ",'DICTIONARY-2'!$A$2,"200"," ",'DICTIONARY-2'!$A$3,"10/16"," ","R20"," ",'DICTIONARY-5'!$A$51,"/",'DICTIONARY-5'!$A$44,", ",'DICTIONARY-4'!$A$2)</f>
        <v>CEREX 300-W Przep. kołnierz. DN200 PN10/16 R20 GGG/EPDM, WW</v>
      </c>
      <c r="S1755" s="733" t="str">
        <f>'DICTIONARY-4'!$A$2</f>
        <v>WW</v>
      </c>
      <c r="T1755" s="732" t="str">
        <f>'DICTIONARY-4'!$A$18</f>
        <v>Wolny wałek</v>
      </c>
      <c r="U1755" s="734" t="s">
        <v>5750</v>
      </c>
      <c r="V1755" s="735">
        <v>16</v>
      </c>
      <c r="W1755" s="736"/>
      <c r="X1755" s="737"/>
      <c r="Y1755" s="738"/>
      <c r="Z1755" s="739"/>
      <c r="AA1755" s="739"/>
      <c r="AB1755" s="740">
        <v>16</v>
      </c>
      <c r="AC1755" s="741" t="str">
        <f>'DICTIONARY-5'!$A$11&amp;" 20"</f>
        <v>EN 558 szereg 20</v>
      </c>
      <c r="AD1755" s="741" t="str">
        <f>'DICTIONARY-5'!$A$13</f>
        <v>woda pitna</v>
      </c>
      <c r="AE1755" s="742">
        <v>80</v>
      </c>
      <c r="AF1755" s="743">
        <v>14</v>
      </c>
      <c r="AG1755" s="741" t="str">
        <f>'DICTIONARY-5'!$A$23</f>
        <v>powłoka epoksydowa</v>
      </c>
    </row>
    <row r="1756" spans="1:33" x14ac:dyDescent="0.25">
      <c r="A1756" s="866" t="s">
        <v>1834</v>
      </c>
      <c r="B1756" s="866" t="s">
        <v>3675</v>
      </c>
      <c r="C1756" s="836">
        <v>135</v>
      </c>
      <c r="D1756" s="836"/>
      <c r="E1756" s="836"/>
      <c r="F1756" s="836"/>
      <c r="G1756" s="496" t="s">
        <v>7832</v>
      </c>
      <c r="H1756" s="797" t="str">
        <f>VLOOKUP(G1756,SETTINGS!$B$7:$D$97,2,0)</f>
        <v>CEREX 300</v>
      </c>
      <c r="I1756" s="796">
        <f>VLOOKUP(G1756,SETTINGS!$B$7:$D$97,3,0)</f>
        <v>0</v>
      </c>
      <c r="J1756" s="670" t="str">
        <f>IFERROR(IF(CURRENCY.FORMAT_1=0,CONCATENATE(TEXT(FIXED(ROUND((C1756/EXC.RATE_1),CURRENCY.FORMAT_1),CURRENCY.FORMAT_1,1),"# ##0;-# ##0"),",-"),FIXED(ROUND((C1756/EXC.RATE_1),CURRENCY.FORMAT_1),CURRENCY.FORMAT_1,0)),'DICTIONARY-5'!$A$2)</f>
        <v>135,-</v>
      </c>
      <c r="K1756" s="670" t="str">
        <f>IF(EXC.RATE_2=0,"",IFERROR(IF(CURRENCY.FORMAT_2=0,CONCATENATE(TEXT(FIXED(ROUND(IF(EXC.RATE.SWITCH=1,C1756/EXC.RATE_2,C1756*EXC.RATE_2),CURRENCY.FORMAT_2),CURRENCY.FORMAT_2,1),"# ##0;-# ##0"),",-"),FIXED(ROUND(IF(EXC.RATE.SWITCH=1,C1756/EXC.RATE_2,C1756*EXC.RATE_2),CURRENCY.FORMAT_2),CURRENCY.FORMAT_2,0)),'DICTIONARY-5'!$A$2))</f>
        <v/>
      </c>
      <c r="L1756" s="670" t="str">
        <f>IFERROR(IF(CURRENCY.FORMAT_1=0,CONCATENATE(TEXT(FIXED(ROUND((C1756*(1-I1756)*(1-ADD.DISCOUNT)*(1+MAT.SURCHARGE)/EXC.RATE_1),CURRENCY.FORMAT_1),CURRENCY.FORMAT_1,1),"# ##0;-# ##0"),",-"),FIXED(ROUND((C1756*(1-I1756)*(1-ADD.DISCOUNT)*(1+MAT.SURCHARGE)/EXC.RATE_1),CURRENCY.FORMAT_1),CURRENCY.FORMAT_1,0)),'DICTIONARY-5'!$A$2)</f>
        <v>140,-</v>
      </c>
      <c r="M1756" s="670" t="str">
        <f>IF(EXC.RATE_2=0,"",IFERROR(IF(CURRENCY.FORMAT_2=0,CONCATENATE(TEXT(FIXED(ROUND(IF(EXC.RATE.SWITCH=1,C1756*(1-I1756)*(1-ADD.DISCOUNT)*(1+MAT.SURCHARGE)/EXC.RATE_2,C1756*(1-I1756)*(1-ADD.DISCOUNT)*(1+MAT.SURCHARGE)*EXC.RATE_2),CURRENCY.FORMAT_2),CURRENCY.FORMAT_2,1),"# ##0;-# ##0"),",-"),FIXED(ROUND(IF(EXC.RATE.SWITCH=1,C1756*(1-I1756)*(1-ADD.DISCOUNT)*(1+MAT.SURCHARGE)/EXC.RATE_2,C1756*(1-I1756)*(1-ADD.DISCOUNT)*(1+MAT.SURCHARGE)*EXC.RATE_2),CURRENCY.FORMAT_2),CURRENCY.FORMAT_2,0)),'DICTIONARY-5'!$A$2))</f>
        <v/>
      </c>
      <c r="N1756" s="541">
        <v>6</v>
      </c>
      <c r="O1756" s="541"/>
      <c r="P1756" s="731" t="str">
        <f>'DICTIONARY-3'!$A$149</f>
        <v>CEREX 300-W</v>
      </c>
      <c r="Q1756" s="731" t="str">
        <f>'DICTIONARY-3'!$A$204</f>
        <v>Przepustnica kołnierzowa</v>
      </c>
      <c r="R1756" s="732" t="str">
        <f>CONCATENATE('DICTIONARY-3'!$A$149," ",'DICTIONARY-6'!$A$2," ",'DICTIONARY-2'!$A$2,"50"," ",'DICTIONARY-2'!$A$3,"10/16"," ","R20"," ",'DICTIONARY-5'!$A$37,"/",'DICTIONARY-5'!$A$44,", ",'DICTIONARY-4'!$A$2)</f>
        <v>CEREX 300-W Przep. kołnierz. DN50 PN10/16 R20 CF8M/EPDM, WW</v>
      </c>
      <c r="S1756" s="733" t="str">
        <f>'DICTIONARY-4'!$A$2</f>
        <v>WW</v>
      </c>
      <c r="T1756" s="732" t="str">
        <f>'DICTIONARY-4'!$A$18</f>
        <v>Wolny wałek</v>
      </c>
      <c r="U1756" s="734" t="s">
        <v>5748</v>
      </c>
      <c r="V1756" s="735">
        <v>16</v>
      </c>
      <c r="W1756" s="736"/>
      <c r="X1756" s="737"/>
      <c r="Y1756" s="738"/>
      <c r="Z1756" s="739"/>
      <c r="AA1756" s="739"/>
      <c r="AB1756" s="740">
        <v>16</v>
      </c>
      <c r="AC1756" s="741" t="str">
        <f>'DICTIONARY-5'!$A$11&amp;" 20"</f>
        <v>EN 558 szereg 20</v>
      </c>
      <c r="AD1756" s="741" t="str">
        <f>'DICTIONARY-5'!$A$13</f>
        <v>woda pitna</v>
      </c>
      <c r="AE1756" s="742">
        <v>110</v>
      </c>
      <c r="AF1756" s="743">
        <v>2.5</v>
      </c>
      <c r="AG1756" s="741" t="str">
        <f>'DICTIONARY-5'!$A$23</f>
        <v>powłoka epoksydowa</v>
      </c>
    </row>
    <row r="1757" spans="1:33" x14ac:dyDescent="0.25">
      <c r="A1757" s="866" t="s">
        <v>1837</v>
      </c>
      <c r="B1757" s="866" t="s">
        <v>3682</v>
      </c>
      <c r="C1757" s="836">
        <v>144</v>
      </c>
      <c r="D1757" s="836"/>
      <c r="E1757" s="836"/>
      <c r="F1757" s="836"/>
      <c r="G1757" s="496" t="s">
        <v>7832</v>
      </c>
      <c r="H1757" s="797" t="str">
        <f>VLOOKUP(G1757,SETTINGS!$B$7:$D$97,2,0)</f>
        <v>CEREX 300</v>
      </c>
      <c r="I1757" s="796">
        <f>VLOOKUP(G1757,SETTINGS!$B$7:$D$97,3,0)</f>
        <v>0</v>
      </c>
      <c r="J1757" s="670" t="str">
        <f>IFERROR(IF(CURRENCY.FORMAT_1=0,CONCATENATE(TEXT(FIXED(ROUND((C1757/EXC.RATE_1),CURRENCY.FORMAT_1),CURRENCY.FORMAT_1,1),"# ##0;-# ##0"),",-"),FIXED(ROUND((C1757/EXC.RATE_1),CURRENCY.FORMAT_1),CURRENCY.FORMAT_1,0)),'DICTIONARY-5'!$A$2)</f>
        <v>144,-</v>
      </c>
      <c r="K1757" s="670" t="str">
        <f>IF(EXC.RATE_2=0,"",IFERROR(IF(CURRENCY.FORMAT_2=0,CONCATENATE(TEXT(FIXED(ROUND(IF(EXC.RATE.SWITCH=1,C1757/EXC.RATE_2,C1757*EXC.RATE_2),CURRENCY.FORMAT_2),CURRENCY.FORMAT_2,1),"# ##0;-# ##0"),",-"),FIXED(ROUND(IF(EXC.RATE.SWITCH=1,C1757/EXC.RATE_2,C1757*EXC.RATE_2),CURRENCY.FORMAT_2),CURRENCY.FORMAT_2,0)),'DICTIONARY-5'!$A$2))</f>
        <v/>
      </c>
      <c r="L1757" s="670" t="str">
        <f>IFERROR(IF(CURRENCY.FORMAT_1=0,CONCATENATE(TEXT(FIXED(ROUND((C1757*(1-I1757)*(1-ADD.DISCOUNT)*(1+MAT.SURCHARGE)/EXC.RATE_1),CURRENCY.FORMAT_1),CURRENCY.FORMAT_1,1),"# ##0;-# ##0"),",-"),FIXED(ROUND((C1757*(1-I1757)*(1-ADD.DISCOUNT)*(1+MAT.SURCHARGE)/EXC.RATE_1),CURRENCY.FORMAT_1),CURRENCY.FORMAT_1,0)),'DICTIONARY-5'!$A$2)</f>
        <v>150,-</v>
      </c>
      <c r="M1757" s="670" t="str">
        <f>IF(EXC.RATE_2=0,"",IFERROR(IF(CURRENCY.FORMAT_2=0,CONCATENATE(TEXT(FIXED(ROUND(IF(EXC.RATE.SWITCH=1,C1757*(1-I1757)*(1-ADD.DISCOUNT)*(1+MAT.SURCHARGE)/EXC.RATE_2,C1757*(1-I1757)*(1-ADD.DISCOUNT)*(1+MAT.SURCHARGE)*EXC.RATE_2),CURRENCY.FORMAT_2),CURRENCY.FORMAT_2,1),"# ##0;-# ##0"),",-"),FIXED(ROUND(IF(EXC.RATE.SWITCH=1,C1757*(1-I1757)*(1-ADD.DISCOUNT)*(1+MAT.SURCHARGE)/EXC.RATE_2,C1757*(1-I1757)*(1-ADD.DISCOUNT)*(1+MAT.SURCHARGE)*EXC.RATE_2),CURRENCY.FORMAT_2),CURRENCY.FORMAT_2,0)),'DICTIONARY-5'!$A$2))</f>
        <v/>
      </c>
      <c r="N1757" s="541">
        <v>6</v>
      </c>
      <c r="O1757" s="541"/>
      <c r="P1757" s="731" t="str">
        <f>'DICTIONARY-3'!$A$149</f>
        <v>CEREX 300-W</v>
      </c>
      <c r="Q1757" s="731" t="str">
        <f>'DICTIONARY-3'!$A$204</f>
        <v>Przepustnica kołnierzowa</v>
      </c>
      <c r="R1757" s="732" t="str">
        <f>CONCATENATE('DICTIONARY-3'!$A$149," ",'DICTIONARY-6'!$A$2," ",'DICTIONARY-2'!$A$2,"65"," ",'DICTIONARY-2'!$A$3,"10/16"," ","R20"," ",'DICTIONARY-5'!$A$37,"/",'DICTIONARY-5'!$A$44,", ",'DICTIONARY-4'!$A$2)</f>
        <v>CEREX 300-W Przep. kołnierz. DN65 PN10/16 R20 CF8M/EPDM, WW</v>
      </c>
      <c r="S1757" s="733" t="str">
        <f>'DICTIONARY-4'!$A$2</f>
        <v>WW</v>
      </c>
      <c r="T1757" s="732" t="str">
        <f>'DICTIONARY-4'!$A$18</f>
        <v>Wolny wałek</v>
      </c>
      <c r="U1757" s="734" t="s">
        <v>5759</v>
      </c>
      <c r="V1757" s="735">
        <v>16</v>
      </c>
      <c r="W1757" s="736"/>
      <c r="X1757" s="737"/>
      <c r="Y1757" s="738"/>
      <c r="Z1757" s="739"/>
      <c r="AA1757" s="739"/>
      <c r="AB1757" s="740">
        <v>16</v>
      </c>
      <c r="AC1757" s="741" t="str">
        <f>'DICTIONARY-5'!$A$11&amp;" 20"</f>
        <v>EN 558 szereg 20</v>
      </c>
      <c r="AD1757" s="741" t="str">
        <f>'DICTIONARY-5'!$A$13</f>
        <v>woda pitna</v>
      </c>
      <c r="AE1757" s="742">
        <v>50</v>
      </c>
      <c r="AF1757" s="743">
        <v>3</v>
      </c>
      <c r="AG1757" s="741" t="str">
        <f>'DICTIONARY-5'!$A$23</f>
        <v>powłoka epoksydowa</v>
      </c>
    </row>
    <row r="1758" spans="1:33" x14ac:dyDescent="0.25">
      <c r="A1758" s="866" t="s">
        <v>1839</v>
      </c>
      <c r="B1758" s="866" t="s">
        <v>3689</v>
      </c>
      <c r="C1758" s="836">
        <v>154</v>
      </c>
      <c r="D1758" s="836"/>
      <c r="E1758" s="836"/>
      <c r="F1758" s="836"/>
      <c r="G1758" s="496" t="s">
        <v>7832</v>
      </c>
      <c r="H1758" s="797" t="str">
        <f>VLOOKUP(G1758,SETTINGS!$B$7:$D$97,2,0)</f>
        <v>CEREX 300</v>
      </c>
      <c r="I1758" s="796">
        <f>VLOOKUP(G1758,SETTINGS!$B$7:$D$97,3,0)</f>
        <v>0</v>
      </c>
      <c r="J1758" s="670" t="str">
        <f>IFERROR(IF(CURRENCY.FORMAT_1=0,CONCATENATE(TEXT(FIXED(ROUND((C1758/EXC.RATE_1),CURRENCY.FORMAT_1),CURRENCY.FORMAT_1,1),"# ##0;-# ##0"),",-"),FIXED(ROUND((C1758/EXC.RATE_1),CURRENCY.FORMAT_1),CURRENCY.FORMAT_1,0)),'DICTIONARY-5'!$A$2)</f>
        <v>154,-</v>
      </c>
      <c r="K1758" s="670" t="str">
        <f>IF(EXC.RATE_2=0,"",IFERROR(IF(CURRENCY.FORMAT_2=0,CONCATENATE(TEXT(FIXED(ROUND(IF(EXC.RATE.SWITCH=1,C1758/EXC.RATE_2,C1758*EXC.RATE_2),CURRENCY.FORMAT_2),CURRENCY.FORMAT_2,1),"# ##0;-# ##0"),",-"),FIXED(ROUND(IF(EXC.RATE.SWITCH=1,C1758/EXC.RATE_2,C1758*EXC.RATE_2),CURRENCY.FORMAT_2),CURRENCY.FORMAT_2,0)),'DICTIONARY-5'!$A$2))</f>
        <v/>
      </c>
      <c r="L1758" s="670" t="str">
        <f>IFERROR(IF(CURRENCY.FORMAT_1=0,CONCATENATE(TEXT(FIXED(ROUND((C1758*(1-I1758)*(1-ADD.DISCOUNT)*(1+MAT.SURCHARGE)/EXC.RATE_1),CURRENCY.FORMAT_1),CURRENCY.FORMAT_1,1),"# ##0;-# ##0"),",-"),FIXED(ROUND((C1758*(1-I1758)*(1-ADD.DISCOUNT)*(1+MAT.SURCHARGE)/EXC.RATE_1),CURRENCY.FORMAT_1),CURRENCY.FORMAT_1,0)),'DICTIONARY-5'!$A$2)</f>
        <v>160,-</v>
      </c>
      <c r="M1758" s="670" t="str">
        <f>IF(EXC.RATE_2=0,"",IFERROR(IF(CURRENCY.FORMAT_2=0,CONCATENATE(TEXT(FIXED(ROUND(IF(EXC.RATE.SWITCH=1,C1758*(1-I1758)*(1-ADD.DISCOUNT)*(1+MAT.SURCHARGE)/EXC.RATE_2,C1758*(1-I1758)*(1-ADD.DISCOUNT)*(1+MAT.SURCHARGE)*EXC.RATE_2),CURRENCY.FORMAT_2),CURRENCY.FORMAT_2,1),"# ##0;-# ##0"),",-"),FIXED(ROUND(IF(EXC.RATE.SWITCH=1,C1758*(1-I1758)*(1-ADD.DISCOUNT)*(1+MAT.SURCHARGE)/EXC.RATE_2,C1758*(1-I1758)*(1-ADD.DISCOUNT)*(1+MAT.SURCHARGE)*EXC.RATE_2),CURRENCY.FORMAT_2),CURRENCY.FORMAT_2,0)),'DICTIONARY-5'!$A$2))</f>
        <v/>
      </c>
      <c r="N1758" s="541">
        <v>6</v>
      </c>
      <c r="O1758" s="541"/>
      <c r="P1758" s="731" t="str">
        <f>'DICTIONARY-3'!$A$149</f>
        <v>CEREX 300-W</v>
      </c>
      <c r="Q1758" s="731" t="str">
        <f>'DICTIONARY-3'!$A$204</f>
        <v>Przepustnica kołnierzowa</v>
      </c>
      <c r="R1758" s="732" t="str">
        <f>CONCATENATE('DICTIONARY-3'!$A$149," ",'DICTIONARY-6'!$A$2," ",'DICTIONARY-2'!$A$2,"80"," ",'DICTIONARY-2'!$A$3,"10/16"," ","R20"," ",'DICTIONARY-5'!$A$37,"/",'DICTIONARY-5'!$A$44,", ",'DICTIONARY-4'!$A$2)</f>
        <v>CEREX 300-W Przep. kołnierz. DN80 PN10/16 R20 CF8M/EPDM, WW</v>
      </c>
      <c r="S1758" s="733" t="str">
        <f>'DICTIONARY-4'!$A$2</f>
        <v>WW</v>
      </c>
      <c r="T1758" s="732" t="str">
        <f>'DICTIONARY-4'!$A$18</f>
        <v>Wolny wałek</v>
      </c>
      <c r="U1758" s="734" t="s">
        <v>5760</v>
      </c>
      <c r="V1758" s="735">
        <v>16</v>
      </c>
      <c r="W1758" s="736"/>
      <c r="X1758" s="737"/>
      <c r="Y1758" s="738"/>
      <c r="Z1758" s="739"/>
      <c r="AA1758" s="739"/>
      <c r="AB1758" s="740">
        <v>16</v>
      </c>
      <c r="AC1758" s="741" t="str">
        <f>'DICTIONARY-5'!$A$11&amp;" 20"</f>
        <v>EN 558 szereg 20</v>
      </c>
      <c r="AD1758" s="741" t="str">
        <f>'DICTIONARY-5'!$A$13</f>
        <v>woda pitna</v>
      </c>
      <c r="AE1758" s="742">
        <v>110</v>
      </c>
      <c r="AF1758" s="743">
        <v>3.5</v>
      </c>
      <c r="AG1758" s="741" t="str">
        <f>'DICTIONARY-5'!$A$23</f>
        <v>powłoka epoksydowa</v>
      </c>
    </row>
    <row r="1759" spans="1:33" x14ac:dyDescent="0.25">
      <c r="A1759" s="866" t="s">
        <v>1841</v>
      </c>
      <c r="B1759" s="866" t="s">
        <v>3696</v>
      </c>
      <c r="C1759" s="836">
        <v>191</v>
      </c>
      <c r="D1759" s="836"/>
      <c r="E1759" s="836"/>
      <c r="F1759" s="836"/>
      <c r="G1759" s="496" t="s">
        <v>7832</v>
      </c>
      <c r="H1759" s="797" t="str">
        <f>VLOOKUP(G1759,SETTINGS!$B$7:$D$97,2,0)</f>
        <v>CEREX 300</v>
      </c>
      <c r="I1759" s="796">
        <f>VLOOKUP(G1759,SETTINGS!$B$7:$D$97,3,0)</f>
        <v>0</v>
      </c>
      <c r="J1759" s="670" t="str">
        <f>IFERROR(IF(CURRENCY.FORMAT_1=0,CONCATENATE(TEXT(FIXED(ROUND((C1759/EXC.RATE_1),CURRENCY.FORMAT_1),CURRENCY.FORMAT_1,1),"# ##0;-# ##0"),",-"),FIXED(ROUND((C1759/EXC.RATE_1),CURRENCY.FORMAT_1),CURRENCY.FORMAT_1,0)),'DICTIONARY-5'!$A$2)</f>
        <v>191,-</v>
      </c>
      <c r="K1759" s="670" t="str">
        <f>IF(EXC.RATE_2=0,"",IFERROR(IF(CURRENCY.FORMAT_2=0,CONCATENATE(TEXT(FIXED(ROUND(IF(EXC.RATE.SWITCH=1,C1759/EXC.RATE_2,C1759*EXC.RATE_2),CURRENCY.FORMAT_2),CURRENCY.FORMAT_2,1),"# ##0;-# ##0"),",-"),FIXED(ROUND(IF(EXC.RATE.SWITCH=1,C1759/EXC.RATE_2,C1759*EXC.RATE_2),CURRENCY.FORMAT_2),CURRENCY.FORMAT_2,0)),'DICTIONARY-5'!$A$2))</f>
        <v/>
      </c>
      <c r="L1759" s="670" t="str">
        <f>IFERROR(IF(CURRENCY.FORMAT_1=0,CONCATENATE(TEXT(FIXED(ROUND((C1759*(1-I1759)*(1-ADD.DISCOUNT)*(1+MAT.SURCHARGE)/EXC.RATE_1),CURRENCY.FORMAT_1),CURRENCY.FORMAT_1,1),"# ##0;-# ##0"),",-"),FIXED(ROUND((C1759*(1-I1759)*(1-ADD.DISCOUNT)*(1+MAT.SURCHARGE)/EXC.RATE_1),CURRENCY.FORMAT_1),CURRENCY.FORMAT_1,0)),'DICTIONARY-5'!$A$2)</f>
        <v>198,-</v>
      </c>
      <c r="M1759" s="670" t="str">
        <f>IF(EXC.RATE_2=0,"",IFERROR(IF(CURRENCY.FORMAT_2=0,CONCATENATE(TEXT(FIXED(ROUND(IF(EXC.RATE.SWITCH=1,C1759*(1-I1759)*(1-ADD.DISCOUNT)*(1+MAT.SURCHARGE)/EXC.RATE_2,C1759*(1-I1759)*(1-ADD.DISCOUNT)*(1+MAT.SURCHARGE)*EXC.RATE_2),CURRENCY.FORMAT_2),CURRENCY.FORMAT_2,1),"# ##0;-# ##0"),",-"),FIXED(ROUND(IF(EXC.RATE.SWITCH=1,C1759*(1-I1759)*(1-ADD.DISCOUNT)*(1+MAT.SURCHARGE)/EXC.RATE_2,C1759*(1-I1759)*(1-ADD.DISCOUNT)*(1+MAT.SURCHARGE)*EXC.RATE_2),CURRENCY.FORMAT_2),CURRENCY.FORMAT_2,0)),'DICTIONARY-5'!$A$2))</f>
        <v/>
      </c>
      <c r="N1759" s="541">
        <v>6</v>
      </c>
      <c r="O1759" s="541"/>
      <c r="P1759" s="731" t="str">
        <f>'DICTIONARY-3'!$A$149</f>
        <v>CEREX 300-W</v>
      </c>
      <c r="Q1759" s="731" t="str">
        <f>'DICTIONARY-3'!$A$204</f>
        <v>Przepustnica kołnierzowa</v>
      </c>
      <c r="R1759" s="732" t="str">
        <f>CONCATENATE('DICTIONARY-3'!$A$149," ",'DICTIONARY-6'!$A$2," ",'DICTIONARY-2'!$A$2,"100"," ",'DICTIONARY-2'!$A$3,"10/16"," ","R20"," ",'DICTIONARY-5'!$A$37,"/",'DICTIONARY-5'!$A$44,", ",'DICTIONARY-4'!$A$2)</f>
        <v>CEREX 300-W Przep. kołnierz. DN100 PN10/16 R20 CF8M/EPDM, WW</v>
      </c>
      <c r="S1759" s="733" t="str">
        <f>'DICTIONARY-4'!$A$2</f>
        <v>WW</v>
      </c>
      <c r="T1759" s="732" t="str">
        <f>'DICTIONARY-4'!$A$18</f>
        <v>Wolny wałek</v>
      </c>
      <c r="U1759" s="734" t="s">
        <v>5749</v>
      </c>
      <c r="V1759" s="735">
        <v>16</v>
      </c>
      <c r="W1759" s="736"/>
      <c r="X1759" s="737"/>
      <c r="Y1759" s="738"/>
      <c r="Z1759" s="739"/>
      <c r="AA1759" s="739"/>
      <c r="AB1759" s="740">
        <v>16</v>
      </c>
      <c r="AC1759" s="741" t="str">
        <f>'DICTIONARY-5'!$A$11&amp;" 20"</f>
        <v>EN 558 szereg 20</v>
      </c>
      <c r="AD1759" s="741" t="str">
        <f>'DICTIONARY-5'!$A$13</f>
        <v>woda pitna</v>
      </c>
      <c r="AE1759" s="742">
        <v>110</v>
      </c>
      <c r="AF1759" s="743">
        <v>5</v>
      </c>
      <c r="AG1759" s="741" t="str">
        <f>'DICTIONARY-5'!$A$23</f>
        <v>powłoka epoksydowa</v>
      </c>
    </row>
    <row r="1760" spans="1:33" x14ac:dyDescent="0.25">
      <c r="A1760" s="866" t="s">
        <v>1844</v>
      </c>
      <c r="B1760" s="866" t="s">
        <v>3703</v>
      </c>
      <c r="C1760" s="836">
        <v>229</v>
      </c>
      <c r="D1760" s="836"/>
      <c r="E1760" s="836"/>
      <c r="F1760" s="836"/>
      <c r="G1760" s="496" t="s">
        <v>7832</v>
      </c>
      <c r="H1760" s="797" t="str">
        <f>VLOOKUP(G1760,SETTINGS!$B$7:$D$97,2,0)</f>
        <v>CEREX 300</v>
      </c>
      <c r="I1760" s="796">
        <f>VLOOKUP(G1760,SETTINGS!$B$7:$D$97,3,0)</f>
        <v>0</v>
      </c>
      <c r="J1760" s="670" t="str">
        <f>IFERROR(IF(CURRENCY.FORMAT_1=0,CONCATENATE(TEXT(FIXED(ROUND((C1760/EXC.RATE_1),CURRENCY.FORMAT_1),CURRENCY.FORMAT_1,1),"# ##0;-# ##0"),",-"),FIXED(ROUND((C1760/EXC.RATE_1),CURRENCY.FORMAT_1),CURRENCY.FORMAT_1,0)),'DICTIONARY-5'!$A$2)</f>
        <v>229,-</v>
      </c>
      <c r="K1760" s="670" t="str">
        <f>IF(EXC.RATE_2=0,"",IFERROR(IF(CURRENCY.FORMAT_2=0,CONCATENATE(TEXT(FIXED(ROUND(IF(EXC.RATE.SWITCH=1,C1760/EXC.RATE_2,C1760*EXC.RATE_2),CURRENCY.FORMAT_2),CURRENCY.FORMAT_2,1),"# ##0;-# ##0"),",-"),FIXED(ROUND(IF(EXC.RATE.SWITCH=1,C1760/EXC.RATE_2,C1760*EXC.RATE_2),CURRENCY.FORMAT_2),CURRENCY.FORMAT_2,0)),'DICTIONARY-5'!$A$2))</f>
        <v/>
      </c>
      <c r="L1760" s="670" t="str">
        <f>IFERROR(IF(CURRENCY.FORMAT_1=0,CONCATENATE(TEXT(FIXED(ROUND((C1760*(1-I1760)*(1-ADD.DISCOUNT)*(1+MAT.SURCHARGE)/EXC.RATE_1),CURRENCY.FORMAT_1),CURRENCY.FORMAT_1,1),"# ##0;-# ##0"),",-"),FIXED(ROUND((C1760*(1-I1760)*(1-ADD.DISCOUNT)*(1+MAT.SURCHARGE)/EXC.RATE_1),CURRENCY.FORMAT_1),CURRENCY.FORMAT_1,0)),'DICTIONARY-5'!$A$2)</f>
        <v>238,-</v>
      </c>
      <c r="M1760" s="670" t="str">
        <f>IF(EXC.RATE_2=0,"",IFERROR(IF(CURRENCY.FORMAT_2=0,CONCATENATE(TEXT(FIXED(ROUND(IF(EXC.RATE.SWITCH=1,C1760*(1-I1760)*(1-ADD.DISCOUNT)*(1+MAT.SURCHARGE)/EXC.RATE_2,C1760*(1-I1760)*(1-ADD.DISCOUNT)*(1+MAT.SURCHARGE)*EXC.RATE_2),CURRENCY.FORMAT_2),CURRENCY.FORMAT_2,1),"# ##0;-# ##0"),",-"),FIXED(ROUND(IF(EXC.RATE.SWITCH=1,C1760*(1-I1760)*(1-ADD.DISCOUNT)*(1+MAT.SURCHARGE)/EXC.RATE_2,C1760*(1-I1760)*(1-ADD.DISCOUNT)*(1+MAT.SURCHARGE)*EXC.RATE_2),CURRENCY.FORMAT_2),CURRENCY.FORMAT_2,0)),'DICTIONARY-5'!$A$2))</f>
        <v/>
      </c>
      <c r="N1760" s="541">
        <v>6</v>
      </c>
      <c r="O1760" s="541"/>
      <c r="P1760" s="731" t="str">
        <f>'DICTIONARY-3'!$A$149</f>
        <v>CEREX 300-W</v>
      </c>
      <c r="Q1760" s="731" t="str">
        <f>'DICTIONARY-3'!$A$204</f>
        <v>Przepustnica kołnierzowa</v>
      </c>
      <c r="R1760" s="732" t="str">
        <f>CONCATENATE('DICTIONARY-3'!$A$149," ",'DICTIONARY-6'!$A$2," ",'DICTIONARY-2'!$A$2,"125"," ",'DICTIONARY-2'!$A$3,"10/16"," ","R20"," ",'DICTIONARY-5'!$A$37,"/",'DICTIONARY-5'!$A$44,", ",'DICTIONARY-4'!$A$2)</f>
        <v>CEREX 300-W Przep. kołnierz. DN125 PN10/16 R20 CF8M/EPDM, WW</v>
      </c>
      <c r="S1760" s="733" t="str">
        <f>'DICTIONARY-4'!$A$2</f>
        <v>WW</v>
      </c>
      <c r="T1760" s="732" t="str">
        <f>'DICTIONARY-4'!$A$18</f>
        <v>Wolny wałek</v>
      </c>
      <c r="U1760" s="734" t="s">
        <v>5761</v>
      </c>
      <c r="V1760" s="735">
        <v>16</v>
      </c>
      <c r="W1760" s="736"/>
      <c r="X1760" s="737"/>
      <c r="Y1760" s="738"/>
      <c r="Z1760" s="739"/>
      <c r="AA1760" s="739"/>
      <c r="AB1760" s="740">
        <v>16</v>
      </c>
      <c r="AC1760" s="741" t="str">
        <f>'DICTIONARY-5'!$A$11&amp;" 20"</f>
        <v>EN 558 szereg 20</v>
      </c>
      <c r="AD1760" s="741" t="str">
        <f>'DICTIONARY-5'!$A$13</f>
        <v>woda pitna</v>
      </c>
      <c r="AE1760" s="742">
        <v>110</v>
      </c>
      <c r="AF1760" s="743">
        <v>6.8</v>
      </c>
      <c r="AG1760" s="741" t="str">
        <f>'DICTIONARY-5'!$A$23</f>
        <v>powłoka epoksydowa</v>
      </c>
    </row>
    <row r="1761" spans="1:33" x14ac:dyDescent="0.25">
      <c r="A1761" s="866" t="s">
        <v>1847</v>
      </c>
      <c r="B1761" s="866" t="s">
        <v>3710</v>
      </c>
      <c r="C1761" s="836">
        <v>338</v>
      </c>
      <c r="D1761" s="836"/>
      <c r="E1761" s="836"/>
      <c r="F1761" s="836"/>
      <c r="G1761" s="496" t="s">
        <v>7832</v>
      </c>
      <c r="H1761" s="797" t="str">
        <f>VLOOKUP(G1761,SETTINGS!$B$7:$D$97,2,0)</f>
        <v>CEREX 300</v>
      </c>
      <c r="I1761" s="796">
        <f>VLOOKUP(G1761,SETTINGS!$B$7:$D$97,3,0)</f>
        <v>0</v>
      </c>
      <c r="J1761" s="670" t="str">
        <f>IFERROR(IF(CURRENCY.FORMAT_1=0,CONCATENATE(TEXT(FIXED(ROUND((C1761/EXC.RATE_1),CURRENCY.FORMAT_1),CURRENCY.FORMAT_1,1),"# ##0;-# ##0"),",-"),FIXED(ROUND((C1761/EXC.RATE_1),CURRENCY.FORMAT_1),CURRENCY.FORMAT_1,0)),'DICTIONARY-5'!$A$2)</f>
        <v>338,-</v>
      </c>
      <c r="K1761" s="670" t="str">
        <f>IF(EXC.RATE_2=0,"",IFERROR(IF(CURRENCY.FORMAT_2=0,CONCATENATE(TEXT(FIXED(ROUND(IF(EXC.RATE.SWITCH=1,C1761/EXC.RATE_2,C1761*EXC.RATE_2),CURRENCY.FORMAT_2),CURRENCY.FORMAT_2,1),"# ##0;-# ##0"),",-"),FIXED(ROUND(IF(EXC.RATE.SWITCH=1,C1761/EXC.RATE_2,C1761*EXC.RATE_2),CURRENCY.FORMAT_2),CURRENCY.FORMAT_2,0)),'DICTIONARY-5'!$A$2))</f>
        <v/>
      </c>
      <c r="L1761" s="670" t="str">
        <f>IFERROR(IF(CURRENCY.FORMAT_1=0,CONCATENATE(TEXT(FIXED(ROUND((C1761*(1-I1761)*(1-ADD.DISCOUNT)*(1+MAT.SURCHARGE)/EXC.RATE_1),CURRENCY.FORMAT_1),CURRENCY.FORMAT_1,1),"# ##0;-# ##0"),",-"),FIXED(ROUND((C1761*(1-I1761)*(1-ADD.DISCOUNT)*(1+MAT.SURCHARGE)/EXC.RATE_1),CURRENCY.FORMAT_1),CURRENCY.FORMAT_1,0)),'DICTIONARY-5'!$A$2)</f>
        <v>351,-</v>
      </c>
      <c r="M1761" s="670" t="str">
        <f>IF(EXC.RATE_2=0,"",IFERROR(IF(CURRENCY.FORMAT_2=0,CONCATENATE(TEXT(FIXED(ROUND(IF(EXC.RATE.SWITCH=1,C1761*(1-I1761)*(1-ADD.DISCOUNT)*(1+MAT.SURCHARGE)/EXC.RATE_2,C1761*(1-I1761)*(1-ADD.DISCOUNT)*(1+MAT.SURCHARGE)*EXC.RATE_2),CURRENCY.FORMAT_2),CURRENCY.FORMAT_2,1),"# ##0;-# ##0"),",-"),FIXED(ROUND(IF(EXC.RATE.SWITCH=1,C1761*(1-I1761)*(1-ADD.DISCOUNT)*(1+MAT.SURCHARGE)/EXC.RATE_2,C1761*(1-I1761)*(1-ADD.DISCOUNT)*(1+MAT.SURCHARGE)*EXC.RATE_2),CURRENCY.FORMAT_2),CURRENCY.FORMAT_2,0)),'DICTIONARY-5'!$A$2))</f>
        <v/>
      </c>
      <c r="N1761" s="541">
        <v>6</v>
      </c>
      <c r="O1761" s="541"/>
      <c r="P1761" s="731" t="str">
        <f>'DICTIONARY-3'!$A$149</f>
        <v>CEREX 300-W</v>
      </c>
      <c r="Q1761" s="731" t="str">
        <f>'DICTIONARY-3'!$A$204</f>
        <v>Przepustnica kołnierzowa</v>
      </c>
      <c r="R1761" s="732" t="str">
        <f>CONCATENATE('DICTIONARY-3'!$A$149," ",'DICTIONARY-6'!$A$2," ",'DICTIONARY-2'!$A$2,"150"," ",'DICTIONARY-2'!$A$3,"10/16"," ","R20"," ",'DICTIONARY-5'!$A$37,"/",'DICTIONARY-5'!$A$44,", ",'DICTIONARY-4'!$A$2)</f>
        <v>CEREX 300-W Przep. kołnierz. DN150 PN10/16 R20 CF8M/EPDM, WW</v>
      </c>
      <c r="S1761" s="733" t="str">
        <f>'DICTIONARY-4'!$A$2</f>
        <v>WW</v>
      </c>
      <c r="T1761" s="732" t="str">
        <f>'DICTIONARY-4'!$A$18</f>
        <v>Wolny wałek</v>
      </c>
      <c r="U1761" s="734" t="s">
        <v>5572</v>
      </c>
      <c r="V1761" s="735">
        <v>16</v>
      </c>
      <c r="W1761" s="736"/>
      <c r="X1761" s="737"/>
      <c r="Y1761" s="738"/>
      <c r="Z1761" s="739"/>
      <c r="AA1761" s="739"/>
      <c r="AB1761" s="740">
        <v>16</v>
      </c>
      <c r="AC1761" s="741" t="str">
        <f>'DICTIONARY-5'!$A$11&amp;" 20"</f>
        <v>EN 558 szereg 20</v>
      </c>
      <c r="AD1761" s="741" t="str">
        <f>'DICTIONARY-5'!$A$13</f>
        <v>woda pitna</v>
      </c>
      <c r="AE1761" s="742">
        <v>110</v>
      </c>
      <c r="AF1761" s="743">
        <v>9.5</v>
      </c>
      <c r="AG1761" s="741" t="str">
        <f>'DICTIONARY-5'!$A$23</f>
        <v>powłoka epoksydowa</v>
      </c>
    </row>
    <row r="1762" spans="1:33" x14ac:dyDescent="0.25">
      <c r="A1762" s="866" t="s">
        <v>1850</v>
      </c>
      <c r="B1762" s="866" t="s">
        <v>3717</v>
      </c>
      <c r="C1762" s="836">
        <v>445</v>
      </c>
      <c r="D1762" s="836"/>
      <c r="E1762" s="836"/>
      <c r="F1762" s="836"/>
      <c r="G1762" s="496" t="s">
        <v>7832</v>
      </c>
      <c r="H1762" s="797" t="str">
        <f>VLOOKUP(G1762,SETTINGS!$B$7:$D$97,2,0)</f>
        <v>CEREX 300</v>
      </c>
      <c r="I1762" s="796">
        <f>VLOOKUP(G1762,SETTINGS!$B$7:$D$97,3,0)</f>
        <v>0</v>
      </c>
      <c r="J1762" s="670" t="str">
        <f>IFERROR(IF(CURRENCY.FORMAT_1=0,CONCATENATE(TEXT(FIXED(ROUND((C1762/EXC.RATE_1),CURRENCY.FORMAT_1),CURRENCY.FORMAT_1,1),"# ##0;-# ##0"),",-"),FIXED(ROUND((C1762/EXC.RATE_1),CURRENCY.FORMAT_1),CURRENCY.FORMAT_1,0)),'DICTIONARY-5'!$A$2)</f>
        <v>445,-</v>
      </c>
      <c r="K1762" s="670" t="str">
        <f>IF(EXC.RATE_2=0,"",IFERROR(IF(CURRENCY.FORMAT_2=0,CONCATENATE(TEXT(FIXED(ROUND(IF(EXC.RATE.SWITCH=1,C1762/EXC.RATE_2,C1762*EXC.RATE_2),CURRENCY.FORMAT_2),CURRENCY.FORMAT_2,1),"# ##0;-# ##0"),",-"),FIXED(ROUND(IF(EXC.RATE.SWITCH=1,C1762/EXC.RATE_2,C1762*EXC.RATE_2),CURRENCY.FORMAT_2),CURRENCY.FORMAT_2,0)),'DICTIONARY-5'!$A$2))</f>
        <v/>
      </c>
      <c r="L1762" s="670" t="str">
        <f>IFERROR(IF(CURRENCY.FORMAT_1=0,CONCATENATE(TEXT(FIXED(ROUND((C1762*(1-I1762)*(1-ADD.DISCOUNT)*(1+MAT.SURCHARGE)/EXC.RATE_1),CURRENCY.FORMAT_1),CURRENCY.FORMAT_1,1),"# ##0;-# ##0"),",-"),FIXED(ROUND((C1762*(1-I1762)*(1-ADD.DISCOUNT)*(1+MAT.SURCHARGE)/EXC.RATE_1),CURRENCY.FORMAT_1),CURRENCY.FORMAT_1,0)),'DICTIONARY-5'!$A$2)</f>
        <v>462,-</v>
      </c>
      <c r="M1762" s="670" t="str">
        <f>IF(EXC.RATE_2=0,"",IFERROR(IF(CURRENCY.FORMAT_2=0,CONCATENATE(TEXT(FIXED(ROUND(IF(EXC.RATE.SWITCH=1,C1762*(1-I1762)*(1-ADD.DISCOUNT)*(1+MAT.SURCHARGE)/EXC.RATE_2,C1762*(1-I1762)*(1-ADD.DISCOUNT)*(1+MAT.SURCHARGE)*EXC.RATE_2),CURRENCY.FORMAT_2),CURRENCY.FORMAT_2,1),"# ##0;-# ##0"),",-"),FIXED(ROUND(IF(EXC.RATE.SWITCH=1,C1762*(1-I1762)*(1-ADD.DISCOUNT)*(1+MAT.SURCHARGE)/EXC.RATE_2,C1762*(1-I1762)*(1-ADD.DISCOUNT)*(1+MAT.SURCHARGE)*EXC.RATE_2),CURRENCY.FORMAT_2),CURRENCY.FORMAT_2,0)),'DICTIONARY-5'!$A$2))</f>
        <v/>
      </c>
      <c r="N1762" s="541">
        <v>6</v>
      </c>
      <c r="O1762" s="541"/>
      <c r="P1762" s="731" t="str">
        <f>'DICTIONARY-3'!$A$149</f>
        <v>CEREX 300-W</v>
      </c>
      <c r="Q1762" s="731" t="str">
        <f>'DICTIONARY-3'!$A$204</f>
        <v>Przepustnica kołnierzowa</v>
      </c>
      <c r="R1762" s="732" t="str">
        <f>CONCATENATE('DICTIONARY-3'!$A$149," ",'DICTIONARY-6'!$A$2," ",'DICTIONARY-2'!$A$2,"200"," ",'DICTIONARY-2'!$A$3,"10/16"," ","R20"," ",'DICTIONARY-5'!$A$37,"/",'DICTIONARY-5'!$A$44,", ",'DICTIONARY-4'!$A$2)</f>
        <v>CEREX 300-W Przep. kołnierz. DN200 PN10/16 R20 CF8M/EPDM, WW</v>
      </c>
      <c r="S1762" s="733" t="str">
        <f>'DICTIONARY-4'!$A$2</f>
        <v>WW</v>
      </c>
      <c r="T1762" s="732" t="str">
        <f>'DICTIONARY-4'!$A$18</f>
        <v>Wolny wałek</v>
      </c>
      <c r="U1762" s="734" t="s">
        <v>5750</v>
      </c>
      <c r="V1762" s="735">
        <v>16</v>
      </c>
      <c r="W1762" s="736"/>
      <c r="X1762" s="737"/>
      <c r="Y1762" s="738"/>
      <c r="Z1762" s="739"/>
      <c r="AA1762" s="739"/>
      <c r="AB1762" s="740">
        <v>16</v>
      </c>
      <c r="AC1762" s="741" t="str">
        <f>'DICTIONARY-5'!$A$11&amp;" 20"</f>
        <v>EN 558 szereg 20</v>
      </c>
      <c r="AD1762" s="741" t="str">
        <f>'DICTIONARY-5'!$A$13</f>
        <v>woda pitna</v>
      </c>
      <c r="AE1762" s="742">
        <v>110</v>
      </c>
      <c r="AF1762" s="743">
        <v>14</v>
      </c>
      <c r="AG1762" s="741" t="str">
        <f>'DICTIONARY-5'!$A$23</f>
        <v>powłoka epoksydowa</v>
      </c>
    </row>
    <row r="1763" spans="1:33" x14ac:dyDescent="0.25">
      <c r="A1763" s="870" t="s">
        <v>1835</v>
      </c>
      <c r="B1763" s="870" t="s">
        <v>2977</v>
      </c>
      <c r="C1763" s="836">
        <v>392</v>
      </c>
      <c r="D1763" s="836"/>
      <c r="E1763" s="836"/>
      <c r="F1763" s="836"/>
      <c r="G1763" s="496" t="s">
        <v>7832</v>
      </c>
      <c r="H1763" s="797" t="str">
        <f>VLOOKUP(G1763,SETTINGS!$B$7:$D$97,2,0)</f>
        <v>CEREX 300</v>
      </c>
      <c r="I1763" s="796">
        <f>VLOOKUP(G1763,SETTINGS!$B$7:$D$97,3,0)</f>
        <v>0</v>
      </c>
      <c r="J1763" s="670" t="str">
        <f>IFERROR(IF(CURRENCY.FORMAT_1=0,CONCATENATE(TEXT(FIXED(ROUND((C1763/EXC.RATE_1),CURRENCY.FORMAT_1),CURRENCY.FORMAT_1,1),"# ##0;-# ##0"),",-"),FIXED(ROUND((C1763/EXC.RATE_1),CURRENCY.FORMAT_1),CURRENCY.FORMAT_1,0)),'DICTIONARY-5'!$A$2)</f>
        <v>392,-</v>
      </c>
      <c r="K1763" s="670" t="str">
        <f>IF(EXC.RATE_2=0,"",IFERROR(IF(CURRENCY.FORMAT_2=0,CONCATENATE(TEXT(FIXED(ROUND(IF(EXC.RATE.SWITCH=1,C1763/EXC.RATE_2,C1763*EXC.RATE_2),CURRENCY.FORMAT_2),CURRENCY.FORMAT_2,1),"# ##0;-# ##0"),",-"),FIXED(ROUND(IF(EXC.RATE.SWITCH=1,C1763/EXC.RATE_2,C1763*EXC.RATE_2),CURRENCY.FORMAT_2),CURRENCY.FORMAT_2,0)),'DICTIONARY-5'!$A$2))</f>
        <v/>
      </c>
      <c r="L1763" s="670" t="str">
        <f>IFERROR(IF(CURRENCY.FORMAT_1=0,CONCATENATE(TEXT(FIXED(ROUND((C1763*(1-I1763)*(1-ADD.DISCOUNT)*(1+MAT.SURCHARGE)/EXC.RATE_1),CURRENCY.FORMAT_1),CURRENCY.FORMAT_1,1),"# ##0;-# ##0"),",-"),FIXED(ROUND((C1763*(1-I1763)*(1-ADD.DISCOUNT)*(1+MAT.SURCHARGE)/EXC.RATE_1),CURRENCY.FORMAT_1),CURRENCY.FORMAT_1,0)),'DICTIONARY-5'!$A$2)</f>
        <v>407,-</v>
      </c>
      <c r="M1763" s="670" t="str">
        <f>IF(EXC.RATE_2=0,"",IFERROR(IF(CURRENCY.FORMAT_2=0,CONCATENATE(TEXT(FIXED(ROUND(IF(EXC.RATE.SWITCH=1,C1763*(1-I1763)*(1-ADD.DISCOUNT)*(1+MAT.SURCHARGE)/EXC.RATE_2,C1763*(1-I1763)*(1-ADD.DISCOUNT)*(1+MAT.SURCHARGE)*EXC.RATE_2),CURRENCY.FORMAT_2),CURRENCY.FORMAT_2,1),"# ##0;-# ##0"),",-"),FIXED(ROUND(IF(EXC.RATE.SWITCH=1,C1763*(1-I1763)*(1-ADD.DISCOUNT)*(1+MAT.SURCHARGE)/EXC.RATE_2,C1763*(1-I1763)*(1-ADD.DISCOUNT)*(1+MAT.SURCHARGE)*EXC.RATE_2),CURRENCY.FORMAT_2),CURRENCY.FORMAT_2,0)),'DICTIONARY-5'!$A$2))</f>
        <v/>
      </c>
      <c r="N1763" s="541">
        <v>6</v>
      </c>
      <c r="O1763" s="541"/>
      <c r="P1763" s="732" t="str">
        <f>'DICTIONARY-3'!$A$150</f>
        <v>Pływak</v>
      </c>
      <c r="Q1763" s="732" t="str">
        <f>'DICTIONARY-3'!$A$239</f>
        <v>Zestaw z pływakiem</v>
      </c>
      <c r="R1763" s="732" t="str">
        <f>CONCATENATE('DICTIONARY-3'!$A$239," ",'DICTIONARY-5'!$A$7," ",'DICTIONARY-3'!$A$149," ",'DICTIONARY-2'!$A$2,"50-80")</f>
        <v>Zestaw z pływakiem dla CEREX 300-W DN50-80</v>
      </c>
      <c r="S1763" s="733" t="s">
        <v>5569</v>
      </c>
      <c r="T1763" s="732" t="s">
        <v>5569</v>
      </c>
      <c r="U1763" s="734"/>
      <c r="V1763" s="735"/>
      <c r="W1763" s="736"/>
      <c r="X1763" s="737"/>
      <c r="Y1763" s="738"/>
      <c r="Z1763" s="739"/>
      <c r="AA1763" s="739"/>
      <c r="AB1763" s="740"/>
      <c r="AC1763" s="741"/>
      <c r="AD1763" s="741" t="s">
        <v>5569</v>
      </c>
      <c r="AE1763" s="742" t="s">
        <v>5569</v>
      </c>
      <c r="AF1763" s="743">
        <v>11</v>
      </c>
      <c r="AG1763" s="741" t="str">
        <f>'DICTIONARY-5'!$A$23</f>
        <v>powłoka epoksydowa</v>
      </c>
    </row>
    <row r="1764" spans="1:33" x14ac:dyDescent="0.25">
      <c r="A1764" s="870" t="s">
        <v>1842</v>
      </c>
      <c r="B1764" s="870" t="s">
        <v>2978</v>
      </c>
      <c r="C1764" s="836">
        <v>393</v>
      </c>
      <c r="D1764" s="836"/>
      <c r="E1764" s="836"/>
      <c r="F1764" s="836"/>
      <c r="G1764" s="496" t="s">
        <v>7832</v>
      </c>
      <c r="H1764" s="797" t="str">
        <f>VLOOKUP(G1764,SETTINGS!$B$7:$D$97,2,0)</f>
        <v>CEREX 300</v>
      </c>
      <c r="I1764" s="796">
        <f>VLOOKUP(G1764,SETTINGS!$B$7:$D$97,3,0)</f>
        <v>0</v>
      </c>
      <c r="J1764" s="670" t="str">
        <f>IFERROR(IF(CURRENCY.FORMAT_1=0,CONCATENATE(TEXT(FIXED(ROUND((C1764/EXC.RATE_1),CURRENCY.FORMAT_1),CURRENCY.FORMAT_1,1),"# ##0;-# ##0"),",-"),FIXED(ROUND((C1764/EXC.RATE_1),CURRENCY.FORMAT_1),CURRENCY.FORMAT_1,0)),'DICTIONARY-5'!$A$2)</f>
        <v>393,-</v>
      </c>
      <c r="K1764" s="670" t="str">
        <f>IF(EXC.RATE_2=0,"",IFERROR(IF(CURRENCY.FORMAT_2=0,CONCATENATE(TEXT(FIXED(ROUND(IF(EXC.RATE.SWITCH=1,C1764/EXC.RATE_2,C1764*EXC.RATE_2),CURRENCY.FORMAT_2),CURRENCY.FORMAT_2,1),"# ##0;-# ##0"),",-"),FIXED(ROUND(IF(EXC.RATE.SWITCH=1,C1764/EXC.RATE_2,C1764*EXC.RATE_2),CURRENCY.FORMAT_2),CURRENCY.FORMAT_2,0)),'DICTIONARY-5'!$A$2))</f>
        <v/>
      </c>
      <c r="L1764" s="670" t="str">
        <f>IFERROR(IF(CURRENCY.FORMAT_1=0,CONCATENATE(TEXT(FIXED(ROUND((C1764*(1-I1764)*(1-ADD.DISCOUNT)*(1+MAT.SURCHARGE)/EXC.RATE_1),CURRENCY.FORMAT_1),CURRENCY.FORMAT_1,1),"# ##0;-# ##0"),",-"),FIXED(ROUND((C1764*(1-I1764)*(1-ADD.DISCOUNT)*(1+MAT.SURCHARGE)/EXC.RATE_1),CURRENCY.FORMAT_1),CURRENCY.FORMAT_1,0)),'DICTIONARY-5'!$A$2)</f>
        <v>408,-</v>
      </c>
      <c r="M1764" s="670" t="str">
        <f>IF(EXC.RATE_2=0,"",IFERROR(IF(CURRENCY.FORMAT_2=0,CONCATENATE(TEXT(FIXED(ROUND(IF(EXC.RATE.SWITCH=1,C1764*(1-I1764)*(1-ADD.DISCOUNT)*(1+MAT.SURCHARGE)/EXC.RATE_2,C1764*(1-I1764)*(1-ADD.DISCOUNT)*(1+MAT.SURCHARGE)*EXC.RATE_2),CURRENCY.FORMAT_2),CURRENCY.FORMAT_2,1),"# ##0;-# ##0"),",-"),FIXED(ROUND(IF(EXC.RATE.SWITCH=1,C1764*(1-I1764)*(1-ADD.DISCOUNT)*(1+MAT.SURCHARGE)/EXC.RATE_2,C1764*(1-I1764)*(1-ADD.DISCOUNT)*(1+MAT.SURCHARGE)*EXC.RATE_2),CURRENCY.FORMAT_2),CURRENCY.FORMAT_2,0)),'DICTIONARY-5'!$A$2))</f>
        <v/>
      </c>
      <c r="N1764" s="541">
        <v>6</v>
      </c>
      <c r="O1764" s="541"/>
      <c r="P1764" s="732" t="str">
        <f>'DICTIONARY-3'!$A$150</f>
        <v>Pływak</v>
      </c>
      <c r="Q1764" s="732" t="str">
        <f>'DICTIONARY-3'!$A$239</f>
        <v>Zestaw z pływakiem</v>
      </c>
      <c r="R1764" s="732" t="str">
        <f>CONCATENATE('DICTIONARY-3'!$A$239," ",'DICTIONARY-5'!$A$7," ",'DICTIONARY-3'!$A$149," ",'DICTIONARY-2'!$A$2,"100")</f>
        <v>Zestaw z pływakiem dla CEREX 300-W DN100</v>
      </c>
      <c r="S1764" s="733" t="s">
        <v>5569</v>
      </c>
      <c r="T1764" s="732" t="s">
        <v>5569</v>
      </c>
      <c r="U1764" s="734"/>
      <c r="V1764" s="735"/>
      <c r="W1764" s="736"/>
      <c r="X1764" s="737"/>
      <c r="Y1764" s="738"/>
      <c r="Z1764" s="739"/>
      <c r="AA1764" s="739"/>
      <c r="AB1764" s="740"/>
      <c r="AC1764" s="741"/>
      <c r="AD1764" s="741" t="s">
        <v>5569</v>
      </c>
      <c r="AE1764" s="742" t="s">
        <v>5569</v>
      </c>
      <c r="AF1764" s="743">
        <v>11</v>
      </c>
      <c r="AG1764" s="741" t="str">
        <f>'DICTIONARY-5'!$A$23</f>
        <v>powłoka epoksydowa</v>
      </c>
    </row>
    <row r="1765" spans="1:33" x14ac:dyDescent="0.25">
      <c r="A1765" s="870" t="s">
        <v>1845</v>
      </c>
      <c r="B1765" s="870" t="s">
        <v>2979</v>
      </c>
      <c r="C1765" s="836">
        <v>265</v>
      </c>
      <c r="D1765" s="836"/>
      <c r="E1765" s="836"/>
      <c r="F1765" s="836"/>
      <c r="G1765" s="496" t="s">
        <v>7832</v>
      </c>
      <c r="H1765" s="797" t="str">
        <f>VLOOKUP(G1765,SETTINGS!$B$7:$D$97,2,0)</f>
        <v>CEREX 300</v>
      </c>
      <c r="I1765" s="796">
        <f>VLOOKUP(G1765,SETTINGS!$B$7:$D$97,3,0)</f>
        <v>0</v>
      </c>
      <c r="J1765" s="670" t="str">
        <f>IFERROR(IF(CURRENCY.FORMAT_1=0,CONCATENATE(TEXT(FIXED(ROUND((C1765/EXC.RATE_1),CURRENCY.FORMAT_1),CURRENCY.FORMAT_1,1),"# ##0;-# ##0"),",-"),FIXED(ROUND((C1765/EXC.RATE_1),CURRENCY.FORMAT_1),CURRENCY.FORMAT_1,0)),'DICTIONARY-5'!$A$2)</f>
        <v>265,-</v>
      </c>
      <c r="K1765" s="670" t="str">
        <f>IF(EXC.RATE_2=0,"",IFERROR(IF(CURRENCY.FORMAT_2=0,CONCATENATE(TEXT(FIXED(ROUND(IF(EXC.RATE.SWITCH=1,C1765/EXC.RATE_2,C1765*EXC.RATE_2),CURRENCY.FORMAT_2),CURRENCY.FORMAT_2,1),"# ##0;-# ##0"),",-"),FIXED(ROUND(IF(EXC.RATE.SWITCH=1,C1765/EXC.RATE_2,C1765*EXC.RATE_2),CURRENCY.FORMAT_2),CURRENCY.FORMAT_2,0)),'DICTIONARY-5'!$A$2))</f>
        <v/>
      </c>
      <c r="L1765" s="670" t="str">
        <f>IFERROR(IF(CURRENCY.FORMAT_1=0,CONCATENATE(TEXT(FIXED(ROUND((C1765*(1-I1765)*(1-ADD.DISCOUNT)*(1+MAT.SURCHARGE)/EXC.RATE_1),CURRENCY.FORMAT_1),CURRENCY.FORMAT_1,1),"# ##0;-# ##0"),",-"),FIXED(ROUND((C1765*(1-I1765)*(1-ADD.DISCOUNT)*(1+MAT.SURCHARGE)/EXC.RATE_1),CURRENCY.FORMAT_1),CURRENCY.FORMAT_1,0)),'DICTIONARY-5'!$A$2)</f>
        <v>275,-</v>
      </c>
      <c r="M1765" s="670" t="str">
        <f>IF(EXC.RATE_2=0,"",IFERROR(IF(CURRENCY.FORMAT_2=0,CONCATENATE(TEXT(FIXED(ROUND(IF(EXC.RATE.SWITCH=1,C1765*(1-I1765)*(1-ADD.DISCOUNT)*(1+MAT.SURCHARGE)/EXC.RATE_2,C1765*(1-I1765)*(1-ADD.DISCOUNT)*(1+MAT.SURCHARGE)*EXC.RATE_2),CURRENCY.FORMAT_2),CURRENCY.FORMAT_2,1),"# ##0;-# ##0"),",-"),FIXED(ROUND(IF(EXC.RATE.SWITCH=1,C1765*(1-I1765)*(1-ADD.DISCOUNT)*(1+MAT.SURCHARGE)/EXC.RATE_2,C1765*(1-I1765)*(1-ADD.DISCOUNT)*(1+MAT.SURCHARGE)*EXC.RATE_2),CURRENCY.FORMAT_2),CURRENCY.FORMAT_2,0)),'DICTIONARY-5'!$A$2))</f>
        <v/>
      </c>
      <c r="N1765" s="541">
        <v>6</v>
      </c>
      <c r="O1765" s="541"/>
      <c r="P1765" s="732" t="str">
        <f>'DICTIONARY-3'!$A$150</f>
        <v>Pływak</v>
      </c>
      <c r="Q1765" s="732" t="str">
        <f>'DICTIONARY-3'!$A$239</f>
        <v>Zestaw z pływakiem</v>
      </c>
      <c r="R1765" s="732" t="str">
        <f>CONCATENATE('DICTIONARY-3'!$A$239," ",'DICTIONARY-5'!$A$7," ",'DICTIONARY-3'!$A$149," ",'DICTIONARY-2'!$A$2,"125")</f>
        <v>Zestaw z pływakiem dla CEREX 300-W DN125</v>
      </c>
      <c r="S1765" s="733" t="s">
        <v>5569</v>
      </c>
      <c r="T1765" s="732" t="s">
        <v>5569</v>
      </c>
      <c r="U1765" s="734"/>
      <c r="V1765" s="735"/>
      <c r="W1765" s="736"/>
      <c r="X1765" s="737"/>
      <c r="Y1765" s="738"/>
      <c r="Z1765" s="739"/>
      <c r="AA1765" s="739"/>
      <c r="AB1765" s="740"/>
      <c r="AC1765" s="741"/>
      <c r="AD1765" s="741" t="s">
        <v>5569</v>
      </c>
      <c r="AE1765" s="742" t="s">
        <v>5569</v>
      </c>
      <c r="AF1765" s="743">
        <v>15</v>
      </c>
      <c r="AG1765" s="741" t="str">
        <f>'DICTIONARY-5'!$A$23</f>
        <v>powłoka epoksydowa</v>
      </c>
    </row>
    <row r="1766" spans="1:33" x14ac:dyDescent="0.25">
      <c r="A1766" s="870" t="s">
        <v>1848</v>
      </c>
      <c r="B1766" s="870" t="s">
        <v>2980</v>
      </c>
      <c r="C1766" s="836">
        <v>654</v>
      </c>
      <c r="D1766" s="836"/>
      <c r="E1766" s="836"/>
      <c r="F1766" s="836"/>
      <c r="G1766" s="496" t="s">
        <v>7832</v>
      </c>
      <c r="H1766" s="797" t="str">
        <f>VLOOKUP(G1766,SETTINGS!$B$7:$D$97,2,0)</f>
        <v>CEREX 300</v>
      </c>
      <c r="I1766" s="796">
        <f>VLOOKUP(G1766,SETTINGS!$B$7:$D$97,3,0)</f>
        <v>0</v>
      </c>
      <c r="J1766" s="670" t="str">
        <f>IFERROR(IF(CURRENCY.FORMAT_1=0,CONCATENATE(TEXT(FIXED(ROUND((C1766/EXC.RATE_1),CURRENCY.FORMAT_1),CURRENCY.FORMAT_1,1),"# ##0;-# ##0"),",-"),FIXED(ROUND((C1766/EXC.RATE_1),CURRENCY.FORMAT_1),CURRENCY.FORMAT_1,0)),'DICTIONARY-5'!$A$2)</f>
        <v>654,-</v>
      </c>
      <c r="K1766" s="670" t="str">
        <f>IF(EXC.RATE_2=0,"",IFERROR(IF(CURRENCY.FORMAT_2=0,CONCATENATE(TEXT(FIXED(ROUND(IF(EXC.RATE.SWITCH=1,C1766/EXC.RATE_2,C1766*EXC.RATE_2),CURRENCY.FORMAT_2),CURRENCY.FORMAT_2,1),"# ##0;-# ##0"),",-"),FIXED(ROUND(IF(EXC.RATE.SWITCH=1,C1766/EXC.RATE_2,C1766*EXC.RATE_2),CURRENCY.FORMAT_2),CURRENCY.FORMAT_2,0)),'DICTIONARY-5'!$A$2))</f>
        <v/>
      </c>
      <c r="L1766" s="670" t="str">
        <f>IFERROR(IF(CURRENCY.FORMAT_1=0,CONCATENATE(TEXT(FIXED(ROUND((C1766*(1-I1766)*(1-ADD.DISCOUNT)*(1+MAT.SURCHARGE)/EXC.RATE_1),CURRENCY.FORMAT_1),CURRENCY.FORMAT_1,1),"# ##0;-# ##0"),",-"),FIXED(ROUND((C1766*(1-I1766)*(1-ADD.DISCOUNT)*(1+MAT.SURCHARGE)/EXC.RATE_1),CURRENCY.FORMAT_1),CURRENCY.FORMAT_1,0)),'DICTIONARY-5'!$A$2)</f>
        <v>680,-</v>
      </c>
      <c r="M1766" s="670" t="str">
        <f>IF(EXC.RATE_2=0,"",IFERROR(IF(CURRENCY.FORMAT_2=0,CONCATENATE(TEXT(FIXED(ROUND(IF(EXC.RATE.SWITCH=1,C1766*(1-I1766)*(1-ADD.DISCOUNT)*(1+MAT.SURCHARGE)/EXC.RATE_2,C1766*(1-I1766)*(1-ADD.DISCOUNT)*(1+MAT.SURCHARGE)*EXC.RATE_2),CURRENCY.FORMAT_2),CURRENCY.FORMAT_2,1),"# ##0;-# ##0"),",-"),FIXED(ROUND(IF(EXC.RATE.SWITCH=1,C1766*(1-I1766)*(1-ADD.DISCOUNT)*(1+MAT.SURCHARGE)/EXC.RATE_2,C1766*(1-I1766)*(1-ADD.DISCOUNT)*(1+MAT.SURCHARGE)*EXC.RATE_2),CURRENCY.FORMAT_2),CURRENCY.FORMAT_2,0)),'DICTIONARY-5'!$A$2))</f>
        <v/>
      </c>
      <c r="N1766" s="541">
        <v>6</v>
      </c>
      <c r="O1766" s="541"/>
      <c r="P1766" s="732" t="str">
        <f>'DICTIONARY-3'!$A$150</f>
        <v>Pływak</v>
      </c>
      <c r="Q1766" s="732" t="str">
        <f>'DICTIONARY-3'!$A$239</f>
        <v>Zestaw z pływakiem</v>
      </c>
      <c r="R1766" s="732" t="str">
        <f>CONCATENATE('DICTIONARY-3'!$A$239," ",'DICTIONARY-5'!$A$7," ",'DICTIONARY-3'!$A$149," ",'DICTIONARY-2'!$A$2,"150")</f>
        <v>Zestaw z pływakiem dla CEREX 300-W DN150</v>
      </c>
      <c r="S1766" s="733" t="s">
        <v>5569</v>
      </c>
      <c r="T1766" s="732" t="s">
        <v>5569</v>
      </c>
      <c r="U1766" s="734"/>
      <c r="V1766" s="735"/>
      <c r="W1766" s="736"/>
      <c r="X1766" s="737"/>
      <c r="Y1766" s="738"/>
      <c r="Z1766" s="739"/>
      <c r="AA1766" s="739"/>
      <c r="AB1766" s="740"/>
      <c r="AC1766" s="741"/>
      <c r="AD1766" s="741" t="s">
        <v>5569</v>
      </c>
      <c r="AE1766" s="742" t="s">
        <v>5569</v>
      </c>
      <c r="AF1766" s="743">
        <v>22.5</v>
      </c>
      <c r="AG1766" s="741" t="str">
        <f>'DICTIONARY-5'!$A$23</f>
        <v>powłoka epoksydowa</v>
      </c>
    </row>
    <row r="1767" spans="1:33" x14ac:dyDescent="0.25">
      <c r="A1767" s="870" t="s">
        <v>1851</v>
      </c>
      <c r="B1767" s="870" t="s">
        <v>2981</v>
      </c>
      <c r="C1767" s="836">
        <v>666</v>
      </c>
      <c r="D1767" s="836"/>
      <c r="E1767" s="836"/>
      <c r="F1767" s="836"/>
      <c r="G1767" s="496" t="s">
        <v>7832</v>
      </c>
      <c r="H1767" s="797" t="str">
        <f>VLOOKUP(G1767,SETTINGS!$B$7:$D$97,2,0)</f>
        <v>CEREX 300</v>
      </c>
      <c r="I1767" s="796">
        <f>VLOOKUP(G1767,SETTINGS!$B$7:$D$97,3,0)</f>
        <v>0</v>
      </c>
      <c r="J1767" s="670" t="str">
        <f>IFERROR(IF(CURRENCY.FORMAT_1=0,CONCATENATE(TEXT(FIXED(ROUND((C1767/EXC.RATE_1),CURRENCY.FORMAT_1),CURRENCY.FORMAT_1,1),"# ##0;-# ##0"),",-"),FIXED(ROUND((C1767/EXC.RATE_1),CURRENCY.FORMAT_1),CURRENCY.FORMAT_1,0)),'DICTIONARY-5'!$A$2)</f>
        <v>666,-</v>
      </c>
      <c r="K1767" s="670" t="str">
        <f>IF(EXC.RATE_2=0,"",IFERROR(IF(CURRENCY.FORMAT_2=0,CONCATENATE(TEXT(FIXED(ROUND(IF(EXC.RATE.SWITCH=1,C1767/EXC.RATE_2,C1767*EXC.RATE_2),CURRENCY.FORMAT_2),CURRENCY.FORMAT_2,1),"# ##0;-# ##0"),",-"),FIXED(ROUND(IF(EXC.RATE.SWITCH=1,C1767/EXC.RATE_2,C1767*EXC.RATE_2),CURRENCY.FORMAT_2),CURRENCY.FORMAT_2,0)),'DICTIONARY-5'!$A$2))</f>
        <v/>
      </c>
      <c r="L1767" s="670" t="str">
        <f>IFERROR(IF(CURRENCY.FORMAT_1=0,CONCATENATE(TEXT(FIXED(ROUND((C1767*(1-I1767)*(1-ADD.DISCOUNT)*(1+MAT.SURCHARGE)/EXC.RATE_1),CURRENCY.FORMAT_1),CURRENCY.FORMAT_1,1),"# ##0;-# ##0"),",-"),FIXED(ROUND((C1767*(1-I1767)*(1-ADD.DISCOUNT)*(1+MAT.SURCHARGE)/EXC.RATE_1),CURRENCY.FORMAT_1),CURRENCY.FORMAT_1,0)),'DICTIONARY-5'!$A$2)</f>
        <v>692,-</v>
      </c>
      <c r="M1767" s="670" t="str">
        <f>IF(EXC.RATE_2=0,"",IFERROR(IF(CURRENCY.FORMAT_2=0,CONCATENATE(TEXT(FIXED(ROUND(IF(EXC.RATE.SWITCH=1,C1767*(1-I1767)*(1-ADD.DISCOUNT)*(1+MAT.SURCHARGE)/EXC.RATE_2,C1767*(1-I1767)*(1-ADD.DISCOUNT)*(1+MAT.SURCHARGE)*EXC.RATE_2),CURRENCY.FORMAT_2),CURRENCY.FORMAT_2,1),"# ##0;-# ##0"),",-"),FIXED(ROUND(IF(EXC.RATE.SWITCH=1,C1767*(1-I1767)*(1-ADD.DISCOUNT)*(1+MAT.SURCHARGE)/EXC.RATE_2,C1767*(1-I1767)*(1-ADD.DISCOUNT)*(1+MAT.SURCHARGE)*EXC.RATE_2),CURRENCY.FORMAT_2),CURRENCY.FORMAT_2,0)),'DICTIONARY-5'!$A$2))</f>
        <v/>
      </c>
      <c r="N1767" s="541">
        <v>6</v>
      </c>
      <c r="O1767" s="541"/>
      <c r="P1767" s="732" t="str">
        <f>'DICTIONARY-3'!$A$150</f>
        <v>Pływak</v>
      </c>
      <c r="Q1767" s="732" t="str">
        <f>'DICTIONARY-3'!$A$239</f>
        <v>Zestaw z pływakiem</v>
      </c>
      <c r="R1767" s="732" t="str">
        <f>CONCATENATE('DICTIONARY-3'!$A$239," ",'DICTIONARY-5'!$A$7," ",'DICTIONARY-3'!$A$149," ",'DICTIONARY-2'!$A$2,"200")</f>
        <v>Zestaw z pływakiem dla CEREX 300-W DN200</v>
      </c>
      <c r="S1767" s="733" t="s">
        <v>5569</v>
      </c>
      <c r="T1767" s="732" t="s">
        <v>5569</v>
      </c>
      <c r="U1767" s="734"/>
      <c r="V1767" s="735"/>
      <c r="W1767" s="736"/>
      <c r="X1767" s="737"/>
      <c r="Y1767" s="738"/>
      <c r="Z1767" s="739"/>
      <c r="AA1767" s="739"/>
      <c r="AB1767" s="740"/>
      <c r="AC1767" s="741"/>
      <c r="AD1767" s="741" t="s">
        <v>5569</v>
      </c>
      <c r="AE1767" s="742" t="s">
        <v>5569</v>
      </c>
      <c r="AF1767" s="743">
        <v>23.5</v>
      </c>
      <c r="AG1767" s="741" t="str">
        <f>'DICTIONARY-5'!$A$23</f>
        <v>powłoka epoksydowa</v>
      </c>
    </row>
    <row r="1768" spans="1:33" x14ac:dyDescent="0.25">
      <c r="A1768" s="844" t="s">
        <v>5177</v>
      </c>
      <c r="B1768" s="844" t="s">
        <v>5359</v>
      </c>
      <c r="C1768" s="836">
        <v>151</v>
      </c>
      <c r="D1768" s="836"/>
      <c r="E1768" s="836"/>
      <c r="F1768" s="836"/>
      <c r="G1768" s="496" t="s">
        <v>7832</v>
      </c>
      <c r="H1768" s="797" t="str">
        <f>VLOOKUP(G1768,SETTINGS!$B$7:$D$97,2,0)</f>
        <v>CEREX 300</v>
      </c>
      <c r="I1768" s="796">
        <f>VLOOKUP(G1768,SETTINGS!$B$7:$D$97,3,0)</f>
        <v>0</v>
      </c>
      <c r="J1768" s="670" t="str">
        <f>IFERROR(IF(CURRENCY.FORMAT_1=0,CONCATENATE(TEXT(FIXED(ROUND((C1768/EXC.RATE_1),CURRENCY.FORMAT_1),CURRENCY.FORMAT_1,1),"# ##0;-# ##0"),",-"),FIXED(ROUND((C1768/EXC.RATE_1),CURRENCY.FORMAT_1),CURRENCY.FORMAT_1,0)),'DICTIONARY-5'!$A$2)</f>
        <v>151,-</v>
      </c>
      <c r="K1768" s="670" t="str">
        <f>IF(EXC.RATE_2=0,"",IFERROR(IF(CURRENCY.FORMAT_2=0,CONCATENATE(TEXT(FIXED(ROUND(IF(EXC.RATE.SWITCH=1,C1768/EXC.RATE_2,C1768*EXC.RATE_2),CURRENCY.FORMAT_2),CURRENCY.FORMAT_2,1),"# ##0;-# ##0"),",-"),FIXED(ROUND(IF(EXC.RATE.SWITCH=1,C1768/EXC.RATE_2,C1768*EXC.RATE_2),CURRENCY.FORMAT_2),CURRENCY.FORMAT_2,0)),'DICTIONARY-5'!$A$2))</f>
        <v/>
      </c>
      <c r="L1768" s="670" t="str">
        <f>IFERROR(IF(CURRENCY.FORMAT_1=0,CONCATENATE(TEXT(FIXED(ROUND((C1768*(1-I1768)*(1-ADD.DISCOUNT)*(1+MAT.SURCHARGE)/EXC.RATE_1),CURRENCY.FORMAT_1),CURRENCY.FORMAT_1,1),"# ##0;-# ##0"),",-"),FIXED(ROUND((C1768*(1-I1768)*(1-ADD.DISCOUNT)*(1+MAT.SURCHARGE)/EXC.RATE_1),CURRENCY.FORMAT_1),CURRENCY.FORMAT_1,0)),'DICTIONARY-5'!$A$2)</f>
        <v>157,-</v>
      </c>
      <c r="M1768" s="670" t="str">
        <f>IF(EXC.RATE_2=0,"",IFERROR(IF(CURRENCY.FORMAT_2=0,CONCATENATE(TEXT(FIXED(ROUND(IF(EXC.RATE.SWITCH=1,C1768*(1-I1768)*(1-ADD.DISCOUNT)*(1+MAT.SURCHARGE)/EXC.RATE_2,C1768*(1-I1768)*(1-ADD.DISCOUNT)*(1+MAT.SURCHARGE)*EXC.RATE_2),CURRENCY.FORMAT_2),CURRENCY.FORMAT_2,1),"# ##0;-# ##0"),",-"),FIXED(ROUND(IF(EXC.RATE.SWITCH=1,C1768*(1-I1768)*(1-ADD.DISCOUNT)*(1+MAT.SURCHARGE)/EXC.RATE_2,C1768*(1-I1768)*(1-ADD.DISCOUNT)*(1+MAT.SURCHARGE)*EXC.RATE_2),CURRENCY.FORMAT_2),CURRENCY.FORMAT_2,0)),'DICTIONARY-5'!$A$2))</f>
        <v/>
      </c>
      <c r="N1768" s="541">
        <v>6</v>
      </c>
      <c r="O1768" s="654" t="s">
        <v>7363</v>
      </c>
      <c r="P1768" s="731" t="str">
        <f>'DICTIONARY-3'!$A$148</f>
        <v>CEREX 300-L</v>
      </c>
      <c r="Q1768" s="731" t="str">
        <f>'DICTIONARY-3'!$A$204</f>
        <v>Przepustnica kołnierzowa</v>
      </c>
      <c r="R1768" s="732" t="str">
        <f>CONCATENATE('DICTIONARY-3'!$A$148," ",'DICTIONARY-6'!$A$2," ",'DICTIONARY-2'!$A$2,"50"," ",'DICTIONARY-2'!$A$3,"10/16"," ",'DICTIONARY-5'!$A$51,"/",'DICTIONARY-5'!$A$44,", ",'DICTIONARY-4'!$A$2)</f>
        <v>CEREX 300-L Przep. kołnierz. DN50 PN10/16 GGG/EPDM, WW</v>
      </c>
      <c r="S1768" s="733" t="str">
        <f>'DICTIONARY-4'!$A$2</f>
        <v>WW</v>
      </c>
      <c r="T1768" s="732" t="str">
        <f>'DICTIONARY-4'!$A$18</f>
        <v>Wolny wałek</v>
      </c>
      <c r="U1768" s="734" t="s">
        <v>5748</v>
      </c>
      <c r="V1768" s="735">
        <v>16</v>
      </c>
      <c r="W1768" s="736"/>
      <c r="X1768" s="737"/>
      <c r="Y1768" s="738"/>
      <c r="Z1768" s="739"/>
      <c r="AA1768" s="739"/>
      <c r="AB1768" s="740">
        <v>16</v>
      </c>
      <c r="AC1768" s="741" t="str">
        <f>'DICTIONARY-5'!$A$11&amp;" 20"</f>
        <v>EN 558 szereg 20</v>
      </c>
      <c r="AD1768" s="741" t="str">
        <f>'DICTIONARY-5'!$A$13</f>
        <v>woda pitna</v>
      </c>
      <c r="AE1768" s="742">
        <v>80</v>
      </c>
      <c r="AF1768" s="743">
        <v>3</v>
      </c>
      <c r="AG1768" s="741" t="str">
        <f>'DICTIONARY-5'!$A$23</f>
        <v>powłoka epoksydowa</v>
      </c>
    </row>
    <row r="1769" spans="1:33" x14ac:dyDescent="0.25">
      <c r="A1769" s="844" t="s">
        <v>5179</v>
      </c>
      <c r="B1769" s="844" t="s">
        <v>5360</v>
      </c>
      <c r="C1769" s="836">
        <v>156</v>
      </c>
      <c r="D1769" s="836"/>
      <c r="E1769" s="836"/>
      <c r="F1769" s="836"/>
      <c r="G1769" s="496" t="s">
        <v>7832</v>
      </c>
      <c r="H1769" s="797" t="str">
        <f>VLOOKUP(G1769,SETTINGS!$B$7:$D$97,2,0)</f>
        <v>CEREX 300</v>
      </c>
      <c r="I1769" s="796">
        <f>VLOOKUP(G1769,SETTINGS!$B$7:$D$97,3,0)</f>
        <v>0</v>
      </c>
      <c r="J1769" s="670" t="str">
        <f>IFERROR(IF(CURRENCY.FORMAT_1=0,CONCATENATE(TEXT(FIXED(ROUND((C1769/EXC.RATE_1),CURRENCY.FORMAT_1),CURRENCY.FORMAT_1,1),"# ##0;-# ##0"),",-"),FIXED(ROUND((C1769/EXC.RATE_1),CURRENCY.FORMAT_1),CURRENCY.FORMAT_1,0)),'DICTIONARY-5'!$A$2)</f>
        <v>156,-</v>
      </c>
      <c r="K1769" s="670" t="str">
        <f>IF(EXC.RATE_2=0,"",IFERROR(IF(CURRENCY.FORMAT_2=0,CONCATENATE(TEXT(FIXED(ROUND(IF(EXC.RATE.SWITCH=1,C1769/EXC.RATE_2,C1769*EXC.RATE_2),CURRENCY.FORMAT_2),CURRENCY.FORMAT_2,1),"# ##0;-# ##0"),",-"),FIXED(ROUND(IF(EXC.RATE.SWITCH=1,C1769/EXC.RATE_2,C1769*EXC.RATE_2),CURRENCY.FORMAT_2),CURRENCY.FORMAT_2,0)),'DICTIONARY-5'!$A$2))</f>
        <v/>
      </c>
      <c r="L1769" s="670" t="str">
        <f>IFERROR(IF(CURRENCY.FORMAT_1=0,CONCATENATE(TEXT(FIXED(ROUND((C1769*(1-I1769)*(1-ADD.DISCOUNT)*(1+MAT.SURCHARGE)/EXC.RATE_1),CURRENCY.FORMAT_1),CURRENCY.FORMAT_1,1),"# ##0;-# ##0"),",-"),FIXED(ROUND((C1769*(1-I1769)*(1-ADD.DISCOUNT)*(1+MAT.SURCHARGE)/EXC.RATE_1),CURRENCY.FORMAT_1),CURRENCY.FORMAT_1,0)),'DICTIONARY-5'!$A$2)</f>
        <v>162,-</v>
      </c>
      <c r="M1769" s="670" t="str">
        <f>IF(EXC.RATE_2=0,"",IFERROR(IF(CURRENCY.FORMAT_2=0,CONCATENATE(TEXT(FIXED(ROUND(IF(EXC.RATE.SWITCH=1,C1769*(1-I1769)*(1-ADD.DISCOUNT)*(1+MAT.SURCHARGE)/EXC.RATE_2,C1769*(1-I1769)*(1-ADD.DISCOUNT)*(1+MAT.SURCHARGE)*EXC.RATE_2),CURRENCY.FORMAT_2),CURRENCY.FORMAT_2,1),"# ##0;-# ##0"),",-"),FIXED(ROUND(IF(EXC.RATE.SWITCH=1,C1769*(1-I1769)*(1-ADD.DISCOUNT)*(1+MAT.SURCHARGE)/EXC.RATE_2,C1769*(1-I1769)*(1-ADD.DISCOUNT)*(1+MAT.SURCHARGE)*EXC.RATE_2),CURRENCY.FORMAT_2),CURRENCY.FORMAT_2,0)),'DICTIONARY-5'!$A$2))</f>
        <v/>
      </c>
      <c r="N1769" s="541">
        <v>6</v>
      </c>
      <c r="O1769" s="654" t="s">
        <v>7363</v>
      </c>
      <c r="P1769" s="731" t="str">
        <f>'DICTIONARY-3'!$A$148</f>
        <v>CEREX 300-L</v>
      </c>
      <c r="Q1769" s="731" t="str">
        <f>'DICTIONARY-3'!$A$204</f>
        <v>Przepustnica kołnierzowa</v>
      </c>
      <c r="R1769" s="732" t="str">
        <f>CONCATENATE('DICTIONARY-3'!$A$148," ",'DICTIONARY-6'!$A$2," ",'DICTIONARY-2'!$A$2,"65"," ",'DICTIONARY-2'!$A$3,"10/16"," ",'DICTIONARY-5'!$A$51,"/",'DICTIONARY-5'!$A$44,", ",'DICTIONARY-4'!$A$2)</f>
        <v>CEREX 300-L Przep. kołnierz. DN65 PN10/16 GGG/EPDM, WW</v>
      </c>
      <c r="S1769" s="733" t="str">
        <f>'DICTIONARY-4'!$A$2</f>
        <v>WW</v>
      </c>
      <c r="T1769" s="732" t="str">
        <f>'DICTIONARY-4'!$A$18</f>
        <v>Wolny wałek</v>
      </c>
      <c r="U1769" s="734" t="s">
        <v>5759</v>
      </c>
      <c r="V1769" s="735">
        <v>16</v>
      </c>
      <c r="W1769" s="736"/>
      <c r="X1769" s="737"/>
      <c r="Y1769" s="738"/>
      <c r="Z1769" s="739"/>
      <c r="AA1769" s="739"/>
      <c r="AB1769" s="740">
        <v>16</v>
      </c>
      <c r="AC1769" s="741" t="str">
        <f>'DICTIONARY-5'!$A$11&amp;" 20"</f>
        <v>EN 558 szereg 20</v>
      </c>
      <c r="AD1769" s="741" t="str">
        <f>'DICTIONARY-5'!$A$13</f>
        <v>woda pitna</v>
      </c>
      <c r="AE1769" s="742">
        <v>80</v>
      </c>
      <c r="AF1769" s="743">
        <v>3.5</v>
      </c>
      <c r="AG1769" s="741" t="str">
        <f>'DICTIONARY-5'!$A$23</f>
        <v>powłoka epoksydowa</v>
      </c>
    </row>
    <row r="1770" spans="1:33" x14ac:dyDescent="0.25">
      <c r="A1770" s="844" t="s">
        <v>5181</v>
      </c>
      <c r="B1770" s="844" t="s">
        <v>5361</v>
      </c>
      <c r="C1770" s="836">
        <v>186</v>
      </c>
      <c r="D1770" s="836"/>
      <c r="E1770" s="836"/>
      <c r="F1770" s="836"/>
      <c r="G1770" s="496" t="s">
        <v>7832</v>
      </c>
      <c r="H1770" s="797" t="str">
        <f>VLOOKUP(G1770,SETTINGS!$B$7:$D$97,2,0)</f>
        <v>CEREX 300</v>
      </c>
      <c r="I1770" s="796">
        <f>VLOOKUP(G1770,SETTINGS!$B$7:$D$97,3,0)</f>
        <v>0</v>
      </c>
      <c r="J1770" s="670" t="str">
        <f>IFERROR(IF(CURRENCY.FORMAT_1=0,CONCATENATE(TEXT(FIXED(ROUND((C1770/EXC.RATE_1),CURRENCY.FORMAT_1),CURRENCY.FORMAT_1,1),"# ##0;-# ##0"),",-"),FIXED(ROUND((C1770/EXC.RATE_1),CURRENCY.FORMAT_1),CURRENCY.FORMAT_1,0)),'DICTIONARY-5'!$A$2)</f>
        <v>186,-</v>
      </c>
      <c r="K1770" s="670" t="str">
        <f>IF(EXC.RATE_2=0,"",IFERROR(IF(CURRENCY.FORMAT_2=0,CONCATENATE(TEXT(FIXED(ROUND(IF(EXC.RATE.SWITCH=1,C1770/EXC.RATE_2,C1770*EXC.RATE_2),CURRENCY.FORMAT_2),CURRENCY.FORMAT_2,1),"# ##0;-# ##0"),",-"),FIXED(ROUND(IF(EXC.RATE.SWITCH=1,C1770/EXC.RATE_2,C1770*EXC.RATE_2),CURRENCY.FORMAT_2),CURRENCY.FORMAT_2,0)),'DICTIONARY-5'!$A$2))</f>
        <v/>
      </c>
      <c r="L1770" s="670" t="str">
        <f>IFERROR(IF(CURRENCY.FORMAT_1=0,CONCATENATE(TEXT(FIXED(ROUND((C1770*(1-I1770)*(1-ADD.DISCOUNT)*(1+MAT.SURCHARGE)/EXC.RATE_1),CURRENCY.FORMAT_1),CURRENCY.FORMAT_1,1),"# ##0;-# ##0"),",-"),FIXED(ROUND((C1770*(1-I1770)*(1-ADD.DISCOUNT)*(1+MAT.SURCHARGE)/EXC.RATE_1),CURRENCY.FORMAT_1),CURRENCY.FORMAT_1,0)),'DICTIONARY-5'!$A$2)</f>
        <v>193,-</v>
      </c>
      <c r="M1770" s="670" t="str">
        <f>IF(EXC.RATE_2=0,"",IFERROR(IF(CURRENCY.FORMAT_2=0,CONCATENATE(TEXT(FIXED(ROUND(IF(EXC.RATE.SWITCH=1,C1770*(1-I1770)*(1-ADD.DISCOUNT)*(1+MAT.SURCHARGE)/EXC.RATE_2,C1770*(1-I1770)*(1-ADD.DISCOUNT)*(1+MAT.SURCHARGE)*EXC.RATE_2),CURRENCY.FORMAT_2),CURRENCY.FORMAT_2,1),"# ##0;-# ##0"),",-"),FIXED(ROUND(IF(EXC.RATE.SWITCH=1,C1770*(1-I1770)*(1-ADD.DISCOUNT)*(1+MAT.SURCHARGE)/EXC.RATE_2,C1770*(1-I1770)*(1-ADD.DISCOUNT)*(1+MAT.SURCHARGE)*EXC.RATE_2),CURRENCY.FORMAT_2),CURRENCY.FORMAT_2,0)),'DICTIONARY-5'!$A$2))</f>
        <v/>
      </c>
      <c r="N1770" s="541">
        <v>6</v>
      </c>
      <c r="O1770" s="654" t="s">
        <v>7363</v>
      </c>
      <c r="P1770" s="731" t="str">
        <f>'DICTIONARY-3'!$A$148</f>
        <v>CEREX 300-L</v>
      </c>
      <c r="Q1770" s="731" t="str">
        <f>'DICTIONARY-3'!$A$204</f>
        <v>Przepustnica kołnierzowa</v>
      </c>
      <c r="R1770" s="732" t="str">
        <f>CONCATENATE('DICTIONARY-3'!$A$148," ",'DICTIONARY-6'!$A$2," ",'DICTIONARY-2'!$A$2,"80"," ",'DICTIONARY-2'!$A$3,"10/16"," ",'DICTIONARY-5'!$A$51,"/",'DICTIONARY-5'!$A$44,", ",'DICTIONARY-4'!$A$2)</f>
        <v>CEREX 300-L Przep. kołnierz. DN80 PN10/16 GGG/EPDM, WW</v>
      </c>
      <c r="S1770" s="733" t="str">
        <f>'DICTIONARY-4'!$A$2</f>
        <v>WW</v>
      </c>
      <c r="T1770" s="732" t="str">
        <f>'DICTIONARY-4'!$A$18</f>
        <v>Wolny wałek</v>
      </c>
      <c r="U1770" s="734" t="s">
        <v>5760</v>
      </c>
      <c r="V1770" s="735">
        <v>16</v>
      </c>
      <c r="W1770" s="736"/>
      <c r="X1770" s="737"/>
      <c r="Y1770" s="738"/>
      <c r="Z1770" s="739"/>
      <c r="AA1770" s="739"/>
      <c r="AB1770" s="740">
        <v>16</v>
      </c>
      <c r="AC1770" s="741" t="str">
        <f>'DICTIONARY-5'!$A$11&amp;" 20"</f>
        <v>EN 558 szereg 20</v>
      </c>
      <c r="AD1770" s="741" t="str">
        <f>'DICTIONARY-5'!$A$13</f>
        <v>woda pitna</v>
      </c>
      <c r="AE1770" s="742">
        <v>80</v>
      </c>
      <c r="AF1770" s="743">
        <v>5</v>
      </c>
      <c r="AG1770" s="741" t="str">
        <f>'DICTIONARY-5'!$A$23</f>
        <v>powłoka epoksydowa</v>
      </c>
    </row>
    <row r="1771" spans="1:33" x14ac:dyDescent="0.25">
      <c r="A1771" s="844" t="s">
        <v>5183</v>
      </c>
      <c r="B1771" s="844" t="s">
        <v>5362</v>
      </c>
      <c r="C1771" s="836">
        <v>211</v>
      </c>
      <c r="D1771" s="836"/>
      <c r="E1771" s="836"/>
      <c r="F1771" s="836"/>
      <c r="G1771" s="496" t="s">
        <v>7832</v>
      </c>
      <c r="H1771" s="797" t="str">
        <f>VLOOKUP(G1771,SETTINGS!$B$7:$D$97,2,0)</f>
        <v>CEREX 300</v>
      </c>
      <c r="I1771" s="796">
        <f>VLOOKUP(G1771,SETTINGS!$B$7:$D$97,3,0)</f>
        <v>0</v>
      </c>
      <c r="J1771" s="670" t="str">
        <f>IFERROR(IF(CURRENCY.FORMAT_1=0,CONCATENATE(TEXT(FIXED(ROUND((C1771/EXC.RATE_1),CURRENCY.FORMAT_1),CURRENCY.FORMAT_1,1),"# ##0;-# ##0"),",-"),FIXED(ROUND((C1771/EXC.RATE_1),CURRENCY.FORMAT_1),CURRENCY.FORMAT_1,0)),'DICTIONARY-5'!$A$2)</f>
        <v>211,-</v>
      </c>
      <c r="K1771" s="670" t="str">
        <f>IF(EXC.RATE_2=0,"",IFERROR(IF(CURRENCY.FORMAT_2=0,CONCATENATE(TEXT(FIXED(ROUND(IF(EXC.RATE.SWITCH=1,C1771/EXC.RATE_2,C1771*EXC.RATE_2),CURRENCY.FORMAT_2),CURRENCY.FORMAT_2,1),"# ##0;-# ##0"),",-"),FIXED(ROUND(IF(EXC.RATE.SWITCH=1,C1771/EXC.RATE_2,C1771*EXC.RATE_2),CURRENCY.FORMAT_2),CURRENCY.FORMAT_2,0)),'DICTIONARY-5'!$A$2))</f>
        <v/>
      </c>
      <c r="L1771" s="670" t="str">
        <f>IFERROR(IF(CURRENCY.FORMAT_1=0,CONCATENATE(TEXT(FIXED(ROUND((C1771*(1-I1771)*(1-ADD.DISCOUNT)*(1+MAT.SURCHARGE)/EXC.RATE_1),CURRENCY.FORMAT_1),CURRENCY.FORMAT_1,1),"# ##0;-# ##0"),",-"),FIXED(ROUND((C1771*(1-I1771)*(1-ADD.DISCOUNT)*(1+MAT.SURCHARGE)/EXC.RATE_1),CURRENCY.FORMAT_1),CURRENCY.FORMAT_1,0)),'DICTIONARY-5'!$A$2)</f>
        <v>219,-</v>
      </c>
      <c r="M1771" s="670" t="str">
        <f>IF(EXC.RATE_2=0,"",IFERROR(IF(CURRENCY.FORMAT_2=0,CONCATENATE(TEXT(FIXED(ROUND(IF(EXC.RATE.SWITCH=1,C1771*(1-I1771)*(1-ADD.DISCOUNT)*(1+MAT.SURCHARGE)/EXC.RATE_2,C1771*(1-I1771)*(1-ADD.DISCOUNT)*(1+MAT.SURCHARGE)*EXC.RATE_2),CURRENCY.FORMAT_2),CURRENCY.FORMAT_2,1),"# ##0;-# ##0"),",-"),FIXED(ROUND(IF(EXC.RATE.SWITCH=1,C1771*(1-I1771)*(1-ADD.DISCOUNT)*(1+MAT.SURCHARGE)/EXC.RATE_2,C1771*(1-I1771)*(1-ADD.DISCOUNT)*(1+MAT.SURCHARGE)*EXC.RATE_2),CURRENCY.FORMAT_2),CURRENCY.FORMAT_2,0)),'DICTIONARY-5'!$A$2))</f>
        <v/>
      </c>
      <c r="N1771" s="541">
        <v>6</v>
      </c>
      <c r="O1771" s="654" t="s">
        <v>7363</v>
      </c>
      <c r="P1771" s="731" t="str">
        <f>'DICTIONARY-3'!$A$148</f>
        <v>CEREX 300-L</v>
      </c>
      <c r="Q1771" s="731" t="str">
        <f>'DICTIONARY-3'!$A$204</f>
        <v>Przepustnica kołnierzowa</v>
      </c>
      <c r="R1771" s="732" t="str">
        <f>CONCATENATE('DICTIONARY-3'!$A$148," ",'DICTIONARY-6'!$A$2," ",'DICTIONARY-2'!$A$2,"100"," ",'DICTIONARY-2'!$A$3,"10/16"," ",'DICTIONARY-5'!$A$51,"/",'DICTIONARY-5'!$A$44,", ",'DICTIONARY-4'!$A$2)</f>
        <v>CEREX 300-L Przep. kołnierz. DN100 PN10/16 GGG/EPDM, WW</v>
      </c>
      <c r="S1771" s="733" t="str">
        <f>'DICTIONARY-4'!$A$2</f>
        <v>WW</v>
      </c>
      <c r="T1771" s="732" t="str">
        <f>'DICTIONARY-4'!$A$18</f>
        <v>Wolny wałek</v>
      </c>
      <c r="U1771" s="734" t="s">
        <v>5749</v>
      </c>
      <c r="V1771" s="735">
        <v>16</v>
      </c>
      <c r="W1771" s="736"/>
      <c r="X1771" s="737"/>
      <c r="Y1771" s="738"/>
      <c r="Z1771" s="739"/>
      <c r="AA1771" s="739"/>
      <c r="AB1771" s="740">
        <v>16</v>
      </c>
      <c r="AC1771" s="741" t="str">
        <f>'DICTIONARY-5'!$A$11&amp;" 20"</f>
        <v>EN 558 szereg 20</v>
      </c>
      <c r="AD1771" s="741" t="str">
        <f>'DICTIONARY-5'!$A$13</f>
        <v>woda pitna</v>
      </c>
      <c r="AE1771" s="742">
        <v>80</v>
      </c>
      <c r="AF1771" s="743">
        <v>7.5</v>
      </c>
      <c r="AG1771" s="741" t="str">
        <f>'DICTIONARY-5'!$A$23</f>
        <v>powłoka epoksydowa</v>
      </c>
    </row>
    <row r="1772" spans="1:33" x14ac:dyDescent="0.25">
      <c r="A1772" s="844" t="s">
        <v>5185</v>
      </c>
      <c r="B1772" s="844" t="s">
        <v>5363</v>
      </c>
      <c r="C1772" s="836">
        <v>245</v>
      </c>
      <c r="D1772" s="836"/>
      <c r="E1772" s="836"/>
      <c r="F1772" s="836"/>
      <c r="G1772" s="496" t="s">
        <v>7832</v>
      </c>
      <c r="H1772" s="797" t="str">
        <f>VLOOKUP(G1772,SETTINGS!$B$7:$D$97,2,0)</f>
        <v>CEREX 300</v>
      </c>
      <c r="I1772" s="796">
        <f>VLOOKUP(G1772,SETTINGS!$B$7:$D$97,3,0)</f>
        <v>0</v>
      </c>
      <c r="J1772" s="670" t="str">
        <f>IFERROR(IF(CURRENCY.FORMAT_1=0,CONCATENATE(TEXT(FIXED(ROUND((C1772/EXC.RATE_1),CURRENCY.FORMAT_1),CURRENCY.FORMAT_1,1),"# ##0;-# ##0"),",-"),FIXED(ROUND((C1772/EXC.RATE_1),CURRENCY.FORMAT_1),CURRENCY.FORMAT_1,0)),'DICTIONARY-5'!$A$2)</f>
        <v>245,-</v>
      </c>
      <c r="K1772" s="670" t="str">
        <f>IF(EXC.RATE_2=0,"",IFERROR(IF(CURRENCY.FORMAT_2=0,CONCATENATE(TEXT(FIXED(ROUND(IF(EXC.RATE.SWITCH=1,C1772/EXC.RATE_2,C1772*EXC.RATE_2),CURRENCY.FORMAT_2),CURRENCY.FORMAT_2,1),"# ##0;-# ##0"),",-"),FIXED(ROUND(IF(EXC.RATE.SWITCH=1,C1772/EXC.RATE_2,C1772*EXC.RATE_2),CURRENCY.FORMAT_2),CURRENCY.FORMAT_2,0)),'DICTIONARY-5'!$A$2))</f>
        <v/>
      </c>
      <c r="L1772" s="670" t="str">
        <f>IFERROR(IF(CURRENCY.FORMAT_1=0,CONCATENATE(TEXT(FIXED(ROUND((C1772*(1-I1772)*(1-ADD.DISCOUNT)*(1+MAT.SURCHARGE)/EXC.RATE_1),CURRENCY.FORMAT_1),CURRENCY.FORMAT_1,1),"# ##0;-# ##0"),",-"),FIXED(ROUND((C1772*(1-I1772)*(1-ADD.DISCOUNT)*(1+MAT.SURCHARGE)/EXC.RATE_1),CURRENCY.FORMAT_1),CURRENCY.FORMAT_1,0)),'DICTIONARY-5'!$A$2)</f>
        <v>255,-</v>
      </c>
      <c r="M1772" s="670" t="str">
        <f>IF(EXC.RATE_2=0,"",IFERROR(IF(CURRENCY.FORMAT_2=0,CONCATENATE(TEXT(FIXED(ROUND(IF(EXC.RATE.SWITCH=1,C1772*(1-I1772)*(1-ADD.DISCOUNT)*(1+MAT.SURCHARGE)/EXC.RATE_2,C1772*(1-I1772)*(1-ADD.DISCOUNT)*(1+MAT.SURCHARGE)*EXC.RATE_2),CURRENCY.FORMAT_2),CURRENCY.FORMAT_2,1),"# ##0;-# ##0"),",-"),FIXED(ROUND(IF(EXC.RATE.SWITCH=1,C1772*(1-I1772)*(1-ADD.DISCOUNT)*(1+MAT.SURCHARGE)/EXC.RATE_2,C1772*(1-I1772)*(1-ADD.DISCOUNT)*(1+MAT.SURCHARGE)*EXC.RATE_2),CURRENCY.FORMAT_2),CURRENCY.FORMAT_2,0)),'DICTIONARY-5'!$A$2))</f>
        <v/>
      </c>
      <c r="N1772" s="541">
        <v>6</v>
      </c>
      <c r="O1772" s="654" t="s">
        <v>7363</v>
      </c>
      <c r="P1772" s="731" t="str">
        <f>'DICTIONARY-3'!$A$148</f>
        <v>CEREX 300-L</v>
      </c>
      <c r="Q1772" s="731" t="str">
        <f>'DICTIONARY-3'!$A$204</f>
        <v>Przepustnica kołnierzowa</v>
      </c>
      <c r="R1772" s="732" t="str">
        <f>CONCATENATE('DICTIONARY-3'!$A$148," ",'DICTIONARY-6'!$A$2," ",'DICTIONARY-2'!$A$2,"125"," ",'DICTIONARY-2'!$A$3,"10/16"," ",'DICTIONARY-5'!$A$51,"/",'DICTIONARY-5'!$A$44,", ",'DICTIONARY-4'!$A$2)</f>
        <v>CEREX 300-L Przep. kołnierz. DN125 PN10/16 GGG/EPDM, WW</v>
      </c>
      <c r="S1772" s="733" t="str">
        <f>'DICTIONARY-4'!$A$2</f>
        <v>WW</v>
      </c>
      <c r="T1772" s="732" t="str">
        <f>'DICTIONARY-4'!$A$18</f>
        <v>Wolny wałek</v>
      </c>
      <c r="U1772" s="734" t="s">
        <v>5761</v>
      </c>
      <c r="V1772" s="735">
        <v>16</v>
      </c>
      <c r="W1772" s="736"/>
      <c r="X1772" s="737"/>
      <c r="Y1772" s="738"/>
      <c r="Z1772" s="739"/>
      <c r="AA1772" s="739"/>
      <c r="AB1772" s="740">
        <v>16</v>
      </c>
      <c r="AC1772" s="741" t="str">
        <f>'DICTIONARY-5'!$A$11&amp;" 20"</f>
        <v>EN 558 szereg 20</v>
      </c>
      <c r="AD1772" s="741" t="str">
        <f>'DICTIONARY-5'!$A$13</f>
        <v>woda pitna</v>
      </c>
      <c r="AE1772" s="742">
        <v>80</v>
      </c>
      <c r="AF1772" s="743">
        <v>9.5</v>
      </c>
      <c r="AG1772" s="741" t="str">
        <f>'DICTIONARY-5'!$A$23</f>
        <v>powłoka epoksydowa</v>
      </c>
    </row>
    <row r="1773" spans="1:33" x14ac:dyDescent="0.25">
      <c r="A1773" s="844" t="s">
        <v>5187</v>
      </c>
      <c r="B1773" s="844" t="s">
        <v>5364</v>
      </c>
      <c r="C1773" s="836">
        <v>325</v>
      </c>
      <c r="D1773" s="836"/>
      <c r="E1773" s="836"/>
      <c r="F1773" s="836"/>
      <c r="G1773" s="496" t="s">
        <v>7832</v>
      </c>
      <c r="H1773" s="797" t="str">
        <f>VLOOKUP(G1773,SETTINGS!$B$7:$D$97,2,0)</f>
        <v>CEREX 300</v>
      </c>
      <c r="I1773" s="796">
        <f>VLOOKUP(G1773,SETTINGS!$B$7:$D$97,3,0)</f>
        <v>0</v>
      </c>
      <c r="J1773" s="670" t="str">
        <f>IFERROR(IF(CURRENCY.FORMAT_1=0,CONCATENATE(TEXT(FIXED(ROUND((C1773/EXC.RATE_1),CURRENCY.FORMAT_1),CURRENCY.FORMAT_1,1),"# ##0;-# ##0"),",-"),FIXED(ROUND((C1773/EXC.RATE_1),CURRENCY.FORMAT_1),CURRENCY.FORMAT_1,0)),'DICTIONARY-5'!$A$2)</f>
        <v>325,-</v>
      </c>
      <c r="K1773" s="670" t="str">
        <f>IF(EXC.RATE_2=0,"",IFERROR(IF(CURRENCY.FORMAT_2=0,CONCATENATE(TEXT(FIXED(ROUND(IF(EXC.RATE.SWITCH=1,C1773/EXC.RATE_2,C1773*EXC.RATE_2),CURRENCY.FORMAT_2),CURRENCY.FORMAT_2,1),"# ##0;-# ##0"),",-"),FIXED(ROUND(IF(EXC.RATE.SWITCH=1,C1773/EXC.RATE_2,C1773*EXC.RATE_2),CURRENCY.FORMAT_2),CURRENCY.FORMAT_2,0)),'DICTIONARY-5'!$A$2))</f>
        <v/>
      </c>
      <c r="L1773" s="670" t="str">
        <f>IFERROR(IF(CURRENCY.FORMAT_1=0,CONCATENATE(TEXT(FIXED(ROUND((C1773*(1-I1773)*(1-ADD.DISCOUNT)*(1+MAT.SURCHARGE)/EXC.RATE_1),CURRENCY.FORMAT_1),CURRENCY.FORMAT_1,1),"# ##0;-# ##0"),",-"),FIXED(ROUND((C1773*(1-I1773)*(1-ADD.DISCOUNT)*(1+MAT.SURCHARGE)/EXC.RATE_1),CURRENCY.FORMAT_1),CURRENCY.FORMAT_1,0)),'DICTIONARY-5'!$A$2)</f>
        <v>338,-</v>
      </c>
      <c r="M1773" s="670" t="str">
        <f>IF(EXC.RATE_2=0,"",IFERROR(IF(CURRENCY.FORMAT_2=0,CONCATENATE(TEXT(FIXED(ROUND(IF(EXC.RATE.SWITCH=1,C1773*(1-I1773)*(1-ADD.DISCOUNT)*(1+MAT.SURCHARGE)/EXC.RATE_2,C1773*(1-I1773)*(1-ADD.DISCOUNT)*(1+MAT.SURCHARGE)*EXC.RATE_2),CURRENCY.FORMAT_2),CURRENCY.FORMAT_2,1),"# ##0;-# ##0"),",-"),FIXED(ROUND(IF(EXC.RATE.SWITCH=1,C1773*(1-I1773)*(1-ADD.DISCOUNT)*(1+MAT.SURCHARGE)/EXC.RATE_2,C1773*(1-I1773)*(1-ADD.DISCOUNT)*(1+MAT.SURCHARGE)*EXC.RATE_2),CURRENCY.FORMAT_2),CURRENCY.FORMAT_2,0)),'DICTIONARY-5'!$A$2))</f>
        <v/>
      </c>
      <c r="N1773" s="541">
        <v>6</v>
      </c>
      <c r="O1773" s="654" t="s">
        <v>7363</v>
      </c>
      <c r="P1773" s="731" t="str">
        <f>'DICTIONARY-3'!$A$148</f>
        <v>CEREX 300-L</v>
      </c>
      <c r="Q1773" s="731" t="str">
        <f>'DICTIONARY-3'!$A$204</f>
        <v>Przepustnica kołnierzowa</v>
      </c>
      <c r="R1773" s="732" t="str">
        <f>CONCATENATE('DICTIONARY-3'!$A$148," ",'DICTIONARY-6'!$A$2," ",'DICTIONARY-2'!$A$2,"150"," ",'DICTIONARY-2'!$A$3,"10/16"," ",'DICTIONARY-5'!$A$51,"/",'DICTIONARY-5'!$A$44,", ",'DICTIONARY-4'!$A$2)</f>
        <v>CEREX 300-L Przep. kołnierz. DN150 PN10/16 GGG/EPDM, WW</v>
      </c>
      <c r="S1773" s="733" t="str">
        <f>'DICTIONARY-4'!$A$2</f>
        <v>WW</v>
      </c>
      <c r="T1773" s="732" t="str">
        <f>'DICTIONARY-4'!$A$18</f>
        <v>Wolny wałek</v>
      </c>
      <c r="U1773" s="734" t="s">
        <v>5572</v>
      </c>
      <c r="V1773" s="735">
        <v>16</v>
      </c>
      <c r="W1773" s="736"/>
      <c r="X1773" s="737"/>
      <c r="Y1773" s="738"/>
      <c r="Z1773" s="739"/>
      <c r="AA1773" s="739"/>
      <c r="AB1773" s="740">
        <v>16</v>
      </c>
      <c r="AC1773" s="741" t="str">
        <f>'DICTIONARY-5'!$A$11&amp;" 20"</f>
        <v>EN 558 szereg 20</v>
      </c>
      <c r="AD1773" s="741" t="str">
        <f>'DICTIONARY-5'!$A$13</f>
        <v>woda pitna</v>
      </c>
      <c r="AE1773" s="742">
        <v>80</v>
      </c>
      <c r="AF1773" s="743">
        <v>12</v>
      </c>
      <c r="AG1773" s="741" t="str">
        <f>'DICTIONARY-5'!$A$23</f>
        <v>powłoka epoksydowa</v>
      </c>
    </row>
    <row r="1774" spans="1:33" x14ac:dyDescent="0.25">
      <c r="A1774" s="844" t="s">
        <v>5189</v>
      </c>
      <c r="B1774" s="844" t="s">
        <v>5365</v>
      </c>
      <c r="C1774" s="836">
        <v>429</v>
      </c>
      <c r="D1774" s="836"/>
      <c r="E1774" s="836"/>
      <c r="F1774" s="836"/>
      <c r="G1774" s="496" t="s">
        <v>7832</v>
      </c>
      <c r="H1774" s="797" t="str">
        <f>VLOOKUP(G1774,SETTINGS!$B$7:$D$97,2,0)</f>
        <v>CEREX 300</v>
      </c>
      <c r="I1774" s="796">
        <f>VLOOKUP(G1774,SETTINGS!$B$7:$D$97,3,0)</f>
        <v>0</v>
      </c>
      <c r="J1774" s="670" t="str">
        <f>IFERROR(IF(CURRENCY.FORMAT_1=0,CONCATENATE(TEXT(FIXED(ROUND((C1774/EXC.RATE_1),CURRENCY.FORMAT_1),CURRENCY.FORMAT_1,1),"# ##0;-# ##0"),",-"),FIXED(ROUND((C1774/EXC.RATE_1),CURRENCY.FORMAT_1),CURRENCY.FORMAT_1,0)),'DICTIONARY-5'!$A$2)</f>
        <v>429,-</v>
      </c>
      <c r="K1774" s="670" t="str">
        <f>IF(EXC.RATE_2=0,"",IFERROR(IF(CURRENCY.FORMAT_2=0,CONCATENATE(TEXT(FIXED(ROUND(IF(EXC.RATE.SWITCH=1,C1774/EXC.RATE_2,C1774*EXC.RATE_2),CURRENCY.FORMAT_2),CURRENCY.FORMAT_2,1),"# ##0;-# ##0"),",-"),FIXED(ROUND(IF(EXC.RATE.SWITCH=1,C1774/EXC.RATE_2,C1774*EXC.RATE_2),CURRENCY.FORMAT_2),CURRENCY.FORMAT_2,0)),'DICTIONARY-5'!$A$2))</f>
        <v/>
      </c>
      <c r="L1774" s="670" t="str">
        <f>IFERROR(IF(CURRENCY.FORMAT_1=0,CONCATENATE(TEXT(FIXED(ROUND((C1774*(1-I1774)*(1-ADD.DISCOUNT)*(1+MAT.SURCHARGE)/EXC.RATE_1),CURRENCY.FORMAT_1),CURRENCY.FORMAT_1,1),"# ##0;-# ##0"),",-"),FIXED(ROUND((C1774*(1-I1774)*(1-ADD.DISCOUNT)*(1+MAT.SURCHARGE)/EXC.RATE_1),CURRENCY.FORMAT_1),CURRENCY.FORMAT_1,0)),'DICTIONARY-5'!$A$2)</f>
        <v>446,-</v>
      </c>
      <c r="M1774" s="670" t="str">
        <f>IF(EXC.RATE_2=0,"",IFERROR(IF(CURRENCY.FORMAT_2=0,CONCATENATE(TEXT(FIXED(ROUND(IF(EXC.RATE.SWITCH=1,C1774*(1-I1774)*(1-ADD.DISCOUNT)*(1+MAT.SURCHARGE)/EXC.RATE_2,C1774*(1-I1774)*(1-ADD.DISCOUNT)*(1+MAT.SURCHARGE)*EXC.RATE_2),CURRENCY.FORMAT_2),CURRENCY.FORMAT_2,1),"# ##0;-# ##0"),",-"),FIXED(ROUND(IF(EXC.RATE.SWITCH=1,C1774*(1-I1774)*(1-ADD.DISCOUNT)*(1+MAT.SURCHARGE)/EXC.RATE_2,C1774*(1-I1774)*(1-ADD.DISCOUNT)*(1+MAT.SURCHARGE)*EXC.RATE_2),CURRENCY.FORMAT_2),CURRENCY.FORMAT_2,0)),'DICTIONARY-5'!$A$2))</f>
        <v/>
      </c>
      <c r="N1774" s="541">
        <v>6</v>
      </c>
      <c r="O1774" s="654" t="s">
        <v>7363</v>
      </c>
      <c r="P1774" s="731" t="str">
        <f>'DICTIONARY-3'!$A$148</f>
        <v>CEREX 300-L</v>
      </c>
      <c r="Q1774" s="731" t="str">
        <f>'DICTIONARY-3'!$A$204</f>
        <v>Przepustnica kołnierzowa</v>
      </c>
      <c r="R1774" s="732" t="str">
        <f>CONCATENATE('DICTIONARY-3'!$A$148," ",'DICTIONARY-6'!$A$2," ",'DICTIONARY-2'!$A$2,"200"," ",'DICTIONARY-2'!$A$3,"10"," ",'DICTIONARY-5'!$A$51,"/",'DICTIONARY-5'!$A$44,", ",'DICTIONARY-4'!$A$2)</f>
        <v>CEREX 300-L Przep. kołnierz. DN200 PN10 GGG/EPDM, WW</v>
      </c>
      <c r="S1774" s="733" t="str">
        <f>'DICTIONARY-4'!$A$2</f>
        <v>WW</v>
      </c>
      <c r="T1774" s="732" t="str">
        <f>'DICTIONARY-4'!$A$18</f>
        <v>Wolny wałek</v>
      </c>
      <c r="U1774" s="734" t="s">
        <v>5750</v>
      </c>
      <c r="V1774" s="735">
        <v>10</v>
      </c>
      <c r="W1774" s="736"/>
      <c r="X1774" s="737"/>
      <c r="Y1774" s="738"/>
      <c r="Z1774" s="739"/>
      <c r="AA1774" s="739"/>
      <c r="AB1774" s="740">
        <v>10</v>
      </c>
      <c r="AC1774" s="741" t="str">
        <f>'DICTIONARY-5'!$A$11&amp;" 20"</f>
        <v>EN 558 szereg 20</v>
      </c>
      <c r="AD1774" s="741" t="str">
        <f>'DICTIONARY-5'!$A$13</f>
        <v>woda pitna</v>
      </c>
      <c r="AE1774" s="742">
        <v>80</v>
      </c>
      <c r="AF1774" s="743">
        <v>16.5</v>
      </c>
      <c r="AG1774" s="741" t="str">
        <f>'DICTIONARY-5'!$A$23</f>
        <v>powłoka epoksydowa</v>
      </c>
    </row>
    <row r="1775" spans="1:33" x14ac:dyDescent="0.25">
      <c r="A1775" s="844" t="s">
        <v>5191</v>
      </c>
      <c r="B1775" s="844" t="s">
        <v>5366</v>
      </c>
      <c r="C1775" s="836">
        <v>472</v>
      </c>
      <c r="D1775" s="836"/>
      <c r="E1775" s="836"/>
      <c r="F1775" s="836"/>
      <c r="G1775" s="496" t="s">
        <v>7832</v>
      </c>
      <c r="H1775" s="797" t="str">
        <f>VLOOKUP(G1775,SETTINGS!$B$7:$D$97,2,0)</f>
        <v>CEREX 300</v>
      </c>
      <c r="I1775" s="796">
        <f>VLOOKUP(G1775,SETTINGS!$B$7:$D$97,3,0)</f>
        <v>0</v>
      </c>
      <c r="J1775" s="670" t="str">
        <f>IFERROR(IF(CURRENCY.FORMAT_1=0,CONCATENATE(TEXT(FIXED(ROUND((C1775/EXC.RATE_1),CURRENCY.FORMAT_1),CURRENCY.FORMAT_1,1),"# ##0;-# ##0"),",-"),FIXED(ROUND((C1775/EXC.RATE_1),CURRENCY.FORMAT_1),CURRENCY.FORMAT_1,0)),'DICTIONARY-5'!$A$2)</f>
        <v>472,-</v>
      </c>
      <c r="K1775" s="670" t="str">
        <f>IF(EXC.RATE_2=0,"",IFERROR(IF(CURRENCY.FORMAT_2=0,CONCATENATE(TEXT(FIXED(ROUND(IF(EXC.RATE.SWITCH=1,C1775/EXC.RATE_2,C1775*EXC.RATE_2),CURRENCY.FORMAT_2),CURRENCY.FORMAT_2,1),"# ##0;-# ##0"),",-"),FIXED(ROUND(IF(EXC.RATE.SWITCH=1,C1775/EXC.RATE_2,C1775*EXC.RATE_2),CURRENCY.FORMAT_2),CURRENCY.FORMAT_2,0)),'DICTIONARY-5'!$A$2))</f>
        <v/>
      </c>
      <c r="L1775" s="670" t="str">
        <f>IFERROR(IF(CURRENCY.FORMAT_1=0,CONCATENATE(TEXT(FIXED(ROUND((C1775*(1-I1775)*(1-ADD.DISCOUNT)*(1+MAT.SURCHARGE)/EXC.RATE_1),CURRENCY.FORMAT_1),CURRENCY.FORMAT_1,1),"# ##0;-# ##0"),",-"),FIXED(ROUND((C1775*(1-I1775)*(1-ADD.DISCOUNT)*(1+MAT.SURCHARGE)/EXC.RATE_1),CURRENCY.FORMAT_1),CURRENCY.FORMAT_1,0)),'DICTIONARY-5'!$A$2)</f>
        <v>490,-</v>
      </c>
      <c r="M1775" s="670" t="str">
        <f>IF(EXC.RATE_2=0,"",IFERROR(IF(CURRENCY.FORMAT_2=0,CONCATENATE(TEXT(FIXED(ROUND(IF(EXC.RATE.SWITCH=1,C1775*(1-I1775)*(1-ADD.DISCOUNT)*(1+MAT.SURCHARGE)/EXC.RATE_2,C1775*(1-I1775)*(1-ADD.DISCOUNT)*(1+MAT.SURCHARGE)*EXC.RATE_2),CURRENCY.FORMAT_2),CURRENCY.FORMAT_2,1),"# ##0;-# ##0"),",-"),FIXED(ROUND(IF(EXC.RATE.SWITCH=1,C1775*(1-I1775)*(1-ADD.DISCOUNT)*(1+MAT.SURCHARGE)/EXC.RATE_2,C1775*(1-I1775)*(1-ADD.DISCOUNT)*(1+MAT.SURCHARGE)*EXC.RATE_2),CURRENCY.FORMAT_2),CURRENCY.FORMAT_2,0)),'DICTIONARY-5'!$A$2))</f>
        <v/>
      </c>
      <c r="N1775" s="541">
        <v>6</v>
      </c>
      <c r="O1775" s="654" t="s">
        <v>7363</v>
      </c>
      <c r="P1775" s="731" t="str">
        <f>'DICTIONARY-3'!$A$148</f>
        <v>CEREX 300-L</v>
      </c>
      <c r="Q1775" s="731" t="str">
        <f>'DICTIONARY-3'!$A$204</f>
        <v>Przepustnica kołnierzowa</v>
      </c>
      <c r="R1775" s="732" t="str">
        <f>CONCATENATE('DICTIONARY-3'!$A$148," ",'DICTIONARY-6'!$A$2," ",'DICTIONARY-2'!$A$2,"200"," ",'DICTIONARY-2'!$A$3,"16"," ",'DICTIONARY-5'!$A$51,"/",'DICTIONARY-5'!$A$44,", ",'DICTIONARY-4'!$A$2)</f>
        <v>CEREX 300-L Przep. kołnierz. DN200 PN16 GGG/EPDM, WW</v>
      </c>
      <c r="S1775" s="733" t="str">
        <f>'DICTIONARY-4'!$A$2</f>
        <v>WW</v>
      </c>
      <c r="T1775" s="732" t="str">
        <f>'DICTIONARY-4'!$A$18</f>
        <v>Wolny wałek</v>
      </c>
      <c r="U1775" s="734" t="s">
        <v>5750</v>
      </c>
      <c r="V1775" s="735">
        <v>16</v>
      </c>
      <c r="W1775" s="736"/>
      <c r="X1775" s="737"/>
      <c r="Y1775" s="738"/>
      <c r="Z1775" s="739"/>
      <c r="AA1775" s="739"/>
      <c r="AB1775" s="740">
        <v>16</v>
      </c>
      <c r="AC1775" s="741" t="str">
        <f>'DICTIONARY-5'!$A$11&amp;" 20"</f>
        <v>EN 558 szereg 20</v>
      </c>
      <c r="AD1775" s="741" t="str">
        <f>'DICTIONARY-5'!$A$13</f>
        <v>woda pitna</v>
      </c>
      <c r="AE1775" s="742">
        <v>80</v>
      </c>
      <c r="AF1775" s="743">
        <v>18.5</v>
      </c>
      <c r="AG1775" s="741" t="str">
        <f>'DICTIONARY-5'!$A$23</f>
        <v>powłoka epoksydowa</v>
      </c>
    </row>
    <row r="1776" spans="1:33" x14ac:dyDescent="0.25">
      <c r="A1776" s="844" t="s">
        <v>5193</v>
      </c>
      <c r="B1776" s="844" t="s">
        <v>5367</v>
      </c>
      <c r="C1776" s="836">
        <v>510</v>
      </c>
      <c r="D1776" s="836"/>
      <c r="E1776" s="836"/>
      <c r="F1776" s="836"/>
      <c r="G1776" s="496" t="s">
        <v>7832</v>
      </c>
      <c r="H1776" s="797" t="str">
        <f>VLOOKUP(G1776,SETTINGS!$B$7:$D$97,2,0)</f>
        <v>CEREX 300</v>
      </c>
      <c r="I1776" s="796">
        <f>VLOOKUP(G1776,SETTINGS!$B$7:$D$97,3,0)</f>
        <v>0</v>
      </c>
      <c r="J1776" s="670" t="str">
        <f>IFERROR(IF(CURRENCY.FORMAT_1=0,CONCATENATE(TEXT(FIXED(ROUND((C1776/EXC.RATE_1),CURRENCY.FORMAT_1),CURRENCY.FORMAT_1,1),"# ##0;-# ##0"),",-"),FIXED(ROUND((C1776/EXC.RATE_1),CURRENCY.FORMAT_1),CURRENCY.FORMAT_1,0)),'DICTIONARY-5'!$A$2)</f>
        <v>510,-</v>
      </c>
      <c r="K1776" s="670" t="str">
        <f>IF(EXC.RATE_2=0,"",IFERROR(IF(CURRENCY.FORMAT_2=0,CONCATENATE(TEXT(FIXED(ROUND(IF(EXC.RATE.SWITCH=1,C1776/EXC.RATE_2,C1776*EXC.RATE_2),CURRENCY.FORMAT_2),CURRENCY.FORMAT_2,1),"# ##0;-# ##0"),",-"),FIXED(ROUND(IF(EXC.RATE.SWITCH=1,C1776/EXC.RATE_2,C1776*EXC.RATE_2),CURRENCY.FORMAT_2),CURRENCY.FORMAT_2,0)),'DICTIONARY-5'!$A$2))</f>
        <v/>
      </c>
      <c r="L1776" s="670" t="str">
        <f>IFERROR(IF(CURRENCY.FORMAT_1=0,CONCATENATE(TEXT(FIXED(ROUND((C1776*(1-I1776)*(1-ADD.DISCOUNT)*(1+MAT.SURCHARGE)/EXC.RATE_1),CURRENCY.FORMAT_1),CURRENCY.FORMAT_1,1),"# ##0;-# ##0"),",-"),FIXED(ROUND((C1776*(1-I1776)*(1-ADD.DISCOUNT)*(1+MAT.SURCHARGE)/EXC.RATE_1),CURRENCY.FORMAT_1),CURRENCY.FORMAT_1,0)),'DICTIONARY-5'!$A$2)</f>
        <v>530,-</v>
      </c>
      <c r="M1776" s="670" t="str">
        <f>IF(EXC.RATE_2=0,"",IFERROR(IF(CURRENCY.FORMAT_2=0,CONCATENATE(TEXT(FIXED(ROUND(IF(EXC.RATE.SWITCH=1,C1776*(1-I1776)*(1-ADD.DISCOUNT)*(1+MAT.SURCHARGE)/EXC.RATE_2,C1776*(1-I1776)*(1-ADD.DISCOUNT)*(1+MAT.SURCHARGE)*EXC.RATE_2),CURRENCY.FORMAT_2),CURRENCY.FORMAT_2,1),"# ##0;-# ##0"),",-"),FIXED(ROUND(IF(EXC.RATE.SWITCH=1,C1776*(1-I1776)*(1-ADD.DISCOUNT)*(1+MAT.SURCHARGE)/EXC.RATE_2,C1776*(1-I1776)*(1-ADD.DISCOUNT)*(1+MAT.SURCHARGE)*EXC.RATE_2),CURRENCY.FORMAT_2),CURRENCY.FORMAT_2,0)),'DICTIONARY-5'!$A$2))</f>
        <v/>
      </c>
      <c r="N1776" s="541">
        <v>6</v>
      </c>
      <c r="O1776" s="654" t="s">
        <v>7363</v>
      </c>
      <c r="P1776" s="731" t="str">
        <f>'DICTIONARY-3'!$A$148</f>
        <v>CEREX 300-L</v>
      </c>
      <c r="Q1776" s="731" t="str">
        <f>'DICTIONARY-3'!$A$204</f>
        <v>Przepustnica kołnierzowa</v>
      </c>
      <c r="R1776" s="732" t="str">
        <f>CONCATENATE('DICTIONARY-3'!$A$148," ",'DICTIONARY-6'!$A$2," ",'DICTIONARY-2'!$A$2,"250"," ",'DICTIONARY-2'!$A$3,"10"," ",'DICTIONARY-5'!$A$51,"/",'DICTIONARY-5'!$A$44,", ",'DICTIONARY-4'!$A$2)</f>
        <v>CEREX 300-L Przep. kołnierz. DN250 PN10 GGG/EPDM, WW</v>
      </c>
      <c r="S1776" s="733" t="str">
        <f>'DICTIONARY-4'!$A$2</f>
        <v>WW</v>
      </c>
      <c r="T1776" s="732" t="str">
        <f>'DICTIONARY-4'!$A$18</f>
        <v>Wolny wałek</v>
      </c>
      <c r="U1776" s="734" t="s">
        <v>5751</v>
      </c>
      <c r="V1776" s="735">
        <v>10</v>
      </c>
      <c r="W1776" s="736"/>
      <c r="X1776" s="737"/>
      <c r="Y1776" s="738"/>
      <c r="Z1776" s="739"/>
      <c r="AA1776" s="739"/>
      <c r="AB1776" s="740">
        <v>10</v>
      </c>
      <c r="AC1776" s="741" t="str">
        <f>'DICTIONARY-5'!$A$11&amp;" 20"</f>
        <v>EN 558 szereg 20</v>
      </c>
      <c r="AD1776" s="741" t="str">
        <f>'DICTIONARY-5'!$A$13</f>
        <v>woda pitna</v>
      </c>
      <c r="AE1776" s="742">
        <v>80</v>
      </c>
      <c r="AF1776" s="743">
        <v>27</v>
      </c>
      <c r="AG1776" s="741" t="str">
        <f>'DICTIONARY-5'!$A$23</f>
        <v>powłoka epoksydowa</v>
      </c>
    </row>
    <row r="1777" spans="1:33" x14ac:dyDescent="0.25">
      <c r="A1777" s="844" t="s">
        <v>5195</v>
      </c>
      <c r="B1777" s="844" t="s">
        <v>5368</v>
      </c>
      <c r="C1777" s="836">
        <v>515</v>
      </c>
      <c r="D1777" s="836"/>
      <c r="E1777" s="836"/>
      <c r="F1777" s="836"/>
      <c r="G1777" s="496" t="s">
        <v>7832</v>
      </c>
      <c r="H1777" s="797" t="str">
        <f>VLOOKUP(G1777,SETTINGS!$B$7:$D$97,2,0)</f>
        <v>CEREX 300</v>
      </c>
      <c r="I1777" s="796">
        <f>VLOOKUP(G1777,SETTINGS!$B$7:$D$97,3,0)</f>
        <v>0</v>
      </c>
      <c r="J1777" s="670" t="str">
        <f>IFERROR(IF(CURRENCY.FORMAT_1=0,CONCATENATE(TEXT(FIXED(ROUND((C1777/EXC.RATE_1),CURRENCY.FORMAT_1),CURRENCY.FORMAT_1,1),"# ##0;-# ##0"),",-"),FIXED(ROUND((C1777/EXC.RATE_1),CURRENCY.FORMAT_1),CURRENCY.FORMAT_1,0)),'DICTIONARY-5'!$A$2)</f>
        <v>515,-</v>
      </c>
      <c r="K1777" s="670" t="str">
        <f>IF(EXC.RATE_2=0,"",IFERROR(IF(CURRENCY.FORMAT_2=0,CONCATENATE(TEXT(FIXED(ROUND(IF(EXC.RATE.SWITCH=1,C1777/EXC.RATE_2,C1777*EXC.RATE_2),CURRENCY.FORMAT_2),CURRENCY.FORMAT_2,1),"# ##0;-# ##0"),",-"),FIXED(ROUND(IF(EXC.RATE.SWITCH=1,C1777/EXC.RATE_2,C1777*EXC.RATE_2),CURRENCY.FORMAT_2),CURRENCY.FORMAT_2,0)),'DICTIONARY-5'!$A$2))</f>
        <v/>
      </c>
      <c r="L1777" s="670" t="str">
        <f>IFERROR(IF(CURRENCY.FORMAT_1=0,CONCATENATE(TEXT(FIXED(ROUND((C1777*(1-I1777)*(1-ADD.DISCOUNT)*(1+MAT.SURCHARGE)/EXC.RATE_1),CURRENCY.FORMAT_1),CURRENCY.FORMAT_1,1),"# ##0;-# ##0"),",-"),FIXED(ROUND((C1777*(1-I1777)*(1-ADD.DISCOUNT)*(1+MAT.SURCHARGE)/EXC.RATE_1),CURRENCY.FORMAT_1),CURRENCY.FORMAT_1,0)),'DICTIONARY-5'!$A$2)</f>
        <v>535,-</v>
      </c>
      <c r="M1777" s="670" t="str">
        <f>IF(EXC.RATE_2=0,"",IFERROR(IF(CURRENCY.FORMAT_2=0,CONCATENATE(TEXT(FIXED(ROUND(IF(EXC.RATE.SWITCH=1,C1777*(1-I1777)*(1-ADD.DISCOUNT)*(1+MAT.SURCHARGE)/EXC.RATE_2,C1777*(1-I1777)*(1-ADD.DISCOUNT)*(1+MAT.SURCHARGE)*EXC.RATE_2),CURRENCY.FORMAT_2),CURRENCY.FORMAT_2,1),"# ##0;-# ##0"),",-"),FIXED(ROUND(IF(EXC.RATE.SWITCH=1,C1777*(1-I1777)*(1-ADD.DISCOUNT)*(1+MAT.SURCHARGE)/EXC.RATE_2,C1777*(1-I1777)*(1-ADD.DISCOUNT)*(1+MAT.SURCHARGE)*EXC.RATE_2),CURRENCY.FORMAT_2),CURRENCY.FORMAT_2,0)),'DICTIONARY-5'!$A$2))</f>
        <v/>
      </c>
      <c r="N1777" s="541">
        <v>6</v>
      </c>
      <c r="O1777" s="654" t="s">
        <v>7363</v>
      </c>
      <c r="P1777" s="731" t="str">
        <f>'DICTIONARY-3'!$A$148</f>
        <v>CEREX 300-L</v>
      </c>
      <c r="Q1777" s="731" t="str">
        <f>'DICTIONARY-3'!$A$204</f>
        <v>Przepustnica kołnierzowa</v>
      </c>
      <c r="R1777" s="732" t="str">
        <f>CONCATENATE('DICTIONARY-3'!$A$148," ",'DICTIONARY-6'!$A$2," ",'DICTIONARY-2'!$A$2,"250"," ",'DICTIONARY-2'!$A$3,"16"," ",'DICTIONARY-5'!$A$51,"/",'DICTIONARY-5'!$A$44,", ",'DICTIONARY-4'!$A$2)</f>
        <v>CEREX 300-L Przep. kołnierz. DN250 PN16 GGG/EPDM, WW</v>
      </c>
      <c r="S1777" s="733" t="str">
        <f>'DICTIONARY-4'!$A$2</f>
        <v>WW</v>
      </c>
      <c r="T1777" s="732" t="str">
        <f>'DICTIONARY-4'!$A$18</f>
        <v>Wolny wałek</v>
      </c>
      <c r="U1777" s="734" t="s">
        <v>5751</v>
      </c>
      <c r="V1777" s="735">
        <v>16</v>
      </c>
      <c r="W1777" s="736"/>
      <c r="X1777" s="737"/>
      <c r="Y1777" s="738"/>
      <c r="Z1777" s="739"/>
      <c r="AA1777" s="739"/>
      <c r="AB1777" s="740">
        <v>16</v>
      </c>
      <c r="AC1777" s="741" t="str">
        <f>'DICTIONARY-5'!$A$11&amp;" 20"</f>
        <v>EN 558 szereg 20</v>
      </c>
      <c r="AD1777" s="741" t="str">
        <f>'DICTIONARY-5'!$A$13</f>
        <v>woda pitna</v>
      </c>
      <c r="AE1777" s="742">
        <v>80</v>
      </c>
      <c r="AF1777" s="743">
        <v>26.5</v>
      </c>
      <c r="AG1777" s="741" t="str">
        <f>'DICTIONARY-5'!$A$23</f>
        <v>powłoka epoksydowa</v>
      </c>
    </row>
    <row r="1778" spans="1:33" x14ac:dyDescent="0.25">
      <c r="A1778" s="844" t="s">
        <v>5197</v>
      </c>
      <c r="B1778" s="844" t="s">
        <v>5369</v>
      </c>
      <c r="C1778" s="836">
        <v>697</v>
      </c>
      <c r="D1778" s="836"/>
      <c r="E1778" s="836"/>
      <c r="F1778" s="836"/>
      <c r="G1778" s="496" t="s">
        <v>7832</v>
      </c>
      <c r="H1778" s="797" t="str">
        <f>VLOOKUP(G1778,SETTINGS!$B$7:$D$97,2,0)</f>
        <v>CEREX 300</v>
      </c>
      <c r="I1778" s="796">
        <f>VLOOKUP(G1778,SETTINGS!$B$7:$D$97,3,0)</f>
        <v>0</v>
      </c>
      <c r="J1778" s="670" t="str">
        <f>IFERROR(IF(CURRENCY.FORMAT_1=0,CONCATENATE(TEXT(FIXED(ROUND((C1778/EXC.RATE_1),CURRENCY.FORMAT_1),CURRENCY.FORMAT_1,1),"# ##0;-# ##0"),",-"),FIXED(ROUND((C1778/EXC.RATE_1),CURRENCY.FORMAT_1),CURRENCY.FORMAT_1,0)),'DICTIONARY-5'!$A$2)</f>
        <v>697,-</v>
      </c>
      <c r="K1778" s="670" t="str">
        <f>IF(EXC.RATE_2=0,"",IFERROR(IF(CURRENCY.FORMAT_2=0,CONCATENATE(TEXT(FIXED(ROUND(IF(EXC.RATE.SWITCH=1,C1778/EXC.RATE_2,C1778*EXC.RATE_2),CURRENCY.FORMAT_2),CURRENCY.FORMAT_2,1),"# ##0;-# ##0"),",-"),FIXED(ROUND(IF(EXC.RATE.SWITCH=1,C1778/EXC.RATE_2,C1778*EXC.RATE_2),CURRENCY.FORMAT_2),CURRENCY.FORMAT_2,0)),'DICTIONARY-5'!$A$2))</f>
        <v/>
      </c>
      <c r="L1778" s="670" t="str">
        <f>IFERROR(IF(CURRENCY.FORMAT_1=0,CONCATENATE(TEXT(FIXED(ROUND((C1778*(1-I1778)*(1-ADD.DISCOUNT)*(1+MAT.SURCHARGE)/EXC.RATE_1),CURRENCY.FORMAT_1),CURRENCY.FORMAT_1,1),"# ##0;-# ##0"),",-"),FIXED(ROUND((C1778*(1-I1778)*(1-ADD.DISCOUNT)*(1+MAT.SURCHARGE)/EXC.RATE_1),CURRENCY.FORMAT_1),CURRENCY.FORMAT_1,0)),'DICTIONARY-5'!$A$2)</f>
        <v>724,-</v>
      </c>
      <c r="M1778" s="670" t="str">
        <f>IF(EXC.RATE_2=0,"",IFERROR(IF(CURRENCY.FORMAT_2=0,CONCATENATE(TEXT(FIXED(ROUND(IF(EXC.RATE.SWITCH=1,C1778*(1-I1778)*(1-ADD.DISCOUNT)*(1+MAT.SURCHARGE)/EXC.RATE_2,C1778*(1-I1778)*(1-ADD.DISCOUNT)*(1+MAT.SURCHARGE)*EXC.RATE_2),CURRENCY.FORMAT_2),CURRENCY.FORMAT_2,1),"# ##0;-# ##0"),",-"),FIXED(ROUND(IF(EXC.RATE.SWITCH=1,C1778*(1-I1778)*(1-ADD.DISCOUNT)*(1+MAT.SURCHARGE)/EXC.RATE_2,C1778*(1-I1778)*(1-ADD.DISCOUNT)*(1+MAT.SURCHARGE)*EXC.RATE_2),CURRENCY.FORMAT_2),CURRENCY.FORMAT_2,0)),'DICTIONARY-5'!$A$2))</f>
        <v/>
      </c>
      <c r="N1778" s="541">
        <v>6</v>
      </c>
      <c r="O1778" s="654" t="s">
        <v>7363</v>
      </c>
      <c r="P1778" s="731" t="str">
        <f>'DICTIONARY-3'!$A$148</f>
        <v>CEREX 300-L</v>
      </c>
      <c r="Q1778" s="731" t="str">
        <f>'DICTIONARY-3'!$A$204</f>
        <v>Przepustnica kołnierzowa</v>
      </c>
      <c r="R1778" s="732" t="str">
        <f>CONCATENATE('DICTIONARY-3'!$A$148," ",'DICTIONARY-6'!$A$2," ",'DICTIONARY-2'!$A$2,"300"," ",'DICTIONARY-2'!$A$3,"10"," ",'DICTIONARY-5'!$A$51,"/",'DICTIONARY-5'!$A$44,", ",'DICTIONARY-4'!$A$2)</f>
        <v>CEREX 300-L Przep. kołnierz. DN300 PN10 GGG/EPDM, WW</v>
      </c>
      <c r="S1778" s="733" t="str">
        <f>'DICTIONARY-4'!$A$2</f>
        <v>WW</v>
      </c>
      <c r="T1778" s="732" t="str">
        <f>'DICTIONARY-4'!$A$18</f>
        <v>Wolny wałek</v>
      </c>
      <c r="U1778" s="734" t="s">
        <v>5752</v>
      </c>
      <c r="V1778" s="735">
        <v>10</v>
      </c>
      <c r="W1778" s="736"/>
      <c r="X1778" s="737"/>
      <c r="Y1778" s="738"/>
      <c r="Z1778" s="739"/>
      <c r="AA1778" s="739"/>
      <c r="AB1778" s="740">
        <v>10</v>
      </c>
      <c r="AC1778" s="741" t="str">
        <f>'DICTIONARY-5'!$A$11&amp;" 20"</f>
        <v>EN 558 szereg 20</v>
      </c>
      <c r="AD1778" s="741" t="str">
        <f>'DICTIONARY-5'!$A$13</f>
        <v>woda pitna</v>
      </c>
      <c r="AE1778" s="742">
        <v>80</v>
      </c>
      <c r="AF1778" s="743">
        <v>39</v>
      </c>
      <c r="AG1778" s="741" t="str">
        <f>'DICTIONARY-5'!$A$23</f>
        <v>powłoka epoksydowa</v>
      </c>
    </row>
    <row r="1779" spans="1:33" x14ac:dyDescent="0.25">
      <c r="A1779" s="844" t="s">
        <v>5199</v>
      </c>
      <c r="B1779" s="844" t="s">
        <v>5370</v>
      </c>
      <c r="C1779" s="836">
        <v>682</v>
      </c>
      <c r="D1779" s="836"/>
      <c r="E1779" s="836"/>
      <c r="F1779" s="836"/>
      <c r="G1779" s="496" t="s">
        <v>7832</v>
      </c>
      <c r="H1779" s="797" t="str">
        <f>VLOOKUP(G1779,SETTINGS!$B$7:$D$97,2,0)</f>
        <v>CEREX 300</v>
      </c>
      <c r="I1779" s="796">
        <f>VLOOKUP(G1779,SETTINGS!$B$7:$D$97,3,0)</f>
        <v>0</v>
      </c>
      <c r="J1779" s="670" t="str">
        <f>IFERROR(IF(CURRENCY.FORMAT_1=0,CONCATENATE(TEXT(FIXED(ROUND((C1779/EXC.RATE_1),CURRENCY.FORMAT_1),CURRENCY.FORMAT_1,1),"# ##0;-# ##0"),",-"),FIXED(ROUND((C1779/EXC.RATE_1),CURRENCY.FORMAT_1),CURRENCY.FORMAT_1,0)),'DICTIONARY-5'!$A$2)</f>
        <v>682,-</v>
      </c>
      <c r="K1779" s="670" t="str">
        <f>IF(EXC.RATE_2=0,"",IFERROR(IF(CURRENCY.FORMAT_2=0,CONCATENATE(TEXT(FIXED(ROUND(IF(EXC.RATE.SWITCH=1,C1779/EXC.RATE_2,C1779*EXC.RATE_2),CURRENCY.FORMAT_2),CURRENCY.FORMAT_2,1),"# ##0;-# ##0"),",-"),FIXED(ROUND(IF(EXC.RATE.SWITCH=1,C1779/EXC.RATE_2,C1779*EXC.RATE_2),CURRENCY.FORMAT_2),CURRENCY.FORMAT_2,0)),'DICTIONARY-5'!$A$2))</f>
        <v/>
      </c>
      <c r="L1779" s="670" t="str">
        <f>IFERROR(IF(CURRENCY.FORMAT_1=0,CONCATENATE(TEXT(FIXED(ROUND((C1779*(1-I1779)*(1-ADD.DISCOUNT)*(1+MAT.SURCHARGE)/EXC.RATE_1),CURRENCY.FORMAT_1),CURRENCY.FORMAT_1,1),"# ##0;-# ##0"),",-"),FIXED(ROUND((C1779*(1-I1779)*(1-ADD.DISCOUNT)*(1+MAT.SURCHARGE)/EXC.RATE_1),CURRENCY.FORMAT_1),CURRENCY.FORMAT_1,0)),'DICTIONARY-5'!$A$2)</f>
        <v>709,-</v>
      </c>
      <c r="M1779" s="670" t="str">
        <f>IF(EXC.RATE_2=0,"",IFERROR(IF(CURRENCY.FORMAT_2=0,CONCATENATE(TEXT(FIXED(ROUND(IF(EXC.RATE.SWITCH=1,C1779*(1-I1779)*(1-ADD.DISCOUNT)*(1+MAT.SURCHARGE)/EXC.RATE_2,C1779*(1-I1779)*(1-ADD.DISCOUNT)*(1+MAT.SURCHARGE)*EXC.RATE_2),CURRENCY.FORMAT_2),CURRENCY.FORMAT_2,1),"# ##0;-# ##0"),",-"),FIXED(ROUND(IF(EXC.RATE.SWITCH=1,C1779*(1-I1779)*(1-ADD.DISCOUNT)*(1+MAT.SURCHARGE)/EXC.RATE_2,C1779*(1-I1779)*(1-ADD.DISCOUNT)*(1+MAT.SURCHARGE)*EXC.RATE_2),CURRENCY.FORMAT_2),CURRENCY.FORMAT_2,0)),'DICTIONARY-5'!$A$2))</f>
        <v/>
      </c>
      <c r="N1779" s="541">
        <v>6</v>
      </c>
      <c r="O1779" s="654" t="s">
        <v>7363</v>
      </c>
      <c r="P1779" s="731" t="str">
        <f>'DICTIONARY-3'!$A$148</f>
        <v>CEREX 300-L</v>
      </c>
      <c r="Q1779" s="731" t="str">
        <f>'DICTIONARY-3'!$A$204</f>
        <v>Przepustnica kołnierzowa</v>
      </c>
      <c r="R1779" s="732" t="str">
        <f>CONCATENATE('DICTIONARY-3'!$A$148," ",'DICTIONARY-6'!$A$2," ",'DICTIONARY-2'!$A$2,"300"," ",'DICTIONARY-2'!$A$3,"16"," ",'DICTIONARY-5'!$A$51,"/",'DICTIONARY-5'!$A$44,", ",'DICTIONARY-4'!$A$2)</f>
        <v>CEREX 300-L Przep. kołnierz. DN300 PN16 GGG/EPDM, WW</v>
      </c>
      <c r="S1779" s="733" t="str">
        <f>'DICTIONARY-4'!$A$2</f>
        <v>WW</v>
      </c>
      <c r="T1779" s="732" t="str">
        <f>'DICTIONARY-4'!$A$18</f>
        <v>Wolny wałek</v>
      </c>
      <c r="U1779" s="734" t="s">
        <v>5752</v>
      </c>
      <c r="V1779" s="735">
        <v>16</v>
      </c>
      <c r="W1779" s="736"/>
      <c r="X1779" s="737"/>
      <c r="Y1779" s="738"/>
      <c r="Z1779" s="739"/>
      <c r="AA1779" s="739"/>
      <c r="AB1779" s="740">
        <v>16</v>
      </c>
      <c r="AC1779" s="741" t="str">
        <f>'DICTIONARY-5'!$A$11&amp;" 20"</f>
        <v>EN 558 szereg 20</v>
      </c>
      <c r="AD1779" s="741" t="str">
        <f>'DICTIONARY-5'!$A$13</f>
        <v>woda pitna</v>
      </c>
      <c r="AE1779" s="742">
        <v>80</v>
      </c>
      <c r="AF1779" s="743">
        <v>38.5</v>
      </c>
      <c r="AG1779" s="741" t="str">
        <f>'DICTIONARY-5'!$A$23</f>
        <v>powłoka epoksydowa</v>
      </c>
    </row>
    <row r="1780" spans="1:33" x14ac:dyDescent="0.25">
      <c r="A1780" s="844" t="s">
        <v>5201</v>
      </c>
      <c r="B1780" s="844" t="s">
        <v>5371</v>
      </c>
      <c r="C1780" s="836">
        <v>995</v>
      </c>
      <c r="D1780" s="836"/>
      <c r="E1780" s="836"/>
      <c r="F1780" s="836"/>
      <c r="G1780" s="496" t="s">
        <v>7832</v>
      </c>
      <c r="H1780" s="797" t="str">
        <f>VLOOKUP(G1780,SETTINGS!$B$7:$D$97,2,0)</f>
        <v>CEREX 300</v>
      </c>
      <c r="I1780" s="796">
        <f>VLOOKUP(G1780,SETTINGS!$B$7:$D$97,3,0)</f>
        <v>0</v>
      </c>
      <c r="J1780" s="670" t="str">
        <f>IFERROR(IF(CURRENCY.FORMAT_1=0,CONCATENATE(TEXT(FIXED(ROUND((C1780/EXC.RATE_1),CURRENCY.FORMAT_1),CURRENCY.FORMAT_1,1),"# ##0;-# ##0"),",-"),FIXED(ROUND((C1780/EXC.RATE_1),CURRENCY.FORMAT_1),CURRENCY.FORMAT_1,0)),'DICTIONARY-5'!$A$2)</f>
        <v>995,-</v>
      </c>
      <c r="K1780" s="670" t="str">
        <f>IF(EXC.RATE_2=0,"",IFERROR(IF(CURRENCY.FORMAT_2=0,CONCATENATE(TEXT(FIXED(ROUND(IF(EXC.RATE.SWITCH=1,C1780/EXC.RATE_2,C1780*EXC.RATE_2),CURRENCY.FORMAT_2),CURRENCY.FORMAT_2,1),"# ##0;-# ##0"),",-"),FIXED(ROUND(IF(EXC.RATE.SWITCH=1,C1780/EXC.RATE_2,C1780*EXC.RATE_2),CURRENCY.FORMAT_2),CURRENCY.FORMAT_2,0)),'DICTIONARY-5'!$A$2))</f>
        <v/>
      </c>
      <c r="L1780" s="670" t="str">
        <f>IFERROR(IF(CURRENCY.FORMAT_1=0,CONCATENATE(TEXT(FIXED(ROUND((C1780*(1-I1780)*(1-ADD.DISCOUNT)*(1+MAT.SURCHARGE)/EXC.RATE_1),CURRENCY.FORMAT_1),CURRENCY.FORMAT_1,1),"# ##0;-# ##0"),",-"),FIXED(ROUND((C1780*(1-I1780)*(1-ADD.DISCOUNT)*(1+MAT.SURCHARGE)/EXC.RATE_1),CURRENCY.FORMAT_1),CURRENCY.FORMAT_1,0)),'DICTIONARY-5'!$A$2)</f>
        <v>1 034,-</v>
      </c>
      <c r="M1780" s="670" t="str">
        <f>IF(EXC.RATE_2=0,"",IFERROR(IF(CURRENCY.FORMAT_2=0,CONCATENATE(TEXT(FIXED(ROUND(IF(EXC.RATE.SWITCH=1,C1780*(1-I1780)*(1-ADD.DISCOUNT)*(1+MAT.SURCHARGE)/EXC.RATE_2,C1780*(1-I1780)*(1-ADD.DISCOUNT)*(1+MAT.SURCHARGE)*EXC.RATE_2),CURRENCY.FORMAT_2),CURRENCY.FORMAT_2,1),"# ##0;-# ##0"),",-"),FIXED(ROUND(IF(EXC.RATE.SWITCH=1,C1780*(1-I1780)*(1-ADD.DISCOUNT)*(1+MAT.SURCHARGE)/EXC.RATE_2,C1780*(1-I1780)*(1-ADD.DISCOUNT)*(1+MAT.SURCHARGE)*EXC.RATE_2),CURRENCY.FORMAT_2),CURRENCY.FORMAT_2,0)),'DICTIONARY-5'!$A$2))</f>
        <v/>
      </c>
      <c r="N1780" s="541">
        <v>6</v>
      </c>
      <c r="O1780" s="654" t="s">
        <v>7363</v>
      </c>
      <c r="P1780" s="731" t="str">
        <f>'DICTIONARY-3'!$A$148</f>
        <v>CEREX 300-L</v>
      </c>
      <c r="Q1780" s="731" t="str">
        <f>'DICTIONARY-3'!$A$204</f>
        <v>Przepustnica kołnierzowa</v>
      </c>
      <c r="R1780" s="732" t="str">
        <f>CONCATENATE('DICTIONARY-3'!$A$148," ",'DICTIONARY-6'!$A$2," ",'DICTIONARY-2'!$A$2,"350"," ",'DICTIONARY-2'!$A$3,"10"," ",'DICTIONARY-5'!$A$51,"/",'DICTIONARY-5'!$A$44,", ",'DICTIONARY-4'!$A$2)</f>
        <v>CEREX 300-L Przep. kołnierz. DN350 PN10 GGG/EPDM, WW</v>
      </c>
      <c r="S1780" s="733" t="str">
        <f>'DICTIONARY-4'!$A$2</f>
        <v>WW</v>
      </c>
      <c r="T1780" s="732" t="str">
        <f>'DICTIONARY-4'!$A$18</f>
        <v>Wolny wałek</v>
      </c>
      <c r="U1780" s="734" t="s">
        <v>5753</v>
      </c>
      <c r="V1780" s="735">
        <v>10</v>
      </c>
      <c r="W1780" s="736"/>
      <c r="X1780" s="737"/>
      <c r="Y1780" s="738"/>
      <c r="Z1780" s="739"/>
      <c r="AA1780" s="739"/>
      <c r="AB1780" s="740">
        <v>10</v>
      </c>
      <c r="AC1780" s="741" t="str">
        <f>'DICTIONARY-5'!$A$11&amp;" 20"</f>
        <v>EN 558 szereg 20</v>
      </c>
      <c r="AD1780" s="741" t="str">
        <f>'DICTIONARY-5'!$A$13</f>
        <v>woda pitna</v>
      </c>
      <c r="AE1780" s="742">
        <v>80</v>
      </c>
      <c r="AF1780" s="743">
        <v>48</v>
      </c>
      <c r="AG1780" s="741" t="str">
        <f>'DICTIONARY-5'!$A$23</f>
        <v>powłoka epoksydowa</v>
      </c>
    </row>
    <row r="1781" spans="1:33" x14ac:dyDescent="0.25">
      <c r="A1781" s="844" t="s">
        <v>5203</v>
      </c>
      <c r="B1781" s="844" t="s">
        <v>5372</v>
      </c>
      <c r="C1781" s="836">
        <v>1020</v>
      </c>
      <c r="D1781" s="836"/>
      <c r="E1781" s="836"/>
      <c r="F1781" s="836"/>
      <c r="G1781" s="496" t="s">
        <v>7832</v>
      </c>
      <c r="H1781" s="797" t="str">
        <f>VLOOKUP(G1781,SETTINGS!$B$7:$D$97,2,0)</f>
        <v>CEREX 300</v>
      </c>
      <c r="I1781" s="796">
        <f>VLOOKUP(G1781,SETTINGS!$B$7:$D$97,3,0)</f>
        <v>0</v>
      </c>
      <c r="J1781" s="670" t="str">
        <f>IFERROR(IF(CURRENCY.FORMAT_1=0,CONCATENATE(TEXT(FIXED(ROUND((C1781/EXC.RATE_1),CURRENCY.FORMAT_1),CURRENCY.FORMAT_1,1),"# ##0;-# ##0"),",-"),FIXED(ROUND((C1781/EXC.RATE_1),CURRENCY.FORMAT_1),CURRENCY.FORMAT_1,0)),'DICTIONARY-5'!$A$2)</f>
        <v>1 020,-</v>
      </c>
      <c r="K1781" s="670" t="str">
        <f>IF(EXC.RATE_2=0,"",IFERROR(IF(CURRENCY.FORMAT_2=0,CONCATENATE(TEXT(FIXED(ROUND(IF(EXC.RATE.SWITCH=1,C1781/EXC.RATE_2,C1781*EXC.RATE_2),CURRENCY.FORMAT_2),CURRENCY.FORMAT_2,1),"# ##0;-# ##0"),",-"),FIXED(ROUND(IF(EXC.RATE.SWITCH=1,C1781/EXC.RATE_2,C1781*EXC.RATE_2),CURRENCY.FORMAT_2),CURRENCY.FORMAT_2,0)),'DICTIONARY-5'!$A$2))</f>
        <v/>
      </c>
      <c r="L1781" s="670" t="str">
        <f>IFERROR(IF(CURRENCY.FORMAT_1=0,CONCATENATE(TEXT(FIXED(ROUND((C1781*(1-I1781)*(1-ADD.DISCOUNT)*(1+MAT.SURCHARGE)/EXC.RATE_1),CURRENCY.FORMAT_1),CURRENCY.FORMAT_1,1),"# ##0;-# ##0"),",-"),FIXED(ROUND((C1781*(1-I1781)*(1-ADD.DISCOUNT)*(1+MAT.SURCHARGE)/EXC.RATE_1),CURRENCY.FORMAT_1),CURRENCY.FORMAT_1,0)),'DICTIONARY-5'!$A$2)</f>
        <v>1 060,-</v>
      </c>
      <c r="M1781" s="670" t="str">
        <f>IF(EXC.RATE_2=0,"",IFERROR(IF(CURRENCY.FORMAT_2=0,CONCATENATE(TEXT(FIXED(ROUND(IF(EXC.RATE.SWITCH=1,C1781*(1-I1781)*(1-ADD.DISCOUNT)*(1+MAT.SURCHARGE)/EXC.RATE_2,C1781*(1-I1781)*(1-ADD.DISCOUNT)*(1+MAT.SURCHARGE)*EXC.RATE_2),CURRENCY.FORMAT_2),CURRENCY.FORMAT_2,1),"# ##0;-# ##0"),",-"),FIXED(ROUND(IF(EXC.RATE.SWITCH=1,C1781*(1-I1781)*(1-ADD.DISCOUNT)*(1+MAT.SURCHARGE)/EXC.RATE_2,C1781*(1-I1781)*(1-ADD.DISCOUNT)*(1+MAT.SURCHARGE)*EXC.RATE_2),CURRENCY.FORMAT_2),CURRENCY.FORMAT_2,0)),'DICTIONARY-5'!$A$2))</f>
        <v/>
      </c>
      <c r="N1781" s="541">
        <v>6</v>
      </c>
      <c r="O1781" s="654" t="s">
        <v>7363</v>
      </c>
      <c r="P1781" s="731" t="str">
        <f>'DICTIONARY-3'!$A$148</f>
        <v>CEREX 300-L</v>
      </c>
      <c r="Q1781" s="731" t="str">
        <f>'DICTIONARY-3'!$A$204</f>
        <v>Przepustnica kołnierzowa</v>
      </c>
      <c r="R1781" s="732" t="str">
        <f>CONCATENATE('DICTIONARY-3'!$A$148," ",'DICTIONARY-6'!$A$2," ",'DICTIONARY-2'!$A$2,"350"," ",'DICTIONARY-2'!$A$3,"16"," ",'DICTIONARY-5'!$A$51,"/",'DICTIONARY-5'!$A$44,", ",'DICTIONARY-4'!$A$2)</f>
        <v>CEREX 300-L Przep. kołnierz. DN350 PN16 GGG/EPDM, WW</v>
      </c>
      <c r="S1781" s="733" t="str">
        <f>'DICTIONARY-4'!$A$2</f>
        <v>WW</v>
      </c>
      <c r="T1781" s="732" t="str">
        <f>'DICTIONARY-4'!$A$18</f>
        <v>Wolny wałek</v>
      </c>
      <c r="U1781" s="734" t="s">
        <v>5753</v>
      </c>
      <c r="V1781" s="735">
        <v>16</v>
      </c>
      <c r="W1781" s="736"/>
      <c r="X1781" s="737"/>
      <c r="Y1781" s="738"/>
      <c r="Z1781" s="739"/>
      <c r="AA1781" s="739"/>
      <c r="AB1781" s="740">
        <v>16</v>
      </c>
      <c r="AC1781" s="741" t="str">
        <f>'DICTIONARY-5'!$A$11&amp;" 20"</f>
        <v>EN 558 szereg 20</v>
      </c>
      <c r="AD1781" s="741" t="str">
        <f>'DICTIONARY-5'!$A$13</f>
        <v>woda pitna</v>
      </c>
      <c r="AE1781" s="742">
        <v>80</v>
      </c>
      <c r="AF1781" s="743">
        <v>52</v>
      </c>
      <c r="AG1781" s="741" t="str">
        <f>'DICTIONARY-5'!$A$23</f>
        <v>powłoka epoksydowa</v>
      </c>
    </row>
    <row r="1782" spans="1:33" x14ac:dyDescent="0.25">
      <c r="A1782" s="844" t="s">
        <v>5205</v>
      </c>
      <c r="B1782" s="844" t="s">
        <v>5373</v>
      </c>
      <c r="C1782" s="836">
        <v>1262</v>
      </c>
      <c r="D1782" s="836"/>
      <c r="E1782" s="836"/>
      <c r="F1782" s="836"/>
      <c r="G1782" s="496" t="s">
        <v>7832</v>
      </c>
      <c r="H1782" s="797" t="str">
        <f>VLOOKUP(G1782,SETTINGS!$B$7:$D$97,2,0)</f>
        <v>CEREX 300</v>
      </c>
      <c r="I1782" s="796">
        <f>VLOOKUP(G1782,SETTINGS!$B$7:$D$97,3,0)</f>
        <v>0</v>
      </c>
      <c r="J1782" s="670" t="str">
        <f>IFERROR(IF(CURRENCY.FORMAT_1=0,CONCATENATE(TEXT(FIXED(ROUND((C1782/EXC.RATE_1),CURRENCY.FORMAT_1),CURRENCY.FORMAT_1,1),"# ##0;-# ##0"),",-"),FIXED(ROUND((C1782/EXC.RATE_1),CURRENCY.FORMAT_1),CURRENCY.FORMAT_1,0)),'DICTIONARY-5'!$A$2)</f>
        <v>1 262,-</v>
      </c>
      <c r="K1782" s="670" t="str">
        <f>IF(EXC.RATE_2=0,"",IFERROR(IF(CURRENCY.FORMAT_2=0,CONCATENATE(TEXT(FIXED(ROUND(IF(EXC.RATE.SWITCH=1,C1782/EXC.RATE_2,C1782*EXC.RATE_2),CURRENCY.FORMAT_2),CURRENCY.FORMAT_2,1),"# ##0;-# ##0"),",-"),FIXED(ROUND(IF(EXC.RATE.SWITCH=1,C1782/EXC.RATE_2,C1782*EXC.RATE_2),CURRENCY.FORMAT_2),CURRENCY.FORMAT_2,0)),'DICTIONARY-5'!$A$2))</f>
        <v/>
      </c>
      <c r="L1782" s="670" t="str">
        <f>IFERROR(IF(CURRENCY.FORMAT_1=0,CONCATENATE(TEXT(FIXED(ROUND((C1782*(1-I1782)*(1-ADD.DISCOUNT)*(1+MAT.SURCHARGE)/EXC.RATE_1),CURRENCY.FORMAT_1),CURRENCY.FORMAT_1,1),"# ##0;-# ##0"),",-"),FIXED(ROUND((C1782*(1-I1782)*(1-ADD.DISCOUNT)*(1+MAT.SURCHARGE)/EXC.RATE_1),CURRENCY.FORMAT_1),CURRENCY.FORMAT_1,0)),'DICTIONARY-5'!$A$2)</f>
        <v>1 311,-</v>
      </c>
      <c r="M1782" s="670" t="str">
        <f>IF(EXC.RATE_2=0,"",IFERROR(IF(CURRENCY.FORMAT_2=0,CONCATENATE(TEXT(FIXED(ROUND(IF(EXC.RATE.SWITCH=1,C1782*(1-I1782)*(1-ADD.DISCOUNT)*(1+MAT.SURCHARGE)/EXC.RATE_2,C1782*(1-I1782)*(1-ADD.DISCOUNT)*(1+MAT.SURCHARGE)*EXC.RATE_2),CURRENCY.FORMAT_2),CURRENCY.FORMAT_2,1),"# ##0;-# ##0"),",-"),FIXED(ROUND(IF(EXC.RATE.SWITCH=1,C1782*(1-I1782)*(1-ADD.DISCOUNT)*(1+MAT.SURCHARGE)/EXC.RATE_2,C1782*(1-I1782)*(1-ADD.DISCOUNT)*(1+MAT.SURCHARGE)*EXC.RATE_2),CURRENCY.FORMAT_2),CURRENCY.FORMAT_2,0)),'DICTIONARY-5'!$A$2))</f>
        <v/>
      </c>
      <c r="N1782" s="541">
        <v>6</v>
      </c>
      <c r="O1782" s="654" t="s">
        <v>7363</v>
      </c>
      <c r="P1782" s="731" t="str">
        <f>'DICTIONARY-3'!$A$148</f>
        <v>CEREX 300-L</v>
      </c>
      <c r="Q1782" s="731" t="str">
        <f>'DICTIONARY-3'!$A$204</f>
        <v>Przepustnica kołnierzowa</v>
      </c>
      <c r="R1782" s="732" t="str">
        <f>CONCATENATE('DICTIONARY-3'!$A$148," ",'DICTIONARY-6'!$A$2," ",'DICTIONARY-2'!$A$2,"400"," ",'DICTIONARY-2'!$A$3,"10"," ",'DICTIONARY-5'!$A$51,"/",'DICTIONARY-5'!$A$44,", ",'DICTIONARY-4'!$A$2)</f>
        <v>CEREX 300-L Przep. kołnierz. DN400 PN10 GGG/EPDM, WW</v>
      </c>
      <c r="S1782" s="733" t="str">
        <f>'DICTIONARY-4'!$A$2</f>
        <v>WW</v>
      </c>
      <c r="T1782" s="732" t="str">
        <f>'DICTIONARY-4'!$A$18</f>
        <v>Wolny wałek</v>
      </c>
      <c r="U1782" s="734" t="s">
        <v>5754</v>
      </c>
      <c r="V1782" s="735">
        <v>10</v>
      </c>
      <c r="W1782" s="736"/>
      <c r="X1782" s="737"/>
      <c r="Y1782" s="738"/>
      <c r="Z1782" s="739"/>
      <c r="AA1782" s="739"/>
      <c r="AB1782" s="740">
        <v>10</v>
      </c>
      <c r="AC1782" s="741" t="str">
        <f>'DICTIONARY-5'!$A$11&amp;" 20"</f>
        <v>EN 558 szereg 20</v>
      </c>
      <c r="AD1782" s="741" t="str">
        <f>'DICTIONARY-5'!$A$13</f>
        <v>woda pitna</v>
      </c>
      <c r="AE1782" s="742">
        <v>80</v>
      </c>
      <c r="AF1782" s="743">
        <v>70</v>
      </c>
      <c r="AG1782" s="741" t="str">
        <f>'DICTIONARY-5'!$A$23</f>
        <v>powłoka epoksydowa</v>
      </c>
    </row>
    <row r="1783" spans="1:33" x14ac:dyDescent="0.25">
      <c r="A1783" s="844" t="s">
        <v>5207</v>
      </c>
      <c r="B1783" s="844" t="s">
        <v>5374</v>
      </c>
      <c r="C1783" s="836">
        <v>1343</v>
      </c>
      <c r="D1783" s="836"/>
      <c r="E1783" s="836"/>
      <c r="F1783" s="836"/>
      <c r="G1783" s="496" t="s">
        <v>7832</v>
      </c>
      <c r="H1783" s="797" t="str">
        <f>VLOOKUP(G1783,SETTINGS!$B$7:$D$97,2,0)</f>
        <v>CEREX 300</v>
      </c>
      <c r="I1783" s="796">
        <f>VLOOKUP(G1783,SETTINGS!$B$7:$D$97,3,0)</f>
        <v>0</v>
      </c>
      <c r="J1783" s="670" t="str">
        <f>IFERROR(IF(CURRENCY.FORMAT_1=0,CONCATENATE(TEXT(FIXED(ROUND((C1783/EXC.RATE_1),CURRENCY.FORMAT_1),CURRENCY.FORMAT_1,1),"# ##0;-# ##0"),",-"),FIXED(ROUND((C1783/EXC.RATE_1),CURRENCY.FORMAT_1),CURRENCY.FORMAT_1,0)),'DICTIONARY-5'!$A$2)</f>
        <v>1 343,-</v>
      </c>
      <c r="K1783" s="670" t="str">
        <f>IF(EXC.RATE_2=0,"",IFERROR(IF(CURRENCY.FORMAT_2=0,CONCATENATE(TEXT(FIXED(ROUND(IF(EXC.RATE.SWITCH=1,C1783/EXC.RATE_2,C1783*EXC.RATE_2),CURRENCY.FORMAT_2),CURRENCY.FORMAT_2,1),"# ##0;-# ##0"),",-"),FIXED(ROUND(IF(EXC.RATE.SWITCH=1,C1783/EXC.RATE_2,C1783*EXC.RATE_2),CURRENCY.FORMAT_2),CURRENCY.FORMAT_2,0)),'DICTIONARY-5'!$A$2))</f>
        <v/>
      </c>
      <c r="L1783" s="670" t="str">
        <f>IFERROR(IF(CURRENCY.FORMAT_1=0,CONCATENATE(TEXT(FIXED(ROUND((C1783*(1-I1783)*(1-ADD.DISCOUNT)*(1+MAT.SURCHARGE)/EXC.RATE_1),CURRENCY.FORMAT_1),CURRENCY.FORMAT_1,1),"# ##0;-# ##0"),",-"),FIXED(ROUND((C1783*(1-I1783)*(1-ADD.DISCOUNT)*(1+MAT.SURCHARGE)/EXC.RATE_1),CURRENCY.FORMAT_1),CURRENCY.FORMAT_1,0)),'DICTIONARY-5'!$A$2)</f>
        <v>1 395,-</v>
      </c>
      <c r="M1783" s="670" t="str">
        <f>IF(EXC.RATE_2=0,"",IFERROR(IF(CURRENCY.FORMAT_2=0,CONCATENATE(TEXT(FIXED(ROUND(IF(EXC.RATE.SWITCH=1,C1783*(1-I1783)*(1-ADD.DISCOUNT)*(1+MAT.SURCHARGE)/EXC.RATE_2,C1783*(1-I1783)*(1-ADD.DISCOUNT)*(1+MAT.SURCHARGE)*EXC.RATE_2),CURRENCY.FORMAT_2),CURRENCY.FORMAT_2,1),"# ##0;-# ##0"),",-"),FIXED(ROUND(IF(EXC.RATE.SWITCH=1,C1783*(1-I1783)*(1-ADD.DISCOUNT)*(1+MAT.SURCHARGE)/EXC.RATE_2,C1783*(1-I1783)*(1-ADD.DISCOUNT)*(1+MAT.SURCHARGE)*EXC.RATE_2),CURRENCY.FORMAT_2),CURRENCY.FORMAT_2,0)),'DICTIONARY-5'!$A$2))</f>
        <v/>
      </c>
      <c r="N1783" s="541">
        <v>6</v>
      </c>
      <c r="O1783" s="654" t="s">
        <v>7363</v>
      </c>
      <c r="P1783" s="731" t="str">
        <f>'DICTIONARY-3'!$A$148</f>
        <v>CEREX 300-L</v>
      </c>
      <c r="Q1783" s="731" t="str">
        <f>'DICTIONARY-3'!$A$204</f>
        <v>Przepustnica kołnierzowa</v>
      </c>
      <c r="R1783" s="732" t="str">
        <f>CONCATENATE('DICTIONARY-3'!$A$148," ",'DICTIONARY-6'!$A$2," ",'DICTIONARY-2'!$A$2,"400"," ",'DICTIONARY-2'!$A$3,"16"," ",'DICTIONARY-5'!$A$51,"/",'DICTIONARY-5'!$A$44,", ",'DICTIONARY-4'!$A$2)</f>
        <v>CEREX 300-L Przep. kołnierz. DN400 PN16 GGG/EPDM, WW</v>
      </c>
      <c r="S1783" s="733" t="str">
        <f>'DICTIONARY-4'!$A$2</f>
        <v>WW</v>
      </c>
      <c r="T1783" s="732" t="str">
        <f>'DICTIONARY-4'!$A$18</f>
        <v>Wolny wałek</v>
      </c>
      <c r="U1783" s="734" t="s">
        <v>5754</v>
      </c>
      <c r="V1783" s="735">
        <v>16</v>
      </c>
      <c r="W1783" s="736"/>
      <c r="X1783" s="737"/>
      <c r="Y1783" s="738"/>
      <c r="Z1783" s="739"/>
      <c r="AA1783" s="739"/>
      <c r="AB1783" s="740">
        <v>16</v>
      </c>
      <c r="AC1783" s="741" t="str">
        <f>'DICTIONARY-5'!$A$11&amp;" 20"</f>
        <v>EN 558 szereg 20</v>
      </c>
      <c r="AD1783" s="741" t="str">
        <f>'DICTIONARY-5'!$A$13</f>
        <v>woda pitna</v>
      </c>
      <c r="AE1783" s="742">
        <v>80</v>
      </c>
      <c r="AF1783" s="743">
        <v>73</v>
      </c>
      <c r="AG1783" s="741" t="str">
        <f>'DICTIONARY-5'!$A$23</f>
        <v>powłoka epoksydowa</v>
      </c>
    </row>
    <row r="1784" spans="1:33" x14ac:dyDescent="0.25">
      <c r="A1784" s="844" t="s">
        <v>5209</v>
      </c>
      <c r="B1784" s="844" t="s">
        <v>5375</v>
      </c>
      <c r="C1784" s="836">
        <v>2064</v>
      </c>
      <c r="D1784" s="836"/>
      <c r="E1784" s="836"/>
      <c r="F1784" s="836"/>
      <c r="G1784" s="496" t="s">
        <v>7832</v>
      </c>
      <c r="H1784" s="797" t="str">
        <f>VLOOKUP(G1784,SETTINGS!$B$7:$D$97,2,0)</f>
        <v>CEREX 300</v>
      </c>
      <c r="I1784" s="796">
        <f>VLOOKUP(G1784,SETTINGS!$B$7:$D$97,3,0)</f>
        <v>0</v>
      </c>
      <c r="J1784" s="670" t="str">
        <f>IFERROR(IF(CURRENCY.FORMAT_1=0,CONCATENATE(TEXT(FIXED(ROUND((C1784/EXC.RATE_1),CURRENCY.FORMAT_1),CURRENCY.FORMAT_1,1),"# ##0;-# ##0"),",-"),FIXED(ROUND((C1784/EXC.RATE_1),CURRENCY.FORMAT_1),CURRENCY.FORMAT_1,0)),'DICTIONARY-5'!$A$2)</f>
        <v>2 064,-</v>
      </c>
      <c r="K1784" s="670" t="str">
        <f>IF(EXC.RATE_2=0,"",IFERROR(IF(CURRENCY.FORMAT_2=0,CONCATENATE(TEXT(FIXED(ROUND(IF(EXC.RATE.SWITCH=1,C1784/EXC.RATE_2,C1784*EXC.RATE_2),CURRENCY.FORMAT_2),CURRENCY.FORMAT_2,1),"# ##0;-# ##0"),",-"),FIXED(ROUND(IF(EXC.RATE.SWITCH=1,C1784/EXC.RATE_2,C1784*EXC.RATE_2),CURRENCY.FORMAT_2),CURRENCY.FORMAT_2,0)),'DICTIONARY-5'!$A$2))</f>
        <v/>
      </c>
      <c r="L1784" s="670" t="str">
        <f>IFERROR(IF(CURRENCY.FORMAT_1=0,CONCATENATE(TEXT(FIXED(ROUND((C1784*(1-I1784)*(1-ADD.DISCOUNT)*(1+MAT.SURCHARGE)/EXC.RATE_1),CURRENCY.FORMAT_1),CURRENCY.FORMAT_1,1),"# ##0;-# ##0"),",-"),FIXED(ROUND((C1784*(1-I1784)*(1-ADD.DISCOUNT)*(1+MAT.SURCHARGE)/EXC.RATE_1),CURRENCY.FORMAT_1),CURRENCY.FORMAT_1,0)),'DICTIONARY-5'!$A$2)</f>
        <v>2 144,-</v>
      </c>
      <c r="M1784" s="670" t="str">
        <f>IF(EXC.RATE_2=0,"",IFERROR(IF(CURRENCY.FORMAT_2=0,CONCATENATE(TEXT(FIXED(ROUND(IF(EXC.RATE.SWITCH=1,C1784*(1-I1784)*(1-ADD.DISCOUNT)*(1+MAT.SURCHARGE)/EXC.RATE_2,C1784*(1-I1784)*(1-ADD.DISCOUNT)*(1+MAT.SURCHARGE)*EXC.RATE_2),CURRENCY.FORMAT_2),CURRENCY.FORMAT_2,1),"# ##0;-# ##0"),",-"),FIXED(ROUND(IF(EXC.RATE.SWITCH=1,C1784*(1-I1784)*(1-ADD.DISCOUNT)*(1+MAT.SURCHARGE)/EXC.RATE_2,C1784*(1-I1784)*(1-ADD.DISCOUNT)*(1+MAT.SURCHARGE)*EXC.RATE_2),CURRENCY.FORMAT_2),CURRENCY.FORMAT_2,0)),'DICTIONARY-5'!$A$2))</f>
        <v/>
      </c>
      <c r="N1784" s="541">
        <v>6</v>
      </c>
      <c r="O1784" s="654" t="s">
        <v>7363</v>
      </c>
      <c r="P1784" s="731" t="str">
        <f>'DICTIONARY-3'!$A$148</f>
        <v>CEREX 300-L</v>
      </c>
      <c r="Q1784" s="731" t="str">
        <f>'DICTIONARY-3'!$A$204</f>
        <v>Przepustnica kołnierzowa</v>
      </c>
      <c r="R1784" s="732" t="str">
        <f>CONCATENATE('DICTIONARY-3'!$A$148," ",'DICTIONARY-6'!$A$2," ",'DICTIONARY-2'!$A$2,"450"," ",'DICTIONARY-2'!$A$3,"10"," ",'DICTIONARY-5'!$A$51,"/",'DICTIONARY-5'!$A$44,", ",'DICTIONARY-4'!$A$2)</f>
        <v>CEREX 300-L Przep. kołnierz. DN450 PN10 GGG/EPDM, WW</v>
      </c>
      <c r="S1784" s="733" t="str">
        <f>'DICTIONARY-4'!$A$2</f>
        <v>WW</v>
      </c>
      <c r="T1784" s="732" t="str">
        <f>'DICTIONARY-4'!$A$18</f>
        <v>Wolny wałek</v>
      </c>
      <c r="U1784" s="734" t="s">
        <v>5755</v>
      </c>
      <c r="V1784" s="735">
        <v>10</v>
      </c>
      <c r="W1784" s="736"/>
      <c r="X1784" s="737"/>
      <c r="Y1784" s="738"/>
      <c r="Z1784" s="739"/>
      <c r="AA1784" s="739"/>
      <c r="AB1784" s="740">
        <v>10</v>
      </c>
      <c r="AC1784" s="741" t="str">
        <f>'DICTIONARY-5'!$A$11&amp;" 20"</f>
        <v>EN 558 szereg 20</v>
      </c>
      <c r="AD1784" s="741" t="str">
        <f>'DICTIONARY-5'!$A$13</f>
        <v>woda pitna</v>
      </c>
      <c r="AE1784" s="742">
        <v>80</v>
      </c>
      <c r="AF1784" s="743">
        <v>107</v>
      </c>
      <c r="AG1784" s="741" t="str">
        <f>'DICTIONARY-5'!$A$23</f>
        <v>powłoka epoksydowa</v>
      </c>
    </row>
    <row r="1785" spans="1:33" x14ac:dyDescent="0.25">
      <c r="A1785" s="844" t="s">
        <v>5211</v>
      </c>
      <c r="B1785" s="844" t="s">
        <v>5376</v>
      </c>
      <c r="C1785" s="836">
        <v>2203</v>
      </c>
      <c r="D1785" s="836"/>
      <c r="E1785" s="836"/>
      <c r="F1785" s="836"/>
      <c r="G1785" s="496" t="s">
        <v>7832</v>
      </c>
      <c r="H1785" s="797" t="str">
        <f>VLOOKUP(G1785,SETTINGS!$B$7:$D$97,2,0)</f>
        <v>CEREX 300</v>
      </c>
      <c r="I1785" s="796">
        <f>VLOOKUP(G1785,SETTINGS!$B$7:$D$97,3,0)</f>
        <v>0</v>
      </c>
      <c r="J1785" s="670" t="str">
        <f>IFERROR(IF(CURRENCY.FORMAT_1=0,CONCATENATE(TEXT(FIXED(ROUND((C1785/EXC.RATE_1),CURRENCY.FORMAT_1),CURRENCY.FORMAT_1,1),"# ##0;-# ##0"),",-"),FIXED(ROUND((C1785/EXC.RATE_1),CURRENCY.FORMAT_1),CURRENCY.FORMAT_1,0)),'DICTIONARY-5'!$A$2)</f>
        <v>2 203,-</v>
      </c>
      <c r="K1785" s="670" t="str">
        <f>IF(EXC.RATE_2=0,"",IFERROR(IF(CURRENCY.FORMAT_2=0,CONCATENATE(TEXT(FIXED(ROUND(IF(EXC.RATE.SWITCH=1,C1785/EXC.RATE_2,C1785*EXC.RATE_2),CURRENCY.FORMAT_2),CURRENCY.FORMAT_2,1),"# ##0;-# ##0"),",-"),FIXED(ROUND(IF(EXC.RATE.SWITCH=1,C1785/EXC.RATE_2,C1785*EXC.RATE_2),CURRENCY.FORMAT_2),CURRENCY.FORMAT_2,0)),'DICTIONARY-5'!$A$2))</f>
        <v/>
      </c>
      <c r="L1785" s="670" t="str">
        <f>IFERROR(IF(CURRENCY.FORMAT_1=0,CONCATENATE(TEXT(FIXED(ROUND((C1785*(1-I1785)*(1-ADD.DISCOUNT)*(1+MAT.SURCHARGE)/EXC.RATE_1),CURRENCY.FORMAT_1),CURRENCY.FORMAT_1,1),"# ##0;-# ##0"),",-"),FIXED(ROUND((C1785*(1-I1785)*(1-ADD.DISCOUNT)*(1+MAT.SURCHARGE)/EXC.RATE_1),CURRENCY.FORMAT_1),CURRENCY.FORMAT_1,0)),'DICTIONARY-5'!$A$2)</f>
        <v>2 289,-</v>
      </c>
      <c r="M1785" s="670" t="str">
        <f>IF(EXC.RATE_2=0,"",IFERROR(IF(CURRENCY.FORMAT_2=0,CONCATENATE(TEXT(FIXED(ROUND(IF(EXC.RATE.SWITCH=1,C1785*(1-I1785)*(1-ADD.DISCOUNT)*(1+MAT.SURCHARGE)/EXC.RATE_2,C1785*(1-I1785)*(1-ADD.DISCOUNT)*(1+MAT.SURCHARGE)*EXC.RATE_2),CURRENCY.FORMAT_2),CURRENCY.FORMAT_2,1),"# ##0;-# ##0"),",-"),FIXED(ROUND(IF(EXC.RATE.SWITCH=1,C1785*(1-I1785)*(1-ADD.DISCOUNT)*(1+MAT.SURCHARGE)/EXC.RATE_2,C1785*(1-I1785)*(1-ADD.DISCOUNT)*(1+MAT.SURCHARGE)*EXC.RATE_2),CURRENCY.FORMAT_2),CURRENCY.FORMAT_2,0)),'DICTIONARY-5'!$A$2))</f>
        <v/>
      </c>
      <c r="N1785" s="541">
        <v>6</v>
      </c>
      <c r="O1785" s="654" t="s">
        <v>7363</v>
      </c>
      <c r="P1785" s="731" t="str">
        <f>'DICTIONARY-3'!$A$148</f>
        <v>CEREX 300-L</v>
      </c>
      <c r="Q1785" s="731" t="str">
        <f>'DICTIONARY-3'!$A$204</f>
        <v>Przepustnica kołnierzowa</v>
      </c>
      <c r="R1785" s="732" t="str">
        <f>CONCATENATE('DICTIONARY-3'!$A$148," ",'DICTIONARY-6'!$A$2," ",'DICTIONARY-2'!$A$2,"450"," ",'DICTIONARY-2'!$A$3,"16"," ",'DICTIONARY-2'!$A$10,"10",'DICTIONARY-2'!$A$20," ",'DICTIONARY-5'!$A$51,"/",'DICTIONARY-5'!$A$44,", ",'DICTIONARY-4'!$A$2)</f>
        <v>CEREX 300-L Przep. kołnierz. DN450 PN16 PS10bar GGG/EPDM, WW</v>
      </c>
      <c r="S1785" s="733" t="str">
        <f>'DICTIONARY-4'!$A$2</f>
        <v>WW</v>
      </c>
      <c r="T1785" s="732" t="str">
        <f>'DICTIONARY-4'!$A$18</f>
        <v>Wolny wałek</v>
      </c>
      <c r="U1785" s="734" t="s">
        <v>5755</v>
      </c>
      <c r="V1785" s="735">
        <v>16</v>
      </c>
      <c r="W1785" s="736"/>
      <c r="X1785" s="737"/>
      <c r="Y1785" s="738"/>
      <c r="Z1785" s="739"/>
      <c r="AA1785" s="739"/>
      <c r="AB1785" s="740">
        <v>10</v>
      </c>
      <c r="AC1785" s="741" t="str">
        <f>'DICTIONARY-5'!$A$11&amp;" 20"</f>
        <v>EN 558 szereg 20</v>
      </c>
      <c r="AD1785" s="741" t="str">
        <f>'DICTIONARY-5'!$A$13</f>
        <v>woda pitna</v>
      </c>
      <c r="AE1785" s="742">
        <v>80</v>
      </c>
      <c r="AF1785" s="743">
        <v>121</v>
      </c>
      <c r="AG1785" s="741" t="str">
        <f>'DICTIONARY-5'!$A$23</f>
        <v>powłoka epoksydowa</v>
      </c>
    </row>
    <row r="1786" spans="1:33" x14ac:dyDescent="0.25">
      <c r="A1786" s="844" t="s">
        <v>5213</v>
      </c>
      <c r="B1786" s="844" t="s">
        <v>5377</v>
      </c>
      <c r="C1786" s="836">
        <v>2776</v>
      </c>
      <c r="D1786" s="836"/>
      <c r="E1786" s="836"/>
      <c r="F1786" s="836"/>
      <c r="G1786" s="496" t="s">
        <v>7832</v>
      </c>
      <c r="H1786" s="797" t="str">
        <f>VLOOKUP(G1786,SETTINGS!$B$7:$D$97,2,0)</f>
        <v>CEREX 300</v>
      </c>
      <c r="I1786" s="796">
        <f>VLOOKUP(G1786,SETTINGS!$B$7:$D$97,3,0)</f>
        <v>0</v>
      </c>
      <c r="J1786" s="670" t="str">
        <f>IFERROR(IF(CURRENCY.FORMAT_1=0,CONCATENATE(TEXT(FIXED(ROUND((C1786/EXC.RATE_1),CURRENCY.FORMAT_1),CURRENCY.FORMAT_1,1),"# ##0;-# ##0"),",-"),FIXED(ROUND((C1786/EXC.RATE_1),CURRENCY.FORMAT_1),CURRENCY.FORMAT_1,0)),'DICTIONARY-5'!$A$2)</f>
        <v>2 776,-</v>
      </c>
      <c r="K1786" s="670" t="str">
        <f>IF(EXC.RATE_2=0,"",IFERROR(IF(CURRENCY.FORMAT_2=0,CONCATENATE(TEXT(FIXED(ROUND(IF(EXC.RATE.SWITCH=1,C1786/EXC.RATE_2,C1786*EXC.RATE_2),CURRENCY.FORMAT_2),CURRENCY.FORMAT_2,1),"# ##0;-# ##0"),",-"),FIXED(ROUND(IF(EXC.RATE.SWITCH=1,C1786/EXC.RATE_2,C1786*EXC.RATE_2),CURRENCY.FORMAT_2),CURRENCY.FORMAT_2,0)),'DICTIONARY-5'!$A$2))</f>
        <v/>
      </c>
      <c r="L1786" s="670" t="str">
        <f>IFERROR(IF(CURRENCY.FORMAT_1=0,CONCATENATE(TEXT(FIXED(ROUND((C1786*(1-I1786)*(1-ADD.DISCOUNT)*(1+MAT.SURCHARGE)/EXC.RATE_1),CURRENCY.FORMAT_1),CURRENCY.FORMAT_1,1),"# ##0;-# ##0"),",-"),FIXED(ROUND((C1786*(1-I1786)*(1-ADD.DISCOUNT)*(1+MAT.SURCHARGE)/EXC.RATE_1),CURRENCY.FORMAT_1),CURRENCY.FORMAT_1,0)),'DICTIONARY-5'!$A$2)</f>
        <v>2 884,-</v>
      </c>
      <c r="M1786" s="670" t="str">
        <f>IF(EXC.RATE_2=0,"",IFERROR(IF(CURRENCY.FORMAT_2=0,CONCATENATE(TEXT(FIXED(ROUND(IF(EXC.RATE.SWITCH=1,C1786*(1-I1786)*(1-ADD.DISCOUNT)*(1+MAT.SURCHARGE)/EXC.RATE_2,C1786*(1-I1786)*(1-ADD.DISCOUNT)*(1+MAT.SURCHARGE)*EXC.RATE_2),CURRENCY.FORMAT_2),CURRENCY.FORMAT_2,1),"# ##0;-# ##0"),",-"),FIXED(ROUND(IF(EXC.RATE.SWITCH=1,C1786*(1-I1786)*(1-ADD.DISCOUNT)*(1+MAT.SURCHARGE)/EXC.RATE_2,C1786*(1-I1786)*(1-ADD.DISCOUNT)*(1+MAT.SURCHARGE)*EXC.RATE_2),CURRENCY.FORMAT_2),CURRENCY.FORMAT_2,0)),'DICTIONARY-5'!$A$2))</f>
        <v/>
      </c>
      <c r="N1786" s="541">
        <v>6</v>
      </c>
      <c r="O1786" s="654" t="s">
        <v>7363</v>
      </c>
      <c r="P1786" s="731" t="str">
        <f>'DICTIONARY-3'!$A$148</f>
        <v>CEREX 300-L</v>
      </c>
      <c r="Q1786" s="731" t="str">
        <f>'DICTIONARY-3'!$A$204</f>
        <v>Przepustnica kołnierzowa</v>
      </c>
      <c r="R1786" s="732" t="str">
        <f>CONCATENATE('DICTIONARY-3'!$A$148," ",'DICTIONARY-6'!$A$2," ",'DICTIONARY-2'!$A$2,"500"," ",'DICTIONARY-2'!$A$3,"10"," ",'DICTIONARY-5'!$A$51,"/",'DICTIONARY-5'!$A$44,", ",'DICTIONARY-4'!$A$2)</f>
        <v>CEREX 300-L Przep. kołnierz. DN500 PN10 GGG/EPDM, WW</v>
      </c>
      <c r="S1786" s="733" t="str">
        <f>'DICTIONARY-4'!$A$2</f>
        <v>WW</v>
      </c>
      <c r="T1786" s="732" t="str">
        <f>'DICTIONARY-4'!$A$18</f>
        <v>Wolny wałek</v>
      </c>
      <c r="U1786" s="734" t="s">
        <v>5756</v>
      </c>
      <c r="V1786" s="735">
        <v>10</v>
      </c>
      <c r="W1786" s="736"/>
      <c r="X1786" s="737"/>
      <c r="Y1786" s="738"/>
      <c r="Z1786" s="739"/>
      <c r="AA1786" s="739"/>
      <c r="AB1786" s="740">
        <v>10</v>
      </c>
      <c r="AC1786" s="741" t="str">
        <f>'DICTIONARY-5'!$A$11&amp;" 20"</f>
        <v>EN 558 szereg 20</v>
      </c>
      <c r="AD1786" s="741" t="str">
        <f>'DICTIONARY-5'!$A$13</f>
        <v>woda pitna</v>
      </c>
      <c r="AE1786" s="742">
        <v>80</v>
      </c>
      <c r="AF1786" s="743">
        <v>137</v>
      </c>
      <c r="AG1786" s="741" t="str">
        <f>'DICTIONARY-5'!$A$23</f>
        <v>powłoka epoksydowa</v>
      </c>
    </row>
    <row r="1787" spans="1:33" x14ac:dyDescent="0.25">
      <c r="A1787" s="844" t="s">
        <v>5215</v>
      </c>
      <c r="B1787" s="844" t="s">
        <v>5378</v>
      </c>
      <c r="C1787" s="836">
        <v>3088</v>
      </c>
      <c r="D1787" s="836"/>
      <c r="E1787" s="836"/>
      <c r="F1787" s="836"/>
      <c r="G1787" s="496" t="s">
        <v>7832</v>
      </c>
      <c r="H1787" s="797" t="str">
        <f>VLOOKUP(G1787,SETTINGS!$B$7:$D$97,2,0)</f>
        <v>CEREX 300</v>
      </c>
      <c r="I1787" s="796">
        <f>VLOOKUP(G1787,SETTINGS!$B$7:$D$97,3,0)</f>
        <v>0</v>
      </c>
      <c r="J1787" s="670" t="str">
        <f>IFERROR(IF(CURRENCY.FORMAT_1=0,CONCATENATE(TEXT(FIXED(ROUND((C1787/EXC.RATE_1),CURRENCY.FORMAT_1),CURRENCY.FORMAT_1,1),"# ##0;-# ##0"),",-"),FIXED(ROUND((C1787/EXC.RATE_1),CURRENCY.FORMAT_1),CURRENCY.FORMAT_1,0)),'DICTIONARY-5'!$A$2)</f>
        <v>3 088,-</v>
      </c>
      <c r="K1787" s="670" t="str">
        <f>IF(EXC.RATE_2=0,"",IFERROR(IF(CURRENCY.FORMAT_2=0,CONCATENATE(TEXT(FIXED(ROUND(IF(EXC.RATE.SWITCH=1,C1787/EXC.RATE_2,C1787*EXC.RATE_2),CURRENCY.FORMAT_2),CURRENCY.FORMAT_2,1),"# ##0;-# ##0"),",-"),FIXED(ROUND(IF(EXC.RATE.SWITCH=1,C1787/EXC.RATE_2,C1787*EXC.RATE_2),CURRENCY.FORMAT_2),CURRENCY.FORMAT_2,0)),'DICTIONARY-5'!$A$2))</f>
        <v/>
      </c>
      <c r="L1787" s="670" t="str">
        <f>IFERROR(IF(CURRENCY.FORMAT_1=0,CONCATENATE(TEXT(FIXED(ROUND((C1787*(1-I1787)*(1-ADD.DISCOUNT)*(1+MAT.SURCHARGE)/EXC.RATE_1),CURRENCY.FORMAT_1),CURRENCY.FORMAT_1,1),"# ##0;-# ##0"),",-"),FIXED(ROUND((C1787*(1-I1787)*(1-ADD.DISCOUNT)*(1+MAT.SURCHARGE)/EXC.RATE_1),CURRENCY.FORMAT_1),CURRENCY.FORMAT_1,0)),'DICTIONARY-5'!$A$2)</f>
        <v>3 208,-</v>
      </c>
      <c r="M1787" s="670" t="str">
        <f>IF(EXC.RATE_2=0,"",IFERROR(IF(CURRENCY.FORMAT_2=0,CONCATENATE(TEXT(FIXED(ROUND(IF(EXC.RATE.SWITCH=1,C1787*(1-I1787)*(1-ADD.DISCOUNT)*(1+MAT.SURCHARGE)/EXC.RATE_2,C1787*(1-I1787)*(1-ADD.DISCOUNT)*(1+MAT.SURCHARGE)*EXC.RATE_2),CURRENCY.FORMAT_2),CURRENCY.FORMAT_2,1),"# ##0;-# ##0"),",-"),FIXED(ROUND(IF(EXC.RATE.SWITCH=1,C1787*(1-I1787)*(1-ADD.DISCOUNT)*(1+MAT.SURCHARGE)/EXC.RATE_2,C1787*(1-I1787)*(1-ADD.DISCOUNT)*(1+MAT.SURCHARGE)*EXC.RATE_2),CURRENCY.FORMAT_2),CURRENCY.FORMAT_2,0)),'DICTIONARY-5'!$A$2))</f>
        <v/>
      </c>
      <c r="N1787" s="541">
        <v>6</v>
      </c>
      <c r="O1787" s="654" t="s">
        <v>7363</v>
      </c>
      <c r="P1787" s="731" t="str">
        <f>'DICTIONARY-3'!$A$148</f>
        <v>CEREX 300-L</v>
      </c>
      <c r="Q1787" s="731" t="str">
        <f>'DICTIONARY-3'!$A$204</f>
        <v>Przepustnica kołnierzowa</v>
      </c>
      <c r="R1787" s="732" t="str">
        <f>CONCATENATE('DICTIONARY-3'!$A$148," ",'DICTIONARY-6'!$A$2," ",'DICTIONARY-2'!$A$2,"500"," ",'DICTIONARY-2'!$A$3,"16"," ",'DICTIONARY-2'!$A$10,"10",'DICTIONARY-2'!$A$20," ",'DICTIONARY-5'!$A$51,"/",'DICTIONARY-5'!$A$44,", ",'DICTIONARY-4'!$A$2)</f>
        <v>CEREX 300-L Przep. kołnierz. DN500 PN16 PS10bar GGG/EPDM, WW</v>
      </c>
      <c r="S1787" s="733" t="str">
        <f>'DICTIONARY-4'!$A$2</f>
        <v>WW</v>
      </c>
      <c r="T1787" s="732" t="str">
        <f>'DICTIONARY-4'!$A$18</f>
        <v>Wolny wałek</v>
      </c>
      <c r="U1787" s="734" t="s">
        <v>5756</v>
      </c>
      <c r="V1787" s="735">
        <v>16</v>
      </c>
      <c r="W1787" s="736"/>
      <c r="X1787" s="737"/>
      <c r="Y1787" s="738"/>
      <c r="Z1787" s="739"/>
      <c r="AA1787" s="739"/>
      <c r="AB1787" s="740">
        <v>10</v>
      </c>
      <c r="AC1787" s="741" t="str">
        <f>'DICTIONARY-5'!$A$11&amp;" 20"</f>
        <v>EN 558 szereg 20</v>
      </c>
      <c r="AD1787" s="741" t="str">
        <f>'DICTIONARY-5'!$A$13</f>
        <v>woda pitna</v>
      </c>
      <c r="AE1787" s="742">
        <v>80</v>
      </c>
      <c r="AF1787" s="743">
        <v>162</v>
      </c>
      <c r="AG1787" s="741" t="str">
        <f>'DICTIONARY-5'!$A$23</f>
        <v>powłoka epoksydowa</v>
      </c>
    </row>
    <row r="1788" spans="1:33" x14ac:dyDescent="0.25">
      <c r="A1788" s="844" t="s">
        <v>5217</v>
      </c>
      <c r="B1788" s="844" t="s">
        <v>5379</v>
      </c>
      <c r="C1788" s="836">
        <v>3911</v>
      </c>
      <c r="D1788" s="836"/>
      <c r="E1788" s="836"/>
      <c r="F1788" s="836"/>
      <c r="G1788" s="496" t="s">
        <v>7832</v>
      </c>
      <c r="H1788" s="797" t="str">
        <f>VLOOKUP(G1788,SETTINGS!$B$7:$D$97,2,0)</f>
        <v>CEREX 300</v>
      </c>
      <c r="I1788" s="796">
        <f>VLOOKUP(G1788,SETTINGS!$B$7:$D$97,3,0)</f>
        <v>0</v>
      </c>
      <c r="J1788" s="670" t="str">
        <f>IFERROR(IF(CURRENCY.FORMAT_1=0,CONCATENATE(TEXT(FIXED(ROUND((C1788/EXC.RATE_1),CURRENCY.FORMAT_1),CURRENCY.FORMAT_1,1),"# ##0;-# ##0"),",-"),FIXED(ROUND((C1788/EXC.RATE_1),CURRENCY.FORMAT_1),CURRENCY.FORMAT_1,0)),'DICTIONARY-5'!$A$2)</f>
        <v>3 911,-</v>
      </c>
      <c r="K1788" s="670" t="str">
        <f>IF(EXC.RATE_2=0,"",IFERROR(IF(CURRENCY.FORMAT_2=0,CONCATENATE(TEXT(FIXED(ROUND(IF(EXC.RATE.SWITCH=1,C1788/EXC.RATE_2,C1788*EXC.RATE_2),CURRENCY.FORMAT_2),CURRENCY.FORMAT_2,1),"# ##0;-# ##0"),",-"),FIXED(ROUND(IF(EXC.RATE.SWITCH=1,C1788/EXC.RATE_2,C1788*EXC.RATE_2),CURRENCY.FORMAT_2),CURRENCY.FORMAT_2,0)),'DICTIONARY-5'!$A$2))</f>
        <v/>
      </c>
      <c r="L1788" s="670" t="str">
        <f>IFERROR(IF(CURRENCY.FORMAT_1=0,CONCATENATE(TEXT(FIXED(ROUND((C1788*(1-I1788)*(1-ADD.DISCOUNT)*(1+MAT.SURCHARGE)/EXC.RATE_1),CURRENCY.FORMAT_1),CURRENCY.FORMAT_1,1),"# ##0;-# ##0"),",-"),FIXED(ROUND((C1788*(1-I1788)*(1-ADD.DISCOUNT)*(1+MAT.SURCHARGE)/EXC.RATE_1),CURRENCY.FORMAT_1),CURRENCY.FORMAT_1,0)),'DICTIONARY-5'!$A$2)</f>
        <v>4 064,-</v>
      </c>
      <c r="M1788" s="670" t="str">
        <f>IF(EXC.RATE_2=0,"",IFERROR(IF(CURRENCY.FORMAT_2=0,CONCATENATE(TEXT(FIXED(ROUND(IF(EXC.RATE.SWITCH=1,C1788*(1-I1788)*(1-ADD.DISCOUNT)*(1+MAT.SURCHARGE)/EXC.RATE_2,C1788*(1-I1788)*(1-ADD.DISCOUNT)*(1+MAT.SURCHARGE)*EXC.RATE_2),CURRENCY.FORMAT_2),CURRENCY.FORMAT_2,1),"# ##0;-# ##0"),",-"),FIXED(ROUND(IF(EXC.RATE.SWITCH=1,C1788*(1-I1788)*(1-ADD.DISCOUNT)*(1+MAT.SURCHARGE)/EXC.RATE_2,C1788*(1-I1788)*(1-ADD.DISCOUNT)*(1+MAT.SURCHARGE)*EXC.RATE_2),CURRENCY.FORMAT_2),CURRENCY.FORMAT_2,0)),'DICTIONARY-5'!$A$2))</f>
        <v/>
      </c>
      <c r="N1788" s="541">
        <v>6</v>
      </c>
      <c r="O1788" s="654" t="s">
        <v>7363</v>
      </c>
      <c r="P1788" s="731" t="str">
        <f>'DICTIONARY-3'!$A$148</f>
        <v>CEREX 300-L</v>
      </c>
      <c r="Q1788" s="731" t="str">
        <f>'DICTIONARY-3'!$A$204</f>
        <v>Przepustnica kołnierzowa</v>
      </c>
      <c r="R1788" s="732" t="str">
        <f>CONCATENATE('DICTIONARY-3'!$A$148," ",'DICTIONARY-6'!$A$2," ",'DICTIONARY-2'!$A$2,"600"," ",'DICTIONARY-2'!$A$3,"10"," ",'DICTIONARY-5'!$A$51,"/",'DICTIONARY-5'!$A$44,", ",'DICTIONARY-4'!$A$2)</f>
        <v>CEREX 300-L Przep. kołnierz. DN600 PN10 GGG/EPDM, WW</v>
      </c>
      <c r="S1788" s="733" t="str">
        <f>'DICTIONARY-4'!$A$2</f>
        <v>WW</v>
      </c>
      <c r="T1788" s="732" t="str">
        <f>'DICTIONARY-4'!$A$18</f>
        <v>Wolny wałek</v>
      </c>
      <c r="U1788" s="734" t="s">
        <v>5757</v>
      </c>
      <c r="V1788" s="735">
        <v>10</v>
      </c>
      <c r="W1788" s="736"/>
      <c r="X1788" s="737"/>
      <c r="Y1788" s="738"/>
      <c r="Z1788" s="739"/>
      <c r="AA1788" s="739"/>
      <c r="AB1788" s="740">
        <v>10</v>
      </c>
      <c r="AC1788" s="741" t="str">
        <f>'DICTIONARY-5'!$A$11&amp;" 20"</f>
        <v>EN 558 szereg 20</v>
      </c>
      <c r="AD1788" s="741" t="str">
        <f>'DICTIONARY-5'!$A$13</f>
        <v>woda pitna</v>
      </c>
      <c r="AE1788" s="742">
        <v>80</v>
      </c>
      <c r="AF1788" s="743">
        <v>207</v>
      </c>
      <c r="AG1788" s="741" t="str">
        <f>'DICTIONARY-5'!$A$23</f>
        <v>powłoka epoksydowa</v>
      </c>
    </row>
    <row r="1789" spans="1:33" x14ac:dyDescent="0.25">
      <c r="A1789" s="844" t="s">
        <v>5219</v>
      </c>
      <c r="B1789" s="844" t="s">
        <v>5380</v>
      </c>
      <c r="C1789" s="836">
        <v>3803</v>
      </c>
      <c r="D1789" s="836"/>
      <c r="E1789" s="836"/>
      <c r="F1789" s="836"/>
      <c r="G1789" s="496" t="s">
        <v>7832</v>
      </c>
      <c r="H1789" s="797" t="str">
        <f>VLOOKUP(G1789,SETTINGS!$B$7:$D$97,2,0)</f>
        <v>CEREX 300</v>
      </c>
      <c r="I1789" s="796">
        <f>VLOOKUP(G1789,SETTINGS!$B$7:$D$97,3,0)</f>
        <v>0</v>
      </c>
      <c r="J1789" s="670" t="str">
        <f>IFERROR(IF(CURRENCY.FORMAT_1=0,CONCATENATE(TEXT(FIXED(ROUND((C1789/EXC.RATE_1),CURRENCY.FORMAT_1),CURRENCY.FORMAT_1,1),"# ##0;-# ##0"),",-"),FIXED(ROUND((C1789/EXC.RATE_1),CURRENCY.FORMAT_1),CURRENCY.FORMAT_1,0)),'DICTIONARY-5'!$A$2)</f>
        <v>3 803,-</v>
      </c>
      <c r="K1789" s="670" t="str">
        <f>IF(EXC.RATE_2=0,"",IFERROR(IF(CURRENCY.FORMAT_2=0,CONCATENATE(TEXT(FIXED(ROUND(IF(EXC.RATE.SWITCH=1,C1789/EXC.RATE_2,C1789*EXC.RATE_2),CURRENCY.FORMAT_2),CURRENCY.FORMAT_2,1),"# ##0;-# ##0"),",-"),FIXED(ROUND(IF(EXC.RATE.SWITCH=1,C1789/EXC.RATE_2,C1789*EXC.RATE_2),CURRENCY.FORMAT_2),CURRENCY.FORMAT_2,0)),'DICTIONARY-5'!$A$2))</f>
        <v/>
      </c>
      <c r="L1789" s="670" t="str">
        <f>IFERROR(IF(CURRENCY.FORMAT_1=0,CONCATENATE(TEXT(FIXED(ROUND((C1789*(1-I1789)*(1-ADD.DISCOUNT)*(1+MAT.SURCHARGE)/EXC.RATE_1),CURRENCY.FORMAT_1),CURRENCY.FORMAT_1,1),"# ##0;-# ##0"),",-"),FIXED(ROUND((C1789*(1-I1789)*(1-ADD.DISCOUNT)*(1+MAT.SURCHARGE)/EXC.RATE_1),CURRENCY.FORMAT_1),CURRENCY.FORMAT_1,0)),'DICTIONARY-5'!$A$2)</f>
        <v>3 951,-</v>
      </c>
      <c r="M1789" s="670" t="str">
        <f>IF(EXC.RATE_2=0,"",IFERROR(IF(CURRENCY.FORMAT_2=0,CONCATENATE(TEXT(FIXED(ROUND(IF(EXC.RATE.SWITCH=1,C1789*(1-I1789)*(1-ADD.DISCOUNT)*(1+MAT.SURCHARGE)/EXC.RATE_2,C1789*(1-I1789)*(1-ADD.DISCOUNT)*(1+MAT.SURCHARGE)*EXC.RATE_2),CURRENCY.FORMAT_2),CURRENCY.FORMAT_2,1),"# ##0;-# ##0"),",-"),FIXED(ROUND(IF(EXC.RATE.SWITCH=1,C1789*(1-I1789)*(1-ADD.DISCOUNT)*(1+MAT.SURCHARGE)/EXC.RATE_2,C1789*(1-I1789)*(1-ADD.DISCOUNT)*(1+MAT.SURCHARGE)*EXC.RATE_2),CURRENCY.FORMAT_2),CURRENCY.FORMAT_2,0)),'DICTIONARY-5'!$A$2))</f>
        <v/>
      </c>
      <c r="N1789" s="541">
        <v>6</v>
      </c>
      <c r="O1789" s="654" t="s">
        <v>7363</v>
      </c>
      <c r="P1789" s="731" t="str">
        <f>'DICTIONARY-3'!$A$148</f>
        <v>CEREX 300-L</v>
      </c>
      <c r="Q1789" s="731" t="str">
        <f>'DICTIONARY-3'!$A$204</f>
        <v>Przepustnica kołnierzowa</v>
      </c>
      <c r="R1789" s="732" t="str">
        <f>CONCATENATE('DICTIONARY-3'!$A$148," ",'DICTIONARY-6'!$A$2," ",'DICTIONARY-2'!$A$2,"600"," ",'DICTIONARY-2'!$A$3,"16"," ",'DICTIONARY-2'!$A$10,"10",'DICTIONARY-2'!$A$20," ",'DICTIONARY-5'!$A$51,"/",'DICTIONARY-5'!$A$44,", ",'DICTIONARY-4'!$A$2)</f>
        <v>CEREX 300-L Przep. kołnierz. DN600 PN16 PS10bar GGG/EPDM, WW</v>
      </c>
      <c r="S1789" s="733" t="str">
        <f>'DICTIONARY-4'!$A$2</f>
        <v>WW</v>
      </c>
      <c r="T1789" s="732" t="str">
        <f>'DICTIONARY-4'!$A$18</f>
        <v>Wolny wałek</v>
      </c>
      <c r="U1789" s="734" t="s">
        <v>5757</v>
      </c>
      <c r="V1789" s="735">
        <v>16</v>
      </c>
      <c r="W1789" s="736"/>
      <c r="X1789" s="737"/>
      <c r="Y1789" s="738"/>
      <c r="Z1789" s="739"/>
      <c r="AA1789" s="739"/>
      <c r="AB1789" s="740">
        <v>10</v>
      </c>
      <c r="AC1789" s="741" t="str">
        <f>'DICTIONARY-5'!$A$11&amp;" 20"</f>
        <v>EN 558 szereg 20</v>
      </c>
      <c r="AD1789" s="741" t="str">
        <f>'DICTIONARY-5'!$A$13</f>
        <v>woda pitna</v>
      </c>
      <c r="AE1789" s="742">
        <v>80</v>
      </c>
      <c r="AF1789" s="743">
        <v>265</v>
      </c>
      <c r="AG1789" s="741" t="str">
        <f>'DICTIONARY-5'!$A$23</f>
        <v>powłoka epoksydowa</v>
      </c>
    </row>
    <row r="1790" spans="1:33" x14ac:dyDescent="0.25">
      <c r="A1790" s="844" t="s">
        <v>5178</v>
      </c>
      <c r="B1790" s="844" t="s">
        <v>5381</v>
      </c>
      <c r="C1790" s="836">
        <v>149</v>
      </c>
      <c r="D1790" s="836"/>
      <c r="E1790" s="836"/>
      <c r="F1790" s="836"/>
      <c r="G1790" s="496" t="s">
        <v>7832</v>
      </c>
      <c r="H1790" s="797" t="str">
        <f>VLOOKUP(G1790,SETTINGS!$B$7:$D$97,2,0)</f>
        <v>CEREX 300</v>
      </c>
      <c r="I1790" s="796">
        <f>VLOOKUP(G1790,SETTINGS!$B$7:$D$97,3,0)</f>
        <v>0</v>
      </c>
      <c r="J1790" s="670" t="str">
        <f>IFERROR(IF(CURRENCY.FORMAT_1=0,CONCATENATE(TEXT(FIXED(ROUND((C1790/EXC.RATE_1),CURRENCY.FORMAT_1),CURRENCY.FORMAT_1,1),"# ##0;-# ##0"),",-"),FIXED(ROUND((C1790/EXC.RATE_1),CURRENCY.FORMAT_1),CURRENCY.FORMAT_1,0)),'DICTIONARY-5'!$A$2)</f>
        <v>149,-</v>
      </c>
      <c r="K1790" s="670" t="str">
        <f>IF(EXC.RATE_2=0,"",IFERROR(IF(CURRENCY.FORMAT_2=0,CONCATENATE(TEXT(FIXED(ROUND(IF(EXC.RATE.SWITCH=1,C1790/EXC.RATE_2,C1790*EXC.RATE_2),CURRENCY.FORMAT_2),CURRENCY.FORMAT_2,1),"# ##0;-# ##0"),",-"),FIXED(ROUND(IF(EXC.RATE.SWITCH=1,C1790/EXC.RATE_2,C1790*EXC.RATE_2),CURRENCY.FORMAT_2),CURRENCY.FORMAT_2,0)),'DICTIONARY-5'!$A$2))</f>
        <v/>
      </c>
      <c r="L1790" s="670" t="str">
        <f>IFERROR(IF(CURRENCY.FORMAT_1=0,CONCATENATE(TEXT(FIXED(ROUND((C1790*(1-I1790)*(1-ADD.DISCOUNT)*(1+MAT.SURCHARGE)/EXC.RATE_1),CURRENCY.FORMAT_1),CURRENCY.FORMAT_1,1),"# ##0;-# ##0"),",-"),FIXED(ROUND((C1790*(1-I1790)*(1-ADD.DISCOUNT)*(1+MAT.SURCHARGE)/EXC.RATE_1),CURRENCY.FORMAT_1),CURRENCY.FORMAT_1,0)),'DICTIONARY-5'!$A$2)</f>
        <v>155,-</v>
      </c>
      <c r="M1790" s="670" t="str">
        <f>IF(EXC.RATE_2=0,"",IFERROR(IF(CURRENCY.FORMAT_2=0,CONCATENATE(TEXT(FIXED(ROUND(IF(EXC.RATE.SWITCH=1,C1790*(1-I1790)*(1-ADD.DISCOUNT)*(1+MAT.SURCHARGE)/EXC.RATE_2,C1790*(1-I1790)*(1-ADD.DISCOUNT)*(1+MAT.SURCHARGE)*EXC.RATE_2),CURRENCY.FORMAT_2),CURRENCY.FORMAT_2,1),"# ##0;-# ##0"),",-"),FIXED(ROUND(IF(EXC.RATE.SWITCH=1,C1790*(1-I1790)*(1-ADD.DISCOUNT)*(1+MAT.SURCHARGE)/EXC.RATE_2,C1790*(1-I1790)*(1-ADD.DISCOUNT)*(1+MAT.SURCHARGE)*EXC.RATE_2),CURRENCY.FORMAT_2),CURRENCY.FORMAT_2,0)),'DICTIONARY-5'!$A$2))</f>
        <v/>
      </c>
      <c r="N1790" s="541">
        <v>6</v>
      </c>
      <c r="O1790" s="654" t="s">
        <v>7363</v>
      </c>
      <c r="P1790" s="731" t="str">
        <f>'DICTIONARY-3'!$A$148</f>
        <v>CEREX 300-L</v>
      </c>
      <c r="Q1790" s="731" t="str">
        <f>'DICTIONARY-3'!$A$204</f>
        <v>Przepustnica kołnierzowa</v>
      </c>
      <c r="R1790" s="732" t="str">
        <f>CONCATENATE('DICTIONARY-3'!$A$148," ",'DICTIONARY-6'!$A$2," ",'DICTIONARY-2'!$A$2,"50"," ",'DICTIONARY-2'!$A$3,"10/16"," ",'DICTIONARY-5'!$A$37,"/",'DICTIONARY-5'!$A$44,", ",'DICTIONARY-4'!$A$2)</f>
        <v>CEREX 300-L Przep. kołnierz. DN50 PN10/16 CF8M/EPDM, WW</v>
      </c>
      <c r="S1790" s="733" t="str">
        <f>'DICTIONARY-4'!$A$2</f>
        <v>WW</v>
      </c>
      <c r="T1790" s="732" t="str">
        <f>'DICTIONARY-4'!$A$18</f>
        <v>Wolny wałek</v>
      </c>
      <c r="U1790" s="734" t="s">
        <v>5748</v>
      </c>
      <c r="V1790" s="735">
        <v>16</v>
      </c>
      <c r="W1790" s="736"/>
      <c r="X1790" s="737"/>
      <c r="Y1790" s="738"/>
      <c r="Z1790" s="739"/>
      <c r="AA1790" s="739"/>
      <c r="AB1790" s="740">
        <v>16</v>
      </c>
      <c r="AC1790" s="741" t="str">
        <f>'DICTIONARY-5'!$A$11&amp;" 20"</f>
        <v>EN 558 szereg 20</v>
      </c>
      <c r="AD1790" s="741" t="str">
        <f>'DICTIONARY-5'!$A$13</f>
        <v>woda pitna</v>
      </c>
      <c r="AE1790" s="742">
        <v>110</v>
      </c>
      <c r="AF1790" s="743">
        <v>3</v>
      </c>
      <c r="AG1790" s="741" t="str">
        <f>'DICTIONARY-5'!$A$23</f>
        <v>powłoka epoksydowa</v>
      </c>
    </row>
    <row r="1791" spans="1:33" x14ac:dyDescent="0.25">
      <c r="A1791" s="844" t="s">
        <v>5180</v>
      </c>
      <c r="B1791" s="844" t="s">
        <v>5382</v>
      </c>
      <c r="C1791" s="836">
        <v>157</v>
      </c>
      <c r="D1791" s="836"/>
      <c r="E1791" s="836"/>
      <c r="F1791" s="836"/>
      <c r="G1791" s="496" t="s">
        <v>7832</v>
      </c>
      <c r="H1791" s="797" t="str">
        <f>VLOOKUP(G1791,SETTINGS!$B$7:$D$97,2,0)</f>
        <v>CEREX 300</v>
      </c>
      <c r="I1791" s="796">
        <f>VLOOKUP(G1791,SETTINGS!$B$7:$D$97,3,0)</f>
        <v>0</v>
      </c>
      <c r="J1791" s="670" t="str">
        <f>IFERROR(IF(CURRENCY.FORMAT_1=0,CONCATENATE(TEXT(FIXED(ROUND((C1791/EXC.RATE_1),CURRENCY.FORMAT_1),CURRENCY.FORMAT_1,1),"# ##0;-# ##0"),",-"),FIXED(ROUND((C1791/EXC.RATE_1),CURRENCY.FORMAT_1),CURRENCY.FORMAT_1,0)),'DICTIONARY-5'!$A$2)</f>
        <v>157,-</v>
      </c>
      <c r="K1791" s="670" t="str">
        <f>IF(EXC.RATE_2=0,"",IFERROR(IF(CURRENCY.FORMAT_2=0,CONCATENATE(TEXT(FIXED(ROUND(IF(EXC.RATE.SWITCH=1,C1791/EXC.RATE_2,C1791*EXC.RATE_2),CURRENCY.FORMAT_2),CURRENCY.FORMAT_2,1),"# ##0;-# ##0"),",-"),FIXED(ROUND(IF(EXC.RATE.SWITCH=1,C1791/EXC.RATE_2,C1791*EXC.RATE_2),CURRENCY.FORMAT_2),CURRENCY.FORMAT_2,0)),'DICTIONARY-5'!$A$2))</f>
        <v/>
      </c>
      <c r="L1791" s="670" t="str">
        <f>IFERROR(IF(CURRENCY.FORMAT_1=0,CONCATENATE(TEXT(FIXED(ROUND((C1791*(1-I1791)*(1-ADD.DISCOUNT)*(1+MAT.SURCHARGE)/EXC.RATE_1),CURRENCY.FORMAT_1),CURRENCY.FORMAT_1,1),"# ##0;-# ##0"),",-"),FIXED(ROUND((C1791*(1-I1791)*(1-ADD.DISCOUNT)*(1+MAT.SURCHARGE)/EXC.RATE_1),CURRENCY.FORMAT_1),CURRENCY.FORMAT_1,0)),'DICTIONARY-5'!$A$2)</f>
        <v>163,-</v>
      </c>
      <c r="M1791" s="670" t="str">
        <f>IF(EXC.RATE_2=0,"",IFERROR(IF(CURRENCY.FORMAT_2=0,CONCATENATE(TEXT(FIXED(ROUND(IF(EXC.RATE.SWITCH=1,C1791*(1-I1791)*(1-ADD.DISCOUNT)*(1+MAT.SURCHARGE)/EXC.RATE_2,C1791*(1-I1791)*(1-ADD.DISCOUNT)*(1+MAT.SURCHARGE)*EXC.RATE_2),CURRENCY.FORMAT_2),CURRENCY.FORMAT_2,1),"# ##0;-# ##0"),",-"),FIXED(ROUND(IF(EXC.RATE.SWITCH=1,C1791*(1-I1791)*(1-ADD.DISCOUNT)*(1+MAT.SURCHARGE)/EXC.RATE_2,C1791*(1-I1791)*(1-ADD.DISCOUNT)*(1+MAT.SURCHARGE)*EXC.RATE_2),CURRENCY.FORMAT_2),CURRENCY.FORMAT_2,0)),'DICTIONARY-5'!$A$2))</f>
        <v/>
      </c>
      <c r="N1791" s="541">
        <v>6</v>
      </c>
      <c r="O1791" s="654" t="s">
        <v>7363</v>
      </c>
      <c r="P1791" s="731" t="str">
        <f>'DICTIONARY-3'!$A$148</f>
        <v>CEREX 300-L</v>
      </c>
      <c r="Q1791" s="731" t="str">
        <f>'DICTIONARY-3'!$A$204</f>
        <v>Przepustnica kołnierzowa</v>
      </c>
      <c r="R1791" s="732" t="str">
        <f>CONCATENATE('DICTIONARY-3'!$A$148," ",'DICTIONARY-6'!$A$2," ",'DICTIONARY-2'!$A$2,"65"," ",'DICTIONARY-2'!$A$3,"10/16"," ",'DICTIONARY-5'!$A$37,"/",'DICTIONARY-5'!$A$44,", ",'DICTIONARY-4'!$A$2)</f>
        <v>CEREX 300-L Przep. kołnierz. DN65 PN10/16 CF8M/EPDM, WW</v>
      </c>
      <c r="S1791" s="733" t="str">
        <f>'DICTIONARY-4'!$A$2</f>
        <v>WW</v>
      </c>
      <c r="T1791" s="732" t="str">
        <f>'DICTIONARY-4'!$A$18</f>
        <v>Wolny wałek</v>
      </c>
      <c r="U1791" s="734" t="s">
        <v>5759</v>
      </c>
      <c r="V1791" s="735">
        <v>16</v>
      </c>
      <c r="W1791" s="736"/>
      <c r="X1791" s="737"/>
      <c r="Y1791" s="738"/>
      <c r="Z1791" s="739"/>
      <c r="AA1791" s="739"/>
      <c r="AB1791" s="740">
        <v>16</v>
      </c>
      <c r="AC1791" s="741" t="str">
        <f>'DICTIONARY-5'!$A$11&amp;" 20"</f>
        <v>EN 558 szereg 20</v>
      </c>
      <c r="AD1791" s="741" t="str">
        <f>'DICTIONARY-5'!$A$13</f>
        <v>woda pitna</v>
      </c>
      <c r="AE1791" s="742">
        <v>110</v>
      </c>
      <c r="AF1791" s="743">
        <v>3.5</v>
      </c>
      <c r="AG1791" s="741" t="str">
        <f>'DICTIONARY-5'!$A$23</f>
        <v>powłoka epoksydowa</v>
      </c>
    </row>
    <row r="1792" spans="1:33" x14ac:dyDescent="0.25">
      <c r="A1792" s="844" t="s">
        <v>5182</v>
      </c>
      <c r="B1792" s="844" t="s">
        <v>5383</v>
      </c>
      <c r="C1792" s="836">
        <v>190</v>
      </c>
      <c r="D1792" s="836"/>
      <c r="E1792" s="836"/>
      <c r="F1792" s="836"/>
      <c r="G1792" s="496" t="s">
        <v>7832</v>
      </c>
      <c r="H1792" s="797" t="str">
        <f>VLOOKUP(G1792,SETTINGS!$B$7:$D$97,2,0)</f>
        <v>CEREX 300</v>
      </c>
      <c r="I1792" s="796">
        <f>VLOOKUP(G1792,SETTINGS!$B$7:$D$97,3,0)</f>
        <v>0</v>
      </c>
      <c r="J1792" s="670" t="str">
        <f>IFERROR(IF(CURRENCY.FORMAT_1=0,CONCATENATE(TEXT(FIXED(ROUND((C1792/EXC.RATE_1),CURRENCY.FORMAT_1),CURRENCY.FORMAT_1,1),"# ##0;-# ##0"),",-"),FIXED(ROUND((C1792/EXC.RATE_1),CURRENCY.FORMAT_1),CURRENCY.FORMAT_1,0)),'DICTIONARY-5'!$A$2)</f>
        <v>190,-</v>
      </c>
      <c r="K1792" s="670" t="str">
        <f>IF(EXC.RATE_2=0,"",IFERROR(IF(CURRENCY.FORMAT_2=0,CONCATENATE(TEXT(FIXED(ROUND(IF(EXC.RATE.SWITCH=1,C1792/EXC.RATE_2,C1792*EXC.RATE_2),CURRENCY.FORMAT_2),CURRENCY.FORMAT_2,1),"# ##0;-# ##0"),",-"),FIXED(ROUND(IF(EXC.RATE.SWITCH=1,C1792/EXC.RATE_2,C1792*EXC.RATE_2),CURRENCY.FORMAT_2),CURRENCY.FORMAT_2,0)),'DICTIONARY-5'!$A$2))</f>
        <v/>
      </c>
      <c r="L1792" s="670" t="str">
        <f>IFERROR(IF(CURRENCY.FORMAT_1=0,CONCATENATE(TEXT(FIXED(ROUND((C1792*(1-I1792)*(1-ADD.DISCOUNT)*(1+MAT.SURCHARGE)/EXC.RATE_1),CURRENCY.FORMAT_1),CURRENCY.FORMAT_1,1),"# ##0;-# ##0"),",-"),FIXED(ROUND((C1792*(1-I1792)*(1-ADD.DISCOUNT)*(1+MAT.SURCHARGE)/EXC.RATE_1),CURRENCY.FORMAT_1),CURRENCY.FORMAT_1,0)),'DICTIONARY-5'!$A$2)</f>
        <v>197,-</v>
      </c>
      <c r="M1792" s="670" t="str">
        <f>IF(EXC.RATE_2=0,"",IFERROR(IF(CURRENCY.FORMAT_2=0,CONCATENATE(TEXT(FIXED(ROUND(IF(EXC.RATE.SWITCH=1,C1792*(1-I1792)*(1-ADD.DISCOUNT)*(1+MAT.SURCHARGE)/EXC.RATE_2,C1792*(1-I1792)*(1-ADD.DISCOUNT)*(1+MAT.SURCHARGE)*EXC.RATE_2),CURRENCY.FORMAT_2),CURRENCY.FORMAT_2,1),"# ##0;-# ##0"),",-"),FIXED(ROUND(IF(EXC.RATE.SWITCH=1,C1792*(1-I1792)*(1-ADD.DISCOUNT)*(1+MAT.SURCHARGE)/EXC.RATE_2,C1792*(1-I1792)*(1-ADD.DISCOUNT)*(1+MAT.SURCHARGE)*EXC.RATE_2),CURRENCY.FORMAT_2),CURRENCY.FORMAT_2,0)),'DICTIONARY-5'!$A$2))</f>
        <v/>
      </c>
      <c r="N1792" s="541">
        <v>6</v>
      </c>
      <c r="O1792" s="654" t="s">
        <v>7363</v>
      </c>
      <c r="P1792" s="731" t="str">
        <f>'DICTIONARY-3'!$A$148</f>
        <v>CEREX 300-L</v>
      </c>
      <c r="Q1792" s="731" t="str">
        <f>'DICTIONARY-3'!$A$204</f>
        <v>Przepustnica kołnierzowa</v>
      </c>
      <c r="R1792" s="732" t="str">
        <f>CONCATENATE('DICTIONARY-3'!$A$148," ",'DICTIONARY-6'!$A$2," ",'DICTIONARY-2'!$A$2,"80"," ",'DICTIONARY-2'!$A$3,"10/16"," ",'DICTIONARY-5'!$A$37,"/",'DICTIONARY-5'!$A$44,", ",'DICTIONARY-4'!$A$2)</f>
        <v>CEREX 300-L Przep. kołnierz. DN80 PN10/16 CF8M/EPDM, WW</v>
      </c>
      <c r="S1792" s="733" t="str">
        <f>'DICTIONARY-4'!$A$2</f>
        <v>WW</v>
      </c>
      <c r="T1792" s="732" t="str">
        <f>'DICTIONARY-4'!$A$18</f>
        <v>Wolny wałek</v>
      </c>
      <c r="U1792" s="734" t="s">
        <v>5760</v>
      </c>
      <c r="V1792" s="735">
        <v>16</v>
      </c>
      <c r="W1792" s="736"/>
      <c r="X1792" s="737"/>
      <c r="Y1792" s="738"/>
      <c r="Z1792" s="739"/>
      <c r="AA1792" s="739"/>
      <c r="AB1792" s="740">
        <v>16</v>
      </c>
      <c r="AC1792" s="741" t="str">
        <f>'DICTIONARY-5'!$A$11&amp;" 20"</f>
        <v>EN 558 szereg 20</v>
      </c>
      <c r="AD1792" s="741" t="str">
        <f>'DICTIONARY-5'!$A$13</f>
        <v>woda pitna</v>
      </c>
      <c r="AE1792" s="742">
        <v>110</v>
      </c>
      <c r="AF1792" s="743">
        <v>5</v>
      </c>
      <c r="AG1792" s="741" t="str">
        <f>'DICTIONARY-5'!$A$23</f>
        <v>powłoka epoksydowa</v>
      </c>
    </row>
    <row r="1793" spans="1:33" x14ac:dyDescent="0.25">
      <c r="A1793" s="844" t="s">
        <v>5184</v>
      </c>
      <c r="B1793" s="844" t="s">
        <v>5384</v>
      </c>
      <c r="C1793" s="836">
        <v>214</v>
      </c>
      <c r="D1793" s="836"/>
      <c r="E1793" s="836"/>
      <c r="F1793" s="836"/>
      <c r="G1793" s="496" t="s">
        <v>7832</v>
      </c>
      <c r="H1793" s="797" t="str">
        <f>VLOOKUP(G1793,SETTINGS!$B$7:$D$97,2,0)</f>
        <v>CEREX 300</v>
      </c>
      <c r="I1793" s="796">
        <f>VLOOKUP(G1793,SETTINGS!$B$7:$D$97,3,0)</f>
        <v>0</v>
      </c>
      <c r="J1793" s="670" t="str">
        <f>IFERROR(IF(CURRENCY.FORMAT_1=0,CONCATENATE(TEXT(FIXED(ROUND((C1793/EXC.RATE_1),CURRENCY.FORMAT_1),CURRENCY.FORMAT_1,1),"# ##0;-# ##0"),",-"),FIXED(ROUND((C1793/EXC.RATE_1),CURRENCY.FORMAT_1),CURRENCY.FORMAT_1,0)),'DICTIONARY-5'!$A$2)</f>
        <v>214,-</v>
      </c>
      <c r="K1793" s="670" t="str">
        <f>IF(EXC.RATE_2=0,"",IFERROR(IF(CURRENCY.FORMAT_2=0,CONCATENATE(TEXT(FIXED(ROUND(IF(EXC.RATE.SWITCH=1,C1793/EXC.RATE_2,C1793*EXC.RATE_2),CURRENCY.FORMAT_2),CURRENCY.FORMAT_2,1),"# ##0;-# ##0"),",-"),FIXED(ROUND(IF(EXC.RATE.SWITCH=1,C1793/EXC.RATE_2,C1793*EXC.RATE_2),CURRENCY.FORMAT_2),CURRENCY.FORMAT_2,0)),'DICTIONARY-5'!$A$2))</f>
        <v/>
      </c>
      <c r="L1793" s="670" t="str">
        <f>IFERROR(IF(CURRENCY.FORMAT_1=0,CONCATENATE(TEXT(FIXED(ROUND((C1793*(1-I1793)*(1-ADD.DISCOUNT)*(1+MAT.SURCHARGE)/EXC.RATE_1),CURRENCY.FORMAT_1),CURRENCY.FORMAT_1,1),"# ##0;-# ##0"),",-"),FIXED(ROUND((C1793*(1-I1793)*(1-ADD.DISCOUNT)*(1+MAT.SURCHARGE)/EXC.RATE_1),CURRENCY.FORMAT_1),CURRENCY.FORMAT_1,0)),'DICTIONARY-5'!$A$2)</f>
        <v>222,-</v>
      </c>
      <c r="M1793" s="670" t="str">
        <f>IF(EXC.RATE_2=0,"",IFERROR(IF(CURRENCY.FORMAT_2=0,CONCATENATE(TEXT(FIXED(ROUND(IF(EXC.RATE.SWITCH=1,C1793*(1-I1793)*(1-ADD.DISCOUNT)*(1+MAT.SURCHARGE)/EXC.RATE_2,C1793*(1-I1793)*(1-ADD.DISCOUNT)*(1+MAT.SURCHARGE)*EXC.RATE_2),CURRENCY.FORMAT_2),CURRENCY.FORMAT_2,1),"# ##0;-# ##0"),",-"),FIXED(ROUND(IF(EXC.RATE.SWITCH=1,C1793*(1-I1793)*(1-ADD.DISCOUNT)*(1+MAT.SURCHARGE)/EXC.RATE_2,C1793*(1-I1793)*(1-ADD.DISCOUNT)*(1+MAT.SURCHARGE)*EXC.RATE_2),CURRENCY.FORMAT_2),CURRENCY.FORMAT_2,0)),'DICTIONARY-5'!$A$2))</f>
        <v/>
      </c>
      <c r="N1793" s="541">
        <v>6</v>
      </c>
      <c r="O1793" s="654" t="s">
        <v>7363</v>
      </c>
      <c r="P1793" s="731" t="str">
        <f>'DICTIONARY-3'!$A$148</f>
        <v>CEREX 300-L</v>
      </c>
      <c r="Q1793" s="731" t="str">
        <f>'DICTIONARY-3'!$A$204</f>
        <v>Przepustnica kołnierzowa</v>
      </c>
      <c r="R1793" s="732" t="str">
        <f>CONCATENATE('DICTIONARY-3'!$A$148," ",'DICTIONARY-6'!$A$2," ",'DICTIONARY-2'!$A$2,"100"," ",'DICTIONARY-2'!$A$3,"10/16"," ",'DICTIONARY-5'!$A$37,"/",'DICTIONARY-5'!$A$44,", ",'DICTIONARY-4'!$A$2)</f>
        <v>CEREX 300-L Przep. kołnierz. DN100 PN10/16 CF8M/EPDM, WW</v>
      </c>
      <c r="S1793" s="733" t="str">
        <f>'DICTIONARY-4'!$A$2</f>
        <v>WW</v>
      </c>
      <c r="T1793" s="732" t="str">
        <f>'DICTIONARY-4'!$A$18</f>
        <v>Wolny wałek</v>
      </c>
      <c r="U1793" s="734" t="s">
        <v>5749</v>
      </c>
      <c r="V1793" s="735">
        <v>16</v>
      </c>
      <c r="W1793" s="736"/>
      <c r="X1793" s="737"/>
      <c r="Y1793" s="738"/>
      <c r="Z1793" s="739"/>
      <c r="AA1793" s="739"/>
      <c r="AB1793" s="740">
        <v>16</v>
      </c>
      <c r="AC1793" s="741" t="str">
        <f>'DICTIONARY-5'!$A$11&amp;" 20"</f>
        <v>EN 558 szereg 20</v>
      </c>
      <c r="AD1793" s="741" t="str">
        <f>'DICTIONARY-5'!$A$13</f>
        <v>woda pitna</v>
      </c>
      <c r="AE1793" s="742">
        <v>110</v>
      </c>
      <c r="AF1793" s="743">
        <v>7.5</v>
      </c>
      <c r="AG1793" s="741" t="str">
        <f>'DICTIONARY-5'!$A$23</f>
        <v>powłoka epoksydowa</v>
      </c>
    </row>
    <row r="1794" spans="1:33" x14ac:dyDescent="0.25">
      <c r="A1794" s="844" t="s">
        <v>5186</v>
      </c>
      <c r="B1794" s="844" t="s">
        <v>5385</v>
      </c>
      <c r="C1794" s="836">
        <v>261</v>
      </c>
      <c r="D1794" s="836"/>
      <c r="E1794" s="836"/>
      <c r="F1794" s="836"/>
      <c r="G1794" s="496" t="s">
        <v>7832</v>
      </c>
      <c r="H1794" s="797" t="str">
        <f>VLOOKUP(G1794,SETTINGS!$B$7:$D$97,2,0)</f>
        <v>CEREX 300</v>
      </c>
      <c r="I1794" s="796">
        <f>VLOOKUP(G1794,SETTINGS!$B$7:$D$97,3,0)</f>
        <v>0</v>
      </c>
      <c r="J1794" s="670" t="str">
        <f>IFERROR(IF(CURRENCY.FORMAT_1=0,CONCATENATE(TEXT(FIXED(ROUND((C1794/EXC.RATE_1),CURRENCY.FORMAT_1),CURRENCY.FORMAT_1,1),"# ##0;-# ##0"),",-"),FIXED(ROUND((C1794/EXC.RATE_1),CURRENCY.FORMAT_1),CURRENCY.FORMAT_1,0)),'DICTIONARY-5'!$A$2)</f>
        <v>261,-</v>
      </c>
      <c r="K1794" s="670" t="str">
        <f>IF(EXC.RATE_2=0,"",IFERROR(IF(CURRENCY.FORMAT_2=0,CONCATENATE(TEXT(FIXED(ROUND(IF(EXC.RATE.SWITCH=1,C1794/EXC.RATE_2,C1794*EXC.RATE_2),CURRENCY.FORMAT_2),CURRENCY.FORMAT_2,1),"# ##0;-# ##0"),",-"),FIXED(ROUND(IF(EXC.RATE.SWITCH=1,C1794/EXC.RATE_2,C1794*EXC.RATE_2),CURRENCY.FORMAT_2),CURRENCY.FORMAT_2,0)),'DICTIONARY-5'!$A$2))</f>
        <v/>
      </c>
      <c r="L1794" s="670" t="str">
        <f>IFERROR(IF(CURRENCY.FORMAT_1=0,CONCATENATE(TEXT(FIXED(ROUND((C1794*(1-I1794)*(1-ADD.DISCOUNT)*(1+MAT.SURCHARGE)/EXC.RATE_1),CURRENCY.FORMAT_1),CURRENCY.FORMAT_1,1),"# ##0;-# ##0"),",-"),FIXED(ROUND((C1794*(1-I1794)*(1-ADD.DISCOUNT)*(1+MAT.SURCHARGE)/EXC.RATE_1),CURRENCY.FORMAT_1),CURRENCY.FORMAT_1,0)),'DICTIONARY-5'!$A$2)</f>
        <v>271,-</v>
      </c>
      <c r="M1794" s="670" t="str">
        <f>IF(EXC.RATE_2=0,"",IFERROR(IF(CURRENCY.FORMAT_2=0,CONCATENATE(TEXT(FIXED(ROUND(IF(EXC.RATE.SWITCH=1,C1794*(1-I1794)*(1-ADD.DISCOUNT)*(1+MAT.SURCHARGE)/EXC.RATE_2,C1794*(1-I1794)*(1-ADD.DISCOUNT)*(1+MAT.SURCHARGE)*EXC.RATE_2),CURRENCY.FORMAT_2),CURRENCY.FORMAT_2,1),"# ##0;-# ##0"),",-"),FIXED(ROUND(IF(EXC.RATE.SWITCH=1,C1794*(1-I1794)*(1-ADD.DISCOUNT)*(1+MAT.SURCHARGE)/EXC.RATE_2,C1794*(1-I1794)*(1-ADD.DISCOUNT)*(1+MAT.SURCHARGE)*EXC.RATE_2),CURRENCY.FORMAT_2),CURRENCY.FORMAT_2,0)),'DICTIONARY-5'!$A$2))</f>
        <v/>
      </c>
      <c r="N1794" s="541">
        <v>6</v>
      </c>
      <c r="O1794" s="654" t="s">
        <v>7363</v>
      </c>
      <c r="P1794" s="731" t="str">
        <f>'DICTIONARY-3'!$A$148</f>
        <v>CEREX 300-L</v>
      </c>
      <c r="Q1794" s="731" t="str">
        <f>'DICTIONARY-3'!$A$204</f>
        <v>Przepustnica kołnierzowa</v>
      </c>
      <c r="R1794" s="732" t="str">
        <f>CONCATENATE('DICTIONARY-3'!$A$148," ",'DICTIONARY-6'!$A$2," ",'DICTIONARY-2'!$A$2,"125"," ",'DICTIONARY-2'!$A$3,"10/16"," ",'DICTIONARY-5'!$A$37,"/",'DICTIONARY-5'!$A$44,", ",'DICTIONARY-4'!$A$2)</f>
        <v>CEREX 300-L Przep. kołnierz. DN125 PN10/16 CF8M/EPDM, WW</v>
      </c>
      <c r="S1794" s="733" t="str">
        <f>'DICTIONARY-4'!$A$2</f>
        <v>WW</v>
      </c>
      <c r="T1794" s="732" t="str">
        <f>'DICTIONARY-4'!$A$18</f>
        <v>Wolny wałek</v>
      </c>
      <c r="U1794" s="734" t="s">
        <v>5761</v>
      </c>
      <c r="V1794" s="735">
        <v>16</v>
      </c>
      <c r="W1794" s="736"/>
      <c r="X1794" s="737"/>
      <c r="Y1794" s="738"/>
      <c r="Z1794" s="739"/>
      <c r="AA1794" s="739"/>
      <c r="AB1794" s="740">
        <v>16</v>
      </c>
      <c r="AC1794" s="741" t="str">
        <f>'DICTIONARY-5'!$A$11&amp;" 20"</f>
        <v>EN 558 szereg 20</v>
      </c>
      <c r="AD1794" s="741" t="str">
        <f>'DICTIONARY-5'!$A$13</f>
        <v>woda pitna</v>
      </c>
      <c r="AE1794" s="742">
        <v>110</v>
      </c>
      <c r="AF1794" s="743">
        <v>9.5</v>
      </c>
      <c r="AG1794" s="741" t="str">
        <f>'DICTIONARY-5'!$A$23</f>
        <v>powłoka epoksydowa</v>
      </c>
    </row>
    <row r="1795" spans="1:33" x14ac:dyDescent="0.25">
      <c r="A1795" s="844" t="s">
        <v>5188</v>
      </c>
      <c r="B1795" s="844" t="s">
        <v>5386</v>
      </c>
      <c r="C1795" s="836">
        <v>362</v>
      </c>
      <c r="D1795" s="836"/>
      <c r="E1795" s="836"/>
      <c r="F1795" s="836"/>
      <c r="G1795" s="496" t="s">
        <v>7832</v>
      </c>
      <c r="H1795" s="797" t="str">
        <f>VLOOKUP(G1795,SETTINGS!$B$7:$D$97,2,0)</f>
        <v>CEREX 300</v>
      </c>
      <c r="I1795" s="796">
        <f>VLOOKUP(G1795,SETTINGS!$B$7:$D$97,3,0)</f>
        <v>0</v>
      </c>
      <c r="J1795" s="670" t="str">
        <f>IFERROR(IF(CURRENCY.FORMAT_1=0,CONCATENATE(TEXT(FIXED(ROUND((C1795/EXC.RATE_1),CURRENCY.FORMAT_1),CURRENCY.FORMAT_1,1),"# ##0;-# ##0"),",-"),FIXED(ROUND((C1795/EXC.RATE_1),CURRENCY.FORMAT_1),CURRENCY.FORMAT_1,0)),'DICTIONARY-5'!$A$2)</f>
        <v>362,-</v>
      </c>
      <c r="K1795" s="670" t="str">
        <f>IF(EXC.RATE_2=0,"",IFERROR(IF(CURRENCY.FORMAT_2=0,CONCATENATE(TEXT(FIXED(ROUND(IF(EXC.RATE.SWITCH=1,C1795/EXC.RATE_2,C1795*EXC.RATE_2),CURRENCY.FORMAT_2),CURRENCY.FORMAT_2,1),"# ##0;-# ##0"),",-"),FIXED(ROUND(IF(EXC.RATE.SWITCH=1,C1795/EXC.RATE_2,C1795*EXC.RATE_2),CURRENCY.FORMAT_2),CURRENCY.FORMAT_2,0)),'DICTIONARY-5'!$A$2))</f>
        <v/>
      </c>
      <c r="L1795" s="670" t="str">
        <f>IFERROR(IF(CURRENCY.FORMAT_1=0,CONCATENATE(TEXT(FIXED(ROUND((C1795*(1-I1795)*(1-ADD.DISCOUNT)*(1+MAT.SURCHARGE)/EXC.RATE_1),CURRENCY.FORMAT_1),CURRENCY.FORMAT_1,1),"# ##0;-# ##0"),",-"),FIXED(ROUND((C1795*(1-I1795)*(1-ADD.DISCOUNT)*(1+MAT.SURCHARGE)/EXC.RATE_1),CURRENCY.FORMAT_1),CURRENCY.FORMAT_1,0)),'DICTIONARY-5'!$A$2)</f>
        <v>376,-</v>
      </c>
      <c r="M1795" s="670" t="str">
        <f>IF(EXC.RATE_2=0,"",IFERROR(IF(CURRENCY.FORMAT_2=0,CONCATENATE(TEXT(FIXED(ROUND(IF(EXC.RATE.SWITCH=1,C1795*(1-I1795)*(1-ADD.DISCOUNT)*(1+MAT.SURCHARGE)/EXC.RATE_2,C1795*(1-I1795)*(1-ADD.DISCOUNT)*(1+MAT.SURCHARGE)*EXC.RATE_2),CURRENCY.FORMAT_2),CURRENCY.FORMAT_2,1),"# ##0;-# ##0"),",-"),FIXED(ROUND(IF(EXC.RATE.SWITCH=1,C1795*(1-I1795)*(1-ADD.DISCOUNT)*(1+MAT.SURCHARGE)/EXC.RATE_2,C1795*(1-I1795)*(1-ADD.DISCOUNT)*(1+MAT.SURCHARGE)*EXC.RATE_2),CURRENCY.FORMAT_2),CURRENCY.FORMAT_2,0)),'DICTIONARY-5'!$A$2))</f>
        <v/>
      </c>
      <c r="N1795" s="541">
        <v>6</v>
      </c>
      <c r="O1795" s="654" t="s">
        <v>7363</v>
      </c>
      <c r="P1795" s="731" t="str">
        <f>'DICTIONARY-3'!$A$148</f>
        <v>CEREX 300-L</v>
      </c>
      <c r="Q1795" s="731" t="str">
        <f>'DICTIONARY-3'!$A$204</f>
        <v>Przepustnica kołnierzowa</v>
      </c>
      <c r="R1795" s="732" t="str">
        <f>CONCATENATE('DICTIONARY-3'!$A$148," ",'DICTIONARY-6'!$A$2," ",'DICTIONARY-2'!$A$2,"150"," ",'DICTIONARY-2'!$A$3,"10/16"," ",'DICTIONARY-5'!$A$37,"/",'DICTIONARY-5'!$A$44,", ",'DICTIONARY-4'!$A$2)</f>
        <v>CEREX 300-L Przep. kołnierz. DN150 PN10/16 CF8M/EPDM, WW</v>
      </c>
      <c r="S1795" s="733" t="str">
        <f>'DICTIONARY-4'!$A$2</f>
        <v>WW</v>
      </c>
      <c r="T1795" s="732" t="str">
        <f>'DICTIONARY-4'!$A$18</f>
        <v>Wolny wałek</v>
      </c>
      <c r="U1795" s="734" t="s">
        <v>5572</v>
      </c>
      <c r="V1795" s="735">
        <v>16</v>
      </c>
      <c r="W1795" s="736"/>
      <c r="X1795" s="737"/>
      <c r="Y1795" s="738"/>
      <c r="Z1795" s="739"/>
      <c r="AA1795" s="739"/>
      <c r="AB1795" s="740">
        <v>16</v>
      </c>
      <c r="AC1795" s="741" t="str">
        <f>'DICTIONARY-5'!$A$11&amp;" 20"</f>
        <v>EN 558 szereg 20</v>
      </c>
      <c r="AD1795" s="741" t="str">
        <f>'DICTIONARY-5'!$A$13</f>
        <v>woda pitna</v>
      </c>
      <c r="AE1795" s="742">
        <v>110</v>
      </c>
      <c r="AF1795" s="743">
        <v>11.5</v>
      </c>
      <c r="AG1795" s="741" t="str">
        <f>'DICTIONARY-5'!$A$23</f>
        <v>powłoka epoksydowa</v>
      </c>
    </row>
    <row r="1796" spans="1:33" x14ac:dyDescent="0.25">
      <c r="A1796" s="844" t="s">
        <v>5190</v>
      </c>
      <c r="B1796" s="844" t="s">
        <v>5387</v>
      </c>
      <c r="C1796" s="836">
        <v>481</v>
      </c>
      <c r="D1796" s="836"/>
      <c r="E1796" s="836"/>
      <c r="F1796" s="836"/>
      <c r="G1796" s="496" t="s">
        <v>7832</v>
      </c>
      <c r="H1796" s="797" t="str">
        <f>VLOOKUP(G1796,SETTINGS!$B$7:$D$97,2,0)</f>
        <v>CEREX 300</v>
      </c>
      <c r="I1796" s="796">
        <f>VLOOKUP(G1796,SETTINGS!$B$7:$D$97,3,0)</f>
        <v>0</v>
      </c>
      <c r="J1796" s="670" t="str">
        <f>IFERROR(IF(CURRENCY.FORMAT_1=0,CONCATENATE(TEXT(FIXED(ROUND((C1796/EXC.RATE_1),CURRENCY.FORMAT_1),CURRENCY.FORMAT_1,1),"# ##0;-# ##0"),",-"),FIXED(ROUND((C1796/EXC.RATE_1),CURRENCY.FORMAT_1),CURRENCY.FORMAT_1,0)),'DICTIONARY-5'!$A$2)</f>
        <v>481,-</v>
      </c>
      <c r="K1796" s="670" t="str">
        <f>IF(EXC.RATE_2=0,"",IFERROR(IF(CURRENCY.FORMAT_2=0,CONCATENATE(TEXT(FIXED(ROUND(IF(EXC.RATE.SWITCH=1,C1796/EXC.RATE_2,C1796*EXC.RATE_2),CURRENCY.FORMAT_2),CURRENCY.FORMAT_2,1),"# ##0;-# ##0"),",-"),FIXED(ROUND(IF(EXC.RATE.SWITCH=1,C1796/EXC.RATE_2,C1796*EXC.RATE_2),CURRENCY.FORMAT_2),CURRENCY.FORMAT_2,0)),'DICTIONARY-5'!$A$2))</f>
        <v/>
      </c>
      <c r="L1796" s="670" t="str">
        <f>IFERROR(IF(CURRENCY.FORMAT_1=0,CONCATENATE(TEXT(FIXED(ROUND((C1796*(1-I1796)*(1-ADD.DISCOUNT)*(1+MAT.SURCHARGE)/EXC.RATE_1),CURRENCY.FORMAT_1),CURRENCY.FORMAT_1,1),"# ##0;-# ##0"),",-"),FIXED(ROUND((C1796*(1-I1796)*(1-ADD.DISCOUNT)*(1+MAT.SURCHARGE)/EXC.RATE_1),CURRENCY.FORMAT_1),CURRENCY.FORMAT_1,0)),'DICTIONARY-5'!$A$2)</f>
        <v>500,-</v>
      </c>
      <c r="M1796" s="670" t="str">
        <f>IF(EXC.RATE_2=0,"",IFERROR(IF(CURRENCY.FORMAT_2=0,CONCATENATE(TEXT(FIXED(ROUND(IF(EXC.RATE.SWITCH=1,C1796*(1-I1796)*(1-ADD.DISCOUNT)*(1+MAT.SURCHARGE)/EXC.RATE_2,C1796*(1-I1796)*(1-ADD.DISCOUNT)*(1+MAT.SURCHARGE)*EXC.RATE_2),CURRENCY.FORMAT_2),CURRENCY.FORMAT_2,1),"# ##0;-# ##0"),",-"),FIXED(ROUND(IF(EXC.RATE.SWITCH=1,C1796*(1-I1796)*(1-ADD.DISCOUNT)*(1+MAT.SURCHARGE)/EXC.RATE_2,C1796*(1-I1796)*(1-ADD.DISCOUNT)*(1+MAT.SURCHARGE)*EXC.RATE_2),CURRENCY.FORMAT_2),CURRENCY.FORMAT_2,0)),'DICTIONARY-5'!$A$2))</f>
        <v/>
      </c>
      <c r="N1796" s="541">
        <v>6</v>
      </c>
      <c r="O1796" s="654" t="s">
        <v>7363</v>
      </c>
      <c r="P1796" s="731" t="str">
        <f>'DICTIONARY-3'!$A$148</f>
        <v>CEREX 300-L</v>
      </c>
      <c r="Q1796" s="731" t="str">
        <f>'DICTIONARY-3'!$A$204</f>
        <v>Przepustnica kołnierzowa</v>
      </c>
      <c r="R1796" s="732" t="str">
        <f>CONCATENATE('DICTIONARY-3'!$A$148," ",'DICTIONARY-6'!$A$2," ",'DICTIONARY-2'!$A$2,"200"," ",'DICTIONARY-2'!$A$3,"10"," ",'DICTIONARY-5'!$A$37,"/",'DICTIONARY-5'!$A$44,", ",'DICTIONARY-4'!$A$2)</f>
        <v>CEREX 300-L Przep. kołnierz. DN200 PN10 CF8M/EPDM, WW</v>
      </c>
      <c r="S1796" s="733" t="str">
        <f>'DICTIONARY-4'!$A$2</f>
        <v>WW</v>
      </c>
      <c r="T1796" s="732" t="str">
        <f>'DICTIONARY-4'!$A$18</f>
        <v>Wolny wałek</v>
      </c>
      <c r="U1796" s="734" t="s">
        <v>5750</v>
      </c>
      <c r="V1796" s="735">
        <v>10</v>
      </c>
      <c r="W1796" s="736"/>
      <c r="X1796" s="737"/>
      <c r="Y1796" s="738"/>
      <c r="Z1796" s="739"/>
      <c r="AA1796" s="739"/>
      <c r="AB1796" s="740">
        <v>10</v>
      </c>
      <c r="AC1796" s="741" t="str">
        <f>'DICTIONARY-5'!$A$11&amp;" 20"</f>
        <v>EN 558 szereg 20</v>
      </c>
      <c r="AD1796" s="741" t="str">
        <f>'DICTIONARY-5'!$A$13</f>
        <v>woda pitna</v>
      </c>
      <c r="AE1796" s="742">
        <v>110</v>
      </c>
      <c r="AF1796" s="743">
        <v>17</v>
      </c>
      <c r="AG1796" s="741" t="str">
        <f>'DICTIONARY-5'!$A$23</f>
        <v>powłoka epoksydowa</v>
      </c>
    </row>
    <row r="1797" spans="1:33" x14ac:dyDescent="0.25">
      <c r="A1797" s="844" t="s">
        <v>5192</v>
      </c>
      <c r="B1797" s="844" t="s">
        <v>5388</v>
      </c>
      <c r="C1797" s="836">
        <v>526</v>
      </c>
      <c r="D1797" s="836"/>
      <c r="E1797" s="836"/>
      <c r="F1797" s="836"/>
      <c r="G1797" s="496" t="s">
        <v>7832</v>
      </c>
      <c r="H1797" s="797" t="str">
        <f>VLOOKUP(G1797,SETTINGS!$B$7:$D$97,2,0)</f>
        <v>CEREX 300</v>
      </c>
      <c r="I1797" s="796">
        <f>VLOOKUP(G1797,SETTINGS!$B$7:$D$97,3,0)</f>
        <v>0</v>
      </c>
      <c r="J1797" s="670" t="str">
        <f>IFERROR(IF(CURRENCY.FORMAT_1=0,CONCATENATE(TEXT(FIXED(ROUND((C1797/EXC.RATE_1),CURRENCY.FORMAT_1),CURRENCY.FORMAT_1,1),"# ##0;-# ##0"),",-"),FIXED(ROUND((C1797/EXC.RATE_1),CURRENCY.FORMAT_1),CURRENCY.FORMAT_1,0)),'DICTIONARY-5'!$A$2)</f>
        <v>526,-</v>
      </c>
      <c r="K1797" s="670" t="str">
        <f>IF(EXC.RATE_2=0,"",IFERROR(IF(CURRENCY.FORMAT_2=0,CONCATENATE(TEXT(FIXED(ROUND(IF(EXC.RATE.SWITCH=1,C1797/EXC.RATE_2,C1797*EXC.RATE_2),CURRENCY.FORMAT_2),CURRENCY.FORMAT_2,1),"# ##0;-# ##0"),",-"),FIXED(ROUND(IF(EXC.RATE.SWITCH=1,C1797/EXC.RATE_2,C1797*EXC.RATE_2),CURRENCY.FORMAT_2),CURRENCY.FORMAT_2,0)),'DICTIONARY-5'!$A$2))</f>
        <v/>
      </c>
      <c r="L1797" s="670" t="str">
        <f>IFERROR(IF(CURRENCY.FORMAT_1=0,CONCATENATE(TEXT(FIXED(ROUND((C1797*(1-I1797)*(1-ADD.DISCOUNT)*(1+MAT.SURCHARGE)/EXC.RATE_1),CURRENCY.FORMAT_1),CURRENCY.FORMAT_1,1),"# ##0;-# ##0"),",-"),FIXED(ROUND((C1797*(1-I1797)*(1-ADD.DISCOUNT)*(1+MAT.SURCHARGE)/EXC.RATE_1),CURRENCY.FORMAT_1),CURRENCY.FORMAT_1,0)),'DICTIONARY-5'!$A$2)</f>
        <v>547,-</v>
      </c>
      <c r="M1797" s="670" t="str">
        <f>IF(EXC.RATE_2=0,"",IFERROR(IF(CURRENCY.FORMAT_2=0,CONCATENATE(TEXT(FIXED(ROUND(IF(EXC.RATE.SWITCH=1,C1797*(1-I1797)*(1-ADD.DISCOUNT)*(1+MAT.SURCHARGE)/EXC.RATE_2,C1797*(1-I1797)*(1-ADD.DISCOUNT)*(1+MAT.SURCHARGE)*EXC.RATE_2),CURRENCY.FORMAT_2),CURRENCY.FORMAT_2,1),"# ##0;-# ##0"),",-"),FIXED(ROUND(IF(EXC.RATE.SWITCH=1,C1797*(1-I1797)*(1-ADD.DISCOUNT)*(1+MAT.SURCHARGE)/EXC.RATE_2,C1797*(1-I1797)*(1-ADD.DISCOUNT)*(1+MAT.SURCHARGE)*EXC.RATE_2),CURRENCY.FORMAT_2),CURRENCY.FORMAT_2,0)),'DICTIONARY-5'!$A$2))</f>
        <v/>
      </c>
      <c r="N1797" s="541">
        <v>6</v>
      </c>
      <c r="O1797" s="654" t="s">
        <v>7363</v>
      </c>
      <c r="P1797" s="731" t="str">
        <f>'DICTIONARY-3'!$A$148</f>
        <v>CEREX 300-L</v>
      </c>
      <c r="Q1797" s="731" t="str">
        <f>'DICTIONARY-3'!$A$204</f>
        <v>Przepustnica kołnierzowa</v>
      </c>
      <c r="R1797" s="732" t="str">
        <f>CONCATENATE('DICTIONARY-3'!$A$148," ",'DICTIONARY-6'!$A$2," ",'DICTIONARY-2'!$A$2,"200"," ",'DICTIONARY-2'!$A$3,"16"," ",'DICTIONARY-5'!$A$37,"/",'DICTIONARY-5'!$A$44,", ",'DICTIONARY-4'!$A$2)</f>
        <v>CEREX 300-L Przep. kołnierz. DN200 PN16 CF8M/EPDM, WW</v>
      </c>
      <c r="S1797" s="733" t="str">
        <f>'DICTIONARY-4'!$A$2</f>
        <v>WW</v>
      </c>
      <c r="T1797" s="732" t="str">
        <f>'DICTIONARY-4'!$A$18</f>
        <v>Wolny wałek</v>
      </c>
      <c r="U1797" s="734" t="s">
        <v>5750</v>
      </c>
      <c r="V1797" s="735">
        <v>16</v>
      </c>
      <c r="W1797" s="736"/>
      <c r="X1797" s="737"/>
      <c r="Y1797" s="738"/>
      <c r="Z1797" s="739"/>
      <c r="AA1797" s="739"/>
      <c r="AB1797" s="740">
        <v>16</v>
      </c>
      <c r="AC1797" s="741" t="str">
        <f>'DICTIONARY-5'!$A$11&amp;" 20"</f>
        <v>EN 558 szereg 20</v>
      </c>
      <c r="AD1797" s="741" t="str">
        <f>'DICTIONARY-5'!$A$13</f>
        <v>woda pitna</v>
      </c>
      <c r="AE1797" s="742">
        <v>110</v>
      </c>
      <c r="AF1797" s="743">
        <v>19</v>
      </c>
      <c r="AG1797" s="741" t="str">
        <f>'DICTIONARY-5'!$A$23</f>
        <v>powłoka epoksydowa</v>
      </c>
    </row>
    <row r="1798" spans="1:33" x14ac:dyDescent="0.25">
      <c r="A1798" s="844" t="s">
        <v>5194</v>
      </c>
      <c r="B1798" s="844" t="s">
        <v>5389</v>
      </c>
      <c r="C1798" s="836">
        <v>654</v>
      </c>
      <c r="D1798" s="836"/>
      <c r="E1798" s="836"/>
      <c r="F1798" s="836"/>
      <c r="G1798" s="496" t="s">
        <v>7832</v>
      </c>
      <c r="H1798" s="797" t="str">
        <f>VLOOKUP(G1798,SETTINGS!$B$7:$D$97,2,0)</f>
        <v>CEREX 300</v>
      </c>
      <c r="I1798" s="796">
        <f>VLOOKUP(G1798,SETTINGS!$B$7:$D$97,3,0)</f>
        <v>0</v>
      </c>
      <c r="J1798" s="670" t="str">
        <f>IFERROR(IF(CURRENCY.FORMAT_1=0,CONCATENATE(TEXT(FIXED(ROUND((C1798/EXC.RATE_1),CURRENCY.FORMAT_1),CURRENCY.FORMAT_1,1),"# ##0;-# ##0"),",-"),FIXED(ROUND((C1798/EXC.RATE_1),CURRENCY.FORMAT_1),CURRENCY.FORMAT_1,0)),'DICTIONARY-5'!$A$2)</f>
        <v>654,-</v>
      </c>
      <c r="K1798" s="670" t="str">
        <f>IF(EXC.RATE_2=0,"",IFERROR(IF(CURRENCY.FORMAT_2=0,CONCATENATE(TEXT(FIXED(ROUND(IF(EXC.RATE.SWITCH=1,C1798/EXC.RATE_2,C1798*EXC.RATE_2),CURRENCY.FORMAT_2),CURRENCY.FORMAT_2,1),"# ##0;-# ##0"),",-"),FIXED(ROUND(IF(EXC.RATE.SWITCH=1,C1798/EXC.RATE_2,C1798*EXC.RATE_2),CURRENCY.FORMAT_2),CURRENCY.FORMAT_2,0)),'DICTIONARY-5'!$A$2))</f>
        <v/>
      </c>
      <c r="L1798" s="670" t="str">
        <f>IFERROR(IF(CURRENCY.FORMAT_1=0,CONCATENATE(TEXT(FIXED(ROUND((C1798*(1-I1798)*(1-ADD.DISCOUNT)*(1+MAT.SURCHARGE)/EXC.RATE_1),CURRENCY.FORMAT_1),CURRENCY.FORMAT_1,1),"# ##0;-# ##0"),",-"),FIXED(ROUND((C1798*(1-I1798)*(1-ADD.DISCOUNT)*(1+MAT.SURCHARGE)/EXC.RATE_1),CURRENCY.FORMAT_1),CURRENCY.FORMAT_1,0)),'DICTIONARY-5'!$A$2)</f>
        <v>680,-</v>
      </c>
      <c r="M1798" s="670" t="str">
        <f>IF(EXC.RATE_2=0,"",IFERROR(IF(CURRENCY.FORMAT_2=0,CONCATENATE(TEXT(FIXED(ROUND(IF(EXC.RATE.SWITCH=1,C1798*(1-I1798)*(1-ADD.DISCOUNT)*(1+MAT.SURCHARGE)/EXC.RATE_2,C1798*(1-I1798)*(1-ADD.DISCOUNT)*(1+MAT.SURCHARGE)*EXC.RATE_2),CURRENCY.FORMAT_2),CURRENCY.FORMAT_2,1),"# ##0;-# ##0"),",-"),FIXED(ROUND(IF(EXC.RATE.SWITCH=1,C1798*(1-I1798)*(1-ADD.DISCOUNT)*(1+MAT.SURCHARGE)/EXC.RATE_2,C1798*(1-I1798)*(1-ADD.DISCOUNT)*(1+MAT.SURCHARGE)*EXC.RATE_2),CURRENCY.FORMAT_2),CURRENCY.FORMAT_2,0)),'DICTIONARY-5'!$A$2))</f>
        <v/>
      </c>
      <c r="N1798" s="541">
        <v>6</v>
      </c>
      <c r="O1798" s="654" t="s">
        <v>7363</v>
      </c>
      <c r="P1798" s="731" t="str">
        <f>'DICTIONARY-3'!$A$148</f>
        <v>CEREX 300-L</v>
      </c>
      <c r="Q1798" s="731" t="str">
        <f>'DICTIONARY-3'!$A$204</f>
        <v>Przepustnica kołnierzowa</v>
      </c>
      <c r="R1798" s="732" t="str">
        <f>CONCATENATE('DICTIONARY-3'!$A$148," ",'DICTIONARY-6'!$A$2," ",'DICTIONARY-2'!$A$2,"250"," ",'DICTIONARY-2'!$A$3,"10"," ",'DICTIONARY-5'!$A$37,"/",'DICTIONARY-5'!$A$44,", ",'DICTIONARY-4'!$A$2)</f>
        <v>CEREX 300-L Przep. kołnierz. DN250 PN10 CF8M/EPDM, WW</v>
      </c>
      <c r="S1798" s="733" t="str">
        <f>'DICTIONARY-4'!$A$2</f>
        <v>WW</v>
      </c>
      <c r="T1798" s="732" t="str">
        <f>'DICTIONARY-4'!$A$18</f>
        <v>Wolny wałek</v>
      </c>
      <c r="U1798" s="734" t="s">
        <v>5751</v>
      </c>
      <c r="V1798" s="735">
        <v>10</v>
      </c>
      <c r="W1798" s="736"/>
      <c r="X1798" s="737"/>
      <c r="Y1798" s="738"/>
      <c r="Z1798" s="739"/>
      <c r="AA1798" s="739"/>
      <c r="AB1798" s="740">
        <v>10</v>
      </c>
      <c r="AC1798" s="741" t="str">
        <f>'DICTIONARY-5'!$A$11&amp;" 20"</f>
        <v>EN 558 szereg 20</v>
      </c>
      <c r="AD1798" s="741" t="str">
        <f>'DICTIONARY-5'!$A$13</f>
        <v>woda pitna</v>
      </c>
      <c r="AE1798" s="742">
        <v>110</v>
      </c>
      <c r="AF1798" s="743">
        <v>28</v>
      </c>
      <c r="AG1798" s="741" t="str">
        <f>'DICTIONARY-5'!$A$23</f>
        <v>powłoka epoksydowa</v>
      </c>
    </row>
    <row r="1799" spans="1:33" x14ac:dyDescent="0.25">
      <c r="A1799" s="844" t="s">
        <v>5196</v>
      </c>
      <c r="B1799" s="844" t="s">
        <v>5390</v>
      </c>
      <c r="C1799" s="836">
        <v>661</v>
      </c>
      <c r="D1799" s="836"/>
      <c r="E1799" s="836"/>
      <c r="F1799" s="836"/>
      <c r="G1799" s="496" t="s">
        <v>7832</v>
      </c>
      <c r="H1799" s="797" t="str">
        <f>VLOOKUP(G1799,SETTINGS!$B$7:$D$97,2,0)</f>
        <v>CEREX 300</v>
      </c>
      <c r="I1799" s="796">
        <f>VLOOKUP(G1799,SETTINGS!$B$7:$D$97,3,0)</f>
        <v>0</v>
      </c>
      <c r="J1799" s="670" t="str">
        <f>IFERROR(IF(CURRENCY.FORMAT_1=0,CONCATENATE(TEXT(FIXED(ROUND((C1799/EXC.RATE_1),CURRENCY.FORMAT_1),CURRENCY.FORMAT_1,1),"# ##0;-# ##0"),",-"),FIXED(ROUND((C1799/EXC.RATE_1),CURRENCY.FORMAT_1),CURRENCY.FORMAT_1,0)),'DICTIONARY-5'!$A$2)</f>
        <v>661,-</v>
      </c>
      <c r="K1799" s="670" t="str">
        <f>IF(EXC.RATE_2=0,"",IFERROR(IF(CURRENCY.FORMAT_2=0,CONCATENATE(TEXT(FIXED(ROUND(IF(EXC.RATE.SWITCH=1,C1799/EXC.RATE_2,C1799*EXC.RATE_2),CURRENCY.FORMAT_2),CURRENCY.FORMAT_2,1),"# ##0;-# ##0"),",-"),FIXED(ROUND(IF(EXC.RATE.SWITCH=1,C1799/EXC.RATE_2,C1799*EXC.RATE_2),CURRENCY.FORMAT_2),CURRENCY.FORMAT_2,0)),'DICTIONARY-5'!$A$2))</f>
        <v/>
      </c>
      <c r="L1799" s="670" t="str">
        <f>IFERROR(IF(CURRENCY.FORMAT_1=0,CONCATENATE(TEXT(FIXED(ROUND((C1799*(1-I1799)*(1-ADD.DISCOUNT)*(1+MAT.SURCHARGE)/EXC.RATE_1),CURRENCY.FORMAT_1),CURRENCY.FORMAT_1,1),"# ##0;-# ##0"),",-"),FIXED(ROUND((C1799*(1-I1799)*(1-ADD.DISCOUNT)*(1+MAT.SURCHARGE)/EXC.RATE_1),CURRENCY.FORMAT_1),CURRENCY.FORMAT_1,0)),'DICTIONARY-5'!$A$2)</f>
        <v>687,-</v>
      </c>
      <c r="M1799" s="670" t="str">
        <f>IF(EXC.RATE_2=0,"",IFERROR(IF(CURRENCY.FORMAT_2=0,CONCATENATE(TEXT(FIXED(ROUND(IF(EXC.RATE.SWITCH=1,C1799*(1-I1799)*(1-ADD.DISCOUNT)*(1+MAT.SURCHARGE)/EXC.RATE_2,C1799*(1-I1799)*(1-ADD.DISCOUNT)*(1+MAT.SURCHARGE)*EXC.RATE_2),CURRENCY.FORMAT_2),CURRENCY.FORMAT_2,1),"# ##0;-# ##0"),",-"),FIXED(ROUND(IF(EXC.RATE.SWITCH=1,C1799*(1-I1799)*(1-ADD.DISCOUNT)*(1+MAT.SURCHARGE)/EXC.RATE_2,C1799*(1-I1799)*(1-ADD.DISCOUNT)*(1+MAT.SURCHARGE)*EXC.RATE_2),CURRENCY.FORMAT_2),CURRENCY.FORMAT_2,0)),'DICTIONARY-5'!$A$2))</f>
        <v/>
      </c>
      <c r="N1799" s="541">
        <v>6</v>
      </c>
      <c r="O1799" s="654" t="s">
        <v>7363</v>
      </c>
      <c r="P1799" s="731" t="str">
        <f>'DICTIONARY-3'!$A$148</f>
        <v>CEREX 300-L</v>
      </c>
      <c r="Q1799" s="731" t="str">
        <f>'DICTIONARY-3'!$A$204</f>
        <v>Przepustnica kołnierzowa</v>
      </c>
      <c r="R1799" s="732" t="str">
        <f>CONCATENATE('DICTIONARY-3'!$A$148," ",'DICTIONARY-6'!$A$2," ",'DICTIONARY-2'!$A$2,"250"," ",'DICTIONARY-2'!$A$3,"16"," ",'DICTIONARY-5'!$A$37,"/",'DICTIONARY-5'!$A$44,", ",'DICTIONARY-4'!$A$2)</f>
        <v>CEREX 300-L Przep. kołnierz. DN250 PN16 CF8M/EPDM, WW</v>
      </c>
      <c r="S1799" s="733" t="str">
        <f>'DICTIONARY-4'!$A$2</f>
        <v>WW</v>
      </c>
      <c r="T1799" s="732" t="str">
        <f>'DICTIONARY-4'!$A$18</f>
        <v>Wolny wałek</v>
      </c>
      <c r="U1799" s="734" t="s">
        <v>5751</v>
      </c>
      <c r="V1799" s="735">
        <v>16</v>
      </c>
      <c r="W1799" s="736"/>
      <c r="X1799" s="737"/>
      <c r="Y1799" s="738"/>
      <c r="Z1799" s="739"/>
      <c r="AA1799" s="739"/>
      <c r="AB1799" s="740">
        <v>16</v>
      </c>
      <c r="AC1799" s="741" t="str">
        <f>'DICTIONARY-5'!$A$11&amp;" 20"</f>
        <v>EN 558 szereg 20</v>
      </c>
      <c r="AD1799" s="741" t="str">
        <f>'DICTIONARY-5'!$A$13</f>
        <v>woda pitna</v>
      </c>
      <c r="AE1799" s="742">
        <v>110</v>
      </c>
      <c r="AF1799" s="743">
        <v>27.5</v>
      </c>
      <c r="AG1799" s="741" t="str">
        <f>'DICTIONARY-5'!$A$23</f>
        <v>powłoka epoksydowa</v>
      </c>
    </row>
    <row r="1800" spans="1:33" x14ac:dyDescent="0.25">
      <c r="A1800" s="844" t="s">
        <v>5198</v>
      </c>
      <c r="B1800" s="844" t="s">
        <v>5391</v>
      </c>
      <c r="C1800" s="836">
        <v>894</v>
      </c>
      <c r="D1800" s="836"/>
      <c r="E1800" s="836"/>
      <c r="F1800" s="836"/>
      <c r="G1800" s="496" t="s">
        <v>7832</v>
      </c>
      <c r="H1800" s="797" t="str">
        <f>VLOOKUP(G1800,SETTINGS!$B$7:$D$97,2,0)</f>
        <v>CEREX 300</v>
      </c>
      <c r="I1800" s="796">
        <f>VLOOKUP(G1800,SETTINGS!$B$7:$D$97,3,0)</f>
        <v>0</v>
      </c>
      <c r="J1800" s="670" t="str">
        <f>IFERROR(IF(CURRENCY.FORMAT_1=0,CONCATENATE(TEXT(FIXED(ROUND((C1800/EXC.RATE_1),CURRENCY.FORMAT_1),CURRENCY.FORMAT_1,1),"# ##0;-# ##0"),",-"),FIXED(ROUND((C1800/EXC.RATE_1),CURRENCY.FORMAT_1),CURRENCY.FORMAT_1,0)),'DICTIONARY-5'!$A$2)</f>
        <v>894,-</v>
      </c>
      <c r="K1800" s="670" t="str">
        <f>IF(EXC.RATE_2=0,"",IFERROR(IF(CURRENCY.FORMAT_2=0,CONCATENATE(TEXT(FIXED(ROUND(IF(EXC.RATE.SWITCH=1,C1800/EXC.RATE_2,C1800*EXC.RATE_2),CURRENCY.FORMAT_2),CURRENCY.FORMAT_2,1),"# ##0;-# ##0"),",-"),FIXED(ROUND(IF(EXC.RATE.SWITCH=1,C1800/EXC.RATE_2,C1800*EXC.RATE_2),CURRENCY.FORMAT_2),CURRENCY.FORMAT_2,0)),'DICTIONARY-5'!$A$2))</f>
        <v/>
      </c>
      <c r="L1800" s="670" t="str">
        <f>IFERROR(IF(CURRENCY.FORMAT_1=0,CONCATENATE(TEXT(FIXED(ROUND((C1800*(1-I1800)*(1-ADD.DISCOUNT)*(1+MAT.SURCHARGE)/EXC.RATE_1),CURRENCY.FORMAT_1),CURRENCY.FORMAT_1,1),"# ##0;-# ##0"),",-"),FIXED(ROUND((C1800*(1-I1800)*(1-ADD.DISCOUNT)*(1+MAT.SURCHARGE)/EXC.RATE_1),CURRENCY.FORMAT_1),CURRENCY.FORMAT_1,0)),'DICTIONARY-5'!$A$2)</f>
        <v>929,-</v>
      </c>
      <c r="M1800" s="670" t="str">
        <f>IF(EXC.RATE_2=0,"",IFERROR(IF(CURRENCY.FORMAT_2=0,CONCATENATE(TEXT(FIXED(ROUND(IF(EXC.RATE.SWITCH=1,C1800*(1-I1800)*(1-ADD.DISCOUNT)*(1+MAT.SURCHARGE)/EXC.RATE_2,C1800*(1-I1800)*(1-ADD.DISCOUNT)*(1+MAT.SURCHARGE)*EXC.RATE_2),CURRENCY.FORMAT_2),CURRENCY.FORMAT_2,1),"# ##0;-# ##0"),",-"),FIXED(ROUND(IF(EXC.RATE.SWITCH=1,C1800*(1-I1800)*(1-ADD.DISCOUNT)*(1+MAT.SURCHARGE)/EXC.RATE_2,C1800*(1-I1800)*(1-ADD.DISCOUNT)*(1+MAT.SURCHARGE)*EXC.RATE_2),CURRENCY.FORMAT_2),CURRENCY.FORMAT_2,0)),'DICTIONARY-5'!$A$2))</f>
        <v/>
      </c>
      <c r="N1800" s="541">
        <v>6</v>
      </c>
      <c r="O1800" s="654" t="s">
        <v>7363</v>
      </c>
      <c r="P1800" s="731" t="str">
        <f>'DICTIONARY-3'!$A$148</f>
        <v>CEREX 300-L</v>
      </c>
      <c r="Q1800" s="731" t="str">
        <f>'DICTIONARY-3'!$A$204</f>
        <v>Przepustnica kołnierzowa</v>
      </c>
      <c r="R1800" s="732" t="str">
        <f>CONCATENATE('DICTIONARY-3'!$A$148," ",'DICTIONARY-6'!$A$2," ",'DICTIONARY-2'!$A$2,"300"," ",'DICTIONARY-2'!$A$3,"10"," ",'DICTIONARY-5'!$A$37,"/",'DICTIONARY-5'!$A$44,", ",'DICTIONARY-4'!$A$2)</f>
        <v>CEREX 300-L Przep. kołnierz. DN300 PN10 CF8M/EPDM, WW</v>
      </c>
      <c r="S1800" s="733" t="str">
        <f>'DICTIONARY-4'!$A$2</f>
        <v>WW</v>
      </c>
      <c r="T1800" s="732" t="str">
        <f>'DICTIONARY-4'!$A$18</f>
        <v>Wolny wałek</v>
      </c>
      <c r="U1800" s="734" t="s">
        <v>5752</v>
      </c>
      <c r="V1800" s="735">
        <v>10</v>
      </c>
      <c r="W1800" s="736"/>
      <c r="X1800" s="737"/>
      <c r="Y1800" s="738"/>
      <c r="Z1800" s="739"/>
      <c r="AA1800" s="739"/>
      <c r="AB1800" s="740">
        <v>10</v>
      </c>
      <c r="AC1800" s="741" t="str">
        <f>'DICTIONARY-5'!$A$11&amp;" 20"</f>
        <v>EN 558 szereg 20</v>
      </c>
      <c r="AD1800" s="741" t="str">
        <f>'DICTIONARY-5'!$A$13</f>
        <v>woda pitna</v>
      </c>
      <c r="AE1800" s="742">
        <v>110</v>
      </c>
      <c r="AF1800" s="743">
        <v>40.5</v>
      </c>
      <c r="AG1800" s="741" t="str">
        <f>'DICTIONARY-5'!$A$23</f>
        <v>powłoka epoksydowa</v>
      </c>
    </row>
    <row r="1801" spans="1:33" x14ac:dyDescent="0.25">
      <c r="A1801" s="844" t="s">
        <v>5200</v>
      </c>
      <c r="B1801" s="844" t="s">
        <v>5392</v>
      </c>
      <c r="C1801" s="836">
        <v>897</v>
      </c>
      <c r="D1801" s="836"/>
      <c r="E1801" s="836"/>
      <c r="F1801" s="836"/>
      <c r="G1801" s="496" t="s">
        <v>7832</v>
      </c>
      <c r="H1801" s="797" t="str">
        <f>VLOOKUP(G1801,SETTINGS!$B$7:$D$97,2,0)</f>
        <v>CEREX 300</v>
      </c>
      <c r="I1801" s="796">
        <f>VLOOKUP(G1801,SETTINGS!$B$7:$D$97,3,0)</f>
        <v>0</v>
      </c>
      <c r="J1801" s="670" t="str">
        <f>IFERROR(IF(CURRENCY.FORMAT_1=0,CONCATENATE(TEXT(FIXED(ROUND((C1801/EXC.RATE_1),CURRENCY.FORMAT_1),CURRENCY.FORMAT_1,1),"# ##0;-# ##0"),",-"),FIXED(ROUND((C1801/EXC.RATE_1),CURRENCY.FORMAT_1),CURRENCY.FORMAT_1,0)),'DICTIONARY-5'!$A$2)</f>
        <v>897,-</v>
      </c>
      <c r="K1801" s="670" t="str">
        <f>IF(EXC.RATE_2=0,"",IFERROR(IF(CURRENCY.FORMAT_2=0,CONCATENATE(TEXT(FIXED(ROUND(IF(EXC.RATE.SWITCH=1,C1801/EXC.RATE_2,C1801*EXC.RATE_2),CURRENCY.FORMAT_2),CURRENCY.FORMAT_2,1),"# ##0;-# ##0"),",-"),FIXED(ROUND(IF(EXC.RATE.SWITCH=1,C1801/EXC.RATE_2,C1801*EXC.RATE_2),CURRENCY.FORMAT_2),CURRENCY.FORMAT_2,0)),'DICTIONARY-5'!$A$2))</f>
        <v/>
      </c>
      <c r="L1801" s="670" t="str">
        <f>IFERROR(IF(CURRENCY.FORMAT_1=0,CONCATENATE(TEXT(FIXED(ROUND((C1801*(1-I1801)*(1-ADD.DISCOUNT)*(1+MAT.SURCHARGE)/EXC.RATE_1),CURRENCY.FORMAT_1),CURRENCY.FORMAT_1,1),"# ##0;-# ##0"),",-"),FIXED(ROUND((C1801*(1-I1801)*(1-ADD.DISCOUNT)*(1+MAT.SURCHARGE)/EXC.RATE_1),CURRENCY.FORMAT_1),CURRENCY.FORMAT_1,0)),'DICTIONARY-5'!$A$2)</f>
        <v>932,-</v>
      </c>
      <c r="M1801" s="670" t="str">
        <f>IF(EXC.RATE_2=0,"",IFERROR(IF(CURRENCY.FORMAT_2=0,CONCATENATE(TEXT(FIXED(ROUND(IF(EXC.RATE.SWITCH=1,C1801*(1-I1801)*(1-ADD.DISCOUNT)*(1+MAT.SURCHARGE)/EXC.RATE_2,C1801*(1-I1801)*(1-ADD.DISCOUNT)*(1+MAT.SURCHARGE)*EXC.RATE_2),CURRENCY.FORMAT_2),CURRENCY.FORMAT_2,1),"# ##0;-# ##0"),",-"),FIXED(ROUND(IF(EXC.RATE.SWITCH=1,C1801*(1-I1801)*(1-ADD.DISCOUNT)*(1+MAT.SURCHARGE)/EXC.RATE_2,C1801*(1-I1801)*(1-ADD.DISCOUNT)*(1+MAT.SURCHARGE)*EXC.RATE_2),CURRENCY.FORMAT_2),CURRENCY.FORMAT_2,0)),'DICTIONARY-5'!$A$2))</f>
        <v/>
      </c>
      <c r="N1801" s="541">
        <v>6</v>
      </c>
      <c r="O1801" s="654" t="s">
        <v>7363</v>
      </c>
      <c r="P1801" s="731" t="str">
        <f>'DICTIONARY-3'!$A$148</f>
        <v>CEREX 300-L</v>
      </c>
      <c r="Q1801" s="731" t="str">
        <f>'DICTIONARY-3'!$A$204</f>
        <v>Przepustnica kołnierzowa</v>
      </c>
      <c r="R1801" s="732" t="str">
        <f>CONCATENATE('DICTIONARY-3'!$A$148," ",'DICTIONARY-6'!$A$2," ",'DICTIONARY-2'!$A$2,"300"," ",'DICTIONARY-2'!$A$3,"16"," ",'DICTIONARY-5'!$A$37,"/",'DICTIONARY-5'!$A$44,", ",'DICTIONARY-4'!$A$2)</f>
        <v>CEREX 300-L Przep. kołnierz. DN300 PN16 CF8M/EPDM, WW</v>
      </c>
      <c r="S1801" s="733" t="str">
        <f>'DICTIONARY-4'!$A$2</f>
        <v>WW</v>
      </c>
      <c r="T1801" s="732" t="str">
        <f>'DICTIONARY-4'!$A$18</f>
        <v>Wolny wałek</v>
      </c>
      <c r="U1801" s="734" t="s">
        <v>5752</v>
      </c>
      <c r="V1801" s="735">
        <v>16</v>
      </c>
      <c r="W1801" s="736"/>
      <c r="X1801" s="737"/>
      <c r="Y1801" s="738"/>
      <c r="Z1801" s="739"/>
      <c r="AA1801" s="739"/>
      <c r="AB1801" s="740">
        <v>16</v>
      </c>
      <c r="AC1801" s="741" t="str">
        <f>'DICTIONARY-5'!$A$11&amp;" 20"</f>
        <v>EN 558 szereg 20</v>
      </c>
      <c r="AD1801" s="741" t="str">
        <f>'DICTIONARY-5'!$A$13</f>
        <v>woda pitna</v>
      </c>
      <c r="AE1801" s="742">
        <v>110</v>
      </c>
      <c r="AF1801" s="743">
        <v>39.5</v>
      </c>
      <c r="AG1801" s="741" t="str">
        <f>'DICTIONARY-5'!$A$23</f>
        <v>powłoka epoksydowa</v>
      </c>
    </row>
    <row r="1802" spans="1:33" x14ac:dyDescent="0.25">
      <c r="A1802" s="844" t="s">
        <v>5202</v>
      </c>
      <c r="B1802" s="844" t="s">
        <v>5393</v>
      </c>
      <c r="C1802" s="836">
        <v>1337</v>
      </c>
      <c r="D1802" s="836"/>
      <c r="E1802" s="836"/>
      <c r="F1802" s="836"/>
      <c r="G1802" s="496" t="s">
        <v>7832</v>
      </c>
      <c r="H1802" s="797" t="str">
        <f>VLOOKUP(G1802,SETTINGS!$B$7:$D$97,2,0)</f>
        <v>CEREX 300</v>
      </c>
      <c r="I1802" s="796">
        <f>VLOOKUP(G1802,SETTINGS!$B$7:$D$97,3,0)</f>
        <v>0</v>
      </c>
      <c r="J1802" s="670" t="str">
        <f>IFERROR(IF(CURRENCY.FORMAT_1=0,CONCATENATE(TEXT(FIXED(ROUND((C1802/EXC.RATE_1),CURRENCY.FORMAT_1),CURRENCY.FORMAT_1,1),"# ##0;-# ##0"),",-"),FIXED(ROUND((C1802/EXC.RATE_1),CURRENCY.FORMAT_1),CURRENCY.FORMAT_1,0)),'DICTIONARY-5'!$A$2)</f>
        <v>1 337,-</v>
      </c>
      <c r="K1802" s="670" t="str">
        <f>IF(EXC.RATE_2=0,"",IFERROR(IF(CURRENCY.FORMAT_2=0,CONCATENATE(TEXT(FIXED(ROUND(IF(EXC.RATE.SWITCH=1,C1802/EXC.RATE_2,C1802*EXC.RATE_2),CURRENCY.FORMAT_2),CURRENCY.FORMAT_2,1),"# ##0;-# ##0"),",-"),FIXED(ROUND(IF(EXC.RATE.SWITCH=1,C1802/EXC.RATE_2,C1802*EXC.RATE_2),CURRENCY.FORMAT_2),CURRENCY.FORMAT_2,0)),'DICTIONARY-5'!$A$2))</f>
        <v/>
      </c>
      <c r="L1802" s="670" t="str">
        <f>IFERROR(IF(CURRENCY.FORMAT_1=0,CONCATENATE(TEXT(FIXED(ROUND((C1802*(1-I1802)*(1-ADD.DISCOUNT)*(1+MAT.SURCHARGE)/EXC.RATE_1),CURRENCY.FORMAT_1),CURRENCY.FORMAT_1,1),"# ##0;-# ##0"),",-"),FIXED(ROUND((C1802*(1-I1802)*(1-ADD.DISCOUNT)*(1+MAT.SURCHARGE)/EXC.RATE_1),CURRENCY.FORMAT_1),CURRENCY.FORMAT_1,0)),'DICTIONARY-5'!$A$2)</f>
        <v>1 389,-</v>
      </c>
      <c r="M1802" s="670" t="str">
        <f>IF(EXC.RATE_2=0,"",IFERROR(IF(CURRENCY.FORMAT_2=0,CONCATENATE(TEXT(FIXED(ROUND(IF(EXC.RATE.SWITCH=1,C1802*(1-I1802)*(1-ADD.DISCOUNT)*(1+MAT.SURCHARGE)/EXC.RATE_2,C1802*(1-I1802)*(1-ADD.DISCOUNT)*(1+MAT.SURCHARGE)*EXC.RATE_2),CURRENCY.FORMAT_2),CURRENCY.FORMAT_2,1),"# ##0;-# ##0"),",-"),FIXED(ROUND(IF(EXC.RATE.SWITCH=1,C1802*(1-I1802)*(1-ADD.DISCOUNT)*(1+MAT.SURCHARGE)/EXC.RATE_2,C1802*(1-I1802)*(1-ADD.DISCOUNT)*(1+MAT.SURCHARGE)*EXC.RATE_2),CURRENCY.FORMAT_2),CURRENCY.FORMAT_2,0)),'DICTIONARY-5'!$A$2))</f>
        <v/>
      </c>
      <c r="N1802" s="541">
        <v>6</v>
      </c>
      <c r="O1802" s="654" t="s">
        <v>7363</v>
      </c>
      <c r="P1802" s="731" t="str">
        <f>'DICTIONARY-3'!$A$148</f>
        <v>CEREX 300-L</v>
      </c>
      <c r="Q1802" s="731" t="str">
        <f>'DICTIONARY-3'!$A$204</f>
        <v>Przepustnica kołnierzowa</v>
      </c>
      <c r="R1802" s="732" t="str">
        <f>CONCATENATE('DICTIONARY-3'!$A$148," ",'DICTIONARY-6'!$A$2," ",'DICTIONARY-2'!$A$2,"350"," ",'DICTIONARY-2'!$A$3,"10"," ",'DICTIONARY-5'!$A$37,"/",'DICTIONARY-5'!$A$44,", ",'DICTIONARY-4'!$A$2)</f>
        <v>CEREX 300-L Przep. kołnierz. DN350 PN10 CF8M/EPDM, WW</v>
      </c>
      <c r="S1802" s="733" t="str">
        <f>'DICTIONARY-4'!$A$2</f>
        <v>WW</v>
      </c>
      <c r="T1802" s="732" t="str">
        <f>'DICTIONARY-4'!$A$18</f>
        <v>Wolny wałek</v>
      </c>
      <c r="U1802" s="734" t="s">
        <v>5753</v>
      </c>
      <c r="V1802" s="735">
        <v>10</v>
      </c>
      <c r="W1802" s="736"/>
      <c r="X1802" s="737"/>
      <c r="Y1802" s="738"/>
      <c r="Z1802" s="739"/>
      <c r="AA1802" s="739"/>
      <c r="AB1802" s="740">
        <v>10</v>
      </c>
      <c r="AC1802" s="741" t="str">
        <f>'DICTIONARY-5'!$A$11&amp;" 20"</f>
        <v>EN 558 szereg 20</v>
      </c>
      <c r="AD1802" s="741" t="str">
        <f>'DICTIONARY-5'!$A$13</f>
        <v>woda pitna</v>
      </c>
      <c r="AE1802" s="742">
        <v>110</v>
      </c>
      <c r="AF1802" s="743">
        <v>49.5</v>
      </c>
      <c r="AG1802" s="741" t="str">
        <f>'DICTIONARY-5'!$A$23</f>
        <v>powłoka epoksydowa</v>
      </c>
    </row>
    <row r="1803" spans="1:33" x14ac:dyDescent="0.25">
      <c r="A1803" s="844" t="s">
        <v>5204</v>
      </c>
      <c r="B1803" s="844" t="s">
        <v>5394</v>
      </c>
      <c r="C1803" s="836">
        <v>1364</v>
      </c>
      <c r="D1803" s="836"/>
      <c r="E1803" s="836"/>
      <c r="F1803" s="836"/>
      <c r="G1803" s="496" t="s">
        <v>7832</v>
      </c>
      <c r="H1803" s="797" t="str">
        <f>VLOOKUP(G1803,SETTINGS!$B$7:$D$97,2,0)</f>
        <v>CEREX 300</v>
      </c>
      <c r="I1803" s="796">
        <f>VLOOKUP(G1803,SETTINGS!$B$7:$D$97,3,0)</f>
        <v>0</v>
      </c>
      <c r="J1803" s="670" t="str">
        <f>IFERROR(IF(CURRENCY.FORMAT_1=0,CONCATENATE(TEXT(FIXED(ROUND((C1803/EXC.RATE_1),CURRENCY.FORMAT_1),CURRENCY.FORMAT_1,1),"# ##0;-# ##0"),",-"),FIXED(ROUND((C1803/EXC.RATE_1),CURRENCY.FORMAT_1),CURRENCY.FORMAT_1,0)),'DICTIONARY-5'!$A$2)</f>
        <v>1 364,-</v>
      </c>
      <c r="K1803" s="670" t="str">
        <f>IF(EXC.RATE_2=0,"",IFERROR(IF(CURRENCY.FORMAT_2=0,CONCATENATE(TEXT(FIXED(ROUND(IF(EXC.RATE.SWITCH=1,C1803/EXC.RATE_2,C1803*EXC.RATE_2),CURRENCY.FORMAT_2),CURRENCY.FORMAT_2,1),"# ##0;-# ##0"),",-"),FIXED(ROUND(IF(EXC.RATE.SWITCH=1,C1803/EXC.RATE_2,C1803*EXC.RATE_2),CURRENCY.FORMAT_2),CURRENCY.FORMAT_2,0)),'DICTIONARY-5'!$A$2))</f>
        <v/>
      </c>
      <c r="L1803" s="670" t="str">
        <f>IFERROR(IF(CURRENCY.FORMAT_1=0,CONCATENATE(TEXT(FIXED(ROUND((C1803*(1-I1803)*(1-ADD.DISCOUNT)*(1+MAT.SURCHARGE)/EXC.RATE_1),CURRENCY.FORMAT_1),CURRENCY.FORMAT_1,1),"# ##0;-# ##0"),",-"),FIXED(ROUND((C1803*(1-I1803)*(1-ADD.DISCOUNT)*(1+MAT.SURCHARGE)/EXC.RATE_1),CURRENCY.FORMAT_1),CURRENCY.FORMAT_1,0)),'DICTIONARY-5'!$A$2)</f>
        <v>1 417,-</v>
      </c>
      <c r="M1803" s="670" t="str">
        <f>IF(EXC.RATE_2=0,"",IFERROR(IF(CURRENCY.FORMAT_2=0,CONCATENATE(TEXT(FIXED(ROUND(IF(EXC.RATE.SWITCH=1,C1803*(1-I1803)*(1-ADD.DISCOUNT)*(1+MAT.SURCHARGE)/EXC.RATE_2,C1803*(1-I1803)*(1-ADD.DISCOUNT)*(1+MAT.SURCHARGE)*EXC.RATE_2),CURRENCY.FORMAT_2),CURRENCY.FORMAT_2,1),"# ##0;-# ##0"),",-"),FIXED(ROUND(IF(EXC.RATE.SWITCH=1,C1803*(1-I1803)*(1-ADD.DISCOUNT)*(1+MAT.SURCHARGE)/EXC.RATE_2,C1803*(1-I1803)*(1-ADD.DISCOUNT)*(1+MAT.SURCHARGE)*EXC.RATE_2),CURRENCY.FORMAT_2),CURRENCY.FORMAT_2,0)),'DICTIONARY-5'!$A$2))</f>
        <v/>
      </c>
      <c r="N1803" s="541">
        <v>6</v>
      </c>
      <c r="O1803" s="654" t="s">
        <v>7363</v>
      </c>
      <c r="P1803" s="731" t="str">
        <f>'DICTIONARY-3'!$A$148</f>
        <v>CEREX 300-L</v>
      </c>
      <c r="Q1803" s="731" t="str">
        <f>'DICTIONARY-3'!$A$204</f>
        <v>Przepustnica kołnierzowa</v>
      </c>
      <c r="R1803" s="732" t="str">
        <f>CONCATENATE('DICTIONARY-3'!$A$148," ",'DICTIONARY-6'!$A$2," ",'DICTIONARY-2'!$A$2,"350"," ",'DICTIONARY-2'!$A$3,"16"," ",'DICTIONARY-5'!$A$37,"/",'DICTIONARY-5'!$A$44,", ",'DICTIONARY-4'!$A$2)</f>
        <v>CEREX 300-L Przep. kołnierz. DN350 PN16 CF8M/EPDM, WW</v>
      </c>
      <c r="S1803" s="733" t="str">
        <f>'DICTIONARY-4'!$A$2</f>
        <v>WW</v>
      </c>
      <c r="T1803" s="732" t="str">
        <f>'DICTIONARY-4'!$A$18</f>
        <v>Wolny wałek</v>
      </c>
      <c r="U1803" s="734" t="s">
        <v>5753</v>
      </c>
      <c r="V1803" s="735">
        <v>16</v>
      </c>
      <c r="W1803" s="736"/>
      <c r="X1803" s="737"/>
      <c r="Y1803" s="738"/>
      <c r="Z1803" s="739"/>
      <c r="AA1803" s="739"/>
      <c r="AB1803" s="740">
        <v>16</v>
      </c>
      <c r="AC1803" s="741" t="str">
        <f>'DICTIONARY-5'!$A$11&amp;" 20"</f>
        <v>EN 558 szereg 20</v>
      </c>
      <c r="AD1803" s="741" t="str">
        <f>'DICTIONARY-5'!$A$13</f>
        <v>woda pitna</v>
      </c>
      <c r="AE1803" s="742">
        <v>110</v>
      </c>
      <c r="AF1803" s="743">
        <v>53.5</v>
      </c>
      <c r="AG1803" s="741" t="str">
        <f>'DICTIONARY-5'!$A$23</f>
        <v>powłoka epoksydowa</v>
      </c>
    </row>
    <row r="1804" spans="1:33" x14ac:dyDescent="0.25">
      <c r="A1804" s="844" t="s">
        <v>5206</v>
      </c>
      <c r="B1804" s="844" t="s">
        <v>5395</v>
      </c>
      <c r="C1804" s="836">
        <v>1782</v>
      </c>
      <c r="D1804" s="836"/>
      <c r="E1804" s="836"/>
      <c r="F1804" s="836"/>
      <c r="G1804" s="496" t="s">
        <v>7832</v>
      </c>
      <c r="H1804" s="797" t="str">
        <f>VLOOKUP(G1804,SETTINGS!$B$7:$D$97,2,0)</f>
        <v>CEREX 300</v>
      </c>
      <c r="I1804" s="796">
        <f>VLOOKUP(G1804,SETTINGS!$B$7:$D$97,3,0)</f>
        <v>0</v>
      </c>
      <c r="J1804" s="670" t="str">
        <f>IFERROR(IF(CURRENCY.FORMAT_1=0,CONCATENATE(TEXT(FIXED(ROUND((C1804/EXC.RATE_1),CURRENCY.FORMAT_1),CURRENCY.FORMAT_1,1),"# ##0;-# ##0"),",-"),FIXED(ROUND((C1804/EXC.RATE_1),CURRENCY.FORMAT_1),CURRENCY.FORMAT_1,0)),'DICTIONARY-5'!$A$2)</f>
        <v>1 782,-</v>
      </c>
      <c r="K1804" s="670" t="str">
        <f>IF(EXC.RATE_2=0,"",IFERROR(IF(CURRENCY.FORMAT_2=0,CONCATENATE(TEXT(FIXED(ROUND(IF(EXC.RATE.SWITCH=1,C1804/EXC.RATE_2,C1804*EXC.RATE_2),CURRENCY.FORMAT_2),CURRENCY.FORMAT_2,1),"# ##0;-# ##0"),",-"),FIXED(ROUND(IF(EXC.RATE.SWITCH=1,C1804/EXC.RATE_2,C1804*EXC.RATE_2),CURRENCY.FORMAT_2),CURRENCY.FORMAT_2,0)),'DICTIONARY-5'!$A$2))</f>
        <v/>
      </c>
      <c r="L1804" s="670" t="str">
        <f>IFERROR(IF(CURRENCY.FORMAT_1=0,CONCATENATE(TEXT(FIXED(ROUND((C1804*(1-I1804)*(1-ADD.DISCOUNT)*(1+MAT.SURCHARGE)/EXC.RATE_1),CURRENCY.FORMAT_1),CURRENCY.FORMAT_1,1),"# ##0;-# ##0"),",-"),FIXED(ROUND((C1804*(1-I1804)*(1-ADD.DISCOUNT)*(1+MAT.SURCHARGE)/EXC.RATE_1),CURRENCY.FORMAT_1),CURRENCY.FORMAT_1,0)),'DICTIONARY-5'!$A$2)</f>
        <v>1 851,-</v>
      </c>
      <c r="M1804" s="670" t="str">
        <f>IF(EXC.RATE_2=0,"",IFERROR(IF(CURRENCY.FORMAT_2=0,CONCATENATE(TEXT(FIXED(ROUND(IF(EXC.RATE.SWITCH=1,C1804*(1-I1804)*(1-ADD.DISCOUNT)*(1+MAT.SURCHARGE)/EXC.RATE_2,C1804*(1-I1804)*(1-ADD.DISCOUNT)*(1+MAT.SURCHARGE)*EXC.RATE_2),CURRENCY.FORMAT_2),CURRENCY.FORMAT_2,1),"# ##0;-# ##0"),",-"),FIXED(ROUND(IF(EXC.RATE.SWITCH=1,C1804*(1-I1804)*(1-ADD.DISCOUNT)*(1+MAT.SURCHARGE)/EXC.RATE_2,C1804*(1-I1804)*(1-ADD.DISCOUNT)*(1+MAT.SURCHARGE)*EXC.RATE_2),CURRENCY.FORMAT_2),CURRENCY.FORMAT_2,0)),'DICTIONARY-5'!$A$2))</f>
        <v/>
      </c>
      <c r="N1804" s="541">
        <v>6</v>
      </c>
      <c r="O1804" s="654" t="s">
        <v>7363</v>
      </c>
      <c r="P1804" s="731" t="str">
        <f>'DICTIONARY-3'!$A$148</f>
        <v>CEREX 300-L</v>
      </c>
      <c r="Q1804" s="731" t="str">
        <f>'DICTIONARY-3'!$A$204</f>
        <v>Przepustnica kołnierzowa</v>
      </c>
      <c r="R1804" s="732" t="str">
        <f>CONCATENATE('DICTIONARY-3'!$A$148," ",'DICTIONARY-6'!$A$2," ",'DICTIONARY-2'!$A$2,"400"," ",'DICTIONARY-2'!$A$3,"10"," ",'DICTIONARY-5'!$A$37,"/",'DICTIONARY-5'!$A$44,", ",'DICTIONARY-4'!$A$2)</f>
        <v>CEREX 300-L Przep. kołnierz. DN400 PN10 CF8M/EPDM, WW</v>
      </c>
      <c r="S1804" s="733" t="str">
        <f>'DICTIONARY-4'!$A$2</f>
        <v>WW</v>
      </c>
      <c r="T1804" s="732" t="str">
        <f>'DICTIONARY-4'!$A$18</f>
        <v>Wolny wałek</v>
      </c>
      <c r="U1804" s="734" t="s">
        <v>5754</v>
      </c>
      <c r="V1804" s="735">
        <v>10</v>
      </c>
      <c r="W1804" s="736"/>
      <c r="X1804" s="737"/>
      <c r="Y1804" s="738"/>
      <c r="Z1804" s="739"/>
      <c r="AA1804" s="739"/>
      <c r="AB1804" s="740">
        <v>10</v>
      </c>
      <c r="AC1804" s="741" t="str">
        <f>'DICTIONARY-5'!$A$11&amp;" 20"</f>
        <v>EN 558 szereg 20</v>
      </c>
      <c r="AD1804" s="741" t="str">
        <f>'DICTIONARY-5'!$A$13</f>
        <v>woda pitna</v>
      </c>
      <c r="AE1804" s="742">
        <v>110</v>
      </c>
      <c r="AF1804" s="743">
        <v>74.5</v>
      </c>
      <c r="AG1804" s="741" t="str">
        <f>'DICTIONARY-5'!$A$23</f>
        <v>powłoka epoksydowa</v>
      </c>
    </row>
    <row r="1805" spans="1:33" x14ac:dyDescent="0.25">
      <c r="A1805" s="844" t="s">
        <v>5208</v>
      </c>
      <c r="B1805" s="844" t="s">
        <v>5396</v>
      </c>
      <c r="C1805" s="836">
        <v>1818</v>
      </c>
      <c r="D1805" s="836"/>
      <c r="E1805" s="836"/>
      <c r="F1805" s="836"/>
      <c r="G1805" s="496" t="s">
        <v>7832</v>
      </c>
      <c r="H1805" s="797" t="str">
        <f>VLOOKUP(G1805,SETTINGS!$B$7:$D$97,2,0)</f>
        <v>CEREX 300</v>
      </c>
      <c r="I1805" s="796">
        <f>VLOOKUP(G1805,SETTINGS!$B$7:$D$97,3,0)</f>
        <v>0</v>
      </c>
      <c r="J1805" s="670" t="str">
        <f>IFERROR(IF(CURRENCY.FORMAT_1=0,CONCATENATE(TEXT(FIXED(ROUND((C1805/EXC.RATE_1),CURRENCY.FORMAT_1),CURRENCY.FORMAT_1,1),"# ##0;-# ##0"),",-"),FIXED(ROUND((C1805/EXC.RATE_1),CURRENCY.FORMAT_1),CURRENCY.FORMAT_1,0)),'DICTIONARY-5'!$A$2)</f>
        <v>1 818,-</v>
      </c>
      <c r="K1805" s="670" t="str">
        <f>IF(EXC.RATE_2=0,"",IFERROR(IF(CURRENCY.FORMAT_2=0,CONCATENATE(TEXT(FIXED(ROUND(IF(EXC.RATE.SWITCH=1,C1805/EXC.RATE_2,C1805*EXC.RATE_2),CURRENCY.FORMAT_2),CURRENCY.FORMAT_2,1),"# ##0;-# ##0"),",-"),FIXED(ROUND(IF(EXC.RATE.SWITCH=1,C1805/EXC.RATE_2,C1805*EXC.RATE_2),CURRENCY.FORMAT_2),CURRENCY.FORMAT_2,0)),'DICTIONARY-5'!$A$2))</f>
        <v/>
      </c>
      <c r="L1805" s="670" t="str">
        <f>IFERROR(IF(CURRENCY.FORMAT_1=0,CONCATENATE(TEXT(FIXED(ROUND((C1805*(1-I1805)*(1-ADD.DISCOUNT)*(1+MAT.SURCHARGE)/EXC.RATE_1),CURRENCY.FORMAT_1),CURRENCY.FORMAT_1,1),"# ##0;-# ##0"),",-"),FIXED(ROUND((C1805*(1-I1805)*(1-ADD.DISCOUNT)*(1+MAT.SURCHARGE)/EXC.RATE_1),CURRENCY.FORMAT_1),CURRENCY.FORMAT_1,0)),'DICTIONARY-5'!$A$2)</f>
        <v>1 889,-</v>
      </c>
      <c r="M1805" s="670" t="str">
        <f>IF(EXC.RATE_2=0,"",IFERROR(IF(CURRENCY.FORMAT_2=0,CONCATENATE(TEXT(FIXED(ROUND(IF(EXC.RATE.SWITCH=1,C1805*(1-I1805)*(1-ADD.DISCOUNT)*(1+MAT.SURCHARGE)/EXC.RATE_2,C1805*(1-I1805)*(1-ADD.DISCOUNT)*(1+MAT.SURCHARGE)*EXC.RATE_2),CURRENCY.FORMAT_2),CURRENCY.FORMAT_2,1),"# ##0;-# ##0"),",-"),FIXED(ROUND(IF(EXC.RATE.SWITCH=1,C1805*(1-I1805)*(1-ADD.DISCOUNT)*(1+MAT.SURCHARGE)/EXC.RATE_2,C1805*(1-I1805)*(1-ADD.DISCOUNT)*(1+MAT.SURCHARGE)*EXC.RATE_2),CURRENCY.FORMAT_2),CURRENCY.FORMAT_2,0)),'DICTIONARY-5'!$A$2))</f>
        <v/>
      </c>
      <c r="N1805" s="541">
        <v>6</v>
      </c>
      <c r="O1805" s="654" t="s">
        <v>7363</v>
      </c>
      <c r="P1805" s="731" t="str">
        <f>'DICTIONARY-3'!$A$148</f>
        <v>CEREX 300-L</v>
      </c>
      <c r="Q1805" s="731" t="str">
        <f>'DICTIONARY-3'!$A$204</f>
        <v>Przepustnica kołnierzowa</v>
      </c>
      <c r="R1805" s="732" t="str">
        <f>CONCATENATE('DICTIONARY-3'!$A$148," ",'DICTIONARY-6'!$A$2," ",'DICTIONARY-2'!$A$2,"400"," ",'DICTIONARY-2'!$A$3,"16"," ",'DICTIONARY-5'!$A$37,"/",'DICTIONARY-5'!$A$44,", ",'DICTIONARY-4'!$A$2)</f>
        <v>CEREX 300-L Przep. kołnierz. DN400 PN16 CF8M/EPDM, WW</v>
      </c>
      <c r="S1805" s="733" t="str">
        <f>'DICTIONARY-4'!$A$2</f>
        <v>WW</v>
      </c>
      <c r="T1805" s="732" t="str">
        <f>'DICTIONARY-4'!$A$18</f>
        <v>Wolny wałek</v>
      </c>
      <c r="U1805" s="734" t="s">
        <v>5754</v>
      </c>
      <c r="V1805" s="735">
        <v>16</v>
      </c>
      <c r="W1805" s="736"/>
      <c r="X1805" s="737"/>
      <c r="Y1805" s="738"/>
      <c r="Z1805" s="739"/>
      <c r="AA1805" s="739"/>
      <c r="AB1805" s="740">
        <v>16</v>
      </c>
      <c r="AC1805" s="741" t="str">
        <f>'DICTIONARY-5'!$A$11&amp;" 20"</f>
        <v>EN 558 szereg 20</v>
      </c>
      <c r="AD1805" s="741" t="str">
        <f>'DICTIONARY-5'!$A$13</f>
        <v>woda pitna</v>
      </c>
      <c r="AE1805" s="742">
        <v>110</v>
      </c>
      <c r="AF1805" s="743">
        <v>77.5</v>
      </c>
      <c r="AG1805" s="741" t="str">
        <f>'DICTIONARY-5'!$A$23</f>
        <v>powłoka epoksydowa</v>
      </c>
    </row>
    <row r="1806" spans="1:33" x14ac:dyDescent="0.25">
      <c r="A1806" s="844" t="s">
        <v>5210</v>
      </c>
      <c r="B1806" s="844" t="s">
        <v>5397</v>
      </c>
      <c r="C1806" s="836">
        <v>2831</v>
      </c>
      <c r="D1806" s="836"/>
      <c r="E1806" s="836"/>
      <c r="F1806" s="836"/>
      <c r="G1806" s="496" t="s">
        <v>7832</v>
      </c>
      <c r="H1806" s="797" t="str">
        <f>VLOOKUP(G1806,SETTINGS!$B$7:$D$97,2,0)</f>
        <v>CEREX 300</v>
      </c>
      <c r="I1806" s="796">
        <f>VLOOKUP(G1806,SETTINGS!$B$7:$D$97,3,0)</f>
        <v>0</v>
      </c>
      <c r="J1806" s="670" t="str">
        <f>IFERROR(IF(CURRENCY.FORMAT_1=0,CONCATENATE(TEXT(FIXED(ROUND((C1806/EXC.RATE_1),CURRENCY.FORMAT_1),CURRENCY.FORMAT_1,1),"# ##0;-# ##0"),",-"),FIXED(ROUND((C1806/EXC.RATE_1),CURRENCY.FORMAT_1),CURRENCY.FORMAT_1,0)),'DICTIONARY-5'!$A$2)</f>
        <v>2 831,-</v>
      </c>
      <c r="K1806" s="670" t="str">
        <f>IF(EXC.RATE_2=0,"",IFERROR(IF(CURRENCY.FORMAT_2=0,CONCATENATE(TEXT(FIXED(ROUND(IF(EXC.RATE.SWITCH=1,C1806/EXC.RATE_2,C1806*EXC.RATE_2),CURRENCY.FORMAT_2),CURRENCY.FORMAT_2,1),"# ##0;-# ##0"),",-"),FIXED(ROUND(IF(EXC.RATE.SWITCH=1,C1806/EXC.RATE_2,C1806*EXC.RATE_2),CURRENCY.FORMAT_2),CURRENCY.FORMAT_2,0)),'DICTIONARY-5'!$A$2))</f>
        <v/>
      </c>
      <c r="L1806" s="670" t="str">
        <f>IFERROR(IF(CURRENCY.FORMAT_1=0,CONCATENATE(TEXT(FIXED(ROUND((C1806*(1-I1806)*(1-ADD.DISCOUNT)*(1+MAT.SURCHARGE)/EXC.RATE_1),CURRENCY.FORMAT_1),CURRENCY.FORMAT_1,1),"# ##0;-# ##0"),",-"),FIXED(ROUND((C1806*(1-I1806)*(1-ADD.DISCOUNT)*(1+MAT.SURCHARGE)/EXC.RATE_1),CURRENCY.FORMAT_1),CURRENCY.FORMAT_1,0)),'DICTIONARY-5'!$A$2)</f>
        <v>2 941,-</v>
      </c>
      <c r="M1806" s="670" t="str">
        <f>IF(EXC.RATE_2=0,"",IFERROR(IF(CURRENCY.FORMAT_2=0,CONCATENATE(TEXT(FIXED(ROUND(IF(EXC.RATE.SWITCH=1,C1806*(1-I1806)*(1-ADD.DISCOUNT)*(1+MAT.SURCHARGE)/EXC.RATE_2,C1806*(1-I1806)*(1-ADD.DISCOUNT)*(1+MAT.SURCHARGE)*EXC.RATE_2),CURRENCY.FORMAT_2),CURRENCY.FORMAT_2,1),"# ##0;-# ##0"),",-"),FIXED(ROUND(IF(EXC.RATE.SWITCH=1,C1806*(1-I1806)*(1-ADD.DISCOUNT)*(1+MAT.SURCHARGE)/EXC.RATE_2,C1806*(1-I1806)*(1-ADD.DISCOUNT)*(1+MAT.SURCHARGE)*EXC.RATE_2),CURRENCY.FORMAT_2),CURRENCY.FORMAT_2,0)),'DICTIONARY-5'!$A$2))</f>
        <v/>
      </c>
      <c r="N1806" s="541">
        <v>6</v>
      </c>
      <c r="O1806" s="654" t="s">
        <v>7363</v>
      </c>
      <c r="P1806" s="731" t="str">
        <f>'DICTIONARY-3'!$A$148</f>
        <v>CEREX 300-L</v>
      </c>
      <c r="Q1806" s="731" t="str">
        <f>'DICTIONARY-3'!$A$204</f>
        <v>Przepustnica kołnierzowa</v>
      </c>
      <c r="R1806" s="732" t="str">
        <f>CONCATENATE('DICTIONARY-3'!$A$148," ",'DICTIONARY-6'!$A$2," ",'DICTIONARY-2'!$A$2,"450"," ",'DICTIONARY-2'!$A$3,"10"," ",'DICTIONARY-5'!$A$37,"/",'DICTIONARY-5'!$A$44,", ",'DICTIONARY-4'!$A$2)</f>
        <v>CEREX 300-L Przep. kołnierz. DN450 PN10 CF8M/EPDM, WW</v>
      </c>
      <c r="S1806" s="733" t="str">
        <f>'DICTIONARY-4'!$A$2</f>
        <v>WW</v>
      </c>
      <c r="T1806" s="732" t="str">
        <f>'DICTIONARY-4'!$A$18</f>
        <v>Wolny wałek</v>
      </c>
      <c r="U1806" s="734" t="s">
        <v>5755</v>
      </c>
      <c r="V1806" s="735">
        <v>10</v>
      </c>
      <c r="W1806" s="736"/>
      <c r="X1806" s="737"/>
      <c r="Y1806" s="738"/>
      <c r="Z1806" s="739"/>
      <c r="AA1806" s="739"/>
      <c r="AB1806" s="740">
        <v>10</v>
      </c>
      <c r="AC1806" s="741" t="str">
        <f>'DICTIONARY-5'!$A$11&amp;" 20"</f>
        <v>EN 558 szereg 20</v>
      </c>
      <c r="AD1806" s="741" t="str">
        <f>'DICTIONARY-5'!$A$13</f>
        <v>woda pitna</v>
      </c>
      <c r="AE1806" s="742">
        <v>110</v>
      </c>
      <c r="AF1806" s="743">
        <v>108</v>
      </c>
      <c r="AG1806" s="741" t="str">
        <f>'DICTIONARY-5'!$A$23</f>
        <v>powłoka epoksydowa</v>
      </c>
    </row>
    <row r="1807" spans="1:33" x14ac:dyDescent="0.25">
      <c r="A1807" s="844" t="s">
        <v>5212</v>
      </c>
      <c r="B1807" s="844" t="s">
        <v>5398</v>
      </c>
      <c r="C1807" s="836">
        <v>3199</v>
      </c>
      <c r="D1807" s="836"/>
      <c r="E1807" s="836"/>
      <c r="F1807" s="836"/>
      <c r="G1807" s="496" t="s">
        <v>7832</v>
      </c>
      <c r="H1807" s="797" t="str">
        <f>VLOOKUP(G1807,SETTINGS!$B$7:$D$97,2,0)</f>
        <v>CEREX 300</v>
      </c>
      <c r="I1807" s="796">
        <f>VLOOKUP(G1807,SETTINGS!$B$7:$D$97,3,0)</f>
        <v>0</v>
      </c>
      <c r="J1807" s="670" t="str">
        <f>IFERROR(IF(CURRENCY.FORMAT_1=0,CONCATENATE(TEXT(FIXED(ROUND((C1807/EXC.RATE_1),CURRENCY.FORMAT_1),CURRENCY.FORMAT_1,1),"# ##0;-# ##0"),",-"),FIXED(ROUND((C1807/EXC.RATE_1),CURRENCY.FORMAT_1),CURRENCY.FORMAT_1,0)),'DICTIONARY-5'!$A$2)</f>
        <v>3 199,-</v>
      </c>
      <c r="K1807" s="670" t="str">
        <f>IF(EXC.RATE_2=0,"",IFERROR(IF(CURRENCY.FORMAT_2=0,CONCATENATE(TEXT(FIXED(ROUND(IF(EXC.RATE.SWITCH=1,C1807/EXC.RATE_2,C1807*EXC.RATE_2),CURRENCY.FORMAT_2),CURRENCY.FORMAT_2,1),"# ##0;-# ##0"),",-"),FIXED(ROUND(IF(EXC.RATE.SWITCH=1,C1807/EXC.RATE_2,C1807*EXC.RATE_2),CURRENCY.FORMAT_2),CURRENCY.FORMAT_2,0)),'DICTIONARY-5'!$A$2))</f>
        <v/>
      </c>
      <c r="L1807" s="670" t="str">
        <f>IFERROR(IF(CURRENCY.FORMAT_1=0,CONCATENATE(TEXT(FIXED(ROUND((C1807*(1-I1807)*(1-ADD.DISCOUNT)*(1+MAT.SURCHARGE)/EXC.RATE_1),CURRENCY.FORMAT_1),CURRENCY.FORMAT_1,1),"# ##0;-# ##0"),",-"),FIXED(ROUND((C1807*(1-I1807)*(1-ADD.DISCOUNT)*(1+MAT.SURCHARGE)/EXC.RATE_1),CURRENCY.FORMAT_1),CURRENCY.FORMAT_1,0)),'DICTIONARY-5'!$A$2)</f>
        <v>3 324,-</v>
      </c>
      <c r="M1807" s="670" t="str">
        <f>IF(EXC.RATE_2=0,"",IFERROR(IF(CURRENCY.FORMAT_2=0,CONCATENATE(TEXT(FIXED(ROUND(IF(EXC.RATE.SWITCH=1,C1807*(1-I1807)*(1-ADD.DISCOUNT)*(1+MAT.SURCHARGE)/EXC.RATE_2,C1807*(1-I1807)*(1-ADD.DISCOUNT)*(1+MAT.SURCHARGE)*EXC.RATE_2),CURRENCY.FORMAT_2),CURRENCY.FORMAT_2,1),"# ##0;-# ##0"),",-"),FIXED(ROUND(IF(EXC.RATE.SWITCH=1,C1807*(1-I1807)*(1-ADD.DISCOUNT)*(1+MAT.SURCHARGE)/EXC.RATE_2,C1807*(1-I1807)*(1-ADD.DISCOUNT)*(1+MAT.SURCHARGE)*EXC.RATE_2),CURRENCY.FORMAT_2),CURRENCY.FORMAT_2,0)),'DICTIONARY-5'!$A$2))</f>
        <v/>
      </c>
      <c r="N1807" s="541">
        <v>6</v>
      </c>
      <c r="O1807" s="654" t="s">
        <v>7363</v>
      </c>
      <c r="P1807" s="731" t="str">
        <f>'DICTIONARY-3'!$A$148</f>
        <v>CEREX 300-L</v>
      </c>
      <c r="Q1807" s="731" t="str">
        <f>'DICTIONARY-3'!$A$204</f>
        <v>Przepustnica kołnierzowa</v>
      </c>
      <c r="R1807" s="732" t="str">
        <f>CONCATENATE('DICTIONARY-3'!$A$148," ",'DICTIONARY-6'!$A$2," ",'DICTIONARY-2'!$A$2,"450"," ",'DICTIONARY-2'!$A$3,"16"," ",'DICTIONARY-2'!$A$10,"10",'DICTIONARY-2'!$A$20," ",'DICTIONARY-5'!$A$37,"/",'DICTIONARY-5'!$A$44,", ",'DICTIONARY-4'!$A$2)</f>
        <v>CEREX 300-L Przep. kołnierz. DN450 PN16 PS10bar CF8M/EPDM, WW</v>
      </c>
      <c r="S1807" s="733" t="str">
        <f>'DICTIONARY-4'!$A$2</f>
        <v>WW</v>
      </c>
      <c r="T1807" s="732" t="str">
        <f>'DICTIONARY-4'!$A$18</f>
        <v>Wolny wałek</v>
      </c>
      <c r="U1807" s="734" t="s">
        <v>5755</v>
      </c>
      <c r="V1807" s="735">
        <v>16</v>
      </c>
      <c r="W1807" s="736"/>
      <c r="X1807" s="737"/>
      <c r="Y1807" s="738"/>
      <c r="Z1807" s="739"/>
      <c r="AA1807" s="739"/>
      <c r="AB1807" s="740">
        <v>10</v>
      </c>
      <c r="AC1807" s="741" t="str">
        <f>'DICTIONARY-5'!$A$11&amp;" 20"</f>
        <v>EN 558 szereg 20</v>
      </c>
      <c r="AD1807" s="741" t="str">
        <f>'DICTIONARY-5'!$A$13</f>
        <v>woda pitna</v>
      </c>
      <c r="AE1807" s="742">
        <v>110</v>
      </c>
      <c r="AF1807" s="743">
        <v>119</v>
      </c>
      <c r="AG1807" s="741" t="str">
        <f>'DICTIONARY-5'!$A$23</f>
        <v>powłoka epoksydowa</v>
      </c>
    </row>
    <row r="1808" spans="1:33" x14ac:dyDescent="0.25">
      <c r="A1808" s="844" t="s">
        <v>5214</v>
      </c>
      <c r="B1808" s="844" t="s">
        <v>5399</v>
      </c>
      <c r="C1808" s="836">
        <v>4026</v>
      </c>
      <c r="D1808" s="836"/>
      <c r="E1808" s="836"/>
      <c r="F1808" s="836"/>
      <c r="G1808" s="496" t="s">
        <v>7832</v>
      </c>
      <c r="H1808" s="797" t="str">
        <f>VLOOKUP(G1808,SETTINGS!$B$7:$D$97,2,0)</f>
        <v>CEREX 300</v>
      </c>
      <c r="I1808" s="796">
        <f>VLOOKUP(G1808,SETTINGS!$B$7:$D$97,3,0)</f>
        <v>0</v>
      </c>
      <c r="J1808" s="670" t="str">
        <f>IFERROR(IF(CURRENCY.FORMAT_1=0,CONCATENATE(TEXT(FIXED(ROUND((C1808/EXC.RATE_1),CURRENCY.FORMAT_1),CURRENCY.FORMAT_1,1),"# ##0;-# ##0"),",-"),FIXED(ROUND((C1808/EXC.RATE_1),CURRENCY.FORMAT_1),CURRENCY.FORMAT_1,0)),'DICTIONARY-5'!$A$2)</f>
        <v>4 026,-</v>
      </c>
      <c r="K1808" s="670" t="str">
        <f>IF(EXC.RATE_2=0,"",IFERROR(IF(CURRENCY.FORMAT_2=0,CONCATENATE(TEXT(FIXED(ROUND(IF(EXC.RATE.SWITCH=1,C1808/EXC.RATE_2,C1808*EXC.RATE_2),CURRENCY.FORMAT_2),CURRENCY.FORMAT_2,1),"# ##0;-# ##0"),",-"),FIXED(ROUND(IF(EXC.RATE.SWITCH=1,C1808/EXC.RATE_2,C1808*EXC.RATE_2),CURRENCY.FORMAT_2),CURRENCY.FORMAT_2,0)),'DICTIONARY-5'!$A$2))</f>
        <v/>
      </c>
      <c r="L1808" s="670" t="str">
        <f>IFERROR(IF(CURRENCY.FORMAT_1=0,CONCATENATE(TEXT(FIXED(ROUND((C1808*(1-I1808)*(1-ADD.DISCOUNT)*(1+MAT.SURCHARGE)/EXC.RATE_1),CURRENCY.FORMAT_1),CURRENCY.FORMAT_1,1),"# ##0;-# ##0"),",-"),FIXED(ROUND((C1808*(1-I1808)*(1-ADD.DISCOUNT)*(1+MAT.SURCHARGE)/EXC.RATE_1),CURRENCY.FORMAT_1),CURRENCY.FORMAT_1,0)),'DICTIONARY-5'!$A$2)</f>
        <v>4 183,-</v>
      </c>
      <c r="M1808" s="670" t="str">
        <f>IF(EXC.RATE_2=0,"",IFERROR(IF(CURRENCY.FORMAT_2=0,CONCATENATE(TEXT(FIXED(ROUND(IF(EXC.RATE.SWITCH=1,C1808*(1-I1808)*(1-ADD.DISCOUNT)*(1+MAT.SURCHARGE)/EXC.RATE_2,C1808*(1-I1808)*(1-ADD.DISCOUNT)*(1+MAT.SURCHARGE)*EXC.RATE_2),CURRENCY.FORMAT_2),CURRENCY.FORMAT_2,1),"# ##0;-# ##0"),",-"),FIXED(ROUND(IF(EXC.RATE.SWITCH=1,C1808*(1-I1808)*(1-ADD.DISCOUNT)*(1+MAT.SURCHARGE)/EXC.RATE_2,C1808*(1-I1808)*(1-ADD.DISCOUNT)*(1+MAT.SURCHARGE)*EXC.RATE_2),CURRENCY.FORMAT_2),CURRENCY.FORMAT_2,0)),'DICTIONARY-5'!$A$2))</f>
        <v/>
      </c>
      <c r="N1808" s="541">
        <v>6</v>
      </c>
      <c r="O1808" s="654" t="s">
        <v>7363</v>
      </c>
      <c r="P1808" s="731" t="str">
        <f>'DICTIONARY-3'!$A$148</f>
        <v>CEREX 300-L</v>
      </c>
      <c r="Q1808" s="731" t="str">
        <f>'DICTIONARY-3'!$A$204</f>
        <v>Przepustnica kołnierzowa</v>
      </c>
      <c r="R1808" s="732" t="str">
        <f>CONCATENATE('DICTIONARY-3'!$A$148," ",'DICTIONARY-6'!$A$2," ",'DICTIONARY-2'!$A$2,"500"," ",'DICTIONARY-2'!$A$3,"10"," ",'DICTIONARY-5'!$A$37,"/",'DICTIONARY-5'!$A$44,", ",'DICTIONARY-4'!$A$2)</f>
        <v>CEREX 300-L Przep. kołnierz. DN500 PN10 CF8M/EPDM, WW</v>
      </c>
      <c r="S1808" s="733" t="str">
        <f>'DICTIONARY-4'!$A$2</f>
        <v>WW</v>
      </c>
      <c r="T1808" s="732" t="str">
        <f>'DICTIONARY-4'!$A$18</f>
        <v>Wolny wałek</v>
      </c>
      <c r="U1808" s="734" t="s">
        <v>5756</v>
      </c>
      <c r="V1808" s="735">
        <v>10</v>
      </c>
      <c r="W1808" s="736"/>
      <c r="X1808" s="737"/>
      <c r="Y1808" s="738"/>
      <c r="Z1808" s="739"/>
      <c r="AA1808" s="739"/>
      <c r="AB1808" s="740">
        <v>10</v>
      </c>
      <c r="AC1808" s="741" t="str">
        <f>'DICTIONARY-5'!$A$11&amp;" 20"</f>
        <v>EN 558 szereg 20</v>
      </c>
      <c r="AD1808" s="741" t="str">
        <f>'DICTIONARY-5'!$A$13</f>
        <v>woda pitna</v>
      </c>
      <c r="AE1808" s="742">
        <v>110</v>
      </c>
      <c r="AF1808" s="743">
        <v>138</v>
      </c>
      <c r="AG1808" s="741" t="str">
        <f>'DICTIONARY-5'!$A$23</f>
        <v>powłoka epoksydowa</v>
      </c>
    </row>
    <row r="1809" spans="1:33" x14ac:dyDescent="0.25">
      <c r="A1809" s="844" t="s">
        <v>5216</v>
      </c>
      <c r="B1809" s="844" t="s">
        <v>5400</v>
      </c>
      <c r="C1809" s="836">
        <v>5195</v>
      </c>
      <c r="D1809" s="836"/>
      <c r="E1809" s="836"/>
      <c r="F1809" s="836"/>
      <c r="G1809" s="496" t="s">
        <v>7832</v>
      </c>
      <c r="H1809" s="797" t="str">
        <f>VLOOKUP(G1809,SETTINGS!$B$7:$D$97,2,0)</f>
        <v>CEREX 300</v>
      </c>
      <c r="I1809" s="796">
        <f>VLOOKUP(G1809,SETTINGS!$B$7:$D$97,3,0)</f>
        <v>0</v>
      </c>
      <c r="J1809" s="670" t="str">
        <f>IFERROR(IF(CURRENCY.FORMAT_1=0,CONCATENATE(TEXT(FIXED(ROUND((C1809/EXC.RATE_1),CURRENCY.FORMAT_1),CURRENCY.FORMAT_1,1),"# ##0;-# ##0"),",-"),FIXED(ROUND((C1809/EXC.RATE_1),CURRENCY.FORMAT_1),CURRENCY.FORMAT_1,0)),'DICTIONARY-5'!$A$2)</f>
        <v>5 195,-</v>
      </c>
      <c r="K1809" s="670" t="str">
        <f>IF(EXC.RATE_2=0,"",IFERROR(IF(CURRENCY.FORMAT_2=0,CONCATENATE(TEXT(FIXED(ROUND(IF(EXC.RATE.SWITCH=1,C1809/EXC.RATE_2,C1809*EXC.RATE_2),CURRENCY.FORMAT_2),CURRENCY.FORMAT_2,1),"# ##0;-# ##0"),",-"),FIXED(ROUND(IF(EXC.RATE.SWITCH=1,C1809/EXC.RATE_2,C1809*EXC.RATE_2),CURRENCY.FORMAT_2),CURRENCY.FORMAT_2,0)),'DICTIONARY-5'!$A$2))</f>
        <v/>
      </c>
      <c r="L1809" s="670" t="str">
        <f>IFERROR(IF(CURRENCY.FORMAT_1=0,CONCATENATE(TEXT(FIXED(ROUND((C1809*(1-I1809)*(1-ADD.DISCOUNT)*(1+MAT.SURCHARGE)/EXC.RATE_1),CURRENCY.FORMAT_1),CURRENCY.FORMAT_1,1),"# ##0;-# ##0"),",-"),FIXED(ROUND((C1809*(1-I1809)*(1-ADD.DISCOUNT)*(1+MAT.SURCHARGE)/EXC.RATE_1),CURRENCY.FORMAT_1),CURRENCY.FORMAT_1,0)),'DICTIONARY-5'!$A$2)</f>
        <v>5 398,-</v>
      </c>
      <c r="M1809" s="670" t="str">
        <f>IF(EXC.RATE_2=0,"",IFERROR(IF(CURRENCY.FORMAT_2=0,CONCATENATE(TEXT(FIXED(ROUND(IF(EXC.RATE.SWITCH=1,C1809*(1-I1809)*(1-ADD.DISCOUNT)*(1+MAT.SURCHARGE)/EXC.RATE_2,C1809*(1-I1809)*(1-ADD.DISCOUNT)*(1+MAT.SURCHARGE)*EXC.RATE_2),CURRENCY.FORMAT_2),CURRENCY.FORMAT_2,1),"# ##0;-# ##0"),",-"),FIXED(ROUND(IF(EXC.RATE.SWITCH=1,C1809*(1-I1809)*(1-ADD.DISCOUNT)*(1+MAT.SURCHARGE)/EXC.RATE_2,C1809*(1-I1809)*(1-ADD.DISCOUNT)*(1+MAT.SURCHARGE)*EXC.RATE_2),CURRENCY.FORMAT_2),CURRENCY.FORMAT_2,0)),'DICTIONARY-5'!$A$2))</f>
        <v/>
      </c>
      <c r="N1809" s="541">
        <v>6</v>
      </c>
      <c r="O1809" s="654" t="s">
        <v>7363</v>
      </c>
      <c r="P1809" s="731" t="str">
        <f>'DICTIONARY-3'!$A$148</f>
        <v>CEREX 300-L</v>
      </c>
      <c r="Q1809" s="731" t="str">
        <f>'DICTIONARY-3'!$A$204</f>
        <v>Przepustnica kołnierzowa</v>
      </c>
      <c r="R1809" s="732" t="str">
        <f>CONCATENATE('DICTIONARY-3'!$A$148," ",'DICTIONARY-6'!$A$2," ",'DICTIONARY-2'!$A$2,"500"," ",'DICTIONARY-2'!$A$3,"16"," ",'DICTIONARY-2'!$A$10,"10",'DICTIONARY-2'!$A$20," ",'DICTIONARY-5'!$A$37,"/",'DICTIONARY-5'!$A$44,", ",'DICTIONARY-4'!$A$2)</f>
        <v>CEREX 300-L Przep. kołnierz. DN500 PN16 PS10bar CF8M/EPDM, WW</v>
      </c>
      <c r="S1809" s="733" t="str">
        <f>'DICTIONARY-4'!$A$2</f>
        <v>WW</v>
      </c>
      <c r="T1809" s="732" t="str">
        <f>'DICTIONARY-4'!$A$18</f>
        <v>Wolny wałek</v>
      </c>
      <c r="U1809" s="734" t="s">
        <v>5756</v>
      </c>
      <c r="V1809" s="735">
        <v>16</v>
      </c>
      <c r="W1809" s="736"/>
      <c r="X1809" s="737"/>
      <c r="Y1809" s="738"/>
      <c r="Z1809" s="739"/>
      <c r="AA1809" s="739"/>
      <c r="AB1809" s="740">
        <v>10</v>
      </c>
      <c r="AC1809" s="741" t="str">
        <f>'DICTIONARY-5'!$A$11&amp;" 20"</f>
        <v>EN 558 szereg 20</v>
      </c>
      <c r="AD1809" s="741" t="str">
        <f>'DICTIONARY-5'!$A$13</f>
        <v>woda pitna</v>
      </c>
      <c r="AE1809" s="742">
        <v>110</v>
      </c>
      <c r="AF1809" s="743">
        <v>162</v>
      </c>
      <c r="AG1809" s="741" t="str">
        <f>'DICTIONARY-5'!$A$23</f>
        <v>powłoka epoksydowa</v>
      </c>
    </row>
    <row r="1810" spans="1:33" x14ac:dyDescent="0.25">
      <c r="A1810" s="844" t="s">
        <v>5218</v>
      </c>
      <c r="B1810" s="844" t="s">
        <v>5401</v>
      </c>
      <c r="C1810" s="836">
        <v>5943</v>
      </c>
      <c r="D1810" s="836"/>
      <c r="E1810" s="836"/>
      <c r="F1810" s="836"/>
      <c r="G1810" s="496" t="s">
        <v>7832</v>
      </c>
      <c r="H1810" s="797" t="str">
        <f>VLOOKUP(G1810,SETTINGS!$B$7:$D$97,2,0)</f>
        <v>CEREX 300</v>
      </c>
      <c r="I1810" s="796">
        <f>VLOOKUP(G1810,SETTINGS!$B$7:$D$97,3,0)</f>
        <v>0</v>
      </c>
      <c r="J1810" s="670" t="str">
        <f>IFERROR(IF(CURRENCY.FORMAT_1=0,CONCATENATE(TEXT(FIXED(ROUND((C1810/EXC.RATE_1),CURRENCY.FORMAT_1),CURRENCY.FORMAT_1,1),"# ##0;-# ##0"),",-"),FIXED(ROUND((C1810/EXC.RATE_1),CURRENCY.FORMAT_1),CURRENCY.FORMAT_1,0)),'DICTIONARY-5'!$A$2)</f>
        <v>5 943,-</v>
      </c>
      <c r="K1810" s="670" t="str">
        <f>IF(EXC.RATE_2=0,"",IFERROR(IF(CURRENCY.FORMAT_2=0,CONCATENATE(TEXT(FIXED(ROUND(IF(EXC.RATE.SWITCH=1,C1810/EXC.RATE_2,C1810*EXC.RATE_2),CURRENCY.FORMAT_2),CURRENCY.FORMAT_2,1),"# ##0;-# ##0"),",-"),FIXED(ROUND(IF(EXC.RATE.SWITCH=1,C1810/EXC.RATE_2,C1810*EXC.RATE_2),CURRENCY.FORMAT_2),CURRENCY.FORMAT_2,0)),'DICTIONARY-5'!$A$2))</f>
        <v/>
      </c>
      <c r="L1810" s="670" t="str">
        <f>IFERROR(IF(CURRENCY.FORMAT_1=0,CONCATENATE(TEXT(FIXED(ROUND((C1810*(1-I1810)*(1-ADD.DISCOUNT)*(1+MAT.SURCHARGE)/EXC.RATE_1),CURRENCY.FORMAT_1),CURRENCY.FORMAT_1,1),"# ##0;-# ##0"),",-"),FIXED(ROUND((C1810*(1-I1810)*(1-ADD.DISCOUNT)*(1+MAT.SURCHARGE)/EXC.RATE_1),CURRENCY.FORMAT_1),CURRENCY.FORMAT_1,0)),'DICTIONARY-5'!$A$2)</f>
        <v>6 175,-</v>
      </c>
      <c r="M1810" s="670" t="str">
        <f>IF(EXC.RATE_2=0,"",IFERROR(IF(CURRENCY.FORMAT_2=0,CONCATENATE(TEXT(FIXED(ROUND(IF(EXC.RATE.SWITCH=1,C1810*(1-I1810)*(1-ADD.DISCOUNT)*(1+MAT.SURCHARGE)/EXC.RATE_2,C1810*(1-I1810)*(1-ADD.DISCOUNT)*(1+MAT.SURCHARGE)*EXC.RATE_2),CURRENCY.FORMAT_2),CURRENCY.FORMAT_2,1),"# ##0;-# ##0"),",-"),FIXED(ROUND(IF(EXC.RATE.SWITCH=1,C1810*(1-I1810)*(1-ADD.DISCOUNT)*(1+MAT.SURCHARGE)/EXC.RATE_2,C1810*(1-I1810)*(1-ADD.DISCOUNT)*(1+MAT.SURCHARGE)*EXC.RATE_2),CURRENCY.FORMAT_2),CURRENCY.FORMAT_2,0)),'DICTIONARY-5'!$A$2))</f>
        <v/>
      </c>
      <c r="N1810" s="541">
        <v>6</v>
      </c>
      <c r="O1810" s="654" t="s">
        <v>7363</v>
      </c>
      <c r="P1810" s="731" t="str">
        <f>'DICTIONARY-3'!$A$148</f>
        <v>CEREX 300-L</v>
      </c>
      <c r="Q1810" s="731" t="str">
        <f>'DICTIONARY-3'!$A$204</f>
        <v>Przepustnica kołnierzowa</v>
      </c>
      <c r="R1810" s="732" t="str">
        <f>CONCATENATE('DICTIONARY-3'!$A$148," ",'DICTIONARY-6'!$A$2," ",'DICTIONARY-2'!$A$2,"600"," ",'DICTIONARY-2'!$A$3,"10"," ",'DICTIONARY-5'!$A$37,"/",'DICTIONARY-5'!$A$44,", ",'DICTIONARY-4'!$A$2)</f>
        <v>CEREX 300-L Przep. kołnierz. DN600 PN10 CF8M/EPDM, WW</v>
      </c>
      <c r="S1810" s="733" t="str">
        <f>'DICTIONARY-4'!$A$2</f>
        <v>WW</v>
      </c>
      <c r="T1810" s="732" t="str">
        <f>'DICTIONARY-4'!$A$18</f>
        <v>Wolny wałek</v>
      </c>
      <c r="U1810" s="734" t="s">
        <v>5757</v>
      </c>
      <c r="V1810" s="735">
        <v>10</v>
      </c>
      <c r="W1810" s="736"/>
      <c r="X1810" s="737"/>
      <c r="Y1810" s="738"/>
      <c r="Z1810" s="739"/>
      <c r="AA1810" s="739"/>
      <c r="AB1810" s="740">
        <v>10</v>
      </c>
      <c r="AC1810" s="741" t="str">
        <f>'DICTIONARY-5'!$A$11&amp;" 20"</f>
        <v>EN 558 szereg 20</v>
      </c>
      <c r="AD1810" s="741" t="str">
        <f>'DICTIONARY-5'!$A$13</f>
        <v>woda pitna</v>
      </c>
      <c r="AE1810" s="742">
        <v>110</v>
      </c>
      <c r="AF1810" s="743">
        <v>215</v>
      </c>
      <c r="AG1810" s="741" t="str">
        <f>'DICTIONARY-5'!$A$23</f>
        <v>powłoka epoksydowa</v>
      </c>
    </row>
    <row r="1811" spans="1:33" x14ac:dyDescent="0.25">
      <c r="A1811" s="844" t="s">
        <v>5220</v>
      </c>
      <c r="B1811" s="844" t="s">
        <v>5402</v>
      </c>
      <c r="C1811" s="836">
        <v>6175</v>
      </c>
      <c r="D1811" s="836"/>
      <c r="E1811" s="836"/>
      <c r="F1811" s="836"/>
      <c r="G1811" s="496" t="s">
        <v>7832</v>
      </c>
      <c r="H1811" s="797" t="str">
        <f>VLOOKUP(G1811,SETTINGS!$B$7:$D$97,2,0)</f>
        <v>CEREX 300</v>
      </c>
      <c r="I1811" s="796">
        <f>VLOOKUP(G1811,SETTINGS!$B$7:$D$97,3,0)</f>
        <v>0</v>
      </c>
      <c r="J1811" s="670" t="str">
        <f>IFERROR(IF(CURRENCY.FORMAT_1=0,CONCATENATE(TEXT(FIXED(ROUND((C1811/EXC.RATE_1),CURRENCY.FORMAT_1),CURRENCY.FORMAT_1,1),"# ##0;-# ##0"),",-"),FIXED(ROUND((C1811/EXC.RATE_1),CURRENCY.FORMAT_1),CURRENCY.FORMAT_1,0)),'DICTIONARY-5'!$A$2)</f>
        <v>6 175,-</v>
      </c>
      <c r="K1811" s="670" t="str">
        <f>IF(EXC.RATE_2=0,"",IFERROR(IF(CURRENCY.FORMAT_2=0,CONCATENATE(TEXT(FIXED(ROUND(IF(EXC.RATE.SWITCH=1,C1811/EXC.RATE_2,C1811*EXC.RATE_2),CURRENCY.FORMAT_2),CURRENCY.FORMAT_2,1),"# ##0;-# ##0"),",-"),FIXED(ROUND(IF(EXC.RATE.SWITCH=1,C1811/EXC.RATE_2,C1811*EXC.RATE_2),CURRENCY.FORMAT_2),CURRENCY.FORMAT_2,0)),'DICTIONARY-5'!$A$2))</f>
        <v/>
      </c>
      <c r="L1811" s="670" t="str">
        <f>IFERROR(IF(CURRENCY.FORMAT_1=0,CONCATENATE(TEXT(FIXED(ROUND((C1811*(1-I1811)*(1-ADD.DISCOUNT)*(1+MAT.SURCHARGE)/EXC.RATE_1),CURRENCY.FORMAT_1),CURRENCY.FORMAT_1,1),"# ##0;-# ##0"),",-"),FIXED(ROUND((C1811*(1-I1811)*(1-ADD.DISCOUNT)*(1+MAT.SURCHARGE)/EXC.RATE_1),CURRENCY.FORMAT_1),CURRENCY.FORMAT_1,0)),'DICTIONARY-5'!$A$2)</f>
        <v>6 416,-</v>
      </c>
      <c r="M1811" s="670" t="str">
        <f>IF(EXC.RATE_2=0,"",IFERROR(IF(CURRENCY.FORMAT_2=0,CONCATENATE(TEXT(FIXED(ROUND(IF(EXC.RATE.SWITCH=1,C1811*(1-I1811)*(1-ADD.DISCOUNT)*(1+MAT.SURCHARGE)/EXC.RATE_2,C1811*(1-I1811)*(1-ADD.DISCOUNT)*(1+MAT.SURCHARGE)*EXC.RATE_2),CURRENCY.FORMAT_2),CURRENCY.FORMAT_2,1),"# ##0;-# ##0"),",-"),FIXED(ROUND(IF(EXC.RATE.SWITCH=1,C1811*(1-I1811)*(1-ADD.DISCOUNT)*(1+MAT.SURCHARGE)/EXC.RATE_2,C1811*(1-I1811)*(1-ADD.DISCOUNT)*(1+MAT.SURCHARGE)*EXC.RATE_2),CURRENCY.FORMAT_2),CURRENCY.FORMAT_2,0)),'DICTIONARY-5'!$A$2))</f>
        <v/>
      </c>
      <c r="N1811" s="541">
        <v>6</v>
      </c>
      <c r="O1811" s="654" t="s">
        <v>7363</v>
      </c>
      <c r="P1811" s="731" t="str">
        <f>'DICTIONARY-3'!$A$148</f>
        <v>CEREX 300-L</v>
      </c>
      <c r="Q1811" s="731" t="str">
        <f>'DICTIONARY-3'!$A$204</f>
        <v>Przepustnica kołnierzowa</v>
      </c>
      <c r="R1811" s="732" t="str">
        <f>CONCATENATE('DICTIONARY-3'!$A$148," ",'DICTIONARY-6'!$A$2," ",'DICTIONARY-2'!$A$2,"600"," ",'DICTIONARY-2'!$A$3,"16"," ",'DICTIONARY-2'!$A$10,"10",'DICTIONARY-2'!$A$20," ",'DICTIONARY-5'!$A$37,"/",'DICTIONARY-5'!$A$44,", ",'DICTIONARY-4'!$A$2)</f>
        <v>CEREX 300-L Przep. kołnierz. DN600 PN16 PS10bar CF8M/EPDM, WW</v>
      </c>
      <c r="S1811" s="733" t="str">
        <f>'DICTIONARY-4'!$A$2</f>
        <v>WW</v>
      </c>
      <c r="T1811" s="732" t="str">
        <f>'DICTIONARY-4'!$A$18</f>
        <v>Wolny wałek</v>
      </c>
      <c r="U1811" s="734" t="s">
        <v>5757</v>
      </c>
      <c r="V1811" s="735">
        <v>16</v>
      </c>
      <c r="W1811" s="736"/>
      <c r="X1811" s="737"/>
      <c r="Y1811" s="738"/>
      <c r="Z1811" s="739"/>
      <c r="AA1811" s="739"/>
      <c r="AB1811" s="740">
        <v>10</v>
      </c>
      <c r="AC1811" s="741" t="str">
        <f>'DICTIONARY-5'!$A$11&amp;" 20"</f>
        <v>EN 558 szereg 20</v>
      </c>
      <c r="AD1811" s="741" t="str">
        <f>'DICTIONARY-5'!$A$13</f>
        <v>woda pitna</v>
      </c>
      <c r="AE1811" s="742">
        <v>110</v>
      </c>
      <c r="AF1811" s="743">
        <v>269</v>
      </c>
      <c r="AG1811" s="741" t="str">
        <f>'DICTIONARY-5'!$A$23</f>
        <v>powłoka epoksydowa</v>
      </c>
    </row>
    <row r="1812" spans="1:33" x14ac:dyDescent="0.25">
      <c r="A1812" s="844" t="s">
        <v>5221</v>
      </c>
      <c r="B1812" s="844" t="s">
        <v>5403</v>
      </c>
      <c r="C1812" s="836">
        <v>157</v>
      </c>
      <c r="D1812" s="836"/>
      <c r="E1812" s="836"/>
      <c r="F1812" s="836"/>
      <c r="G1812" s="496" t="s">
        <v>7832</v>
      </c>
      <c r="H1812" s="797" t="str">
        <f>VLOOKUP(G1812,SETTINGS!$B$7:$D$97,2,0)</f>
        <v>CEREX 300</v>
      </c>
      <c r="I1812" s="796">
        <f>VLOOKUP(G1812,SETTINGS!$B$7:$D$97,3,0)</f>
        <v>0</v>
      </c>
      <c r="J1812" s="670" t="str">
        <f>IFERROR(IF(CURRENCY.FORMAT_1=0,CONCATENATE(TEXT(FIXED(ROUND((C1812/EXC.RATE_1),CURRENCY.FORMAT_1),CURRENCY.FORMAT_1,1),"# ##0;-# ##0"),",-"),FIXED(ROUND((C1812/EXC.RATE_1),CURRENCY.FORMAT_1),CURRENCY.FORMAT_1,0)),'DICTIONARY-5'!$A$2)</f>
        <v>157,-</v>
      </c>
      <c r="K1812" s="670" t="str">
        <f>IF(EXC.RATE_2=0,"",IFERROR(IF(CURRENCY.FORMAT_2=0,CONCATENATE(TEXT(FIXED(ROUND(IF(EXC.RATE.SWITCH=1,C1812/EXC.RATE_2,C1812*EXC.RATE_2),CURRENCY.FORMAT_2),CURRENCY.FORMAT_2,1),"# ##0;-# ##0"),",-"),FIXED(ROUND(IF(EXC.RATE.SWITCH=1,C1812/EXC.RATE_2,C1812*EXC.RATE_2),CURRENCY.FORMAT_2),CURRENCY.FORMAT_2,0)),'DICTIONARY-5'!$A$2))</f>
        <v/>
      </c>
      <c r="L1812" s="670" t="str">
        <f>IFERROR(IF(CURRENCY.FORMAT_1=0,CONCATENATE(TEXT(FIXED(ROUND((C1812*(1-I1812)*(1-ADD.DISCOUNT)*(1+MAT.SURCHARGE)/EXC.RATE_1),CURRENCY.FORMAT_1),CURRENCY.FORMAT_1,1),"# ##0;-# ##0"),",-"),FIXED(ROUND((C1812*(1-I1812)*(1-ADD.DISCOUNT)*(1+MAT.SURCHARGE)/EXC.RATE_1),CURRENCY.FORMAT_1),CURRENCY.FORMAT_1,0)),'DICTIONARY-5'!$A$2)</f>
        <v>163,-</v>
      </c>
      <c r="M1812" s="670" t="str">
        <f>IF(EXC.RATE_2=0,"",IFERROR(IF(CURRENCY.FORMAT_2=0,CONCATENATE(TEXT(FIXED(ROUND(IF(EXC.RATE.SWITCH=1,C1812*(1-I1812)*(1-ADD.DISCOUNT)*(1+MAT.SURCHARGE)/EXC.RATE_2,C1812*(1-I1812)*(1-ADD.DISCOUNT)*(1+MAT.SURCHARGE)*EXC.RATE_2),CURRENCY.FORMAT_2),CURRENCY.FORMAT_2,1),"# ##0;-# ##0"),",-"),FIXED(ROUND(IF(EXC.RATE.SWITCH=1,C1812*(1-I1812)*(1-ADD.DISCOUNT)*(1+MAT.SURCHARGE)/EXC.RATE_2,C1812*(1-I1812)*(1-ADD.DISCOUNT)*(1+MAT.SURCHARGE)*EXC.RATE_2),CURRENCY.FORMAT_2),CURRENCY.FORMAT_2,0)),'DICTIONARY-5'!$A$2))</f>
        <v/>
      </c>
      <c r="N1812" s="541">
        <v>6</v>
      </c>
      <c r="O1812" s="654" t="s">
        <v>7363</v>
      </c>
      <c r="P1812" s="731" t="str">
        <f>'DICTIONARY-3'!$A$148</f>
        <v>CEREX 300-L</v>
      </c>
      <c r="Q1812" s="731" t="str">
        <f>'DICTIONARY-3'!$A$204</f>
        <v>Przepustnica kołnierzowa</v>
      </c>
      <c r="R1812" s="732" t="str">
        <f>CONCATENATE('DICTIONARY-3'!$A$148," ",'DICTIONARY-6'!$A$2," ",UPPER('DICTIONARY-5'!$A$18)," ",'DICTIONARY-2'!$A$2,"50"," ",'DICTIONARY-2'!$A$3,"10/16"," ",'DICTIONARY-5'!$A$51,"/",'DICTIONARY-5'!$A$45,", ",'DICTIONARY-4'!$A$2)</f>
        <v>CEREX 300-L Przep. kołnierz. GAZ DN50 PN10/16 GGG/NBR, WW</v>
      </c>
      <c r="S1812" s="733" t="str">
        <f>'DICTIONARY-4'!$A$2</f>
        <v>WW</v>
      </c>
      <c r="T1812" s="732" t="str">
        <f>'DICTIONARY-4'!$A$18</f>
        <v>Wolny wałek</v>
      </c>
      <c r="U1812" s="734" t="s">
        <v>5748</v>
      </c>
      <c r="V1812" s="735">
        <v>16</v>
      </c>
      <c r="W1812" s="736"/>
      <c r="X1812" s="737"/>
      <c r="Y1812" s="738"/>
      <c r="Z1812" s="739"/>
      <c r="AA1812" s="739"/>
      <c r="AB1812" s="740">
        <v>16</v>
      </c>
      <c r="AC1812" s="741" t="str">
        <f>'DICTIONARY-5'!$A$11&amp;" 20"</f>
        <v>EN 558 szereg 20</v>
      </c>
      <c r="AD1812" s="733" t="str">
        <f>'DICTIONARY-5'!$A$18&amp;", "&amp;'DICTIONARY-5'!$A$14</f>
        <v>gaz, ścieki</v>
      </c>
      <c r="AE1812" s="742">
        <v>80</v>
      </c>
      <c r="AF1812" s="743">
        <v>2.8</v>
      </c>
      <c r="AG1812" s="741" t="str">
        <f>'DICTIONARY-5'!$A$23</f>
        <v>powłoka epoksydowa</v>
      </c>
    </row>
    <row r="1813" spans="1:33" x14ac:dyDescent="0.25">
      <c r="A1813" s="844" t="s">
        <v>5223</v>
      </c>
      <c r="B1813" s="844" t="s">
        <v>5404</v>
      </c>
      <c r="C1813" s="836">
        <v>168</v>
      </c>
      <c r="D1813" s="836"/>
      <c r="E1813" s="836"/>
      <c r="F1813" s="836"/>
      <c r="G1813" s="496" t="s">
        <v>7832</v>
      </c>
      <c r="H1813" s="797" t="str">
        <f>VLOOKUP(G1813,SETTINGS!$B$7:$D$97,2,0)</f>
        <v>CEREX 300</v>
      </c>
      <c r="I1813" s="796">
        <f>VLOOKUP(G1813,SETTINGS!$B$7:$D$97,3,0)</f>
        <v>0</v>
      </c>
      <c r="J1813" s="670" t="str">
        <f>IFERROR(IF(CURRENCY.FORMAT_1=0,CONCATENATE(TEXT(FIXED(ROUND((C1813/EXC.RATE_1),CURRENCY.FORMAT_1),CURRENCY.FORMAT_1,1),"# ##0;-# ##0"),",-"),FIXED(ROUND((C1813/EXC.RATE_1),CURRENCY.FORMAT_1),CURRENCY.FORMAT_1,0)),'DICTIONARY-5'!$A$2)</f>
        <v>168,-</v>
      </c>
      <c r="K1813" s="670" t="str">
        <f>IF(EXC.RATE_2=0,"",IFERROR(IF(CURRENCY.FORMAT_2=0,CONCATENATE(TEXT(FIXED(ROUND(IF(EXC.RATE.SWITCH=1,C1813/EXC.RATE_2,C1813*EXC.RATE_2),CURRENCY.FORMAT_2),CURRENCY.FORMAT_2,1),"# ##0;-# ##0"),",-"),FIXED(ROUND(IF(EXC.RATE.SWITCH=1,C1813/EXC.RATE_2,C1813*EXC.RATE_2),CURRENCY.FORMAT_2),CURRENCY.FORMAT_2,0)),'DICTIONARY-5'!$A$2))</f>
        <v/>
      </c>
      <c r="L1813" s="670" t="str">
        <f>IFERROR(IF(CURRENCY.FORMAT_1=0,CONCATENATE(TEXT(FIXED(ROUND((C1813*(1-I1813)*(1-ADD.DISCOUNT)*(1+MAT.SURCHARGE)/EXC.RATE_1),CURRENCY.FORMAT_1),CURRENCY.FORMAT_1,1),"# ##0;-# ##0"),",-"),FIXED(ROUND((C1813*(1-I1813)*(1-ADD.DISCOUNT)*(1+MAT.SURCHARGE)/EXC.RATE_1),CURRENCY.FORMAT_1),CURRENCY.FORMAT_1,0)),'DICTIONARY-5'!$A$2)</f>
        <v>175,-</v>
      </c>
      <c r="M1813" s="670" t="str">
        <f>IF(EXC.RATE_2=0,"",IFERROR(IF(CURRENCY.FORMAT_2=0,CONCATENATE(TEXT(FIXED(ROUND(IF(EXC.RATE.SWITCH=1,C1813*(1-I1813)*(1-ADD.DISCOUNT)*(1+MAT.SURCHARGE)/EXC.RATE_2,C1813*(1-I1813)*(1-ADD.DISCOUNT)*(1+MAT.SURCHARGE)*EXC.RATE_2),CURRENCY.FORMAT_2),CURRENCY.FORMAT_2,1),"# ##0;-# ##0"),",-"),FIXED(ROUND(IF(EXC.RATE.SWITCH=1,C1813*(1-I1813)*(1-ADD.DISCOUNT)*(1+MAT.SURCHARGE)/EXC.RATE_2,C1813*(1-I1813)*(1-ADD.DISCOUNT)*(1+MAT.SURCHARGE)*EXC.RATE_2),CURRENCY.FORMAT_2),CURRENCY.FORMAT_2,0)),'DICTIONARY-5'!$A$2))</f>
        <v/>
      </c>
      <c r="N1813" s="541">
        <v>6</v>
      </c>
      <c r="O1813" s="654" t="s">
        <v>7363</v>
      </c>
      <c r="P1813" s="731" t="str">
        <f>'DICTIONARY-3'!$A$148</f>
        <v>CEREX 300-L</v>
      </c>
      <c r="Q1813" s="731" t="str">
        <f>'DICTIONARY-3'!$A$204</f>
        <v>Przepustnica kołnierzowa</v>
      </c>
      <c r="R1813" s="732" t="str">
        <f>CONCATENATE('DICTIONARY-3'!$A$148," ",'DICTIONARY-6'!$A$2," ",UPPER('DICTIONARY-5'!$A$18)," ",'DICTIONARY-2'!$A$2,"65"," ",'DICTIONARY-2'!$A$3,"10/16"," ",'DICTIONARY-5'!$A$51,"/",'DICTIONARY-5'!$A$45,", ",'DICTIONARY-4'!$A$2)</f>
        <v>CEREX 300-L Przep. kołnierz. GAZ DN65 PN10/16 GGG/NBR, WW</v>
      </c>
      <c r="S1813" s="733" t="str">
        <f>'DICTIONARY-4'!$A$2</f>
        <v>WW</v>
      </c>
      <c r="T1813" s="732" t="str">
        <f>'DICTIONARY-4'!$A$18</f>
        <v>Wolny wałek</v>
      </c>
      <c r="U1813" s="734" t="s">
        <v>5759</v>
      </c>
      <c r="V1813" s="735">
        <v>16</v>
      </c>
      <c r="W1813" s="736"/>
      <c r="X1813" s="737"/>
      <c r="Y1813" s="738"/>
      <c r="Z1813" s="739"/>
      <c r="AA1813" s="739"/>
      <c r="AB1813" s="740">
        <v>16</v>
      </c>
      <c r="AC1813" s="741" t="str">
        <f>'DICTIONARY-5'!$A$11&amp;" 20"</f>
        <v>EN 558 szereg 20</v>
      </c>
      <c r="AD1813" s="733" t="str">
        <f>'DICTIONARY-5'!$A$18&amp;", "&amp;'DICTIONARY-5'!$A$14</f>
        <v>gaz, ścieki</v>
      </c>
      <c r="AE1813" s="742">
        <v>80</v>
      </c>
      <c r="AF1813" s="743">
        <v>3.5</v>
      </c>
      <c r="AG1813" s="741" t="str">
        <f>'DICTIONARY-5'!$A$23</f>
        <v>powłoka epoksydowa</v>
      </c>
    </row>
    <row r="1814" spans="1:33" x14ac:dyDescent="0.25">
      <c r="A1814" s="844" t="s">
        <v>5225</v>
      </c>
      <c r="B1814" s="844" t="s">
        <v>5405</v>
      </c>
      <c r="C1814" s="836">
        <v>197</v>
      </c>
      <c r="D1814" s="836"/>
      <c r="E1814" s="836"/>
      <c r="F1814" s="836"/>
      <c r="G1814" s="496" t="s">
        <v>7832</v>
      </c>
      <c r="H1814" s="797" t="str">
        <f>VLOOKUP(G1814,SETTINGS!$B$7:$D$97,2,0)</f>
        <v>CEREX 300</v>
      </c>
      <c r="I1814" s="796">
        <f>VLOOKUP(G1814,SETTINGS!$B$7:$D$97,3,0)</f>
        <v>0</v>
      </c>
      <c r="J1814" s="670" t="str">
        <f>IFERROR(IF(CURRENCY.FORMAT_1=0,CONCATENATE(TEXT(FIXED(ROUND((C1814/EXC.RATE_1),CURRENCY.FORMAT_1),CURRENCY.FORMAT_1,1),"# ##0;-# ##0"),",-"),FIXED(ROUND((C1814/EXC.RATE_1),CURRENCY.FORMAT_1),CURRENCY.FORMAT_1,0)),'DICTIONARY-5'!$A$2)</f>
        <v>197,-</v>
      </c>
      <c r="K1814" s="670" t="str">
        <f>IF(EXC.RATE_2=0,"",IFERROR(IF(CURRENCY.FORMAT_2=0,CONCATENATE(TEXT(FIXED(ROUND(IF(EXC.RATE.SWITCH=1,C1814/EXC.RATE_2,C1814*EXC.RATE_2),CURRENCY.FORMAT_2),CURRENCY.FORMAT_2,1),"# ##0;-# ##0"),",-"),FIXED(ROUND(IF(EXC.RATE.SWITCH=1,C1814/EXC.RATE_2,C1814*EXC.RATE_2),CURRENCY.FORMAT_2),CURRENCY.FORMAT_2,0)),'DICTIONARY-5'!$A$2))</f>
        <v/>
      </c>
      <c r="L1814" s="670" t="str">
        <f>IFERROR(IF(CURRENCY.FORMAT_1=0,CONCATENATE(TEXT(FIXED(ROUND((C1814*(1-I1814)*(1-ADD.DISCOUNT)*(1+MAT.SURCHARGE)/EXC.RATE_1),CURRENCY.FORMAT_1),CURRENCY.FORMAT_1,1),"# ##0;-# ##0"),",-"),FIXED(ROUND((C1814*(1-I1814)*(1-ADD.DISCOUNT)*(1+MAT.SURCHARGE)/EXC.RATE_1),CURRENCY.FORMAT_1),CURRENCY.FORMAT_1,0)),'DICTIONARY-5'!$A$2)</f>
        <v>205,-</v>
      </c>
      <c r="M1814" s="670" t="str">
        <f>IF(EXC.RATE_2=0,"",IFERROR(IF(CURRENCY.FORMAT_2=0,CONCATENATE(TEXT(FIXED(ROUND(IF(EXC.RATE.SWITCH=1,C1814*(1-I1814)*(1-ADD.DISCOUNT)*(1+MAT.SURCHARGE)/EXC.RATE_2,C1814*(1-I1814)*(1-ADD.DISCOUNT)*(1+MAT.SURCHARGE)*EXC.RATE_2),CURRENCY.FORMAT_2),CURRENCY.FORMAT_2,1),"# ##0;-# ##0"),",-"),FIXED(ROUND(IF(EXC.RATE.SWITCH=1,C1814*(1-I1814)*(1-ADD.DISCOUNT)*(1+MAT.SURCHARGE)/EXC.RATE_2,C1814*(1-I1814)*(1-ADD.DISCOUNT)*(1+MAT.SURCHARGE)*EXC.RATE_2),CURRENCY.FORMAT_2),CURRENCY.FORMAT_2,0)),'DICTIONARY-5'!$A$2))</f>
        <v/>
      </c>
      <c r="N1814" s="541">
        <v>6</v>
      </c>
      <c r="O1814" s="654" t="s">
        <v>7363</v>
      </c>
      <c r="P1814" s="731" t="str">
        <f>'DICTIONARY-3'!$A$148</f>
        <v>CEREX 300-L</v>
      </c>
      <c r="Q1814" s="731" t="str">
        <f>'DICTIONARY-3'!$A$204</f>
        <v>Przepustnica kołnierzowa</v>
      </c>
      <c r="R1814" s="732" t="str">
        <f>CONCATENATE('DICTIONARY-3'!$A$148," ",'DICTIONARY-6'!$A$2," ",UPPER('DICTIONARY-5'!$A$18)," ",'DICTIONARY-2'!$A$2,"80"," ",'DICTIONARY-2'!$A$3,"10/16"," ",'DICTIONARY-5'!$A$51,"/",'DICTIONARY-5'!$A$45,", ",'DICTIONARY-4'!$A$2)</f>
        <v>CEREX 300-L Przep. kołnierz. GAZ DN80 PN10/16 GGG/NBR, WW</v>
      </c>
      <c r="S1814" s="733" t="str">
        <f>'DICTIONARY-4'!$A$2</f>
        <v>WW</v>
      </c>
      <c r="T1814" s="732" t="str">
        <f>'DICTIONARY-4'!$A$18</f>
        <v>Wolny wałek</v>
      </c>
      <c r="U1814" s="734" t="s">
        <v>5760</v>
      </c>
      <c r="V1814" s="735">
        <v>16</v>
      </c>
      <c r="W1814" s="736"/>
      <c r="X1814" s="737"/>
      <c r="Y1814" s="738"/>
      <c r="Z1814" s="739"/>
      <c r="AA1814" s="739"/>
      <c r="AB1814" s="740">
        <v>16</v>
      </c>
      <c r="AC1814" s="741" t="str">
        <f>'DICTIONARY-5'!$A$11&amp;" 20"</f>
        <v>EN 558 szereg 20</v>
      </c>
      <c r="AD1814" s="733" t="str">
        <f>'DICTIONARY-5'!$A$18&amp;", "&amp;'DICTIONARY-5'!$A$14</f>
        <v>gaz, ścieki</v>
      </c>
      <c r="AE1814" s="742">
        <v>80</v>
      </c>
      <c r="AF1814" s="743">
        <v>4.7</v>
      </c>
      <c r="AG1814" s="741" t="str">
        <f>'DICTIONARY-5'!$A$23</f>
        <v>powłoka epoksydowa</v>
      </c>
    </row>
    <row r="1815" spans="1:33" x14ac:dyDescent="0.25">
      <c r="A1815" s="844" t="s">
        <v>5227</v>
      </c>
      <c r="B1815" s="844" t="s">
        <v>5406</v>
      </c>
      <c r="C1815" s="836">
        <v>227</v>
      </c>
      <c r="D1815" s="836"/>
      <c r="E1815" s="836"/>
      <c r="F1815" s="836"/>
      <c r="G1815" s="496" t="s">
        <v>7832</v>
      </c>
      <c r="H1815" s="797" t="str">
        <f>VLOOKUP(G1815,SETTINGS!$B$7:$D$97,2,0)</f>
        <v>CEREX 300</v>
      </c>
      <c r="I1815" s="796">
        <f>VLOOKUP(G1815,SETTINGS!$B$7:$D$97,3,0)</f>
        <v>0</v>
      </c>
      <c r="J1815" s="670" t="str">
        <f>IFERROR(IF(CURRENCY.FORMAT_1=0,CONCATENATE(TEXT(FIXED(ROUND((C1815/EXC.RATE_1),CURRENCY.FORMAT_1),CURRENCY.FORMAT_1,1),"# ##0;-# ##0"),",-"),FIXED(ROUND((C1815/EXC.RATE_1),CURRENCY.FORMAT_1),CURRENCY.FORMAT_1,0)),'DICTIONARY-5'!$A$2)</f>
        <v>227,-</v>
      </c>
      <c r="K1815" s="670" t="str">
        <f>IF(EXC.RATE_2=0,"",IFERROR(IF(CURRENCY.FORMAT_2=0,CONCATENATE(TEXT(FIXED(ROUND(IF(EXC.RATE.SWITCH=1,C1815/EXC.RATE_2,C1815*EXC.RATE_2),CURRENCY.FORMAT_2),CURRENCY.FORMAT_2,1),"# ##0;-# ##0"),",-"),FIXED(ROUND(IF(EXC.RATE.SWITCH=1,C1815/EXC.RATE_2,C1815*EXC.RATE_2),CURRENCY.FORMAT_2),CURRENCY.FORMAT_2,0)),'DICTIONARY-5'!$A$2))</f>
        <v/>
      </c>
      <c r="L1815" s="670" t="str">
        <f>IFERROR(IF(CURRENCY.FORMAT_1=0,CONCATENATE(TEXT(FIXED(ROUND((C1815*(1-I1815)*(1-ADD.DISCOUNT)*(1+MAT.SURCHARGE)/EXC.RATE_1),CURRENCY.FORMAT_1),CURRENCY.FORMAT_1,1),"# ##0;-# ##0"),",-"),FIXED(ROUND((C1815*(1-I1815)*(1-ADD.DISCOUNT)*(1+MAT.SURCHARGE)/EXC.RATE_1),CURRENCY.FORMAT_1),CURRENCY.FORMAT_1,0)),'DICTIONARY-5'!$A$2)</f>
        <v>236,-</v>
      </c>
      <c r="M1815" s="670" t="str">
        <f>IF(EXC.RATE_2=0,"",IFERROR(IF(CURRENCY.FORMAT_2=0,CONCATENATE(TEXT(FIXED(ROUND(IF(EXC.RATE.SWITCH=1,C1815*(1-I1815)*(1-ADD.DISCOUNT)*(1+MAT.SURCHARGE)/EXC.RATE_2,C1815*(1-I1815)*(1-ADD.DISCOUNT)*(1+MAT.SURCHARGE)*EXC.RATE_2),CURRENCY.FORMAT_2),CURRENCY.FORMAT_2,1),"# ##0;-# ##0"),",-"),FIXED(ROUND(IF(EXC.RATE.SWITCH=1,C1815*(1-I1815)*(1-ADD.DISCOUNT)*(1+MAT.SURCHARGE)/EXC.RATE_2,C1815*(1-I1815)*(1-ADD.DISCOUNT)*(1+MAT.SURCHARGE)*EXC.RATE_2),CURRENCY.FORMAT_2),CURRENCY.FORMAT_2,0)),'DICTIONARY-5'!$A$2))</f>
        <v/>
      </c>
      <c r="N1815" s="541">
        <v>6</v>
      </c>
      <c r="O1815" s="654" t="s">
        <v>7363</v>
      </c>
      <c r="P1815" s="731" t="str">
        <f>'DICTIONARY-3'!$A$148</f>
        <v>CEREX 300-L</v>
      </c>
      <c r="Q1815" s="731" t="str">
        <f>'DICTIONARY-3'!$A$204</f>
        <v>Przepustnica kołnierzowa</v>
      </c>
      <c r="R1815" s="732" t="str">
        <f>CONCATENATE('DICTIONARY-3'!$A$148," ",'DICTIONARY-6'!$A$2," ",UPPER('DICTIONARY-5'!$A$18)," ",'DICTIONARY-2'!$A$2,"100"," ",'DICTIONARY-2'!$A$3,"10/16"," ",'DICTIONARY-5'!$A$51,"/",'DICTIONARY-5'!$A$45,", ",'DICTIONARY-4'!$A$2)</f>
        <v>CEREX 300-L Przep. kołnierz. GAZ DN100 PN10/16 GGG/NBR, WW</v>
      </c>
      <c r="S1815" s="733" t="str">
        <f>'DICTIONARY-4'!$A$2</f>
        <v>WW</v>
      </c>
      <c r="T1815" s="732" t="str">
        <f>'DICTIONARY-4'!$A$18</f>
        <v>Wolny wałek</v>
      </c>
      <c r="U1815" s="734" t="s">
        <v>5749</v>
      </c>
      <c r="V1815" s="735">
        <v>16</v>
      </c>
      <c r="W1815" s="736"/>
      <c r="X1815" s="737"/>
      <c r="Y1815" s="738"/>
      <c r="Z1815" s="739"/>
      <c r="AA1815" s="739"/>
      <c r="AB1815" s="740">
        <v>16</v>
      </c>
      <c r="AC1815" s="741" t="str">
        <f>'DICTIONARY-5'!$A$11&amp;" 20"</f>
        <v>EN 558 szereg 20</v>
      </c>
      <c r="AD1815" s="733" t="str">
        <f>'DICTIONARY-5'!$A$18&amp;", "&amp;'DICTIONARY-5'!$A$14</f>
        <v>gaz, ścieki</v>
      </c>
      <c r="AE1815" s="742">
        <v>80</v>
      </c>
      <c r="AF1815" s="743">
        <v>7</v>
      </c>
      <c r="AG1815" s="741" t="str">
        <f>'DICTIONARY-5'!$A$23</f>
        <v>powłoka epoksydowa</v>
      </c>
    </row>
    <row r="1816" spans="1:33" x14ac:dyDescent="0.25">
      <c r="A1816" s="844" t="s">
        <v>5229</v>
      </c>
      <c r="B1816" s="844" t="s">
        <v>5407</v>
      </c>
      <c r="C1816" s="836">
        <v>258</v>
      </c>
      <c r="D1816" s="836"/>
      <c r="E1816" s="836"/>
      <c r="F1816" s="836"/>
      <c r="G1816" s="496" t="s">
        <v>7832</v>
      </c>
      <c r="H1816" s="797" t="str">
        <f>VLOOKUP(G1816,SETTINGS!$B$7:$D$97,2,0)</f>
        <v>CEREX 300</v>
      </c>
      <c r="I1816" s="796">
        <f>VLOOKUP(G1816,SETTINGS!$B$7:$D$97,3,0)</f>
        <v>0</v>
      </c>
      <c r="J1816" s="670" t="str">
        <f>IFERROR(IF(CURRENCY.FORMAT_1=0,CONCATENATE(TEXT(FIXED(ROUND((C1816/EXC.RATE_1),CURRENCY.FORMAT_1),CURRENCY.FORMAT_1,1),"# ##0;-# ##0"),",-"),FIXED(ROUND((C1816/EXC.RATE_1),CURRENCY.FORMAT_1),CURRENCY.FORMAT_1,0)),'DICTIONARY-5'!$A$2)</f>
        <v>258,-</v>
      </c>
      <c r="K1816" s="670" t="str">
        <f>IF(EXC.RATE_2=0,"",IFERROR(IF(CURRENCY.FORMAT_2=0,CONCATENATE(TEXT(FIXED(ROUND(IF(EXC.RATE.SWITCH=1,C1816/EXC.RATE_2,C1816*EXC.RATE_2),CURRENCY.FORMAT_2),CURRENCY.FORMAT_2,1),"# ##0;-# ##0"),",-"),FIXED(ROUND(IF(EXC.RATE.SWITCH=1,C1816/EXC.RATE_2,C1816*EXC.RATE_2),CURRENCY.FORMAT_2),CURRENCY.FORMAT_2,0)),'DICTIONARY-5'!$A$2))</f>
        <v/>
      </c>
      <c r="L1816" s="670" t="str">
        <f>IFERROR(IF(CURRENCY.FORMAT_1=0,CONCATENATE(TEXT(FIXED(ROUND((C1816*(1-I1816)*(1-ADD.DISCOUNT)*(1+MAT.SURCHARGE)/EXC.RATE_1),CURRENCY.FORMAT_1),CURRENCY.FORMAT_1,1),"# ##0;-# ##0"),",-"),FIXED(ROUND((C1816*(1-I1816)*(1-ADD.DISCOUNT)*(1+MAT.SURCHARGE)/EXC.RATE_1),CURRENCY.FORMAT_1),CURRENCY.FORMAT_1,0)),'DICTIONARY-5'!$A$2)</f>
        <v>268,-</v>
      </c>
      <c r="M1816" s="670" t="str">
        <f>IF(EXC.RATE_2=0,"",IFERROR(IF(CURRENCY.FORMAT_2=0,CONCATENATE(TEXT(FIXED(ROUND(IF(EXC.RATE.SWITCH=1,C1816*(1-I1816)*(1-ADD.DISCOUNT)*(1+MAT.SURCHARGE)/EXC.RATE_2,C1816*(1-I1816)*(1-ADD.DISCOUNT)*(1+MAT.SURCHARGE)*EXC.RATE_2),CURRENCY.FORMAT_2),CURRENCY.FORMAT_2,1),"# ##0;-# ##0"),",-"),FIXED(ROUND(IF(EXC.RATE.SWITCH=1,C1816*(1-I1816)*(1-ADD.DISCOUNT)*(1+MAT.SURCHARGE)/EXC.RATE_2,C1816*(1-I1816)*(1-ADD.DISCOUNT)*(1+MAT.SURCHARGE)*EXC.RATE_2),CURRENCY.FORMAT_2),CURRENCY.FORMAT_2,0)),'DICTIONARY-5'!$A$2))</f>
        <v/>
      </c>
      <c r="N1816" s="541">
        <v>6</v>
      </c>
      <c r="O1816" s="654" t="s">
        <v>7363</v>
      </c>
      <c r="P1816" s="731" t="str">
        <f>'DICTIONARY-3'!$A$148</f>
        <v>CEREX 300-L</v>
      </c>
      <c r="Q1816" s="731" t="str">
        <f>'DICTIONARY-3'!$A$204</f>
        <v>Przepustnica kołnierzowa</v>
      </c>
      <c r="R1816" s="732" t="str">
        <f>CONCATENATE('DICTIONARY-3'!$A$148," ",'DICTIONARY-6'!$A$2," ",UPPER('DICTIONARY-5'!$A$18)," ",'DICTIONARY-2'!$A$2,"125"," ",'DICTIONARY-2'!$A$3,"10/16"," ",'DICTIONARY-5'!$A$51,"/",'DICTIONARY-5'!$A$45,", ",'DICTIONARY-4'!$A$2)</f>
        <v>CEREX 300-L Przep. kołnierz. GAZ DN125 PN10/16 GGG/NBR, WW</v>
      </c>
      <c r="S1816" s="733" t="str">
        <f>'DICTIONARY-4'!$A$2</f>
        <v>WW</v>
      </c>
      <c r="T1816" s="732" t="str">
        <f>'DICTIONARY-4'!$A$18</f>
        <v>Wolny wałek</v>
      </c>
      <c r="U1816" s="734" t="s">
        <v>5761</v>
      </c>
      <c r="V1816" s="735">
        <v>16</v>
      </c>
      <c r="W1816" s="736"/>
      <c r="X1816" s="737"/>
      <c r="Y1816" s="738"/>
      <c r="Z1816" s="739"/>
      <c r="AA1816" s="739"/>
      <c r="AB1816" s="740">
        <v>16</v>
      </c>
      <c r="AC1816" s="741" t="str">
        <f>'DICTIONARY-5'!$A$11&amp;" 20"</f>
        <v>EN 558 szereg 20</v>
      </c>
      <c r="AD1816" s="733" t="str">
        <f>'DICTIONARY-5'!$A$18&amp;", "&amp;'DICTIONARY-5'!$A$14</f>
        <v>gaz, ścieki</v>
      </c>
      <c r="AE1816" s="742">
        <v>80</v>
      </c>
      <c r="AF1816" s="743">
        <v>9</v>
      </c>
      <c r="AG1816" s="741" t="str">
        <f>'DICTIONARY-5'!$A$23</f>
        <v>powłoka epoksydowa</v>
      </c>
    </row>
    <row r="1817" spans="1:33" x14ac:dyDescent="0.25">
      <c r="A1817" s="844" t="s">
        <v>5231</v>
      </c>
      <c r="B1817" s="844" t="s">
        <v>5408</v>
      </c>
      <c r="C1817" s="836">
        <v>339</v>
      </c>
      <c r="D1817" s="836"/>
      <c r="E1817" s="836"/>
      <c r="F1817" s="836"/>
      <c r="G1817" s="496" t="s">
        <v>7832</v>
      </c>
      <c r="H1817" s="797" t="str">
        <f>VLOOKUP(G1817,SETTINGS!$B$7:$D$97,2,0)</f>
        <v>CEREX 300</v>
      </c>
      <c r="I1817" s="796">
        <f>VLOOKUP(G1817,SETTINGS!$B$7:$D$97,3,0)</f>
        <v>0</v>
      </c>
      <c r="J1817" s="670" t="str">
        <f>IFERROR(IF(CURRENCY.FORMAT_1=0,CONCATENATE(TEXT(FIXED(ROUND((C1817/EXC.RATE_1),CURRENCY.FORMAT_1),CURRENCY.FORMAT_1,1),"# ##0;-# ##0"),",-"),FIXED(ROUND((C1817/EXC.RATE_1),CURRENCY.FORMAT_1),CURRENCY.FORMAT_1,0)),'DICTIONARY-5'!$A$2)</f>
        <v>339,-</v>
      </c>
      <c r="K1817" s="670" t="str">
        <f>IF(EXC.RATE_2=0,"",IFERROR(IF(CURRENCY.FORMAT_2=0,CONCATENATE(TEXT(FIXED(ROUND(IF(EXC.RATE.SWITCH=1,C1817/EXC.RATE_2,C1817*EXC.RATE_2),CURRENCY.FORMAT_2),CURRENCY.FORMAT_2,1),"# ##0;-# ##0"),",-"),FIXED(ROUND(IF(EXC.RATE.SWITCH=1,C1817/EXC.RATE_2,C1817*EXC.RATE_2),CURRENCY.FORMAT_2),CURRENCY.FORMAT_2,0)),'DICTIONARY-5'!$A$2))</f>
        <v/>
      </c>
      <c r="L1817" s="670" t="str">
        <f>IFERROR(IF(CURRENCY.FORMAT_1=0,CONCATENATE(TEXT(FIXED(ROUND((C1817*(1-I1817)*(1-ADD.DISCOUNT)*(1+MAT.SURCHARGE)/EXC.RATE_1),CURRENCY.FORMAT_1),CURRENCY.FORMAT_1,1),"# ##0;-# ##0"),",-"),FIXED(ROUND((C1817*(1-I1817)*(1-ADD.DISCOUNT)*(1+MAT.SURCHARGE)/EXC.RATE_1),CURRENCY.FORMAT_1),CURRENCY.FORMAT_1,0)),'DICTIONARY-5'!$A$2)</f>
        <v>352,-</v>
      </c>
      <c r="M1817" s="670" t="str">
        <f>IF(EXC.RATE_2=0,"",IFERROR(IF(CURRENCY.FORMAT_2=0,CONCATENATE(TEXT(FIXED(ROUND(IF(EXC.RATE.SWITCH=1,C1817*(1-I1817)*(1-ADD.DISCOUNT)*(1+MAT.SURCHARGE)/EXC.RATE_2,C1817*(1-I1817)*(1-ADD.DISCOUNT)*(1+MAT.SURCHARGE)*EXC.RATE_2),CURRENCY.FORMAT_2),CURRENCY.FORMAT_2,1),"# ##0;-# ##0"),",-"),FIXED(ROUND(IF(EXC.RATE.SWITCH=1,C1817*(1-I1817)*(1-ADD.DISCOUNT)*(1+MAT.SURCHARGE)/EXC.RATE_2,C1817*(1-I1817)*(1-ADD.DISCOUNT)*(1+MAT.SURCHARGE)*EXC.RATE_2),CURRENCY.FORMAT_2),CURRENCY.FORMAT_2,0)),'DICTIONARY-5'!$A$2))</f>
        <v/>
      </c>
      <c r="N1817" s="541">
        <v>6</v>
      </c>
      <c r="O1817" s="654" t="s">
        <v>7363</v>
      </c>
      <c r="P1817" s="731" t="str">
        <f>'DICTIONARY-3'!$A$148</f>
        <v>CEREX 300-L</v>
      </c>
      <c r="Q1817" s="731" t="str">
        <f>'DICTIONARY-3'!$A$204</f>
        <v>Przepustnica kołnierzowa</v>
      </c>
      <c r="R1817" s="732" t="str">
        <f>CONCATENATE('DICTIONARY-3'!$A$148," ",'DICTIONARY-6'!$A$2," ",UPPER('DICTIONARY-5'!$A$18)," ",'DICTIONARY-2'!$A$2,"150"," ",'DICTIONARY-2'!$A$3,"10/16"," ",'DICTIONARY-5'!$A$51,"/",'DICTIONARY-5'!$A$45,", ",'DICTIONARY-4'!$A$2)</f>
        <v>CEREX 300-L Przep. kołnierz. GAZ DN150 PN10/16 GGG/NBR, WW</v>
      </c>
      <c r="S1817" s="733" t="str">
        <f>'DICTIONARY-4'!$A$2</f>
        <v>WW</v>
      </c>
      <c r="T1817" s="732" t="str">
        <f>'DICTIONARY-4'!$A$18</f>
        <v>Wolny wałek</v>
      </c>
      <c r="U1817" s="734" t="s">
        <v>5572</v>
      </c>
      <c r="V1817" s="735">
        <v>16</v>
      </c>
      <c r="W1817" s="736"/>
      <c r="X1817" s="737"/>
      <c r="Y1817" s="738"/>
      <c r="Z1817" s="739"/>
      <c r="AA1817" s="739"/>
      <c r="AB1817" s="740">
        <v>16</v>
      </c>
      <c r="AC1817" s="741" t="str">
        <f>'DICTIONARY-5'!$A$11&amp;" 20"</f>
        <v>EN 558 szereg 20</v>
      </c>
      <c r="AD1817" s="733" t="str">
        <f>'DICTIONARY-5'!$A$18&amp;", "&amp;'DICTIONARY-5'!$A$14</f>
        <v>gaz, ścieki</v>
      </c>
      <c r="AE1817" s="742">
        <v>80</v>
      </c>
      <c r="AF1817" s="743">
        <v>12</v>
      </c>
      <c r="AG1817" s="741" t="str">
        <f>'DICTIONARY-5'!$A$23</f>
        <v>powłoka epoksydowa</v>
      </c>
    </row>
    <row r="1818" spans="1:33" x14ac:dyDescent="0.25">
      <c r="A1818" s="844" t="s">
        <v>5233</v>
      </c>
      <c r="B1818" s="844" t="s">
        <v>5409</v>
      </c>
      <c r="C1818" s="836">
        <v>444</v>
      </c>
      <c r="D1818" s="836"/>
      <c r="E1818" s="836"/>
      <c r="F1818" s="836"/>
      <c r="G1818" s="496" t="s">
        <v>7832</v>
      </c>
      <c r="H1818" s="797" t="str">
        <f>VLOOKUP(G1818,SETTINGS!$B$7:$D$97,2,0)</f>
        <v>CEREX 300</v>
      </c>
      <c r="I1818" s="796">
        <f>VLOOKUP(G1818,SETTINGS!$B$7:$D$97,3,0)</f>
        <v>0</v>
      </c>
      <c r="J1818" s="670" t="str">
        <f>IFERROR(IF(CURRENCY.FORMAT_1=0,CONCATENATE(TEXT(FIXED(ROUND((C1818/EXC.RATE_1),CURRENCY.FORMAT_1),CURRENCY.FORMAT_1,1),"# ##0;-# ##0"),",-"),FIXED(ROUND((C1818/EXC.RATE_1),CURRENCY.FORMAT_1),CURRENCY.FORMAT_1,0)),'DICTIONARY-5'!$A$2)</f>
        <v>444,-</v>
      </c>
      <c r="K1818" s="670" t="str">
        <f>IF(EXC.RATE_2=0,"",IFERROR(IF(CURRENCY.FORMAT_2=0,CONCATENATE(TEXT(FIXED(ROUND(IF(EXC.RATE.SWITCH=1,C1818/EXC.RATE_2,C1818*EXC.RATE_2),CURRENCY.FORMAT_2),CURRENCY.FORMAT_2,1),"# ##0;-# ##0"),",-"),FIXED(ROUND(IF(EXC.RATE.SWITCH=1,C1818/EXC.RATE_2,C1818*EXC.RATE_2),CURRENCY.FORMAT_2),CURRENCY.FORMAT_2,0)),'DICTIONARY-5'!$A$2))</f>
        <v/>
      </c>
      <c r="L1818" s="670" t="str">
        <f>IFERROR(IF(CURRENCY.FORMAT_1=0,CONCATENATE(TEXT(FIXED(ROUND((C1818*(1-I1818)*(1-ADD.DISCOUNT)*(1+MAT.SURCHARGE)/EXC.RATE_1),CURRENCY.FORMAT_1),CURRENCY.FORMAT_1,1),"# ##0;-# ##0"),",-"),FIXED(ROUND((C1818*(1-I1818)*(1-ADD.DISCOUNT)*(1+MAT.SURCHARGE)/EXC.RATE_1),CURRENCY.FORMAT_1),CURRENCY.FORMAT_1,0)),'DICTIONARY-5'!$A$2)</f>
        <v>461,-</v>
      </c>
      <c r="M1818" s="670" t="str">
        <f>IF(EXC.RATE_2=0,"",IFERROR(IF(CURRENCY.FORMAT_2=0,CONCATENATE(TEXT(FIXED(ROUND(IF(EXC.RATE.SWITCH=1,C1818*(1-I1818)*(1-ADD.DISCOUNT)*(1+MAT.SURCHARGE)/EXC.RATE_2,C1818*(1-I1818)*(1-ADD.DISCOUNT)*(1+MAT.SURCHARGE)*EXC.RATE_2),CURRENCY.FORMAT_2),CURRENCY.FORMAT_2,1),"# ##0;-# ##0"),",-"),FIXED(ROUND(IF(EXC.RATE.SWITCH=1,C1818*(1-I1818)*(1-ADD.DISCOUNT)*(1+MAT.SURCHARGE)/EXC.RATE_2,C1818*(1-I1818)*(1-ADD.DISCOUNT)*(1+MAT.SURCHARGE)*EXC.RATE_2),CURRENCY.FORMAT_2),CURRENCY.FORMAT_2,0)),'DICTIONARY-5'!$A$2))</f>
        <v/>
      </c>
      <c r="N1818" s="541">
        <v>6</v>
      </c>
      <c r="O1818" s="654" t="s">
        <v>7363</v>
      </c>
      <c r="P1818" s="731" t="str">
        <f>'DICTIONARY-3'!$A$148</f>
        <v>CEREX 300-L</v>
      </c>
      <c r="Q1818" s="731" t="str">
        <f>'DICTIONARY-3'!$A$204</f>
        <v>Przepustnica kołnierzowa</v>
      </c>
      <c r="R1818" s="732" t="str">
        <f>CONCATENATE('DICTIONARY-3'!$A$148," ",'DICTIONARY-6'!$A$2," ",UPPER('DICTIONARY-5'!$A$18)," ",'DICTIONARY-2'!$A$2,"200"," ",'DICTIONARY-2'!$A$3,"10"," ",'DICTIONARY-5'!$A$51,"/",'DICTIONARY-5'!$A$45,", ",'DICTIONARY-4'!$A$2)</f>
        <v>CEREX 300-L Przep. kołnierz. GAZ DN200 PN10 GGG/NBR, WW</v>
      </c>
      <c r="S1818" s="733" t="str">
        <f>'DICTIONARY-4'!$A$2</f>
        <v>WW</v>
      </c>
      <c r="T1818" s="732" t="str">
        <f>'DICTIONARY-4'!$A$18</f>
        <v>Wolny wałek</v>
      </c>
      <c r="U1818" s="734" t="s">
        <v>5750</v>
      </c>
      <c r="V1818" s="735">
        <v>10</v>
      </c>
      <c r="W1818" s="736"/>
      <c r="X1818" s="737"/>
      <c r="Y1818" s="738"/>
      <c r="Z1818" s="739"/>
      <c r="AA1818" s="739"/>
      <c r="AB1818" s="740">
        <v>10</v>
      </c>
      <c r="AC1818" s="741" t="str">
        <f>'DICTIONARY-5'!$A$11&amp;" 20"</f>
        <v>EN 558 szereg 20</v>
      </c>
      <c r="AD1818" s="733" t="str">
        <f>'DICTIONARY-5'!$A$18&amp;", "&amp;'DICTIONARY-5'!$A$14</f>
        <v>gaz, ścieki</v>
      </c>
      <c r="AE1818" s="742">
        <v>80</v>
      </c>
      <c r="AF1818" s="743">
        <v>16.5</v>
      </c>
      <c r="AG1818" s="741" t="str">
        <f>'DICTIONARY-5'!$A$23</f>
        <v>powłoka epoksydowa</v>
      </c>
    </row>
    <row r="1819" spans="1:33" x14ac:dyDescent="0.25">
      <c r="A1819" s="844" t="s">
        <v>5235</v>
      </c>
      <c r="B1819" s="844" t="s">
        <v>5410</v>
      </c>
      <c r="C1819" s="836">
        <v>491</v>
      </c>
      <c r="D1819" s="836"/>
      <c r="E1819" s="836"/>
      <c r="F1819" s="836"/>
      <c r="G1819" s="496" t="s">
        <v>7832</v>
      </c>
      <c r="H1819" s="797" t="str">
        <f>VLOOKUP(G1819,SETTINGS!$B$7:$D$97,2,0)</f>
        <v>CEREX 300</v>
      </c>
      <c r="I1819" s="796">
        <f>VLOOKUP(G1819,SETTINGS!$B$7:$D$97,3,0)</f>
        <v>0</v>
      </c>
      <c r="J1819" s="670" t="str">
        <f>IFERROR(IF(CURRENCY.FORMAT_1=0,CONCATENATE(TEXT(FIXED(ROUND((C1819/EXC.RATE_1),CURRENCY.FORMAT_1),CURRENCY.FORMAT_1,1),"# ##0;-# ##0"),",-"),FIXED(ROUND((C1819/EXC.RATE_1),CURRENCY.FORMAT_1),CURRENCY.FORMAT_1,0)),'DICTIONARY-5'!$A$2)</f>
        <v>491,-</v>
      </c>
      <c r="K1819" s="670" t="str">
        <f>IF(EXC.RATE_2=0,"",IFERROR(IF(CURRENCY.FORMAT_2=0,CONCATENATE(TEXT(FIXED(ROUND(IF(EXC.RATE.SWITCH=1,C1819/EXC.RATE_2,C1819*EXC.RATE_2),CURRENCY.FORMAT_2),CURRENCY.FORMAT_2,1),"# ##0;-# ##0"),",-"),FIXED(ROUND(IF(EXC.RATE.SWITCH=1,C1819/EXC.RATE_2,C1819*EXC.RATE_2),CURRENCY.FORMAT_2),CURRENCY.FORMAT_2,0)),'DICTIONARY-5'!$A$2))</f>
        <v/>
      </c>
      <c r="L1819" s="670" t="str">
        <f>IFERROR(IF(CURRENCY.FORMAT_1=0,CONCATENATE(TEXT(FIXED(ROUND((C1819*(1-I1819)*(1-ADD.DISCOUNT)*(1+MAT.SURCHARGE)/EXC.RATE_1),CURRENCY.FORMAT_1),CURRENCY.FORMAT_1,1),"# ##0;-# ##0"),",-"),FIXED(ROUND((C1819*(1-I1819)*(1-ADD.DISCOUNT)*(1+MAT.SURCHARGE)/EXC.RATE_1),CURRENCY.FORMAT_1),CURRENCY.FORMAT_1,0)),'DICTIONARY-5'!$A$2)</f>
        <v>510,-</v>
      </c>
      <c r="M1819" s="670" t="str">
        <f>IF(EXC.RATE_2=0,"",IFERROR(IF(CURRENCY.FORMAT_2=0,CONCATENATE(TEXT(FIXED(ROUND(IF(EXC.RATE.SWITCH=1,C1819*(1-I1819)*(1-ADD.DISCOUNT)*(1+MAT.SURCHARGE)/EXC.RATE_2,C1819*(1-I1819)*(1-ADD.DISCOUNT)*(1+MAT.SURCHARGE)*EXC.RATE_2),CURRENCY.FORMAT_2),CURRENCY.FORMAT_2,1),"# ##0;-# ##0"),",-"),FIXED(ROUND(IF(EXC.RATE.SWITCH=1,C1819*(1-I1819)*(1-ADD.DISCOUNT)*(1+MAT.SURCHARGE)/EXC.RATE_2,C1819*(1-I1819)*(1-ADD.DISCOUNT)*(1+MAT.SURCHARGE)*EXC.RATE_2),CURRENCY.FORMAT_2),CURRENCY.FORMAT_2,0)),'DICTIONARY-5'!$A$2))</f>
        <v/>
      </c>
      <c r="N1819" s="541">
        <v>6</v>
      </c>
      <c r="O1819" s="654" t="s">
        <v>7363</v>
      </c>
      <c r="P1819" s="731" t="str">
        <f>'DICTIONARY-3'!$A$148</f>
        <v>CEREX 300-L</v>
      </c>
      <c r="Q1819" s="731" t="str">
        <f>'DICTIONARY-3'!$A$204</f>
        <v>Przepustnica kołnierzowa</v>
      </c>
      <c r="R1819" s="732" t="str">
        <f>CONCATENATE('DICTIONARY-3'!$A$148," ",'DICTIONARY-6'!$A$2," ",UPPER('DICTIONARY-5'!$A$18)," ",'DICTIONARY-2'!$A$2,"200"," ",'DICTIONARY-2'!$A$3,"16"," ",'DICTIONARY-5'!$A$51,"/",'DICTIONARY-5'!$A$45,", ",'DICTIONARY-4'!$A$2)</f>
        <v>CEREX 300-L Przep. kołnierz. GAZ DN200 PN16 GGG/NBR, WW</v>
      </c>
      <c r="S1819" s="733" t="str">
        <f>'DICTIONARY-4'!$A$2</f>
        <v>WW</v>
      </c>
      <c r="T1819" s="732" t="str">
        <f>'DICTIONARY-4'!$A$18</f>
        <v>Wolny wałek</v>
      </c>
      <c r="U1819" s="734" t="s">
        <v>5750</v>
      </c>
      <c r="V1819" s="735">
        <v>16</v>
      </c>
      <c r="W1819" s="736"/>
      <c r="X1819" s="737"/>
      <c r="Y1819" s="738"/>
      <c r="Z1819" s="739"/>
      <c r="AA1819" s="739"/>
      <c r="AB1819" s="740">
        <v>16</v>
      </c>
      <c r="AC1819" s="741" t="str">
        <f>'DICTIONARY-5'!$A$11&amp;" 20"</f>
        <v>EN 558 szereg 20</v>
      </c>
      <c r="AD1819" s="733" t="str">
        <f>'DICTIONARY-5'!$A$18&amp;", "&amp;'DICTIONARY-5'!$A$14</f>
        <v>gaz, ścieki</v>
      </c>
      <c r="AE1819" s="742">
        <v>80</v>
      </c>
      <c r="AF1819" s="743">
        <v>18.5</v>
      </c>
      <c r="AG1819" s="741" t="str">
        <f>'DICTIONARY-5'!$A$23</f>
        <v>powłoka epoksydowa</v>
      </c>
    </row>
    <row r="1820" spans="1:33" x14ac:dyDescent="0.25">
      <c r="A1820" s="844" t="s">
        <v>5237</v>
      </c>
      <c r="B1820" s="844" t="s">
        <v>5411</v>
      </c>
      <c r="C1820" s="836">
        <v>517</v>
      </c>
      <c r="D1820" s="836"/>
      <c r="E1820" s="836"/>
      <c r="F1820" s="836"/>
      <c r="G1820" s="496" t="s">
        <v>7832</v>
      </c>
      <c r="H1820" s="797" t="str">
        <f>VLOOKUP(G1820,SETTINGS!$B$7:$D$97,2,0)</f>
        <v>CEREX 300</v>
      </c>
      <c r="I1820" s="796">
        <f>VLOOKUP(G1820,SETTINGS!$B$7:$D$97,3,0)</f>
        <v>0</v>
      </c>
      <c r="J1820" s="670" t="str">
        <f>IFERROR(IF(CURRENCY.FORMAT_1=0,CONCATENATE(TEXT(FIXED(ROUND((C1820/EXC.RATE_1),CURRENCY.FORMAT_1),CURRENCY.FORMAT_1,1),"# ##0;-# ##0"),",-"),FIXED(ROUND((C1820/EXC.RATE_1),CURRENCY.FORMAT_1),CURRENCY.FORMAT_1,0)),'DICTIONARY-5'!$A$2)</f>
        <v>517,-</v>
      </c>
      <c r="K1820" s="670" t="str">
        <f>IF(EXC.RATE_2=0,"",IFERROR(IF(CURRENCY.FORMAT_2=0,CONCATENATE(TEXT(FIXED(ROUND(IF(EXC.RATE.SWITCH=1,C1820/EXC.RATE_2,C1820*EXC.RATE_2),CURRENCY.FORMAT_2),CURRENCY.FORMAT_2,1),"# ##0;-# ##0"),",-"),FIXED(ROUND(IF(EXC.RATE.SWITCH=1,C1820/EXC.RATE_2,C1820*EXC.RATE_2),CURRENCY.FORMAT_2),CURRENCY.FORMAT_2,0)),'DICTIONARY-5'!$A$2))</f>
        <v/>
      </c>
      <c r="L1820" s="670" t="str">
        <f>IFERROR(IF(CURRENCY.FORMAT_1=0,CONCATENATE(TEXT(FIXED(ROUND((C1820*(1-I1820)*(1-ADD.DISCOUNT)*(1+MAT.SURCHARGE)/EXC.RATE_1),CURRENCY.FORMAT_1),CURRENCY.FORMAT_1,1),"# ##0;-# ##0"),",-"),FIXED(ROUND((C1820*(1-I1820)*(1-ADD.DISCOUNT)*(1+MAT.SURCHARGE)/EXC.RATE_1),CURRENCY.FORMAT_1),CURRENCY.FORMAT_1,0)),'DICTIONARY-5'!$A$2)</f>
        <v>537,-</v>
      </c>
      <c r="M1820" s="670" t="str">
        <f>IF(EXC.RATE_2=0,"",IFERROR(IF(CURRENCY.FORMAT_2=0,CONCATENATE(TEXT(FIXED(ROUND(IF(EXC.RATE.SWITCH=1,C1820*(1-I1820)*(1-ADD.DISCOUNT)*(1+MAT.SURCHARGE)/EXC.RATE_2,C1820*(1-I1820)*(1-ADD.DISCOUNT)*(1+MAT.SURCHARGE)*EXC.RATE_2),CURRENCY.FORMAT_2),CURRENCY.FORMAT_2,1),"# ##0;-# ##0"),",-"),FIXED(ROUND(IF(EXC.RATE.SWITCH=1,C1820*(1-I1820)*(1-ADD.DISCOUNT)*(1+MAT.SURCHARGE)/EXC.RATE_2,C1820*(1-I1820)*(1-ADD.DISCOUNT)*(1+MAT.SURCHARGE)*EXC.RATE_2),CURRENCY.FORMAT_2),CURRENCY.FORMAT_2,0)),'DICTIONARY-5'!$A$2))</f>
        <v/>
      </c>
      <c r="N1820" s="541">
        <v>6</v>
      </c>
      <c r="O1820" s="654" t="s">
        <v>7363</v>
      </c>
      <c r="P1820" s="731" t="str">
        <f>'DICTIONARY-3'!$A$148</f>
        <v>CEREX 300-L</v>
      </c>
      <c r="Q1820" s="731" t="str">
        <f>'DICTIONARY-3'!$A$204</f>
        <v>Przepustnica kołnierzowa</v>
      </c>
      <c r="R1820" s="732" t="str">
        <f>CONCATENATE('DICTIONARY-3'!$A$148," ",'DICTIONARY-6'!$A$2," ",UPPER('DICTIONARY-5'!$A$18)," ",'DICTIONARY-2'!$A$2,"250"," ",'DICTIONARY-2'!$A$3,"10"," ",'DICTIONARY-5'!$A$51,"/",'DICTIONARY-5'!$A$45,", ",'DICTIONARY-4'!$A$2)</f>
        <v>CEREX 300-L Przep. kołnierz. GAZ DN250 PN10 GGG/NBR, WW</v>
      </c>
      <c r="S1820" s="733" t="str">
        <f>'DICTIONARY-4'!$A$2</f>
        <v>WW</v>
      </c>
      <c r="T1820" s="732" t="str">
        <f>'DICTIONARY-4'!$A$18</f>
        <v>Wolny wałek</v>
      </c>
      <c r="U1820" s="734" t="s">
        <v>5751</v>
      </c>
      <c r="V1820" s="735">
        <v>10</v>
      </c>
      <c r="W1820" s="736"/>
      <c r="X1820" s="737"/>
      <c r="Y1820" s="738"/>
      <c r="Z1820" s="739"/>
      <c r="AA1820" s="739"/>
      <c r="AB1820" s="740">
        <v>10</v>
      </c>
      <c r="AC1820" s="741" t="str">
        <f>'DICTIONARY-5'!$A$11&amp;" 20"</f>
        <v>EN 558 szereg 20</v>
      </c>
      <c r="AD1820" s="733" t="str">
        <f>'DICTIONARY-5'!$A$18&amp;", "&amp;'DICTIONARY-5'!$A$14</f>
        <v>gaz, ścieki</v>
      </c>
      <c r="AE1820" s="742">
        <v>80</v>
      </c>
      <c r="AF1820" s="743">
        <v>27</v>
      </c>
      <c r="AG1820" s="741" t="str">
        <f>'DICTIONARY-5'!$A$23</f>
        <v>powłoka epoksydowa</v>
      </c>
    </row>
    <row r="1821" spans="1:33" x14ac:dyDescent="0.25">
      <c r="A1821" s="844" t="s">
        <v>5239</v>
      </c>
      <c r="B1821" s="844" t="s">
        <v>5412</v>
      </c>
      <c r="C1821" s="836">
        <v>528</v>
      </c>
      <c r="D1821" s="836"/>
      <c r="E1821" s="836"/>
      <c r="F1821" s="836"/>
      <c r="G1821" s="496" t="s">
        <v>7832</v>
      </c>
      <c r="H1821" s="797" t="str">
        <f>VLOOKUP(G1821,SETTINGS!$B$7:$D$97,2,0)</f>
        <v>CEREX 300</v>
      </c>
      <c r="I1821" s="796">
        <f>VLOOKUP(G1821,SETTINGS!$B$7:$D$97,3,0)</f>
        <v>0</v>
      </c>
      <c r="J1821" s="670" t="str">
        <f>IFERROR(IF(CURRENCY.FORMAT_1=0,CONCATENATE(TEXT(FIXED(ROUND((C1821/EXC.RATE_1),CURRENCY.FORMAT_1),CURRENCY.FORMAT_1,1),"# ##0;-# ##0"),",-"),FIXED(ROUND((C1821/EXC.RATE_1),CURRENCY.FORMAT_1),CURRENCY.FORMAT_1,0)),'DICTIONARY-5'!$A$2)</f>
        <v>528,-</v>
      </c>
      <c r="K1821" s="670" t="str">
        <f>IF(EXC.RATE_2=0,"",IFERROR(IF(CURRENCY.FORMAT_2=0,CONCATENATE(TEXT(FIXED(ROUND(IF(EXC.RATE.SWITCH=1,C1821/EXC.RATE_2,C1821*EXC.RATE_2),CURRENCY.FORMAT_2),CURRENCY.FORMAT_2,1),"# ##0;-# ##0"),",-"),FIXED(ROUND(IF(EXC.RATE.SWITCH=1,C1821/EXC.RATE_2,C1821*EXC.RATE_2),CURRENCY.FORMAT_2),CURRENCY.FORMAT_2,0)),'DICTIONARY-5'!$A$2))</f>
        <v/>
      </c>
      <c r="L1821" s="670" t="str">
        <f>IFERROR(IF(CURRENCY.FORMAT_1=0,CONCATENATE(TEXT(FIXED(ROUND((C1821*(1-I1821)*(1-ADD.DISCOUNT)*(1+MAT.SURCHARGE)/EXC.RATE_1),CURRENCY.FORMAT_1),CURRENCY.FORMAT_1,1),"# ##0;-# ##0"),",-"),FIXED(ROUND((C1821*(1-I1821)*(1-ADD.DISCOUNT)*(1+MAT.SURCHARGE)/EXC.RATE_1),CURRENCY.FORMAT_1),CURRENCY.FORMAT_1,0)),'DICTIONARY-5'!$A$2)</f>
        <v>549,-</v>
      </c>
      <c r="M1821" s="670" t="str">
        <f>IF(EXC.RATE_2=0,"",IFERROR(IF(CURRENCY.FORMAT_2=0,CONCATENATE(TEXT(FIXED(ROUND(IF(EXC.RATE.SWITCH=1,C1821*(1-I1821)*(1-ADD.DISCOUNT)*(1+MAT.SURCHARGE)/EXC.RATE_2,C1821*(1-I1821)*(1-ADD.DISCOUNT)*(1+MAT.SURCHARGE)*EXC.RATE_2),CURRENCY.FORMAT_2),CURRENCY.FORMAT_2,1),"# ##0;-# ##0"),",-"),FIXED(ROUND(IF(EXC.RATE.SWITCH=1,C1821*(1-I1821)*(1-ADD.DISCOUNT)*(1+MAT.SURCHARGE)/EXC.RATE_2,C1821*(1-I1821)*(1-ADD.DISCOUNT)*(1+MAT.SURCHARGE)*EXC.RATE_2),CURRENCY.FORMAT_2),CURRENCY.FORMAT_2,0)),'DICTIONARY-5'!$A$2))</f>
        <v/>
      </c>
      <c r="N1821" s="541">
        <v>6</v>
      </c>
      <c r="O1821" s="654" t="s">
        <v>7363</v>
      </c>
      <c r="P1821" s="731" t="str">
        <f>'DICTIONARY-3'!$A$148</f>
        <v>CEREX 300-L</v>
      </c>
      <c r="Q1821" s="731" t="str">
        <f>'DICTIONARY-3'!$A$204</f>
        <v>Przepustnica kołnierzowa</v>
      </c>
      <c r="R1821" s="732" t="str">
        <f>CONCATENATE('DICTIONARY-3'!$A$148," ",'DICTIONARY-6'!$A$2," ",UPPER('DICTIONARY-5'!$A$18)," ",'DICTIONARY-2'!$A$2,"250"," ",'DICTIONARY-2'!$A$3,"16"," ",'DICTIONARY-5'!$A$51,"/",'DICTIONARY-5'!$A$45,", ",'DICTIONARY-4'!$A$2)</f>
        <v>CEREX 300-L Przep. kołnierz. GAZ DN250 PN16 GGG/NBR, WW</v>
      </c>
      <c r="S1821" s="733" t="str">
        <f>'DICTIONARY-4'!$A$2</f>
        <v>WW</v>
      </c>
      <c r="T1821" s="732" t="str">
        <f>'DICTIONARY-4'!$A$18</f>
        <v>Wolny wałek</v>
      </c>
      <c r="U1821" s="734" t="s">
        <v>5751</v>
      </c>
      <c r="V1821" s="735">
        <v>16</v>
      </c>
      <c r="W1821" s="736"/>
      <c r="X1821" s="737"/>
      <c r="Y1821" s="738"/>
      <c r="Z1821" s="739"/>
      <c r="AA1821" s="739"/>
      <c r="AB1821" s="740">
        <v>16</v>
      </c>
      <c r="AC1821" s="741" t="str">
        <f>'DICTIONARY-5'!$A$11&amp;" 20"</f>
        <v>EN 558 szereg 20</v>
      </c>
      <c r="AD1821" s="733" t="str">
        <f>'DICTIONARY-5'!$A$18&amp;", "&amp;'DICTIONARY-5'!$A$14</f>
        <v>gaz, ścieki</v>
      </c>
      <c r="AE1821" s="742">
        <v>80</v>
      </c>
      <c r="AF1821" s="743">
        <v>26.4</v>
      </c>
      <c r="AG1821" s="741" t="str">
        <f>'DICTIONARY-5'!$A$23</f>
        <v>powłoka epoksydowa</v>
      </c>
    </row>
    <row r="1822" spans="1:33" x14ac:dyDescent="0.25">
      <c r="A1822" s="844" t="s">
        <v>5241</v>
      </c>
      <c r="B1822" s="844" t="s">
        <v>5413</v>
      </c>
      <c r="C1822" s="836">
        <v>688</v>
      </c>
      <c r="D1822" s="836"/>
      <c r="E1822" s="836"/>
      <c r="F1822" s="836"/>
      <c r="G1822" s="496" t="s">
        <v>7832</v>
      </c>
      <c r="H1822" s="797" t="str">
        <f>VLOOKUP(G1822,SETTINGS!$B$7:$D$97,2,0)</f>
        <v>CEREX 300</v>
      </c>
      <c r="I1822" s="796">
        <f>VLOOKUP(G1822,SETTINGS!$B$7:$D$97,3,0)</f>
        <v>0</v>
      </c>
      <c r="J1822" s="670" t="str">
        <f>IFERROR(IF(CURRENCY.FORMAT_1=0,CONCATENATE(TEXT(FIXED(ROUND((C1822/EXC.RATE_1),CURRENCY.FORMAT_1),CURRENCY.FORMAT_1,1),"# ##0;-# ##0"),",-"),FIXED(ROUND((C1822/EXC.RATE_1),CURRENCY.FORMAT_1),CURRENCY.FORMAT_1,0)),'DICTIONARY-5'!$A$2)</f>
        <v>688,-</v>
      </c>
      <c r="K1822" s="670" t="str">
        <f>IF(EXC.RATE_2=0,"",IFERROR(IF(CURRENCY.FORMAT_2=0,CONCATENATE(TEXT(FIXED(ROUND(IF(EXC.RATE.SWITCH=1,C1822/EXC.RATE_2,C1822*EXC.RATE_2),CURRENCY.FORMAT_2),CURRENCY.FORMAT_2,1),"# ##0;-# ##0"),",-"),FIXED(ROUND(IF(EXC.RATE.SWITCH=1,C1822/EXC.RATE_2,C1822*EXC.RATE_2),CURRENCY.FORMAT_2),CURRENCY.FORMAT_2,0)),'DICTIONARY-5'!$A$2))</f>
        <v/>
      </c>
      <c r="L1822" s="670" t="str">
        <f>IFERROR(IF(CURRENCY.FORMAT_1=0,CONCATENATE(TEXT(FIXED(ROUND((C1822*(1-I1822)*(1-ADD.DISCOUNT)*(1+MAT.SURCHARGE)/EXC.RATE_1),CURRENCY.FORMAT_1),CURRENCY.FORMAT_1,1),"# ##0;-# ##0"),",-"),FIXED(ROUND((C1822*(1-I1822)*(1-ADD.DISCOUNT)*(1+MAT.SURCHARGE)/EXC.RATE_1),CURRENCY.FORMAT_1),CURRENCY.FORMAT_1,0)),'DICTIONARY-5'!$A$2)</f>
        <v>715,-</v>
      </c>
      <c r="M1822" s="670" t="str">
        <f>IF(EXC.RATE_2=0,"",IFERROR(IF(CURRENCY.FORMAT_2=0,CONCATENATE(TEXT(FIXED(ROUND(IF(EXC.RATE.SWITCH=1,C1822*(1-I1822)*(1-ADD.DISCOUNT)*(1+MAT.SURCHARGE)/EXC.RATE_2,C1822*(1-I1822)*(1-ADD.DISCOUNT)*(1+MAT.SURCHARGE)*EXC.RATE_2),CURRENCY.FORMAT_2),CURRENCY.FORMAT_2,1),"# ##0;-# ##0"),",-"),FIXED(ROUND(IF(EXC.RATE.SWITCH=1,C1822*(1-I1822)*(1-ADD.DISCOUNT)*(1+MAT.SURCHARGE)/EXC.RATE_2,C1822*(1-I1822)*(1-ADD.DISCOUNT)*(1+MAT.SURCHARGE)*EXC.RATE_2),CURRENCY.FORMAT_2),CURRENCY.FORMAT_2,0)),'DICTIONARY-5'!$A$2))</f>
        <v/>
      </c>
      <c r="N1822" s="541">
        <v>6</v>
      </c>
      <c r="O1822" s="654" t="s">
        <v>7363</v>
      </c>
      <c r="P1822" s="731" t="str">
        <f>'DICTIONARY-3'!$A$148</f>
        <v>CEREX 300-L</v>
      </c>
      <c r="Q1822" s="731" t="str">
        <f>'DICTIONARY-3'!$A$204</f>
        <v>Przepustnica kołnierzowa</v>
      </c>
      <c r="R1822" s="732" t="str">
        <f>CONCATENATE('DICTIONARY-3'!$A$148," ",'DICTIONARY-6'!$A$2," ",UPPER('DICTIONARY-5'!$A$18)," ",'DICTIONARY-2'!$A$2,"300"," ",'DICTIONARY-2'!$A$3,"10"," ",'DICTIONARY-5'!$A$51,"/",'DICTIONARY-5'!$A$45,", ",'DICTIONARY-4'!$A$2)</f>
        <v>CEREX 300-L Przep. kołnierz. GAZ DN300 PN10 GGG/NBR, WW</v>
      </c>
      <c r="S1822" s="733" t="str">
        <f>'DICTIONARY-4'!$A$2</f>
        <v>WW</v>
      </c>
      <c r="T1822" s="732" t="str">
        <f>'DICTIONARY-4'!$A$18</f>
        <v>Wolny wałek</v>
      </c>
      <c r="U1822" s="734" t="s">
        <v>5752</v>
      </c>
      <c r="V1822" s="735">
        <v>10</v>
      </c>
      <c r="W1822" s="736"/>
      <c r="X1822" s="737"/>
      <c r="Y1822" s="738"/>
      <c r="Z1822" s="739"/>
      <c r="AA1822" s="739"/>
      <c r="AB1822" s="740">
        <v>10</v>
      </c>
      <c r="AC1822" s="741" t="str">
        <f>'DICTIONARY-5'!$A$11&amp;" 20"</f>
        <v>EN 558 szereg 20</v>
      </c>
      <c r="AD1822" s="733" t="str">
        <f>'DICTIONARY-5'!$A$18&amp;", "&amp;'DICTIONARY-5'!$A$14</f>
        <v>gaz, ścieki</v>
      </c>
      <c r="AE1822" s="742">
        <v>80</v>
      </c>
      <c r="AF1822" s="743">
        <v>39.5</v>
      </c>
      <c r="AG1822" s="741" t="str">
        <f>'DICTIONARY-5'!$A$23</f>
        <v>powłoka epoksydowa</v>
      </c>
    </row>
    <row r="1823" spans="1:33" x14ac:dyDescent="0.25">
      <c r="A1823" s="844" t="s">
        <v>5243</v>
      </c>
      <c r="B1823" s="844" t="s">
        <v>5414</v>
      </c>
      <c r="C1823" s="836">
        <v>694</v>
      </c>
      <c r="D1823" s="836"/>
      <c r="E1823" s="836"/>
      <c r="F1823" s="836"/>
      <c r="G1823" s="496" t="s">
        <v>7832</v>
      </c>
      <c r="H1823" s="797" t="str">
        <f>VLOOKUP(G1823,SETTINGS!$B$7:$D$97,2,0)</f>
        <v>CEREX 300</v>
      </c>
      <c r="I1823" s="796">
        <f>VLOOKUP(G1823,SETTINGS!$B$7:$D$97,3,0)</f>
        <v>0</v>
      </c>
      <c r="J1823" s="670" t="str">
        <f>IFERROR(IF(CURRENCY.FORMAT_1=0,CONCATENATE(TEXT(FIXED(ROUND((C1823/EXC.RATE_1),CURRENCY.FORMAT_1),CURRENCY.FORMAT_1,1),"# ##0;-# ##0"),",-"),FIXED(ROUND((C1823/EXC.RATE_1),CURRENCY.FORMAT_1),CURRENCY.FORMAT_1,0)),'DICTIONARY-5'!$A$2)</f>
        <v>694,-</v>
      </c>
      <c r="K1823" s="670" t="str">
        <f>IF(EXC.RATE_2=0,"",IFERROR(IF(CURRENCY.FORMAT_2=0,CONCATENATE(TEXT(FIXED(ROUND(IF(EXC.RATE.SWITCH=1,C1823/EXC.RATE_2,C1823*EXC.RATE_2),CURRENCY.FORMAT_2),CURRENCY.FORMAT_2,1),"# ##0;-# ##0"),",-"),FIXED(ROUND(IF(EXC.RATE.SWITCH=1,C1823/EXC.RATE_2,C1823*EXC.RATE_2),CURRENCY.FORMAT_2),CURRENCY.FORMAT_2,0)),'DICTIONARY-5'!$A$2))</f>
        <v/>
      </c>
      <c r="L1823" s="670" t="str">
        <f>IFERROR(IF(CURRENCY.FORMAT_1=0,CONCATENATE(TEXT(FIXED(ROUND((C1823*(1-I1823)*(1-ADD.DISCOUNT)*(1+MAT.SURCHARGE)/EXC.RATE_1),CURRENCY.FORMAT_1),CURRENCY.FORMAT_1,1),"# ##0;-# ##0"),",-"),FIXED(ROUND((C1823*(1-I1823)*(1-ADD.DISCOUNT)*(1+MAT.SURCHARGE)/EXC.RATE_1),CURRENCY.FORMAT_1),CURRENCY.FORMAT_1,0)),'DICTIONARY-5'!$A$2)</f>
        <v>721,-</v>
      </c>
      <c r="M1823" s="670" t="str">
        <f>IF(EXC.RATE_2=0,"",IFERROR(IF(CURRENCY.FORMAT_2=0,CONCATENATE(TEXT(FIXED(ROUND(IF(EXC.RATE.SWITCH=1,C1823*(1-I1823)*(1-ADD.DISCOUNT)*(1+MAT.SURCHARGE)/EXC.RATE_2,C1823*(1-I1823)*(1-ADD.DISCOUNT)*(1+MAT.SURCHARGE)*EXC.RATE_2),CURRENCY.FORMAT_2),CURRENCY.FORMAT_2,1),"# ##0;-# ##0"),",-"),FIXED(ROUND(IF(EXC.RATE.SWITCH=1,C1823*(1-I1823)*(1-ADD.DISCOUNT)*(1+MAT.SURCHARGE)/EXC.RATE_2,C1823*(1-I1823)*(1-ADD.DISCOUNT)*(1+MAT.SURCHARGE)*EXC.RATE_2),CURRENCY.FORMAT_2),CURRENCY.FORMAT_2,0)),'DICTIONARY-5'!$A$2))</f>
        <v/>
      </c>
      <c r="N1823" s="541">
        <v>6</v>
      </c>
      <c r="O1823" s="654" t="s">
        <v>7363</v>
      </c>
      <c r="P1823" s="731" t="str">
        <f>'DICTIONARY-3'!$A$148</f>
        <v>CEREX 300-L</v>
      </c>
      <c r="Q1823" s="731" t="str">
        <f>'DICTIONARY-3'!$A$204</f>
        <v>Przepustnica kołnierzowa</v>
      </c>
      <c r="R1823" s="732" t="str">
        <f>CONCATENATE('DICTIONARY-3'!$A$148," ",'DICTIONARY-6'!$A$2," ",UPPER('DICTIONARY-5'!$A$18)," ",'DICTIONARY-2'!$A$2,"300"," ",'DICTIONARY-2'!$A$3,"16"," ",'DICTIONARY-5'!$A$51,"/",'DICTIONARY-5'!$A$45,", ",'DICTIONARY-4'!$A$2)</f>
        <v>CEREX 300-L Przep. kołnierz. GAZ DN300 PN16 GGG/NBR, WW</v>
      </c>
      <c r="S1823" s="733" t="str">
        <f>'DICTIONARY-4'!$A$2</f>
        <v>WW</v>
      </c>
      <c r="T1823" s="732" t="str">
        <f>'DICTIONARY-4'!$A$18</f>
        <v>Wolny wałek</v>
      </c>
      <c r="U1823" s="734" t="s">
        <v>5752</v>
      </c>
      <c r="V1823" s="735">
        <v>16</v>
      </c>
      <c r="W1823" s="736"/>
      <c r="X1823" s="737"/>
      <c r="Y1823" s="738"/>
      <c r="Z1823" s="739"/>
      <c r="AA1823" s="739"/>
      <c r="AB1823" s="740">
        <v>16</v>
      </c>
      <c r="AC1823" s="741" t="str">
        <f>'DICTIONARY-5'!$A$11&amp;" 20"</f>
        <v>EN 558 szereg 20</v>
      </c>
      <c r="AD1823" s="733" t="str">
        <f>'DICTIONARY-5'!$A$18&amp;", "&amp;'DICTIONARY-5'!$A$14</f>
        <v>gaz, ścieki</v>
      </c>
      <c r="AE1823" s="742">
        <v>80</v>
      </c>
      <c r="AF1823" s="743">
        <v>37</v>
      </c>
      <c r="AG1823" s="741" t="str">
        <f>'DICTIONARY-5'!$A$23</f>
        <v>powłoka epoksydowa</v>
      </c>
    </row>
    <row r="1824" spans="1:33" x14ac:dyDescent="0.25">
      <c r="A1824" s="844" t="s">
        <v>5245</v>
      </c>
      <c r="B1824" s="844" t="s">
        <v>5415</v>
      </c>
      <c r="C1824" s="836">
        <v>998</v>
      </c>
      <c r="D1824" s="836"/>
      <c r="E1824" s="836"/>
      <c r="F1824" s="836"/>
      <c r="G1824" s="496" t="s">
        <v>7832</v>
      </c>
      <c r="H1824" s="797" t="str">
        <f>VLOOKUP(G1824,SETTINGS!$B$7:$D$97,2,0)</f>
        <v>CEREX 300</v>
      </c>
      <c r="I1824" s="796">
        <f>VLOOKUP(G1824,SETTINGS!$B$7:$D$97,3,0)</f>
        <v>0</v>
      </c>
      <c r="J1824" s="670" t="str">
        <f>IFERROR(IF(CURRENCY.FORMAT_1=0,CONCATENATE(TEXT(FIXED(ROUND((C1824/EXC.RATE_1),CURRENCY.FORMAT_1),CURRENCY.FORMAT_1,1),"# ##0;-# ##0"),",-"),FIXED(ROUND((C1824/EXC.RATE_1),CURRENCY.FORMAT_1),CURRENCY.FORMAT_1,0)),'DICTIONARY-5'!$A$2)</f>
        <v>998,-</v>
      </c>
      <c r="K1824" s="670" t="str">
        <f>IF(EXC.RATE_2=0,"",IFERROR(IF(CURRENCY.FORMAT_2=0,CONCATENATE(TEXT(FIXED(ROUND(IF(EXC.RATE.SWITCH=1,C1824/EXC.RATE_2,C1824*EXC.RATE_2),CURRENCY.FORMAT_2),CURRENCY.FORMAT_2,1),"# ##0;-# ##0"),",-"),FIXED(ROUND(IF(EXC.RATE.SWITCH=1,C1824/EXC.RATE_2,C1824*EXC.RATE_2),CURRENCY.FORMAT_2),CURRENCY.FORMAT_2,0)),'DICTIONARY-5'!$A$2))</f>
        <v/>
      </c>
      <c r="L1824" s="670" t="str">
        <f>IFERROR(IF(CURRENCY.FORMAT_1=0,CONCATENATE(TEXT(FIXED(ROUND((C1824*(1-I1824)*(1-ADD.DISCOUNT)*(1+MAT.SURCHARGE)/EXC.RATE_1),CURRENCY.FORMAT_1),CURRENCY.FORMAT_1,1),"# ##0;-# ##0"),",-"),FIXED(ROUND((C1824*(1-I1824)*(1-ADD.DISCOUNT)*(1+MAT.SURCHARGE)/EXC.RATE_1),CURRENCY.FORMAT_1),CURRENCY.FORMAT_1,0)),'DICTIONARY-5'!$A$2)</f>
        <v>1 037,-</v>
      </c>
      <c r="M1824" s="670" t="str">
        <f>IF(EXC.RATE_2=0,"",IFERROR(IF(CURRENCY.FORMAT_2=0,CONCATENATE(TEXT(FIXED(ROUND(IF(EXC.RATE.SWITCH=1,C1824*(1-I1824)*(1-ADD.DISCOUNT)*(1+MAT.SURCHARGE)/EXC.RATE_2,C1824*(1-I1824)*(1-ADD.DISCOUNT)*(1+MAT.SURCHARGE)*EXC.RATE_2),CURRENCY.FORMAT_2),CURRENCY.FORMAT_2,1),"# ##0;-# ##0"),",-"),FIXED(ROUND(IF(EXC.RATE.SWITCH=1,C1824*(1-I1824)*(1-ADD.DISCOUNT)*(1+MAT.SURCHARGE)/EXC.RATE_2,C1824*(1-I1824)*(1-ADD.DISCOUNT)*(1+MAT.SURCHARGE)*EXC.RATE_2),CURRENCY.FORMAT_2),CURRENCY.FORMAT_2,0)),'DICTIONARY-5'!$A$2))</f>
        <v/>
      </c>
      <c r="N1824" s="541">
        <v>6</v>
      </c>
      <c r="O1824" s="654" t="s">
        <v>7363</v>
      </c>
      <c r="P1824" s="731" t="str">
        <f>'DICTIONARY-3'!$A$148</f>
        <v>CEREX 300-L</v>
      </c>
      <c r="Q1824" s="731" t="str">
        <f>'DICTIONARY-3'!$A$204</f>
        <v>Przepustnica kołnierzowa</v>
      </c>
      <c r="R1824" s="732" t="str">
        <f>CONCATENATE('DICTIONARY-3'!$A$148," ",'DICTIONARY-6'!$A$2," ",'DICTIONARY-2'!$A$2,"350"," ",'DICTIONARY-2'!$A$3,"10"," ",'DICTIONARY-5'!$A$51,"/",'DICTIONARY-5'!$A$45,", ",'DICTIONARY-4'!$A$2)</f>
        <v>CEREX 300-L Przep. kołnierz. DN350 PN10 GGG/NBR, WW</v>
      </c>
      <c r="S1824" s="733" t="str">
        <f>'DICTIONARY-4'!$A$2</f>
        <v>WW</v>
      </c>
      <c r="T1824" s="732" t="str">
        <f>'DICTIONARY-4'!$A$18</f>
        <v>Wolny wałek</v>
      </c>
      <c r="U1824" s="734" t="s">
        <v>5753</v>
      </c>
      <c r="V1824" s="735">
        <v>10</v>
      </c>
      <c r="W1824" s="736"/>
      <c r="X1824" s="737"/>
      <c r="Y1824" s="738"/>
      <c r="Z1824" s="739"/>
      <c r="AA1824" s="739"/>
      <c r="AB1824" s="740">
        <v>10</v>
      </c>
      <c r="AC1824" s="741" t="str">
        <f>'DICTIONARY-5'!$A$11&amp;" 20"</f>
        <v>EN 558 szereg 20</v>
      </c>
      <c r="AD1824" s="741" t="str">
        <f>'DICTIONARY-5'!$A$14</f>
        <v>ścieki</v>
      </c>
      <c r="AE1824" s="742">
        <v>80</v>
      </c>
      <c r="AF1824" s="743">
        <v>48</v>
      </c>
      <c r="AG1824" s="741" t="str">
        <f>'DICTIONARY-5'!$A$23</f>
        <v>powłoka epoksydowa</v>
      </c>
    </row>
    <row r="1825" spans="1:33" x14ac:dyDescent="0.25">
      <c r="A1825" s="844" t="s">
        <v>5247</v>
      </c>
      <c r="B1825" s="844" t="s">
        <v>5416</v>
      </c>
      <c r="C1825" s="836">
        <v>1025</v>
      </c>
      <c r="D1825" s="836"/>
      <c r="E1825" s="836"/>
      <c r="F1825" s="836"/>
      <c r="G1825" s="496" t="s">
        <v>7832</v>
      </c>
      <c r="H1825" s="797" t="str">
        <f>VLOOKUP(G1825,SETTINGS!$B$7:$D$97,2,0)</f>
        <v>CEREX 300</v>
      </c>
      <c r="I1825" s="796">
        <f>VLOOKUP(G1825,SETTINGS!$B$7:$D$97,3,0)</f>
        <v>0</v>
      </c>
      <c r="J1825" s="670" t="str">
        <f>IFERROR(IF(CURRENCY.FORMAT_1=0,CONCATENATE(TEXT(FIXED(ROUND((C1825/EXC.RATE_1),CURRENCY.FORMAT_1),CURRENCY.FORMAT_1,1),"# ##0;-# ##0"),",-"),FIXED(ROUND((C1825/EXC.RATE_1),CURRENCY.FORMAT_1),CURRENCY.FORMAT_1,0)),'DICTIONARY-5'!$A$2)</f>
        <v>1 025,-</v>
      </c>
      <c r="K1825" s="670" t="str">
        <f>IF(EXC.RATE_2=0,"",IFERROR(IF(CURRENCY.FORMAT_2=0,CONCATENATE(TEXT(FIXED(ROUND(IF(EXC.RATE.SWITCH=1,C1825/EXC.RATE_2,C1825*EXC.RATE_2),CURRENCY.FORMAT_2),CURRENCY.FORMAT_2,1),"# ##0;-# ##0"),",-"),FIXED(ROUND(IF(EXC.RATE.SWITCH=1,C1825/EXC.RATE_2,C1825*EXC.RATE_2),CURRENCY.FORMAT_2),CURRENCY.FORMAT_2,0)),'DICTIONARY-5'!$A$2))</f>
        <v/>
      </c>
      <c r="L1825" s="670" t="str">
        <f>IFERROR(IF(CURRENCY.FORMAT_1=0,CONCATENATE(TEXT(FIXED(ROUND((C1825*(1-I1825)*(1-ADD.DISCOUNT)*(1+MAT.SURCHARGE)/EXC.RATE_1),CURRENCY.FORMAT_1),CURRENCY.FORMAT_1,1),"# ##0;-# ##0"),",-"),FIXED(ROUND((C1825*(1-I1825)*(1-ADD.DISCOUNT)*(1+MAT.SURCHARGE)/EXC.RATE_1),CURRENCY.FORMAT_1),CURRENCY.FORMAT_1,0)),'DICTIONARY-5'!$A$2)</f>
        <v>1 065,-</v>
      </c>
      <c r="M1825" s="670" t="str">
        <f>IF(EXC.RATE_2=0,"",IFERROR(IF(CURRENCY.FORMAT_2=0,CONCATENATE(TEXT(FIXED(ROUND(IF(EXC.RATE.SWITCH=1,C1825*(1-I1825)*(1-ADD.DISCOUNT)*(1+MAT.SURCHARGE)/EXC.RATE_2,C1825*(1-I1825)*(1-ADD.DISCOUNT)*(1+MAT.SURCHARGE)*EXC.RATE_2),CURRENCY.FORMAT_2),CURRENCY.FORMAT_2,1),"# ##0;-# ##0"),",-"),FIXED(ROUND(IF(EXC.RATE.SWITCH=1,C1825*(1-I1825)*(1-ADD.DISCOUNT)*(1+MAT.SURCHARGE)/EXC.RATE_2,C1825*(1-I1825)*(1-ADD.DISCOUNT)*(1+MAT.SURCHARGE)*EXC.RATE_2),CURRENCY.FORMAT_2),CURRENCY.FORMAT_2,0)),'DICTIONARY-5'!$A$2))</f>
        <v/>
      </c>
      <c r="N1825" s="541">
        <v>6</v>
      </c>
      <c r="O1825" s="654" t="s">
        <v>7363</v>
      </c>
      <c r="P1825" s="731" t="str">
        <f>'DICTIONARY-3'!$A$148</f>
        <v>CEREX 300-L</v>
      </c>
      <c r="Q1825" s="731" t="str">
        <f>'DICTIONARY-3'!$A$204</f>
        <v>Przepustnica kołnierzowa</v>
      </c>
      <c r="R1825" s="732" t="str">
        <f>CONCATENATE('DICTIONARY-3'!$A$148," ",'DICTIONARY-6'!$A$2," ",'DICTIONARY-2'!$A$2,"350"," ",'DICTIONARY-2'!$A$3,"16"," ",'DICTIONARY-5'!$A$51,"/",'DICTIONARY-5'!$A$45,", ",'DICTIONARY-4'!$A$2)</f>
        <v>CEREX 300-L Przep. kołnierz. DN350 PN16 GGG/NBR, WW</v>
      </c>
      <c r="S1825" s="733" t="str">
        <f>'DICTIONARY-4'!$A$2</f>
        <v>WW</v>
      </c>
      <c r="T1825" s="732" t="str">
        <f>'DICTIONARY-4'!$A$18</f>
        <v>Wolny wałek</v>
      </c>
      <c r="U1825" s="734" t="s">
        <v>5753</v>
      </c>
      <c r="V1825" s="735">
        <v>16</v>
      </c>
      <c r="W1825" s="736"/>
      <c r="X1825" s="737"/>
      <c r="Y1825" s="738"/>
      <c r="Z1825" s="739"/>
      <c r="AA1825" s="739"/>
      <c r="AB1825" s="740">
        <v>16</v>
      </c>
      <c r="AC1825" s="741" t="str">
        <f>'DICTIONARY-5'!$A$11&amp;" 20"</f>
        <v>EN 558 szereg 20</v>
      </c>
      <c r="AD1825" s="741" t="str">
        <f>'DICTIONARY-5'!$A$14</f>
        <v>ścieki</v>
      </c>
      <c r="AE1825" s="742">
        <v>80</v>
      </c>
      <c r="AF1825" s="743">
        <v>52</v>
      </c>
      <c r="AG1825" s="741" t="str">
        <f>'DICTIONARY-5'!$A$23</f>
        <v>powłoka epoksydowa</v>
      </c>
    </row>
    <row r="1826" spans="1:33" x14ac:dyDescent="0.25">
      <c r="A1826" s="844" t="s">
        <v>5249</v>
      </c>
      <c r="B1826" s="844" t="s">
        <v>5417</v>
      </c>
      <c r="C1826" s="836">
        <v>1326</v>
      </c>
      <c r="D1826" s="836"/>
      <c r="E1826" s="836"/>
      <c r="F1826" s="836"/>
      <c r="G1826" s="496" t="s">
        <v>7832</v>
      </c>
      <c r="H1826" s="797" t="str">
        <f>VLOOKUP(G1826,SETTINGS!$B$7:$D$97,2,0)</f>
        <v>CEREX 300</v>
      </c>
      <c r="I1826" s="796">
        <f>VLOOKUP(G1826,SETTINGS!$B$7:$D$97,3,0)</f>
        <v>0</v>
      </c>
      <c r="J1826" s="670" t="str">
        <f>IFERROR(IF(CURRENCY.FORMAT_1=0,CONCATENATE(TEXT(FIXED(ROUND((C1826/EXC.RATE_1),CURRENCY.FORMAT_1),CURRENCY.FORMAT_1,1),"# ##0;-# ##0"),",-"),FIXED(ROUND((C1826/EXC.RATE_1),CURRENCY.FORMAT_1),CURRENCY.FORMAT_1,0)),'DICTIONARY-5'!$A$2)</f>
        <v>1 326,-</v>
      </c>
      <c r="K1826" s="670" t="str">
        <f>IF(EXC.RATE_2=0,"",IFERROR(IF(CURRENCY.FORMAT_2=0,CONCATENATE(TEXT(FIXED(ROUND(IF(EXC.RATE.SWITCH=1,C1826/EXC.RATE_2,C1826*EXC.RATE_2),CURRENCY.FORMAT_2),CURRENCY.FORMAT_2,1),"# ##0;-# ##0"),",-"),FIXED(ROUND(IF(EXC.RATE.SWITCH=1,C1826/EXC.RATE_2,C1826*EXC.RATE_2),CURRENCY.FORMAT_2),CURRENCY.FORMAT_2,0)),'DICTIONARY-5'!$A$2))</f>
        <v/>
      </c>
      <c r="L1826" s="670" t="str">
        <f>IFERROR(IF(CURRENCY.FORMAT_1=0,CONCATENATE(TEXT(FIXED(ROUND((C1826*(1-I1826)*(1-ADD.DISCOUNT)*(1+MAT.SURCHARGE)/EXC.RATE_1),CURRENCY.FORMAT_1),CURRENCY.FORMAT_1,1),"# ##0;-# ##0"),",-"),FIXED(ROUND((C1826*(1-I1826)*(1-ADD.DISCOUNT)*(1+MAT.SURCHARGE)/EXC.RATE_1),CURRENCY.FORMAT_1),CURRENCY.FORMAT_1,0)),'DICTIONARY-5'!$A$2)</f>
        <v>1 378,-</v>
      </c>
      <c r="M1826" s="670" t="str">
        <f>IF(EXC.RATE_2=0,"",IFERROR(IF(CURRENCY.FORMAT_2=0,CONCATENATE(TEXT(FIXED(ROUND(IF(EXC.RATE.SWITCH=1,C1826*(1-I1826)*(1-ADD.DISCOUNT)*(1+MAT.SURCHARGE)/EXC.RATE_2,C1826*(1-I1826)*(1-ADD.DISCOUNT)*(1+MAT.SURCHARGE)*EXC.RATE_2),CURRENCY.FORMAT_2),CURRENCY.FORMAT_2,1),"# ##0;-# ##0"),",-"),FIXED(ROUND(IF(EXC.RATE.SWITCH=1,C1826*(1-I1826)*(1-ADD.DISCOUNT)*(1+MAT.SURCHARGE)/EXC.RATE_2,C1826*(1-I1826)*(1-ADD.DISCOUNT)*(1+MAT.SURCHARGE)*EXC.RATE_2),CURRENCY.FORMAT_2),CURRENCY.FORMAT_2,0)),'DICTIONARY-5'!$A$2))</f>
        <v/>
      </c>
      <c r="N1826" s="541">
        <v>6</v>
      </c>
      <c r="O1826" s="654" t="s">
        <v>7363</v>
      </c>
      <c r="P1826" s="731" t="str">
        <f>'DICTIONARY-3'!$A$148</f>
        <v>CEREX 300-L</v>
      </c>
      <c r="Q1826" s="731" t="str">
        <f>'DICTIONARY-3'!$A$204</f>
        <v>Przepustnica kołnierzowa</v>
      </c>
      <c r="R1826" s="732" t="str">
        <f>CONCATENATE('DICTIONARY-3'!$A$148," ",'DICTIONARY-6'!$A$2," ",'DICTIONARY-2'!$A$2,"400"," ",'DICTIONARY-2'!$A$3,"10"," ",'DICTIONARY-5'!$A$51,"/",'DICTIONARY-5'!$A$45,", ",'DICTIONARY-4'!$A$2)</f>
        <v>CEREX 300-L Przep. kołnierz. DN400 PN10 GGG/NBR, WW</v>
      </c>
      <c r="S1826" s="733" t="str">
        <f>'DICTIONARY-4'!$A$2</f>
        <v>WW</v>
      </c>
      <c r="T1826" s="732" t="str">
        <f>'DICTIONARY-4'!$A$18</f>
        <v>Wolny wałek</v>
      </c>
      <c r="U1826" s="734" t="s">
        <v>5754</v>
      </c>
      <c r="V1826" s="735">
        <v>10</v>
      </c>
      <c r="W1826" s="736"/>
      <c r="X1826" s="737"/>
      <c r="Y1826" s="738"/>
      <c r="Z1826" s="739"/>
      <c r="AA1826" s="739"/>
      <c r="AB1826" s="740">
        <v>10</v>
      </c>
      <c r="AC1826" s="741" t="str">
        <f>'DICTIONARY-5'!$A$11&amp;" 20"</f>
        <v>EN 558 szereg 20</v>
      </c>
      <c r="AD1826" s="741" t="str">
        <f>'DICTIONARY-5'!$A$14</f>
        <v>ścieki</v>
      </c>
      <c r="AE1826" s="742">
        <v>80</v>
      </c>
      <c r="AF1826" s="743">
        <v>70</v>
      </c>
      <c r="AG1826" s="741" t="str">
        <f>'DICTIONARY-5'!$A$23</f>
        <v>powłoka epoksydowa</v>
      </c>
    </row>
    <row r="1827" spans="1:33" x14ac:dyDescent="0.25">
      <c r="A1827" s="844" t="s">
        <v>5251</v>
      </c>
      <c r="B1827" s="844" t="s">
        <v>5418</v>
      </c>
      <c r="C1827" s="836">
        <v>1346</v>
      </c>
      <c r="D1827" s="836"/>
      <c r="E1827" s="836"/>
      <c r="F1827" s="836"/>
      <c r="G1827" s="496" t="s">
        <v>7832</v>
      </c>
      <c r="H1827" s="797" t="str">
        <f>VLOOKUP(G1827,SETTINGS!$B$7:$D$97,2,0)</f>
        <v>CEREX 300</v>
      </c>
      <c r="I1827" s="796">
        <f>VLOOKUP(G1827,SETTINGS!$B$7:$D$97,3,0)</f>
        <v>0</v>
      </c>
      <c r="J1827" s="670" t="str">
        <f>IFERROR(IF(CURRENCY.FORMAT_1=0,CONCATENATE(TEXT(FIXED(ROUND((C1827/EXC.RATE_1),CURRENCY.FORMAT_1),CURRENCY.FORMAT_1,1),"# ##0;-# ##0"),",-"),FIXED(ROUND((C1827/EXC.RATE_1),CURRENCY.FORMAT_1),CURRENCY.FORMAT_1,0)),'DICTIONARY-5'!$A$2)</f>
        <v>1 346,-</v>
      </c>
      <c r="K1827" s="670" t="str">
        <f>IF(EXC.RATE_2=0,"",IFERROR(IF(CURRENCY.FORMAT_2=0,CONCATENATE(TEXT(FIXED(ROUND(IF(EXC.RATE.SWITCH=1,C1827/EXC.RATE_2,C1827*EXC.RATE_2),CURRENCY.FORMAT_2),CURRENCY.FORMAT_2,1),"# ##0;-# ##0"),",-"),FIXED(ROUND(IF(EXC.RATE.SWITCH=1,C1827/EXC.RATE_2,C1827*EXC.RATE_2),CURRENCY.FORMAT_2),CURRENCY.FORMAT_2,0)),'DICTIONARY-5'!$A$2))</f>
        <v/>
      </c>
      <c r="L1827" s="670" t="str">
        <f>IFERROR(IF(CURRENCY.FORMAT_1=0,CONCATENATE(TEXT(FIXED(ROUND((C1827*(1-I1827)*(1-ADD.DISCOUNT)*(1+MAT.SURCHARGE)/EXC.RATE_1),CURRENCY.FORMAT_1),CURRENCY.FORMAT_1,1),"# ##0;-# ##0"),",-"),FIXED(ROUND((C1827*(1-I1827)*(1-ADD.DISCOUNT)*(1+MAT.SURCHARGE)/EXC.RATE_1),CURRENCY.FORMAT_1),CURRENCY.FORMAT_1,0)),'DICTIONARY-5'!$A$2)</f>
        <v>1 398,-</v>
      </c>
      <c r="M1827" s="670" t="str">
        <f>IF(EXC.RATE_2=0,"",IFERROR(IF(CURRENCY.FORMAT_2=0,CONCATENATE(TEXT(FIXED(ROUND(IF(EXC.RATE.SWITCH=1,C1827*(1-I1827)*(1-ADD.DISCOUNT)*(1+MAT.SURCHARGE)/EXC.RATE_2,C1827*(1-I1827)*(1-ADD.DISCOUNT)*(1+MAT.SURCHARGE)*EXC.RATE_2),CURRENCY.FORMAT_2),CURRENCY.FORMAT_2,1),"# ##0;-# ##0"),",-"),FIXED(ROUND(IF(EXC.RATE.SWITCH=1,C1827*(1-I1827)*(1-ADD.DISCOUNT)*(1+MAT.SURCHARGE)/EXC.RATE_2,C1827*(1-I1827)*(1-ADD.DISCOUNT)*(1+MAT.SURCHARGE)*EXC.RATE_2),CURRENCY.FORMAT_2),CURRENCY.FORMAT_2,0)),'DICTIONARY-5'!$A$2))</f>
        <v/>
      </c>
      <c r="N1827" s="541">
        <v>6</v>
      </c>
      <c r="O1827" s="654" t="s">
        <v>7363</v>
      </c>
      <c r="P1827" s="731" t="str">
        <f>'DICTIONARY-3'!$A$148</f>
        <v>CEREX 300-L</v>
      </c>
      <c r="Q1827" s="731" t="str">
        <f>'DICTIONARY-3'!$A$204</f>
        <v>Przepustnica kołnierzowa</v>
      </c>
      <c r="R1827" s="732" t="str">
        <f>CONCATENATE('DICTIONARY-3'!$A$148," ",'DICTIONARY-6'!$A$2," ",'DICTIONARY-2'!$A$2,"400"," ",'DICTIONARY-2'!$A$3,"16"," ",'DICTIONARY-5'!$A$51,"/",'DICTIONARY-5'!$A$45,", ",'DICTIONARY-4'!$A$2)</f>
        <v>CEREX 300-L Przep. kołnierz. DN400 PN16 GGG/NBR, WW</v>
      </c>
      <c r="S1827" s="733" t="str">
        <f>'DICTIONARY-4'!$A$2</f>
        <v>WW</v>
      </c>
      <c r="T1827" s="732" t="str">
        <f>'DICTIONARY-4'!$A$18</f>
        <v>Wolny wałek</v>
      </c>
      <c r="U1827" s="734" t="s">
        <v>5754</v>
      </c>
      <c r="V1827" s="735">
        <v>16</v>
      </c>
      <c r="W1827" s="736"/>
      <c r="X1827" s="737"/>
      <c r="Y1827" s="738"/>
      <c r="Z1827" s="739"/>
      <c r="AA1827" s="739"/>
      <c r="AB1827" s="740">
        <v>16</v>
      </c>
      <c r="AC1827" s="741" t="str">
        <f>'DICTIONARY-5'!$A$11&amp;" 20"</f>
        <v>EN 558 szereg 20</v>
      </c>
      <c r="AD1827" s="741" t="str">
        <f>'DICTIONARY-5'!$A$14</f>
        <v>ścieki</v>
      </c>
      <c r="AE1827" s="742">
        <v>80</v>
      </c>
      <c r="AF1827" s="743">
        <v>75</v>
      </c>
      <c r="AG1827" s="741" t="str">
        <f>'DICTIONARY-5'!$A$23</f>
        <v>powłoka epoksydowa</v>
      </c>
    </row>
    <row r="1828" spans="1:33" x14ac:dyDescent="0.25">
      <c r="A1828" s="844" t="s">
        <v>5253</v>
      </c>
      <c r="B1828" s="844" t="s">
        <v>5419</v>
      </c>
      <c r="C1828" s="836">
        <v>2063</v>
      </c>
      <c r="D1828" s="836"/>
      <c r="E1828" s="836"/>
      <c r="F1828" s="836"/>
      <c r="G1828" s="496" t="s">
        <v>7832</v>
      </c>
      <c r="H1828" s="797" t="str">
        <f>VLOOKUP(G1828,SETTINGS!$B$7:$D$97,2,0)</f>
        <v>CEREX 300</v>
      </c>
      <c r="I1828" s="796">
        <f>VLOOKUP(G1828,SETTINGS!$B$7:$D$97,3,0)</f>
        <v>0</v>
      </c>
      <c r="J1828" s="670" t="str">
        <f>IFERROR(IF(CURRENCY.FORMAT_1=0,CONCATENATE(TEXT(FIXED(ROUND((C1828/EXC.RATE_1),CURRENCY.FORMAT_1),CURRENCY.FORMAT_1,1),"# ##0;-# ##0"),",-"),FIXED(ROUND((C1828/EXC.RATE_1),CURRENCY.FORMAT_1),CURRENCY.FORMAT_1,0)),'DICTIONARY-5'!$A$2)</f>
        <v>2 063,-</v>
      </c>
      <c r="K1828" s="670" t="str">
        <f>IF(EXC.RATE_2=0,"",IFERROR(IF(CURRENCY.FORMAT_2=0,CONCATENATE(TEXT(FIXED(ROUND(IF(EXC.RATE.SWITCH=1,C1828/EXC.RATE_2,C1828*EXC.RATE_2),CURRENCY.FORMAT_2),CURRENCY.FORMAT_2,1),"# ##0;-# ##0"),",-"),FIXED(ROUND(IF(EXC.RATE.SWITCH=1,C1828/EXC.RATE_2,C1828*EXC.RATE_2),CURRENCY.FORMAT_2),CURRENCY.FORMAT_2,0)),'DICTIONARY-5'!$A$2))</f>
        <v/>
      </c>
      <c r="L1828" s="670" t="str">
        <f>IFERROR(IF(CURRENCY.FORMAT_1=0,CONCATENATE(TEXT(FIXED(ROUND((C1828*(1-I1828)*(1-ADD.DISCOUNT)*(1+MAT.SURCHARGE)/EXC.RATE_1),CURRENCY.FORMAT_1),CURRENCY.FORMAT_1,1),"# ##0;-# ##0"),",-"),FIXED(ROUND((C1828*(1-I1828)*(1-ADD.DISCOUNT)*(1+MAT.SURCHARGE)/EXC.RATE_1),CURRENCY.FORMAT_1),CURRENCY.FORMAT_1,0)),'DICTIONARY-5'!$A$2)</f>
        <v>2 143,-</v>
      </c>
      <c r="M1828" s="670" t="str">
        <f>IF(EXC.RATE_2=0,"",IFERROR(IF(CURRENCY.FORMAT_2=0,CONCATENATE(TEXT(FIXED(ROUND(IF(EXC.RATE.SWITCH=1,C1828*(1-I1828)*(1-ADD.DISCOUNT)*(1+MAT.SURCHARGE)/EXC.RATE_2,C1828*(1-I1828)*(1-ADD.DISCOUNT)*(1+MAT.SURCHARGE)*EXC.RATE_2),CURRENCY.FORMAT_2),CURRENCY.FORMAT_2,1),"# ##0;-# ##0"),",-"),FIXED(ROUND(IF(EXC.RATE.SWITCH=1,C1828*(1-I1828)*(1-ADD.DISCOUNT)*(1+MAT.SURCHARGE)/EXC.RATE_2,C1828*(1-I1828)*(1-ADD.DISCOUNT)*(1+MAT.SURCHARGE)*EXC.RATE_2),CURRENCY.FORMAT_2),CURRENCY.FORMAT_2,0)),'DICTIONARY-5'!$A$2))</f>
        <v/>
      </c>
      <c r="N1828" s="541">
        <v>6</v>
      </c>
      <c r="O1828" s="654" t="s">
        <v>7363</v>
      </c>
      <c r="P1828" s="731" t="str">
        <f>'DICTIONARY-3'!$A$148</f>
        <v>CEREX 300-L</v>
      </c>
      <c r="Q1828" s="731" t="str">
        <f>'DICTIONARY-3'!$A$204</f>
        <v>Przepustnica kołnierzowa</v>
      </c>
      <c r="R1828" s="732" t="str">
        <f>CONCATENATE('DICTIONARY-3'!$A$148," ",'DICTIONARY-6'!$A$2," ",'DICTIONARY-2'!$A$2,"450"," ",'DICTIONARY-2'!$A$3,"10"," ",'DICTIONARY-5'!$A$51,"/",'DICTIONARY-5'!$A$45,", ",'DICTIONARY-4'!$A$2)</f>
        <v>CEREX 300-L Przep. kołnierz. DN450 PN10 GGG/NBR, WW</v>
      </c>
      <c r="S1828" s="733" t="str">
        <f>'DICTIONARY-4'!$A$2</f>
        <v>WW</v>
      </c>
      <c r="T1828" s="732" t="str">
        <f>'DICTIONARY-4'!$A$18</f>
        <v>Wolny wałek</v>
      </c>
      <c r="U1828" s="734" t="s">
        <v>5755</v>
      </c>
      <c r="V1828" s="735">
        <v>10</v>
      </c>
      <c r="W1828" s="736"/>
      <c r="X1828" s="737"/>
      <c r="Y1828" s="738"/>
      <c r="Z1828" s="739"/>
      <c r="AA1828" s="739"/>
      <c r="AB1828" s="740">
        <v>10</v>
      </c>
      <c r="AC1828" s="741" t="str">
        <f>'DICTIONARY-5'!$A$11&amp;" 20"</f>
        <v>EN 558 szereg 20</v>
      </c>
      <c r="AD1828" s="741" t="str">
        <f>'DICTIONARY-5'!$A$14</f>
        <v>ścieki</v>
      </c>
      <c r="AE1828" s="742">
        <v>80</v>
      </c>
      <c r="AF1828" s="743">
        <v>107</v>
      </c>
      <c r="AG1828" s="741" t="str">
        <f>'DICTIONARY-5'!$A$23</f>
        <v>powłoka epoksydowa</v>
      </c>
    </row>
    <row r="1829" spans="1:33" x14ac:dyDescent="0.25">
      <c r="A1829" s="844" t="s">
        <v>5255</v>
      </c>
      <c r="B1829" s="844" t="s">
        <v>5420</v>
      </c>
      <c r="C1829" s="836">
        <v>2202</v>
      </c>
      <c r="D1829" s="836"/>
      <c r="E1829" s="836"/>
      <c r="F1829" s="836"/>
      <c r="G1829" s="496" t="s">
        <v>7832</v>
      </c>
      <c r="H1829" s="797" t="str">
        <f>VLOOKUP(G1829,SETTINGS!$B$7:$D$97,2,0)</f>
        <v>CEREX 300</v>
      </c>
      <c r="I1829" s="796">
        <f>VLOOKUP(G1829,SETTINGS!$B$7:$D$97,3,0)</f>
        <v>0</v>
      </c>
      <c r="J1829" s="670" t="str">
        <f>IFERROR(IF(CURRENCY.FORMAT_1=0,CONCATENATE(TEXT(FIXED(ROUND((C1829/EXC.RATE_1),CURRENCY.FORMAT_1),CURRENCY.FORMAT_1,1),"# ##0;-# ##0"),",-"),FIXED(ROUND((C1829/EXC.RATE_1),CURRENCY.FORMAT_1),CURRENCY.FORMAT_1,0)),'DICTIONARY-5'!$A$2)</f>
        <v>2 202,-</v>
      </c>
      <c r="K1829" s="670" t="str">
        <f>IF(EXC.RATE_2=0,"",IFERROR(IF(CURRENCY.FORMAT_2=0,CONCATENATE(TEXT(FIXED(ROUND(IF(EXC.RATE.SWITCH=1,C1829/EXC.RATE_2,C1829*EXC.RATE_2),CURRENCY.FORMAT_2),CURRENCY.FORMAT_2,1),"# ##0;-# ##0"),",-"),FIXED(ROUND(IF(EXC.RATE.SWITCH=1,C1829/EXC.RATE_2,C1829*EXC.RATE_2),CURRENCY.FORMAT_2),CURRENCY.FORMAT_2,0)),'DICTIONARY-5'!$A$2))</f>
        <v/>
      </c>
      <c r="L1829" s="670" t="str">
        <f>IFERROR(IF(CURRENCY.FORMAT_1=0,CONCATENATE(TEXT(FIXED(ROUND((C1829*(1-I1829)*(1-ADD.DISCOUNT)*(1+MAT.SURCHARGE)/EXC.RATE_1),CURRENCY.FORMAT_1),CURRENCY.FORMAT_1,1),"# ##0;-# ##0"),",-"),FIXED(ROUND((C1829*(1-I1829)*(1-ADD.DISCOUNT)*(1+MAT.SURCHARGE)/EXC.RATE_1),CURRENCY.FORMAT_1),CURRENCY.FORMAT_1,0)),'DICTIONARY-5'!$A$2)</f>
        <v>2 288,-</v>
      </c>
      <c r="M1829" s="670" t="str">
        <f>IF(EXC.RATE_2=0,"",IFERROR(IF(CURRENCY.FORMAT_2=0,CONCATENATE(TEXT(FIXED(ROUND(IF(EXC.RATE.SWITCH=1,C1829*(1-I1829)*(1-ADD.DISCOUNT)*(1+MAT.SURCHARGE)/EXC.RATE_2,C1829*(1-I1829)*(1-ADD.DISCOUNT)*(1+MAT.SURCHARGE)*EXC.RATE_2),CURRENCY.FORMAT_2),CURRENCY.FORMAT_2,1),"# ##0;-# ##0"),",-"),FIXED(ROUND(IF(EXC.RATE.SWITCH=1,C1829*(1-I1829)*(1-ADD.DISCOUNT)*(1+MAT.SURCHARGE)/EXC.RATE_2,C1829*(1-I1829)*(1-ADD.DISCOUNT)*(1+MAT.SURCHARGE)*EXC.RATE_2),CURRENCY.FORMAT_2),CURRENCY.FORMAT_2,0)),'DICTIONARY-5'!$A$2))</f>
        <v/>
      </c>
      <c r="N1829" s="541">
        <v>6</v>
      </c>
      <c r="O1829" s="654" t="s">
        <v>7363</v>
      </c>
      <c r="P1829" s="731" t="str">
        <f>'DICTIONARY-3'!$A$148</f>
        <v>CEREX 300-L</v>
      </c>
      <c r="Q1829" s="731" t="str">
        <f>'DICTIONARY-3'!$A$204</f>
        <v>Przepustnica kołnierzowa</v>
      </c>
      <c r="R1829" s="732" t="str">
        <f>CONCATENATE('DICTIONARY-3'!$A$148," ",'DICTIONARY-6'!$A$2," ",'DICTIONARY-2'!$A$2,"450"," ",'DICTIONARY-2'!$A$3,"16"," ",'DICTIONARY-2'!$A$10,"10",'DICTIONARY-2'!$A$20," ",'DICTIONARY-5'!$A$51,"/",'DICTIONARY-5'!$A$45,", ",'DICTIONARY-4'!$A$2)</f>
        <v>CEREX 300-L Przep. kołnierz. DN450 PN16 PS10bar GGG/NBR, WW</v>
      </c>
      <c r="S1829" s="733" t="str">
        <f>'DICTIONARY-4'!$A$2</f>
        <v>WW</v>
      </c>
      <c r="T1829" s="732" t="str">
        <f>'DICTIONARY-4'!$A$18</f>
        <v>Wolny wałek</v>
      </c>
      <c r="U1829" s="734" t="s">
        <v>5755</v>
      </c>
      <c r="V1829" s="735">
        <v>16</v>
      </c>
      <c r="W1829" s="736"/>
      <c r="X1829" s="737"/>
      <c r="Y1829" s="738"/>
      <c r="Z1829" s="739"/>
      <c r="AA1829" s="739"/>
      <c r="AB1829" s="740">
        <v>10</v>
      </c>
      <c r="AC1829" s="741" t="str">
        <f>'DICTIONARY-5'!$A$11&amp;" 20"</f>
        <v>EN 558 szereg 20</v>
      </c>
      <c r="AD1829" s="741" t="str">
        <f>'DICTIONARY-5'!$A$14</f>
        <v>ścieki</v>
      </c>
      <c r="AE1829" s="742">
        <v>80</v>
      </c>
      <c r="AF1829" s="743">
        <v>121</v>
      </c>
      <c r="AG1829" s="741" t="str">
        <f>'DICTIONARY-5'!$A$23</f>
        <v>powłoka epoksydowa</v>
      </c>
    </row>
    <row r="1830" spans="1:33" x14ac:dyDescent="0.25">
      <c r="A1830" s="844" t="s">
        <v>5257</v>
      </c>
      <c r="B1830" s="844" t="s">
        <v>5421</v>
      </c>
      <c r="C1830" s="836">
        <v>2840</v>
      </c>
      <c r="D1830" s="836"/>
      <c r="E1830" s="836"/>
      <c r="F1830" s="836"/>
      <c r="G1830" s="496" t="s">
        <v>7832</v>
      </c>
      <c r="H1830" s="797" t="str">
        <f>VLOOKUP(G1830,SETTINGS!$B$7:$D$97,2,0)</f>
        <v>CEREX 300</v>
      </c>
      <c r="I1830" s="796">
        <f>VLOOKUP(G1830,SETTINGS!$B$7:$D$97,3,0)</f>
        <v>0</v>
      </c>
      <c r="J1830" s="670" t="str">
        <f>IFERROR(IF(CURRENCY.FORMAT_1=0,CONCATENATE(TEXT(FIXED(ROUND((C1830/EXC.RATE_1),CURRENCY.FORMAT_1),CURRENCY.FORMAT_1,1),"# ##0;-# ##0"),",-"),FIXED(ROUND((C1830/EXC.RATE_1),CURRENCY.FORMAT_1),CURRENCY.FORMAT_1,0)),'DICTIONARY-5'!$A$2)</f>
        <v>2 840,-</v>
      </c>
      <c r="K1830" s="670" t="str">
        <f>IF(EXC.RATE_2=0,"",IFERROR(IF(CURRENCY.FORMAT_2=0,CONCATENATE(TEXT(FIXED(ROUND(IF(EXC.RATE.SWITCH=1,C1830/EXC.RATE_2,C1830*EXC.RATE_2),CURRENCY.FORMAT_2),CURRENCY.FORMAT_2,1),"# ##0;-# ##0"),",-"),FIXED(ROUND(IF(EXC.RATE.SWITCH=1,C1830/EXC.RATE_2,C1830*EXC.RATE_2),CURRENCY.FORMAT_2),CURRENCY.FORMAT_2,0)),'DICTIONARY-5'!$A$2))</f>
        <v/>
      </c>
      <c r="L1830" s="670" t="str">
        <f>IFERROR(IF(CURRENCY.FORMAT_1=0,CONCATENATE(TEXT(FIXED(ROUND((C1830*(1-I1830)*(1-ADD.DISCOUNT)*(1+MAT.SURCHARGE)/EXC.RATE_1),CURRENCY.FORMAT_1),CURRENCY.FORMAT_1,1),"# ##0;-# ##0"),",-"),FIXED(ROUND((C1830*(1-I1830)*(1-ADD.DISCOUNT)*(1+MAT.SURCHARGE)/EXC.RATE_1),CURRENCY.FORMAT_1),CURRENCY.FORMAT_1,0)),'DICTIONARY-5'!$A$2)</f>
        <v>2 951,-</v>
      </c>
      <c r="M1830" s="670" t="str">
        <f>IF(EXC.RATE_2=0,"",IFERROR(IF(CURRENCY.FORMAT_2=0,CONCATENATE(TEXT(FIXED(ROUND(IF(EXC.RATE.SWITCH=1,C1830*(1-I1830)*(1-ADD.DISCOUNT)*(1+MAT.SURCHARGE)/EXC.RATE_2,C1830*(1-I1830)*(1-ADD.DISCOUNT)*(1+MAT.SURCHARGE)*EXC.RATE_2),CURRENCY.FORMAT_2),CURRENCY.FORMAT_2,1),"# ##0;-# ##0"),",-"),FIXED(ROUND(IF(EXC.RATE.SWITCH=1,C1830*(1-I1830)*(1-ADD.DISCOUNT)*(1+MAT.SURCHARGE)/EXC.RATE_2,C1830*(1-I1830)*(1-ADD.DISCOUNT)*(1+MAT.SURCHARGE)*EXC.RATE_2),CURRENCY.FORMAT_2),CURRENCY.FORMAT_2,0)),'DICTIONARY-5'!$A$2))</f>
        <v/>
      </c>
      <c r="N1830" s="541">
        <v>6</v>
      </c>
      <c r="O1830" s="654" t="s">
        <v>7363</v>
      </c>
      <c r="P1830" s="731" t="str">
        <f>'DICTIONARY-3'!$A$148</f>
        <v>CEREX 300-L</v>
      </c>
      <c r="Q1830" s="731" t="str">
        <f>'DICTIONARY-3'!$A$204</f>
        <v>Przepustnica kołnierzowa</v>
      </c>
      <c r="R1830" s="732" t="str">
        <f>CONCATENATE('DICTIONARY-3'!$A$148," ",'DICTIONARY-6'!$A$2," ",'DICTIONARY-2'!$A$2,"500"," ",'DICTIONARY-2'!$A$3,"10"," ",'DICTIONARY-5'!$A$51,"/",'DICTIONARY-5'!$A$45,", ",'DICTIONARY-4'!$A$2)</f>
        <v>CEREX 300-L Przep. kołnierz. DN500 PN10 GGG/NBR, WW</v>
      </c>
      <c r="S1830" s="733" t="str">
        <f>'DICTIONARY-4'!$A$2</f>
        <v>WW</v>
      </c>
      <c r="T1830" s="732" t="str">
        <f>'DICTIONARY-4'!$A$18</f>
        <v>Wolny wałek</v>
      </c>
      <c r="U1830" s="734" t="s">
        <v>5756</v>
      </c>
      <c r="V1830" s="735">
        <v>10</v>
      </c>
      <c r="W1830" s="736"/>
      <c r="X1830" s="737"/>
      <c r="Y1830" s="738"/>
      <c r="Z1830" s="739"/>
      <c r="AA1830" s="739"/>
      <c r="AB1830" s="740">
        <v>10</v>
      </c>
      <c r="AC1830" s="741" t="str">
        <f>'DICTIONARY-5'!$A$11&amp;" 20"</f>
        <v>EN 558 szereg 20</v>
      </c>
      <c r="AD1830" s="741" t="str">
        <f>'DICTIONARY-5'!$A$14</f>
        <v>ścieki</v>
      </c>
      <c r="AE1830" s="742">
        <v>80</v>
      </c>
      <c r="AF1830" s="743">
        <v>137</v>
      </c>
      <c r="AG1830" s="741" t="str">
        <f>'DICTIONARY-5'!$A$23</f>
        <v>powłoka epoksydowa</v>
      </c>
    </row>
    <row r="1831" spans="1:33" x14ac:dyDescent="0.25">
      <c r="A1831" s="844" t="s">
        <v>5259</v>
      </c>
      <c r="B1831" s="844" t="s">
        <v>5422</v>
      </c>
      <c r="C1831" s="836">
        <v>3153</v>
      </c>
      <c r="D1831" s="836"/>
      <c r="E1831" s="836"/>
      <c r="F1831" s="836"/>
      <c r="G1831" s="496" t="s">
        <v>7832</v>
      </c>
      <c r="H1831" s="797" t="str">
        <f>VLOOKUP(G1831,SETTINGS!$B$7:$D$97,2,0)</f>
        <v>CEREX 300</v>
      </c>
      <c r="I1831" s="796">
        <f>VLOOKUP(G1831,SETTINGS!$B$7:$D$97,3,0)</f>
        <v>0</v>
      </c>
      <c r="J1831" s="670" t="str">
        <f>IFERROR(IF(CURRENCY.FORMAT_1=0,CONCATENATE(TEXT(FIXED(ROUND((C1831/EXC.RATE_1),CURRENCY.FORMAT_1),CURRENCY.FORMAT_1,1),"# ##0;-# ##0"),",-"),FIXED(ROUND((C1831/EXC.RATE_1),CURRENCY.FORMAT_1),CURRENCY.FORMAT_1,0)),'DICTIONARY-5'!$A$2)</f>
        <v>3 153,-</v>
      </c>
      <c r="K1831" s="670" t="str">
        <f>IF(EXC.RATE_2=0,"",IFERROR(IF(CURRENCY.FORMAT_2=0,CONCATENATE(TEXT(FIXED(ROUND(IF(EXC.RATE.SWITCH=1,C1831/EXC.RATE_2,C1831*EXC.RATE_2),CURRENCY.FORMAT_2),CURRENCY.FORMAT_2,1),"# ##0;-# ##0"),",-"),FIXED(ROUND(IF(EXC.RATE.SWITCH=1,C1831/EXC.RATE_2,C1831*EXC.RATE_2),CURRENCY.FORMAT_2),CURRENCY.FORMAT_2,0)),'DICTIONARY-5'!$A$2))</f>
        <v/>
      </c>
      <c r="L1831" s="670" t="str">
        <f>IFERROR(IF(CURRENCY.FORMAT_1=0,CONCATENATE(TEXT(FIXED(ROUND((C1831*(1-I1831)*(1-ADD.DISCOUNT)*(1+MAT.SURCHARGE)/EXC.RATE_1),CURRENCY.FORMAT_1),CURRENCY.FORMAT_1,1),"# ##0;-# ##0"),",-"),FIXED(ROUND((C1831*(1-I1831)*(1-ADD.DISCOUNT)*(1+MAT.SURCHARGE)/EXC.RATE_1),CURRENCY.FORMAT_1),CURRENCY.FORMAT_1,0)),'DICTIONARY-5'!$A$2)</f>
        <v>3 276,-</v>
      </c>
      <c r="M1831" s="670" t="str">
        <f>IF(EXC.RATE_2=0,"",IFERROR(IF(CURRENCY.FORMAT_2=0,CONCATENATE(TEXT(FIXED(ROUND(IF(EXC.RATE.SWITCH=1,C1831*(1-I1831)*(1-ADD.DISCOUNT)*(1+MAT.SURCHARGE)/EXC.RATE_2,C1831*(1-I1831)*(1-ADD.DISCOUNT)*(1+MAT.SURCHARGE)*EXC.RATE_2),CURRENCY.FORMAT_2),CURRENCY.FORMAT_2,1),"# ##0;-# ##0"),",-"),FIXED(ROUND(IF(EXC.RATE.SWITCH=1,C1831*(1-I1831)*(1-ADD.DISCOUNT)*(1+MAT.SURCHARGE)/EXC.RATE_2,C1831*(1-I1831)*(1-ADD.DISCOUNT)*(1+MAT.SURCHARGE)*EXC.RATE_2),CURRENCY.FORMAT_2),CURRENCY.FORMAT_2,0)),'DICTIONARY-5'!$A$2))</f>
        <v/>
      </c>
      <c r="N1831" s="541">
        <v>6</v>
      </c>
      <c r="O1831" s="654" t="s">
        <v>7363</v>
      </c>
      <c r="P1831" s="731" t="str">
        <f>'DICTIONARY-3'!$A$148</f>
        <v>CEREX 300-L</v>
      </c>
      <c r="Q1831" s="731" t="str">
        <f>'DICTIONARY-3'!$A$204</f>
        <v>Przepustnica kołnierzowa</v>
      </c>
      <c r="R1831" s="732" t="str">
        <f>CONCATENATE('DICTIONARY-3'!$A$148," ",'DICTIONARY-6'!$A$2," ",'DICTIONARY-2'!$A$2,"500"," ",'DICTIONARY-2'!$A$3,"16"," ",'DICTIONARY-2'!$A$10,"10",'DICTIONARY-2'!$A$20," ",'DICTIONARY-5'!$A$51,"/",'DICTIONARY-5'!$A$45,", ",'DICTIONARY-4'!$A$2)</f>
        <v>CEREX 300-L Przep. kołnierz. DN500 PN16 PS10bar GGG/NBR, WW</v>
      </c>
      <c r="S1831" s="733" t="str">
        <f>'DICTIONARY-4'!$A$2</f>
        <v>WW</v>
      </c>
      <c r="T1831" s="732" t="str">
        <f>'DICTIONARY-4'!$A$18</f>
        <v>Wolny wałek</v>
      </c>
      <c r="U1831" s="734" t="s">
        <v>5756</v>
      </c>
      <c r="V1831" s="735">
        <v>16</v>
      </c>
      <c r="W1831" s="736"/>
      <c r="X1831" s="737"/>
      <c r="Y1831" s="738"/>
      <c r="Z1831" s="739"/>
      <c r="AA1831" s="739"/>
      <c r="AB1831" s="740">
        <v>10</v>
      </c>
      <c r="AC1831" s="741" t="str">
        <f>'DICTIONARY-5'!$A$11&amp;" 20"</f>
        <v>EN 558 szereg 20</v>
      </c>
      <c r="AD1831" s="741" t="str">
        <f>'DICTIONARY-5'!$A$14</f>
        <v>ścieki</v>
      </c>
      <c r="AE1831" s="742">
        <v>80</v>
      </c>
      <c r="AF1831" s="743">
        <v>161</v>
      </c>
      <c r="AG1831" s="741" t="str">
        <f>'DICTIONARY-5'!$A$23</f>
        <v>powłoka epoksydowa</v>
      </c>
    </row>
    <row r="1832" spans="1:33" x14ac:dyDescent="0.25">
      <c r="A1832" s="844" t="s">
        <v>5261</v>
      </c>
      <c r="B1832" s="844" t="s">
        <v>5423</v>
      </c>
      <c r="C1832" s="836">
        <v>3910</v>
      </c>
      <c r="D1832" s="836"/>
      <c r="E1832" s="836"/>
      <c r="F1832" s="836"/>
      <c r="G1832" s="496" t="s">
        <v>7832</v>
      </c>
      <c r="H1832" s="797" t="str">
        <f>VLOOKUP(G1832,SETTINGS!$B$7:$D$97,2,0)</f>
        <v>CEREX 300</v>
      </c>
      <c r="I1832" s="796">
        <f>VLOOKUP(G1832,SETTINGS!$B$7:$D$97,3,0)</f>
        <v>0</v>
      </c>
      <c r="J1832" s="670" t="str">
        <f>IFERROR(IF(CURRENCY.FORMAT_1=0,CONCATENATE(TEXT(FIXED(ROUND((C1832/EXC.RATE_1),CURRENCY.FORMAT_1),CURRENCY.FORMAT_1,1),"# ##0;-# ##0"),",-"),FIXED(ROUND((C1832/EXC.RATE_1),CURRENCY.FORMAT_1),CURRENCY.FORMAT_1,0)),'DICTIONARY-5'!$A$2)</f>
        <v>3 910,-</v>
      </c>
      <c r="K1832" s="670" t="str">
        <f>IF(EXC.RATE_2=0,"",IFERROR(IF(CURRENCY.FORMAT_2=0,CONCATENATE(TEXT(FIXED(ROUND(IF(EXC.RATE.SWITCH=1,C1832/EXC.RATE_2,C1832*EXC.RATE_2),CURRENCY.FORMAT_2),CURRENCY.FORMAT_2,1),"# ##0;-# ##0"),",-"),FIXED(ROUND(IF(EXC.RATE.SWITCH=1,C1832/EXC.RATE_2,C1832*EXC.RATE_2),CURRENCY.FORMAT_2),CURRENCY.FORMAT_2,0)),'DICTIONARY-5'!$A$2))</f>
        <v/>
      </c>
      <c r="L1832" s="670" t="str">
        <f>IFERROR(IF(CURRENCY.FORMAT_1=0,CONCATENATE(TEXT(FIXED(ROUND((C1832*(1-I1832)*(1-ADD.DISCOUNT)*(1+MAT.SURCHARGE)/EXC.RATE_1),CURRENCY.FORMAT_1),CURRENCY.FORMAT_1,1),"# ##0;-# ##0"),",-"),FIXED(ROUND((C1832*(1-I1832)*(1-ADD.DISCOUNT)*(1+MAT.SURCHARGE)/EXC.RATE_1),CURRENCY.FORMAT_1),CURRENCY.FORMAT_1,0)),'DICTIONARY-5'!$A$2)</f>
        <v>4 062,-</v>
      </c>
      <c r="M1832" s="670" t="str">
        <f>IF(EXC.RATE_2=0,"",IFERROR(IF(CURRENCY.FORMAT_2=0,CONCATENATE(TEXT(FIXED(ROUND(IF(EXC.RATE.SWITCH=1,C1832*(1-I1832)*(1-ADD.DISCOUNT)*(1+MAT.SURCHARGE)/EXC.RATE_2,C1832*(1-I1832)*(1-ADD.DISCOUNT)*(1+MAT.SURCHARGE)*EXC.RATE_2),CURRENCY.FORMAT_2),CURRENCY.FORMAT_2,1),"# ##0;-# ##0"),",-"),FIXED(ROUND(IF(EXC.RATE.SWITCH=1,C1832*(1-I1832)*(1-ADD.DISCOUNT)*(1+MAT.SURCHARGE)/EXC.RATE_2,C1832*(1-I1832)*(1-ADD.DISCOUNT)*(1+MAT.SURCHARGE)*EXC.RATE_2),CURRENCY.FORMAT_2),CURRENCY.FORMAT_2,0)),'DICTIONARY-5'!$A$2))</f>
        <v/>
      </c>
      <c r="N1832" s="541">
        <v>6</v>
      </c>
      <c r="O1832" s="654" t="s">
        <v>7363</v>
      </c>
      <c r="P1832" s="731" t="str">
        <f>'DICTIONARY-3'!$A$148</f>
        <v>CEREX 300-L</v>
      </c>
      <c r="Q1832" s="731" t="str">
        <f>'DICTIONARY-3'!$A$204</f>
        <v>Przepustnica kołnierzowa</v>
      </c>
      <c r="R1832" s="732" t="str">
        <f>CONCATENATE('DICTIONARY-3'!$A$148," ",'DICTIONARY-6'!$A$2," ",'DICTIONARY-2'!$A$2,"600"," ",'DICTIONARY-2'!$A$3,"10"," ",'DICTIONARY-5'!$A$51,"/",'DICTIONARY-5'!$A$45,", ",'DICTIONARY-4'!$A$2)</f>
        <v>CEREX 300-L Przep. kołnierz. DN600 PN10 GGG/NBR, WW</v>
      </c>
      <c r="S1832" s="733" t="str">
        <f>'DICTIONARY-4'!$A$2</f>
        <v>WW</v>
      </c>
      <c r="T1832" s="732" t="str">
        <f>'DICTIONARY-4'!$A$18</f>
        <v>Wolny wałek</v>
      </c>
      <c r="U1832" s="734" t="s">
        <v>5757</v>
      </c>
      <c r="V1832" s="735">
        <v>10</v>
      </c>
      <c r="W1832" s="736"/>
      <c r="X1832" s="737"/>
      <c r="Y1832" s="738"/>
      <c r="Z1832" s="739"/>
      <c r="AA1832" s="739"/>
      <c r="AB1832" s="740">
        <v>10</v>
      </c>
      <c r="AC1832" s="741" t="str">
        <f>'DICTIONARY-5'!$A$11&amp;" 20"</f>
        <v>EN 558 szereg 20</v>
      </c>
      <c r="AD1832" s="741" t="str">
        <f>'DICTIONARY-5'!$A$14</f>
        <v>ścieki</v>
      </c>
      <c r="AE1832" s="742">
        <v>80</v>
      </c>
      <c r="AF1832" s="743">
        <v>210</v>
      </c>
      <c r="AG1832" s="741" t="str">
        <f>'DICTIONARY-5'!$A$23</f>
        <v>powłoka epoksydowa</v>
      </c>
    </row>
    <row r="1833" spans="1:33" x14ac:dyDescent="0.25">
      <c r="A1833" s="844" t="s">
        <v>5263</v>
      </c>
      <c r="B1833" s="844" t="s">
        <v>5424</v>
      </c>
      <c r="C1833" s="836">
        <v>3802</v>
      </c>
      <c r="D1833" s="836"/>
      <c r="E1833" s="836"/>
      <c r="F1833" s="836"/>
      <c r="G1833" s="496" t="s">
        <v>7832</v>
      </c>
      <c r="H1833" s="797" t="str">
        <f>VLOOKUP(G1833,SETTINGS!$B$7:$D$97,2,0)</f>
        <v>CEREX 300</v>
      </c>
      <c r="I1833" s="796">
        <f>VLOOKUP(G1833,SETTINGS!$B$7:$D$97,3,0)</f>
        <v>0</v>
      </c>
      <c r="J1833" s="670" t="str">
        <f>IFERROR(IF(CURRENCY.FORMAT_1=0,CONCATENATE(TEXT(FIXED(ROUND((C1833/EXC.RATE_1),CURRENCY.FORMAT_1),CURRENCY.FORMAT_1,1),"# ##0;-# ##0"),",-"),FIXED(ROUND((C1833/EXC.RATE_1),CURRENCY.FORMAT_1),CURRENCY.FORMAT_1,0)),'DICTIONARY-5'!$A$2)</f>
        <v>3 802,-</v>
      </c>
      <c r="K1833" s="670" t="str">
        <f>IF(EXC.RATE_2=0,"",IFERROR(IF(CURRENCY.FORMAT_2=0,CONCATENATE(TEXT(FIXED(ROUND(IF(EXC.RATE.SWITCH=1,C1833/EXC.RATE_2,C1833*EXC.RATE_2),CURRENCY.FORMAT_2),CURRENCY.FORMAT_2,1),"# ##0;-# ##0"),",-"),FIXED(ROUND(IF(EXC.RATE.SWITCH=1,C1833/EXC.RATE_2,C1833*EXC.RATE_2),CURRENCY.FORMAT_2),CURRENCY.FORMAT_2,0)),'DICTIONARY-5'!$A$2))</f>
        <v/>
      </c>
      <c r="L1833" s="670" t="str">
        <f>IFERROR(IF(CURRENCY.FORMAT_1=0,CONCATENATE(TEXT(FIXED(ROUND((C1833*(1-I1833)*(1-ADD.DISCOUNT)*(1+MAT.SURCHARGE)/EXC.RATE_1),CURRENCY.FORMAT_1),CURRENCY.FORMAT_1,1),"# ##0;-# ##0"),",-"),FIXED(ROUND((C1833*(1-I1833)*(1-ADD.DISCOUNT)*(1+MAT.SURCHARGE)/EXC.RATE_1),CURRENCY.FORMAT_1),CURRENCY.FORMAT_1,0)),'DICTIONARY-5'!$A$2)</f>
        <v>3 950,-</v>
      </c>
      <c r="M1833" s="670" t="str">
        <f>IF(EXC.RATE_2=0,"",IFERROR(IF(CURRENCY.FORMAT_2=0,CONCATENATE(TEXT(FIXED(ROUND(IF(EXC.RATE.SWITCH=1,C1833*(1-I1833)*(1-ADD.DISCOUNT)*(1+MAT.SURCHARGE)/EXC.RATE_2,C1833*(1-I1833)*(1-ADD.DISCOUNT)*(1+MAT.SURCHARGE)*EXC.RATE_2),CURRENCY.FORMAT_2),CURRENCY.FORMAT_2,1),"# ##0;-# ##0"),",-"),FIXED(ROUND(IF(EXC.RATE.SWITCH=1,C1833*(1-I1833)*(1-ADD.DISCOUNT)*(1+MAT.SURCHARGE)/EXC.RATE_2,C1833*(1-I1833)*(1-ADD.DISCOUNT)*(1+MAT.SURCHARGE)*EXC.RATE_2),CURRENCY.FORMAT_2),CURRENCY.FORMAT_2,0)),'DICTIONARY-5'!$A$2))</f>
        <v/>
      </c>
      <c r="N1833" s="541">
        <v>6</v>
      </c>
      <c r="O1833" s="654" t="s">
        <v>7363</v>
      </c>
      <c r="P1833" s="731" t="str">
        <f>'DICTIONARY-3'!$A$148</f>
        <v>CEREX 300-L</v>
      </c>
      <c r="Q1833" s="731" t="str">
        <f>'DICTIONARY-3'!$A$204</f>
        <v>Przepustnica kołnierzowa</v>
      </c>
      <c r="R1833" s="732" t="str">
        <f>CONCATENATE('DICTIONARY-3'!$A$148," ",'DICTIONARY-6'!$A$2," ",'DICTIONARY-2'!$A$2,"600"," ",'DICTIONARY-2'!$A$3,"16"," ",'DICTIONARY-2'!$A$10,"10",'DICTIONARY-2'!$A$20," ",'DICTIONARY-5'!$A$51,"/",'DICTIONARY-5'!$A$45,", ",'DICTIONARY-4'!$A$2)</f>
        <v>CEREX 300-L Przep. kołnierz. DN600 PN16 PS10bar GGG/NBR, WW</v>
      </c>
      <c r="S1833" s="733" t="str">
        <f>'DICTIONARY-4'!$A$2</f>
        <v>WW</v>
      </c>
      <c r="T1833" s="732" t="str">
        <f>'DICTIONARY-4'!$A$18</f>
        <v>Wolny wałek</v>
      </c>
      <c r="U1833" s="734" t="s">
        <v>5757</v>
      </c>
      <c r="V1833" s="735">
        <v>16</v>
      </c>
      <c r="W1833" s="736"/>
      <c r="X1833" s="737"/>
      <c r="Y1833" s="738"/>
      <c r="Z1833" s="739"/>
      <c r="AA1833" s="739"/>
      <c r="AB1833" s="740">
        <v>10</v>
      </c>
      <c r="AC1833" s="741" t="str">
        <f>'DICTIONARY-5'!$A$11&amp;" 20"</f>
        <v>EN 558 szereg 20</v>
      </c>
      <c r="AD1833" s="741" t="str">
        <f>'DICTIONARY-5'!$A$14</f>
        <v>ścieki</v>
      </c>
      <c r="AE1833" s="742">
        <v>80</v>
      </c>
      <c r="AF1833" s="743">
        <v>265</v>
      </c>
      <c r="AG1833" s="741" t="str">
        <f>'DICTIONARY-5'!$A$23</f>
        <v>powłoka epoksydowa</v>
      </c>
    </row>
    <row r="1834" spans="1:33" x14ac:dyDescent="0.25">
      <c r="A1834" s="844" t="s">
        <v>5222</v>
      </c>
      <c r="B1834" s="844" t="s">
        <v>5425</v>
      </c>
      <c r="C1834" s="836">
        <v>156</v>
      </c>
      <c r="D1834" s="836"/>
      <c r="E1834" s="836"/>
      <c r="F1834" s="836"/>
      <c r="G1834" s="496" t="s">
        <v>7832</v>
      </c>
      <c r="H1834" s="797" t="str">
        <f>VLOOKUP(G1834,SETTINGS!$B$7:$D$97,2,0)</f>
        <v>CEREX 300</v>
      </c>
      <c r="I1834" s="796">
        <f>VLOOKUP(G1834,SETTINGS!$B$7:$D$97,3,0)</f>
        <v>0</v>
      </c>
      <c r="J1834" s="670" t="str">
        <f>IFERROR(IF(CURRENCY.FORMAT_1=0,CONCATENATE(TEXT(FIXED(ROUND((C1834/EXC.RATE_1),CURRENCY.FORMAT_1),CURRENCY.FORMAT_1,1),"# ##0;-# ##0"),",-"),FIXED(ROUND((C1834/EXC.RATE_1),CURRENCY.FORMAT_1),CURRENCY.FORMAT_1,0)),'DICTIONARY-5'!$A$2)</f>
        <v>156,-</v>
      </c>
      <c r="K1834" s="670" t="str">
        <f>IF(EXC.RATE_2=0,"",IFERROR(IF(CURRENCY.FORMAT_2=0,CONCATENATE(TEXT(FIXED(ROUND(IF(EXC.RATE.SWITCH=1,C1834/EXC.RATE_2,C1834*EXC.RATE_2),CURRENCY.FORMAT_2),CURRENCY.FORMAT_2,1),"# ##0;-# ##0"),",-"),FIXED(ROUND(IF(EXC.RATE.SWITCH=1,C1834/EXC.RATE_2,C1834*EXC.RATE_2),CURRENCY.FORMAT_2),CURRENCY.FORMAT_2,0)),'DICTIONARY-5'!$A$2))</f>
        <v/>
      </c>
      <c r="L1834" s="670" t="str">
        <f>IFERROR(IF(CURRENCY.FORMAT_1=0,CONCATENATE(TEXT(FIXED(ROUND((C1834*(1-I1834)*(1-ADD.DISCOUNT)*(1+MAT.SURCHARGE)/EXC.RATE_1),CURRENCY.FORMAT_1),CURRENCY.FORMAT_1,1),"# ##0;-# ##0"),",-"),FIXED(ROUND((C1834*(1-I1834)*(1-ADD.DISCOUNT)*(1+MAT.SURCHARGE)/EXC.RATE_1),CURRENCY.FORMAT_1),CURRENCY.FORMAT_1,0)),'DICTIONARY-5'!$A$2)</f>
        <v>162,-</v>
      </c>
      <c r="M1834" s="670" t="str">
        <f>IF(EXC.RATE_2=0,"",IFERROR(IF(CURRENCY.FORMAT_2=0,CONCATENATE(TEXT(FIXED(ROUND(IF(EXC.RATE.SWITCH=1,C1834*(1-I1834)*(1-ADD.DISCOUNT)*(1+MAT.SURCHARGE)/EXC.RATE_2,C1834*(1-I1834)*(1-ADD.DISCOUNT)*(1+MAT.SURCHARGE)*EXC.RATE_2),CURRENCY.FORMAT_2),CURRENCY.FORMAT_2,1),"# ##0;-# ##0"),",-"),FIXED(ROUND(IF(EXC.RATE.SWITCH=1,C1834*(1-I1834)*(1-ADD.DISCOUNT)*(1+MAT.SURCHARGE)/EXC.RATE_2,C1834*(1-I1834)*(1-ADD.DISCOUNT)*(1+MAT.SURCHARGE)*EXC.RATE_2),CURRENCY.FORMAT_2),CURRENCY.FORMAT_2,0)),'DICTIONARY-5'!$A$2))</f>
        <v/>
      </c>
      <c r="N1834" s="541">
        <v>6</v>
      </c>
      <c r="O1834" s="654" t="s">
        <v>7363</v>
      </c>
      <c r="P1834" s="731" t="str">
        <f>'DICTIONARY-3'!$A$148</f>
        <v>CEREX 300-L</v>
      </c>
      <c r="Q1834" s="731" t="str">
        <f>'DICTIONARY-3'!$A$204</f>
        <v>Przepustnica kołnierzowa</v>
      </c>
      <c r="R1834" s="732" t="str">
        <f>CONCATENATE('DICTIONARY-3'!$A$148," ",'DICTIONARY-6'!$A$2," ",UPPER('DICTIONARY-5'!$A$18)," ",'DICTIONARY-2'!$A$2,"50"," ",'DICTIONARY-2'!$A$3,"10/16"," ",'DICTIONARY-5'!$A$37,"/",'DICTIONARY-5'!$A$45,", ",'DICTIONARY-4'!$A$2)</f>
        <v>CEREX 300-L Przep. kołnierz. GAZ DN50 PN10/16 CF8M/NBR, WW</v>
      </c>
      <c r="S1834" s="733" t="str">
        <f>'DICTIONARY-4'!$A$2</f>
        <v>WW</v>
      </c>
      <c r="T1834" s="732" t="str">
        <f>'DICTIONARY-4'!$A$18</f>
        <v>Wolny wałek</v>
      </c>
      <c r="U1834" s="734" t="s">
        <v>5748</v>
      </c>
      <c r="V1834" s="735">
        <v>16</v>
      </c>
      <c r="W1834" s="736"/>
      <c r="X1834" s="737"/>
      <c r="Y1834" s="738"/>
      <c r="Z1834" s="739"/>
      <c r="AA1834" s="739"/>
      <c r="AB1834" s="740">
        <v>16</v>
      </c>
      <c r="AC1834" s="741" t="str">
        <f>'DICTIONARY-5'!$A$11&amp;" 20"</f>
        <v>EN 558 szereg 20</v>
      </c>
      <c r="AD1834" s="733" t="str">
        <f>'DICTIONARY-5'!$A$18&amp;", "&amp;'DICTIONARY-5'!$A$14</f>
        <v>gaz, ścieki</v>
      </c>
      <c r="AE1834" s="742">
        <v>80</v>
      </c>
      <c r="AF1834" s="743">
        <v>3</v>
      </c>
      <c r="AG1834" s="741" t="str">
        <f>'DICTIONARY-5'!$A$23</f>
        <v>powłoka epoksydowa</v>
      </c>
    </row>
    <row r="1835" spans="1:33" x14ac:dyDescent="0.25">
      <c r="A1835" s="844" t="s">
        <v>5224</v>
      </c>
      <c r="B1835" s="844" t="s">
        <v>5426</v>
      </c>
      <c r="C1835" s="836">
        <v>169</v>
      </c>
      <c r="D1835" s="836"/>
      <c r="E1835" s="836"/>
      <c r="F1835" s="836"/>
      <c r="G1835" s="496" t="s">
        <v>7832</v>
      </c>
      <c r="H1835" s="797" t="str">
        <f>VLOOKUP(G1835,SETTINGS!$B$7:$D$97,2,0)</f>
        <v>CEREX 300</v>
      </c>
      <c r="I1835" s="796">
        <f>VLOOKUP(G1835,SETTINGS!$B$7:$D$97,3,0)</f>
        <v>0</v>
      </c>
      <c r="J1835" s="670" t="str">
        <f>IFERROR(IF(CURRENCY.FORMAT_1=0,CONCATENATE(TEXT(FIXED(ROUND((C1835/EXC.RATE_1),CURRENCY.FORMAT_1),CURRENCY.FORMAT_1,1),"# ##0;-# ##0"),",-"),FIXED(ROUND((C1835/EXC.RATE_1),CURRENCY.FORMAT_1),CURRENCY.FORMAT_1,0)),'DICTIONARY-5'!$A$2)</f>
        <v>169,-</v>
      </c>
      <c r="K1835" s="670" t="str">
        <f>IF(EXC.RATE_2=0,"",IFERROR(IF(CURRENCY.FORMAT_2=0,CONCATENATE(TEXT(FIXED(ROUND(IF(EXC.RATE.SWITCH=1,C1835/EXC.RATE_2,C1835*EXC.RATE_2),CURRENCY.FORMAT_2),CURRENCY.FORMAT_2,1),"# ##0;-# ##0"),",-"),FIXED(ROUND(IF(EXC.RATE.SWITCH=1,C1835/EXC.RATE_2,C1835*EXC.RATE_2),CURRENCY.FORMAT_2),CURRENCY.FORMAT_2,0)),'DICTIONARY-5'!$A$2))</f>
        <v/>
      </c>
      <c r="L1835" s="670" t="str">
        <f>IFERROR(IF(CURRENCY.FORMAT_1=0,CONCATENATE(TEXT(FIXED(ROUND((C1835*(1-I1835)*(1-ADD.DISCOUNT)*(1+MAT.SURCHARGE)/EXC.RATE_1),CURRENCY.FORMAT_1),CURRENCY.FORMAT_1,1),"# ##0;-# ##0"),",-"),FIXED(ROUND((C1835*(1-I1835)*(1-ADD.DISCOUNT)*(1+MAT.SURCHARGE)/EXC.RATE_1),CURRENCY.FORMAT_1),CURRENCY.FORMAT_1,0)),'DICTIONARY-5'!$A$2)</f>
        <v>176,-</v>
      </c>
      <c r="M1835" s="670" t="str">
        <f>IF(EXC.RATE_2=0,"",IFERROR(IF(CURRENCY.FORMAT_2=0,CONCATENATE(TEXT(FIXED(ROUND(IF(EXC.RATE.SWITCH=1,C1835*(1-I1835)*(1-ADD.DISCOUNT)*(1+MAT.SURCHARGE)/EXC.RATE_2,C1835*(1-I1835)*(1-ADD.DISCOUNT)*(1+MAT.SURCHARGE)*EXC.RATE_2),CURRENCY.FORMAT_2),CURRENCY.FORMAT_2,1),"# ##0;-# ##0"),",-"),FIXED(ROUND(IF(EXC.RATE.SWITCH=1,C1835*(1-I1835)*(1-ADD.DISCOUNT)*(1+MAT.SURCHARGE)/EXC.RATE_2,C1835*(1-I1835)*(1-ADD.DISCOUNT)*(1+MAT.SURCHARGE)*EXC.RATE_2),CURRENCY.FORMAT_2),CURRENCY.FORMAT_2,0)),'DICTIONARY-5'!$A$2))</f>
        <v/>
      </c>
      <c r="N1835" s="541">
        <v>6</v>
      </c>
      <c r="O1835" s="654" t="s">
        <v>7363</v>
      </c>
      <c r="P1835" s="731" t="str">
        <f>'DICTIONARY-3'!$A$148</f>
        <v>CEREX 300-L</v>
      </c>
      <c r="Q1835" s="731" t="str">
        <f>'DICTIONARY-3'!$A$204</f>
        <v>Przepustnica kołnierzowa</v>
      </c>
      <c r="R1835" s="732" t="str">
        <f>CONCATENATE('DICTIONARY-3'!$A$148," ",'DICTIONARY-6'!$A$2," ",UPPER('DICTIONARY-5'!$A$18)," ",'DICTIONARY-2'!$A$2,"65"," ",'DICTIONARY-2'!$A$3,"10/16"," ",'DICTIONARY-5'!$A$37,"/",'DICTIONARY-5'!$A$45,", ",'DICTIONARY-4'!$A$2)</f>
        <v>CEREX 300-L Przep. kołnierz. GAZ DN65 PN10/16 CF8M/NBR, WW</v>
      </c>
      <c r="S1835" s="733" t="str">
        <f>'DICTIONARY-4'!$A$2</f>
        <v>WW</v>
      </c>
      <c r="T1835" s="732" t="str">
        <f>'DICTIONARY-4'!$A$18</f>
        <v>Wolny wałek</v>
      </c>
      <c r="U1835" s="734" t="s">
        <v>5759</v>
      </c>
      <c r="V1835" s="735">
        <v>16</v>
      </c>
      <c r="W1835" s="736"/>
      <c r="X1835" s="737"/>
      <c r="Y1835" s="738"/>
      <c r="Z1835" s="739"/>
      <c r="AA1835" s="739"/>
      <c r="AB1835" s="740">
        <v>16</v>
      </c>
      <c r="AC1835" s="741" t="str">
        <f>'DICTIONARY-5'!$A$11&amp;" 20"</f>
        <v>EN 558 szereg 20</v>
      </c>
      <c r="AD1835" s="733" t="str">
        <f>'DICTIONARY-5'!$A$18&amp;", "&amp;'DICTIONARY-5'!$A$14</f>
        <v>gaz, ścieki</v>
      </c>
      <c r="AE1835" s="742">
        <v>80</v>
      </c>
      <c r="AF1835" s="743">
        <v>3.5</v>
      </c>
      <c r="AG1835" s="741" t="str">
        <f>'DICTIONARY-5'!$A$23</f>
        <v>powłoka epoksydowa</v>
      </c>
    </row>
    <row r="1836" spans="1:33" x14ac:dyDescent="0.25">
      <c r="A1836" s="844" t="s">
        <v>5226</v>
      </c>
      <c r="B1836" s="844" t="s">
        <v>5427</v>
      </c>
      <c r="C1836" s="836">
        <v>202</v>
      </c>
      <c r="D1836" s="836"/>
      <c r="E1836" s="836"/>
      <c r="F1836" s="836"/>
      <c r="G1836" s="496" t="s">
        <v>7832</v>
      </c>
      <c r="H1836" s="797" t="str">
        <f>VLOOKUP(G1836,SETTINGS!$B$7:$D$97,2,0)</f>
        <v>CEREX 300</v>
      </c>
      <c r="I1836" s="796">
        <f>VLOOKUP(G1836,SETTINGS!$B$7:$D$97,3,0)</f>
        <v>0</v>
      </c>
      <c r="J1836" s="670" t="str">
        <f>IFERROR(IF(CURRENCY.FORMAT_1=0,CONCATENATE(TEXT(FIXED(ROUND((C1836/EXC.RATE_1),CURRENCY.FORMAT_1),CURRENCY.FORMAT_1,1),"# ##0;-# ##0"),",-"),FIXED(ROUND((C1836/EXC.RATE_1),CURRENCY.FORMAT_1),CURRENCY.FORMAT_1,0)),'DICTIONARY-5'!$A$2)</f>
        <v>202,-</v>
      </c>
      <c r="K1836" s="670" t="str">
        <f>IF(EXC.RATE_2=0,"",IFERROR(IF(CURRENCY.FORMAT_2=0,CONCATENATE(TEXT(FIXED(ROUND(IF(EXC.RATE.SWITCH=1,C1836/EXC.RATE_2,C1836*EXC.RATE_2),CURRENCY.FORMAT_2),CURRENCY.FORMAT_2,1),"# ##0;-# ##0"),",-"),FIXED(ROUND(IF(EXC.RATE.SWITCH=1,C1836/EXC.RATE_2,C1836*EXC.RATE_2),CURRENCY.FORMAT_2),CURRENCY.FORMAT_2,0)),'DICTIONARY-5'!$A$2))</f>
        <v/>
      </c>
      <c r="L1836" s="670" t="str">
        <f>IFERROR(IF(CURRENCY.FORMAT_1=0,CONCATENATE(TEXT(FIXED(ROUND((C1836*(1-I1836)*(1-ADD.DISCOUNT)*(1+MAT.SURCHARGE)/EXC.RATE_1),CURRENCY.FORMAT_1),CURRENCY.FORMAT_1,1),"# ##0;-# ##0"),",-"),FIXED(ROUND((C1836*(1-I1836)*(1-ADD.DISCOUNT)*(1+MAT.SURCHARGE)/EXC.RATE_1),CURRENCY.FORMAT_1),CURRENCY.FORMAT_1,0)),'DICTIONARY-5'!$A$2)</f>
        <v>210,-</v>
      </c>
      <c r="M1836" s="670" t="str">
        <f>IF(EXC.RATE_2=0,"",IFERROR(IF(CURRENCY.FORMAT_2=0,CONCATENATE(TEXT(FIXED(ROUND(IF(EXC.RATE.SWITCH=1,C1836*(1-I1836)*(1-ADD.DISCOUNT)*(1+MAT.SURCHARGE)/EXC.RATE_2,C1836*(1-I1836)*(1-ADD.DISCOUNT)*(1+MAT.SURCHARGE)*EXC.RATE_2),CURRENCY.FORMAT_2),CURRENCY.FORMAT_2,1),"# ##0;-# ##0"),",-"),FIXED(ROUND(IF(EXC.RATE.SWITCH=1,C1836*(1-I1836)*(1-ADD.DISCOUNT)*(1+MAT.SURCHARGE)/EXC.RATE_2,C1836*(1-I1836)*(1-ADD.DISCOUNT)*(1+MAT.SURCHARGE)*EXC.RATE_2),CURRENCY.FORMAT_2),CURRENCY.FORMAT_2,0)),'DICTIONARY-5'!$A$2))</f>
        <v/>
      </c>
      <c r="N1836" s="541">
        <v>6</v>
      </c>
      <c r="O1836" s="654" t="s">
        <v>7363</v>
      </c>
      <c r="P1836" s="731" t="str">
        <f>'DICTIONARY-3'!$A$148</f>
        <v>CEREX 300-L</v>
      </c>
      <c r="Q1836" s="731" t="str">
        <f>'DICTIONARY-3'!$A$204</f>
        <v>Przepustnica kołnierzowa</v>
      </c>
      <c r="R1836" s="732" t="str">
        <f>CONCATENATE('DICTIONARY-3'!$A$148," ",'DICTIONARY-6'!$A$2," ",UPPER('DICTIONARY-5'!$A$18)," ",'DICTIONARY-2'!$A$2,"80"," ",'DICTIONARY-2'!$A$3,"10/16"," ",'DICTIONARY-5'!$A$37,"/",'DICTIONARY-5'!$A$45,", ",'DICTIONARY-4'!$A$2)</f>
        <v>CEREX 300-L Przep. kołnierz. GAZ DN80 PN10/16 CF8M/NBR, WW</v>
      </c>
      <c r="S1836" s="733" t="str">
        <f>'DICTIONARY-4'!$A$2</f>
        <v>WW</v>
      </c>
      <c r="T1836" s="732" t="str">
        <f>'DICTIONARY-4'!$A$18</f>
        <v>Wolny wałek</v>
      </c>
      <c r="U1836" s="734" t="s">
        <v>5760</v>
      </c>
      <c r="V1836" s="735">
        <v>16</v>
      </c>
      <c r="W1836" s="736"/>
      <c r="X1836" s="737"/>
      <c r="Y1836" s="738"/>
      <c r="Z1836" s="739"/>
      <c r="AA1836" s="739"/>
      <c r="AB1836" s="740">
        <v>16</v>
      </c>
      <c r="AC1836" s="741" t="str">
        <f>'DICTIONARY-5'!$A$11&amp;" 20"</f>
        <v>EN 558 szereg 20</v>
      </c>
      <c r="AD1836" s="733" t="str">
        <f>'DICTIONARY-5'!$A$18&amp;", "&amp;'DICTIONARY-5'!$A$14</f>
        <v>gaz, ścieki</v>
      </c>
      <c r="AE1836" s="742">
        <v>80</v>
      </c>
      <c r="AF1836" s="743">
        <v>3.5</v>
      </c>
      <c r="AG1836" s="741" t="str">
        <f>'DICTIONARY-5'!$A$23</f>
        <v>powłoka epoksydowa</v>
      </c>
    </row>
    <row r="1837" spans="1:33" x14ac:dyDescent="0.25">
      <c r="A1837" s="844" t="s">
        <v>5228</v>
      </c>
      <c r="B1837" s="844" t="s">
        <v>5428</v>
      </c>
      <c r="C1837" s="836">
        <v>232</v>
      </c>
      <c r="D1837" s="836"/>
      <c r="E1837" s="836"/>
      <c r="F1837" s="836"/>
      <c r="G1837" s="496" t="s">
        <v>7832</v>
      </c>
      <c r="H1837" s="797" t="str">
        <f>VLOOKUP(G1837,SETTINGS!$B$7:$D$97,2,0)</f>
        <v>CEREX 300</v>
      </c>
      <c r="I1837" s="796">
        <f>VLOOKUP(G1837,SETTINGS!$B$7:$D$97,3,0)</f>
        <v>0</v>
      </c>
      <c r="J1837" s="670" t="str">
        <f>IFERROR(IF(CURRENCY.FORMAT_1=0,CONCATENATE(TEXT(FIXED(ROUND((C1837/EXC.RATE_1),CURRENCY.FORMAT_1),CURRENCY.FORMAT_1,1),"# ##0;-# ##0"),",-"),FIXED(ROUND((C1837/EXC.RATE_1),CURRENCY.FORMAT_1),CURRENCY.FORMAT_1,0)),'DICTIONARY-5'!$A$2)</f>
        <v>232,-</v>
      </c>
      <c r="K1837" s="670" t="str">
        <f>IF(EXC.RATE_2=0,"",IFERROR(IF(CURRENCY.FORMAT_2=0,CONCATENATE(TEXT(FIXED(ROUND(IF(EXC.RATE.SWITCH=1,C1837/EXC.RATE_2,C1837*EXC.RATE_2),CURRENCY.FORMAT_2),CURRENCY.FORMAT_2,1),"# ##0;-# ##0"),",-"),FIXED(ROUND(IF(EXC.RATE.SWITCH=1,C1837/EXC.RATE_2,C1837*EXC.RATE_2),CURRENCY.FORMAT_2),CURRENCY.FORMAT_2,0)),'DICTIONARY-5'!$A$2))</f>
        <v/>
      </c>
      <c r="L1837" s="670" t="str">
        <f>IFERROR(IF(CURRENCY.FORMAT_1=0,CONCATENATE(TEXT(FIXED(ROUND((C1837*(1-I1837)*(1-ADD.DISCOUNT)*(1+MAT.SURCHARGE)/EXC.RATE_1),CURRENCY.FORMAT_1),CURRENCY.FORMAT_1,1),"# ##0;-# ##0"),",-"),FIXED(ROUND((C1837*(1-I1837)*(1-ADD.DISCOUNT)*(1+MAT.SURCHARGE)/EXC.RATE_1),CURRENCY.FORMAT_1),CURRENCY.FORMAT_1,0)),'DICTIONARY-5'!$A$2)</f>
        <v>241,-</v>
      </c>
      <c r="M1837" s="670" t="str">
        <f>IF(EXC.RATE_2=0,"",IFERROR(IF(CURRENCY.FORMAT_2=0,CONCATENATE(TEXT(FIXED(ROUND(IF(EXC.RATE.SWITCH=1,C1837*(1-I1837)*(1-ADD.DISCOUNT)*(1+MAT.SURCHARGE)/EXC.RATE_2,C1837*(1-I1837)*(1-ADD.DISCOUNT)*(1+MAT.SURCHARGE)*EXC.RATE_2),CURRENCY.FORMAT_2),CURRENCY.FORMAT_2,1),"# ##0;-# ##0"),",-"),FIXED(ROUND(IF(EXC.RATE.SWITCH=1,C1837*(1-I1837)*(1-ADD.DISCOUNT)*(1+MAT.SURCHARGE)/EXC.RATE_2,C1837*(1-I1837)*(1-ADD.DISCOUNT)*(1+MAT.SURCHARGE)*EXC.RATE_2),CURRENCY.FORMAT_2),CURRENCY.FORMAT_2,0)),'DICTIONARY-5'!$A$2))</f>
        <v/>
      </c>
      <c r="N1837" s="541">
        <v>6</v>
      </c>
      <c r="O1837" s="654" t="s">
        <v>7363</v>
      </c>
      <c r="P1837" s="731" t="str">
        <f>'DICTIONARY-3'!$A$148</f>
        <v>CEREX 300-L</v>
      </c>
      <c r="Q1837" s="731" t="str">
        <f>'DICTIONARY-3'!$A$204</f>
        <v>Przepustnica kołnierzowa</v>
      </c>
      <c r="R1837" s="732" t="str">
        <f>CONCATENATE('DICTIONARY-3'!$A$148," ",'DICTIONARY-6'!$A$2," ",UPPER('DICTIONARY-5'!$A$18)," ",'DICTIONARY-2'!$A$2,"100"," ",'DICTIONARY-2'!$A$3,"10/16"," ",'DICTIONARY-5'!$A$37,"/",'DICTIONARY-5'!$A$45,", ",'DICTIONARY-4'!$A$2)</f>
        <v>CEREX 300-L Przep. kołnierz. GAZ DN100 PN10/16 CF8M/NBR, WW</v>
      </c>
      <c r="S1837" s="733" t="str">
        <f>'DICTIONARY-4'!$A$2</f>
        <v>WW</v>
      </c>
      <c r="T1837" s="732" t="str">
        <f>'DICTIONARY-4'!$A$18</f>
        <v>Wolny wałek</v>
      </c>
      <c r="U1837" s="734" t="s">
        <v>5749</v>
      </c>
      <c r="V1837" s="735">
        <v>16</v>
      </c>
      <c r="W1837" s="736"/>
      <c r="X1837" s="737"/>
      <c r="Y1837" s="738"/>
      <c r="Z1837" s="739"/>
      <c r="AA1837" s="739"/>
      <c r="AB1837" s="740">
        <v>16</v>
      </c>
      <c r="AC1837" s="741" t="str">
        <f>'DICTIONARY-5'!$A$11&amp;" 20"</f>
        <v>EN 558 szereg 20</v>
      </c>
      <c r="AD1837" s="733" t="str">
        <f>'DICTIONARY-5'!$A$18&amp;", "&amp;'DICTIONARY-5'!$A$14</f>
        <v>gaz, ścieki</v>
      </c>
      <c r="AE1837" s="742">
        <v>80</v>
      </c>
      <c r="AF1837" s="743">
        <v>7.5</v>
      </c>
      <c r="AG1837" s="741" t="str">
        <f>'DICTIONARY-5'!$A$23</f>
        <v>powłoka epoksydowa</v>
      </c>
    </row>
    <row r="1838" spans="1:33" x14ac:dyDescent="0.25">
      <c r="A1838" s="844" t="s">
        <v>5230</v>
      </c>
      <c r="B1838" s="844" t="s">
        <v>5429</v>
      </c>
      <c r="C1838" s="836">
        <v>274</v>
      </c>
      <c r="D1838" s="836"/>
      <c r="E1838" s="836"/>
      <c r="F1838" s="836"/>
      <c r="G1838" s="496" t="s">
        <v>7832</v>
      </c>
      <c r="H1838" s="797" t="str">
        <f>VLOOKUP(G1838,SETTINGS!$B$7:$D$97,2,0)</f>
        <v>CEREX 300</v>
      </c>
      <c r="I1838" s="796">
        <f>VLOOKUP(G1838,SETTINGS!$B$7:$D$97,3,0)</f>
        <v>0</v>
      </c>
      <c r="J1838" s="670" t="str">
        <f>IFERROR(IF(CURRENCY.FORMAT_1=0,CONCATENATE(TEXT(FIXED(ROUND((C1838/EXC.RATE_1),CURRENCY.FORMAT_1),CURRENCY.FORMAT_1,1),"# ##0;-# ##0"),",-"),FIXED(ROUND((C1838/EXC.RATE_1),CURRENCY.FORMAT_1),CURRENCY.FORMAT_1,0)),'DICTIONARY-5'!$A$2)</f>
        <v>274,-</v>
      </c>
      <c r="K1838" s="670" t="str">
        <f>IF(EXC.RATE_2=0,"",IFERROR(IF(CURRENCY.FORMAT_2=0,CONCATENATE(TEXT(FIXED(ROUND(IF(EXC.RATE.SWITCH=1,C1838/EXC.RATE_2,C1838*EXC.RATE_2),CURRENCY.FORMAT_2),CURRENCY.FORMAT_2,1),"# ##0;-# ##0"),",-"),FIXED(ROUND(IF(EXC.RATE.SWITCH=1,C1838/EXC.RATE_2,C1838*EXC.RATE_2),CURRENCY.FORMAT_2),CURRENCY.FORMAT_2,0)),'DICTIONARY-5'!$A$2))</f>
        <v/>
      </c>
      <c r="L1838" s="670" t="str">
        <f>IFERROR(IF(CURRENCY.FORMAT_1=0,CONCATENATE(TEXT(FIXED(ROUND((C1838*(1-I1838)*(1-ADD.DISCOUNT)*(1+MAT.SURCHARGE)/EXC.RATE_1),CURRENCY.FORMAT_1),CURRENCY.FORMAT_1,1),"# ##0;-# ##0"),",-"),FIXED(ROUND((C1838*(1-I1838)*(1-ADD.DISCOUNT)*(1+MAT.SURCHARGE)/EXC.RATE_1),CURRENCY.FORMAT_1),CURRENCY.FORMAT_1,0)),'DICTIONARY-5'!$A$2)</f>
        <v>285,-</v>
      </c>
      <c r="M1838" s="670" t="str">
        <f>IF(EXC.RATE_2=0,"",IFERROR(IF(CURRENCY.FORMAT_2=0,CONCATENATE(TEXT(FIXED(ROUND(IF(EXC.RATE.SWITCH=1,C1838*(1-I1838)*(1-ADD.DISCOUNT)*(1+MAT.SURCHARGE)/EXC.RATE_2,C1838*(1-I1838)*(1-ADD.DISCOUNT)*(1+MAT.SURCHARGE)*EXC.RATE_2),CURRENCY.FORMAT_2),CURRENCY.FORMAT_2,1),"# ##0;-# ##0"),",-"),FIXED(ROUND(IF(EXC.RATE.SWITCH=1,C1838*(1-I1838)*(1-ADD.DISCOUNT)*(1+MAT.SURCHARGE)/EXC.RATE_2,C1838*(1-I1838)*(1-ADD.DISCOUNT)*(1+MAT.SURCHARGE)*EXC.RATE_2),CURRENCY.FORMAT_2),CURRENCY.FORMAT_2,0)),'DICTIONARY-5'!$A$2))</f>
        <v/>
      </c>
      <c r="N1838" s="541">
        <v>6</v>
      </c>
      <c r="O1838" s="654" t="s">
        <v>7363</v>
      </c>
      <c r="P1838" s="731" t="str">
        <f>'DICTIONARY-3'!$A$148</f>
        <v>CEREX 300-L</v>
      </c>
      <c r="Q1838" s="731" t="str">
        <f>'DICTIONARY-3'!$A$204</f>
        <v>Przepustnica kołnierzowa</v>
      </c>
      <c r="R1838" s="732" t="str">
        <f>CONCATENATE('DICTIONARY-3'!$A$148," ",'DICTIONARY-6'!$A$2," ",UPPER('DICTIONARY-5'!$A$18)," ",'DICTIONARY-2'!$A$2,"125"," ",'DICTIONARY-2'!$A$3,"10/16"," ",'DICTIONARY-5'!$A$37,"/",'DICTIONARY-5'!$A$45,", ",'DICTIONARY-4'!$A$2)</f>
        <v>CEREX 300-L Przep. kołnierz. GAZ DN125 PN10/16 CF8M/NBR, WW</v>
      </c>
      <c r="S1838" s="733" t="str">
        <f>'DICTIONARY-4'!$A$2</f>
        <v>WW</v>
      </c>
      <c r="T1838" s="732" t="str">
        <f>'DICTIONARY-4'!$A$18</f>
        <v>Wolny wałek</v>
      </c>
      <c r="U1838" s="734" t="s">
        <v>5761</v>
      </c>
      <c r="V1838" s="735">
        <v>16</v>
      </c>
      <c r="W1838" s="736"/>
      <c r="X1838" s="737"/>
      <c r="Y1838" s="738"/>
      <c r="Z1838" s="739"/>
      <c r="AA1838" s="739"/>
      <c r="AB1838" s="740">
        <v>16</v>
      </c>
      <c r="AC1838" s="741" t="str">
        <f>'DICTIONARY-5'!$A$11&amp;" 20"</f>
        <v>EN 558 szereg 20</v>
      </c>
      <c r="AD1838" s="733" t="str">
        <f>'DICTIONARY-5'!$A$18&amp;", "&amp;'DICTIONARY-5'!$A$14</f>
        <v>gaz, ścieki</v>
      </c>
      <c r="AE1838" s="742">
        <v>80</v>
      </c>
      <c r="AF1838" s="743">
        <v>9.5</v>
      </c>
      <c r="AG1838" s="741" t="str">
        <f>'DICTIONARY-5'!$A$23</f>
        <v>powłoka epoksydowa</v>
      </c>
    </row>
    <row r="1839" spans="1:33" x14ac:dyDescent="0.25">
      <c r="A1839" s="844" t="s">
        <v>5232</v>
      </c>
      <c r="B1839" s="844" t="s">
        <v>5430</v>
      </c>
      <c r="C1839" s="836">
        <v>376</v>
      </c>
      <c r="D1839" s="836"/>
      <c r="E1839" s="836"/>
      <c r="F1839" s="836"/>
      <c r="G1839" s="496" t="s">
        <v>7832</v>
      </c>
      <c r="H1839" s="797" t="str">
        <f>VLOOKUP(G1839,SETTINGS!$B$7:$D$97,2,0)</f>
        <v>CEREX 300</v>
      </c>
      <c r="I1839" s="796">
        <f>VLOOKUP(G1839,SETTINGS!$B$7:$D$97,3,0)</f>
        <v>0</v>
      </c>
      <c r="J1839" s="670" t="str">
        <f>IFERROR(IF(CURRENCY.FORMAT_1=0,CONCATENATE(TEXT(FIXED(ROUND((C1839/EXC.RATE_1),CURRENCY.FORMAT_1),CURRENCY.FORMAT_1,1),"# ##0;-# ##0"),",-"),FIXED(ROUND((C1839/EXC.RATE_1),CURRENCY.FORMAT_1),CURRENCY.FORMAT_1,0)),'DICTIONARY-5'!$A$2)</f>
        <v>376,-</v>
      </c>
      <c r="K1839" s="670" t="str">
        <f>IF(EXC.RATE_2=0,"",IFERROR(IF(CURRENCY.FORMAT_2=0,CONCATENATE(TEXT(FIXED(ROUND(IF(EXC.RATE.SWITCH=1,C1839/EXC.RATE_2,C1839*EXC.RATE_2),CURRENCY.FORMAT_2),CURRENCY.FORMAT_2,1),"# ##0;-# ##0"),",-"),FIXED(ROUND(IF(EXC.RATE.SWITCH=1,C1839/EXC.RATE_2,C1839*EXC.RATE_2),CURRENCY.FORMAT_2),CURRENCY.FORMAT_2,0)),'DICTIONARY-5'!$A$2))</f>
        <v/>
      </c>
      <c r="L1839" s="670" t="str">
        <f>IFERROR(IF(CURRENCY.FORMAT_1=0,CONCATENATE(TEXT(FIXED(ROUND((C1839*(1-I1839)*(1-ADD.DISCOUNT)*(1+MAT.SURCHARGE)/EXC.RATE_1),CURRENCY.FORMAT_1),CURRENCY.FORMAT_1,1),"# ##0;-# ##0"),",-"),FIXED(ROUND((C1839*(1-I1839)*(1-ADD.DISCOUNT)*(1+MAT.SURCHARGE)/EXC.RATE_1),CURRENCY.FORMAT_1),CURRENCY.FORMAT_1,0)),'DICTIONARY-5'!$A$2)</f>
        <v>391,-</v>
      </c>
      <c r="M1839" s="670" t="str">
        <f>IF(EXC.RATE_2=0,"",IFERROR(IF(CURRENCY.FORMAT_2=0,CONCATENATE(TEXT(FIXED(ROUND(IF(EXC.RATE.SWITCH=1,C1839*(1-I1839)*(1-ADD.DISCOUNT)*(1+MAT.SURCHARGE)/EXC.RATE_2,C1839*(1-I1839)*(1-ADD.DISCOUNT)*(1+MAT.SURCHARGE)*EXC.RATE_2),CURRENCY.FORMAT_2),CURRENCY.FORMAT_2,1),"# ##0;-# ##0"),",-"),FIXED(ROUND(IF(EXC.RATE.SWITCH=1,C1839*(1-I1839)*(1-ADD.DISCOUNT)*(1+MAT.SURCHARGE)/EXC.RATE_2,C1839*(1-I1839)*(1-ADD.DISCOUNT)*(1+MAT.SURCHARGE)*EXC.RATE_2),CURRENCY.FORMAT_2),CURRENCY.FORMAT_2,0)),'DICTIONARY-5'!$A$2))</f>
        <v/>
      </c>
      <c r="N1839" s="541">
        <v>6</v>
      </c>
      <c r="O1839" s="654" t="s">
        <v>7363</v>
      </c>
      <c r="P1839" s="731" t="str">
        <f>'DICTIONARY-3'!$A$148</f>
        <v>CEREX 300-L</v>
      </c>
      <c r="Q1839" s="731" t="str">
        <f>'DICTIONARY-3'!$A$204</f>
        <v>Przepustnica kołnierzowa</v>
      </c>
      <c r="R1839" s="732" t="str">
        <f>CONCATENATE('DICTIONARY-3'!$A$148," ",'DICTIONARY-6'!$A$2," ",UPPER('DICTIONARY-5'!$A$18)," ",'DICTIONARY-2'!$A$2,"150"," ",'DICTIONARY-2'!$A$3,"10/16"," ",'DICTIONARY-5'!$A$37,"/",'DICTIONARY-5'!$A$45,", ",'DICTIONARY-4'!$A$2)</f>
        <v>CEREX 300-L Przep. kołnierz. GAZ DN150 PN10/16 CF8M/NBR, WW</v>
      </c>
      <c r="S1839" s="733" t="str">
        <f>'DICTIONARY-4'!$A$2</f>
        <v>WW</v>
      </c>
      <c r="T1839" s="732" t="str">
        <f>'DICTIONARY-4'!$A$18</f>
        <v>Wolny wałek</v>
      </c>
      <c r="U1839" s="734" t="s">
        <v>5572</v>
      </c>
      <c r="V1839" s="735">
        <v>16</v>
      </c>
      <c r="W1839" s="736"/>
      <c r="X1839" s="737"/>
      <c r="Y1839" s="738"/>
      <c r="Z1839" s="739"/>
      <c r="AA1839" s="739"/>
      <c r="AB1839" s="740">
        <v>16</v>
      </c>
      <c r="AC1839" s="741" t="str">
        <f>'DICTIONARY-5'!$A$11&amp;" 20"</f>
        <v>EN 558 szereg 20</v>
      </c>
      <c r="AD1839" s="733" t="str">
        <f>'DICTIONARY-5'!$A$18&amp;", "&amp;'DICTIONARY-5'!$A$14</f>
        <v>gaz, ścieki</v>
      </c>
      <c r="AE1839" s="742">
        <v>80</v>
      </c>
      <c r="AF1839" s="743">
        <v>12.5</v>
      </c>
      <c r="AG1839" s="741" t="str">
        <f>'DICTIONARY-5'!$A$23</f>
        <v>powłoka epoksydowa</v>
      </c>
    </row>
    <row r="1840" spans="1:33" x14ac:dyDescent="0.25">
      <c r="A1840" s="844" t="s">
        <v>5234</v>
      </c>
      <c r="B1840" s="844" t="s">
        <v>5431</v>
      </c>
      <c r="C1840" s="836">
        <v>497</v>
      </c>
      <c r="D1840" s="836"/>
      <c r="E1840" s="836"/>
      <c r="F1840" s="836"/>
      <c r="G1840" s="496" t="s">
        <v>7832</v>
      </c>
      <c r="H1840" s="797" t="str">
        <f>VLOOKUP(G1840,SETTINGS!$B$7:$D$97,2,0)</f>
        <v>CEREX 300</v>
      </c>
      <c r="I1840" s="796">
        <f>VLOOKUP(G1840,SETTINGS!$B$7:$D$97,3,0)</f>
        <v>0</v>
      </c>
      <c r="J1840" s="670" t="str">
        <f>IFERROR(IF(CURRENCY.FORMAT_1=0,CONCATENATE(TEXT(FIXED(ROUND((C1840/EXC.RATE_1),CURRENCY.FORMAT_1),CURRENCY.FORMAT_1,1),"# ##0;-# ##0"),",-"),FIXED(ROUND((C1840/EXC.RATE_1),CURRENCY.FORMAT_1),CURRENCY.FORMAT_1,0)),'DICTIONARY-5'!$A$2)</f>
        <v>497,-</v>
      </c>
      <c r="K1840" s="670" t="str">
        <f>IF(EXC.RATE_2=0,"",IFERROR(IF(CURRENCY.FORMAT_2=0,CONCATENATE(TEXT(FIXED(ROUND(IF(EXC.RATE.SWITCH=1,C1840/EXC.RATE_2,C1840*EXC.RATE_2),CURRENCY.FORMAT_2),CURRENCY.FORMAT_2,1),"# ##0;-# ##0"),",-"),FIXED(ROUND(IF(EXC.RATE.SWITCH=1,C1840/EXC.RATE_2,C1840*EXC.RATE_2),CURRENCY.FORMAT_2),CURRENCY.FORMAT_2,0)),'DICTIONARY-5'!$A$2))</f>
        <v/>
      </c>
      <c r="L1840" s="670" t="str">
        <f>IFERROR(IF(CURRENCY.FORMAT_1=0,CONCATENATE(TEXT(FIXED(ROUND((C1840*(1-I1840)*(1-ADD.DISCOUNT)*(1+MAT.SURCHARGE)/EXC.RATE_1),CURRENCY.FORMAT_1),CURRENCY.FORMAT_1,1),"# ##0;-# ##0"),",-"),FIXED(ROUND((C1840*(1-I1840)*(1-ADD.DISCOUNT)*(1+MAT.SURCHARGE)/EXC.RATE_1),CURRENCY.FORMAT_1),CURRENCY.FORMAT_1,0)),'DICTIONARY-5'!$A$2)</f>
        <v>516,-</v>
      </c>
      <c r="M1840" s="670" t="str">
        <f>IF(EXC.RATE_2=0,"",IFERROR(IF(CURRENCY.FORMAT_2=0,CONCATENATE(TEXT(FIXED(ROUND(IF(EXC.RATE.SWITCH=1,C1840*(1-I1840)*(1-ADD.DISCOUNT)*(1+MAT.SURCHARGE)/EXC.RATE_2,C1840*(1-I1840)*(1-ADD.DISCOUNT)*(1+MAT.SURCHARGE)*EXC.RATE_2),CURRENCY.FORMAT_2),CURRENCY.FORMAT_2,1),"# ##0;-# ##0"),",-"),FIXED(ROUND(IF(EXC.RATE.SWITCH=1,C1840*(1-I1840)*(1-ADD.DISCOUNT)*(1+MAT.SURCHARGE)/EXC.RATE_2,C1840*(1-I1840)*(1-ADD.DISCOUNT)*(1+MAT.SURCHARGE)*EXC.RATE_2),CURRENCY.FORMAT_2),CURRENCY.FORMAT_2,0)),'DICTIONARY-5'!$A$2))</f>
        <v/>
      </c>
      <c r="N1840" s="541">
        <v>6</v>
      </c>
      <c r="O1840" s="654" t="s">
        <v>7363</v>
      </c>
      <c r="P1840" s="731" t="str">
        <f>'DICTIONARY-3'!$A$148</f>
        <v>CEREX 300-L</v>
      </c>
      <c r="Q1840" s="731" t="str">
        <f>'DICTIONARY-3'!$A$204</f>
        <v>Przepustnica kołnierzowa</v>
      </c>
      <c r="R1840" s="732" t="str">
        <f>CONCATENATE('DICTIONARY-3'!$A$148," ",'DICTIONARY-6'!$A$2," ",UPPER('DICTIONARY-5'!$A$18)," ",'DICTIONARY-2'!$A$2,"200"," ",'DICTIONARY-2'!$A$3,"10"," ",'DICTIONARY-5'!$A$37,"/",'DICTIONARY-5'!$A$45,", ",'DICTIONARY-4'!$A$2)</f>
        <v>CEREX 300-L Przep. kołnierz. GAZ DN200 PN10 CF8M/NBR, WW</v>
      </c>
      <c r="S1840" s="733" t="str">
        <f>'DICTIONARY-4'!$A$2</f>
        <v>WW</v>
      </c>
      <c r="T1840" s="732" t="str">
        <f>'DICTIONARY-4'!$A$18</f>
        <v>Wolny wałek</v>
      </c>
      <c r="U1840" s="734" t="s">
        <v>5750</v>
      </c>
      <c r="V1840" s="735">
        <v>10</v>
      </c>
      <c r="W1840" s="736"/>
      <c r="X1840" s="737"/>
      <c r="Y1840" s="738"/>
      <c r="Z1840" s="739"/>
      <c r="AA1840" s="739"/>
      <c r="AB1840" s="740">
        <v>10</v>
      </c>
      <c r="AC1840" s="741" t="str">
        <f>'DICTIONARY-5'!$A$11&amp;" 20"</f>
        <v>EN 558 szereg 20</v>
      </c>
      <c r="AD1840" s="733" t="str">
        <f>'DICTIONARY-5'!$A$18&amp;", "&amp;'DICTIONARY-5'!$A$14</f>
        <v>gaz, ścieki</v>
      </c>
      <c r="AE1840" s="742">
        <v>80</v>
      </c>
      <c r="AF1840" s="743">
        <v>17.5</v>
      </c>
      <c r="AG1840" s="741" t="str">
        <f>'DICTIONARY-5'!$A$23</f>
        <v>powłoka epoksydowa</v>
      </c>
    </row>
    <row r="1841" spans="1:33" x14ac:dyDescent="0.25">
      <c r="A1841" s="844" t="s">
        <v>5236</v>
      </c>
      <c r="B1841" s="844" t="s">
        <v>5432</v>
      </c>
      <c r="C1841" s="836">
        <v>545</v>
      </c>
      <c r="D1841" s="836"/>
      <c r="E1841" s="836"/>
      <c r="F1841" s="836"/>
      <c r="G1841" s="496" t="s">
        <v>7832</v>
      </c>
      <c r="H1841" s="797" t="str">
        <f>VLOOKUP(G1841,SETTINGS!$B$7:$D$97,2,0)</f>
        <v>CEREX 300</v>
      </c>
      <c r="I1841" s="796">
        <f>VLOOKUP(G1841,SETTINGS!$B$7:$D$97,3,0)</f>
        <v>0</v>
      </c>
      <c r="J1841" s="670" t="str">
        <f>IFERROR(IF(CURRENCY.FORMAT_1=0,CONCATENATE(TEXT(FIXED(ROUND((C1841/EXC.RATE_1),CURRENCY.FORMAT_1),CURRENCY.FORMAT_1,1),"# ##0;-# ##0"),",-"),FIXED(ROUND((C1841/EXC.RATE_1),CURRENCY.FORMAT_1),CURRENCY.FORMAT_1,0)),'DICTIONARY-5'!$A$2)</f>
        <v>545,-</v>
      </c>
      <c r="K1841" s="670" t="str">
        <f>IF(EXC.RATE_2=0,"",IFERROR(IF(CURRENCY.FORMAT_2=0,CONCATENATE(TEXT(FIXED(ROUND(IF(EXC.RATE.SWITCH=1,C1841/EXC.RATE_2,C1841*EXC.RATE_2),CURRENCY.FORMAT_2),CURRENCY.FORMAT_2,1),"# ##0;-# ##0"),",-"),FIXED(ROUND(IF(EXC.RATE.SWITCH=1,C1841/EXC.RATE_2,C1841*EXC.RATE_2),CURRENCY.FORMAT_2),CURRENCY.FORMAT_2,0)),'DICTIONARY-5'!$A$2))</f>
        <v/>
      </c>
      <c r="L1841" s="670" t="str">
        <f>IFERROR(IF(CURRENCY.FORMAT_1=0,CONCATENATE(TEXT(FIXED(ROUND((C1841*(1-I1841)*(1-ADD.DISCOUNT)*(1+MAT.SURCHARGE)/EXC.RATE_1),CURRENCY.FORMAT_1),CURRENCY.FORMAT_1,1),"# ##0;-# ##0"),",-"),FIXED(ROUND((C1841*(1-I1841)*(1-ADD.DISCOUNT)*(1+MAT.SURCHARGE)/EXC.RATE_1),CURRENCY.FORMAT_1),CURRENCY.FORMAT_1,0)),'DICTIONARY-5'!$A$2)</f>
        <v>566,-</v>
      </c>
      <c r="M1841" s="670" t="str">
        <f>IF(EXC.RATE_2=0,"",IFERROR(IF(CURRENCY.FORMAT_2=0,CONCATENATE(TEXT(FIXED(ROUND(IF(EXC.RATE.SWITCH=1,C1841*(1-I1841)*(1-ADD.DISCOUNT)*(1+MAT.SURCHARGE)/EXC.RATE_2,C1841*(1-I1841)*(1-ADD.DISCOUNT)*(1+MAT.SURCHARGE)*EXC.RATE_2),CURRENCY.FORMAT_2),CURRENCY.FORMAT_2,1),"# ##0;-# ##0"),",-"),FIXED(ROUND(IF(EXC.RATE.SWITCH=1,C1841*(1-I1841)*(1-ADD.DISCOUNT)*(1+MAT.SURCHARGE)/EXC.RATE_2,C1841*(1-I1841)*(1-ADD.DISCOUNT)*(1+MAT.SURCHARGE)*EXC.RATE_2),CURRENCY.FORMAT_2),CURRENCY.FORMAT_2,0)),'DICTIONARY-5'!$A$2))</f>
        <v/>
      </c>
      <c r="N1841" s="541">
        <v>6</v>
      </c>
      <c r="O1841" s="654" t="s">
        <v>7363</v>
      </c>
      <c r="P1841" s="731" t="str">
        <f>'DICTIONARY-3'!$A$148</f>
        <v>CEREX 300-L</v>
      </c>
      <c r="Q1841" s="731" t="str">
        <f>'DICTIONARY-3'!$A$204</f>
        <v>Przepustnica kołnierzowa</v>
      </c>
      <c r="R1841" s="732" t="str">
        <f>CONCATENATE('DICTIONARY-3'!$A$148," ",'DICTIONARY-6'!$A$2," ",UPPER('DICTIONARY-5'!$A$18)," ",'DICTIONARY-2'!$A$2,"200"," ",'DICTIONARY-2'!$A$3,"16"," ",'DICTIONARY-5'!$A$37,"/",'DICTIONARY-5'!$A$45,", ",'DICTIONARY-4'!$A$2)</f>
        <v>CEREX 300-L Przep. kołnierz. GAZ DN200 PN16 CF8M/NBR, WW</v>
      </c>
      <c r="S1841" s="733" t="str">
        <f>'DICTIONARY-4'!$A$2</f>
        <v>WW</v>
      </c>
      <c r="T1841" s="732" t="str">
        <f>'DICTIONARY-4'!$A$18</f>
        <v>Wolny wałek</v>
      </c>
      <c r="U1841" s="734" t="s">
        <v>5750</v>
      </c>
      <c r="V1841" s="735">
        <v>16</v>
      </c>
      <c r="W1841" s="736"/>
      <c r="X1841" s="737"/>
      <c r="Y1841" s="738"/>
      <c r="Z1841" s="739"/>
      <c r="AA1841" s="739"/>
      <c r="AB1841" s="740">
        <v>16</v>
      </c>
      <c r="AC1841" s="741" t="str">
        <f>'DICTIONARY-5'!$A$11&amp;" 20"</f>
        <v>EN 558 szereg 20</v>
      </c>
      <c r="AD1841" s="733" t="str">
        <f>'DICTIONARY-5'!$A$18&amp;", "&amp;'DICTIONARY-5'!$A$14</f>
        <v>gaz, ścieki</v>
      </c>
      <c r="AE1841" s="742">
        <v>80</v>
      </c>
      <c r="AF1841" s="743">
        <v>19</v>
      </c>
      <c r="AG1841" s="741" t="str">
        <f>'DICTIONARY-5'!$A$23</f>
        <v>powłoka epoksydowa</v>
      </c>
    </row>
    <row r="1842" spans="1:33" x14ac:dyDescent="0.25">
      <c r="A1842" s="844" t="s">
        <v>5238</v>
      </c>
      <c r="B1842" s="844" t="s">
        <v>5433</v>
      </c>
      <c r="C1842" s="836">
        <v>663</v>
      </c>
      <c r="D1842" s="836"/>
      <c r="E1842" s="836"/>
      <c r="F1842" s="836"/>
      <c r="G1842" s="496" t="s">
        <v>7832</v>
      </c>
      <c r="H1842" s="797" t="str">
        <f>VLOOKUP(G1842,SETTINGS!$B$7:$D$97,2,0)</f>
        <v>CEREX 300</v>
      </c>
      <c r="I1842" s="796">
        <f>VLOOKUP(G1842,SETTINGS!$B$7:$D$97,3,0)</f>
        <v>0</v>
      </c>
      <c r="J1842" s="670" t="str">
        <f>IFERROR(IF(CURRENCY.FORMAT_1=0,CONCATENATE(TEXT(FIXED(ROUND((C1842/EXC.RATE_1),CURRENCY.FORMAT_1),CURRENCY.FORMAT_1,1),"# ##0;-# ##0"),",-"),FIXED(ROUND((C1842/EXC.RATE_1),CURRENCY.FORMAT_1),CURRENCY.FORMAT_1,0)),'DICTIONARY-5'!$A$2)</f>
        <v>663,-</v>
      </c>
      <c r="K1842" s="670" t="str">
        <f>IF(EXC.RATE_2=0,"",IFERROR(IF(CURRENCY.FORMAT_2=0,CONCATENATE(TEXT(FIXED(ROUND(IF(EXC.RATE.SWITCH=1,C1842/EXC.RATE_2,C1842*EXC.RATE_2),CURRENCY.FORMAT_2),CURRENCY.FORMAT_2,1),"# ##0;-# ##0"),",-"),FIXED(ROUND(IF(EXC.RATE.SWITCH=1,C1842/EXC.RATE_2,C1842*EXC.RATE_2),CURRENCY.FORMAT_2),CURRENCY.FORMAT_2,0)),'DICTIONARY-5'!$A$2))</f>
        <v/>
      </c>
      <c r="L1842" s="670" t="str">
        <f>IFERROR(IF(CURRENCY.FORMAT_1=0,CONCATENATE(TEXT(FIXED(ROUND((C1842*(1-I1842)*(1-ADD.DISCOUNT)*(1+MAT.SURCHARGE)/EXC.RATE_1),CURRENCY.FORMAT_1),CURRENCY.FORMAT_1,1),"# ##0;-# ##0"),",-"),FIXED(ROUND((C1842*(1-I1842)*(1-ADD.DISCOUNT)*(1+MAT.SURCHARGE)/EXC.RATE_1),CURRENCY.FORMAT_1),CURRENCY.FORMAT_1,0)),'DICTIONARY-5'!$A$2)</f>
        <v>689,-</v>
      </c>
      <c r="M1842" s="670" t="str">
        <f>IF(EXC.RATE_2=0,"",IFERROR(IF(CURRENCY.FORMAT_2=0,CONCATENATE(TEXT(FIXED(ROUND(IF(EXC.RATE.SWITCH=1,C1842*(1-I1842)*(1-ADD.DISCOUNT)*(1+MAT.SURCHARGE)/EXC.RATE_2,C1842*(1-I1842)*(1-ADD.DISCOUNT)*(1+MAT.SURCHARGE)*EXC.RATE_2),CURRENCY.FORMAT_2),CURRENCY.FORMAT_2,1),"# ##0;-# ##0"),",-"),FIXED(ROUND(IF(EXC.RATE.SWITCH=1,C1842*(1-I1842)*(1-ADD.DISCOUNT)*(1+MAT.SURCHARGE)/EXC.RATE_2,C1842*(1-I1842)*(1-ADD.DISCOUNT)*(1+MAT.SURCHARGE)*EXC.RATE_2),CURRENCY.FORMAT_2),CURRENCY.FORMAT_2,0)),'DICTIONARY-5'!$A$2))</f>
        <v/>
      </c>
      <c r="N1842" s="541">
        <v>6</v>
      </c>
      <c r="O1842" s="654" t="s">
        <v>7363</v>
      </c>
      <c r="P1842" s="731" t="str">
        <f>'DICTIONARY-3'!$A$148</f>
        <v>CEREX 300-L</v>
      </c>
      <c r="Q1842" s="731" t="str">
        <f>'DICTIONARY-3'!$A$204</f>
        <v>Przepustnica kołnierzowa</v>
      </c>
      <c r="R1842" s="732" t="str">
        <f>CONCATENATE('DICTIONARY-3'!$A$148," ",'DICTIONARY-6'!$A$2," ",UPPER('DICTIONARY-5'!$A$18)," ",'DICTIONARY-2'!$A$2,"250"," ",'DICTIONARY-2'!$A$3,"10"," ",'DICTIONARY-5'!$A$37,"/",'DICTIONARY-5'!$A$45,", ",'DICTIONARY-4'!$A$2)</f>
        <v>CEREX 300-L Przep. kołnierz. GAZ DN250 PN10 CF8M/NBR, WW</v>
      </c>
      <c r="S1842" s="733" t="str">
        <f>'DICTIONARY-4'!$A$2</f>
        <v>WW</v>
      </c>
      <c r="T1842" s="732" t="str">
        <f>'DICTIONARY-4'!$A$18</f>
        <v>Wolny wałek</v>
      </c>
      <c r="U1842" s="734" t="s">
        <v>5751</v>
      </c>
      <c r="V1842" s="735">
        <v>10</v>
      </c>
      <c r="W1842" s="736"/>
      <c r="X1842" s="737"/>
      <c r="Y1842" s="738"/>
      <c r="Z1842" s="739"/>
      <c r="AA1842" s="739"/>
      <c r="AB1842" s="740">
        <v>10</v>
      </c>
      <c r="AC1842" s="741" t="str">
        <f>'DICTIONARY-5'!$A$11&amp;" 20"</f>
        <v>EN 558 szereg 20</v>
      </c>
      <c r="AD1842" s="733" t="str">
        <f>'DICTIONARY-5'!$A$18&amp;", "&amp;'DICTIONARY-5'!$A$14</f>
        <v>gaz, ścieki</v>
      </c>
      <c r="AE1842" s="742">
        <v>80</v>
      </c>
      <c r="AF1842" s="743">
        <v>29</v>
      </c>
      <c r="AG1842" s="741" t="str">
        <f>'DICTIONARY-5'!$A$23</f>
        <v>powłoka epoksydowa</v>
      </c>
    </row>
    <row r="1843" spans="1:33" x14ac:dyDescent="0.25">
      <c r="A1843" s="844" t="s">
        <v>5240</v>
      </c>
      <c r="B1843" s="844" t="s">
        <v>5434</v>
      </c>
      <c r="C1843" s="836">
        <v>674</v>
      </c>
      <c r="D1843" s="836"/>
      <c r="E1843" s="836"/>
      <c r="F1843" s="836"/>
      <c r="G1843" s="496" t="s">
        <v>7832</v>
      </c>
      <c r="H1843" s="797" t="str">
        <f>VLOOKUP(G1843,SETTINGS!$B$7:$D$97,2,0)</f>
        <v>CEREX 300</v>
      </c>
      <c r="I1843" s="796">
        <f>VLOOKUP(G1843,SETTINGS!$B$7:$D$97,3,0)</f>
        <v>0</v>
      </c>
      <c r="J1843" s="670" t="str">
        <f>IFERROR(IF(CURRENCY.FORMAT_1=0,CONCATENATE(TEXT(FIXED(ROUND((C1843/EXC.RATE_1),CURRENCY.FORMAT_1),CURRENCY.FORMAT_1,1),"# ##0;-# ##0"),",-"),FIXED(ROUND((C1843/EXC.RATE_1),CURRENCY.FORMAT_1),CURRENCY.FORMAT_1,0)),'DICTIONARY-5'!$A$2)</f>
        <v>674,-</v>
      </c>
      <c r="K1843" s="670" t="str">
        <f>IF(EXC.RATE_2=0,"",IFERROR(IF(CURRENCY.FORMAT_2=0,CONCATENATE(TEXT(FIXED(ROUND(IF(EXC.RATE.SWITCH=1,C1843/EXC.RATE_2,C1843*EXC.RATE_2),CURRENCY.FORMAT_2),CURRENCY.FORMAT_2,1),"# ##0;-# ##0"),",-"),FIXED(ROUND(IF(EXC.RATE.SWITCH=1,C1843/EXC.RATE_2,C1843*EXC.RATE_2),CURRENCY.FORMAT_2),CURRENCY.FORMAT_2,0)),'DICTIONARY-5'!$A$2))</f>
        <v/>
      </c>
      <c r="L1843" s="670" t="str">
        <f>IFERROR(IF(CURRENCY.FORMAT_1=0,CONCATENATE(TEXT(FIXED(ROUND((C1843*(1-I1843)*(1-ADD.DISCOUNT)*(1+MAT.SURCHARGE)/EXC.RATE_1),CURRENCY.FORMAT_1),CURRENCY.FORMAT_1,1),"# ##0;-# ##0"),",-"),FIXED(ROUND((C1843*(1-I1843)*(1-ADD.DISCOUNT)*(1+MAT.SURCHARGE)/EXC.RATE_1),CURRENCY.FORMAT_1),CURRENCY.FORMAT_1,0)),'DICTIONARY-5'!$A$2)</f>
        <v>700,-</v>
      </c>
      <c r="M1843" s="670" t="str">
        <f>IF(EXC.RATE_2=0,"",IFERROR(IF(CURRENCY.FORMAT_2=0,CONCATENATE(TEXT(FIXED(ROUND(IF(EXC.RATE.SWITCH=1,C1843*(1-I1843)*(1-ADD.DISCOUNT)*(1+MAT.SURCHARGE)/EXC.RATE_2,C1843*(1-I1843)*(1-ADD.DISCOUNT)*(1+MAT.SURCHARGE)*EXC.RATE_2),CURRENCY.FORMAT_2),CURRENCY.FORMAT_2,1),"# ##0;-# ##0"),",-"),FIXED(ROUND(IF(EXC.RATE.SWITCH=1,C1843*(1-I1843)*(1-ADD.DISCOUNT)*(1+MAT.SURCHARGE)/EXC.RATE_2,C1843*(1-I1843)*(1-ADD.DISCOUNT)*(1+MAT.SURCHARGE)*EXC.RATE_2),CURRENCY.FORMAT_2),CURRENCY.FORMAT_2,0)),'DICTIONARY-5'!$A$2))</f>
        <v/>
      </c>
      <c r="N1843" s="541">
        <v>6</v>
      </c>
      <c r="O1843" s="654" t="s">
        <v>7363</v>
      </c>
      <c r="P1843" s="731" t="str">
        <f>'DICTIONARY-3'!$A$148</f>
        <v>CEREX 300-L</v>
      </c>
      <c r="Q1843" s="731" t="str">
        <f>'DICTIONARY-3'!$A$204</f>
        <v>Przepustnica kołnierzowa</v>
      </c>
      <c r="R1843" s="732" t="str">
        <f>CONCATENATE('DICTIONARY-3'!$A$148," ",'DICTIONARY-6'!$A$2," ",UPPER('DICTIONARY-5'!$A$18)," ",'DICTIONARY-2'!$A$2,"250"," ",'DICTIONARY-2'!$A$3,"16"," ",'DICTIONARY-5'!$A$37,"/",'DICTIONARY-5'!$A$45,", ",'DICTIONARY-4'!$A$2)</f>
        <v>CEREX 300-L Przep. kołnierz. GAZ DN250 PN16 CF8M/NBR, WW</v>
      </c>
      <c r="S1843" s="733" t="str">
        <f>'DICTIONARY-4'!$A$2</f>
        <v>WW</v>
      </c>
      <c r="T1843" s="732" t="str">
        <f>'DICTIONARY-4'!$A$18</f>
        <v>Wolny wałek</v>
      </c>
      <c r="U1843" s="734" t="s">
        <v>5751</v>
      </c>
      <c r="V1843" s="735">
        <v>16</v>
      </c>
      <c r="W1843" s="736"/>
      <c r="X1843" s="737"/>
      <c r="Y1843" s="738"/>
      <c r="Z1843" s="739"/>
      <c r="AA1843" s="739"/>
      <c r="AB1843" s="740">
        <v>16</v>
      </c>
      <c r="AC1843" s="741" t="str">
        <f>'DICTIONARY-5'!$A$11&amp;" 20"</f>
        <v>EN 558 szereg 20</v>
      </c>
      <c r="AD1843" s="733" t="str">
        <f>'DICTIONARY-5'!$A$18&amp;", "&amp;'DICTIONARY-5'!$A$14</f>
        <v>gaz, ścieki</v>
      </c>
      <c r="AE1843" s="742">
        <v>80</v>
      </c>
      <c r="AF1843" s="743">
        <v>28</v>
      </c>
      <c r="AG1843" s="741" t="str">
        <f>'DICTIONARY-5'!$A$23</f>
        <v>powłoka epoksydowa</v>
      </c>
    </row>
    <row r="1844" spans="1:33" x14ac:dyDescent="0.25">
      <c r="A1844" s="844" t="s">
        <v>5242</v>
      </c>
      <c r="B1844" s="844" t="s">
        <v>5435</v>
      </c>
      <c r="C1844" s="836">
        <v>905</v>
      </c>
      <c r="D1844" s="836"/>
      <c r="E1844" s="836"/>
      <c r="F1844" s="836"/>
      <c r="G1844" s="496" t="s">
        <v>7832</v>
      </c>
      <c r="H1844" s="797" t="str">
        <f>VLOOKUP(G1844,SETTINGS!$B$7:$D$97,2,0)</f>
        <v>CEREX 300</v>
      </c>
      <c r="I1844" s="796">
        <f>VLOOKUP(G1844,SETTINGS!$B$7:$D$97,3,0)</f>
        <v>0</v>
      </c>
      <c r="J1844" s="670" t="str">
        <f>IFERROR(IF(CURRENCY.FORMAT_1=0,CONCATENATE(TEXT(FIXED(ROUND((C1844/EXC.RATE_1),CURRENCY.FORMAT_1),CURRENCY.FORMAT_1,1),"# ##0;-# ##0"),",-"),FIXED(ROUND((C1844/EXC.RATE_1),CURRENCY.FORMAT_1),CURRENCY.FORMAT_1,0)),'DICTIONARY-5'!$A$2)</f>
        <v>905,-</v>
      </c>
      <c r="K1844" s="670" t="str">
        <f>IF(EXC.RATE_2=0,"",IFERROR(IF(CURRENCY.FORMAT_2=0,CONCATENATE(TEXT(FIXED(ROUND(IF(EXC.RATE.SWITCH=1,C1844/EXC.RATE_2,C1844*EXC.RATE_2),CURRENCY.FORMAT_2),CURRENCY.FORMAT_2,1),"# ##0;-# ##0"),",-"),FIXED(ROUND(IF(EXC.RATE.SWITCH=1,C1844/EXC.RATE_2,C1844*EXC.RATE_2),CURRENCY.FORMAT_2),CURRENCY.FORMAT_2,0)),'DICTIONARY-5'!$A$2))</f>
        <v/>
      </c>
      <c r="L1844" s="670" t="str">
        <f>IFERROR(IF(CURRENCY.FORMAT_1=0,CONCATENATE(TEXT(FIXED(ROUND((C1844*(1-I1844)*(1-ADD.DISCOUNT)*(1+MAT.SURCHARGE)/EXC.RATE_1),CURRENCY.FORMAT_1),CURRENCY.FORMAT_1,1),"# ##0;-# ##0"),",-"),FIXED(ROUND((C1844*(1-I1844)*(1-ADD.DISCOUNT)*(1+MAT.SURCHARGE)/EXC.RATE_1),CURRENCY.FORMAT_1),CURRENCY.FORMAT_1,0)),'DICTIONARY-5'!$A$2)</f>
        <v>940,-</v>
      </c>
      <c r="M1844" s="670" t="str">
        <f>IF(EXC.RATE_2=0,"",IFERROR(IF(CURRENCY.FORMAT_2=0,CONCATENATE(TEXT(FIXED(ROUND(IF(EXC.RATE.SWITCH=1,C1844*(1-I1844)*(1-ADD.DISCOUNT)*(1+MAT.SURCHARGE)/EXC.RATE_2,C1844*(1-I1844)*(1-ADD.DISCOUNT)*(1+MAT.SURCHARGE)*EXC.RATE_2),CURRENCY.FORMAT_2),CURRENCY.FORMAT_2,1),"# ##0;-# ##0"),",-"),FIXED(ROUND(IF(EXC.RATE.SWITCH=1,C1844*(1-I1844)*(1-ADD.DISCOUNT)*(1+MAT.SURCHARGE)/EXC.RATE_2,C1844*(1-I1844)*(1-ADD.DISCOUNT)*(1+MAT.SURCHARGE)*EXC.RATE_2),CURRENCY.FORMAT_2),CURRENCY.FORMAT_2,0)),'DICTIONARY-5'!$A$2))</f>
        <v/>
      </c>
      <c r="N1844" s="541">
        <v>6</v>
      </c>
      <c r="O1844" s="654" t="s">
        <v>7363</v>
      </c>
      <c r="P1844" s="731" t="str">
        <f>'DICTIONARY-3'!$A$148</f>
        <v>CEREX 300-L</v>
      </c>
      <c r="Q1844" s="731" t="str">
        <f>'DICTIONARY-3'!$A$204</f>
        <v>Przepustnica kołnierzowa</v>
      </c>
      <c r="R1844" s="732" t="str">
        <f>CONCATENATE('DICTIONARY-3'!$A$148," ",'DICTIONARY-6'!$A$2," ",UPPER('DICTIONARY-5'!$A$18)," ",'DICTIONARY-2'!$A$2,"300"," ",'DICTIONARY-2'!$A$3,"10"," ",'DICTIONARY-5'!$A$37,"/",'DICTIONARY-5'!$A$45,", ",'DICTIONARY-4'!$A$2)</f>
        <v>CEREX 300-L Przep. kołnierz. GAZ DN300 PN10 CF8M/NBR, WW</v>
      </c>
      <c r="S1844" s="733" t="str">
        <f>'DICTIONARY-4'!$A$2</f>
        <v>WW</v>
      </c>
      <c r="T1844" s="732" t="str">
        <f>'DICTIONARY-4'!$A$18</f>
        <v>Wolny wałek</v>
      </c>
      <c r="U1844" s="734" t="s">
        <v>5752</v>
      </c>
      <c r="V1844" s="735">
        <v>10</v>
      </c>
      <c r="W1844" s="736"/>
      <c r="X1844" s="737"/>
      <c r="Y1844" s="738"/>
      <c r="Z1844" s="739"/>
      <c r="AA1844" s="739"/>
      <c r="AB1844" s="740">
        <v>10</v>
      </c>
      <c r="AC1844" s="741" t="str">
        <f>'DICTIONARY-5'!$A$11&amp;" 20"</f>
        <v>EN 558 szereg 20</v>
      </c>
      <c r="AD1844" s="733" t="str">
        <f>'DICTIONARY-5'!$A$18&amp;", "&amp;'DICTIONARY-5'!$A$14</f>
        <v>gaz, ścieki</v>
      </c>
      <c r="AE1844" s="742">
        <v>80</v>
      </c>
      <c r="AF1844" s="743">
        <v>40.5</v>
      </c>
      <c r="AG1844" s="741" t="str">
        <f>'DICTIONARY-5'!$A$23</f>
        <v>powłoka epoksydowa</v>
      </c>
    </row>
    <row r="1845" spans="1:33" x14ac:dyDescent="0.25">
      <c r="A1845" s="844" t="s">
        <v>5244</v>
      </c>
      <c r="B1845" s="844" t="s">
        <v>5436</v>
      </c>
      <c r="C1845" s="836">
        <v>911</v>
      </c>
      <c r="D1845" s="836"/>
      <c r="E1845" s="836"/>
      <c r="F1845" s="836"/>
      <c r="G1845" s="496" t="s">
        <v>7832</v>
      </c>
      <c r="H1845" s="797" t="str">
        <f>VLOOKUP(G1845,SETTINGS!$B$7:$D$97,2,0)</f>
        <v>CEREX 300</v>
      </c>
      <c r="I1845" s="796">
        <f>VLOOKUP(G1845,SETTINGS!$B$7:$D$97,3,0)</f>
        <v>0</v>
      </c>
      <c r="J1845" s="670" t="str">
        <f>IFERROR(IF(CURRENCY.FORMAT_1=0,CONCATENATE(TEXT(FIXED(ROUND((C1845/EXC.RATE_1),CURRENCY.FORMAT_1),CURRENCY.FORMAT_1,1),"# ##0;-# ##0"),",-"),FIXED(ROUND((C1845/EXC.RATE_1),CURRENCY.FORMAT_1),CURRENCY.FORMAT_1,0)),'DICTIONARY-5'!$A$2)</f>
        <v>911,-</v>
      </c>
      <c r="K1845" s="670" t="str">
        <f>IF(EXC.RATE_2=0,"",IFERROR(IF(CURRENCY.FORMAT_2=0,CONCATENATE(TEXT(FIXED(ROUND(IF(EXC.RATE.SWITCH=1,C1845/EXC.RATE_2,C1845*EXC.RATE_2),CURRENCY.FORMAT_2),CURRENCY.FORMAT_2,1),"# ##0;-# ##0"),",-"),FIXED(ROUND(IF(EXC.RATE.SWITCH=1,C1845/EXC.RATE_2,C1845*EXC.RATE_2),CURRENCY.FORMAT_2),CURRENCY.FORMAT_2,0)),'DICTIONARY-5'!$A$2))</f>
        <v/>
      </c>
      <c r="L1845" s="670" t="str">
        <f>IFERROR(IF(CURRENCY.FORMAT_1=0,CONCATENATE(TEXT(FIXED(ROUND((C1845*(1-I1845)*(1-ADD.DISCOUNT)*(1+MAT.SURCHARGE)/EXC.RATE_1),CURRENCY.FORMAT_1),CURRENCY.FORMAT_1,1),"# ##0;-# ##0"),",-"),FIXED(ROUND((C1845*(1-I1845)*(1-ADD.DISCOUNT)*(1+MAT.SURCHARGE)/EXC.RATE_1),CURRENCY.FORMAT_1),CURRENCY.FORMAT_1,0)),'DICTIONARY-5'!$A$2)</f>
        <v>947,-</v>
      </c>
      <c r="M1845" s="670" t="str">
        <f>IF(EXC.RATE_2=0,"",IFERROR(IF(CURRENCY.FORMAT_2=0,CONCATENATE(TEXT(FIXED(ROUND(IF(EXC.RATE.SWITCH=1,C1845*(1-I1845)*(1-ADD.DISCOUNT)*(1+MAT.SURCHARGE)/EXC.RATE_2,C1845*(1-I1845)*(1-ADD.DISCOUNT)*(1+MAT.SURCHARGE)*EXC.RATE_2),CURRENCY.FORMAT_2),CURRENCY.FORMAT_2,1),"# ##0;-# ##0"),",-"),FIXED(ROUND(IF(EXC.RATE.SWITCH=1,C1845*(1-I1845)*(1-ADD.DISCOUNT)*(1+MAT.SURCHARGE)/EXC.RATE_2,C1845*(1-I1845)*(1-ADD.DISCOUNT)*(1+MAT.SURCHARGE)*EXC.RATE_2),CURRENCY.FORMAT_2),CURRENCY.FORMAT_2,0)),'DICTIONARY-5'!$A$2))</f>
        <v/>
      </c>
      <c r="N1845" s="541">
        <v>6</v>
      </c>
      <c r="O1845" s="654" t="s">
        <v>7363</v>
      </c>
      <c r="P1845" s="731" t="str">
        <f>'DICTIONARY-3'!$A$148</f>
        <v>CEREX 300-L</v>
      </c>
      <c r="Q1845" s="731" t="str">
        <f>'DICTIONARY-3'!$A$204</f>
        <v>Przepustnica kołnierzowa</v>
      </c>
      <c r="R1845" s="732" t="str">
        <f>CONCATENATE('DICTIONARY-3'!$A$148," ",'DICTIONARY-6'!$A$2," ",UPPER('DICTIONARY-5'!$A$18)," ",'DICTIONARY-2'!$A$2,"300"," ",'DICTIONARY-2'!$A$3,"16"," ",'DICTIONARY-5'!$A$37,"/",'DICTIONARY-5'!$A$45,", ",'DICTIONARY-4'!$A$2)</f>
        <v>CEREX 300-L Przep. kołnierz. GAZ DN300 PN16 CF8M/NBR, WW</v>
      </c>
      <c r="S1845" s="733" t="str">
        <f>'DICTIONARY-4'!$A$2</f>
        <v>WW</v>
      </c>
      <c r="T1845" s="732" t="str">
        <f>'DICTIONARY-4'!$A$18</f>
        <v>Wolny wałek</v>
      </c>
      <c r="U1845" s="734" t="s">
        <v>5752</v>
      </c>
      <c r="V1845" s="735">
        <v>16</v>
      </c>
      <c r="W1845" s="736"/>
      <c r="X1845" s="737"/>
      <c r="Y1845" s="738"/>
      <c r="Z1845" s="739"/>
      <c r="AA1845" s="739"/>
      <c r="AB1845" s="740">
        <v>16</v>
      </c>
      <c r="AC1845" s="741" t="str">
        <f>'DICTIONARY-5'!$A$11&amp;" 20"</f>
        <v>EN 558 szereg 20</v>
      </c>
      <c r="AD1845" s="733" t="str">
        <f>'DICTIONARY-5'!$A$18&amp;", "&amp;'DICTIONARY-5'!$A$14</f>
        <v>gaz, ścieki</v>
      </c>
      <c r="AE1845" s="742">
        <v>80</v>
      </c>
      <c r="AF1845" s="743">
        <v>40.5</v>
      </c>
      <c r="AG1845" s="741" t="str">
        <f>'DICTIONARY-5'!$A$23</f>
        <v>powłoka epoksydowa</v>
      </c>
    </row>
    <row r="1846" spans="1:33" x14ac:dyDescent="0.25">
      <c r="A1846" s="844" t="s">
        <v>5246</v>
      </c>
      <c r="B1846" s="844" t="s">
        <v>5437</v>
      </c>
      <c r="C1846" s="836">
        <v>1342</v>
      </c>
      <c r="D1846" s="836"/>
      <c r="E1846" s="836"/>
      <c r="F1846" s="836"/>
      <c r="G1846" s="496" t="s">
        <v>7832</v>
      </c>
      <c r="H1846" s="797" t="str">
        <f>VLOOKUP(G1846,SETTINGS!$B$7:$D$97,2,0)</f>
        <v>CEREX 300</v>
      </c>
      <c r="I1846" s="796">
        <f>VLOOKUP(G1846,SETTINGS!$B$7:$D$97,3,0)</f>
        <v>0</v>
      </c>
      <c r="J1846" s="670" t="str">
        <f>IFERROR(IF(CURRENCY.FORMAT_1=0,CONCATENATE(TEXT(FIXED(ROUND((C1846/EXC.RATE_1),CURRENCY.FORMAT_1),CURRENCY.FORMAT_1,1),"# ##0;-# ##0"),",-"),FIXED(ROUND((C1846/EXC.RATE_1),CURRENCY.FORMAT_1),CURRENCY.FORMAT_1,0)),'DICTIONARY-5'!$A$2)</f>
        <v>1 342,-</v>
      </c>
      <c r="K1846" s="670" t="str">
        <f>IF(EXC.RATE_2=0,"",IFERROR(IF(CURRENCY.FORMAT_2=0,CONCATENATE(TEXT(FIXED(ROUND(IF(EXC.RATE.SWITCH=1,C1846/EXC.RATE_2,C1846*EXC.RATE_2),CURRENCY.FORMAT_2),CURRENCY.FORMAT_2,1),"# ##0;-# ##0"),",-"),FIXED(ROUND(IF(EXC.RATE.SWITCH=1,C1846/EXC.RATE_2,C1846*EXC.RATE_2),CURRENCY.FORMAT_2),CURRENCY.FORMAT_2,0)),'DICTIONARY-5'!$A$2))</f>
        <v/>
      </c>
      <c r="L1846" s="670" t="str">
        <f>IFERROR(IF(CURRENCY.FORMAT_1=0,CONCATENATE(TEXT(FIXED(ROUND((C1846*(1-I1846)*(1-ADD.DISCOUNT)*(1+MAT.SURCHARGE)/EXC.RATE_1),CURRENCY.FORMAT_1),CURRENCY.FORMAT_1,1),"# ##0;-# ##0"),",-"),FIXED(ROUND((C1846*(1-I1846)*(1-ADD.DISCOUNT)*(1+MAT.SURCHARGE)/EXC.RATE_1),CURRENCY.FORMAT_1),CURRENCY.FORMAT_1,0)),'DICTIONARY-5'!$A$2)</f>
        <v>1 394,-</v>
      </c>
      <c r="M1846" s="670" t="str">
        <f>IF(EXC.RATE_2=0,"",IFERROR(IF(CURRENCY.FORMAT_2=0,CONCATENATE(TEXT(FIXED(ROUND(IF(EXC.RATE.SWITCH=1,C1846*(1-I1846)*(1-ADD.DISCOUNT)*(1+MAT.SURCHARGE)/EXC.RATE_2,C1846*(1-I1846)*(1-ADD.DISCOUNT)*(1+MAT.SURCHARGE)*EXC.RATE_2),CURRENCY.FORMAT_2),CURRENCY.FORMAT_2,1),"# ##0;-# ##0"),",-"),FIXED(ROUND(IF(EXC.RATE.SWITCH=1,C1846*(1-I1846)*(1-ADD.DISCOUNT)*(1+MAT.SURCHARGE)/EXC.RATE_2,C1846*(1-I1846)*(1-ADD.DISCOUNT)*(1+MAT.SURCHARGE)*EXC.RATE_2),CURRENCY.FORMAT_2),CURRENCY.FORMAT_2,0)),'DICTIONARY-5'!$A$2))</f>
        <v/>
      </c>
      <c r="N1846" s="541">
        <v>6</v>
      </c>
      <c r="O1846" s="654" t="s">
        <v>7363</v>
      </c>
      <c r="P1846" s="731" t="str">
        <f>'DICTIONARY-3'!$A$148</f>
        <v>CEREX 300-L</v>
      </c>
      <c r="Q1846" s="731" t="str">
        <f>'DICTIONARY-3'!$A$204</f>
        <v>Przepustnica kołnierzowa</v>
      </c>
      <c r="R1846" s="732" t="str">
        <f>CONCATENATE('DICTIONARY-3'!$A$148," ",'DICTIONARY-6'!$A$2," ",'DICTIONARY-2'!$A$2,"350"," ",'DICTIONARY-2'!$A$3,"10"," ",'DICTIONARY-5'!$A$37,"/",'DICTIONARY-5'!$A$45,", ",'DICTIONARY-4'!$A$2)</f>
        <v>CEREX 300-L Przep. kołnierz. DN350 PN10 CF8M/NBR, WW</v>
      </c>
      <c r="S1846" s="733" t="str">
        <f>'DICTIONARY-4'!$A$2</f>
        <v>WW</v>
      </c>
      <c r="T1846" s="732" t="str">
        <f>'DICTIONARY-4'!$A$18</f>
        <v>Wolny wałek</v>
      </c>
      <c r="U1846" s="734" t="s">
        <v>5753</v>
      </c>
      <c r="V1846" s="735">
        <v>10</v>
      </c>
      <c r="W1846" s="736"/>
      <c r="X1846" s="737"/>
      <c r="Y1846" s="738"/>
      <c r="Z1846" s="739"/>
      <c r="AA1846" s="739"/>
      <c r="AB1846" s="740">
        <v>10</v>
      </c>
      <c r="AC1846" s="741" t="str">
        <f>'DICTIONARY-5'!$A$11&amp;" 20"</f>
        <v>EN 558 szereg 20</v>
      </c>
      <c r="AD1846" s="741" t="str">
        <f>'DICTIONARY-5'!$A$14</f>
        <v>ścieki</v>
      </c>
      <c r="AE1846" s="742">
        <v>80</v>
      </c>
      <c r="AF1846" s="743">
        <v>49.5</v>
      </c>
      <c r="AG1846" s="741" t="str">
        <f>'DICTIONARY-5'!$A$23</f>
        <v>powłoka epoksydowa</v>
      </c>
    </row>
    <row r="1847" spans="1:33" x14ac:dyDescent="0.25">
      <c r="A1847" s="844" t="s">
        <v>5248</v>
      </c>
      <c r="B1847" s="844" t="s">
        <v>5438</v>
      </c>
      <c r="C1847" s="836">
        <v>1368</v>
      </c>
      <c r="D1847" s="836"/>
      <c r="E1847" s="836"/>
      <c r="F1847" s="836"/>
      <c r="G1847" s="496" t="s">
        <v>7832</v>
      </c>
      <c r="H1847" s="797" t="str">
        <f>VLOOKUP(G1847,SETTINGS!$B$7:$D$97,2,0)</f>
        <v>CEREX 300</v>
      </c>
      <c r="I1847" s="796">
        <f>VLOOKUP(G1847,SETTINGS!$B$7:$D$97,3,0)</f>
        <v>0</v>
      </c>
      <c r="J1847" s="670" t="str">
        <f>IFERROR(IF(CURRENCY.FORMAT_1=0,CONCATENATE(TEXT(FIXED(ROUND((C1847/EXC.RATE_1),CURRENCY.FORMAT_1),CURRENCY.FORMAT_1,1),"# ##0;-# ##0"),",-"),FIXED(ROUND((C1847/EXC.RATE_1),CURRENCY.FORMAT_1),CURRENCY.FORMAT_1,0)),'DICTIONARY-5'!$A$2)</f>
        <v>1 368,-</v>
      </c>
      <c r="K1847" s="670" t="str">
        <f>IF(EXC.RATE_2=0,"",IFERROR(IF(CURRENCY.FORMAT_2=0,CONCATENATE(TEXT(FIXED(ROUND(IF(EXC.RATE.SWITCH=1,C1847/EXC.RATE_2,C1847*EXC.RATE_2),CURRENCY.FORMAT_2),CURRENCY.FORMAT_2,1),"# ##0;-# ##0"),",-"),FIXED(ROUND(IF(EXC.RATE.SWITCH=1,C1847/EXC.RATE_2,C1847*EXC.RATE_2),CURRENCY.FORMAT_2),CURRENCY.FORMAT_2,0)),'DICTIONARY-5'!$A$2))</f>
        <v/>
      </c>
      <c r="L1847" s="670" t="str">
        <f>IFERROR(IF(CURRENCY.FORMAT_1=0,CONCATENATE(TEXT(FIXED(ROUND((C1847*(1-I1847)*(1-ADD.DISCOUNT)*(1+MAT.SURCHARGE)/EXC.RATE_1),CURRENCY.FORMAT_1),CURRENCY.FORMAT_1,1),"# ##0;-# ##0"),",-"),FIXED(ROUND((C1847*(1-I1847)*(1-ADD.DISCOUNT)*(1+MAT.SURCHARGE)/EXC.RATE_1),CURRENCY.FORMAT_1),CURRENCY.FORMAT_1,0)),'DICTIONARY-5'!$A$2)</f>
        <v>1 421,-</v>
      </c>
      <c r="M1847" s="670" t="str">
        <f>IF(EXC.RATE_2=0,"",IFERROR(IF(CURRENCY.FORMAT_2=0,CONCATENATE(TEXT(FIXED(ROUND(IF(EXC.RATE.SWITCH=1,C1847*(1-I1847)*(1-ADD.DISCOUNT)*(1+MAT.SURCHARGE)/EXC.RATE_2,C1847*(1-I1847)*(1-ADD.DISCOUNT)*(1+MAT.SURCHARGE)*EXC.RATE_2),CURRENCY.FORMAT_2),CURRENCY.FORMAT_2,1),"# ##0;-# ##0"),",-"),FIXED(ROUND(IF(EXC.RATE.SWITCH=1,C1847*(1-I1847)*(1-ADD.DISCOUNT)*(1+MAT.SURCHARGE)/EXC.RATE_2,C1847*(1-I1847)*(1-ADD.DISCOUNT)*(1+MAT.SURCHARGE)*EXC.RATE_2),CURRENCY.FORMAT_2),CURRENCY.FORMAT_2,0)),'DICTIONARY-5'!$A$2))</f>
        <v/>
      </c>
      <c r="N1847" s="541">
        <v>6</v>
      </c>
      <c r="O1847" s="654" t="s">
        <v>7363</v>
      </c>
      <c r="P1847" s="731" t="str">
        <f>'DICTIONARY-3'!$A$148</f>
        <v>CEREX 300-L</v>
      </c>
      <c r="Q1847" s="731" t="str">
        <f>'DICTIONARY-3'!$A$204</f>
        <v>Przepustnica kołnierzowa</v>
      </c>
      <c r="R1847" s="732" t="str">
        <f>CONCATENATE('DICTIONARY-3'!$A$148," ",'DICTIONARY-6'!$A$2," ",'DICTIONARY-2'!$A$2,"350"," ",'DICTIONARY-2'!$A$3,"16"," ",'DICTIONARY-5'!$A$37,"/",'DICTIONARY-5'!$A$45,", ",'DICTIONARY-4'!$A$2)</f>
        <v>CEREX 300-L Przep. kołnierz. DN350 PN16 CF8M/NBR, WW</v>
      </c>
      <c r="S1847" s="733" t="str">
        <f>'DICTIONARY-4'!$A$2</f>
        <v>WW</v>
      </c>
      <c r="T1847" s="732" t="str">
        <f>'DICTIONARY-4'!$A$18</f>
        <v>Wolny wałek</v>
      </c>
      <c r="U1847" s="734" t="s">
        <v>5753</v>
      </c>
      <c r="V1847" s="735">
        <v>16</v>
      </c>
      <c r="W1847" s="736"/>
      <c r="X1847" s="737"/>
      <c r="Y1847" s="738"/>
      <c r="Z1847" s="739"/>
      <c r="AA1847" s="739"/>
      <c r="AB1847" s="740">
        <v>16</v>
      </c>
      <c r="AC1847" s="741" t="str">
        <f>'DICTIONARY-5'!$A$11&amp;" 20"</f>
        <v>EN 558 szereg 20</v>
      </c>
      <c r="AD1847" s="741" t="str">
        <f>'DICTIONARY-5'!$A$14</f>
        <v>ścieki</v>
      </c>
      <c r="AE1847" s="742">
        <v>80</v>
      </c>
      <c r="AF1847" s="743">
        <v>53.5</v>
      </c>
      <c r="AG1847" s="741" t="str">
        <f>'DICTIONARY-5'!$A$23</f>
        <v>powłoka epoksydowa</v>
      </c>
    </row>
    <row r="1848" spans="1:33" x14ac:dyDescent="0.25">
      <c r="A1848" s="844" t="s">
        <v>5250</v>
      </c>
      <c r="B1848" s="844" t="s">
        <v>5439</v>
      </c>
      <c r="C1848" s="836">
        <v>1846</v>
      </c>
      <c r="D1848" s="836"/>
      <c r="E1848" s="836"/>
      <c r="F1848" s="836"/>
      <c r="G1848" s="496" t="s">
        <v>7832</v>
      </c>
      <c r="H1848" s="797" t="str">
        <f>VLOOKUP(G1848,SETTINGS!$B$7:$D$97,2,0)</f>
        <v>CEREX 300</v>
      </c>
      <c r="I1848" s="796">
        <f>VLOOKUP(G1848,SETTINGS!$B$7:$D$97,3,0)</f>
        <v>0</v>
      </c>
      <c r="J1848" s="670" t="str">
        <f>IFERROR(IF(CURRENCY.FORMAT_1=0,CONCATENATE(TEXT(FIXED(ROUND((C1848/EXC.RATE_1),CURRENCY.FORMAT_1),CURRENCY.FORMAT_1,1),"# ##0;-# ##0"),",-"),FIXED(ROUND((C1848/EXC.RATE_1),CURRENCY.FORMAT_1),CURRENCY.FORMAT_1,0)),'DICTIONARY-5'!$A$2)</f>
        <v>1 846,-</v>
      </c>
      <c r="K1848" s="670" t="str">
        <f>IF(EXC.RATE_2=0,"",IFERROR(IF(CURRENCY.FORMAT_2=0,CONCATENATE(TEXT(FIXED(ROUND(IF(EXC.RATE.SWITCH=1,C1848/EXC.RATE_2,C1848*EXC.RATE_2),CURRENCY.FORMAT_2),CURRENCY.FORMAT_2,1),"# ##0;-# ##0"),",-"),FIXED(ROUND(IF(EXC.RATE.SWITCH=1,C1848/EXC.RATE_2,C1848*EXC.RATE_2),CURRENCY.FORMAT_2),CURRENCY.FORMAT_2,0)),'DICTIONARY-5'!$A$2))</f>
        <v/>
      </c>
      <c r="L1848" s="670" t="str">
        <f>IFERROR(IF(CURRENCY.FORMAT_1=0,CONCATENATE(TEXT(FIXED(ROUND((C1848*(1-I1848)*(1-ADD.DISCOUNT)*(1+MAT.SURCHARGE)/EXC.RATE_1),CURRENCY.FORMAT_1),CURRENCY.FORMAT_1,1),"# ##0;-# ##0"),",-"),FIXED(ROUND((C1848*(1-I1848)*(1-ADD.DISCOUNT)*(1+MAT.SURCHARGE)/EXC.RATE_1),CURRENCY.FORMAT_1),CURRENCY.FORMAT_1,0)),'DICTIONARY-5'!$A$2)</f>
        <v>1 918,-</v>
      </c>
      <c r="M1848" s="670" t="str">
        <f>IF(EXC.RATE_2=0,"",IFERROR(IF(CURRENCY.FORMAT_2=0,CONCATENATE(TEXT(FIXED(ROUND(IF(EXC.RATE.SWITCH=1,C1848*(1-I1848)*(1-ADD.DISCOUNT)*(1+MAT.SURCHARGE)/EXC.RATE_2,C1848*(1-I1848)*(1-ADD.DISCOUNT)*(1+MAT.SURCHARGE)*EXC.RATE_2),CURRENCY.FORMAT_2),CURRENCY.FORMAT_2,1),"# ##0;-# ##0"),",-"),FIXED(ROUND(IF(EXC.RATE.SWITCH=1,C1848*(1-I1848)*(1-ADD.DISCOUNT)*(1+MAT.SURCHARGE)/EXC.RATE_2,C1848*(1-I1848)*(1-ADD.DISCOUNT)*(1+MAT.SURCHARGE)*EXC.RATE_2),CURRENCY.FORMAT_2),CURRENCY.FORMAT_2,0)),'DICTIONARY-5'!$A$2))</f>
        <v/>
      </c>
      <c r="N1848" s="541">
        <v>6</v>
      </c>
      <c r="O1848" s="654" t="s">
        <v>7363</v>
      </c>
      <c r="P1848" s="731" t="str">
        <f>'DICTIONARY-3'!$A$148</f>
        <v>CEREX 300-L</v>
      </c>
      <c r="Q1848" s="731" t="str">
        <f>'DICTIONARY-3'!$A$204</f>
        <v>Przepustnica kołnierzowa</v>
      </c>
      <c r="R1848" s="732" t="str">
        <f>CONCATENATE('DICTIONARY-3'!$A$148," ",'DICTIONARY-6'!$A$2," ",'DICTIONARY-2'!$A$2,"400"," ",'DICTIONARY-2'!$A$3,"10"," ",'DICTIONARY-5'!$A$37,"/",'DICTIONARY-5'!$A$45,", ",'DICTIONARY-4'!$A$2)</f>
        <v>CEREX 300-L Przep. kołnierz. DN400 PN10 CF8M/NBR, WW</v>
      </c>
      <c r="S1848" s="733" t="str">
        <f>'DICTIONARY-4'!$A$2</f>
        <v>WW</v>
      </c>
      <c r="T1848" s="732" t="str">
        <f>'DICTIONARY-4'!$A$18</f>
        <v>Wolny wałek</v>
      </c>
      <c r="U1848" s="734" t="s">
        <v>5754</v>
      </c>
      <c r="V1848" s="735">
        <v>10</v>
      </c>
      <c r="W1848" s="736"/>
      <c r="X1848" s="737"/>
      <c r="Y1848" s="738"/>
      <c r="Z1848" s="739"/>
      <c r="AA1848" s="739"/>
      <c r="AB1848" s="740">
        <v>10</v>
      </c>
      <c r="AC1848" s="741" t="str">
        <f>'DICTIONARY-5'!$A$11&amp;" 20"</f>
        <v>EN 558 szereg 20</v>
      </c>
      <c r="AD1848" s="741" t="str">
        <f>'DICTIONARY-5'!$A$14</f>
        <v>ścieki</v>
      </c>
      <c r="AE1848" s="742">
        <v>80</v>
      </c>
      <c r="AF1848" s="743">
        <v>76.5</v>
      </c>
      <c r="AG1848" s="741" t="str">
        <f>'DICTIONARY-5'!$A$23</f>
        <v>powłoka epoksydowa</v>
      </c>
    </row>
    <row r="1849" spans="1:33" x14ac:dyDescent="0.25">
      <c r="A1849" s="844" t="s">
        <v>5252</v>
      </c>
      <c r="B1849" s="844" t="s">
        <v>5440</v>
      </c>
      <c r="C1849" s="836">
        <v>1881</v>
      </c>
      <c r="D1849" s="836"/>
      <c r="E1849" s="836"/>
      <c r="F1849" s="836"/>
      <c r="G1849" s="496" t="s">
        <v>7832</v>
      </c>
      <c r="H1849" s="797" t="str">
        <f>VLOOKUP(G1849,SETTINGS!$B$7:$D$97,2,0)</f>
        <v>CEREX 300</v>
      </c>
      <c r="I1849" s="796">
        <f>VLOOKUP(G1849,SETTINGS!$B$7:$D$97,3,0)</f>
        <v>0</v>
      </c>
      <c r="J1849" s="670" t="str">
        <f>IFERROR(IF(CURRENCY.FORMAT_1=0,CONCATENATE(TEXT(FIXED(ROUND((C1849/EXC.RATE_1),CURRENCY.FORMAT_1),CURRENCY.FORMAT_1,1),"# ##0;-# ##0"),",-"),FIXED(ROUND((C1849/EXC.RATE_1),CURRENCY.FORMAT_1),CURRENCY.FORMAT_1,0)),'DICTIONARY-5'!$A$2)</f>
        <v>1 881,-</v>
      </c>
      <c r="K1849" s="670" t="str">
        <f>IF(EXC.RATE_2=0,"",IFERROR(IF(CURRENCY.FORMAT_2=0,CONCATENATE(TEXT(FIXED(ROUND(IF(EXC.RATE.SWITCH=1,C1849/EXC.RATE_2,C1849*EXC.RATE_2),CURRENCY.FORMAT_2),CURRENCY.FORMAT_2,1),"# ##0;-# ##0"),",-"),FIXED(ROUND(IF(EXC.RATE.SWITCH=1,C1849/EXC.RATE_2,C1849*EXC.RATE_2),CURRENCY.FORMAT_2),CURRENCY.FORMAT_2,0)),'DICTIONARY-5'!$A$2))</f>
        <v/>
      </c>
      <c r="L1849" s="670" t="str">
        <f>IFERROR(IF(CURRENCY.FORMAT_1=0,CONCATENATE(TEXT(FIXED(ROUND((C1849*(1-I1849)*(1-ADD.DISCOUNT)*(1+MAT.SURCHARGE)/EXC.RATE_1),CURRENCY.FORMAT_1),CURRENCY.FORMAT_1,1),"# ##0;-# ##0"),",-"),FIXED(ROUND((C1849*(1-I1849)*(1-ADD.DISCOUNT)*(1+MAT.SURCHARGE)/EXC.RATE_1),CURRENCY.FORMAT_1),CURRENCY.FORMAT_1,0)),'DICTIONARY-5'!$A$2)</f>
        <v>1 954,-</v>
      </c>
      <c r="M1849" s="670" t="str">
        <f>IF(EXC.RATE_2=0,"",IFERROR(IF(CURRENCY.FORMAT_2=0,CONCATENATE(TEXT(FIXED(ROUND(IF(EXC.RATE.SWITCH=1,C1849*(1-I1849)*(1-ADD.DISCOUNT)*(1+MAT.SURCHARGE)/EXC.RATE_2,C1849*(1-I1849)*(1-ADD.DISCOUNT)*(1+MAT.SURCHARGE)*EXC.RATE_2),CURRENCY.FORMAT_2),CURRENCY.FORMAT_2,1),"# ##0;-# ##0"),",-"),FIXED(ROUND(IF(EXC.RATE.SWITCH=1,C1849*(1-I1849)*(1-ADD.DISCOUNT)*(1+MAT.SURCHARGE)/EXC.RATE_2,C1849*(1-I1849)*(1-ADD.DISCOUNT)*(1+MAT.SURCHARGE)*EXC.RATE_2),CURRENCY.FORMAT_2),CURRENCY.FORMAT_2,0)),'DICTIONARY-5'!$A$2))</f>
        <v/>
      </c>
      <c r="N1849" s="541">
        <v>6</v>
      </c>
      <c r="O1849" s="654" t="s">
        <v>7363</v>
      </c>
      <c r="P1849" s="731" t="str">
        <f>'DICTIONARY-3'!$A$148</f>
        <v>CEREX 300-L</v>
      </c>
      <c r="Q1849" s="731" t="str">
        <f>'DICTIONARY-3'!$A$204</f>
        <v>Przepustnica kołnierzowa</v>
      </c>
      <c r="R1849" s="732" t="str">
        <f>CONCATENATE('DICTIONARY-3'!$A$148," ",'DICTIONARY-6'!$A$2," ",'DICTIONARY-2'!$A$2,"400"," ",'DICTIONARY-2'!$A$3,"16"," ",'DICTIONARY-5'!$A$37,"/",'DICTIONARY-5'!$A$45,", ",'DICTIONARY-4'!$A$2)</f>
        <v>CEREX 300-L Przep. kołnierz. DN400 PN16 CF8M/NBR, WW</v>
      </c>
      <c r="S1849" s="733" t="str">
        <f>'DICTIONARY-4'!$A$2</f>
        <v>WW</v>
      </c>
      <c r="T1849" s="732" t="str">
        <f>'DICTIONARY-4'!$A$18</f>
        <v>Wolny wałek</v>
      </c>
      <c r="U1849" s="734" t="s">
        <v>5754</v>
      </c>
      <c r="V1849" s="735">
        <v>16</v>
      </c>
      <c r="W1849" s="736"/>
      <c r="X1849" s="737"/>
      <c r="Y1849" s="738"/>
      <c r="Z1849" s="739"/>
      <c r="AA1849" s="739"/>
      <c r="AB1849" s="740">
        <v>16</v>
      </c>
      <c r="AC1849" s="741" t="str">
        <f>'DICTIONARY-5'!$A$11&amp;" 20"</f>
        <v>EN 558 szereg 20</v>
      </c>
      <c r="AD1849" s="741" t="str">
        <f>'DICTIONARY-5'!$A$14</f>
        <v>ścieki</v>
      </c>
      <c r="AE1849" s="742">
        <v>80</v>
      </c>
      <c r="AF1849" s="743">
        <v>79.5</v>
      </c>
      <c r="AG1849" s="741" t="str">
        <f>'DICTIONARY-5'!$A$23</f>
        <v>powłoka epoksydowa</v>
      </c>
    </row>
    <row r="1850" spans="1:33" x14ac:dyDescent="0.25">
      <c r="A1850" s="844" t="s">
        <v>5254</v>
      </c>
      <c r="B1850" s="844" t="s">
        <v>5441</v>
      </c>
      <c r="C1850" s="836">
        <v>2830</v>
      </c>
      <c r="D1850" s="836"/>
      <c r="E1850" s="836"/>
      <c r="F1850" s="836"/>
      <c r="G1850" s="496" t="s">
        <v>7832</v>
      </c>
      <c r="H1850" s="797" t="str">
        <f>VLOOKUP(G1850,SETTINGS!$B$7:$D$97,2,0)</f>
        <v>CEREX 300</v>
      </c>
      <c r="I1850" s="796">
        <f>VLOOKUP(G1850,SETTINGS!$B$7:$D$97,3,0)</f>
        <v>0</v>
      </c>
      <c r="J1850" s="670" t="str">
        <f>IFERROR(IF(CURRENCY.FORMAT_1=0,CONCATENATE(TEXT(FIXED(ROUND((C1850/EXC.RATE_1),CURRENCY.FORMAT_1),CURRENCY.FORMAT_1,1),"# ##0;-# ##0"),",-"),FIXED(ROUND((C1850/EXC.RATE_1),CURRENCY.FORMAT_1),CURRENCY.FORMAT_1,0)),'DICTIONARY-5'!$A$2)</f>
        <v>2 830,-</v>
      </c>
      <c r="K1850" s="670" t="str">
        <f>IF(EXC.RATE_2=0,"",IFERROR(IF(CURRENCY.FORMAT_2=0,CONCATENATE(TEXT(FIXED(ROUND(IF(EXC.RATE.SWITCH=1,C1850/EXC.RATE_2,C1850*EXC.RATE_2),CURRENCY.FORMAT_2),CURRENCY.FORMAT_2,1),"# ##0;-# ##0"),",-"),FIXED(ROUND(IF(EXC.RATE.SWITCH=1,C1850/EXC.RATE_2,C1850*EXC.RATE_2),CURRENCY.FORMAT_2),CURRENCY.FORMAT_2,0)),'DICTIONARY-5'!$A$2))</f>
        <v/>
      </c>
      <c r="L1850" s="670" t="str">
        <f>IFERROR(IF(CURRENCY.FORMAT_1=0,CONCATENATE(TEXT(FIXED(ROUND((C1850*(1-I1850)*(1-ADD.DISCOUNT)*(1+MAT.SURCHARGE)/EXC.RATE_1),CURRENCY.FORMAT_1),CURRENCY.FORMAT_1,1),"# ##0;-# ##0"),",-"),FIXED(ROUND((C1850*(1-I1850)*(1-ADD.DISCOUNT)*(1+MAT.SURCHARGE)/EXC.RATE_1),CURRENCY.FORMAT_1),CURRENCY.FORMAT_1,0)),'DICTIONARY-5'!$A$2)</f>
        <v>2 940,-</v>
      </c>
      <c r="M1850" s="670" t="str">
        <f>IF(EXC.RATE_2=0,"",IFERROR(IF(CURRENCY.FORMAT_2=0,CONCATENATE(TEXT(FIXED(ROUND(IF(EXC.RATE.SWITCH=1,C1850*(1-I1850)*(1-ADD.DISCOUNT)*(1+MAT.SURCHARGE)/EXC.RATE_2,C1850*(1-I1850)*(1-ADD.DISCOUNT)*(1+MAT.SURCHARGE)*EXC.RATE_2),CURRENCY.FORMAT_2),CURRENCY.FORMAT_2,1),"# ##0;-# ##0"),",-"),FIXED(ROUND(IF(EXC.RATE.SWITCH=1,C1850*(1-I1850)*(1-ADD.DISCOUNT)*(1+MAT.SURCHARGE)/EXC.RATE_2,C1850*(1-I1850)*(1-ADD.DISCOUNT)*(1+MAT.SURCHARGE)*EXC.RATE_2),CURRENCY.FORMAT_2),CURRENCY.FORMAT_2,0)),'DICTIONARY-5'!$A$2))</f>
        <v/>
      </c>
      <c r="N1850" s="541">
        <v>6</v>
      </c>
      <c r="O1850" s="654" t="s">
        <v>7363</v>
      </c>
      <c r="P1850" s="731" t="str">
        <f>'DICTIONARY-3'!$A$148</f>
        <v>CEREX 300-L</v>
      </c>
      <c r="Q1850" s="731" t="str">
        <f>'DICTIONARY-3'!$A$204</f>
        <v>Przepustnica kołnierzowa</v>
      </c>
      <c r="R1850" s="732" t="str">
        <f>CONCATENATE('DICTIONARY-3'!$A$148," ",'DICTIONARY-6'!$A$2," ",'DICTIONARY-2'!$A$2,"450"," ",'DICTIONARY-2'!$A$3,"10"," ",'DICTIONARY-5'!$A$37,"/",'DICTIONARY-5'!$A$45,", ",'DICTIONARY-4'!$A$2)</f>
        <v>CEREX 300-L Przep. kołnierz. DN450 PN10 CF8M/NBR, WW</v>
      </c>
      <c r="S1850" s="733" t="str">
        <f>'DICTIONARY-4'!$A$2</f>
        <v>WW</v>
      </c>
      <c r="T1850" s="732" t="str">
        <f>'DICTIONARY-4'!$A$18</f>
        <v>Wolny wałek</v>
      </c>
      <c r="U1850" s="734" t="s">
        <v>5755</v>
      </c>
      <c r="V1850" s="735">
        <v>10</v>
      </c>
      <c r="W1850" s="736"/>
      <c r="X1850" s="737"/>
      <c r="Y1850" s="738"/>
      <c r="Z1850" s="739"/>
      <c r="AA1850" s="739"/>
      <c r="AB1850" s="740">
        <v>10</v>
      </c>
      <c r="AC1850" s="741" t="str">
        <f>'DICTIONARY-5'!$A$11&amp;" 20"</f>
        <v>EN 558 szereg 20</v>
      </c>
      <c r="AD1850" s="741" t="str">
        <f>'DICTIONARY-5'!$A$14</f>
        <v>ścieki</v>
      </c>
      <c r="AE1850" s="742">
        <v>80</v>
      </c>
      <c r="AF1850" s="743">
        <v>104</v>
      </c>
      <c r="AG1850" s="741" t="str">
        <f>'DICTIONARY-5'!$A$23</f>
        <v>powłoka epoksydowa</v>
      </c>
    </row>
    <row r="1851" spans="1:33" x14ac:dyDescent="0.25">
      <c r="A1851" s="844" t="s">
        <v>5256</v>
      </c>
      <c r="B1851" s="844" t="s">
        <v>5442</v>
      </c>
      <c r="C1851" s="836">
        <v>3197</v>
      </c>
      <c r="D1851" s="836"/>
      <c r="E1851" s="836"/>
      <c r="F1851" s="836"/>
      <c r="G1851" s="496" t="s">
        <v>7832</v>
      </c>
      <c r="H1851" s="797" t="str">
        <f>VLOOKUP(G1851,SETTINGS!$B$7:$D$97,2,0)</f>
        <v>CEREX 300</v>
      </c>
      <c r="I1851" s="796">
        <f>VLOOKUP(G1851,SETTINGS!$B$7:$D$97,3,0)</f>
        <v>0</v>
      </c>
      <c r="J1851" s="670" t="str">
        <f>IFERROR(IF(CURRENCY.FORMAT_1=0,CONCATENATE(TEXT(FIXED(ROUND((C1851/EXC.RATE_1),CURRENCY.FORMAT_1),CURRENCY.FORMAT_1,1),"# ##0;-# ##0"),",-"),FIXED(ROUND((C1851/EXC.RATE_1),CURRENCY.FORMAT_1),CURRENCY.FORMAT_1,0)),'DICTIONARY-5'!$A$2)</f>
        <v>3 197,-</v>
      </c>
      <c r="K1851" s="670" t="str">
        <f>IF(EXC.RATE_2=0,"",IFERROR(IF(CURRENCY.FORMAT_2=0,CONCATENATE(TEXT(FIXED(ROUND(IF(EXC.RATE.SWITCH=1,C1851/EXC.RATE_2,C1851*EXC.RATE_2),CURRENCY.FORMAT_2),CURRENCY.FORMAT_2,1),"# ##0;-# ##0"),",-"),FIXED(ROUND(IF(EXC.RATE.SWITCH=1,C1851/EXC.RATE_2,C1851*EXC.RATE_2),CURRENCY.FORMAT_2),CURRENCY.FORMAT_2,0)),'DICTIONARY-5'!$A$2))</f>
        <v/>
      </c>
      <c r="L1851" s="670" t="str">
        <f>IFERROR(IF(CURRENCY.FORMAT_1=0,CONCATENATE(TEXT(FIXED(ROUND((C1851*(1-I1851)*(1-ADD.DISCOUNT)*(1+MAT.SURCHARGE)/EXC.RATE_1),CURRENCY.FORMAT_1),CURRENCY.FORMAT_1,1),"# ##0;-# ##0"),",-"),FIXED(ROUND((C1851*(1-I1851)*(1-ADD.DISCOUNT)*(1+MAT.SURCHARGE)/EXC.RATE_1),CURRENCY.FORMAT_1),CURRENCY.FORMAT_1,0)),'DICTIONARY-5'!$A$2)</f>
        <v>3 322,-</v>
      </c>
      <c r="M1851" s="670" t="str">
        <f>IF(EXC.RATE_2=0,"",IFERROR(IF(CURRENCY.FORMAT_2=0,CONCATENATE(TEXT(FIXED(ROUND(IF(EXC.RATE.SWITCH=1,C1851*(1-I1851)*(1-ADD.DISCOUNT)*(1+MAT.SURCHARGE)/EXC.RATE_2,C1851*(1-I1851)*(1-ADD.DISCOUNT)*(1+MAT.SURCHARGE)*EXC.RATE_2),CURRENCY.FORMAT_2),CURRENCY.FORMAT_2,1),"# ##0;-# ##0"),",-"),FIXED(ROUND(IF(EXC.RATE.SWITCH=1,C1851*(1-I1851)*(1-ADD.DISCOUNT)*(1+MAT.SURCHARGE)/EXC.RATE_2,C1851*(1-I1851)*(1-ADD.DISCOUNT)*(1+MAT.SURCHARGE)*EXC.RATE_2),CURRENCY.FORMAT_2),CURRENCY.FORMAT_2,0)),'DICTIONARY-5'!$A$2))</f>
        <v/>
      </c>
      <c r="N1851" s="541">
        <v>6</v>
      </c>
      <c r="O1851" s="654" t="s">
        <v>7363</v>
      </c>
      <c r="P1851" s="731" t="str">
        <f>'DICTIONARY-3'!$A$148</f>
        <v>CEREX 300-L</v>
      </c>
      <c r="Q1851" s="731" t="str">
        <f>'DICTIONARY-3'!$A$204</f>
        <v>Przepustnica kołnierzowa</v>
      </c>
      <c r="R1851" s="732" t="str">
        <f>CONCATENATE('DICTIONARY-3'!$A$148," ",'DICTIONARY-6'!$A$2," ",'DICTIONARY-2'!$A$2,"450"," ",'DICTIONARY-2'!$A$3,"16"," ",'DICTIONARY-2'!$A$10,"10",'DICTIONARY-2'!$A$20," ",'DICTIONARY-5'!$A$37,"/",'DICTIONARY-5'!$A$45,", ",'DICTIONARY-4'!$A$2)</f>
        <v>CEREX 300-L Przep. kołnierz. DN450 PN16 PS10bar CF8M/NBR, WW</v>
      </c>
      <c r="S1851" s="733" t="str">
        <f>'DICTIONARY-4'!$A$2</f>
        <v>WW</v>
      </c>
      <c r="T1851" s="732" t="str">
        <f>'DICTIONARY-4'!$A$18</f>
        <v>Wolny wałek</v>
      </c>
      <c r="U1851" s="734" t="s">
        <v>5755</v>
      </c>
      <c r="V1851" s="735">
        <v>16</v>
      </c>
      <c r="W1851" s="736"/>
      <c r="X1851" s="737"/>
      <c r="Y1851" s="738"/>
      <c r="Z1851" s="739"/>
      <c r="AA1851" s="739"/>
      <c r="AB1851" s="740">
        <v>10</v>
      </c>
      <c r="AC1851" s="741" t="str">
        <f>'DICTIONARY-5'!$A$11&amp;" 20"</f>
        <v>EN 558 szereg 20</v>
      </c>
      <c r="AD1851" s="741" t="str">
        <f>'DICTIONARY-5'!$A$14</f>
        <v>ścieki</v>
      </c>
      <c r="AE1851" s="742">
        <v>80</v>
      </c>
      <c r="AF1851" s="743">
        <v>119</v>
      </c>
      <c r="AG1851" s="741" t="str">
        <f>'DICTIONARY-5'!$A$23</f>
        <v>powłoka epoksydowa</v>
      </c>
    </row>
    <row r="1852" spans="1:33" x14ac:dyDescent="0.25">
      <c r="A1852" s="844" t="s">
        <v>5258</v>
      </c>
      <c r="B1852" s="844" t="s">
        <v>5443</v>
      </c>
      <c r="C1852" s="836">
        <v>4090</v>
      </c>
      <c r="D1852" s="836"/>
      <c r="E1852" s="836"/>
      <c r="F1852" s="836"/>
      <c r="G1852" s="496" t="s">
        <v>7832</v>
      </c>
      <c r="H1852" s="797" t="str">
        <f>VLOOKUP(G1852,SETTINGS!$B$7:$D$97,2,0)</f>
        <v>CEREX 300</v>
      </c>
      <c r="I1852" s="796">
        <f>VLOOKUP(G1852,SETTINGS!$B$7:$D$97,3,0)</f>
        <v>0</v>
      </c>
      <c r="J1852" s="670" t="str">
        <f>IFERROR(IF(CURRENCY.FORMAT_1=0,CONCATENATE(TEXT(FIXED(ROUND((C1852/EXC.RATE_1),CURRENCY.FORMAT_1),CURRENCY.FORMAT_1,1),"# ##0;-# ##0"),",-"),FIXED(ROUND((C1852/EXC.RATE_1),CURRENCY.FORMAT_1),CURRENCY.FORMAT_1,0)),'DICTIONARY-5'!$A$2)</f>
        <v>4 090,-</v>
      </c>
      <c r="K1852" s="670" t="str">
        <f>IF(EXC.RATE_2=0,"",IFERROR(IF(CURRENCY.FORMAT_2=0,CONCATENATE(TEXT(FIXED(ROUND(IF(EXC.RATE.SWITCH=1,C1852/EXC.RATE_2,C1852*EXC.RATE_2),CURRENCY.FORMAT_2),CURRENCY.FORMAT_2,1),"# ##0;-# ##0"),",-"),FIXED(ROUND(IF(EXC.RATE.SWITCH=1,C1852/EXC.RATE_2,C1852*EXC.RATE_2),CURRENCY.FORMAT_2),CURRENCY.FORMAT_2,0)),'DICTIONARY-5'!$A$2))</f>
        <v/>
      </c>
      <c r="L1852" s="670" t="str">
        <f>IFERROR(IF(CURRENCY.FORMAT_1=0,CONCATENATE(TEXT(FIXED(ROUND((C1852*(1-I1852)*(1-ADD.DISCOUNT)*(1+MAT.SURCHARGE)/EXC.RATE_1),CURRENCY.FORMAT_1),CURRENCY.FORMAT_1,1),"# ##0;-# ##0"),",-"),FIXED(ROUND((C1852*(1-I1852)*(1-ADD.DISCOUNT)*(1+MAT.SURCHARGE)/EXC.RATE_1),CURRENCY.FORMAT_1),CURRENCY.FORMAT_1,0)),'DICTIONARY-5'!$A$2)</f>
        <v>4 250,-</v>
      </c>
      <c r="M1852" s="670" t="str">
        <f>IF(EXC.RATE_2=0,"",IFERROR(IF(CURRENCY.FORMAT_2=0,CONCATENATE(TEXT(FIXED(ROUND(IF(EXC.RATE.SWITCH=1,C1852*(1-I1852)*(1-ADD.DISCOUNT)*(1+MAT.SURCHARGE)/EXC.RATE_2,C1852*(1-I1852)*(1-ADD.DISCOUNT)*(1+MAT.SURCHARGE)*EXC.RATE_2),CURRENCY.FORMAT_2),CURRENCY.FORMAT_2,1),"# ##0;-# ##0"),",-"),FIXED(ROUND(IF(EXC.RATE.SWITCH=1,C1852*(1-I1852)*(1-ADD.DISCOUNT)*(1+MAT.SURCHARGE)/EXC.RATE_2,C1852*(1-I1852)*(1-ADD.DISCOUNT)*(1+MAT.SURCHARGE)*EXC.RATE_2),CURRENCY.FORMAT_2),CURRENCY.FORMAT_2,0)),'DICTIONARY-5'!$A$2))</f>
        <v/>
      </c>
      <c r="N1852" s="541">
        <v>6</v>
      </c>
      <c r="O1852" s="654" t="s">
        <v>7363</v>
      </c>
      <c r="P1852" s="731" t="str">
        <f>'DICTIONARY-3'!$A$148</f>
        <v>CEREX 300-L</v>
      </c>
      <c r="Q1852" s="731" t="str">
        <f>'DICTIONARY-3'!$A$204</f>
        <v>Przepustnica kołnierzowa</v>
      </c>
      <c r="R1852" s="732" t="str">
        <f>CONCATENATE('DICTIONARY-3'!$A$148," ",'DICTIONARY-6'!$A$2," ",'DICTIONARY-2'!$A$2,"500"," ",'DICTIONARY-2'!$A$3,"10"," ",'DICTIONARY-5'!$A$37,"/",'DICTIONARY-5'!$A$45,", ",'DICTIONARY-4'!$A$2)</f>
        <v>CEREX 300-L Przep. kołnierz. DN500 PN10 CF8M/NBR, WW</v>
      </c>
      <c r="S1852" s="733" t="str">
        <f>'DICTIONARY-4'!$A$2</f>
        <v>WW</v>
      </c>
      <c r="T1852" s="732" t="str">
        <f>'DICTIONARY-4'!$A$18</f>
        <v>Wolny wałek</v>
      </c>
      <c r="U1852" s="734" t="s">
        <v>5756</v>
      </c>
      <c r="V1852" s="735">
        <v>10</v>
      </c>
      <c r="W1852" s="736"/>
      <c r="X1852" s="737"/>
      <c r="Y1852" s="738"/>
      <c r="Z1852" s="739"/>
      <c r="AA1852" s="739"/>
      <c r="AB1852" s="740">
        <v>10</v>
      </c>
      <c r="AC1852" s="741" t="str">
        <f>'DICTIONARY-5'!$A$11&amp;" 20"</f>
        <v>EN 558 szereg 20</v>
      </c>
      <c r="AD1852" s="741" t="str">
        <f>'DICTIONARY-5'!$A$14</f>
        <v>ścieki</v>
      </c>
      <c r="AE1852" s="742">
        <v>80</v>
      </c>
      <c r="AF1852" s="743">
        <v>140</v>
      </c>
      <c r="AG1852" s="741" t="str">
        <f>'DICTIONARY-5'!$A$23</f>
        <v>powłoka epoksydowa</v>
      </c>
    </row>
    <row r="1853" spans="1:33" x14ac:dyDescent="0.25">
      <c r="A1853" s="844" t="s">
        <v>5260</v>
      </c>
      <c r="B1853" s="844" t="s">
        <v>5444</v>
      </c>
      <c r="C1853" s="836">
        <v>5259</v>
      </c>
      <c r="D1853" s="836"/>
      <c r="E1853" s="836"/>
      <c r="F1853" s="836"/>
      <c r="G1853" s="496" t="s">
        <v>7832</v>
      </c>
      <c r="H1853" s="797" t="str">
        <f>VLOOKUP(G1853,SETTINGS!$B$7:$D$97,2,0)</f>
        <v>CEREX 300</v>
      </c>
      <c r="I1853" s="796">
        <f>VLOOKUP(G1853,SETTINGS!$B$7:$D$97,3,0)</f>
        <v>0</v>
      </c>
      <c r="J1853" s="670" t="str">
        <f>IFERROR(IF(CURRENCY.FORMAT_1=0,CONCATENATE(TEXT(FIXED(ROUND((C1853/EXC.RATE_1),CURRENCY.FORMAT_1),CURRENCY.FORMAT_1,1),"# ##0;-# ##0"),",-"),FIXED(ROUND((C1853/EXC.RATE_1),CURRENCY.FORMAT_1),CURRENCY.FORMAT_1,0)),'DICTIONARY-5'!$A$2)</f>
        <v>5 259,-</v>
      </c>
      <c r="K1853" s="670" t="str">
        <f>IF(EXC.RATE_2=0,"",IFERROR(IF(CURRENCY.FORMAT_2=0,CONCATENATE(TEXT(FIXED(ROUND(IF(EXC.RATE.SWITCH=1,C1853/EXC.RATE_2,C1853*EXC.RATE_2),CURRENCY.FORMAT_2),CURRENCY.FORMAT_2,1),"# ##0;-# ##0"),",-"),FIXED(ROUND(IF(EXC.RATE.SWITCH=1,C1853/EXC.RATE_2,C1853*EXC.RATE_2),CURRENCY.FORMAT_2),CURRENCY.FORMAT_2,0)),'DICTIONARY-5'!$A$2))</f>
        <v/>
      </c>
      <c r="L1853" s="670" t="str">
        <f>IFERROR(IF(CURRENCY.FORMAT_1=0,CONCATENATE(TEXT(FIXED(ROUND((C1853*(1-I1853)*(1-ADD.DISCOUNT)*(1+MAT.SURCHARGE)/EXC.RATE_1),CURRENCY.FORMAT_1),CURRENCY.FORMAT_1,1),"# ##0;-# ##0"),",-"),FIXED(ROUND((C1853*(1-I1853)*(1-ADD.DISCOUNT)*(1+MAT.SURCHARGE)/EXC.RATE_1),CURRENCY.FORMAT_1),CURRENCY.FORMAT_1,0)),'DICTIONARY-5'!$A$2)</f>
        <v>5 464,-</v>
      </c>
      <c r="M1853" s="670" t="str">
        <f>IF(EXC.RATE_2=0,"",IFERROR(IF(CURRENCY.FORMAT_2=0,CONCATENATE(TEXT(FIXED(ROUND(IF(EXC.RATE.SWITCH=1,C1853*(1-I1853)*(1-ADD.DISCOUNT)*(1+MAT.SURCHARGE)/EXC.RATE_2,C1853*(1-I1853)*(1-ADD.DISCOUNT)*(1+MAT.SURCHARGE)*EXC.RATE_2),CURRENCY.FORMAT_2),CURRENCY.FORMAT_2,1),"# ##0;-# ##0"),",-"),FIXED(ROUND(IF(EXC.RATE.SWITCH=1,C1853*(1-I1853)*(1-ADD.DISCOUNT)*(1+MAT.SURCHARGE)/EXC.RATE_2,C1853*(1-I1853)*(1-ADD.DISCOUNT)*(1+MAT.SURCHARGE)*EXC.RATE_2),CURRENCY.FORMAT_2),CURRENCY.FORMAT_2,0)),'DICTIONARY-5'!$A$2))</f>
        <v/>
      </c>
      <c r="N1853" s="541">
        <v>6</v>
      </c>
      <c r="O1853" s="654" t="s">
        <v>7363</v>
      </c>
      <c r="P1853" s="731" t="str">
        <f>'DICTIONARY-3'!$A$148</f>
        <v>CEREX 300-L</v>
      </c>
      <c r="Q1853" s="731" t="str">
        <f>'DICTIONARY-3'!$A$204</f>
        <v>Przepustnica kołnierzowa</v>
      </c>
      <c r="R1853" s="732" t="str">
        <f>CONCATENATE('DICTIONARY-3'!$A$148," ",'DICTIONARY-6'!$A$2," ",'DICTIONARY-2'!$A$2,"500"," ",'DICTIONARY-2'!$A$3,"16"," ",'DICTIONARY-2'!$A$10,"10",'DICTIONARY-2'!$A$20," ",'DICTIONARY-5'!$A$37,"/",'DICTIONARY-5'!$A$45,", ",'DICTIONARY-4'!$A$2)</f>
        <v>CEREX 300-L Przep. kołnierz. DN500 PN16 PS10bar CF8M/NBR, WW</v>
      </c>
      <c r="S1853" s="733" t="str">
        <f>'DICTIONARY-4'!$A$2</f>
        <v>WW</v>
      </c>
      <c r="T1853" s="732" t="str">
        <f>'DICTIONARY-4'!$A$18</f>
        <v>Wolny wałek</v>
      </c>
      <c r="U1853" s="734" t="s">
        <v>5756</v>
      </c>
      <c r="V1853" s="735">
        <v>16</v>
      </c>
      <c r="W1853" s="736"/>
      <c r="X1853" s="737"/>
      <c r="Y1853" s="738"/>
      <c r="Z1853" s="739"/>
      <c r="AA1853" s="739"/>
      <c r="AB1853" s="740">
        <v>10</v>
      </c>
      <c r="AC1853" s="741" t="str">
        <f>'DICTIONARY-5'!$A$11&amp;" 20"</f>
        <v>EN 558 szereg 20</v>
      </c>
      <c r="AD1853" s="741" t="str">
        <f>'DICTIONARY-5'!$A$14</f>
        <v>ścieki</v>
      </c>
      <c r="AE1853" s="742">
        <v>80</v>
      </c>
      <c r="AF1853" s="743">
        <v>162</v>
      </c>
      <c r="AG1853" s="741" t="str">
        <f>'DICTIONARY-5'!$A$23</f>
        <v>powłoka epoksydowa</v>
      </c>
    </row>
    <row r="1854" spans="1:33" x14ac:dyDescent="0.25">
      <c r="A1854" s="844" t="s">
        <v>5262</v>
      </c>
      <c r="B1854" s="844" t="s">
        <v>5445</v>
      </c>
      <c r="C1854" s="836">
        <v>5941</v>
      </c>
      <c r="D1854" s="836"/>
      <c r="E1854" s="836"/>
      <c r="F1854" s="836"/>
      <c r="G1854" s="496" t="s">
        <v>7832</v>
      </c>
      <c r="H1854" s="797" t="str">
        <f>VLOOKUP(G1854,SETTINGS!$B$7:$D$97,2,0)</f>
        <v>CEREX 300</v>
      </c>
      <c r="I1854" s="796">
        <f>VLOOKUP(G1854,SETTINGS!$B$7:$D$97,3,0)</f>
        <v>0</v>
      </c>
      <c r="J1854" s="670" t="str">
        <f>IFERROR(IF(CURRENCY.FORMAT_1=0,CONCATENATE(TEXT(FIXED(ROUND((C1854/EXC.RATE_1),CURRENCY.FORMAT_1),CURRENCY.FORMAT_1,1),"# ##0;-# ##0"),",-"),FIXED(ROUND((C1854/EXC.RATE_1),CURRENCY.FORMAT_1),CURRENCY.FORMAT_1,0)),'DICTIONARY-5'!$A$2)</f>
        <v>5 941,-</v>
      </c>
      <c r="K1854" s="670" t="str">
        <f>IF(EXC.RATE_2=0,"",IFERROR(IF(CURRENCY.FORMAT_2=0,CONCATENATE(TEXT(FIXED(ROUND(IF(EXC.RATE.SWITCH=1,C1854/EXC.RATE_2,C1854*EXC.RATE_2),CURRENCY.FORMAT_2),CURRENCY.FORMAT_2,1),"# ##0;-# ##0"),",-"),FIXED(ROUND(IF(EXC.RATE.SWITCH=1,C1854/EXC.RATE_2,C1854*EXC.RATE_2),CURRENCY.FORMAT_2),CURRENCY.FORMAT_2,0)),'DICTIONARY-5'!$A$2))</f>
        <v/>
      </c>
      <c r="L1854" s="670" t="str">
        <f>IFERROR(IF(CURRENCY.FORMAT_1=0,CONCATENATE(TEXT(FIXED(ROUND((C1854*(1-I1854)*(1-ADD.DISCOUNT)*(1+MAT.SURCHARGE)/EXC.RATE_1),CURRENCY.FORMAT_1),CURRENCY.FORMAT_1,1),"# ##0;-# ##0"),",-"),FIXED(ROUND((C1854*(1-I1854)*(1-ADD.DISCOUNT)*(1+MAT.SURCHARGE)/EXC.RATE_1),CURRENCY.FORMAT_1),CURRENCY.FORMAT_1,0)),'DICTIONARY-5'!$A$2)</f>
        <v>6 173,-</v>
      </c>
      <c r="M1854" s="670" t="str">
        <f>IF(EXC.RATE_2=0,"",IFERROR(IF(CURRENCY.FORMAT_2=0,CONCATENATE(TEXT(FIXED(ROUND(IF(EXC.RATE.SWITCH=1,C1854*(1-I1854)*(1-ADD.DISCOUNT)*(1+MAT.SURCHARGE)/EXC.RATE_2,C1854*(1-I1854)*(1-ADD.DISCOUNT)*(1+MAT.SURCHARGE)*EXC.RATE_2),CURRENCY.FORMAT_2),CURRENCY.FORMAT_2,1),"# ##0;-# ##0"),",-"),FIXED(ROUND(IF(EXC.RATE.SWITCH=1,C1854*(1-I1854)*(1-ADD.DISCOUNT)*(1+MAT.SURCHARGE)/EXC.RATE_2,C1854*(1-I1854)*(1-ADD.DISCOUNT)*(1+MAT.SURCHARGE)*EXC.RATE_2),CURRENCY.FORMAT_2),CURRENCY.FORMAT_2,0)),'DICTIONARY-5'!$A$2))</f>
        <v/>
      </c>
      <c r="N1854" s="541">
        <v>6</v>
      </c>
      <c r="O1854" s="654" t="s">
        <v>7363</v>
      </c>
      <c r="P1854" s="731" t="str">
        <f>'DICTIONARY-3'!$A$148</f>
        <v>CEREX 300-L</v>
      </c>
      <c r="Q1854" s="731" t="str">
        <f>'DICTIONARY-3'!$A$204</f>
        <v>Przepustnica kołnierzowa</v>
      </c>
      <c r="R1854" s="732" t="str">
        <f>CONCATENATE('DICTIONARY-3'!$A$148," ",'DICTIONARY-6'!$A$2," ",'DICTIONARY-2'!$A$2,"600"," ",'DICTIONARY-2'!$A$3,"10"," ",'DICTIONARY-5'!$A$37,"/",'DICTIONARY-5'!$A$45,", ",'DICTIONARY-4'!$A$2)</f>
        <v>CEREX 300-L Przep. kołnierz. DN600 PN10 CF8M/NBR, WW</v>
      </c>
      <c r="S1854" s="733" t="str">
        <f>'DICTIONARY-4'!$A$2</f>
        <v>WW</v>
      </c>
      <c r="T1854" s="732" t="str">
        <f>'DICTIONARY-4'!$A$18</f>
        <v>Wolny wałek</v>
      </c>
      <c r="U1854" s="734" t="s">
        <v>5757</v>
      </c>
      <c r="V1854" s="735">
        <v>10</v>
      </c>
      <c r="W1854" s="736"/>
      <c r="X1854" s="737"/>
      <c r="Y1854" s="738"/>
      <c r="Z1854" s="739"/>
      <c r="AA1854" s="739"/>
      <c r="AB1854" s="740">
        <v>10</v>
      </c>
      <c r="AC1854" s="741" t="str">
        <f>'DICTIONARY-5'!$A$11&amp;" 20"</f>
        <v>EN 558 szereg 20</v>
      </c>
      <c r="AD1854" s="741" t="str">
        <f>'DICTIONARY-5'!$A$14</f>
        <v>ścieki</v>
      </c>
      <c r="AE1854" s="742">
        <v>80</v>
      </c>
      <c r="AF1854" s="743">
        <v>214</v>
      </c>
      <c r="AG1854" s="741" t="str">
        <f>'DICTIONARY-5'!$A$23</f>
        <v>powłoka epoksydowa</v>
      </c>
    </row>
    <row r="1855" spans="1:33" x14ac:dyDescent="0.25">
      <c r="A1855" s="844" t="s">
        <v>5264</v>
      </c>
      <c r="B1855" s="844" t="s">
        <v>5446</v>
      </c>
      <c r="C1855" s="836">
        <v>6174</v>
      </c>
      <c r="D1855" s="836"/>
      <c r="E1855" s="836"/>
      <c r="F1855" s="836"/>
      <c r="G1855" s="496" t="s">
        <v>7832</v>
      </c>
      <c r="H1855" s="797" t="str">
        <f>VLOOKUP(G1855,SETTINGS!$B$7:$D$97,2,0)</f>
        <v>CEREX 300</v>
      </c>
      <c r="I1855" s="796">
        <f>VLOOKUP(G1855,SETTINGS!$B$7:$D$97,3,0)</f>
        <v>0</v>
      </c>
      <c r="J1855" s="670" t="str">
        <f>IFERROR(IF(CURRENCY.FORMAT_1=0,CONCATENATE(TEXT(FIXED(ROUND((C1855/EXC.RATE_1),CURRENCY.FORMAT_1),CURRENCY.FORMAT_1,1),"# ##0;-# ##0"),",-"),FIXED(ROUND((C1855/EXC.RATE_1),CURRENCY.FORMAT_1),CURRENCY.FORMAT_1,0)),'DICTIONARY-5'!$A$2)</f>
        <v>6 174,-</v>
      </c>
      <c r="K1855" s="670" t="str">
        <f>IF(EXC.RATE_2=0,"",IFERROR(IF(CURRENCY.FORMAT_2=0,CONCATENATE(TEXT(FIXED(ROUND(IF(EXC.RATE.SWITCH=1,C1855/EXC.RATE_2,C1855*EXC.RATE_2),CURRENCY.FORMAT_2),CURRENCY.FORMAT_2,1),"# ##0;-# ##0"),",-"),FIXED(ROUND(IF(EXC.RATE.SWITCH=1,C1855/EXC.RATE_2,C1855*EXC.RATE_2),CURRENCY.FORMAT_2),CURRENCY.FORMAT_2,0)),'DICTIONARY-5'!$A$2))</f>
        <v/>
      </c>
      <c r="L1855" s="670" t="str">
        <f>IFERROR(IF(CURRENCY.FORMAT_1=0,CONCATENATE(TEXT(FIXED(ROUND((C1855*(1-I1855)*(1-ADD.DISCOUNT)*(1+MAT.SURCHARGE)/EXC.RATE_1),CURRENCY.FORMAT_1),CURRENCY.FORMAT_1,1),"# ##0;-# ##0"),",-"),FIXED(ROUND((C1855*(1-I1855)*(1-ADD.DISCOUNT)*(1+MAT.SURCHARGE)/EXC.RATE_1),CURRENCY.FORMAT_1),CURRENCY.FORMAT_1,0)),'DICTIONARY-5'!$A$2)</f>
        <v>6 415,-</v>
      </c>
      <c r="M1855" s="670" t="str">
        <f>IF(EXC.RATE_2=0,"",IFERROR(IF(CURRENCY.FORMAT_2=0,CONCATENATE(TEXT(FIXED(ROUND(IF(EXC.RATE.SWITCH=1,C1855*(1-I1855)*(1-ADD.DISCOUNT)*(1+MAT.SURCHARGE)/EXC.RATE_2,C1855*(1-I1855)*(1-ADD.DISCOUNT)*(1+MAT.SURCHARGE)*EXC.RATE_2),CURRENCY.FORMAT_2),CURRENCY.FORMAT_2,1),"# ##0;-# ##0"),",-"),FIXED(ROUND(IF(EXC.RATE.SWITCH=1,C1855*(1-I1855)*(1-ADD.DISCOUNT)*(1+MAT.SURCHARGE)/EXC.RATE_2,C1855*(1-I1855)*(1-ADD.DISCOUNT)*(1+MAT.SURCHARGE)*EXC.RATE_2),CURRENCY.FORMAT_2),CURRENCY.FORMAT_2,0)),'DICTIONARY-5'!$A$2))</f>
        <v/>
      </c>
      <c r="N1855" s="541">
        <v>6</v>
      </c>
      <c r="O1855" s="654" t="s">
        <v>7363</v>
      </c>
      <c r="P1855" s="731" t="str">
        <f>'DICTIONARY-3'!$A$148</f>
        <v>CEREX 300-L</v>
      </c>
      <c r="Q1855" s="731" t="str">
        <f>'DICTIONARY-3'!$A$204</f>
        <v>Przepustnica kołnierzowa</v>
      </c>
      <c r="R1855" s="732" t="str">
        <f>CONCATENATE('DICTIONARY-3'!$A$148," ",'DICTIONARY-6'!$A$2," ",'DICTIONARY-2'!$A$2,"600"," ",'DICTIONARY-2'!$A$3,"16"," ",'DICTIONARY-2'!$A$10,"10",'DICTIONARY-2'!$A$20," ",'DICTIONARY-5'!$A$37,"/",'DICTIONARY-5'!$A$45,", ",'DICTIONARY-4'!$A$2)</f>
        <v>CEREX 300-L Przep. kołnierz. DN600 PN16 PS10bar CF8M/NBR, WW</v>
      </c>
      <c r="S1855" s="733" t="str">
        <f>'DICTIONARY-4'!$A$2</f>
        <v>WW</v>
      </c>
      <c r="T1855" s="732" t="str">
        <f>'DICTIONARY-4'!$A$18</f>
        <v>Wolny wałek</v>
      </c>
      <c r="U1855" s="734" t="s">
        <v>5757</v>
      </c>
      <c r="V1855" s="735">
        <v>16</v>
      </c>
      <c r="W1855" s="736"/>
      <c r="X1855" s="737"/>
      <c r="Y1855" s="738"/>
      <c r="Z1855" s="739"/>
      <c r="AA1855" s="739"/>
      <c r="AB1855" s="740">
        <v>10</v>
      </c>
      <c r="AC1855" s="741" t="str">
        <f>'DICTIONARY-5'!$A$11&amp;" 20"</f>
        <v>EN 558 szereg 20</v>
      </c>
      <c r="AD1855" s="741" t="str">
        <f>'DICTIONARY-5'!$A$14</f>
        <v>ścieki</v>
      </c>
      <c r="AE1855" s="742">
        <v>80</v>
      </c>
      <c r="AF1855" s="743">
        <v>269</v>
      </c>
      <c r="AG1855" s="741" t="str">
        <f>'DICTIONARY-5'!$A$23</f>
        <v>powłoka epoksydowa</v>
      </c>
    </row>
    <row r="1856" spans="1:33" x14ac:dyDescent="0.25">
      <c r="A1856" s="866" t="s">
        <v>1541</v>
      </c>
      <c r="B1856" s="866" t="s">
        <v>3877</v>
      </c>
      <c r="C1856" s="836">
        <v>175</v>
      </c>
      <c r="D1856" s="836"/>
      <c r="E1856" s="836"/>
      <c r="F1856" s="836"/>
      <c r="G1856" s="496" t="s">
        <v>7832</v>
      </c>
      <c r="H1856" s="797" t="str">
        <f>VLOOKUP(G1856,SETTINGS!$B$7:$D$97,2,0)</f>
        <v>CEREX 300</v>
      </c>
      <c r="I1856" s="796">
        <f>VLOOKUP(G1856,SETTINGS!$B$7:$D$97,3,0)</f>
        <v>0</v>
      </c>
      <c r="J1856" s="670" t="str">
        <f>IFERROR(IF(CURRENCY.FORMAT_1=0,CONCATENATE(TEXT(FIXED(ROUND((C1856/EXC.RATE_1),CURRENCY.FORMAT_1),CURRENCY.FORMAT_1,1),"# ##0;-# ##0"),",-"),FIXED(ROUND((C1856/EXC.RATE_1),CURRENCY.FORMAT_1),CURRENCY.FORMAT_1,0)),'DICTIONARY-5'!$A$2)</f>
        <v>175,-</v>
      </c>
      <c r="K1856" s="670" t="str">
        <f>IF(EXC.RATE_2=0,"",IFERROR(IF(CURRENCY.FORMAT_2=0,CONCATENATE(TEXT(FIXED(ROUND(IF(EXC.RATE.SWITCH=1,C1856/EXC.RATE_2,C1856*EXC.RATE_2),CURRENCY.FORMAT_2),CURRENCY.FORMAT_2,1),"# ##0;-# ##0"),",-"),FIXED(ROUND(IF(EXC.RATE.SWITCH=1,C1856/EXC.RATE_2,C1856*EXC.RATE_2),CURRENCY.FORMAT_2),CURRENCY.FORMAT_2,0)),'DICTIONARY-5'!$A$2))</f>
        <v/>
      </c>
      <c r="L1856" s="670" t="str">
        <f>IFERROR(IF(CURRENCY.FORMAT_1=0,CONCATENATE(TEXT(FIXED(ROUND((C1856*(1-I1856)*(1-ADD.DISCOUNT)*(1+MAT.SURCHARGE)/EXC.RATE_1),CURRENCY.FORMAT_1),CURRENCY.FORMAT_1,1),"# ##0;-# ##0"),",-"),FIXED(ROUND((C1856*(1-I1856)*(1-ADD.DISCOUNT)*(1+MAT.SURCHARGE)/EXC.RATE_1),CURRENCY.FORMAT_1),CURRENCY.FORMAT_1,0)),'DICTIONARY-5'!$A$2)</f>
        <v>182,-</v>
      </c>
      <c r="M1856" s="670" t="str">
        <f>IF(EXC.RATE_2=0,"",IFERROR(IF(CURRENCY.FORMAT_2=0,CONCATENATE(TEXT(FIXED(ROUND(IF(EXC.RATE.SWITCH=1,C1856*(1-I1856)*(1-ADD.DISCOUNT)*(1+MAT.SURCHARGE)/EXC.RATE_2,C1856*(1-I1856)*(1-ADD.DISCOUNT)*(1+MAT.SURCHARGE)*EXC.RATE_2),CURRENCY.FORMAT_2),CURRENCY.FORMAT_2,1),"# ##0;-# ##0"),",-"),FIXED(ROUND(IF(EXC.RATE.SWITCH=1,C1856*(1-I1856)*(1-ADD.DISCOUNT)*(1+MAT.SURCHARGE)/EXC.RATE_2,C1856*(1-I1856)*(1-ADD.DISCOUNT)*(1+MAT.SURCHARGE)*EXC.RATE_2),CURRENCY.FORMAT_2),CURRENCY.FORMAT_2,0)),'DICTIONARY-5'!$A$2))</f>
        <v/>
      </c>
      <c r="N1856" s="541">
        <v>6</v>
      </c>
      <c r="O1856" s="541"/>
      <c r="P1856" s="731" t="str">
        <f>'DICTIONARY-3'!$A$148</f>
        <v>CEREX 300-L</v>
      </c>
      <c r="Q1856" s="731" t="str">
        <f>'DICTIONARY-3'!$A$204</f>
        <v>Przepustnica kołnierzowa</v>
      </c>
      <c r="R1856" s="732" t="str">
        <f>CONCATENATE('DICTIONARY-3'!$A$148," ",'DICTIONARY-6'!$A$2," ",'DICTIONARY-2'!$A$2,"50"," ",'DICTIONARY-2'!$A$3,"10/16"," ","R20"," ",'DICTIONARY-5'!$A$51,"/",'DICTIONARY-5'!$A$44,", ",'DICTIONARY-4'!$A$3," ",'DICTIONARY-5'!$A$40)</f>
        <v>CEREX 300-L Przep. kołnierz. DN50 PN10/16 R20 GGG/EPDM, DR stal</v>
      </c>
      <c r="S1856" s="733" t="str">
        <f>'DICTIONARY-4'!$A$3</f>
        <v>DR</v>
      </c>
      <c r="T1856" s="732" t="str">
        <f>'DICTIONARY-4'!$A$19</f>
        <v>Dźwignia ręczna</v>
      </c>
      <c r="U1856" s="734" t="s">
        <v>5748</v>
      </c>
      <c r="V1856" s="735">
        <v>16</v>
      </c>
      <c r="W1856" s="736"/>
      <c r="X1856" s="737"/>
      <c r="Y1856" s="738"/>
      <c r="Z1856" s="739"/>
      <c r="AA1856" s="739"/>
      <c r="AB1856" s="740">
        <v>16</v>
      </c>
      <c r="AC1856" s="741" t="str">
        <f>'DICTIONARY-5'!$A$11&amp;" 20"</f>
        <v>EN 558 szereg 20</v>
      </c>
      <c r="AD1856" s="741" t="str">
        <f>'DICTIONARY-5'!$A$13</f>
        <v>woda pitna</v>
      </c>
      <c r="AE1856" s="742">
        <v>80</v>
      </c>
      <c r="AF1856" s="743">
        <v>3.5</v>
      </c>
      <c r="AG1856" s="741" t="str">
        <f>'DICTIONARY-5'!$A$23</f>
        <v>powłoka epoksydowa</v>
      </c>
    </row>
    <row r="1857" spans="1:33" x14ac:dyDescent="0.25">
      <c r="A1857" s="866" t="s">
        <v>1543</v>
      </c>
      <c r="B1857" s="866" t="s">
        <v>3883</v>
      </c>
      <c r="C1857" s="836">
        <v>177</v>
      </c>
      <c r="D1857" s="836"/>
      <c r="E1857" s="836"/>
      <c r="F1857" s="836"/>
      <c r="G1857" s="496" t="s">
        <v>7832</v>
      </c>
      <c r="H1857" s="797" t="str">
        <f>VLOOKUP(G1857,SETTINGS!$B$7:$D$97,2,0)</f>
        <v>CEREX 300</v>
      </c>
      <c r="I1857" s="796">
        <f>VLOOKUP(G1857,SETTINGS!$B$7:$D$97,3,0)</f>
        <v>0</v>
      </c>
      <c r="J1857" s="670" t="str">
        <f>IFERROR(IF(CURRENCY.FORMAT_1=0,CONCATENATE(TEXT(FIXED(ROUND((C1857/EXC.RATE_1),CURRENCY.FORMAT_1),CURRENCY.FORMAT_1,1),"# ##0;-# ##0"),",-"),FIXED(ROUND((C1857/EXC.RATE_1),CURRENCY.FORMAT_1),CURRENCY.FORMAT_1,0)),'DICTIONARY-5'!$A$2)</f>
        <v>177,-</v>
      </c>
      <c r="K1857" s="670" t="str">
        <f>IF(EXC.RATE_2=0,"",IFERROR(IF(CURRENCY.FORMAT_2=0,CONCATENATE(TEXT(FIXED(ROUND(IF(EXC.RATE.SWITCH=1,C1857/EXC.RATE_2,C1857*EXC.RATE_2),CURRENCY.FORMAT_2),CURRENCY.FORMAT_2,1),"# ##0;-# ##0"),",-"),FIXED(ROUND(IF(EXC.RATE.SWITCH=1,C1857/EXC.RATE_2,C1857*EXC.RATE_2),CURRENCY.FORMAT_2),CURRENCY.FORMAT_2,0)),'DICTIONARY-5'!$A$2))</f>
        <v/>
      </c>
      <c r="L1857" s="670" t="str">
        <f>IFERROR(IF(CURRENCY.FORMAT_1=0,CONCATENATE(TEXT(FIXED(ROUND((C1857*(1-I1857)*(1-ADD.DISCOUNT)*(1+MAT.SURCHARGE)/EXC.RATE_1),CURRENCY.FORMAT_1),CURRENCY.FORMAT_1,1),"# ##0;-# ##0"),",-"),FIXED(ROUND((C1857*(1-I1857)*(1-ADD.DISCOUNT)*(1+MAT.SURCHARGE)/EXC.RATE_1),CURRENCY.FORMAT_1),CURRENCY.FORMAT_1,0)),'DICTIONARY-5'!$A$2)</f>
        <v>184,-</v>
      </c>
      <c r="M1857" s="670" t="str">
        <f>IF(EXC.RATE_2=0,"",IFERROR(IF(CURRENCY.FORMAT_2=0,CONCATENATE(TEXT(FIXED(ROUND(IF(EXC.RATE.SWITCH=1,C1857*(1-I1857)*(1-ADD.DISCOUNT)*(1+MAT.SURCHARGE)/EXC.RATE_2,C1857*(1-I1857)*(1-ADD.DISCOUNT)*(1+MAT.SURCHARGE)*EXC.RATE_2),CURRENCY.FORMAT_2),CURRENCY.FORMAT_2,1),"# ##0;-# ##0"),",-"),FIXED(ROUND(IF(EXC.RATE.SWITCH=1,C1857*(1-I1857)*(1-ADD.DISCOUNT)*(1+MAT.SURCHARGE)/EXC.RATE_2,C1857*(1-I1857)*(1-ADD.DISCOUNT)*(1+MAT.SURCHARGE)*EXC.RATE_2),CURRENCY.FORMAT_2),CURRENCY.FORMAT_2,0)),'DICTIONARY-5'!$A$2))</f>
        <v/>
      </c>
      <c r="N1857" s="541">
        <v>6</v>
      </c>
      <c r="O1857" s="541"/>
      <c r="P1857" s="731" t="str">
        <f>'DICTIONARY-3'!$A$148</f>
        <v>CEREX 300-L</v>
      </c>
      <c r="Q1857" s="731" t="str">
        <f>'DICTIONARY-3'!$A$204</f>
        <v>Przepustnica kołnierzowa</v>
      </c>
      <c r="R1857" s="732" t="str">
        <f>CONCATENATE('DICTIONARY-3'!$A$148," ",'DICTIONARY-6'!$A$2," ",'DICTIONARY-2'!$A$2,"65"," ",'DICTIONARY-2'!$A$3,"10/16"," ","R20"," ",'DICTIONARY-5'!$A$51,"/",'DICTIONARY-5'!$A$44,", ",'DICTIONARY-4'!$A$3," ",'DICTIONARY-5'!$A$40)</f>
        <v>CEREX 300-L Przep. kołnierz. DN65 PN10/16 R20 GGG/EPDM, DR stal</v>
      </c>
      <c r="S1857" s="733" t="str">
        <f>'DICTIONARY-4'!$A$3</f>
        <v>DR</v>
      </c>
      <c r="T1857" s="732" t="str">
        <f>'DICTIONARY-4'!$A$19</f>
        <v>Dźwignia ręczna</v>
      </c>
      <c r="U1857" s="734" t="s">
        <v>5759</v>
      </c>
      <c r="V1857" s="735">
        <v>16</v>
      </c>
      <c r="W1857" s="736"/>
      <c r="X1857" s="737"/>
      <c r="Y1857" s="738"/>
      <c r="Z1857" s="739"/>
      <c r="AA1857" s="739"/>
      <c r="AB1857" s="740">
        <v>16</v>
      </c>
      <c r="AC1857" s="741" t="str">
        <f>'DICTIONARY-5'!$A$11&amp;" 20"</f>
        <v>EN 558 szereg 20</v>
      </c>
      <c r="AD1857" s="741" t="str">
        <f>'DICTIONARY-5'!$A$13</f>
        <v>woda pitna</v>
      </c>
      <c r="AE1857" s="742">
        <v>80</v>
      </c>
      <c r="AF1857" s="743">
        <v>4</v>
      </c>
      <c r="AG1857" s="741" t="str">
        <f>'DICTIONARY-5'!$A$23</f>
        <v>powłoka epoksydowa</v>
      </c>
    </row>
    <row r="1858" spans="1:33" x14ac:dyDescent="0.25">
      <c r="A1858" s="866" t="s">
        <v>1545</v>
      </c>
      <c r="B1858" s="866" t="s">
        <v>3889</v>
      </c>
      <c r="C1858" s="836">
        <v>208</v>
      </c>
      <c r="D1858" s="836"/>
      <c r="E1858" s="836"/>
      <c r="F1858" s="836"/>
      <c r="G1858" s="496" t="s">
        <v>7832</v>
      </c>
      <c r="H1858" s="797" t="str">
        <f>VLOOKUP(G1858,SETTINGS!$B$7:$D$97,2,0)</f>
        <v>CEREX 300</v>
      </c>
      <c r="I1858" s="796">
        <f>VLOOKUP(G1858,SETTINGS!$B$7:$D$97,3,0)</f>
        <v>0</v>
      </c>
      <c r="J1858" s="670" t="str">
        <f>IFERROR(IF(CURRENCY.FORMAT_1=0,CONCATENATE(TEXT(FIXED(ROUND((C1858/EXC.RATE_1),CURRENCY.FORMAT_1),CURRENCY.FORMAT_1,1),"# ##0;-# ##0"),",-"),FIXED(ROUND((C1858/EXC.RATE_1),CURRENCY.FORMAT_1),CURRENCY.FORMAT_1,0)),'DICTIONARY-5'!$A$2)</f>
        <v>208,-</v>
      </c>
      <c r="K1858" s="670" t="str">
        <f>IF(EXC.RATE_2=0,"",IFERROR(IF(CURRENCY.FORMAT_2=0,CONCATENATE(TEXT(FIXED(ROUND(IF(EXC.RATE.SWITCH=1,C1858/EXC.RATE_2,C1858*EXC.RATE_2),CURRENCY.FORMAT_2),CURRENCY.FORMAT_2,1),"# ##0;-# ##0"),",-"),FIXED(ROUND(IF(EXC.RATE.SWITCH=1,C1858/EXC.RATE_2,C1858*EXC.RATE_2),CURRENCY.FORMAT_2),CURRENCY.FORMAT_2,0)),'DICTIONARY-5'!$A$2))</f>
        <v/>
      </c>
      <c r="L1858" s="670" t="str">
        <f>IFERROR(IF(CURRENCY.FORMAT_1=0,CONCATENATE(TEXT(FIXED(ROUND((C1858*(1-I1858)*(1-ADD.DISCOUNT)*(1+MAT.SURCHARGE)/EXC.RATE_1),CURRENCY.FORMAT_1),CURRENCY.FORMAT_1,1),"# ##0;-# ##0"),",-"),FIXED(ROUND((C1858*(1-I1858)*(1-ADD.DISCOUNT)*(1+MAT.SURCHARGE)/EXC.RATE_1),CURRENCY.FORMAT_1),CURRENCY.FORMAT_1,0)),'DICTIONARY-5'!$A$2)</f>
        <v>216,-</v>
      </c>
      <c r="M1858" s="670" t="str">
        <f>IF(EXC.RATE_2=0,"",IFERROR(IF(CURRENCY.FORMAT_2=0,CONCATENATE(TEXT(FIXED(ROUND(IF(EXC.RATE.SWITCH=1,C1858*(1-I1858)*(1-ADD.DISCOUNT)*(1+MAT.SURCHARGE)/EXC.RATE_2,C1858*(1-I1858)*(1-ADD.DISCOUNT)*(1+MAT.SURCHARGE)*EXC.RATE_2),CURRENCY.FORMAT_2),CURRENCY.FORMAT_2,1),"# ##0;-# ##0"),",-"),FIXED(ROUND(IF(EXC.RATE.SWITCH=1,C1858*(1-I1858)*(1-ADD.DISCOUNT)*(1+MAT.SURCHARGE)/EXC.RATE_2,C1858*(1-I1858)*(1-ADD.DISCOUNT)*(1+MAT.SURCHARGE)*EXC.RATE_2),CURRENCY.FORMAT_2),CURRENCY.FORMAT_2,0)),'DICTIONARY-5'!$A$2))</f>
        <v/>
      </c>
      <c r="N1858" s="541">
        <v>6</v>
      </c>
      <c r="O1858" s="541"/>
      <c r="P1858" s="731" t="str">
        <f>'DICTIONARY-3'!$A$148</f>
        <v>CEREX 300-L</v>
      </c>
      <c r="Q1858" s="731" t="str">
        <f>'DICTIONARY-3'!$A$204</f>
        <v>Przepustnica kołnierzowa</v>
      </c>
      <c r="R1858" s="732" t="str">
        <f>CONCATENATE('DICTIONARY-3'!$A$148," ",'DICTIONARY-6'!$A$2," ",'DICTIONARY-2'!$A$2,"80"," ",'DICTIONARY-2'!$A$3,"10/16"," ","R20"," ",'DICTIONARY-5'!$A$51,"/",'DICTIONARY-5'!$A$44,", ",'DICTIONARY-4'!$A$3," ",'DICTIONARY-5'!$A$40)</f>
        <v>CEREX 300-L Przep. kołnierz. DN80 PN10/16 R20 GGG/EPDM, DR stal</v>
      </c>
      <c r="S1858" s="733" t="str">
        <f>'DICTIONARY-4'!$A$3</f>
        <v>DR</v>
      </c>
      <c r="T1858" s="732" t="str">
        <f>'DICTIONARY-4'!$A$19</f>
        <v>Dźwignia ręczna</v>
      </c>
      <c r="U1858" s="734" t="s">
        <v>5760</v>
      </c>
      <c r="V1858" s="735">
        <v>16</v>
      </c>
      <c r="W1858" s="736"/>
      <c r="X1858" s="737"/>
      <c r="Y1858" s="738"/>
      <c r="Z1858" s="739"/>
      <c r="AA1858" s="739"/>
      <c r="AB1858" s="740">
        <v>16</v>
      </c>
      <c r="AC1858" s="741" t="str">
        <f>'DICTIONARY-5'!$A$11&amp;" 20"</f>
        <v>EN 558 szereg 20</v>
      </c>
      <c r="AD1858" s="741" t="str">
        <f>'DICTIONARY-5'!$A$13</f>
        <v>woda pitna</v>
      </c>
      <c r="AE1858" s="742">
        <v>80</v>
      </c>
      <c r="AF1858" s="743">
        <v>5.5</v>
      </c>
      <c r="AG1858" s="741" t="str">
        <f>'DICTIONARY-5'!$A$23</f>
        <v>powłoka epoksydowa</v>
      </c>
    </row>
    <row r="1859" spans="1:33" x14ac:dyDescent="0.25">
      <c r="A1859" s="866" t="s">
        <v>1547</v>
      </c>
      <c r="B1859" s="866" t="s">
        <v>3895</v>
      </c>
      <c r="C1859" s="836">
        <v>234</v>
      </c>
      <c r="D1859" s="836"/>
      <c r="E1859" s="836"/>
      <c r="F1859" s="836"/>
      <c r="G1859" s="496" t="s">
        <v>7832</v>
      </c>
      <c r="H1859" s="797" t="str">
        <f>VLOOKUP(G1859,SETTINGS!$B$7:$D$97,2,0)</f>
        <v>CEREX 300</v>
      </c>
      <c r="I1859" s="796">
        <f>VLOOKUP(G1859,SETTINGS!$B$7:$D$97,3,0)</f>
        <v>0</v>
      </c>
      <c r="J1859" s="670" t="str">
        <f>IFERROR(IF(CURRENCY.FORMAT_1=0,CONCATENATE(TEXT(FIXED(ROUND((C1859/EXC.RATE_1),CURRENCY.FORMAT_1),CURRENCY.FORMAT_1,1),"# ##0;-# ##0"),",-"),FIXED(ROUND((C1859/EXC.RATE_1),CURRENCY.FORMAT_1),CURRENCY.FORMAT_1,0)),'DICTIONARY-5'!$A$2)</f>
        <v>234,-</v>
      </c>
      <c r="K1859" s="670" t="str">
        <f>IF(EXC.RATE_2=0,"",IFERROR(IF(CURRENCY.FORMAT_2=0,CONCATENATE(TEXT(FIXED(ROUND(IF(EXC.RATE.SWITCH=1,C1859/EXC.RATE_2,C1859*EXC.RATE_2),CURRENCY.FORMAT_2),CURRENCY.FORMAT_2,1),"# ##0;-# ##0"),",-"),FIXED(ROUND(IF(EXC.RATE.SWITCH=1,C1859/EXC.RATE_2,C1859*EXC.RATE_2),CURRENCY.FORMAT_2),CURRENCY.FORMAT_2,0)),'DICTIONARY-5'!$A$2))</f>
        <v/>
      </c>
      <c r="L1859" s="670" t="str">
        <f>IFERROR(IF(CURRENCY.FORMAT_1=0,CONCATENATE(TEXT(FIXED(ROUND((C1859*(1-I1859)*(1-ADD.DISCOUNT)*(1+MAT.SURCHARGE)/EXC.RATE_1),CURRENCY.FORMAT_1),CURRENCY.FORMAT_1,1),"# ##0;-# ##0"),",-"),FIXED(ROUND((C1859*(1-I1859)*(1-ADD.DISCOUNT)*(1+MAT.SURCHARGE)/EXC.RATE_1),CURRENCY.FORMAT_1),CURRENCY.FORMAT_1,0)),'DICTIONARY-5'!$A$2)</f>
        <v>243,-</v>
      </c>
      <c r="M1859" s="670" t="str">
        <f>IF(EXC.RATE_2=0,"",IFERROR(IF(CURRENCY.FORMAT_2=0,CONCATENATE(TEXT(FIXED(ROUND(IF(EXC.RATE.SWITCH=1,C1859*(1-I1859)*(1-ADD.DISCOUNT)*(1+MAT.SURCHARGE)/EXC.RATE_2,C1859*(1-I1859)*(1-ADD.DISCOUNT)*(1+MAT.SURCHARGE)*EXC.RATE_2),CURRENCY.FORMAT_2),CURRENCY.FORMAT_2,1),"# ##0;-# ##0"),",-"),FIXED(ROUND(IF(EXC.RATE.SWITCH=1,C1859*(1-I1859)*(1-ADD.DISCOUNT)*(1+MAT.SURCHARGE)/EXC.RATE_2,C1859*(1-I1859)*(1-ADD.DISCOUNT)*(1+MAT.SURCHARGE)*EXC.RATE_2),CURRENCY.FORMAT_2),CURRENCY.FORMAT_2,0)),'DICTIONARY-5'!$A$2))</f>
        <v/>
      </c>
      <c r="N1859" s="541">
        <v>6</v>
      </c>
      <c r="O1859" s="541"/>
      <c r="P1859" s="731" t="str">
        <f>'DICTIONARY-3'!$A$148</f>
        <v>CEREX 300-L</v>
      </c>
      <c r="Q1859" s="731" t="str">
        <f>'DICTIONARY-3'!$A$204</f>
        <v>Przepustnica kołnierzowa</v>
      </c>
      <c r="R1859" s="732" t="str">
        <f>CONCATENATE('DICTIONARY-3'!$A$148," ",'DICTIONARY-6'!$A$2," ",'DICTIONARY-2'!$A$2,"100"," ",'DICTIONARY-2'!$A$3,"10/16"," ","R20"," ",'DICTIONARY-5'!$A$51,"/",'DICTIONARY-5'!$A$44,", ",'DICTIONARY-4'!$A$3," ",'DICTIONARY-5'!$A$40)</f>
        <v>CEREX 300-L Przep. kołnierz. DN100 PN10/16 R20 GGG/EPDM, DR stal</v>
      </c>
      <c r="S1859" s="733" t="str">
        <f>'DICTIONARY-4'!$A$3</f>
        <v>DR</v>
      </c>
      <c r="T1859" s="732" t="str">
        <f>'DICTIONARY-4'!$A$19</f>
        <v>Dźwignia ręczna</v>
      </c>
      <c r="U1859" s="734" t="s">
        <v>5749</v>
      </c>
      <c r="V1859" s="735">
        <v>16</v>
      </c>
      <c r="W1859" s="736"/>
      <c r="X1859" s="737"/>
      <c r="Y1859" s="738"/>
      <c r="Z1859" s="739"/>
      <c r="AA1859" s="739"/>
      <c r="AB1859" s="740">
        <v>16</v>
      </c>
      <c r="AC1859" s="741" t="str">
        <f>'DICTIONARY-5'!$A$11&amp;" 20"</f>
        <v>EN 558 szereg 20</v>
      </c>
      <c r="AD1859" s="741" t="str">
        <f>'DICTIONARY-5'!$A$13</f>
        <v>woda pitna</v>
      </c>
      <c r="AE1859" s="742">
        <v>80</v>
      </c>
      <c r="AF1859" s="743">
        <v>8</v>
      </c>
      <c r="AG1859" s="741" t="str">
        <f>'DICTIONARY-5'!$A$23</f>
        <v>powłoka epoksydowa</v>
      </c>
    </row>
    <row r="1860" spans="1:33" x14ac:dyDescent="0.25">
      <c r="A1860" s="866" t="s">
        <v>1549</v>
      </c>
      <c r="B1860" s="866" t="s">
        <v>3901</v>
      </c>
      <c r="C1860" s="836">
        <v>269</v>
      </c>
      <c r="D1860" s="836"/>
      <c r="E1860" s="836"/>
      <c r="F1860" s="836"/>
      <c r="G1860" s="496" t="s">
        <v>7832</v>
      </c>
      <c r="H1860" s="797" t="str">
        <f>VLOOKUP(G1860,SETTINGS!$B$7:$D$97,2,0)</f>
        <v>CEREX 300</v>
      </c>
      <c r="I1860" s="796">
        <f>VLOOKUP(G1860,SETTINGS!$B$7:$D$97,3,0)</f>
        <v>0</v>
      </c>
      <c r="J1860" s="670" t="str">
        <f>IFERROR(IF(CURRENCY.FORMAT_1=0,CONCATENATE(TEXT(FIXED(ROUND((C1860/EXC.RATE_1),CURRENCY.FORMAT_1),CURRENCY.FORMAT_1,1),"# ##0;-# ##0"),",-"),FIXED(ROUND((C1860/EXC.RATE_1),CURRENCY.FORMAT_1),CURRENCY.FORMAT_1,0)),'DICTIONARY-5'!$A$2)</f>
        <v>269,-</v>
      </c>
      <c r="K1860" s="670" t="str">
        <f>IF(EXC.RATE_2=0,"",IFERROR(IF(CURRENCY.FORMAT_2=0,CONCATENATE(TEXT(FIXED(ROUND(IF(EXC.RATE.SWITCH=1,C1860/EXC.RATE_2,C1860*EXC.RATE_2),CURRENCY.FORMAT_2),CURRENCY.FORMAT_2,1),"# ##0;-# ##0"),",-"),FIXED(ROUND(IF(EXC.RATE.SWITCH=1,C1860/EXC.RATE_2,C1860*EXC.RATE_2),CURRENCY.FORMAT_2),CURRENCY.FORMAT_2,0)),'DICTIONARY-5'!$A$2))</f>
        <v/>
      </c>
      <c r="L1860" s="670" t="str">
        <f>IFERROR(IF(CURRENCY.FORMAT_1=0,CONCATENATE(TEXT(FIXED(ROUND((C1860*(1-I1860)*(1-ADD.DISCOUNT)*(1+MAT.SURCHARGE)/EXC.RATE_1),CURRENCY.FORMAT_1),CURRENCY.FORMAT_1,1),"# ##0;-# ##0"),",-"),FIXED(ROUND((C1860*(1-I1860)*(1-ADD.DISCOUNT)*(1+MAT.SURCHARGE)/EXC.RATE_1),CURRENCY.FORMAT_1),CURRENCY.FORMAT_1,0)),'DICTIONARY-5'!$A$2)</f>
        <v>279,-</v>
      </c>
      <c r="M1860" s="670" t="str">
        <f>IF(EXC.RATE_2=0,"",IFERROR(IF(CURRENCY.FORMAT_2=0,CONCATENATE(TEXT(FIXED(ROUND(IF(EXC.RATE.SWITCH=1,C1860*(1-I1860)*(1-ADD.DISCOUNT)*(1+MAT.SURCHARGE)/EXC.RATE_2,C1860*(1-I1860)*(1-ADD.DISCOUNT)*(1+MAT.SURCHARGE)*EXC.RATE_2),CURRENCY.FORMAT_2),CURRENCY.FORMAT_2,1),"# ##0;-# ##0"),",-"),FIXED(ROUND(IF(EXC.RATE.SWITCH=1,C1860*(1-I1860)*(1-ADD.DISCOUNT)*(1+MAT.SURCHARGE)/EXC.RATE_2,C1860*(1-I1860)*(1-ADD.DISCOUNT)*(1+MAT.SURCHARGE)*EXC.RATE_2),CURRENCY.FORMAT_2),CURRENCY.FORMAT_2,0)),'DICTIONARY-5'!$A$2))</f>
        <v/>
      </c>
      <c r="N1860" s="541">
        <v>6</v>
      </c>
      <c r="O1860" s="541"/>
      <c r="P1860" s="731" t="str">
        <f>'DICTIONARY-3'!$A$148</f>
        <v>CEREX 300-L</v>
      </c>
      <c r="Q1860" s="731" t="str">
        <f>'DICTIONARY-3'!$A$204</f>
        <v>Przepustnica kołnierzowa</v>
      </c>
      <c r="R1860" s="732" t="str">
        <f>CONCATENATE('DICTIONARY-3'!$A$148," ",'DICTIONARY-6'!$A$2," ",'DICTIONARY-2'!$A$2,"125"," ",'DICTIONARY-2'!$A$3,"10/16"," ","R20"," ",'DICTIONARY-5'!$A$51,"/",'DICTIONARY-5'!$A$44,", ",'DICTIONARY-4'!$A$3," ",'DICTIONARY-5'!$A$40)</f>
        <v>CEREX 300-L Przep. kołnierz. DN125 PN10/16 R20 GGG/EPDM, DR stal</v>
      </c>
      <c r="S1860" s="733" t="str">
        <f>'DICTIONARY-4'!$A$3</f>
        <v>DR</v>
      </c>
      <c r="T1860" s="732" t="str">
        <f>'DICTIONARY-4'!$A$19</f>
        <v>Dźwignia ręczna</v>
      </c>
      <c r="U1860" s="734" t="s">
        <v>5761</v>
      </c>
      <c r="V1860" s="735">
        <v>16</v>
      </c>
      <c r="W1860" s="736"/>
      <c r="X1860" s="737"/>
      <c r="Y1860" s="738"/>
      <c r="Z1860" s="739"/>
      <c r="AA1860" s="739"/>
      <c r="AB1860" s="740">
        <v>16</v>
      </c>
      <c r="AC1860" s="741" t="str">
        <f>'DICTIONARY-5'!$A$11&amp;" 20"</f>
        <v>EN 558 szereg 20</v>
      </c>
      <c r="AD1860" s="741" t="str">
        <f>'DICTIONARY-5'!$A$13</f>
        <v>woda pitna</v>
      </c>
      <c r="AE1860" s="742">
        <v>80</v>
      </c>
      <c r="AF1860" s="743">
        <v>7</v>
      </c>
      <c r="AG1860" s="741" t="str">
        <f>'DICTIONARY-5'!$A$23</f>
        <v>powłoka epoksydowa</v>
      </c>
    </row>
    <row r="1861" spans="1:33" x14ac:dyDescent="0.25">
      <c r="A1861" s="866" t="s">
        <v>1551</v>
      </c>
      <c r="B1861" s="866" t="s">
        <v>3907</v>
      </c>
      <c r="C1861" s="836">
        <v>362</v>
      </c>
      <c r="D1861" s="836"/>
      <c r="E1861" s="836"/>
      <c r="F1861" s="836"/>
      <c r="G1861" s="496" t="s">
        <v>7832</v>
      </c>
      <c r="H1861" s="797" t="str">
        <f>VLOOKUP(G1861,SETTINGS!$B$7:$D$97,2,0)</f>
        <v>CEREX 300</v>
      </c>
      <c r="I1861" s="796">
        <f>VLOOKUP(G1861,SETTINGS!$B$7:$D$97,3,0)</f>
        <v>0</v>
      </c>
      <c r="J1861" s="670" t="str">
        <f>IFERROR(IF(CURRENCY.FORMAT_1=0,CONCATENATE(TEXT(FIXED(ROUND((C1861/EXC.RATE_1),CURRENCY.FORMAT_1),CURRENCY.FORMAT_1,1),"# ##0;-# ##0"),",-"),FIXED(ROUND((C1861/EXC.RATE_1),CURRENCY.FORMAT_1),CURRENCY.FORMAT_1,0)),'DICTIONARY-5'!$A$2)</f>
        <v>362,-</v>
      </c>
      <c r="K1861" s="670" t="str">
        <f>IF(EXC.RATE_2=0,"",IFERROR(IF(CURRENCY.FORMAT_2=0,CONCATENATE(TEXT(FIXED(ROUND(IF(EXC.RATE.SWITCH=1,C1861/EXC.RATE_2,C1861*EXC.RATE_2),CURRENCY.FORMAT_2),CURRENCY.FORMAT_2,1),"# ##0;-# ##0"),",-"),FIXED(ROUND(IF(EXC.RATE.SWITCH=1,C1861/EXC.RATE_2,C1861*EXC.RATE_2),CURRENCY.FORMAT_2),CURRENCY.FORMAT_2,0)),'DICTIONARY-5'!$A$2))</f>
        <v/>
      </c>
      <c r="L1861" s="670" t="str">
        <f>IFERROR(IF(CURRENCY.FORMAT_1=0,CONCATENATE(TEXT(FIXED(ROUND((C1861*(1-I1861)*(1-ADD.DISCOUNT)*(1+MAT.SURCHARGE)/EXC.RATE_1),CURRENCY.FORMAT_1),CURRENCY.FORMAT_1,1),"# ##0;-# ##0"),",-"),FIXED(ROUND((C1861*(1-I1861)*(1-ADD.DISCOUNT)*(1+MAT.SURCHARGE)/EXC.RATE_1),CURRENCY.FORMAT_1),CURRENCY.FORMAT_1,0)),'DICTIONARY-5'!$A$2)</f>
        <v>376,-</v>
      </c>
      <c r="M1861" s="670" t="str">
        <f>IF(EXC.RATE_2=0,"",IFERROR(IF(CURRENCY.FORMAT_2=0,CONCATENATE(TEXT(FIXED(ROUND(IF(EXC.RATE.SWITCH=1,C1861*(1-I1861)*(1-ADD.DISCOUNT)*(1+MAT.SURCHARGE)/EXC.RATE_2,C1861*(1-I1861)*(1-ADD.DISCOUNT)*(1+MAT.SURCHARGE)*EXC.RATE_2),CURRENCY.FORMAT_2),CURRENCY.FORMAT_2,1),"# ##0;-# ##0"),",-"),FIXED(ROUND(IF(EXC.RATE.SWITCH=1,C1861*(1-I1861)*(1-ADD.DISCOUNT)*(1+MAT.SURCHARGE)/EXC.RATE_2,C1861*(1-I1861)*(1-ADD.DISCOUNT)*(1+MAT.SURCHARGE)*EXC.RATE_2),CURRENCY.FORMAT_2),CURRENCY.FORMAT_2,0)),'DICTIONARY-5'!$A$2))</f>
        <v/>
      </c>
      <c r="N1861" s="541">
        <v>6</v>
      </c>
      <c r="O1861" s="541"/>
      <c r="P1861" s="731" t="str">
        <f>'DICTIONARY-3'!$A$148</f>
        <v>CEREX 300-L</v>
      </c>
      <c r="Q1861" s="731" t="str">
        <f>'DICTIONARY-3'!$A$204</f>
        <v>Przepustnica kołnierzowa</v>
      </c>
      <c r="R1861" s="732" t="str">
        <f>CONCATENATE('DICTIONARY-3'!$A$148," ",'DICTIONARY-6'!$A$2," ",'DICTIONARY-2'!$A$2,"150"," ",'DICTIONARY-2'!$A$3,"10/16"," ","R20"," ",'DICTIONARY-5'!$A$51,"/",'DICTIONARY-5'!$A$44,", ",'DICTIONARY-4'!$A$3," ",'DICTIONARY-5'!$A$40)</f>
        <v>CEREX 300-L Przep. kołnierz. DN150 PN10/16 R20 GGG/EPDM, DR stal</v>
      </c>
      <c r="S1861" s="733" t="str">
        <f>'DICTIONARY-4'!$A$3</f>
        <v>DR</v>
      </c>
      <c r="T1861" s="732" t="str">
        <f>'DICTIONARY-4'!$A$19</f>
        <v>Dźwignia ręczna</v>
      </c>
      <c r="U1861" s="734" t="s">
        <v>5572</v>
      </c>
      <c r="V1861" s="735">
        <v>16</v>
      </c>
      <c r="W1861" s="736"/>
      <c r="X1861" s="737"/>
      <c r="Y1861" s="738"/>
      <c r="Z1861" s="739"/>
      <c r="AA1861" s="739"/>
      <c r="AB1861" s="740">
        <v>16</v>
      </c>
      <c r="AC1861" s="741" t="str">
        <f>'DICTIONARY-5'!$A$11&amp;" 20"</f>
        <v>EN 558 szereg 20</v>
      </c>
      <c r="AD1861" s="741" t="str">
        <f>'DICTIONARY-5'!$A$13</f>
        <v>woda pitna</v>
      </c>
      <c r="AE1861" s="742">
        <v>80</v>
      </c>
      <c r="AF1861" s="743">
        <v>13</v>
      </c>
      <c r="AG1861" s="741" t="str">
        <f>'DICTIONARY-5'!$A$23</f>
        <v>powłoka epoksydowa</v>
      </c>
    </row>
    <row r="1862" spans="1:33" x14ac:dyDescent="0.25">
      <c r="A1862" s="866" t="s">
        <v>1553</v>
      </c>
      <c r="B1862" s="866" t="s">
        <v>3957</v>
      </c>
      <c r="C1862" s="836">
        <v>466</v>
      </c>
      <c r="D1862" s="836"/>
      <c r="E1862" s="836"/>
      <c r="F1862" s="836"/>
      <c r="G1862" s="496" t="s">
        <v>7832</v>
      </c>
      <c r="H1862" s="797" t="str">
        <f>VLOOKUP(G1862,SETTINGS!$B$7:$D$97,2,0)</f>
        <v>CEREX 300</v>
      </c>
      <c r="I1862" s="796">
        <f>VLOOKUP(G1862,SETTINGS!$B$7:$D$97,3,0)</f>
        <v>0</v>
      </c>
      <c r="J1862" s="670" t="str">
        <f>IFERROR(IF(CURRENCY.FORMAT_1=0,CONCATENATE(TEXT(FIXED(ROUND((C1862/EXC.RATE_1),CURRENCY.FORMAT_1),CURRENCY.FORMAT_1,1),"# ##0;-# ##0"),",-"),FIXED(ROUND((C1862/EXC.RATE_1),CURRENCY.FORMAT_1),CURRENCY.FORMAT_1,0)),'DICTIONARY-5'!$A$2)</f>
        <v>466,-</v>
      </c>
      <c r="K1862" s="670" t="str">
        <f>IF(EXC.RATE_2=0,"",IFERROR(IF(CURRENCY.FORMAT_2=0,CONCATENATE(TEXT(FIXED(ROUND(IF(EXC.RATE.SWITCH=1,C1862/EXC.RATE_2,C1862*EXC.RATE_2),CURRENCY.FORMAT_2),CURRENCY.FORMAT_2,1),"# ##0;-# ##0"),",-"),FIXED(ROUND(IF(EXC.RATE.SWITCH=1,C1862/EXC.RATE_2,C1862*EXC.RATE_2),CURRENCY.FORMAT_2),CURRENCY.FORMAT_2,0)),'DICTIONARY-5'!$A$2))</f>
        <v/>
      </c>
      <c r="L1862" s="670" t="str">
        <f>IFERROR(IF(CURRENCY.FORMAT_1=0,CONCATENATE(TEXT(FIXED(ROUND((C1862*(1-I1862)*(1-ADD.DISCOUNT)*(1+MAT.SURCHARGE)/EXC.RATE_1),CURRENCY.FORMAT_1),CURRENCY.FORMAT_1,1),"# ##0;-# ##0"),",-"),FIXED(ROUND((C1862*(1-I1862)*(1-ADD.DISCOUNT)*(1+MAT.SURCHARGE)/EXC.RATE_1),CURRENCY.FORMAT_1),CURRENCY.FORMAT_1,0)),'DICTIONARY-5'!$A$2)</f>
        <v>484,-</v>
      </c>
      <c r="M1862" s="670" t="str">
        <f>IF(EXC.RATE_2=0,"",IFERROR(IF(CURRENCY.FORMAT_2=0,CONCATENATE(TEXT(FIXED(ROUND(IF(EXC.RATE.SWITCH=1,C1862*(1-I1862)*(1-ADD.DISCOUNT)*(1+MAT.SURCHARGE)/EXC.RATE_2,C1862*(1-I1862)*(1-ADD.DISCOUNT)*(1+MAT.SURCHARGE)*EXC.RATE_2),CURRENCY.FORMAT_2),CURRENCY.FORMAT_2,1),"# ##0;-# ##0"),",-"),FIXED(ROUND(IF(EXC.RATE.SWITCH=1,C1862*(1-I1862)*(1-ADD.DISCOUNT)*(1+MAT.SURCHARGE)/EXC.RATE_2,C1862*(1-I1862)*(1-ADD.DISCOUNT)*(1+MAT.SURCHARGE)*EXC.RATE_2),CURRENCY.FORMAT_2),CURRENCY.FORMAT_2,0)),'DICTIONARY-5'!$A$2))</f>
        <v/>
      </c>
      <c r="N1862" s="541">
        <v>6</v>
      </c>
      <c r="O1862" s="541"/>
      <c r="P1862" s="731" t="str">
        <f>'DICTIONARY-3'!$A$148</f>
        <v>CEREX 300-L</v>
      </c>
      <c r="Q1862" s="731" t="str">
        <f>'DICTIONARY-3'!$A$204</f>
        <v>Przepustnica kołnierzowa</v>
      </c>
      <c r="R1862" s="732" t="str">
        <f>CONCATENATE('DICTIONARY-3'!$A$148," ",'DICTIONARY-6'!$A$2," ",'DICTIONARY-2'!$A$2,"200"," ",'DICTIONARY-2'!$A$3,"10"," ","R20"," ",'DICTIONARY-5'!$A$51,"/",'DICTIONARY-5'!$A$44,", ",'DICTIONARY-4'!$A$3," ",'DICTIONARY-5'!$A$40)</f>
        <v>CEREX 300-L Przep. kołnierz. DN200 PN10 R20 GGG/EPDM, DR stal</v>
      </c>
      <c r="S1862" s="733" t="str">
        <f>'DICTIONARY-4'!$A$3</f>
        <v>DR</v>
      </c>
      <c r="T1862" s="732" t="str">
        <f>'DICTIONARY-4'!$A$19</f>
        <v>Dźwignia ręczna</v>
      </c>
      <c r="U1862" s="734" t="s">
        <v>5750</v>
      </c>
      <c r="V1862" s="735">
        <v>10</v>
      </c>
      <c r="W1862" s="736"/>
      <c r="X1862" s="737"/>
      <c r="Y1862" s="738"/>
      <c r="Z1862" s="739"/>
      <c r="AA1862" s="739"/>
      <c r="AB1862" s="740">
        <v>10</v>
      </c>
      <c r="AC1862" s="741" t="str">
        <f>'DICTIONARY-5'!$A$11&amp;" 20"</f>
        <v>EN 558 szereg 20</v>
      </c>
      <c r="AD1862" s="741" t="str">
        <f>'DICTIONARY-5'!$A$13</f>
        <v>woda pitna</v>
      </c>
      <c r="AE1862" s="742">
        <v>80</v>
      </c>
      <c r="AF1862" s="743">
        <v>18</v>
      </c>
      <c r="AG1862" s="741" t="str">
        <f>'DICTIONARY-5'!$A$23</f>
        <v>powłoka epoksydowa</v>
      </c>
    </row>
    <row r="1863" spans="1:33" x14ac:dyDescent="0.25">
      <c r="A1863" s="866" t="s">
        <v>1555</v>
      </c>
      <c r="B1863" s="866" t="s">
        <v>3913</v>
      </c>
      <c r="C1863" s="836">
        <v>511</v>
      </c>
      <c r="D1863" s="836"/>
      <c r="E1863" s="836"/>
      <c r="F1863" s="836"/>
      <c r="G1863" s="496" t="s">
        <v>7832</v>
      </c>
      <c r="H1863" s="797" t="str">
        <f>VLOOKUP(G1863,SETTINGS!$B$7:$D$97,2,0)</f>
        <v>CEREX 300</v>
      </c>
      <c r="I1863" s="796">
        <f>VLOOKUP(G1863,SETTINGS!$B$7:$D$97,3,0)</f>
        <v>0</v>
      </c>
      <c r="J1863" s="670" t="str">
        <f>IFERROR(IF(CURRENCY.FORMAT_1=0,CONCATENATE(TEXT(FIXED(ROUND((C1863/EXC.RATE_1),CURRENCY.FORMAT_1),CURRENCY.FORMAT_1,1),"# ##0;-# ##0"),",-"),FIXED(ROUND((C1863/EXC.RATE_1),CURRENCY.FORMAT_1),CURRENCY.FORMAT_1,0)),'DICTIONARY-5'!$A$2)</f>
        <v>511,-</v>
      </c>
      <c r="K1863" s="670" t="str">
        <f>IF(EXC.RATE_2=0,"",IFERROR(IF(CURRENCY.FORMAT_2=0,CONCATENATE(TEXT(FIXED(ROUND(IF(EXC.RATE.SWITCH=1,C1863/EXC.RATE_2,C1863*EXC.RATE_2),CURRENCY.FORMAT_2),CURRENCY.FORMAT_2,1),"# ##0;-# ##0"),",-"),FIXED(ROUND(IF(EXC.RATE.SWITCH=1,C1863/EXC.RATE_2,C1863*EXC.RATE_2),CURRENCY.FORMAT_2),CURRENCY.FORMAT_2,0)),'DICTIONARY-5'!$A$2))</f>
        <v/>
      </c>
      <c r="L1863" s="670" t="str">
        <f>IFERROR(IF(CURRENCY.FORMAT_1=0,CONCATENATE(TEXT(FIXED(ROUND((C1863*(1-I1863)*(1-ADD.DISCOUNT)*(1+MAT.SURCHARGE)/EXC.RATE_1),CURRENCY.FORMAT_1),CURRENCY.FORMAT_1,1),"# ##0;-# ##0"),",-"),FIXED(ROUND((C1863*(1-I1863)*(1-ADD.DISCOUNT)*(1+MAT.SURCHARGE)/EXC.RATE_1),CURRENCY.FORMAT_1),CURRENCY.FORMAT_1,0)),'DICTIONARY-5'!$A$2)</f>
        <v>531,-</v>
      </c>
      <c r="M1863" s="670" t="str">
        <f>IF(EXC.RATE_2=0,"",IFERROR(IF(CURRENCY.FORMAT_2=0,CONCATENATE(TEXT(FIXED(ROUND(IF(EXC.RATE.SWITCH=1,C1863*(1-I1863)*(1-ADD.DISCOUNT)*(1+MAT.SURCHARGE)/EXC.RATE_2,C1863*(1-I1863)*(1-ADD.DISCOUNT)*(1+MAT.SURCHARGE)*EXC.RATE_2),CURRENCY.FORMAT_2),CURRENCY.FORMAT_2,1),"# ##0;-# ##0"),",-"),FIXED(ROUND(IF(EXC.RATE.SWITCH=1,C1863*(1-I1863)*(1-ADD.DISCOUNT)*(1+MAT.SURCHARGE)/EXC.RATE_2,C1863*(1-I1863)*(1-ADD.DISCOUNT)*(1+MAT.SURCHARGE)*EXC.RATE_2),CURRENCY.FORMAT_2),CURRENCY.FORMAT_2,0)),'DICTIONARY-5'!$A$2))</f>
        <v/>
      </c>
      <c r="N1863" s="541">
        <v>6</v>
      </c>
      <c r="O1863" s="541"/>
      <c r="P1863" s="731" t="str">
        <f>'DICTIONARY-3'!$A$148</f>
        <v>CEREX 300-L</v>
      </c>
      <c r="Q1863" s="731" t="str">
        <f>'DICTIONARY-3'!$A$204</f>
        <v>Przepustnica kołnierzowa</v>
      </c>
      <c r="R1863" s="732" t="str">
        <f>CONCATENATE('DICTIONARY-3'!$A$148," ",'DICTIONARY-6'!$A$2," ",'DICTIONARY-2'!$A$2,"200"," ",'DICTIONARY-2'!$A$3,"16"," ","R20"," ",'DICTIONARY-5'!$A$51,"/",'DICTIONARY-5'!$A$44,", ",'DICTIONARY-4'!$A$3," ",'DICTIONARY-5'!$A$40)</f>
        <v>CEREX 300-L Przep. kołnierz. DN200 PN16 R20 GGG/EPDM, DR stal</v>
      </c>
      <c r="S1863" s="733" t="str">
        <f>'DICTIONARY-4'!$A$3</f>
        <v>DR</v>
      </c>
      <c r="T1863" s="732" t="str">
        <f>'DICTIONARY-4'!$A$19</f>
        <v>Dźwignia ręczna</v>
      </c>
      <c r="U1863" s="734" t="s">
        <v>5750</v>
      </c>
      <c r="V1863" s="735">
        <v>16</v>
      </c>
      <c r="W1863" s="736"/>
      <c r="X1863" s="737"/>
      <c r="Y1863" s="738"/>
      <c r="Z1863" s="739"/>
      <c r="AA1863" s="739"/>
      <c r="AB1863" s="740">
        <v>16</v>
      </c>
      <c r="AC1863" s="741" t="str">
        <f>'DICTIONARY-5'!$A$11&amp;" 20"</f>
        <v>EN 558 szereg 20</v>
      </c>
      <c r="AD1863" s="741" t="str">
        <f>'DICTIONARY-5'!$A$13</f>
        <v>woda pitna</v>
      </c>
      <c r="AE1863" s="742">
        <v>80</v>
      </c>
      <c r="AF1863" s="743">
        <v>19.5</v>
      </c>
      <c r="AG1863" s="741" t="str">
        <f>'DICTIONARY-5'!$A$23</f>
        <v>powłoka epoksydowa</v>
      </c>
    </row>
    <row r="1864" spans="1:33" x14ac:dyDescent="0.25">
      <c r="A1864" s="866" t="s">
        <v>1542</v>
      </c>
      <c r="B1864" s="866" t="s">
        <v>3821</v>
      </c>
      <c r="C1864" s="836">
        <v>174</v>
      </c>
      <c r="D1864" s="836"/>
      <c r="E1864" s="836"/>
      <c r="F1864" s="836"/>
      <c r="G1864" s="496" t="s">
        <v>7832</v>
      </c>
      <c r="H1864" s="797" t="str">
        <f>VLOOKUP(G1864,SETTINGS!$B$7:$D$97,2,0)</f>
        <v>CEREX 300</v>
      </c>
      <c r="I1864" s="796">
        <f>VLOOKUP(G1864,SETTINGS!$B$7:$D$97,3,0)</f>
        <v>0</v>
      </c>
      <c r="J1864" s="670" t="str">
        <f>IFERROR(IF(CURRENCY.FORMAT_1=0,CONCATENATE(TEXT(FIXED(ROUND((C1864/EXC.RATE_1),CURRENCY.FORMAT_1),CURRENCY.FORMAT_1,1),"# ##0;-# ##0"),",-"),FIXED(ROUND((C1864/EXC.RATE_1),CURRENCY.FORMAT_1),CURRENCY.FORMAT_1,0)),'DICTIONARY-5'!$A$2)</f>
        <v>174,-</v>
      </c>
      <c r="K1864" s="670" t="str">
        <f>IF(EXC.RATE_2=0,"",IFERROR(IF(CURRENCY.FORMAT_2=0,CONCATENATE(TEXT(FIXED(ROUND(IF(EXC.RATE.SWITCH=1,C1864/EXC.RATE_2,C1864*EXC.RATE_2),CURRENCY.FORMAT_2),CURRENCY.FORMAT_2,1),"# ##0;-# ##0"),",-"),FIXED(ROUND(IF(EXC.RATE.SWITCH=1,C1864/EXC.RATE_2,C1864*EXC.RATE_2),CURRENCY.FORMAT_2),CURRENCY.FORMAT_2,0)),'DICTIONARY-5'!$A$2))</f>
        <v/>
      </c>
      <c r="L1864" s="670" t="str">
        <f>IFERROR(IF(CURRENCY.FORMAT_1=0,CONCATENATE(TEXT(FIXED(ROUND((C1864*(1-I1864)*(1-ADD.DISCOUNT)*(1+MAT.SURCHARGE)/EXC.RATE_1),CURRENCY.FORMAT_1),CURRENCY.FORMAT_1,1),"# ##0;-# ##0"),",-"),FIXED(ROUND((C1864*(1-I1864)*(1-ADD.DISCOUNT)*(1+MAT.SURCHARGE)/EXC.RATE_1),CURRENCY.FORMAT_1),CURRENCY.FORMAT_1,0)),'DICTIONARY-5'!$A$2)</f>
        <v>181,-</v>
      </c>
      <c r="M1864" s="670" t="str">
        <f>IF(EXC.RATE_2=0,"",IFERROR(IF(CURRENCY.FORMAT_2=0,CONCATENATE(TEXT(FIXED(ROUND(IF(EXC.RATE.SWITCH=1,C1864*(1-I1864)*(1-ADD.DISCOUNT)*(1+MAT.SURCHARGE)/EXC.RATE_2,C1864*(1-I1864)*(1-ADD.DISCOUNT)*(1+MAT.SURCHARGE)*EXC.RATE_2),CURRENCY.FORMAT_2),CURRENCY.FORMAT_2,1),"# ##0;-# ##0"),",-"),FIXED(ROUND(IF(EXC.RATE.SWITCH=1,C1864*(1-I1864)*(1-ADD.DISCOUNT)*(1+MAT.SURCHARGE)/EXC.RATE_2,C1864*(1-I1864)*(1-ADD.DISCOUNT)*(1+MAT.SURCHARGE)*EXC.RATE_2),CURRENCY.FORMAT_2),CURRENCY.FORMAT_2,0)),'DICTIONARY-5'!$A$2))</f>
        <v/>
      </c>
      <c r="N1864" s="541">
        <v>6</v>
      </c>
      <c r="O1864" s="541"/>
      <c r="P1864" s="731" t="str">
        <f>'DICTIONARY-3'!$A$148</f>
        <v>CEREX 300-L</v>
      </c>
      <c r="Q1864" s="731" t="str">
        <f>'DICTIONARY-3'!$A$204</f>
        <v>Przepustnica kołnierzowa</v>
      </c>
      <c r="R1864" s="732" t="str">
        <f>CONCATENATE('DICTIONARY-3'!$A$148," ",'DICTIONARY-6'!$A$2," ",'DICTIONARY-2'!$A$2,"50"," ",'DICTIONARY-2'!$A$3,"10/16"," ","R20"," ",'DICTIONARY-5'!$A$37,"/",'DICTIONARY-5'!$A$44,", ",'DICTIONARY-4'!$A$3," ",'DICTIONARY-5'!$A$40)</f>
        <v>CEREX 300-L Przep. kołnierz. DN50 PN10/16 R20 CF8M/EPDM, DR stal</v>
      </c>
      <c r="S1864" s="733" t="str">
        <f>'DICTIONARY-4'!$A$3</f>
        <v>DR</v>
      </c>
      <c r="T1864" s="732" t="str">
        <f>'DICTIONARY-4'!$A$19</f>
        <v>Dźwignia ręczna</v>
      </c>
      <c r="U1864" s="734" t="s">
        <v>5748</v>
      </c>
      <c r="V1864" s="735">
        <v>16</v>
      </c>
      <c r="W1864" s="736"/>
      <c r="X1864" s="737"/>
      <c r="Y1864" s="738"/>
      <c r="Z1864" s="739"/>
      <c r="AA1864" s="739"/>
      <c r="AB1864" s="740">
        <v>16</v>
      </c>
      <c r="AC1864" s="741" t="str">
        <f>'DICTIONARY-5'!$A$11&amp;" 20"</f>
        <v>EN 558 szereg 20</v>
      </c>
      <c r="AD1864" s="741" t="str">
        <f>'DICTIONARY-5'!$A$13</f>
        <v>woda pitna</v>
      </c>
      <c r="AE1864" s="742">
        <v>110</v>
      </c>
      <c r="AF1864" s="743">
        <v>3.5</v>
      </c>
      <c r="AG1864" s="741" t="str">
        <f>'DICTIONARY-5'!$A$23</f>
        <v>powłoka epoksydowa</v>
      </c>
    </row>
    <row r="1865" spans="1:33" x14ac:dyDescent="0.25">
      <c r="A1865" s="866" t="s">
        <v>1544</v>
      </c>
      <c r="B1865" s="866" t="s">
        <v>3827</v>
      </c>
      <c r="C1865" s="836">
        <v>180</v>
      </c>
      <c r="D1865" s="836"/>
      <c r="E1865" s="836"/>
      <c r="F1865" s="836"/>
      <c r="G1865" s="496" t="s">
        <v>7832</v>
      </c>
      <c r="H1865" s="797" t="str">
        <f>VLOOKUP(G1865,SETTINGS!$B$7:$D$97,2,0)</f>
        <v>CEREX 300</v>
      </c>
      <c r="I1865" s="796">
        <f>VLOOKUP(G1865,SETTINGS!$B$7:$D$97,3,0)</f>
        <v>0</v>
      </c>
      <c r="J1865" s="670" t="str">
        <f>IFERROR(IF(CURRENCY.FORMAT_1=0,CONCATENATE(TEXT(FIXED(ROUND((C1865/EXC.RATE_1),CURRENCY.FORMAT_1),CURRENCY.FORMAT_1,1),"# ##0;-# ##0"),",-"),FIXED(ROUND((C1865/EXC.RATE_1),CURRENCY.FORMAT_1),CURRENCY.FORMAT_1,0)),'DICTIONARY-5'!$A$2)</f>
        <v>180,-</v>
      </c>
      <c r="K1865" s="670" t="str">
        <f>IF(EXC.RATE_2=0,"",IFERROR(IF(CURRENCY.FORMAT_2=0,CONCATENATE(TEXT(FIXED(ROUND(IF(EXC.RATE.SWITCH=1,C1865/EXC.RATE_2,C1865*EXC.RATE_2),CURRENCY.FORMAT_2),CURRENCY.FORMAT_2,1),"# ##0;-# ##0"),",-"),FIXED(ROUND(IF(EXC.RATE.SWITCH=1,C1865/EXC.RATE_2,C1865*EXC.RATE_2),CURRENCY.FORMAT_2),CURRENCY.FORMAT_2,0)),'DICTIONARY-5'!$A$2))</f>
        <v/>
      </c>
      <c r="L1865" s="670" t="str">
        <f>IFERROR(IF(CURRENCY.FORMAT_1=0,CONCATENATE(TEXT(FIXED(ROUND((C1865*(1-I1865)*(1-ADD.DISCOUNT)*(1+MAT.SURCHARGE)/EXC.RATE_1),CURRENCY.FORMAT_1),CURRENCY.FORMAT_1,1),"# ##0;-# ##0"),",-"),FIXED(ROUND((C1865*(1-I1865)*(1-ADD.DISCOUNT)*(1+MAT.SURCHARGE)/EXC.RATE_1),CURRENCY.FORMAT_1),CURRENCY.FORMAT_1,0)),'DICTIONARY-5'!$A$2)</f>
        <v>187,-</v>
      </c>
      <c r="M1865" s="670" t="str">
        <f>IF(EXC.RATE_2=0,"",IFERROR(IF(CURRENCY.FORMAT_2=0,CONCATENATE(TEXT(FIXED(ROUND(IF(EXC.RATE.SWITCH=1,C1865*(1-I1865)*(1-ADD.DISCOUNT)*(1+MAT.SURCHARGE)/EXC.RATE_2,C1865*(1-I1865)*(1-ADD.DISCOUNT)*(1+MAT.SURCHARGE)*EXC.RATE_2),CURRENCY.FORMAT_2),CURRENCY.FORMAT_2,1),"# ##0;-# ##0"),",-"),FIXED(ROUND(IF(EXC.RATE.SWITCH=1,C1865*(1-I1865)*(1-ADD.DISCOUNT)*(1+MAT.SURCHARGE)/EXC.RATE_2,C1865*(1-I1865)*(1-ADD.DISCOUNT)*(1+MAT.SURCHARGE)*EXC.RATE_2),CURRENCY.FORMAT_2),CURRENCY.FORMAT_2,0)),'DICTIONARY-5'!$A$2))</f>
        <v/>
      </c>
      <c r="N1865" s="541">
        <v>6</v>
      </c>
      <c r="O1865" s="541"/>
      <c r="P1865" s="731" t="str">
        <f>'DICTIONARY-3'!$A$148</f>
        <v>CEREX 300-L</v>
      </c>
      <c r="Q1865" s="731" t="str">
        <f>'DICTIONARY-3'!$A$204</f>
        <v>Przepustnica kołnierzowa</v>
      </c>
      <c r="R1865" s="732" t="str">
        <f>CONCATENATE('DICTIONARY-3'!$A$148," ",'DICTIONARY-6'!$A$2," ",'DICTIONARY-2'!$A$2,"65"," ",'DICTIONARY-2'!$A$3,"10/16"," ","R20"," ",'DICTIONARY-5'!$A$37,"/",'DICTIONARY-5'!$A$44,", ",'DICTIONARY-4'!$A$3," ",'DICTIONARY-5'!$A$40)</f>
        <v>CEREX 300-L Przep. kołnierz. DN65 PN10/16 R20 CF8M/EPDM, DR stal</v>
      </c>
      <c r="S1865" s="733" t="str">
        <f>'DICTIONARY-4'!$A$3</f>
        <v>DR</v>
      </c>
      <c r="T1865" s="732" t="str">
        <f>'DICTIONARY-4'!$A$19</f>
        <v>Dźwignia ręczna</v>
      </c>
      <c r="U1865" s="734" t="s">
        <v>5759</v>
      </c>
      <c r="V1865" s="735">
        <v>16</v>
      </c>
      <c r="W1865" s="736"/>
      <c r="X1865" s="737"/>
      <c r="Y1865" s="738"/>
      <c r="Z1865" s="739"/>
      <c r="AA1865" s="739"/>
      <c r="AB1865" s="740">
        <v>16</v>
      </c>
      <c r="AC1865" s="741" t="str">
        <f>'DICTIONARY-5'!$A$11&amp;" 20"</f>
        <v>EN 558 szereg 20</v>
      </c>
      <c r="AD1865" s="741" t="str">
        <f>'DICTIONARY-5'!$A$13</f>
        <v>woda pitna</v>
      </c>
      <c r="AE1865" s="742">
        <v>110</v>
      </c>
      <c r="AF1865" s="743">
        <v>4.5</v>
      </c>
      <c r="AG1865" s="741" t="str">
        <f>'DICTIONARY-5'!$A$23</f>
        <v>powłoka epoksydowa</v>
      </c>
    </row>
    <row r="1866" spans="1:33" x14ac:dyDescent="0.25">
      <c r="A1866" s="866" t="s">
        <v>1546</v>
      </c>
      <c r="B1866" s="866" t="s">
        <v>3833</v>
      </c>
      <c r="C1866" s="836">
        <v>213</v>
      </c>
      <c r="D1866" s="836"/>
      <c r="E1866" s="836"/>
      <c r="F1866" s="836"/>
      <c r="G1866" s="496" t="s">
        <v>7832</v>
      </c>
      <c r="H1866" s="797" t="str">
        <f>VLOOKUP(G1866,SETTINGS!$B$7:$D$97,2,0)</f>
        <v>CEREX 300</v>
      </c>
      <c r="I1866" s="796">
        <f>VLOOKUP(G1866,SETTINGS!$B$7:$D$97,3,0)</f>
        <v>0</v>
      </c>
      <c r="J1866" s="670" t="str">
        <f>IFERROR(IF(CURRENCY.FORMAT_1=0,CONCATENATE(TEXT(FIXED(ROUND((C1866/EXC.RATE_1),CURRENCY.FORMAT_1),CURRENCY.FORMAT_1,1),"# ##0;-# ##0"),",-"),FIXED(ROUND((C1866/EXC.RATE_1),CURRENCY.FORMAT_1),CURRENCY.FORMAT_1,0)),'DICTIONARY-5'!$A$2)</f>
        <v>213,-</v>
      </c>
      <c r="K1866" s="670" t="str">
        <f>IF(EXC.RATE_2=0,"",IFERROR(IF(CURRENCY.FORMAT_2=0,CONCATENATE(TEXT(FIXED(ROUND(IF(EXC.RATE.SWITCH=1,C1866/EXC.RATE_2,C1866*EXC.RATE_2),CURRENCY.FORMAT_2),CURRENCY.FORMAT_2,1),"# ##0;-# ##0"),",-"),FIXED(ROUND(IF(EXC.RATE.SWITCH=1,C1866/EXC.RATE_2,C1866*EXC.RATE_2),CURRENCY.FORMAT_2),CURRENCY.FORMAT_2,0)),'DICTIONARY-5'!$A$2))</f>
        <v/>
      </c>
      <c r="L1866" s="670" t="str">
        <f>IFERROR(IF(CURRENCY.FORMAT_1=0,CONCATENATE(TEXT(FIXED(ROUND((C1866*(1-I1866)*(1-ADD.DISCOUNT)*(1+MAT.SURCHARGE)/EXC.RATE_1),CURRENCY.FORMAT_1),CURRENCY.FORMAT_1,1),"# ##0;-# ##0"),",-"),FIXED(ROUND((C1866*(1-I1866)*(1-ADD.DISCOUNT)*(1+MAT.SURCHARGE)/EXC.RATE_1),CURRENCY.FORMAT_1),CURRENCY.FORMAT_1,0)),'DICTIONARY-5'!$A$2)</f>
        <v>221,-</v>
      </c>
      <c r="M1866" s="670" t="str">
        <f>IF(EXC.RATE_2=0,"",IFERROR(IF(CURRENCY.FORMAT_2=0,CONCATENATE(TEXT(FIXED(ROUND(IF(EXC.RATE.SWITCH=1,C1866*(1-I1866)*(1-ADD.DISCOUNT)*(1+MAT.SURCHARGE)/EXC.RATE_2,C1866*(1-I1866)*(1-ADD.DISCOUNT)*(1+MAT.SURCHARGE)*EXC.RATE_2),CURRENCY.FORMAT_2),CURRENCY.FORMAT_2,1),"# ##0;-# ##0"),",-"),FIXED(ROUND(IF(EXC.RATE.SWITCH=1,C1866*(1-I1866)*(1-ADD.DISCOUNT)*(1+MAT.SURCHARGE)/EXC.RATE_2,C1866*(1-I1866)*(1-ADD.DISCOUNT)*(1+MAT.SURCHARGE)*EXC.RATE_2),CURRENCY.FORMAT_2),CURRENCY.FORMAT_2,0)),'DICTIONARY-5'!$A$2))</f>
        <v/>
      </c>
      <c r="N1866" s="541">
        <v>6</v>
      </c>
      <c r="O1866" s="541"/>
      <c r="P1866" s="731" t="str">
        <f>'DICTIONARY-3'!$A$148</f>
        <v>CEREX 300-L</v>
      </c>
      <c r="Q1866" s="731" t="str">
        <f>'DICTIONARY-3'!$A$204</f>
        <v>Przepustnica kołnierzowa</v>
      </c>
      <c r="R1866" s="732" t="str">
        <f>CONCATENATE('DICTIONARY-3'!$A$148," ",'DICTIONARY-6'!$A$2," ",'DICTIONARY-2'!$A$2,"80"," ",'DICTIONARY-2'!$A$3,"10/16"," ","R20"," ",'DICTIONARY-5'!$A$37,"/",'DICTIONARY-5'!$A$44,", ",'DICTIONARY-4'!$A$3," ",'DICTIONARY-5'!$A$40)</f>
        <v>CEREX 300-L Przep. kołnierz. DN80 PN10/16 R20 CF8M/EPDM, DR stal</v>
      </c>
      <c r="S1866" s="733" t="str">
        <f>'DICTIONARY-4'!$A$3</f>
        <v>DR</v>
      </c>
      <c r="T1866" s="732" t="str">
        <f>'DICTIONARY-4'!$A$19</f>
        <v>Dźwignia ręczna</v>
      </c>
      <c r="U1866" s="734" t="s">
        <v>5760</v>
      </c>
      <c r="V1866" s="735">
        <v>16</v>
      </c>
      <c r="W1866" s="736"/>
      <c r="X1866" s="737"/>
      <c r="Y1866" s="738"/>
      <c r="Z1866" s="739"/>
      <c r="AA1866" s="739"/>
      <c r="AB1866" s="740">
        <v>16</v>
      </c>
      <c r="AC1866" s="741" t="str">
        <f>'DICTIONARY-5'!$A$11&amp;" 20"</f>
        <v>EN 558 szereg 20</v>
      </c>
      <c r="AD1866" s="741" t="str">
        <f>'DICTIONARY-5'!$A$13</f>
        <v>woda pitna</v>
      </c>
      <c r="AE1866" s="742">
        <v>110</v>
      </c>
      <c r="AF1866" s="743">
        <v>4.5</v>
      </c>
      <c r="AG1866" s="741" t="str">
        <f>'DICTIONARY-5'!$A$23</f>
        <v>powłoka epoksydowa</v>
      </c>
    </row>
    <row r="1867" spans="1:33" x14ac:dyDescent="0.25">
      <c r="A1867" s="866" t="s">
        <v>1548</v>
      </c>
      <c r="B1867" s="866" t="s">
        <v>3839</v>
      </c>
      <c r="C1867" s="836">
        <v>241</v>
      </c>
      <c r="D1867" s="836"/>
      <c r="E1867" s="836"/>
      <c r="F1867" s="836"/>
      <c r="G1867" s="496" t="s">
        <v>7832</v>
      </c>
      <c r="H1867" s="797" t="str">
        <f>VLOOKUP(G1867,SETTINGS!$B$7:$D$97,2,0)</f>
        <v>CEREX 300</v>
      </c>
      <c r="I1867" s="796">
        <f>VLOOKUP(G1867,SETTINGS!$B$7:$D$97,3,0)</f>
        <v>0</v>
      </c>
      <c r="J1867" s="670" t="str">
        <f>IFERROR(IF(CURRENCY.FORMAT_1=0,CONCATENATE(TEXT(FIXED(ROUND((C1867/EXC.RATE_1),CURRENCY.FORMAT_1),CURRENCY.FORMAT_1,1),"# ##0;-# ##0"),",-"),FIXED(ROUND((C1867/EXC.RATE_1),CURRENCY.FORMAT_1),CURRENCY.FORMAT_1,0)),'DICTIONARY-5'!$A$2)</f>
        <v>241,-</v>
      </c>
      <c r="K1867" s="670" t="str">
        <f>IF(EXC.RATE_2=0,"",IFERROR(IF(CURRENCY.FORMAT_2=0,CONCATENATE(TEXT(FIXED(ROUND(IF(EXC.RATE.SWITCH=1,C1867/EXC.RATE_2,C1867*EXC.RATE_2),CURRENCY.FORMAT_2),CURRENCY.FORMAT_2,1),"# ##0;-# ##0"),",-"),FIXED(ROUND(IF(EXC.RATE.SWITCH=1,C1867/EXC.RATE_2,C1867*EXC.RATE_2),CURRENCY.FORMAT_2),CURRENCY.FORMAT_2,0)),'DICTIONARY-5'!$A$2))</f>
        <v/>
      </c>
      <c r="L1867" s="670" t="str">
        <f>IFERROR(IF(CURRENCY.FORMAT_1=0,CONCATENATE(TEXT(FIXED(ROUND((C1867*(1-I1867)*(1-ADD.DISCOUNT)*(1+MAT.SURCHARGE)/EXC.RATE_1),CURRENCY.FORMAT_1),CURRENCY.FORMAT_1,1),"# ##0;-# ##0"),",-"),FIXED(ROUND((C1867*(1-I1867)*(1-ADD.DISCOUNT)*(1+MAT.SURCHARGE)/EXC.RATE_1),CURRENCY.FORMAT_1),CURRENCY.FORMAT_1,0)),'DICTIONARY-5'!$A$2)</f>
        <v>250,-</v>
      </c>
      <c r="M1867" s="670" t="str">
        <f>IF(EXC.RATE_2=0,"",IFERROR(IF(CURRENCY.FORMAT_2=0,CONCATENATE(TEXT(FIXED(ROUND(IF(EXC.RATE.SWITCH=1,C1867*(1-I1867)*(1-ADD.DISCOUNT)*(1+MAT.SURCHARGE)/EXC.RATE_2,C1867*(1-I1867)*(1-ADD.DISCOUNT)*(1+MAT.SURCHARGE)*EXC.RATE_2),CURRENCY.FORMAT_2),CURRENCY.FORMAT_2,1),"# ##0;-# ##0"),",-"),FIXED(ROUND(IF(EXC.RATE.SWITCH=1,C1867*(1-I1867)*(1-ADD.DISCOUNT)*(1+MAT.SURCHARGE)/EXC.RATE_2,C1867*(1-I1867)*(1-ADD.DISCOUNT)*(1+MAT.SURCHARGE)*EXC.RATE_2),CURRENCY.FORMAT_2),CURRENCY.FORMAT_2,0)),'DICTIONARY-5'!$A$2))</f>
        <v/>
      </c>
      <c r="N1867" s="541">
        <v>6</v>
      </c>
      <c r="O1867" s="541"/>
      <c r="P1867" s="731" t="str">
        <f>'DICTIONARY-3'!$A$148</f>
        <v>CEREX 300-L</v>
      </c>
      <c r="Q1867" s="731" t="str">
        <f>'DICTIONARY-3'!$A$204</f>
        <v>Przepustnica kołnierzowa</v>
      </c>
      <c r="R1867" s="732" t="str">
        <f>CONCATENATE('DICTIONARY-3'!$A$148," ",'DICTIONARY-6'!$A$2," ",'DICTIONARY-2'!$A$2,"100"," ",'DICTIONARY-2'!$A$3,"10/16"," ","R20"," ",'DICTIONARY-5'!$A$37,"/",'DICTIONARY-5'!$A$44,", ",'DICTIONARY-4'!$A$3," ",'DICTIONARY-5'!$A$40)</f>
        <v>CEREX 300-L Przep. kołnierz. DN100 PN10/16 R20 CF8M/EPDM, DR stal</v>
      </c>
      <c r="S1867" s="733" t="str">
        <f>'DICTIONARY-4'!$A$3</f>
        <v>DR</v>
      </c>
      <c r="T1867" s="732" t="str">
        <f>'DICTIONARY-4'!$A$19</f>
        <v>Dźwignia ręczna</v>
      </c>
      <c r="U1867" s="734" t="s">
        <v>5749</v>
      </c>
      <c r="V1867" s="735">
        <v>16</v>
      </c>
      <c r="W1867" s="736"/>
      <c r="X1867" s="737"/>
      <c r="Y1867" s="738"/>
      <c r="Z1867" s="739"/>
      <c r="AA1867" s="739"/>
      <c r="AB1867" s="740">
        <v>16</v>
      </c>
      <c r="AC1867" s="741" t="str">
        <f>'DICTIONARY-5'!$A$11&amp;" 20"</f>
        <v>EN 558 szereg 20</v>
      </c>
      <c r="AD1867" s="741" t="str">
        <f>'DICTIONARY-5'!$A$13</f>
        <v>woda pitna</v>
      </c>
      <c r="AE1867" s="742">
        <v>110</v>
      </c>
      <c r="AF1867" s="743">
        <v>5</v>
      </c>
      <c r="AG1867" s="741" t="str">
        <f>'DICTIONARY-5'!$A$23</f>
        <v>powłoka epoksydowa</v>
      </c>
    </row>
    <row r="1868" spans="1:33" x14ac:dyDescent="0.25">
      <c r="A1868" s="866" t="s">
        <v>1550</v>
      </c>
      <c r="B1868" s="866" t="s">
        <v>3845</v>
      </c>
      <c r="C1868" s="836">
        <v>283</v>
      </c>
      <c r="D1868" s="836"/>
      <c r="E1868" s="836"/>
      <c r="F1868" s="836"/>
      <c r="G1868" s="496" t="s">
        <v>7832</v>
      </c>
      <c r="H1868" s="797" t="str">
        <f>VLOOKUP(G1868,SETTINGS!$B$7:$D$97,2,0)</f>
        <v>CEREX 300</v>
      </c>
      <c r="I1868" s="796">
        <f>VLOOKUP(G1868,SETTINGS!$B$7:$D$97,3,0)</f>
        <v>0</v>
      </c>
      <c r="J1868" s="670" t="str">
        <f>IFERROR(IF(CURRENCY.FORMAT_1=0,CONCATENATE(TEXT(FIXED(ROUND((C1868/EXC.RATE_1),CURRENCY.FORMAT_1),CURRENCY.FORMAT_1,1),"# ##0;-# ##0"),",-"),FIXED(ROUND((C1868/EXC.RATE_1),CURRENCY.FORMAT_1),CURRENCY.FORMAT_1,0)),'DICTIONARY-5'!$A$2)</f>
        <v>283,-</v>
      </c>
      <c r="K1868" s="670" t="str">
        <f>IF(EXC.RATE_2=0,"",IFERROR(IF(CURRENCY.FORMAT_2=0,CONCATENATE(TEXT(FIXED(ROUND(IF(EXC.RATE.SWITCH=1,C1868/EXC.RATE_2,C1868*EXC.RATE_2),CURRENCY.FORMAT_2),CURRENCY.FORMAT_2,1),"# ##0;-# ##0"),",-"),FIXED(ROUND(IF(EXC.RATE.SWITCH=1,C1868/EXC.RATE_2,C1868*EXC.RATE_2),CURRENCY.FORMAT_2),CURRENCY.FORMAT_2,0)),'DICTIONARY-5'!$A$2))</f>
        <v/>
      </c>
      <c r="L1868" s="670" t="str">
        <f>IFERROR(IF(CURRENCY.FORMAT_1=0,CONCATENATE(TEXT(FIXED(ROUND((C1868*(1-I1868)*(1-ADD.DISCOUNT)*(1+MAT.SURCHARGE)/EXC.RATE_1),CURRENCY.FORMAT_1),CURRENCY.FORMAT_1,1),"# ##0;-# ##0"),",-"),FIXED(ROUND((C1868*(1-I1868)*(1-ADD.DISCOUNT)*(1+MAT.SURCHARGE)/EXC.RATE_1),CURRENCY.FORMAT_1),CURRENCY.FORMAT_1,0)),'DICTIONARY-5'!$A$2)</f>
        <v>294,-</v>
      </c>
      <c r="M1868" s="670" t="str">
        <f>IF(EXC.RATE_2=0,"",IFERROR(IF(CURRENCY.FORMAT_2=0,CONCATENATE(TEXT(FIXED(ROUND(IF(EXC.RATE.SWITCH=1,C1868*(1-I1868)*(1-ADD.DISCOUNT)*(1+MAT.SURCHARGE)/EXC.RATE_2,C1868*(1-I1868)*(1-ADD.DISCOUNT)*(1+MAT.SURCHARGE)*EXC.RATE_2),CURRENCY.FORMAT_2),CURRENCY.FORMAT_2,1),"# ##0;-# ##0"),",-"),FIXED(ROUND(IF(EXC.RATE.SWITCH=1,C1868*(1-I1868)*(1-ADD.DISCOUNT)*(1+MAT.SURCHARGE)/EXC.RATE_2,C1868*(1-I1868)*(1-ADD.DISCOUNT)*(1+MAT.SURCHARGE)*EXC.RATE_2),CURRENCY.FORMAT_2),CURRENCY.FORMAT_2,0)),'DICTIONARY-5'!$A$2))</f>
        <v/>
      </c>
      <c r="N1868" s="541">
        <v>6</v>
      </c>
      <c r="O1868" s="541"/>
      <c r="P1868" s="731" t="str">
        <f>'DICTIONARY-3'!$A$148</f>
        <v>CEREX 300-L</v>
      </c>
      <c r="Q1868" s="731" t="str">
        <f>'DICTIONARY-3'!$A$204</f>
        <v>Przepustnica kołnierzowa</v>
      </c>
      <c r="R1868" s="732" t="str">
        <f>CONCATENATE('DICTIONARY-3'!$A$148," ",'DICTIONARY-6'!$A$2," ",'DICTIONARY-2'!$A$2,"125"," ",'DICTIONARY-2'!$A$3,"10/16"," ","R20"," ",'DICTIONARY-5'!$A$37,"/",'DICTIONARY-5'!$A$44,", ",'DICTIONARY-4'!$A$3," ",'DICTIONARY-5'!$A$40)</f>
        <v>CEREX 300-L Przep. kołnierz. DN125 PN10/16 R20 CF8M/EPDM, DR stal</v>
      </c>
      <c r="S1868" s="733" t="str">
        <f>'DICTIONARY-4'!$A$3</f>
        <v>DR</v>
      </c>
      <c r="T1868" s="732" t="str">
        <f>'DICTIONARY-4'!$A$19</f>
        <v>Dźwignia ręczna</v>
      </c>
      <c r="U1868" s="734" t="s">
        <v>5761</v>
      </c>
      <c r="V1868" s="735">
        <v>16</v>
      </c>
      <c r="W1868" s="736"/>
      <c r="X1868" s="737"/>
      <c r="Y1868" s="738"/>
      <c r="Z1868" s="739"/>
      <c r="AA1868" s="739"/>
      <c r="AB1868" s="740">
        <v>16</v>
      </c>
      <c r="AC1868" s="741" t="str">
        <f>'DICTIONARY-5'!$A$11&amp;" 20"</f>
        <v>EN 558 szereg 20</v>
      </c>
      <c r="AD1868" s="741" t="str">
        <f>'DICTIONARY-5'!$A$13</f>
        <v>woda pitna</v>
      </c>
      <c r="AE1868" s="742">
        <v>110</v>
      </c>
      <c r="AF1868" s="743">
        <v>10</v>
      </c>
      <c r="AG1868" s="741" t="str">
        <f>'DICTIONARY-5'!$A$23</f>
        <v>powłoka epoksydowa</v>
      </c>
    </row>
    <row r="1869" spans="1:33" x14ac:dyDescent="0.25">
      <c r="A1869" s="866" t="s">
        <v>1552</v>
      </c>
      <c r="B1869" s="866" t="s">
        <v>3851</v>
      </c>
      <c r="C1869" s="836">
        <v>399</v>
      </c>
      <c r="D1869" s="836"/>
      <c r="E1869" s="836"/>
      <c r="F1869" s="836"/>
      <c r="G1869" s="496" t="s">
        <v>7832</v>
      </c>
      <c r="H1869" s="797" t="str">
        <f>VLOOKUP(G1869,SETTINGS!$B$7:$D$97,2,0)</f>
        <v>CEREX 300</v>
      </c>
      <c r="I1869" s="796">
        <f>VLOOKUP(G1869,SETTINGS!$B$7:$D$97,3,0)</f>
        <v>0</v>
      </c>
      <c r="J1869" s="670" t="str">
        <f>IFERROR(IF(CURRENCY.FORMAT_1=0,CONCATENATE(TEXT(FIXED(ROUND((C1869/EXC.RATE_1),CURRENCY.FORMAT_1),CURRENCY.FORMAT_1,1),"# ##0;-# ##0"),",-"),FIXED(ROUND((C1869/EXC.RATE_1),CURRENCY.FORMAT_1),CURRENCY.FORMAT_1,0)),'DICTIONARY-5'!$A$2)</f>
        <v>399,-</v>
      </c>
      <c r="K1869" s="670" t="str">
        <f>IF(EXC.RATE_2=0,"",IFERROR(IF(CURRENCY.FORMAT_2=0,CONCATENATE(TEXT(FIXED(ROUND(IF(EXC.RATE.SWITCH=1,C1869/EXC.RATE_2,C1869*EXC.RATE_2),CURRENCY.FORMAT_2),CURRENCY.FORMAT_2,1),"# ##0;-# ##0"),",-"),FIXED(ROUND(IF(EXC.RATE.SWITCH=1,C1869/EXC.RATE_2,C1869*EXC.RATE_2),CURRENCY.FORMAT_2),CURRENCY.FORMAT_2,0)),'DICTIONARY-5'!$A$2))</f>
        <v/>
      </c>
      <c r="L1869" s="670" t="str">
        <f>IFERROR(IF(CURRENCY.FORMAT_1=0,CONCATENATE(TEXT(FIXED(ROUND((C1869*(1-I1869)*(1-ADD.DISCOUNT)*(1+MAT.SURCHARGE)/EXC.RATE_1),CURRENCY.FORMAT_1),CURRENCY.FORMAT_1,1),"# ##0;-# ##0"),",-"),FIXED(ROUND((C1869*(1-I1869)*(1-ADD.DISCOUNT)*(1+MAT.SURCHARGE)/EXC.RATE_1),CURRENCY.FORMAT_1),CURRENCY.FORMAT_1,0)),'DICTIONARY-5'!$A$2)</f>
        <v>415,-</v>
      </c>
      <c r="M1869" s="670" t="str">
        <f>IF(EXC.RATE_2=0,"",IFERROR(IF(CURRENCY.FORMAT_2=0,CONCATENATE(TEXT(FIXED(ROUND(IF(EXC.RATE.SWITCH=1,C1869*(1-I1869)*(1-ADD.DISCOUNT)*(1+MAT.SURCHARGE)/EXC.RATE_2,C1869*(1-I1869)*(1-ADD.DISCOUNT)*(1+MAT.SURCHARGE)*EXC.RATE_2),CURRENCY.FORMAT_2),CURRENCY.FORMAT_2,1),"# ##0;-# ##0"),",-"),FIXED(ROUND(IF(EXC.RATE.SWITCH=1,C1869*(1-I1869)*(1-ADD.DISCOUNT)*(1+MAT.SURCHARGE)/EXC.RATE_2,C1869*(1-I1869)*(1-ADD.DISCOUNT)*(1+MAT.SURCHARGE)*EXC.RATE_2),CURRENCY.FORMAT_2),CURRENCY.FORMAT_2,0)),'DICTIONARY-5'!$A$2))</f>
        <v/>
      </c>
      <c r="N1869" s="541">
        <v>6</v>
      </c>
      <c r="O1869" s="541"/>
      <c r="P1869" s="731" t="str">
        <f>'DICTIONARY-3'!$A$148</f>
        <v>CEREX 300-L</v>
      </c>
      <c r="Q1869" s="731" t="str">
        <f>'DICTIONARY-3'!$A$204</f>
        <v>Przepustnica kołnierzowa</v>
      </c>
      <c r="R1869" s="732" t="str">
        <f>CONCATENATE('DICTIONARY-3'!$A$148," ",'DICTIONARY-6'!$A$2," ",'DICTIONARY-2'!$A$2,"150"," ",'DICTIONARY-2'!$A$3,"10/16"," ","R20"," ",'DICTIONARY-5'!$A$37,"/",'DICTIONARY-5'!$A$44,", ",'DICTIONARY-4'!$A$3," ",'DICTIONARY-5'!$A$40)</f>
        <v>CEREX 300-L Przep. kołnierz. DN150 PN10/16 R20 CF8M/EPDM, DR stal</v>
      </c>
      <c r="S1869" s="733" t="str">
        <f>'DICTIONARY-4'!$A$3</f>
        <v>DR</v>
      </c>
      <c r="T1869" s="732" t="str">
        <f>'DICTIONARY-4'!$A$19</f>
        <v>Dźwignia ręczna</v>
      </c>
      <c r="U1869" s="734" t="s">
        <v>5572</v>
      </c>
      <c r="V1869" s="735">
        <v>16</v>
      </c>
      <c r="W1869" s="736"/>
      <c r="X1869" s="737"/>
      <c r="Y1869" s="738"/>
      <c r="Z1869" s="739"/>
      <c r="AA1869" s="739"/>
      <c r="AB1869" s="740">
        <v>16</v>
      </c>
      <c r="AC1869" s="741" t="str">
        <f>'DICTIONARY-5'!$A$11&amp;" 20"</f>
        <v>EN 558 szereg 20</v>
      </c>
      <c r="AD1869" s="741" t="str">
        <f>'DICTIONARY-5'!$A$13</f>
        <v>woda pitna</v>
      </c>
      <c r="AE1869" s="742">
        <v>110</v>
      </c>
      <c r="AF1869" s="743">
        <v>8</v>
      </c>
      <c r="AG1869" s="741" t="str">
        <f>'DICTIONARY-5'!$A$23</f>
        <v>powłoka epoksydowa</v>
      </c>
    </row>
    <row r="1870" spans="1:33" x14ac:dyDescent="0.25">
      <c r="A1870" s="866" t="s">
        <v>1554</v>
      </c>
      <c r="B1870" s="866" t="s">
        <v>3933</v>
      </c>
      <c r="C1870" s="836">
        <v>520</v>
      </c>
      <c r="D1870" s="836"/>
      <c r="E1870" s="836"/>
      <c r="F1870" s="836"/>
      <c r="G1870" s="496" t="s">
        <v>7832</v>
      </c>
      <c r="H1870" s="797" t="str">
        <f>VLOOKUP(G1870,SETTINGS!$B$7:$D$97,2,0)</f>
        <v>CEREX 300</v>
      </c>
      <c r="I1870" s="796">
        <f>VLOOKUP(G1870,SETTINGS!$B$7:$D$97,3,0)</f>
        <v>0</v>
      </c>
      <c r="J1870" s="670" t="str">
        <f>IFERROR(IF(CURRENCY.FORMAT_1=0,CONCATENATE(TEXT(FIXED(ROUND((C1870/EXC.RATE_1),CURRENCY.FORMAT_1),CURRENCY.FORMAT_1,1),"# ##0;-# ##0"),",-"),FIXED(ROUND((C1870/EXC.RATE_1),CURRENCY.FORMAT_1),CURRENCY.FORMAT_1,0)),'DICTIONARY-5'!$A$2)</f>
        <v>520,-</v>
      </c>
      <c r="K1870" s="670" t="str">
        <f>IF(EXC.RATE_2=0,"",IFERROR(IF(CURRENCY.FORMAT_2=0,CONCATENATE(TEXT(FIXED(ROUND(IF(EXC.RATE.SWITCH=1,C1870/EXC.RATE_2,C1870*EXC.RATE_2),CURRENCY.FORMAT_2),CURRENCY.FORMAT_2,1),"# ##0;-# ##0"),",-"),FIXED(ROUND(IF(EXC.RATE.SWITCH=1,C1870/EXC.RATE_2,C1870*EXC.RATE_2),CURRENCY.FORMAT_2),CURRENCY.FORMAT_2,0)),'DICTIONARY-5'!$A$2))</f>
        <v/>
      </c>
      <c r="L1870" s="670" t="str">
        <f>IFERROR(IF(CURRENCY.FORMAT_1=0,CONCATENATE(TEXT(FIXED(ROUND((C1870*(1-I1870)*(1-ADD.DISCOUNT)*(1+MAT.SURCHARGE)/EXC.RATE_1),CURRENCY.FORMAT_1),CURRENCY.FORMAT_1,1),"# ##0;-# ##0"),",-"),FIXED(ROUND((C1870*(1-I1870)*(1-ADD.DISCOUNT)*(1+MAT.SURCHARGE)/EXC.RATE_1),CURRENCY.FORMAT_1),CURRENCY.FORMAT_1,0)),'DICTIONARY-5'!$A$2)</f>
        <v>540,-</v>
      </c>
      <c r="M1870" s="670" t="str">
        <f>IF(EXC.RATE_2=0,"",IFERROR(IF(CURRENCY.FORMAT_2=0,CONCATENATE(TEXT(FIXED(ROUND(IF(EXC.RATE.SWITCH=1,C1870*(1-I1870)*(1-ADD.DISCOUNT)*(1+MAT.SURCHARGE)/EXC.RATE_2,C1870*(1-I1870)*(1-ADD.DISCOUNT)*(1+MAT.SURCHARGE)*EXC.RATE_2),CURRENCY.FORMAT_2),CURRENCY.FORMAT_2,1),"# ##0;-# ##0"),",-"),FIXED(ROUND(IF(EXC.RATE.SWITCH=1,C1870*(1-I1870)*(1-ADD.DISCOUNT)*(1+MAT.SURCHARGE)/EXC.RATE_2,C1870*(1-I1870)*(1-ADD.DISCOUNT)*(1+MAT.SURCHARGE)*EXC.RATE_2),CURRENCY.FORMAT_2),CURRENCY.FORMAT_2,0)),'DICTIONARY-5'!$A$2))</f>
        <v/>
      </c>
      <c r="N1870" s="541">
        <v>6</v>
      </c>
      <c r="O1870" s="541"/>
      <c r="P1870" s="731" t="str">
        <f>'DICTIONARY-3'!$A$148</f>
        <v>CEREX 300-L</v>
      </c>
      <c r="Q1870" s="731" t="str">
        <f>'DICTIONARY-3'!$A$204</f>
        <v>Przepustnica kołnierzowa</v>
      </c>
      <c r="R1870" s="732" t="str">
        <f>CONCATENATE('DICTIONARY-3'!$A$148," ",'DICTIONARY-6'!$A$2," ",'DICTIONARY-2'!$A$2,"200"," ",'DICTIONARY-2'!$A$3,"10"," ","R20"," ",'DICTIONARY-5'!$A$37,"/",'DICTIONARY-5'!$A$44,", ",'DICTIONARY-4'!$A$3," ",'DICTIONARY-5'!$A$40)</f>
        <v>CEREX 300-L Przep. kołnierz. DN200 PN10 R20 CF8M/EPDM, DR stal</v>
      </c>
      <c r="S1870" s="733" t="str">
        <f>'DICTIONARY-4'!$A$3</f>
        <v>DR</v>
      </c>
      <c r="T1870" s="732" t="str">
        <f>'DICTIONARY-4'!$A$19</f>
        <v>Dźwignia ręczna</v>
      </c>
      <c r="U1870" s="734" t="s">
        <v>5750</v>
      </c>
      <c r="V1870" s="735">
        <v>10</v>
      </c>
      <c r="W1870" s="736"/>
      <c r="X1870" s="737"/>
      <c r="Y1870" s="738"/>
      <c r="Z1870" s="739"/>
      <c r="AA1870" s="739"/>
      <c r="AB1870" s="740">
        <v>10</v>
      </c>
      <c r="AC1870" s="741" t="str">
        <f>'DICTIONARY-5'!$A$11&amp;" 20"</f>
        <v>EN 558 szereg 20</v>
      </c>
      <c r="AD1870" s="741" t="str">
        <f>'DICTIONARY-5'!$A$13</f>
        <v>woda pitna</v>
      </c>
      <c r="AE1870" s="742">
        <v>110</v>
      </c>
      <c r="AF1870" s="743">
        <v>18.5</v>
      </c>
      <c r="AG1870" s="741" t="str">
        <f>'DICTIONARY-5'!$A$23</f>
        <v>powłoka epoksydowa</v>
      </c>
    </row>
    <row r="1871" spans="1:33" x14ac:dyDescent="0.25">
      <c r="A1871" s="866" t="s">
        <v>1556</v>
      </c>
      <c r="B1871" s="866" t="s">
        <v>3857</v>
      </c>
      <c r="C1871" s="836">
        <v>565</v>
      </c>
      <c r="D1871" s="836"/>
      <c r="E1871" s="836"/>
      <c r="F1871" s="836"/>
      <c r="G1871" s="496" t="s">
        <v>7832</v>
      </c>
      <c r="H1871" s="797" t="str">
        <f>VLOOKUP(G1871,SETTINGS!$B$7:$D$97,2,0)</f>
        <v>CEREX 300</v>
      </c>
      <c r="I1871" s="796">
        <f>VLOOKUP(G1871,SETTINGS!$B$7:$D$97,3,0)</f>
        <v>0</v>
      </c>
      <c r="J1871" s="670" t="str">
        <f>IFERROR(IF(CURRENCY.FORMAT_1=0,CONCATENATE(TEXT(FIXED(ROUND((C1871/EXC.RATE_1),CURRENCY.FORMAT_1),CURRENCY.FORMAT_1,1),"# ##0;-# ##0"),",-"),FIXED(ROUND((C1871/EXC.RATE_1),CURRENCY.FORMAT_1),CURRENCY.FORMAT_1,0)),'DICTIONARY-5'!$A$2)</f>
        <v>565,-</v>
      </c>
      <c r="K1871" s="670" t="str">
        <f>IF(EXC.RATE_2=0,"",IFERROR(IF(CURRENCY.FORMAT_2=0,CONCATENATE(TEXT(FIXED(ROUND(IF(EXC.RATE.SWITCH=1,C1871/EXC.RATE_2,C1871*EXC.RATE_2),CURRENCY.FORMAT_2),CURRENCY.FORMAT_2,1),"# ##0;-# ##0"),",-"),FIXED(ROUND(IF(EXC.RATE.SWITCH=1,C1871/EXC.RATE_2,C1871*EXC.RATE_2),CURRENCY.FORMAT_2),CURRENCY.FORMAT_2,0)),'DICTIONARY-5'!$A$2))</f>
        <v/>
      </c>
      <c r="L1871" s="670" t="str">
        <f>IFERROR(IF(CURRENCY.FORMAT_1=0,CONCATENATE(TEXT(FIXED(ROUND((C1871*(1-I1871)*(1-ADD.DISCOUNT)*(1+MAT.SURCHARGE)/EXC.RATE_1),CURRENCY.FORMAT_1),CURRENCY.FORMAT_1,1),"# ##0;-# ##0"),",-"),FIXED(ROUND((C1871*(1-I1871)*(1-ADD.DISCOUNT)*(1+MAT.SURCHARGE)/EXC.RATE_1),CURRENCY.FORMAT_1),CURRENCY.FORMAT_1,0)),'DICTIONARY-5'!$A$2)</f>
        <v>587,-</v>
      </c>
      <c r="M1871" s="670" t="str">
        <f>IF(EXC.RATE_2=0,"",IFERROR(IF(CURRENCY.FORMAT_2=0,CONCATENATE(TEXT(FIXED(ROUND(IF(EXC.RATE.SWITCH=1,C1871*(1-I1871)*(1-ADD.DISCOUNT)*(1+MAT.SURCHARGE)/EXC.RATE_2,C1871*(1-I1871)*(1-ADD.DISCOUNT)*(1+MAT.SURCHARGE)*EXC.RATE_2),CURRENCY.FORMAT_2),CURRENCY.FORMAT_2,1),"# ##0;-# ##0"),",-"),FIXED(ROUND(IF(EXC.RATE.SWITCH=1,C1871*(1-I1871)*(1-ADD.DISCOUNT)*(1+MAT.SURCHARGE)/EXC.RATE_2,C1871*(1-I1871)*(1-ADD.DISCOUNT)*(1+MAT.SURCHARGE)*EXC.RATE_2),CURRENCY.FORMAT_2),CURRENCY.FORMAT_2,0)),'DICTIONARY-5'!$A$2))</f>
        <v/>
      </c>
      <c r="N1871" s="541">
        <v>6</v>
      </c>
      <c r="O1871" s="541"/>
      <c r="P1871" s="731" t="str">
        <f>'DICTIONARY-3'!$A$148</f>
        <v>CEREX 300-L</v>
      </c>
      <c r="Q1871" s="731" t="str">
        <f>'DICTIONARY-3'!$A$204</f>
        <v>Przepustnica kołnierzowa</v>
      </c>
      <c r="R1871" s="732" t="str">
        <f>CONCATENATE('DICTIONARY-3'!$A$148," ",'DICTIONARY-6'!$A$2," ",'DICTIONARY-2'!$A$2,"200"," ",'DICTIONARY-2'!$A$3,"16"," ","R20"," ",'DICTIONARY-5'!$A$37,"/",'DICTIONARY-5'!$A$44,", ",'DICTIONARY-4'!$A$3," ",'DICTIONARY-5'!$A$40)</f>
        <v>CEREX 300-L Przep. kołnierz. DN200 PN16 R20 CF8M/EPDM, DR stal</v>
      </c>
      <c r="S1871" s="733" t="str">
        <f>'DICTIONARY-4'!$A$3</f>
        <v>DR</v>
      </c>
      <c r="T1871" s="732" t="str">
        <f>'DICTIONARY-4'!$A$19</f>
        <v>Dźwignia ręczna</v>
      </c>
      <c r="U1871" s="734" t="s">
        <v>5750</v>
      </c>
      <c r="V1871" s="735">
        <v>16</v>
      </c>
      <c r="W1871" s="736"/>
      <c r="X1871" s="737"/>
      <c r="Y1871" s="738"/>
      <c r="Z1871" s="739"/>
      <c r="AA1871" s="739"/>
      <c r="AB1871" s="740">
        <v>16</v>
      </c>
      <c r="AC1871" s="741" t="str">
        <f>'DICTIONARY-5'!$A$11&amp;" 20"</f>
        <v>EN 558 szereg 20</v>
      </c>
      <c r="AD1871" s="741" t="str">
        <f>'DICTIONARY-5'!$A$13</f>
        <v>woda pitna</v>
      </c>
      <c r="AE1871" s="742">
        <v>110</v>
      </c>
      <c r="AF1871" s="743">
        <v>19.5</v>
      </c>
      <c r="AG1871" s="741" t="str">
        <f>'DICTIONARY-5'!$A$23</f>
        <v>powłoka epoksydowa</v>
      </c>
    </row>
    <row r="1872" spans="1:33" x14ac:dyDescent="0.25">
      <c r="A1872" s="754" t="s">
        <v>1557</v>
      </c>
      <c r="B1872" s="869" t="s">
        <v>3878</v>
      </c>
      <c r="C1872" s="836">
        <v>178</v>
      </c>
      <c r="D1872" s="836"/>
      <c r="E1872" s="836"/>
      <c r="F1872" s="836"/>
      <c r="G1872" s="496" t="s">
        <v>7832</v>
      </c>
      <c r="H1872" s="797" t="str">
        <f>VLOOKUP(G1872,SETTINGS!$B$7:$D$97,2,0)</f>
        <v>CEREX 300</v>
      </c>
      <c r="I1872" s="796">
        <f>VLOOKUP(G1872,SETTINGS!$B$7:$D$97,3,0)</f>
        <v>0</v>
      </c>
      <c r="J1872" s="670" t="str">
        <f>IFERROR(IF(CURRENCY.FORMAT_1=0,CONCATENATE(TEXT(FIXED(ROUND((C1872/EXC.RATE_1),CURRENCY.FORMAT_1),CURRENCY.FORMAT_1,1),"# ##0;-# ##0"),",-"),FIXED(ROUND((C1872/EXC.RATE_1),CURRENCY.FORMAT_1),CURRENCY.FORMAT_1,0)),'DICTIONARY-5'!$A$2)</f>
        <v>178,-</v>
      </c>
      <c r="K1872" s="670" t="str">
        <f>IF(EXC.RATE_2=0,"",IFERROR(IF(CURRENCY.FORMAT_2=0,CONCATENATE(TEXT(FIXED(ROUND(IF(EXC.RATE.SWITCH=1,C1872/EXC.RATE_2,C1872*EXC.RATE_2),CURRENCY.FORMAT_2),CURRENCY.FORMAT_2,1),"# ##0;-# ##0"),",-"),FIXED(ROUND(IF(EXC.RATE.SWITCH=1,C1872/EXC.RATE_2,C1872*EXC.RATE_2),CURRENCY.FORMAT_2),CURRENCY.FORMAT_2,0)),'DICTIONARY-5'!$A$2))</f>
        <v/>
      </c>
      <c r="L1872" s="670" t="str">
        <f>IFERROR(IF(CURRENCY.FORMAT_1=0,CONCATENATE(TEXT(FIXED(ROUND((C1872*(1-I1872)*(1-ADD.DISCOUNT)*(1+MAT.SURCHARGE)/EXC.RATE_1),CURRENCY.FORMAT_1),CURRENCY.FORMAT_1,1),"# ##0;-# ##0"),",-"),FIXED(ROUND((C1872*(1-I1872)*(1-ADD.DISCOUNT)*(1+MAT.SURCHARGE)/EXC.RATE_1),CURRENCY.FORMAT_1),CURRENCY.FORMAT_1,0)),'DICTIONARY-5'!$A$2)</f>
        <v>185,-</v>
      </c>
      <c r="M1872" s="670" t="str">
        <f>IF(EXC.RATE_2=0,"",IFERROR(IF(CURRENCY.FORMAT_2=0,CONCATENATE(TEXT(FIXED(ROUND(IF(EXC.RATE.SWITCH=1,C1872*(1-I1872)*(1-ADD.DISCOUNT)*(1+MAT.SURCHARGE)/EXC.RATE_2,C1872*(1-I1872)*(1-ADD.DISCOUNT)*(1+MAT.SURCHARGE)*EXC.RATE_2),CURRENCY.FORMAT_2),CURRENCY.FORMAT_2,1),"# ##0;-# ##0"),",-"),FIXED(ROUND(IF(EXC.RATE.SWITCH=1,C1872*(1-I1872)*(1-ADD.DISCOUNT)*(1+MAT.SURCHARGE)/EXC.RATE_2,C1872*(1-I1872)*(1-ADD.DISCOUNT)*(1+MAT.SURCHARGE)*EXC.RATE_2),CURRENCY.FORMAT_2),CURRENCY.FORMAT_2,0)),'DICTIONARY-5'!$A$2))</f>
        <v/>
      </c>
      <c r="N1872" s="535">
        <v>6</v>
      </c>
      <c r="O1872" s="535"/>
      <c r="P1872" s="731" t="str">
        <f>'DICTIONARY-3'!$A$148</f>
        <v>CEREX 300-L</v>
      </c>
      <c r="Q1872" s="732" t="str">
        <f>'DICTIONARY-3'!$A$204</f>
        <v>Przepustnica kołnierzowa</v>
      </c>
      <c r="R1872" s="732" t="str">
        <f>CONCATENATE('DICTIONARY-3'!$A$148," ",'DICTIONARY-6'!$A$2," ",UPPER('DICTIONARY-5'!$A$18)," ",'DICTIONARY-2'!$A$2,"50"," ",'DICTIONARY-2'!$A$3,"10/16"," ","R20"," ",'DICTIONARY-5'!$A$51,"/",'DICTIONARY-5'!$A$45,", ",'DICTIONARY-4'!$A$3," ",'DICTIONARY-5'!$A$40)</f>
        <v>CEREX 300-L Przep. kołnierz. GAZ DN50 PN10/16 R20 GGG/NBR, DR stal</v>
      </c>
      <c r="S1872" s="733" t="str">
        <f>'DICTIONARY-4'!$A$3</f>
        <v>DR</v>
      </c>
      <c r="T1872" s="732" t="str">
        <f>'DICTIONARY-4'!$A$19</f>
        <v>Dźwignia ręczna</v>
      </c>
      <c r="U1872" s="734" t="s">
        <v>5748</v>
      </c>
      <c r="V1872" s="735">
        <v>16</v>
      </c>
      <c r="W1872" s="736"/>
      <c r="X1872" s="737"/>
      <c r="Y1872" s="738"/>
      <c r="Z1872" s="739"/>
      <c r="AA1872" s="739"/>
      <c r="AB1872" s="740">
        <v>16</v>
      </c>
      <c r="AC1872" s="741" t="str">
        <f>'DICTIONARY-5'!$A$11&amp;" 20"</f>
        <v>EN 558 szereg 20</v>
      </c>
      <c r="AD1872" s="741" t="str">
        <f>'DICTIONARY-5'!$A$18&amp;", "&amp;'DICTIONARY-5'!$A$14</f>
        <v>gaz, ścieki</v>
      </c>
      <c r="AE1872" s="742">
        <v>80</v>
      </c>
      <c r="AF1872" s="743">
        <v>2</v>
      </c>
      <c r="AG1872" s="741" t="str">
        <f>'DICTIONARY-5'!$A$23</f>
        <v>powłoka epoksydowa</v>
      </c>
    </row>
    <row r="1873" spans="1:33" x14ac:dyDescent="0.25">
      <c r="A1873" s="754" t="s">
        <v>1559</v>
      </c>
      <c r="B1873" s="869" t="s">
        <v>3884</v>
      </c>
      <c r="C1873" s="836">
        <v>190</v>
      </c>
      <c r="D1873" s="836"/>
      <c r="E1873" s="836"/>
      <c r="F1873" s="836"/>
      <c r="G1873" s="496" t="s">
        <v>7832</v>
      </c>
      <c r="H1873" s="797" t="str">
        <f>VLOOKUP(G1873,SETTINGS!$B$7:$D$97,2,0)</f>
        <v>CEREX 300</v>
      </c>
      <c r="I1873" s="796">
        <f>VLOOKUP(G1873,SETTINGS!$B$7:$D$97,3,0)</f>
        <v>0</v>
      </c>
      <c r="J1873" s="670" t="str">
        <f>IFERROR(IF(CURRENCY.FORMAT_1=0,CONCATENATE(TEXT(FIXED(ROUND((C1873/EXC.RATE_1),CURRENCY.FORMAT_1),CURRENCY.FORMAT_1,1),"# ##0;-# ##0"),",-"),FIXED(ROUND((C1873/EXC.RATE_1),CURRENCY.FORMAT_1),CURRENCY.FORMAT_1,0)),'DICTIONARY-5'!$A$2)</f>
        <v>190,-</v>
      </c>
      <c r="K1873" s="670" t="str">
        <f>IF(EXC.RATE_2=0,"",IFERROR(IF(CURRENCY.FORMAT_2=0,CONCATENATE(TEXT(FIXED(ROUND(IF(EXC.RATE.SWITCH=1,C1873/EXC.RATE_2,C1873*EXC.RATE_2),CURRENCY.FORMAT_2),CURRENCY.FORMAT_2,1),"# ##0;-# ##0"),",-"),FIXED(ROUND(IF(EXC.RATE.SWITCH=1,C1873/EXC.RATE_2,C1873*EXC.RATE_2),CURRENCY.FORMAT_2),CURRENCY.FORMAT_2,0)),'DICTIONARY-5'!$A$2))</f>
        <v/>
      </c>
      <c r="L1873" s="670" t="str">
        <f>IFERROR(IF(CURRENCY.FORMAT_1=0,CONCATENATE(TEXT(FIXED(ROUND((C1873*(1-I1873)*(1-ADD.DISCOUNT)*(1+MAT.SURCHARGE)/EXC.RATE_1),CURRENCY.FORMAT_1),CURRENCY.FORMAT_1,1),"# ##0;-# ##0"),",-"),FIXED(ROUND((C1873*(1-I1873)*(1-ADD.DISCOUNT)*(1+MAT.SURCHARGE)/EXC.RATE_1),CURRENCY.FORMAT_1),CURRENCY.FORMAT_1,0)),'DICTIONARY-5'!$A$2)</f>
        <v>197,-</v>
      </c>
      <c r="M1873" s="670" t="str">
        <f>IF(EXC.RATE_2=0,"",IFERROR(IF(CURRENCY.FORMAT_2=0,CONCATENATE(TEXT(FIXED(ROUND(IF(EXC.RATE.SWITCH=1,C1873*(1-I1873)*(1-ADD.DISCOUNT)*(1+MAT.SURCHARGE)/EXC.RATE_2,C1873*(1-I1873)*(1-ADD.DISCOUNT)*(1+MAT.SURCHARGE)*EXC.RATE_2),CURRENCY.FORMAT_2),CURRENCY.FORMAT_2,1),"# ##0;-# ##0"),",-"),FIXED(ROUND(IF(EXC.RATE.SWITCH=1,C1873*(1-I1873)*(1-ADD.DISCOUNT)*(1+MAT.SURCHARGE)/EXC.RATE_2,C1873*(1-I1873)*(1-ADD.DISCOUNT)*(1+MAT.SURCHARGE)*EXC.RATE_2),CURRENCY.FORMAT_2),CURRENCY.FORMAT_2,0)),'DICTIONARY-5'!$A$2))</f>
        <v/>
      </c>
      <c r="N1873" s="535">
        <v>6</v>
      </c>
      <c r="O1873" s="535"/>
      <c r="P1873" s="731" t="str">
        <f>'DICTIONARY-3'!$A$148</f>
        <v>CEREX 300-L</v>
      </c>
      <c r="Q1873" s="732" t="str">
        <f>'DICTIONARY-3'!$A$204</f>
        <v>Przepustnica kołnierzowa</v>
      </c>
      <c r="R1873" s="732" t="str">
        <f>CONCATENATE('DICTIONARY-3'!$A$148," ",'DICTIONARY-6'!$A$2," ",UPPER('DICTIONARY-5'!$A$18)," ",'DICTIONARY-2'!$A$2,"65"," ",'DICTIONARY-2'!$A$3,"10/16"," ","R20"," ",'DICTIONARY-5'!$A$51,"/",'DICTIONARY-5'!$A$45,", ",'DICTIONARY-4'!$A$3," ",'DICTIONARY-5'!$A$40)</f>
        <v>CEREX 300-L Przep. kołnierz. GAZ DN65 PN10/16 R20 GGG/NBR, DR stal</v>
      </c>
      <c r="S1873" s="733" t="str">
        <f>'DICTIONARY-4'!$A$3</f>
        <v>DR</v>
      </c>
      <c r="T1873" s="732" t="str">
        <f>'DICTIONARY-4'!$A$19</f>
        <v>Dźwignia ręczna</v>
      </c>
      <c r="U1873" s="734" t="s">
        <v>5759</v>
      </c>
      <c r="V1873" s="735">
        <v>16</v>
      </c>
      <c r="W1873" s="736"/>
      <c r="X1873" s="737"/>
      <c r="Y1873" s="738"/>
      <c r="Z1873" s="739"/>
      <c r="AA1873" s="739"/>
      <c r="AB1873" s="740">
        <v>16</v>
      </c>
      <c r="AC1873" s="741" t="str">
        <f>'DICTIONARY-5'!$A$11&amp;" 20"</f>
        <v>EN 558 szereg 20</v>
      </c>
      <c r="AD1873" s="741" t="str">
        <f>'DICTIONARY-5'!$A$18&amp;", "&amp;'DICTIONARY-5'!$A$14</f>
        <v>gaz, ścieki</v>
      </c>
      <c r="AE1873" s="742">
        <v>80</v>
      </c>
      <c r="AF1873" s="743">
        <v>4</v>
      </c>
      <c r="AG1873" s="741" t="str">
        <f>'DICTIONARY-5'!$A$23</f>
        <v>powłoka epoksydowa</v>
      </c>
    </row>
    <row r="1874" spans="1:33" x14ac:dyDescent="0.25">
      <c r="A1874" s="754" t="s">
        <v>1561</v>
      </c>
      <c r="B1874" s="869" t="s">
        <v>3890</v>
      </c>
      <c r="C1874" s="836">
        <v>218</v>
      </c>
      <c r="D1874" s="836"/>
      <c r="E1874" s="836"/>
      <c r="F1874" s="836"/>
      <c r="G1874" s="496" t="s">
        <v>7832</v>
      </c>
      <c r="H1874" s="797" t="str">
        <f>VLOOKUP(G1874,SETTINGS!$B$7:$D$97,2,0)</f>
        <v>CEREX 300</v>
      </c>
      <c r="I1874" s="796">
        <f>VLOOKUP(G1874,SETTINGS!$B$7:$D$97,3,0)</f>
        <v>0</v>
      </c>
      <c r="J1874" s="670" t="str">
        <f>IFERROR(IF(CURRENCY.FORMAT_1=0,CONCATENATE(TEXT(FIXED(ROUND((C1874/EXC.RATE_1),CURRENCY.FORMAT_1),CURRENCY.FORMAT_1,1),"# ##0;-# ##0"),",-"),FIXED(ROUND((C1874/EXC.RATE_1),CURRENCY.FORMAT_1),CURRENCY.FORMAT_1,0)),'DICTIONARY-5'!$A$2)</f>
        <v>218,-</v>
      </c>
      <c r="K1874" s="670" t="str">
        <f>IF(EXC.RATE_2=0,"",IFERROR(IF(CURRENCY.FORMAT_2=0,CONCATENATE(TEXT(FIXED(ROUND(IF(EXC.RATE.SWITCH=1,C1874/EXC.RATE_2,C1874*EXC.RATE_2),CURRENCY.FORMAT_2),CURRENCY.FORMAT_2,1),"# ##0;-# ##0"),",-"),FIXED(ROUND(IF(EXC.RATE.SWITCH=1,C1874/EXC.RATE_2,C1874*EXC.RATE_2),CURRENCY.FORMAT_2),CURRENCY.FORMAT_2,0)),'DICTIONARY-5'!$A$2))</f>
        <v/>
      </c>
      <c r="L1874" s="670" t="str">
        <f>IFERROR(IF(CURRENCY.FORMAT_1=0,CONCATENATE(TEXT(FIXED(ROUND((C1874*(1-I1874)*(1-ADD.DISCOUNT)*(1+MAT.SURCHARGE)/EXC.RATE_1),CURRENCY.FORMAT_1),CURRENCY.FORMAT_1,1),"# ##0;-# ##0"),",-"),FIXED(ROUND((C1874*(1-I1874)*(1-ADD.DISCOUNT)*(1+MAT.SURCHARGE)/EXC.RATE_1),CURRENCY.FORMAT_1),CURRENCY.FORMAT_1,0)),'DICTIONARY-5'!$A$2)</f>
        <v>227,-</v>
      </c>
      <c r="M1874" s="670" t="str">
        <f>IF(EXC.RATE_2=0,"",IFERROR(IF(CURRENCY.FORMAT_2=0,CONCATENATE(TEXT(FIXED(ROUND(IF(EXC.RATE.SWITCH=1,C1874*(1-I1874)*(1-ADD.DISCOUNT)*(1+MAT.SURCHARGE)/EXC.RATE_2,C1874*(1-I1874)*(1-ADD.DISCOUNT)*(1+MAT.SURCHARGE)*EXC.RATE_2),CURRENCY.FORMAT_2),CURRENCY.FORMAT_2,1),"# ##0;-# ##0"),",-"),FIXED(ROUND(IF(EXC.RATE.SWITCH=1,C1874*(1-I1874)*(1-ADD.DISCOUNT)*(1+MAT.SURCHARGE)/EXC.RATE_2,C1874*(1-I1874)*(1-ADD.DISCOUNT)*(1+MAT.SURCHARGE)*EXC.RATE_2),CURRENCY.FORMAT_2),CURRENCY.FORMAT_2,0)),'DICTIONARY-5'!$A$2))</f>
        <v/>
      </c>
      <c r="N1874" s="535">
        <v>6</v>
      </c>
      <c r="O1874" s="535"/>
      <c r="P1874" s="731" t="str">
        <f>'DICTIONARY-3'!$A$148</f>
        <v>CEREX 300-L</v>
      </c>
      <c r="Q1874" s="732" t="str">
        <f>'DICTIONARY-3'!$A$204</f>
        <v>Przepustnica kołnierzowa</v>
      </c>
      <c r="R1874" s="732" t="str">
        <f>CONCATENATE('DICTIONARY-3'!$A$148," ",'DICTIONARY-6'!$A$2," ",UPPER('DICTIONARY-5'!$A$18)," ",'DICTIONARY-2'!$A$2,"80"," ",'DICTIONARY-2'!$A$3,"10/16"," ","R20"," ",'DICTIONARY-5'!$A$51,"/",'DICTIONARY-5'!$A$45,", ",'DICTIONARY-4'!$A$3," ",'DICTIONARY-5'!$A$40)</f>
        <v>CEREX 300-L Przep. kołnierz. GAZ DN80 PN10/16 R20 GGG/NBR, DR stal</v>
      </c>
      <c r="S1874" s="733" t="str">
        <f>'DICTIONARY-4'!$A$3</f>
        <v>DR</v>
      </c>
      <c r="T1874" s="732" t="str">
        <f>'DICTIONARY-4'!$A$19</f>
        <v>Dźwignia ręczna</v>
      </c>
      <c r="U1874" s="734" t="s">
        <v>5760</v>
      </c>
      <c r="V1874" s="735">
        <v>16</v>
      </c>
      <c r="W1874" s="736"/>
      <c r="X1874" s="737"/>
      <c r="Y1874" s="738"/>
      <c r="Z1874" s="739"/>
      <c r="AA1874" s="739"/>
      <c r="AB1874" s="740">
        <v>16</v>
      </c>
      <c r="AC1874" s="741" t="str">
        <f>'DICTIONARY-5'!$A$11&amp;" 20"</f>
        <v>EN 558 szereg 20</v>
      </c>
      <c r="AD1874" s="741" t="str">
        <f>'DICTIONARY-5'!$A$18&amp;", "&amp;'DICTIONARY-5'!$A$14</f>
        <v>gaz, ścieki</v>
      </c>
      <c r="AE1874" s="742">
        <v>80</v>
      </c>
      <c r="AF1874" s="743">
        <v>3</v>
      </c>
      <c r="AG1874" s="741" t="str">
        <f>'DICTIONARY-5'!$A$23</f>
        <v>powłoka epoksydowa</v>
      </c>
    </row>
    <row r="1875" spans="1:33" x14ac:dyDescent="0.25">
      <c r="A1875" s="754" t="s">
        <v>1563</v>
      </c>
      <c r="B1875" s="869" t="s">
        <v>3896</v>
      </c>
      <c r="C1875" s="836">
        <v>249</v>
      </c>
      <c r="D1875" s="836"/>
      <c r="E1875" s="836"/>
      <c r="F1875" s="836"/>
      <c r="G1875" s="496" t="s">
        <v>7832</v>
      </c>
      <c r="H1875" s="797" t="str">
        <f>VLOOKUP(G1875,SETTINGS!$B$7:$D$97,2,0)</f>
        <v>CEREX 300</v>
      </c>
      <c r="I1875" s="796">
        <f>VLOOKUP(G1875,SETTINGS!$B$7:$D$97,3,0)</f>
        <v>0</v>
      </c>
      <c r="J1875" s="670" t="str">
        <f>IFERROR(IF(CURRENCY.FORMAT_1=0,CONCATENATE(TEXT(FIXED(ROUND((C1875/EXC.RATE_1),CURRENCY.FORMAT_1),CURRENCY.FORMAT_1,1),"# ##0;-# ##0"),",-"),FIXED(ROUND((C1875/EXC.RATE_1),CURRENCY.FORMAT_1),CURRENCY.FORMAT_1,0)),'DICTIONARY-5'!$A$2)</f>
        <v>249,-</v>
      </c>
      <c r="K1875" s="670" t="str">
        <f>IF(EXC.RATE_2=0,"",IFERROR(IF(CURRENCY.FORMAT_2=0,CONCATENATE(TEXT(FIXED(ROUND(IF(EXC.RATE.SWITCH=1,C1875/EXC.RATE_2,C1875*EXC.RATE_2),CURRENCY.FORMAT_2),CURRENCY.FORMAT_2,1),"# ##0;-# ##0"),",-"),FIXED(ROUND(IF(EXC.RATE.SWITCH=1,C1875/EXC.RATE_2,C1875*EXC.RATE_2),CURRENCY.FORMAT_2),CURRENCY.FORMAT_2,0)),'DICTIONARY-5'!$A$2))</f>
        <v/>
      </c>
      <c r="L1875" s="670" t="str">
        <f>IFERROR(IF(CURRENCY.FORMAT_1=0,CONCATENATE(TEXT(FIXED(ROUND((C1875*(1-I1875)*(1-ADD.DISCOUNT)*(1+MAT.SURCHARGE)/EXC.RATE_1),CURRENCY.FORMAT_1),CURRENCY.FORMAT_1,1),"# ##0;-# ##0"),",-"),FIXED(ROUND((C1875*(1-I1875)*(1-ADD.DISCOUNT)*(1+MAT.SURCHARGE)/EXC.RATE_1),CURRENCY.FORMAT_1),CURRENCY.FORMAT_1,0)),'DICTIONARY-5'!$A$2)</f>
        <v>259,-</v>
      </c>
      <c r="M1875" s="670" t="str">
        <f>IF(EXC.RATE_2=0,"",IFERROR(IF(CURRENCY.FORMAT_2=0,CONCATENATE(TEXT(FIXED(ROUND(IF(EXC.RATE.SWITCH=1,C1875*(1-I1875)*(1-ADD.DISCOUNT)*(1+MAT.SURCHARGE)/EXC.RATE_2,C1875*(1-I1875)*(1-ADD.DISCOUNT)*(1+MAT.SURCHARGE)*EXC.RATE_2),CURRENCY.FORMAT_2),CURRENCY.FORMAT_2,1),"# ##0;-# ##0"),",-"),FIXED(ROUND(IF(EXC.RATE.SWITCH=1,C1875*(1-I1875)*(1-ADD.DISCOUNT)*(1+MAT.SURCHARGE)/EXC.RATE_2,C1875*(1-I1875)*(1-ADD.DISCOUNT)*(1+MAT.SURCHARGE)*EXC.RATE_2),CURRENCY.FORMAT_2),CURRENCY.FORMAT_2,0)),'DICTIONARY-5'!$A$2))</f>
        <v/>
      </c>
      <c r="N1875" s="535">
        <v>6</v>
      </c>
      <c r="O1875" s="535"/>
      <c r="P1875" s="731" t="str">
        <f>'DICTIONARY-3'!$A$148</f>
        <v>CEREX 300-L</v>
      </c>
      <c r="Q1875" s="732" t="str">
        <f>'DICTIONARY-3'!$A$204</f>
        <v>Przepustnica kołnierzowa</v>
      </c>
      <c r="R1875" s="732" t="str">
        <f>CONCATENATE('DICTIONARY-3'!$A$148," ",'DICTIONARY-6'!$A$2," ",UPPER('DICTIONARY-5'!$A$18)," ",'DICTIONARY-2'!$A$2,"100"," ",'DICTIONARY-2'!$A$3,"10/16"," ","R20"," ",'DICTIONARY-5'!$A$51,"/",'DICTIONARY-5'!$A$45,", ",'DICTIONARY-4'!$A$3," ",'DICTIONARY-5'!$A$40)</f>
        <v>CEREX 300-L Przep. kołnierz. GAZ DN100 PN10/16 R20 GGG/NBR, DR stal</v>
      </c>
      <c r="S1875" s="733" t="str">
        <f>'DICTIONARY-4'!$A$3</f>
        <v>DR</v>
      </c>
      <c r="T1875" s="732" t="str">
        <f>'DICTIONARY-4'!$A$19</f>
        <v>Dźwignia ręczna</v>
      </c>
      <c r="U1875" s="734" t="s">
        <v>5749</v>
      </c>
      <c r="V1875" s="735">
        <v>16</v>
      </c>
      <c r="W1875" s="736"/>
      <c r="X1875" s="737"/>
      <c r="Y1875" s="738"/>
      <c r="Z1875" s="739"/>
      <c r="AA1875" s="739"/>
      <c r="AB1875" s="740">
        <v>16</v>
      </c>
      <c r="AC1875" s="741" t="str">
        <f>'DICTIONARY-5'!$A$11&amp;" 20"</f>
        <v>EN 558 szereg 20</v>
      </c>
      <c r="AD1875" s="741" t="str">
        <f>'DICTIONARY-5'!$A$18&amp;", "&amp;'DICTIONARY-5'!$A$14</f>
        <v>gaz, ścieki</v>
      </c>
      <c r="AE1875" s="742">
        <v>80</v>
      </c>
      <c r="AF1875" s="743">
        <v>8</v>
      </c>
      <c r="AG1875" s="741" t="str">
        <f>'DICTIONARY-5'!$A$23</f>
        <v>powłoka epoksydowa</v>
      </c>
    </row>
    <row r="1876" spans="1:33" x14ac:dyDescent="0.25">
      <c r="A1876" s="754" t="s">
        <v>1565</v>
      </c>
      <c r="B1876" s="869" t="s">
        <v>3902</v>
      </c>
      <c r="C1876" s="836">
        <v>282</v>
      </c>
      <c r="D1876" s="836"/>
      <c r="E1876" s="836"/>
      <c r="F1876" s="836"/>
      <c r="G1876" s="496" t="s">
        <v>7832</v>
      </c>
      <c r="H1876" s="797" t="str">
        <f>VLOOKUP(G1876,SETTINGS!$B$7:$D$97,2,0)</f>
        <v>CEREX 300</v>
      </c>
      <c r="I1876" s="796">
        <f>VLOOKUP(G1876,SETTINGS!$B$7:$D$97,3,0)</f>
        <v>0</v>
      </c>
      <c r="J1876" s="670" t="str">
        <f>IFERROR(IF(CURRENCY.FORMAT_1=0,CONCATENATE(TEXT(FIXED(ROUND((C1876/EXC.RATE_1),CURRENCY.FORMAT_1),CURRENCY.FORMAT_1,1),"# ##0;-# ##0"),",-"),FIXED(ROUND((C1876/EXC.RATE_1),CURRENCY.FORMAT_1),CURRENCY.FORMAT_1,0)),'DICTIONARY-5'!$A$2)</f>
        <v>282,-</v>
      </c>
      <c r="K1876" s="670" t="str">
        <f>IF(EXC.RATE_2=0,"",IFERROR(IF(CURRENCY.FORMAT_2=0,CONCATENATE(TEXT(FIXED(ROUND(IF(EXC.RATE.SWITCH=1,C1876/EXC.RATE_2,C1876*EXC.RATE_2),CURRENCY.FORMAT_2),CURRENCY.FORMAT_2,1),"# ##0;-# ##0"),",-"),FIXED(ROUND(IF(EXC.RATE.SWITCH=1,C1876/EXC.RATE_2,C1876*EXC.RATE_2),CURRENCY.FORMAT_2),CURRENCY.FORMAT_2,0)),'DICTIONARY-5'!$A$2))</f>
        <v/>
      </c>
      <c r="L1876" s="670" t="str">
        <f>IFERROR(IF(CURRENCY.FORMAT_1=0,CONCATENATE(TEXT(FIXED(ROUND((C1876*(1-I1876)*(1-ADD.DISCOUNT)*(1+MAT.SURCHARGE)/EXC.RATE_1),CURRENCY.FORMAT_1),CURRENCY.FORMAT_1,1),"# ##0;-# ##0"),",-"),FIXED(ROUND((C1876*(1-I1876)*(1-ADD.DISCOUNT)*(1+MAT.SURCHARGE)/EXC.RATE_1),CURRENCY.FORMAT_1),CURRENCY.FORMAT_1,0)),'DICTIONARY-5'!$A$2)</f>
        <v>293,-</v>
      </c>
      <c r="M1876" s="670" t="str">
        <f>IF(EXC.RATE_2=0,"",IFERROR(IF(CURRENCY.FORMAT_2=0,CONCATENATE(TEXT(FIXED(ROUND(IF(EXC.RATE.SWITCH=1,C1876*(1-I1876)*(1-ADD.DISCOUNT)*(1+MAT.SURCHARGE)/EXC.RATE_2,C1876*(1-I1876)*(1-ADD.DISCOUNT)*(1+MAT.SURCHARGE)*EXC.RATE_2),CURRENCY.FORMAT_2),CURRENCY.FORMAT_2,1),"# ##0;-# ##0"),",-"),FIXED(ROUND(IF(EXC.RATE.SWITCH=1,C1876*(1-I1876)*(1-ADD.DISCOUNT)*(1+MAT.SURCHARGE)/EXC.RATE_2,C1876*(1-I1876)*(1-ADD.DISCOUNT)*(1+MAT.SURCHARGE)*EXC.RATE_2),CURRENCY.FORMAT_2),CURRENCY.FORMAT_2,0)),'DICTIONARY-5'!$A$2))</f>
        <v/>
      </c>
      <c r="N1876" s="535">
        <v>6</v>
      </c>
      <c r="O1876" s="535"/>
      <c r="P1876" s="731" t="str">
        <f>'DICTIONARY-3'!$A$148</f>
        <v>CEREX 300-L</v>
      </c>
      <c r="Q1876" s="732" t="str">
        <f>'DICTIONARY-3'!$A$204</f>
        <v>Przepustnica kołnierzowa</v>
      </c>
      <c r="R1876" s="732" t="str">
        <f>CONCATENATE('DICTIONARY-3'!$A$148," ",'DICTIONARY-6'!$A$2," ",UPPER('DICTIONARY-5'!$A$18)," ",'DICTIONARY-2'!$A$2,"125"," ",'DICTIONARY-2'!$A$3,"10/16"," ","R20"," ",'DICTIONARY-5'!$A$51,"/",'DICTIONARY-5'!$A$45,", ",'DICTIONARY-4'!$A$3," ",'DICTIONARY-5'!$A$40)</f>
        <v>CEREX 300-L Przep. kołnierz. GAZ DN125 PN10/16 R20 GGG/NBR, DR stal</v>
      </c>
      <c r="S1876" s="733" t="str">
        <f>'DICTIONARY-4'!$A$3</f>
        <v>DR</v>
      </c>
      <c r="T1876" s="732" t="str">
        <f>'DICTIONARY-4'!$A$19</f>
        <v>Dźwignia ręczna</v>
      </c>
      <c r="U1876" s="734" t="s">
        <v>5761</v>
      </c>
      <c r="V1876" s="735">
        <v>16</v>
      </c>
      <c r="W1876" s="736"/>
      <c r="X1876" s="737"/>
      <c r="Y1876" s="738"/>
      <c r="Z1876" s="739"/>
      <c r="AA1876" s="739"/>
      <c r="AB1876" s="740">
        <v>16</v>
      </c>
      <c r="AC1876" s="741" t="str">
        <f>'DICTIONARY-5'!$A$11&amp;" 20"</f>
        <v>EN 558 szereg 20</v>
      </c>
      <c r="AD1876" s="741" t="str">
        <f>'DICTIONARY-5'!$A$18&amp;", "&amp;'DICTIONARY-5'!$A$14</f>
        <v>gaz, ścieki</v>
      </c>
      <c r="AE1876" s="742">
        <v>80</v>
      </c>
      <c r="AF1876" s="743">
        <v>9.6999999999999993</v>
      </c>
      <c r="AG1876" s="741" t="str">
        <f>'DICTIONARY-5'!$A$23</f>
        <v>powłoka epoksydowa</v>
      </c>
    </row>
    <row r="1877" spans="1:33" x14ac:dyDescent="0.25">
      <c r="A1877" s="754" t="s">
        <v>1567</v>
      </c>
      <c r="B1877" s="869" t="s">
        <v>3908</v>
      </c>
      <c r="C1877" s="836">
        <v>377</v>
      </c>
      <c r="D1877" s="836"/>
      <c r="E1877" s="836"/>
      <c r="F1877" s="836"/>
      <c r="G1877" s="496" t="s">
        <v>7832</v>
      </c>
      <c r="H1877" s="797" t="str">
        <f>VLOOKUP(G1877,SETTINGS!$B$7:$D$97,2,0)</f>
        <v>CEREX 300</v>
      </c>
      <c r="I1877" s="796">
        <f>VLOOKUP(G1877,SETTINGS!$B$7:$D$97,3,0)</f>
        <v>0</v>
      </c>
      <c r="J1877" s="670" t="str">
        <f>IFERROR(IF(CURRENCY.FORMAT_1=0,CONCATENATE(TEXT(FIXED(ROUND((C1877/EXC.RATE_1),CURRENCY.FORMAT_1),CURRENCY.FORMAT_1,1),"# ##0;-# ##0"),",-"),FIXED(ROUND((C1877/EXC.RATE_1),CURRENCY.FORMAT_1),CURRENCY.FORMAT_1,0)),'DICTIONARY-5'!$A$2)</f>
        <v>377,-</v>
      </c>
      <c r="K1877" s="670" t="str">
        <f>IF(EXC.RATE_2=0,"",IFERROR(IF(CURRENCY.FORMAT_2=0,CONCATENATE(TEXT(FIXED(ROUND(IF(EXC.RATE.SWITCH=1,C1877/EXC.RATE_2,C1877*EXC.RATE_2),CURRENCY.FORMAT_2),CURRENCY.FORMAT_2,1),"# ##0;-# ##0"),",-"),FIXED(ROUND(IF(EXC.RATE.SWITCH=1,C1877/EXC.RATE_2,C1877*EXC.RATE_2),CURRENCY.FORMAT_2),CURRENCY.FORMAT_2,0)),'DICTIONARY-5'!$A$2))</f>
        <v/>
      </c>
      <c r="L1877" s="670" t="str">
        <f>IFERROR(IF(CURRENCY.FORMAT_1=0,CONCATENATE(TEXT(FIXED(ROUND((C1877*(1-I1877)*(1-ADD.DISCOUNT)*(1+MAT.SURCHARGE)/EXC.RATE_1),CURRENCY.FORMAT_1),CURRENCY.FORMAT_1,1),"# ##0;-# ##0"),",-"),FIXED(ROUND((C1877*(1-I1877)*(1-ADD.DISCOUNT)*(1+MAT.SURCHARGE)/EXC.RATE_1),CURRENCY.FORMAT_1),CURRENCY.FORMAT_1,0)),'DICTIONARY-5'!$A$2)</f>
        <v>392,-</v>
      </c>
      <c r="M1877" s="670" t="str">
        <f>IF(EXC.RATE_2=0,"",IFERROR(IF(CURRENCY.FORMAT_2=0,CONCATENATE(TEXT(FIXED(ROUND(IF(EXC.RATE.SWITCH=1,C1877*(1-I1877)*(1-ADD.DISCOUNT)*(1+MAT.SURCHARGE)/EXC.RATE_2,C1877*(1-I1877)*(1-ADD.DISCOUNT)*(1+MAT.SURCHARGE)*EXC.RATE_2),CURRENCY.FORMAT_2),CURRENCY.FORMAT_2,1),"# ##0;-# ##0"),",-"),FIXED(ROUND(IF(EXC.RATE.SWITCH=1,C1877*(1-I1877)*(1-ADD.DISCOUNT)*(1+MAT.SURCHARGE)/EXC.RATE_2,C1877*(1-I1877)*(1-ADD.DISCOUNT)*(1+MAT.SURCHARGE)*EXC.RATE_2),CURRENCY.FORMAT_2),CURRENCY.FORMAT_2,0)),'DICTIONARY-5'!$A$2))</f>
        <v/>
      </c>
      <c r="N1877" s="535">
        <v>6</v>
      </c>
      <c r="O1877" s="535"/>
      <c r="P1877" s="731" t="str">
        <f>'DICTIONARY-3'!$A$148</f>
        <v>CEREX 300-L</v>
      </c>
      <c r="Q1877" s="732" t="str">
        <f>'DICTIONARY-3'!$A$204</f>
        <v>Przepustnica kołnierzowa</v>
      </c>
      <c r="R1877" s="732" t="str">
        <f>CONCATENATE('DICTIONARY-3'!$A$148," ",'DICTIONARY-6'!$A$2," ",UPPER('DICTIONARY-5'!$A$18)," ",'DICTIONARY-2'!$A$2,"150"," ",'DICTIONARY-2'!$A$3,"10/16"," ","R20"," ",'DICTIONARY-5'!$A$51,"/",'DICTIONARY-5'!$A$45,", ",'DICTIONARY-4'!$A$3," ",'DICTIONARY-5'!$A$40)</f>
        <v>CEREX 300-L Przep. kołnierz. GAZ DN150 PN10/16 R20 GGG/NBR, DR stal</v>
      </c>
      <c r="S1877" s="733" t="str">
        <f>'DICTIONARY-4'!$A$3</f>
        <v>DR</v>
      </c>
      <c r="T1877" s="732" t="str">
        <f>'DICTIONARY-4'!$A$19</f>
        <v>Dźwignia ręczna</v>
      </c>
      <c r="U1877" s="734" t="s">
        <v>5572</v>
      </c>
      <c r="V1877" s="735">
        <v>16</v>
      </c>
      <c r="W1877" s="736"/>
      <c r="X1877" s="737"/>
      <c r="Y1877" s="738"/>
      <c r="Z1877" s="739"/>
      <c r="AA1877" s="739"/>
      <c r="AB1877" s="740">
        <v>16</v>
      </c>
      <c r="AC1877" s="741" t="str">
        <f>'DICTIONARY-5'!$A$11&amp;" 20"</f>
        <v>EN 558 szereg 20</v>
      </c>
      <c r="AD1877" s="741" t="str">
        <f>'DICTIONARY-5'!$A$18&amp;", "&amp;'DICTIONARY-5'!$A$14</f>
        <v>gaz, ścieki</v>
      </c>
      <c r="AE1877" s="742">
        <v>80</v>
      </c>
      <c r="AF1877" s="743">
        <v>11</v>
      </c>
      <c r="AG1877" s="741" t="str">
        <f>'DICTIONARY-5'!$A$23</f>
        <v>powłoka epoksydowa</v>
      </c>
    </row>
    <row r="1878" spans="1:33" x14ac:dyDescent="0.25">
      <c r="A1878" s="754" t="s">
        <v>1569</v>
      </c>
      <c r="B1878" s="869" t="s">
        <v>3958</v>
      </c>
      <c r="C1878" s="836">
        <v>483</v>
      </c>
      <c r="D1878" s="836"/>
      <c r="E1878" s="836"/>
      <c r="F1878" s="836"/>
      <c r="G1878" s="496" t="s">
        <v>7832</v>
      </c>
      <c r="H1878" s="797" t="str">
        <f>VLOOKUP(G1878,SETTINGS!$B$7:$D$97,2,0)</f>
        <v>CEREX 300</v>
      </c>
      <c r="I1878" s="796">
        <f>VLOOKUP(G1878,SETTINGS!$B$7:$D$97,3,0)</f>
        <v>0</v>
      </c>
      <c r="J1878" s="670" t="str">
        <f>IFERROR(IF(CURRENCY.FORMAT_1=0,CONCATENATE(TEXT(FIXED(ROUND((C1878/EXC.RATE_1),CURRENCY.FORMAT_1),CURRENCY.FORMAT_1,1),"# ##0;-# ##0"),",-"),FIXED(ROUND((C1878/EXC.RATE_1),CURRENCY.FORMAT_1),CURRENCY.FORMAT_1,0)),'DICTIONARY-5'!$A$2)</f>
        <v>483,-</v>
      </c>
      <c r="K1878" s="670" t="str">
        <f>IF(EXC.RATE_2=0,"",IFERROR(IF(CURRENCY.FORMAT_2=0,CONCATENATE(TEXT(FIXED(ROUND(IF(EXC.RATE.SWITCH=1,C1878/EXC.RATE_2,C1878*EXC.RATE_2),CURRENCY.FORMAT_2),CURRENCY.FORMAT_2,1),"# ##0;-# ##0"),",-"),FIXED(ROUND(IF(EXC.RATE.SWITCH=1,C1878/EXC.RATE_2,C1878*EXC.RATE_2),CURRENCY.FORMAT_2),CURRENCY.FORMAT_2,0)),'DICTIONARY-5'!$A$2))</f>
        <v/>
      </c>
      <c r="L1878" s="670" t="str">
        <f>IFERROR(IF(CURRENCY.FORMAT_1=0,CONCATENATE(TEXT(FIXED(ROUND((C1878*(1-I1878)*(1-ADD.DISCOUNT)*(1+MAT.SURCHARGE)/EXC.RATE_1),CURRENCY.FORMAT_1),CURRENCY.FORMAT_1,1),"# ##0;-# ##0"),",-"),FIXED(ROUND((C1878*(1-I1878)*(1-ADD.DISCOUNT)*(1+MAT.SURCHARGE)/EXC.RATE_1),CURRENCY.FORMAT_1),CURRENCY.FORMAT_1,0)),'DICTIONARY-5'!$A$2)</f>
        <v>502,-</v>
      </c>
      <c r="M1878" s="670" t="str">
        <f>IF(EXC.RATE_2=0,"",IFERROR(IF(CURRENCY.FORMAT_2=0,CONCATENATE(TEXT(FIXED(ROUND(IF(EXC.RATE.SWITCH=1,C1878*(1-I1878)*(1-ADD.DISCOUNT)*(1+MAT.SURCHARGE)/EXC.RATE_2,C1878*(1-I1878)*(1-ADD.DISCOUNT)*(1+MAT.SURCHARGE)*EXC.RATE_2),CURRENCY.FORMAT_2),CURRENCY.FORMAT_2,1),"# ##0;-# ##0"),",-"),FIXED(ROUND(IF(EXC.RATE.SWITCH=1,C1878*(1-I1878)*(1-ADD.DISCOUNT)*(1+MAT.SURCHARGE)/EXC.RATE_2,C1878*(1-I1878)*(1-ADD.DISCOUNT)*(1+MAT.SURCHARGE)*EXC.RATE_2),CURRENCY.FORMAT_2),CURRENCY.FORMAT_2,0)),'DICTIONARY-5'!$A$2))</f>
        <v/>
      </c>
      <c r="N1878" s="535">
        <v>6</v>
      </c>
      <c r="O1878" s="535"/>
      <c r="P1878" s="731" t="str">
        <f>'DICTIONARY-3'!$A$148</f>
        <v>CEREX 300-L</v>
      </c>
      <c r="Q1878" s="732" t="str">
        <f>'DICTIONARY-3'!$A$204</f>
        <v>Przepustnica kołnierzowa</v>
      </c>
      <c r="R1878" s="732" t="str">
        <f>CONCATENATE('DICTIONARY-3'!$A$148," ",'DICTIONARY-6'!$A$2," ",UPPER('DICTIONARY-5'!$A$18)," ",'DICTIONARY-2'!$A$2,"200"," ",'DICTIONARY-2'!$A$3,"10"," ","R20"," ",'DICTIONARY-5'!$A$51,"/",'DICTIONARY-5'!$A$45,", ",'DICTIONARY-4'!$A$3," ",'DICTIONARY-5'!$A$40)</f>
        <v>CEREX 300-L Przep. kołnierz. GAZ DN200 PN10 R20 GGG/NBR, DR stal</v>
      </c>
      <c r="S1878" s="733" t="str">
        <f>'DICTIONARY-4'!$A$3</f>
        <v>DR</v>
      </c>
      <c r="T1878" s="732" t="str">
        <f>'DICTIONARY-4'!$A$19</f>
        <v>Dźwignia ręczna</v>
      </c>
      <c r="U1878" s="734" t="s">
        <v>5750</v>
      </c>
      <c r="V1878" s="735">
        <v>10</v>
      </c>
      <c r="W1878" s="736"/>
      <c r="X1878" s="737"/>
      <c r="Y1878" s="738"/>
      <c r="Z1878" s="739"/>
      <c r="AA1878" s="739"/>
      <c r="AB1878" s="740">
        <v>10</v>
      </c>
      <c r="AC1878" s="741" t="str">
        <f>'DICTIONARY-5'!$A$11&amp;" 20"</f>
        <v>EN 558 szereg 20</v>
      </c>
      <c r="AD1878" s="741" t="str">
        <f>'DICTIONARY-5'!$A$18&amp;", "&amp;'DICTIONARY-5'!$A$14</f>
        <v>gaz, ścieki</v>
      </c>
      <c r="AE1878" s="742">
        <v>80</v>
      </c>
      <c r="AF1878" s="743">
        <v>18</v>
      </c>
      <c r="AG1878" s="741" t="str">
        <f>'DICTIONARY-5'!$A$23</f>
        <v>powłoka epoksydowa</v>
      </c>
    </row>
    <row r="1879" spans="1:33" x14ac:dyDescent="0.25">
      <c r="A1879" s="754" t="s">
        <v>1571</v>
      </c>
      <c r="B1879" s="869" t="s">
        <v>3914</v>
      </c>
      <c r="C1879" s="836">
        <v>530</v>
      </c>
      <c r="D1879" s="836"/>
      <c r="E1879" s="836"/>
      <c r="F1879" s="836"/>
      <c r="G1879" s="496" t="s">
        <v>7832</v>
      </c>
      <c r="H1879" s="797" t="str">
        <f>VLOOKUP(G1879,SETTINGS!$B$7:$D$97,2,0)</f>
        <v>CEREX 300</v>
      </c>
      <c r="I1879" s="796">
        <f>VLOOKUP(G1879,SETTINGS!$B$7:$D$97,3,0)</f>
        <v>0</v>
      </c>
      <c r="J1879" s="670" t="str">
        <f>IFERROR(IF(CURRENCY.FORMAT_1=0,CONCATENATE(TEXT(FIXED(ROUND((C1879/EXC.RATE_1),CURRENCY.FORMAT_1),CURRENCY.FORMAT_1,1),"# ##0;-# ##0"),",-"),FIXED(ROUND((C1879/EXC.RATE_1),CURRENCY.FORMAT_1),CURRENCY.FORMAT_1,0)),'DICTIONARY-5'!$A$2)</f>
        <v>530,-</v>
      </c>
      <c r="K1879" s="670" t="str">
        <f>IF(EXC.RATE_2=0,"",IFERROR(IF(CURRENCY.FORMAT_2=0,CONCATENATE(TEXT(FIXED(ROUND(IF(EXC.RATE.SWITCH=1,C1879/EXC.RATE_2,C1879*EXC.RATE_2),CURRENCY.FORMAT_2),CURRENCY.FORMAT_2,1),"# ##0;-# ##0"),",-"),FIXED(ROUND(IF(EXC.RATE.SWITCH=1,C1879/EXC.RATE_2,C1879*EXC.RATE_2),CURRENCY.FORMAT_2),CURRENCY.FORMAT_2,0)),'DICTIONARY-5'!$A$2))</f>
        <v/>
      </c>
      <c r="L1879" s="670" t="str">
        <f>IFERROR(IF(CURRENCY.FORMAT_1=0,CONCATENATE(TEXT(FIXED(ROUND((C1879*(1-I1879)*(1-ADD.DISCOUNT)*(1+MAT.SURCHARGE)/EXC.RATE_1),CURRENCY.FORMAT_1),CURRENCY.FORMAT_1,1),"# ##0;-# ##0"),",-"),FIXED(ROUND((C1879*(1-I1879)*(1-ADD.DISCOUNT)*(1+MAT.SURCHARGE)/EXC.RATE_1),CURRENCY.FORMAT_1),CURRENCY.FORMAT_1,0)),'DICTIONARY-5'!$A$2)</f>
        <v>551,-</v>
      </c>
      <c r="M1879" s="670" t="str">
        <f>IF(EXC.RATE_2=0,"",IFERROR(IF(CURRENCY.FORMAT_2=0,CONCATENATE(TEXT(FIXED(ROUND(IF(EXC.RATE.SWITCH=1,C1879*(1-I1879)*(1-ADD.DISCOUNT)*(1+MAT.SURCHARGE)/EXC.RATE_2,C1879*(1-I1879)*(1-ADD.DISCOUNT)*(1+MAT.SURCHARGE)*EXC.RATE_2),CURRENCY.FORMAT_2),CURRENCY.FORMAT_2,1),"# ##0;-# ##0"),",-"),FIXED(ROUND(IF(EXC.RATE.SWITCH=1,C1879*(1-I1879)*(1-ADD.DISCOUNT)*(1+MAT.SURCHARGE)/EXC.RATE_2,C1879*(1-I1879)*(1-ADD.DISCOUNT)*(1+MAT.SURCHARGE)*EXC.RATE_2),CURRENCY.FORMAT_2),CURRENCY.FORMAT_2,0)),'DICTIONARY-5'!$A$2))</f>
        <v/>
      </c>
      <c r="N1879" s="535">
        <v>6</v>
      </c>
      <c r="O1879" s="535"/>
      <c r="P1879" s="731" t="str">
        <f>'DICTIONARY-3'!$A$148</f>
        <v>CEREX 300-L</v>
      </c>
      <c r="Q1879" s="732" t="str">
        <f>'DICTIONARY-3'!$A$204</f>
        <v>Przepustnica kołnierzowa</v>
      </c>
      <c r="R1879" s="732" t="str">
        <f>CONCATENATE('DICTIONARY-3'!$A$148," ",'DICTIONARY-6'!$A$2," ",UPPER('DICTIONARY-5'!$A$18)," ",'DICTIONARY-2'!$A$2,"200"," ",'DICTIONARY-2'!$A$3,"16"," ","R20"," ",'DICTIONARY-5'!$A$51,"/",'DICTIONARY-5'!$A$45,", ",'DICTIONARY-4'!$A$3," ",'DICTIONARY-5'!$A$40)</f>
        <v>CEREX 300-L Przep. kołnierz. GAZ DN200 PN16 R20 GGG/NBR, DR stal</v>
      </c>
      <c r="S1879" s="733" t="str">
        <f>'DICTIONARY-4'!$A$3</f>
        <v>DR</v>
      </c>
      <c r="T1879" s="732" t="str">
        <f>'DICTIONARY-4'!$A$19</f>
        <v>Dźwignia ręczna</v>
      </c>
      <c r="U1879" s="734" t="s">
        <v>5750</v>
      </c>
      <c r="V1879" s="735">
        <v>16</v>
      </c>
      <c r="W1879" s="736"/>
      <c r="X1879" s="737"/>
      <c r="Y1879" s="738"/>
      <c r="Z1879" s="739"/>
      <c r="AA1879" s="739"/>
      <c r="AB1879" s="740">
        <v>16</v>
      </c>
      <c r="AC1879" s="741" t="str">
        <f>'DICTIONARY-5'!$A$11&amp;" 20"</f>
        <v>EN 558 szereg 20</v>
      </c>
      <c r="AD1879" s="741" t="str">
        <f>'DICTIONARY-5'!$A$18&amp;", "&amp;'DICTIONARY-5'!$A$14</f>
        <v>gaz, ścieki</v>
      </c>
      <c r="AE1879" s="742">
        <v>80</v>
      </c>
      <c r="AF1879" s="743">
        <v>19.2</v>
      </c>
      <c r="AG1879" s="741" t="str">
        <f>'DICTIONARY-5'!$A$23</f>
        <v>powłoka epoksydowa</v>
      </c>
    </row>
    <row r="1880" spans="1:33" x14ac:dyDescent="0.25">
      <c r="A1880" s="754" t="s">
        <v>1558</v>
      </c>
      <c r="B1880" s="869" t="s">
        <v>3822</v>
      </c>
      <c r="C1880" s="836">
        <v>178</v>
      </c>
      <c r="D1880" s="836"/>
      <c r="E1880" s="836"/>
      <c r="F1880" s="836"/>
      <c r="G1880" s="496" t="s">
        <v>7832</v>
      </c>
      <c r="H1880" s="797" t="str">
        <f>VLOOKUP(G1880,SETTINGS!$B$7:$D$97,2,0)</f>
        <v>CEREX 300</v>
      </c>
      <c r="I1880" s="796">
        <f>VLOOKUP(G1880,SETTINGS!$B$7:$D$97,3,0)</f>
        <v>0</v>
      </c>
      <c r="J1880" s="670" t="str">
        <f>IFERROR(IF(CURRENCY.FORMAT_1=0,CONCATENATE(TEXT(FIXED(ROUND((C1880/EXC.RATE_1),CURRENCY.FORMAT_1),CURRENCY.FORMAT_1,1),"# ##0;-# ##0"),",-"),FIXED(ROUND((C1880/EXC.RATE_1),CURRENCY.FORMAT_1),CURRENCY.FORMAT_1,0)),'DICTIONARY-5'!$A$2)</f>
        <v>178,-</v>
      </c>
      <c r="K1880" s="670" t="str">
        <f>IF(EXC.RATE_2=0,"",IFERROR(IF(CURRENCY.FORMAT_2=0,CONCATENATE(TEXT(FIXED(ROUND(IF(EXC.RATE.SWITCH=1,C1880/EXC.RATE_2,C1880*EXC.RATE_2),CURRENCY.FORMAT_2),CURRENCY.FORMAT_2,1),"# ##0;-# ##0"),",-"),FIXED(ROUND(IF(EXC.RATE.SWITCH=1,C1880/EXC.RATE_2,C1880*EXC.RATE_2),CURRENCY.FORMAT_2),CURRENCY.FORMAT_2,0)),'DICTIONARY-5'!$A$2))</f>
        <v/>
      </c>
      <c r="L1880" s="670" t="str">
        <f>IFERROR(IF(CURRENCY.FORMAT_1=0,CONCATENATE(TEXT(FIXED(ROUND((C1880*(1-I1880)*(1-ADD.DISCOUNT)*(1+MAT.SURCHARGE)/EXC.RATE_1),CURRENCY.FORMAT_1),CURRENCY.FORMAT_1,1),"# ##0;-# ##0"),",-"),FIXED(ROUND((C1880*(1-I1880)*(1-ADD.DISCOUNT)*(1+MAT.SURCHARGE)/EXC.RATE_1),CURRENCY.FORMAT_1),CURRENCY.FORMAT_1,0)),'DICTIONARY-5'!$A$2)</f>
        <v>185,-</v>
      </c>
      <c r="M1880" s="670" t="str">
        <f>IF(EXC.RATE_2=0,"",IFERROR(IF(CURRENCY.FORMAT_2=0,CONCATENATE(TEXT(FIXED(ROUND(IF(EXC.RATE.SWITCH=1,C1880*(1-I1880)*(1-ADD.DISCOUNT)*(1+MAT.SURCHARGE)/EXC.RATE_2,C1880*(1-I1880)*(1-ADD.DISCOUNT)*(1+MAT.SURCHARGE)*EXC.RATE_2),CURRENCY.FORMAT_2),CURRENCY.FORMAT_2,1),"# ##0;-# ##0"),",-"),FIXED(ROUND(IF(EXC.RATE.SWITCH=1,C1880*(1-I1880)*(1-ADD.DISCOUNT)*(1+MAT.SURCHARGE)/EXC.RATE_2,C1880*(1-I1880)*(1-ADD.DISCOUNT)*(1+MAT.SURCHARGE)*EXC.RATE_2),CURRENCY.FORMAT_2),CURRENCY.FORMAT_2,0)),'DICTIONARY-5'!$A$2))</f>
        <v/>
      </c>
      <c r="N1880" s="535">
        <v>6</v>
      </c>
      <c r="O1880" s="535"/>
      <c r="P1880" s="731" t="str">
        <f>'DICTIONARY-3'!$A$148</f>
        <v>CEREX 300-L</v>
      </c>
      <c r="Q1880" s="732" t="str">
        <f>'DICTIONARY-3'!$A$204</f>
        <v>Przepustnica kołnierzowa</v>
      </c>
      <c r="R1880" s="732" t="str">
        <f>CONCATENATE('DICTIONARY-3'!$A$148," ",'DICTIONARY-6'!$A$2," ",UPPER('DICTIONARY-5'!$A$18)," ",'DICTIONARY-2'!$A$2,"50"," ",'DICTIONARY-2'!$A$3,"10/16"," ","R20"," ",'DICTIONARY-5'!$A$37,"/",'DICTIONARY-5'!$A$45,", ",'DICTIONARY-4'!$A$3," ",'DICTIONARY-5'!$A$40)</f>
        <v>CEREX 300-L Przep. kołnierz. GAZ DN50 PN10/16 R20 CF8M/NBR, DR stal</v>
      </c>
      <c r="S1880" s="733" t="str">
        <f>'DICTIONARY-4'!$A$3</f>
        <v>DR</v>
      </c>
      <c r="T1880" s="732" t="str">
        <f>'DICTIONARY-4'!$A$19</f>
        <v>Dźwignia ręczna</v>
      </c>
      <c r="U1880" s="734" t="s">
        <v>5748</v>
      </c>
      <c r="V1880" s="735">
        <v>16</v>
      </c>
      <c r="W1880" s="736"/>
      <c r="X1880" s="737"/>
      <c r="Y1880" s="738"/>
      <c r="Z1880" s="739"/>
      <c r="AA1880" s="739"/>
      <c r="AB1880" s="740">
        <v>16</v>
      </c>
      <c r="AC1880" s="741" t="str">
        <f>'DICTIONARY-5'!$A$11&amp;" 20"</f>
        <v>EN 558 szereg 20</v>
      </c>
      <c r="AD1880" s="741" t="str">
        <f>'DICTIONARY-5'!$A$18&amp;", "&amp;'DICTIONARY-5'!$A$14</f>
        <v>gaz, ścieki</v>
      </c>
      <c r="AE1880" s="742">
        <v>80</v>
      </c>
      <c r="AF1880" s="743">
        <v>3.5</v>
      </c>
      <c r="AG1880" s="741" t="str">
        <f>'DICTIONARY-5'!$A$23</f>
        <v>powłoka epoksydowa</v>
      </c>
    </row>
    <row r="1881" spans="1:33" x14ac:dyDescent="0.25">
      <c r="A1881" s="754" t="s">
        <v>1560</v>
      </c>
      <c r="B1881" s="869" t="s">
        <v>3828</v>
      </c>
      <c r="C1881" s="836">
        <v>191</v>
      </c>
      <c r="D1881" s="836"/>
      <c r="E1881" s="836"/>
      <c r="F1881" s="836"/>
      <c r="G1881" s="496" t="s">
        <v>7832</v>
      </c>
      <c r="H1881" s="797" t="str">
        <f>VLOOKUP(G1881,SETTINGS!$B$7:$D$97,2,0)</f>
        <v>CEREX 300</v>
      </c>
      <c r="I1881" s="796">
        <f>VLOOKUP(G1881,SETTINGS!$B$7:$D$97,3,0)</f>
        <v>0</v>
      </c>
      <c r="J1881" s="670" t="str">
        <f>IFERROR(IF(CURRENCY.FORMAT_1=0,CONCATENATE(TEXT(FIXED(ROUND((C1881/EXC.RATE_1),CURRENCY.FORMAT_1),CURRENCY.FORMAT_1,1),"# ##0;-# ##0"),",-"),FIXED(ROUND((C1881/EXC.RATE_1),CURRENCY.FORMAT_1),CURRENCY.FORMAT_1,0)),'DICTIONARY-5'!$A$2)</f>
        <v>191,-</v>
      </c>
      <c r="K1881" s="670" t="str">
        <f>IF(EXC.RATE_2=0,"",IFERROR(IF(CURRENCY.FORMAT_2=0,CONCATENATE(TEXT(FIXED(ROUND(IF(EXC.RATE.SWITCH=1,C1881/EXC.RATE_2,C1881*EXC.RATE_2),CURRENCY.FORMAT_2),CURRENCY.FORMAT_2,1),"# ##0;-# ##0"),",-"),FIXED(ROUND(IF(EXC.RATE.SWITCH=1,C1881/EXC.RATE_2,C1881*EXC.RATE_2),CURRENCY.FORMAT_2),CURRENCY.FORMAT_2,0)),'DICTIONARY-5'!$A$2))</f>
        <v/>
      </c>
      <c r="L1881" s="670" t="str">
        <f>IFERROR(IF(CURRENCY.FORMAT_1=0,CONCATENATE(TEXT(FIXED(ROUND((C1881*(1-I1881)*(1-ADD.DISCOUNT)*(1+MAT.SURCHARGE)/EXC.RATE_1),CURRENCY.FORMAT_1),CURRENCY.FORMAT_1,1),"# ##0;-# ##0"),",-"),FIXED(ROUND((C1881*(1-I1881)*(1-ADD.DISCOUNT)*(1+MAT.SURCHARGE)/EXC.RATE_1),CURRENCY.FORMAT_1),CURRENCY.FORMAT_1,0)),'DICTIONARY-5'!$A$2)</f>
        <v>198,-</v>
      </c>
      <c r="M1881" s="670" t="str">
        <f>IF(EXC.RATE_2=0,"",IFERROR(IF(CURRENCY.FORMAT_2=0,CONCATENATE(TEXT(FIXED(ROUND(IF(EXC.RATE.SWITCH=1,C1881*(1-I1881)*(1-ADD.DISCOUNT)*(1+MAT.SURCHARGE)/EXC.RATE_2,C1881*(1-I1881)*(1-ADD.DISCOUNT)*(1+MAT.SURCHARGE)*EXC.RATE_2),CURRENCY.FORMAT_2),CURRENCY.FORMAT_2,1),"# ##0;-# ##0"),",-"),FIXED(ROUND(IF(EXC.RATE.SWITCH=1,C1881*(1-I1881)*(1-ADD.DISCOUNT)*(1+MAT.SURCHARGE)/EXC.RATE_2,C1881*(1-I1881)*(1-ADD.DISCOUNT)*(1+MAT.SURCHARGE)*EXC.RATE_2),CURRENCY.FORMAT_2),CURRENCY.FORMAT_2,0)),'DICTIONARY-5'!$A$2))</f>
        <v/>
      </c>
      <c r="N1881" s="535">
        <v>6</v>
      </c>
      <c r="O1881" s="535"/>
      <c r="P1881" s="731" t="str">
        <f>'DICTIONARY-3'!$A$148</f>
        <v>CEREX 300-L</v>
      </c>
      <c r="Q1881" s="732" t="str">
        <f>'DICTIONARY-3'!$A$204</f>
        <v>Przepustnica kołnierzowa</v>
      </c>
      <c r="R1881" s="732" t="str">
        <f>CONCATENATE('DICTIONARY-3'!$A$148," ",'DICTIONARY-6'!$A$2," ",UPPER('DICTIONARY-5'!$A$18)," ",'DICTIONARY-2'!$A$2,"65"," ",'DICTIONARY-2'!$A$3,"10/16"," ","R20"," ",'DICTIONARY-5'!$A$37,"/",'DICTIONARY-5'!$A$45,", ",'DICTIONARY-4'!$A$3," ",'DICTIONARY-5'!$A$40)</f>
        <v>CEREX 300-L Przep. kołnierz. GAZ DN65 PN10/16 R20 CF8M/NBR, DR stal</v>
      </c>
      <c r="S1881" s="733" t="str">
        <f>'DICTIONARY-4'!$A$3</f>
        <v>DR</v>
      </c>
      <c r="T1881" s="732" t="str">
        <f>'DICTIONARY-4'!$A$19</f>
        <v>Dźwignia ręczna</v>
      </c>
      <c r="U1881" s="734" t="s">
        <v>5759</v>
      </c>
      <c r="V1881" s="735">
        <v>16</v>
      </c>
      <c r="W1881" s="736"/>
      <c r="X1881" s="737"/>
      <c r="Y1881" s="738"/>
      <c r="Z1881" s="739"/>
      <c r="AA1881" s="739"/>
      <c r="AB1881" s="740">
        <v>16</v>
      </c>
      <c r="AC1881" s="741" t="str">
        <f>'DICTIONARY-5'!$A$11&amp;" 20"</f>
        <v>EN 558 szereg 20</v>
      </c>
      <c r="AD1881" s="741" t="str">
        <f>'DICTIONARY-5'!$A$18&amp;", "&amp;'DICTIONARY-5'!$A$14</f>
        <v>gaz, ścieki</v>
      </c>
      <c r="AE1881" s="742">
        <v>80</v>
      </c>
      <c r="AF1881" s="743">
        <v>4.5</v>
      </c>
      <c r="AG1881" s="741" t="str">
        <f>'DICTIONARY-5'!$A$23</f>
        <v>powłoka epoksydowa</v>
      </c>
    </row>
    <row r="1882" spans="1:33" x14ac:dyDescent="0.25">
      <c r="A1882" s="754" t="s">
        <v>1562</v>
      </c>
      <c r="B1882" s="869" t="s">
        <v>3834</v>
      </c>
      <c r="C1882" s="836">
        <v>223</v>
      </c>
      <c r="D1882" s="836"/>
      <c r="E1882" s="836"/>
      <c r="F1882" s="836"/>
      <c r="G1882" s="496" t="s">
        <v>7832</v>
      </c>
      <c r="H1882" s="797" t="str">
        <f>VLOOKUP(G1882,SETTINGS!$B$7:$D$97,2,0)</f>
        <v>CEREX 300</v>
      </c>
      <c r="I1882" s="796">
        <f>VLOOKUP(G1882,SETTINGS!$B$7:$D$97,3,0)</f>
        <v>0</v>
      </c>
      <c r="J1882" s="670" t="str">
        <f>IFERROR(IF(CURRENCY.FORMAT_1=0,CONCATENATE(TEXT(FIXED(ROUND((C1882/EXC.RATE_1),CURRENCY.FORMAT_1),CURRENCY.FORMAT_1,1),"# ##0;-# ##0"),",-"),FIXED(ROUND((C1882/EXC.RATE_1),CURRENCY.FORMAT_1),CURRENCY.FORMAT_1,0)),'DICTIONARY-5'!$A$2)</f>
        <v>223,-</v>
      </c>
      <c r="K1882" s="670" t="str">
        <f>IF(EXC.RATE_2=0,"",IFERROR(IF(CURRENCY.FORMAT_2=0,CONCATENATE(TEXT(FIXED(ROUND(IF(EXC.RATE.SWITCH=1,C1882/EXC.RATE_2,C1882*EXC.RATE_2),CURRENCY.FORMAT_2),CURRENCY.FORMAT_2,1),"# ##0;-# ##0"),",-"),FIXED(ROUND(IF(EXC.RATE.SWITCH=1,C1882/EXC.RATE_2,C1882*EXC.RATE_2),CURRENCY.FORMAT_2),CURRENCY.FORMAT_2,0)),'DICTIONARY-5'!$A$2))</f>
        <v/>
      </c>
      <c r="L1882" s="670" t="str">
        <f>IFERROR(IF(CURRENCY.FORMAT_1=0,CONCATENATE(TEXT(FIXED(ROUND((C1882*(1-I1882)*(1-ADD.DISCOUNT)*(1+MAT.SURCHARGE)/EXC.RATE_1),CURRENCY.FORMAT_1),CURRENCY.FORMAT_1,1),"# ##0;-# ##0"),",-"),FIXED(ROUND((C1882*(1-I1882)*(1-ADD.DISCOUNT)*(1+MAT.SURCHARGE)/EXC.RATE_1),CURRENCY.FORMAT_1),CURRENCY.FORMAT_1,0)),'DICTIONARY-5'!$A$2)</f>
        <v>232,-</v>
      </c>
      <c r="M1882" s="670" t="str">
        <f>IF(EXC.RATE_2=0,"",IFERROR(IF(CURRENCY.FORMAT_2=0,CONCATENATE(TEXT(FIXED(ROUND(IF(EXC.RATE.SWITCH=1,C1882*(1-I1882)*(1-ADD.DISCOUNT)*(1+MAT.SURCHARGE)/EXC.RATE_2,C1882*(1-I1882)*(1-ADD.DISCOUNT)*(1+MAT.SURCHARGE)*EXC.RATE_2),CURRENCY.FORMAT_2),CURRENCY.FORMAT_2,1),"# ##0;-# ##0"),",-"),FIXED(ROUND(IF(EXC.RATE.SWITCH=1,C1882*(1-I1882)*(1-ADD.DISCOUNT)*(1+MAT.SURCHARGE)/EXC.RATE_2,C1882*(1-I1882)*(1-ADD.DISCOUNT)*(1+MAT.SURCHARGE)*EXC.RATE_2),CURRENCY.FORMAT_2),CURRENCY.FORMAT_2,0)),'DICTIONARY-5'!$A$2))</f>
        <v/>
      </c>
      <c r="N1882" s="535">
        <v>6</v>
      </c>
      <c r="O1882" s="535"/>
      <c r="P1882" s="731" t="str">
        <f>'DICTIONARY-3'!$A$148</f>
        <v>CEREX 300-L</v>
      </c>
      <c r="Q1882" s="732" t="str">
        <f>'DICTIONARY-3'!$A$204</f>
        <v>Przepustnica kołnierzowa</v>
      </c>
      <c r="R1882" s="732" t="str">
        <f>CONCATENATE('DICTIONARY-3'!$A$148," ",'DICTIONARY-6'!$A$2," ",UPPER('DICTIONARY-5'!$A$18)," ",'DICTIONARY-2'!$A$2,"80"," ",'DICTIONARY-2'!$A$3,"10/16"," ","R20"," ",'DICTIONARY-5'!$A$37,"/",'DICTIONARY-5'!$A$45,", ",'DICTIONARY-4'!$A$3," ",'DICTIONARY-5'!$A$40)</f>
        <v>CEREX 300-L Przep. kołnierz. GAZ DN80 PN10/16 R20 CF8M/NBR, DR stal</v>
      </c>
      <c r="S1882" s="733" t="str">
        <f>'DICTIONARY-4'!$A$3</f>
        <v>DR</v>
      </c>
      <c r="T1882" s="732" t="str">
        <f>'DICTIONARY-4'!$A$19</f>
        <v>Dźwignia ręczna</v>
      </c>
      <c r="U1882" s="734" t="s">
        <v>5760</v>
      </c>
      <c r="V1882" s="735">
        <v>16</v>
      </c>
      <c r="W1882" s="736"/>
      <c r="X1882" s="737"/>
      <c r="Y1882" s="738"/>
      <c r="Z1882" s="739"/>
      <c r="AA1882" s="739"/>
      <c r="AB1882" s="740">
        <v>16</v>
      </c>
      <c r="AC1882" s="741" t="str">
        <f>'DICTIONARY-5'!$A$11&amp;" 20"</f>
        <v>EN 558 szereg 20</v>
      </c>
      <c r="AD1882" s="741" t="str">
        <f>'DICTIONARY-5'!$A$18&amp;", "&amp;'DICTIONARY-5'!$A$14</f>
        <v>gaz, ścieki</v>
      </c>
      <c r="AE1882" s="742">
        <v>80</v>
      </c>
      <c r="AF1882" s="743">
        <v>4.5</v>
      </c>
      <c r="AG1882" s="741" t="str">
        <f>'DICTIONARY-5'!$A$23</f>
        <v>powłoka epoksydowa</v>
      </c>
    </row>
    <row r="1883" spans="1:33" x14ac:dyDescent="0.25">
      <c r="A1883" s="754" t="s">
        <v>1564</v>
      </c>
      <c r="B1883" s="869" t="s">
        <v>3840</v>
      </c>
      <c r="C1883" s="836">
        <v>255</v>
      </c>
      <c r="D1883" s="836"/>
      <c r="E1883" s="836"/>
      <c r="F1883" s="836"/>
      <c r="G1883" s="496" t="s">
        <v>7832</v>
      </c>
      <c r="H1883" s="797" t="str">
        <f>VLOOKUP(G1883,SETTINGS!$B$7:$D$97,2,0)</f>
        <v>CEREX 300</v>
      </c>
      <c r="I1883" s="796">
        <f>VLOOKUP(G1883,SETTINGS!$B$7:$D$97,3,0)</f>
        <v>0</v>
      </c>
      <c r="J1883" s="670" t="str">
        <f>IFERROR(IF(CURRENCY.FORMAT_1=0,CONCATENATE(TEXT(FIXED(ROUND((C1883/EXC.RATE_1),CURRENCY.FORMAT_1),CURRENCY.FORMAT_1,1),"# ##0;-# ##0"),",-"),FIXED(ROUND((C1883/EXC.RATE_1),CURRENCY.FORMAT_1),CURRENCY.FORMAT_1,0)),'DICTIONARY-5'!$A$2)</f>
        <v>255,-</v>
      </c>
      <c r="K1883" s="670" t="str">
        <f>IF(EXC.RATE_2=0,"",IFERROR(IF(CURRENCY.FORMAT_2=0,CONCATENATE(TEXT(FIXED(ROUND(IF(EXC.RATE.SWITCH=1,C1883/EXC.RATE_2,C1883*EXC.RATE_2),CURRENCY.FORMAT_2),CURRENCY.FORMAT_2,1),"# ##0;-# ##0"),",-"),FIXED(ROUND(IF(EXC.RATE.SWITCH=1,C1883/EXC.RATE_2,C1883*EXC.RATE_2),CURRENCY.FORMAT_2),CURRENCY.FORMAT_2,0)),'DICTIONARY-5'!$A$2))</f>
        <v/>
      </c>
      <c r="L1883" s="670" t="str">
        <f>IFERROR(IF(CURRENCY.FORMAT_1=0,CONCATENATE(TEXT(FIXED(ROUND((C1883*(1-I1883)*(1-ADD.DISCOUNT)*(1+MAT.SURCHARGE)/EXC.RATE_1),CURRENCY.FORMAT_1),CURRENCY.FORMAT_1,1),"# ##0;-# ##0"),",-"),FIXED(ROUND((C1883*(1-I1883)*(1-ADD.DISCOUNT)*(1+MAT.SURCHARGE)/EXC.RATE_1),CURRENCY.FORMAT_1),CURRENCY.FORMAT_1,0)),'DICTIONARY-5'!$A$2)</f>
        <v>265,-</v>
      </c>
      <c r="M1883" s="670" t="str">
        <f>IF(EXC.RATE_2=0,"",IFERROR(IF(CURRENCY.FORMAT_2=0,CONCATENATE(TEXT(FIXED(ROUND(IF(EXC.RATE.SWITCH=1,C1883*(1-I1883)*(1-ADD.DISCOUNT)*(1+MAT.SURCHARGE)/EXC.RATE_2,C1883*(1-I1883)*(1-ADD.DISCOUNT)*(1+MAT.SURCHARGE)*EXC.RATE_2),CURRENCY.FORMAT_2),CURRENCY.FORMAT_2,1),"# ##0;-# ##0"),",-"),FIXED(ROUND(IF(EXC.RATE.SWITCH=1,C1883*(1-I1883)*(1-ADD.DISCOUNT)*(1+MAT.SURCHARGE)/EXC.RATE_2,C1883*(1-I1883)*(1-ADD.DISCOUNT)*(1+MAT.SURCHARGE)*EXC.RATE_2),CURRENCY.FORMAT_2),CURRENCY.FORMAT_2,0)),'DICTIONARY-5'!$A$2))</f>
        <v/>
      </c>
      <c r="N1883" s="535">
        <v>6</v>
      </c>
      <c r="O1883" s="535"/>
      <c r="P1883" s="731" t="str">
        <f>'DICTIONARY-3'!$A$148</f>
        <v>CEREX 300-L</v>
      </c>
      <c r="Q1883" s="732" t="str">
        <f>'DICTIONARY-3'!$A$204</f>
        <v>Przepustnica kołnierzowa</v>
      </c>
      <c r="R1883" s="732" t="str">
        <f>CONCATENATE('DICTIONARY-3'!$A$148," ",'DICTIONARY-6'!$A$2," ",UPPER('DICTIONARY-5'!$A$18)," ",'DICTIONARY-2'!$A$2,"100"," ",'DICTIONARY-2'!$A$3,"10/16"," ","R20"," ",'DICTIONARY-5'!$A$37,"/",'DICTIONARY-5'!$A$45,", ",'DICTIONARY-4'!$A$3," ",'DICTIONARY-5'!$A$40)</f>
        <v>CEREX 300-L Przep. kołnierz. GAZ DN100 PN10/16 R20 CF8M/NBR, DR stal</v>
      </c>
      <c r="S1883" s="733" t="str">
        <f>'DICTIONARY-4'!$A$3</f>
        <v>DR</v>
      </c>
      <c r="T1883" s="732" t="str">
        <f>'DICTIONARY-4'!$A$19</f>
        <v>Dźwignia ręczna</v>
      </c>
      <c r="U1883" s="734" t="s">
        <v>5749</v>
      </c>
      <c r="V1883" s="735">
        <v>16</v>
      </c>
      <c r="W1883" s="736"/>
      <c r="X1883" s="737"/>
      <c r="Y1883" s="738"/>
      <c r="Z1883" s="739"/>
      <c r="AA1883" s="739"/>
      <c r="AB1883" s="740">
        <v>16</v>
      </c>
      <c r="AC1883" s="741" t="str">
        <f>'DICTIONARY-5'!$A$11&amp;" 20"</f>
        <v>EN 558 szereg 20</v>
      </c>
      <c r="AD1883" s="741" t="str">
        <f>'DICTIONARY-5'!$A$18&amp;", "&amp;'DICTIONARY-5'!$A$14</f>
        <v>gaz, ścieki</v>
      </c>
      <c r="AE1883" s="742">
        <v>80</v>
      </c>
      <c r="AF1883" s="743">
        <v>7.5</v>
      </c>
      <c r="AG1883" s="741" t="str">
        <f>'DICTIONARY-5'!$A$23</f>
        <v>powłoka epoksydowa</v>
      </c>
    </row>
    <row r="1884" spans="1:33" x14ac:dyDescent="0.25">
      <c r="A1884" s="754" t="s">
        <v>1566</v>
      </c>
      <c r="B1884" s="869" t="s">
        <v>3846</v>
      </c>
      <c r="C1884" s="836">
        <v>296</v>
      </c>
      <c r="D1884" s="836"/>
      <c r="E1884" s="836"/>
      <c r="F1884" s="836"/>
      <c r="G1884" s="496" t="s">
        <v>7832</v>
      </c>
      <c r="H1884" s="797" t="str">
        <f>VLOOKUP(G1884,SETTINGS!$B$7:$D$97,2,0)</f>
        <v>CEREX 300</v>
      </c>
      <c r="I1884" s="796">
        <f>VLOOKUP(G1884,SETTINGS!$B$7:$D$97,3,0)</f>
        <v>0</v>
      </c>
      <c r="J1884" s="670" t="str">
        <f>IFERROR(IF(CURRENCY.FORMAT_1=0,CONCATENATE(TEXT(FIXED(ROUND((C1884/EXC.RATE_1),CURRENCY.FORMAT_1),CURRENCY.FORMAT_1,1),"# ##0;-# ##0"),",-"),FIXED(ROUND((C1884/EXC.RATE_1),CURRENCY.FORMAT_1),CURRENCY.FORMAT_1,0)),'DICTIONARY-5'!$A$2)</f>
        <v>296,-</v>
      </c>
      <c r="K1884" s="670" t="str">
        <f>IF(EXC.RATE_2=0,"",IFERROR(IF(CURRENCY.FORMAT_2=0,CONCATENATE(TEXT(FIXED(ROUND(IF(EXC.RATE.SWITCH=1,C1884/EXC.RATE_2,C1884*EXC.RATE_2),CURRENCY.FORMAT_2),CURRENCY.FORMAT_2,1),"# ##0;-# ##0"),",-"),FIXED(ROUND(IF(EXC.RATE.SWITCH=1,C1884/EXC.RATE_2,C1884*EXC.RATE_2),CURRENCY.FORMAT_2),CURRENCY.FORMAT_2,0)),'DICTIONARY-5'!$A$2))</f>
        <v/>
      </c>
      <c r="L1884" s="670" t="str">
        <f>IFERROR(IF(CURRENCY.FORMAT_1=0,CONCATENATE(TEXT(FIXED(ROUND((C1884*(1-I1884)*(1-ADD.DISCOUNT)*(1+MAT.SURCHARGE)/EXC.RATE_1),CURRENCY.FORMAT_1),CURRENCY.FORMAT_1,1),"# ##0;-# ##0"),",-"),FIXED(ROUND((C1884*(1-I1884)*(1-ADD.DISCOUNT)*(1+MAT.SURCHARGE)/EXC.RATE_1),CURRENCY.FORMAT_1),CURRENCY.FORMAT_1,0)),'DICTIONARY-5'!$A$2)</f>
        <v>308,-</v>
      </c>
      <c r="M1884" s="670" t="str">
        <f>IF(EXC.RATE_2=0,"",IFERROR(IF(CURRENCY.FORMAT_2=0,CONCATENATE(TEXT(FIXED(ROUND(IF(EXC.RATE.SWITCH=1,C1884*(1-I1884)*(1-ADD.DISCOUNT)*(1+MAT.SURCHARGE)/EXC.RATE_2,C1884*(1-I1884)*(1-ADD.DISCOUNT)*(1+MAT.SURCHARGE)*EXC.RATE_2),CURRENCY.FORMAT_2),CURRENCY.FORMAT_2,1),"# ##0;-# ##0"),",-"),FIXED(ROUND(IF(EXC.RATE.SWITCH=1,C1884*(1-I1884)*(1-ADD.DISCOUNT)*(1+MAT.SURCHARGE)/EXC.RATE_2,C1884*(1-I1884)*(1-ADD.DISCOUNT)*(1+MAT.SURCHARGE)*EXC.RATE_2),CURRENCY.FORMAT_2),CURRENCY.FORMAT_2,0)),'DICTIONARY-5'!$A$2))</f>
        <v/>
      </c>
      <c r="N1884" s="535">
        <v>6</v>
      </c>
      <c r="O1884" s="535"/>
      <c r="P1884" s="731" t="str">
        <f>'DICTIONARY-3'!$A$148</f>
        <v>CEREX 300-L</v>
      </c>
      <c r="Q1884" s="732" t="str">
        <f>'DICTIONARY-3'!$A$204</f>
        <v>Przepustnica kołnierzowa</v>
      </c>
      <c r="R1884" s="732" t="str">
        <f>CONCATENATE('DICTIONARY-3'!$A$148," ",'DICTIONARY-6'!$A$2," ",UPPER('DICTIONARY-5'!$A$18)," ",'DICTIONARY-2'!$A$2,"125"," ",'DICTIONARY-2'!$A$3,"10/16"," ","R20"," ",'DICTIONARY-5'!$A$37,"/",'DICTIONARY-5'!$A$45,", ",'DICTIONARY-4'!$A$3," ",'DICTIONARY-5'!$A$40)</f>
        <v>CEREX 300-L Przep. kołnierz. GAZ DN125 PN10/16 R20 CF8M/NBR, DR stal</v>
      </c>
      <c r="S1884" s="733" t="str">
        <f>'DICTIONARY-4'!$A$3</f>
        <v>DR</v>
      </c>
      <c r="T1884" s="732" t="str">
        <f>'DICTIONARY-4'!$A$19</f>
        <v>Dźwignia ręczna</v>
      </c>
      <c r="U1884" s="734" t="s">
        <v>5761</v>
      </c>
      <c r="V1884" s="735">
        <v>16</v>
      </c>
      <c r="W1884" s="736"/>
      <c r="X1884" s="737"/>
      <c r="Y1884" s="738"/>
      <c r="Z1884" s="739"/>
      <c r="AA1884" s="739"/>
      <c r="AB1884" s="740">
        <v>16</v>
      </c>
      <c r="AC1884" s="741" t="str">
        <f>'DICTIONARY-5'!$A$11&amp;" 20"</f>
        <v>EN 558 szereg 20</v>
      </c>
      <c r="AD1884" s="741" t="str">
        <f>'DICTIONARY-5'!$A$18&amp;", "&amp;'DICTIONARY-5'!$A$14</f>
        <v>gaz, ścieki</v>
      </c>
      <c r="AE1884" s="742">
        <v>80</v>
      </c>
      <c r="AF1884" s="743">
        <v>10</v>
      </c>
      <c r="AG1884" s="741" t="str">
        <f>'DICTIONARY-5'!$A$23</f>
        <v>powłoka epoksydowa</v>
      </c>
    </row>
    <row r="1885" spans="1:33" x14ac:dyDescent="0.25">
      <c r="A1885" s="754" t="s">
        <v>1568</v>
      </c>
      <c r="B1885" s="869" t="s">
        <v>3852</v>
      </c>
      <c r="C1885" s="836">
        <v>414</v>
      </c>
      <c r="D1885" s="836"/>
      <c r="E1885" s="836"/>
      <c r="F1885" s="836"/>
      <c r="G1885" s="496" t="s">
        <v>7832</v>
      </c>
      <c r="H1885" s="797" t="str">
        <f>VLOOKUP(G1885,SETTINGS!$B$7:$D$97,2,0)</f>
        <v>CEREX 300</v>
      </c>
      <c r="I1885" s="796">
        <f>VLOOKUP(G1885,SETTINGS!$B$7:$D$97,3,0)</f>
        <v>0</v>
      </c>
      <c r="J1885" s="670" t="str">
        <f>IFERROR(IF(CURRENCY.FORMAT_1=0,CONCATENATE(TEXT(FIXED(ROUND((C1885/EXC.RATE_1),CURRENCY.FORMAT_1),CURRENCY.FORMAT_1,1),"# ##0;-# ##0"),",-"),FIXED(ROUND((C1885/EXC.RATE_1),CURRENCY.FORMAT_1),CURRENCY.FORMAT_1,0)),'DICTIONARY-5'!$A$2)</f>
        <v>414,-</v>
      </c>
      <c r="K1885" s="670" t="str">
        <f>IF(EXC.RATE_2=0,"",IFERROR(IF(CURRENCY.FORMAT_2=0,CONCATENATE(TEXT(FIXED(ROUND(IF(EXC.RATE.SWITCH=1,C1885/EXC.RATE_2,C1885*EXC.RATE_2),CURRENCY.FORMAT_2),CURRENCY.FORMAT_2,1),"# ##0;-# ##0"),",-"),FIXED(ROUND(IF(EXC.RATE.SWITCH=1,C1885/EXC.RATE_2,C1885*EXC.RATE_2),CURRENCY.FORMAT_2),CURRENCY.FORMAT_2,0)),'DICTIONARY-5'!$A$2))</f>
        <v/>
      </c>
      <c r="L1885" s="670" t="str">
        <f>IFERROR(IF(CURRENCY.FORMAT_1=0,CONCATENATE(TEXT(FIXED(ROUND((C1885*(1-I1885)*(1-ADD.DISCOUNT)*(1+MAT.SURCHARGE)/EXC.RATE_1),CURRENCY.FORMAT_1),CURRENCY.FORMAT_1,1),"# ##0;-# ##0"),",-"),FIXED(ROUND((C1885*(1-I1885)*(1-ADD.DISCOUNT)*(1+MAT.SURCHARGE)/EXC.RATE_1),CURRENCY.FORMAT_1),CURRENCY.FORMAT_1,0)),'DICTIONARY-5'!$A$2)</f>
        <v>430,-</v>
      </c>
      <c r="M1885" s="670" t="str">
        <f>IF(EXC.RATE_2=0,"",IFERROR(IF(CURRENCY.FORMAT_2=0,CONCATENATE(TEXT(FIXED(ROUND(IF(EXC.RATE.SWITCH=1,C1885*(1-I1885)*(1-ADD.DISCOUNT)*(1+MAT.SURCHARGE)/EXC.RATE_2,C1885*(1-I1885)*(1-ADD.DISCOUNT)*(1+MAT.SURCHARGE)*EXC.RATE_2),CURRENCY.FORMAT_2),CURRENCY.FORMAT_2,1),"# ##0;-# ##0"),",-"),FIXED(ROUND(IF(EXC.RATE.SWITCH=1,C1885*(1-I1885)*(1-ADD.DISCOUNT)*(1+MAT.SURCHARGE)/EXC.RATE_2,C1885*(1-I1885)*(1-ADD.DISCOUNT)*(1+MAT.SURCHARGE)*EXC.RATE_2),CURRENCY.FORMAT_2),CURRENCY.FORMAT_2,0)),'DICTIONARY-5'!$A$2))</f>
        <v/>
      </c>
      <c r="N1885" s="535">
        <v>6</v>
      </c>
      <c r="O1885" s="535"/>
      <c r="P1885" s="731" t="str">
        <f>'DICTIONARY-3'!$A$148</f>
        <v>CEREX 300-L</v>
      </c>
      <c r="Q1885" s="732" t="str">
        <f>'DICTIONARY-3'!$A$204</f>
        <v>Przepustnica kołnierzowa</v>
      </c>
      <c r="R1885" s="732" t="str">
        <f>CONCATENATE('DICTIONARY-3'!$A$148," ",'DICTIONARY-6'!$A$2," ",UPPER('DICTIONARY-5'!$A$18)," ",'DICTIONARY-2'!$A$2,"150"," ",'DICTIONARY-2'!$A$3,"10/16"," ","R20"," ",'DICTIONARY-5'!$A$37,"/",'DICTIONARY-5'!$A$45,", ",'DICTIONARY-4'!$A$3," ",'DICTIONARY-5'!$A$40)</f>
        <v>CEREX 300-L Przep. kołnierz. GAZ DN150 PN10/16 R20 CF8M/NBR, DR stal</v>
      </c>
      <c r="S1885" s="733" t="str">
        <f>'DICTIONARY-4'!$A$3</f>
        <v>DR</v>
      </c>
      <c r="T1885" s="732" t="str">
        <f>'DICTIONARY-4'!$A$19</f>
        <v>Dźwignia ręczna</v>
      </c>
      <c r="U1885" s="734" t="s">
        <v>5572</v>
      </c>
      <c r="V1885" s="735">
        <v>16</v>
      </c>
      <c r="W1885" s="736"/>
      <c r="X1885" s="737"/>
      <c r="Y1885" s="738"/>
      <c r="Z1885" s="739"/>
      <c r="AA1885" s="739"/>
      <c r="AB1885" s="740">
        <v>16</v>
      </c>
      <c r="AC1885" s="741" t="str">
        <f>'DICTIONARY-5'!$A$11&amp;" 20"</f>
        <v>EN 558 szereg 20</v>
      </c>
      <c r="AD1885" s="741" t="str">
        <f>'DICTIONARY-5'!$A$18&amp;", "&amp;'DICTIONARY-5'!$A$14</f>
        <v>gaz, ścieki</v>
      </c>
      <c r="AE1885" s="742">
        <v>80</v>
      </c>
      <c r="AF1885" s="743">
        <v>13</v>
      </c>
      <c r="AG1885" s="741" t="str">
        <f>'DICTIONARY-5'!$A$23</f>
        <v>powłoka epoksydowa</v>
      </c>
    </row>
    <row r="1886" spans="1:33" x14ac:dyDescent="0.25">
      <c r="A1886" s="754" t="s">
        <v>1570</v>
      </c>
      <c r="B1886" s="869" t="s">
        <v>3934</v>
      </c>
      <c r="C1886" s="836">
        <v>535</v>
      </c>
      <c r="D1886" s="836"/>
      <c r="E1886" s="836"/>
      <c r="F1886" s="836"/>
      <c r="G1886" s="496" t="s">
        <v>7832</v>
      </c>
      <c r="H1886" s="797" t="str">
        <f>VLOOKUP(G1886,SETTINGS!$B$7:$D$97,2,0)</f>
        <v>CEREX 300</v>
      </c>
      <c r="I1886" s="796">
        <f>VLOOKUP(G1886,SETTINGS!$B$7:$D$97,3,0)</f>
        <v>0</v>
      </c>
      <c r="J1886" s="670" t="str">
        <f>IFERROR(IF(CURRENCY.FORMAT_1=0,CONCATENATE(TEXT(FIXED(ROUND((C1886/EXC.RATE_1),CURRENCY.FORMAT_1),CURRENCY.FORMAT_1,1),"# ##0;-# ##0"),",-"),FIXED(ROUND((C1886/EXC.RATE_1),CURRENCY.FORMAT_1),CURRENCY.FORMAT_1,0)),'DICTIONARY-5'!$A$2)</f>
        <v>535,-</v>
      </c>
      <c r="K1886" s="670" t="str">
        <f>IF(EXC.RATE_2=0,"",IFERROR(IF(CURRENCY.FORMAT_2=0,CONCATENATE(TEXT(FIXED(ROUND(IF(EXC.RATE.SWITCH=1,C1886/EXC.RATE_2,C1886*EXC.RATE_2),CURRENCY.FORMAT_2),CURRENCY.FORMAT_2,1),"# ##0;-# ##0"),",-"),FIXED(ROUND(IF(EXC.RATE.SWITCH=1,C1886/EXC.RATE_2,C1886*EXC.RATE_2),CURRENCY.FORMAT_2),CURRENCY.FORMAT_2,0)),'DICTIONARY-5'!$A$2))</f>
        <v/>
      </c>
      <c r="L1886" s="670" t="str">
        <f>IFERROR(IF(CURRENCY.FORMAT_1=0,CONCATENATE(TEXT(FIXED(ROUND((C1886*(1-I1886)*(1-ADD.DISCOUNT)*(1+MAT.SURCHARGE)/EXC.RATE_1),CURRENCY.FORMAT_1),CURRENCY.FORMAT_1,1),"# ##0;-# ##0"),",-"),FIXED(ROUND((C1886*(1-I1886)*(1-ADD.DISCOUNT)*(1+MAT.SURCHARGE)/EXC.RATE_1),CURRENCY.FORMAT_1),CURRENCY.FORMAT_1,0)),'DICTIONARY-5'!$A$2)</f>
        <v>556,-</v>
      </c>
      <c r="M1886" s="670" t="str">
        <f>IF(EXC.RATE_2=0,"",IFERROR(IF(CURRENCY.FORMAT_2=0,CONCATENATE(TEXT(FIXED(ROUND(IF(EXC.RATE.SWITCH=1,C1886*(1-I1886)*(1-ADD.DISCOUNT)*(1+MAT.SURCHARGE)/EXC.RATE_2,C1886*(1-I1886)*(1-ADD.DISCOUNT)*(1+MAT.SURCHARGE)*EXC.RATE_2),CURRENCY.FORMAT_2),CURRENCY.FORMAT_2,1),"# ##0;-# ##0"),",-"),FIXED(ROUND(IF(EXC.RATE.SWITCH=1,C1886*(1-I1886)*(1-ADD.DISCOUNT)*(1+MAT.SURCHARGE)/EXC.RATE_2,C1886*(1-I1886)*(1-ADD.DISCOUNT)*(1+MAT.SURCHARGE)*EXC.RATE_2),CURRENCY.FORMAT_2),CURRENCY.FORMAT_2,0)),'DICTIONARY-5'!$A$2))</f>
        <v/>
      </c>
      <c r="N1886" s="535">
        <v>6</v>
      </c>
      <c r="O1886" s="535"/>
      <c r="P1886" s="731" t="str">
        <f>'DICTIONARY-3'!$A$148</f>
        <v>CEREX 300-L</v>
      </c>
      <c r="Q1886" s="732" t="str">
        <f>'DICTIONARY-3'!$A$204</f>
        <v>Przepustnica kołnierzowa</v>
      </c>
      <c r="R1886" s="732" t="str">
        <f>CONCATENATE('DICTIONARY-3'!$A$148," ",'DICTIONARY-6'!$A$2," ",UPPER('DICTIONARY-5'!$A$18)," ",'DICTIONARY-2'!$A$2,"200"," ",'DICTIONARY-2'!$A$3,"10"," ","R20"," ",'DICTIONARY-5'!$A$37,"/",'DICTIONARY-5'!$A$45,", ",'DICTIONARY-4'!$A$3," ",'DICTIONARY-5'!$A$40)</f>
        <v>CEREX 300-L Przep. kołnierz. GAZ DN200 PN10 R20 CF8M/NBR, DR stal</v>
      </c>
      <c r="S1886" s="733" t="str">
        <f>'DICTIONARY-4'!$A$3</f>
        <v>DR</v>
      </c>
      <c r="T1886" s="732" t="str">
        <f>'DICTIONARY-4'!$A$19</f>
        <v>Dźwignia ręczna</v>
      </c>
      <c r="U1886" s="734" t="s">
        <v>5750</v>
      </c>
      <c r="V1886" s="735">
        <v>10</v>
      </c>
      <c r="W1886" s="736"/>
      <c r="X1886" s="737"/>
      <c r="Y1886" s="738"/>
      <c r="Z1886" s="739"/>
      <c r="AA1886" s="739"/>
      <c r="AB1886" s="740">
        <v>10</v>
      </c>
      <c r="AC1886" s="741" t="str">
        <f>'DICTIONARY-5'!$A$11&amp;" 20"</f>
        <v>EN 558 szereg 20</v>
      </c>
      <c r="AD1886" s="741" t="str">
        <f>'DICTIONARY-5'!$A$18&amp;", "&amp;'DICTIONARY-5'!$A$14</f>
        <v>gaz, ścieki</v>
      </c>
      <c r="AE1886" s="742">
        <v>80</v>
      </c>
      <c r="AF1886" s="743">
        <v>17</v>
      </c>
      <c r="AG1886" s="741" t="str">
        <f>'DICTIONARY-5'!$A$23</f>
        <v>powłoka epoksydowa</v>
      </c>
    </row>
    <row r="1887" spans="1:33" x14ac:dyDescent="0.25">
      <c r="A1887" s="754" t="s">
        <v>1572</v>
      </c>
      <c r="B1887" s="869" t="s">
        <v>3858</v>
      </c>
      <c r="C1887" s="836">
        <v>584</v>
      </c>
      <c r="D1887" s="836"/>
      <c r="E1887" s="836"/>
      <c r="F1887" s="836"/>
      <c r="G1887" s="496" t="s">
        <v>7832</v>
      </c>
      <c r="H1887" s="797" t="str">
        <f>VLOOKUP(G1887,SETTINGS!$B$7:$D$97,2,0)</f>
        <v>CEREX 300</v>
      </c>
      <c r="I1887" s="796">
        <f>VLOOKUP(G1887,SETTINGS!$B$7:$D$97,3,0)</f>
        <v>0</v>
      </c>
      <c r="J1887" s="670" t="str">
        <f>IFERROR(IF(CURRENCY.FORMAT_1=0,CONCATENATE(TEXT(FIXED(ROUND((C1887/EXC.RATE_1),CURRENCY.FORMAT_1),CURRENCY.FORMAT_1,1),"# ##0;-# ##0"),",-"),FIXED(ROUND((C1887/EXC.RATE_1),CURRENCY.FORMAT_1),CURRENCY.FORMAT_1,0)),'DICTIONARY-5'!$A$2)</f>
        <v>584,-</v>
      </c>
      <c r="K1887" s="670" t="str">
        <f>IF(EXC.RATE_2=0,"",IFERROR(IF(CURRENCY.FORMAT_2=0,CONCATENATE(TEXT(FIXED(ROUND(IF(EXC.RATE.SWITCH=1,C1887/EXC.RATE_2,C1887*EXC.RATE_2),CURRENCY.FORMAT_2),CURRENCY.FORMAT_2,1),"# ##0;-# ##0"),",-"),FIXED(ROUND(IF(EXC.RATE.SWITCH=1,C1887/EXC.RATE_2,C1887*EXC.RATE_2),CURRENCY.FORMAT_2),CURRENCY.FORMAT_2,0)),'DICTIONARY-5'!$A$2))</f>
        <v/>
      </c>
      <c r="L1887" s="670" t="str">
        <f>IFERROR(IF(CURRENCY.FORMAT_1=0,CONCATENATE(TEXT(FIXED(ROUND((C1887*(1-I1887)*(1-ADD.DISCOUNT)*(1+MAT.SURCHARGE)/EXC.RATE_1),CURRENCY.FORMAT_1),CURRENCY.FORMAT_1,1),"# ##0;-# ##0"),",-"),FIXED(ROUND((C1887*(1-I1887)*(1-ADD.DISCOUNT)*(1+MAT.SURCHARGE)/EXC.RATE_1),CURRENCY.FORMAT_1),CURRENCY.FORMAT_1,0)),'DICTIONARY-5'!$A$2)</f>
        <v>607,-</v>
      </c>
      <c r="M1887" s="670" t="str">
        <f>IF(EXC.RATE_2=0,"",IFERROR(IF(CURRENCY.FORMAT_2=0,CONCATENATE(TEXT(FIXED(ROUND(IF(EXC.RATE.SWITCH=1,C1887*(1-I1887)*(1-ADD.DISCOUNT)*(1+MAT.SURCHARGE)/EXC.RATE_2,C1887*(1-I1887)*(1-ADD.DISCOUNT)*(1+MAT.SURCHARGE)*EXC.RATE_2),CURRENCY.FORMAT_2),CURRENCY.FORMAT_2,1),"# ##0;-# ##0"),",-"),FIXED(ROUND(IF(EXC.RATE.SWITCH=1,C1887*(1-I1887)*(1-ADD.DISCOUNT)*(1+MAT.SURCHARGE)/EXC.RATE_2,C1887*(1-I1887)*(1-ADD.DISCOUNT)*(1+MAT.SURCHARGE)*EXC.RATE_2),CURRENCY.FORMAT_2),CURRENCY.FORMAT_2,0)),'DICTIONARY-5'!$A$2))</f>
        <v/>
      </c>
      <c r="N1887" s="535">
        <v>6</v>
      </c>
      <c r="O1887" s="535"/>
      <c r="P1887" s="731" t="str">
        <f>'DICTIONARY-3'!$A$148</f>
        <v>CEREX 300-L</v>
      </c>
      <c r="Q1887" s="732" t="str">
        <f>'DICTIONARY-3'!$A$204</f>
        <v>Przepustnica kołnierzowa</v>
      </c>
      <c r="R1887" s="732" t="str">
        <f>CONCATENATE('DICTIONARY-3'!$A$148," ",'DICTIONARY-6'!$A$2," ",UPPER('DICTIONARY-5'!$A$18)," ",'DICTIONARY-2'!$A$2,"200"," ",'DICTIONARY-2'!$A$3,"16"," ","R20"," ",'DICTIONARY-5'!$A$37,"/",'DICTIONARY-5'!$A$45,", ",'DICTIONARY-4'!$A$3," ",'DICTIONARY-5'!$A$40)</f>
        <v>CEREX 300-L Przep. kołnierz. GAZ DN200 PN16 R20 CF8M/NBR, DR stal</v>
      </c>
      <c r="S1887" s="733" t="str">
        <f>'DICTIONARY-4'!$A$3</f>
        <v>DR</v>
      </c>
      <c r="T1887" s="732" t="str">
        <f>'DICTIONARY-4'!$A$19</f>
        <v>Dźwignia ręczna</v>
      </c>
      <c r="U1887" s="734" t="s">
        <v>5750</v>
      </c>
      <c r="V1887" s="735">
        <v>16</v>
      </c>
      <c r="W1887" s="736"/>
      <c r="X1887" s="737"/>
      <c r="Y1887" s="738"/>
      <c r="Z1887" s="739"/>
      <c r="AA1887" s="739"/>
      <c r="AB1887" s="740">
        <v>16</v>
      </c>
      <c r="AC1887" s="741" t="str">
        <f>'DICTIONARY-5'!$A$11&amp;" 20"</f>
        <v>EN 558 szereg 20</v>
      </c>
      <c r="AD1887" s="741" t="str">
        <f>'DICTIONARY-5'!$A$18&amp;", "&amp;'DICTIONARY-5'!$A$14</f>
        <v>gaz, ścieki</v>
      </c>
      <c r="AE1887" s="742">
        <v>80</v>
      </c>
      <c r="AF1887" s="743">
        <v>19.5</v>
      </c>
      <c r="AG1887" s="741" t="str">
        <f>'DICTIONARY-5'!$A$23</f>
        <v>powłoka epoksydowa</v>
      </c>
    </row>
    <row r="1888" spans="1:33" x14ac:dyDescent="0.25">
      <c r="A1888" s="754" t="s">
        <v>1573</v>
      </c>
      <c r="B1888" s="866" t="s">
        <v>3873</v>
      </c>
      <c r="C1888" s="836">
        <v>196</v>
      </c>
      <c r="D1888" s="836"/>
      <c r="E1888" s="836"/>
      <c r="F1888" s="836"/>
      <c r="G1888" s="496" t="s">
        <v>7832</v>
      </c>
      <c r="H1888" s="797" t="str">
        <f>VLOOKUP(G1888,SETTINGS!$B$7:$D$97,2,0)</f>
        <v>CEREX 300</v>
      </c>
      <c r="I1888" s="796">
        <f>VLOOKUP(G1888,SETTINGS!$B$7:$D$97,3,0)</f>
        <v>0</v>
      </c>
      <c r="J1888" s="670" t="str">
        <f>IFERROR(IF(CURRENCY.FORMAT_1=0,CONCATENATE(TEXT(FIXED(ROUND((C1888/EXC.RATE_1),CURRENCY.FORMAT_1),CURRENCY.FORMAT_1,1),"# ##0;-# ##0"),",-"),FIXED(ROUND((C1888/EXC.RATE_1),CURRENCY.FORMAT_1),CURRENCY.FORMAT_1,0)),'DICTIONARY-5'!$A$2)</f>
        <v>196,-</v>
      </c>
      <c r="K1888" s="670" t="str">
        <f>IF(EXC.RATE_2=0,"",IFERROR(IF(CURRENCY.FORMAT_2=0,CONCATENATE(TEXT(FIXED(ROUND(IF(EXC.RATE.SWITCH=1,C1888/EXC.RATE_2,C1888*EXC.RATE_2),CURRENCY.FORMAT_2),CURRENCY.FORMAT_2,1),"# ##0;-# ##0"),",-"),FIXED(ROUND(IF(EXC.RATE.SWITCH=1,C1888/EXC.RATE_2,C1888*EXC.RATE_2),CURRENCY.FORMAT_2),CURRENCY.FORMAT_2,0)),'DICTIONARY-5'!$A$2))</f>
        <v/>
      </c>
      <c r="L1888" s="670" t="str">
        <f>IFERROR(IF(CURRENCY.FORMAT_1=0,CONCATENATE(TEXT(FIXED(ROUND((C1888*(1-I1888)*(1-ADD.DISCOUNT)*(1+MAT.SURCHARGE)/EXC.RATE_1),CURRENCY.FORMAT_1),CURRENCY.FORMAT_1,1),"# ##0;-# ##0"),",-"),FIXED(ROUND((C1888*(1-I1888)*(1-ADD.DISCOUNT)*(1+MAT.SURCHARGE)/EXC.RATE_1),CURRENCY.FORMAT_1),CURRENCY.FORMAT_1,0)),'DICTIONARY-5'!$A$2)</f>
        <v>204,-</v>
      </c>
      <c r="M1888" s="670" t="str">
        <f>IF(EXC.RATE_2=0,"",IFERROR(IF(CURRENCY.FORMAT_2=0,CONCATENATE(TEXT(FIXED(ROUND(IF(EXC.RATE.SWITCH=1,C1888*(1-I1888)*(1-ADD.DISCOUNT)*(1+MAT.SURCHARGE)/EXC.RATE_2,C1888*(1-I1888)*(1-ADD.DISCOUNT)*(1+MAT.SURCHARGE)*EXC.RATE_2),CURRENCY.FORMAT_2),CURRENCY.FORMAT_2,1),"# ##0;-# ##0"),",-"),FIXED(ROUND(IF(EXC.RATE.SWITCH=1,C1888*(1-I1888)*(1-ADD.DISCOUNT)*(1+MAT.SURCHARGE)/EXC.RATE_2,C1888*(1-I1888)*(1-ADD.DISCOUNT)*(1+MAT.SURCHARGE)*EXC.RATE_2),CURRENCY.FORMAT_2),CURRENCY.FORMAT_2,0)),'DICTIONARY-5'!$A$2))</f>
        <v/>
      </c>
      <c r="N1888" s="541">
        <v>6</v>
      </c>
      <c r="O1888" s="541"/>
      <c r="P1888" s="731" t="str">
        <f>'DICTIONARY-3'!$A$148</f>
        <v>CEREX 300-L</v>
      </c>
      <c r="Q1888" s="731" t="str">
        <f>'DICTIONARY-3'!$A$204</f>
        <v>Przepustnica kołnierzowa</v>
      </c>
      <c r="R1888" s="732" t="str">
        <f>CONCATENATE('DICTIONARY-3'!$A$148," ",'DICTIONARY-6'!$A$2," ",'DICTIONARY-2'!$A$2,"50"," ",'DICTIONARY-2'!$A$3,"10/16"," ","R20"," ",'DICTIONARY-5'!$A$51,"/",'DICTIONARY-5'!$A$44,", ",'DICTIONARY-4'!$A$3," ",'DICTIONARY-5'!$A$33)</f>
        <v>CEREX 300-L Przep. kołnierz. DN50 PN10/16 R20 GGG/EPDM, DR st. nierdz.</v>
      </c>
      <c r="S1888" s="733" t="str">
        <f>'DICTIONARY-4'!$A$3</f>
        <v>DR</v>
      </c>
      <c r="T1888" s="732" t="str">
        <f>'DICTIONARY-4'!$A$19</f>
        <v>Dźwignia ręczna</v>
      </c>
      <c r="U1888" s="734" t="s">
        <v>5748</v>
      </c>
      <c r="V1888" s="735">
        <v>16</v>
      </c>
      <c r="W1888" s="736"/>
      <c r="X1888" s="737"/>
      <c r="Y1888" s="738"/>
      <c r="Z1888" s="739"/>
      <c r="AA1888" s="739"/>
      <c r="AB1888" s="740">
        <v>16</v>
      </c>
      <c r="AC1888" s="741" t="str">
        <f>'DICTIONARY-5'!$A$11&amp;" 20"</f>
        <v>EN 558 szereg 20</v>
      </c>
      <c r="AD1888" s="741" t="str">
        <f>'DICTIONARY-5'!$A$13</f>
        <v>woda pitna</v>
      </c>
      <c r="AE1888" s="742">
        <v>80</v>
      </c>
      <c r="AF1888" s="743">
        <v>3.5</v>
      </c>
      <c r="AG1888" s="741" t="str">
        <f>'DICTIONARY-5'!$A$23</f>
        <v>powłoka epoksydowa</v>
      </c>
    </row>
    <row r="1889" spans="1:33" x14ac:dyDescent="0.25">
      <c r="A1889" s="754" t="s">
        <v>1575</v>
      </c>
      <c r="B1889" s="866" t="s">
        <v>3879</v>
      </c>
      <c r="C1889" s="836">
        <v>198</v>
      </c>
      <c r="D1889" s="836"/>
      <c r="E1889" s="836"/>
      <c r="F1889" s="836"/>
      <c r="G1889" s="496" t="s">
        <v>7832</v>
      </c>
      <c r="H1889" s="797" t="str">
        <f>VLOOKUP(G1889,SETTINGS!$B$7:$D$97,2,0)</f>
        <v>CEREX 300</v>
      </c>
      <c r="I1889" s="796">
        <f>VLOOKUP(G1889,SETTINGS!$B$7:$D$97,3,0)</f>
        <v>0</v>
      </c>
      <c r="J1889" s="670" t="str">
        <f>IFERROR(IF(CURRENCY.FORMAT_1=0,CONCATENATE(TEXT(FIXED(ROUND((C1889/EXC.RATE_1),CURRENCY.FORMAT_1),CURRENCY.FORMAT_1,1),"# ##0;-# ##0"),",-"),FIXED(ROUND((C1889/EXC.RATE_1),CURRENCY.FORMAT_1),CURRENCY.FORMAT_1,0)),'DICTIONARY-5'!$A$2)</f>
        <v>198,-</v>
      </c>
      <c r="K1889" s="670" t="str">
        <f>IF(EXC.RATE_2=0,"",IFERROR(IF(CURRENCY.FORMAT_2=0,CONCATENATE(TEXT(FIXED(ROUND(IF(EXC.RATE.SWITCH=1,C1889/EXC.RATE_2,C1889*EXC.RATE_2),CURRENCY.FORMAT_2),CURRENCY.FORMAT_2,1),"# ##0;-# ##0"),",-"),FIXED(ROUND(IF(EXC.RATE.SWITCH=1,C1889/EXC.RATE_2,C1889*EXC.RATE_2),CURRENCY.FORMAT_2),CURRENCY.FORMAT_2,0)),'DICTIONARY-5'!$A$2))</f>
        <v/>
      </c>
      <c r="L1889" s="670" t="str">
        <f>IFERROR(IF(CURRENCY.FORMAT_1=0,CONCATENATE(TEXT(FIXED(ROUND((C1889*(1-I1889)*(1-ADD.DISCOUNT)*(1+MAT.SURCHARGE)/EXC.RATE_1),CURRENCY.FORMAT_1),CURRENCY.FORMAT_1,1),"# ##0;-# ##0"),",-"),FIXED(ROUND((C1889*(1-I1889)*(1-ADD.DISCOUNT)*(1+MAT.SURCHARGE)/EXC.RATE_1),CURRENCY.FORMAT_1),CURRENCY.FORMAT_1,0)),'DICTIONARY-5'!$A$2)</f>
        <v>206,-</v>
      </c>
      <c r="M1889" s="670" t="str">
        <f>IF(EXC.RATE_2=0,"",IFERROR(IF(CURRENCY.FORMAT_2=0,CONCATENATE(TEXT(FIXED(ROUND(IF(EXC.RATE.SWITCH=1,C1889*(1-I1889)*(1-ADD.DISCOUNT)*(1+MAT.SURCHARGE)/EXC.RATE_2,C1889*(1-I1889)*(1-ADD.DISCOUNT)*(1+MAT.SURCHARGE)*EXC.RATE_2),CURRENCY.FORMAT_2),CURRENCY.FORMAT_2,1),"# ##0;-# ##0"),",-"),FIXED(ROUND(IF(EXC.RATE.SWITCH=1,C1889*(1-I1889)*(1-ADD.DISCOUNT)*(1+MAT.SURCHARGE)/EXC.RATE_2,C1889*(1-I1889)*(1-ADD.DISCOUNT)*(1+MAT.SURCHARGE)*EXC.RATE_2),CURRENCY.FORMAT_2),CURRENCY.FORMAT_2,0)),'DICTIONARY-5'!$A$2))</f>
        <v/>
      </c>
      <c r="N1889" s="541">
        <v>6</v>
      </c>
      <c r="O1889" s="541"/>
      <c r="P1889" s="731" t="str">
        <f>'DICTIONARY-3'!$A$148</f>
        <v>CEREX 300-L</v>
      </c>
      <c r="Q1889" s="731" t="str">
        <f>'DICTIONARY-3'!$A$204</f>
        <v>Przepustnica kołnierzowa</v>
      </c>
      <c r="R1889" s="732" t="str">
        <f>CONCATENATE('DICTIONARY-3'!$A$148," ",'DICTIONARY-6'!$A$2," ",'DICTIONARY-2'!$A$2,"65"," ",'DICTIONARY-2'!$A$3,"10/16"," ","R20"," ",'DICTIONARY-5'!$A$51,"/",'DICTIONARY-5'!$A$44,", ",'DICTIONARY-4'!$A$3," ",'DICTIONARY-5'!$A$33)</f>
        <v>CEREX 300-L Przep. kołnierz. DN65 PN10/16 R20 GGG/EPDM, DR st. nierdz.</v>
      </c>
      <c r="S1889" s="733" t="str">
        <f>'DICTIONARY-4'!$A$3</f>
        <v>DR</v>
      </c>
      <c r="T1889" s="732" t="str">
        <f>'DICTIONARY-4'!$A$19</f>
        <v>Dźwignia ręczna</v>
      </c>
      <c r="U1889" s="734" t="s">
        <v>5759</v>
      </c>
      <c r="V1889" s="735">
        <v>16</v>
      </c>
      <c r="W1889" s="736"/>
      <c r="X1889" s="737"/>
      <c r="Y1889" s="738"/>
      <c r="Z1889" s="739"/>
      <c r="AA1889" s="739"/>
      <c r="AB1889" s="740">
        <v>16</v>
      </c>
      <c r="AC1889" s="741" t="str">
        <f>'DICTIONARY-5'!$A$11&amp;" 20"</f>
        <v>EN 558 szereg 20</v>
      </c>
      <c r="AD1889" s="741" t="str">
        <f>'DICTIONARY-5'!$A$13</f>
        <v>woda pitna</v>
      </c>
      <c r="AE1889" s="742">
        <v>80</v>
      </c>
      <c r="AF1889" s="743">
        <v>4</v>
      </c>
      <c r="AG1889" s="741" t="str">
        <f>'DICTIONARY-5'!$A$23</f>
        <v>powłoka epoksydowa</v>
      </c>
    </row>
    <row r="1890" spans="1:33" x14ac:dyDescent="0.25">
      <c r="A1890" s="754" t="s">
        <v>1577</v>
      </c>
      <c r="B1890" s="866" t="s">
        <v>3885</v>
      </c>
      <c r="C1890" s="836">
        <v>229</v>
      </c>
      <c r="D1890" s="836"/>
      <c r="E1890" s="836"/>
      <c r="F1890" s="836"/>
      <c r="G1890" s="496" t="s">
        <v>7832</v>
      </c>
      <c r="H1890" s="797" t="str">
        <f>VLOOKUP(G1890,SETTINGS!$B$7:$D$97,2,0)</f>
        <v>CEREX 300</v>
      </c>
      <c r="I1890" s="796">
        <f>VLOOKUP(G1890,SETTINGS!$B$7:$D$97,3,0)</f>
        <v>0</v>
      </c>
      <c r="J1890" s="670" t="str">
        <f>IFERROR(IF(CURRENCY.FORMAT_1=0,CONCATENATE(TEXT(FIXED(ROUND((C1890/EXC.RATE_1),CURRENCY.FORMAT_1),CURRENCY.FORMAT_1,1),"# ##0;-# ##0"),",-"),FIXED(ROUND((C1890/EXC.RATE_1),CURRENCY.FORMAT_1),CURRENCY.FORMAT_1,0)),'DICTIONARY-5'!$A$2)</f>
        <v>229,-</v>
      </c>
      <c r="K1890" s="670" t="str">
        <f>IF(EXC.RATE_2=0,"",IFERROR(IF(CURRENCY.FORMAT_2=0,CONCATENATE(TEXT(FIXED(ROUND(IF(EXC.RATE.SWITCH=1,C1890/EXC.RATE_2,C1890*EXC.RATE_2),CURRENCY.FORMAT_2),CURRENCY.FORMAT_2,1),"# ##0;-# ##0"),",-"),FIXED(ROUND(IF(EXC.RATE.SWITCH=1,C1890/EXC.RATE_2,C1890*EXC.RATE_2),CURRENCY.FORMAT_2),CURRENCY.FORMAT_2,0)),'DICTIONARY-5'!$A$2))</f>
        <v/>
      </c>
      <c r="L1890" s="670" t="str">
        <f>IFERROR(IF(CURRENCY.FORMAT_1=0,CONCATENATE(TEXT(FIXED(ROUND((C1890*(1-I1890)*(1-ADD.DISCOUNT)*(1+MAT.SURCHARGE)/EXC.RATE_1),CURRENCY.FORMAT_1),CURRENCY.FORMAT_1,1),"# ##0;-# ##0"),",-"),FIXED(ROUND((C1890*(1-I1890)*(1-ADD.DISCOUNT)*(1+MAT.SURCHARGE)/EXC.RATE_1),CURRENCY.FORMAT_1),CURRENCY.FORMAT_1,0)),'DICTIONARY-5'!$A$2)</f>
        <v>238,-</v>
      </c>
      <c r="M1890" s="670" t="str">
        <f>IF(EXC.RATE_2=0,"",IFERROR(IF(CURRENCY.FORMAT_2=0,CONCATENATE(TEXT(FIXED(ROUND(IF(EXC.RATE.SWITCH=1,C1890*(1-I1890)*(1-ADD.DISCOUNT)*(1+MAT.SURCHARGE)/EXC.RATE_2,C1890*(1-I1890)*(1-ADD.DISCOUNT)*(1+MAT.SURCHARGE)*EXC.RATE_2),CURRENCY.FORMAT_2),CURRENCY.FORMAT_2,1),"# ##0;-# ##0"),",-"),FIXED(ROUND(IF(EXC.RATE.SWITCH=1,C1890*(1-I1890)*(1-ADD.DISCOUNT)*(1+MAT.SURCHARGE)/EXC.RATE_2,C1890*(1-I1890)*(1-ADD.DISCOUNT)*(1+MAT.SURCHARGE)*EXC.RATE_2),CURRENCY.FORMAT_2),CURRENCY.FORMAT_2,0)),'DICTIONARY-5'!$A$2))</f>
        <v/>
      </c>
      <c r="N1890" s="541">
        <v>6</v>
      </c>
      <c r="O1890" s="541"/>
      <c r="P1890" s="731" t="str">
        <f>'DICTIONARY-3'!$A$148</f>
        <v>CEREX 300-L</v>
      </c>
      <c r="Q1890" s="731" t="str">
        <f>'DICTIONARY-3'!$A$204</f>
        <v>Przepustnica kołnierzowa</v>
      </c>
      <c r="R1890" s="732" t="str">
        <f>CONCATENATE('DICTIONARY-3'!$A$148," ",'DICTIONARY-6'!$A$2," ",'DICTIONARY-2'!$A$2,"80"," ",'DICTIONARY-2'!$A$3,"10/16"," ","R20"," ",'DICTIONARY-5'!$A$51,"/",'DICTIONARY-5'!$A$44,", ",'DICTIONARY-4'!$A$3," ",'DICTIONARY-5'!$A$33)</f>
        <v>CEREX 300-L Przep. kołnierz. DN80 PN10/16 R20 GGG/EPDM, DR st. nierdz.</v>
      </c>
      <c r="S1890" s="733" t="str">
        <f>'DICTIONARY-4'!$A$3</f>
        <v>DR</v>
      </c>
      <c r="T1890" s="732" t="str">
        <f>'DICTIONARY-4'!$A$19</f>
        <v>Dźwignia ręczna</v>
      </c>
      <c r="U1890" s="734" t="s">
        <v>5760</v>
      </c>
      <c r="V1890" s="735">
        <v>16</v>
      </c>
      <c r="W1890" s="736"/>
      <c r="X1890" s="737"/>
      <c r="Y1890" s="738"/>
      <c r="Z1890" s="739"/>
      <c r="AA1890" s="739"/>
      <c r="AB1890" s="740">
        <v>16</v>
      </c>
      <c r="AC1890" s="741" t="str">
        <f>'DICTIONARY-5'!$A$11&amp;" 20"</f>
        <v>EN 558 szereg 20</v>
      </c>
      <c r="AD1890" s="741" t="str">
        <f>'DICTIONARY-5'!$A$13</f>
        <v>woda pitna</v>
      </c>
      <c r="AE1890" s="742">
        <v>80</v>
      </c>
      <c r="AF1890" s="743">
        <v>5.5</v>
      </c>
      <c r="AG1890" s="741" t="str">
        <f>'DICTIONARY-5'!$A$23</f>
        <v>powłoka epoksydowa</v>
      </c>
    </row>
    <row r="1891" spans="1:33" x14ac:dyDescent="0.25">
      <c r="A1891" s="754" t="s">
        <v>1579</v>
      </c>
      <c r="B1891" s="866" t="s">
        <v>3891</v>
      </c>
      <c r="C1891" s="836">
        <v>255</v>
      </c>
      <c r="D1891" s="836"/>
      <c r="E1891" s="836"/>
      <c r="F1891" s="836"/>
      <c r="G1891" s="496" t="s">
        <v>7832</v>
      </c>
      <c r="H1891" s="797" t="str">
        <f>VLOOKUP(G1891,SETTINGS!$B$7:$D$97,2,0)</f>
        <v>CEREX 300</v>
      </c>
      <c r="I1891" s="796">
        <f>VLOOKUP(G1891,SETTINGS!$B$7:$D$97,3,0)</f>
        <v>0</v>
      </c>
      <c r="J1891" s="670" t="str">
        <f>IFERROR(IF(CURRENCY.FORMAT_1=0,CONCATENATE(TEXT(FIXED(ROUND((C1891/EXC.RATE_1),CURRENCY.FORMAT_1),CURRENCY.FORMAT_1,1),"# ##0;-# ##0"),",-"),FIXED(ROUND((C1891/EXC.RATE_1),CURRENCY.FORMAT_1),CURRENCY.FORMAT_1,0)),'DICTIONARY-5'!$A$2)</f>
        <v>255,-</v>
      </c>
      <c r="K1891" s="670" t="str">
        <f>IF(EXC.RATE_2=0,"",IFERROR(IF(CURRENCY.FORMAT_2=0,CONCATENATE(TEXT(FIXED(ROUND(IF(EXC.RATE.SWITCH=1,C1891/EXC.RATE_2,C1891*EXC.RATE_2),CURRENCY.FORMAT_2),CURRENCY.FORMAT_2,1),"# ##0;-# ##0"),",-"),FIXED(ROUND(IF(EXC.RATE.SWITCH=1,C1891/EXC.RATE_2,C1891*EXC.RATE_2),CURRENCY.FORMAT_2),CURRENCY.FORMAT_2,0)),'DICTIONARY-5'!$A$2))</f>
        <v/>
      </c>
      <c r="L1891" s="670" t="str">
        <f>IFERROR(IF(CURRENCY.FORMAT_1=0,CONCATENATE(TEXT(FIXED(ROUND((C1891*(1-I1891)*(1-ADD.DISCOUNT)*(1+MAT.SURCHARGE)/EXC.RATE_1),CURRENCY.FORMAT_1),CURRENCY.FORMAT_1,1),"# ##0;-# ##0"),",-"),FIXED(ROUND((C1891*(1-I1891)*(1-ADD.DISCOUNT)*(1+MAT.SURCHARGE)/EXC.RATE_1),CURRENCY.FORMAT_1),CURRENCY.FORMAT_1,0)),'DICTIONARY-5'!$A$2)</f>
        <v>265,-</v>
      </c>
      <c r="M1891" s="670" t="str">
        <f>IF(EXC.RATE_2=0,"",IFERROR(IF(CURRENCY.FORMAT_2=0,CONCATENATE(TEXT(FIXED(ROUND(IF(EXC.RATE.SWITCH=1,C1891*(1-I1891)*(1-ADD.DISCOUNT)*(1+MAT.SURCHARGE)/EXC.RATE_2,C1891*(1-I1891)*(1-ADD.DISCOUNT)*(1+MAT.SURCHARGE)*EXC.RATE_2),CURRENCY.FORMAT_2),CURRENCY.FORMAT_2,1),"# ##0;-# ##0"),",-"),FIXED(ROUND(IF(EXC.RATE.SWITCH=1,C1891*(1-I1891)*(1-ADD.DISCOUNT)*(1+MAT.SURCHARGE)/EXC.RATE_2,C1891*(1-I1891)*(1-ADD.DISCOUNT)*(1+MAT.SURCHARGE)*EXC.RATE_2),CURRENCY.FORMAT_2),CURRENCY.FORMAT_2,0)),'DICTIONARY-5'!$A$2))</f>
        <v/>
      </c>
      <c r="N1891" s="541">
        <v>6</v>
      </c>
      <c r="O1891" s="541"/>
      <c r="P1891" s="731" t="str">
        <f>'DICTIONARY-3'!$A$148</f>
        <v>CEREX 300-L</v>
      </c>
      <c r="Q1891" s="731" t="str">
        <f>'DICTIONARY-3'!$A$204</f>
        <v>Przepustnica kołnierzowa</v>
      </c>
      <c r="R1891" s="732" t="str">
        <f>CONCATENATE('DICTIONARY-3'!$A$148," ",'DICTIONARY-6'!$A$2," ",'DICTIONARY-2'!$A$2,"100"," ",'DICTIONARY-2'!$A$3,"10/16"," ","R20"," ",'DICTIONARY-5'!$A$51,"/",'DICTIONARY-5'!$A$44,", ",'DICTIONARY-4'!$A$3," ",'DICTIONARY-5'!$A$33)</f>
        <v>CEREX 300-L Przep. kołnierz. DN100 PN10/16 R20 GGG/EPDM, DR st. nierdz.</v>
      </c>
      <c r="S1891" s="733" t="str">
        <f>'DICTIONARY-4'!$A$3</f>
        <v>DR</v>
      </c>
      <c r="T1891" s="732" t="str">
        <f>'DICTIONARY-4'!$A$19</f>
        <v>Dźwignia ręczna</v>
      </c>
      <c r="U1891" s="734" t="s">
        <v>5749</v>
      </c>
      <c r="V1891" s="735">
        <v>16</v>
      </c>
      <c r="W1891" s="736"/>
      <c r="X1891" s="737"/>
      <c r="Y1891" s="738"/>
      <c r="Z1891" s="739"/>
      <c r="AA1891" s="739"/>
      <c r="AB1891" s="740">
        <v>16</v>
      </c>
      <c r="AC1891" s="741" t="str">
        <f>'DICTIONARY-5'!$A$11&amp;" 20"</f>
        <v>EN 558 szereg 20</v>
      </c>
      <c r="AD1891" s="741" t="str">
        <f>'DICTIONARY-5'!$A$13</f>
        <v>woda pitna</v>
      </c>
      <c r="AE1891" s="742">
        <v>80</v>
      </c>
      <c r="AF1891" s="743">
        <v>8.5</v>
      </c>
      <c r="AG1891" s="741" t="str">
        <f>'DICTIONARY-5'!$A$23</f>
        <v>powłoka epoksydowa</v>
      </c>
    </row>
    <row r="1892" spans="1:33" x14ac:dyDescent="0.25">
      <c r="A1892" s="754" t="s">
        <v>1581</v>
      </c>
      <c r="B1892" s="866" t="s">
        <v>3897</v>
      </c>
      <c r="C1892" s="836">
        <v>289</v>
      </c>
      <c r="D1892" s="836"/>
      <c r="E1892" s="836"/>
      <c r="F1892" s="836"/>
      <c r="G1892" s="496" t="s">
        <v>7832</v>
      </c>
      <c r="H1892" s="797" t="str">
        <f>VLOOKUP(G1892,SETTINGS!$B$7:$D$97,2,0)</f>
        <v>CEREX 300</v>
      </c>
      <c r="I1892" s="796">
        <f>VLOOKUP(G1892,SETTINGS!$B$7:$D$97,3,0)</f>
        <v>0</v>
      </c>
      <c r="J1892" s="670" t="str">
        <f>IFERROR(IF(CURRENCY.FORMAT_1=0,CONCATENATE(TEXT(FIXED(ROUND((C1892/EXC.RATE_1),CURRENCY.FORMAT_1),CURRENCY.FORMAT_1,1),"# ##0;-# ##0"),",-"),FIXED(ROUND((C1892/EXC.RATE_1),CURRENCY.FORMAT_1),CURRENCY.FORMAT_1,0)),'DICTIONARY-5'!$A$2)</f>
        <v>289,-</v>
      </c>
      <c r="K1892" s="670" t="str">
        <f>IF(EXC.RATE_2=0,"",IFERROR(IF(CURRENCY.FORMAT_2=0,CONCATENATE(TEXT(FIXED(ROUND(IF(EXC.RATE.SWITCH=1,C1892/EXC.RATE_2,C1892*EXC.RATE_2),CURRENCY.FORMAT_2),CURRENCY.FORMAT_2,1),"# ##0;-# ##0"),",-"),FIXED(ROUND(IF(EXC.RATE.SWITCH=1,C1892/EXC.RATE_2,C1892*EXC.RATE_2),CURRENCY.FORMAT_2),CURRENCY.FORMAT_2,0)),'DICTIONARY-5'!$A$2))</f>
        <v/>
      </c>
      <c r="L1892" s="670" t="str">
        <f>IFERROR(IF(CURRENCY.FORMAT_1=0,CONCATENATE(TEXT(FIXED(ROUND((C1892*(1-I1892)*(1-ADD.DISCOUNT)*(1+MAT.SURCHARGE)/EXC.RATE_1),CURRENCY.FORMAT_1),CURRENCY.FORMAT_1,1),"# ##0;-# ##0"),",-"),FIXED(ROUND((C1892*(1-I1892)*(1-ADD.DISCOUNT)*(1+MAT.SURCHARGE)/EXC.RATE_1),CURRENCY.FORMAT_1),CURRENCY.FORMAT_1,0)),'DICTIONARY-5'!$A$2)</f>
        <v>300,-</v>
      </c>
      <c r="M1892" s="670" t="str">
        <f>IF(EXC.RATE_2=0,"",IFERROR(IF(CURRENCY.FORMAT_2=0,CONCATENATE(TEXT(FIXED(ROUND(IF(EXC.RATE.SWITCH=1,C1892*(1-I1892)*(1-ADD.DISCOUNT)*(1+MAT.SURCHARGE)/EXC.RATE_2,C1892*(1-I1892)*(1-ADD.DISCOUNT)*(1+MAT.SURCHARGE)*EXC.RATE_2),CURRENCY.FORMAT_2),CURRENCY.FORMAT_2,1),"# ##0;-# ##0"),",-"),FIXED(ROUND(IF(EXC.RATE.SWITCH=1,C1892*(1-I1892)*(1-ADD.DISCOUNT)*(1+MAT.SURCHARGE)/EXC.RATE_2,C1892*(1-I1892)*(1-ADD.DISCOUNT)*(1+MAT.SURCHARGE)*EXC.RATE_2),CURRENCY.FORMAT_2),CURRENCY.FORMAT_2,0)),'DICTIONARY-5'!$A$2))</f>
        <v/>
      </c>
      <c r="N1892" s="541">
        <v>6</v>
      </c>
      <c r="O1892" s="541"/>
      <c r="P1892" s="731" t="str">
        <f>'DICTIONARY-3'!$A$148</f>
        <v>CEREX 300-L</v>
      </c>
      <c r="Q1892" s="731" t="str">
        <f>'DICTIONARY-3'!$A$204</f>
        <v>Przepustnica kołnierzowa</v>
      </c>
      <c r="R1892" s="732" t="str">
        <f>CONCATENATE('DICTIONARY-3'!$A$148," ",'DICTIONARY-6'!$A$2," ",'DICTIONARY-2'!$A$2,"125"," ",'DICTIONARY-2'!$A$3,"10/16"," ","R20"," ",'DICTIONARY-5'!$A$51,"/",'DICTIONARY-5'!$A$44,", ",'DICTIONARY-4'!$A$3," ",'DICTIONARY-5'!$A$33)</f>
        <v>CEREX 300-L Przep. kołnierz. DN125 PN10/16 R20 GGG/EPDM, DR st. nierdz.</v>
      </c>
      <c r="S1892" s="733" t="str">
        <f>'DICTIONARY-4'!$A$3</f>
        <v>DR</v>
      </c>
      <c r="T1892" s="732" t="str">
        <f>'DICTIONARY-4'!$A$19</f>
        <v>Dźwignia ręczna</v>
      </c>
      <c r="U1892" s="734" t="s">
        <v>5761</v>
      </c>
      <c r="V1892" s="735">
        <v>16</v>
      </c>
      <c r="W1892" s="736"/>
      <c r="X1892" s="737"/>
      <c r="Y1892" s="738"/>
      <c r="Z1892" s="739"/>
      <c r="AA1892" s="739"/>
      <c r="AB1892" s="740">
        <v>16</v>
      </c>
      <c r="AC1892" s="741" t="str">
        <f>'DICTIONARY-5'!$A$11&amp;" 20"</f>
        <v>EN 558 szereg 20</v>
      </c>
      <c r="AD1892" s="741" t="str">
        <f>'DICTIONARY-5'!$A$13</f>
        <v>woda pitna</v>
      </c>
      <c r="AE1892" s="742">
        <v>80</v>
      </c>
      <c r="AF1892" s="743">
        <v>10</v>
      </c>
      <c r="AG1892" s="741" t="str">
        <f>'DICTIONARY-5'!$A$23</f>
        <v>powłoka epoksydowa</v>
      </c>
    </row>
    <row r="1893" spans="1:33" x14ac:dyDescent="0.25">
      <c r="A1893" s="754" t="s">
        <v>1583</v>
      </c>
      <c r="B1893" s="866" t="s">
        <v>3903</v>
      </c>
      <c r="C1893" s="836">
        <v>373</v>
      </c>
      <c r="D1893" s="836"/>
      <c r="E1893" s="836"/>
      <c r="F1893" s="836"/>
      <c r="G1893" s="496" t="s">
        <v>7832</v>
      </c>
      <c r="H1893" s="797" t="str">
        <f>VLOOKUP(G1893,SETTINGS!$B$7:$D$97,2,0)</f>
        <v>CEREX 300</v>
      </c>
      <c r="I1893" s="796">
        <f>VLOOKUP(G1893,SETTINGS!$B$7:$D$97,3,0)</f>
        <v>0</v>
      </c>
      <c r="J1893" s="670" t="str">
        <f>IFERROR(IF(CURRENCY.FORMAT_1=0,CONCATENATE(TEXT(FIXED(ROUND((C1893/EXC.RATE_1),CURRENCY.FORMAT_1),CURRENCY.FORMAT_1,1),"# ##0;-# ##0"),",-"),FIXED(ROUND((C1893/EXC.RATE_1),CURRENCY.FORMAT_1),CURRENCY.FORMAT_1,0)),'DICTIONARY-5'!$A$2)</f>
        <v>373,-</v>
      </c>
      <c r="K1893" s="670" t="str">
        <f>IF(EXC.RATE_2=0,"",IFERROR(IF(CURRENCY.FORMAT_2=0,CONCATENATE(TEXT(FIXED(ROUND(IF(EXC.RATE.SWITCH=1,C1893/EXC.RATE_2,C1893*EXC.RATE_2),CURRENCY.FORMAT_2),CURRENCY.FORMAT_2,1),"# ##0;-# ##0"),",-"),FIXED(ROUND(IF(EXC.RATE.SWITCH=1,C1893/EXC.RATE_2,C1893*EXC.RATE_2),CURRENCY.FORMAT_2),CURRENCY.FORMAT_2,0)),'DICTIONARY-5'!$A$2))</f>
        <v/>
      </c>
      <c r="L1893" s="670" t="str">
        <f>IFERROR(IF(CURRENCY.FORMAT_1=0,CONCATENATE(TEXT(FIXED(ROUND((C1893*(1-I1893)*(1-ADD.DISCOUNT)*(1+MAT.SURCHARGE)/EXC.RATE_1),CURRENCY.FORMAT_1),CURRENCY.FORMAT_1,1),"# ##0;-# ##0"),",-"),FIXED(ROUND((C1893*(1-I1893)*(1-ADD.DISCOUNT)*(1+MAT.SURCHARGE)/EXC.RATE_1),CURRENCY.FORMAT_1),CURRENCY.FORMAT_1,0)),'DICTIONARY-5'!$A$2)</f>
        <v>388,-</v>
      </c>
      <c r="M1893" s="670" t="str">
        <f>IF(EXC.RATE_2=0,"",IFERROR(IF(CURRENCY.FORMAT_2=0,CONCATENATE(TEXT(FIXED(ROUND(IF(EXC.RATE.SWITCH=1,C1893*(1-I1893)*(1-ADD.DISCOUNT)*(1+MAT.SURCHARGE)/EXC.RATE_2,C1893*(1-I1893)*(1-ADD.DISCOUNT)*(1+MAT.SURCHARGE)*EXC.RATE_2),CURRENCY.FORMAT_2),CURRENCY.FORMAT_2,1),"# ##0;-# ##0"),",-"),FIXED(ROUND(IF(EXC.RATE.SWITCH=1,C1893*(1-I1893)*(1-ADD.DISCOUNT)*(1+MAT.SURCHARGE)/EXC.RATE_2,C1893*(1-I1893)*(1-ADD.DISCOUNT)*(1+MAT.SURCHARGE)*EXC.RATE_2),CURRENCY.FORMAT_2),CURRENCY.FORMAT_2,0)),'DICTIONARY-5'!$A$2))</f>
        <v/>
      </c>
      <c r="N1893" s="541">
        <v>6</v>
      </c>
      <c r="O1893" s="541"/>
      <c r="P1893" s="731" t="str">
        <f>'DICTIONARY-3'!$A$148</f>
        <v>CEREX 300-L</v>
      </c>
      <c r="Q1893" s="731" t="str">
        <f>'DICTIONARY-3'!$A$204</f>
        <v>Przepustnica kołnierzowa</v>
      </c>
      <c r="R1893" s="732" t="str">
        <f>CONCATENATE('DICTIONARY-3'!$A$148," ",'DICTIONARY-6'!$A$2," ",'DICTIONARY-2'!$A$2,"150"," ",'DICTIONARY-2'!$A$3,"10/16"," ","R20"," ",'DICTIONARY-5'!$A$51,"/",'DICTIONARY-5'!$A$44,", ",'DICTIONARY-4'!$A$3," ",'DICTIONARY-5'!$A$33)</f>
        <v>CEREX 300-L Przep. kołnierz. DN150 PN10/16 R20 GGG/EPDM, DR st. nierdz.</v>
      </c>
      <c r="S1893" s="733" t="str">
        <f>'DICTIONARY-4'!$A$3</f>
        <v>DR</v>
      </c>
      <c r="T1893" s="732" t="str">
        <f>'DICTIONARY-4'!$A$19</f>
        <v>Dźwignia ręczna</v>
      </c>
      <c r="U1893" s="734" t="s">
        <v>5572</v>
      </c>
      <c r="V1893" s="735">
        <v>16</v>
      </c>
      <c r="W1893" s="736"/>
      <c r="X1893" s="737"/>
      <c r="Y1893" s="738"/>
      <c r="Z1893" s="739"/>
      <c r="AA1893" s="739"/>
      <c r="AB1893" s="740">
        <v>16</v>
      </c>
      <c r="AC1893" s="741" t="str">
        <f>'DICTIONARY-5'!$A$11&amp;" 20"</f>
        <v>EN 558 szereg 20</v>
      </c>
      <c r="AD1893" s="741" t="str">
        <f>'DICTIONARY-5'!$A$13</f>
        <v>woda pitna</v>
      </c>
      <c r="AE1893" s="742">
        <v>80</v>
      </c>
      <c r="AF1893" s="743">
        <v>13</v>
      </c>
      <c r="AG1893" s="741" t="str">
        <f>'DICTIONARY-5'!$A$23</f>
        <v>powłoka epoksydowa</v>
      </c>
    </row>
    <row r="1894" spans="1:33" x14ac:dyDescent="0.25">
      <c r="A1894" s="754" t="s">
        <v>1585</v>
      </c>
      <c r="B1894" s="866" t="s">
        <v>3953</v>
      </c>
      <c r="C1894" s="836">
        <v>478</v>
      </c>
      <c r="D1894" s="836"/>
      <c r="E1894" s="836"/>
      <c r="F1894" s="836"/>
      <c r="G1894" s="496" t="s">
        <v>7832</v>
      </c>
      <c r="H1894" s="797" t="str">
        <f>VLOOKUP(G1894,SETTINGS!$B$7:$D$97,2,0)</f>
        <v>CEREX 300</v>
      </c>
      <c r="I1894" s="796">
        <f>VLOOKUP(G1894,SETTINGS!$B$7:$D$97,3,0)</f>
        <v>0</v>
      </c>
      <c r="J1894" s="670" t="str">
        <f>IFERROR(IF(CURRENCY.FORMAT_1=0,CONCATENATE(TEXT(FIXED(ROUND((C1894/EXC.RATE_1),CURRENCY.FORMAT_1),CURRENCY.FORMAT_1,1),"# ##0;-# ##0"),",-"),FIXED(ROUND((C1894/EXC.RATE_1),CURRENCY.FORMAT_1),CURRENCY.FORMAT_1,0)),'DICTIONARY-5'!$A$2)</f>
        <v>478,-</v>
      </c>
      <c r="K1894" s="670" t="str">
        <f>IF(EXC.RATE_2=0,"",IFERROR(IF(CURRENCY.FORMAT_2=0,CONCATENATE(TEXT(FIXED(ROUND(IF(EXC.RATE.SWITCH=1,C1894/EXC.RATE_2,C1894*EXC.RATE_2),CURRENCY.FORMAT_2),CURRENCY.FORMAT_2,1),"# ##0;-# ##0"),",-"),FIXED(ROUND(IF(EXC.RATE.SWITCH=1,C1894/EXC.RATE_2,C1894*EXC.RATE_2),CURRENCY.FORMAT_2),CURRENCY.FORMAT_2,0)),'DICTIONARY-5'!$A$2))</f>
        <v/>
      </c>
      <c r="L1894" s="670" t="str">
        <f>IFERROR(IF(CURRENCY.FORMAT_1=0,CONCATENATE(TEXT(FIXED(ROUND((C1894*(1-I1894)*(1-ADD.DISCOUNT)*(1+MAT.SURCHARGE)/EXC.RATE_1),CURRENCY.FORMAT_1),CURRENCY.FORMAT_1,1),"# ##0;-# ##0"),",-"),FIXED(ROUND((C1894*(1-I1894)*(1-ADD.DISCOUNT)*(1+MAT.SURCHARGE)/EXC.RATE_1),CURRENCY.FORMAT_1),CURRENCY.FORMAT_1,0)),'DICTIONARY-5'!$A$2)</f>
        <v>497,-</v>
      </c>
      <c r="M1894" s="670" t="str">
        <f>IF(EXC.RATE_2=0,"",IFERROR(IF(CURRENCY.FORMAT_2=0,CONCATENATE(TEXT(FIXED(ROUND(IF(EXC.RATE.SWITCH=1,C1894*(1-I1894)*(1-ADD.DISCOUNT)*(1+MAT.SURCHARGE)/EXC.RATE_2,C1894*(1-I1894)*(1-ADD.DISCOUNT)*(1+MAT.SURCHARGE)*EXC.RATE_2),CURRENCY.FORMAT_2),CURRENCY.FORMAT_2,1),"# ##0;-# ##0"),",-"),FIXED(ROUND(IF(EXC.RATE.SWITCH=1,C1894*(1-I1894)*(1-ADD.DISCOUNT)*(1+MAT.SURCHARGE)/EXC.RATE_2,C1894*(1-I1894)*(1-ADD.DISCOUNT)*(1+MAT.SURCHARGE)*EXC.RATE_2),CURRENCY.FORMAT_2),CURRENCY.FORMAT_2,0)),'DICTIONARY-5'!$A$2))</f>
        <v/>
      </c>
      <c r="N1894" s="541">
        <v>6</v>
      </c>
      <c r="O1894" s="541"/>
      <c r="P1894" s="731" t="str">
        <f>'DICTIONARY-3'!$A$148</f>
        <v>CEREX 300-L</v>
      </c>
      <c r="Q1894" s="731" t="str">
        <f>'DICTIONARY-3'!$A$204</f>
        <v>Przepustnica kołnierzowa</v>
      </c>
      <c r="R1894" s="732" t="str">
        <f>CONCATENATE('DICTIONARY-3'!$A$148," ",'DICTIONARY-6'!$A$2," ",'DICTIONARY-2'!$A$2,"200"," ",'DICTIONARY-2'!$A$3,"10"," ","R20"," ",'DICTIONARY-5'!$A$51,"/",'DICTIONARY-5'!$A$44,", ",'DICTIONARY-4'!$A$3," ",'DICTIONARY-5'!$A$33)</f>
        <v>CEREX 300-L Przep. kołnierz. DN200 PN10 R20 GGG/EPDM, DR st. nierdz.</v>
      </c>
      <c r="S1894" s="733" t="str">
        <f>'DICTIONARY-4'!$A$3</f>
        <v>DR</v>
      </c>
      <c r="T1894" s="732" t="str">
        <f>'DICTIONARY-4'!$A$19</f>
        <v>Dźwignia ręczna</v>
      </c>
      <c r="U1894" s="734" t="s">
        <v>5750</v>
      </c>
      <c r="V1894" s="735">
        <v>10</v>
      </c>
      <c r="W1894" s="736"/>
      <c r="X1894" s="737"/>
      <c r="Y1894" s="738"/>
      <c r="Z1894" s="739"/>
      <c r="AA1894" s="739"/>
      <c r="AB1894" s="740">
        <v>10</v>
      </c>
      <c r="AC1894" s="741" t="str">
        <f>'DICTIONARY-5'!$A$11&amp;" 20"</f>
        <v>EN 558 szereg 20</v>
      </c>
      <c r="AD1894" s="741" t="str">
        <f>'DICTIONARY-5'!$A$13</f>
        <v>woda pitna</v>
      </c>
      <c r="AE1894" s="742">
        <v>80</v>
      </c>
      <c r="AF1894" s="743">
        <v>18</v>
      </c>
      <c r="AG1894" s="741" t="str">
        <f>'DICTIONARY-5'!$A$23</f>
        <v>powłoka epoksydowa</v>
      </c>
    </row>
    <row r="1895" spans="1:33" x14ac:dyDescent="0.25">
      <c r="A1895" s="754" t="s">
        <v>1587</v>
      </c>
      <c r="B1895" s="866" t="s">
        <v>3909</v>
      </c>
      <c r="C1895" s="836">
        <v>523</v>
      </c>
      <c r="D1895" s="836"/>
      <c r="E1895" s="836"/>
      <c r="F1895" s="836"/>
      <c r="G1895" s="496" t="s">
        <v>7832</v>
      </c>
      <c r="H1895" s="797" t="str">
        <f>VLOOKUP(G1895,SETTINGS!$B$7:$D$97,2,0)</f>
        <v>CEREX 300</v>
      </c>
      <c r="I1895" s="796">
        <f>VLOOKUP(G1895,SETTINGS!$B$7:$D$97,3,0)</f>
        <v>0</v>
      </c>
      <c r="J1895" s="670" t="str">
        <f>IFERROR(IF(CURRENCY.FORMAT_1=0,CONCATENATE(TEXT(FIXED(ROUND((C1895/EXC.RATE_1),CURRENCY.FORMAT_1),CURRENCY.FORMAT_1,1),"# ##0;-# ##0"),",-"),FIXED(ROUND((C1895/EXC.RATE_1),CURRENCY.FORMAT_1),CURRENCY.FORMAT_1,0)),'DICTIONARY-5'!$A$2)</f>
        <v>523,-</v>
      </c>
      <c r="K1895" s="670" t="str">
        <f>IF(EXC.RATE_2=0,"",IFERROR(IF(CURRENCY.FORMAT_2=0,CONCATENATE(TEXT(FIXED(ROUND(IF(EXC.RATE.SWITCH=1,C1895/EXC.RATE_2,C1895*EXC.RATE_2),CURRENCY.FORMAT_2),CURRENCY.FORMAT_2,1),"# ##0;-# ##0"),",-"),FIXED(ROUND(IF(EXC.RATE.SWITCH=1,C1895/EXC.RATE_2,C1895*EXC.RATE_2),CURRENCY.FORMAT_2),CURRENCY.FORMAT_2,0)),'DICTIONARY-5'!$A$2))</f>
        <v/>
      </c>
      <c r="L1895" s="670" t="str">
        <f>IFERROR(IF(CURRENCY.FORMAT_1=0,CONCATENATE(TEXT(FIXED(ROUND((C1895*(1-I1895)*(1-ADD.DISCOUNT)*(1+MAT.SURCHARGE)/EXC.RATE_1),CURRENCY.FORMAT_1),CURRENCY.FORMAT_1,1),"# ##0;-# ##0"),",-"),FIXED(ROUND((C1895*(1-I1895)*(1-ADD.DISCOUNT)*(1+MAT.SURCHARGE)/EXC.RATE_1),CURRENCY.FORMAT_1),CURRENCY.FORMAT_1,0)),'DICTIONARY-5'!$A$2)</f>
        <v>543,-</v>
      </c>
      <c r="M1895" s="670" t="str">
        <f>IF(EXC.RATE_2=0,"",IFERROR(IF(CURRENCY.FORMAT_2=0,CONCATENATE(TEXT(FIXED(ROUND(IF(EXC.RATE.SWITCH=1,C1895*(1-I1895)*(1-ADD.DISCOUNT)*(1+MAT.SURCHARGE)/EXC.RATE_2,C1895*(1-I1895)*(1-ADD.DISCOUNT)*(1+MAT.SURCHARGE)*EXC.RATE_2),CURRENCY.FORMAT_2),CURRENCY.FORMAT_2,1),"# ##0;-# ##0"),",-"),FIXED(ROUND(IF(EXC.RATE.SWITCH=1,C1895*(1-I1895)*(1-ADD.DISCOUNT)*(1+MAT.SURCHARGE)/EXC.RATE_2,C1895*(1-I1895)*(1-ADD.DISCOUNT)*(1+MAT.SURCHARGE)*EXC.RATE_2),CURRENCY.FORMAT_2),CURRENCY.FORMAT_2,0)),'DICTIONARY-5'!$A$2))</f>
        <v/>
      </c>
      <c r="N1895" s="541">
        <v>6</v>
      </c>
      <c r="O1895" s="541"/>
      <c r="P1895" s="731" t="str">
        <f>'DICTIONARY-3'!$A$148</f>
        <v>CEREX 300-L</v>
      </c>
      <c r="Q1895" s="731" t="str">
        <f>'DICTIONARY-3'!$A$204</f>
        <v>Przepustnica kołnierzowa</v>
      </c>
      <c r="R1895" s="732" t="str">
        <f>CONCATENATE('DICTIONARY-3'!$A$148," ",'DICTIONARY-6'!$A$2," ",'DICTIONARY-2'!$A$2,"200"," ",'DICTIONARY-2'!$A$3,"16"," ","R20"," ",'DICTIONARY-5'!$A$51,"/",'DICTIONARY-5'!$A$44,", ",'DICTIONARY-4'!$A$3," ",'DICTIONARY-5'!$A$33)</f>
        <v>CEREX 300-L Przep. kołnierz. DN200 PN16 R20 GGG/EPDM, DR st. nierdz.</v>
      </c>
      <c r="S1895" s="733" t="str">
        <f>'DICTIONARY-4'!$A$3</f>
        <v>DR</v>
      </c>
      <c r="T1895" s="732" t="str">
        <f>'DICTIONARY-4'!$A$19</f>
        <v>Dźwignia ręczna</v>
      </c>
      <c r="U1895" s="734" t="s">
        <v>5750</v>
      </c>
      <c r="V1895" s="735">
        <v>16</v>
      </c>
      <c r="W1895" s="736"/>
      <c r="X1895" s="737"/>
      <c r="Y1895" s="738"/>
      <c r="Z1895" s="739"/>
      <c r="AA1895" s="739"/>
      <c r="AB1895" s="740">
        <v>16</v>
      </c>
      <c r="AC1895" s="741" t="str">
        <f>'DICTIONARY-5'!$A$11&amp;" 20"</f>
        <v>EN 558 szereg 20</v>
      </c>
      <c r="AD1895" s="741" t="str">
        <f>'DICTIONARY-5'!$A$13</f>
        <v>woda pitna</v>
      </c>
      <c r="AE1895" s="742">
        <v>80</v>
      </c>
      <c r="AF1895" s="743">
        <v>19.5</v>
      </c>
      <c r="AG1895" s="741" t="str">
        <f>'DICTIONARY-5'!$A$23</f>
        <v>powłoka epoksydowa</v>
      </c>
    </row>
    <row r="1896" spans="1:33" x14ac:dyDescent="0.25">
      <c r="A1896" s="754" t="s">
        <v>1574</v>
      </c>
      <c r="B1896" s="866" t="s">
        <v>3817</v>
      </c>
      <c r="C1896" s="836">
        <v>195</v>
      </c>
      <c r="D1896" s="836"/>
      <c r="E1896" s="836"/>
      <c r="F1896" s="836"/>
      <c r="G1896" s="496" t="s">
        <v>7832</v>
      </c>
      <c r="H1896" s="797" t="str">
        <f>VLOOKUP(G1896,SETTINGS!$B$7:$D$97,2,0)</f>
        <v>CEREX 300</v>
      </c>
      <c r="I1896" s="796">
        <f>VLOOKUP(G1896,SETTINGS!$B$7:$D$97,3,0)</f>
        <v>0</v>
      </c>
      <c r="J1896" s="670" t="str">
        <f>IFERROR(IF(CURRENCY.FORMAT_1=0,CONCATENATE(TEXT(FIXED(ROUND((C1896/EXC.RATE_1),CURRENCY.FORMAT_1),CURRENCY.FORMAT_1,1),"# ##0;-# ##0"),",-"),FIXED(ROUND((C1896/EXC.RATE_1),CURRENCY.FORMAT_1),CURRENCY.FORMAT_1,0)),'DICTIONARY-5'!$A$2)</f>
        <v>195,-</v>
      </c>
      <c r="K1896" s="670" t="str">
        <f>IF(EXC.RATE_2=0,"",IFERROR(IF(CURRENCY.FORMAT_2=0,CONCATENATE(TEXT(FIXED(ROUND(IF(EXC.RATE.SWITCH=1,C1896/EXC.RATE_2,C1896*EXC.RATE_2),CURRENCY.FORMAT_2),CURRENCY.FORMAT_2,1),"# ##0;-# ##0"),",-"),FIXED(ROUND(IF(EXC.RATE.SWITCH=1,C1896/EXC.RATE_2,C1896*EXC.RATE_2),CURRENCY.FORMAT_2),CURRENCY.FORMAT_2,0)),'DICTIONARY-5'!$A$2))</f>
        <v/>
      </c>
      <c r="L1896" s="670" t="str">
        <f>IFERROR(IF(CURRENCY.FORMAT_1=0,CONCATENATE(TEXT(FIXED(ROUND((C1896*(1-I1896)*(1-ADD.DISCOUNT)*(1+MAT.SURCHARGE)/EXC.RATE_1),CURRENCY.FORMAT_1),CURRENCY.FORMAT_1,1),"# ##0;-# ##0"),",-"),FIXED(ROUND((C1896*(1-I1896)*(1-ADD.DISCOUNT)*(1+MAT.SURCHARGE)/EXC.RATE_1),CURRENCY.FORMAT_1),CURRENCY.FORMAT_1,0)),'DICTIONARY-5'!$A$2)</f>
        <v>203,-</v>
      </c>
      <c r="M1896" s="670" t="str">
        <f>IF(EXC.RATE_2=0,"",IFERROR(IF(CURRENCY.FORMAT_2=0,CONCATENATE(TEXT(FIXED(ROUND(IF(EXC.RATE.SWITCH=1,C1896*(1-I1896)*(1-ADD.DISCOUNT)*(1+MAT.SURCHARGE)/EXC.RATE_2,C1896*(1-I1896)*(1-ADD.DISCOUNT)*(1+MAT.SURCHARGE)*EXC.RATE_2),CURRENCY.FORMAT_2),CURRENCY.FORMAT_2,1),"# ##0;-# ##0"),",-"),FIXED(ROUND(IF(EXC.RATE.SWITCH=1,C1896*(1-I1896)*(1-ADD.DISCOUNT)*(1+MAT.SURCHARGE)/EXC.RATE_2,C1896*(1-I1896)*(1-ADD.DISCOUNT)*(1+MAT.SURCHARGE)*EXC.RATE_2),CURRENCY.FORMAT_2),CURRENCY.FORMAT_2,0)),'DICTIONARY-5'!$A$2))</f>
        <v/>
      </c>
      <c r="N1896" s="541">
        <v>6</v>
      </c>
      <c r="O1896" s="541"/>
      <c r="P1896" s="731" t="str">
        <f>'DICTIONARY-3'!$A$148</f>
        <v>CEREX 300-L</v>
      </c>
      <c r="Q1896" s="731" t="str">
        <f>'DICTIONARY-3'!$A$204</f>
        <v>Przepustnica kołnierzowa</v>
      </c>
      <c r="R1896" s="732" t="str">
        <f>CONCATENATE('DICTIONARY-3'!$A$148," ",'DICTIONARY-6'!$A$2," ",'DICTIONARY-2'!$A$2,"50"," ",'DICTIONARY-2'!$A$3,"10/16"," ","R20"," ",'DICTIONARY-5'!$A$37,"/",'DICTIONARY-5'!$A$44,", ",'DICTIONARY-4'!$A$3," ",'DICTIONARY-5'!$A$33)</f>
        <v>CEREX 300-L Przep. kołnierz. DN50 PN10/16 R20 CF8M/EPDM, DR st. nierdz.</v>
      </c>
      <c r="S1896" s="733" t="str">
        <f>'DICTIONARY-4'!$A$3</f>
        <v>DR</v>
      </c>
      <c r="T1896" s="732" t="str">
        <f>'DICTIONARY-4'!$A$19</f>
        <v>Dźwignia ręczna</v>
      </c>
      <c r="U1896" s="734" t="s">
        <v>5748</v>
      </c>
      <c r="V1896" s="735">
        <v>16</v>
      </c>
      <c r="W1896" s="736"/>
      <c r="X1896" s="737"/>
      <c r="Y1896" s="738"/>
      <c r="Z1896" s="739"/>
      <c r="AA1896" s="739"/>
      <c r="AB1896" s="740">
        <v>16</v>
      </c>
      <c r="AC1896" s="741" t="str">
        <f>'DICTIONARY-5'!$A$11&amp;" 20"</f>
        <v>EN 558 szereg 20</v>
      </c>
      <c r="AD1896" s="741" t="str">
        <f>'DICTIONARY-5'!$A$13</f>
        <v>woda pitna</v>
      </c>
      <c r="AE1896" s="742">
        <v>110</v>
      </c>
      <c r="AF1896" s="743">
        <v>3.6</v>
      </c>
      <c r="AG1896" s="741" t="str">
        <f>'DICTIONARY-5'!$A$23</f>
        <v>powłoka epoksydowa</v>
      </c>
    </row>
    <row r="1897" spans="1:33" x14ac:dyDescent="0.25">
      <c r="A1897" s="754" t="s">
        <v>1576</v>
      </c>
      <c r="B1897" s="866" t="s">
        <v>3823</v>
      </c>
      <c r="C1897" s="836">
        <v>200</v>
      </c>
      <c r="D1897" s="836"/>
      <c r="E1897" s="836"/>
      <c r="F1897" s="836"/>
      <c r="G1897" s="496" t="s">
        <v>7832</v>
      </c>
      <c r="H1897" s="797" t="str">
        <f>VLOOKUP(G1897,SETTINGS!$B$7:$D$97,2,0)</f>
        <v>CEREX 300</v>
      </c>
      <c r="I1897" s="796">
        <f>VLOOKUP(G1897,SETTINGS!$B$7:$D$97,3,0)</f>
        <v>0</v>
      </c>
      <c r="J1897" s="670" t="str">
        <f>IFERROR(IF(CURRENCY.FORMAT_1=0,CONCATENATE(TEXT(FIXED(ROUND((C1897/EXC.RATE_1),CURRENCY.FORMAT_1),CURRENCY.FORMAT_1,1),"# ##0;-# ##0"),",-"),FIXED(ROUND((C1897/EXC.RATE_1),CURRENCY.FORMAT_1),CURRENCY.FORMAT_1,0)),'DICTIONARY-5'!$A$2)</f>
        <v>200,-</v>
      </c>
      <c r="K1897" s="670" t="str">
        <f>IF(EXC.RATE_2=0,"",IFERROR(IF(CURRENCY.FORMAT_2=0,CONCATENATE(TEXT(FIXED(ROUND(IF(EXC.RATE.SWITCH=1,C1897/EXC.RATE_2,C1897*EXC.RATE_2),CURRENCY.FORMAT_2),CURRENCY.FORMAT_2,1),"# ##0;-# ##0"),",-"),FIXED(ROUND(IF(EXC.RATE.SWITCH=1,C1897/EXC.RATE_2,C1897*EXC.RATE_2),CURRENCY.FORMAT_2),CURRENCY.FORMAT_2,0)),'DICTIONARY-5'!$A$2))</f>
        <v/>
      </c>
      <c r="L1897" s="670" t="str">
        <f>IFERROR(IF(CURRENCY.FORMAT_1=0,CONCATENATE(TEXT(FIXED(ROUND((C1897*(1-I1897)*(1-ADD.DISCOUNT)*(1+MAT.SURCHARGE)/EXC.RATE_1),CURRENCY.FORMAT_1),CURRENCY.FORMAT_1,1),"# ##0;-# ##0"),",-"),FIXED(ROUND((C1897*(1-I1897)*(1-ADD.DISCOUNT)*(1+MAT.SURCHARGE)/EXC.RATE_1),CURRENCY.FORMAT_1),CURRENCY.FORMAT_1,0)),'DICTIONARY-5'!$A$2)</f>
        <v>208,-</v>
      </c>
      <c r="M1897" s="670" t="str">
        <f>IF(EXC.RATE_2=0,"",IFERROR(IF(CURRENCY.FORMAT_2=0,CONCATENATE(TEXT(FIXED(ROUND(IF(EXC.RATE.SWITCH=1,C1897*(1-I1897)*(1-ADD.DISCOUNT)*(1+MAT.SURCHARGE)/EXC.RATE_2,C1897*(1-I1897)*(1-ADD.DISCOUNT)*(1+MAT.SURCHARGE)*EXC.RATE_2),CURRENCY.FORMAT_2),CURRENCY.FORMAT_2,1),"# ##0;-# ##0"),",-"),FIXED(ROUND(IF(EXC.RATE.SWITCH=1,C1897*(1-I1897)*(1-ADD.DISCOUNT)*(1+MAT.SURCHARGE)/EXC.RATE_2,C1897*(1-I1897)*(1-ADD.DISCOUNT)*(1+MAT.SURCHARGE)*EXC.RATE_2),CURRENCY.FORMAT_2),CURRENCY.FORMAT_2,0)),'DICTIONARY-5'!$A$2))</f>
        <v/>
      </c>
      <c r="N1897" s="541">
        <v>6</v>
      </c>
      <c r="O1897" s="541"/>
      <c r="P1897" s="731" t="str">
        <f>'DICTIONARY-3'!$A$148</f>
        <v>CEREX 300-L</v>
      </c>
      <c r="Q1897" s="731" t="str">
        <f>'DICTIONARY-3'!$A$204</f>
        <v>Przepustnica kołnierzowa</v>
      </c>
      <c r="R1897" s="732" t="str">
        <f>CONCATENATE('DICTIONARY-3'!$A$148," ",'DICTIONARY-6'!$A$2," ",'DICTIONARY-2'!$A$2,"65"," ",'DICTIONARY-2'!$A$3,"10/16"," ","R20"," ",'DICTIONARY-5'!$A$37,"/",'DICTIONARY-5'!$A$44,", ",'DICTIONARY-4'!$A$3," ",'DICTIONARY-5'!$A$33)</f>
        <v>CEREX 300-L Przep. kołnierz. DN65 PN10/16 R20 CF8M/EPDM, DR st. nierdz.</v>
      </c>
      <c r="S1897" s="733" t="str">
        <f>'DICTIONARY-4'!$A$3</f>
        <v>DR</v>
      </c>
      <c r="T1897" s="732" t="str">
        <f>'DICTIONARY-4'!$A$19</f>
        <v>Dźwignia ręczna</v>
      </c>
      <c r="U1897" s="734" t="s">
        <v>5759</v>
      </c>
      <c r="V1897" s="735">
        <v>16</v>
      </c>
      <c r="W1897" s="736"/>
      <c r="X1897" s="737"/>
      <c r="Y1897" s="738"/>
      <c r="Z1897" s="739"/>
      <c r="AA1897" s="739"/>
      <c r="AB1897" s="740">
        <v>16</v>
      </c>
      <c r="AC1897" s="741" t="str">
        <f>'DICTIONARY-5'!$A$11&amp;" 20"</f>
        <v>EN 558 szereg 20</v>
      </c>
      <c r="AD1897" s="741" t="str">
        <f>'DICTIONARY-5'!$A$13</f>
        <v>woda pitna</v>
      </c>
      <c r="AE1897" s="742">
        <v>110</v>
      </c>
      <c r="AF1897" s="743">
        <v>4.5</v>
      </c>
      <c r="AG1897" s="741" t="str">
        <f>'DICTIONARY-5'!$A$23</f>
        <v>powłoka epoksydowa</v>
      </c>
    </row>
    <row r="1898" spans="1:33" x14ac:dyDescent="0.25">
      <c r="A1898" s="754" t="s">
        <v>1578</v>
      </c>
      <c r="B1898" s="866" t="s">
        <v>3829</v>
      </c>
      <c r="C1898" s="836">
        <v>232</v>
      </c>
      <c r="D1898" s="836"/>
      <c r="E1898" s="836"/>
      <c r="F1898" s="836"/>
      <c r="G1898" s="496" t="s">
        <v>7832</v>
      </c>
      <c r="H1898" s="797" t="str">
        <f>VLOOKUP(G1898,SETTINGS!$B$7:$D$97,2,0)</f>
        <v>CEREX 300</v>
      </c>
      <c r="I1898" s="796">
        <f>VLOOKUP(G1898,SETTINGS!$B$7:$D$97,3,0)</f>
        <v>0</v>
      </c>
      <c r="J1898" s="670" t="str">
        <f>IFERROR(IF(CURRENCY.FORMAT_1=0,CONCATENATE(TEXT(FIXED(ROUND((C1898/EXC.RATE_1),CURRENCY.FORMAT_1),CURRENCY.FORMAT_1,1),"# ##0;-# ##0"),",-"),FIXED(ROUND((C1898/EXC.RATE_1),CURRENCY.FORMAT_1),CURRENCY.FORMAT_1,0)),'DICTIONARY-5'!$A$2)</f>
        <v>232,-</v>
      </c>
      <c r="K1898" s="670" t="str">
        <f>IF(EXC.RATE_2=0,"",IFERROR(IF(CURRENCY.FORMAT_2=0,CONCATENATE(TEXT(FIXED(ROUND(IF(EXC.RATE.SWITCH=1,C1898/EXC.RATE_2,C1898*EXC.RATE_2),CURRENCY.FORMAT_2),CURRENCY.FORMAT_2,1),"# ##0;-# ##0"),",-"),FIXED(ROUND(IF(EXC.RATE.SWITCH=1,C1898/EXC.RATE_2,C1898*EXC.RATE_2),CURRENCY.FORMAT_2),CURRENCY.FORMAT_2,0)),'DICTIONARY-5'!$A$2))</f>
        <v/>
      </c>
      <c r="L1898" s="670" t="str">
        <f>IFERROR(IF(CURRENCY.FORMAT_1=0,CONCATENATE(TEXT(FIXED(ROUND((C1898*(1-I1898)*(1-ADD.DISCOUNT)*(1+MAT.SURCHARGE)/EXC.RATE_1),CURRENCY.FORMAT_1),CURRENCY.FORMAT_1,1),"# ##0;-# ##0"),",-"),FIXED(ROUND((C1898*(1-I1898)*(1-ADD.DISCOUNT)*(1+MAT.SURCHARGE)/EXC.RATE_1),CURRENCY.FORMAT_1),CURRENCY.FORMAT_1,0)),'DICTIONARY-5'!$A$2)</f>
        <v>241,-</v>
      </c>
      <c r="M1898" s="670" t="str">
        <f>IF(EXC.RATE_2=0,"",IFERROR(IF(CURRENCY.FORMAT_2=0,CONCATENATE(TEXT(FIXED(ROUND(IF(EXC.RATE.SWITCH=1,C1898*(1-I1898)*(1-ADD.DISCOUNT)*(1+MAT.SURCHARGE)/EXC.RATE_2,C1898*(1-I1898)*(1-ADD.DISCOUNT)*(1+MAT.SURCHARGE)*EXC.RATE_2),CURRENCY.FORMAT_2),CURRENCY.FORMAT_2,1),"# ##0;-# ##0"),",-"),FIXED(ROUND(IF(EXC.RATE.SWITCH=1,C1898*(1-I1898)*(1-ADD.DISCOUNT)*(1+MAT.SURCHARGE)/EXC.RATE_2,C1898*(1-I1898)*(1-ADD.DISCOUNT)*(1+MAT.SURCHARGE)*EXC.RATE_2),CURRENCY.FORMAT_2),CURRENCY.FORMAT_2,0)),'DICTIONARY-5'!$A$2))</f>
        <v/>
      </c>
      <c r="N1898" s="541">
        <v>6</v>
      </c>
      <c r="O1898" s="541"/>
      <c r="P1898" s="731" t="str">
        <f>'DICTIONARY-3'!$A$148</f>
        <v>CEREX 300-L</v>
      </c>
      <c r="Q1898" s="731" t="str">
        <f>'DICTIONARY-3'!$A$204</f>
        <v>Przepustnica kołnierzowa</v>
      </c>
      <c r="R1898" s="732" t="str">
        <f>CONCATENATE('DICTIONARY-3'!$A$148," ",'DICTIONARY-6'!$A$2," ",'DICTIONARY-2'!$A$2,"80"," ",'DICTIONARY-2'!$A$3,"10/16"," ","R20"," ",'DICTIONARY-5'!$A$37,"/",'DICTIONARY-5'!$A$44,", ",'DICTIONARY-4'!$A$3," ",'DICTIONARY-5'!$A$33)</f>
        <v>CEREX 300-L Przep. kołnierz. DN80 PN10/16 R20 CF8M/EPDM, DR st. nierdz.</v>
      </c>
      <c r="S1898" s="733" t="str">
        <f>'DICTIONARY-4'!$A$3</f>
        <v>DR</v>
      </c>
      <c r="T1898" s="732" t="str">
        <f>'DICTIONARY-4'!$A$19</f>
        <v>Dźwignia ręczna</v>
      </c>
      <c r="U1898" s="734" t="s">
        <v>5760</v>
      </c>
      <c r="V1898" s="735">
        <v>16</v>
      </c>
      <c r="W1898" s="736"/>
      <c r="X1898" s="737"/>
      <c r="Y1898" s="738"/>
      <c r="Z1898" s="739"/>
      <c r="AA1898" s="739"/>
      <c r="AB1898" s="740">
        <v>16</v>
      </c>
      <c r="AC1898" s="741" t="str">
        <f>'DICTIONARY-5'!$A$11&amp;" 20"</f>
        <v>EN 558 szereg 20</v>
      </c>
      <c r="AD1898" s="741" t="str">
        <f>'DICTIONARY-5'!$A$13</f>
        <v>woda pitna</v>
      </c>
      <c r="AE1898" s="742">
        <v>110</v>
      </c>
      <c r="AF1898" s="743">
        <v>5.5</v>
      </c>
      <c r="AG1898" s="741" t="str">
        <f>'DICTIONARY-5'!$A$23</f>
        <v>powłoka epoksydowa</v>
      </c>
    </row>
    <row r="1899" spans="1:33" x14ac:dyDescent="0.25">
      <c r="A1899" s="754" t="s">
        <v>1580</v>
      </c>
      <c r="B1899" s="866" t="s">
        <v>3835</v>
      </c>
      <c r="C1899" s="836">
        <v>261</v>
      </c>
      <c r="D1899" s="836"/>
      <c r="E1899" s="836"/>
      <c r="F1899" s="836"/>
      <c r="G1899" s="496" t="s">
        <v>7832</v>
      </c>
      <c r="H1899" s="797" t="str">
        <f>VLOOKUP(G1899,SETTINGS!$B$7:$D$97,2,0)</f>
        <v>CEREX 300</v>
      </c>
      <c r="I1899" s="796">
        <f>VLOOKUP(G1899,SETTINGS!$B$7:$D$97,3,0)</f>
        <v>0</v>
      </c>
      <c r="J1899" s="670" t="str">
        <f>IFERROR(IF(CURRENCY.FORMAT_1=0,CONCATENATE(TEXT(FIXED(ROUND((C1899/EXC.RATE_1),CURRENCY.FORMAT_1),CURRENCY.FORMAT_1,1),"# ##0;-# ##0"),",-"),FIXED(ROUND((C1899/EXC.RATE_1),CURRENCY.FORMAT_1),CURRENCY.FORMAT_1,0)),'DICTIONARY-5'!$A$2)</f>
        <v>261,-</v>
      </c>
      <c r="K1899" s="670" t="str">
        <f>IF(EXC.RATE_2=0,"",IFERROR(IF(CURRENCY.FORMAT_2=0,CONCATENATE(TEXT(FIXED(ROUND(IF(EXC.RATE.SWITCH=1,C1899/EXC.RATE_2,C1899*EXC.RATE_2),CURRENCY.FORMAT_2),CURRENCY.FORMAT_2,1),"# ##0;-# ##0"),",-"),FIXED(ROUND(IF(EXC.RATE.SWITCH=1,C1899/EXC.RATE_2,C1899*EXC.RATE_2),CURRENCY.FORMAT_2),CURRENCY.FORMAT_2,0)),'DICTIONARY-5'!$A$2))</f>
        <v/>
      </c>
      <c r="L1899" s="670" t="str">
        <f>IFERROR(IF(CURRENCY.FORMAT_1=0,CONCATENATE(TEXT(FIXED(ROUND((C1899*(1-I1899)*(1-ADD.DISCOUNT)*(1+MAT.SURCHARGE)/EXC.RATE_1),CURRENCY.FORMAT_1),CURRENCY.FORMAT_1,1),"# ##0;-# ##0"),",-"),FIXED(ROUND((C1899*(1-I1899)*(1-ADD.DISCOUNT)*(1+MAT.SURCHARGE)/EXC.RATE_1),CURRENCY.FORMAT_1),CURRENCY.FORMAT_1,0)),'DICTIONARY-5'!$A$2)</f>
        <v>271,-</v>
      </c>
      <c r="M1899" s="670" t="str">
        <f>IF(EXC.RATE_2=0,"",IFERROR(IF(CURRENCY.FORMAT_2=0,CONCATENATE(TEXT(FIXED(ROUND(IF(EXC.RATE.SWITCH=1,C1899*(1-I1899)*(1-ADD.DISCOUNT)*(1+MAT.SURCHARGE)/EXC.RATE_2,C1899*(1-I1899)*(1-ADD.DISCOUNT)*(1+MAT.SURCHARGE)*EXC.RATE_2),CURRENCY.FORMAT_2),CURRENCY.FORMAT_2,1),"# ##0;-# ##0"),",-"),FIXED(ROUND(IF(EXC.RATE.SWITCH=1,C1899*(1-I1899)*(1-ADD.DISCOUNT)*(1+MAT.SURCHARGE)/EXC.RATE_2,C1899*(1-I1899)*(1-ADD.DISCOUNT)*(1+MAT.SURCHARGE)*EXC.RATE_2),CURRENCY.FORMAT_2),CURRENCY.FORMAT_2,0)),'DICTIONARY-5'!$A$2))</f>
        <v/>
      </c>
      <c r="N1899" s="541">
        <v>6</v>
      </c>
      <c r="O1899" s="541"/>
      <c r="P1899" s="731" t="str">
        <f>'DICTIONARY-3'!$A$148</f>
        <v>CEREX 300-L</v>
      </c>
      <c r="Q1899" s="731" t="str">
        <f>'DICTIONARY-3'!$A$204</f>
        <v>Przepustnica kołnierzowa</v>
      </c>
      <c r="R1899" s="732" t="str">
        <f>CONCATENATE('DICTIONARY-3'!$A$148," ",'DICTIONARY-6'!$A$2," ",'DICTIONARY-2'!$A$2,"100"," ",'DICTIONARY-2'!$A$3,"10/16"," ","R20"," ",'DICTIONARY-5'!$A$37,"/",'DICTIONARY-5'!$A$44,", ",'DICTIONARY-4'!$A$3," ",'DICTIONARY-5'!$A$33)</f>
        <v>CEREX 300-L Przep. kołnierz. DN100 PN10/16 R20 CF8M/EPDM, DR st. nierdz.</v>
      </c>
      <c r="S1899" s="733" t="str">
        <f>'DICTIONARY-4'!$A$3</f>
        <v>DR</v>
      </c>
      <c r="T1899" s="732" t="str">
        <f>'DICTIONARY-4'!$A$19</f>
        <v>Dźwignia ręczna</v>
      </c>
      <c r="U1899" s="734" t="s">
        <v>5749</v>
      </c>
      <c r="V1899" s="735">
        <v>16</v>
      </c>
      <c r="W1899" s="736"/>
      <c r="X1899" s="737"/>
      <c r="Y1899" s="738"/>
      <c r="Z1899" s="739"/>
      <c r="AA1899" s="739"/>
      <c r="AB1899" s="740">
        <v>16</v>
      </c>
      <c r="AC1899" s="741" t="str">
        <f>'DICTIONARY-5'!$A$11&amp;" 20"</f>
        <v>EN 558 szereg 20</v>
      </c>
      <c r="AD1899" s="741" t="str">
        <f>'DICTIONARY-5'!$A$13</f>
        <v>woda pitna</v>
      </c>
      <c r="AE1899" s="742">
        <v>110</v>
      </c>
      <c r="AF1899" s="743">
        <v>8</v>
      </c>
      <c r="AG1899" s="741" t="str">
        <f>'DICTIONARY-5'!$A$23</f>
        <v>powłoka epoksydowa</v>
      </c>
    </row>
    <row r="1900" spans="1:33" x14ac:dyDescent="0.25">
      <c r="A1900" s="754" t="s">
        <v>1582</v>
      </c>
      <c r="B1900" s="866" t="s">
        <v>3841</v>
      </c>
      <c r="C1900" s="836">
        <v>304</v>
      </c>
      <c r="D1900" s="836"/>
      <c r="E1900" s="836"/>
      <c r="F1900" s="836"/>
      <c r="G1900" s="496" t="s">
        <v>7832</v>
      </c>
      <c r="H1900" s="797" t="str">
        <f>VLOOKUP(G1900,SETTINGS!$B$7:$D$97,2,0)</f>
        <v>CEREX 300</v>
      </c>
      <c r="I1900" s="796">
        <f>VLOOKUP(G1900,SETTINGS!$B$7:$D$97,3,0)</f>
        <v>0</v>
      </c>
      <c r="J1900" s="670" t="str">
        <f>IFERROR(IF(CURRENCY.FORMAT_1=0,CONCATENATE(TEXT(FIXED(ROUND((C1900/EXC.RATE_1),CURRENCY.FORMAT_1),CURRENCY.FORMAT_1,1),"# ##0;-# ##0"),",-"),FIXED(ROUND((C1900/EXC.RATE_1),CURRENCY.FORMAT_1),CURRENCY.FORMAT_1,0)),'DICTIONARY-5'!$A$2)</f>
        <v>304,-</v>
      </c>
      <c r="K1900" s="670" t="str">
        <f>IF(EXC.RATE_2=0,"",IFERROR(IF(CURRENCY.FORMAT_2=0,CONCATENATE(TEXT(FIXED(ROUND(IF(EXC.RATE.SWITCH=1,C1900/EXC.RATE_2,C1900*EXC.RATE_2),CURRENCY.FORMAT_2),CURRENCY.FORMAT_2,1),"# ##0;-# ##0"),",-"),FIXED(ROUND(IF(EXC.RATE.SWITCH=1,C1900/EXC.RATE_2,C1900*EXC.RATE_2),CURRENCY.FORMAT_2),CURRENCY.FORMAT_2,0)),'DICTIONARY-5'!$A$2))</f>
        <v/>
      </c>
      <c r="L1900" s="670" t="str">
        <f>IFERROR(IF(CURRENCY.FORMAT_1=0,CONCATENATE(TEXT(FIXED(ROUND((C1900*(1-I1900)*(1-ADD.DISCOUNT)*(1+MAT.SURCHARGE)/EXC.RATE_1),CURRENCY.FORMAT_1),CURRENCY.FORMAT_1,1),"# ##0;-# ##0"),",-"),FIXED(ROUND((C1900*(1-I1900)*(1-ADD.DISCOUNT)*(1+MAT.SURCHARGE)/EXC.RATE_1),CURRENCY.FORMAT_1),CURRENCY.FORMAT_1,0)),'DICTIONARY-5'!$A$2)</f>
        <v>316,-</v>
      </c>
      <c r="M1900" s="670" t="str">
        <f>IF(EXC.RATE_2=0,"",IFERROR(IF(CURRENCY.FORMAT_2=0,CONCATENATE(TEXT(FIXED(ROUND(IF(EXC.RATE.SWITCH=1,C1900*(1-I1900)*(1-ADD.DISCOUNT)*(1+MAT.SURCHARGE)/EXC.RATE_2,C1900*(1-I1900)*(1-ADD.DISCOUNT)*(1+MAT.SURCHARGE)*EXC.RATE_2),CURRENCY.FORMAT_2),CURRENCY.FORMAT_2,1),"# ##0;-# ##0"),",-"),FIXED(ROUND(IF(EXC.RATE.SWITCH=1,C1900*(1-I1900)*(1-ADD.DISCOUNT)*(1+MAT.SURCHARGE)/EXC.RATE_2,C1900*(1-I1900)*(1-ADD.DISCOUNT)*(1+MAT.SURCHARGE)*EXC.RATE_2),CURRENCY.FORMAT_2),CURRENCY.FORMAT_2,0)),'DICTIONARY-5'!$A$2))</f>
        <v/>
      </c>
      <c r="N1900" s="541">
        <v>6</v>
      </c>
      <c r="O1900" s="541"/>
      <c r="P1900" s="731" t="str">
        <f>'DICTIONARY-3'!$A$148</f>
        <v>CEREX 300-L</v>
      </c>
      <c r="Q1900" s="731" t="str">
        <f>'DICTIONARY-3'!$A$204</f>
        <v>Przepustnica kołnierzowa</v>
      </c>
      <c r="R1900" s="732" t="str">
        <f>CONCATENATE('DICTIONARY-3'!$A$148," ",'DICTIONARY-6'!$A$2," ",'DICTIONARY-2'!$A$2,"125"," ",'DICTIONARY-2'!$A$3,"10/16"," ","R20"," ",'DICTIONARY-5'!$A$37,"/",'DICTIONARY-5'!$A$44,", ",'DICTIONARY-4'!$A$3," ",'DICTIONARY-5'!$A$33)</f>
        <v>CEREX 300-L Przep. kołnierz. DN125 PN10/16 R20 CF8M/EPDM, DR st. nierdz.</v>
      </c>
      <c r="S1900" s="733" t="str">
        <f>'DICTIONARY-4'!$A$3</f>
        <v>DR</v>
      </c>
      <c r="T1900" s="732" t="str">
        <f>'DICTIONARY-4'!$A$19</f>
        <v>Dźwignia ręczna</v>
      </c>
      <c r="U1900" s="734" t="s">
        <v>5761</v>
      </c>
      <c r="V1900" s="735">
        <v>16</v>
      </c>
      <c r="W1900" s="736"/>
      <c r="X1900" s="737"/>
      <c r="Y1900" s="738"/>
      <c r="Z1900" s="739"/>
      <c r="AA1900" s="739"/>
      <c r="AB1900" s="740">
        <v>16</v>
      </c>
      <c r="AC1900" s="741" t="str">
        <f>'DICTIONARY-5'!$A$11&amp;" 20"</f>
        <v>EN 558 szereg 20</v>
      </c>
      <c r="AD1900" s="741" t="str">
        <f>'DICTIONARY-5'!$A$13</f>
        <v>woda pitna</v>
      </c>
      <c r="AE1900" s="742">
        <v>110</v>
      </c>
      <c r="AF1900" s="743">
        <v>10</v>
      </c>
      <c r="AG1900" s="741" t="str">
        <f>'DICTIONARY-5'!$A$23</f>
        <v>powłoka epoksydowa</v>
      </c>
    </row>
    <row r="1901" spans="1:33" x14ac:dyDescent="0.25">
      <c r="A1901" s="754" t="s">
        <v>1584</v>
      </c>
      <c r="B1901" s="866" t="s">
        <v>3847</v>
      </c>
      <c r="C1901" s="836">
        <v>411</v>
      </c>
      <c r="D1901" s="836"/>
      <c r="E1901" s="836"/>
      <c r="F1901" s="836"/>
      <c r="G1901" s="496" t="s">
        <v>7832</v>
      </c>
      <c r="H1901" s="797" t="str">
        <f>VLOOKUP(G1901,SETTINGS!$B$7:$D$97,2,0)</f>
        <v>CEREX 300</v>
      </c>
      <c r="I1901" s="796">
        <f>VLOOKUP(G1901,SETTINGS!$B$7:$D$97,3,0)</f>
        <v>0</v>
      </c>
      <c r="J1901" s="670" t="str">
        <f>IFERROR(IF(CURRENCY.FORMAT_1=0,CONCATENATE(TEXT(FIXED(ROUND((C1901/EXC.RATE_1),CURRENCY.FORMAT_1),CURRENCY.FORMAT_1,1),"# ##0;-# ##0"),",-"),FIXED(ROUND((C1901/EXC.RATE_1),CURRENCY.FORMAT_1),CURRENCY.FORMAT_1,0)),'DICTIONARY-5'!$A$2)</f>
        <v>411,-</v>
      </c>
      <c r="K1901" s="670" t="str">
        <f>IF(EXC.RATE_2=0,"",IFERROR(IF(CURRENCY.FORMAT_2=0,CONCATENATE(TEXT(FIXED(ROUND(IF(EXC.RATE.SWITCH=1,C1901/EXC.RATE_2,C1901*EXC.RATE_2),CURRENCY.FORMAT_2),CURRENCY.FORMAT_2,1),"# ##0;-# ##0"),",-"),FIXED(ROUND(IF(EXC.RATE.SWITCH=1,C1901/EXC.RATE_2,C1901*EXC.RATE_2),CURRENCY.FORMAT_2),CURRENCY.FORMAT_2,0)),'DICTIONARY-5'!$A$2))</f>
        <v/>
      </c>
      <c r="L1901" s="670" t="str">
        <f>IFERROR(IF(CURRENCY.FORMAT_1=0,CONCATENATE(TEXT(FIXED(ROUND((C1901*(1-I1901)*(1-ADD.DISCOUNT)*(1+MAT.SURCHARGE)/EXC.RATE_1),CURRENCY.FORMAT_1),CURRENCY.FORMAT_1,1),"# ##0;-# ##0"),",-"),FIXED(ROUND((C1901*(1-I1901)*(1-ADD.DISCOUNT)*(1+MAT.SURCHARGE)/EXC.RATE_1),CURRENCY.FORMAT_1),CURRENCY.FORMAT_1,0)),'DICTIONARY-5'!$A$2)</f>
        <v>427,-</v>
      </c>
      <c r="M1901" s="670" t="str">
        <f>IF(EXC.RATE_2=0,"",IFERROR(IF(CURRENCY.FORMAT_2=0,CONCATENATE(TEXT(FIXED(ROUND(IF(EXC.RATE.SWITCH=1,C1901*(1-I1901)*(1-ADD.DISCOUNT)*(1+MAT.SURCHARGE)/EXC.RATE_2,C1901*(1-I1901)*(1-ADD.DISCOUNT)*(1+MAT.SURCHARGE)*EXC.RATE_2),CURRENCY.FORMAT_2),CURRENCY.FORMAT_2,1),"# ##0;-# ##0"),",-"),FIXED(ROUND(IF(EXC.RATE.SWITCH=1,C1901*(1-I1901)*(1-ADD.DISCOUNT)*(1+MAT.SURCHARGE)/EXC.RATE_2,C1901*(1-I1901)*(1-ADD.DISCOUNT)*(1+MAT.SURCHARGE)*EXC.RATE_2),CURRENCY.FORMAT_2),CURRENCY.FORMAT_2,0)),'DICTIONARY-5'!$A$2))</f>
        <v/>
      </c>
      <c r="N1901" s="541">
        <v>6</v>
      </c>
      <c r="O1901" s="541"/>
      <c r="P1901" s="731" t="str">
        <f>'DICTIONARY-3'!$A$148</f>
        <v>CEREX 300-L</v>
      </c>
      <c r="Q1901" s="731" t="str">
        <f>'DICTIONARY-3'!$A$204</f>
        <v>Przepustnica kołnierzowa</v>
      </c>
      <c r="R1901" s="732" t="str">
        <f>CONCATENATE('DICTIONARY-3'!$A$148," ",'DICTIONARY-6'!$A$2," ",'DICTIONARY-2'!$A$2,"150"," ",'DICTIONARY-2'!$A$3,"10/16"," ","R20"," ",'DICTIONARY-5'!$A$37,"/",'DICTIONARY-5'!$A$44,", ",'DICTIONARY-4'!$A$3," ",'DICTIONARY-5'!$A$33)</f>
        <v>CEREX 300-L Przep. kołnierz. DN150 PN10/16 R20 CF8M/EPDM, DR st. nierdz.</v>
      </c>
      <c r="S1901" s="733" t="str">
        <f>'DICTIONARY-4'!$A$3</f>
        <v>DR</v>
      </c>
      <c r="T1901" s="732" t="str">
        <f>'DICTIONARY-4'!$A$19</f>
        <v>Dźwignia ręczna</v>
      </c>
      <c r="U1901" s="734" t="s">
        <v>5572</v>
      </c>
      <c r="V1901" s="735">
        <v>16</v>
      </c>
      <c r="W1901" s="736"/>
      <c r="X1901" s="737"/>
      <c r="Y1901" s="738"/>
      <c r="Z1901" s="739"/>
      <c r="AA1901" s="739"/>
      <c r="AB1901" s="740">
        <v>16</v>
      </c>
      <c r="AC1901" s="741" t="str">
        <f>'DICTIONARY-5'!$A$11&amp;" 20"</f>
        <v>EN 558 szereg 20</v>
      </c>
      <c r="AD1901" s="741" t="str">
        <f>'DICTIONARY-5'!$A$13</f>
        <v>woda pitna</v>
      </c>
      <c r="AE1901" s="742">
        <v>110</v>
      </c>
      <c r="AF1901" s="743">
        <v>13</v>
      </c>
      <c r="AG1901" s="741" t="str">
        <f>'DICTIONARY-5'!$A$23</f>
        <v>powłoka epoksydowa</v>
      </c>
    </row>
    <row r="1902" spans="1:33" x14ac:dyDescent="0.25">
      <c r="A1902" s="754" t="s">
        <v>1586</v>
      </c>
      <c r="B1902" s="866" t="s">
        <v>3929</v>
      </c>
      <c r="C1902" s="836">
        <v>531</v>
      </c>
      <c r="D1902" s="836"/>
      <c r="E1902" s="836"/>
      <c r="F1902" s="836"/>
      <c r="G1902" s="496" t="s">
        <v>7832</v>
      </c>
      <c r="H1902" s="797" t="str">
        <f>VLOOKUP(G1902,SETTINGS!$B$7:$D$97,2,0)</f>
        <v>CEREX 300</v>
      </c>
      <c r="I1902" s="796">
        <f>VLOOKUP(G1902,SETTINGS!$B$7:$D$97,3,0)</f>
        <v>0</v>
      </c>
      <c r="J1902" s="670" t="str">
        <f>IFERROR(IF(CURRENCY.FORMAT_1=0,CONCATENATE(TEXT(FIXED(ROUND((C1902/EXC.RATE_1),CURRENCY.FORMAT_1),CURRENCY.FORMAT_1,1),"# ##0;-# ##0"),",-"),FIXED(ROUND((C1902/EXC.RATE_1),CURRENCY.FORMAT_1),CURRENCY.FORMAT_1,0)),'DICTIONARY-5'!$A$2)</f>
        <v>531,-</v>
      </c>
      <c r="K1902" s="670" t="str">
        <f>IF(EXC.RATE_2=0,"",IFERROR(IF(CURRENCY.FORMAT_2=0,CONCATENATE(TEXT(FIXED(ROUND(IF(EXC.RATE.SWITCH=1,C1902/EXC.RATE_2,C1902*EXC.RATE_2),CURRENCY.FORMAT_2),CURRENCY.FORMAT_2,1),"# ##0;-# ##0"),",-"),FIXED(ROUND(IF(EXC.RATE.SWITCH=1,C1902/EXC.RATE_2,C1902*EXC.RATE_2),CURRENCY.FORMAT_2),CURRENCY.FORMAT_2,0)),'DICTIONARY-5'!$A$2))</f>
        <v/>
      </c>
      <c r="L1902" s="670" t="str">
        <f>IFERROR(IF(CURRENCY.FORMAT_1=0,CONCATENATE(TEXT(FIXED(ROUND((C1902*(1-I1902)*(1-ADD.DISCOUNT)*(1+MAT.SURCHARGE)/EXC.RATE_1),CURRENCY.FORMAT_1),CURRENCY.FORMAT_1,1),"# ##0;-# ##0"),",-"),FIXED(ROUND((C1902*(1-I1902)*(1-ADD.DISCOUNT)*(1+MAT.SURCHARGE)/EXC.RATE_1),CURRENCY.FORMAT_1),CURRENCY.FORMAT_1,0)),'DICTIONARY-5'!$A$2)</f>
        <v>552,-</v>
      </c>
      <c r="M1902" s="670" t="str">
        <f>IF(EXC.RATE_2=0,"",IFERROR(IF(CURRENCY.FORMAT_2=0,CONCATENATE(TEXT(FIXED(ROUND(IF(EXC.RATE.SWITCH=1,C1902*(1-I1902)*(1-ADD.DISCOUNT)*(1+MAT.SURCHARGE)/EXC.RATE_2,C1902*(1-I1902)*(1-ADD.DISCOUNT)*(1+MAT.SURCHARGE)*EXC.RATE_2),CURRENCY.FORMAT_2),CURRENCY.FORMAT_2,1),"# ##0;-# ##0"),",-"),FIXED(ROUND(IF(EXC.RATE.SWITCH=1,C1902*(1-I1902)*(1-ADD.DISCOUNT)*(1+MAT.SURCHARGE)/EXC.RATE_2,C1902*(1-I1902)*(1-ADD.DISCOUNT)*(1+MAT.SURCHARGE)*EXC.RATE_2),CURRENCY.FORMAT_2),CURRENCY.FORMAT_2,0)),'DICTIONARY-5'!$A$2))</f>
        <v/>
      </c>
      <c r="N1902" s="541">
        <v>6</v>
      </c>
      <c r="O1902" s="541"/>
      <c r="P1902" s="731" t="str">
        <f>'DICTIONARY-3'!$A$148</f>
        <v>CEREX 300-L</v>
      </c>
      <c r="Q1902" s="731" t="str">
        <f>'DICTIONARY-3'!$A$204</f>
        <v>Przepustnica kołnierzowa</v>
      </c>
      <c r="R1902" s="732" t="str">
        <f>CONCATENATE('DICTIONARY-3'!$A$148," ",'DICTIONARY-6'!$A$2," ",'DICTIONARY-2'!$A$2,"200"," ",'DICTIONARY-2'!$A$3,"10"," ","R20"," ",'DICTIONARY-5'!$A$37,"/",'DICTIONARY-5'!$A$44,", ",'DICTIONARY-4'!$A$3," ",'DICTIONARY-5'!$A$33)</f>
        <v>CEREX 300-L Przep. kołnierz. DN200 PN10 R20 CF8M/EPDM, DR st. nierdz.</v>
      </c>
      <c r="S1902" s="733" t="str">
        <f>'DICTIONARY-4'!$A$3</f>
        <v>DR</v>
      </c>
      <c r="T1902" s="732" t="str">
        <f>'DICTIONARY-4'!$A$19</f>
        <v>Dźwignia ręczna</v>
      </c>
      <c r="U1902" s="734" t="s">
        <v>5750</v>
      </c>
      <c r="V1902" s="735">
        <v>10</v>
      </c>
      <c r="W1902" s="736"/>
      <c r="X1902" s="737"/>
      <c r="Y1902" s="738"/>
      <c r="Z1902" s="739"/>
      <c r="AA1902" s="739"/>
      <c r="AB1902" s="740">
        <v>10</v>
      </c>
      <c r="AC1902" s="741" t="str">
        <f>'DICTIONARY-5'!$A$11&amp;" 20"</f>
        <v>EN 558 szereg 20</v>
      </c>
      <c r="AD1902" s="741" t="str">
        <f>'DICTIONARY-5'!$A$13</f>
        <v>woda pitna</v>
      </c>
      <c r="AE1902" s="742">
        <v>110</v>
      </c>
      <c r="AF1902" s="743">
        <v>18.5</v>
      </c>
      <c r="AG1902" s="741" t="str">
        <f>'DICTIONARY-5'!$A$23</f>
        <v>powłoka epoksydowa</v>
      </c>
    </row>
    <row r="1903" spans="1:33" x14ac:dyDescent="0.25">
      <c r="A1903" s="754" t="s">
        <v>1588</v>
      </c>
      <c r="B1903" s="866" t="s">
        <v>3853</v>
      </c>
      <c r="C1903" s="836">
        <v>577</v>
      </c>
      <c r="D1903" s="836"/>
      <c r="E1903" s="836"/>
      <c r="F1903" s="836"/>
      <c r="G1903" s="496" t="s">
        <v>7832</v>
      </c>
      <c r="H1903" s="797" t="str">
        <f>VLOOKUP(G1903,SETTINGS!$B$7:$D$97,2,0)</f>
        <v>CEREX 300</v>
      </c>
      <c r="I1903" s="796">
        <f>VLOOKUP(G1903,SETTINGS!$B$7:$D$97,3,0)</f>
        <v>0</v>
      </c>
      <c r="J1903" s="670" t="str">
        <f>IFERROR(IF(CURRENCY.FORMAT_1=0,CONCATENATE(TEXT(FIXED(ROUND((C1903/EXC.RATE_1),CURRENCY.FORMAT_1),CURRENCY.FORMAT_1,1),"# ##0;-# ##0"),",-"),FIXED(ROUND((C1903/EXC.RATE_1),CURRENCY.FORMAT_1),CURRENCY.FORMAT_1,0)),'DICTIONARY-5'!$A$2)</f>
        <v>577,-</v>
      </c>
      <c r="K1903" s="670" t="str">
        <f>IF(EXC.RATE_2=0,"",IFERROR(IF(CURRENCY.FORMAT_2=0,CONCATENATE(TEXT(FIXED(ROUND(IF(EXC.RATE.SWITCH=1,C1903/EXC.RATE_2,C1903*EXC.RATE_2),CURRENCY.FORMAT_2),CURRENCY.FORMAT_2,1),"# ##0;-# ##0"),",-"),FIXED(ROUND(IF(EXC.RATE.SWITCH=1,C1903/EXC.RATE_2,C1903*EXC.RATE_2),CURRENCY.FORMAT_2),CURRENCY.FORMAT_2,0)),'DICTIONARY-5'!$A$2))</f>
        <v/>
      </c>
      <c r="L1903" s="670" t="str">
        <f>IFERROR(IF(CURRENCY.FORMAT_1=0,CONCATENATE(TEXT(FIXED(ROUND((C1903*(1-I1903)*(1-ADD.DISCOUNT)*(1+MAT.SURCHARGE)/EXC.RATE_1),CURRENCY.FORMAT_1),CURRENCY.FORMAT_1,1),"# ##0;-# ##0"),",-"),FIXED(ROUND((C1903*(1-I1903)*(1-ADD.DISCOUNT)*(1+MAT.SURCHARGE)/EXC.RATE_1),CURRENCY.FORMAT_1),CURRENCY.FORMAT_1,0)),'DICTIONARY-5'!$A$2)</f>
        <v>600,-</v>
      </c>
      <c r="M1903" s="670" t="str">
        <f>IF(EXC.RATE_2=0,"",IFERROR(IF(CURRENCY.FORMAT_2=0,CONCATENATE(TEXT(FIXED(ROUND(IF(EXC.RATE.SWITCH=1,C1903*(1-I1903)*(1-ADD.DISCOUNT)*(1+MAT.SURCHARGE)/EXC.RATE_2,C1903*(1-I1903)*(1-ADD.DISCOUNT)*(1+MAT.SURCHARGE)*EXC.RATE_2),CURRENCY.FORMAT_2),CURRENCY.FORMAT_2,1),"# ##0;-# ##0"),",-"),FIXED(ROUND(IF(EXC.RATE.SWITCH=1,C1903*(1-I1903)*(1-ADD.DISCOUNT)*(1+MAT.SURCHARGE)/EXC.RATE_2,C1903*(1-I1903)*(1-ADD.DISCOUNT)*(1+MAT.SURCHARGE)*EXC.RATE_2),CURRENCY.FORMAT_2),CURRENCY.FORMAT_2,0)),'DICTIONARY-5'!$A$2))</f>
        <v/>
      </c>
      <c r="N1903" s="541">
        <v>6</v>
      </c>
      <c r="O1903" s="541"/>
      <c r="P1903" s="731" t="str">
        <f>'DICTIONARY-3'!$A$148</f>
        <v>CEREX 300-L</v>
      </c>
      <c r="Q1903" s="731" t="str">
        <f>'DICTIONARY-3'!$A$204</f>
        <v>Przepustnica kołnierzowa</v>
      </c>
      <c r="R1903" s="732" t="str">
        <f>CONCATENATE('DICTIONARY-3'!$A$148," ",'DICTIONARY-6'!$A$2," ",'DICTIONARY-2'!$A$2,"200"," ",'DICTIONARY-2'!$A$3,"16"," ","R20"," ",'DICTIONARY-5'!$A$37,"/",'DICTIONARY-5'!$A$44,", ",'DICTIONARY-4'!$A$3," ",'DICTIONARY-5'!$A$33)</f>
        <v>CEREX 300-L Przep. kołnierz. DN200 PN16 R20 CF8M/EPDM, DR st. nierdz.</v>
      </c>
      <c r="S1903" s="733" t="str">
        <f>'DICTIONARY-4'!$A$3</f>
        <v>DR</v>
      </c>
      <c r="T1903" s="732" t="str">
        <f>'DICTIONARY-4'!$A$19</f>
        <v>Dźwignia ręczna</v>
      </c>
      <c r="U1903" s="734" t="s">
        <v>5750</v>
      </c>
      <c r="V1903" s="735">
        <v>16</v>
      </c>
      <c r="W1903" s="736"/>
      <c r="X1903" s="737"/>
      <c r="Y1903" s="738"/>
      <c r="Z1903" s="739"/>
      <c r="AA1903" s="739"/>
      <c r="AB1903" s="740">
        <v>16</v>
      </c>
      <c r="AC1903" s="741" t="str">
        <f>'DICTIONARY-5'!$A$11&amp;" 20"</f>
        <v>EN 558 szereg 20</v>
      </c>
      <c r="AD1903" s="741" t="str">
        <f>'DICTIONARY-5'!$A$13</f>
        <v>woda pitna</v>
      </c>
      <c r="AE1903" s="742">
        <v>110</v>
      </c>
      <c r="AF1903" s="743">
        <v>19.5</v>
      </c>
      <c r="AG1903" s="741" t="str">
        <f>'DICTIONARY-5'!$A$23</f>
        <v>powłoka epoksydowa</v>
      </c>
    </row>
    <row r="1904" spans="1:33" x14ac:dyDescent="0.25">
      <c r="A1904" s="754" t="s">
        <v>1589</v>
      </c>
      <c r="B1904" s="869" t="s">
        <v>3874</v>
      </c>
      <c r="C1904" s="836">
        <v>200</v>
      </c>
      <c r="D1904" s="836"/>
      <c r="E1904" s="836"/>
      <c r="F1904" s="836"/>
      <c r="G1904" s="496" t="s">
        <v>7832</v>
      </c>
      <c r="H1904" s="797" t="str">
        <f>VLOOKUP(G1904,SETTINGS!$B$7:$D$97,2,0)</f>
        <v>CEREX 300</v>
      </c>
      <c r="I1904" s="796">
        <f>VLOOKUP(G1904,SETTINGS!$B$7:$D$97,3,0)</f>
        <v>0</v>
      </c>
      <c r="J1904" s="670" t="str">
        <f>IFERROR(IF(CURRENCY.FORMAT_1=0,CONCATENATE(TEXT(FIXED(ROUND((C1904/EXC.RATE_1),CURRENCY.FORMAT_1),CURRENCY.FORMAT_1,1),"# ##0;-# ##0"),",-"),FIXED(ROUND((C1904/EXC.RATE_1),CURRENCY.FORMAT_1),CURRENCY.FORMAT_1,0)),'DICTIONARY-5'!$A$2)</f>
        <v>200,-</v>
      </c>
      <c r="K1904" s="670" t="str">
        <f>IF(EXC.RATE_2=0,"",IFERROR(IF(CURRENCY.FORMAT_2=0,CONCATENATE(TEXT(FIXED(ROUND(IF(EXC.RATE.SWITCH=1,C1904/EXC.RATE_2,C1904*EXC.RATE_2),CURRENCY.FORMAT_2),CURRENCY.FORMAT_2,1),"# ##0;-# ##0"),",-"),FIXED(ROUND(IF(EXC.RATE.SWITCH=1,C1904/EXC.RATE_2,C1904*EXC.RATE_2),CURRENCY.FORMAT_2),CURRENCY.FORMAT_2,0)),'DICTIONARY-5'!$A$2))</f>
        <v/>
      </c>
      <c r="L1904" s="670" t="str">
        <f>IFERROR(IF(CURRENCY.FORMAT_1=0,CONCATENATE(TEXT(FIXED(ROUND((C1904*(1-I1904)*(1-ADD.DISCOUNT)*(1+MAT.SURCHARGE)/EXC.RATE_1),CURRENCY.FORMAT_1),CURRENCY.FORMAT_1,1),"# ##0;-# ##0"),",-"),FIXED(ROUND((C1904*(1-I1904)*(1-ADD.DISCOUNT)*(1+MAT.SURCHARGE)/EXC.RATE_1),CURRENCY.FORMAT_1),CURRENCY.FORMAT_1,0)),'DICTIONARY-5'!$A$2)</f>
        <v>208,-</v>
      </c>
      <c r="M1904" s="670" t="str">
        <f>IF(EXC.RATE_2=0,"",IFERROR(IF(CURRENCY.FORMAT_2=0,CONCATENATE(TEXT(FIXED(ROUND(IF(EXC.RATE.SWITCH=1,C1904*(1-I1904)*(1-ADD.DISCOUNT)*(1+MAT.SURCHARGE)/EXC.RATE_2,C1904*(1-I1904)*(1-ADD.DISCOUNT)*(1+MAT.SURCHARGE)*EXC.RATE_2),CURRENCY.FORMAT_2),CURRENCY.FORMAT_2,1),"# ##0;-# ##0"),",-"),FIXED(ROUND(IF(EXC.RATE.SWITCH=1,C1904*(1-I1904)*(1-ADD.DISCOUNT)*(1+MAT.SURCHARGE)/EXC.RATE_2,C1904*(1-I1904)*(1-ADD.DISCOUNT)*(1+MAT.SURCHARGE)*EXC.RATE_2),CURRENCY.FORMAT_2),CURRENCY.FORMAT_2,0)),'DICTIONARY-5'!$A$2))</f>
        <v/>
      </c>
      <c r="N1904" s="535">
        <v>6</v>
      </c>
      <c r="O1904" s="535"/>
      <c r="P1904" s="731" t="str">
        <f>'DICTIONARY-3'!$A$148</f>
        <v>CEREX 300-L</v>
      </c>
      <c r="Q1904" s="732" t="str">
        <f>'DICTIONARY-3'!$A$204</f>
        <v>Przepustnica kołnierzowa</v>
      </c>
      <c r="R1904" s="732" t="str">
        <f>CONCATENATE('DICTIONARY-3'!$A$148," ",'DICTIONARY-6'!$A$2," ",UPPER('DICTIONARY-5'!$A$18)," ",'DICTIONARY-2'!$A$2,"50"," ",'DICTIONARY-2'!$A$3,"10/16"," ","R20"," ",'DICTIONARY-5'!$A$51,"/",'DICTIONARY-5'!$A$45,", ",'DICTIONARY-4'!$A$3," ",'DICTIONARY-5'!$A$33)</f>
        <v>CEREX 300-L Przep. kołnierz. GAZ DN50 PN10/16 R20 GGG/NBR, DR st. nierdz.</v>
      </c>
      <c r="S1904" s="733" t="str">
        <f>'DICTIONARY-4'!$A$3</f>
        <v>DR</v>
      </c>
      <c r="T1904" s="732" t="str">
        <f>'DICTIONARY-4'!$A$19</f>
        <v>Dźwignia ręczna</v>
      </c>
      <c r="U1904" s="734" t="s">
        <v>5748</v>
      </c>
      <c r="V1904" s="735">
        <v>16</v>
      </c>
      <c r="W1904" s="736"/>
      <c r="X1904" s="737"/>
      <c r="Y1904" s="738"/>
      <c r="Z1904" s="739"/>
      <c r="AA1904" s="739"/>
      <c r="AB1904" s="740">
        <v>16</v>
      </c>
      <c r="AC1904" s="741" t="str">
        <f>'DICTIONARY-5'!$A$11&amp;" 20"</f>
        <v>EN 558 szereg 20</v>
      </c>
      <c r="AD1904" s="741" t="str">
        <f>'DICTIONARY-5'!$A$18&amp;", "&amp;'DICTIONARY-5'!$A$14</f>
        <v>gaz, ścieki</v>
      </c>
      <c r="AE1904" s="742">
        <v>80</v>
      </c>
      <c r="AF1904" s="743">
        <v>2</v>
      </c>
      <c r="AG1904" s="741" t="str">
        <f>'DICTIONARY-5'!$A$23</f>
        <v>powłoka epoksydowa</v>
      </c>
    </row>
    <row r="1905" spans="1:33" x14ac:dyDescent="0.25">
      <c r="A1905" s="754" t="s">
        <v>1591</v>
      </c>
      <c r="B1905" s="869" t="s">
        <v>3880</v>
      </c>
      <c r="C1905" s="836">
        <v>210</v>
      </c>
      <c r="D1905" s="836"/>
      <c r="E1905" s="836"/>
      <c r="F1905" s="836"/>
      <c r="G1905" s="496" t="s">
        <v>7832</v>
      </c>
      <c r="H1905" s="797" t="str">
        <f>VLOOKUP(G1905,SETTINGS!$B$7:$D$97,2,0)</f>
        <v>CEREX 300</v>
      </c>
      <c r="I1905" s="796">
        <f>VLOOKUP(G1905,SETTINGS!$B$7:$D$97,3,0)</f>
        <v>0</v>
      </c>
      <c r="J1905" s="670" t="str">
        <f>IFERROR(IF(CURRENCY.FORMAT_1=0,CONCATENATE(TEXT(FIXED(ROUND((C1905/EXC.RATE_1),CURRENCY.FORMAT_1),CURRENCY.FORMAT_1,1),"# ##0;-# ##0"),",-"),FIXED(ROUND((C1905/EXC.RATE_1),CURRENCY.FORMAT_1),CURRENCY.FORMAT_1,0)),'DICTIONARY-5'!$A$2)</f>
        <v>210,-</v>
      </c>
      <c r="K1905" s="670" t="str">
        <f>IF(EXC.RATE_2=0,"",IFERROR(IF(CURRENCY.FORMAT_2=0,CONCATENATE(TEXT(FIXED(ROUND(IF(EXC.RATE.SWITCH=1,C1905/EXC.RATE_2,C1905*EXC.RATE_2),CURRENCY.FORMAT_2),CURRENCY.FORMAT_2,1),"# ##0;-# ##0"),",-"),FIXED(ROUND(IF(EXC.RATE.SWITCH=1,C1905/EXC.RATE_2,C1905*EXC.RATE_2),CURRENCY.FORMAT_2),CURRENCY.FORMAT_2,0)),'DICTIONARY-5'!$A$2))</f>
        <v/>
      </c>
      <c r="L1905" s="670" t="str">
        <f>IFERROR(IF(CURRENCY.FORMAT_1=0,CONCATENATE(TEXT(FIXED(ROUND((C1905*(1-I1905)*(1-ADD.DISCOUNT)*(1+MAT.SURCHARGE)/EXC.RATE_1),CURRENCY.FORMAT_1),CURRENCY.FORMAT_1,1),"# ##0;-# ##0"),",-"),FIXED(ROUND((C1905*(1-I1905)*(1-ADD.DISCOUNT)*(1+MAT.SURCHARGE)/EXC.RATE_1),CURRENCY.FORMAT_1),CURRENCY.FORMAT_1,0)),'DICTIONARY-5'!$A$2)</f>
        <v>218,-</v>
      </c>
      <c r="M1905" s="670" t="str">
        <f>IF(EXC.RATE_2=0,"",IFERROR(IF(CURRENCY.FORMAT_2=0,CONCATENATE(TEXT(FIXED(ROUND(IF(EXC.RATE.SWITCH=1,C1905*(1-I1905)*(1-ADD.DISCOUNT)*(1+MAT.SURCHARGE)/EXC.RATE_2,C1905*(1-I1905)*(1-ADD.DISCOUNT)*(1+MAT.SURCHARGE)*EXC.RATE_2),CURRENCY.FORMAT_2),CURRENCY.FORMAT_2,1),"# ##0;-# ##0"),",-"),FIXED(ROUND(IF(EXC.RATE.SWITCH=1,C1905*(1-I1905)*(1-ADD.DISCOUNT)*(1+MAT.SURCHARGE)/EXC.RATE_2,C1905*(1-I1905)*(1-ADD.DISCOUNT)*(1+MAT.SURCHARGE)*EXC.RATE_2),CURRENCY.FORMAT_2),CURRENCY.FORMAT_2,0)),'DICTIONARY-5'!$A$2))</f>
        <v/>
      </c>
      <c r="N1905" s="535">
        <v>6</v>
      </c>
      <c r="O1905" s="535"/>
      <c r="P1905" s="731" t="str">
        <f>'DICTIONARY-3'!$A$148</f>
        <v>CEREX 300-L</v>
      </c>
      <c r="Q1905" s="732" t="str">
        <f>'DICTIONARY-3'!$A$204</f>
        <v>Przepustnica kołnierzowa</v>
      </c>
      <c r="R1905" s="732" t="str">
        <f>CONCATENATE('DICTIONARY-3'!$A$148," ",'DICTIONARY-6'!$A$2," ",UPPER('DICTIONARY-5'!$A$18)," ",'DICTIONARY-2'!$A$2,"65"," ",'DICTIONARY-2'!$A$3,"10/16"," ","R20"," ",'DICTIONARY-5'!$A$51,"/",'DICTIONARY-5'!$A$45,", ",'DICTIONARY-4'!$A$3," ",'DICTIONARY-5'!$A$33)</f>
        <v>CEREX 300-L Przep. kołnierz. GAZ DN65 PN10/16 R20 GGG/NBR, DR st. nierdz.</v>
      </c>
      <c r="S1905" s="733" t="str">
        <f>'DICTIONARY-4'!$A$3</f>
        <v>DR</v>
      </c>
      <c r="T1905" s="732" t="str">
        <f>'DICTIONARY-4'!$A$19</f>
        <v>Dźwignia ręczna</v>
      </c>
      <c r="U1905" s="734" t="s">
        <v>5759</v>
      </c>
      <c r="V1905" s="735">
        <v>16</v>
      </c>
      <c r="W1905" s="736"/>
      <c r="X1905" s="737"/>
      <c r="Y1905" s="738"/>
      <c r="Z1905" s="739"/>
      <c r="AA1905" s="739"/>
      <c r="AB1905" s="740">
        <v>16</v>
      </c>
      <c r="AC1905" s="741" t="str">
        <f>'DICTIONARY-5'!$A$11&amp;" 20"</f>
        <v>EN 558 szereg 20</v>
      </c>
      <c r="AD1905" s="741" t="str">
        <f>'DICTIONARY-5'!$A$18&amp;", "&amp;'DICTIONARY-5'!$A$14</f>
        <v>gaz, ścieki</v>
      </c>
      <c r="AE1905" s="742">
        <v>80</v>
      </c>
      <c r="AF1905" s="743">
        <v>4</v>
      </c>
      <c r="AG1905" s="741" t="str">
        <f>'DICTIONARY-5'!$A$23</f>
        <v>powłoka epoksydowa</v>
      </c>
    </row>
    <row r="1906" spans="1:33" x14ac:dyDescent="0.25">
      <c r="A1906" s="754" t="s">
        <v>1593</v>
      </c>
      <c r="B1906" s="869" t="s">
        <v>3886</v>
      </c>
      <c r="C1906" s="836">
        <v>240</v>
      </c>
      <c r="D1906" s="836"/>
      <c r="E1906" s="836"/>
      <c r="F1906" s="836"/>
      <c r="G1906" s="496" t="s">
        <v>7832</v>
      </c>
      <c r="H1906" s="797" t="str">
        <f>VLOOKUP(G1906,SETTINGS!$B$7:$D$97,2,0)</f>
        <v>CEREX 300</v>
      </c>
      <c r="I1906" s="796">
        <f>VLOOKUP(G1906,SETTINGS!$B$7:$D$97,3,0)</f>
        <v>0</v>
      </c>
      <c r="J1906" s="670" t="str">
        <f>IFERROR(IF(CURRENCY.FORMAT_1=0,CONCATENATE(TEXT(FIXED(ROUND((C1906/EXC.RATE_1),CURRENCY.FORMAT_1),CURRENCY.FORMAT_1,1),"# ##0;-# ##0"),",-"),FIXED(ROUND((C1906/EXC.RATE_1),CURRENCY.FORMAT_1),CURRENCY.FORMAT_1,0)),'DICTIONARY-5'!$A$2)</f>
        <v>240,-</v>
      </c>
      <c r="K1906" s="670" t="str">
        <f>IF(EXC.RATE_2=0,"",IFERROR(IF(CURRENCY.FORMAT_2=0,CONCATENATE(TEXT(FIXED(ROUND(IF(EXC.RATE.SWITCH=1,C1906/EXC.RATE_2,C1906*EXC.RATE_2),CURRENCY.FORMAT_2),CURRENCY.FORMAT_2,1),"# ##0;-# ##0"),",-"),FIXED(ROUND(IF(EXC.RATE.SWITCH=1,C1906/EXC.RATE_2,C1906*EXC.RATE_2),CURRENCY.FORMAT_2),CURRENCY.FORMAT_2,0)),'DICTIONARY-5'!$A$2))</f>
        <v/>
      </c>
      <c r="L1906" s="670" t="str">
        <f>IFERROR(IF(CURRENCY.FORMAT_1=0,CONCATENATE(TEXT(FIXED(ROUND((C1906*(1-I1906)*(1-ADD.DISCOUNT)*(1+MAT.SURCHARGE)/EXC.RATE_1),CURRENCY.FORMAT_1),CURRENCY.FORMAT_1,1),"# ##0;-# ##0"),",-"),FIXED(ROUND((C1906*(1-I1906)*(1-ADD.DISCOUNT)*(1+MAT.SURCHARGE)/EXC.RATE_1),CURRENCY.FORMAT_1),CURRENCY.FORMAT_1,0)),'DICTIONARY-5'!$A$2)</f>
        <v>249,-</v>
      </c>
      <c r="M1906" s="670" t="str">
        <f>IF(EXC.RATE_2=0,"",IFERROR(IF(CURRENCY.FORMAT_2=0,CONCATENATE(TEXT(FIXED(ROUND(IF(EXC.RATE.SWITCH=1,C1906*(1-I1906)*(1-ADD.DISCOUNT)*(1+MAT.SURCHARGE)/EXC.RATE_2,C1906*(1-I1906)*(1-ADD.DISCOUNT)*(1+MAT.SURCHARGE)*EXC.RATE_2),CURRENCY.FORMAT_2),CURRENCY.FORMAT_2,1),"# ##0;-# ##0"),",-"),FIXED(ROUND(IF(EXC.RATE.SWITCH=1,C1906*(1-I1906)*(1-ADD.DISCOUNT)*(1+MAT.SURCHARGE)/EXC.RATE_2,C1906*(1-I1906)*(1-ADD.DISCOUNT)*(1+MAT.SURCHARGE)*EXC.RATE_2),CURRENCY.FORMAT_2),CURRENCY.FORMAT_2,0)),'DICTIONARY-5'!$A$2))</f>
        <v/>
      </c>
      <c r="N1906" s="535">
        <v>6</v>
      </c>
      <c r="O1906" s="535"/>
      <c r="P1906" s="731" t="str">
        <f>'DICTIONARY-3'!$A$148</f>
        <v>CEREX 300-L</v>
      </c>
      <c r="Q1906" s="732" t="str">
        <f>'DICTIONARY-3'!$A$204</f>
        <v>Przepustnica kołnierzowa</v>
      </c>
      <c r="R1906" s="732" t="str">
        <f>CONCATENATE('DICTIONARY-3'!$A$148," ",'DICTIONARY-6'!$A$2," ",UPPER('DICTIONARY-5'!$A$18)," ",'DICTIONARY-2'!$A$2,"80"," ",'DICTIONARY-2'!$A$3,"10/16"," ","R20"," ",'DICTIONARY-5'!$A$51,"/",'DICTIONARY-5'!$A$45,", ",'DICTIONARY-4'!$A$3," ",'DICTIONARY-5'!$A$33)</f>
        <v>CEREX 300-L Przep. kołnierz. GAZ DN80 PN10/16 R20 GGG/NBR, DR st. nierdz.</v>
      </c>
      <c r="S1906" s="733" t="str">
        <f>'DICTIONARY-4'!$A$3</f>
        <v>DR</v>
      </c>
      <c r="T1906" s="732" t="str">
        <f>'DICTIONARY-4'!$A$19</f>
        <v>Dźwignia ręczna</v>
      </c>
      <c r="U1906" s="734" t="s">
        <v>5760</v>
      </c>
      <c r="V1906" s="735">
        <v>16</v>
      </c>
      <c r="W1906" s="736"/>
      <c r="X1906" s="737"/>
      <c r="Y1906" s="738"/>
      <c r="Z1906" s="739"/>
      <c r="AA1906" s="739"/>
      <c r="AB1906" s="740">
        <v>16</v>
      </c>
      <c r="AC1906" s="741" t="str">
        <f>'DICTIONARY-5'!$A$11&amp;" 20"</f>
        <v>EN 558 szereg 20</v>
      </c>
      <c r="AD1906" s="741" t="str">
        <f>'DICTIONARY-5'!$A$18&amp;", "&amp;'DICTIONARY-5'!$A$14</f>
        <v>gaz, ścieki</v>
      </c>
      <c r="AE1906" s="742">
        <v>80</v>
      </c>
      <c r="AF1906" s="743">
        <v>5</v>
      </c>
      <c r="AG1906" s="741" t="str">
        <f>'DICTIONARY-5'!$A$23</f>
        <v>powłoka epoksydowa</v>
      </c>
    </row>
    <row r="1907" spans="1:33" x14ac:dyDescent="0.25">
      <c r="A1907" s="754" t="s">
        <v>1595</v>
      </c>
      <c r="B1907" s="869" t="s">
        <v>3892</v>
      </c>
      <c r="C1907" s="836">
        <v>269</v>
      </c>
      <c r="D1907" s="836"/>
      <c r="E1907" s="836"/>
      <c r="F1907" s="836"/>
      <c r="G1907" s="496" t="s">
        <v>7832</v>
      </c>
      <c r="H1907" s="797" t="str">
        <f>VLOOKUP(G1907,SETTINGS!$B$7:$D$97,2,0)</f>
        <v>CEREX 300</v>
      </c>
      <c r="I1907" s="796">
        <f>VLOOKUP(G1907,SETTINGS!$B$7:$D$97,3,0)</f>
        <v>0</v>
      </c>
      <c r="J1907" s="670" t="str">
        <f>IFERROR(IF(CURRENCY.FORMAT_1=0,CONCATENATE(TEXT(FIXED(ROUND((C1907/EXC.RATE_1),CURRENCY.FORMAT_1),CURRENCY.FORMAT_1,1),"# ##0;-# ##0"),",-"),FIXED(ROUND((C1907/EXC.RATE_1),CURRENCY.FORMAT_1),CURRENCY.FORMAT_1,0)),'DICTIONARY-5'!$A$2)</f>
        <v>269,-</v>
      </c>
      <c r="K1907" s="670" t="str">
        <f>IF(EXC.RATE_2=0,"",IFERROR(IF(CURRENCY.FORMAT_2=0,CONCATENATE(TEXT(FIXED(ROUND(IF(EXC.RATE.SWITCH=1,C1907/EXC.RATE_2,C1907*EXC.RATE_2),CURRENCY.FORMAT_2),CURRENCY.FORMAT_2,1),"# ##0;-# ##0"),",-"),FIXED(ROUND(IF(EXC.RATE.SWITCH=1,C1907/EXC.RATE_2,C1907*EXC.RATE_2),CURRENCY.FORMAT_2),CURRENCY.FORMAT_2,0)),'DICTIONARY-5'!$A$2))</f>
        <v/>
      </c>
      <c r="L1907" s="670" t="str">
        <f>IFERROR(IF(CURRENCY.FORMAT_1=0,CONCATENATE(TEXT(FIXED(ROUND((C1907*(1-I1907)*(1-ADD.DISCOUNT)*(1+MAT.SURCHARGE)/EXC.RATE_1),CURRENCY.FORMAT_1),CURRENCY.FORMAT_1,1),"# ##0;-# ##0"),",-"),FIXED(ROUND((C1907*(1-I1907)*(1-ADD.DISCOUNT)*(1+MAT.SURCHARGE)/EXC.RATE_1),CURRENCY.FORMAT_1),CURRENCY.FORMAT_1,0)),'DICTIONARY-5'!$A$2)</f>
        <v>279,-</v>
      </c>
      <c r="M1907" s="670" t="str">
        <f>IF(EXC.RATE_2=0,"",IFERROR(IF(CURRENCY.FORMAT_2=0,CONCATENATE(TEXT(FIXED(ROUND(IF(EXC.RATE.SWITCH=1,C1907*(1-I1907)*(1-ADD.DISCOUNT)*(1+MAT.SURCHARGE)/EXC.RATE_2,C1907*(1-I1907)*(1-ADD.DISCOUNT)*(1+MAT.SURCHARGE)*EXC.RATE_2),CURRENCY.FORMAT_2),CURRENCY.FORMAT_2,1),"# ##0;-# ##0"),",-"),FIXED(ROUND(IF(EXC.RATE.SWITCH=1,C1907*(1-I1907)*(1-ADD.DISCOUNT)*(1+MAT.SURCHARGE)/EXC.RATE_2,C1907*(1-I1907)*(1-ADD.DISCOUNT)*(1+MAT.SURCHARGE)*EXC.RATE_2),CURRENCY.FORMAT_2),CURRENCY.FORMAT_2,0)),'DICTIONARY-5'!$A$2))</f>
        <v/>
      </c>
      <c r="N1907" s="535">
        <v>6</v>
      </c>
      <c r="O1907" s="535"/>
      <c r="P1907" s="731" t="str">
        <f>'DICTIONARY-3'!$A$148</f>
        <v>CEREX 300-L</v>
      </c>
      <c r="Q1907" s="732" t="str">
        <f>'DICTIONARY-3'!$A$204</f>
        <v>Przepustnica kołnierzowa</v>
      </c>
      <c r="R1907" s="732" t="str">
        <f>CONCATENATE('DICTIONARY-3'!$A$148," ",'DICTIONARY-6'!$A$2," ",UPPER('DICTIONARY-5'!$A$18)," ",'DICTIONARY-2'!$A$2,"100"," ",'DICTIONARY-2'!$A$3,"10/16"," ","R20"," ",'DICTIONARY-5'!$A$51,"/",'DICTIONARY-5'!$A$45,", ",'DICTIONARY-4'!$A$3," ",'DICTIONARY-5'!$A$33)</f>
        <v>CEREX 300-L Przep. kołnierz. GAZ DN100 PN10/16 R20 GGG/NBR, DR st. nierdz.</v>
      </c>
      <c r="S1907" s="733" t="str">
        <f>'DICTIONARY-4'!$A$3</f>
        <v>DR</v>
      </c>
      <c r="T1907" s="732" t="str">
        <f>'DICTIONARY-4'!$A$19</f>
        <v>Dźwignia ręczna</v>
      </c>
      <c r="U1907" s="734" t="s">
        <v>5749</v>
      </c>
      <c r="V1907" s="735">
        <v>16</v>
      </c>
      <c r="W1907" s="736"/>
      <c r="X1907" s="737"/>
      <c r="Y1907" s="738"/>
      <c r="Z1907" s="739"/>
      <c r="AA1907" s="739"/>
      <c r="AB1907" s="740">
        <v>16</v>
      </c>
      <c r="AC1907" s="741" t="str">
        <f>'DICTIONARY-5'!$A$11&amp;" 20"</f>
        <v>EN 558 szereg 20</v>
      </c>
      <c r="AD1907" s="741" t="str">
        <f>'DICTIONARY-5'!$A$18&amp;", "&amp;'DICTIONARY-5'!$A$14</f>
        <v>gaz, ścieki</v>
      </c>
      <c r="AE1907" s="742">
        <v>80</v>
      </c>
      <c r="AF1907" s="743">
        <v>9</v>
      </c>
      <c r="AG1907" s="741" t="str">
        <f>'DICTIONARY-5'!$A$23</f>
        <v>powłoka epoksydowa</v>
      </c>
    </row>
    <row r="1908" spans="1:33" x14ac:dyDescent="0.25">
      <c r="A1908" s="754" t="s">
        <v>1597</v>
      </c>
      <c r="B1908" s="869" t="s">
        <v>3898</v>
      </c>
      <c r="C1908" s="836">
        <v>302</v>
      </c>
      <c r="D1908" s="836"/>
      <c r="E1908" s="836"/>
      <c r="F1908" s="836"/>
      <c r="G1908" s="496" t="s">
        <v>7832</v>
      </c>
      <c r="H1908" s="797" t="str">
        <f>VLOOKUP(G1908,SETTINGS!$B$7:$D$97,2,0)</f>
        <v>CEREX 300</v>
      </c>
      <c r="I1908" s="796">
        <f>VLOOKUP(G1908,SETTINGS!$B$7:$D$97,3,0)</f>
        <v>0</v>
      </c>
      <c r="J1908" s="670" t="str">
        <f>IFERROR(IF(CURRENCY.FORMAT_1=0,CONCATENATE(TEXT(FIXED(ROUND((C1908/EXC.RATE_1),CURRENCY.FORMAT_1),CURRENCY.FORMAT_1,1),"# ##0;-# ##0"),",-"),FIXED(ROUND((C1908/EXC.RATE_1),CURRENCY.FORMAT_1),CURRENCY.FORMAT_1,0)),'DICTIONARY-5'!$A$2)</f>
        <v>302,-</v>
      </c>
      <c r="K1908" s="670" t="str">
        <f>IF(EXC.RATE_2=0,"",IFERROR(IF(CURRENCY.FORMAT_2=0,CONCATENATE(TEXT(FIXED(ROUND(IF(EXC.RATE.SWITCH=1,C1908/EXC.RATE_2,C1908*EXC.RATE_2),CURRENCY.FORMAT_2),CURRENCY.FORMAT_2,1),"# ##0;-# ##0"),",-"),FIXED(ROUND(IF(EXC.RATE.SWITCH=1,C1908/EXC.RATE_2,C1908*EXC.RATE_2),CURRENCY.FORMAT_2),CURRENCY.FORMAT_2,0)),'DICTIONARY-5'!$A$2))</f>
        <v/>
      </c>
      <c r="L1908" s="670" t="str">
        <f>IFERROR(IF(CURRENCY.FORMAT_1=0,CONCATENATE(TEXT(FIXED(ROUND((C1908*(1-I1908)*(1-ADD.DISCOUNT)*(1+MAT.SURCHARGE)/EXC.RATE_1),CURRENCY.FORMAT_1),CURRENCY.FORMAT_1,1),"# ##0;-# ##0"),",-"),FIXED(ROUND((C1908*(1-I1908)*(1-ADD.DISCOUNT)*(1+MAT.SURCHARGE)/EXC.RATE_1),CURRENCY.FORMAT_1),CURRENCY.FORMAT_1,0)),'DICTIONARY-5'!$A$2)</f>
        <v>314,-</v>
      </c>
      <c r="M1908" s="670" t="str">
        <f>IF(EXC.RATE_2=0,"",IFERROR(IF(CURRENCY.FORMAT_2=0,CONCATENATE(TEXT(FIXED(ROUND(IF(EXC.RATE.SWITCH=1,C1908*(1-I1908)*(1-ADD.DISCOUNT)*(1+MAT.SURCHARGE)/EXC.RATE_2,C1908*(1-I1908)*(1-ADD.DISCOUNT)*(1+MAT.SURCHARGE)*EXC.RATE_2),CURRENCY.FORMAT_2),CURRENCY.FORMAT_2,1),"# ##0;-# ##0"),",-"),FIXED(ROUND(IF(EXC.RATE.SWITCH=1,C1908*(1-I1908)*(1-ADD.DISCOUNT)*(1+MAT.SURCHARGE)/EXC.RATE_2,C1908*(1-I1908)*(1-ADD.DISCOUNT)*(1+MAT.SURCHARGE)*EXC.RATE_2),CURRENCY.FORMAT_2),CURRENCY.FORMAT_2,0)),'DICTIONARY-5'!$A$2))</f>
        <v/>
      </c>
      <c r="N1908" s="535">
        <v>6</v>
      </c>
      <c r="O1908" s="535"/>
      <c r="P1908" s="731" t="str">
        <f>'DICTIONARY-3'!$A$148</f>
        <v>CEREX 300-L</v>
      </c>
      <c r="Q1908" s="732" t="str">
        <f>'DICTIONARY-3'!$A$204</f>
        <v>Przepustnica kołnierzowa</v>
      </c>
      <c r="R1908" s="732" t="str">
        <f>CONCATENATE('DICTIONARY-3'!$A$148," ",'DICTIONARY-6'!$A$2," ",UPPER('DICTIONARY-5'!$A$18)," ",'DICTIONARY-2'!$A$2,"125"," ",'DICTIONARY-2'!$A$3,"10/16"," ","R20"," ",'DICTIONARY-5'!$A$51,"/",'DICTIONARY-5'!$A$45,", ",'DICTIONARY-4'!$A$3," ",'DICTIONARY-5'!$A$33)</f>
        <v>CEREX 300-L Przep. kołnierz. GAZ DN125 PN10/16 R20 GGG/NBR, DR st. nierdz.</v>
      </c>
      <c r="S1908" s="733" t="str">
        <f>'DICTIONARY-4'!$A$3</f>
        <v>DR</v>
      </c>
      <c r="T1908" s="732" t="str">
        <f>'DICTIONARY-4'!$A$19</f>
        <v>Dźwignia ręczna</v>
      </c>
      <c r="U1908" s="734" t="s">
        <v>5761</v>
      </c>
      <c r="V1908" s="735">
        <v>16</v>
      </c>
      <c r="W1908" s="736"/>
      <c r="X1908" s="737"/>
      <c r="Y1908" s="738"/>
      <c r="Z1908" s="739"/>
      <c r="AA1908" s="739"/>
      <c r="AB1908" s="740">
        <v>16</v>
      </c>
      <c r="AC1908" s="741" t="str">
        <f>'DICTIONARY-5'!$A$11&amp;" 20"</f>
        <v>EN 558 szereg 20</v>
      </c>
      <c r="AD1908" s="741" t="str">
        <f>'DICTIONARY-5'!$A$18&amp;", "&amp;'DICTIONARY-5'!$A$14</f>
        <v>gaz, ścieki</v>
      </c>
      <c r="AE1908" s="742">
        <v>80</v>
      </c>
      <c r="AF1908" s="743">
        <v>9</v>
      </c>
      <c r="AG1908" s="741" t="str">
        <f>'DICTIONARY-5'!$A$23</f>
        <v>powłoka epoksydowa</v>
      </c>
    </row>
    <row r="1909" spans="1:33" x14ac:dyDescent="0.25">
      <c r="A1909" s="754" t="s">
        <v>1599</v>
      </c>
      <c r="B1909" s="869" t="s">
        <v>3904</v>
      </c>
      <c r="C1909" s="836">
        <v>389</v>
      </c>
      <c r="D1909" s="836"/>
      <c r="E1909" s="836"/>
      <c r="F1909" s="836"/>
      <c r="G1909" s="496" t="s">
        <v>7832</v>
      </c>
      <c r="H1909" s="797" t="str">
        <f>VLOOKUP(G1909,SETTINGS!$B$7:$D$97,2,0)</f>
        <v>CEREX 300</v>
      </c>
      <c r="I1909" s="796">
        <f>VLOOKUP(G1909,SETTINGS!$B$7:$D$97,3,0)</f>
        <v>0</v>
      </c>
      <c r="J1909" s="670" t="str">
        <f>IFERROR(IF(CURRENCY.FORMAT_1=0,CONCATENATE(TEXT(FIXED(ROUND((C1909/EXC.RATE_1),CURRENCY.FORMAT_1),CURRENCY.FORMAT_1,1),"# ##0;-# ##0"),",-"),FIXED(ROUND((C1909/EXC.RATE_1),CURRENCY.FORMAT_1),CURRENCY.FORMAT_1,0)),'DICTIONARY-5'!$A$2)</f>
        <v>389,-</v>
      </c>
      <c r="K1909" s="670" t="str">
        <f>IF(EXC.RATE_2=0,"",IFERROR(IF(CURRENCY.FORMAT_2=0,CONCATENATE(TEXT(FIXED(ROUND(IF(EXC.RATE.SWITCH=1,C1909/EXC.RATE_2,C1909*EXC.RATE_2),CURRENCY.FORMAT_2),CURRENCY.FORMAT_2,1),"# ##0;-# ##0"),",-"),FIXED(ROUND(IF(EXC.RATE.SWITCH=1,C1909/EXC.RATE_2,C1909*EXC.RATE_2),CURRENCY.FORMAT_2),CURRENCY.FORMAT_2,0)),'DICTIONARY-5'!$A$2))</f>
        <v/>
      </c>
      <c r="L1909" s="670" t="str">
        <f>IFERROR(IF(CURRENCY.FORMAT_1=0,CONCATENATE(TEXT(FIXED(ROUND((C1909*(1-I1909)*(1-ADD.DISCOUNT)*(1+MAT.SURCHARGE)/EXC.RATE_1),CURRENCY.FORMAT_1),CURRENCY.FORMAT_1,1),"# ##0;-# ##0"),",-"),FIXED(ROUND((C1909*(1-I1909)*(1-ADD.DISCOUNT)*(1+MAT.SURCHARGE)/EXC.RATE_1),CURRENCY.FORMAT_1),CURRENCY.FORMAT_1,0)),'DICTIONARY-5'!$A$2)</f>
        <v>404,-</v>
      </c>
      <c r="M1909" s="670" t="str">
        <f>IF(EXC.RATE_2=0,"",IFERROR(IF(CURRENCY.FORMAT_2=0,CONCATENATE(TEXT(FIXED(ROUND(IF(EXC.RATE.SWITCH=1,C1909*(1-I1909)*(1-ADD.DISCOUNT)*(1+MAT.SURCHARGE)/EXC.RATE_2,C1909*(1-I1909)*(1-ADD.DISCOUNT)*(1+MAT.SURCHARGE)*EXC.RATE_2),CURRENCY.FORMAT_2),CURRENCY.FORMAT_2,1),"# ##0;-# ##0"),",-"),FIXED(ROUND(IF(EXC.RATE.SWITCH=1,C1909*(1-I1909)*(1-ADD.DISCOUNT)*(1+MAT.SURCHARGE)/EXC.RATE_2,C1909*(1-I1909)*(1-ADD.DISCOUNT)*(1+MAT.SURCHARGE)*EXC.RATE_2),CURRENCY.FORMAT_2),CURRENCY.FORMAT_2,0)),'DICTIONARY-5'!$A$2))</f>
        <v/>
      </c>
      <c r="N1909" s="535">
        <v>6</v>
      </c>
      <c r="O1909" s="535"/>
      <c r="P1909" s="731" t="str">
        <f>'DICTIONARY-3'!$A$148</f>
        <v>CEREX 300-L</v>
      </c>
      <c r="Q1909" s="732" t="str">
        <f>'DICTIONARY-3'!$A$204</f>
        <v>Przepustnica kołnierzowa</v>
      </c>
      <c r="R1909" s="732" t="str">
        <f>CONCATENATE('DICTIONARY-3'!$A$148," ",'DICTIONARY-6'!$A$2," ",UPPER('DICTIONARY-5'!$A$18)," ",'DICTIONARY-2'!$A$2,"150"," ",'DICTIONARY-2'!$A$3,"10/16"," ","R20"," ",'DICTIONARY-5'!$A$51,"/",'DICTIONARY-5'!$A$45,", ",'DICTIONARY-4'!$A$3," ",'DICTIONARY-5'!$A$33)</f>
        <v>CEREX 300-L Przep. kołnierz. GAZ DN150 PN10/16 R20 GGG/NBR, DR st. nierdz.</v>
      </c>
      <c r="S1909" s="733" t="str">
        <f>'DICTIONARY-4'!$A$3</f>
        <v>DR</v>
      </c>
      <c r="T1909" s="732" t="str">
        <f>'DICTIONARY-4'!$A$19</f>
        <v>Dźwignia ręczna</v>
      </c>
      <c r="U1909" s="734" t="s">
        <v>5572</v>
      </c>
      <c r="V1909" s="735">
        <v>16</v>
      </c>
      <c r="W1909" s="736"/>
      <c r="X1909" s="737"/>
      <c r="Y1909" s="738"/>
      <c r="Z1909" s="739"/>
      <c r="AA1909" s="739"/>
      <c r="AB1909" s="740">
        <v>16</v>
      </c>
      <c r="AC1909" s="741" t="str">
        <f>'DICTIONARY-5'!$A$11&amp;" 20"</f>
        <v>EN 558 szereg 20</v>
      </c>
      <c r="AD1909" s="741" t="str">
        <f>'DICTIONARY-5'!$A$18&amp;", "&amp;'DICTIONARY-5'!$A$14</f>
        <v>gaz, ścieki</v>
      </c>
      <c r="AE1909" s="742">
        <v>80</v>
      </c>
      <c r="AF1909" s="743">
        <v>13</v>
      </c>
      <c r="AG1909" s="741" t="str">
        <f>'DICTIONARY-5'!$A$23</f>
        <v>powłoka epoksydowa</v>
      </c>
    </row>
    <row r="1910" spans="1:33" x14ac:dyDescent="0.25">
      <c r="A1910" s="754" t="s">
        <v>1601</v>
      </c>
      <c r="B1910" s="869" t="s">
        <v>3954</v>
      </c>
      <c r="C1910" s="836">
        <v>493</v>
      </c>
      <c r="D1910" s="836"/>
      <c r="E1910" s="836"/>
      <c r="F1910" s="836"/>
      <c r="G1910" s="496" t="s">
        <v>7832</v>
      </c>
      <c r="H1910" s="797" t="str">
        <f>VLOOKUP(G1910,SETTINGS!$B$7:$D$97,2,0)</f>
        <v>CEREX 300</v>
      </c>
      <c r="I1910" s="796">
        <f>VLOOKUP(G1910,SETTINGS!$B$7:$D$97,3,0)</f>
        <v>0</v>
      </c>
      <c r="J1910" s="670" t="str">
        <f>IFERROR(IF(CURRENCY.FORMAT_1=0,CONCATENATE(TEXT(FIXED(ROUND((C1910/EXC.RATE_1),CURRENCY.FORMAT_1),CURRENCY.FORMAT_1,1),"# ##0;-# ##0"),",-"),FIXED(ROUND((C1910/EXC.RATE_1),CURRENCY.FORMAT_1),CURRENCY.FORMAT_1,0)),'DICTIONARY-5'!$A$2)</f>
        <v>493,-</v>
      </c>
      <c r="K1910" s="670" t="str">
        <f>IF(EXC.RATE_2=0,"",IFERROR(IF(CURRENCY.FORMAT_2=0,CONCATENATE(TEXT(FIXED(ROUND(IF(EXC.RATE.SWITCH=1,C1910/EXC.RATE_2,C1910*EXC.RATE_2),CURRENCY.FORMAT_2),CURRENCY.FORMAT_2,1),"# ##0;-# ##0"),",-"),FIXED(ROUND(IF(EXC.RATE.SWITCH=1,C1910/EXC.RATE_2,C1910*EXC.RATE_2),CURRENCY.FORMAT_2),CURRENCY.FORMAT_2,0)),'DICTIONARY-5'!$A$2))</f>
        <v/>
      </c>
      <c r="L1910" s="670" t="str">
        <f>IFERROR(IF(CURRENCY.FORMAT_1=0,CONCATENATE(TEXT(FIXED(ROUND((C1910*(1-I1910)*(1-ADD.DISCOUNT)*(1+MAT.SURCHARGE)/EXC.RATE_1),CURRENCY.FORMAT_1),CURRENCY.FORMAT_1,1),"# ##0;-# ##0"),",-"),FIXED(ROUND((C1910*(1-I1910)*(1-ADD.DISCOUNT)*(1+MAT.SURCHARGE)/EXC.RATE_1),CURRENCY.FORMAT_1),CURRENCY.FORMAT_1,0)),'DICTIONARY-5'!$A$2)</f>
        <v>512,-</v>
      </c>
      <c r="M1910" s="670" t="str">
        <f>IF(EXC.RATE_2=0,"",IFERROR(IF(CURRENCY.FORMAT_2=0,CONCATENATE(TEXT(FIXED(ROUND(IF(EXC.RATE.SWITCH=1,C1910*(1-I1910)*(1-ADD.DISCOUNT)*(1+MAT.SURCHARGE)/EXC.RATE_2,C1910*(1-I1910)*(1-ADD.DISCOUNT)*(1+MAT.SURCHARGE)*EXC.RATE_2),CURRENCY.FORMAT_2),CURRENCY.FORMAT_2,1),"# ##0;-# ##0"),",-"),FIXED(ROUND(IF(EXC.RATE.SWITCH=1,C1910*(1-I1910)*(1-ADD.DISCOUNT)*(1+MAT.SURCHARGE)/EXC.RATE_2,C1910*(1-I1910)*(1-ADD.DISCOUNT)*(1+MAT.SURCHARGE)*EXC.RATE_2),CURRENCY.FORMAT_2),CURRENCY.FORMAT_2,0)),'DICTIONARY-5'!$A$2))</f>
        <v/>
      </c>
      <c r="N1910" s="535">
        <v>6</v>
      </c>
      <c r="O1910" s="535"/>
      <c r="P1910" s="731" t="str">
        <f>'DICTIONARY-3'!$A$148</f>
        <v>CEREX 300-L</v>
      </c>
      <c r="Q1910" s="732" t="str">
        <f>'DICTIONARY-3'!$A$204</f>
        <v>Przepustnica kołnierzowa</v>
      </c>
      <c r="R1910" s="732" t="str">
        <f>CONCATENATE('DICTIONARY-3'!$A$148," ",'DICTIONARY-6'!$A$2," ",UPPER('DICTIONARY-5'!$A$18)," ",'DICTIONARY-2'!$A$2,"200"," ",'DICTIONARY-2'!$A$3,"10"," ","R20"," ",'DICTIONARY-5'!$A$51,"/",'DICTIONARY-5'!$A$45,", ",'DICTIONARY-4'!$A$3," ",'DICTIONARY-5'!$A$33)</f>
        <v>CEREX 300-L Przep. kołnierz. GAZ DN200 PN10 R20 GGG/NBR, DR st. nierdz.</v>
      </c>
      <c r="S1910" s="733" t="str">
        <f>'DICTIONARY-4'!$A$3</f>
        <v>DR</v>
      </c>
      <c r="T1910" s="732" t="str">
        <f>'DICTIONARY-4'!$A$19</f>
        <v>Dźwignia ręczna</v>
      </c>
      <c r="U1910" s="734" t="s">
        <v>5750</v>
      </c>
      <c r="V1910" s="735">
        <v>10</v>
      </c>
      <c r="W1910" s="736"/>
      <c r="X1910" s="737"/>
      <c r="Y1910" s="738"/>
      <c r="Z1910" s="739"/>
      <c r="AA1910" s="739"/>
      <c r="AB1910" s="740">
        <v>10</v>
      </c>
      <c r="AC1910" s="741" t="str">
        <f>'DICTIONARY-5'!$A$11&amp;" 20"</f>
        <v>EN 558 szereg 20</v>
      </c>
      <c r="AD1910" s="741" t="str">
        <f>'DICTIONARY-5'!$A$18&amp;", "&amp;'DICTIONARY-5'!$A$14</f>
        <v>gaz, ścieki</v>
      </c>
      <c r="AE1910" s="742">
        <v>80</v>
      </c>
      <c r="AF1910" s="743">
        <v>17</v>
      </c>
      <c r="AG1910" s="741" t="str">
        <f>'DICTIONARY-5'!$A$23</f>
        <v>powłoka epoksydowa</v>
      </c>
    </row>
    <row r="1911" spans="1:33" x14ac:dyDescent="0.25">
      <c r="A1911" s="754" t="s">
        <v>1603</v>
      </c>
      <c r="B1911" s="869" t="s">
        <v>3910</v>
      </c>
      <c r="C1911" s="836">
        <v>541</v>
      </c>
      <c r="D1911" s="836"/>
      <c r="E1911" s="836"/>
      <c r="F1911" s="836"/>
      <c r="G1911" s="496" t="s">
        <v>7832</v>
      </c>
      <c r="H1911" s="797" t="str">
        <f>VLOOKUP(G1911,SETTINGS!$B$7:$D$97,2,0)</f>
        <v>CEREX 300</v>
      </c>
      <c r="I1911" s="796">
        <f>VLOOKUP(G1911,SETTINGS!$B$7:$D$97,3,0)</f>
        <v>0</v>
      </c>
      <c r="J1911" s="670" t="str">
        <f>IFERROR(IF(CURRENCY.FORMAT_1=0,CONCATENATE(TEXT(FIXED(ROUND((C1911/EXC.RATE_1),CURRENCY.FORMAT_1),CURRENCY.FORMAT_1,1),"# ##0;-# ##0"),",-"),FIXED(ROUND((C1911/EXC.RATE_1),CURRENCY.FORMAT_1),CURRENCY.FORMAT_1,0)),'DICTIONARY-5'!$A$2)</f>
        <v>541,-</v>
      </c>
      <c r="K1911" s="670" t="str">
        <f>IF(EXC.RATE_2=0,"",IFERROR(IF(CURRENCY.FORMAT_2=0,CONCATENATE(TEXT(FIXED(ROUND(IF(EXC.RATE.SWITCH=1,C1911/EXC.RATE_2,C1911*EXC.RATE_2),CURRENCY.FORMAT_2),CURRENCY.FORMAT_2,1),"# ##0;-# ##0"),",-"),FIXED(ROUND(IF(EXC.RATE.SWITCH=1,C1911/EXC.RATE_2,C1911*EXC.RATE_2),CURRENCY.FORMAT_2),CURRENCY.FORMAT_2,0)),'DICTIONARY-5'!$A$2))</f>
        <v/>
      </c>
      <c r="L1911" s="670" t="str">
        <f>IFERROR(IF(CURRENCY.FORMAT_1=0,CONCATENATE(TEXT(FIXED(ROUND((C1911*(1-I1911)*(1-ADD.DISCOUNT)*(1+MAT.SURCHARGE)/EXC.RATE_1),CURRENCY.FORMAT_1),CURRENCY.FORMAT_1,1),"# ##0;-# ##0"),",-"),FIXED(ROUND((C1911*(1-I1911)*(1-ADD.DISCOUNT)*(1+MAT.SURCHARGE)/EXC.RATE_1),CURRENCY.FORMAT_1),CURRENCY.FORMAT_1,0)),'DICTIONARY-5'!$A$2)</f>
        <v>562,-</v>
      </c>
      <c r="M1911" s="670" t="str">
        <f>IF(EXC.RATE_2=0,"",IFERROR(IF(CURRENCY.FORMAT_2=0,CONCATENATE(TEXT(FIXED(ROUND(IF(EXC.RATE.SWITCH=1,C1911*(1-I1911)*(1-ADD.DISCOUNT)*(1+MAT.SURCHARGE)/EXC.RATE_2,C1911*(1-I1911)*(1-ADD.DISCOUNT)*(1+MAT.SURCHARGE)*EXC.RATE_2),CURRENCY.FORMAT_2),CURRENCY.FORMAT_2,1),"# ##0;-# ##0"),",-"),FIXED(ROUND(IF(EXC.RATE.SWITCH=1,C1911*(1-I1911)*(1-ADD.DISCOUNT)*(1+MAT.SURCHARGE)/EXC.RATE_2,C1911*(1-I1911)*(1-ADD.DISCOUNT)*(1+MAT.SURCHARGE)*EXC.RATE_2),CURRENCY.FORMAT_2),CURRENCY.FORMAT_2,0)),'DICTIONARY-5'!$A$2))</f>
        <v/>
      </c>
      <c r="N1911" s="535">
        <v>6</v>
      </c>
      <c r="O1911" s="535"/>
      <c r="P1911" s="731" t="str">
        <f>'DICTIONARY-3'!$A$148</f>
        <v>CEREX 300-L</v>
      </c>
      <c r="Q1911" s="732" t="str">
        <f>'DICTIONARY-3'!$A$204</f>
        <v>Przepustnica kołnierzowa</v>
      </c>
      <c r="R1911" s="732" t="str">
        <f>CONCATENATE('DICTIONARY-3'!$A$148," ",'DICTIONARY-6'!$A$2," ",UPPER('DICTIONARY-5'!$A$18)," ",'DICTIONARY-2'!$A$2,"200"," ",'DICTIONARY-2'!$A$3,"16"," ","R20"," ",'DICTIONARY-5'!$A$51,"/",'DICTIONARY-5'!$A$45,", ",'DICTIONARY-4'!$A$3," ",'DICTIONARY-5'!$A$33)</f>
        <v>CEREX 300-L Przep. kołnierz. GAZ DN200 PN16 R20 GGG/NBR, DR st. nierdz.</v>
      </c>
      <c r="S1911" s="733" t="str">
        <f>'DICTIONARY-4'!$A$3</f>
        <v>DR</v>
      </c>
      <c r="T1911" s="732" t="str">
        <f>'DICTIONARY-4'!$A$19</f>
        <v>Dźwignia ręczna</v>
      </c>
      <c r="U1911" s="734" t="s">
        <v>5750</v>
      </c>
      <c r="V1911" s="735">
        <v>16</v>
      </c>
      <c r="W1911" s="736"/>
      <c r="X1911" s="737"/>
      <c r="Y1911" s="738"/>
      <c r="Z1911" s="739"/>
      <c r="AA1911" s="739"/>
      <c r="AB1911" s="740">
        <v>16</v>
      </c>
      <c r="AC1911" s="741" t="str">
        <f>'DICTIONARY-5'!$A$11&amp;" 20"</f>
        <v>EN 558 szereg 20</v>
      </c>
      <c r="AD1911" s="741" t="str">
        <f>'DICTIONARY-5'!$A$18&amp;", "&amp;'DICTIONARY-5'!$A$14</f>
        <v>gaz, ścieki</v>
      </c>
      <c r="AE1911" s="742">
        <v>80</v>
      </c>
      <c r="AF1911" s="743">
        <v>19.2</v>
      </c>
      <c r="AG1911" s="741" t="str">
        <f>'DICTIONARY-5'!$A$23</f>
        <v>powłoka epoksydowa</v>
      </c>
    </row>
    <row r="1912" spans="1:33" x14ac:dyDescent="0.25">
      <c r="A1912" s="754" t="s">
        <v>1590</v>
      </c>
      <c r="B1912" s="869" t="s">
        <v>3818</v>
      </c>
      <c r="C1912" s="836">
        <v>198</v>
      </c>
      <c r="D1912" s="836"/>
      <c r="E1912" s="836"/>
      <c r="F1912" s="836"/>
      <c r="G1912" s="496" t="s">
        <v>7832</v>
      </c>
      <c r="H1912" s="797" t="str">
        <f>VLOOKUP(G1912,SETTINGS!$B$7:$D$97,2,0)</f>
        <v>CEREX 300</v>
      </c>
      <c r="I1912" s="796">
        <f>VLOOKUP(G1912,SETTINGS!$B$7:$D$97,3,0)</f>
        <v>0</v>
      </c>
      <c r="J1912" s="670" t="str">
        <f>IFERROR(IF(CURRENCY.FORMAT_1=0,CONCATENATE(TEXT(FIXED(ROUND((C1912/EXC.RATE_1),CURRENCY.FORMAT_1),CURRENCY.FORMAT_1,1),"# ##0;-# ##0"),",-"),FIXED(ROUND((C1912/EXC.RATE_1),CURRENCY.FORMAT_1),CURRENCY.FORMAT_1,0)),'DICTIONARY-5'!$A$2)</f>
        <v>198,-</v>
      </c>
      <c r="K1912" s="670" t="str">
        <f>IF(EXC.RATE_2=0,"",IFERROR(IF(CURRENCY.FORMAT_2=0,CONCATENATE(TEXT(FIXED(ROUND(IF(EXC.RATE.SWITCH=1,C1912/EXC.RATE_2,C1912*EXC.RATE_2),CURRENCY.FORMAT_2),CURRENCY.FORMAT_2,1),"# ##0;-# ##0"),",-"),FIXED(ROUND(IF(EXC.RATE.SWITCH=1,C1912/EXC.RATE_2,C1912*EXC.RATE_2),CURRENCY.FORMAT_2),CURRENCY.FORMAT_2,0)),'DICTIONARY-5'!$A$2))</f>
        <v/>
      </c>
      <c r="L1912" s="670" t="str">
        <f>IFERROR(IF(CURRENCY.FORMAT_1=0,CONCATENATE(TEXT(FIXED(ROUND((C1912*(1-I1912)*(1-ADD.DISCOUNT)*(1+MAT.SURCHARGE)/EXC.RATE_1),CURRENCY.FORMAT_1),CURRENCY.FORMAT_1,1),"# ##0;-# ##0"),",-"),FIXED(ROUND((C1912*(1-I1912)*(1-ADD.DISCOUNT)*(1+MAT.SURCHARGE)/EXC.RATE_1),CURRENCY.FORMAT_1),CURRENCY.FORMAT_1,0)),'DICTIONARY-5'!$A$2)</f>
        <v>206,-</v>
      </c>
      <c r="M1912" s="670" t="str">
        <f>IF(EXC.RATE_2=0,"",IFERROR(IF(CURRENCY.FORMAT_2=0,CONCATENATE(TEXT(FIXED(ROUND(IF(EXC.RATE.SWITCH=1,C1912*(1-I1912)*(1-ADD.DISCOUNT)*(1+MAT.SURCHARGE)/EXC.RATE_2,C1912*(1-I1912)*(1-ADD.DISCOUNT)*(1+MAT.SURCHARGE)*EXC.RATE_2),CURRENCY.FORMAT_2),CURRENCY.FORMAT_2,1),"# ##0;-# ##0"),",-"),FIXED(ROUND(IF(EXC.RATE.SWITCH=1,C1912*(1-I1912)*(1-ADD.DISCOUNT)*(1+MAT.SURCHARGE)/EXC.RATE_2,C1912*(1-I1912)*(1-ADD.DISCOUNT)*(1+MAT.SURCHARGE)*EXC.RATE_2),CURRENCY.FORMAT_2),CURRENCY.FORMAT_2,0)),'DICTIONARY-5'!$A$2))</f>
        <v/>
      </c>
      <c r="N1912" s="535">
        <v>6</v>
      </c>
      <c r="O1912" s="535"/>
      <c r="P1912" s="731" t="str">
        <f>'DICTIONARY-3'!$A$148</f>
        <v>CEREX 300-L</v>
      </c>
      <c r="Q1912" s="732" t="str">
        <f>'DICTIONARY-3'!$A$204</f>
        <v>Przepustnica kołnierzowa</v>
      </c>
      <c r="R1912" s="732" t="str">
        <f>CONCATENATE('DICTIONARY-3'!$A$148," ",'DICTIONARY-6'!$A$2," ",UPPER('DICTIONARY-5'!$A$18)," ",'DICTIONARY-2'!$A$2,"50"," ",'DICTIONARY-2'!$A$3,"10/16"," ","R20"," ",'DICTIONARY-5'!$A$37,"/",'DICTIONARY-5'!$A$45,", ",'DICTIONARY-4'!$A$3," ",'DICTIONARY-5'!$A$33)</f>
        <v>CEREX 300-L Przep. kołnierz. GAZ DN50 PN10/16 R20 CF8M/NBR, DR st. nierdz.</v>
      </c>
      <c r="S1912" s="733" t="str">
        <f>'DICTIONARY-4'!$A$3</f>
        <v>DR</v>
      </c>
      <c r="T1912" s="732" t="str">
        <f>'DICTIONARY-4'!$A$19</f>
        <v>Dźwignia ręczna</v>
      </c>
      <c r="U1912" s="734" t="s">
        <v>5748</v>
      </c>
      <c r="V1912" s="735">
        <v>16</v>
      </c>
      <c r="W1912" s="736"/>
      <c r="X1912" s="737"/>
      <c r="Y1912" s="738"/>
      <c r="Z1912" s="739"/>
      <c r="AA1912" s="739"/>
      <c r="AB1912" s="740">
        <v>16</v>
      </c>
      <c r="AC1912" s="741" t="str">
        <f>'DICTIONARY-5'!$A$11&amp;" 20"</f>
        <v>EN 558 szereg 20</v>
      </c>
      <c r="AD1912" s="741" t="str">
        <f>'DICTIONARY-5'!$A$18&amp;", "&amp;'DICTIONARY-5'!$A$14</f>
        <v>gaz, ścieki</v>
      </c>
      <c r="AE1912" s="742">
        <v>80</v>
      </c>
      <c r="AF1912" s="743">
        <v>2</v>
      </c>
      <c r="AG1912" s="741" t="str">
        <f>'DICTIONARY-5'!$A$23</f>
        <v>powłoka epoksydowa</v>
      </c>
    </row>
    <row r="1913" spans="1:33" x14ac:dyDescent="0.25">
      <c r="A1913" s="754" t="s">
        <v>1592</v>
      </c>
      <c r="B1913" s="869" t="s">
        <v>3824</v>
      </c>
      <c r="C1913" s="836">
        <v>213</v>
      </c>
      <c r="D1913" s="836"/>
      <c r="E1913" s="836"/>
      <c r="F1913" s="836"/>
      <c r="G1913" s="496" t="s">
        <v>7832</v>
      </c>
      <c r="H1913" s="797" t="str">
        <f>VLOOKUP(G1913,SETTINGS!$B$7:$D$97,2,0)</f>
        <v>CEREX 300</v>
      </c>
      <c r="I1913" s="796">
        <f>VLOOKUP(G1913,SETTINGS!$B$7:$D$97,3,0)</f>
        <v>0</v>
      </c>
      <c r="J1913" s="670" t="str">
        <f>IFERROR(IF(CURRENCY.FORMAT_1=0,CONCATENATE(TEXT(FIXED(ROUND((C1913/EXC.RATE_1),CURRENCY.FORMAT_1),CURRENCY.FORMAT_1,1),"# ##0;-# ##0"),",-"),FIXED(ROUND((C1913/EXC.RATE_1),CURRENCY.FORMAT_1),CURRENCY.FORMAT_1,0)),'DICTIONARY-5'!$A$2)</f>
        <v>213,-</v>
      </c>
      <c r="K1913" s="670" t="str">
        <f>IF(EXC.RATE_2=0,"",IFERROR(IF(CURRENCY.FORMAT_2=0,CONCATENATE(TEXT(FIXED(ROUND(IF(EXC.RATE.SWITCH=1,C1913/EXC.RATE_2,C1913*EXC.RATE_2),CURRENCY.FORMAT_2),CURRENCY.FORMAT_2,1),"# ##0;-# ##0"),",-"),FIXED(ROUND(IF(EXC.RATE.SWITCH=1,C1913/EXC.RATE_2,C1913*EXC.RATE_2),CURRENCY.FORMAT_2),CURRENCY.FORMAT_2,0)),'DICTIONARY-5'!$A$2))</f>
        <v/>
      </c>
      <c r="L1913" s="670" t="str">
        <f>IFERROR(IF(CURRENCY.FORMAT_1=0,CONCATENATE(TEXT(FIXED(ROUND((C1913*(1-I1913)*(1-ADD.DISCOUNT)*(1+MAT.SURCHARGE)/EXC.RATE_1),CURRENCY.FORMAT_1),CURRENCY.FORMAT_1,1),"# ##0;-# ##0"),",-"),FIXED(ROUND((C1913*(1-I1913)*(1-ADD.DISCOUNT)*(1+MAT.SURCHARGE)/EXC.RATE_1),CURRENCY.FORMAT_1),CURRENCY.FORMAT_1,0)),'DICTIONARY-5'!$A$2)</f>
        <v>221,-</v>
      </c>
      <c r="M1913" s="670" t="str">
        <f>IF(EXC.RATE_2=0,"",IFERROR(IF(CURRENCY.FORMAT_2=0,CONCATENATE(TEXT(FIXED(ROUND(IF(EXC.RATE.SWITCH=1,C1913*(1-I1913)*(1-ADD.DISCOUNT)*(1+MAT.SURCHARGE)/EXC.RATE_2,C1913*(1-I1913)*(1-ADD.DISCOUNT)*(1+MAT.SURCHARGE)*EXC.RATE_2),CURRENCY.FORMAT_2),CURRENCY.FORMAT_2,1),"# ##0;-# ##0"),",-"),FIXED(ROUND(IF(EXC.RATE.SWITCH=1,C1913*(1-I1913)*(1-ADD.DISCOUNT)*(1+MAT.SURCHARGE)/EXC.RATE_2,C1913*(1-I1913)*(1-ADD.DISCOUNT)*(1+MAT.SURCHARGE)*EXC.RATE_2),CURRENCY.FORMAT_2),CURRENCY.FORMAT_2,0)),'DICTIONARY-5'!$A$2))</f>
        <v/>
      </c>
      <c r="N1913" s="535">
        <v>6</v>
      </c>
      <c r="O1913" s="535"/>
      <c r="P1913" s="731" t="str">
        <f>'DICTIONARY-3'!$A$148</f>
        <v>CEREX 300-L</v>
      </c>
      <c r="Q1913" s="732" t="str">
        <f>'DICTIONARY-3'!$A$204</f>
        <v>Przepustnica kołnierzowa</v>
      </c>
      <c r="R1913" s="732" t="str">
        <f>CONCATENATE('DICTIONARY-3'!$A$148," ",'DICTIONARY-6'!$A$2," ",UPPER('DICTIONARY-5'!$A$18)," ",'DICTIONARY-2'!$A$2,"65"," ",'DICTIONARY-2'!$A$3,"10/16"," ","R20"," ",'DICTIONARY-5'!$A$37,"/",'DICTIONARY-5'!$A$45,", ",'DICTIONARY-4'!$A$3," ",'DICTIONARY-5'!$A$33)</f>
        <v>CEREX 300-L Przep. kołnierz. GAZ DN65 PN10/16 R20 CF8M/NBR, DR st. nierdz.</v>
      </c>
      <c r="S1913" s="733" t="str">
        <f>'DICTIONARY-4'!$A$3</f>
        <v>DR</v>
      </c>
      <c r="T1913" s="732" t="str">
        <f>'DICTIONARY-4'!$A$19</f>
        <v>Dźwignia ręczna</v>
      </c>
      <c r="U1913" s="734" t="s">
        <v>5759</v>
      </c>
      <c r="V1913" s="735">
        <v>16</v>
      </c>
      <c r="W1913" s="736"/>
      <c r="X1913" s="737"/>
      <c r="Y1913" s="738"/>
      <c r="Z1913" s="739"/>
      <c r="AA1913" s="739"/>
      <c r="AB1913" s="740">
        <v>16</v>
      </c>
      <c r="AC1913" s="741" t="str">
        <f>'DICTIONARY-5'!$A$11&amp;" 20"</f>
        <v>EN 558 szereg 20</v>
      </c>
      <c r="AD1913" s="741" t="str">
        <f>'DICTIONARY-5'!$A$18&amp;", "&amp;'DICTIONARY-5'!$A$14</f>
        <v>gaz, ścieki</v>
      </c>
      <c r="AE1913" s="742">
        <v>80</v>
      </c>
      <c r="AF1913" s="743">
        <v>5</v>
      </c>
      <c r="AG1913" s="741" t="str">
        <f>'DICTIONARY-5'!$A$23</f>
        <v>powłoka epoksydowa</v>
      </c>
    </row>
    <row r="1914" spans="1:33" x14ac:dyDescent="0.25">
      <c r="A1914" s="754" t="s">
        <v>1594</v>
      </c>
      <c r="B1914" s="869" t="s">
        <v>3830</v>
      </c>
      <c r="C1914" s="836">
        <v>244</v>
      </c>
      <c r="D1914" s="836"/>
      <c r="E1914" s="836"/>
      <c r="F1914" s="836"/>
      <c r="G1914" s="496" t="s">
        <v>7832</v>
      </c>
      <c r="H1914" s="797" t="str">
        <f>VLOOKUP(G1914,SETTINGS!$B$7:$D$97,2,0)</f>
        <v>CEREX 300</v>
      </c>
      <c r="I1914" s="796">
        <f>VLOOKUP(G1914,SETTINGS!$B$7:$D$97,3,0)</f>
        <v>0</v>
      </c>
      <c r="J1914" s="670" t="str">
        <f>IFERROR(IF(CURRENCY.FORMAT_1=0,CONCATENATE(TEXT(FIXED(ROUND((C1914/EXC.RATE_1),CURRENCY.FORMAT_1),CURRENCY.FORMAT_1,1),"# ##0;-# ##0"),",-"),FIXED(ROUND((C1914/EXC.RATE_1),CURRENCY.FORMAT_1),CURRENCY.FORMAT_1,0)),'DICTIONARY-5'!$A$2)</f>
        <v>244,-</v>
      </c>
      <c r="K1914" s="670" t="str">
        <f>IF(EXC.RATE_2=0,"",IFERROR(IF(CURRENCY.FORMAT_2=0,CONCATENATE(TEXT(FIXED(ROUND(IF(EXC.RATE.SWITCH=1,C1914/EXC.RATE_2,C1914*EXC.RATE_2),CURRENCY.FORMAT_2),CURRENCY.FORMAT_2,1),"# ##0;-# ##0"),",-"),FIXED(ROUND(IF(EXC.RATE.SWITCH=1,C1914/EXC.RATE_2,C1914*EXC.RATE_2),CURRENCY.FORMAT_2),CURRENCY.FORMAT_2,0)),'DICTIONARY-5'!$A$2))</f>
        <v/>
      </c>
      <c r="L1914" s="670" t="str">
        <f>IFERROR(IF(CURRENCY.FORMAT_1=0,CONCATENATE(TEXT(FIXED(ROUND((C1914*(1-I1914)*(1-ADD.DISCOUNT)*(1+MAT.SURCHARGE)/EXC.RATE_1),CURRENCY.FORMAT_1),CURRENCY.FORMAT_1,1),"# ##0;-# ##0"),",-"),FIXED(ROUND((C1914*(1-I1914)*(1-ADD.DISCOUNT)*(1+MAT.SURCHARGE)/EXC.RATE_1),CURRENCY.FORMAT_1),CURRENCY.FORMAT_1,0)),'DICTIONARY-5'!$A$2)</f>
        <v>254,-</v>
      </c>
      <c r="M1914" s="670" t="str">
        <f>IF(EXC.RATE_2=0,"",IFERROR(IF(CURRENCY.FORMAT_2=0,CONCATENATE(TEXT(FIXED(ROUND(IF(EXC.RATE.SWITCH=1,C1914*(1-I1914)*(1-ADD.DISCOUNT)*(1+MAT.SURCHARGE)/EXC.RATE_2,C1914*(1-I1914)*(1-ADD.DISCOUNT)*(1+MAT.SURCHARGE)*EXC.RATE_2),CURRENCY.FORMAT_2),CURRENCY.FORMAT_2,1),"# ##0;-# ##0"),",-"),FIXED(ROUND(IF(EXC.RATE.SWITCH=1,C1914*(1-I1914)*(1-ADD.DISCOUNT)*(1+MAT.SURCHARGE)/EXC.RATE_2,C1914*(1-I1914)*(1-ADD.DISCOUNT)*(1+MAT.SURCHARGE)*EXC.RATE_2),CURRENCY.FORMAT_2),CURRENCY.FORMAT_2,0)),'DICTIONARY-5'!$A$2))</f>
        <v/>
      </c>
      <c r="N1914" s="535">
        <v>6</v>
      </c>
      <c r="O1914" s="535"/>
      <c r="P1914" s="731" t="str">
        <f>'DICTIONARY-3'!$A$148</f>
        <v>CEREX 300-L</v>
      </c>
      <c r="Q1914" s="732" t="str">
        <f>'DICTIONARY-3'!$A$204</f>
        <v>Przepustnica kołnierzowa</v>
      </c>
      <c r="R1914" s="732" t="str">
        <f>CONCATENATE('DICTIONARY-3'!$A$148," ",'DICTIONARY-6'!$A$2," ",UPPER('DICTIONARY-5'!$A$18)," ",'DICTIONARY-2'!$A$2,"80"," ",'DICTIONARY-2'!$A$3,"10/16"," ","R20"," ",'DICTIONARY-5'!$A$37,"/",'DICTIONARY-5'!$A$45,", ",'DICTIONARY-4'!$A$3," ",'DICTIONARY-5'!$A$33)</f>
        <v>CEREX 300-L Przep. kołnierz. GAZ DN80 PN10/16 R20 CF8M/NBR, DR st. nierdz.</v>
      </c>
      <c r="S1914" s="733" t="str">
        <f>'DICTIONARY-4'!$A$3</f>
        <v>DR</v>
      </c>
      <c r="T1914" s="732" t="str">
        <f>'DICTIONARY-4'!$A$19</f>
        <v>Dźwignia ręczna</v>
      </c>
      <c r="U1914" s="734" t="s">
        <v>5760</v>
      </c>
      <c r="V1914" s="735">
        <v>16</v>
      </c>
      <c r="W1914" s="736"/>
      <c r="X1914" s="737"/>
      <c r="Y1914" s="738"/>
      <c r="Z1914" s="739"/>
      <c r="AA1914" s="739"/>
      <c r="AB1914" s="740">
        <v>16</v>
      </c>
      <c r="AC1914" s="741" t="str">
        <f>'DICTIONARY-5'!$A$11&amp;" 20"</f>
        <v>EN 558 szereg 20</v>
      </c>
      <c r="AD1914" s="741" t="str">
        <f>'DICTIONARY-5'!$A$18&amp;", "&amp;'DICTIONARY-5'!$A$14</f>
        <v>gaz, ścieki</v>
      </c>
      <c r="AE1914" s="742">
        <v>80</v>
      </c>
      <c r="AF1914" s="743">
        <v>4</v>
      </c>
      <c r="AG1914" s="741" t="str">
        <f>'DICTIONARY-5'!$A$23</f>
        <v>powłoka epoksydowa</v>
      </c>
    </row>
    <row r="1915" spans="1:33" x14ac:dyDescent="0.25">
      <c r="A1915" s="754" t="s">
        <v>1596</v>
      </c>
      <c r="B1915" s="869" t="s">
        <v>3836</v>
      </c>
      <c r="C1915" s="836">
        <v>276</v>
      </c>
      <c r="D1915" s="836"/>
      <c r="E1915" s="836"/>
      <c r="F1915" s="836"/>
      <c r="G1915" s="496" t="s">
        <v>7832</v>
      </c>
      <c r="H1915" s="797" t="str">
        <f>VLOOKUP(G1915,SETTINGS!$B$7:$D$97,2,0)</f>
        <v>CEREX 300</v>
      </c>
      <c r="I1915" s="796">
        <f>VLOOKUP(G1915,SETTINGS!$B$7:$D$97,3,0)</f>
        <v>0</v>
      </c>
      <c r="J1915" s="670" t="str">
        <f>IFERROR(IF(CURRENCY.FORMAT_1=0,CONCATENATE(TEXT(FIXED(ROUND((C1915/EXC.RATE_1),CURRENCY.FORMAT_1),CURRENCY.FORMAT_1,1),"# ##0;-# ##0"),",-"),FIXED(ROUND((C1915/EXC.RATE_1),CURRENCY.FORMAT_1),CURRENCY.FORMAT_1,0)),'DICTIONARY-5'!$A$2)</f>
        <v>276,-</v>
      </c>
      <c r="K1915" s="670" t="str">
        <f>IF(EXC.RATE_2=0,"",IFERROR(IF(CURRENCY.FORMAT_2=0,CONCATENATE(TEXT(FIXED(ROUND(IF(EXC.RATE.SWITCH=1,C1915/EXC.RATE_2,C1915*EXC.RATE_2),CURRENCY.FORMAT_2),CURRENCY.FORMAT_2,1),"# ##0;-# ##0"),",-"),FIXED(ROUND(IF(EXC.RATE.SWITCH=1,C1915/EXC.RATE_2,C1915*EXC.RATE_2),CURRENCY.FORMAT_2),CURRENCY.FORMAT_2,0)),'DICTIONARY-5'!$A$2))</f>
        <v/>
      </c>
      <c r="L1915" s="670" t="str">
        <f>IFERROR(IF(CURRENCY.FORMAT_1=0,CONCATENATE(TEXT(FIXED(ROUND((C1915*(1-I1915)*(1-ADD.DISCOUNT)*(1+MAT.SURCHARGE)/EXC.RATE_1),CURRENCY.FORMAT_1),CURRENCY.FORMAT_1,1),"# ##0;-# ##0"),",-"),FIXED(ROUND((C1915*(1-I1915)*(1-ADD.DISCOUNT)*(1+MAT.SURCHARGE)/EXC.RATE_1),CURRENCY.FORMAT_1),CURRENCY.FORMAT_1,0)),'DICTIONARY-5'!$A$2)</f>
        <v>287,-</v>
      </c>
      <c r="M1915" s="670" t="str">
        <f>IF(EXC.RATE_2=0,"",IFERROR(IF(CURRENCY.FORMAT_2=0,CONCATENATE(TEXT(FIXED(ROUND(IF(EXC.RATE.SWITCH=1,C1915*(1-I1915)*(1-ADD.DISCOUNT)*(1+MAT.SURCHARGE)/EXC.RATE_2,C1915*(1-I1915)*(1-ADD.DISCOUNT)*(1+MAT.SURCHARGE)*EXC.RATE_2),CURRENCY.FORMAT_2),CURRENCY.FORMAT_2,1),"# ##0;-# ##0"),",-"),FIXED(ROUND(IF(EXC.RATE.SWITCH=1,C1915*(1-I1915)*(1-ADD.DISCOUNT)*(1+MAT.SURCHARGE)/EXC.RATE_2,C1915*(1-I1915)*(1-ADD.DISCOUNT)*(1+MAT.SURCHARGE)*EXC.RATE_2),CURRENCY.FORMAT_2),CURRENCY.FORMAT_2,0)),'DICTIONARY-5'!$A$2))</f>
        <v/>
      </c>
      <c r="N1915" s="535">
        <v>6</v>
      </c>
      <c r="O1915" s="535"/>
      <c r="P1915" s="731" t="str">
        <f>'DICTIONARY-3'!$A$148</f>
        <v>CEREX 300-L</v>
      </c>
      <c r="Q1915" s="732" t="str">
        <f>'DICTIONARY-3'!$A$204</f>
        <v>Przepustnica kołnierzowa</v>
      </c>
      <c r="R1915" s="732" t="str">
        <f>CONCATENATE('DICTIONARY-3'!$A$148," ",'DICTIONARY-6'!$A$2," ",UPPER('DICTIONARY-5'!$A$18)," ",'DICTIONARY-2'!$A$2,"100"," ",'DICTIONARY-2'!$A$3,"10/16"," ","R20"," ",'DICTIONARY-5'!$A$37,"/",'DICTIONARY-5'!$A$45,", ",'DICTIONARY-4'!$A$3," ",'DICTIONARY-5'!$A$33)</f>
        <v>CEREX 300-L Przep. kołnierz. GAZ DN100 PN10/16 R20 CF8M/NBR, DR st. nierdz.</v>
      </c>
      <c r="S1915" s="733" t="str">
        <f>'DICTIONARY-4'!$A$3</f>
        <v>DR</v>
      </c>
      <c r="T1915" s="732" t="str">
        <f>'DICTIONARY-4'!$A$19</f>
        <v>Dźwignia ręczna</v>
      </c>
      <c r="U1915" s="734" t="s">
        <v>5749</v>
      </c>
      <c r="V1915" s="735">
        <v>16</v>
      </c>
      <c r="W1915" s="736"/>
      <c r="X1915" s="737"/>
      <c r="Y1915" s="738"/>
      <c r="Z1915" s="739"/>
      <c r="AA1915" s="739"/>
      <c r="AB1915" s="740">
        <v>16</v>
      </c>
      <c r="AC1915" s="741" t="str">
        <f>'DICTIONARY-5'!$A$11&amp;" 20"</f>
        <v>EN 558 szereg 20</v>
      </c>
      <c r="AD1915" s="741" t="str">
        <f>'DICTIONARY-5'!$A$18&amp;", "&amp;'DICTIONARY-5'!$A$14</f>
        <v>gaz, ścieki</v>
      </c>
      <c r="AE1915" s="742">
        <v>80</v>
      </c>
      <c r="AF1915" s="743">
        <v>5</v>
      </c>
      <c r="AG1915" s="741" t="str">
        <f>'DICTIONARY-5'!$A$23</f>
        <v>powłoka epoksydowa</v>
      </c>
    </row>
    <row r="1916" spans="1:33" x14ac:dyDescent="0.25">
      <c r="A1916" s="754" t="s">
        <v>1598</v>
      </c>
      <c r="B1916" s="869" t="s">
        <v>3842</v>
      </c>
      <c r="C1916" s="836">
        <v>317</v>
      </c>
      <c r="D1916" s="836"/>
      <c r="E1916" s="836"/>
      <c r="F1916" s="836"/>
      <c r="G1916" s="496" t="s">
        <v>7832</v>
      </c>
      <c r="H1916" s="797" t="str">
        <f>VLOOKUP(G1916,SETTINGS!$B$7:$D$97,2,0)</f>
        <v>CEREX 300</v>
      </c>
      <c r="I1916" s="796">
        <f>VLOOKUP(G1916,SETTINGS!$B$7:$D$97,3,0)</f>
        <v>0</v>
      </c>
      <c r="J1916" s="670" t="str">
        <f>IFERROR(IF(CURRENCY.FORMAT_1=0,CONCATENATE(TEXT(FIXED(ROUND((C1916/EXC.RATE_1),CURRENCY.FORMAT_1),CURRENCY.FORMAT_1,1),"# ##0;-# ##0"),",-"),FIXED(ROUND((C1916/EXC.RATE_1),CURRENCY.FORMAT_1),CURRENCY.FORMAT_1,0)),'DICTIONARY-5'!$A$2)</f>
        <v>317,-</v>
      </c>
      <c r="K1916" s="670" t="str">
        <f>IF(EXC.RATE_2=0,"",IFERROR(IF(CURRENCY.FORMAT_2=0,CONCATENATE(TEXT(FIXED(ROUND(IF(EXC.RATE.SWITCH=1,C1916/EXC.RATE_2,C1916*EXC.RATE_2),CURRENCY.FORMAT_2),CURRENCY.FORMAT_2,1),"# ##0;-# ##0"),",-"),FIXED(ROUND(IF(EXC.RATE.SWITCH=1,C1916/EXC.RATE_2,C1916*EXC.RATE_2),CURRENCY.FORMAT_2),CURRENCY.FORMAT_2,0)),'DICTIONARY-5'!$A$2))</f>
        <v/>
      </c>
      <c r="L1916" s="670" t="str">
        <f>IFERROR(IF(CURRENCY.FORMAT_1=0,CONCATENATE(TEXT(FIXED(ROUND((C1916*(1-I1916)*(1-ADD.DISCOUNT)*(1+MAT.SURCHARGE)/EXC.RATE_1),CURRENCY.FORMAT_1),CURRENCY.FORMAT_1,1),"# ##0;-# ##0"),",-"),FIXED(ROUND((C1916*(1-I1916)*(1-ADD.DISCOUNT)*(1+MAT.SURCHARGE)/EXC.RATE_1),CURRENCY.FORMAT_1),CURRENCY.FORMAT_1,0)),'DICTIONARY-5'!$A$2)</f>
        <v>329,-</v>
      </c>
      <c r="M1916" s="670" t="str">
        <f>IF(EXC.RATE_2=0,"",IFERROR(IF(CURRENCY.FORMAT_2=0,CONCATENATE(TEXT(FIXED(ROUND(IF(EXC.RATE.SWITCH=1,C1916*(1-I1916)*(1-ADD.DISCOUNT)*(1+MAT.SURCHARGE)/EXC.RATE_2,C1916*(1-I1916)*(1-ADD.DISCOUNT)*(1+MAT.SURCHARGE)*EXC.RATE_2),CURRENCY.FORMAT_2),CURRENCY.FORMAT_2,1),"# ##0;-# ##0"),",-"),FIXED(ROUND(IF(EXC.RATE.SWITCH=1,C1916*(1-I1916)*(1-ADD.DISCOUNT)*(1+MAT.SURCHARGE)/EXC.RATE_2,C1916*(1-I1916)*(1-ADD.DISCOUNT)*(1+MAT.SURCHARGE)*EXC.RATE_2),CURRENCY.FORMAT_2),CURRENCY.FORMAT_2,0)),'DICTIONARY-5'!$A$2))</f>
        <v/>
      </c>
      <c r="N1916" s="535">
        <v>6</v>
      </c>
      <c r="O1916" s="535"/>
      <c r="P1916" s="731" t="str">
        <f>'DICTIONARY-3'!$A$148</f>
        <v>CEREX 300-L</v>
      </c>
      <c r="Q1916" s="732" t="str">
        <f>'DICTIONARY-3'!$A$204</f>
        <v>Przepustnica kołnierzowa</v>
      </c>
      <c r="R1916" s="732" t="str">
        <f>CONCATENATE('DICTIONARY-3'!$A$148," ",'DICTIONARY-6'!$A$2," ",UPPER('DICTIONARY-5'!$A$18)," ",'DICTIONARY-2'!$A$2,"125"," ",'DICTIONARY-2'!$A$3,"10/16"," ","R20"," ",'DICTIONARY-5'!$A$37,"/",'DICTIONARY-5'!$A$45,", ",'DICTIONARY-4'!$A$3," ",'DICTIONARY-5'!$A$33)</f>
        <v>CEREX 300-L Przep. kołnierz. GAZ DN125 PN10/16 R20 CF8M/NBR, DR st. nierdz.</v>
      </c>
      <c r="S1916" s="733" t="str">
        <f>'DICTIONARY-4'!$A$3</f>
        <v>DR</v>
      </c>
      <c r="T1916" s="732" t="str">
        <f>'DICTIONARY-4'!$A$19</f>
        <v>Dźwignia ręczna</v>
      </c>
      <c r="U1916" s="734" t="s">
        <v>5761</v>
      </c>
      <c r="V1916" s="735">
        <v>16</v>
      </c>
      <c r="W1916" s="736"/>
      <c r="X1916" s="737"/>
      <c r="Y1916" s="738"/>
      <c r="Z1916" s="739"/>
      <c r="AA1916" s="739"/>
      <c r="AB1916" s="740">
        <v>16</v>
      </c>
      <c r="AC1916" s="741" t="str">
        <f>'DICTIONARY-5'!$A$11&amp;" 20"</f>
        <v>EN 558 szereg 20</v>
      </c>
      <c r="AD1916" s="741" t="str">
        <f>'DICTIONARY-5'!$A$18&amp;", "&amp;'DICTIONARY-5'!$A$14</f>
        <v>gaz, ścieki</v>
      </c>
      <c r="AE1916" s="742">
        <v>80</v>
      </c>
      <c r="AF1916" s="743">
        <v>6</v>
      </c>
      <c r="AG1916" s="741" t="str">
        <f>'DICTIONARY-5'!$A$23</f>
        <v>powłoka epoksydowa</v>
      </c>
    </row>
    <row r="1917" spans="1:33" x14ac:dyDescent="0.25">
      <c r="A1917" s="754" t="s">
        <v>1600</v>
      </c>
      <c r="B1917" s="869" t="s">
        <v>3848</v>
      </c>
      <c r="C1917" s="836">
        <v>426</v>
      </c>
      <c r="D1917" s="836"/>
      <c r="E1917" s="836"/>
      <c r="F1917" s="836"/>
      <c r="G1917" s="496" t="s">
        <v>7832</v>
      </c>
      <c r="H1917" s="797" t="str">
        <f>VLOOKUP(G1917,SETTINGS!$B$7:$D$97,2,0)</f>
        <v>CEREX 300</v>
      </c>
      <c r="I1917" s="796">
        <f>VLOOKUP(G1917,SETTINGS!$B$7:$D$97,3,0)</f>
        <v>0</v>
      </c>
      <c r="J1917" s="670" t="str">
        <f>IFERROR(IF(CURRENCY.FORMAT_1=0,CONCATENATE(TEXT(FIXED(ROUND((C1917/EXC.RATE_1),CURRENCY.FORMAT_1),CURRENCY.FORMAT_1,1),"# ##0;-# ##0"),",-"),FIXED(ROUND((C1917/EXC.RATE_1),CURRENCY.FORMAT_1),CURRENCY.FORMAT_1,0)),'DICTIONARY-5'!$A$2)</f>
        <v>426,-</v>
      </c>
      <c r="K1917" s="670" t="str">
        <f>IF(EXC.RATE_2=0,"",IFERROR(IF(CURRENCY.FORMAT_2=0,CONCATENATE(TEXT(FIXED(ROUND(IF(EXC.RATE.SWITCH=1,C1917/EXC.RATE_2,C1917*EXC.RATE_2),CURRENCY.FORMAT_2),CURRENCY.FORMAT_2,1),"# ##0;-# ##0"),",-"),FIXED(ROUND(IF(EXC.RATE.SWITCH=1,C1917/EXC.RATE_2,C1917*EXC.RATE_2),CURRENCY.FORMAT_2),CURRENCY.FORMAT_2,0)),'DICTIONARY-5'!$A$2))</f>
        <v/>
      </c>
      <c r="L1917" s="670" t="str">
        <f>IFERROR(IF(CURRENCY.FORMAT_1=0,CONCATENATE(TEXT(FIXED(ROUND((C1917*(1-I1917)*(1-ADD.DISCOUNT)*(1+MAT.SURCHARGE)/EXC.RATE_1),CURRENCY.FORMAT_1),CURRENCY.FORMAT_1,1),"# ##0;-# ##0"),",-"),FIXED(ROUND((C1917*(1-I1917)*(1-ADD.DISCOUNT)*(1+MAT.SURCHARGE)/EXC.RATE_1),CURRENCY.FORMAT_1),CURRENCY.FORMAT_1,0)),'DICTIONARY-5'!$A$2)</f>
        <v>443,-</v>
      </c>
      <c r="M1917" s="670" t="str">
        <f>IF(EXC.RATE_2=0,"",IFERROR(IF(CURRENCY.FORMAT_2=0,CONCATENATE(TEXT(FIXED(ROUND(IF(EXC.RATE.SWITCH=1,C1917*(1-I1917)*(1-ADD.DISCOUNT)*(1+MAT.SURCHARGE)/EXC.RATE_2,C1917*(1-I1917)*(1-ADD.DISCOUNT)*(1+MAT.SURCHARGE)*EXC.RATE_2),CURRENCY.FORMAT_2),CURRENCY.FORMAT_2,1),"# ##0;-# ##0"),",-"),FIXED(ROUND(IF(EXC.RATE.SWITCH=1,C1917*(1-I1917)*(1-ADD.DISCOUNT)*(1+MAT.SURCHARGE)/EXC.RATE_2,C1917*(1-I1917)*(1-ADD.DISCOUNT)*(1+MAT.SURCHARGE)*EXC.RATE_2),CURRENCY.FORMAT_2),CURRENCY.FORMAT_2,0)),'DICTIONARY-5'!$A$2))</f>
        <v/>
      </c>
      <c r="N1917" s="535">
        <v>6</v>
      </c>
      <c r="O1917" s="535"/>
      <c r="P1917" s="731" t="str">
        <f>'DICTIONARY-3'!$A$148</f>
        <v>CEREX 300-L</v>
      </c>
      <c r="Q1917" s="732" t="str">
        <f>'DICTIONARY-3'!$A$204</f>
        <v>Przepustnica kołnierzowa</v>
      </c>
      <c r="R1917" s="732" t="str">
        <f>CONCATENATE('DICTIONARY-3'!$A$148," ",'DICTIONARY-6'!$A$2," ",UPPER('DICTIONARY-5'!$A$18)," ",'DICTIONARY-2'!$A$2,"150"," ",'DICTIONARY-2'!$A$3,"10/16"," ","R20"," ",'DICTIONARY-5'!$A$37,"/",'DICTIONARY-5'!$A$45,", ",'DICTIONARY-4'!$A$3," ",'DICTIONARY-5'!$A$33)</f>
        <v>CEREX 300-L Przep. kołnierz. GAZ DN150 PN10/16 R20 CF8M/NBR, DR st. nierdz.</v>
      </c>
      <c r="S1917" s="733" t="str">
        <f>'DICTIONARY-4'!$A$3</f>
        <v>DR</v>
      </c>
      <c r="T1917" s="732" t="str">
        <f>'DICTIONARY-4'!$A$19</f>
        <v>Dźwignia ręczna</v>
      </c>
      <c r="U1917" s="734" t="s">
        <v>5572</v>
      </c>
      <c r="V1917" s="735">
        <v>16</v>
      </c>
      <c r="W1917" s="736"/>
      <c r="X1917" s="737"/>
      <c r="Y1917" s="738"/>
      <c r="Z1917" s="739"/>
      <c r="AA1917" s="739"/>
      <c r="AB1917" s="740">
        <v>16</v>
      </c>
      <c r="AC1917" s="741" t="str">
        <f>'DICTIONARY-5'!$A$11&amp;" 20"</f>
        <v>EN 558 szereg 20</v>
      </c>
      <c r="AD1917" s="741" t="str">
        <f>'DICTIONARY-5'!$A$18&amp;", "&amp;'DICTIONARY-5'!$A$14</f>
        <v>gaz, ścieki</v>
      </c>
      <c r="AE1917" s="742">
        <v>80</v>
      </c>
      <c r="AF1917" s="743">
        <v>9</v>
      </c>
      <c r="AG1917" s="741" t="str">
        <f>'DICTIONARY-5'!$A$23</f>
        <v>powłoka epoksydowa</v>
      </c>
    </row>
    <row r="1918" spans="1:33" x14ac:dyDescent="0.25">
      <c r="A1918" s="754" t="s">
        <v>1602</v>
      </c>
      <c r="B1918" s="869" t="s">
        <v>3930</v>
      </c>
      <c r="C1918" s="836">
        <v>547</v>
      </c>
      <c r="D1918" s="836"/>
      <c r="E1918" s="836"/>
      <c r="F1918" s="836"/>
      <c r="G1918" s="496" t="s">
        <v>7832</v>
      </c>
      <c r="H1918" s="797" t="str">
        <f>VLOOKUP(G1918,SETTINGS!$B$7:$D$97,2,0)</f>
        <v>CEREX 300</v>
      </c>
      <c r="I1918" s="796">
        <f>VLOOKUP(G1918,SETTINGS!$B$7:$D$97,3,0)</f>
        <v>0</v>
      </c>
      <c r="J1918" s="670" t="str">
        <f>IFERROR(IF(CURRENCY.FORMAT_1=0,CONCATENATE(TEXT(FIXED(ROUND((C1918/EXC.RATE_1),CURRENCY.FORMAT_1),CURRENCY.FORMAT_1,1),"# ##0;-# ##0"),",-"),FIXED(ROUND((C1918/EXC.RATE_1),CURRENCY.FORMAT_1),CURRENCY.FORMAT_1,0)),'DICTIONARY-5'!$A$2)</f>
        <v>547,-</v>
      </c>
      <c r="K1918" s="670" t="str">
        <f>IF(EXC.RATE_2=0,"",IFERROR(IF(CURRENCY.FORMAT_2=0,CONCATENATE(TEXT(FIXED(ROUND(IF(EXC.RATE.SWITCH=1,C1918/EXC.RATE_2,C1918*EXC.RATE_2),CURRENCY.FORMAT_2),CURRENCY.FORMAT_2,1),"# ##0;-# ##0"),",-"),FIXED(ROUND(IF(EXC.RATE.SWITCH=1,C1918/EXC.RATE_2,C1918*EXC.RATE_2),CURRENCY.FORMAT_2),CURRENCY.FORMAT_2,0)),'DICTIONARY-5'!$A$2))</f>
        <v/>
      </c>
      <c r="L1918" s="670" t="str">
        <f>IFERROR(IF(CURRENCY.FORMAT_1=0,CONCATENATE(TEXT(FIXED(ROUND((C1918*(1-I1918)*(1-ADD.DISCOUNT)*(1+MAT.SURCHARGE)/EXC.RATE_1),CURRENCY.FORMAT_1),CURRENCY.FORMAT_1,1),"# ##0;-# ##0"),",-"),FIXED(ROUND((C1918*(1-I1918)*(1-ADD.DISCOUNT)*(1+MAT.SURCHARGE)/EXC.RATE_1),CURRENCY.FORMAT_1),CURRENCY.FORMAT_1,0)),'DICTIONARY-5'!$A$2)</f>
        <v>568,-</v>
      </c>
      <c r="M1918" s="670" t="str">
        <f>IF(EXC.RATE_2=0,"",IFERROR(IF(CURRENCY.FORMAT_2=0,CONCATENATE(TEXT(FIXED(ROUND(IF(EXC.RATE.SWITCH=1,C1918*(1-I1918)*(1-ADD.DISCOUNT)*(1+MAT.SURCHARGE)/EXC.RATE_2,C1918*(1-I1918)*(1-ADD.DISCOUNT)*(1+MAT.SURCHARGE)*EXC.RATE_2),CURRENCY.FORMAT_2),CURRENCY.FORMAT_2,1),"# ##0;-# ##0"),",-"),FIXED(ROUND(IF(EXC.RATE.SWITCH=1,C1918*(1-I1918)*(1-ADD.DISCOUNT)*(1+MAT.SURCHARGE)/EXC.RATE_2,C1918*(1-I1918)*(1-ADD.DISCOUNT)*(1+MAT.SURCHARGE)*EXC.RATE_2),CURRENCY.FORMAT_2),CURRENCY.FORMAT_2,0)),'DICTIONARY-5'!$A$2))</f>
        <v/>
      </c>
      <c r="N1918" s="535">
        <v>6</v>
      </c>
      <c r="O1918" s="535"/>
      <c r="P1918" s="731" t="str">
        <f>'DICTIONARY-3'!$A$148</f>
        <v>CEREX 300-L</v>
      </c>
      <c r="Q1918" s="732" t="str">
        <f>'DICTIONARY-3'!$A$204</f>
        <v>Przepustnica kołnierzowa</v>
      </c>
      <c r="R1918" s="732" t="str">
        <f>CONCATENATE('DICTIONARY-3'!$A$148," ",'DICTIONARY-6'!$A$2," ",UPPER('DICTIONARY-5'!$A$18)," ",'DICTIONARY-2'!$A$2,"200"," ",'DICTIONARY-2'!$A$3,"10"," ","R20"," ",'DICTIONARY-5'!$A$37,"/",'DICTIONARY-5'!$A$45,", ",'DICTIONARY-4'!$A$3," ",'DICTIONARY-5'!$A$33)</f>
        <v>CEREX 300-L Przep. kołnierz. GAZ DN200 PN10 R20 CF8M/NBR, DR st. nierdz.</v>
      </c>
      <c r="S1918" s="733" t="str">
        <f>'DICTIONARY-4'!$A$3</f>
        <v>DR</v>
      </c>
      <c r="T1918" s="732" t="str">
        <f>'DICTIONARY-4'!$A$19</f>
        <v>Dźwignia ręczna</v>
      </c>
      <c r="U1918" s="734" t="s">
        <v>5750</v>
      </c>
      <c r="V1918" s="735">
        <v>10</v>
      </c>
      <c r="W1918" s="736"/>
      <c r="X1918" s="737"/>
      <c r="Y1918" s="738"/>
      <c r="Z1918" s="739"/>
      <c r="AA1918" s="739"/>
      <c r="AB1918" s="740">
        <v>10</v>
      </c>
      <c r="AC1918" s="741" t="str">
        <f>'DICTIONARY-5'!$A$11&amp;" 20"</f>
        <v>EN 558 szereg 20</v>
      </c>
      <c r="AD1918" s="741" t="str">
        <f>'DICTIONARY-5'!$A$18&amp;", "&amp;'DICTIONARY-5'!$A$14</f>
        <v>gaz, ścieki</v>
      </c>
      <c r="AE1918" s="742">
        <v>80</v>
      </c>
      <c r="AF1918" s="743">
        <v>14</v>
      </c>
      <c r="AG1918" s="741" t="str">
        <f>'DICTIONARY-5'!$A$23</f>
        <v>powłoka epoksydowa</v>
      </c>
    </row>
    <row r="1919" spans="1:33" x14ac:dyDescent="0.25">
      <c r="A1919" s="754" t="s">
        <v>1604</v>
      </c>
      <c r="B1919" s="869" t="s">
        <v>3854</v>
      </c>
      <c r="C1919" s="836">
        <v>595</v>
      </c>
      <c r="D1919" s="836"/>
      <c r="E1919" s="836"/>
      <c r="F1919" s="836"/>
      <c r="G1919" s="496" t="s">
        <v>7832</v>
      </c>
      <c r="H1919" s="797" t="str">
        <f>VLOOKUP(G1919,SETTINGS!$B$7:$D$97,2,0)</f>
        <v>CEREX 300</v>
      </c>
      <c r="I1919" s="796">
        <f>VLOOKUP(G1919,SETTINGS!$B$7:$D$97,3,0)</f>
        <v>0</v>
      </c>
      <c r="J1919" s="670" t="str">
        <f>IFERROR(IF(CURRENCY.FORMAT_1=0,CONCATENATE(TEXT(FIXED(ROUND((C1919/EXC.RATE_1),CURRENCY.FORMAT_1),CURRENCY.FORMAT_1,1),"# ##0;-# ##0"),",-"),FIXED(ROUND((C1919/EXC.RATE_1),CURRENCY.FORMAT_1),CURRENCY.FORMAT_1,0)),'DICTIONARY-5'!$A$2)</f>
        <v>595,-</v>
      </c>
      <c r="K1919" s="670" t="str">
        <f>IF(EXC.RATE_2=0,"",IFERROR(IF(CURRENCY.FORMAT_2=0,CONCATENATE(TEXT(FIXED(ROUND(IF(EXC.RATE.SWITCH=1,C1919/EXC.RATE_2,C1919*EXC.RATE_2),CURRENCY.FORMAT_2),CURRENCY.FORMAT_2,1),"# ##0;-# ##0"),",-"),FIXED(ROUND(IF(EXC.RATE.SWITCH=1,C1919/EXC.RATE_2,C1919*EXC.RATE_2),CURRENCY.FORMAT_2),CURRENCY.FORMAT_2,0)),'DICTIONARY-5'!$A$2))</f>
        <v/>
      </c>
      <c r="L1919" s="670" t="str">
        <f>IFERROR(IF(CURRENCY.FORMAT_1=0,CONCATENATE(TEXT(FIXED(ROUND((C1919*(1-I1919)*(1-ADD.DISCOUNT)*(1+MAT.SURCHARGE)/EXC.RATE_1),CURRENCY.FORMAT_1),CURRENCY.FORMAT_1,1),"# ##0;-# ##0"),",-"),FIXED(ROUND((C1919*(1-I1919)*(1-ADD.DISCOUNT)*(1+MAT.SURCHARGE)/EXC.RATE_1),CURRENCY.FORMAT_1),CURRENCY.FORMAT_1,0)),'DICTIONARY-5'!$A$2)</f>
        <v>618,-</v>
      </c>
      <c r="M1919" s="670" t="str">
        <f>IF(EXC.RATE_2=0,"",IFERROR(IF(CURRENCY.FORMAT_2=0,CONCATENATE(TEXT(FIXED(ROUND(IF(EXC.RATE.SWITCH=1,C1919*(1-I1919)*(1-ADD.DISCOUNT)*(1+MAT.SURCHARGE)/EXC.RATE_2,C1919*(1-I1919)*(1-ADD.DISCOUNT)*(1+MAT.SURCHARGE)*EXC.RATE_2),CURRENCY.FORMAT_2),CURRENCY.FORMAT_2,1),"# ##0;-# ##0"),",-"),FIXED(ROUND(IF(EXC.RATE.SWITCH=1,C1919*(1-I1919)*(1-ADD.DISCOUNT)*(1+MAT.SURCHARGE)/EXC.RATE_2,C1919*(1-I1919)*(1-ADD.DISCOUNT)*(1+MAT.SURCHARGE)*EXC.RATE_2),CURRENCY.FORMAT_2),CURRENCY.FORMAT_2,0)),'DICTIONARY-5'!$A$2))</f>
        <v/>
      </c>
      <c r="N1919" s="535">
        <v>6</v>
      </c>
      <c r="O1919" s="535"/>
      <c r="P1919" s="731" t="str">
        <f>'DICTIONARY-3'!$A$148</f>
        <v>CEREX 300-L</v>
      </c>
      <c r="Q1919" s="732" t="str">
        <f>'DICTIONARY-3'!$A$204</f>
        <v>Przepustnica kołnierzowa</v>
      </c>
      <c r="R1919" s="732" t="str">
        <f>CONCATENATE('DICTIONARY-3'!$A$148," ",'DICTIONARY-6'!$A$2," ",UPPER('DICTIONARY-5'!$A$18)," ",'DICTIONARY-2'!$A$2,"200"," ",'DICTIONARY-2'!$A$3,"16"," ","R20"," ",'DICTIONARY-5'!$A$37,"/",'DICTIONARY-5'!$A$45,", ",'DICTIONARY-4'!$A$3," ",'DICTIONARY-5'!$A$33)</f>
        <v>CEREX 300-L Przep. kołnierz. GAZ DN200 PN16 R20 CF8M/NBR, DR st. nierdz.</v>
      </c>
      <c r="S1919" s="733" t="str">
        <f>'DICTIONARY-4'!$A$3</f>
        <v>DR</v>
      </c>
      <c r="T1919" s="732" t="str">
        <f>'DICTIONARY-4'!$A$19</f>
        <v>Dźwignia ręczna</v>
      </c>
      <c r="U1919" s="734" t="s">
        <v>5750</v>
      </c>
      <c r="V1919" s="735">
        <v>16</v>
      </c>
      <c r="W1919" s="736"/>
      <c r="X1919" s="737"/>
      <c r="Y1919" s="738"/>
      <c r="Z1919" s="739"/>
      <c r="AA1919" s="739"/>
      <c r="AB1919" s="740">
        <v>16</v>
      </c>
      <c r="AC1919" s="741" t="str">
        <f>'DICTIONARY-5'!$A$11&amp;" 20"</f>
        <v>EN 558 szereg 20</v>
      </c>
      <c r="AD1919" s="741" t="str">
        <f>'DICTIONARY-5'!$A$18&amp;", "&amp;'DICTIONARY-5'!$A$14</f>
        <v>gaz, ścieki</v>
      </c>
      <c r="AE1919" s="742">
        <v>80</v>
      </c>
      <c r="AF1919" s="743">
        <v>15</v>
      </c>
      <c r="AG1919" s="741" t="str">
        <f>'DICTIONARY-5'!$A$23</f>
        <v>powłoka epoksydowa</v>
      </c>
    </row>
    <row r="1920" spans="1:33" x14ac:dyDescent="0.25">
      <c r="A1920" s="866" t="s">
        <v>1606</v>
      </c>
      <c r="B1920" s="866" t="s">
        <v>3961</v>
      </c>
      <c r="C1920" s="836">
        <v>613</v>
      </c>
      <c r="D1920" s="836"/>
      <c r="E1920" s="836"/>
      <c r="F1920" s="836"/>
      <c r="G1920" s="496" t="s">
        <v>7832</v>
      </c>
      <c r="H1920" s="797" t="str">
        <f>VLOOKUP(G1920,SETTINGS!$B$7:$D$97,2,0)</f>
        <v>CEREX 300</v>
      </c>
      <c r="I1920" s="796">
        <f>VLOOKUP(G1920,SETTINGS!$B$7:$D$97,3,0)</f>
        <v>0</v>
      </c>
      <c r="J1920" s="670" t="str">
        <f>IFERROR(IF(CURRENCY.FORMAT_1=0,CONCATENATE(TEXT(FIXED(ROUND((C1920/EXC.RATE_1),CURRENCY.FORMAT_1),CURRENCY.FORMAT_1,1),"# ##0;-# ##0"),",-"),FIXED(ROUND((C1920/EXC.RATE_1),CURRENCY.FORMAT_1),CURRENCY.FORMAT_1,0)),'DICTIONARY-5'!$A$2)</f>
        <v>613,-</v>
      </c>
      <c r="K1920" s="670" t="str">
        <f>IF(EXC.RATE_2=0,"",IFERROR(IF(CURRENCY.FORMAT_2=0,CONCATENATE(TEXT(FIXED(ROUND(IF(EXC.RATE.SWITCH=1,C1920/EXC.RATE_2,C1920*EXC.RATE_2),CURRENCY.FORMAT_2),CURRENCY.FORMAT_2,1),"# ##0;-# ##0"),",-"),FIXED(ROUND(IF(EXC.RATE.SWITCH=1,C1920/EXC.RATE_2,C1920*EXC.RATE_2),CURRENCY.FORMAT_2),CURRENCY.FORMAT_2,0)),'DICTIONARY-5'!$A$2))</f>
        <v/>
      </c>
      <c r="L1920" s="670" t="str">
        <f>IFERROR(IF(CURRENCY.FORMAT_1=0,CONCATENATE(TEXT(FIXED(ROUND((C1920*(1-I1920)*(1-ADD.DISCOUNT)*(1+MAT.SURCHARGE)/EXC.RATE_1),CURRENCY.FORMAT_1),CURRENCY.FORMAT_1,1),"# ##0;-# ##0"),",-"),FIXED(ROUND((C1920*(1-I1920)*(1-ADD.DISCOUNT)*(1+MAT.SURCHARGE)/EXC.RATE_1),CURRENCY.FORMAT_1),CURRENCY.FORMAT_1,0)),'DICTIONARY-5'!$A$2)</f>
        <v>637,-</v>
      </c>
      <c r="M1920" s="670" t="str">
        <f>IF(EXC.RATE_2=0,"",IFERROR(IF(CURRENCY.FORMAT_2=0,CONCATENATE(TEXT(FIXED(ROUND(IF(EXC.RATE.SWITCH=1,C1920*(1-I1920)*(1-ADD.DISCOUNT)*(1+MAT.SURCHARGE)/EXC.RATE_2,C1920*(1-I1920)*(1-ADD.DISCOUNT)*(1+MAT.SURCHARGE)*EXC.RATE_2),CURRENCY.FORMAT_2),CURRENCY.FORMAT_2,1),"# ##0;-# ##0"),",-"),FIXED(ROUND(IF(EXC.RATE.SWITCH=1,C1920*(1-I1920)*(1-ADD.DISCOUNT)*(1+MAT.SURCHARGE)/EXC.RATE_2,C1920*(1-I1920)*(1-ADD.DISCOUNT)*(1+MAT.SURCHARGE)*EXC.RATE_2),CURRENCY.FORMAT_2),CURRENCY.FORMAT_2,0)),'DICTIONARY-5'!$A$2))</f>
        <v/>
      </c>
      <c r="N1920" s="541">
        <v>6</v>
      </c>
      <c r="O1920" s="541"/>
      <c r="P1920" s="731" t="str">
        <f>'DICTIONARY-3'!$A$148</f>
        <v>CEREX 300-L</v>
      </c>
      <c r="Q1920" s="731" t="str">
        <f>'DICTIONARY-3'!$A$204</f>
        <v>Przepustnica kołnierzowa</v>
      </c>
      <c r="R1920" s="732" t="str">
        <f>CONCATENATE('DICTIONARY-3'!$A$148," ",'DICTIONARY-6'!$A$2," ",'DICTIONARY-2'!$A$2,"250"," ",'DICTIONARY-2'!$A$3,"10"," ",'DICTIONARY-2'!$A$10,"6",'DICTIONARY-2'!$A$20," ","R20"," ",'DICTIONARY-5'!$A$51,"/",'DICTIONARY-5'!$A$44,", ",'DICTIONARY-4'!$A$3," ",'DICTIONARY-5'!$A$48)</f>
        <v>CEREX 300-L Przep. kołnierz. DN250 PN10 PS6bar R20 GGG/EPDM, DR żeliwo</v>
      </c>
      <c r="S1920" s="733" t="str">
        <f>'DICTIONARY-4'!$A$3</f>
        <v>DR</v>
      </c>
      <c r="T1920" s="732" t="str">
        <f>'DICTIONARY-4'!$A$19</f>
        <v>Dźwignia ręczna</v>
      </c>
      <c r="U1920" s="734" t="s">
        <v>5751</v>
      </c>
      <c r="V1920" s="735">
        <v>10</v>
      </c>
      <c r="W1920" s="736"/>
      <c r="X1920" s="737"/>
      <c r="Y1920" s="738"/>
      <c r="Z1920" s="739"/>
      <c r="AA1920" s="739"/>
      <c r="AB1920" s="740">
        <v>6</v>
      </c>
      <c r="AC1920" s="741" t="str">
        <f>'DICTIONARY-5'!$A$11&amp;" 20"</f>
        <v>EN 558 szereg 20</v>
      </c>
      <c r="AD1920" s="741" t="str">
        <f>'DICTIONARY-5'!$A$13</f>
        <v>woda pitna</v>
      </c>
      <c r="AE1920" s="742">
        <v>80</v>
      </c>
      <c r="AF1920" s="743">
        <v>32</v>
      </c>
      <c r="AG1920" s="741" t="str">
        <f>'DICTIONARY-5'!$A$23</f>
        <v>powłoka epoksydowa</v>
      </c>
    </row>
    <row r="1921" spans="1:33" x14ac:dyDescent="0.25">
      <c r="A1921" s="866" t="s">
        <v>1608</v>
      </c>
      <c r="B1921" s="866" t="s">
        <v>3965</v>
      </c>
      <c r="C1921" s="836">
        <v>780</v>
      </c>
      <c r="D1921" s="836"/>
      <c r="E1921" s="836"/>
      <c r="F1921" s="836"/>
      <c r="G1921" s="496" t="s">
        <v>7832</v>
      </c>
      <c r="H1921" s="797" t="str">
        <f>VLOOKUP(G1921,SETTINGS!$B$7:$D$97,2,0)</f>
        <v>CEREX 300</v>
      </c>
      <c r="I1921" s="796">
        <f>VLOOKUP(G1921,SETTINGS!$B$7:$D$97,3,0)</f>
        <v>0</v>
      </c>
      <c r="J1921" s="670" t="str">
        <f>IFERROR(IF(CURRENCY.FORMAT_1=0,CONCATENATE(TEXT(FIXED(ROUND((C1921/EXC.RATE_1),CURRENCY.FORMAT_1),CURRENCY.FORMAT_1,1),"# ##0;-# ##0"),",-"),FIXED(ROUND((C1921/EXC.RATE_1),CURRENCY.FORMAT_1),CURRENCY.FORMAT_1,0)),'DICTIONARY-5'!$A$2)</f>
        <v>780,-</v>
      </c>
      <c r="K1921" s="670" t="str">
        <f>IF(EXC.RATE_2=0,"",IFERROR(IF(CURRENCY.FORMAT_2=0,CONCATENATE(TEXT(FIXED(ROUND(IF(EXC.RATE.SWITCH=1,C1921/EXC.RATE_2,C1921*EXC.RATE_2),CURRENCY.FORMAT_2),CURRENCY.FORMAT_2,1),"# ##0;-# ##0"),",-"),FIXED(ROUND(IF(EXC.RATE.SWITCH=1,C1921/EXC.RATE_2,C1921*EXC.RATE_2),CURRENCY.FORMAT_2),CURRENCY.FORMAT_2,0)),'DICTIONARY-5'!$A$2))</f>
        <v/>
      </c>
      <c r="L1921" s="670" t="str">
        <f>IFERROR(IF(CURRENCY.FORMAT_1=0,CONCATENATE(TEXT(FIXED(ROUND((C1921*(1-I1921)*(1-ADD.DISCOUNT)*(1+MAT.SURCHARGE)/EXC.RATE_1),CURRENCY.FORMAT_1),CURRENCY.FORMAT_1,1),"# ##0;-# ##0"),",-"),FIXED(ROUND((C1921*(1-I1921)*(1-ADD.DISCOUNT)*(1+MAT.SURCHARGE)/EXC.RATE_1),CURRENCY.FORMAT_1),CURRENCY.FORMAT_1,0)),'DICTIONARY-5'!$A$2)</f>
        <v>810,-</v>
      </c>
      <c r="M1921" s="670" t="str">
        <f>IF(EXC.RATE_2=0,"",IFERROR(IF(CURRENCY.FORMAT_2=0,CONCATENATE(TEXT(FIXED(ROUND(IF(EXC.RATE.SWITCH=1,C1921*(1-I1921)*(1-ADD.DISCOUNT)*(1+MAT.SURCHARGE)/EXC.RATE_2,C1921*(1-I1921)*(1-ADD.DISCOUNT)*(1+MAT.SURCHARGE)*EXC.RATE_2),CURRENCY.FORMAT_2),CURRENCY.FORMAT_2,1),"# ##0;-# ##0"),",-"),FIXED(ROUND(IF(EXC.RATE.SWITCH=1,C1921*(1-I1921)*(1-ADD.DISCOUNT)*(1+MAT.SURCHARGE)/EXC.RATE_2,C1921*(1-I1921)*(1-ADD.DISCOUNT)*(1+MAT.SURCHARGE)*EXC.RATE_2),CURRENCY.FORMAT_2),CURRENCY.FORMAT_2,0)),'DICTIONARY-5'!$A$2))</f>
        <v/>
      </c>
      <c r="N1921" s="541">
        <v>6</v>
      </c>
      <c r="O1921" s="541"/>
      <c r="P1921" s="731" t="str">
        <f>'DICTIONARY-3'!$A$148</f>
        <v>CEREX 300-L</v>
      </c>
      <c r="Q1921" s="731" t="str">
        <f>'DICTIONARY-3'!$A$204</f>
        <v>Przepustnica kołnierzowa</v>
      </c>
      <c r="R1921" s="732" t="str">
        <f>CONCATENATE('DICTIONARY-3'!$A$148," ",'DICTIONARY-6'!$A$2," ",'DICTIONARY-2'!$A$2,"300"," ",'DICTIONARY-2'!$A$3,"10"," ",'DICTIONARY-2'!$A$10,"6",'DICTIONARY-2'!$A$20," ","R20"," ",'DICTIONARY-5'!$A$51,"/",'DICTIONARY-5'!$A$44,", ",'DICTIONARY-4'!$A$3," ",'DICTIONARY-5'!$A$48)</f>
        <v>CEREX 300-L Przep. kołnierz. DN300 PN10 PS6bar R20 GGG/EPDM, DR żeliwo</v>
      </c>
      <c r="S1921" s="733" t="str">
        <f>'DICTIONARY-4'!$A$3</f>
        <v>DR</v>
      </c>
      <c r="T1921" s="732" t="str">
        <f>'DICTIONARY-4'!$A$19</f>
        <v>Dźwignia ręczna</v>
      </c>
      <c r="U1921" s="734" t="s">
        <v>5752</v>
      </c>
      <c r="V1921" s="735">
        <v>10</v>
      </c>
      <c r="W1921" s="736"/>
      <c r="X1921" s="737"/>
      <c r="Y1921" s="738"/>
      <c r="Z1921" s="739"/>
      <c r="AA1921" s="739"/>
      <c r="AB1921" s="740">
        <v>6</v>
      </c>
      <c r="AC1921" s="741" t="str">
        <f>'DICTIONARY-5'!$A$11&amp;" 20"</f>
        <v>EN 558 szereg 20</v>
      </c>
      <c r="AD1921" s="741" t="str">
        <f>'DICTIONARY-5'!$A$13</f>
        <v>woda pitna</v>
      </c>
      <c r="AE1921" s="742">
        <v>80</v>
      </c>
      <c r="AF1921" s="743">
        <v>44</v>
      </c>
      <c r="AG1921" s="741" t="str">
        <f>'DICTIONARY-5'!$A$23</f>
        <v>powłoka epoksydowa</v>
      </c>
    </row>
    <row r="1922" spans="1:33" x14ac:dyDescent="0.25">
      <c r="A1922" s="866" t="s">
        <v>1607</v>
      </c>
      <c r="B1922" s="866" t="s">
        <v>3937</v>
      </c>
      <c r="C1922" s="836">
        <v>759</v>
      </c>
      <c r="D1922" s="836"/>
      <c r="E1922" s="836"/>
      <c r="F1922" s="836"/>
      <c r="G1922" s="496" t="s">
        <v>7832</v>
      </c>
      <c r="H1922" s="797" t="str">
        <f>VLOOKUP(G1922,SETTINGS!$B$7:$D$97,2,0)</f>
        <v>CEREX 300</v>
      </c>
      <c r="I1922" s="796">
        <f>VLOOKUP(G1922,SETTINGS!$B$7:$D$97,3,0)</f>
        <v>0</v>
      </c>
      <c r="J1922" s="670" t="str">
        <f>IFERROR(IF(CURRENCY.FORMAT_1=0,CONCATENATE(TEXT(FIXED(ROUND((C1922/EXC.RATE_1),CURRENCY.FORMAT_1),CURRENCY.FORMAT_1,1),"# ##0;-# ##0"),",-"),FIXED(ROUND((C1922/EXC.RATE_1),CURRENCY.FORMAT_1),CURRENCY.FORMAT_1,0)),'DICTIONARY-5'!$A$2)</f>
        <v>759,-</v>
      </c>
      <c r="K1922" s="670" t="str">
        <f>IF(EXC.RATE_2=0,"",IFERROR(IF(CURRENCY.FORMAT_2=0,CONCATENATE(TEXT(FIXED(ROUND(IF(EXC.RATE.SWITCH=1,C1922/EXC.RATE_2,C1922*EXC.RATE_2),CURRENCY.FORMAT_2),CURRENCY.FORMAT_2,1),"# ##0;-# ##0"),",-"),FIXED(ROUND(IF(EXC.RATE.SWITCH=1,C1922/EXC.RATE_2,C1922*EXC.RATE_2),CURRENCY.FORMAT_2),CURRENCY.FORMAT_2,0)),'DICTIONARY-5'!$A$2))</f>
        <v/>
      </c>
      <c r="L1922" s="670" t="str">
        <f>IFERROR(IF(CURRENCY.FORMAT_1=0,CONCATENATE(TEXT(FIXED(ROUND((C1922*(1-I1922)*(1-ADD.DISCOUNT)*(1+MAT.SURCHARGE)/EXC.RATE_1),CURRENCY.FORMAT_1),CURRENCY.FORMAT_1,1),"# ##0;-# ##0"),",-"),FIXED(ROUND((C1922*(1-I1922)*(1-ADD.DISCOUNT)*(1+MAT.SURCHARGE)/EXC.RATE_1),CURRENCY.FORMAT_1),CURRENCY.FORMAT_1,0)),'DICTIONARY-5'!$A$2)</f>
        <v>789,-</v>
      </c>
      <c r="M1922" s="670" t="str">
        <f>IF(EXC.RATE_2=0,"",IFERROR(IF(CURRENCY.FORMAT_2=0,CONCATENATE(TEXT(FIXED(ROUND(IF(EXC.RATE.SWITCH=1,C1922*(1-I1922)*(1-ADD.DISCOUNT)*(1+MAT.SURCHARGE)/EXC.RATE_2,C1922*(1-I1922)*(1-ADD.DISCOUNT)*(1+MAT.SURCHARGE)*EXC.RATE_2),CURRENCY.FORMAT_2),CURRENCY.FORMAT_2,1),"# ##0;-# ##0"),",-"),FIXED(ROUND(IF(EXC.RATE.SWITCH=1,C1922*(1-I1922)*(1-ADD.DISCOUNT)*(1+MAT.SURCHARGE)/EXC.RATE_2,C1922*(1-I1922)*(1-ADD.DISCOUNT)*(1+MAT.SURCHARGE)*EXC.RATE_2),CURRENCY.FORMAT_2),CURRENCY.FORMAT_2,0)),'DICTIONARY-5'!$A$2))</f>
        <v/>
      </c>
      <c r="N1922" s="541">
        <v>6</v>
      </c>
      <c r="O1922" s="541"/>
      <c r="P1922" s="731" t="str">
        <f>'DICTIONARY-3'!$A$148</f>
        <v>CEREX 300-L</v>
      </c>
      <c r="Q1922" s="731" t="str">
        <f>'DICTIONARY-3'!$A$204</f>
        <v>Przepustnica kołnierzowa</v>
      </c>
      <c r="R1922" s="732" t="str">
        <f>CONCATENATE('DICTIONARY-3'!$A$148," ",'DICTIONARY-6'!$A$2," ",'DICTIONARY-2'!$A$2,"250"," ",'DICTIONARY-2'!$A$3,"10"," ",'DICTIONARY-2'!$A$10,"6",'DICTIONARY-2'!$A$20," ","R20"," ",'DICTIONARY-5'!$A$37,"/",'DICTIONARY-5'!$A$44,", ",'DICTIONARY-4'!$A$3," ",'DICTIONARY-5'!$A$48)</f>
        <v>CEREX 300-L Przep. kołnierz. DN250 PN10 PS6bar R20 CF8M/EPDM, DR żeliwo</v>
      </c>
      <c r="S1922" s="733" t="str">
        <f>'DICTIONARY-4'!$A$3</f>
        <v>DR</v>
      </c>
      <c r="T1922" s="732" t="str">
        <f>'DICTIONARY-4'!$A$19</f>
        <v>Dźwignia ręczna</v>
      </c>
      <c r="U1922" s="734" t="s">
        <v>5751</v>
      </c>
      <c r="V1922" s="735">
        <v>10</v>
      </c>
      <c r="W1922" s="736"/>
      <c r="X1922" s="737"/>
      <c r="Y1922" s="738"/>
      <c r="Z1922" s="739"/>
      <c r="AA1922" s="739"/>
      <c r="AB1922" s="740">
        <v>6</v>
      </c>
      <c r="AC1922" s="741" t="str">
        <f>'DICTIONARY-5'!$A$11&amp;" 20"</f>
        <v>EN 558 szereg 20</v>
      </c>
      <c r="AD1922" s="741" t="str">
        <f>'DICTIONARY-5'!$A$13</f>
        <v>woda pitna</v>
      </c>
      <c r="AE1922" s="742">
        <v>110</v>
      </c>
      <c r="AF1922" s="743">
        <v>34</v>
      </c>
      <c r="AG1922" s="741" t="str">
        <f>'DICTIONARY-5'!$A$23</f>
        <v>powłoka epoksydowa</v>
      </c>
    </row>
    <row r="1923" spans="1:33" x14ac:dyDescent="0.25">
      <c r="A1923" s="866" t="s">
        <v>1609</v>
      </c>
      <c r="B1923" s="866" t="s">
        <v>3941</v>
      </c>
      <c r="C1923" s="836">
        <v>995</v>
      </c>
      <c r="D1923" s="836"/>
      <c r="E1923" s="836"/>
      <c r="F1923" s="836"/>
      <c r="G1923" s="496" t="s">
        <v>7832</v>
      </c>
      <c r="H1923" s="797" t="str">
        <f>VLOOKUP(G1923,SETTINGS!$B$7:$D$97,2,0)</f>
        <v>CEREX 300</v>
      </c>
      <c r="I1923" s="796">
        <f>VLOOKUP(G1923,SETTINGS!$B$7:$D$97,3,0)</f>
        <v>0</v>
      </c>
      <c r="J1923" s="670" t="str">
        <f>IFERROR(IF(CURRENCY.FORMAT_1=0,CONCATENATE(TEXT(FIXED(ROUND((C1923/EXC.RATE_1),CURRENCY.FORMAT_1),CURRENCY.FORMAT_1,1),"# ##0;-# ##0"),",-"),FIXED(ROUND((C1923/EXC.RATE_1),CURRENCY.FORMAT_1),CURRENCY.FORMAT_1,0)),'DICTIONARY-5'!$A$2)</f>
        <v>995,-</v>
      </c>
      <c r="K1923" s="670" t="str">
        <f>IF(EXC.RATE_2=0,"",IFERROR(IF(CURRENCY.FORMAT_2=0,CONCATENATE(TEXT(FIXED(ROUND(IF(EXC.RATE.SWITCH=1,C1923/EXC.RATE_2,C1923*EXC.RATE_2),CURRENCY.FORMAT_2),CURRENCY.FORMAT_2,1),"# ##0;-# ##0"),",-"),FIXED(ROUND(IF(EXC.RATE.SWITCH=1,C1923/EXC.RATE_2,C1923*EXC.RATE_2),CURRENCY.FORMAT_2),CURRENCY.FORMAT_2,0)),'DICTIONARY-5'!$A$2))</f>
        <v/>
      </c>
      <c r="L1923" s="670" t="str">
        <f>IFERROR(IF(CURRENCY.FORMAT_1=0,CONCATENATE(TEXT(FIXED(ROUND((C1923*(1-I1923)*(1-ADD.DISCOUNT)*(1+MAT.SURCHARGE)/EXC.RATE_1),CURRENCY.FORMAT_1),CURRENCY.FORMAT_1,1),"# ##0;-# ##0"),",-"),FIXED(ROUND((C1923*(1-I1923)*(1-ADD.DISCOUNT)*(1+MAT.SURCHARGE)/EXC.RATE_1),CURRENCY.FORMAT_1),CURRENCY.FORMAT_1,0)),'DICTIONARY-5'!$A$2)</f>
        <v>1 034,-</v>
      </c>
      <c r="M1923" s="670" t="str">
        <f>IF(EXC.RATE_2=0,"",IFERROR(IF(CURRENCY.FORMAT_2=0,CONCATENATE(TEXT(FIXED(ROUND(IF(EXC.RATE.SWITCH=1,C1923*(1-I1923)*(1-ADD.DISCOUNT)*(1+MAT.SURCHARGE)/EXC.RATE_2,C1923*(1-I1923)*(1-ADD.DISCOUNT)*(1+MAT.SURCHARGE)*EXC.RATE_2),CURRENCY.FORMAT_2),CURRENCY.FORMAT_2,1),"# ##0;-# ##0"),",-"),FIXED(ROUND(IF(EXC.RATE.SWITCH=1,C1923*(1-I1923)*(1-ADD.DISCOUNT)*(1+MAT.SURCHARGE)/EXC.RATE_2,C1923*(1-I1923)*(1-ADD.DISCOUNT)*(1+MAT.SURCHARGE)*EXC.RATE_2),CURRENCY.FORMAT_2),CURRENCY.FORMAT_2,0)),'DICTIONARY-5'!$A$2))</f>
        <v/>
      </c>
      <c r="N1923" s="541">
        <v>6</v>
      </c>
      <c r="O1923" s="541"/>
      <c r="P1923" s="731" t="str">
        <f>'DICTIONARY-3'!$A$148</f>
        <v>CEREX 300-L</v>
      </c>
      <c r="Q1923" s="731" t="str">
        <f>'DICTIONARY-3'!$A$204</f>
        <v>Przepustnica kołnierzowa</v>
      </c>
      <c r="R1923" s="732" t="str">
        <f>CONCATENATE('DICTIONARY-3'!$A$148," ",'DICTIONARY-6'!$A$2," ",'DICTIONARY-2'!$A$2,"300"," ",'DICTIONARY-2'!$A$3,"10"," ",'DICTIONARY-2'!$A$10,"6",'DICTIONARY-2'!$A$20," ","R20"," ",'DICTIONARY-5'!$A$37,"/",'DICTIONARY-5'!$A$44,", ",'DICTIONARY-4'!$A$3," ",'DICTIONARY-5'!$A$48)</f>
        <v>CEREX 300-L Przep. kołnierz. DN300 PN10 PS6bar R20 CF8M/EPDM, DR żeliwo</v>
      </c>
      <c r="S1923" s="733" t="str">
        <f>'DICTIONARY-4'!$A$3</f>
        <v>DR</v>
      </c>
      <c r="T1923" s="732" t="str">
        <f>'DICTIONARY-4'!$A$19</f>
        <v>Dźwignia ręczna</v>
      </c>
      <c r="U1923" s="734" t="s">
        <v>5752</v>
      </c>
      <c r="V1923" s="735">
        <v>10</v>
      </c>
      <c r="W1923" s="736"/>
      <c r="X1923" s="737"/>
      <c r="Y1923" s="738"/>
      <c r="Z1923" s="739"/>
      <c r="AA1923" s="739"/>
      <c r="AB1923" s="740">
        <v>6</v>
      </c>
      <c r="AC1923" s="741" t="str">
        <f>'DICTIONARY-5'!$A$11&amp;" 20"</f>
        <v>EN 558 szereg 20</v>
      </c>
      <c r="AD1923" s="741" t="str">
        <f>'DICTIONARY-5'!$A$13</f>
        <v>woda pitna</v>
      </c>
      <c r="AE1923" s="742">
        <v>110</v>
      </c>
      <c r="AF1923" s="743">
        <v>45.5</v>
      </c>
      <c r="AG1923" s="741" t="str">
        <f>'DICTIONARY-5'!$A$23</f>
        <v>powłoka epoksydowa</v>
      </c>
    </row>
    <row r="1924" spans="1:33" x14ac:dyDescent="0.25">
      <c r="A1924" s="869" t="s">
        <v>1610</v>
      </c>
      <c r="B1924" s="869" t="s">
        <v>3962</v>
      </c>
      <c r="C1924" s="836">
        <v>625</v>
      </c>
      <c r="D1924" s="836"/>
      <c r="E1924" s="836"/>
      <c r="F1924" s="836"/>
      <c r="G1924" s="496" t="s">
        <v>7832</v>
      </c>
      <c r="H1924" s="797" t="str">
        <f>VLOOKUP(G1924,SETTINGS!$B$7:$D$97,2,0)</f>
        <v>CEREX 300</v>
      </c>
      <c r="I1924" s="796">
        <f>VLOOKUP(G1924,SETTINGS!$B$7:$D$97,3,0)</f>
        <v>0</v>
      </c>
      <c r="J1924" s="670" t="str">
        <f>IFERROR(IF(CURRENCY.FORMAT_1=0,CONCATENATE(TEXT(FIXED(ROUND((C1924/EXC.RATE_1),CURRENCY.FORMAT_1),CURRENCY.FORMAT_1,1),"# ##0;-# ##0"),",-"),FIXED(ROUND((C1924/EXC.RATE_1),CURRENCY.FORMAT_1),CURRENCY.FORMAT_1,0)),'DICTIONARY-5'!$A$2)</f>
        <v>625,-</v>
      </c>
      <c r="K1924" s="670" t="str">
        <f>IF(EXC.RATE_2=0,"",IFERROR(IF(CURRENCY.FORMAT_2=0,CONCATENATE(TEXT(FIXED(ROUND(IF(EXC.RATE.SWITCH=1,C1924/EXC.RATE_2,C1924*EXC.RATE_2),CURRENCY.FORMAT_2),CURRENCY.FORMAT_2,1),"# ##0;-# ##0"),",-"),FIXED(ROUND(IF(EXC.RATE.SWITCH=1,C1924/EXC.RATE_2,C1924*EXC.RATE_2),CURRENCY.FORMAT_2),CURRENCY.FORMAT_2,0)),'DICTIONARY-5'!$A$2))</f>
        <v/>
      </c>
      <c r="L1924" s="670" t="str">
        <f>IFERROR(IF(CURRENCY.FORMAT_1=0,CONCATENATE(TEXT(FIXED(ROUND((C1924*(1-I1924)*(1-ADD.DISCOUNT)*(1+MAT.SURCHARGE)/EXC.RATE_1),CURRENCY.FORMAT_1),CURRENCY.FORMAT_1,1),"# ##0;-# ##0"),",-"),FIXED(ROUND((C1924*(1-I1924)*(1-ADD.DISCOUNT)*(1+MAT.SURCHARGE)/EXC.RATE_1),CURRENCY.FORMAT_1),CURRENCY.FORMAT_1,0)),'DICTIONARY-5'!$A$2)</f>
        <v>649,-</v>
      </c>
      <c r="M1924" s="670" t="str">
        <f>IF(EXC.RATE_2=0,"",IFERROR(IF(CURRENCY.FORMAT_2=0,CONCATENATE(TEXT(FIXED(ROUND(IF(EXC.RATE.SWITCH=1,C1924*(1-I1924)*(1-ADD.DISCOUNT)*(1+MAT.SURCHARGE)/EXC.RATE_2,C1924*(1-I1924)*(1-ADD.DISCOUNT)*(1+MAT.SURCHARGE)*EXC.RATE_2),CURRENCY.FORMAT_2),CURRENCY.FORMAT_2,1),"# ##0;-# ##0"),",-"),FIXED(ROUND(IF(EXC.RATE.SWITCH=1,C1924*(1-I1924)*(1-ADD.DISCOUNT)*(1+MAT.SURCHARGE)/EXC.RATE_2,C1924*(1-I1924)*(1-ADD.DISCOUNT)*(1+MAT.SURCHARGE)*EXC.RATE_2),CURRENCY.FORMAT_2),CURRENCY.FORMAT_2,0)),'DICTIONARY-5'!$A$2))</f>
        <v/>
      </c>
      <c r="N1924" s="535">
        <v>6</v>
      </c>
      <c r="O1924" s="535"/>
      <c r="P1924" s="731" t="str">
        <f>'DICTIONARY-3'!$A$148</f>
        <v>CEREX 300-L</v>
      </c>
      <c r="Q1924" s="732" t="str">
        <f>'DICTIONARY-3'!$A$204</f>
        <v>Przepustnica kołnierzowa</v>
      </c>
      <c r="R1924" s="732" t="str">
        <f>CONCATENATE('DICTIONARY-3'!$A$148," ",'DICTIONARY-6'!$A$2," ",UPPER('DICTIONARY-5'!$A$18)," ",'DICTIONARY-2'!$A$2,"250"," ",'DICTIONARY-2'!$A$3,"10"," ",'DICTIONARY-2'!$A$10,"6",'DICTIONARY-2'!$A$20," ","R20"," ",'DICTIONARY-5'!$A$51,"/",'DICTIONARY-5'!$A$45,", ",'DICTIONARY-4'!$A$3," ",'DICTIONARY-5'!$A$48)</f>
        <v>CEREX 300-L Przep. kołnierz. GAZ DN250 PN10 PS6bar R20 GGG/NBR, DR żeliwo</v>
      </c>
      <c r="S1924" s="733" t="str">
        <f>'DICTIONARY-4'!$A$3</f>
        <v>DR</v>
      </c>
      <c r="T1924" s="732" t="str">
        <f>'DICTIONARY-4'!$A$19</f>
        <v>Dźwignia ręczna</v>
      </c>
      <c r="U1924" s="734" t="s">
        <v>5751</v>
      </c>
      <c r="V1924" s="735">
        <v>10</v>
      </c>
      <c r="W1924" s="736"/>
      <c r="X1924" s="737"/>
      <c r="Y1924" s="738"/>
      <c r="Z1924" s="739"/>
      <c r="AA1924" s="739"/>
      <c r="AB1924" s="740">
        <v>6</v>
      </c>
      <c r="AC1924" s="741" t="str">
        <f>'DICTIONARY-5'!$A$11&amp;" 20"</f>
        <v>EN 558 szereg 20</v>
      </c>
      <c r="AD1924" s="741" t="str">
        <f>'DICTIONARY-5'!$A$18&amp;", "&amp;'DICTIONARY-5'!$A$14</f>
        <v>gaz, ścieki</v>
      </c>
      <c r="AE1924" s="742">
        <v>80</v>
      </c>
      <c r="AF1924" s="743">
        <v>32</v>
      </c>
      <c r="AG1924" s="741" t="str">
        <f>'DICTIONARY-5'!$A$23</f>
        <v>powłoka epoksydowa</v>
      </c>
    </row>
    <row r="1925" spans="1:33" x14ac:dyDescent="0.25">
      <c r="A1925" s="869" t="s">
        <v>1612</v>
      </c>
      <c r="B1925" s="869" t="s">
        <v>3966</v>
      </c>
      <c r="C1925" s="836">
        <v>791</v>
      </c>
      <c r="D1925" s="836"/>
      <c r="E1925" s="836"/>
      <c r="F1925" s="836"/>
      <c r="G1925" s="496" t="s">
        <v>7832</v>
      </c>
      <c r="H1925" s="797" t="str">
        <f>VLOOKUP(G1925,SETTINGS!$B$7:$D$97,2,0)</f>
        <v>CEREX 300</v>
      </c>
      <c r="I1925" s="796">
        <f>VLOOKUP(G1925,SETTINGS!$B$7:$D$97,3,0)</f>
        <v>0</v>
      </c>
      <c r="J1925" s="670" t="str">
        <f>IFERROR(IF(CURRENCY.FORMAT_1=0,CONCATENATE(TEXT(FIXED(ROUND((C1925/EXC.RATE_1),CURRENCY.FORMAT_1),CURRENCY.FORMAT_1,1),"# ##0;-# ##0"),",-"),FIXED(ROUND((C1925/EXC.RATE_1),CURRENCY.FORMAT_1),CURRENCY.FORMAT_1,0)),'DICTIONARY-5'!$A$2)</f>
        <v>791,-</v>
      </c>
      <c r="K1925" s="670" t="str">
        <f>IF(EXC.RATE_2=0,"",IFERROR(IF(CURRENCY.FORMAT_2=0,CONCATENATE(TEXT(FIXED(ROUND(IF(EXC.RATE.SWITCH=1,C1925/EXC.RATE_2,C1925*EXC.RATE_2),CURRENCY.FORMAT_2),CURRENCY.FORMAT_2,1),"# ##0;-# ##0"),",-"),FIXED(ROUND(IF(EXC.RATE.SWITCH=1,C1925/EXC.RATE_2,C1925*EXC.RATE_2),CURRENCY.FORMAT_2),CURRENCY.FORMAT_2,0)),'DICTIONARY-5'!$A$2))</f>
        <v/>
      </c>
      <c r="L1925" s="670" t="str">
        <f>IFERROR(IF(CURRENCY.FORMAT_1=0,CONCATENATE(TEXT(FIXED(ROUND((C1925*(1-I1925)*(1-ADD.DISCOUNT)*(1+MAT.SURCHARGE)/EXC.RATE_1),CURRENCY.FORMAT_1),CURRENCY.FORMAT_1,1),"# ##0;-# ##0"),",-"),FIXED(ROUND((C1925*(1-I1925)*(1-ADD.DISCOUNT)*(1+MAT.SURCHARGE)/EXC.RATE_1),CURRENCY.FORMAT_1),CURRENCY.FORMAT_1,0)),'DICTIONARY-5'!$A$2)</f>
        <v>822,-</v>
      </c>
      <c r="M1925" s="670" t="str">
        <f>IF(EXC.RATE_2=0,"",IFERROR(IF(CURRENCY.FORMAT_2=0,CONCATENATE(TEXT(FIXED(ROUND(IF(EXC.RATE.SWITCH=1,C1925*(1-I1925)*(1-ADD.DISCOUNT)*(1+MAT.SURCHARGE)/EXC.RATE_2,C1925*(1-I1925)*(1-ADD.DISCOUNT)*(1+MAT.SURCHARGE)*EXC.RATE_2),CURRENCY.FORMAT_2),CURRENCY.FORMAT_2,1),"# ##0;-# ##0"),",-"),FIXED(ROUND(IF(EXC.RATE.SWITCH=1,C1925*(1-I1925)*(1-ADD.DISCOUNT)*(1+MAT.SURCHARGE)/EXC.RATE_2,C1925*(1-I1925)*(1-ADD.DISCOUNT)*(1+MAT.SURCHARGE)*EXC.RATE_2),CURRENCY.FORMAT_2),CURRENCY.FORMAT_2,0)),'DICTIONARY-5'!$A$2))</f>
        <v/>
      </c>
      <c r="N1925" s="535">
        <v>6</v>
      </c>
      <c r="O1925" s="535"/>
      <c r="P1925" s="731" t="str">
        <f>'DICTIONARY-3'!$A$148</f>
        <v>CEREX 300-L</v>
      </c>
      <c r="Q1925" s="732" t="str">
        <f>'DICTIONARY-3'!$A$204</f>
        <v>Przepustnica kołnierzowa</v>
      </c>
      <c r="R1925" s="732" t="str">
        <f>CONCATENATE('DICTIONARY-3'!$A$148," ",'DICTIONARY-6'!$A$2," ",UPPER('DICTIONARY-5'!$A$18)," ",'DICTIONARY-2'!$A$2,"300"," ",'DICTIONARY-2'!$A$3,"10"," ",'DICTIONARY-2'!$A$10,"6",'DICTIONARY-2'!$A$20," ","R20"," ",'DICTIONARY-5'!$A$51,"/",'DICTIONARY-5'!$A$45,", ",'DICTIONARY-4'!$A$3," ",'DICTIONARY-5'!$A$48)</f>
        <v>CEREX 300-L Przep. kołnierz. GAZ DN300 PN10 PS6bar R20 GGG/NBR, DR żeliwo</v>
      </c>
      <c r="S1925" s="733" t="str">
        <f>'DICTIONARY-4'!$A$3</f>
        <v>DR</v>
      </c>
      <c r="T1925" s="732" t="str">
        <f>'DICTIONARY-4'!$A$19</f>
        <v>Dźwignia ręczna</v>
      </c>
      <c r="U1925" s="734" t="s">
        <v>5752</v>
      </c>
      <c r="V1925" s="735">
        <v>10</v>
      </c>
      <c r="W1925" s="736"/>
      <c r="X1925" s="737"/>
      <c r="Y1925" s="738"/>
      <c r="Z1925" s="739"/>
      <c r="AA1925" s="739"/>
      <c r="AB1925" s="740">
        <v>6</v>
      </c>
      <c r="AC1925" s="741" t="str">
        <f>'DICTIONARY-5'!$A$11&amp;" 20"</f>
        <v>EN 558 szereg 20</v>
      </c>
      <c r="AD1925" s="741" t="str">
        <f>'DICTIONARY-5'!$A$18&amp;", "&amp;'DICTIONARY-5'!$A$14</f>
        <v>gaz, ścieki</v>
      </c>
      <c r="AE1925" s="742">
        <v>80</v>
      </c>
      <c r="AF1925" s="743">
        <v>44</v>
      </c>
      <c r="AG1925" s="741" t="str">
        <f>'DICTIONARY-5'!$A$23</f>
        <v>powłoka epoksydowa</v>
      </c>
    </row>
    <row r="1926" spans="1:33" x14ac:dyDescent="0.25">
      <c r="A1926" s="869" t="s">
        <v>1611</v>
      </c>
      <c r="B1926" s="869" t="s">
        <v>3938</v>
      </c>
      <c r="C1926" s="836">
        <v>770</v>
      </c>
      <c r="D1926" s="836"/>
      <c r="E1926" s="836"/>
      <c r="F1926" s="836"/>
      <c r="G1926" s="496" t="s">
        <v>7832</v>
      </c>
      <c r="H1926" s="797" t="str">
        <f>VLOOKUP(G1926,SETTINGS!$B$7:$D$97,2,0)</f>
        <v>CEREX 300</v>
      </c>
      <c r="I1926" s="796">
        <f>VLOOKUP(G1926,SETTINGS!$B$7:$D$97,3,0)</f>
        <v>0</v>
      </c>
      <c r="J1926" s="670" t="str">
        <f>IFERROR(IF(CURRENCY.FORMAT_1=0,CONCATENATE(TEXT(FIXED(ROUND((C1926/EXC.RATE_1),CURRENCY.FORMAT_1),CURRENCY.FORMAT_1,1),"# ##0;-# ##0"),",-"),FIXED(ROUND((C1926/EXC.RATE_1),CURRENCY.FORMAT_1),CURRENCY.FORMAT_1,0)),'DICTIONARY-5'!$A$2)</f>
        <v>770,-</v>
      </c>
      <c r="K1926" s="670" t="str">
        <f>IF(EXC.RATE_2=0,"",IFERROR(IF(CURRENCY.FORMAT_2=0,CONCATENATE(TEXT(FIXED(ROUND(IF(EXC.RATE.SWITCH=1,C1926/EXC.RATE_2,C1926*EXC.RATE_2),CURRENCY.FORMAT_2),CURRENCY.FORMAT_2,1),"# ##0;-# ##0"),",-"),FIXED(ROUND(IF(EXC.RATE.SWITCH=1,C1926/EXC.RATE_2,C1926*EXC.RATE_2),CURRENCY.FORMAT_2),CURRENCY.FORMAT_2,0)),'DICTIONARY-5'!$A$2))</f>
        <v/>
      </c>
      <c r="L1926" s="670" t="str">
        <f>IFERROR(IF(CURRENCY.FORMAT_1=0,CONCATENATE(TEXT(FIXED(ROUND((C1926*(1-I1926)*(1-ADD.DISCOUNT)*(1+MAT.SURCHARGE)/EXC.RATE_1),CURRENCY.FORMAT_1),CURRENCY.FORMAT_1,1),"# ##0;-# ##0"),",-"),FIXED(ROUND((C1926*(1-I1926)*(1-ADD.DISCOUNT)*(1+MAT.SURCHARGE)/EXC.RATE_1),CURRENCY.FORMAT_1),CURRENCY.FORMAT_1,0)),'DICTIONARY-5'!$A$2)</f>
        <v>800,-</v>
      </c>
      <c r="M1926" s="670" t="str">
        <f>IF(EXC.RATE_2=0,"",IFERROR(IF(CURRENCY.FORMAT_2=0,CONCATENATE(TEXT(FIXED(ROUND(IF(EXC.RATE.SWITCH=1,C1926*(1-I1926)*(1-ADD.DISCOUNT)*(1+MAT.SURCHARGE)/EXC.RATE_2,C1926*(1-I1926)*(1-ADD.DISCOUNT)*(1+MAT.SURCHARGE)*EXC.RATE_2),CURRENCY.FORMAT_2),CURRENCY.FORMAT_2,1),"# ##0;-# ##0"),",-"),FIXED(ROUND(IF(EXC.RATE.SWITCH=1,C1926*(1-I1926)*(1-ADD.DISCOUNT)*(1+MAT.SURCHARGE)/EXC.RATE_2,C1926*(1-I1926)*(1-ADD.DISCOUNT)*(1+MAT.SURCHARGE)*EXC.RATE_2),CURRENCY.FORMAT_2),CURRENCY.FORMAT_2,0)),'DICTIONARY-5'!$A$2))</f>
        <v/>
      </c>
      <c r="N1926" s="535">
        <v>6</v>
      </c>
      <c r="O1926" s="535"/>
      <c r="P1926" s="731" t="str">
        <f>'DICTIONARY-3'!$A$148</f>
        <v>CEREX 300-L</v>
      </c>
      <c r="Q1926" s="732" t="str">
        <f>'DICTIONARY-3'!$A$204</f>
        <v>Przepustnica kołnierzowa</v>
      </c>
      <c r="R1926" s="732" t="str">
        <f>CONCATENATE('DICTIONARY-3'!$A$148," ",'DICTIONARY-6'!$A$2," ",UPPER('DICTIONARY-5'!$A$18)," ",'DICTIONARY-2'!$A$2,"250"," ",'DICTIONARY-2'!$A$3,"10"," ",'DICTIONARY-2'!$A$10,"6",'DICTIONARY-2'!$A$20," ","R20"," ",'DICTIONARY-5'!$A$37,"/",'DICTIONARY-5'!$A$45,", ",'DICTIONARY-4'!$A$3," ",'DICTIONARY-5'!$A$48)</f>
        <v>CEREX 300-L Przep. kołnierz. GAZ DN250 PN10 PS6bar R20 CF8M/NBR, DR żeliwo</v>
      </c>
      <c r="S1926" s="733" t="str">
        <f>'DICTIONARY-4'!$A$3</f>
        <v>DR</v>
      </c>
      <c r="T1926" s="732" t="str">
        <f>'DICTIONARY-4'!$A$19</f>
        <v>Dźwignia ręczna</v>
      </c>
      <c r="U1926" s="734" t="s">
        <v>5751</v>
      </c>
      <c r="V1926" s="735">
        <v>10</v>
      </c>
      <c r="W1926" s="736"/>
      <c r="X1926" s="737"/>
      <c r="Y1926" s="738"/>
      <c r="Z1926" s="739"/>
      <c r="AA1926" s="739"/>
      <c r="AB1926" s="740">
        <v>6</v>
      </c>
      <c r="AC1926" s="741" t="str">
        <f>'DICTIONARY-5'!$A$11&amp;" 20"</f>
        <v>EN 558 szereg 20</v>
      </c>
      <c r="AD1926" s="741" t="str">
        <f>'DICTIONARY-5'!$A$18&amp;", "&amp;'DICTIONARY-5'!$A$14</f>
        <v>gaz, ścieki</v>
      </c>
      <c r="AE1926" s="742">
        <v>80</v>
      </c>
      <c r="AF1926" s="743">
        <v>34</v>
      </c>
      <c r="AG1926" s="741" t="str">
        <f>'DICTIONARY-5'!$A$23</f>
        <v>powłoka epoksydowa</v>
      </c>
    </row>
    <row r="1927" spans="1:33" x14ac:dyDescent="0.25">
      <c r="A1927" s="869" t="s">
        <v>1613</v>
      </c>
      <c r="B1927" s="869" t="s">
        <v>3942</v>
      </c>
      <c r="C1927" s="836">
        <v>1009</v>
      </c>
      <c r="D1927" s="836"/>
      <c r="E1927" s="836"/>
      <c r="F1927" s="836"/>
      <c r="G1927" s="496" t="s">
        <v>7832</v>
      </c>
      <c r="H1927" s="797" t="str">
        <f>VLOOKUP(G1927,SETTINGS!$B$7:$D$97,2,0)</f>
        <v>CEREX 300</v>
      </c>
      <c r="I1927" s="796">
        <f>VLOOKUP(G1927,SETTINGS!$B$7:$D$97,3,0)</f>
        <v>0</v>
      </c>
      <c r="J1927" s="670" t="str">
        <f>IFERROR(IF(CURRENCY.FORMAT_1=0,CONCATENATE(TEXT(FIXED(ROUND((C1927/EXC.RATE_1),CURRENCY.FORMAT_1),CURRENCY.FORMAT_1,1),"# ##0;-# ##0"),",-"),FIXED(ROUND((C1927/EXC.RATE_1),CURRENCY.FORMAT_1),CURRENCY.FORMAT_1,0)),'DICTIONARY-5'!$A$2)</f>
        <v>1 009,-</v>
      </c>
      <c r="K1927" s="670" t="str">
        <f>IF(EXC.RATE_2=0,"",IFERROR(IF(CURRENCY.FORMAT_2=0,CONCATENATE(TEXT(FIXED(ROUND(IF(EXC.RATE.SWITCH=1,C1927/EXC.RATE_2,C1927*EXC.RATE_2),CURRENCY.FORMAT_2),CURRENCY.FORMAT_2,1),"# ##0;-# ##0"),",-"),FIXED(ROUND(IF(EXC.RATE.SWITCH=1,C1927/EXC.RATE_2,C1927*EXC.RATE_2),CURRENCY.FORMAT_2),CURRENCY.FORMAT_2,0)),'DICTIONARY-5'!$A$2))</f>
        <v/>
      </c>
      <c r="L1927" s="670" t="str">
        <f>IFERROR(IF(CURRENCY.FORMAT_1=0,CONCATENATE(TEXT(FIXED(ROUND((C1927*(1-I1927)*(1-ADD.DISCOUNT)*(1+MAT.SURCHARGE)/EXC.RATE_1),CURRENCY.FORMAT_1),CURRENCY.FORMAT_1,1),"# ##0;-# ##0"),",-"),FIXED(ROUND((C1927*(1-I1927)*(1-ADD.DISCOUNT)*(1+MAT.SURCHARGE)/EXC.RATE_1),CURRENCY.FORMAT_1),CURRENCY.FORMAT_1,0)),'DICTIONARY-5'!$A$2)</f>
        <v>1 048,-</v>
      </c>
      <c r="M1927" s="670" t="str">
        <f>IF(EXC.RATE_2=0,"",IFERROR(IF(CURRENCY.FORMAT_2=0,CONCATENATE(TEXT(FIXED(ROUND(IF(EXC.RATE.SWITCH=1,C1927*(1-I1927)*(1-ADD.DISCOUNT)*(1+MAT.SURCHARGE)/EXC.RATE_2,C1927*(1-I1927)*(1-ADD.DISCOUNT)*(1+MAT.SURCHARGE)*EXC.RATE_2),CURRENCY.FORMAT_2),CURRENCY.FORMAT_2,1),"# ##0;-# ##0"),",-"),FIXED(ROUND(IF(EXC.RATE.SWITCH=1,C1927*(1-I1927)*(1-ADD.DISCOUNT)*(1+MAT.SURCHARGE)/EXC.RATE_2,C1927*(1-I1927)*(1-ADD.DISCOUNT)*(1+MAT.SURCHARGE)*EXC.RATE_2),CURRENCY.FORMAT_2),CURRENCY.FORMAT_2,0)),'DICTIONARY-5'!$A$2))</f>
        <v/>
      </c>
      <c r="N1927" s="535">
        <v>6</v>
      </c>
      <c r="O1927" s="535"/>
      <c r="P1927" s="731" t="str">
        <f>'DICTIONARY-3'!$A$148</f>
        <v>CEREX 300-L</v>
      </c>
      <c r="Q1927" s="732" t="str">
        <f>'DICTIONARY-3'!$A$204</f>
        <v>Przepustnica kołnierzowa</v>
      </c>
      <c r="R1927" s="732" t="str">
        <f>CONCATENATE('DICTIONARY-3'!$A$148," ",'DICTIONARY-6'!$A$2," ",UPPER('DICTIONARY-5'!$A$18)," ",'DICTIONARY-2'!$A$2,"300"," ",'DICTIONARY-2'!$A$3,"10"," ",'DICTIONARY-2'!$A$10,"6",'DICTIONARY-2'!$A$20," ","R20"," ",'DICTIONARY-5'!$A$37,"/",'DICTIONARY-5'!$A$45,", ",'DICTIONARY-4'!$A$3," ",'DICTIONARY-5'!$A$48)</f>
        <v>CEREX 300-L Przep. kołnierz. GAZ DN300 PN10 PS6bar R20 CF8M/NBR, DR żeliwo</v>
      </c>
      <c r="S1927" s="733" t="str">
        <f>'DICTIONARY-4'!$A$3</f>
        <v>DR</v>
      </c>
      <c r="T1927" s="732" t="str">
        <f>'DICTIONARY-4'!$A$19</f>
        <v>Dźwignia ręczna</v>
      </c>
      <c r="U1927" s="734" t="s">
        <v>5752</v>
      </c>
      <c r="V1927" s="735">
        <v>10</v>
      </c>
      <c r="W1927" s="736"/>
      <c r="X1927" s="737"/>
      <c r="Y1927" s="738"/>
      <c r="Z1927" s="739"/>
      <c r="AA1927" s="739"/>
      <c r="AB1927" s="740">
        <v>6</v>
      </c>
      <c r="AC1927" s="741" t="str">
        <f>'DICTIONARY-5'!$A$11&amp;" 20"</f>
        <v>EN 558 szereg 20</v>
      </c>
      <c r="AD1927" s="741" t="str">
        <f>'DICTIONARY-5'!$A$18&amp;", "&amp;'DICTIONARY-5'!$A$14</f>
        <v>gaz, ścieki</v>
      </c>
      <c r="AE1927" s="742">
        <v>80</v>
      </c>
      <c r="AF1927" s="743">
        <v>45.5</v>
      </c>
      <c r="AG1927" s="741" t="str">
        <f>'DICTIONARY-5'!$A$23</f>
        <v>powłoka epoksydowa</v>
      </c>
    </row>
    <row r="1928" spans="1:33" x14ac:dyDescent="0.25">
      <c r="A1928" s="754" t="s">
        <v>1615</v>
      </c>
      <c r="B1928" s="866" t="s">
        <v>3875</v>
      </c>
      <c r="C1928" s="836">
        <v>244</v>
      </c>
      <c r="D1928" s="836"/>
      <c r="E1928" s="836"/>
      <c r="F1928" s="836"/>
      <c r="G1928" s="496" t="s">
        <v>7832</v>
      </c>
      <c r="H1928" s="797" t="str">
        <f>VLOOKUP(G1928,SETTINGS!$B$7:$D$97,2,0)</f>
        <v>CEREX 300</v>
      </c>
      <c r="I1928" s="796">
        <f>VLOOKUP(G1928,SETTINGS!$B$7:$D$97,3,0)</f>
        <v>0</v>
      </c>
      <c r="J1928" s="670" t="str">
        <f>IFERROR(IF(CURRENCY.FORMAT_1=0,CONCATENATE(TEXT(FIXED(ROUND((C1928/EXC.RATE_1),CURRENCY.FORMAT_1),CURRENCY.FORMAT_1,1),"# ##0;-# ##0"),",-"),FIXED(ROUND((C1928/EXC.RATE_1),CURRENCY.FORMAT_1),CURRENCY.FORMAT_1,0)),'DICTIONARY-5'!$A$2)</f>
        <v>244,-</v>
      </c>
      <c r="K1928" s="670" t="str">
        <f>IF(EXC.RATE_2=0,"",IFERROR(IF(CURRENCY.FORMAT_2=0,CONCATENATE(TEXT(FIXED(ROUND(IF(EXC.RATE.SWITCH=1,C1928/EXC.RATE_2,C1928*EXC.RATE_2),CURRENCY.FORMAT_2),CURRENCY.FORMAT_2,1),"# ##0;-# ##0"),",-"),FIXED(ROUND(IF(EXC.RATE.SWITCH=1,C1928/EXC.RATE_2,C1928*EXC.RATE_2),CURRENCY.FORMAT_2),CURRENCY.FORMAT_2,0)),'DICTIONARY-5'!$A$2))</f>
        <v/>
      </c>
      <c r="L1928" s="670" t="str">
        <f>IFERROR(IF(CURRENCY.FORMAT_1=0,CONCATENATE(TEXT(FIXED(ROUND((C1928*(1-I1928)*(1-ADD.DISCOUNT)*(1+MAT.SURCHARGE)/EXC.RATE_1),CURRENCY.FORMAT_1),CURRENCY.FORMAT_1,1),"# ##0;-# ##0"),",-"),FIXED(ROUND((C1928*(1-I1928)*(1-ADD.DISCOUNT)*(1+MAT.SURCHARGE)/EXC.RATE_1),CURRENCY.FORMAT_1),CURRENCY.FORMAT_1,0)),'DICTIONARY-5'!$A$2)</f>
        <v>254,-</v>
      </c>
      <c r="M1928" s="670" t="str">
        <f>IF(EXC.RATE_2=0,"",IFERROR(IF(CURRENCY.FORMAT_2=0,CONCATENATE(TEXT(FIXED(ROUND(IF(EXC.RATE.SWITCH=1,C1928*(1-I1928)*(1-ADD.DISCOUNT)*(1+MAT.SURCHARGE)/EXC.RATE_2,C1928*(1-I1928)*(1-ADD.DISCOUNT)*(1+MAT.SURCHARGE)*EXC.RATE_2),CURRENCY.FORMAT_2),CURRENCY.FORMAT_2,1),"# ##0;-# ##0"),",-"),FIXED(ROUND(IF(EXC.RATE.SWITCH=1,C1928*(1-I1928)*(1-ADD.DISCOUNT)*(1+MAT.SURCHARGE)/EXC.RATE_2,C1928*(1-I1928)*(1-ADD.DISCOUNT)*(1+MAT.SURCHARGE)*EXC.RATE_2),CURRENCY.FORMAT_2),CURRENCY.FORMAT_2,0)),'DICTIONARY-5'!$A$2))</f>
        <v/>
      </c>
      <c r="N1928" s="541">
        <v>6</v>
      </c>
      <c r="O1928" s="541"/>
      <c r="P1928" s="731" t="str">
        <f>'DICTIONARY-3'!$A$148</f>
        <v>CEREX 300-L</v>
      </c>
      <c r="Q1928" s="731" t="str">
        <f>'DICTIONARY-3'!$A$204</f>
        <v>Przepustnica kołnierzowa</v>
      </c>
      <c r="R1928" s="732" t="str">
        <f>CONCATENATE('DICTIONARY-3'!$A$148," ",'DICTIONARY-6'!$A$2," ",'DICTIONARY-2'!$A$2,"50"," ",'DICTIONARY-2'!$A$3,"10/16"," ","R20"," ",'DICTIONARY-5'!$A$51,"/",'DICTIONARY-5'!$A$44,", ",'DICTIONARY-4'!$A$8," 232-05")</f>
        <v>CEREX 300-L Przep. kołnierz. DN50 PN10/16 R20 GGG/EPDM, PK 232-05</v>
      </c>
      <c r="S1928" s="733" t="str">
        <f>'DICTIONARY-4'!$A$8</f>
        <v>PK</v>
      </c>
      <c r="T1928" s="732" t="str">
        <f>'DICTIONARY-4'!$A$24</f>
        <v>Przekładnia z kółkiem</v>
      </c>
      <c r="U1928" s="734" t="s">
        <v>5748</v>
      </c>
      <c r="V1928" s="735">
        <v>16</v>
      </c>
      <c r="W1928" s="736"/>
      <c r="X1928" s="737"/>
      <c r="Y1928" s="738"/>
      <c r="Z1928" s="739"/>
      <c r="AA1928" s="739"/>
      <c r="AB1928" s="740">
        <v>16</v>
      </c>
      <c r="AC1928" s="741" t="str">
        <f>'DICTIONARY-5'!$A$11&amp;" 20"</f>
        <v>EN 558 szereg 20</v>
      </c>
      <c r="AD1928" s="741" t="str">
        <f>'DICTIONARY-5'!$A$13</f>
        <v>woda pitna</v>
      </c>
      <c r="AE1928" s="742">
        <v>80</v>
      </c>
      <c r="AF1928" s="743">
        <v>4.5</v>
      </c>
      <c r="AG1928" s="741" t="str">
        <f>'DICTIONARY-5'!$A$23</f>
        <v>powłoka epoksydowa</v>
      </c>
    </row>
    <row r="1929" spans="1:33" x14ac:dyDescent="0.25">
      <c r="A1929" s="754" t="s">
        <v>1617</v>
      </c>
      <c r="B1929" s="866" t="s">
        <v>3881</v>
      </c>
      <c r="C1929" s="836">
        <v>248</v>
      </c>
      <c r="D1929" s="836"/>
      <c r="E1929" s="836"/>
      <c r="F1929" s="836"/>
      <c r="G1929" s="496" t="s">
        <v>7832</v>
      </c>
      <c r="H1929" s="797" t="str">
        <f>VLOOKUP(G1929,SETTINGS!$B$7:$D$97,2,0)</f>
        <v>CEREX 300</v>
      </c>
      <c r="I1929" s="796">
        <f>VLOOKUP(G1929,SETTINGS!$B$7:$D$97,3,0)</f>
        <v>0</v>
      </c>
      <c r="J1929" s="670" t="str">
        <f>IFERROR(IF(CURRENCY.FORMAT_1=0,CONCATENATE(TEXT(FIXED(ROUND((C1929/EXC.RATE_1),CURRENCY.FORMAT_1),CURRENCY.FORMAT_1,1),"# ##0;-# ##0"),",-"),FIXED(ROUND((C1929/EXC.RATE_1),CURRENCY.FORMAT_1),CURRENCY.FORMAT_1,0)),'DICTIONARY-5'!$A$2)</f>
        <v>248,-</v>
      </c>
      <c r="K1929" s="670" t="str">
        <f>IF(EXC.RATE_2=0,"",IFERROR(IF(CURRENCY.FORMAT_2=0,CONCATENATE(TEXT(FIXED(ROUND(IF(EXC.RATE.SWITCH=1,C1929/EXC.RATE_2,C1929*EXC.RATE_2),CURRENCY.FORMAT_2),CURRENCY.FORMAT_2,1),"# ##0;-# ##0"),",-"),FIXED(ROUND(IF(EXC.RATE.SWITCH=1,C1929/EXC.RATE_2,C1929*EXC.RATE_2),CURRENCY.FORMAT_2),CURRENCY.FORMAT_2,0)),'DICTIONARY-5'!$A$2))</f>
        <v/>
      </c>
      <c r="L1929" s="670" t="str">
        <f>IFERROR(IF(CURRENCY.FORMAT_1=0,CONCATENATE(TEXT(FIXED(ROUND((C1929*(1-I1929)*(1-ADD.DISCOUNT)*(1+MAT.SURCHARGE)/EXC.RATE_1),CURRENCY.FORMAT_1),CURRENCY.FORMAT_1,1),"# ##0;-# ##0"),",-"),FIXED(ROUND((C1929*(1-I1929)*(1-ADD.DISCOUNT)*(1+MAT.SURCHARGE)/EXC.RATE_1),CURRENCY.FORMAT_1),CURRENCY.FORMAT_1,0)),'DICTIONARY-5'!$A$2)</f>
        <v>258,-</v>
      </c>
      <c r="M1929" s="670" t="str">
        <f>IF(EXC.RATE_2=0,"",IFERROR(IF(CURRENCY.FORMAT_2=0,CONCATENATE(TEXT(FIXED(ROUND(IF(EXC.RATE.SWITCH=1,C1929*(1-I1929)*(1-ADD.DISCOUNT)*(1+MAT.SURCHARGE)/EXC.RATE_2,C1929*(1-I1929)*(1-ADD.DISCOUNT)*(1+MAT.SURCHARGE)*EXC.RATE_2),CURRENCY.FORMAT_2),CURRENCY.FORMAT_2,1),"# ##0;-# ##0"),",-"),FIXED(ROUND(IF(EXC.RATE.SWITCH=1,C1929*(1-I1929)*(1-ADD.DISCOUNT)*(1+MAT.SURCHARGE)/EXC.RATE_2,C1929*(1-I1929)*(1-ADD.DISCOUNT)*(1+MAT.SURCHARGE)*EXC.RATE_2),CURRENCY.FORMAT_2),CURRENCY.FORMAT_2,0)),'DICTIONARY-5'!$A$2))</f>
        <v/>
      </c>
      <c r="N1929" s="541">
        <v>6</v>
      </c>
      <c r="O1929" s="541"/>
      <c r="P1929" s="731" t="str">
        <f>'DICTIONARY-3'!$A$148</f>
        <v>CEREX 300-L</v>
      </c>
      <c r="Q1929" s="731" t="str">
        <f>'DICTIONARY-3'!$A$204</f>
        <v>Przepustnica kołnierzowa</v>
      </c>
      <c r="R1929" s="732" t="str">
        <f>CONCATENATE('DICTIONARY-3'!$A$148," ",'DICTIONARY-6'!$A$2," ",'DICTIONARY-2'!$A$2,"65"," ",'DICTIONARY-2'!$A$3,"10/16"," ","R20"," ",'DICTIONARY-5'!$A$51,"/",'DICTIONARY-5'!$A$44,", ",'DICTIONARY-4'!$A$8," 232-05")</f>
        <v>CEREX 300-L Przep. kołnierz. DN65 PN10/16 R20 GGG/EPDM, PK 232-05</v>
      </c>
      <c r="S1929" s="733" t="str">
        <f>'DICTIONARY-4'!$A$8</f>
        <v>PK</v>
      </c>
      <c r="T1929" s="732" t="str">
        <f>'DICTIONARY-4'!$A$24</f>
        <v>Przekładnia z kółkiem</v>
      </c>
      <c r="U1929" s="734" t="s">
        <v>5759</v>
      </c>
      <c r="V1929" s="735">
        <v>16</v>
      </c>
      <c r="W1929" s="736"/>
      <c r="X1929" s="737"/>
      <c r="Y1929" s="738"/>
      <c r="Z1929" s="739"/>
      <c r="AA1929" s="739"/>
      <c r="AB1929" s="740">
        <v>16</v>
      </c>
      <c r="AC1929" s="741" t="str">
        <f>'DICTIONARY-5'!$A$11&amp;" 20"</f>
        <v>EN 558 szereg 20</v>
      </c>
      <c r="AD1929" s="741" t="str">
        <f>'DICTIONARY-5'!$A$13</f>
        <v>woda pitna</v>
      </c>
      <c r="AE1929" s="742">
        <v>80</v>
      </c>
      <c r="AF1929" s="743">
        <v>5</v>
      </c>
      <c r="AG1929" s="741" t="str">
        <f>'DICTIONARY-5'!$A$23</f>
        <v>powłoka epoksydowa</v>
      </c>
    </row>
    <row r="1930" spans="1:33" x14ac:dyDescent="0.25">
      <c r="A1930" s="754" t="s">
        <v>1619</v>
      </c>
      <c r="B1930" s="866" t="s">
        <v>3887</v>
      </c>
      <c r="C1930" s="836">
        <v>277</v>
      </c>
      <c r="D1930" s="836"/>
      <c r="E1930" s="836"/>
      <c r="F1930" s="836"/>
      <c r="G1930" s="496" t="s">
        <v>7832</v>
      </c>
      <c r="H1930" s="797" t="str">
        <f>VLOOKUP(G1930,SETTINGS!$B$7:$D$97,2,0)</f>
        <v>CEREX 300</v>
      </c>
      <c r="I1930" s="796">
        <f>VLOOKUP(G1930,SETTINGS!$B$7:$D$97,3,0)</f>
        <v>0</v>
      </c>
      <c r="J1930" s="670" t="str">
        <f>IFERROR(IF(CURRENCY.FORMAT_1=0,CONCATENATE(TEXT(FIXED(ROUND((C1930/EXC.RATE_1),CURRENCY.FORMAT_1),CURRENCY.FORMAT_1,1),"# ##0;-# ##0"),",-"),FIXED(ROUND((C1930/EXC.RATE_1),CURRENCY.FORMAT_1),CURRENCY.FORMAT_1,0)),'DICTIONARY-5'!$A$2)</f>
        <v>277,-</v>
      </c>
      <c r="K1930" s="670" t="str">
        <f>IF(EXC.RATE_2=0,"",IFERROR(IF(CURRENCY.FORMAT_2=0,CONCATENATE(TEXT(FIXED(ROUND(IF(EXC.RATE.SWITCH=1,C1930/EXC.RATE_2,C1930*EXC.RATE_2),CURRENCY.FORMAT_2),CURRENCY.FORMAT_2,1),"# ##0;-# ##0"),",-"),FIXED(ROUND(IF(EXC.RATE.SWITCH=1,C1930/EXC.RATE_2,C1930*EXC.RATE_2),CURRENCY.FORMAT_2),CURRENCY.FORMAT_2,0)),'DICTIONARY-5'!$A$2))</f>
        <v/>
      </c>
      <c r="L1930" s="670" t="str">
        <f>IFERROR(IF(CURRENCY.FORMAT_1=0,CONCATENATE(TEXT(FIXED(ROUND((C1930*(1-I1930)*(1-ADD.DISCOUNT)*(1+MAT.SURCHARGE)/EXC.RATE_1),CURRENCY.FORMAT_1),CURRENCY.FORMAT_1,1),"# ##0;-# ##0"),",-"),FIXED(ROUND((C1930*(1-I1930)*(1-ADD.DISCOUNT)*(1+MAT.SURCHARGE)/EXC.RATE_1),CURRENCY.FORMAT_1),CURRENCY.FORMAT_1,0)),'DICTIONARY-5'!$A$2)</f>
        <v>288,-</v>
      </c>
      <c r="M1930" s="670" t="str">
        <f>IF(EXC.RATE_2=0,"",IFERROR(IF(CURRENCY.FORMAT_2=0,CONCATENATE(TEXT(FIXED(ROUND(IF(EXC.RATE.SWITCH=1,C1930*(1-I1930)*(1-ADD.DISCOUNT)*(1+MAT.SURCHARGE)/EXC.RATE_2,C1930*(1-I1930)*(1-ADD.DISCOUNT)*(1+MAT.SURCHARGE)*EXC.RATE_2),CURRENCY.FORMAT_2),CURRENCY.FORMAT_2,1),"# ##0;-# ##0"),",-"),FIXED(ROUND(IF(EXC.RATE.SWITCH=1,C1930*(1-I1930)*(1-ADD.DISCOUNT)*(1+MAT.SURCHARGE)/EXC.RATE_2,C1930*(1-I1930)*(1-ADD.DISCOUNT)*(1+MAT.SURCHARGE)*EXC.RATE_2),CURRENCY.FORMAT_2),CURRENCY.FORMAT_2,0)),'DICTIONARY-5'!$A$2))</f>
        <v/>
      </c>
      <c r="N1930" s="541">
        <v>6</v>
      </c>
      <c r="O1930" s="541"/>
      <c r="P1930" s="731" t="str">
        <f>'DICTIONARY-3'!$A$148</f>
        <v>CEREX 300-L</v>
      </c>
      <c r="Q1930" s="731" t="str">
        <f>'DICTIONARY-3'!$A$204</f>
        <v>Przepustnica kołnierzowa</v>
      </c>
      <c r="R1930" s="732" t="str">
        <f>CONCATENATE('DICTIONARY-3'!$A$148," ",'DICTIONARY-6'!$A$2," ",'DICTIONARY-2'!$A$2,"80"," ",'DICTIONARY-2'!$A$3,"10/16"," ","R20"," ",'DICTIONARY-5'!$A$51,"/",'DICTIONARY-5'!$A$44,", ",'DICTIONARY-4'!$A$8," 232-05")</f>
        <v>CEREX 300-L Przep. kołnierz. DN80 PN10/16 R20 GGG/EPDM, PK 232-05</v>
      </c>
      <c r="S1930" s="733" t="str">
        <f>'DICTIONARY-4'!$A$8</f>
        <v>PK</v>
      </c>
      <c r="T1930" s="732" t="str">
        <f>'DICTIONARY-4'!$A$24</f>
        <v>Przekładnia z kółkiem</v>
      </c>
      <c r="U1930" s="734" t="s">
        <v>5760</v>
      </c>
      <c r="V1930" s="735">
        <v>16</v>
      </c>
      <c r="W1930" s="736"/>
      <c r="X1930" s="737"/>
      <c r="Y1930" s="738"/>
      <c r="Z1930" s="739"/>
      <c r="AA1930" s="739"/>
      <c r="AB1930" s="740">
        <v>16</v>
      </c>
      <c r="AC1930" s="741" t="str">
        <f>'DICTIONARY-5'!$A$11&amp;" 20"</f>
        <v>EN 558 szereg 20</v>
      </c>
      <c r="AD1930" s="741" t="str">
        <f>'DICTIONARY-5'!$A$13</f>
        <v>woda pitna</v>
      </c>
      <c r="AE1930" s="742">
        <v>80</v>
      </c>
      <c r="AF1930" s="743">
        <v>5</v>
      </c>
      <c r="AG1930" s="741" t="str">
        <f>'DICTIONARY-5'!$A$23</f>
        <v>powłoka epoksydowa</v>
      </c>
    </row>
    <row r="1931" spans="1:33" x14ac:dyDescent="0.25">
      <c r="A1931" s="754" t="s">
        <v>1621</v>
      </c>
      <c r="B1931" s="866" t="s">
        <v>3893</v>
      </c>
      <c r="C1931" s="836">
        <v>306</v>
      </c>
      <c r="D1931" s="836"/>
      <c r="E1931" s="836"/>
      <c r="F1931" s="836"/>
      <c r="G1931" s="496" t="s">
        <v>7832</v>
      </c>
      <c r="H1931" s="797" t="str">
        <f>VLOOKUP(G1931,SETTINGS!$B$7:$D$97,2,0)</f>
        <v>CEREX 300</v>
      </c>
      <c r="I1931" s="796">
        <f>VLOOKUP(G1931,SETTINGS!$B$7:$D$97,3,0)</f>
        <v>0</v>
      </c>
      <c r="J1931" s="670" t="str">
        <f>IFERROR(IF(CURRENCY.FORMAT_1=0,CONCATENATE(TEXT(FIXED(ROUND((C1931/EXC.RATE_1),CURRENCY.FORMAT_1),CURRENCY.FORMAT_1,1),"# ##0;-# ##0"),",-"),FIXED(ROUND((C1931/EXC.RATE_1),CURRENCY.FORMAT_1),CURRENCY.FORMAT_1,0)),'DICTIONARY-5'!$A$2)</f>
        <v>306,-</v>
      </c>
      <c r="K1931" s="670" t="str">
        <f>IF(EXC.RATE_2=0,"",IFERROR(IF(CURRENCY.FORMAT_2=0,CONCATENATE(TEXT(FIXED(ROUND(IF(EXC.RATE.SWITCH=1,C1931/EXC.RATE_2,C1931*EXC.RATE_2),CURRENCY.FORMAT_2),CURRENCY.FORMAT_2,1),"# ##0;-# ##0"),",-"),FIXED(ROUND(IF(EXC.RATE.SWITCH=1,C1931/EXC.RATE_2,C1931*EXC.RATE_2),CURRENCY.FORMAT_2),CURRENCY.FORMAT_2,0)),'DICTIONARY-5'!$A$2))</f>
        <v/>
      </c>
      <c r="L1931" s="670" t="str">
        <f>IFERROR(IF(CURRENCY.FORMAT_1=0,CONCATENATE(TEXT(FIXED(ROUND((C1931*(1-I1931)*(1-ADD.DISCOUNT)*(1+MAT.SURCHARGE)/EXC.RATE_1),CURRENCY.FORMAT_1),CURRENCY.FORMAT_1,1),"# ##0;-# ##0"),",-"),FIXED(ROUND((C1931*(1-I1931)*(1-ADD.DISCOUNT)*(1+MAT.SURCHARGE)/EXC.RATE_1),CURRENCY.FORMAT_1),CURRENCY.FORMAT_1,0)),'DICTIONARY-5'!$A$2)</f>
        <v>318,-</v>
      </c>
      <c r="M1931" s="670" t="str">
        <f>IF(EXC.RATE_2=0,"",IFERROR(IF(CURRENCY.FORMAT_2=0,CONCATENATE(TEXT(FIXED(ROUND(IF(EXC.RATE.SWITCH=1,C1931*(1-I1931)*(1-ADD.DISCOUNT)*(1+MAT.SURCHARGE)/EXC.RATE_2,C1931*(1-I1931)*(1-ADD.DISCOUNT)*(1+MAT.SURCHARGE)*EXC.RATE_2),CURRENCY.FORMAT_2),CURRENCY.FORMAT_2,1),"# ##0;-# ##0"),",-"),FIXED(ROUND(IF(EXC.RATE.SWITCH=1,C1931*(1-I1931)*(1-ADD.DISCOUNT)*(1+MAT.SURCHARGE)/EXC.RATE_2,C1931*(1-I1931)*(1-ADD.DISCOUNT)*(1+MAT.SURCHARGE)*EXC.RATE_2),CURRENCY.FORMAT_2),CURRENCY.FORMAT_2,0)),'DICTIONARY-5'!$A$2))</f>
        <v/>
      </c>
      <c r="N1931" s="541">
        <v>6</v>
      </c>
      <c r="O1931" s="541"/>
      <c r="P1931" s="731" t="str">
        <f>'DICTIONARY-3'!$A$148</f>
        <v>CEREX 300-L</v>
      </c>
      <c r="Q1931" s="731" t="str">
        <f>'DICTIONARY-3'!$A$204</f>
        <v>Przepustnica kołnierzowa</v>
      </c>
      <c r="R1931" s="732" t="str">
        <f>CONCATENATE('DICTIONARY-3'!$A$148," ",'DICTIONARY-6'!$A$2," ",'DICTIONARY-2'!$A$2,"100"," ",'DICTIONARY-2'!$A$3,"10/16"," ","R20"," ",'DICTIONARY-5'!$A$51,"/",'DICTIONARY-5'!$A$44,", ",'DICTIONARY-4'!$A$8," 232-05")</f>
        <v>CEREX 300-L Przep. kołnierz. DN100 PN10/16 R20 GGG/EPDM, PK 232-05</v>
      </c>
      <c r="S1931" s="733" t="str">
        <f>'DICTIONARY-4'!$A$8</f>
        <v>PK</v>
      </c>
      <c r="T1931" s="732" t="str">
        <f>'DICTIONARY-4'!$A$24</f>
        <v>Przekładnia z kółkiem</v>
      </c>
      <c r="U1931" s="734" t="s">
        <v>5749</v>
      </c>
      <c r="V1931" s="735">
        <v>16</v>
      </c>
      <c r="W1931" s="736"/>
      <c r="X1931" s="737"/>
      <c r="Y1931" s="738"/>
      <c r="Z1931" s="739"/>
      <c r="AA1931" s="739"/>
      <c r="AB1931" s="740">
        <v>16</v>
      </c>
      <c r="AC1931" s="741" t="str">
        <f>'DICTIONARY-5'!$A$11&amp;" 20"</f>
        <v>EN 558 szereg 20</v>
      </c>
      <c r="AD1931" s="741" t="str">
        <f>'DICTIONARY-5'!$A$13</f>
        <v>woda pitna</v>
      </c>
      <c r="AE1931" s="742">
        <v>80</v>
      </c>
      <c r="AF1931" s="743">
        <v>8.5</v>
      </c>
      <c r="AG1931" s="741" t="str">
        <f>'DICTIONARY-5'!$A$23</f>
        <v>powłoka epoksydowa</v>
      </c>
    </row>
    <row r="1932" spans="1:33" x14ac:dyDescent="0.25">
      <c r="A1932" s="754" t="s">
        <v>1623</v>
      </c>
      <c r="B1932" s="866" t="s">
        <v>3899</v>
      </c>
      <c r="C1932" s="836">
        <v>341</v>
      </c>
      <c r="D1932" s="836"/>
      <c r="E1932" s="836"/>
      <c r="F1932" s="836"/>
      <c r="G1932" s="496" t="s">
        <v>7832</v>
      </c>
      <c r="H1932" s="797" t="str">
        <f>VLOOKUP(G1932,SETTINGS!$B$7:$D$97,2,0)</f>
        <v>CEREX 300</v>
      </c>
      <c r="I1932" s="796">
        <f>VLOOKUP(G1932,SETTINGS!$B$7:$D$97,3,0)</f>
        <v>0</v>
      </c>
      <c r="J1932" s="670" t="str">
        <f>IFERROR(IF(CURRENCY.FORMAT_1=0,CONCATENATE(TEXT(FIXED(ROUND((C1932/EXC.RATE_1),CURRENCY.FORMAT_1),CURRENCY.FORMAT_1,1),"# ##0;-# ##0"),",-"),FIXED(ROUND((C1932/EXC.RATE_1),CURRENCY.FORMAT_1),CURRENCY.FORMAT_1,0)),'DICTIONARY-5'!$A$2)</f>
        <v>341,-</v>
      </c>
      <c r="K1932" s="670" t="str">
        <f>IF(EXC.RATE_2=0,"",IFERROR(IF(CURRENCY.FORMAT_2=0,CONCATENATE(TEXT(FIXED(ROUND(IF(EXC.RATE.SWITCH=1,C1932/EXC.RATE_2,C1932*EXC.RATE_2),CURRENCY.FORMAT_2),CURRENCY.FORMAT_2,1),"# ##0;-# ##0"),",-"),FIXED(ROUND(IF(EXC.RATE.SWITCH=1,C1932/EXC.RATE_2,C1932*EXC.RATE_2),CURRENCY.FORMAT_2),CURRENCY.FORMAT_2,0)),'DICTIONARY-5'!$A$2))</f>
        <v/>
      </c>
      <c r="L1932" s="670" t="str">
        <f>IFERROR(IF(CURRENCY.FORMAT_1=0,CONCATENATE(TEXT(FIXED(ROUND((C1932*(1-I1932)*(1-ADD.DISCOUNT)*(1+MAT.SURCHARGE)/EXC.RATE_1),CURRENCY.FORMAT_1),CURRENCY.FORMAT_1,1),"# ##0;-# ##0"),",-"),FIXED(ROUND((C1932*(1-I1932)*(1-ADD.DISCOUNT)*(1+MAT.SURCHARGE)/EXC.RATE_1),CURRENCY.FORMAT_1),CURRENCY.FORMAT_1,0)),'DICTIONARY-5'!$A$2)</f>
        <v>354,-</v>
      </c>
      <c r="M1932" s="670" t="str">
        <f>IF(EXC.RATE_2=0,"",IFERROR(IF(CURRENCY.FORMAT_2=0,CONCATENATE(TEXT(FIXED(ROUND(IF(EXC.RATE.SWITCH=1,C1932*(1-I1932)*(1-ADD.DISCOUNT)*(1+MAT.SURCHARGE)/EXC.RATE_2,C1932*(1-I1932)*(1-ADD.DISCOUNT)*(1+MAT.SURCHARGE)*EXC.RATE_2),CURRENCY.FORMAT_2),CURRENCY.FORMAT_2,1),"# ##0;-# ##0"),",-"),FIXED(ROUND(IF(EXC.RATE.SWITCH=1,C1932*(1-I1932)*(1-ADD.DISCOUNT)*(1+MAT.SURCHARGE)/EXC.RATE_2,C1932*(1-I1932)*(1-ADD.DISCOUNT)*(1+MAT.SURCHARGE)*EXC.RATE_2),CURRENCY.FORMAT_2),CURRENCY.FORMAT_2,0)),'DICTIONARY-5'!$A$2))</f>
        <v/>
      </c>
      <c r="N1932" s="541">
        <v>6</v>
      </c>
      <c r="O1932" s="541"/>
      <c r="P1932" s="731" t="str">
        <f>'DICTIONARY-3'!$A$148</f>
        <v>CEREX 300-L</v>
      </c>
      <c r="Q1932" s="731" t="str">
        <f>'DICTIONARY-3'!$A$204</f>
        <v>Przepustnica kołnierzowa</v>
      </c>
      <c r="R1932" s="732" t="str">
        <f>CONCATENATE('DICTIONARY-3'!$A$148," ",'DICTIONARY-6'!$A$2," ",'DICTIONARY-2'!$A$2,"125"," ",'DICTIONARY-2'!$A$3,"10/16"," ","R20"," ",'DICTIONARY-5'!$A$51,"/",'DICTIONARY-5'!$A$44,", ",'DICTIONARY-4'!$A$8," 232-05")</f>
        <v>CEREX 300-L Przep. kołnierz. DN125 PN10/16 R20 GGG/EPDM, PK 232-05</v>
      </c>
      <c r="S1932" s="733" t="str">
        <f>'DICTIONARY-4'!$A$8</f>
        <v>PK</v>
      </c>
      <c r="T1932" s="732" t="str">
        <f>'DICTIONARY-4'!$A$24</f>
        <v>Przekładnia z kółkiem</v>
      </c>
      <c r="U1932" s="734" t="s">
        <v>5761</v>
      </c>
      <c r="V1932" s="735">
        <v>16</v>
      </c>
      <c r="W1932" s="736"/>
      <c r="X1932" s="737"/>
      <c r="Y1932" s="738"/>
      <c r="Z1932" s="739"/>
      <c r="AA1932" s="739"/>
      <c r="AB1932" s="740">
        <v>16</v>
      </c>
      <c r="AC1932" s="741" t="str">
        <f>'DICTIONARY-5'!$A$11&amp;" 20"</f>
        <v>EN 558 szereg 20</v>
      </c>
      <c r="AD1932" s="741" t="str">
        <f>'DICTIONARY-5'!$A$13</f>
        <v>woda pitna</v>
      </c>
      <c r="AE1932" s="742">
        <v>80</v>
      </c>
      <c r="AF1932" s="743">
        <v>8</v>
      </c>
      <c r="AG1932" s="741" t="str">
        <f>'DICTIONARY-5'!$A$23</f>
        <v>powłoka epoksydowa</v>
      </c>
    </row>
    <row r="1933" spans="1:33" x14ac:dyDescent="0.25">
      <c r="A1933" s="754" t="s">
        <v>1625</v>
      </c>
      <c r="B1933" s="866" t="s">
        <v>3905</v>
      </c>
      <c r="C1933" s="836">
        <v>442</v>
      </c>
      <c r="D1933" s="836"/>
      <c r="E1933" s="836"/>
      <c r="F1933" s="836"/>
      <c r="G1933" s="496" t="s">
        <v>7832</v>
      </c>
      <c r="H1933" s="797" t="str">
        <f>VLOOKUP(G1933,SETTINGS!$B$7:$D$97,2,0)</f>
        <v>CEREX 300</v>
      </c>
      <c r="I1933" s="796">
        <f>VLOOKUP(G1933,SETTINGS!$B$7:$D$97,3,0)</f>
        <v>0</v>
      </c>
      <c r="J1933" s="670" t="str">
        <f>IFERROR(IF(CURRENCY.FORMAT_1=0,CONCATENATE(TEXT(FIXED(ROUND((C1933/EXC.RATE_1),CURRENCY.FORMAT_1),CURRENCY.FORMAT_1,1),"# ##0;-# ##0"),",-"),FIXED(ROUND((C1933/EXC.RATE_1),CURRENCY.FORMAT_1),CURRENCY.FORMAT_1,0)),'DICTIONARY-5'!$A$2)</f>
        <v>442,-</v>
      </c>
      <c r="K1933" s="670" t="str">
        <f>IF(EXC.RATE_2=0,"",IFERROR(IF(CURRENCY.FORMAT_2=0,CONCATENATE(TEXT(FIXED(ROUND(IF(EXC.RATE.SWITCH=1,C1933/EXC.RATE_2,C1933*EXC.RATE_2),CURRENCY.FORMAT_2),CURRENCY.FORMAT_2,1),"# ##0;-# ##0"),",-"),FIXED(ROUND(IF(EXC.RATE.SWITCH=1,C1933/EXC.RATE_2,C1933*EXC.RATE_2),CURRENCY.FORMAT_2),CURRENCY.FORMAT_2,0)),'DICTIONARY-5'!$A$2))</f>
        <v/>
      </c>
      <c r="L1933" s="670" t="str">
        <f>IFERROR(IF(CURRENCY.FORMAT_1=0,CONCATENATE(TEXT(FIXED(ROUND((C1933*(1-I1933)*(1-ADD.DISCOUNT)*(1+MAT.SURCHARGE)/EXC.RATE_1),CURRENCY.FORMAT_1),CURRENCY.FORMAT_1,1),"# ##0;-# ##0"),",-"),FIXED(ROUND((C1933*(1-I1933)*(1-ADD.DISCOUNT)*(1+MAT.SURCHARGE)/EXC.RATE_1),CURRENCY.FORMAT_1),CURRENCY.FORMAT_1,0)),'DICTIONARY-5'!$A$2)</f>
        <v>459,-</v>
      </c>
      <c r="M1933" s="670" t="str">
        <f>IF(EXC.RATE_2=0,"",IFERROR(IF(CURRENCY.FORMAT_2=0,CONCATENATE(TEXT(FIXED(ROUND(IF(EXC.RATE.SWITCH=1,C1933*(1-I1933)*(1-ADD.DISCOUNT)*(1+MAT.SURCHARGE)/EXC.RATE_2,C1933*(1-I1933)*(1-ADD.DISCOUNT)*(1+MAT.SURCHARGE)*EXC.RATE_2),CURRENCY.FORMAT_2),CURRENCY.FORMAT_2,1),"# ##0;-# ##0"),",-"),FIXED(ROUND(IF(EXC.RATE.SWITCH=1,C1933*(1-I1933)*(1-ADD.DISCOUNT)*(1+MAT.SURCHARGE)/EXC.RATE_2,C1933*(1-I1933)*(1-ADD.DISCOUNT)*(1+MAT.SURCHARGE)*EXC.RATE_2),CURRENCY.FORMAT_2),CURRENCY.FORMAT_2,0)),'DICTIONARY-5'!$A$2))</f>
        <v/>
      </c>
      <c r="N1933" s="541">
        <v>6</v>
      </c>
      <c r="O1933" s="541"/>
      <c r="P1933" s="731" t="str">
        <f>'DICTIONARY-3'!$A$148</f>
        <v>CEREX 300-L</v>
      </c>
      <c r="Q1933" s="731" t="str">
        <f>'DICTIONARY-3'!$A$204</f>
        <v>Przepustnica kołnierzowa</v>
      </c>
      <c r="R1933" s="732" t="str">
        <f>CONCATENATE('DICTIONARY-3'!$A$148," ",'DICTIONARY-6'!$A$2," ",'DICTIONARY-2'!$A$2,"150"," ",'DICTIONARY-2'!$A$3,"10/16"," ","R20"," ",'DICTIONARY-5'!$A$51,"/",'DICTIONARY-5'!$A$44,", ",'DICTIONARY-4'!$A$8," 232-06")</f>
        <v>CEREX 300-L Przep. kołnierz. DN150 PN10/16 R20 GGG/EPDM, PK 232-06</v>
      </c>
      <c r="S1933" s="733" t="str">
        <f>'DICTIONARY-4'!$A$8</f>
        <v>PK</v>
      </c>
      <c r="T1933" s="732" t="str">
        <f>'DICTIONARY-4'!$A$24</f>
        <v>Przekładnia z kółkiem</v>
      </c>
      <c r="U1933" s="734" t="s">
        <v>5572</v>
      </c>
      <c r="V1933" s="735">
        <v>16</v>
      </c>
      <c r="W1933" s="736"/>
      <c r="X1933" s="737"/>
      <c r="Y1933" s="738"/>
      <c r="Z1933" s="739"/>
      <c r="AA1933" s="739"/>
      <c r="AB1933" s="740">
        <v>16</v>
      </c>
      <c r="AC1933" s="741" t="str">
        <f>'DICTIONARY-5'!$A$11&amp;" 20"</f>
        <v>EN 558 szereg 20</v>
      </c>
      <c r="AD1933" s="741" t="str">
        <f>'DICTIONARY-5'!$A$13</f>
        <v>woda pitna</v>
      </c>
      <c r="AE1933" s="742">
        <v>80</v>
      </c>
      <c r="AF1933" s="743">
        <v>14</v>
      </c>
      <c r="AG1933" s="741" t="str">
        <f>'DICTIONARY-5'!$A$23</f>
        <v>powłoka epoksydowa</v>
      </c>
    </row>
    <row r="1934" spans="1:33" x14ac:dyDescent="0.25">
      <c r="A1934" s="754" t="s">
        <v>1627</v>
      </c>
      <c r="B1934" s="866" t="s">
        <v>3955</v>
      </c>
      <c r="C1934" s="836">
        <v>582</v>
      </c>
      <c r="D1934" s="836"/>
      <c r="E1934" s="836"/>
      <c r="F1934" s="836"/>
      <c r="G1934" s="496" t="s">
        <v>7832</v>
      </c>
      <c r="H1934" s="797" t="str">
        <f>VLOOKUP(G1934,SETTINGS!$B$7:$D$97,2,0)</f>
        <v>CEREX 300</v>
      </c>
      <c r="I1934" s="796">
        <f>VLOOKUP(G1934,SETTINGS!$B$7:$D$97,3,0)</f>
        <v>0</v>
      </c>
      <c r="J1934" s="670" t="str">
        <f>IFERROR(IF(CURRENCY.FORMAT_1=0,CONCATENATE(TEXT(FIXED(ROUND((C1934/EXC.RATE_1),CURRENCY.FORMAT_1),CURRENCY.FORMAT_1,1),"# ##0;-# ##0"),",-"),FIXED(ROUND((C1934/EXC.RATE_1),CURRENCY.FORMAT_1),CURRENCY.FORMAT_1,0)),'DICTIONARY-5'!$A$2)</f>
        <v>582,-</v>
      </c>
      <c r="K1934" s="670" t="str">
        <f>IF(EXC.RATE_2=0,"",IFERROR(IF(CURRENCY.FORMAT_2=0,CONCATENATE(TEXT(FIXED(ROUND(IF(EXC.RATE.SWITCH=1,C1934/EXC.RATE_2,C1934*EXC.RATE_2),CURRENCY.FORMAT_2),CURRENCY.FORMAT_2,1),"# ##0;-# ##0"),",-"),FIXED(ROUND(IF(EXC.RATE.SWITCH=1,C1934/EXC.RATE_2,C1934*EXC.RATE_2),CURRENCY.FORMAT_2),CURRENCY.FORMAT_2,0)),'DICTIONARY-5'!$A$2))</f>
        <v/>
      </c>
      <c r="L1934" s="670" t="str">
        <f>IFERROR(IF(CURRENCY.FORMAT_1=0,CONCATENATE(TEXT(FIXED(ROUND((C1934*(1-I1934)*(1-ADD.DISCOUNT)*(1+MAT.SURCHARGE)/EXC.RATE_1),CURRENCY.FORMAT_1),CURRENCY.FORMAT_1,1),"# ##0;-# ##0"),",-"),FIXED(ROUND((C1934*(1-I1934)*(1-ADD.DISCOUNT)*(1+MAT.SURCHARGE)/EXC.RATE_1),CURRENCY.FORMAT_1),CURRENCY.FORMAT_1,0)),'DICTIONARY-5'!$A$2)</f>
        <v>605,-</v>
      </c>
      <c r="M1934" s="670" t="str">
        <f>IF(EXC.RATE_2=0,"",IFERROR(IF(CURRENCY.FORMAT_2=0,CONCATENATE(TEXT(FIXED(ROUND(IF(EXC.RATE.SWITCH=1,C1934*(1-I1934)*(1-ADD.DISCOUNT)*(1+MAT.SURCHARGE)/EXC.RATE_2,C1934*(1-I1934)*(1-ADD.DISCOUNT)*(1+MAT.SURCHARGE)*EXC.RATE_2),CURRENCY.FORMAT_2),CURRENCY.FORMAT_2,1),"# ##0;-# ##0"),",-"),FIXED(ROUND(IF(EXC.RATE.SWITCH=1,C1934*(1-I1934)*(1-ADD.DISCOUNT)*(1+MAT.SURCHARGE)/EXC.RATE_2,C1934*(1-I1934)*(1-ADD.DISCOUNT)*(1+MAT.SURCHARGE)*EXC.RATE_2),CURRENCY.FORMAT_2),CURRENCY.FORMAT_2,0)),'DICTIONARY-5'!$A$2))</f>
        <v/>
      </c>
      <c r="N1934" s="541">
        <v>6</v>
      </c>
      <c r="O1934" s="541"/>
      <c r="P1934" s="731" t="str">
        <f>'DICTIONARY-3'!$A$148</f>
        <v>CEREX 300-L</v>
      </c>
      <c r="Q1934" s="731" t="str">
        <f>'DICTIONARY-3'!$A$204</f>
        <v>Przepustnica kołnierzowa</v>
      </c>
      <c r="R1934" s="732" t="str">
        <f>CONCATENATE('DICTIONARY-3'!$A$148," ",'DICTIONARY-6'!$A$2," ",'DICTIONARY-2'!$A$2,"200"," ",'DICTIONARY-2'!$A$3,"10"," ","R20"," ",'DICTIONARY-5'!$A$51,"/",'DICTIONARY-5'!$A$44,", ",'DICTIONARY-4'!$A$8," 232-08")</f>
        <v>CEREX 300-L Przep. kołnierz. DN200 PN10 R20 GGG/EPDM, PK 232-08</v>
      </c>
      <c r="S1934" s="733" t="str">
        <f>'DICTIONARY-4'!$A$8</f>
        <v>PK</v>
      </c>
      <c r="T1934" s="732" t="str">
        <f>'DICTIONARY-4'!$A$24</f>
        <v>Przekładnia z kółkiem</v>
      </c>
      <c r="U1934" s="734" t="s">
        <v>5750</v>
      </c>
      <c r="V1934" s="735">
        <v>10</v>
      </c>
      <c r="W1934" s="736"/>
      <c r="X1934" s="737"/>
      <c r="Y1934" s="738"/>
      <c r="Z1934" s="739"/>
      <c r="AA1934" s="739"/>
      <c r="AB1934" s="740">
        <v>10</v>
      </c>
      <c r="AC1934" s="741" t="str">
        <f>'DICTIONARY-5'!$A$11&amp;" 20"</f>
        <v>EN 558 szereg 20</v>
      </c>
      <c r="AD1934" s="741" t="str">
        <f>'DICTIONARY-5'!$A$13</f>
        <v>woda pitna</v>
      </c>
      <c r="AE1934" s="742">
        <v>80</v>
      </c>
      <c r="AF1934" s="743">
        <v>19.5</v>
      </c>
      <c r="AG1934" s="741" t="str">
        <f>'DICTIONARY-5'!$A$23</f>
        <v>powłoka epoksydowa</v>
      </c>
    </row>
    <row r="1935" spans="1:33" x14ac:dyDescent="0.25">
      <c r="A1935" s="754" t="s">
        <v>1629</v>
      </c>
      <c r="B1935" s="866" t="s">
        <v>3911</v>
      </c>
      <c r="C1935" s="836">
        <v>627</v>
      </c>
      <c r="D1935" s="836"/>
      <c r="E1935" s="836"/>
      <c r="F1935" s="836"/>
      <c r="G1935" s="496" t="s">
        <v>7832</v>
      </c>
      <c r="H1935" s="797" t="str">
        <f>VLOOKUP(G1935,SETTINGS!$B$7:$D$97,2,0)</f>
        <v>CEREX 300</v>
      </c>
      <c r="I1935" s="796">
        <f>VLOOKUP(G1935,SETTINGS!$B$7:$D$97,3,0)</f>
        <v>0</v>
      </c>
      <c r="J1935" s="670" t="str">
        <f>IFERROR(IF(CURRENCY.FORMAT_1=0,CONCATENATE(TEXT(FIXED(ROUND((C1935/EXC.RATE_1),CURRENCY.FORMAT_1),CURRENCY.FORMAT_1,1),"# ##0;-# ##0"),",-"),FIXED(ROUND((C1935/EXC.RATE_1),CURRENCY.FORMAT_1),CURRENCY.FORMAT_1,0)),'DICTIONARY-5'!$A$2)</f>
        <v>627,-</v>
      </c>
      <c r="K1935" s="670" t="str">
        <f>IF(EXC.RATE_2=0,"",IFERROR(IF(CURRENCY.FORMAT_2=0,CONCATENATE(TEXT(FIXED(ROUND(IF(EXC.RATE.SWITCH=1,C1935/EXC.RATE_2,C1935*EXC.RATE_2),CURRENCY.FORMAT_2),CURRENCY.FORMAT_2,1),"# ##0;-# ##0"),",-"),FIXED(ROUND(IF(EXC.RATE.SWITCH=1,C1935/EXC.RATE_2,C1935*EXC.RATE_2),CURRENCY.FORMAT_2),CURRENCY.FORMAT_2,0)),'DICTIONARY-5'!$A$2))</f>
        <v/>
      </c>
      <c r="L1935" s="670" t="str">
        <f>IFERROR(IF(CURRENCY.FORMAT_1=0,CONCATENATE(TEXT(FIXED(ROUND((C1935*(1-I1935)*(1-ADD.DISCOUNT)*(1+MAT.SURCHARGE)/EXC.RATE_1),CURRENCY.FORMAT_1),CURRENCY.FORMAT_1,1),"# ##0;-# ##0"),",-"),FIXED(ROUND((C1935*(1-I1935)*(1-ADD.DISCOUNT)*(1+MAT.SURCHARGE)/EXC.RATE_1),CURRENCY.FORMAT_1),CURRENCY.FORMAT_1,0)),'DICTIONARY-5'!$A$2)</f>
        <v>651,-</v>
      </c>
      <c r="M1935" s="670" t="str">
        <f>IF(EXC.RATE_2=0,"",IFERROR(IF(CURRENCY.FORMAT_2=0,CONCATENATE(TEXT(FIXED(ROUND(IF(EXC.RATE.SWITCH=1,C1935*(1-I1935)*(1-ADD.DISCOUNT)*(1+MAT.SURCHARGE)/EXC.RATE_2,C1935*(1-I1935)*(1-ADD.DISCOUNT)*(1+MAT.SURCHARGE)*EXC.RATE_2),CURRENCY.FORMAT_2),CURRENCY.FORMAT_2,1),"# ##0;-# ##0"),",-"),FIXED(ROUND(IF(EXC.RATE.SWITCH=1,C1935*(1-I1935)*(1-ADD.DISCOUNT)*(1+MAT.SURCHARGE)/EXC.RATE_2,C1935*(1-I1935)*(1-ADD.DISCOUNT)*(1+MAT.SURCHARGE)*EXC.RATE_2),CURRENCY.FORMAT_2),CURRENCY.FORMAT_2,0)),'DICTIONARY-5'!$A$2))</f>
        <v/>
      </c>
      <c r="N1935" s="541">
        <v>6</v>
      </c>
      <c r="O1935" s="541"/>
      <c r="P1935" s="731" t="str">
        <f>'DICTIONARY-3'!$A$148</f>
        <v>CEREX 300-L</v>
      </c>
      <c r="Q1935" s="731" t="str">
        <f>'DICTIONARY-3'!$A$204</f>
        <v>Przepustnica kołnierzowa</v>
      </c>
      <c r="R1935" s="732" t="str">
        <f>CONCATENATE('DICTIONARY-3'!$A$148," ",'DICTIONARY-6'!$A$2," ",'DICTIONARY-2'!$A$2,"200"," ",'DICTIONARY-2'!$A$3,"16"," ","R20"," ",'DICTIONARY-5'!$A$51,"/",'DICTIONARY-5'!$A$44,", ",'DICTIONARY-4'!$A$8," 232-08")</f>
        <v>CEREX 300-L Przep. kołnierz. DN200 PN16 R20 GGG/EPDM, PK 232-08</v>
      </c>
      <c r="S1935" s="733" t="str">
        <f>'DICTIONARY-4'!$A$8</f>
        <v>PK</v>
      </c>
      <c r="T1935" s="732" t="str">
        <f>'DICTIONARY-4'!$A$24</f>
        <v>Przekładnia z kółkiem</v>
      </c>
      <c r="U1935" s="734" t="s">
        <v>5750</v>
      </c>
      <c r="V1935" s="735">
        <v>16</v>
      </c>
      <c r="W1935" s="736"/>
      <c r="X1935" s="737"/>
      <c r="Y1935" s="738"/>
      <c r="Z1935" s="739"/>
      <c r="AA1935" s="739"/>
      <c r="AB1935" s="740">
        <v>16</v>
      </c>
      <c r="AC1935" s="741" t="str">
        <f>'DICTIONARY-5'!$A$11&amp;" 20"</f>
        <v>EN 558 szereg 20</v>
      </c>
      <c r="AD1935" s="741" t="str">
        <f>'DICTIONARY-5'!$A$13</f>
        <v>woda pitna</v>
      </c>
      <c r="AE1935" s="742">
        <v>80</v>
      </c>
      <c r="AF1935" s="743">
        <v>19.5</v>
      </c>
      <c r="AG1935" s="741" t="str">
        <f>'DICTIONARY-5'!$A$23</f>
        <v>powłoka epoksydowa</v>
      </c>
    </row>
    <row r="1936" spans="1:33" x14ac:dyDescent="0.25">
      <c r="A1936" s="754" t="s">
        <v>1631</v>
      </c>
      <c r="B1936" s="866" t="s">
        <v>3959</v>
      </c>
      <c r="C1936" s="836">
        <v>663</v>
      </c>
      <c r="D1936" s="836"/>
      <c r="E1936" s="836"/>
      <c r="F1936" s="836"/>
      <c r="G1936" s="496" t="s">
        <v>7832</v>
      </c>
      <c r="H1936" s="797" t="str">
        <f>VLOOKUP(G1936,SETTINGS!$B$7:$D$97,2,0)</f>
        <v>CEREX 300</v>
      </c>
      <c r="I1936" s="796">
        <f>VLOOKUP(G1936,SETTINGS!$B$7:$D$97,3,0)</f>
        <v>0</v>
      </c>
      <c r="J1936" s="670" t="str">
        <f>IFERROR(IF(CURRENCY.FORMAT_1=0,CONCATENATE(TEXT(FIXED(ROUND((C1936/EXC.RATE_1),CURRENCY.FORMAT_1),CURRENCY.FORMAT_1,1),"# ##0;-# ##0"),",-"),FIXED(ROUND((C1936/EXC.RATE_1),CURRENCY.FORMAT_1),CURRENCY.FORMAT_1,0)),'DICTIONARY-5'!$A$2)</f>
        <v>663,-</v>
      </c>
      <c r="K1936" s="670" t="str">
        <f>IF(EXC.RATE_2=0,"",IFERROR(IF(CURRENCY.FORMAT_2=0,CONCATENATE(TEXT(FIXED(ROUND(IF(EXC.RATE.SWITCH=1,C1936/EXC.RATE_2,C1936*EXC.RATE_2),CURRENCY.FORMAT_2),CURRENCY.FORMAT_2,1),"# ##0;-# ##0"),",-"),FIXED(ROUND(IF(EXC.RATE.SWITCH=1,C1936/EXC.RATE_2,C1936*EXC.RATE_2),CURRENCY.FORMAT_2),CURRENCY.FORMAT_2,0)),'DICTIONARY-5'!$A$2))</f>
        <v/>
      </c>
      <c r="L1936" s="670" t="str">
        <f>IFERROR(IF(CURRENCY.FORMAT_1=0,CONCATENATE(TEXT(FIXED(ROUND((C1936*(1-I1936)*(1-ADD.DISCOUNT)*(1+MAT.SURCHARGE)/EXC.RATE_1),CURRENCY.FORMAT_1),CURRENCY.FORMAT_1,1),"# ##0;-# ##0"),",-"),FIXED(ROUND((C1936*(1-I1936)*(1-ADD.DISCOUNT)*(1+MAT.SURCHARGE)/EXC.RATE_1),CURRENCY.FORMAT_1),CURRENCY.FORMAT_1,0)),'DICTIONARY-5'!$A$2)</f>
        <v>689,-</v>
      </c>
      <c r="M1936" s="670" t="str">
        <f>IF(EXC.RATE_2=0,"",IFERROR(IF(CURRENCY.FORMAT_2=0,CONCATENATE(TEXT(FIXED(ROUND(IF(EXC.RATE.SWITCH=1,C1936*(1-I1936)*(1-ADD.DISCOUNT)*(1+MAT.SURCHARGE)/EXC.RATE_2,C1936*(1-I1936)*(1-ADD.DISCOUNT)*(1+MAT.SURCHARGE)*EXC.RATE_2),CURRENCY.FORMAT_2),CURRENCY.FORMAT_2,1),"# ##0;-# ##0"),",-"),FIXED(ROUND(IF(EXC.RATE.SWITCH=1,C1936*(1-I1936)*(1-ADD.DISCOUNT)*(1+MAT.SURCHARGE)/EXC.RATE_2,C1936*(1-I1936)*(1-ADD.DISCOUNT)*(1+MAT.SURCHARGE)*EXC.RATE_2),CURRENCY.FORMAT_2),CURRENCY.FORMAT_2,0)),'DICTIONARY-5'!$A$2))</f>
        <v/>
      </c>
      <c r="N1936" s="541">
        <v>6</v>
      </c>
      <c r="O1936" s="541"/>
      <c r="P1936" s="731" t="str">
        <f>'DICTIONARY-3'!$A$148</f>
        <v>CEREX 300-L</v>
      </c>
      <c r="Q1936" s="731" t="str">
        <f>'DICTIONARY-3'!$A$204</f>
        <v>Przepustnica kołnierzowa</v>
      </c>
      <c r="R1936" s="732" t="str">
        <f>CONCATENATE('DICTIONARY-3'!$A$148," ",'DICTIONARY-6'!$A$2," ",'DICTIONARY-2'!$A$2,"250"," ",'DICTIONARY-2'!$A$3,"10"," ","R20"," ",'DICTIONARY-5'!$A$51,"/",'DICTIONARY-5'!$A$44,", ",'DICTIONARY-4'!$A$8," 232-08")</f>
        <v>CEREX 300-L Przep. kołnierz. DN250 PN10 R20 GGG/EPDM, PK 232-08</v>
      </c>
      <c r="S1936" s="733" t="str">
        <f>'DICTIONARY-4'!$A$8</f>
        <v>PK</v>
      </c>
      <c r="T1936" s="732" t="str">
        <f>'DICTIONARY-4'!$A$24</f>
        <v>Przekładnia z kółkiem</v>
      </c>
      <c r="U1936" s="734" t="s">
        <v>5751</v>
      </c>
      <c r="V1936" s="735">
        <v>10</v>
      </c>
      <c r="W1936" s="736"/>
      <c r="X1936" s="737"/>
      <c r="Y1936" s="738"/>
      <c r="Z1936" s="739"/>
      <c r="AA1936" s="739"/>
      <c r="AB1936" s="740">
        <v>10</v>
      </c>
      <c r="AC1936" s="741" t="str">
        <f>'DICTIONARY-5'!$A$11&amp;" 20"</f>
        <v>EN 558 szereg 20</v>
      </c>
      <c r="AD1936" s="741" t="str">
        <f>'DICTIONARY-5'!$A$13</f>
        <v>woda pitna</v>
      </c>
      <c r="AE1936" s="742">
        <v>80</v>
      </c>
      <c r="AF1936" s="743">
        <v>30</v>
      </c>
      <c r="AG1936" s="741" t="str">
        <f>'DICTIONARY-5'!$A$23</f>
        <v>powłoka epoksydowa</v>
      </c>
    </row>
    <row r="1937" spans="1:33" x14ac:dyDescent="0.25">
      <c r="A1937" s="754" t="s">
        <v>1633</v>
      </c>
      <c r="B1937" s="866" t="s">
        <v>3915</v>
      </c>
      <c r="C1937" s="836">
        <v>672</v>
      </c>
      <c r="D1937" s="836"/>
      <c r="E1937" s="836"/>
      <c r="F1937" s="836"/>
      <c r="G1937" s="496" t="s">
        <v>7832</v>
      </c>
      <c r="H1937" s="797" t="str">
        <f>VLOOKUP(G1937,SETTINGS!$B$7:$D$97,2,0)</f>
        <v>CEREX 300</v>
      </c>
      <c r="I1937" s="796">
        <f>VLOOKUP(G1937,SETTINGS!$B$7:$D$97,3,0)</f>
        <v>0</v>
      </c>
      <c r="J1937" s="670" t="str">
        <f>IFERROR(IF(CURRENCY.FORMAT_1=0,CONCATENATE(TEXT(FIXED(ROUND((C1937/EXC.RATE_1),CURRENCY.FORMAT_1),CURRENCY.FORMAT_1,1),"# ##0;-# ##0"),",-"),FIXED(ROUND((C1937/EXC.RATE_1),CURRENCY.FORMAT_1),CURRENCY.FORMAT_1,0)),'DICTIONARY-5'!$A$2)</f>
        <v>672,-</v>
      </c>
      <c r="K1937" s="670" t="str">
        <f>IF(EXC.RATE_2=0,"",IFERROR(IF(CURRENCY.FORMAT_2=0,CONCATENATE(TEXT(FIXED(ROUND(IF(EXC.RATE.SWITCH=1,C1937/EXC.RATE_2,C1937*EXC.RATE_2),CURRENCY.FORMAT_2),CURRENCY.FORMAT_2,1),"# ##0;-# ##0"),",-"),FIXED(ROUND(IF(EXC.RATE.SWITCH=1,C1937/EXC.RATE_2,C1937*EXC.RATE_2),CURRENCY.FORMAT_2),CURRENCY.FORMAT_2,0)),'DICTIONARY-5'!$A$2))</f>
        <v/>
      </c>
      <c r="L1937" s="670" t="str">
        <f>IFERROR(IF(CURRENCY.FORMAT_1=0,CONCATENATE(TEXT(FIXED(ROUND((C1937*(1-I1937)*(1-ADD.DISCOUNT)*(1+MAT.SURCHARGE)/EXC.RATE_1),CURRENCY.FORMAT_1),CURRENCY.FORMAT_1,1),"# ##0;-# ##0"),",-"),FIXED(ROUND((C1937*(1-I1937)*(1-ADD.DISCOUNT)*(1+MAT.SURCHARGE)/EXC.RATE_1),CURRENCY.FORMAT_1),CURRENCY.FORMAT_1,0)),'DICTIONARY-5'!$A$2)</f>
        <v>698,-</v>
      </c>
      <c r="M1937" s="670" t="str">
        <f>IF(EXC.RATE_2=0,"",IFERROR(IF(CURRENCY.FORMAT_2=0,CONCATENATE(TEXT(FIXED(ROUND(IF(EXC.RATE.SWITCH=1,C1937*(1-I1937)*(1-ADD.DISCOUNT)*(1+MAT.SURCHARGE)/EXC.RATE_2,C1937*(1-I1937)*(1-ADD.DISCOUNT)*(1+MAT.SURCHARGE)*EXC.RATE_2),CURRENCY.FORMAT_2),CURRENCY.FORMAT_2,1),"# ##0;-# ##0"),",-"),FIXED(ROUND(IF(EXC.RATE.SWITCH=1,C1937*(1-I1937)*(1-ADD.DISCOUNT)*(1+MAT.SURCHARGE)/EXC.RATE_2,C1937*(1-I1937)*(1-ADD.DISCOUNT)*(1+MAT.SURCHARGE)*EXC.RATE_2),CURRENCY.FORMAT_2),CURRENCY.FORMAT_2,0)),'DICTIONARY-5'!$A$2))</f>
        <v/>
      </c>
      <c r="N1937" s="541">
        <v>6</v>
      </c>
      <c r="O1937" s="541"/>
      <c r="P1937" s="731" t="str">
        <f>'DICTIONARY-3'!$A$148</f>
        <v>CEREX 300-L</v>
      </c>
      <c r="Q1937" s="731" t="str">
        <f>'DICTIONARY-3'!$A$204</f>
        <v>Przepustnica kołnierzowa</v>
      </c>
      <c r="R1937" s="732" t="str">
        <f>CONCATENATE('DICTIONARY-3'!$A$148," ",'DICTIONARY-6'!$A$2," ",'DICTIONARY-2'!$A$2,"250"," ",'DICTIONARY-2'!$A$3,"16"," ","R20"," ",'DICTIONARY-5'!$A$51,"/",'DICTIONARY-5'!$A$44,", ",'DICTIONARY-4'!$A$8," 232-08")</f>
        <v>CEREX 300-L Przep. kołnierz. DN250 PN16 R20 GGG/EPDM, PK 232-08</v>
      </c>
      <c r="S1937" s="733" t="str">
        <f>'DICTIONARY-4'!$A$8</f>
        <v>PK</v>
      </c>
      <c r="T1937" s="732" t="str">
        <f>'DICTIONARY-4'!$A$24</f>
        <v>Przekładnia z kółkiem</v>
      </c>
      <c r="U1937" s="734" t="s">
        <v>5751</v>
      </c>
      <c r="V1937" s="735">
        <v>16</v>
      </c>
      <c r="W1937" s="736"/>
      <c r="X1937" s="737"/>
      <c r="Y1937" s="738"/>
      <c r="Z1937" s="739"/>
      <c r="AA1937" s="739"/>
      <c r="AB1937" s="740">
        <v>16</v>
      </c>
      <c r="AC1937" s="741" t="str">
        <f>'DICTIONARY-5'!$A$11&amp;" 20"</f>
        <v>EN 558 szereg 20</v>
      </c>
      <c r="AD1937" s="741" t="str">
        <f>'DICTIONARY-5'!$A$13</f>
        <v>woda pitna</v>
      </c>
      <c r="AE1937" s="742">
        <v>80</v>
      </c>
      <c r="AF1937" s="743">
        <v>29.5</v>
      </c>
      <c r="AG1937" s="741" t="str">
        <f>'DICTIONARY-5'!$A$23</f>
        <v>powłoka epoksydowa</v>
      </c>
    </row>
    <row r="1938" spans="1:33" x14ac:dyDescent="0.25">
      <c r="A1938" s="754" t="s">
        <v>1635</v>
      </c>
      <c r="B1938" s="866" t="s">
        <v>3963</v>
      </c>
      <c r="C1938" s="836">
        <v>903</v>
      </c>
      <c r="D1938" s="836"/>
      <c r="E1938" s="836"/>
      <c r="F1938" s="836"/>
      <c r="G1938" s="496" t="s">
        <v>7832</v>
      </c>
      <c r="H1938" s="797" t="str">
        <f>VLOOKUP(G1938,SETTINGS!$B$7:$D$97,2,0)</f>
        <v>CEREX 300</v>
      </c>
      <c r="I1938" s="796">
        <f>VLOOKUP(G1938,SETTINGS!$B$7:$D$97,3,0)</f>
        <v>0</v>
      </c>
      <c r="J1938" s="670" t="str">
        <f>IFERROR(IF(CURRENCY.FORMAT_1=0,CONCATENATE(TEXT(FIXED(ROUND((C1938/EXC.RATE_1),CURRENCY.FORMAT_1),CURRENCY.FORMAT_1,1),"# ##0;-# ##0"),",-"),FIXED(ROUND((C1938/EXC.RATE_1),CURRENCY.FORMAT_1),CURRENCY.FORMAT_1,0)),'DICTIONARY-5'!$A$2)</f>
        <v>903,-</v>
      </c>
      <c r="K1938" s="670" t="str">
        <f>IF(EXC.RATE_2=0,"",IFERROR(IF(CURRENCY.FORMAT_2=0,CONCATENATE(TEXT(FIXED(ROUND(IF(EXC.RATE.SWITCH=1,C1938/EXC.RATE_2,C1938*EXC.RATE_2),CURRENCY.FORMAT_2),CURRENCY.FORMAT_2,1),"# ##0;-# ##0"),",-"),FIXED(ROUND(IF(EXC.RATE.SWITCH=1,C1938/EXC.RATE_2,C1938*EXC.RATE_2),CURRENCY.FORMAT_2),CURRENCY.FORMAT_2,0)),'DICTIONARY-5'!$A$2))</f>
        <v/>
      </c>
      <c r="L1938" s="670" t="str">
        <f>IFERROR(IF(CURRENCY.FORMAT_1=0,CONCATENATE(TEXT(FIXED(ROUND((C1938*(1-I1938)*(1-ADD.DISCOUNT)*(1+MAT.SURCHARGE)/EXC.RATE_1),CURRENCY.FORMAT_1),CURRENCY.FORMAT_1,1),"# ##0;-# ##0"),",-"),FIXED(ROUND((C1938*(1-I1938)*(1-ADD.DISCOUNT)*(1+MAT.SURCHARGE)/EXC.RATE_1),CURRENCY.FORMAT_1),CURRENCY.FORMAT_1,0)),'DICTIONARY-5'!$A$2)</f>
        <v>938,-</v>
      </c>
      <c r="M1938" s="670" t="str">
        <f>IF(EXC.RATE_2=0,"",IFERROR(IF(CURRENCY.FORMAT_2=0,CONCATENATE(TEXT(FIXED(ROUND(IF(EXC.RATE.SWITCH=1,C1938*(1-I1938)*(1-ADD.DISCOUNT)*(1+MAT.SURCHARGE)/EXC.RATE_2,C1938*(1-I1938)*(1-ADD.DISCOUNT)*(1+MAT.SURCHARGE)*EXC.RATE_2),CURRENCY.FORMAT_2),CURRENCY.FORMAT_2,1),"# ##0;-# ##0"),",-"),FIXED(ROUND(IF(EXC.RATE.SWITCH=1,C1938*(1-I1938)*(1-ADD.DISCOUNT)*(1+MAT.SURCHARGE)/EXC.RATE_2,C1938*(1-I1938)*(1-ADD.DISCOUNT)*(1+MAT.SURCHARGE)*EXC.RATE_2),CURRENCY.FORMAT_2),CURRENCY.FORMAT_2,0)),'DICTIONARY-5'!$A$2))</f>
        <v/>
      </c>
      <c r="N1938" s="541">
        <v>6</v>
      </c>
      <c r="O1938" s="541"/>
      <c r="P1938" s="731" t="str">
        <f>'DICTIONARY-3'!$A$148</f>
        <v>CEREX 300-L</v>
      </c>
      <c r="Q1938" s="731" t="str">
        <f>'DICTIONARY-3'!$A$204</f>
        <v>Przepustnica kołnierzowa</v>
      </c>
      <c r="R1938" s="732" t="str">
        <f>CONCATENATE('DICTIONARY-3'!$A$148," ",'DICTIONARY-6'!$A$2," ",'DICTIONARY-2'!$A$2,"300"," ",'DICTIONARY-2'!$A$3,"10"," ","R20"," ",'DICTIONARY-5'!$A$51,"/",'DICTIONARY-5'!$A$44,", ",'DICTIONARY-4'!$A$8," 232-11")</f>
        <v>CEREX 300-L Przep. kołnierz. DN300 PN10 R20 GGG/EPDM, PK 232-11</v>
      </c>
      <c r="S1938" s="733" t="str">
        <f>'DICTIONARY-4'!$A$8</f>
        <v>PK</v>
      </c>
      <c r="T1938" s="732" t="str">
        <f>'DICTIONARY-4'!$A$24</f>
        <v>Przekładnia z kółkiem</v>
      </c>
      <c r="U1938" s="734" t="s">
        <v>5752</v>
      </c>
      <c r="V1938" s="735">
        <v>10</v>
      </c>
      <c r="W1938" s="736"/>
      <c r="X1938" s="737"/>
      <c r="Y1938" s="738"/>
      <c r="Z1938" s="739"/>
      <c r="AA1938" s="739"/>
      <c r="AB1938" s="740">
        <v>10</v>
      </c>
      <c r="AC1938" s="741" t="str">
        <f>'DICTIONARY-5'!$A$11&amp;" 20"</f>
        <v>EN 558 szereg 20</v>
      </c>
      <c r="AD1938" s="741" t="str">
        <f>'DICTIONARY-5'!$A$13</f>
        <v>woda pitna</v>
      </c>
      <c r="AE1938" s="742">
        <v>80</v>
      </c>
      <c r="AF1938" s="743">
        <v>43.5</v>
      </c>
      <c r="AG1938" s="741" t="str">
        <f>'DICTIONARY-5'!$A$23</f>
        <v>powłoka epoksydowa</v>
      </c>
    </row>
    <row r="1939" spans="1:33" x14ac:dyDescent="0.25">
      <c r="A1939" s="754" t="s">
        <v>1637</v>
      </c>
      <c r="B1939" s="866" t="s">
        <v>3917</v>
      </c>
      <c r="C1939" s="836">
        <v>905</v>
      </c>
      <c r="D1939" s="836"/>
      <c r="E1939" s="836"/>
      <c r="F1939" s="836"/>
      <c r="G1939" s="496" t="s">
        <v>7832</v>
      </c>
      <c r="H1939" s="797" t="str">
        <f>VLOOKUP(G1939,SETTINGS!$B$7:$D$97,2,0)</f>
        <v>CEREX 300</v>
      </c>
      <c r="I1939" s="796">
        <f>VLOOKUP(G1939,SETTINGS!$B$7:$D$97,3,0)</f>
        <v>0</v>
      </c>
      <c r="J1939" s="670" t="str">
        <f>IFERROR(IF(CURRENCY.FORMAT_1=0,CONCATENATE(TEXT(FIXED(ROUND((C1939/EXC.RATE_1),CURRENCY.FORMAT_1),CURRENCY.FORMAT_1,1),"# ##0;-# ##0"),",-"),FIXED(ROUND((C1939/EXC.RATE_1),CURRENCY.FORMAT_1),CURRENCY.FORMAT_1,0)),'DICTIONARY-5'!$A$2)</f>
        <v>905,-</v>
      </c>
      <c r="K1939" s="670" t="str">
        <f>IF(EXC.RATE_2=0,"",IFERROR(IF(CURRENCY.FORMAT_2=0,CONCATENATE(TEXT(FIXED(ROUND(IF(EXC.RATE.SWITCH=1,C1939/EXC.RATE_2,C1939*EXC.RATE_2),CURRENCY.FORMAT_2),CURRENCY.FORMAT_2,1),"# ##0;-# ##0"),",-"),FIXED(ROUND(IF(EXC.RATE.SWITCH=1,C1939/EXC.RATE_2,C1939*EXC.RATE_2),CURRENCY.FORMAT_2),CURRENCY.FORMAT_2,0)),'DICTIONARY-5'!$A$2))</f>
        <v/>
      </c>
      <c r="L1939" s="670" t="str">
        <f>IFERROR(IF(CURRENCY.FORMAT_1=0,CONCATENATE(TEXT(FIXED(ROUND((C1939*(1-I1939)*(1-ADD.DISCOUNT)*(1+MAT.SURCHARGE)/EXC.RATE_1),CURRENCY.FORMAT_1),CURRENCY.FORMAT_1,1),"# ##0;-# ##0"),",-"),FIXED(ROUND((C1939*(1-I1939)*(1-ADD.DISCOUNT)*(1+MAT.SURCHARGE)/EXC.RATE_1),CURRENCY.FORMAT_1),CURRENCY.FORMAT_1,0)),'DICTIONARY-5'!$A$2)</f>
        <v>940,-</v>
      </c>
      <c r="M1939" s="670" t="str">
        <f>IF(EXC.RATE_2=0,"",IFERROR(IF(CURRENCY.FORMAT_2=0,CONCATENATE(TEXT(FIXED(ROUND(IF(EXC.RATE.SWITCH=1,C1939*(1-I1939)*(1-ADD.DISCOUNT)*(1+MAT.SURCHARGE)/EXC.RATE_2,C1939*(1-I1939)*(1-ADD.DISCOUNT)*(1+MAT.SURCHARGE)*EXC.RATE_2),CURRENCY.FORMAT_2),CURRENCY.FORMAT_2,1),"# ##0;-# ##0"),",-"),FIXED(ROUND(IF(EXC.RATE.SWITCH=1,C1939*(1-I1939)*(1-ADD.DISCOUNT)*(1+MAT.SURCHARGE)/EXC.RATE_2,C1939*(1-I1939)*(1-ADD.DISCOUNT)*(1+MAT.SURCHARGE)*EXC.RATE_2),CURRENCY.FORMAT_2),CURRENCY.FORMAT_2,0)),'DICTIONARY-5'!$A$2))</f>
        <v/>
      </c>
      <c r="N1939" s="541">
        <v>6</v>
      </c>
      <c r="O1939" s="541"/>
      <c r="P1939" s="731" t="str">
        <f>'DICTIONARY-3'!$A$148</f>
        <v>CEREX 300-L</v>
      </c>
      <c r="Q1939" s="731" t="str">
        <f>'DICTIONARY-3'!$A$204</f>
        <v>Przepustnica kołnierzowa</v>
      </c>
      <c r="R1939" s="732" t="str">
        <f>CONCATENATE('DICTIONARY-3'!$A$148," ",'DICTIONARY-6'!$A$2," ",'DICTIONARY-2'!$A$2,"300"," ",'DICTIONARY-2'!$A$3,"16"," ","R20"," ",'DICTIONARY-5'!$A$51,"/",'DICTIONARY-5'!$A$44,", ",'DICTIONARY-4'!$A$8," 232-11")</f>
        <v>CEREX 300-L Przep. kołnierz. DN300 PN16 R20 GGG/EPDM, PK 232-11</v>
      </c>
      <c r="S1939" s="733" t="str">
        <f>'DICTIONARY-4'!$A$8</f>
        <v>PK</v>
      </c>
      <c r="T1939" s="732" t="str">
        <f>'DICTIONARY-4'!$A$24</f>
        <v>Przekładnia z kółkiem</v>
      </c>
      <c r="U1939" s="734" t="s">
        <v>5752</v>
      </c>
      <c r="V1939" s="735">
        <v>16</v>
      </c>
      <c r="W1939" s="736"/>
      <c r="X1939" s="737"/>
      <c r="Y1939" s="738"/>
      <c r="Z1939" s="739"/>
      <c r="AA1939" s="739"/>
      <c r="AB1939" s="740">
        <v>16</v>
      </c>
      <c r="AC1939" s="741" t="str">
        <f>'DICTIONARY-5'!$A$11&amp;" 20"</f>
        <v>EN 558 szereg 20</v>
      </c>
      <c r="AD1939" s="741" t="str">
        <f>'DICTIONARY-5'!$A$13</f>
        <v>woda pitna</v>
      </c>
      <c r="AE1939" s="742">
        <v>80</v>
      </c>
      <c r="AF1939" s="743">
        <v>43.5</v>
      </c>
      <c r="AG1939" s="741" t="str">
        <f>'DICTIONARY-5'!$A$23</f>
        <v>powłoka epoksydowa</v>
      </c>
    </row>
    <row r="1940" spans="1:33" x14ac:dyDescent="0.25">
      <c r="A1940" s="754" t="s">
        <v>1639</v>
      </c>
      <c r="B1940" s="866" t="s">
        <v>3967</v>
      </c>
      <c r="C1940" s="836">
        <v>1221</v>
      </c>
      <c r="D1940" s="836"/>
      <c r="E1940" s="836"/>
      <c r="F1940" s="836"/>
      <c r="G1940" s="496" t="s">
        <v>7832</v>
      </c>
      <c r="H1940" s="797" t="str">
        <f>VLOOKUP(G1940,SETTINGS!$B$7:$D$97,2,0)</f>
        <v>CEREX 300</v>
      </c>
      <c r="I1940" s="796">
        <f>VLOOKUP(G1940,SETTINGS!$B$7:$D$97,3,0)</f>
        <v>0</v>
      </c>
      <c r="J1940" s="670" t="str">
        <f>IFERROR(IF(CURRENCY.FORMAT_1=0,CONCATENATE(TEXT(FIXED(ROUND((C1940/EXC.RATE_1),CURRENCY.FORMAT_1),CURRENCY.FORMAT_1,1),"# ##0;-# ##0"),",-"),FIXED(ROUND((C1940/EXC.RATE_1),CURRENCY.FORMAT_1),CURRENCY.FORMAT_1,0)),'DICTIONARY-5'!$A$2)</f>
        <v>1 221,-</v>
      </c>
      <c r="K1940" s="670" t="str">
        <f>IF(EXC.RATE_2=0,"",IFERROR(IF(CURRENCY.FORMAT_2=0,CONCATENATE(TEXT(FIXED(ROUND(IF(EXC.RATE.SWITCH=1,C1940/EXC.RATE_2,C1940*EXC.RATE_2),CURRENCY.FORMAT_2),CURRENCY.FORMAT_2,1),"# ##0;-# ##0"),",-"),FIXED(ROUND(IF(EXC.RATE.SWITCH=1,C1940/EXC.RATE_2,C1940*EXC.RATE_2),CURRENCY.FORMAT_2),CURRENCY.FORMAT_2,0)),'DICTIONARY-5'!$A$2))</f>
        <v/>
      </c>
      <c r="L1940" s="670" t="str">
        <f>IFERROR(IF(CURRENCY.FORMAT_1=0,CONCATENATE(TEXT(FIXED(ROUND((C1940*(1-I1940)*(1-ADD.DISCOUNT)*(1+MAT.SURCHARGE)/EXC.RATE_1),CURRENCY.FORMAT_1),CURRENCY.FORMAT_1,1),"# ##0;-# ##0"),",-"),FIXED(ROUND((C1940*(1-I1940)*(1-ADD.DISCOUNT)*(1+MAT.SURCHARGE)/EXC.RATE_1),CURRENCY.FORMAT_1),CURRENCY.FORMAT_1,0)),'DICTIONARY-5'!$A$2)</f>
        <v>1 269,-</v>
      </c>
      <c r="M1940" s="670" t="str">
        <f>IF(EXC.RATE_2=0,"",IFERROR(IF(CURRENCY.FORMAT_2=0,CONCATENATE(TEXT(FIXED(ROUND(IF(EXC.RATE.SWITCH=1,C1940*(1-I1940)*(1-ADD.DISCOUNT)*(1+MAT.SURCHARGE)/EXC.RATE_2,C1940*(1-I1940)*(1-ADD.DISCOUNT)*(1+MAT.SURCHARGE)*EXC.RATE_2),CURRENCY.FORMAT_2),CURRENCY.FORMAT_2,1),"# ##0;-# ##0"),",-"),FIXED(ROUND(IF(EXC.RATE.SWITCH=1,C1940*(1-I1940)*(1-ADD.DISCOUNT)*(1+MAT.SURCHARGE)/EXC.RATE_2,C1940*(1-I1940)*(1-ADD.DISCOUNT)*(1+MAT.SURCHARGE)*EXC.RATE_2),CURRENCY.FORMAT_2),CURRENCY.FORMAT_2,0)),'DICTIONARY-5'!$A$2))</f>
        <v/>
      </c>
      <c r="N1940" s="541">
        <v>6</v>
      </c>
      <c r="O1940" s="541"/>
      <c r="P1940" s="731" t="str">
        <f>'DICTIONARY-3'!$A$148</f>
        <v>CEREX 300-L</v>
      </c>
      <c r="Q1940" s="731" t="str">
        <f>'DICTIONARY-3'!$A$204</f>
        <v>Przepustnica kołnierzowa</v>
      </c>
      <c r="R1940" s="732" t="str">
        <f>CONCATENATE('DICTIONARY-3'!$A$148," ",'DICTIONARY-6'!$A$2," ",'DICTIONARY-2'!$A$2,"350"," ",'DICTIONARY-2'!$A$3,"10"," ","R20"," ",'DICTIONARY-5'!$A$51,"/",'DICTIONARY-5'!$A$44,", ",'DICTIONARY-4'!$A$8," 232-11")</f>
        <v>CEREX 300-L Przep. kołnierz. DN350 PN10 R20 GGG/EPDM, PK 232-11</v>
      </c>
      <c r="S1940" s="733" t="str">
        <f>'DICTIONARY-4'!$A$8</f>
        <v>PK</v>
      </c>
      <c r="T1940" s="732" t="str">
        <f>'DICTIONARY-4'!$A$24</f>
        <v>Przekładnia z kółkiem</v>
      </c>
      <c r="U1940" s="734" t="s">
        <v>5753</v>
      </c>
      <c r="V1940" s="735">
        <v>10</v>
      </c>
      <c r="W1940" s="736"/>
      <c r="X1940" s="737"/>
      <c r="Y1940" s="738"/>
      <c r="Z1940" s="739"/>
      <c r="AA1940" s="739"/>
      <c r="AB1940" s="740">
        <v>10</v>
      </c>
      <c r="AC1940" s="741" t="str">
        <f>'DICTIONARY-5'!$A$11&amp;" 20"</f>
        <v>EN 558 szereg 20</v>
      </c>
      <c r="AD1940" s="741" t="str">
        <f>'DICTIONARY-5'!$A$13</f>
        <v>woda pitna</v>
      </c>
      <c r="AE1940" s="742">
        <v>80</v>
      </c>
      <c r="AF1940" s="743">
        <v>54</v>
      </c>
      <c r="AG1940" s="741" t="str">
        <f>'DICTIONARY-5'!$A$23</f>
        <v>powłoka epoksydowa</v>
      </c>
    </row>
    <row r="1941" spans="1:33" x14ac:dyDescent="0.25">
      <c r="A1941" s="754" t="s">
        <v>1641</v>
      </c>
      <c r="B1941" s="866" t="s">
        <v>3919</v>
      </c>
      <c r="C1941" s="836">
        <v>1248</v>
      </c>
      <c r="D1941" s="836"/>
      <c r="E1941" s="836"/>
      <c r="F1941" s="836"/>
      <c r="G1941" s="496" t="s">
        <v>7832</v>
      </c>
      <c r="H1941" s="797" t="str">
        <f>VLOOKUP(G1941,SETTINGS!$B$7:$D$97,2,0)</f>
        <v>CEREX 300</v>
      </c>
      <c r="I1941" s="796">
        <f>VLOOKUP(G1941,SETTINGS!$B$7:$D$97,3,0)</f>
        <v>0</v>
      </c>
      <c r="J1941" s="670" t="str">
        <f>IFERROR(IF(CURRENCY.FORMAT_1=0,CONCATENATE(TEXT(FIXED(ROUND((C1941/EXC.RATE_1),CURRENCY.FORMAT_1),CURRENCY.FORMAT_1,1),"# ##0;-# ##0"),",-"),FIXED(ROUND((C1941/EXC.RATE_1),CURRENCY.FORMAT_1),CURRENCY.FORMAT_1,0)),'DICTIONARY-5'!$A$2)</f>
        <v>1 248,-</v>
      </c>
      <c r="K1941" s="670" t="str">
        <f>IF(EXC.RATE_2=0,"",IFERROR(IF(CURRENCY.FORMAT_2=0,CONCATENATE(TEXT(FIXED(ROUND(IF(EXC.RATE.SWITCH=1,C1941/EXC.RATE_2,C1941*EXC.RATE_2),CURRENCY.FORMAT_2),CURRENCY.FORMAT_2,1),"# ##0;-# ##0"),",-"),FIXED(ROUND(IF(EXC.RATE.SWITCH=1,C1941/EXC.RATE_2,C1941*EXC.RATE_2),CURRENCY.FORMAT_2),CURRENCY.FORMAT_2,0)),'DICTIONARY-5'!$A$2))</f>
        <v/>
      </c>
      <c r="L1941" s="670" t="str">
        <f>IFERROR(IF(CURRENCY.FORMAT_1=0,CONCATENATE(TEXT(FIXED(ROUND((C1941*(1-I1941)*(1-ADD.DISCOUNT)*(1+MAT.SURCHARGE)/EXC.RATE_1),CURRENCY.FORMAT_1),CURRENCY.FORMAT_1,1),"# ##0;-# ##0"),",-"),FIXED(ROUND((C1941*(1-I1941)*(1-ADD.DISCOUNT)*(1+MAT.SURCHARGE)/EXC.RATE_1),CURRENCY.FORMAT_1),CURRENCY.FORMAT_1,0)),'DICTIONARY-5'!$A$2)</f>
        <v>1 297,-</v>
      </c>
      <c r="M1941" s="670" t="str">
        <f>IF(EXC.RATE_2=0,"",IFERROR(IF(CURRENCY.FORMAT_2=0,CONCATENATE(TEXT(FIXED(ROUND(IF(EXC.RATE.SWITCH=1,C1941*(1-I1941)*(1-ADD.DISCOUNT)*(1+MAT.SURCHARGE)/EXC.RATE_2,C1941*(1-I1941)*(1-ADD.DISCOUNT)*(1+MAT.SURCHARGE)*EXC.RATE_2),CURRENCY.FORMAT_2),CURRENCY.FORMAT_2,1),"# ##0;-# ##0"),",-"),FIXED(ROUND(IF(EXC.RATE.SWITCH=1,C1941*(1-I1941)*(1-ADD.DISCOUNT)*(1+MAT.SURCHARGE)/EXC.RATE_2,C1941*(1-I1941)*(1-ADD.DISCOUNT)*(1+MAT.SURCHARGE)*EXC.RATE_2),CURRENCY.FORMAT_2),CURRENCY.FORMAT_2,0)),'DICTIONARY-5'!$A$2))</f>
        <v/>
      </c>
      <c r="N1941" s="541">
        <v>6</v>
      </c>
      <c r="O1941" s="541"/>
      <c r="P1941" s="731" t="str">
        <f>'DICTIONARY-3'!$A$148</f>
        <v>CEREX 300-L</v>
      </c>
      <c r="Q1941" s="731" t="str">
        <f>'DICTIONARY-3'!$A$204</f>
        <v>Przepustnica kołnierzowa</v>
      </c>
      <c r="R1941" s="732" t="str">
        <f>CONCATENATE('DICTIONARY-3'!$A$148," ",'DICTIONARY-6'!$A$2," ",'DICTIONARY-2'!$A$2,"350"," ",'DICTIONARY-2'!$A$3,"16"," ","R20"," ",'DICTIONARY-5'!$A$51,"/",'DICTIONARY-5'!$A$44,", ",'DICTIONARY-4'!$A$8," 232-11")</f>
        <v>CEREX 300-L Przep. kołnierz. DN350 PN16 R20 GGG/EPDM, PK 232-11</v>
      </c>
      <c r="S1941" s="733" t="str">
        <f>'DICTIONARY-4'!$A$8</f>
        <v>PK</v>
      </c>
      <c r="T1941" s="732" t="str">
        <f>'DICTIONARY-4'!$A$24</f>
        <v>Przekładnia z kółkiem</v>
      </c>
      <c r="U1941" s="734" t="s">
        <v>5753</v>
      </c>
      <c r="V1941" s="735">
        <v>16</v>
      </c>
      <c r="W1941" s="736"/>
      <c r="X1941" s="737"/>
      <c r="Y1941" s="738"/>
      <c r="Z1941" s="739"/>
      <c r="AA1941" s="739"/>
      <c r="AB1941" s="740">
        <v>16</v>
      </c>
      <c r="AC1941" s="741" t="str">
        <f>'DICTIONARY-5'!$A$11&amp;" 20"</f>
        <v>EN 558 szereg 20</v>
      </c>
      <c r="AD1941" s="741" t="str">
        <f>'DICTIONARY-5'!$A$13</f>
        <v>woda pitna</v>
      </c>
      <c r="AE1941" s="742">
        <v>80</v>
      </c>
      <c r="AF1941" s="743">
        <v>58</v>
      </c>
      <c r="AG1941" s="741" t="str">
        <f>'DICTIONARY-5'!$A$23</f>
        <v>powłoka epoksydowa</v>
      </c>
    </row>
    <row r="1942" spans="1:33" x14ac:dyDescent="0.25">
      <c r="A1942" s="754" t="s">
        <v>1643</v>
      </c>
      <c r="B1942" s="866" t="s">
        <v>3969</v>
      </c>
      <c r="C1942" s="836">
        <v>1530</v>
      </c>
      <c r="D1942" s="836"/>
      <c r="E1942" s="836"/>
      <c r="F1942" s="836"/>
      <c r="G1942" s="496" t="s">
        <v>7832</v>
      </c>
      <c r="H1942" s="797" t="str">
        <f>VLOOKUP(G1942,SETTINGS!$B$7:$D$97,2,0)</f>
        <v>CEREX 300</v>
      </c>
      <c r="I1942" s="796">
        <f>VLOOKUP(G1942,SETTINGS!$B$7:$D$97,3,0)</f>
        <v>0</v>
      </c>
      <c r="J1942" s="670" t="str">
        <f>IFERROR(IF(CURRENCY.FORMAT_1=0,CONCATENATE(TEXT(FIXED(ROUND((C1942/EXC.RATE_1),CURRENCY.FORMAT_1),CURRENCY.FORMAT_1,1),"# ##0;-# ##0"),",-"),FIXED(ROUND((C1942/EXC.RATE_1),CURRENCY.FORMAT_1),CURRENCY.FORMAT_1,0)),'DICTIONARY-5'!$A$2)</f>
        <v>1 530,-</v>
      </c>
      <c r="K1942" s="670" t="str">
        <f>IF(EXC.RATE_2=0,"",IFERROR(IF(CURRENCY.FORMAT_2=0,CONCATENATE(TEXT(FIXED(ROUND(IF(EXC.RATE.SWITCH=1,C1942/EXC.RATE_2,C1942*EXC.RATE_2),CURRENCY.FORMAT_2),CURRENCY.FORMAT_2,1),"# ##0;-# ##0"),",-"),FIXED(ROUND(IF(EXC.RATE.SWITCH=1,C1942/EXC.RATE_2,C1942*EXC.RATE_2),CURRENCY.FORMAT_2),CURRENCY.FORMAT_2,0)),'DICTIONARY-5'!$A$2))</f>
        <v/>
      </c>
      <c r="L1942" s="670" t="str">
        <f>IFERROR(IF(CURRENCY.FORMAT_1=0,CONCATENATE(TEXT(FIXED(ROUND((C1942*(1-I1942)*(1-ADD.DISCOUNT)*(1+MAT.SURCHARGE)/EXC.RATE_1),CURRENCY.FORMAT_1),CURRENCY.FORMAT_1,1),"# ##0;-# ##0"),",-"),FIXED(ROUND((C1942*(1-I1942)*(1-ADD.DISCOUNT)*(1+MAT.SURCHARGE)/EXC.RATE_1),CURRENCY.FORMAT_1),CURRENCY.FORMAT_1,0)),'DICTIONARY-5'!$A$2)</f>
        <v>1 590,-</v>
      </c>
      <c r="M1942" s="670" t="str">
        <f>IF(EXC.RATE_2=0,"",IFERROR(IF(CURRENCY.FORMAT_2=0,CONCATENATE(TEXT(FIXED(ROUND(IF(EXC.RATE.SWITCH=1,C1942*(1-I1942)*(1-ADD.DISCOUNT)*(1+MAT.SURCHARGE)/EXC.RATE_2,C1942*(1-I1942)*(1-ADD.DISCOUNT)*(1+MAT.SURCHARGE)*EXC.RATE_2),CURRENCY.FORMAT_2),CURRENCY.FORMAT_2,1),"# ##0;-# ##0"),",-"),FIXED(ROUND(IF(EXC.RATE.SWITCH=1,C1942*(1-I1942)*(1-ADD.DISCOUNT)*(1+MAT.SURCHARGE)/EXC.RATE_2,C1942*(1-I1942)*(1-ADD.DISCOUNT)*(1+MAT.SURCHARGE)*EXC.RATE_2),CURRENCY.FORMAT_2),CURRENCY.FORMAT_2,0)),'DICTIONARY-5'!$A$2))</f>
        <v/>
      </c>
      <c r="N1942" s="541">
        <v>6</v>
      </c>
      <c r="O1942" s="541"/>
      <c r="P1942" s="731" t="str">
        <f>'DICTIONARY-3'!$A$148</f>
        <v>CEREX 300-L</v>
      </c>
      <c r="Q1942" s="731" t="str">
        <f>'DICTIONARY-3'!$A$204</f>
        <v>Przepustnica kołnierzowa</v>
      </c>
      <c r="R1942" s="732" t="str">
        <f>CONCATENATE('DICTIONARY-3'!$A$148," ",'DICTIONARY-6'!$A$2," ",'DICTIONARY-2'!$A$2,"400"," ",'DICTIONARY-2'!$A$3,"10"," ","R20"," ",'DICTIONARY-5'!$A$51,"/",'DICTIONARY-5'!$A$44,", ",'DICTIONARY-4'!$A$8," 232-14")</f>
        <v>CEREX 300-L Przep. kołnierz. DN400 PN10 R20 GGG/EPDM, PK 232-14</v>
      </c>
      <c r="S1942" s="733" t="str">
        <f>'DICTIONARY-4'!$A$8</f>
        <v>PK</v>
      </c>
      <c r="T1942" s="732" t="str">
        <f>'DICTIONARY-4'!$A$24</f>
        <v>Przekładnia z kółkiem</v>
      </c>
      <c r="U1942" s="734" t="s">
        <v>5754</v>
      </c>
      <c r="V1942" s="735">
        <v>10</v>
      </c>
      <c r="W1942" s="736"/>
      <c r="X1942" s="737"/>
      <c r="Y1942" s="738"/>
      <c r="Z1942" s="739"/>
      <c r="AA1942" s="739"/>
      <c r="AB1942" s="740">
        <v>10</v>
      </c>
      <c r="AC1942" s="741" t="str">
        <f>'DICTIONARY-5'!$A$11&amp;" 20"</f>
        <v>EN 558 szereg 20</v>
      </c>
      <c r="AD1942" s="741" t="str">
        <f>'DICTIONARY-5'!$A$13</f>
        <v>woda pitna</v>
      </c>
      <c r="AE1942" s="742">
        <v>80</v>
      </c>
      <c r="AF1942" s="743">
        <v>82.5</v>
      </c>
      <c r="AG1942" s="741" t="str">
        <f>'DICTIONARY-5'!$A$23</f>
        <v>powłoka epoksydowa</v>
      </c>
    </row>
    <row r="1943" spans="1:33" x14ac:dyDescent="0.25">
      <c r="A1943" s="754" t="s">
        <v>1645</v>
      </c>
      <c r="B1943" s="866" t="s">
        <v>3921</v>
      </c>
      <c r="C1943" s="836">
        <v>1550</v>
      </c>
      <c r="D1943" s="836"/>
      <c r="E1943" s="836"/>
      <c r="F1943" s="836"/>
      <c r="G1943" s="496" t="s">
        <v>7832</v>
      </c>
      <c r="H1943" s="797" t="str">
        <f>VLOOKUP(G1943,SETTINGS!$B$7:$D$97,2,0)</f>
        <v>CEREX 300</v>
      </c>
      <c r="I1943" s="796">
        <f>VLOOKUP(G1943,SETTINGS!$B$7:$D$97,3,0)</f>
        <v>0</v>
      </c>
      <c r="J1943" s="670" t="str">
        <f>IFERROR(IF(CURRENCY.FORMAT_1=0,CONCATENATE(TEXT(FIXED(ROUND((C1943/EXC.RATE_1),CURRENCY.FORMAT_1),CURRENCY.FORMAT_1,1),"# ##0;-# ##0"),",-"),FIXED(ROUND((C1943/EXC.RATE_1),CURRENCY.FORMAT_1),CURRENCY.FORMAT_1,0)),'DICTIONARY-5'!$A$2)</f>
        <v>1 550,-</v>
      </c>
      <c r="K1943" s="670" t="str">
        <f>IF(EXC.RATE_2=0,"",IFERROR(IF(CURRENCY.FORMAT_2=0,CONCATENATE(TEXT(FIXED(ROUND(IF(EXC.RATE.SWITCH=1,C1943/EXC.RATE_2,C1943*EXC.RATE_2),CURRENCY.FORMAT_2),CURRENCY.FORMAT_2,1),"# ##0;-# ##0"),",-"),FIXED(ROUND(IF(EXC.RATE.SWITCH=1,C1943/EXC.RATE_2,C1943*EXC.RATE_2),CURRENCY.FORMAT_2),CURRENCY.FORMAT_2,0)),'DICTIONARY-5'!$A$2))</f>
        <v/>
      </c>
      <c r="L1943" s="670" t="str">
        <f>IFERROR(IF(CURRENCY.FORMAT_1=0,CONCATENATE(TEXT(FIXED(ROUND((C1943*(1-I1943)*(1-ADD.DISCOUNT)*(1+MAT.SURCHARGE)/EXC.RATE_1),CURRENCY.FORMAT_1),CURRENCY.FORMAT_1,1),"# ##0;-# ##0"),",-"),FIXED(ROUND((C1943*(1-I1943)*(1-ADD.DISCOUNT)*(1+MAT.SURCHARGE)/EXC.RATE_1),CURRENCY.FORMAT_1),CURRENCY.FORMAT_1,0)),'DICTIONARY-5'!$A$2)</f>
        <v>1 610,-</v>
      </c>
      <c r="M1943" s="670" t="str">
        <f>IF(EXC.RATE_2=0,"",IFERROR(IF(CURRENCY.FORMAT_2=0,CONCATENATE(TEXT(FIXED(ROUND(IF(EXC.RATE.SWITCH=1,C1943*(1-I1943)*(1-ADD.DISCOUNT)*(1+MAT.SURCHARGE)/EXC.RATE_2,C1943*(1-I1943)*(1-ADD.DISCOUNT)*(1+MAT.SURCHARGE)*EXC.RATE_2),CURRENCY.FORMAT_2),CURRENCY.FORMAT_2,1),"# ##0;-# ##0"),",-"),FIXED(ROUND(IF(EXC.RATE.SWITCH=1,C1943*(1-I1943)*(1-ADD.DISCOUNT)*(1+MAT.SURCHARGE)/EXC.RATE_2,C1943*(1-I1943)*(1-ADD.DISCOUNT)*(1+MAT.SURCHARGE)*EXC.RATE_2),CURRENCY.FORMAT_2),CURRENCY.FORMAT_2,0)),'DICTIONARY-5'!$A$2))</f>
        <v/>
      </c>
      <c r="N1943" s="541">
        <v>6</v>
      </c>
      <c r="O1943" s="541"/>
      <c r="P1943" s="731" t="str">
        <f>'DICTIONARY-3'!$A$148</f>
        <v>CEREX 300-L</v>
      </c>
      <c r="Q1943" s="731" t="str">
        <f>'DICTIONARY-3'!$A$204</f>
        <v>Przepustnica kołnierzowa</v>
      </c>
      <c r="R1943" s="732" t="str">
        <f>CONCATENATE('DICTIONARY-3'!$A$148," ",'DICTIONARY-6'!$A$2," ",'DICTIONARY-2'!$A$2,"400"," ",'DICTIONARY-2'!$A$3,"16"," ","R20"," ",'DICTIONARY-5'!$A$51,"/",'DICTIONARY-5'!$A$44,", ",'DICTIONARY-4'!$A$8," 232-14")</f>
        <v>CEREX 300-L Przep. kołnierz. DN400 PN16 R20 GGG/EPDM, PK 232-14</v>
      </c>
      <c r="S1943" s="733" t="str">
        <f>'DICTIONARY-4'!$A$8</f>
        <v>PK</v>
      </c>
      <c r="T1943" s="732" t="str">
        <f>'DICTIONARY-4'!$A$24</f>
        <v>Przekładnia z kółkiem</v>
      </c>
      <c r="U1943" s="734" t="s">
        <v>5754</v>
      </c>
      <c r="V1943" s="735">
        <v>16</v>
      </c>
      <c r="W1943" s="736"/>
      <c r="X1943" s="737"/>
      <c r="Y1943" s="738"/>
      <c r="Z1943" s="739"/>
      <c r="AA1943" s="739"/>
      <c r="AB1943" s="740">
        <v>16</v>
      </c>
      <c r="AC1943" s="741" t="str">
        <f>'DICTIONARY-5'!$A$11&amp;" 20"</f>
        <v>EN 558 szereg 20</v>
      </c>
      <c r="AD1943" s="741" t="str">
        <f>'DICTIONARY-5'!$A$13</f>
        <v>woda pitna</v>
      </c>
      <c r="AE1943" s="742">
        <v>80</v>
      </c>
      <c r="AF1943" s="743">
        <v>84</v>
      </c>
      <c r="AG1943" s="741" t="str">
        <f>'DICTIONARY-5'!$A$23</f>
        <v>powłoka epoksydowa</v>
      </c>
    </row>
    <row r="1944" spans="1:33" x14ac:dyDescent="0.25">
      <c r="A1944" s="754" t="s">
        <v>1647</v>
      </c>
      <c r="B1944" s="866" t="s">
        <v>3971</v>
      </c>
      <c r="C1944" s="836">
        <v>2451</v>
      </c>
      <c r="D1944" s="836"/>
      <c r="E1944" s="836"/>
      <c r="F1944" s="836"/>
      <c r="G1944" s="496" t="s">
        <v>7832</v>
      </c>
      <c r="H1944" s="797" t="str">
        <f>VLOOKUP(G1944,SETTINGS!$B$7:$D$97,2,0)</f>
        <v>CEREX 300</v>
      </c>
      <c r="I1944" s="796">
        <f>VLOOKUP(G1944,SETTINGS!$B$7:$D$97,3,0)</f>
        <v>0</v>
      </c>
      <c r="J1944" s="670" t="str">
        <f>IFERROR(IF(CURRENCY.FORMAT_1=0,CONCATENATE(TEXT(FIXED(ROUND((C1944/EXC.RATE_1),CURRENCY.FORMAT_1),CURRENCY.FORMAT_1,1),"# ##0;-# ##0"),",-"),FIXED(ROUND((C1944/EXC.RATE_1),CURRENCY.FORMAT_1),CURRENCY.FORMAT_1,0)),'DICTIONARY-5'!$A$2)</f>
        <v>2 451,-</v>
      </c>
      <c r="K1944" s="670" t="str">
        <f>IF(EXC.RATE_2=0,"",IFERROR(IF(CURRENCY.FORMAT_2=0,CONCATENATE(TEXT(FIXED(ROUND(IF(EXC.RATE.SWITCH=1,C1944/EXC.RATE_2,C1944*EXC.RATE_2),CURRENCY.FORMAT_2),CURRENCY.FORMAT_2,1),"# ##0;-# ##0"),",-"),FIXED(ROUND(IF(EXC.RATE.SWITCH=1,C1944/EXC.RATE_2,C1944*EXC.RATE_2),CURRENCY.FORMAT_2),CURRENCY.FORMAT_2,0)),'DICTIONARY-5'!$A$2))</f>
        <v/>
      </c>
      <c r="L1944" s="670" t="str">
        <f>IFERROR(IF(CURRENCY.FORMAT_1=0,CONCATENATE(TEXT(FIXED(ROUND((C1944*(1-I1944)*(1-ADD.DISCOUNT)*(1+MAT.SURCHARGE)/EXC.RATE_1),CURRENCY.FORMAT_1),CURRENCY.FORMAT_1,1),"# ##0;-# ##0"),",-"),FIXED(ROUND((C1944*(1-I1944)*(1-ADD.DISCOUNT)*(1+MAT.SURCHARGE)/EXC.RATE_1),CURRENCY.FORMAT_1),CURRENCY.FORMAT_1,0)),'DICTIONARY-5'!$A$2)</f>
        <v>2 547,-</v>
      </c>
      <c r="M1944" s="670" t="str">
        <f>IF(EXC.RATE_2=0,"",IFERROR(IF(CURRENCY.FORMAT_2=0,CONCATENATE(TEXT(FIXED(ROUND(IF(EXC.RATE.SWITCH=1,C1944*(1-I1944)*(1-ADD.DISCOUNT)*(1+MAT.SURCHARGE)/EXC.RATE_2,C1944*(1-I1944)*(1-ADD.DISCOUNT)*(1+MAT.SURCHARGE)*EXC.RATE_2),CURRENCY.FORMAT_2),CURRENCY.FORMAT_2,1),"# ##0;-# ##0"),",-"),FIXED(ROUND(IF(EXC.RATE.SWITCH=1,C1944*(1-I1944)*(1-ADD.DISCOUNT)*(1+MAT.SURCHARGE)/EXC.RATE_2,C1944*(1-I1944)*(1-ADD.DISCOUNT)*(1+MAT.SURCHARGE)*EXC.RATE_2),CURRENCY.FORMAT_2),CURRENCY.FORMAT_2,0)),'DICTIONARY-5'!$A$2))</f>
        <v/>
      </c>
      <c r="N1944" s="541">
        <v>6</v>
      </c>
      <c r="O1944" s="541"/>
      <c r="P1944" s="731" t="str">
        <f>'DICTIONARY-3'!$A$148</f>
        <v>CEREX 300-L</v>
      </c>
      <c r="Q1944" s="731" t="str">
        <f>'DICTIONARY-3'!$A$204</f>
        <v>Przepustnica kołnierzowa</v>
      </c>
      <c r="R1944" s="732" t="str">
        <f>CONCATENATE('DICTIONARY-3'!$A$148," ",'DICTIONARY-6'!$A$2," ",'DICTIONARY-2'!$A$2,"450"," ",'DICTIONARY-2'!$A$3,"10"," ","R20"," ",'DICTIONARY-5'!$A$51,"/",'DICTIONARY-5'!$A$44,", ",'DICTIONARY-4'!$A$8," AB1250N")</f>
        <v>CEREX 300-L Przep. kołnierz. DN450 PN10 R20 GGG/EPDM, PK AB1250N</v>
      </c>
      <c r="S1944" s="733" t="str">
        <f>'DICTIONARY-4'!$A$8</f>
        <v>PK</v>
      </c>
      <c r="T1944" s="732" t="str">
        <f>'DICTIONARY-4'!$A$24</f>
        <v>Przekładnia z kółkiem</v>
      </c>
      <c r="U1944" s="734" t="s">
        <v>5755</v>
      </c>
      <c r="V1944" s="735">
        <v>10</v>
      </c>
      <c r="W1944" s="736"/>
      <c r="X1944" s="737"/>
      <c r="Y1944" s="738"/>
      <c r="Z1944" s="739"/>
      <c r="AA1944" s="739"/>
      <c r="AB1944" s="740">
        <v>10</v>
      </c>
      <c r="AC1944" s="741" t="str">
        <f>'DICTIONARY-5'!$A$11&amp;" 20"</f>
        <v>EN 558 szereg 20</v>
      </c>
      <c r="AD1944" s="741" t="str">
        <f>'DICTIONARY-5'!$A$13</f>
        <v>woda pitna</v>
      </c>
      <c r="AE1944" s="742">
        <v>80</v>
      </c>
      <c r="AF1944" s="743">
        <v>135</v>
      </c>
      <c r="AG1944" s="741" t="str">
        <f>'DICTIONARY-5'!$A$23</f>
        <v>powłoka epoksydowa</v>
      </c>
    </row>
    <row r="1945" spans="1:33" x14ac:dyDescent="0.25">
      <c r="A1945" s="754" t="s">
        <v>1649</v>
      </c>
      <c r="B1945" s="866" t="s">
        <v>3923</v>
      </c>
      <c r="C1945" s="836">
        <v>2588</v>
      </c>
      <c r="D1945" s="836"/>
      <c r="E1945" s="836"/>
      <c r="F1945" s="836"/>
      <c r="G1945" s="496" t="s">
        <v>7832</v>
      </c>
      <c r="H1945" s="797" t="str">
        <f>VLOOKUP(G1945,SETTINGS!$B$7:$D$97,2,0)</f>
        <v>CEREX 300</v>
      </c>
      <c r="I1945" s="796">
        <f>VLOOKUP(G1945,SETTINGS!$B$7:$D$97,3,0)</f>
        <v>0</v>
      </c>
      <c r="J1945" s="670" t="str">
        <f>IFERROR(IF(CURRENCY.FORMAT_1=0,CONCATENATE(TEXT(FIXED(ROUND((C1945/EXC.RATE_1),CURRENCY.FORMAT_1),CURRENCY.FORMAT_1,1),"# ##0;-# ##0"),",-"),FIXED(ROUND((C1945/EXC.RATE_1),CURRENCY.FORMAT_1),CURRENCY.FORMAT_1,0)),'DICTIONARY-5'!$A$2)</f>
        <v>2 588,-</v>
      </c>
      <c r="K1945" s="670" t="str">
        <f>IF(EXC.RATE_2=0,"",IFERROR(IF(CURRENCY.FORMAT_2=0,CONCATENATE(TEXT(FIXED(ROUND(IF(EXC.RATE.SWITCH=1,C1945/EXC.RATE_2,C1945*EXC.RATE_2),CURRENCY.FORMAT_2),CURRENCY.FORMAT_2,1),"# ##0;-# ##0"),",-"),FIXED(ROUND(IF(EXC.RATE.SWITCH=1,C1945/EXC.RATE_2,C1945*EXC.RATE_2),CURRENCY.FORMAT_2),CURRENCY.FORMAT_2,0)),'DICTIONARY-5'!$A$2))</f>
        <v/>
      </c>
      <c r="L1945" s="670" t="str">
        <f>IFERROR(IF(CURRENCY.FORMAT_1=0,CONCATENATE(TEXT(FIXED(ROUND((C1945*(1-I1945)*(1-ADD.DISCOUNT)*(1+MAT.SURCHARGE)/EXC.RATE_1),CURRENCY.FORMAT_1),CURRENCY.FORMAT_1,1),"# ##0;-# ##0"),",-"),FIXED(ROUND((C1945*(1-I1945)*(1-ADD.DISCOUNT)*(1+MAT.SURCHARGE)/EXC.RATE_1),CURRENCY.FORMAT_1),CURRENCY.FORMAT_1,0)),'DICTIONARY-5'!$A$2)</f>
        <v>2 689,-</v>
      </c>
      <c r="M1945" s="670" t="str">
        <f>IF(EXC.RATE_2=0,"",IFERROR(IF(CURRENCY.FORMAT_2=0,CONCATENATE(TEXT(FIXED(ROUND(IF(EXC.RATE.SWITCH=1,C1945*(1-I1945)*(1-ADD.DISCOUNT)*(1+MAT.SURCHARGE)/EXC.RATE_2,C1945*(1-I1945)*(1-ADD.DISCOUNT)*(1+MAT.SURCHARGE)*EXC.RATE_2),CURRENCY.FORMAT_2),CURRENCY.FORMAT_2,1),"# ##0;-# ##0"),",-"),FIXED(ROUND(IF(EXC.RATE.SWITCH=1,C1945*(1-I1945)*(1-ADD.DISCOUNT)*(1+MAT.SURCHARGE)/EXC.RATE_2,C1945*(1-I1945)*(1-ADD.DISCOUNT)*(1+MAT.SURCHARGE)*EXC.RATE_2),CURRENCY.FORMAT_2),CURRENCY.FORMAT_2,0)),'DICTIONARY-5'!$A$2))</f>
        <v/>
      </c>
      <c r="N1945" s="541">
        <v>6</v>
      </c>
      <c r="O1945" s="541"/>
      <c r="P1945" s="731" t="str">
        <f>'DICTIONARY-3'!$A$148</f>
        <v>CEREX 300-L</v>
      </c>
      <c r="Q1945" s="731" t="str">
        <f>'DICTIONARY-3'!$A$204</f>
        <v>Przepustnica kołnierzowa</v>
      </c>
      <c r="R1945" s="732" t="str">
        <f>CONCATENATE('DICTIONARY-3'!$A$148," ",'DICTIONARY-6'!$A$2," ",'DICTIONARY-2'!$A$2,"450"," ",'DICTIONARY-2'!$A$3,"16"," ",'DICTIONARY-2'!$A$10,"10",'DICTIONARY-2'!$A$20," ","R20"," ",'DICTIONARY-5'!$A$51,"/",'DICTIONARY-5'!$A$44,", ",'DICTIONARY-4'!$A$8," AB1250N")</f>
        <v>CEREX 300-L Przep. kołnierz. DN450 PN16 PS10bar R20 GGG/EPDM, PK AB1250N</v>
      </c>
      <c r="S1945" s="733" t="str">
        <f>'DICTIONARY-4'!$A$8</f>
        <v>PK</v>
      </c>
      <c r="T1945" s="732" t="str">
        <f>'DICTIONARY-4'!$A$24</f>
        <v>Przekładnia z kółkiem</v>
      </c>
      <c r="U1945" s="734" t="s">
        <v>5755</v>
      </c>
      <c r="V1945" s="735">
        <v>16</v>
      </c>
      <c r="W1945" s="736"/>
      <c r="X1945" s="737"/>
      <c r="Y1945" s="738"/>
      <c r="Z1945" s="739"/>
      <c r="AA1945" s="739"/>
      <c r="AB1945" s="740">
        <v>10</v>
      </c>
      <c r="AC1945" s="741" t="str">
        <f>'DICTIONARY-5'!$A$11&amp;" 20"</f>
        <v>EN 558 szereg 20</v>
      </c>
      <c r="AD1945" s="741" t="str">
        <f>'DICTIONARY-5'!$A$13</f>
        <v>woda pitna</v>
      </c>
      <c r="AE1945" s="742">
        <v>80</v>
      </c>
      <c r="AF1945" s="743">
        <v>149</v>
      </c>
      <c r="AG1945" s="741" t="str">
        <f>'DICTIONARY-5'!$A$23</f>
        <v>powłoka epoksydowa</v>
      </c>
    </row>
    <row r="1946" spans="1:33" x14ac:dyDescent="0.25">
      <c r="A1946" s="754" t="s">
        <v>1651</v>
      </c>
      <c r="B1946" s="866" t="s">
        <v>3973</v>
      </c>
      <c r="C1946" s="836">
        <v>3202</v>
      </c>
      <c r="D1946" s="836"/>
      <c r="E1946" s="836"/>
      <c r="F1946" s="836"/>
      <c r="G1946" s="496" t="s">
        <v>7832</v>
      </c>
      <c r="H1946" s="797" t="str">
        <f>VLOOKUP(G1946,SETTINGS!$B$7:$D$97,2,0)</f>
        <v>CEREX 300</v>
      </c>
      <c r="I1946" s="796">
        <f>VLOOKUP(G1946,SETTINGS!$B$7:$D$97,3,0)</f>
        <v>0</v>
      </c>
      <c r="J1946" s="670" t="str">
        <f>IFERROR(IF(CURRENCY.FORMAT_1=0,CONCATENATE(TEXT(FIXED(ROUND((C1946/EXC.RATE_1),CURRENCY.FORMAT_1),CURRENCY.FORMAT_1,1),"# ##0;-# ##0"),",-"),FIXED(ROUND((C1946/EXC.RATE_1),CURRENCY.FORMAT_1),CURRENCY.FORMAT_1,0)),'DICTIONARY-5'!$A$2)</f>
        <v>3 202,-</v>
      </c>
      <c r="K1946" s="670" t="str">
        <f>IF(EXC.RATE_2=0,"",IFERROR(IF(CURRENCY.FORMAT_2=0,CONCATENATE(TEXT(FIXED(ROUND(IF(EXC.RATE.SWITCH=1,C1946/EXC.RATE_2,C1946*EXC.RATE_2),CURRENCY.FORMAT_2),CURRENCY.FORMAT_2,1),"# ##0;-# ##0"),",-"),FIXED(ROUND(IF(EXC.RATE.SWITCH=1,C1946/EXC.RATE_2,C1946*EXC.RATE_2),CURRENCY.FORMAT_2),CURRENCY.FORMAT_2,0)),'DICTIONARY-5'!$A$2))</f>
        <v/>
      </c>
      <c r="L1946" s="670" t="str">
        <f>IFERROR(IF(CURRENCY.FORMAT_1=0,CONCATENATE(TEXT(FIXED(ROUND((C1946*(1-I1946)*(1-ADD.DISCOUNT)*(1+MAT.SURCHARGE)/EXC.RATE_1),CURRENCY.FORMAT_1),CURRENCY.FORMAT_1,1),"# ##0;-# ##0"),",-"),FIXED(ROUND((C1946*(1-I1946)*(1-ADD.DISCOUNT)*(1+MAT.SURCHARGE)/EXC.RATE_1),CURRENCY.FORMAT_1),CURRENCY.FORMAT_1,0)),'DICTIONARY-5'!$A$2)</f>
        <v>3 327,-</v>
      </c>
      <c r="M1946" s="670" t="str">
        <f>IF(EXC.RATE_2=0,"",IFERROR(IF(CURRENCY.FORMAT_2=0,CONCATENATE(TEXT(FIXED(ROUND(IF(EXC.RATE.SWITCH=1,C1946*(1-I1946)*(1-ADD.DISCOUNT)*(1+MAT.SURCHARGE)/EXC.RATE_2,C1946*(1-I1946)*(1-ADD.DISCOUNT)*(1+MAT.SURCHARGE)*EXC.RATE_2),CURRENCY.FORMAT_2),CURRENCY.FORMAT_2,1),"# ##0;-# ##0"),",-"),FIXED(ROUND(IF(EXC.RATE.SWITCH=1,C1946*(1-I1946)*(1-ADD.DISCOUNT)*(1+MAT.SURCHARGE)/EXC.RATE_2,C1946*(1-I1946)*(1-ADD.DISCOUNT)*(1+MAT.SURCHARGE)*EXC.RATE_2),CURRENCY.FORMAT_2),CURRENCY.FORMAT_2,0)),'DICTIONARY-5'!$A$2))</f>
        <v/>
      </c>
      <c r="N1946" s="541">
        <v>6</v>
      </c>
      <c r="O1946" s="541"/>
      <c r="P1946" s="731" t="str">
        <f>'DICTIONARY-3'!$A$148</f>
        <v>CEREX 300-L</v>
      </c>
      <c r="Q1946" s="731" t="str">
        <f>'DICTIONARY-3'!$A$204</f>
        <v>Przepustnica kołnierzowa</v>
      </c>
      <c r="R1946" s="732" t="str">
        <f>CONCATENATE('DICTIONARY-3'!$A$148," ",'DICTIONARY-6'!$A$2," ",'DICTIONARY-2'!$A$2,"500"," ",'DICTIONARY-2'!$A$3,"10"," ","R20"," ",'DICTIONARY-5'!$A$51,"/",'DICTIONARY-5'!$A$44,", ",'DICTIONARY-4'!$A$8," AB1250N")</f>
        <v>CEREX 300-L Przep. kołnierz. DN500 PN10 R20 GGG/EPDM, PK AB1250N</v>
      </c>
      <c r="S1946" s="733" t="str">
        <f>'DICTIONARY-4'!$A$8</f>
        <v>PK</v>
      </c>
      <c r="T1946" s="732" t="str">
        <f>'DICTIONARY-4'!$A$24</f>
        <v>Przekładnia z kółkiem</v>
      </c>
      <c r="U1946" s="734" t="s">
        <v>5756</v>
      </c>
      <c r="V1946" s="735">
        <v>10</v>
      </c>
      <c r="W1946" s="736"/>
      <c r="X1946" s="737"/>
      <c r="Y1946" s="738"/>
      <c r="Z1946" s="739"/>
      <c r="AA1946" s="739"/>
      <c r="AB1946" s="740">
        <v>10</v>
      </c>
      <c r="AC1946" s="741" t="str">
        <f>'DICTIONARY-5'!$A$11&amp;" 20"</f>
        <v>EN 558 szereg 20</v>
      </c>
      <c r="AD1946" s="741" t="str">
        <f>'DICTIONARY-5'!$A$13</f>
        <v>woda pitna</v>
      </c>
      <c r="AE1946" s="742">
        <v>80</v>
      </c>
      <c r="AF1946" s="743">
        <v>159.5</v>
      </c>
      <c r="AG1946" s="741" t="str">
        <f>'DICTIONARY-5'!$A$23</f>
        <v>powłoka epoksydowa</v>
      </c>
    </row>
    <row r="1947" spans="1:33" x14ac:dyDescent="0.25">
      <c r="A1947" s="754" t="s">
        <v>1653</v>
      </c>
      <c r="B1947" s="866" t="s">
        <v>3925</v>
      </c>
      <c r="C1947" s="836">
        <v>3516</v>
      </c>
      <c r="D1947" s="836"/>
      <c r="E1947" s="836"/>
      <c r="F1947" s="836"/>
      <c r="G1947" s="496" t="s">
        <v>7832</v>
      </c>
      <c r="H1947" s="797" t="str">
        <f>VLOOKUP(G1947,SETTINGS!$B$7:$D$97,2,0)</f>
        <v>CEREX 300</v>
      </c>
      <c r="I1947" s="796">
        <f>VLOOKUP(G1947,SETTINGS!$B$7:$D$97,3,0)</f>
        <v>0</v>
      </c>
      <c r="J1947" s="670" t="str">
        <f>IFERROR(IF(CURRENCY.FORMAT_1=0,CONCATENATE(TEXT(FIXED(ROUND((C1947/EXC.RATE_1),CURRENCY.FORMAT_1),CURRENCY.FORMAT_1,1),"# ##0;-# ##0"),",-"),FIXED(ROUND((C1947/EXC.RATE_1),CURRENCY.FORMAT_1),CURRENCY.FORMAT_1,0)),'DICTIONARY-5'!$A$2)</f>
        <v>3 516,-</v>
      </c>
      <c r="K1947" s="670" t="str">
        <f>IF(EXC.RATE_2=0,"",IFERROR(IF(CURRENCY.FORMAT_2=0,CONCATENATE(TEXT(FIXED(ROUND(IF(EXC.RATE.SWITCH=1,C1947/EXC.RATE_2,C1947*EXC.RATE_2),CURRENCY.FORMAT_2),CURRENCY.FORMAT_2,1),"# ##0;-# ##0"),",-"),FIXED(ROUND(IF(EXC.RATE.SWITCH=1,C1947/EXC.RATE_2,C1947*EXC.RATE_2),CURRENCY.FORMAT_2),CURRENCY.FORMAT_2,0)),'DICTIONARY-5'!$A$2))</f>
        <v/>
      </c>
      <c r="L1947" s="670" t="str">
        <f>IFERROR(IF(CURRENCY.FORMAT_1=0,CONCATENATE(TEXT(FIXED(ROUND((C1947*(1-I1947)*(1-ADD.DISCOUNT)*(1+MAT.SURCHARGE)/EXC.RATE_1),CURRENCY.FORMAT_1),CURRENCY.FORMAT_1,1),"# ##0;-# ##0"),",-"),FIXED(ROUND((C1947*(1-I1947)*(1-ADD.DISCOUNT)*(1+MAT.SURCHARGE)/EXC.RATE_1),CURRENCY.FORMAT_1),CURRENCY.FORMAT_1,0)),'DICTIONARY-5'!$A$2)</f>
        <v>3 653,-</v>
      </c>
      <c r="M1947" s="670" t="str">
        <f>IF(EXC.RATE_2=0,"",IFERROR(IF(CURRENCY.FORMAT_2=0,CONCATENATE(TEXT(FIXED(ROUND(IF(EXC.RATE.SWITCH=1,C1947*(1-I1947)*(1-ADD.DISCOUNT)*(1+MAT.SURCHARGE)/EXC.RATE_2,C1947*(1-I1947)*(1-ADD.DISCOUNT)*(1+MAT.SURCHARGE)*EXC.RATE_2),CURRENCY.FORMAT_2),CURRENCY.FORMAT_2,1),"# ##0;-# ##0"),",-"),FIXED(ROUND(IF(EXC.RATE.SWITCH=1,C1947*(1-I1947)*(1-ADD.DISCOUNT)*(1+MAT.SURCHARGE)/EXC.RATE_2,C1947*(1-I1947)*(1-ADD.DISCOUNT)*(1+MAT.SURCHARGE)*EXC.RATE_2),CURRENCY.FORMAT_2),CURRENCY.FORMAT_2,0)),'DICTIONARY-5'!$A$2))</f>
        <v/>
      </c>
      <c r="N1947" s="541">
        <v>6</v>
      </c>
      <c r="O1947" s="541"/>
      <c r="P1947" s="731" t="str">
        <f>'DICTIONARY-3'!$A$148</f>
        <v>CEREX 300-L</v>
      </c>
      <c r="Q1947" s="731" t="str">
        <f>'DICTIONARY-3'!$A$204</f>
        <v>Przepustnica kołnierzowa</v>
      </c>
      <c r="R1947" s="732" t="str">
        <f>CONCATENATE('DICTIONARY-3'!$A$148," ",'DICTIONARY-6'!$A$2," ",'DICTIONARY-2'!$A$2,"500"," ",'DICTIONARY-2'!$A$3,"16"," ",'DICTIONARY-2'!$A$10,"10",'DICTIONARY-2'!$A$20," ","R20"," ",'DICTIONARY-5'!$A$51,"/",'DICTIONARY-5'!$A$44,", ",'DICTIONARY-4'!$A$8," AB1250N")</f>
        <v>CEREX 300-L Przep. kołnierz. DN500 PN16 PS10bar R20 GGG/EPDM, PK AB1250N</v>
      </c>
      <c r="S1947" s="733" t="str">
        <f>'DICTIONARY-4'!$A$8</f>
        <v>PK</v>
      </c>
      <c r="T1947" s="732" t="str">
        <f>'DICTIONARY-4'!$A$24</f>
        <v>Przekładnia z kółkiem</v>
      </c>
      <c r="U1947" s="734" t="s">
        <v>5756</v>
      </c>
      <c r="V1947" s="735">
        <v>16</v>
      </c>
      <c r="W1947" s="736"/>
      <c r="X1947" s="737"/>
      <c r="Y1947" s="738"/>
      <c r="Z1947" s="739"/>
      <c r="AA1947" s="739"/>
      <c r="AB1947" s="740">
        <v>10</v>
      </c>
      <c r="AC1947" s="741" t="str">
        <f>'DICTIONARY-5'!$A$11&amp;" 20"</f>
        <v>EN 558 szereg 20</v>
      </c>
      <c r="AD1947" s="741" t="str">
        <f>'DICTIONARY-5'!$A$13</f>
        <v>woda pitna</v>
      </c>
      <c r="AE1947" s="742">
        <v>80</v>
      </c>
      <c r="AF1947" s="743">
        <v>184.5</v>
      </c>
      <c r="AG1947" s="741" t="str">
        <f>'DICTIONARY-5'!$A$23</f>
        <v>powłoka epoksydowa</v>
      </c>
    </row>
    <row r="1948" spans="1:33" x14ac:dyDescent="0.25">
      <c r="A1948" s="754" t="s">
        <v>1655</v>
      </c>
      <c r="B1948" s="866" t="s">
        <v>3975</v>
      </c>
      <c r="C1948" s="836">
        <v>4703</v>
      </c>
      <c r="D1948" s="836"/>
      <c r="E1948" s="836"/>
      <c r="F1948" s="836"/>
      <c r="G1948" s="496" t="s">
        <v>7832</v>
      </c>
      <c r="H1948" s="797" t="str">
        <f>VLOOKUP(G1948,SETTINGS!$B$7:$D$97,2,0)</f>
        <v>CEREX 300</v>
      </c>
      <c r="I1948" s="796">
        <f>VLOOKUP(G1948,SETTINGS!$B$7:$D$97,3,0)</f>
        <v>0</v>
      </c>
      <c r="J1948" s="670" t="str">
        <f>IFERROR(IF(CURRENCY.FORMAT_1=0,CONCATENATE(TEXT(FIXED(ROUND((C1948/EXC.RATE_1),CURRENCY.FORMAT_1),CURRENCY.FORMAT_1,1),"# ##0;-# ##0"),",-"),FIXED(ROUND((C1948/EXC.RATE_1),CURRENCY.FORMAT_1),CURRENCY.FORMAT_1,0)),'DICTIONARY-5'!$A$2)</f>
        <v>4 703,-</v>
      </c>
      <c r="K1948" s="670" t="str">
        <f>IF(EXC.RATE_2=0,"",IFERROR(IF(CURRENCY.FORMAT_2=0,CONCATENATE(TEXT(FIXED(ROUND(IF(EXC.RATE.SWITCH=1,C1948/EXC.RATE_2,C1948*EXC.RATE_2),CURRENCY.FORMAT_2),CURRENCY.FORMAT_2,1),"# ##0;-# ##0"),",-"),FIXED(ROUND(IF(EXC.RATE.SWITCH=1,C1948/EXC.RATE_2,C1948*EXC.RATE_2),CURRENCY.FORMAT_2),CURRENCY.FORMAT_2,0)),'DICTIONARY-5'!$A$2))</f>
        <v/>
      </c>
      <c r="L1948" s="670" t="str">
        <f>IFERROR(IF(CURRENCY.FORMAT_1=0,CONCATENATE(TEXT(FIXED(ROUND((C1948*(1-I1948)*(1-ADD.DISCOUNT)*(1+MAT.SURCHARGE)/EXC.RATE_1),CURRENCY.FORMAT_1),CURRENCY.FORMAT_1,1),"# ##0;-# ##0"),",-"),FIXED(ROUND((C1948*(1-I1948)*(1-ADD.DISCOUNT)*(1+MAT.SURCHARGE)/EXC.RATE_1),CURRENCY.FORMAT_1),CURRENCY.FORMAT_1,0)),'DICTIONARY-5'!$A$2)</f>
        <v>4 886,-</v>
      </c>
      <c r="M1948" s="670" t="str">
        <f>IF(EXC.RATE_2=0,"",IFERROR(IF(CURRENCY.FORMAT_2=0,CONCATENATE(TEXT(FIXED(ROUND(IF(EXC.RATE.SWITCH=1,C1948*(1-I1948)*(1-ADD.DISCOUNT)*(1+MAT.SURCHARGE)/EXC.RATE_2,C1948*(1-I1948)*(1-ADD.DISCOUNT)*(1+MAT.SURCHARGE)*EXC.RATE_2),CURRENCY.FORMAT_2),CURRENCY.FORMAT_2,1),"# ##0;-# ##0"),",-"),FIXED(ROUND(IF(EXC.RATE.SWITCH=1,C1948*(1-I1948)*(1-ADD.DISCOUNT)*(1+MAT.SURCHARGE)/EXC.RATE_2,C1948*(1-I1948)*(1-ADD.DISCOUNT)*(1+MAT.SURCHARGE)*EXC.RATE_2),CURRENCY.FORMAT_2),CURRENCY.FORMAT_2,0)),'DICTIONARY-5'!$A$2))</f>
        <v/>
      </c>
      <c r="N1948" s="541">
        <v>6</v>
      </c>
      <c r="O1948" s="541"/>
      <c r="P1948" s="731" t="str">
        <f>'DICTIONARY-3'!$A$148</f>
        <v>CEREX 300-L</v>
      </c>
      <c r="Q1948" s="731" t="str">
        <f>'DICTIONARY-3'!$A$204</f>
        <v>Przepustnica kołnierzowa</v>
      </c>
      <c r="R1948" s="732" t="str">
        <f>CONCATENATE('DICTIONARY-3'!$A$148," ",'DICTIONARY-6'!$A$2," ",'DICTIONARY-2'!$A$2,"600"," ",'DICTIONARY-2'!$A$3,"10"," ","R20"," ",'DICTIONARY-5'!$A$51,"/",'DICTIONARY-5'!$A$44,", ",'DICTIONARY-4'!$A$8," AB1950N")</f>
        <v>CEREX 300-L Przep. kołnierz. DN600 PN10 R20 GGG/EPDM, PK AB1950N</v>
      </c>
      <c r="S1948" s="733" t="str">
        <f>'DICTIONARY-4'!$A$8</f>
        <v>PK</v>
      </c>
      <c r="T1948" s="732" t="str">
        <f>'DICTIONARY-4'!$A$24</f>
        <v>Przekładnia z kółkiem</v>
      </c>
      <c r="U1948" s="734" t="s">
        <v>5757</v>
      </c>
      <c r="V1948" s="735">
        <v>10</v>
      </c>
      <c r="W1948" s="736"/>
      <c r="X1948" s="737"/>
      <c r="Y1948" s="738"/>
      <c r="Z1948" s="739"/>
      <c r="AA1948" s="739"/>
      <c r="AB1948" s="740">
        <v>10</v>
      </c>
      <c r="AC1948" s="741" t="str">
        <f>'DICTIONARY-5'!$A$11&amp;" 20"</f>
        <v>EN 558 szereg 20</v>
      </c>
      <c r="AD1948" s="741" t="str">
        <f>'DICTIONARY-5'!$A$13</f>
        <v>woda pitna</v>
      </c>
      <c r="AE1948" s="742">
        <v>80</v>
      </c>
      <c r="AF1948" s="743">
        <v>251</v>
      </c>
      <c r="AG1948" s="741" t="str">
        <f>'DICTIONARY-5'!$A$23</f>
        <v>powłoka epoksydowa</v>
      </c>
    </row>
    <row r="1949" spans="1:33" x14ac:dyDescent="0.25">
      <c r="A1949" s="754" t="s">
        <v>1657</v>
      </c>
      <c r="B1949" s="866" t="s">
        <v>3927</v>
      </c>
      <c r="C1949" s="836">
        <v>4595</v>
      </c>
      <c r="D1949" s="836"/>
      <c r="E1949" s="836"/>
      <c r="F1949" s="836"/>
      <c r="G1949" s="496" t="s">
        <v>7832</v>
      </c>
      <c r="H1949" s="797" t="str">
        <f>VLOOKUP(G1949,SETTINGS!$B$7:$D$97,2,0)</f>
        <v>CEREX 300</v>
      </c>
      <c r="I1949" s="796">
        <f>VLOOKUP(G1949,SETTINGS!$B$7:$D$97,3,0)</f>
        <v>0</v>
      </c>
      <c r="J1949" s="670" t="str">
        <f>IFERROR(IF(CURRENCY.FORMAT_1=0,CONCATENATE(TEXT(FIXED(ROUND((C1949/EXC.RATE_1),CURRENCY.FORMAT_1),CURRENCY.FORMAT_1,1),"# ##0;-# ##0"),",-"),FIXED(ROUND((C1949/EXC.RATE_1),CURRENCY.FORMAT_1),CURRENCY.FORMAT_1,0)),'DICTIONARY-5'!$A$2)</f>
        <v>4 595,-</v>
      </c>
      <c r="K1949" s="670" t="str">
        <f>IF(EXC.RATE_2=0,"",IFERROR(IF(CURRENCY.FORMAT_2=0,CONCATENATE(TEXT(FIXED(ROUND(IF(EXC.RATE.SWITCH=1,C1949/EXC.RATE_2,C1949*EXC.RATE_2),CURRENCY.FORMAT_2),CURRENCY.FORMAT_2,1),"# ##0;-# ##0"),",-"),FIXED(ROUND(IF(EXC.RATE.SWITCH=1,C1949/EXC.RATE_2,C1949*EXC.RATE_2),CURRENCY.FORMAT_2),CURRENCY.FORMAT_2,0)),'DICTIONARY-5'!$A$2))</f>
        <v/>
      </c>
      <c r="L1949" s="670" t="str">
        <f>IFERROR(IF(CURRENCY.FORMAT_1=0,CONCATENATE(TEXT(FIXED(ROUND((C1949*(1-I1949)*(1-ADD.DISCOUNT)*(1+MAT.SURCHARGE)/EXC.RATE_1),CURRENCY.FORMAT_1),CURRENCY.FORMAT_1,1),"# ##0;-# ##0"),",-"),FIXED(ROUND((C1949*(1-I1949)*(1-ADD.DISCOUNT)*(1+MAT.SURCHARGE)/EXC.RATE_1),CURRENCY.FORMAT_1),CURRENCY.FORMAT_1,0)),'DICTIONARY-5'!$A$2)</f>
        <v>4 774,-</v>
      </c>
      <c r="M1949" s="670" t="str">
        <f>IF(EXC.RATE_2=0,"",IFERROR(IF(CURRENCY.FORMAT_2=0,CONCATENATE(TEXT(FIXED(ROUND(IF(EXC.RATE.SWITCH=1,C1949*(1-I1949)*(1-ADD.DISCOUNT)*(1+MAT.SURCHARGE)/EXC.RATE_2,C1949*(1-I1949)*(1-ADD.DISCOUNT)*(1+MAT.SURCHARGE)*EXC.RATE_2),CURRENCY.FORMAT_2),CURRENCY.FORMAT_2,1),"# ##0;-# ##0"),",-"),FIXED(ROUND(IF(EXC.RATE.SWITCH=1,C1949*(1-I1949)*(1-ADD.DISCOUNT)*(1+MAT.SURCHARGE)/EXC.RATE_2,C1949*(1-I1949)*(1-ADD.DISCOUNT)*(1+MAT.SURCHARGE)*EXC.RATE_2),CURRENCY.FORMAT_2),CURRENCY.FORMAT_2,0)),'DICTIONARY-5'!$A$2))</f>
        <v/>
      </c>
      <c r="N1949" s="541">
        <v>6</v>
      </c>
      <c r="O1949" s="541"/>
      <c r="P1949" s="731" t="str">
        <f>'DICTIONARY-3'!$A$148</f>
        <v>CEREX 300-L</v>
      </c>
      <c r="Q1949" s="731" t="str">
        <f>'DICTIONARY-3'!$A$204</f>
        <v>Przepustnica kołnierzowa</v>
      </c>
      <c r="R1949" s="732" t="str">
        <f>CONCATENATE('DICTIONARY-3'!$A$148," ",'DICTIONARY-6'!$A$2," ",'DICTIONARY-2'!$A$2,"600"," ",'DICTIONARY-2'!$A$3,"16"," ",'DICTIONARY-2'!$A$10,"10",'DICTIONARY-2'!$A$20," ","R20"," ",'DICTIONARY-5'!$A$51,"/",'DICTIONARY-5'!$A$44,", ",'DICTIONARY-4'!$A$8," AB1950N")</f>
        <v>CEREX 300-L Przep. kołnierz. DN600 PN16 PS10bar R20 GGG/EPDM, PK AB1950N</v>
      </c>
      <c r="S1949" s="733" t="str">
        <f>'DICTIONARY-4'!$A$8</f>
        <v>PK</v>
      </c>
      <c r="T1949" s="732" t="str">
        <f>'DICTIONARY-4'!$A$24</f>
        <v>Przekładnia z kółkiem</v>
      </c>
      <c r="U1949" s="734" t="s">
        <v>5757</v>
      </c>
      <c r="V1949" s="735">
        <v>16</v>
      </c>
      <c r="W1949" s="736"/>
      <c r="X1949" s="737"/>
      <c r="Y1949" s="738"/>
      <c r="Z1949" s="739"/>
      <c r="AA1949" s="739"/>
      <c r="AB1949" s="740">
        <v>10</v>
      </c>
      <c r="AC1949" s="741" t="str">
        <f>'DICTIONARY-5'!$A$11&amp;" 20"</f>
        <v>EN 558 szereg 20</v>
      </c>
      <c r="AD1949" s="741" t="str">
        <f>'DICTIONARY-5'!$A$13</f>
        <v>woda pitna</v>
      </c>
      <c r="AE1949" s="742">
        <v>80</v>
      </c>
      <c r="AF1949" s="743">
        <v>302</v>
      </c>
      <c r="AG1949" s="741" t="str">
        <f>'DICTIONARY-5'!$A$23</f>
        <v>powłoka epoksydowa</v>
      </c>
    </row>
    <row r="1950" spans="1:33" x14ac:dyDescent="0.25">
      <c r="A1950" s="754" t="s">
        <v>1616</v>
      </c>
      <c r="B1950" s="866" t="s">
        <v>3819</v>
      </c>
      <c r="C1950" s="836">
        <v>244</v>
      </c>
      <c r="D1950" s="836"/>
      <c r="E1950" s="836"/>
      <c r="F1950" s="836"/>
      <c r="G1950" s="496" t="s">
        <v>7832</v>
      </c>
      <c r="H1950" s="797" t="str">
        <f>VLOOKUP(G1950,SETTINGS!$B$7:$D$97,2,0)</f>
        <v>CEREX 300</v>
      </c>
      <c r="I1950" s="796">
        <f>VLOOKUP(G1950,SETTINGS!$B$7:$D$97,3,0)</f>
        <v>0</v>
      </c>
      <c r="J1950" s="670" t="str">
        <f>IFERROR(IF(CURRENCY.FORMAT_1=0,CONCATENATE(TEXT(FIXED(ROUND((C1950/EXC.RATE_1),CURRENCY.FORMAT_1),CURRENCY.FORMAT_1,1),"# ##0;-# ##0"),",-"),FIXED(ROUND((C1950/EXC.RATE_1),CURRENCY.FORMAT_1),CURRENCY.FORMAT_1,0)),'DICTIONARY-5'!$A$2)</f>
        <v>244,-</v>
      </c>
      <c r="K1950" s="670" t="str">
        <f>IF(EXC.RATE_2=0,"",IFERROR(IF(CURRENCY.FORMAT_2=0,CONCATENATE(TEXT(FIXED(ROUND(IF(EXC.RATE.SWITCH=1,C1950/EXC.RATE_2,C1950*EXC.RATE_2),CURRENCY.FORMAT_2),CURRENCY.FORMAT_2,1),"# ##0;-# ##0"),",-"),FIXED(ROUND(IF(EXC.RATE.SWITCH=1,C1950/EXC.RATE_2,C1950*EXC.RATE_2),CURRENCY.FORMAT_2),CURRENCY.FORMAT_2,0)),'DICTIONARY-5'!$A$2))</f>
        <v/>
      </c>
      <c r="L1950" s="670" t="str">
        <f>IFERROR(IF(CURRENCY.FORMAT_1=0,CONCATENATE(TEXT(FIXED(ROUND((C1950*(1-I1950)*(1-ADD.DISCOUNT)*(1+MAT.SURCHARGE)/EXC.RATE_1),CURRENCY.FORMAT_1),CURRENCY.FORMAT_1,1),"# ##0;-# ##0"),",-"),FIXED(ROUND((C1950*(1-I1950)*(1-ADD.DISCOUNT)*(1+MAT.SURCHARGE)/EXC.RATE_1),CURRENCY.FORMAT_1),CURRENCY.FORMAT_1,0)),'DICTIONARY-5'!$A$2)</f>
        <v>254,-</v>
      </c>
      <c r="M1950" s="670" t="str">
        <f>IF(EXC.RATE_2=0,"",IFERROR(IF(CURRENCY.FORMAT_2=0,CONCATENATE(TEXT(FIXED(ROUND(IF(EXC.RATE.SWITCH=1,C1950*(1-I1950)*(1-ADD.DISCOUNT)*(1+MAT.SURCHARGE)/EXC.RATE_2,C1950*(1-I1950)*(1-ADD.DISCOUNT)*(1+MAT.SURCHARGE)*EXC.RATE_2),CURRENCY.FORMAT_2),CURRENCY.FORMAT_2,1),"# ##0;-# ##0"),",-"),FIXED(ROUND(IF(EXC.RATE.SWITCH=1,C1950*(1-I1950)*(1-ADD.DISCOUNT)*(1+MAT.SURCHARGE)/EXC.RATE_2,C1950*(1-I1950)*(1-ADD.DISCOUNT)*(1+MAT.SURCHARGE)*EXC.RATE_2),CURRENCY.FORMAT_2),CURRENCY.FORMAT_2,0)),'DICTIONARY-5'!$A$2))</f>
        <v/>
      </c>
      <c r="N1950" s="541">
        <v>6</v>
      </c>
      <c r="O1950" s="541"/>
      <c r="P1950" s="731" t="str">
        <f>'DICTIONARY-3'!$A$148</f>
        <v>CEREX 300-L</v>
      </c>
      <c r="Q1950" s="731" t="str">
        <f>'DICTIONARY-3'!$A$204</f>
        <v>Przepustnica kołnierzowa</v>
      </c>
      <c r="R1950" s="732" t="str">
        <f>CONCATENATE('DICTIONARY-3'!$A$148," ",'DICTIONARY-6'!$A$2," ",'DICTIONARY-2'!$A$2,"50"," ",'DICTIONARY-2'!$A$3,"10/16"," ","R20"," ",'DICTIONARY-5'!$A$37,"/",'DICTIONARY-5'!$A$44,", ",'DICTIONARY-4'!$A$8," 232-05")</f>
        <v>CEREX 300-L Przep. kołnierz. DN50 PN10/16 R20 CF8M/EPDM, PK 232-05</v>
      </c>
      <c r="S1950" s="733" t="str">
        <f>'DICTIONARY-4'!$A$8</f>
        <v>PK</v>
      </c>
      <c r="T1950" s="732" t="str">
        <f>'DICTIONARY-4'!$A$24</f>
        <v>Przekładnia z kółkiem</v>
      </c>
      <c r="U1950" s="734" t="s">
        <v>5748</v>
      </c>
      <c r="V1950" s="735">
        <v>16</v>
      </c>
      <c r="W1950" s="736"/>
      <c r="X1950" s="737"/>
      <c r="Y1950" s="738"/>
      <c r="Z1950" s="739"/>
      <c r="AA1950" s="739"/>
      <c r="AB1950" s="740">
        <v>16</v>
      </c>
      <c r="AC1950" s="741" t="str">
        <f>'DICTIONARY-5'!$A$11&amp;" 20"</f>
        <v>EN 558 szereg 20</v>
      </c>
      <c r="AD1950" s="741" t="str">
        <f>'DICTIONARY-5'!$A$13</f>
        <v>woda pitna</v>
      </c>
      <c r="AE1950" s="742">
        <v>110</v>
      </c>
      <c r="AF1950" s="743">
        <v>4</v>
      </c>
      <c r="AG1950" s="741" t="str">
        <f>'DICTIONARY-5'!$A$23</f>
        <v>powłoka epoksydowa</v>
      </c>
    </row>
    <row r="1951" spans="1:33" x14ac:dyDescent="0.25">
      <c r="A1951" s="754" t="s">
        <v>1618</v>
      </c>
      <c r="B1951" s="866" t="s">
        <v>3825</v>
      </c>
      <c r="C1951" s="836">
        <v>249</v>
      </c>
      <c r="D1951" s="836"/>
      <c r="E1951" s="836"/>
      <c r="F1951" s="836"/>
      <c r="G1951" s="496" t="s">
        <v>7832</v>
      </c>
      <c r="H1951" s="797" t="str">
        <f>VLOOKUP(G1951,SETTINGS!$B$7:$D$97,2,0)</f>
        <v>CEREX 300</v>
      </c>
      <c r="I1951" s="796">
        <f>VLOOKUP(G1951,SETTINGS!$B$7:$D$97,3,0)</f>
        <v>0</v>
      </c>
      <c r="J1951" s="670" t="str">
        <f>IFERROR(IF(CURRENCY.FORMAT_1=0,CONCATENATE(TEXT(FIXED(ROUND((C1951/EXC.RATE_1),CURRENCY.FORMAT_1),CURRENCY.FORMAT_1,1),"# ##0;-# ##0"),",-"),FIXED(ROUND((C1951/EXC.RATE_1),CURRENCY.FORMAT_1),CURRENCY.FORMAT_1,0)),'DICTIONARY-5'!$A$2)</f>
        <v>249,-</v>
      </c>
      <c r="K1951" s="670" t="str">
        <f>IF(EXC.RATE_2=0,"",IFERROR(IF(CURRENCY.FORMAT_2=0,CONCATENATE(TEXT(FIXED(ROUND(IF(EXC.RATE.SWITCH=1,C1951/EXC.RATE_2,C1951*EXC.RATE_2),CURRENCY.FORMAT_2),CURRENCY.FORMAT_2,1),"# ##0;-# ##0"),",-"),FIXED(ROUND(IF(EXC.RATE.SWITCH=1,C1951/EXC.RATE_2,C1951*EXC.RATE_2),CURRENCY.FORMAT_2),CURRENCY.FORMAT_2,0)),'DICTIONARY-5'!$A$2))</f>
        <v/>
      </c>
      <c r="L1951" s="670" t="str">
        <f>IFERROR(IF(CURRENCY.FORMAT_1=0,CONCATENATE(TEXT(FIXED(ROUND((C1951*(1-I1951)*(1-ADD.DISCOUNT)*(1+MAT.SURCHARGE)/EXC.RATE_1),CURRENCY.FORMAT_1),CURRENCY.FORMAT_1,1),"# ##0;-# ##0"),",-"),FIXED(ROUND((C1951*(1-I1951)*(1-ADD.DISCOUNT)*(1+MAT.SURCHARGE)/EXC.RATE_1),CURRENCY.FORMAT_1),CURRENCY.FORMAT_1,0)),'DICTIONARY-5'!$A$2)</f>
        <v>259,-</v>
      </c>
      <c r="M1951" s="670" t="str">
        <f>IF(EXC.RATE_2=0,"",IFERROR(IF(CURRENCY.FORMAT_2=0,CONCATENATE(TEXT(FIXED(ROUND(IF(EXC.RATE.SWITCH=1,C1951*(1-I1951)*(1-ADD.DISCOUNT)*(1+MAT.SURCHARGE)/EXC.RATE_2,C1951*(1-I1951)*(1-ADD.DISCOUNT)*(1+MAT.SURCHARGE)*EXC.RATE_2),CURRENCY.FORMAT_2),CURRENCY.FORMAT_2,1),"# ##0;-# ##0"),",-"),FIXED(ROUND(IF(EXC.RATE.SWITCH=1,C1951*(1-I1951)*(1-ADD.DISCOUNT)*(1+MAT.SURCHARGE)/EXC.RATE_2,C1951*(1-I1951)*(1-ADD.DISCOUNT)*(1+MAT.SURCHARGE)*EXC.RATE_2),CURRENCY.FORMAT_2),CURRENCY.FORMAT_2,0)),'DICTIONARY-5'!$A$2))</f>
        <v/>
      </c>
      <c r="N1951" s="541">
        <v>6</v>
      </c>
      <c r="O1951" s="541"/>
      <c r="P1951" s="731" t="str">
        <f>'DICTIONARY-3'!$A$148</f>
        <v>CEREX 300-L</v>
      </c>
      <c r="Q1951" s="731" t="str">
        <f>'DICTIONARY-3'!$A$204</f>
        <v>Przepustnica kołnierzowa</v>
      </c>
      <c r="R1951" s="732" t="str">
        <f>CONCATENATE('DICTIONARY-3'!$A$148," ",'DICTIONARY-6'!$A$2," ",'DICTIONARY-2'!$A$2,"65"," ",'DICTIONARY-2'!$A$3,"10/16"," ","R20"," ",'DICTIONARY-5'!$A$37,"/",'DICTIONARY-5'!$A$44,", ",'DICTIONARY-4'!$A$8," 232-05")</f>
        <v>CEREX 300-L Przep. kołnierz. DN65 PN10/16 R20 CF8M/EPDM, PK 232-05</v>
      </c>
      <c r="S1951" s="733" t="str">
        <f>'DICTIONARY-4'!$A$8</f>
        <v>PK</v>
      </c>
      <c r="T1951" s="732" t="str">
        <f>'DICTIONARY-4'!$A$24</f>
        <v>Przekładnia z kółkiem</v>
      </c>
      <c r="U1951" s="734" t="s">
        <v>5759</v>
      </c>
      <c r="V1951" s="735">
        <v>16</v>
      </c>
      <c r="W1951" s="736"/>
      <c r="X1951" s="737"/>
      <c r="Y1951" s="738"/>
      <c r="Z1951" s="739"/>
      <c r="AA1951" s="739"/>
      <c r="AB1951" s="740">
        <v>16</v>
      </c>
      <c r="AC1951" s="741" t="str">
        <f>'DICTIONARY-5'!$A$11&amp;" 20"</f>
        <v>EN 558 szereg 20</v>
      </c>
      <c r="AD1951" s="741" t="str">
        <f>'DICTIONARY-5'!$A$13</f>
        <v>woda pitna</v>
      </c>
      <c r="AE1951" s="742">
        <v>110</v>
      </c>
      <c r="AF1951" s="743">
        <v>5</v>
      </c>
      <c r="AG1951" s="741" t="str">
        <f>'DICTIONARY-5'!$A$23</f>
        <v>powłoka epoksydowa</v>
      </c>
    </row>
    <row r="1952" spans="1:33" x14ac:dyDescent="0.25">
      <c r="A1952" s="754" t="s">
        <v>1620</v>
      </c>
      <c r="B1952" s="866" t="s">
        <v>3831</v>
      </c>
      <c r="C1952" s="836">
        <v>282</v>
      </c>
      <c r="D1952" s="836"/>
      <c r="E1952" s="836"/>
      <c r="F1952" s="836"/>
      <c r="G1952" s="496" t="s">
        <v>7832</v>
      </c>
      <c r="H1952" s="797" t="str">
        <f>VLOOKUP(G1952,SETTINGS!$B$7:$D$97,2,0)</f>
        <v>CEREX 300</v>
      </c>
      <c r="I1952" s="796">
        <f>VLOOKUP(G1952,SETTINGS!$B$7:$D$97,3,0)</f>
        <v>0</v>
      </c>
      <c r="J1952" s="670" t="str">
        <f>IFERROR(IF(CURRENCY.FORMAT_1=0,CONCATENATE(TEXT(FIXED(ROUND((C1952/EXC.RATE_1),CURRENCY.FORMAT_1),CURRENCY.FORMAT_1,1),"# ##0;-# ##0"),",-"),FIXED(ROUND((C1952/EXC.RATE_1),CURRENCY.FORMAT_1),CURRENCY.FORMAT_1,0)),'DICTIONARY-5'!$A$2)</f>
        <v>282,-</v>
      </c>
      <c r="K1952" s="670" t="str">
        <f>IF(EXC.RATE_2=0,"",IFERROR(IF(CURRENCY.FORMAT_2=0,CONCATENATE(TEXT(FIXED(ROUND(IF(EXC.RATE.SWITCH=1,C1952/EXC.RATE_2,C1952*EXC.RATE_2),CURRENCY.FORMAT_2),CURRENCY.FORMAT_2,1),"# ##0;-# ##0"),",-"),FIXED(ROUND(IF(EXC.RATE.SWITCH=1,C1952/EXC.RATE_2,C1952*EXC.RATE_2),CURRENCY.FORMAT_2),CURRENCY.FORMAT_2,0)),'DICTIONARY-5'!$A$2))</f>
        <v/>
      </c>
      <c r="L1952" s="670" t="str">
        <f>IFERROR(IF(CURRENCY.FORMAT_1=0,CONCATENATE(TEXT(FIXED(ROUND((C1952*(1-I1952)*(1-ADD.DISCOUNT)*(1+MAT.SURCHARGE)/EXC.RATE_1),CURRENCY.FORMAT_1),CURRENCY.FORMAT_1,1),"# ##0;-# ##0"),",-"),FIXED(ROUND((C1952*(1-I1952)*(1-ADD.DISCOUNT)*(1+MAT.SURCHARGE)/EXC.RATE_1),CURRENCY.FORMAT_1),CURRENCY.FORMAT_1,0)),'DICTIONARY-5'!$A$2)</f>
        <v>293,-</v>
      </c>
      <c r="M1952" s="670" t="str">
        <f>IF(EXC.RATE_2=0,"",IFERROR(IF(CURRENCY.FORMAT_2=0,CONCATENATE(TEXT(FIXED(ROUND(IF(EXC.RATE.SWITCH=1,C1952*(1-I1952)*(1-ADD.DISCOUNT)*(1+MAT.SURCHARGE)/EXC.RATE_2,C1952*(1-I1952)*(1-ADD.DISCOUNT)*(1+MAT.SURCHARGE)*EXC.RATE_2),CURRENCY.FORMAT_2),CURRENCY.FORMAT_2,1),"# ##0;-# ##0"),",-"),FIXED(ROUND(IF(EXC.RATE.SWITCH=1,C1952*(1-I1952)*(1-ADD.DISCOUNT)*(1+MAT.SURCHARGE)/EXC.RATE_2,C1952*(1-I1952)*(1-ADD.DISCOUNT)*(1+MAT.SURCHARGE)*EXC.RATE_2),CURRENCY.FORMAT_2),CURRENCY.FORMAT_2,0)),'DICTIONARY-5'!$A$2))</f>
        <v/>
      </c>
      <c r="N1952" s="541">
        <v>6</v>
      </c>
      <c r="O1952" s="541"/>
      <c r="P1952" s="731" t="str">
        <f>'DICTIONARY-3'!$A$148</f>
        <v>CEREX 300-L</v>
      </c>
      <c r="Q1952" s="731" t="str">
        <f>'DICTIONARY-3'!$A$204</f>
        <v>Przepustnica kołnierzowa</v>
      </c>
      <c r="R1952" s="732" t="str">
        <f>CONCATENATE('DICTIONARY-3'!$A$148," ",'DICTIONARY-6'!$A$2," ",'DICTIONARY-2'!$A$2,"80"," ",'DICTIONARY-2'!$A$3,"10/16"," ","R20"," ",'DICTIONARY-5'!$A$37,"/",'DICTIONARY-5'!$A$44,", ",'DICTIONARY-4'!$A$8," 232-05")</f>
        <v>CEREX 300-L Przep. kołnierz. DN80 PN10/16 R20 CF8M/EPDM, PK 232-05</v>
      </c>
      <c r="S1952" s="733" t="str">
        <f>'DICTIONARY-4'!$A$8</f>
        <v>PK</v>
      </c>
      <c r="T1952" s="732" t="str">
        <f>'DICTIONARY-4'!$A$24</f>
        <v>Przekładnia z kółkiem</v>
      </c>
      <c r="U1952" s="734" t="s">
        <v>5760</v>
      </c>
      <c r="V1952" s="735">
        <v>16</v>
      </c>
      <c r="W1952" s="736"/>
      <c r="X1952" s="737"/>
      <c r="Y1952" s="738"/>
      <c r="Z1952" s="739"/>
      <c r="AA1952" s="739"/>
      <c r="AB1952" s="740">
        <v>16</v>
      </c>
      <c r="AC1952" s="741" t="str">
        <f>'DICTIONARY-5'!$A$11&amp;" 20"</f>
        <v>EN 558 szereg 20</v>
      </c>
      <c r="AD1952" s="741" t="str">
        <f>'DICTIONARY-5'!$A$13</f>
        <v>woda pitna</v>
      </c>
      <c r="AE1952" s="742">
        <v>110</v>
      </c>
      <c r="AF1952" s="743">
        <v>6</v>
      </c>
      <c r="AG1952" s="741" t="str">
        <f>'DICTIONARY-5'!$A$23</f>
        <v>powłoka epoksydowa</v>
      </c>
    </row>
    <row r="1953" spans="1:33" x14ac:dyDescent="0.25">
      <c r="A1953" s="754" t="s">
        <v>1622</v>
      </c>
      <c r="B1953" s="866" t="s">
        <v>3837</v>
      </c>
      <c r="C1953" s="836">
        <v>314</v>
      </c>
      <c r="D1953" s="836"/>
      <c r="E1953" s="836"/>
      <c r="F1953" s="836"/>
      <c r="G1953" s="496" t="s">
        <v>7832</v>
      </c>
      <c r="H1953" s="797" t="str">
        <f>VLOOKUP(G1953,SETTINGS!$B$7:$D$97,2,0)</f>
        <v>CEREX 300</v>
      </c>
      <c r="I1953" s="796">
        <f>VLOOKUP(G1953,SETTINGS!$B$7:$D$97,3,0)</f>
        <v>0</v>
      </c>
      <c r="J1953" s="670" t="str">
        <f>IFERROR(IF(CURRENCY.FORMAT_1=0,CONCATENATE(TEXT(FIXED(ROUND((C1953/EXC.RATE_1),CURRENCY.FORMAT_1),CURRENCY.FORMAT_1,1),"# ##0;-# ##0"),",-"),FIXED(ROUND((C1953/EXC.RATE_1),CURRENCY.FORMAT_1),CURRENCY.FORMAT_1,0)),'DICTIONARY-5'!$A$2)</f>
        <v>314,-</v>
      </c>
      <c r="K1953" s="670" t="str">
        <f>IF(EXC.RATE_2=0,"",IFERROR(IF(CURRENCY.FORMAT_2=0,CONCATENATE(TEXT(FIXED(ROUND(IF(EXC.RATE.SWITCH=1,C1953/EXC.RATE_2,C1953*EXC.RATE_2),CURRENCY.FORMAT_2),CURRENCY.FORMAT_2,1),"# ##0;-# ##0"),",-"),FIXED(ROUND(IF(EXC.RATE.SWITCH=1,C1953/EXC.RATE_2,C1953*EXC.RATE_2),CURRENCY.FORMAT_2),CURRENCY.FORMAT_2,0)),'DICTIONARY-5'!$A$2))</f>
        <v/>
      </c>
      <c r="L1953" s="670" t="str">
        <f>IFERROR(IF(CURRENCY.FORMAT_1=0,CONCATENATE(TEXT(FIXED(ROUND((C1953*(1-I1953)*(1-ADD.DISCOUNT)*(1+MAT.SURCHARGE)/EXC.RATE_1),CURRENCY.FORMAT_1),CURRENCY.FORMAT_1,1),"# ##0;-# ##0"),",-"),FIXED(ROUND((C1953*(1-I1953)*(1-ADD.DISCOUNT)*(1+MAT.SURCHARGE)/EXC.RATE_1),CURRENCY.FORMAT_1),CURRENCY.FORMAT_1,0)),'DICTIONARY-5'!$A$2)</f>
        <v>326,-</v>
      </c>
      <c r="M1953" s="670" t="str">
        <f>IF(EXC.RATE_2=0,"",IFERROR(IF(CURRENCY.FORMAT_2=0,CONCATENATE(TEXT(FIXED(ROUND(IF(EXC.RATE.SWITCH=1,C1953*(1-I1953)*(1-ADD.DISCOUNT)*(1+MAT.SURCHARGE)/EXC.RATE_2,C1953*(1-I1953)*(1-ADD.DISCOUNT)*(1+MAT.SURCHARGE)*EXC.RATE_2),CURRENCY.FORMAT_2),CURRENCY.FORMAT_2,1),"# ##0;-# ##0"),",-"),FIXED(ROUND(IF(EXC.RATE.SWITCH=1,C1953*(1-I1953)*(1-ADD.DISCOUNT)*(1+MAT.SURCHARGE)/EXC.RATE_2,C1953*(1-I1953)*(1-ADD.DISCOUNT)*(1+MAT.SURCHARGE)*EXC.RATE_2),CURRENCY.FORMAT_2),CURRENCY.FORMAT_2,0)),'DICTIONARY-5'!$A$2))</f>
        <v/>
      </c>
      <c r="N1953" s="541">
        <v>6</v>
      </c>
      <c r="O1953" s="541"/>
      <c r="P1953" s="731" t="str">
        <f>'DICTIONARY-3'!$A$148</f>
        <v>CEREX 300-L</v>
      </c>
      <c r="Q1953" s="731" t="str">
        <f>'DICTIONARY-3'!$A$204</f>
        <v>Przepustnica kołnierzowa</v>
      </c>
      <c r="R1953" s="732" t="str">
        <f>CONCATENATE('DICTIONARY-3'!$A$148," ",'DICTIONARY-6'!$A$2," ",'DICTIONARY-2'!$A$2,"100"," ",'DICTIONARY-2'!$A$3,"10/16"," ","R20"," ",'DICTIONARY-5'!$A$37,"/",'DICTIONARY-5'!$A$44,", ",'DICTIONARY-4'!$A$8," 232-05")</f>
        <v>CEREX 300-L Przep. kołnierz. DN100 PN10/16 R20 CF8M/EPDM, PK 232-05</v>
      </c>
      <c r="S1953" s="733" t="str">
        <f>'DICTIONARY-4'!$A$8</f>
        <v>PK</v>
      </c>
      <c r="T1953" s="732" t="str">
        <f>'DICTIONARY-4'!$A$24</f>
        <v>Przekładnia z kółkiem</v>
      </c>
      <c r="U1953" s="734" t="s">
        <v>5749</v>
      </c>
      <c r="V1953" s="735">
        <v>16</v>
      </c>
      <c r="W1953" s="736"/>
      <c r="X1953" s="737"/>
      <c r="Y1953" s="738"/>
      <c r="Z1953" s="739"/>
      <c r="AA1953" s="739"/>
      <c r="AB1953" s="740">
        <v>16</v>
      </c>
      <c r="AC1953" s="741" t="str">
        <f>'DICTIONARY-5'!$A$11&amp;" 20"</f>
        <v>EN 558 szereg 20</v>
      </c>
      <c r="AD1953" s="741" t="str">
        <f>'DICTIONARY-5'!$A$13</f>
        <v>woda pitna</v>
      </c>
      <c r="AE1953" s="742">
        <v>110</v>
      </c>
      <c r="AF1953" s="743">
        <v>8.5</v>
      </c>
      <c r="AG1953" s="741" t="str">
        <f>'DICTIONARY-5'!$A$23</f>
        <v>powłoka epoksydowa</v>
      </c>
    </row>
    <row r="1954" spans="1:33" x14ac:dyDescent="0.25">
      <c r="A1954" s="754" t="s">
        <v>1624</v>
      </c>
      <c r="B1954" s="866" t="s">
        <v>3843</v>
      </c>
      <c r="C1954" s="836">
        <v>355</v>
      </c>
      <c r="D1954" s="836"/>
      <c r="E1954" s="836"/>
      <c r="F1954" s="836"/>
      <c r="G1954" s="496" t="s">
        <v>7832</v>
      </c>
      <c r="H1954" s="797" t="str">
        <f>VLOOKUP(G1954,SETTINGS!$B$7:$D$97,2,0)</f>
        <v>CEREX 300</v>
      </c>
      <c r="I1954" s="796">
        <f>VLOOKUP(G1954,SETTINGS!$B$7:$D$97,3,0)</f>
        <v>0</v>
      </c>
      <c r="J1954" s="670" t="str">
        <f>IFERROR(IF(CURRENCY.FORMAT_1=0,CONCATENATE(TEXT(FIXED(ROUND((C1954/EXC.RATE_1),CURRENCY.FORMAT_1),CURRENCY.FORMAT_1,1),"# ##0;-# ##0"),",-"),FIXED(ROUND((C1954/EXC.RATE_1),CURRENCY.FORMAT_1),CURRENCY.FORMAT_1,0)),'DICTIONARY-5'!$A$2)</f>
        <v>355,-</v>
      </c>
      <c r="K1954" s="670" t="str">
        <f>IF(EXC.RATE_2=0,"",IFERROR(IF(CURRENCY.FORMAT_2=0,CONCATENATE(TEXT(FIXED(ROUND(IF(EXC.RATE.SWITCH=1,C1954/EXC.RATE_2,C1954*EXC.RATE_2),CURRENCY.FORMAT_2),CURRENCY.FORMAT_2,1),"# ##0;-# ##0"),",-"),FIXED(ROUND(IF(EXC.RATE.SWITCH=1,C1954/EXC.RATE_2,C1954*EXC.RATE_2),CURRENCY.FORMAT_2),CURRENCY.FORMAT_2,0)),'DICTIONARY-5'!$A$2))</f>
        <v/>
      </c>
      <c r="L1954" s="670" t="str">
        <f>IFERROR(IF(CURRENCY.FORMAT_1=0,CONCATENATE(TEXT(FIXED(ROUND((C1954*(1-I1954)*(1-ADD.DISCOUNT)*(1+MAT.SURCHARGE)/EXC.RATE_1),CURRENCY.FORMAT_1),CURRENCY.FORMAT_1,1),"# ##0;-# ##0"),",-"),FIXED(ROUND((C1954*(1-I1954)*(1-ADD.DISCOUNT)*(1+MAT.SURCHARGE)/EXC.RATE_1),CURRENCY.FORMAT_1),CURRENCY.FORMAT_1,0)),'DICTIONARY-5'!$A$2)</f>
        <v>369,-</v>
      </c>
      <c r="M1954" s="670" t="str">
        <f>IF(EXC.RATE_2=0,"",IFERROR(IF(CURRENCY.FORMAT_2=0,CONCATENATE(TEXT(FIXED(ROUND(IF(EXC.RATE.SWITCH=1,C1954*(1-I1954)*(1-ADD.DISCOUNT)*(1+MAT.SURCHARGE)/EXC.RATE_2,C1954*(1-I1954)*(1-ADD.DISCOUNT)*(1+MAT.SURCHARGE)*EXC.RATE_2),CURRENCY.FORMAT_2),CURRENCY.FORMAT_2,1),"# ##0;-# ##0"),",-"),FIXED(ROUND(IF(EXC.RATE.SWITCH=1,C1954*(1-I1954)*(1-ADD.DISCOUNT)*(1+MAT.SURCHARGE)/EXC.RATE_2,C1954*(1-I1954)*(1-ADD.DISCOUNT)*(1+MAT.SURCHARGE)*EXC.RATE_2),CURRENCY.FORMAT_2),CURRENCY.FORMAT_2,0)),'DICTIONARY-5'!$A$2))</f>
        <v/>
      </c>
      <c r="N1954" s="541">
        <v>6</v>
      </c>
      <c r="O1954" s="541"/>
      <c r="P1954" s="731" t="str">
        <f>'DICTIONARY-3'!$A$148</f>
        <v>CEREX 300-L</v>
      </c>
      <c r="Q1954" s="731" t="str">
        <f>'DICTIONARY-3'!$A$204</f>
        <v>Przepustnica kołnierzowa</v>
      </c>
      <c r="R1954" s="732" t="str">
        <f>CONCATENATE('DICTIONARY-3'!$A$148," ",'DICTIONARY-6'!$A$2," ",'DICTIONARY-2'!$A$2,"125"," ",'DICTIONARY-2'!$A$3,"10/16"," ","R20"," ",'DICTIONARY-5'!$A$37,"/",'DICTIONARY-5'!$A$44,", ",'DICTIONARY-4'!$A$8," 232-05")</f>
        <v>CEREX 300-L Przep. kołnierz. DN125 PN10/16 R20 CF8M/EPDM, PK 232-05</v>
      </c>
      <c r="S1954" s="733" t="str">
        <f>'DICTIONARY-4'!$A$8</f>
        <v>PK</v>
      </c>
      <c r="T1954" s="732" t="str">
        <f>'DICTIONARY-4'!$A$24</f>
        <v>Przekładnia z kółkiem</v>
      </c>
      <c r="U1954" s="734" t="s">
        <v>5761</v>
      </c>
      <c r="V1954" s="735">
        <v>16</v>
      </c>
      <c r="W1954" s="736"/>
      <c r="X1954" s="737"/>
      <c r="Y1954" s="738"/>
      <c r="Z1954" s="739"/>
      <c r="AA1954" s="739"/>
      <c r="AB1954" s="740">
        <v>16</v>
      </c>
      <c r="AC1954" s="741" t="str">
        <f>'DICTIONARY-5'!$A$11&amp;" 20"</f>
        <v>EN 558 szereg 20</v>
      </c>
      <c r="AD1954" s="741" t="str">
        <f>'DICTIONARY-5'!$A$13</f>
        <v>woda pitna</v>
      </c>
      <c r="AE1954" s="742">
        <v>110</v>
      </c>
      <c r="AF1954" s="743">
        <v>10.5</v>
      </c>
      <c r="AG1954" s="741" t="str">
        <f>'DICTIONARY-5'!$A$23</f>
        <v>powłoka epoksydowa</v>
      </c>
    </row>
    <row r="1955" spans="1:33" x14ac:dyDescent="0.25">
      <c r="A1955" s="754" t="s">
        <v>1626</v>
      </c>
      <c r="B1955" s="866" t="s">
        <v>3849</v>
      </c>
      <c r="C1955" s="836">
        <v>479</v>
      </c>
      <c r="D1955" s="836"/>
      <c r="E1955" s="836"/>
      <c r="F1955" s="836"/>
      <c r="G1955" s="496" t="s">
        <v>7832</v>
      </c>
      <c r="H1955" s="797" t="str">
        <f>VLOOKUP(G1955,SETTINGS!$B$7:$D$97,2,0)</f>
        <v>CEREX 300</v>
      </c>
      <c r="I1955" s="796">
        <f>VLOOKUP(G1955,SETTINGS!$B$7:$D$97,3,0)</f>
        <v>0</v>
      </c>
      <c r="J1955" s="670" t="str">
        <f>IFERROR(IF(CURRENCY.FORMAT_1=0,CONCATENATE(TEXT(FIXED(ROUND((C1955/EXC.RATE_1),CURRENCY.FORMAT_1),CURRENCY.FORMAT_1,1),"# ##0;-# ##0"),",-"),FIXED(ROUND((C1955/EXC.RATE_1),CURRENCY.FORMAT_1),CURRENCY.FORMAT_1,0)),'DICTIONARY-5'!$A$2)</f>
        <v>479,-</v>
      </c>
      <c r="K1955" s="670" t="str">
        <f>IF(EXC.RATE_2=0,"",IFERROR(IF(CURRENCY.FORMAT_2=0,CONCATENATE(TEXT(FIXED(ROUND(IF(EXC.RATE.SWITCH=1,C1955/EXC.RATE_2,C1955*EXC.RATE_2),CURRENCY.FORMAT_2),CURRENCY.FORMAT_2,1),"# ##0;-# ##0"),",-"),FIXED(ROUND(IF(EXC.RATE.SWITCH=1,C1955/EXC.RATE_2,C1955*EXC.RATE_2),CURRENCY.FORMAT_2),CURRENCY.FORMAT_2,0)),'DICTIONARY-5'!$A$2))</f>
        <v/>
      </c>
      <c r="L1955" s="670" t="str">
        <f>IFERROR(IF(CURRENCY.FORMAT_1=0,CONCATENATE(TEXT(FIXED(ROUND((C1955*(1-I1955)*(1-ADD.DISCOUNT)*(1+MAT.SURCHARGE)/EXC.RATE_1),CURRENCY.FORMAT_1),CURRENCY.FORMAT_1,1),"# ##0;-# ##0"),",-"),FIXED(ROUND((C1955*(1-I1955)*(1-ADD.DISCOUNT)*(1+MAT.SURCHARGE)/EXC.RATE_1),CURRENCY.FORMAT_1),CURRENCY.FORMAT_1,0)),'DICTIONARY-5'!$A$2)</f>
        <v>498,-</v>
      </c>
      <c r="M1955" s="670" t="str">
        <f>IF(EXC.RATE_2=0,"",IFERROR(IF(CURRENCY.FORMAT_2=0,CONCATENATE(TEXT(FIXED(ROUND(IF(EXC.RATE.SWITCH=1,C1955*(1-I1955)*(1-ADD.DISCOUNT)*(1+MAT.SURCHARGE)/EXC.RATE_2,C1955*(1-I1955)*(1-ADD.DISCOUNT)*(1+MAT.SURCHARGE)*EXC.RATE_2),CURRENCY.FORMAT_2),CURRENCY.FORMAT_2,1),"# ##0;-# ##0"),",-"),FIXED(ROUND(IF(EXC.RATE.SWITCH=1,C1955*(1-I1955)*(1-ADD.DISCOUNT)*(1+MAT.SURCHARGE)/EXC.RATE_2,C1955*(1-I1955)*(1-ADD.DISCOUNT)*(1+MAT.SURCHARGE)*EXC.RATE_2),CURRENCY.FORMAT_2),CURRENCY.FORMAT_2,0)),'DICTIONARY-5'!$A$2))</f>
        <v/>
      </c>
      <c r="N1955" s="541">
        <v>6</v>
      </c>
      <c r="O1955" s="541"/>
      <c r="P1955" s="731" t="str">
        <f>'DICTIONARY-3'!$A$148</f>
        <v>CEREX 300-L</v>
      </c>
      <c r="Q1955" s="731" t="str">
        <f>'DICTIONARY-3'!$A$204</f>
        <v>Przepustnica kołnierzowa</v>
      </c>
      <c r="R1955" s="732" t="str">
        <f>CONCATENATE('DICTIONARY-3'!$A$148," ",'DICTIONARY-6'!$A$2," ",'DICTIONARY-2'!$A$2,"150"," ",'DICTIONARY-2'!$A$3,"10/16"," ","R20"," ",'DICTIONARY-5'!$A$37,"/",'DICTIONARY-5'!$A$44,", ",'DICTIONARY-4'!$A$8," 232-06")</f>
        <v>CEREX 300-L Przep. kołnierz. DN150 PN10/16 R20 CF8M/EPDM, PK 232-06</v>
      </c>
      <c r="S1955" s="733" t="str">
        <f>'DICTIONARY-4'!$A$8</f>
        <v>PK</v>
      </c>
      <c r="T1955" s="732" t="str">
        <f>'DICTIONARY-4'!$A$24</f>
        <v>Przekładnia z kółkiem</v>
      </c>
      <c r="U1955" s="734" t="s">
        <v>5572</v>
      </c>
      <c r="V1955" s="735">
        <v>16</v>
      </c>
      <c r="W1955" s="736"/>
      <c r="X1955" s="737"/>
      <c r="Y1955" s="738"/>
      <c r="Z1955" s="739"/>
      <c r="AA1955" s="739"/>
      <c r="AB1955" s="740">
        <v>16</v>
      </c>
      <c r="AC1955" s="741" t="str">
        <f>'DICTIONARY-5'!$A$11&amp;" 20"</f>
        <v>EN 558 szereg 20</v>
      </c>
      <c r="AD1955" s="741" t="str">
        <f>'DICTIONARY-5'!$A$13</f>
        <v>woda pitna</v>
      </c>
      <c r="AE1955" s="742">
        <v>110</v>
      </c>
      <c r="AF1955" s="743">
        <v>14</v>
      </c>
      <c r="AG1955" s="741" t="str">
        <f>'DICTIONARY-5'!$A$23</f>
        <v>powłoka epoksydowa</v>
      </c>
    </row>
    <row r="1956" spans="1:33" x14ac:dyDescent="0.25">
      <c r="A1956" s="754" t="s">
        <v>1628</v>
      </c>
      <c r="B1956" s="866" t="s">
        <v>3931</v>
      </c>
      <c r="C1956" s="836">
        <v>635</v>
      </c>
      <c r="D1956" s="836"/>
      <c r="E1956" s="836"/>
      <c r="F1956" s="836"/>
      <c r="G1956" s="496" t="s">
        <v>7832</v>
      </c>
      <c r="H1956" s="797" t="str">
        <f>VLOOKUP(G1956,SETTINGS!$B$7:$D$97,2,0)</f>
        <v>CEREX 300</v>
      </c>
      <c r="I1956" s="796">
        <f>VLOOKUP(G1956,SETTINGS!$B$7:$D$97,3,0)</f>
        <v>0</v>
      </c>
      <c r="J1956" s="670" t="str">
        <f>IFERROR(IF(CURRENCY.FORMAT_1=0,CONCATENATE(TEXT(FIXED(ROUND((C1956/EXC.RATE_1),CURRENCY.FORMAT_1),CURRENCY.FORMAT_1,1),"# ##0;-# ##0"),",-"),FIXED(ROUND((C1956/EXC.RATE_1),CURRENCY.FORMAT_1),CURRENCY.FORMAT_1,0)),'DICTIONARY-5'!$A$2)</f>
        <v>635,-</v>
      </c>
      <c r="K1956" s="670" t="str">
        <f>IF(EXC.RATE_2=0,"",IFERROR(IF(CURRENCY.FORMAT_2=0,CONCATENATE(TEXT(FIXED(ROUND(IF(EXC.RATE.SWITCH=1,C1956/EXC.RATE_2,C1956*EXC.RATE_2),CURRENCY.FORMAT_2),CURRENCY.FORMAT_2,1),"# ##0;-# ##0"),",-"),FIXED(ROUND(IF(EXC.RATE.SWITCH=1,C1956/EXC.RATE_2,C1956*EXC.RATE_2),CURRENCY.FORMAT_2),CURRENCY.FORMAT_2,0)),'DICTIONARY-5'!$A$2))</f>
        <v/>
      </c>
      <c r="L1956" s="670" t="str">
        <f>IFERROR(IF(CURRENCY.FORMAT_1=0,CONCATENATE(TEXT(FIXED(ROUND((C1956*(1-I1956)*(1-ADD.DISCOUNT)*(1+MAT.SURCHARGE)/EXC.RATE_1),CURRENCY.FORMAT_1),CURRENCY.FORMAT_1,1),"# ##0;-# ##0"),",-"),FIXED(ROUND((C1956*(1-I1956)*(1-ADD.DISCOUNT)*(1+MAT.SURCHARGE)/EXC.RATE_1),CURRENCY.FORMAT_1),CURRENCY.FORMAT_1,0)),'DICTIONARY-5'!$A$2)</f>
        <v>660,-</v>
      </c>
      <c r="M1956" s="670" t="str">
        <f>IF(EXC.RATE_2=0,"",IFERROR(IF(CURRENCY.FORMAT_2=0,CONCATENATE(TEXT(FIXED(ROUND(IF(EXC.RATE.SWITCH=1,C1956*(1-I1956)*(1-ADD.DISCOUNT)*(1+MAT.SURCHARGE)/EXC.RATE_2,C1956*(1-I1956)*(1-ADD.DISCOUNT)*(1+MAT.SURCHARGE)*EXC.RATE_2),CURRENCY.FORMAT_2),CURRENCY.FORMAT_2,1),"# ##0;-# ##0"),",-"),FIXED(ROUND(IF(EXC.RATE.SWITCH=1,C1956*(1-I1956)*(1-ADD.DISCOUNT)*(1+MAT.SURCHARGE)/EXC.RATE_2,C1956*(1-I1956)*(1-ADD.DISCOUNT)*(1+MAT.SURCHARGE)*EXC.RATE_2),CURRENCY.FORMAT_2),CURRENCY.FORMAT_2,0)),'DICTIONARY-5'!$A$2))</f>
        <v/>
      </c>
      <c r="N1956" s="541">
        <v>6</v>
      </c>
      <c r="O1956" s="541"/>
      <c r="P1956" s="731" t="str">
        <f>'DICTIONARY-3'!$A$148</f>
        <v>CEREX 300-L</v>
      </c>
      <c r="Q1956" s="731" t="str">
        <f>'DICTIONARY-3'!$A$204</f>
        <v>Przepustnica kołnierzowa</v>
      </c>
      <c r="R1956" s="732" t="str">
        <f>CONCATENATE('DICTIONARY-3'!$A$148," ",'DICTIONARY-6'!$A$2," ",'DICTIONARY-2'!$A$2,"200"," ",'DICTIONARY-2'!$A$3,"10"," ","R20"," ",'DICTIONARY-5'!$A$37,"/",'DICTIONARY-5'!$A$44,", ",'DICTIONARY-4'!$A$8," 232-08")</f>
        <v>CEREX 300-L Przep. kołnierz. DN200 PN10 R20 CF8M/EPDM, PK 232-08</v>
      </c>
      <c r="S1956" s="733" t="str">
        <f>'DICTIONARY-4'!$A$8</f>
        <v>PK</v>
      </c>
      <c r="T1956" s="732" t="str">
        <f>'DICTIONARY-4'!$A$24</f>
        <v>Przekładnia z kółkiem</v>
      </c>
      <c r="U1956" s="734" t="s">
        <v>5750</v>
      </c>
      <c r="V1956" s="735">
        <v>10</v>
      </c>
      <c r="W1956" s="736"/>
      <c r="X1956" s="737"/>
      <c r="Y1956" s="738"/>
      <c r="Z1956" s="739"/>
      <c r="AA1956" s="739"/>
      <c r="AB1956" s="740">
        <v>10</v>
      </c>
      <c r="AC1956" s="741" t="str">
        <f>'DICTIONARY-5'!$A$11&amp;" 20"</f>
        <v>EN 558 szereg 20</v>
      </c>
      <c r="AD1956" s="741" t="str">
        <f>'DICTIONARY-5'!$A$13</f>
        <v>woda pitna</v>
      </c>
      <c r="AE1956" s="742">
        <v>110</v>
      </c>
      <c r="AF1956" s="743">
        <v>20</v>
      </c>
      <c r="AG1956" s="741" t="str">
        <f>'DICTIONARY-5'!$A$23</f>
        <v>powłoka epoksydowa</v>
      </c>
    </row>
    <row r="1957" spans="1:33" x14ac:dyDescent="0.25">
      <c r="A1957" s="754" t="s">
        <v>1630</v>
      </c>
      <c r="B1957" s="866" t="s">
        <v>3855</v>
      </c>
      <c r="C1957" s="836">
        <v>681</v>
      </c>
      <c r="D1957" s="836"/>
      <c r="E1957" s="836"/>
      <c r="F1957" s="836"/>
      <c r="G1957" s="496" t="s">
        <v>7832</v>
      </c>
      <c r="H1957" s="797" t="str">
        <f>VLOOKUP(G1957,SETTINGS!$B$7:$D$97,2,0)</f>
        <v>CEREX 300</v>
      </c>
      <c r="I1957" s="796">
        <f>VLOOKUP(G1957,SETTINGS!$B$7:$D$97,3,0)</f>
        <v>0</v>
      </c>
      <c r="J1957" s="670" t="str">
        <f>IFERROR(IF(CURRENCY.FORMAT_1=0,CONCATENATE(TEXT(FIXED(ROUND((C1957/EXC.RATE_1),CURRENCY.FORMAT_1),CURRENCY.FORMAT_1,1),"# ##0;-# ##0"),",-"),FIXED(ROUND((C1957/EXC.RATE_1),CURRENCY.FORMAT_1),CURRENCY.FORMAT_1,0)),'DICTIONARY-5'!$A$2)</f>
        <v>681,-</v>
      </c>
      <c r="K1957" s="670" t="str">
        <f>IF(EXC.RATE_2=0,"",IFERROR(IF(CURRENCY.FORMAT_2=0,CONCATENATE(TEXT(FIXED(ROUND(IF(EXC.RATE.SWITCH=1,C1957/EXC.RATE_2,C1957*EXC.RATE_2),CURRENCY.FORMAT_2),CURRENCY.FORMAT_2,1),"# ##0;-# ##0"),",-"),FIXED(ROUND(IF(EXC.RATE.SWITCH=1,C1957/EXC.RATE_2,C1957*EXC.RATE_2),CURRENCY.FORMAT_2),CURRENCY.FORMAT_2,0)),'DICTIONARY-5'!$A$2))</f>
        <v/>
      </c>
      <c r="L1957" s="670" t="str">
        <f>IFERROR(IF(CURRENCY.FORMAT_1=0,CONCATENATE(TEXT(FIXED(ROUND((C1957*(1-I1957)*(1-ADD.DISCOUNT)*(1+MAT.SURCHARGE)/EXC.RATE_1),CURRENCY.FORMAT_1),CURRENCY.FORMAT_1,1),"# ##0;-# ##0"),",-"),FIXED(ROUND((C1957*(1-I1957)*(1-ADD.DISCOUNT)*(1+MAT.SURCHARGE)/EXC.RATE_1),CURRENCY.FORMAT_1),CURRENCY.FORMAT_1,0)),'DICTIONARY-5'!$A$2)</f>
        <v>708,-</v>
      </c>
      <c r="M1957" s="670" t="str">
        <f>IF(EXC.RATE_2=0,"",IFERROR(IF(CURRENCY.FORMAT_2=0,CONCATENATE(TEXT(FIXED(ROUND(IF(EXC.RATE.SWITCH=1,C1957*(1-I1957)*(1-ADD.DISCOUNT)*(1+MAT.SURCHARGE)/EXC.RATE_2,C1957*(1-I1957)*(1-ADD.DISCOUNT)*(1+MAT.SURCHARGE)*EXC.RATE_2),CURRENCY.FORMAT_2),CURRENCY.FORMAT_2,1),"# ##0;-# ##0"),",-"),FIXED(ROUND(IF(EXC.RATE.SWITCH=1,C1957*(1-I1957)*(1-ADD.DISCOUNT)*(1+MAT.SURCHARGE)/EXC.RATE_2,C1957*(1-I1957)*(1-ADD.DISCOUNT)*(1+MAT.SURCHARGE)*EXC.RATE_2),CURRENCY.FORMAT_2),CURRENCY.FORMAT_2,0)),'DICTIONARY-5'!$A$2))</f>
        <v/>
      </c>
      <c r="N1957" s="541">
        <v>6</v>
      </c>
      <c r="O1957" s="541"/>
      <c r="P1957" s="731" t="str">
        <f>'DICTIONARY-3'!$A$148</f>
        <v>CEREX 300-L</v>
      </c>
      <c r="Q1957" s="731" t="str">
        <f>'DICTIONARY-3'!$A$204</f>
        <v>Przepustnica kołnierzowa</v>
      </c>
      <c r="R1957" s="732" t="str">
        <f>CONCATENATE('DICTIONARY-3'!$A$148," ",'DICTIONARY-6'!$A$2," ",'DICTIONARY-2'!$A$2,"200"," ",'DICTIONARY-2'!$A$3,"16"," ","R20"," ",'DICTIONARY-5'!$A$37,"/",'DICTIONARY-5'!$A$44,", ",'DICTIONARY-4'!$A$8," 232-08")</f>
        <v>CEREX 300-L Przep. kołnierz. DN200 PN16 R20 CF8M/EPDM, PK 232-08</v>
      </c>
      <c r="S1957" s="733" t="str">
        <f>'DICTIONARY-4'!$A$8</f>
        <v>PK</v>
      </c>
      <c r="T1957" s="732" t="str">
        <f>'DICTIONARY-4'!$A$24</f>
        <v>Przekładnia z kółkiem</v>
      </c>
      <c r="U1957" s="734" t="s">
        <v>5750</v>
      </c>
      <c r="V1957" s="735">
        <v>16</v>
      </c>
      <c r="W1957" s="736"/>
      <c r="X1957" s="737"/>
      <c r="Y1957" s="738"/>
      <c r="Z1957" s="739"/>
      <c r="AA1957" s="739"/>
      <c r="AB1957" s="740">
        <v>16</v>
      </c>
      <c r="AC1957" s="741" t="str">
        <f>'DICTIONARY-5'!$A$11&amp;" 20"</f>
        <v>EN 558 szereg 20</v>
      </c>
      <c r="AD1957" s="741" t="str">
        <f>'DICTIONARY-5'!$A$13</f>
        <v>woda pitna</v>
      </c>
      <c r="AE1957" s="742">
        <v>110</v>
      </c>
      <c r="AF1957" s="743">
        <v>21.5</v>
      </c>
      <c r="AG1957" s="741" t="str">
        <f>'DICTIONARY-5'!$A$23</f>
        <v>powłoka epoksydowa</v>
      </c>
    </row>
    <row r="1958" spans="1:33" x14ac:dyDescent="0.25">
      <c r="A1958" s="754" t="s">
        <v>1632</v>
      </c>
      <c r="B1958" s="866" t="s">
        <v>3935</v>
      </c>
      <c r="C1958" s="836">
        <v>809</v>
      </c>
      <c r="D1958" s="836"/>
      <c r="E1958" s="836"/>
      <c r="F1958" s="836"/>
      <c r="G1958" s="496" t="s">
        <v>7832</v>
      </c>
      <c r="H1958" s="797" t="str">
        <f>VLOOKUP(G1958,SETTINGS!$B$7:$D$97,2,0)</f>
        <v>CEREX 300</v>
      </c>
      <c r="I1958" s="796">
        <f>VLOOKUP(G1958,SETTINGS!$B$7:$D$97,3,0)</f>
        <v>0</v>
      </c>
      <c r="J1958" s="670" t="str">
        <f>IFERROR(IF(CURRENCY.FORMAT_1=0,CONCATENATE(TEXT(FIXED(ROUND((C1958/EXC.RATE_1),CURRENCY.FORMAT_1),CURRENCY.FORMAT_1,1),"# ##0;-# ##0"),",-"),FIXED(ROUND((C1958/EXC.RATE_1),CURRENCY.FORMAT_1),CURRENCY.FORMAT_1,0)),'DICTIONARY-5'!$A$2)</f>
        <v>809,-</v>
      </c>
      <c r="K1958" s="670" t="str">
        <f>IF(EXC.RATE_2=0,"",IFERROR(IF(CURRENCY.FORMAT_2=0,CONCATENATE(TEXT(FIXED(ROUND(IF(EXC.RATE.SWITCH=1,C1958/EXC.RATE_2,C1958*EXC.RATE_2),CURRENCY.FORMAT_2),CURRENCY.FORMAT_2,1),"# ##0;-# ##0"),",-"),FIXED(ROUND(IF(EXC.RATE.SWITCH=1,C1958/EXC.RATE_2,C1958*EXC.RATE_2),CURRENCY.FORMAT_2),CURRENCY.FORMAT_2,0)),'DICTIONARY-5'!$A$2))</f>
        <v/>
      </c>
      <c r="L1958" s="670" t="str">
        <f>IFERROR(IF(CURRENCY.FORMAT_1=0,CONCATENATE(TEXT(FIXED(ROUND((C1958*(1-I1958)*(1-ADD.DISCOUNT)*(1+MAT.SURCHARGE)/EXC.RATE_1),CURRENCY.FORMAT_1),CURRENCY.FORMAT_1,1),"# ##0;-# ##0"),",-"),FIXED(ROUND((C1958*(1-I1958)*(1-ADD.DISCOUNT)*(1+MAT.SURCHARGE)/EXC.RATE_1),CURRENCY.FORMAT_1),CURRENCY.FORMAT_1,0)),'DICTIONARY-5'!$A$2)</f>
        <v>841,-</v>
      </c>
      <c r="M1958" s="670" t="str">
        <f>IF(EXC.RATE_2=0,"",IFERROR(IF(CURRENCY.FORMAT_2=0,CONCATENATE(TEXT(FIXED(ROUND(IF(EXC.RATE.SWITCH=1,C1958*(1-I1958)*(1-ADD.DISCOUNT)*(1+MAT.SURCHARGE)/EXC.RATE_2,C1958*(1-I1958)*(1-ADD.DISCOUNT)*(1+MAT.SURCHARGE)*EXC.RATE_2),CURRENCY.FORMAT_2),CURRENCY.FORMAT_2,1),"# ##0;-# ##0"),",-"),FIXED(ROUND(IF(EXC.RATE.SWITCH=1,C1958*(1-I1958)*(1-ADD.DISCOUNT)*(1+MAT.SURCHARGE)/EXC.RATE_2,C1958*(1-I1958)*(1-ADD.DISCOUNT)*(1+MAT.SURCHARGE)*EXC.RATE_2),CURRENCY.FORMAT_2),CURRENCY.FORMAT_2,0)),'DICTIONARY-5'!$A$2))</f>
        <v/>
      </c>
      <c r="N1958" s="541">
        <v>6</v>
      </c>
      <c r="O1958" s="541"/>
      <c r="P1958" s="731" t="str">
        <f>'DICTIONARY-3'!$A$148</f>
        <v>CEREX 300-L</v>
      </c>
      <c r="Q1958" s="731" t="str">
        <f>'DICTIONARY-3'!$A$204</f>
        <v>Przepustnica kołnierzowa</v>
      </c>
      <c r="R1958" s="732" t="str">
        <f>CONCATENATE('DICTIONARY-3'!$A$148," ",'DICTIONARY-6'!$A$2," ",'DICTIONARY-2'!$A$2,"250"," ",'DICTIONARY-2'!$A$3,"10"," ","R20"," ",'DICTIONARY-5'!$A$37,"/",'DICTIONARY-5'!$A$44,", ",'DICTIONARY-4'!$A$8," 232-08")</f>
        <v>CEREX 300-L Przep. kołnierz. DN250 PN10 R20 CF8M/EPDM, PK 232-08</v>
      </c>
      <c r="S1958" s="733" t="str">
        <f>'DICTIONARY-4'!$A$8</f>
        <v>PK</v>
      </c>
      <c r="T1958" s="732" t="str">
        <f>'DICTIONARY-4'!$A$24</f>
        <v>Przekładnia z kółkiem</v>
      </c>
      <c r="U1958" s="734" t="s">
        <v>5751</v>
      </c>
      <c r="V1958" s="735">
        <v>10</v>
      </c>
      <c r="W1958" s="736"/>
      <c r="X1958" s="737"/>
      <c r="Y1958" s="738"/>
      <c r="Z1958" s="739"/>
      <c r="AA1958" s="739"/>
      <c r="AB1958" s="740">
        <v>10</v>
      </c>
      <c r="AC1958" s="741" t="str">
        <f>'DICTIONARY-5'!$A$11&amp;" 20"</f>
        <v>EN 558 szereg 20</v>
      </c>
      <c r="AD1958" s="741" t="str">
        <f>'DICTIONARY-5'!$A$13</f>
        <v>woda pitna</v>
      </c>
      <c r="AE1958" s="742">
        <v>110</v>
      </c>
      <c r="AF1958" s="743">
        <v>31</v>
      </c>
      <c r="AG1958" s="741" t="str">
        <f>'DICTIONARY-5'!$A$23</f>
        <v>powłoka epoksydowa</v>
      </c>
    </row>
    <row r="1959" spans="1:33" x14ac:dyDescent="0.25">
      <c r="A1959" s="754" t="s">
        <v>1634</v>
      </c>
      <c r="B1959" s="866" t="s">
        <v>3859</v>
      </c>
      <c r="C1959" s="836">
        <v>817</v>
      </c>
      <c r="D1959" s="836"/>
      <c r="E1959" s="836"/>
      <c r="F1959" s="836"/>
      <c r="G1959" s="496" t="s">
        <v>7832</v>
      </c>
      <c r="H1959" s="797" t="str">
        <f>VLOOKUP(G1959,SETTINGS!$B$7:$D$97,2,0)</f>
        <v>CEREX 300</v>
      </c>
      <c r="I1959" s="796">
        <f>VLOOKUP(G1959,SETTINGS!$B$7:$D$97,3,0)</f>
        <v>0</v>
      </c>
      <c r="J1959" s="670" t="str">
        <f>IFERROR(IF(CURRENCY.FORMAT_1=0,CONCATENATE(TEXT(FIXED(ROUND((C1959/EXC.RATE_1),CURRENCY.FORMAT_1),CURRENCY.FORMAT_1,1),"# ##0;-# ##0"),",-"),FIXED(ROUND((C1959/EXC.RATE_1),CURRENCY.FORMAT_1),CURRENCY.FORMAT_1,0)),'DICTIONARY-5'!$A$2)</f>
        <v>817,-</v>
      </c>
      <c r="K1959" s="670" t="str">
        <f>IF(EXC.RATE_2=0,"",IFERROR(IF(CURRENCY.FORMAT_2=0,CONCATENATE(TEXT(FIXED(ROUND(IF(EXC.RATE.SWITCH=1,C1959/EXC.RATE_2,C1959*EXC.RATE_2),CURRENCY.FORMAT_2),CURRENCY.FORMAT_2,1),"# ##0;-# ##0"),",-"),FIXED(ROUND(IF(EXC.RATE.SWITCH=1,C1959/EXC.RATE_2,C1959*EXC.RATE_2),CURRENCY.FORMAT_2),CURRENCY.FORMAT_2,0)),'DICTIONARY-5'!$A$2))</f>
        <v/>
      </c>
      <c r="L1959" s="670" t="str">
        <f>IFERROR(IF(CURRENCY.FORMAT_1=0,CONCATENATE(TEXT(FIXED(ROUND((C1959*(1-I1959)*(1-ADD.DISCOUNT)*(1+MAT.SURCHARGE)/EXC.RATE_1),CURRENCY.FORMAT_1),CURRENCY.FORMAT_1,1),"# ##0;-# ##0"),",-"),FIXED(ROUND((C1959*(1-I1959)*(1-ADD.DISCOUNT)*(1+MAT.SURCHARGE)/EXC.RATE_1),CURRENCY.FORMAT_1),CURRENCY.FORMAT_1,0)),'DICTIONARY-5'!$A$2)</f>
        <v>849,-</v>
      </c>
      <c r="M1959" s="670" t="str">
        <f>IF(EXC.RATE_2=0,"",IFERROR(IF(CURRENCY.FORMAT_2=0,CONCATENATE(TEXT(FIXED(ROUND(IF(EXC.RATE.SWITCH=1,C1959*(1-I1959)*(1-ADD.DISCOUNT)*(1+MAT.SURCHARGE)/EXC.RATE_2,C1959*(1-I1959)*(1-ADD.DISCOUNT)*(1+MAT.SURCHARGE)*EXC.RATE_2),CURRENCY.FORMAT_2),CURRENCY.FORMAT_2,1),"# ##0;-# ##0"),",-"),FIXED(ROUND(IF(EXC.RATE.SWITCH=1,C1959*(1-I1959)*(1-ADD.DISCOUNT)*(1+MAT.SURCHARGE)/EXC.RATE_2,C1959*(1-I1959)*(1-ADD.DISCOUNT)*(1+MAT.SURCHARGE)*EXC.RATE_2),CURRENCY.FORMAT_2),CURRENCY.FORMAT_2,0)),'DICTIONARY-5'!$A$2))</f>
        <v/>
      </c>
      <c r="N1959" s="541">
        <v>6</v>
      </c>
      <c r="O1959" s="541"/>
      <c r="P1959" s="731" t="str">
        <f>'DICTIONARY-3'!$A$148</f>
        <v>CEREX 300-L</v>
      </c>
      <c r="Q1959" s="731" t="str">
        <f>'DICTIONARY-3'!$A$204</f>
        <v>Przepustnica kołnierzowa</v>
      </c>
      <c r="R1959" s="732" t="str">
        <f>CONCATENATE('DICTIONARY-3'!$A$148," ",'DICTIONARY-6'!$A$2," ",'DICTIONARY-2'!$A$2,"250"," ",'DICTIONARY-2'!$A$3,"16"," ","R20"," ",'DICTIONARY-5'!$A$37,"/",'DICTIONARY-5'!$A$44,", ",'DICTIONARY-4'!$A$8," 232-08")</f>
        <v>CEREX 300-L Przep. kołnierz. DN250 PN16 R20 CF8M/EPDM, PK 232-08</v>
      </c>
      <c r="S1959" s="733" t="str">
        <f>'DICTIONARY-4'!$A$8</f>
        <v>PK</v>
      </c>
      <c r="T1959" s="732" t="str">
        <f>'DICTIONARY-4'!$A$24</f>
        <v>Przekładnia z kółkiem</v>
      </c>
      <c r="U1959" s="734" t="s">
        <v>5751</v>
      </c>
      <c r="V1959" s="735">
        <v>16</v>
      </c>
      <c r="W1959" s="736"/>
      <c r="X1959" s="737"/>
      <c r="Y1959" s="738"/>
      <c r="Z1959" s="739"/>
      <c r="AA1959" s="739"/>
      <c r="AB1959" s="740">
        <v>16</v>
      </c>
      <c r="AC1959" s="741" t="str">
        <f>'DICTIONARY-5'!$A$11&amp;" 20"</f>
        <v>EN 558 szereg 20</v>
      </c>
      <c r="AD1959" s="741" t="str">
        <f>'DICTIONARY-5'!$A$13</f>
        <v>woda pitna</v>
      </c>
      <c r="AE1959" s="742">
        <v>110</v>
      </c>
      <c r="AF1959" s="743">
        <v>30.5</v>
      </c>
      <c r="AG1959" s="741" t="str">
        <f>'DICTIONARY-5'!$A$23</f>
        <v>powłoka epoksydowa</v>
      </c>
    </row>
    <row r="1960" spans="1:33" x14ac:dyDescent="0.25">
      <c r="A1960" s="754" t="s">
        <v>1636</v>
      </c>
      <c r="B1960" s="866" t="s">
        <v>3939</v>
      </c>
      <c r="C1960" s="836">
        <v>1117</v>
      </c>
      <c r="D1960" s="836"/>
      <c r="E1960" s="836"/>
      <c r="F1960" s="836"/>
      <c r="G1960" s="496" t="s">
        <v>7832</v>
      </c>
      <c r="H1960" s="797" t="str">
        <f>VLOOKUP(G1960,SETTINGS!$B$7:$D$97,2,0)</f>
        <v>CEREX 300</v>
      </c>
      <c r="I1960" s="796">
        <f>VLOOKUP(G1960,SETTINGS!$B$7:$D$97,3,0)</f>
        <v>0</v>
      </c>
      <c r="J1960" s="670" t="str">
        <f>IFERROR(IF(CURRENCY.FORMAT_1=0,CONCATENATE(TEXT(FIXED(ROUND((C1960/EXC.RATE_1),CURRENCY.FORMAT_1),CURRENCY.FORMAT_1,1),"# ##0;-# ##0"),",-"),FIXED(ROUND((C1960/EXC.RATE_1),CURRENCY.FORMAT_1),CURRENCY.FORMAT_1,0)),'DICTIONARY-5'!$A$2)</f>
        <v>1 117,-</v>
      </c>
      <c r="K1960" s="670" t="str">
        <f>IF(EXC.RATE_2=0,"",IFERROR(IF(CURRENCY.FORMAT_2=0,CONCATENATE(TEXT(FIXED(ROUND(IF(EXC.RATE.SWITCH=1,C1960/EXC.RATE_2,C1960*EXC.RATE_2),CURRENCY.FORMAT_2),CURRENCY.FORMAT_2,1),"# ##0;-# ##0"),",-"),FIXED(ROUND(IF(EXC.RATE.SWITCH=1,C1960/EXC.RATE_2,C1960*EXC.RATE_2),CURRENCY.FORMAT_2),CURRENCY.FORMAT_2,0)),'DICTIONARY-5'!$A$2))</f>
        <v/>
      </c>
      <c r="L1960" s="670" t="str">
        <f>IFERROR(IF(CURRENCY.FORMAT_1=0,CONCATENATE(TEXT(FIXED(ROUND((C1960*(1-I1960)*(1-ADD.DISCOUNT)*(1+MAT.SURCHARGE)/EXC.RATE_1),CURRENCY.FORMAT_1),CURRENCY.FORMAT_1,1),"# ##0;-# ##0"),",-"),FIXED(ROUND((C1960*(1-I1960)*(1-ADD.DISCOUNT)*(1+MAT.SURCHARGE)/EXC.RATE_1),CURRENCY.FORMAT_1),CURRENCY.FORMAT_1,0)),'DICTIONARY-5'!$A$2)</f>
        <v>1 161,-</v>
      </c>
      <c r="M1960" s="670" t="str">
        <f>IF(EXC.RATE_2=0,"",IFERROR(IF(CURRENCY.FORMAT_2=0,CONCATENATE(TEXT(FIXED(ROUND(IF(EXC.RATE.SWITCH=1,C1960*(1-I1960)*(1-ADD.DISCOUNT)*(1+MAT.SURCHARGE)/EXC.RATE_2,C1960*(1-I1960)*(1-ADD.DISCOUNT)*(1+MAT.SURCHARGE)*EXC.RATE_2),CURRENCY.FORMAT_2),CURRENCY.FORMAT_2,1),"# ##0;-# ##0"),",-"),FIXED(ROUND(IF(EXC.RATE.SWITCH=1,C1960*(1-I1960)*(1-ADD.DISCOUNT)*(1+MAT.SURCHARGE)/EXC.RATE_2,C1960*(1-I1960)*(1-ADD.DISCOUNT)*(1+MAT.SURCHARGE)*EXC.RATE_2),CURRENCY.FORMAT_2),CURRENCY.FORMAT_2,0)),'DICTIONARY-5'!$A$2))</f>
        <v/>
      </c>
      <c r="N1960" s="541">
        <v>6</v>
      </c>
      <c r="O1960" s="541"/>
      <c r="P1960" s="731" t="str">
        <f>'DICTIONARY-3'!$A$148</f>
        <v>CEREX 300-L</v>
      </c>
      <c r="Q1960" s="731" t="str">
        <f>'DICTIONARY-3'!$A$204</f>
        <v>Przepustnica kołnierzowa</v>
      </c>
      <c r="R1960" s="732" t="str">
        <f>CONCATENATE('DICTIONARY-3'!$A$148," ",'DICTIONARY-6'!$A$2," ",'DICTIONARY-2'!$A$2,"300"," ",'DICTIONARY-2'!$A$3,"10"," ","R20"," ",'DICTIONARY-5'!$A$37,"/",'DICTIONARY-5'!$A$44,", ",'DICTIONARY-4'!$A$8," 232-11")</f>
        <v>CEREX 300-L Przep. kołnierz. DN300 PN10 R20 CF8M/EPDM, PK 232-11</v>
      </c>
      <c r="S1960" s="733" t="str">
        <f>'DICTIONARY-4'!$A$8</f>
        <v>PK</v>
      </c>
      <c r="T1960" s="732" t="str">
        <f>'DICTIONARY-4'!$A$24</f>
        <v>Przekładnia z kółkiem</v>
      </c>
      <c r="U1960" s="734" t="s">
        <v>5752</v>
      </c>
      <c r="V1960" s="735">
        <v>10</v>
      </c>
      <c r="W1960" s="736"/>
      <c r="X1960" s="737"/>
      <c r="Y1960" s="738"/>
      <c r="Z1960" s="739"/>
      <c r="AA1960" s="739"/>
      <c r="AB1960" s="740">
        <v>10</v>
      </c>
      <c r="AC1960" s="741" t="str">
        <f>'DICTIONARY-5'!$A$11&amp;" 20"</f>
        <v>EN 558 szereg 20</v>
      </c>
      <c r="AD1960" s="741" t="str">
        <f>'DICTIONARY-5'!$A$13</f>
        <v>woda pitna</v>
      </c>
      <c r="AE1960" s="742">
        <v>110</v>
      </c>
      <c r="AF1960" s="743">
        <v>46</v>
      </c>
      <c r="AG1960" s="741" t="str">
        <f>'DICTIONARY-5'!$A$23</f>
        <v>powłoka epoksydowa</v>
      </c>
    </row>
    <row r="1961" spans="1:33" x14ac:dyDescent="0.25">
      <c r="A1961" s="754" t="s">
        <v>1638</v>
      </c>
      <c r="B1961" s="866" t="s">
        <v>3861</v>
      </c>
      <c r="C1961" s="836">
        <v>1119</v>
      </c>
      <c r="D1961" s="836"/>
      <c r="E1961" s="836"/>
      <c r="F1961" s="836"/>
      <c r="G1961" s="496" t="s">
        <v>7832</v>
      </c>
      <c r="H1961" s="797" t="str">
        <f>VLOOKUP(G1961,SETTINGS!$B$7:$D$97,2,0)</f>
        <v>CEREX 300</v>
      </c>
      <c r="I1961" s="796">
        <f>VLOOKUP(G1961,SETTINGS!$B$7:$D$97,3,0)</f>
        <v>0</v>
      </c>
      <c r="J1961" s="670" t="str">
        <f>IFERROR(IF(CURRENCY.FORMAT_1=0,CONCATENATE(TEXT(FIXED(ROUND((C1961/EXC.RATE_1),CURRENCY.FORMAT_1),CURRENCY.FORMAT_1,1),"# ##0;-# ##0"),",-"),FIXED(ROUND((C1961/EXC.RATE_1),CURRENCY.FORMAT_1),CURRENCY.FORMAT_1,0)),'DICTIONARY-5'!$A$2)</f>
        <v>1 119,-</v>
      </c>
      <c r="K1961" s="670" t="str">
        <f>IF(EXC.RATE_2=0,"",IFERROR(IF(CURRENCY.FORMAT_2=0,CONCATENATE(TEXT(FIXED(ROUND(IF(EXC.RATE.SWITCH=1,C1961/EXC.RATE_2,C1961*EXC.RATE_2),CURRENCY.FORMAT_2),CURRENCY.FORMAT_2,1),"# ##0;-# ##0"),",-"),FIXED(ROUND(IF(EXC.RATE.SWITCH=1,C1961/EXC.RATE_2,C1961*EXC.RATE_2),CURRENCY.FORMAT_2),CURRENCY.FORMAT_2,0)),'DICTIONARY-5'!$A$2))</f>
        <v/>
      </c>
      <c r="L1961" s="670" t="str">
        <f>IFERROR(IF(CURRENCY.FORMAT_1=0,CONCATENATE(TEXT(FIXED(ROUND((C1961*(1-I1961)*(1-ADD.DISCOUNT)*(1+MAT.SURCHARGE)/EXC.RATE_1),CURRENCY.FORMAT_1),CURRENCY.FORMAT_1,1),"# ##0;-# ##0"),",-"),FIXED(ROUND((C1961*(1-I1961)*(1-ADD.DISCOUNT)*(1+MAT.SURCHARGE)/EXC.RATE_1),CURRENCY.FORMAT_1),CURRENCY.FORMAT_1,0)),'DICTIONARY-5'!$A$2)</f>
        <v>1 163,-</v>
      </c>
      <c r="M1961" s="670" t="str">
        <f>IF(EXC.RATE_2=0,"",IFERROR(IF(CURRENCY.FORMAT_2=0,CONCATENATE(TEXT(FIXED(ROUND(IF(EXC.RATE.SWITCH=1,C1961*(1-I1961)*(1-ADD.DISCOUNT)*(1+MAT.SURCHARGE)/EXC.RATE_2,C1961*(1-I1961)*(1-ADD.DISCOUNT)*(1+MAT.SURCHARGE)*EXC.RATE_2),CURRENCY.FORMAT_2),CURRENCY.FORMAT_2,1),"# ##0;-# ##0"),",-"),FIXED(ROUND(IF(EXC.RATE.SWITCH=1,C1961*(1-I1961)*(1-ADD.DISCOUNT)*(1+MAT.SURCHARGE)/EXC.RATE_2,C1961*(1-I1961)*(1-ADD.DISCOUNT)*(1+MAT.SURCHARGE)*EXC.RATE_2),CURRENCY.FORMAT_2),CURRENCY.FORMAT_2,0)),'DICTIONARY-5'!$A$2))</f>
        <v/>
      </c>
      <c r="N1961" s="541">
        <v>6</v>
      </c>
      <c r="O1961" s="541"/>
      <c r="P1961" s="731" t="str">
        <f>'DICTIONARY-3'!$A$148</f>
        <v>CEREX 300-L</v>
      </c>
      <c r="Q1961" s="731" t="str">
        <f>'DICTIONARY-3'!$A$204</f>
        <v>Przepustnica kołnierzowa</v>
      </c>
      <c r="R1961" s="732" t="str">
        <f>CONCATENATE('DICTIONARY-3'!$A$148," ",'DICTIONARY-6'!$A$2," ",'DICTIONARY-2'!$A$2,"300"," ",'DICTIONARY-2'!$A$3,"16"," ","R20"," ",'DICTIONARY-5'!$A$37,"/",'DICTIONARY-5'!$A$44,", ",'DICTIONARY-4'!$A$8," 232-11")</f>
        <v>CEREX 300-L Przep. kołnierz. DN300 PN16 R20 CF8M/EPDM, PK 232-11</v>
      </c>
      <c r="S1961" s="733" t="str">
        <f>'DICTIONARY-4'!$A$8</f>
        <v>PK</v>
      </c>
      <c r="T1961" s="732" t="str">
        <f>'DICTIONARY-4'!$A$24</f>
        <v>Przekładnia z kółkiem</v>
      </c>
      <c r="U1961" s="734" t="s">
        <v>5752</v>
      </c>
      <c r="V1961" s="735">
        <v>16</v>
      </c>
      <c r="W1961" s="736"/>
      <c r="X1961" s="737"/>
      <c r="Y1961" s="738"/>
      <c r="Z1961" s="739"/>
      <c r="AA1961" s="739"/>
      <c r="AB1961" s="740">
        <v>16</v>
      </c>
      <c r="AC1961" s="741" t="str">
        <f>'DICTIONARY-5'!$A$11&amp;" 20"</f>
        <v>EN 558 szereg 20</v>
      </c>
      <c r="AD1961" s="741" t="str">
        <f>'DICTIONARY-5'!$A$13</f>
        <v>woda pitna</v>
      </c>
      <c r="AE1961" s="742">
        <v>110</v>
      </c>
      <c r="AF1961" s="743">
        <v>45</v>
      </c>
      <c r="AG1961" s="741" t="str">
        <f>'DICTIONARY-5'!$A$23</f>
        <v>powłoka epoksydowa</v>
      </c>
    </row>
    <row r="1962" spans="1:33" x14ac:dyDescent="0.25">
      <c r="A1962" s="754" t="s">
        <v>1640</v>
      </c>
      <c r="B1962" s="866" t="s">
        <v>3943</v>
      </c>
      <c r="C1962" s="836">
        <v>1565</v>
      </c>
      <c r="D1962" s="836"/>
      <c r="E1962" s="836"/>
      <c r="F1962" s="836"/>
      <c r="G1962" s="496" t="s">
        <v>7832</v>
      </c>
      <c r="H1962" s="797" t="str">
        <f>VLOOKUP(G1962,SETTINGS!$B$7:$D$97,2,0)</f>
        <v>CEREX 300</v>
      </c>
      <c r="I1962" s="796">
        <f>VLOOKUP(G1962,SETTINGS!$B$7:$D$97,3,0)</f>
        <v>0</v>
      </c>
      <c r="J1962" s="670" t="str">
        <f>IFERROR(IF(CURRENCY.FORMAT_1=0,CONCATENATE(TEXT(FIXED(ROUND((C1962/EXC.RATE_1),CURRENCY.FORMAT_1),CURRENCY.FORMAT_1,1),"# ##0;-# ##0"),",-"),FIXED(ROUND((C1962/EXC.RATE_1),CURRENCY.FORMAT_1),CURRENCY.FORMAT_1,0)),'DICTIONARY-5'!$A$2)</f>
        <v>1 565,-</v>
      </c>
      <c r="K1962" s="670" t="str">
        <f>IF(EXC.RATE_2=0,"",IFERROR(IF(CURRENCY.FORMAT_2=0,CONCATENATE(TEXT(FIXED(ROUND(IF(EXC.RATE.SWITCH=1,C1962/EXC.RATE_2,C1962*EXC.RATE_2),CURRENCY.FORMAT_2),CURRENCY.FORMAT_2,1),"# ##0;-# ##0"),",-"),FIXED(ROUND(IF(EXC.RATE.SWITCH=1,C1962/EXC.RATE_2,C1962*EXC.RATE_2),CURRENCY.FORMAT_2),CURRENCY.FORMAT_2,0)),'DICTIONARY-5'!$A$2))</f>
        <v/>
      </c>
      <c r="L1962" s="670" t="str">
        <f>IFERROR(IF(CURRENCY.FORMAT_1=0,CONCATENATE(TEXT(FIXED(ROUND((C1962*(1-I1962)*(1-ADD.DISCOUNT)*(1+MAT.SURCHARGE)/EXC.RATE_1),CURRENCY.FORMAT_1),CURRENCY.FORMAT_1,1),"# ##0;-# ##0"),",-"),FIXED(ROUND((C1962*(1-I1962)*(1-ADD.DISCOUNT)*(1+MAT.SURCHARGE)/EXC.RATE_1),CURRENCY.FORMAT_1),CURRENCY.FORMAT_1,0)),'DICTIONARY-5'!$A$2)</f>
        <v>1 626,-</v>
      </c>
      <c r="M1962" s="670" t="str">
        <f>IF(EXC.RATE_2=0,"",IFERROR(IF(CURRENCY.FORMAT_2=0,CONCATENATE(TEXT(FIXED(ROUND(IF(EXC.RATE.SWITCH=1,C1962*(1-I1962)*(1-ADD.DISCOUNT)*(1+MAT.SURCHARGE)/EXC.RATE_2,C1962*(1-I1962)*(1-ADD.DISCOUNT)*(1+MAT.SURCHARGE)*EXC.RATE_2),CURRENCY.FORMAT_2),CURRENCY.FORMAT_2,1),"# ##0;-# ##0"),",-"),FIXED(ROUND(IF(EXC.RATE.SWITCH=1,C1962*(1-I1962)*(1-ADD.DISCOUNT)*(1+MAT.SURCHARGE)/EXC.RATE_2,C1962*(1-I1962)*(1-ADD.DISCOUNT)*(1+MAT.SURCHARGE)*EXC.RATE_2),CURRENCY.FORMAT_2),CURRENCY.FORMAT_2,0)),'DICTIONARY-5'!$A$2))</f>
        <v/>
      </c>
      <c r="N1962" s="541">
        <v>6</v>
      </c>
      <c r="O1962" s="541"/>
      <c r="P1962" s="731" t="str">
        <f>'DICTIONARY-3'!$A$148</f>
        <v>CEREX 300-L</v>
      </c>
      <c r="Q1962" s="731" t="str">
        <f>'DICTIONARY-3'!$A$204</f>
        <v>Przepustnica kołnierzowa</v>
      </c>
      <c r="R1962" s="732" t="str">
        <f>CONCATENATE('DICTIONARY-3'!$A$148," ",'DICTIONARY-6'!$A$2," ",'DICTIONARY-2'!$A$2,"350"," ",'DICTIONARY-2'!$A$3,"10"," ","R20"," ",'DICTIONARY-5'!$A$37,"/",'DICTIONARY-5'!$A$44,", ",'DICTIONARY-4'!$A$8," 232-11")</f>
        <v>CEREX 300-L Przep. kołnierz. DN350 PN10 R20 CF8M/EPDM, PK 232-11</v>
      </c>
      <c r="S1962" s="733" t="str">
        <f>'DICTIONARY-4'!$A$8</f>
        <v>PK</v>
      </c>
      <c r="T1962" s="732" t="str">
        <f>'DICTIONARY-4'!$A$24</f>
        <v>Przekładnia z kółkiem</v>
      </c>
      <c r="U1962" s="734" t="s">
        <v>5753</v>
      </c>
      <c r="V1962" s="735">
        <v>10</v>
      </c>
      <c r="W1962" s="736"/>
      <c r="X1962" s="737"/>
      <c r="Y1962" s="738"/>
      <c r="Z1962" s="739"/>
      <c r="AA1962" s="739"/>
      <c r="AB1962" s="740">
        <v>10</v>
      </c>
      <c r="AC1962" s="741" t="str">
        <f>'DICTIONARY-5'!$A$11&amp;" 20"</f>
        <v>EN 558 szereg 20</v>
      </c>
      <c r="AD1962" s="741" t="str">
        <f>'DICTIONARY-5'!$A$13</f>
        <v>woda pitna</v>
      </c>
      <c r="AE1962" s="742">
        <v>110</v>
      </c>
      <c r="AF1962" s="743">
        <v>57</v>
      </c>
      <c r="AG1962" s="741" t="str">
        <f>'DICTIONARY-5'!$A$23</f>
        <v>powłoka epoksydowa</v>
      </c>
    </row>
    <row r="1963" spans="1:33" x14ac:dyDescent="0.25">
      <c r="A1963" s="754" t="s">
        <v>1642</v>
      </c>
      <c r="B1963" s="866" t="s">
        <v>3863</v>
      </c>
      <c r="C1963" s="836">
        <v>1592</v>
      </c>
      <c r="D1963" s="836"/>
      <c r="E1963" s="836"/>
      <c r="F1963" s="836"/>
      <c r="G1963" s="496" t="s">
        <v>7832</v>
      </c>
      <c r="H1963" s="797" t="str">
        <f>VLOOKUP(G1963,SETTINGS!$B$7:$D$97,2,0)</f>
        <v>CEREX 300</v>
      </c>
      <c r="I1963" s="796">
        <f>VLOOKUP(G1963,SETTINGS!$B$7:$D$97,3,0)</f>
        <v>0</v>
      </c>
      <c r="J1963" s="670" t="str">
        <f>IFERROR(IF(CURRENCY.FORMAT_1=0,CONCATENATE(TEXT(FIXED(ROUND((C1963/EXC.RATE_1),CURRENCY.FORMAT_1),CURRENCY.FORMAT_1,1),"# ##0;-# ##0"),",-"),FIXED(ROUND((C1963/EXC.RATE_1),CURRENCY.FORMAT_1),CURRENCY.FORMAT_1,0)),'DICTIONARY-5'!$A$2)</f>
        <v>1 592,-</v>
      </c>
      <c r="K1963" s="670" t="str">
        <f>IF(EXC.RATE_2=0,"",IFERROR(IF(CURRENCY.FORMAT_2=0,CONCATENATE(TEXT(FIXED(ROUND(IF(EXC.RATE.SWITCH=1,C1963/EXC.RATE_2,C1963*EXC.RATE_2),CURRENCY.FORMAT_2),CURRENCY.FORMAT_2,1),"# ##0;-# ##0"),",-"),FIXED(ROUND(IF(EXC.RATE.SWITCH=1,C1963/EXC.RATE_2,C1963*EXC.RATE_2),CURRENCY.FORMAT_2),CURRENCY.FORMAT_2,0)),'DICTIONARY-5'!$A$2))</f>
        <v/>
      </c>
      <c r="L1963" s="670" t="str">
        <f>IFERROR(IF(CURRENCY.FORMAT_1=0,CONCATENATE(TEXT(FIXED(ROUND((C1963*(1-I1963)*(1-ADD.DISCOUNT)*(1+MAT.SURCHARGE)/EXC.RATE_1),CURRENCY.FORMAT_1),CURRENCY.FORMAT_1,1),"# ##0;-# ##0"),",-"),FIXED(ROUND((C1963*(1-I1963)*(1-ADD.DISCOUNT)*(1+MAT.SURCHARGE)/EXC.RATE_1),CURRENCY.FORMAT_1),CURRENCY.FORMAT_1,0)),'DICTIONARY-5'!$A$2)</f>
        <v>1 654,-</v>
      </c>
      <c r="M1963" s="670" t="str">
        <f>IF(EXC.RATE_2=0,"",IFERROR(IF(CURRENCY.FORMAT_2=0,CONCATENATE(TEXT(FIXED(ROUND(IF(EXC.RATE.SWITCH=1,C1963*(1-I1963)*(1-ADD.DISCOUNT)*(1+MAT.SURCHARGE)/EXC.RATE_2,C1963*(1-I1963)*(1-ADD.DISCOUNT)*(1+MAT.SURCHARGE)*EXC.RATE_2),CURRENCY.FORMAT_2),CURRENCY.FORMAT_2,1),"# ##0;-# ##0"),",-"),FIXED(ROUND(IF(EXC.RATE.SWITCH=1,C1963*(1-I1963)*(1-ADD.DISCOUNT)*(1+MAT.SURCHARGE)/EXC.RATE_2,C1963*(1-I1963)*(1-ADD.DISCOUNT)*(1+MAT.SURCHARGE)*EXC.RATE_2),CURRENCY.FORMAT_2),CURRENCY.FORMAT_2,0)),'DICTIONARY-5'!$A$2))</f>
        <v/>
      </c>
      <c r="N1963" s="541">
        <v>6</v>
      </c>
      <c r="O1963" s="541"/>
      <c r="P1963" s="731" t="str">
        <f>'DICTIONARY-3'!$A$148</f>
        <v>CEREX 300-L</v>
      </c>
      <c r="Q1963" s="731" t="str">
        <f>'DICTIONARY-3'!$A$204</f>
        <v>Przepustnica kołnierzowa</v>
      </c>
      <c r="R1963" s="732" t="str">
        <f>CONCATENATE('DICTIONARY-3'!$A$148," ",'DICTIONARY-6'!$A$2," ",'DICTIONARY-2'!$A$2,"350"," ",'DICTIONARY-2'!$A$3,"16"," ","R20"," ",'DICTIONARY-5'!$A$37,"/",'DICTIONARY-5'!$A$44,", ",'DICTIONARY-4'!$A$8," 232-11")</f>
        <v>CEREX 300-L Przep. kołnierz. DN350 PN16 R20 CF8M/EPDM, PK 232-11</v>
      </c>
      <c r="S1963" s="733" t="str">
        <f>'DICTIONARY-4'!$A$8</f>
        <v>PK</v>
      </c>
      <c r="T1963" s="732" t="str">
        <f>'DICTIONARY-4'!$A$24</f>
        <v>Przekładnia z kółkiem</v>
      </c>
      <c r="U1963" s="734" t="s">
        <v>5753</v>
      </c>
      <c r="V1963" s="735">
        <v>16</v>
      </c>
      <c r="W1963" s="736"/>
      <c r="X1963" s="737"/>
      <c r="Y1963" s="738"/>
      <c r="Z1963" s="739"/>
      <c r="AA1963" s="739"/>
      <c r="AB1963" s="740">
        <v>16</v>
      </c>
      <c r="AC1963" s="741" t="str">
        <f>'DICTIONARY-5'!$A$11&amp;" 20"</f>
        <v>EN 558 szereg 20</v>
      </c>
      <c r="AD1963" s="741" t="str">
        <f>'DICTIONARY-5'!$A$13</f>
        <v>woda pitna</v>
      </c>
      <c r="AE1963" s="742">
        <v>110</v>
      </c>
      <c r="AF1963" s="743">
        <v>60</v>
      </c>
      <c r="AG1963" s="741" t="str">
        <f>'DICTIONARY-5'!$A$23</f>
        <v>powłoka epoksydowa</v>
      </c>
    </row>
    <row r="1964" spans="1:33" x14ac:dyDescent="0.25">
      <c r="A1964" s="754" t="s">
        <v>1644</v>
      </c>
      <c r="B1964" s="866" t="s">
        <v>3945</v>
      </c>
      <c r="C1964" s="836">
        <v>2050</v>
      </c>
      <c r="D1964" s="836"/>
      <c r="E1964" s="836"/>
      <c r="F1964" s="836"/>
      <c r="G1964" s="496" t="s">
        <v>7832</v>
      </c>
      <c r="H1964" s="797" t="str">
        <f>VLOOKUP(G1964,SETTINGS!$B$7:$D$97,2,0)</f>
        <v>CEREX 300</v>
      </c>
      <c r="I1964" s="796">
        <f>VLOOKUP(G1964,SETTINGS!$B$7:$D$97,3,0)</f>
        <v>0</v>
      </c>
      <c r="J1964" s="670" t="str">
        <f>IFERROR(IF(CURRENCY.FORMAT_1=0,CONCATENATE(TEXT(FIXED(ROUND((C1964/EXC.RATE_1),CURRENCY.FORMAT_1),CURRENCY.FORMAT_1,1),"# ##0;-# ##0"),",-"),FIXED(ROUND((C1964/EXC.RATE_1),CURRENCY.FORMAT_1),CURRENCY.FORMAT_1,0)),'DICTIONARY-5'!$A$2)</f>
        <v>2 050,-</v>
      </c>
      <c r="K1964" s="670" t="str">
        <f>IF(EXC.RATE_2=0,"",IFERROR(IF(CURRENCY.FORMAT_2=0,CONCATENATE(TEXT(FIXED(ROUND(IF(EXC.RATE.SWITCH=1,C1964/EXC.RATE_2,C1964*EXC.RATE_2),CURRENCY.FORMAT_2),CURRENCY.FORMAT_2,1),"# ##0;-# ##0"),",-"),FIXED(ROUND(IF(EXC.RATE.SWITCH=1,C1964/EXC.RATE_2,C1964*EXC.RATE_2),CURRENCY.FORMAT_2),CURRENCY.FORMAT_2,0)),'DICTIONARY-5'!$A$2))</f>
        <v/>
      </c>
      <c r="L1964" s="670" t="str">
        <f>IFERROR(IF(CURRENCY.FORMAT_1=0,CONCATENATE(TEXT(FIXED(ROUND((C1964*(1-I1964)*(1-ADD.DISCOUNT)*(1+MAT.SURCHARGE)/EXC.RATE_1),CURRENCY.FORMAT_1),CURRENCY.FORMAT_1,1),"# ##0;-# ##0"),",-"),FIXED(ROUND((C1964*(1-I1964)*(1-ADD.DISCOUNT)*(1+MAT.SURCHARGE)/EXC.RATE_1),CURRENCY.FORMAT_1),CURRENCY.FORMAT_1,0)),'DICTIONARY-5'!$A$2)</f>
        <v>2 130,-</v>
      </c>
      <c r="M1964" s="670" t="str">
        <f>IF(EXC.RATE_2=0,"",IFERROR(IF(CURRENCY.FORMAT_2=0,CONCATENATE(TEXT(FIXED(ROUND(IF(EXC.RATE.SWITCH=1,C1964*(1-I1964)*(1-ADD.DISCOUNT)*(1+MAT.SURCHARGE)/EXC.RATE_2,C1964*(1-I1964)*(1-ADD.DISCOUNT)*(1+MAT.SURCHARGE)*EXC.RATE_2),CURRENCY.FORMAT_2),CURRENCY.FORMAT_2,1),"# ##0;-# ##0"),",-"),FIXED(ROUND(IF(EXC.RATE.SWITCH=1,C1964*(1-I1964)*(1-ADD.DISCOUNT)*(1+MAT.SURCHARGE)/EXC.RATE_2,C1964*(1-I1964)*(1-ADD.DISCOUNT)*(1+MAT.SURCHARGE)*EXC.RATE_2),CURRENCY.FORMAT_2),CURRENCY.FORMAT_2,0)),'DICTIONARY-5'!$A$2))</f>
        <v/>
      </c>
      <c r="N1964" s="541">
        <v>6</v>
      </c>
      <c r="O1964" s="541"/>
      <c r="P1964" s="731" t="str">
        <f>'DICTIONARY-3'!$A$148</f>
        <v>CEREX 300-L</v>
      </c>
      <c r="Q1964" s="731" t="str">
        <f>'DICTIONARY-3'!$A$204</f>
        <v>Przepustnica kołnierzowa</v>
      </c>
      <c r="R1964" s="732" t="str">
        <f>CONCATENATE('DICTIONARY-3'!$A$148," ",'DICTIONARY-6'!$A$2," ",'DICTIONARY-2'!$A$2,"400"," ",'DICTIONARY-2'!$A$3,"10"," ","R20"," ",'DICTIONARY-5'!$A$37,"/",'DICTIONARY-5'!$A$44,", ",'DICTIONARY-4'!$A$8," 232-14")</f>
        <v>CEREX 300-L Przep. kołnierz. DN400 PN10 R20 CF8M/EPDM, PK 232-14</v>
      </c>
      <c r="S1964" s="733" t="str">
        <f>'DICTIONARY-4'!$A$8</f>
        <v>PK</v>
      </c>
      <c r="T1964" s="732" t="str">
        <f>'DICTIONARY-4'!$A$24</f>
        <v>Przekładnia z kółkiem</v>
      </c>
      <c r="U1964" s="734" t="s">
        <v>5754</v>
      </c>
      <c r="V1964" s="735">
        <v>10</v>
      </c>
      <c r="W1964" s="736"/>
      <c r="X1964" s="737"/>
      <c r="Y1964" s="738"/>
      <c r="Z1964" s="739"/>
      <c r="AA1964" s="739"/>
      <c r="AB1964" s="740">
        <v>10</v>
      </c>
      <c r="AC1964" s="741" t="str">
        <f>'DICTIONARY-5'!$A$11&amp;" 20"</f>
        <v>EN 558 szereg 20</v>
      </c>
      <c r="AD1964" s="741" t="str">
        <f>'DICTIONARY-5'!$A$13</f>
        <v>woda pitna</v>
      </c>
      <c r="AE1964" s="742">
        <v>110</v>
      </c>
      <c r="AF1964" s="743">
        <v>85</v>
      </c>
      <c r="AG1964" s="741" t="str">
        <f>'DICTIONARY-5'!$A$23</f>
        <v>powłoka epoksydowa</v>
      </c>
    </row>
    <row r="1965" spans="1:33" x14ac:dyDescent="0.25">
      <c r="A1965" s="754" t="s">
        <v>1646</v>
      </c>
      <c r="B1965" s="866" t="s">
        <v>3865</v>
      </c>
      <c r="C1965" s="836">
        <v>2087</v>
      </c>
      <c r="D1965" s="836"/>
      <c r="E1965" s="836"/>
      <c r="F1965" s="836"/>
      <c r="G1965" s="496" t="s">
        <v>7832</v>
      </c>
      <c r="H1965" s="797" t="str">
        <f>VLOOKUP(G1965,SETTINGS!$B$7:$D$97,2,0)</f>
        <v>CEREX 300</v>
      </c>
      <c r="I1965" s="796">
        <f>VLOOKUP(G1965,SETTINGS!$B$7:$D$97,3,0)</f>
        <v>0</v>
      </c>
      <c r="J1965" s="670" t="str">
        <f>IFERROR(IF(CURRENCY.FORMAT_1=0,CONCATENATE(TEXT(FIXED(ROUND((C1965/EXC.RATE_1),CURRENCY.FORMAT_1),CURRENCY.FORMAT_1,1),"# ##0;-# ##0"),",-"),FIXED(ROUND((C1965/EXC.RATE_1),CURRENCY.FORMAT_1),CURRENCY.FORMAT_1,0)),'DICTIONARY-5'!$A$2)</f>
        <v>2 087,-</v>
      </c>
      <c r="K1965" s="670" t="str">
        <f>IF(EXC.RATE_2=0,"",IFERROR(IF(CURRENCY.FORMAT_2=0,CONCATENATE(TEXT(FIXED(ROUND(IF(EXC.RATE.SWITCH=1,C1965/EXC.RATE_2,C1965*EXC.RATE_2),CURRENCY.FORMAT_2),CURRENCY.FORMAT_2,1),"# ##0;-# ##0"),",-"),FIXED(ROUND(IF(EXC.RATE.SWITCH=1,C1965/EXC.RATE_2,C1965*EXC.RATE_2),CURRENCY.FORMAT_2),CURRENCY.FORMAT_2,0)),'DICTIONARY-5'!$A$2))</f>
        <v/>
      </c>
      <c r="L1965" s="670" t="str">
        <f>IFERROR(IF(CURRENCY.FORMAT_1=0,CONCATENATE(TEXT(FIXED(ROUND((C1965*(1-I1965)*(1-ADD.DISCOUNT)*(1+MAT.SURCHARGE)/EXC.RATE_1),CURRENCY.FORMAT_1),CURRENCY.FORMAT_1,1),"# ##0;-# ##0"),",-"),FIXED(ROUND((C1965*(1-I1965)*(1-ADD.DISCOUNT)*(1+MAT.SURCHARGE)/EXC.RATE_1),CURRENCY.FORMAT_1),CURRENCY.FORMAT_1,0)),'DICTIONARY-5'!$A$2)</f>
        <v>2 168,-</v>
      </c>
      <c r="M1965" s="670" t="str">
        <f>IF(EXC.RATE_2=0,"",IFERROR(IF(CURRENCY.FORMAT_2=0,CONCATENATE(TEXT(FIXED(ROUND(IF(EXC.RATE.SWITCH=1,C1965*(1-I1965)*(1-ADD.DISCOUNT)*(1+MAT.SURCHARGE)/EXC.RATE_2,C1965*(1-I1965)*(1-ADD.DISCOUNT)*(1+MAT.SURCHARGE)*EXC.RATE_2),CURRENCY.FORMAT_2),CURRENCY.FORMAT_2,1),"# ##0;-# ##0"),",-"),FIXED(ROUND(IF(EXC.RATE.SWITCH=1,C1965*(1-I1965)*(1-ADD.DISCOUNT)*(1+MAT.SURCHARGE)/EXC.RATE_2,C1965*(1-I1965)*(1-ADD.DISCOUNT)*(1+MAT.SURCHARGE)*EXC.RATE_2),CURRENCY.FORMAT_2),CURRENCY.FORMAT_2,0)),'DICTIONARY-5'!$A$2))</f>
        <v/>
      </c>
      <c r="N1965" s="541">
        <v>6</v>
      </c>
      <c r="O1965" s="541"/>
      <c r="P1965" s="731" t="str">
        <f>'DICTIONARY-3'!$A$148</f>
        <v>CEREX 300-L</v>
      </c>
      <c r="Q1965" s="731" t="str">
        <f>'DICTIONARY-3'!$A$204</f>
        <v>Przepustnica kołnierzowa</v>
      </c>
      <c r="R1965" s="732" t="str">
        <f>CONCATENATE('DICTIONARY-3'!$A$148," ",'DICTIONARY-6'!$A$2," ",'DICTIONARY-2'!$A$2,"400"," ",'DICTIONARY-2'!$A$3,"16"," ","R20"," ",'DICTIONARY-5'!$A$37,"/",'DICTIONARY-5'!$A$44,", ",'DICTIONARY-4'!$A$8," 232-14")</f>
        <v>CEREX 300-L Przep. kołnierz. DN400 PN16 R20 CF8M/EPDM, PK 232-14</v>
      </c>
      <c r="S1965" s="733" t="str">
        <f>'DICTIONARY-4'!$A$8</f>
        <v>PK</v>
      </c>
      <c r="T1965" s="732" t="str">
        <f>'DICTIONARY-4'!$A$24</f>
        <v>Przekładnia z kółkiem</v>
      </c>
      <c r="U1965" s="734" t="s">
        <v>5754</v>
      </c>
      <c r="V1965" s="735">
        <v>16</v>
      </c>
      <c r="W1965" s="736"/>
      <c r="X1965" s="737"/>
      <c r="Y1965" s="738"/>
      <c r="Z1965" s="739"/>
      <c r="AA1965" s="739"/>
      <c r="AB1965" s="740">
        <v>16</v>
      </c>
      <c r="AC1965" s="741" t="str">
        <f>'DICTIONARY-5'!$A$11&amp;" 20"</f>
        <v>EN 558 szereg 20</v>
      </c>
      <c r="AD1965" s="741" t="str">
        <f>'DICTIONARY-5'!$A$13</f>
        <v>woda pitna</v>
      </c>
      <c r="AE1965" s="742">
        <v>110</v>
      </c>
      <c r="AF1965" s="743">
        <v>90</v>
      </c>
      <c r="AG1965" s="741" t="str">
        <f>'DICTIONARY-5'!$A$23</f>
        <v>powłoka epoksydowa</v>
      </c>
    </row>
    <row r="1966" spans="1:33" x14ac:dyDescent="0.25">
      <c r="A1966" s="754" t="s">
        <v>1648</v>
      </c>
      <c r="B1966" s="866" t="s">
        <v>3947</v>
      </c>
      <c r="C1966" s="836">
        <v>3217</v>
      </c>
      <c r="D1966" s="836"/>
      <c r="E1966" s="836"/>
      <c r="F1966" s="836"/>
      <c r="G1966" s="496" t="s">
        <v>7832</v>
      </c>
      <c r="H1966" s="797" t="str">
        <f>VLOOKUP(G1966,SETTINGS!$B$7:$D$97,2,0)</f>
        <v>CEREX 300</v>
      </c>
      <c r="I1966" s="796">
        <f>VLOOKUP(G1966,SETTINGS!$B$7:$D$97,3,0)</f>
        <v>0</v>
      </c>
      <c r="J1966" s="670" t="str">
        <f>IFERROR(IF(CURRENCY.FORMAT_1=0,CONCATENATE(TEXT(FIXED(ROUND((C1966/EXC.RATE_1),CURRENCY.FORMAT_1),CURRENCY.FORMAT_1,1),"# ##0;-# ##0"),",-"),FIXED(ROUND((C1966/EXC.RATE_1),CURRENCY.FORMAT_1),CURRENCY.FORMAT_1,0)),'DICTIONARY-5'!$A$2)</f>
        <v>3 217,-</v>
      </c>
      <c r="K1966" s="670" t="str">
        <f>IF(EXC.RATE_2=0,"",IFERROR(IF(CURRENCY.FORMAT_2=0,CONCATENATE(TEXT(FIXED(ROUND(IF(EXC.RATE.SWITCH=1,C1966/EXC.RATE_2,C1966*EXC.RATE_2),CURRENCY.FORMAT_2),CURRENCY.FORMAT_2,1),"# ##0;-# ##0"),",-"),FIXED(ROUND(IF(EXC.RATE.SWITCH=1,C1966/EXC.RATE_2,C1966*EXC.RATE_2),CURRENCY.FORMAT_2),CURRENCY.FORMAT_2,0)),'DICTIONARY-5'!$A$2))</f>
        <v/>
      </c>
      <c r="L1966" s="670" t="str">
        <f>IFERROR(IF(CURRENCY.FORMAT_1=0,CONCATENATE(TEXT(FIXED(ROUND((C1966*(1-I1966)*(1-ADD.DISCOUNT)*(1+MAT.SURCHARGE)/EXC.RATE_1),CURRENCY.FORMAT_1),CURRENCY.FORMAT_1,1),"# ##0;-# ##0"),",-"),FIXED(ROUND((C1966*(1-I1966)*(1-ADD.DISCOUNT)*(1+MAT.SURCHARGE)/EXC.RATE_1),CURRENCY.FORMAT_1),CURRENCY.FORMAT_1,0)),'DICTIONARY-5'!$A$2)</f>
        <v>3 342,-</v>
      </c>
      <c r="M1966" s="670" t="str">
        <f>IF(EXC.RATE_2=0,"",IFERROR(IF(CURRENCY.FORMAT_2=0,CONCATENATE(TEXT(FIXED(ROUND(IF(EXC.RATE.SWITCH=1,C1966*(1-I1966)*(1-ADD.DISCOUNT)*(1+MAT.SURCHARGE)/EXC.RATE_2,C1966*(1-I1966)*(1-ADD.DISCOUNT)*(1+MAT.SURCHARGE)*EXC.RATE_2),CURRENCY.FORMAT_2),CURRENCY.FORMAT_2,1),"# ##0;-# ##0"),",-"),FIXED(ROUND(IF(EXC.RATE.SWITCH=1,C1966*(1-I1966)*(1-ADD.DISCOUNT)*(1+MAT.SURCHARGE)/EXC.RATE_2,C1966*(1-I1966)*(1-ADD.DISCOUNT)*(1+MAT.SURCHARGE)*EXC.RATE_2),CURRENCY.FORMAT_2),CURRENCY.FORMAT_2,0)),'DICTIONARY-5'!$A$2))</f>
        <v/>
      </c>
      <c r="N1966" s="541">
        <v>6</v>
      </c>
      <c r="O1966" s="541"/>
      <c r="P1966" s="731" t="str">
        <f>'DICTIONARY-3'!$A$148</f>
        <v>CEREX 300-L</v>
      </c>
      <c r="Q1966" s="731" t="str">
        <f>'DICTIONARY-3'!$A$204</f>
        <v>Przepustnica kołnierzowa</v>
      </c>
      <c r="R1966" s="732" t="str">
        <f>CONCATENATE('DICTIONARY-3'!$A$148," ",'DICTIONARY-6'!$A$2," ",'DICTIONARY-2'!$A$2,"450"," ",'DICTIONARY-2'!$A$3,"10"," ","R20"," ",'DICTIONARY-5'!$A$37,"/",'DICTIONARY-5'!$A$44,", ",'DICTIONARY-4'!$A$8," AB1250N")</f>
        <v>CEREX 300-L Przep. kołnierz. DN450 PN10 R20 CF8M/EPDM, PK AB1250N</v>
      </c>
      <c r="S1966" s="733" t="str">
        <f>'DICTIONARY-4'!$A$8</f>
        <v>PK</v>
      </c>
      <c r="T1966" s="732" t="str">
        <f>'DICTIONARY-4'!$A$24</f>
        <v>Przekładnia z kółkiem</v>
      </c>
      <c r="U1966" s="734" t="s">
        <v>5755</v>
      </c>
      <c r="V1966" s="735">
        <v>10</v>
      </c>
      <c r="W1966" s="736"/>
      <c r="X1966" s="737"/>
      <c r="Y1966" s="738"/>
      <c r="Z1966" s="739"/>
      <c r="AA1966" s="739"/>
      <c r="AB1966" s="740">
        <v>10</v>
      </c>
      <c r="AC1966" s="741" t="str">
        <f>'DICTIONARY-5'!$A$11&amp;" 20"</f>
        <v>EN 558 szereg 20</v>
      </c>
      <c r="AD1966" s="741" t="str">
        <f>'DICTIONARY-5'!$A$13</f>
        <v>woda pitna</v>
      </c>
      <c r="AE1966" s="742">
        <v>110</v>
      </c>
      <c r="AF1966" s="743">
        <v>132</v>
      </c>
      <c r="AG1966" s="741" t="str">
        <f>'DICTIONARY-5'!$A$23</f>
        <v>powłoka epoksydowa</v>
      </c>
    </row>
    <row r="1967" spans="1:33" x14ac:dyDescent="0.25">
      <c r="A1967" s="754" t="s">
        <v>1650</v>
      </c>
      <c r="B1967" s="866" t="s">
        <v>3867</v>
      </c>
      <c r="C1967" s="836">
        <v>3585</v>
      </c>
      <c r="D1967" s="836"/>
      <c r="E1967" s="836"/>
      <c r="F1967" s="836"/>
      <c r="G1967" s="496" t="s">
        <v>7832</v>
      </c>
      <c r="H1967" s="797" t="str">
        <f>VLOOKUP(G1967,SETTINGS!$B$7:$D$97,2,0)</f>
        <v>CEREX 300</v>
      </c>
      <c r="I1967" s="796">
        <f>VLOOKUP(G1967,SETTINGS!$B$7:$D$97,3,0)</f>
        <v>0</v>
      </c>
      <c r="J1967" s="670" t="str">
        <f>IFERROR(IF(CURRENCY.FORMAT_1=0,CONCATENATE(TEXT(FIXED(ROUND((C1967/EXC.RATE_1),CURRENCY.FORMAT_1),CURRENCY.FORMAT_1,1),"# ##0;-# ##0"),",-"),FIXED(ROUND((C1967/EXC.RATE_1),CURRENCY.FORMAT_1),CURRENCY.FORMAT_1,0)),'DICTIONARY-5'!$A$2)</f>
        <v>3 585,-</v>
      </c>
      <c r="K1967" s="670" t="str">
        <f>IF(EXC.RATE_2=0,"",IFERROR(IF(CURRENCY.FORMAT_2=0,CONCATENATE(TEXT(FIXED(ROUND(IF(EXC.RATE.SWITCH=1,C1967/EXC.RATE_2,C1967*EXC.RATE_2),CURRENCY.FORMAT_2),CURRENCY.FORMAT_2,1),"# ##0;-# ##0"),",-"),FIXED(ROUND(IF(EXC.RATE.SWITCH=1,C1967/EXC.RATE_2,C1967*EXC.RATE_2),CURRENCY.FORMAT_2),CURRENCY.FORMAT_2,0)),'DICTIONARY-5'!$A$2))</f>
        <v/>
      </c>
      <c r="L1967" s="670" t="str">
        <f>IFERROR(IF(CURRENCY.FORMAT_1=0,CONCATENATE(TEXT(FIXED(ROUND((C1967*(1-I1967)*(1-ADD.DISCOUNT)*(1+MAT.SURCHARGE)/EXC.RATE_1),CURRENCY.FORMAT_1),CURRENCY.FORMAT_1,1),"# ##0;-# ##0"),",-"),FIXED(ROUND((C1967*(1-I1967)*(1-ADD.DISCOUNT)*(1+MAT.SURCHARGE)/EXC.RATE_1),CURRENCY.FORMAT_1),CURRENCY.FORMAT_1,0)),'DICTIONARY-5'!$A$2)</f>
        <v>3 725,-</v>
      </c>
      <c r="M1967" s="670" t="str">
        <f>IF(EXC.RATE_2=0,"",IFERROR(IF(CURRENCY.FORMAT_2=0,CONCATENATE(TEXT(FIXED(ROUND(IF(EXC.RATE.SWITCH=1,C1967*(1-I1967)*(1-ADD.DISCOUNT)*(1+MAT.SURCHARGE)/EXC.RATE_2,C1967*(1-I1967)*(1-ADD.DISCOUNT)*(1+MAT.SURCHARGE)*EXC.RATE_2),CURRENCY.FORMAT_2),CURRENCY.FORMAT_2,1),"# ##0;-# ##0"),",-"),FIXED(ROUND(IF(EXC.RATE.SWITCH=1,C1967*(1-I1967)*(1-ADD.DISCOUNT)*(1+MAT.SURCHARGE)/EXC.RATE_2,C1967*(1-I1967)*(1-ADD.DISCOUNT)*(1+MAT.SURCHARGE)*EXC.RATE_2),CURRENCY.FORMAT_2),CURRENCY.FORMAT_2,0)),'DICTIONARY-5'!$A$2))</f>
        <v/>
      </c>
      <c r="N1967" s="541">
        <v>6</v>
      </c>
      <c r="O1967" s="541"/>
      <c r="P1967" s="731" t="str">
        <f>'DICTIONARY-3'!$A$148</f>
        <v>CEREX 300-L</v>
      </c>
      <c r="Q1967" s="731" t="str">
        <f>'DICTIONARY-3'!$A$204</f>
        <v>Przepustnica kołnierzowa</v>
      </c>
      <c r="R1967" s="732" t="str">
        <f>CONCATENATE('DICTIONARY-3'!$A$148," ",'DICTIONARY-6'!$A$2," ",'DICTIONARY-2'!$A$2,"450"," ",'DICTIONARY-2'!$A$3,"16"," ",'DICTIONARY-2'!$A$10,"10",'DICTIONARY-2'!$A$20," ","R20"," ",'DICTIONARY-5'!$A$37,"/",'DICTIONARY-5'!$A$44,", ",'DICTIONARY-4'!$A$8," AB1250N")</f>
        <v>CEREX 300-L Przep. kołnierz. DN450 PN16 PS10bar R20 CF8M/EPDM, PK AB1250N</v>
      </c>
      <c r="S1967" s="733" t="str">
        <f>'DICTIONARY-4'!$A$8</f>
        <v>PK</v>
      </c>
      <c r="T1967" s="732" t="str">
        <f>'DICTIONARY-4'!$A$24</f>
        <v>Przekładnia z kółkiem</v>
      </c>
      <c r="U1967" s="734" t="s">
        <v>5755</v>
      </c>
      <c r="V1967" s="735">
        <v>16</v>
      </c>
      <c r="W1967" s="736"/>
      <c r="X1967" s="737"/>
      <c r="Y1967" s="738"/>
      <c r="Z1967" s="739"/>
      <c r="AA1967" s="739"/>
      <c r="AB1967" s="740">
        <v>10</v>
      </c>
      <c r="AC1967" s="741" t="str">
        <f>'DICTIONARY-5'!$A$11&amp;" 20"</f>
        <v>EN 558 szereg 20</v>
      </c>
      <c r="AD1967" s="741" t="str">
        <f>'DICTIONARY-5'!$A$13</f>
        <v>woda pitna</v>
      </c>
      <c r="AE1967" s="742">
        <v>110</v>
      </c>
      <c r="AF1967" s="743">
        <v>147</v>
      </c>
      <c r="AG1967" s="741" t="str">
        <f>'DICTIONARY-5'!$A$23</f>
        <v>powłoka epoksydowa</v>
      </c>
    </row>
    <row r="1968" spans="1:33" x14ac:dyDescent="0.25">
      <c r="A1968" s="754" t="s">
        <v>1652</v>
      </c>
      <c r="B1968" s="866" t="s">
        <v>3949</v>
      </c>
      <c r="C1968" s="836">
        <v>4453</v>
      </c>
      <c r="D1968" s="836"/>
      <c r="E1968" s="836"/>
      <c r="F1968" s="836"/>
      <c r="G1968" s="496" t="s">
        <v>7832</v>
      </c>
      <c r="H1968" s="797" t="str">
        <f>VLOOKUP(G1968,SETTINGS!$B$7:$D$97,2,0)</f>
        <v>CEREX 300</v>
      </c>
      <c r="I1968" s="796">
        <f>VLOOKUP(G1968,SETTINGS!$B$7:$D$97,3,0)</f>
        <v>0</v>
      </c>
      <c r="J1968" s="670" t="str">
        <f>IFERROR(IF(CURRENCY.FORMAT_1=0,CONCATENATE(TEXT(FIXED(ROUND((C1968/EXC.RATE_1),CURRENCY.FORMAT_1),CURRENCY.FORMAT_1,1),"# ##0;-# ##0"),",-"),FIXED(ROUND((C1968/EXC.RATE_1),CURRENCY.FORMAT_1),CURRENCY.FORMAT_1,0)),'DICTIONARY-5'!$A$2)</f>
        <v>4 453,-</v>
      </c>
      <c r="K1968" s="670" t="str">
        <f>IF(EXC.RATE_2=0,"",IFERROR(IF(CURRENCY.FORMAT_2=0,CONCATENATE(TEXT(FIXED(ROUND(IF(EXC.RATE.SWITCH=1,C1968/EXC.RATE_2,C1968*EXC.RATE_2),CURRENCY.FORMAT_2),CURRENCY.FORMAT_2,1),"# ##0;-# ##0"),",-"),FIXED(ROUND(IF(EXC.RATE.SWITCH=1,C1968/EXC.RATE_2,C1968*EXC.RATE_2),CURRENCY.FORMAT_2),CURRENCY.FORMAT_2,0)),'DICTIONARY-5'!$A$2))</f>
        <v/>
      </c>
      <c r="L1968" s="670" t="str">
        <f>IFERROR(IF(CURRENCY.FORMAT_1=0,CONCATENATE(TEXT(FIXED(ROUND((C1968*(1-I1968)*(1-ADD.DISCOUNT)*(1+MAT.SURCHARGE)/EXC.RATE_1),CURRENCY.FORMAT_1),CURRENCY.FORMAT_1,1),"# ##0;-# ##0"),",-"),FIXED(ROUND((C1968*(1-I1968)*(1-ADD.DISCOUNT)*(1+MAT.SURCHARGE)/EXC.RATE_1),CURRENCY.FORMAT_1),CURRENCY.FORMAT_1,0)),'DICTIONARY-5'!$A$2)</f>
        <v>4 627,-</v>
      </c>
      <c r="M1968" s="670" t="str">
        <f>IF(EXC.RATE_2=0,"",IFERROR(IF(CURRENCY.FORMAT_2=0,CONCATENATE(TEXT(FIXED(ROUND(IF(EXC.RATE.SWITCH=1,C1968*(1-I1968)*(1-ADD.DISCOUNT)*(1+MAT.SURCHARGE)/EXC.RATE_2,C1968*(1-I1968)*(1-ADD.DISCOUNT)*(1+MAT.SURCHARGE)*EXC.RATE_2),CURRENCY.FORMAT_2),CURRENCY.FORMAT_2,1),"# ##0;-# ##0"),",-"),FIXED(ROUND(IF(EXC.RATE.SWITCH=1,C1968*(1-I1968)*(1-ADD.DISCOUNT)*(1+MAT.SURCHARGE)/EXC.RATE_2,C1968*(1-I1968)*(1-ADD.DISCOUNT)*(1+MAT.SURCHARGE)*EXC.RATE_2),CURRENCY.FORMAT_2),CURRENCY.FORMAT_2,0)),'DICTIONARY-5'!$A$2))</f>
        <v/>
      </c>
      <c r="N1968" s="541">
        <v>6</v>
      </c>
      <c r="O1968" s="541"/>
      <c r="P1968" s="731" t="str">
        <f>'DICTIONARY-3'!$A$148</f>
        <v>CEREX 300-L</v>
      </c>
      <c r="Q1968" s="731" t="str">
        <f>'DICTIONARY-3'!$A$204</f>
        <v>Przepustnica kołnierzowa</v>
      </c>
      <c r="R1968" s="732" t="str">
        <f>CONCATENATE('DICTIONARY-3'!$A$148," ",'DICTIONARY-6'!$A$2," ",'DICTIONARY-2'!$A$2,"500"," ",'DICTIONARY-2'!$A$3,"10"," ","R20"," ",'DICTIONARY-5'!$A$37,"/",'DICTIONARY-5'!$A$44,", ",'DICTIONARY-4'!$A$8," AB1250N")</f>
        <v>CEREX 300-L Przep. kołnierz. DN500 PN10 R20 CF8M/EPDM, PK AB1250N</v>
      </c>
      <c r="S1968" s="733" t="str">
        <f>'DICTIONARY-4'!$A$8</f>
        <v>PK</v>
      </c>
      <c r="T1968" s="732" t="str">
        <f>'DICTIONARY-4'!$A$24</f>
        <v>Przekładnia z kółkiem</v>
      </c>
      <c r="U1968" s="734" t="s">
        <v>5756</v>
      </c>
      <c r="V1968" s="735">
        <v>10</v>
      </c>
      <c r="W1968" s="736"/>
      <c r="X1968" s="737"/>
      <c r="Y1968" s="738"/>
      <c r="Z1968" s="739"/>
      <c r="AA1968" s="739"/>
      <c r="AB1968" s="740">
        <v>10</v>
      </c>
      <c r="AC1968" s="741" t="str">
        <f>'DICTIONARY-5'!$A$11&amp;" 20"</f>
        <v>EN 558 szereg 20</v>
      </c>
      <c r="AD1968" s="741" t="str">
        <f>'DICTIONARY-5'!$A$13</f>
        <v>woda pitna</v>
      </c>
      <c r="AE1968" s="742">
        <v>110</v>
      </c>
      <c r="AF1968" s="743">
        <v>150</v>
      </c>
      <c r="AG1968" s="741" t="str">
        <f>'DICTIONARY-5'!$A$23</f>
        <v>powłoka epoksydowa</v>
      </c>
    </row>
    <row r="1969" spans="1:33" x14ac:dyDescent="0.25">
      <c r="A1969" s="754" t="s">
        <v>1654</v>
      </c>
      <c r="B1969" s="866" t="s">
        <v>3869</v>
      </c>
      <c r="C1969" s="836">
        <v>5622</v>
      </c>
      <c r="D1969" s="836"/>
      <c r="E1969" s="836"/>
      <c r="F1969" s="836"/>
      <c r="G1969" s="496" t="s">
        <v>7832</v>
      </c>
      <c r="H1969" s="797" t="str">
        <f>VLOOKUP(G1969,SETTINGS!$B$7:$D$97,2,0)</f>
        <v>CEREX 300</v>
      </c>
      <c r="I1969" s="796">
        <f>VLOOKUP(G1969,SETTINGS!$B$7:$D$97,3,0)</f>
        <v>0</v>
      </c>
      <c r="J1969" s="670" t="str">
        <f>IFERROR(IF(CURRENCY.FORMAT_1=0,CONCATENATE(TEXT(FIXED(ROUND((C1969/EXC.RATE_1),CURRENCY.FORMAT_1),CURRENCY.FORMAT_1,1),"# ##0;-# ##0"),",-"),FIXED(ROUND((C1969/EXC.RATE_1),CURRENCY.FORMAT_1),CURRENCY.FORMAT_1,0)),'DICTIONARY-5'!$A$2)</f>
        <v>5 622,-</v>
      </c>
      <c r="K1969" s="670" t="str">
        <f>IF(EXC.RATE_2=0,"",IFERROR(IF(CURRENCY.FORMAT_2=0,CONCATENATE(TEXT(FIXED(ROUND(IF(EXC.RATE.SWITCH=1,C1969/EXC.RATE_2,C1969*EXC.RATE_2),CURRENCY.FORMAT_2),CURRENCY.FORMAT_2,1),"# ##0;-# ##0"),",-"),FIXED(ROUND(IF(EXC.RATE.SWITCH=1,C1969/EXC.RATE_2,C1969*EXC.RATE_2),CURRENCY.FORMAT_2),CURRENCY.FORMAT_2,0)),'DICTIONARY-5'!$A$2))</f>
        <v/>
      </c>
      <c r="L1969" s="670" t="str">
        <f>IFERROR(IF(CURRENCY.FORMAT_1=0,CONCATENATE(TEXT(FIXED(ROUND((C1969*(1-I1969)*(1-ADD.DISCOUNT)*(1+MAT.SURCHARGE)/EXC.RATE_1),CURRENCY.FORMAT_1),CURRENCY.FORMAT_1,1),"# ##0;-# ##0"),",-"),FIXED(ROUND((C1969*(1-I1969)*(1-ADD.DISCOUNT)*(1+MAT.SURCHARGE)/EXC.RATE_1),CURRENCY.FORMAT_1),CURRENCY.FORMAT_1,0)),'DICTIONARY-5'!$A$2)</f>
        <v>5 841,-</v>
      </c>
      <c r="M1969" s="670" t="str">
        <f>IF(EXC.RATE_2=0,"",IFERROR(IF(CURRENCY.FORMAT_2=0,CONCATENATE(TEXT(FIXED(ROUND(IF(EXC.RATE.SWITCH=1,C1969*(1-I1969)*(1-ADD.DISCOUNT)*(1+MAT.SURCHARGE)/EXC.RATE_2,C1969*(1-I1969)*(1-ADD.DISCOUNT)*(1+MAT.SURCHARGE)*EXC.RATE_2),CURRENCY.FORMAT_2),CURRENCY.FORMAT_2,1),"# ##0;-# ##0"),",-"),FIXED(ROUND(IF(EXC.RATE.SWITCH=1,C1969*(1-I1969)*(1-ADD.DISCOUNT)*(1+MAT.SURCHARGE)/EXC.RATE_2,C1969*(1-I1969)*(1-ADD.DISCOUNT)*(1+MAT.SURCHARGE)*EXC.RATE_2),CURRENCY.FORMAT_2),CURRENCY.FORMAT_2,0)),'DICTIONARY-5'!$A$2))</f>
        <v/>
      </c>
      <c r="N1969" s="541">
        <v>6</v>
      </c>
      <c r="O1969" s="541"/>
      <c r="P1969" s="731" t="str">
        <f>'DICTIONARY-3'!$A$148</f>
        <v>CEREX 300-L</v>
      </c>
      <c r="Q1969" s="731" t="str">
        <f>'DICTIONARY-3'!$A$204</f>
        <v>Przepustnica kołnierzowa</v>
      </c>
      <c r="R1969" s="732" t="str">
        <f>CONCATENATE('DICTIONARY-3'!$A$148," ",'DICTIONARY-6'!$A$2," ",'DICTIONARY-2'!$A$2,"500"," ",'DICTIONARY-2'!$A$3,"16"," ",'DICTIONARY-2'!$A$10,"10",'DICTIONARY-2'!$A$20," ","R20"," ",'DICTIONARY-5'!$A$37,"/",'DICTIONARY-5'!$A$44,", ",'DICTIONARY-4'!$A$8," AB1250N")</f>
        <v>CEREX 300-L Przep. kołnierz. DN500 PN16 PS10bar R20 CF8M/EPDM, PK AB1250N</v>
      </c>
      <c r="S1969" s="733" t="str">
        <f>'DICTIONARY-4'!$A$8</f>
        <v>PK</v>
      </c>
      <c r="T1969" s="732" t="str">
        <f>'DICTIONARY-4'!$A$24</f>
        <v>Przekładnia z kółkiem</v>
      </c>
      <c r="U1969" s="734" t="s">
        <v>5756</v>
      </c>
      <c r="V1969" s="735">
        <v>16</v>
      </c>
      <c r="W1969" s="736"/>
      <c r="X1969" s="737"/>
      <c r="Y1969" s="738"/>
      <c r="Z1969" s="739"/>
      <c r="AA1969" s="739"/>
      <c r="AB1969" s="740">
        <v>10</v>
      </c>
      <c r="AC1969" s="741" t="str">
        <f>'DICTIONARY-5'!$A$11&amp;" 20"</f>
        <v>EN 558 szereg 20</v>
      </c>
      <c r="AD1969" s="741" t="str">
        <f>'DICTIONARY-5'!$A$13</f>
        <v>woda pitna</v>
      </c>
      <c r="AE1969" s="742">
        <v>110</v>
      </c>
      <c r="AF1969" s="743">
        <v>191</v>
      </c>
      <c r="AG1969" s="741" t="str">
        <f>'DICTIONARY-5'!$A$23</f>
        <v>powłoka epoksydowa</v>
      </c>
    </row>
    <row r="1970" spans="1:33" x14ac:dyDescent="0.25">
      <c r="A1970" s="754" t="s">
        <v>1656</v>
      </c>
      <c r="B1970" s="866" t="s">
        <v>3951</v>
      </c>
      <c r="C1970" s="836">
        <v>6734</v>
      </c>
      <c r="D1970" s="836"/>
      <c r="E1970" s="836"/>
      <c r="F1970" s="836"/>
      <c r="G1970" s="496" t="s">
        <v>7832</v>
      </c>
      <c r="H1970" s="797" t="str">
        <f>VLOOKUP(G1970,SETTINGS!$B$7:$D$97,2,0)</f>
        <v>CEREX 300</v>
      </c>
      <c r="I1970" s="796">
        <f>VLOOKUP(G1970,SETTINGS!$B$7:$D$97,3,0)</f>
        <v>0</v>
      </c>
      <c r="J1970" s="670" t="str">
        <f>IFERROR(IF(CURRENCY.FORMAT_1=0,CONCATENATE(TEXT(FIXED(ROUND((C1970/EXC.RATE_1),CURRENCY.FORMAT_1),CURRENCY.FORMAT_1,1),"# ##0;-# ##0"),",-"),FIXED(ROUND((C1970/EXC.RATE_1),CURRENCY.FORMAT_1),CURRENCY.FORMAT_1,0)),'DICTIONARY-5'!$A$2)</f>
        <v>6 734,-</v>
      </c>
      <c r="K1970" s="670" t="str">
        <f>IF(EXC.RATE_2=0,"",IFERROR(IF(CURRENCY.FORMAT_2=0,CONCATENATE(TEXT(FIXED(ROUND(IF(EXC.RATE.SWITCH=1,C1970/EXC.RATE_2,C1970*EXC.RATE_2),CURRENCY.FORMAT_2),CURRENCY.FORMAT_2,1),"# ##0;-# ##0"),",-"),FIXED(ROUND(IF(EXC.RATE.SWITCH=1,C1970/EXC.RATE_2,C1970*EXC.RATE_2),CURRENCY.FORMAT_2),CURRENCY.FORMAT_2,0)),'DICTIONARY-5'!$A$2))</f>
        <v/>
      </c>
      <c r="L1970" s="670" t="str">
        <f>IFERROR(IF(CURRENCY.FORMAT_1=0,CONCATENATE(TEXT(FIXED(ROUND((C1970*(1-I1970)*(1-ADD.DISCOUNT)*(1+MAT.SURCHARGE)/EXC.RATE_1),CURRENCY.FORMAT_1),CURRENCY.FORMAT_1,1),"# ##0;-# ##0"),",-"),FIXED(ROUND((C1970*(1-I1970)*(1-ADD.DISCOUNT)*(1+MAT.SURCHARGE)/EXC.RATE_1),CURRENCY.FORMAT_1),CURRENCY.FORMAT_1,0)),'DICTIONARY-5'!$A$2)</f>
        <v>6 997,-</v>
      </c>
      <c r="M1970" s="670" t="str">
        <f>IF(EXC.RATE_2=0,"",IFERROR(IF(CURRENCY.FORMAT_2=0,CONCATENATE(TEXT(FIXED(ROUND(IF(EXC.RATE.SWITCH=1,C1970*(1-I1970)*(1-ADD.DISCOUNT)*(1+MAT.SURCHARGE)/EXC.RATE_2,C1970*(1-I1970)*(1-ADD.DISCOUNT)*(1+MAT.SURCHARGE)*EXC.RATE_2),CURRENCY.FORMAT_2),CURRENCY.FORMAT_2,1),"# ##0;-# ##0"),",-"),FIXED(ROUND(IF(EXC.RATE.SWITCH=1,C1970*(1-I1970)*(1-ADD.DISCOUNT)*(1+MAT.SURCHARGE)/EXC.RATE_2,C1970*(1-I1970)*(1-ADD.DISCOUNT)*(1+MAT.SURCHARGE)*EXC.RATE_2),CURRENCY.FORMAT_2),CURRENCY.FORMAT_2,0)),'DICTIONARY-5'!$A$2))</f>
        <v/>
      </c>
      <c r="N1970" s="541">
        <v>6</v>
      </c>
      <c r="O1970" s="541"/>
      <c r="P1970" s="731" t="str">
        <f>'DICTIONARY-3'!$A$148</f>
        <v>CEREX 300-L</v>
      </c>
      <c r="Q1970" s="731" t="str">
        <f>'DICTIONARY-3'!$A$204</f>
        <v>Przepustnica kołnierzowa</v>
      </c>
      <c r="R1970" s="732" t="str">
        <f>CONCATENATE('DICTIONARY-3'!$A$148," ",'DICTIONARY-6'!$A$2," ",'DICTIONARY-2'!$A$2,"600"," ",'DICTIONARY-2'!$A$3,"10"," ","R20"," ",'DICTIONARY-5'!$A$37,"/",'DICTIONARY-5'!$A$44,", ",'DICTIONARY-4'!$A$8," AB1950N")</f>
        <v>CEREX 300-L Przep. kołnierz. DN600 PN10 R20 CF8M/EPDM, PK AB1950N</v>
      </c>
      <c r="S1970" s="733" t="str">
        <f>'DICTIONARY-4'!$A$8</f>
        <v>PK</v>
      </c>
      <c r="T1970" s="732" t="str">
        <f>'DICTIONARY-4'!$A$24</f>
        <v>Przekładnia z kółkiem</v>
      </c>
      <c r="U1970" s="734" t="s">
        <v>5757</v>
      </c>
      <c r="V1970" s="735">
        <v>10</v>
      </c>
      <c r="W1970" s="736"/>
      <c r="X1970" s="737"/>
      <c r="Y1970" s="738"/>
      <c r="Z1970" s="739"/>
      <c r="AA1970" s="739"/>
      <c r="AB1970" s="740">
        <v>10</v>
      </c>
      <c r="AC1970" s="741" t="str">
        <f>'DICTIONARY-5'!$A$11&amp;" 20"</f>
        <v>EN 558 szereg 20</v>
      </c>
      <c r="AD1970" s="741" t="str">
        <f>'DICTIONARY-5'!$A$13</f>
        <v>woda pitna</v>
      </c>
      <c r="AE1970" s="742">
        <v>110</v>
      </c>
      <c r="AF1970" s="743">
        <v>237</v>
      </c>
      <c r="AG1970" s="741" t="str">
        <f>'DICTIONARY-5'!$A$23</f>
        <v>powłoka epoksydowa</v>
      </c>
    </row>
    <row r="1971" spans="1:33" x14ac:dyDescent="0.25">
      <c r="A1971" s="754" t="s">
        <v>1658</v>
      </c>
      <c r="B1971" s="866" t="s">
        <v>3871</v>
      </c>
      <c r="C1971" s="836">
        <v>6967</v>
      </c>
      <c r="D1971" s="836"/>
      <c r="E1971" s="836"/>
      <c r="F1971" s="836"/>
      <c r="G1971" s="496" t="s">
        <v>7832</v>
      </c>
      <c r="H1971" s="797" t="str">
        <f>VLOOKUP(G1971,SETTINGS!$B$7:$D$97,2,0)</f>
        <v>CEREX 300</v>
      </c>
      <c r="I1971" s="796">
        <f>VLOOKUP(G1971,SETTINGS!$B$7:$D$97,3,0)</f>
        <v>0</v>
      </c>
      <c r="J1971" s="670" t="str">
        <f>IFERROR(IF(CURRENCY.FORMAT_1=0,CONCATENATE(TEXT(FIXED(ROUND((C1971/EXC.RATE_1),CURRENCY.FORMAT_1),CURRENCY.FORMAT_1,1),"# ##0;-# ##0"),",-"),FIXED(ROUND((C1971/EXC.RATE_1),CURRENCY.FORMAT_1),CURRENCY.FORMAT_1,0)),'DICTIONARY-5'!$A$2)</f>
        <v>6 967,-</v>
      </c>
      <c r="K1971" s="670" t="str">
        <f>IF(EXC.RATE_2=0,"",IFERROR(IF(CURRENCY.FORMAT_2=0,CONCATENATE(TEXT(FIXED(ROUND(IF(EXC.RATE.SWITCH=1,C1971/EXC.RATE_2,C1971*EXC.RATE_2),CURRENCY.FORMAT_2),CURRENCY.FORMAT_2,1),"# ##0;-# ##0"),",-"),FIXED(ROUND(IF(EXC.RATE.SWITCH=1,C1971/EXC.RATE_2,C1971*EXC.RATE_2),CURRENCY.FORMAT_2),CURRENCY.FORMAT_2,0)),'DICTIONARY-5'!$A$2))</f>
        <v/>
      </c>
      <c r="L1971" s="670" t="str">
        <f>IFERROR(IF(CURRENCY.FORMAT_1=0,CONCATENATE(TEXT(FIXED(ROUND((C1971*(1-I1971)*(1-ADD.DISCOUNT)*(1+MAT.SURCHARGE)/EXC.RATE_1),CURRENCY.FORMAT_1),CURRENCY.FORMAT_1,1),"# ##0;-# ##0"),",-"),FIXED(ROUND((C1971*(1-I1971)*(1-ADD.DISCOUNT)*(1+MAT.SURCHARGE)/EXC.RATE_1),CURRENCY.FORMAT_1),CURRENCY.FORMAT_1,0)),'DICTIONARY-5'!$A$2)</f>
        <v>7 239,-</v>
      </c>
      <c r="M1971" s="670" t="str">
        <f>IF(EXC.RATE_2=0,"",IFERROR(IF(CURRENCY.FORMAT_2=0,CONCATENATE(TEXT(FIXED(ROUND(IF(EXC.RATE.SWITCH=1,C1971*(1-I1971)*(1-ADD.DISCOUNT)*(1+MAT.SURCHARGE)/EXC.RATE_2,C1971*(1-I1971)*(1-ADD.DISCOUNT)*(1+MAT.SURCHARGE)*EXC.RATE_2),CURRENCY.FORMAT_2),CURRENCY.FORMAT_2,1),"# ##0;-# ##0"),",-"),FIXED(ROUND(IF(EXC.RATE.SWITCH=1,C1971*(1-I1971)*(1-ADD.DISCOUNT)*(1+MAT.SURCHARGE)/EXC.RATE_2,C1971*(1-I1971)*(1-ADD.DISCOUNT)*(1+MAT.SURCHARGE)*EXC.RATE_2),CURRENCY.FORMAT_2),CURRENCY.FORMAT_2,0)),'DICTIONARY-5'!$A$2))</f>
        <v/>
      </c>
      <c r="N1971" s="541">
        <v>6</v>
      </c>
      <c r="O1971" s="541"/>
      <c r="P1971" s="731" t="str">
        <f>'DICTIONARY-3'!$A$148</f>
        <v>CEREX 300-L</v>
      </c>
      <c r="Q1971" s="731" t="str">
        <f>'DICTIONARY-3'!$A$204</f>
        <v>Przepustnica kołnierzowa</v>
      </c>
      <c r="R1971" s="732" t="str">
        <f>CONCATENATE('DICTIONARY-3'!$A$148," ",'DICTIONARY-6'!$A$2," ",'DICTIONARY-2'!$A$2,"600"," ",'DICTIONARY-2'!$A$3,"16"," ",'DICTIONARY-2'!$A$10,"10",'DICTIONARY-2'!$A$20," ","R20"," ",'DICTIONARY-5'!$A$37,"/",'DICTIONARY-5'!$A$44,", ",'DICTIONARY-4'!$A$8," AB1950N")</f>
        <v>CEREX 300-L Przep. kołnierz. DN600 PN16 PS10bar R20 CF8M/EPDM, PK AB1950N</v>
      </c>
      <c r="S1971" s="733" t="str">
        <f>'DICTIONARY-4'!$A$8</f>
        <v>PK</v>
      </c>
      <c r="T1971" s="732" t="str">
        <f>'DICTIONARY-4'!$A$24</f>
        <v>Przekładnia z kółkiem</v>
      </c>
      <c r="U1971" s="734" t="s">
        <v>5757</v>
      </c>
      <c r="V1971" s="735">
        <v>16</v>
      </c>
      <c r="W1971" s="736"/>
      <c r="X1971" s="737"/>
      <c r="Y1971" s="738"/>
      <c r="Z1971" s="739"/>
      <c r="AA1971" s="739"/>
      <c r="AB1971" s="740">
        <v>10</v>
      </c>
      <c r="AC1971" s="741" t="str">
        <f>'DICTIONARY-5'!$A$11&amp;" 20"</f>
        <v>EN 558 szereg 20</v>
      </c>
      <c r="AD1971" s="741" t="str">
        <f>'DICTIONARY-5'!$A$13</f>
        <v>woda pitna</v>
      </c>
      <c r="AE1971" s="742">
        <v>110</v>
      </c>
      <c r="AF1971" s="743">
        <v>281</v>
      </c>
      <c r="AG1971" s="741" t="str">
        <f>'DICTIONARY-5'!$A$23</f>
        <v>powłoka epoksydowa</v>
      </c>
    </row>
    <row r="1972" spans="1:33" x14ac:dyDescent="0.25">
      <c r="A1972" s="754" t="s">
        <v>1659</v>
      </c>
      <c r="B1972" s="869" t="s">
        <v>3876</v>
      </c>
      <c r="C1972" s="836">
        <v>249</v>
      </c>
      <c r="D1972" s="836"/>
      <c r="E1972" s="836"/>
      <c r="F1972" s="836"/>
      <c r="G1972" s="496" t="s">
        <v>7832</v>
      </c>
      <c r="H1972" s="797" t="str">
        <f>VLOOKUP(G1972,SETTINGS!$B$7:$D$97,2,0)</f>
        <v>CEREX 300</v>
      </c>
      <c r="I1972" s="796">
        <f>VLOOKUP(G1972,SETTINGS!$B$7:$D$97,3,0)</f>
        <v>0</v>
      </c>
      <c r="J1972" s="670" t="str">
        <f>IFERROR(IF(CURRENCY.FORMAT_1=0,CONCATENATE(TEXT(FIXED(ROUND((C1972/EXC.RATE_1),CURRENCY.FORMAT_1),CURRENCY.FORMAT_1,1),"# ##0;-# ##0"),",-"),FIXED(ROUND((C1972/EXC.RATE_1),CURRENCY.FORMAT_1),CURRENCY.FORMAT_1,0)),'DICTIONARY-5'!$A$2)</f>
        <v>249,-</v>
      </c>
      <c r="K1972" s="670" t="str">
        <f>IF(EXC.RATE_2=0,"",IFERROR(IF(CURRENCY.FORMAT_2=0,CONCATENATE(TEXT(FIXED(ROUND(IF(EXC.RATE.SWITCH=1,C1972/EXC.RATE_2,C1972*EXC.RATE_2),CURRENCY.FORMAT_2),CURRENCY.FORMAT_2,1),"# ##0;-# ##0"),",-"),FIXED(ROUND(IF(EXC.RATE.SWITCH=1,C1972/EXC.RATE_2,C1972*EXC.RATE_2),CURRENCY.FORMAT_2),CURRENCY.FORMAT_2,0)),'DICTIONARY-5'!$A$2))</f>
        <v/>
      </c>
      <c r="L1972" s="670" t="str">
        <f>IFERROR(IF(CURRENCY.FORMAT_1=0,CONCATENATE(TEXT(FIXED(ROUND((C1972*(1-I1972)*(1-ADD.DISCOUNT)*(1+MAT.SURCHARGE)/EXC.RATE_1),CURRENCY.FORMAT_1),CURRENCY.FORMAT_1,1),"# ##0;-# ##0"),",-"),FIXED(ROUND((C1972*(1-I1972)*(1-ADD.DISCOUNT)*(1+MAT.SURCHARGE)/EXC.RATE_1),CURRENCY.FORMAT_1),CURRENCY.FORMAT_1,0)),'DICTIONARY-5'!$A$2)</f>
        <v>259,-</v>
      </c>
      <c r="M1972" s="670" t="str">
        <f>IF(EXC.RATE_2=0,"",IFERROR(IF(CURRENCY.FORMAT_2=0,CONCATENATE(TEXT(FIXED(ROUND(IF(EXC.RATE.SWITCH=1,C1972*(1-I1972)*(1-ADD.DISCOUNT)*(1+MAT.SURCHARGE)/EXC.RATE_2,C1972*(1-I1972)*(1-ADD.DISCOUNT)*(1+MAT.SURCHARGE)*EXC.RATE_2),CURRENCY.FORMAT_2),CURRENCY.FORMAT_2,1),"# ##0;-# ##0"),",-"),FIXED(ROUND(IF(EXC.RATE.SWITCH=1,C1972*(1-I1972)*(1-ADD.DISCOUNT)*(1+MAT.SURCHARGE)/EXC.RATE_2,C1972*(1-I1972)*(1-ADD.DISCOUNT)*(1+MAT.SURCHARGE)*EXC.RATE_2),CURRENCY.FORMAT_2),CURRENCY.FORMAT_2,0)),'DICTIONARY-5'!$A$2))</f>
        <v/>
      </c>
      <c r="N1972" s="535">
        <v>6</v>
      </c>
      <c r="O1972" s="535"/>
      <c r="P1972" s="731" t="str">
        <f>'DICTIONARY-3'!$A$148</f>
        <v>CEREX 300-L</v>
      </c>
      <c r="Q1972" s="732" t="str">
        <f>'DICTIONARY-3'!$A$204</f>
        <v>Przepustnica kołnierzowa</v>
      </c>
      <c r="R1972" s="732" t="str">
        <f>CONCATENATE('DICTIONARY-3'!$A$148," ",'DICTIONARY-6'!$A$2," ",UPPER('DICTIONARY-5'!$A$18)," ",'DICTIONARY-2'!$A$2,"50"," ",'DICTIONARY-2'!$A$3,"10/16"," ","R20"," ",'DICTIONARY-5'!$A$51,"/",'DICTIONARY-5'!$A$45,", ",'DICTIONARY-4'!$A$8," 232-05")</f>
        <v>CEREX 300-L Przep. kołnierz. GAZ DN50 PN10/16 R20 GGG/NBR, PK 232-05</v>
      </c>
      <c r="S1972" s="733" t="str">
        <f>'DICTIONARY-4'!$A$8</f>
        <v>PK</v>
      </c>
      <c r="T1972" s="732" t="str">
        <f>'DICTIONARY-4'!$A$24</f>
        <v>Przekładnia z kółkiem</v>
      </c>
      <c r="U1972" s="734" t="s">
        <v>5748</v>
      </c>
      <c r="V1972" s="735">
        <v>16</v>
      </c>
      <c r="W1972" s="736"/>
      <c r="X1972" s="737"/>
      <c r="Y1972" s="738"/>
      <c r="Z1972" s="739"/>
      <c r="AA1972" s="739"/>
      <c r="AB1972" s="740">
        <v>16</v>
      </c>
      <c r="AC1972" s="741" t="str">
        <f>'DICTIONARY-5'!$A$11&amp;" 20"</f>
        <v>EN 558 szereg 20</v>
      </c>
      <c r="AD1972" s="741" t="str">
        <f>'DICTIONARY-5'!$A$18&amp;", "&amp;'DICTIONARY-5'!$A$14</f>
        <v>gaz, ścieki</v>
      </c>
      <c r="AE1972" s="751">
        <v>80</v>
      </c>
      <c r="AF1972" s="743">
        <v>4.5</v>
      </c>
      <c r="AG1972" s="741" t="str">
        <f>'DICTIONARY-5'!$A$23</f>
        <v>powłoka epoksydowa</v>
      </c>
    </row>
    <row r="1973" spans="1:33" x14ac:dyDescent="0.25">
      <c r="A1973" s="754" t="s">
        <v>1661</v>
      </c>
      <c r="B1973" s="869" t="s">
        <v>3882</v>
      </c>
      <c r="C1973" s="836">
        <v>259</v>
      </c>
      <c r="D1973" s="836"/>
      <c r="E1973" s="836"/>
      <c r="F1973" s="836"/>
      <c r="G1973" s="496" t="s">
        <v>7832</v>
      </c>
      <c r="H1973" s="797" t="str">
        <f>VLOOKUP(G1973,SETTINGS!$B$7:$D$97,2,0)</f>
        <v>CEREX 300</v>
      </c>
      <c r="I1973" s="796">
        <f>VLOOKUP(G1973,SETTINGS!$B$7:$D$97,3,0)</f>
        <v>0</v>
      </c>
      <c r="J1973" s="670" t="str">
        <f>IFERROR(IF(CURRENCY.FORMAT_1=0,CONCATENATE(TEXT(FIXED(ROUND((C1973/EXC.RATE_1),CURRENCY.FORMAT_1),CURRENCY.FORMAT_1,1),"# ##0;-# ##0"),",-"),FIXED(ROUND((C1973/EXC.RATE_1),CURRENCY.FORMAT_1),CURRENCY.FORMAT_1,0)),'DICTIONARY-5'!$A$2)</f>
        <v>259,-</v>
      </c>
      <c r="K1973" s="670" t="str">
        <f>IF(EXC.RATE_2=0,"",IFERROR(IF(CURRENCY.FORMAT_2=0,CONCATENATE(TEXT(FIXED(ROUND(IF(EXC.RATE.SWITCH=1,C1973/EXC.RATE_2,C1973*EXC.RATE_2),CURRENCY.FORMAT_2),CURRENCY.FORMAT_2,1),"# ##0;-# ##0"),",-"),FIXED(ROUND(IF(EXC.RATE.SWITCH=1,C1973/EXC.RATE_2,C1973*EXC.RATE_2),CURRENCY.FORMAT_2),CURRENCY.FORMAT_2,0)),'DICTIONARY-5'!$A$2))</f>
        <v/>
      </c>
      <c r="L1973" s="670" t="str">
        <f>IFERROR(IF(CURRENCY.FORMAT_1=0,CONCATENATE(TEXT(FIXED(ROUND((C1973*(1-I1973)*(1-ADD.DISCOUNT)*(1+MAT.SURCHARGE)/EXC.RATE_1),CURRENCY.FORMAT_1),CURRENCY.FORMAT_1,1),"# ##0;-# ##0"),",-"),FIXED(ROUND((C1973*(1-I1973)*(1-ADD.DISCOUNT)*(1+MAT.SURCHARGE)/EXC.RATE_1),CURRENCY.FORMAT_1),CURRENCY.FORMAT_1,0)),'DICTIONARY-5'!$A$2)</f>
        <v>269,-</v>
      </c>
      <c r="M1973" s="670" t="str">
        <f>IF(EXC.RATE_2=0,"",IFERROR(IF(CURRENCY.FORMAT_2=0,CONCATENATE(TEXT(FIXED(ROUND(IF(EXC.RATE.SWITCH=1,C1973*(1-I1973)*(1-ADD.DISCOUNT)*(1+MAT.SURCHARGE)/EXC.RATE_2,C1973*(1-I1973)*(1-ADD.DISCOUNT)*(1+MAT.SURCHARGE)*EXC.RATE_2),CURRENCY.FORMAT_2),CURRENCY.FORMAT_2,1),"# ##0;-# ##0"),",-"),FIXED(ROUND(IF(EXC.RATE.SWITCH=1,C1973*(1-I1973)*(1-ADD.DISCOUNT)*(1+MAT.SURCHARGE)/EXC.RATE_2,C1973*(1-I1973)*(1-ADD.DISCOUNT)*(1+MAT.SURCHARGE)*EXC.RATE_2),CURRENCY.FORMAT_2),CURRENCY.FORMAT_2,0)),'DICTIONARY-5'!$A$2))</f>
        <v/>
      </c>
      <c r="N1973" s="535">
        <v>6</v>
      </c>
      <c r="O1973" s="535"/>
      <c r="P1973" s="731" t="str">
        <f>'DICTIONARY-3'!$A$148</f>
        <v>CEREX 300-L</v>
      </c>
      <c r="Q1973" s="732" t="str">
        <f>'DICTIONARY-3'!$A$204</f>
        <v>Przepustnica kołnierzowa</v>
      </c>
      <c r="R1973" s="732" t="str">
        <f>CONCATENATE('DICTIONARY-3'!$A$148," ",'DICTIONARY-6'!$A$2," ",UPPER('DICTIONARY-5'!$A$18)," ",'DICTIONARY-2'!$A$2,"65"," ",'DICTIONARY-2'!$A$3,"10/16"," ","R20"," ",'DICTIONARY-5'!$A$51,"/",'DICTIONARY-5'!$A$45,", ",'DICTIONARY-4'!$A$8," 232-05")</f>
        <v>CEREX 300-L Przep. kołnierz. GAZ DN65 PN10/16 R20 GGG/NBR, PK 232-05</v>
      </c>
      <c r="S1973" s="733" t="str">
        <f>'DICTIONARY-4'!$A$8</f>
        <v>PK</v>
      </c>
      <c r="T1973" s="732" t="str">
        <f>'DICTIONARY-4'!$A$24</f>
        <v>Przekładnia z kółkiem</v>
      </c>
      <c r="U1973" s="734" t="s">
        <v>5759</v>
      </c>
      <c r="V1973" s="735">
        <v>16</v>
      </c>
      <c r="W1973" s="736"/>
      <c r="X1973" s="737"/>
      <c r="Y1973" s="738"/>
      <c r="Z1973" s="739"/>
      <c r="AA1973" s="739"/>
      <c r="AB1973" s="740">
        <v>16</v>
      </c>
      <c r="AC1973" s="741" t="str">
        <f>'DICTIONARY-5'!$A$11&amp;" 20"</f>
        <v>EN 558 szereg 20</v>
      </c>
      <c r="AD1973" s="741" t="str">
        <f>'DICTIONARY-5'!$A$18&amp;", "&amp;'DICTIONARY-5'!$A$14</f>
        <v>gaz, ścieki</v>
      </c>
      <c r="AE1973" s="742">
        <v>80</v>
      </c>
      <c r="AF1973" s="743">
        <v>5</v>
      </c>
      <c r="AG1973" s="741" t="str">
        <f>'DICTIONARY-5'!$A$23</f>
        <v>powłoka epoksydowa</v>
      </c>
    </row>
    <row r="1974" spans="1:33" x14ac:dyDescent="0.25">
      <c r="A1974" s="754" t="s">
        <v>1663</v>
      </c>
      <c r="B1974" s="869" t="s">
        <v>3888</v>
      </c>
      <c r="C1974" s="836">
        <v>289</v>
      </c>
      <c r="D1974" s="836"/>
      <c r="E1974" s="836"/>
      <c r="F1974" s="836"/>
      <c r="G1974" s="496" t="s">
        <v>7832</v>
      </c>
      <c r="H1974" s="797" t="str">
        <f>VLOOKUP(G1974,SETTINGS!$B$7:$D$97,2,0)</f>
        <v>CEREX 300</v>
      </c>
      <c r="I1974" s="796">
        <f>VLOOKUP(G1974,SETTINGS!$B$7:$D$97,3,0)</f>
        <v>0</v>
      </c>
      <c r="J1974" s="670" t="str">
        <f>IFERROR(IF(CURRENCY.FORMAT_1=0,CONCATENATE(TEXT(FIXED(ROUND((C1974/EXC.RATE_1),CURRENCY.FORMAT_1),CURRENCY.FORMAT_1,1),"# ##0;-# ##0"),",-"),FIXED(ROUND((C1974/EXC.RATE_1),CURRENCY.FORMAT_1),CURRENCY.FORMAT_1,0)),'DICTIONARY-5'!$A$2)</f>
        <v>289,-</v>
      </c>
      <c r="K1974" s="670" t="str">
        <f>IF(EXC.RATE_2=0,"",IFERROR(IF(CURRENCY.FORMAT_2=0,CONCATENATE(TEXT(FIXED(ROUND(IF(EXC.RATE.SWITCH=1,C1974/EXC.RATE_2,C1974*EXC.RATE_2),CURRENCY.FORMAT_2),CURRENCY.FORMAT_2,1),"# ##0;-# ##0"),",-"),FIXED(ROUND(IF(EXC.RATE.SWITCH=1,C1974/EXC.RATE_2,C1974*EXC.RATE_2),CURRENCY.FORMAT_2),CURRENCY.FORMAT_2,0)),'DICTIONARY-5'!$A$2))</f>
        <v/>
      </c>
      <c r="L1974" s="670" t="str">
        <f>IFERROR(IF(CURRENCY.FORMAT_1=0,CONCATENATE(TEXT(FIXED(ROUND((C1974*(1-I1974)*(1-ADD.DISCOUNT)*(1+MAT.SURCHARGE)/EXC.RATE_1),CURRENCY.FORMAT_1),CURRENCY.FORMAT_1,1),"# ##0;-# ##0"),",-"),FIXED(ROUND((C1974*(1-I1974)*(1-ADD.DISCOUNT)*(1+MAT.SURCHARGE)/EXC.RATE_1),CURRENCY.FORMAT_1),CURRENCY.FORMAT_1,0)),'DICTIONARY-5'!$A$2)</f>
        <v>300,-</v>
      </c>
      <c r="M1974" s="670" t="str">
        <f>IF(EXC.RATE_2=0,"",IFERROR(IF(CURRENCY.FORMAT_2=0,CONCATENATE(TEXT(FIXED(ROUND(IF(EXC.RATE.SWITCH=1,C1974*(1-I1974)*(1-ADD.DISCOUNT)*(1+MAT.SURCHARGE)/EXC.RATE_2,C1974*(1-I1974)*(1-ADD.DISCOUNT)*(1+MAT.SURCHARGE)*EXC.RATE_2),CURRENCY.FORMAT_2),CURRENCY.FORMAT_2,1),"# ##0;-# ##0"),",-"),FIXED(ROUND(IF(EXC.RATE.SWITCH=1,C1974*(1-I1974)*(1-ADD.DISCOUNT)*(1+MAT.SURCHARGE)/EXC.RATE_2,C1974*(1-I1974)*(1-ADD.DISCOUNT)*(1+MAT.SURCHARGE)*EXC.RATE_2),CURRENCY.FORMAT_2),CURRENCY.FORMAT_2,0)),'DICTIONARY-5'!$A$2))</f>
        <v/>
      </c>
      <c r="N1974" s="535">
        <v>6</v>
      </c>
      <c r="O1974" s="535"/>
      <c r="P1974" s="731" t="str">
        <f>'DICTIONARY-3'!$A$148</f>
        <v>CEREX 300-L</v>
      </c>
      <c r="Q1974" s="732" t="str">
        <f>'DICTIONARY-3'!$A$204</f>
        <v>Przepustnica kołnierzowa</v>
      </c>
      <c r="R1974" s="732" t="str">
        <f>CONCATENATE('DICTIONARY-3'!$A$148," ",'DICTIONARY-6'!$A$2," ",UPPER('DICTIONARY-5'!$A$18)," ",'DICTIONARY-2'!$A$2,"80"," ",'DICTIONARY-2'!$A$3,"10/16"," ","R20"," ",'DICTIONARY-5'!$A$51,"/",'DICTIONARY-5'!$A$45,", ",'DICTIONARY-4'!$A$8," 232-05")</f>
        <v>CEREX 300-L Przep. kołnierz. GAZ DN80 PN10/16 R20 GGG/NBR, PK 232-05</v>
      </c>
      <c r="S1974" s="733" t="str">
        <f>'DICTIONARY-4'!$A$8</f>
        <v>PK</v>
      </c>
      <c r="T1974" s="732" t="str">
        <f>'DICTIONARY-4'!$A$24</f>
        <v>Przekładnia z kółkiem</v>
      </c>
      <c r="U1974" s="734" t="s">
        <v>5760</v>
      </c>
      <c r="V1974" s="735">
        <v>16</v>
      </c>
      <c r="W1974" s="736"/>
      <c r="X1974" s="737"/>
      <c r="Y1974" s="738"/>
      <c r="Z1974" s="739"/>
      <c r="AA1974" s="739"/>
      <c r="AB1974" s="740">
        <v>16</v>
      </c>
      <c r="AC1974" s="741" t="str">
        <f>'DICTIONARY-5'!$A$11&amp;" 20"</f>
        <v>EN 558 szereg 20</v>
      </c>
      <c r="AD1974" s="741" t="str">
        <f>'DICTIONARY-5'!$A$18&amp;", "&amp;'DICTIONARY-5'!$A$14</f>
        <v>gaz, ścieki</v>
      </c>
      <c r="AE1974" s="742">
        <v>80</v>
      </c>
      <c r="AF1974" s="743">
        <v>7</v>
      </c>
      <c r="AG1974" s="741" t="str">
        <f>'DICTIONARY-5'!$A$23</f>
        <v>powłoka epoksydowa</v>
      </c>
    </row>
    <row r="1975" spans="1:33" x14ac:dyDescent="0.25">
      <c r="A1975" s="754" t="s">
        <v>1665</v>
      </c>
      <c r="B1975" s="869" t="s">
        <v>3894</v>
      </c>
      <c r="C1975" s="836">
        <v>322</v>
      </c>
      <c r="D1975" s="836"/>
      <c r="E1975" s="836"/>
      <c r="F1975" s="836"/>
      <c r="G1975" s="496" t="s">
        <v>7832</v>
      </c>
      <c r="H1975" s="797" t="str">
        <f>VLOOKUP(G1975,SETTINGS!$B$7:$D$97,2,0)</f>
        <v>CEREX 300</v>
      </c>
      <c r="I1975" s="796">
        <f>VLOOKUP(G1975,SETTINGS!$B$7:$D$97,3,0)</f>
        <v>0</v>
      </c>
      <c r="J1975" s="670" t="str">
        <f>IFERROR(IF(CURRENCY.FORMAT_1=0,CONCATENATE(TEXT(FIXED(ROUND((C1975/EXC.RATE_1),CURRENCY.FORMAT_1),CURRENCY.FORMAT_1,1),"# ##0;-# ##0"),",-"),FIXED(ROUND((C1975/EXC.RATE_1),CURRENCY.FORMAT_1),CURRENCY.FORMAT_1,0)),'DICTIONARY-5'!$A$2)</f>
        <v>322,-</v>
      </c>
      <c r="K1975" s="670" t="str">
        <f>IF(EXC.RATE_2=0,"",IFERROR(IF(CURRENCY.FORMAT_2=0,CONCATENATE(TEXT(FIXED(ROUND(IF(EXC.RATE.SWITCH=1,C1975/EXC.RATE_2,C1975*EXC.RATE_2),CURRENCY.FORMAT_2),CURRENCY.FORMAT_2,1),"# ##0;-# ##0"),",-"),FIXED(ROUND(IF(EXC.RATE.SWITCH=1,C1975/EXC.RATE_2,C1975*EXC.RATE_2),CURRENCY.FORMAT_2),CURRENCY.FORMAT_2,0)),'DICTIONARY-5'!$A$2))</f>
        <v/>
      </c>
      <c r="L1975" s="670" t="str">
        <f>IFERROR(IF(CURRENCY.FORMAT_1=0,CONCATENATE(TEXT(FIXED(ROUND((C1975*(1-I1975)*(1-ADD.DISCOUNT)*(1+MAT.SURCHARGE)/EXC.RATE_1),CURRENCY.FORMAT_1),CURRENCY.FORMAT_1,1),"# ##0;-# ##0"),",-"),FIXED(ROUND((C1975*(1-I1975)*(1-ADD.DISCOUNT)*(1+MAT.SURCHARGE)/EXC.RATE_1),CURRENCY.FORMAT_1),CURRENCY.FORMAT_1,0)),'DICTIONARY-5'!$A$2)</f>
        <v>335,-</v>
      </c>
      <c r="M1975" s="670" t="str">
        <f>IF(EXC.RATE_2=0,"",IFERROR(IF(CURRENCY.FORMAT_2=0,CONCATENATE(TEXT(FIXED(ROUND(IF(EXC.RATE.SWITCH=1,C1975*(1-I1975)*(1-ADD.DISCOUNT)*(1+MAT.SURCHARGE)/EXC.RATE_2,C1975*(1-I1975)*(1-ADD.DISCOUNT)*(1+MAT.SURCHARGE)*EXC.RATE_2),CURRENCY.FORMAT_2),CURRENCY.FORMAT_2,1),"# ##0;-# ##0"),",-"),FIXED(ROUND(IF(EXC.RATE.SWITCH=1,C1975*(1-I1975)*(1-ADD.DISCOUNT)*(1+MAT.SURCHARGE)/EXC.RATE_2,C1975*(1-I1975)*(1-ADD.DISCOUNT)*(1+MAT.SURCHARGE)*EXC.RATE_2),CURRENCY.FORMAT_2),CURRENCY.FORMAT_2,0)),'DICTIONARY-5'!$A$2))</f>
        <v/>
      </c>
      <c r="N1975" s="535">
        <v>6</v>
      </c>
      <c r="O1975" s="535"/>
      <c r="P1975" s="731" t="str">
        <f>'DICTIONARY-3'!$A$148</f>
        <v>CEREX 300-L</v>
      </c>
      <c r="Q1975" s="732" t="str">
        <f>'DICTIONARY-3'!$A$204</f>
        <v>Przepustnica kołnierzowa</v>
      </c>
      <c r="R1975" s="732" t="str">
        <f>CONCATENATE('DICTIONARY-3'!$A$148," ",'DICTIONARY-6'!$A$2," ",UPPER('DICTIONARY-5'!$A$18)," ",'DICTIONARY-2'!$A$2,"100"," ",'DICTIONARY-2'!$A$3,"10/16"," ","R20"," ",'DICTIONARY-5'!$A$51,"/",'DICTIONARY-5'!$A$45,", ",'DICTIONARY-4'!$A$8," 232-05")</f>
        <v>CEREX 300-L Przep. kołnierz. GAZ DN100 PN10/16 R20 GGG/NBR, PK 232-05</v>
      </c>
      <c r="S1975" s="733" t="str">
        <f>'DICTIONARY-4'!$A$8</f>
        <v>PK</v>
      </c>
      <c r="T1975" s="732" t="str">
        <f>'DICTIONARY-4'!$A$24</f>
        <v>Przekładnia z kółkiem</v>
      </c>
      <c r="U1975" s="734" t="s">
        <v>5749</v>
      </c>
      <c r="V1975" s="735">
        <v>16</v>
      </c>
      <c r="W1975" s="736"/>
      <c r="X1975" s="737"/>
      <c r="Y1975" s="738"/>
      <c r="Z1975" s="739"/>
      <c r="AA1975" s="739"/>
      <c r="AB1975" s="740">
        <v>16</v>
      </c>
      <c r="AC1975" s="741" t="str">
        <f>'DICTIONARY-5'!$A$11&amp;" 20"</f>
        <v>EN 558 szereg 20</v>
      </c>
      <c r="AD1975" s="741" t="str">
        <f>'DICTIONARY-5'!$A$18&amp;", "&amp;'DICTIONARY-5'!$A$14</f>
        <v>gaz, ścieki</v>
      </c>
      <c r="AE1975" s="742">
        <v>80</v>
      </c>
      <c r="AF1975" s="743">
        <v>9</v>
      </c>
      <c r="AG1975" s="741" t="str">
        <f>'DICTIONARY-5'!$A$23</f>
        <v>powłoka epoksydowa</v>
      </c>
    </row>
    <row r="1976" spans="1:33" x14ac:dyDescent="0.25">
      <c r="A1976" s="754" t="s">
        <v>1667</v>
      </c>
      <c r="B1976" s="869" t="s">
        <v>3900</v>
      </c>
      <c r="C1976" s="836">
        <v>353</v>
      </c>
      <c r="D1976" s="836"/>
      <c r="E1976" s="836"/>
      <c r="F1976" s="836"/>
      <c r="G1976" s="496" t="s">
        <v>7832</v>
      </c>
      <c r="H1976" s="797" t="str">
        <f>VLOOKUP(G1976,SETTINGS!$B$7:$D$97,2,0)</f>
        <v>CEREX 300</v>
      </c>
      <c r="I1976" s="796">
        <f>VLOOKUP(G1976,SETTINGS!$B$7:$D$97,3,0)</f>
        <v>0</v>
      </c>
      <c r="J1976" s="670" t="str">
        <f>IFERROR(IF(CURRENCY.FORMAT_1=0,CONCATENATE(TEXT(FIXED(ROUND((C1976/EXC.RATE_1),CURRENCY.FORMAT_1),CURRENCY.FORMAT_1,1),"# ##0;-# ##0"),",-"),FIXED(ROUND((C1976/EXC.RATE_1),CURRENCY.FORMAT_1),CURRENCY.FORMAT_1,0)),'DICTIONARY-5'!$A$2)</f>
        <v>353,-</v>
      </c>
      <c r="K1976" s="670" t="str">
        <f>IF(EXC.RATE_2=0,"",IFERROR(IF(CURRENCY.FORMAT_2=0,CONCATENATE(TEXT(FIXED(ROUND(IF(EXC.RATE.SWITCH=1,C1976/EXC.RATE_2,C1976*EXC.RATE_2),CURRENCY.FORMAT_2),CURRENCY.FORMAT_2,1),"# ##0;-# ##0"),",-"),FIXED(ROUND(IF(EXC.RATE.SWITCH=1,C1976/EXC.RATE_2,C1976*EXC.RATE_2),CURRENCY.FORMAT_2),CURRENCY.FORMAT_2,0)),'DICTIONARY-5'!$A$2))</f>
        <v/>
      </c>
      <c r="L1976" s="670" t="str">
        <f>IFERROR(IF(CURRENCY.FORMAT_1=0,CONCATENATE(TEXT(FIXED(ROUND((C1976*(1-I1976)*(1-ADD.DISCOUNT)*(1+MAT.SURCHARGE)/EXC.RATE_1),CURRENCY.FORMAT_1),CURRENCY.FORMAT_1,1),"# ##0;-# ##0"),",-"),FIXED(ROUND((C1976*(1-I1976)*(1-ADD.DISCOUNT)*(1+MAT.SURCHARGE)/EXC.RATE_1),CURRENCY.FORMAT_1),CURRENCY.FORMAT_1,0)),'DICTIONARY-5'!$A$2)</f>
        <v>367,-</v>
      </c>
      <c r="M1976" s="670" t="str">
        <f>IF(EXC.RATE_2=0,"",IFERROR(IF(CURRENCY.FORMAT_2=0,CONCATENATE(TEXT(FIXED(ROUND(IF(EXC.RATE.SWITCH=1,C1976*(1-I1976)*(1-ADD.DISCOUNT)*(1+MAT.SURCHARGE)/EXC.RATE_2,C1976*(1-I1976)*(1-ADD.DISCOUNT)*(1+MAT.SURCHARGE)*EXC.RATE_2),CURRENCY.FORMAT_2),CURRENCY.FORMAT_2,1),"# ##0;-# ##0"),",-"),FIXED(ROUND(IF(EXC.RATE.SWITCH=1,C1976*(1-I1976)*(1-ADD.DISCOUNT)*(1+MAT.SURCHARGE)/EXC.RATE_2,C1976*(1-I1976)*(1-ADD.DISCOUNT)*(1+MAT.SURCHARGE)*EXC.RATE_2),CURRENCY.FORMAT_2),CURRENCY.FORMAT_2,0)),'DICTIONARY-5'!$A$2))</f>
        <v/>
      </c>
      <c r="N1976" s="535">
        <v>6</v>
      </c>
      <c r="O1976" s="535"/>
      <c r="P1976" s="731" t="str">
        <f>'DICTIONARY-3'!$A$148</f>
        <v>CEREX 300-L</v>
      </c>
      <c r="Q1976" s="732" t="str">
        <f>'DICTIONARY-3'!$A$204</f>
        <v>Przepustnica kołnierzowa</v>
      </c>
      <c r="R1976" s="732" t="str">
        <f>CONCATENATE('DICTIONARY-3'!$A$148," ",'DICTIONARY-6'!$A$2," ",UPPER('DICTIONARY-5'!$A$18)," ",'DICTIONARY-2'!$A$2,"125"," ",'DICTIONARY-2'!$A$3,"10/16"," ","R20"," ",'DICTIONARY-5'!$A$51,"/",'DICTIONARY-5'!$A$45,", ",'DICTIONARY-4'!$A$8," 232-05")</f>
        <v>CEREX 300-L Przep. kołnierz. GAZ DN125 PN10/16 R20 GGG/NBR, PK 232-05</v>
      </c>
      <c r="S1976" s="733" t="str">
        <f>'DICTIONARY-4'!$A$8</f>
        <v>PK</v>
      </c>
      <c r="T1976" s="732" t="str">
        <f>'DICTIONARY-4'!$A$24</f>
        <v>Przekładnia z kółkiem</v>
      </c>
      <c r="U1976" s="734" t="s">
        <v>5761</v>
      </c>
      <c r="V1976" s="735">
        <v>16</v>
      </c>
      <c r="W1976" s="736"/>
      <c r="X1976" s="737"/>
      <c r="Y1976" s="738"/>
      <c r="Z1976" s="739"/>
      <c r="AA1976" s="739"/>
      <c r="AB1976" s="740">
        <v>16</v>
      </c>
      <c r="AC1976" s="741" t="str">
        <f>'DICTIONARY-5'!$A$11&amp;" 20"</f>
        <v>EN 558 szereg 20</v>
      </c>
      <c r="AD1976" s="741" t="str">
        <f>'DICTIONARY-5'!$A$18&amp;", "&amp;'DICTIONARY-5'!$A$14</f>
        <v>gaz, ścieki</v>
      </c>
      <c r="AE1976" s="742">
        <v>80</v>
      </c>
      <c r="AF1976" s="743">
        <v>11</v>
      </c>
      <c r="AG1976" s="741" t="str">
        <f>'DICTIONARY-5'!$A$23</f>
        <v>powłoka epoksydowa</v>
      </c>
    </row>
    <row r="1977" spans="1:33" x14ac:dyDescent="0.25">
      <c r="A1977" s="754" t="s">
        <v>1669</v>
      </c>
      <c r="B1977" s="869" t="s">
        <v>3906</v>
      </c>
      <c r="C1977" s="836">
        <v>457</v>
      </c>
      <c r="D1977" s="836"/>
      <c r="E1977" s="836"/>
      <c r="F1977" s="836"/>
      <c r="G1977" s="496" t="s">
        <v>7832</v>
      </c>
      <c r="H1977" s="797" t="str">
        <f>VLOOKUP(G1977,SETTINGS!$B$7:$D$97,2,0)</f>
        <v>CEREX 300</v>
      </c>
      <c r="I1977" s="796">
        <f>VLOOKUP(G1977,SETTINGS!$B$7:$D$97,3,0)</f>
        <v>0</v>
      </c>
      <c r="J1977" s="670" t="str">
        <f>IFERROR(IF(CURRENCY.FORMAT_1=0,CONCATENATE(TEXT(FIXED(ROUND((C1977/EXC.RATE_1),CURRENCY.FORMAT_1),CURRENCY.FORMAT_1,1),"# ##0;-# ##0"),",-"),FIXED(ROUND((C1977/EXC.RATE_1),CURRENCY.FORMAT_1),CURRENCY.FORMAT_1,0)),'DICTIONARY-5'!$A$2)</f>
        <v>457,-</v>
      </c>
      <c r="K1977" s="670" t="str">
        <f>IF(EXC.RATE_2=0,"",IFERROR(IF(CURRENCY.FORMAT_2=0,CONCATENATE(TEXT(FIXED(ROUND(IF(EXC.RATE.SWITCH=1,C1977/EXC.RATE_2,C1977*EXC.RATE_2),CURRENCY.FORMAT_2),CURRENCY.FORMAT_2,1),"# ##0;-# ##0"),",-"),FIXED(ROUND(IF(EXC.RATE.SWITCH=1,C1977/EXC.RATE_2,C1977*EXC.RATE_2),CURRENCY.FORMAT_2),CURRENCY.FORMAT_2,0)),'DICTIONARY-5'!$A$2))</f>
        <v/>
      </c>
      <c r="L1977" s="670" t="str">
        <f>IFERROR(IF(CURRENCY.FORMAT_1=0,CONCATENATE(TEXT(FIXED(ROUND((C1977*(1-I1977)*(1-ADD.DISCOUNT)*(1+MAT.SURCHARGE)/EXC.RATE_1),CURRENCY.FORMAT_1),CURRENCY.FORMAT_1,1),"# ##0;-# ##0"),",-"),FIXED(ROUND((C1977*(1-I1977)*(1-ADD.DISCOUNT)*(1+MAT.SURCHARGE)/EXC.RATE_1),CURRENCY.FORMAT_1),CURRENCY.FORMAT_1,0)),'DICTIONARY-5'!$A$2)</f>
        <v>475,-</v>
      </c>
      <c r="M1977" s="670" t="str">
        <f>IF(EXC.RATE_2=0,"",IFERROR(IF(CURRENCY.FORMAT_2=0,CONCATENATE(TEXT(FIXED(ROUND(IF(EXC.RATE.SWITCH=1,C1977*(1-I1977)*(1-ADD.DISCOUNT)*(1+MAT.SURCHARGE)/EXC.RATE_2,C1977*(1-I1977)*(1-ADD.DISCOUNT)*(1+MAT.SURCHARGE)*EXC.RATE_2),CURRENCY.FORMAT_2),CURRENCY.FORMAT_2,1),"# ##0;-# ##0"),",-"),FIXED(ROUND(IF(EXC.RATE.SWITCH=1,C1977*(1-I1977)*(1-ADD.DISCOUNT)*(1+MAT.SURCHARGE)/EXC.RATE_2,C1977*(1-I1977)*(1-ADD.DISCOUNT)*(1+MAT.SURCHARGE)*EXC.RATE_2),CURRENCY.FORMAT_2),CURRENCY.FORMAT_2,0)),'DICTIONARY-5'!$A$2))</f>
        <v/>
      </c>
      <c r="N1977" s="535">
        <v>6</v>
      </c>
      <c r="O1977" s="535"/>
      <c r="P1977" s="731" t="str">
        <f>'DICTIONARY-3'!$A$148</f>
        <v>CEREX 300-L</v>
      </c>
      <c r="Q1977" s="732" t="str">
        <f>'DICTIONARY-3'!$A$204</f>
        <v>Przepustnica kołnierzowa</v>
      </c>
      <c r="R1977" s="732" t="str">
        <f>CONCATENATE('DICTIONARY-3'!$A$148," ",'DICTIONARY-6'!$A$2," ",UPPER('DICTIONARY-5'!$A$18)," ",'DICTIONARY-2'!$A$2,"150"," ",'DICTIONARY-2'!$A$3,"10/16"," ","R20"," ",'DICTIONARY-5'!$A$51,"/",'DICTIONARY-5'!$A$45,", ",'DICTIONARY-4'!$A$8," 232-06")</f>
        <v>CEREX 300-L Przep. kołnierz. GAZ DN150 PN10/16 R20 GGG/NBR, PK 232-06</v>
      </c>
      <c r="S1977" s="733" t="str">
        <f>'DICTIONARY-4'!$A$8</f>
        <v>PK</v>
      </c>
      <c r="T1977" s="732" t="str">
        <f>'DICTIONARY-4'!$A$24</f>
        <v>Przekładnia z kółkiem</v>
      </c>
      <c r="U1977" s="734" t="s">
        <v>5572</v>
      </c>
      <c r="V1977" s="735">
        <v>16</v>
      </c>
      <c r="W1977" s="736"/>
      <c r="X1977" s="737"/>
      <c r="Y1977" s="738"/>
      <c r="Z1977" s="739"/>
      <c r="AA1977" s="739"/>
      <c r="AB1977" s="740">
        <v>16</v>
      </c>
      <c r="AC1977" s="741" t="str">
        <f>'DICTIONARY-5'!$A$11&amp;" 20"</f>
        <v>EN 558 szereg 20</v>
      </c>
      <c r="AD1977" s="741" t="str">
        <f>'DICTIONARY-5'!$A$18&amp;", "&amp;'DICTIONARY-5'!$A$14</f>
        <v>gaz, ścieki</v>
      </c>
      <c r="AE1977" s="742">
        <v>80</v>
      </c>
      <c r="AF1977" s="743">
        <v>14</v>
      </c>
      <c r="AG1977" s="741" t="str">
        <f>'DICTIONARY-5'!$A$23</f>
        <v>powłoka epoksydowa</v>
      </c>
    </row>
    <row r="1978" spans="1:33" x14ac:dyDescent="0.25">
      <c r="A1978" s="754" t="s">
        <v>1671</v>
      </c>
      <c r="B1978" s="869" t="s">
        <v>3956</v>
      </c>
      <c r="C1978" s="836">
        <v>598</v>
      </c>
      <c r="D1978" s="836"/>
      <c r="E1978" s="836"/>
      <c r="F1978" s="836"/>
      <c r="G1978" s="496" t="s">
        <v>7832</v>
      </c>
      <c r="H1978" s="797" t="str">
        <f>VLOOKUP(G1978,SETTINGS!$B$7:$D$97,2,0)</f>
        <v>CEREX 300</v>
      </c>
      <c r="I1978" s="796">
        <f>VLOOKUP(G1978,SETTINGS!$B$7:$D$97,3,0)</f>
        <v>0</v>
      </c>
      <c r="J1978" s="670" t="str">
        <f>IFERROR(IF(CURRENCY.FORMAT_1=0,CONCATENATE(TEXT(FIXED(ROUND((C1978/EXC.RATE_1),CURRENCY.FORMAT_1),CURRENCY.FORMAT_1,1),"# ##0;-# ##0"),",-"),FIXED(ROUND((C1978/EXC.RATE_1),CURRENCY.FORMAT_1),CURRENCY.FORMAT_1,0)),'DICTIONARY-5'!$A$2)</f>
        <v>598,-</v>
      </c>
      <c r="K1978" s="670" t="str">
        <f>IF(EXC.RATE_2=0,"",IFERROR(IF(CURRENCY.FORMAT_2=0,CONCATENATE(TEXT(FIXED(ROUND(IF(EXC.RATE.SWITCH=1,C1978/EXC.RATE_2,C1978*EXC.RATE_2),CURRENCY.FORMAT_2),CURRENCY.FORMAT_2,1),"# ##0;-# ##0"),",-"),FIXED(ROUND(IF(EXC.RATE.SWITCH=1,C1978/EXC.RATE_2,C1978*EXC.RATE_2),CURRENCY.FORMAT_2),CURRENCY.FORMAT_2,0)),'DICTIONARY-5'!$A$2))</f>
        <v/>
      </c>
      <c r="L1978" s="670" t="str">
        <f>IFERROR(IF(CURRENCY.FORMAT_1=0,CONCATENATE(TEXT(FIXED(ROUND((C1978*(1-I1978)*(1-ADD.DISCOUNT)*(1+MAT.SURCHARGE)/EXC.RATE_1),CURRENCY.FORMAT_1),CURRENCY.FORMAT_1,1),"# ##0;-# ##0"),",-"),FIXED(ROUND((C1978*(1-I1978)*(1-ADD.DISCOUNT)*(1+MAT.SURCHARGE)/EXC.RATE_1),CURRENCY.FORMAT_1),CURRENCY.FORMAT_1,0)),'DICTIONARY-5'!$A$2)</f>
        <v>621,-</v>
      </c>
      <c r="M1978" s="670" t="str">
        <f>IF(EXC.RATE_2=0,"",IFERROR(IF(CURRENCY.FORMAT_2=0,CONCATENATE(TEXT(FIXED(ROUND(IF(EXC.RATE.SWITCH=1,C1978*(1-I1978)*(1-ADD.DISCOUNT)*(1+MAT.SURCHARGE)/EXC.RATE_2,C1978*(1-I1978)*(1-ADD.DISCOUNT)*(1+MAT.SURCHARGE)*EXC.RATE_2),CURRENCY.FORMAT_2),CURRENCY.FORMAT_2,1),"# ##0;-# ##0"),",-"),FIXED(ROUND(IF(EXC.RATE.SWITCH=1,C1978*(1-I1978)*(1-ADD.DISCOUNT)*(1+MAT.SURCHARGE)/EXC.RATE_2,C1978*(1-I1978)*(1-ADD.DISCOUNT)*(1+MAT.SURCHARGE)*EXC.RATE_2),CURRENCY.FORMAT_2),CURRENCY.FORMAT_2,0)),'DICTIONARY-5'!$A$2))</f>
        <v/>
      </c>
      <c r="N1978" s="535">
        <v>6</v>
      </c>
      <c r="O1978" s="535"/>
      <c r="P1978" s="731" t="str">
        <f>'DICTIONARY-3'!$A$148</f>
        <v>CEREX 300-L</v>
      </c>
      <c r="Q1978" s="732" t="str">
        <f>'DICTIONARY-3'!$A$204</f>
        <v>Przepustnica kołnierzowa</v>
      </c>
      <c r="R1978" s="732" t="str">
        <f>CONCATENATE('DICTIONARY-3'!$A$148," ",'DICTIONARY-6'!$A$2," ",UPPER('DICTIONARY-5'!$A$18)," ",'DICTIONARY-2'!$A$2,"200"," ",'DICTIONARY-2'!$A$3,"10"," ","R20"," ",'DICTIONARY-5'!$A$51,"/",'DICTIONARY-5'!$A$45,", ",'DICTIONARY-4'!$A$8," 232-08")</f>
        <v>CEREX 300-L Przep. kołnierz. GAZ DN200 PN10 R20 GGG/NBR, PK 232-08</v>
      </c>
      <c r="S1978" s="733" t="str">
        <f>'DICTIONARY-4'!$A$8</f>
        <v>PK</v>
      </c>
      <c r="T1978" s="732" t="str">
        <f>'DICTIONARY-4'!$A$24</f>
        <v>Przekładnia z kółkiem</v>
      </c>
      <c r="U1978" s="734" t="s">
        <v>5750</v>
      </c>
      <c r="V1978" s="735">
        <v>10</v>
      </c>
      <c r="W1978" s="736"/>
      <c r="X1978" s="737"/>
      <c r="Y1978" s="738"/>
      <c r="Z1978" s="739"/>
      <c r="AA1978" s="739"/>
      <c r="AB1978" s="740">
        <v>10</v>
      </c>
      <c r="AC1978" s="741" t="str">
        <f>'DICTIONARY-5'!$A$11&amp;" 20"</f>
        <v>EN 558 szereg 20</v>
      </c>
      <c r="AD1978" s="741" t="str">
        <f>'DICTIONARY-5'!$A$18&amp;", "&amp;'DICTIONARY-5'!$A$14</f>
        <v>gaz, ścieki</v>
      </c>
      <c r="AE1978" s="742">
        <v>80</v>
      </c>
      <c r="AF1978" s="743">
        <v>19</v>
      </c>
      <c r="AG1978" s="741" t="str">
        <f>'DICTIONARY-5'!$A$23</f>
        <v>powłoka epoksydowa</v>
      </c>
    </row>
    <row r="1979" spans="1:33" x14ac:dyDescent="0.25">
      <c r="A1979" s="754" t="s">
        <v>1673</v>
      </c>
      <c r="B1979" s="869" t="s">
        <v>3912</v>
      </c>
      <c r="C1979" s="836">
        <v>646</v>
      </c>
      <c r="D1979" s="836"/>
      <c r="E1979" s="836"/>
      <c r="F1979" s="836"/>
      <c r="G1979" s="496" t="s">
        <v>7832</v>
      </c>
      <c r="H1979" s="797" t="str">
        <f>VLOOKUP(G1979,SETTINGS!$B$7:$D$97,2,0)</f>
        <v>CEREX 300</v>
      </c>
      <c r="I1979" s="796">
        <f>VLOOKUP(G1979,SETTINGS!$B$7:$D$97,3,0)</f>
        <v>0</v>
      </c>
      <c r="J1979" s="670" t="str">
        <f>IFERROR(IF(CURRENCY.FORMAT_1=0,CONCATENATE(TEXT(FIXED(ROUND((C1979/EXC.RATE_1),CURRENCY.FORMAT_1),CURRENCY.FORMAT_1,1),"# ##0;-# ##0"),",-"),FIXED(ROUND((C1979/EXC.RATE_1),CURRENCY.FORMAT_1),CURRENCY.FORMAT_1,0)),'DICTIONARY-5'!$A$2)</f>
        <v>646,-</v>
      </c>
      <c r="K1979" s="670" t="str">
        <f>IF(EXC.RATE_2=0,"",IFERROR(IF(CURRENCY.FORMAT_2=0,CONCATENATE(TEXT(FIXED(ROUND(IF(EXC.RATE.SWITCH=1,C1979/EXC.RATE_2,C1979*EXC.RATE_2),CURRENCY.FORMAT_2),CURRENCY.FORMAT_2,1),"# ##0;-# ##0"),",-"),FIXED(ROUND(IF(EXC.RATE.SWITCH=1,C1979/EXC.RATE_2,C1979*EXC.RATE_2),CURRENCY.FORMAT_2),CURRENCY.FORMAT_2,0)),'DICTIONARY-5'!$A$2))</f>
        <v/>
      </c>
      <c r="L1979" s="670" t="str">
        <f>IFERROR(IF(CURRENCY.FORMAT_1=0,CONCATENATE(TEXT(FIXED(ROUND((C1979*(1-I1979)*(1-ADD.DISCOUNT)*(1+MAT.SURCHARGE)/EXC.RATE_1),CURRENCY.FORMAT_1),CURRENCY.FORMAT_1,1),"# ##0;-# ##0"),",-"),FIXED(ROUND((C1979*(1-I1979)*(1-ADD.DISCOUNT)*(1+MAT.SURCHARGE)/EXC.RATE_1),CURRENCY.FORMAT_1),CURRENCY.FORMAT_1,0)),'DICTIONARY-5'!$A$2)</f>
        <v>671,-</v>
      </c>
      <c r="M1979" s="670" t="str">
        <f>IF(EXC.RATE_2=0,"",IFERROR(IF(CURRENCY.FORMAT_2=0,CONCATENATE(TEXT(FIXED(ROUND(IF(EXC.RATE.SWITCH=1,C1979*(1-I1979)*(1-ADD.DISCOUNT)*(1+MAT.SURCHARGE)/EXC.RATE_2,C1979*(1-I1979)*(1-ADD.DISCOUNT)*(1+MAT.SURCHARGE)*EXC.RATE_2),CURRENCY.FORMAT_2),CURRENCY.FORMAT_2,1),"# ##0;-# ##0"),",-"),FIXED(ROUND(IF(EXC.RATE.SWITCH=1,C1979*(1-I1979)*(1-ADD.DISCOUNT)*(1+MAT.SURCHARGE)/EXC.RATE_2,C1979*(1-I1979)*(1-ADD.DISCOUNT)*(1+MAT.SURCHARGE)*EXC.RATE_2),CURRENCY.FORMAT_2),CURRENCY.FORMAT_2,0)),'DICTIONARY-5'!$A$2))</f>
        <v/>
      </c>
      <c r="N1979" s="535">
        <v>6</v>
      </c>
      <c r="O1979" s="535"/>
      <c r="P1979" s="731" t="str">
        <f>'DICTIONARY-3'!$A$148</f>
        <v>CEREX 300-L</v>
      </c>
      <c r="Q1979" s="732" t="str">
        <f>'DICTIONARY-3'!$A$204</f>
        <v>Przepustnica kołnierzowa</v>
      </c>
      <c r="R1979" s="732" t="str">
        <f>CONCATENATE('DICTIONARY-3'!$A$148," ",'DICTIONARY-6'!$A$2," ",UPPER('DICTIONARY-5'!$A$18)," ",'DICTIONARY-2'!$A$2,"200"," ",'DICTIONARY-2'!$A$3,"16"," ","R20"," ",'DICTIONARY-5'!$A$51,"/",'DICTIONARY-5'!$A$45,", ",'DICTIONARY-4'!$A$8," 232-08")</f>
        <v>CEREX 300-L Przep. kołnierz. GAZ DN200 PN16 R20 GGG/NBR, PK 232-08</v>
      </c>
      <c r="S1979" s="733" t="str">
        <f>'DICTIONARY-4'!$A$8</f>
        <v>PK</v>
      </c>
      <c r="T1979" s="732" t="str">
        <f>'DICTIONARY-4'!$A$24</f>
        <v>Przekładnia z kółkiem</v>
      </c>
      <c r="U1979" s="734" t="s">
        <v>5750</v>
      </c>
      <c r="V1979" s="735">
        <v>16</v>
      </c>
      <c r="W1979" s="736"/>
      <c r="X1979" s="737"/>
      <c r="Y1979" s="738"/>
      <c r="Z1979" s="739"/>
      <c r="AA1979" s="739"/>
      <c r="AB1979" s="740">
        <v>16</v>
      </c>
      <c r="AC1979" s="741" t="str">
        <f>'DICTIONARY-5'!$A$11&amp;" 20"</f>
        <v>EN 558 szereg 20</v>
      </c>
      <c r="AD1979" s="741" t="str">
        <f>'DICTIONARY-5'!$A$18&amp;", "&amp;'DICTIONARY-5'!$A$14</f>
        <v>gaz, ścieki</v>
      </c>
      <c r="AE1979" s="742">
        <v>80</v>
      </c>
      <c r="AF1979" s="743">
        <v>21</v>
      </c>
      <c r="AG1979" s="741" t="str">
        <f>'DICTIONARY-5'!$A$23</f>
        <v>powłoka epoksydowa</v>
      </c>
    </row>
    <row r="1980" spans="1:33" x14ac:dyDescent="0.25">
      <c r="A1980" s="754" t="s">
        <v>1675</v>
      </c>
      <c r="B1980" s="869" t="s">
        <v>3960</v>
      </c>
      <c r="C1980" s="836">
        <v>673</v>
      </c>
      <c r="D1980" s="836"/>
      <c r="E1980" s="836"/>
      <c r="F1980" s="836"/>
      <c r="G1980" s="496" t="s">
        <v>7832</v>
      </c>
      <c r="H1980" s="797" t="str">
        <f>VLOOKUP(G1980,SETTINGS!$B$7:$D$97,2,0)</f>
        <v>CEREX 300</v>
      </c>
      <c r="I1980" s="796">
        <f>VLOOKUP(G1980,SETTINGS!$B$7:$D$97,3,0)</f>
        <v>0</v>
      </c>
      <c r="J1980" s="670" t="str">
        <f>IFERROR(IF(CURRENCY.FORMAT_1=0,CONCATENATE(TEXT(FIXED(ROUND((C1980/EXC.RATE_1),CURRENCY.FORMAT_1),CURRENCY.FORMAT_1,1),"# ##0;-# ##0"),",-"),FIXED(ROUND((C1980/EXC.RATE_1),CURRENCY.FORMAT_1),CURRENCY.FORMAT_1,0)),'DICTIONARY-5'!$A$2)</f>
        <v>673,-</v>
      </c>
      <c r="K1980" s="670" t="str">
        <f>IF(EXC.RATE_2=0,"",IFERROR(IF(CURRENCY.FORMAT_2=0,CONCATENATE(TEXT(FIXED(ROUND(IF(EXC.RATE.SWITCH=1,C1980/EXC.RATE_2,C1980*EXC.RATE_2),CURRENCY.FORMAT_2),CURRENCY.FORMAT_2,1),"# ##0;-# ##0"),",-"),FIXED(ROUND(IF(EXC.RATE.SWITCH=1,C1980/EXC.RATE_2,C1980*EXC.RATE_2),CURRENCY.FORMAT_2),CURRENCY.FORMAT_2,0)),'DICTIONARY-5'!$A$2))</f>
        <v/>
      </c>
      <c r="L1980" s="670" t="str">
        <f>IFERROR(IF(CURRENCY.FORMAT_1=0,CONCATENATE(TEXT(FIXED(ROUND((C1980*(1-I1980)*(1-ADD.DISCOUNT)*(1+MAT.SURCHARGE)/EXC.RATE_1),CURRENCY.FORMAT_1),CURRENCY.FORMAT_1,1),"# ##0;-# ##0"),",-"),FIXED(ROUND((C1980*(1-I1980)*(1-ADD.DISCOUNT)*(1+MAT.SURCHARGE)/EXC.RATE_1),CURRENCY.FORMAT_1),CURRENCY.FORMAT_1,0)),'DICTIONARY-5'!$A$2)</f>
        <v>699,-</v>
      </c>
      <c r="M1980" s="670" t="str">
        <f>IF(EXC.RATE_2=0,"",IFERROR(IF(CURRENCY.FORMAT_2=0,CONCATENATE(TEXT(FIXED(ROUND(IF(EXC.RATE.SWITCH=1,C1980*(1-I1980)*(1-ADD.DISCOUNT)*(1+MAT.SURCHARGE)/EXC.RATE_2,C1980*(1-I1980)*(1-ADD.DISCOUNT)*(1+MAT.SURCHARGE)*EXC.RATE_2),CURRENCY.FORMAT_2),CURRENCY.FORMAT_2,1),"# ##0;-# ##0"),",-"),FIXED(ROUND(IF(EXC.RATE.SWITCH=1,C1980*(1-I1980)*(1-ADD.DISCOUNT)*(1+MAT.SURCHARGE)/EXC.RATE_2,C1980*(1-I1980)*(1-ADD.DISCOUNT)*(1+MAT.SURCHARGE)*EXC.RATE_2),CURRENCY.FORMAT_2),CURRENCY.FORMAT_2,0)),'DICTIONARY-5'!$A$2))</f>
        <v/>
      </c>
      <c r="N1980" s="535">
        <v>6</v>
      </c>
      <c r="O1980" s="535"/>
      <c r="P1980" s="731" t="str">
        <f>'DICTIONARY-3'!$A$148</f>
        <v>CEREX 300-L</v>
      </c>
      <c r="Q1980" s="732" t="str">
        <f>'DICTIONARY-3'!$A$204</f>
        <v>Przepustnica kołnierzowa</v>
      </c>
      <c r="R1980" s="732" t="str">
        <f>CONCATENATE('DICTIONARY-3'!$A$148," ",'DICTIONARY-6'!$A$2," ",UPPER('DICTIONARY-5'!$A$18)," ",'DICTIONARY-2'!$A$2,"250"," ",'DICTIONARY-2'!$A$3,"10"," ","R20"," ",'DICTIONARY-5'!$A$51,"/",'DICTIONARY-5'!$A$45,", ",'DICTIONARY-4'!$A$8," 232-08")</f>
        <v>CEREX 300-L Przep. kołnierz. GAZ DN250 PN10 R20 GGG/NBR, PK 232-08</v>
      </c>
      <c r="S1980" s="733" t="str">
        <f>'DICTIONARY-4'!$A$8</f>
        <v>PK</v>
      </c>
      <c r="T1980" s="732" t="str">
        <f>'DICTIONARY-4'!$A$24</f>
        <v>Przekładnia z kółkiem</v>
      </c>
      <c r="U1980" s="734" t="s">
        <v>5751</v>
      </c>
      <c r="V1980" s="735">
        <v>10</v>
      </c>
      <c r="W1980" s="736"/>
      <c r="X1980" s="737"/>
      <c r="Y1980" s="738"/>
      <c r="Z1980" s="739"/>
      <c r="AA1980" s="739"/>
      <c r="AB1980" s="740">
        <v>10</v>
      </c>
      <c r="AC1980" s="741" t="str">
        <f>'DICTIONARY-5'!$A$11&amp;" 20"</f>
        <v>EN 558 szereg 20</v>
      </c>
      <c r="AD1980" s="741" t="str">
        <f>'DICTIONARY-5'!$A$18&amp;", "&amp;'DICTIONARY-5'!$A$14</f>
        <v>gaz, ścieki</v>
      </c>
      <c r="AE1980" s="742">
        <v>80</v>
      </c>
      <c r="AF1980" s="743">
        <v>31</v>
      </c>
      <c r="AG1980" s="741" t="str">
        <f>'DICTIONARY-5'!$A$23</f>
        <v>powłoka epoksydowa</v>
      </c>
    </row>
    <row r="1981" spans="1:33" x14ac:dyDescent="0.25">
      <c r="A1981" s="754" t="s">
        <v>1677</v>
      </c>
      <c r="B1981" s="869" t="s">
        <v>3916</v>
      </c>
      <c r="C1981" s="836">
        <v>685</v>
      </c>
      <c r="D1981" s="836"/>
      <c r="E1981" s="836"/>
      <c r="F1981" s="836"/>
      <c r="G1981" s="496" t="s">
        <v>7832</v>
      </c>
      <c r="H1981" s="797" t="str">
        <f>VLOOKUP(G1981,SETTINGS!$B$7:$D$97,2,0)</f>
        <v>CEREX 300</v>
      </c>
      <c r="I1981" s="796">
        <f>VLOOKUP(G1981,SETTINGS!$B$7:$D$97,3,0)</f>
        <v>0</v>
      </c>
      <c r="J1981" s="670" t="str">
        <f>IFERROR(IF(CURRENCY.FORMAT_1=0,CONCATENATE(TEXT(FIXED(ROUND((C1981/EXC.RATE_1),CURRENCY.FORMAT_1),CURRENCY.FORMAT_1,1),"# ##0;-# ##0"),",-"),FIXED(ROUND((C1981/EXC.RATE_1),CURRENCY.FORMAT_1),CURRENCY.FORMAT_1,0)),'DICTIONARY-5'!$A$2)</f>
        <v>685,-</v>
      </c>
      <c r="K1981" s="670" t="str">
        <f>IF(EXC.RATE_2=0,"",IFERROR(IF(CURRENCY.FORMAT_2=0,CONCATENATE(TEXT(FIXED(ROUND(IF(EXC.RATE.SWITCH=1,C1981/EXC.RATE_2,C1981*EXC.RATE_2),CURRENCY.FORMAT_2),CURRENCY.FORMAT_2,1),"# ##0;-# ##0"),",-"),FIXED(ROUND(IF(EXC.RATE.SWITCH=1,C1981/EXC.RATE_2,C1981*EXC.RATE_2),CURRENCY.FORMAT_2),CURRENCY.FORMAT_2,0)),'DICTIONARY-5'!$A$2))</f>
        <v/>
      </c>
      <c r="L1981" s="670" t="str">
        <f>IFERROR(IF(CURRENCY.FORMAT_1=0,CONCATENATE(TEXT(FIXED(ROUND((C1981*(1-I1981)*(1-ADD.DISCOUNT)*(1+MAT.SURCHARGE)/EXC.RATE_1),CURRENCY.FORMAT_1),CURRENCY.FORMAT_1,1),"# ##0;-# ##0"),",-"),FIXED(ROUND((C1981*(1-I1981)*(1-ADD.DISCOUNT)*(1+MAT.SURCHARGE)/EXC.RATE_1),CURRENCY.FORMAT_1),CURRENCY.FORMAT_1,0)),'DICTIONARY-5'!$A$2)</f>
        <v>712,-</v>
      </c>
      <c r="M1981" s="670" t="str">
        <f>IF(EXC.RATE_2=0,"",IFERROR(IF(CURRENCY.FORMAT_2=0,CONCATENATE(TEXT(FIXED(ROUND(IF(EXC.RATE.SWITCH=1,C1981*(1-I1981)*(1-ADD.DISCOUNT)*(1+MAT.SURCHARGE)/EXC.RATE_2,C1981*(1-I1981)*(1-ADD.DISCOUNT)*(1+MAT.SURCHARGE)*EXC.RATE_2),CURRENCY.FORMAT_2),CURRENCY.FORMAT_2,1),"# ##0;-# ##0"),",-"),FIXED(ROUND(IF(EXC.RATE.SWITCH=1,C1981*(1-I1981)*(1-ADD.DISCOUNT)*(1+MAT.SURCHARGE)/EXC.RATE_2,C1981*(1-I1981)*(1-ADD.DISCOUNT)*(1+MAT.SURCHARGE)*EXC.RATE_2),CURRENCY.FORMAT_2),CURRENCY.FORMAT_2,0)),'DICTIONARY-5'!$A$2))</f>
        <v/>
      </c>
      <c r="N1981" s="535">
        <v>6</v>
      </c>
      <c r="O1981" s="535"/>
      <c r="P1981" s="731" t="str">
        <f>'DICTIONARY-3'!$A$148</f>
        <v>CEREX 300-L</v>
      </c>
      <c r="Q1981" s="732" t="str">
        <f>'DICTIONARY-3'!$A$204</f>
        <v>Przepustnica kołnierzowa</v>
      </c>
      <c r="R1981" s="732" t="str">
        <f>CONCATENATE('DICTIONARY-3'!$A$148," ",'DICTIONARY-6'!$A$2," ",UPPER('DICTIONARY-5'!$A$18)," ",'DICTIONARY-2'!$A$2,"250"," ",'DICTIONARY-2'!$A$3,"16"," ","R20"," ",'DICTIONARY-5'!$A$51,"/",'DICTIONARY-5'!$A$45,", ",'DICTIONARY-4'!$A$8," 232-08")</f>
        <v>CEREX 300-L Przep. kołnierz. GAZ DN250 PN16 R20 GGG/NBR, PK 232-08</v>
      </c>
      <c r="S1981" s="733" t="str">
        <f>'DICTIONARY-4'!$A$8</f>
        <v>PK</v>
      </c>
      <c r="T1981" s="732" t="str">
        <f>'DICTIONARY-4'!$A$24</f>
        <v>Przekładnia z kółkiem</v>
      </c>
      <c r="U1981" s="734" t="s">
        <v>5751</v>
      </c>
      <c r="V1981" s="735">
        <v>16</v>
      </c>
      <c r="W1981" s="736"/>
      <c r="X1981" s="737"/>
      <c r="Y1981" s="738"/>
      <c r="Z1981" s="739"/>
      <c r="AA1981" s="739"/>
      <c r="AB1981" s="740">
        <v>16</v>
      </c>
      <c r="AC1981" s="741" t="str">
        <f>'DICTIONARY-5'!$A$11&amp;" 20"</f>
        <v>EN 558 szereg 20</v>
      </c>
      <c r="AD1981" s="741" t="str">
        <f>'DICTIONARY-5'!$A$18&amp;", "&amp;'DICTIONARY-5'!$A$14</f>
        <v>gaz, ścieki</v>
      </c>
      <c r="AE1981" s="742">
        <v>80</v>
      </c>
      <c r="AF1981" s="743">
        <v>30</v>
      </c>
      <c r="AG1981" s="741" t="str">
        <f>'DICTIONARY-5'!$A$23</f>
        <v>powłoka epoksydowa</v>
      </c>
    </row>
    <row r="1982" spans="1:33" x14ac:dyDescent="0.25">
      <c r="A1982" s="754" t="s">
        <v>1679</v>
      </c>
      <c r="B1982" s="869" t="s">
        <v>3964</v>
      </c>
      <c r="C1982" s="836">
        <v>911</v>
      </c>
      <c r="D1982" s="836"/>
      <c r="E1982" s="836"/>
      <c r="F1982" s="836"/>
      <c r="G1982" s="496" t="s">
        <v>7832</v>
      </c>
      <c r="H1982" s="797" t="str">
        <f>VLOOKUP(G1982,SETTINGS!$B$7:$D$97,2,0)</f>
        <v>CEREX 300</v>
      </c>
      <c r="I1982" s="796">
        <f>VLOOKUP(G1982,SETTINGS!$B$7:$D$97,3,0)</f>
        <v>0</v>
      </c>
      <c r="J1982" s="670" t="str">
        <f>IFERROR(IF(CURRENCY.FORMAT_1=0,CONCATENATE(TEXT(FIXED(ROUND((C1982/EXC.RATE_1),CURRENCY.FORMAT_1),CURRENCY.FORMAT_1,1),"# ##0;-# ##0"),",-"),FIXED(ROUND((C1982/EXC.RATE_1),CURRENCY.FORMAT_1),CURRENCY.FORMAT_1,0)),'DICTIONARY-5'!$A$2)</f>
        <v>911,-</v>
      </c>
      <c r="K1982" s="670" t="str">
        <f>IF(EXC.RATE_2=0,"",IFERROR(IF(CURRENCY.FORMAT_2=0,CONCATENATE(TEXT(FIXED(ROUND(IF(EXC.RATE.SWITCH=1,C1982/EXC.RATE_2,C1982*EXC.RATE_2),CURRENCY.FORMAT_2),CURRENCY.FORMAT_2,1),"# ##0;-# ##0"),",-"),FIXED(ROUND(IF(EXC.RATE.SWITCH=1,C1982/EXC.RATE_2,C1982*EXC.RATE_2),CURRENCY.FORMAT_2),CURRENCY.FORMAT_2,0)),'DICTIONARY-5'!$A$2))</f>
        <v/>
      </c>
      <c r="L1982" s="670" t="str">
        <f>IFERROR(IF(CURRENCY.FORMAT_1=0,CONCATENATE(TEXT(FIXED(ROUND((C1982*(1-I1982)*(1-ADD.DISCOUNT)*(1+MAT.SURCHARGE)/EXC.RATE_1),CURRENCY.FORMAT_1),CURRENCY.FORMAT_1,1),"# ##0;-# ##0"),",-"),FIXED(ROUND((C1982*(1-I1982)*(1-ADD.DISCOUNT)*(1+MAT.SURCHARGE)/EXC.RATE_1),CURRENCY.FORMAT_1),CURRENCY.FORMAT_1,0)),'DICTIONARY-5'!$A$2)</f>
        <v>947,-</v>
      </c>
      <c r="M1982" s="670" t="str">
        <f>IF(EXC.RATE_2=0,"",IFERROR(IF(CURRENCY.FORMAT_2=0,CONCATENATE(TEXT(FIXED(ROUND(IF(EXC.RATE.SWITCH=1,C1982*(1-I1982)*(1-ADD.DISCOUNT)*(1+MAT.SURCHARGE)/EXC.RATE_2,C1982*(1-I1982)*(1-ADD.DISCOUNT)*(1+MAT.SURCHARGE)*EXC.RATE_2),CURRENCY.FORMAT_2),CURRENCY.FORMAT_2,1),"# ##0;-# ##0"),",-"),FIXED(ROUND(IF(EXC.RATE.SWITCH=1,C1982*(1-I1982)*(1-ADD.DISCOUNT)*(1+MAT.SURCHARGE)/EXC.RATE_2,C1982*(1-I1982)*(1-ADD.DISCOUNT)*(1+MAT.SURCHARGE)*EXC.RATE_2),CURRENCY.FORMAT_2),CURRENCY.FORMAT_2,0)),'DICTIONARY-5'!$A$2))</f>
        <v/>
      </c>
      <c r="N1982" s="535">
        <v>6</v>
      </c>
      <c r="O1982" s="535"/>
      <c r="P1982" s="731" t="str">
        <f>'DICTIONARY-3'!$A$148</f>
        <v>CEREX 300-L</v>
      </c>
      <c r="Q1982" s="732" t="str">
        <f>'DICTIONARY-3'!$A$204</f>
        <v>Przepustnica kołnierzowa</v>
      </c>
      <c r="R1982" s="732" t="str">
        <f>CONCATENATE('DICTIONARY-3'!$A$148," ",'DICTIONARY-6'!$A$2," ",UPPER('DICTIONARY-5'!$A$18)," ",'DICTIONARY-2'!$A$2,"300"," ",'DICTIONARY-2'!$A$3,"10"," ","R20"," ",'DICTIONARY-5'!$A$51,"/",'DICTIONARY-5'!$A$45,", ",'DICTIONARY-4'!$A$8," 232-11")</f>
        <v>CEREX 300-L Przep. kołnierz. GAZ DN300 PN10 R20 GGG/NBR, PK 232-11</v>
      </c>
      <c r="S1982" s="733" t="str">
        <f>'DICTIONARY-4'!$A$8</f>
        <v>PK</v>
      </c>
      <c r="T1982" s="732" t="str">
        <f>'DICTIONARY-4'!$A$24</f>
        <v>Przekładnia z kółkiem</v>
      </c>
      <c r="U1982" s="734" t="s">
        <v>5752</v>
      </c>
      <c r="V1982" s="735">
        <v>10</v>
      </c>
      <c r="W1982" s="736"/>
      <c r="X1982" s="737"/>
      <c r="Y1982" s="738"/>
      <c r="Z1982" s="739"/>
      <c r="AA1982" s="739"/>
      <c r="AB1982" s="740">
        <v>10</v>
      </c>
      <c r="AC1982" s="741" t="str">
        <f>'DICTIONARY-5'!$A$11&amp;" 20"</f>
        <v>EN 558 szereg 20</v>
      </c>
      <c r="AD1982" s="741" t="str">
        <f>'DICTIONARY-5'!$A$18&amp;", "&amp;'DICTIONARY-5'!$A$14</f>
        <v>gaz, ścieki</v>
      </c>
      <c r="AE1982" s="742">
        <v>80</v>
      </c>
      <c r="AF1982" s="743">
        <v>45</v>
      </c>
      <c r="AG1982" s="741" t="str">
        <f>'DICTIONARY-5'!$A$23</f>
        <v>powłoka epoksydowa</v>
      </c>
    </row>
    <row r="1983" spans="1:33" x14ac:dyDescent="0.25">
      <c r="A1983" s="754" t="s">
        <v>1681</v>
      </c>
      <c r="B1983" s="869" t="s">
        <v>3918</v>
      </c>
      <c r="C1983" s="836">
        <v>917</v>
      </c>
      <c r="D1983" s="836"/>
      <c r="E1983" s="836"/>
      <c r="F1983" s="836"/>
      <c r="G1983" s="496" t="s">
        <v>7832</v>
      </c>
      <c r="H1983" s="797" t="str">
        <f>VLOOKUP(G1983,SETTINGS!$B$7:$D$97,2,0)</f>
        <v>CEREX 300</v>
      </c>
      <c r="I1983" s="796">
        <f>VLOOKUP(G1983,SETTINGS!$B$7:$D$97,3,0)</f>
        <v>0</v>
      </c>
      <c r="J1983" s="670" t="str">
        <f>IFERROR(IF(CURRENCY.FORMAT_1=0,CONCATENATE(TEXT(FIXED(ROUND((C1983/EXC.RATE_1),CURRENCY.FORMAT_1),CURRENCY.FORMAT_1,1),"# ##0;-# ##0"),",-"),FIXED(ROUND((C1983/EXC.RATE_1),CURRENCY.FORMAT_1),CURRENCY.FORMAT_1,0)),'DICTIONARY-5'!$A$2)</f>
        <v>917,-</v>
      </c>
      <c r="K1983" s="670" t="str">
        <f>IF(EXC.RATE_2=0,"",IFERROR(IF(CURRENCY.FORMAT_2=0,CONCATENATE(TEXT(FIXED(ROUND(IF(EXC.RATE.SWITCH=1,C1983/EXC.RATE_2,C1983*EXC.RATE_2),CURRENCY.FORMAT_2),CURRENCY.FORMAT_2,1),"# ##0;-# ##0"),",-"),FIXED(ROUND(IF(EXC.RATE.SWITCH=1,C1983/EXC.RATE_2,C1983*EXC.RATE_2),CURRENCY.FORMAT_2),CURRENCY.FORMAT_2,0)),'DICTIONARY-5'!$A$2))</f>
        <v/>
      </c>
      <c r="L1983" s="670" t="str">
        <f>IFERROR(IF(CURRENCY.FORMAT_1=0,CONCATENATE(TEXT(FIXED(ROUND((C1983*(1-I1983)*(1-ADD.DISCOUNT)*(1+MAT.SURCHARGE)/EXC.RATE_1),CURRENCY.FORMAT_1),CURRENCY.FORMAT_1,1),"# ##0;-# ##0"),",-"),FIXED(ROUND((C1983*(1-I1983)*(1-ADD.DISCOUNT)*(1+MAT.SURCHARGE)/EXC.RATE_1),CURRENCY.FORMAT_1),CURRENCY.FORMAT_1,0)),'DICTIONARY-5'!$A$2)</f>
        <v>953,-</v>
      </c>
      <c r="M1983" s="670" t="str">
        <f>IF(EXC.RATE_2=0,"",IFERROR(IF(CURRENCY.FORMAT_2=0,CONCATENATE(TEXT(FIXED(ROUND(IF(EXC.RATE.SWITCH=1,C1983*(1-I1983)*(1-ADD.DISCOUNT)*(1+MAT.SURCHARGE)/EXC.RATE_2,C1983*(1-I1983)*(1-ADD.DISCOUNT)*(1+MAT.SURCHARGE)*EXC.RATE_2),CURRENCY.FORMAT_2),CURRENCY.FORMAT_2,1),"# ##0;-# ##0"),",-"),FIXED(ROUND(IF(EXC.RATE.SWITCH=1,C1983*(1-I1983)*(1-ADD.DISCOUNT)*(1+MAT.SURCHARGE)/EXC.RATE_2,C1983*(1-I1983)*(1-ADD.DISCOUNT)*(1+MAT.SURCHARGE)*EXC.RATE_2),CURRENCY.FORMAT_2),CURRENCY.FORMAT_2,0)),'DICTIONARY-5'!$A$2))</f>
        <v/>
      </c>
      <c r="N1983" s="535">
        <v>6</v>
      </c>
      <c r="O1983" s="535"/>
      <c r="P1983" s="731" t="str">
        <f>'DICTIONARY-3'!$A$148</f>
        <v>CEREX 300-L</v>
      </c>
      <c r="Q1983" s="732" t="str">
        <f>'DICTIONARY-3'!$A$204</f>
        <v>Przepustnica kołnierzowa</v>
      </c>
      <c r="R1983" s="732" t="str">
        <f>CONCATENATE('DICTIONARY-3'!$A$148," ",'DICTIONARY-6'!$A$2," ",UPPER('DICTIONARY-5'!$A$18)," ",'DICTIONARY-2'!$A$2,"300"," ",'DICTIONARY-2'!$A$3,"16"," ","R20"," ",'DICTIONARY-5'!$A$51,"/",'DICTIONARY-5'!$A$45,", ",'DICTIONARY-4'!$A$8," 232-11")</f>
        <v>CEREX 300-L Przep. kołnierz. GAZ DN300 PN16 R20 GGG/NBR, PK 232-11</v>
      </c>
      <c r="S1983" s="733" t="str">
        <f>'DICTIONARY-4'!$A$8</f>
        <v>PK</v>
      </c>
      <c r="T1983" s="732" t="str">
        <f>'DICTIONARY-4'!$A$24</f>
        <v>Przekładnia z kółkiem</v>
      </c>
      <c r="U1983" s="734" t="s">
        <v>5752</v>
      </c>
      <c r="V1983" s="735">
        <v>16</v>
      </c>
      <c r="W1983" s="736"/>
      <c r="X1983" s="737"/>
      <c r="Y1983" s="738"/>
      <c r="Z1983" s="739"/>
      <c r="AA1983" s="739"/>
      <c r="AB1983" s="740">
        <v>16</v>
      </c>
      <c r="AC1983" s="741" t="str">
        <f>'DICTIONARY-5'!$A$11&amp;" 20"</f>
        <v>EN 558 szereg 20</v>
      </c>
      <c r="AD1983" s="741" t="str">
        <f>'DICTIONARY-5'!$A$18&amp;", "&amp;'DICTIONARY-5'!$A$14</f>
        <v>gaz, ścieki</v>
      </c>
      <c r="AE1983" s="742">
        <v>80</v>
      </c>
      <c r="AF1983" s="743">
        <v>44</v>
      </c>
      <c r="AG1983" s="741" t="str">
        <f>'DICTIONARY-5'!$A$23</f>
        <v>powłoka epoksydowa</v>
      </c>
    </row>
    <row r="1984" spans="1:33" x14ac:dyDescent="0.25">
      <c r="A1984" s="754" t="s">
        <v>1683</v>
      </c>
      <c r="B1984" s="866" t="s">
        <v>3968</v>
      </c>
      <c r="C1984" s="836">
        <v>1226</v>
      </c>
      <c r="D1984" s="836"/>
      <c r="E1984" s="836"/>
      <c r="F1984" s="836"/>
      <c r="G1984" s="496" t="s">
        <v>7832</v>
      </c>
      <c r="H1984" s="797" t="str">
        <f>VLOOKUP(G1984,SETTINGS!$B$7:$D$97,2,0)</f>
        <v>CEREX 300</v>
      </c>
      <c r="I1984" s="796">
        <f>VLOOKUP(G1984,SETTINGS!$B$7:$D$97,3,0)</f>
        <v>0</v>
      </c>
      <c r="J1984" s="670" t="str">
        <f>IFERROR(IF(CURRENCY.FORMAT_1=0,CONCATENATE(TEXT(FIXED(ROUND((C1984/EXC.RATE_1),CURRENCY.FORMAT_1),CURRENCY.FORMAT_1,1),"# ##0;-# ##0"),",-"),FIXED(ROUND((C1984/EXC.RATE_1),CURRENCY.FORMAT_1),CURRENCY.FORMAT_1,0)),'DICTIONARY-5'!$A$2)</f>
        <v>1 226,-</v>
      </c>
      <c r="K1984" s="670" t="str">
        <f>IF(EXC.RATE_2=0,"",IFERROR(IF(CURRENCY.FORMAT_2=0,CONCATENATE(TEXT(FIXED(ROUND(IF(EXC.RATE.SWITCH=1,C1984/EXC.RATE_2,C1984*EXC.RATE_2),CURRENCY.FORMAT_2),CURRENCY.FORMAT_2,1),"# ##0;-# ##0"),",-"),FIXED(ROUND(IF(EXC.RATE.SWITCH=1,C1984/EXC.RATE_2,C1984*EXC.RATE_2),CURRENCY.FORMAT_2),CURRENCY.FORMAT_2,0)),'DICTIONARY-5'!$A$2))</f>
        <v/>
      </c>
      <c r="L1984" s="670" t="str">
        <f>IFERROR(IF(CURRENCY.FORMAT_1=0,CONCATENATE(TEXT(FIXED(ROUND((C1984*(1-I1984)*(1-ADD.DISCOUNT)*(1+MAT.SURCHARGE)/EXC.RATE_1),CURRENCY.FORMAT_1),CURRENCY.FORMAT_1,1),"# ##0;-# ##0"),",-"),FIXED(ROUND((C1984*(1-I1984)*(1-ADD.DISCOUNT)*(1+MAT.SURCHARGE)/EXC.RATE_1),CURRENCY.FORMAT_1),CURRENCY.FORMAT_1,0)),'DICTIONARY-5'!$A$2)</f>
        <v>1 274,-</v>
      </c>
      <c r="M1984" s="670" t="str">
        <f>IF(EXC.RATE_2=0,"",IFERROR(IF(CURRENCY.FORMAT_2=0,CONCATENATE(TEXT(FIXED(ROUND(IF(EXC.RATE.SWITCH=1,C1984*(1-I1984)*(1-ADD.DISCOUNT)*(1+MAT.SURCHARGE)/EXC.RATE_2,C1984*(1-I1984)*(1-ADD.DISCOUNT)*(1+MAT.SURCHARGE)*EXC.RATE_2),CURRENCY.FORMAT_2),CURRENCY.FORMAT_2,1),"# ##0;-# ##0"),",-"),FIXED(ROUND(IF(EXC.RATE.SWITCH=1,C1984*(1-I1984)*(1-ADD.DISCOUNT)*(1+MAT.SURCHARGE)/EXC.RATE_2,C1984*(1-I1984)*(1-ADD.DISCOUNT)*(1+MAT.SURCHARGE)*EXC.RATE_2),CURRENCY.FORMAT_2),CURRENCY.FORMAT_2,0)),'DICTIONARY-5'!$A$2))</f>
        <v/>
      </c>
      <c r="N1984" s="541">
        <v>6</v>
      </c>
      <c r="O1984" s="541"/>
      <c r="P1984" s="731" t="str">
        <f>'DICTIONARY-3'!$A$148</f>
        <v>CEREX 300-L</v>
      </c>
      <c r="Q1984" s="731" t="str">
        <f>'DICTIONARY-3'!$A$204</f>
        <v>Przepustnica kołnierzowa</v>
      </c>
      <c r="R1984" s="732" t="str">
        <f>CONCATENATE('DICTIONARY-3'!$A$148," ",'DICTIONARY-6'!$A$2," ",'DICTIONARY-2'!$A$2,"350"," ",'DICTIONARY-2'!$A$3,"10"," ","R20"," ",'DICTIONARY-5'!$A$51,"/",'DICTIONARY-5'!$A$45,", ",'DICTIONARY-4'!$A$8," 232-11")</f>
        <v>CEREX 300-L Przep. kołnierz. DN350 PN10 R20 GGG/NBR, PK 232-11</v>
      </c>
      <c r="S1984" s="733" t="str">
        <f>'DICTIONARY-4'!$A$8</f>
        <v>PK</v>
      </c>
      <c r="T1984" s="732" t="str">
        <f>'DICTIONARY-4'!$A$24</f>
        <v>Przekładnia z kółkiem</v>
      </c>
      <c r="U1984" s="734" t="s">
        <v>5753</v>
      </c>
      <c r="V1984" s="735">
        <v>10</v>
      </c>
      <c r="W1984" s="736"/>
      <c r="X1984" s="737"/>
      <c r="Y1984" s="738"/>
      <c r="Z1984" s="739"/>
      <c r="AA1984" s="739"/>
      <c r="AB1984" s="740">
        <v>10</v>
      </c>
      <c r="AC1984" s="741" t="str">
        <f>'DICTIONARY-5'!$A$11&amp;" 20"</f>
        <v>EN 558 szereg 20</v>
      </c>
      <c r="AD1984" s="741" t="str">
        <f>'DICTIONARY-5'!$A$14</f>
        <v>ścieki</v>
      </c>
      <c r="AE1984" s="742">
        <v>80</v>
      </c>
      <c r="AF1984" s="743">
        <v>54</v>
      </c>
      <c r="AG1984" s="741" t="str">
        <f>'DICTIONARY-5'!$A$23</f>
        <v>powłoka epoksydowa</v>
      </c>
    </row>
    <row r="1985" spans="1:33" x14ac:dyDescent="0.25">
      <c r="A1985" s="754" t="s">
        <v>1685</v>
      </c>
      <c r="B1985" s="866" t="s">
        <v>3920</v>
      </c>
      <c r="C1985" s="836">
        <v>1252</v>
      </c>
      <c r="D1985" s="836"/>
      <c r="E1985" s="836"/>
      <c r="F1985" s="836"/>
      <c r="G1985" s="496" t="s">
        <v>7832</v>
      </c>
      <c r="H1985" s="797" t="str">
        <f>VLOOKUP(G1985,SETTINGS!$B$7:$D$97,2,0)</f>
        <v>CEREX 300</v>
      </c>
      <c r="I1985" s="796">
        <f>VLOOKUP(G1985,SETTINGS!$B$7:$D$97,3,0)</f>
        <v>0</v>
      </c>
      <c r="J1985" s="670" t="str">
        <f>IFERROR(IF(CURRENCY.FORMAT_1=0,CONCATENATE(TEXT(FIXED(ROUND((C1985/EXC.RATE_1),CURRENCY.FORMAT_1),CURRENCY.FORMAT_1,1),"# ##0;-# ##0"),",-"),FIXED(ROUND((C1985/EXC.RATE_1),CURRENCY.FORMAT_1),CURRENCY.FORMAT_1,0)),'DICTIONARY-5'!$A$2)</f>
        <v>1 252,-</v>
      </c>
      <c r="K1985" s="670" t="str">
        <f>IF(EXC.RATE_2=0,"",IFERROR(IF(CURRENCY.FORMAT_2=0,CONCATENATE(TEXT(FIXED(ROUND(IF(EXC.RATE.SWITCH=1,C1985/EXC.RATE_2,C1985*EXC.RATE_2),CURRENCY.FORMAT_2),CURRENCY.FORMAT_2,1),"# ##0;-# ##0"),",-"),FIXED(ROUND(IF(EXC.RATE.SWITCH=1,C1985/EXC.RATE_2,C1985*EXC.RATE_2),CURRENCY.FORMAT_2),CURRENCY.FORMAT_2,0)),'DICTIONARY-5'!$A$2))</f>
        <v/>
      </c>
      <c r="L1985" s="670" t="str">
        <f>IFERROR(IF(CURRENCY.FORMAT_1=0,CONCATENATE(TEXT(FIXED(ROUND((C1985*(1-I1985)*(1-ADD.DISCOUNT)*(1+MAT.SURCHARGE)/EXC.RATE_1),CURRENCY.FORMAT_1),CURRENCY.FORMAT_1,1),"# ##0;-# ##0"),",-"),FIXED(ROUND((C1985*(1-I1985)*(1-ADD.DISCOUNT)*(1+MAT.SURCHARGE)/EXC.RATE_1),CURRENCY.FORMAT_1),CURRENCY.FORMAT_1,0)),'DICTIONARY-5'!$A$2)</f>
        <v>1 301,-</v>
      </c>
      <c r="M1985" s="670" t="str">
        <f>IF(EXC.RATE_2=0,"",IFERROR(IF(CURRENCY.FORMAT_2=0,CONCATENATE(TEXT(FIXED(ROUND(IF(EXC.RATE.SWITCH=1,C1985*(1-I1985)*(1-ADD.DISCOUNT)*(1+MAT.SURCHARGE)/EXC.RATE_2,C1985*(1-I1985)*(1-ADD.DISCOUNT)*(1+MAT.SURCHARGE)*EXC.RATE_2),CURRENCY.FORMAT_2),CURRENCY.FORMAT_2,1),"# ##0;-# ##0"),",-"),FIXED(ROUND(IF(EXC.RATE.SWITCH=1,C1985*(1-I1985)*(1-ADD.DISCOUNT)*(1+MAT.SURCHARGE)/EXC.RATE_2,C1985*(1-I1985)*(1-ADD.DISCOUNT)*(1+MAT.SURCHARGE)*EXC.RATE_2),CURRENCY.FORMAT_2),CURRENCY.FORMAT_2,0)),'DICTIONARY-5'!$A$2))</f>
        <v/>
      </c>
      <c r="N1985" s="541">
        <v>6</v>
      </c>
      <c r="O1985" s="541"/>
      <c r="P1985" s="731" t="str">
        <f>'DICTIONARY-3'!$A$148</f>
        <v>CEREX 300-L</v>
      </c>
      <c r="Q1985" s="731" t="str">
        <f>'DICTIONARY-3'!$A$204</f>
        <v>Przepustnica kołnierzowa</v>
      </c>
      <c r="R1985" s="732" t="str">
        <f>CONCATENATE('DICTIONARY-3'!$A$148," ",'DICTIONARY-6'!$A$2," ",'DICTIONARY-2'!$A$2,"350"," ",'DICTIONARY-2'!$A$3,"16"," ","R20"," ",'DICTIONARY-5'!$A$51,"/",'DICTIONARY-5'!$A$45,", ",'DICTIONARY-4'!$A$8," 232-11")</f>
        <v>CEREX 300-L Przep. kołnierz. DN350 PN16 R20 GGG/NBR, PK 232-11</v>
      </c>
      <c r="S1985" s="733" t="str">
        <f>'DICTIONARY-4'!$A$8</f>
        <v>PK</v>
      </c>
      <c r="T1985" s="732" t="str">
        <f>'DICTIONARY-4'!$A$24</f>
        <v>Przekładnia z kółkiem</v>
      </c>
      <c r="U1985" s="734" t="s">
        <v>5753</v>
      </c>
      <c r="V1985" s="735">
        <v>16</v>
      </c>
      <c r="W1985" s="736"/>
      <c r="X1985" s="737"/>
      <c r="Y1985" s="738"/>
      <c r="Z1985" s="739"/>
      <c r="AA1985" s="739"/>
      <c r="AB1985" s="740">
        <v>16</v>
      </c>
      <c r="AC1985" s="741" t="str">
        <f>'DICTIONARY-5'!$A$11&amp;" 20"</f>
        <v>EN 558 szereg 20</v>
      </c>
      <c r="AD1985" s="741" t="str">
        <f>'DICTIONARY-5'!$A$14</f>
        <v>ścieki</v>
      </c>
      <c r="AE1985" s="742">
        <v>80</v>
      </c>
      <c r="AF1985" s="743">
        <v>58</v>
      </c>
      <c r="AG1985" s="741" t="str">
        <f>'DICTIONARY-5'!$A$23</f>
        <v>powłoka epoksydowa</v>
      </c>
    </row>
    <row r="1986" spans="1:33" x14ac:dyDescent="0.25">
      <c r="A1986" s="754" t="s">
        <v>1687</v>
      </c>
      <c r="B1986" s="866" t="s">
        <v>3970</v>
      </c>
      <c r="C1986" s="836">
        <v>1593</v>
      </c>
      <c r="D1986" s="836"/>
      <c r="E1986" s="836"/>
      <c r="F1986" s="836"/>
      <c r="G1986" s="496" t="s">
        <v>7832</v>
      </c>
      <c r="H1986" s="797" t="str">
        <f>VLOOKUP(G1986,SETTINGS!$B$7:$D$97,2,0)</f>
        <v>CEREX 300</v>
      </c>
      <c r="I1986" s="796">
        <f>VLOOKUP(G1986,SETTINGS!$B$7:$D$97,3,0)</f>
        <v>0</v>
      </c>
      <c r="J1986" s="670" t="str">
        <f>IFERROR(IF(CURRENCY.FORMAT_1=0,CONCATENATE(TEXT(FIXED(ROUND((C1986/EXC.RATE_1),CURRENCY.FORMAT_1),CURRENCY.FORMAT_1,1),"# ##0;-# ##0"),",-"),FIXED(ROUND((C1986/EXC.RATE_1),CURRENCY.FORMAT_1),CURRENCY.FORMAT_1,0)),'DICTIONARY-5'!$A$2)</f>
        <v>1 593,-</v>
      </c>
      <c r="K1986" s="670" t="str">
        <f>IF(EXC.RATE_2=0,"",IFERROR(IF(CURRENCY.FORMAT_2=0,CONCATENATE(TEXT(FIXED(ROUND(IF(EXC.RATE.SWITCH=1,C1986/EXC.RATE_2,C1986*EXC.RATE_2),CURRENCY.FORMAT_2),CURRENCY.FORMAT_2,1),"# ##0;-# ##0"),",-"),FIXED(ROUND(IF(EXC.RATE.SWITCH=1,C1986/EXC.RATE_2,C1986*EXC.RATE_2),CURRENCY.FORMAT_2),CURRENCY.FORMAT_2,0)),'DICTIONARY-5'!$A$2))</f>
        <v/>
      </c>
      <c r="L1986" s="670" t="str">
        <f>IFERROR(IF(CURRENCY.FORMAT_1=0,CONCATENATE(TEXT(FIXED(ROUND((C1986*(1-I1986)*(1-ADD.DISCOUNT)*(1+MAT.SURCHARGE)/EXC.RATE_1),CURRENCY.FORMAT_1),CURRENCY.FORMAT_1,1),"# ##0;-# ##0"),",-"),FIXED(ROUND((C1986*(1-I1986)*(1-ADD.DISCOUNT)*(1+MAT.SURCHARGE)/EXC.RATE_1),CURRENCY.FORMAT_1),CURRENCY.FORMAT_1,0)),'DICTIONARY-5'!$A$2)</f>
        <v>1 655,-</v>
      </c>
      <c r="M1986" s="670" t="str">
        <f>IF(EXC.RATE_2=0,"",IFERROR(IF(CURRENCY.FORMAT_2=0,CONCATENATE(TEXT(FIXED(ROUND(IF(EXC.RATE.SWITCH=1,C1986*(1-I1986)*(1-ADD.DISCOUNT)*(1+MAT.SURCHARGE)/EXC.RATE_2,C1986*(1-I1986)*(1-ADD.DISCOUNT)*(1+MAT.SURCHARGE)*EXC.RATE_2),CURRENCY.FORMAT_2),CURRENCY.FORMAT_2,1),"# ##0;-# ##0"),",-"),FIXED(ROUND(IF(EXC.RATE.SWITCH=1,C1986*(1-I1986)*(1-ADD.DISCOUNT)*(1+MAT.SURCHARGE)/EXC.RATE_2,C1986*(1-I1986)*(1-ADD.DISCOUNT)*(1+MAT.SURCHARGE)*EXC.RATE_2),CURRENCY.FORMAT_2),CURRENCY.FORMAT_2,0)),'DICTIONARY-5'!$A$2))</f>
        <v/>
      </c>
      <c r="N1986" s="541">
        <v>6</v>
      </c>
      <c r="O1986" s="541"/>
      <c r="P1986" s="731" t="str">
        <f>'DICTIONARY-3'!$A$148</f>
        <v>CEREX 300-L</v>
      </c>
      <c r="Q1986" s="731" t="str">
        <f>'DICTIONARY-3'!$A$204</f>
        <v>Przepustnica kołnierzowa</v>
      </c>
      <c r="R1986" s="732" t="str">
        <f>CONCATENATE('DICTIONARY-3'!$A$148," ",'DICTIONARY-6'!$A$2," ",'DICTIONARY-2'!$A$2,"400"," ",'DICTIONARY-2'!$A$3,"10"," ","R20"," ",'DICTIONARY-5'!$A$51,"/",'DICTIONARY-5'!$A$45,", ",'DICTIONARY-4'!$A$8," 232-14")</f>
        <v>CEREX 300-L Przep. kołnierz. DN400 PN10 R20 GGG/NBR, PK 232-14</v>
      </c>
      <c r="S1986" s="733" t="str">
        <f>'DICTIONARY-4'!$A$8</f>
        <v>PK</v>
      </c>
      <c r="T1986" s="732" t="str">
        <f>'DICTIONARY-4'!$A$24</f>
        <v>Przekładnia z kółkiem</v>
      </c>
      <c r="U1986" s="734" t="s">
        <v>5754</v>
      </c>
      <c r="V1986" s="735">
        <v>10</v>
      </c>
      <c r="W1986" s="736"/>
      <c r="X1986" s="737"/>
      <c r="Y1986" s="738"/>
      <c r="Z1986" s="739"/>
      <c r="AA1986" s="739"/>
      <c r="AB1986" s="740">
        <v>10</v>
      </c>
      <c r="AC1986" s="741" t="str">
        <f>'DICTIONARY-5'!$A$11&amp;" 20"</f>
        <v>EN 558 szereg 20</v>
      </c>
      <c r="AD1986" s="741" t="str">
        <f>'DICTIONARY-5'!$A$14</f>
        <v>ścieki</v>
      </c>
      <c r="AE1986" s="742">
        <v>80</v>
      </c>
      <c r="AF1986" s="743">
        <v>80</v>
      </c>
      <c r="AG1986" s="741" t="str">
        <f>'DICTIONARY-5'!$A$23</f>
        <v>powłoka epoksydowa</v>
      </c>
    </row>
    <row r="1987" spans="1:33" x14ac:dyDescent="0.25">
      <c r="A1987" s="754" t="s">
        <v>1689</v>
      </c>
      <c r="B1987" s="866" t="s">
        <v>3922</v>
      </c>
      <c r="C1987" s="836">
        <v>1613</v>
      </c>
      <c r="D1987" s="836"/>
      <c r="E1987" s="836"/>
      <c r="F1987" s="836"/>
      <c r="G1987" s="496" t="s">
        <v>7832</v>
      </c>
      <c r="H1987" s="797" t="str">
        <f>VLOOKUP(G1987,SETTINGS!$B$7:$D$97,2,0)</f>
        <v>CEREX 300</v>
      </c>
      <c r="I1987" s="796">
        <f>VLOOKUP(G1987,SETTINGS!$B$7:$D$97,3,0)</f>
        <v>0</v>
      </c>
      <c r="J1987" s="670" t="str">
        <f>IFERROR(IF(CURRENCY.FORMAT_1=0,CONCATENATE(TEXT(FIXED(ROUND((C1987/EXC.RATE_1),CURRENCY.FORMAT_1),CURRENCY.FORMAT_1,1),"# ##0;-# ##0"),",-"),FIXED(ROUND((C1987/EXC.RATE_1),CURRENCY.FORMAT_1),CURRENCY.FORMAT_1,0)),'DICTIONARY-5'!$A$2)</f>
        <v>1 613,-</v>
      </c>
      <c r="K1987" s="670" t="str">
        <f>IF(EXC.RATE_2=0,"",IFERROR(IF(CURRENCY.FORMAT_2=0,CONCATENATE(TEXT(FIXED(ROUND(IF(EXC.RATE.SWITCH=1,C1987/EXC.RATE_2,C1987*EXC.RATE_2),CURRENCY.FORMAT_2),CURRENCY.FORMAT_2,1),"# ##0;-# ##0"),",-"),FIXED(ROUND(IF(EXC.RATE.SWITCH=1,C1987/EXC.RATE_2,C1987*EXC.RATE_2),CURRENCY.FORMAT_2),CURRENCY.FORMAT_2,0)),'DICTIONARY-5'!$A$2))</f>
        <v/>
      </c>
      <c r="L1987" s="670" t="str">
        <f>IFERROR(IF(CURRENCY.FORMAT_1=0,CONCATENATE(TEXT(FIXED(ROUND((C1987*(1-I1987)*(1-ADD.DISCOUNT)*(1+MAT.SURCHARGE)/EXC.RATE_1),CURRENCY.FORMAT_1),CURRENCY.FORMAT_1,1),"# ##0;-# ##0"),",-"),FIXED(ROUND((C1987*(1-I1987)*(1-ADD.DISCOUNT)*(1+MAT.SURCHARGE)/EXC.RATE_1),CURRENCY.FORMAT_1),CURRENCY.FORMAT_1,0)),'DICTIONARY-5'!$A$2)</f>
        <v>1 676,-</v>
      </c>
      <c r="M1987" s="670" t="str">
        <f>IF(EXC.RATE_2=0,"",IFERROR(IF(CURRENCY.FORMAT_2=0,CONCATENATE(TEXT(FIXED(ROUND(IF(EXC.RATE.SWITCH=1,C1987*(1-I1987)*(1-ADD.DISCOUNT)*(1+MAT.SURCHARGE)/EXC.RATE_2,C1987*(1-I1987)*(1-ADD.DISCOUNT)*(1+MAT.SURCHARGE)*EXC.RATE_2),CURRENCY.FORMAT_2),CURRENCY.FORMAT_2,1),"# ##0;-# ##0"),",-"),FIXED(ROUND(IF(EXC.RATE.SWITCH=1,C1987*(1-I1987)*(1-ADD.DISCOUNT)*(1+MAT.SURCHARGE)/EXC.RATE_2,C1987*(1-I1987)*(1-ADD.DISCOUNT)*(1+MAT.SURCHARGE)*EXC.RATE_2),CURRENCY.FORMAT_2),CURRENCY.FORMAT_2,0)),'DICTIONARY-5'!$A$2))</f>
        <v/>
      </c>
      <c r="N1987" s="541">
        <v>6</v>
      </c>
      <c r="O1987" s="541"/>
      <c r="P1987" s="731" t="str">
        <f>'DICTIONARY-3'!$A$148</f>
        <v>CEREX 300-L</v>
      </c>
      <c r="Q1987" s="731" t="str">
        <f>'DICTIONARY-3'!$A$204</f>
        <v>Przepustnica kołnierzowa</v>
      </c>
      <c r="R1987" s="732" t="str">
        <f>CONCATENATE('DICTIONARY-3'!$A$148," ",'DICTIONARY-6'!$A$2," ",'DICTIONARY-2'!$A$2,"400"," ",'DICTIONARY-2'!$A$3,"16"," ","R20"," ",'DICTIONARY-5'!$A$51,"/",'DICTIONARY-5'!$A$45,", ",'DICTIONARY-4'!$A$8," 232-14")</f>
        <v>CEREX 300-L Przep. kołnierz. DN400 PN16 R20 GGG/NBR, PK 232-14</v>
      </c>
      <c r="S1987" s="733" t="str">
        <f>'DICTIONARY-4'!$A$8</f>
        <v>PK</v>
      </c>
      <c r="T1987" s="732" t="str">
        <f>'DICTIONARY-4'!$A$24</f>
        <v>Przekładnia z kółkiem</v>
      </c>
      <c r="U1987" s="734" t="s">
        <v>5754</v>
      </c>
      <c r="V1987" s="735">
        <v>16</v>
      </c>
      <c r="W1987" s="736"/>
      <c r="X1987" s="737"/>
      <c r="Y1987" s="738"/>
      <c r="Z1987" s="739"/>
      <c r="AA1987" s="739"/>
      <c r="AB1987" s="740">
        <v>16</v>
      </c>
      <c r="AC1987" s="741" t="str">
        <f>'DICTIONARY-5'!$A$11&amp;" 20"</f>
        <v>EN 558 szereg 20</v>
      </c>
      <c r="AD1987" s="741" t="str">
        <f>'DICTIONARY-5'!$A$14</f>
        <v>ścieki</v>
      </c>
      <c r="AE1987" s="742">
        <v>80</v>
      </c>
      <c r="AF1987" s="743">
        <v>82</v>
      </c>
      <c r="AG1987" s="741" t="str">
        <f>'DICTIONARY-5'!$A$23</f>
        <v>powłoka epoksydowa</v>
      </c>
    </row>
    <row r="1988" spans="1:33" x14ac:dyDescent="0.25">
      <c r="A1988" s="754" t="s">
        <v>1691</v>
      </c>
      <c r="B1988" s="866" t="s">
        <v>3972</v>
      </c>
      <c r="C1988" s="836">
        <v>2448</v>
      </c>
      <c r="D1988" s="836"/>
      <c r="E1988" s="836"/>
      <c r="F1988" s="836"/>
      <c r="G1988" s="496" t="s">
        <v>7832</v>
      </c>
      <c r="H1988" s="797" t="str">
        <f>VLOOKUP(G1988,SETTINGS!$B$7:$D$97,2,0)</f>
        <v>CEREX 300</v>
      </c>
      <c r="I1988" s="796">
        <f>VLOOKUP(G1988,SETTINGS!$B$7:$D$97,3,0)</f>
        <v>0</v>
      </c>
      <c r="J1988" s="670" t="str">
        <f>IFERROR(IF(CURRENCY.FORMAT_1=0,CONCATENATE(TEXT(FIXED(ROUND((C1988/EXC.RATE_1),CURRENCY.FORMAT_1),CURRENCY.FORMAT_1,1),"# ##0;-# ##0"),",-"),FIXED(ROUND((C1988/EXC.RATE_1),CURRENCY.FORMAT_1),CURRENCY.FORMAT_1,0)),'DICTIONARY-5'!$A$2)</f>
        <v>2 448,-</v>
      </c>
      <c r="K1988" s="670" t="str">
        <f>IF(EXC.RATE_2=0,"",IFERROR(IF(CURRENCY.FORMAT_2=0,CONCATENATE(TEXT(FIXED(ROUND(IF(EXC.RATE.SWITCH=1,C1988/EXC.RATE_2,C1988*EXC.RATE_2),CURRENCY.FORMAT_2),CURRENCY.FORMAT_2,1),"# ##0;-# ##0"),",-"),FIXED(ROUND(IF(EXC.RATE.SWITCH=1,C1988/EXC.RATE_2,C1988*EXC.RATE_2),CURRENCY.FORMAT_2),CURRENCY.FORMAT_2,0)),'DICTIONARY-5'!$A$2))</f>
        <v/>
      </c>
      <c r="L1988" s="670" t="str">
        <f>IFERROR(IF(CURRENCY.FORMAT_1=0,CONCATENATE(TEXT(FIXED(ROUND((C1988*(1-I1988)*(1-ADD.DISCOUNT)*(1+MAT.SURCHARGE)/EXC.RATE_1),CURRENCY.FORMAT_1),CURRENCY.FORMAT_1,1),"# ##0;-# ##0"),",-"),FIXED(ROUND((C1988*(1-I1988)*(1-ADD.DISCOUNT)*(1+MAT.SURCHARGE)/EXC.RATE_1),CURRENCY.FORMAT_1),CURRENCY.FORMAT_1,0)),'DICTIONARY-5'!$A$2)</f>
        <v>2 543,-</v>
      </c>
      <c r="M1988" s="670" t="str">
        <f>IF(EXC.RATE_2=0,"",IFERROR(IF(CURRENCY.FORMAT_2=0,CONCATENATE(TEXT(FIXED(ROUND(IF(EXC.RATE.SWITCH=1,C1988*(1-I1988)*(1-ADD.DISCOUNT)*(1+MAT.SURCHARGE)/EXC.RATE_2,C1988*(1-I1988)*(1-ADD.DISCOUNT)*(1+MAT.SURCHARGE)*EXC.RATE_2),CURRENCY.FORMAT_2),CURRENCY.FORMAT_2,1),"# ##0;-# ##0"),",-"),FIXED(ROUND(IF(EXC.RATE.SWITCH=1,C1988*(1-I1988)*(1-ADD.DISCOUNT)*(1+MAT.SURCHARGE)/EXC.RATE_2,C1988*(1-I1988)*(1-ADD.DISCOUNT)*(1+MAT.SURCHARGE)*EXC.RATE_2),CURRENCY.FORMAT_2),CURRENCY.FORMAT_2,0)),'DICTIONARY-5'!$A$2))</f>
        <v/>
      </c>
      <c r="N1988" s="541">
        <v>6</v>
      </c>
      <c r="O1988" s="541"/>
      <c r="P1988" s="731" t="str">
        <f>'DICTIONARY-3'!$A$148</f>
        <v>CEREX 300-L</v>
      </c>
      <c r="Q1988" s="731" t="str">
        <f>'DICTIONARY-3'!$A$204</f>
        <v>Przepustnica kołnierzowa</v>
      </c>
      <c r="R1988" s="732" t="str">
        <f>CONCATENATE('DICTIONARY-3'!$A$148," ",'DICTIONARY-6'!$A$2," ",'DICTIONARY-2'!$A$2,"450"," ",'DICTIONARY-2'!$A$3,"10"," ","R20"," ",'DICTIONARY-5'!$A$51,"/",'DICTIONARY-5'!$A$45,", ",'DICTIONARY-4'!$A$8," AB1250N")</f>
        <v>CEREX 300-L Przep. kołnierz. DN450 PN10 R20 GGG/NBR, PK AB1250N</v>
      </c>
      <c r="S1988" s="733" t="str">
        <f>'DICTIONARY-4'!$A$8</f>
        <v>PK</v>
      </c>
      <c r="T1988" s="732" t="str">
        <f>'DICTIONARY-4'!$A$24</f>
        <v>Przekładnia z kółkiem</v>
      </c>
      <c r="U1988" s="734" t="s">
        <v>5755</v>
      </c>
      <c r="V1988" s="735">
        <v>10</v>
      </c>
      <c r="W1988" s="736"/>
      <c r="X1988" s="737"/>
      <c r="Y1988" s="738"/>
      <c r="Z1988" s="739"/>
      <c r="AA1988" s="739"/>
      <c r="AB1988" s="740">
        <v>10</v>
      </c>
      <c r="AC1988" s="741" t="str">
        <f>'DICTIONARY-5'!$A$11&amp;" 20"</f>
        <v>EN 558 szereg 20</v>
      </c>
      <c r="AD1988" s="741" t="str">
        <f>'DICTIONARY-5'!$A$14</f>
        <v>ścieki</v>
      </c>
      <c r="AE1988" s="742">
        <v>80</v>
      </c>
      <c r="AF1988" s="743">
        <v>140</v>
      </c>
      <c r="AG1988" s="741" t="str">
        <f>'DICTIONARY-5'!$A$23</f>
        <v>powłoka epoksydowa</v>
      </c>
    </row>
    <row r="1989" spans="1:33" x14ac:dyDescent="0.25">
      <c r="A1989" s="754" t="s">
        <v>1693</v>
      </c>
      <c r="B1989" s="866" t="s">
        <v>3924</v>
      </c>
      <c r="C1989" s="836">
        <v>2587</v>
      </c>
      <c r="D1989" s="836"/>
      <c r="E1989" s="836"/>
      <c r="F1989" s="836"/>
      <c r="G1989" s="496" t="s">
        <v>7832</v>
      </c>
      <c r="H1989" s="797" t="str">
        <f>VLOOKUP(G1989,SETTINGS!$B$7:$D$97,2,0)</f>
        <v>CEREX 300</v>
      </c>
      <c r="I1989" s="796">
        <f>VLOOKUP(G1989,SETTINGS!$B$7:$D$97,3,0)</f>
        <v>0</v>
      </c>
      <c r="J1989" s="670" t="str">
        <f>IFERROR(IF(CURRENCY.FORMAT_1=0,CONCATENATE(TEXT(FIXED(ROUND((C1989/EXC.RATE_1),CURRENCY.FORMAT_1),CURRENCY.FORMAT_1,1),"# ##0;-# ##0"),",-"),FIXED(ROUND((C1989/EXC.RATE_1),CURRENCY.FORMAT_1),CURRENCY.FORMAT_1,0)),'DICTIONARY-5'!$A$2)</f>
        <v>2 587,-</v>
      </c>
      <c r="K1989" s="670" t="str">
        <f>IF(EXC.RATE_2=0,"",IFERROR(IF(CURRENCY.FORMAT_2=0,CONCATENATE(TEXT(FIXED(ROUND(IF(EXC.RATE.SWITCH=1,C1989/EXC.RATE_2,C1989*EXC.RATE_2),CURRENCY.FORMAT_2),CURRENCY.FORMAT_2,1),"# ##0;-# ##0"),",-"),FIXED(ROUND(IF(EXC.RATE.SWITCH=1,C1989/EXC.RATE_2,C1989*EXC.RATE_2),CURRENCY.FORMAT_2),CURRENCY.FORMAT_2,0)),'DICTIONARY-5'!$A$2))</f>
        <v/>
      </c>
      <c r="L1989" s="670" t="str">
        <f>IFERROR(IF(CURRENCY.FORMAT_1=0,CONCATENATE(TEXT(FIXED(ROUND((C1989*(1-I1989)*(1-ADD.DISCOUNT)*(1+MAT.SURCHARGE)/EXC.RATE_1),CURRENCY.FORMAT_1),CURRENCY.FORMAT_1,1),"# ##0;-# ##0"),",-"),FIXED(ROUND((C1989*(1-I1989)*(1-ADD.DISCOUNT)*(1+MAT.SURCHARGE)/EXC.RATE_1),CURRENCY.FORMAT_1),CURRENCY.FORMAT_1,0)),'DICTIONARY-5'!$A$2)</f>
        <v>2 688,-</v>
      </c>
      <c r="M1989" s="670" t="str">
        <f>IF(EXC.RATE_2=0,"",IFERROR(IF(CURRENCY.FORMAT_2=0,CONCATENATE(TEXT(FIXED(ROUND(IF(EXC.RATE.SWITCH=1,C1989*(1-I1989)*(1-ADD.DISCOUNT)*(1+MAT.SURCHARGE)/EXC.RATE_2,C1989*(1-I1989)*(1-ADD.DISCOUNT)*(1+MAT.SURCHARGE)*EXC.RATE_2),CURRENCY.FORMAT_2),CURRENCY.FORMAT_2,1),"# ##0;-# ##0"),",-"),FIXED(ROUND(IF(EXC.RATE.SWITCH=1,C1989*(1-I1989)*(1-ADD.DISCOUNT)*(1+MAT.SURCHARGE)/EXC.RATE_2,C1989*(1-I1989)*(1-ADD.DISCOUNT)*(1+MAT.SURCHARGE)*EXC.RATE_2),CURRENCY.FORMAT_2),CURRENCY.FORMAT_2,0)),'DICTIONARY-5'!$A$2))</f>
        <v/>
      </c>
      <c r="N1989" s="541">
        <v>6</v>
      </c>
      <c r="O1989" s="541"/>
      <c r="P1989" s="731" t="str">
        <f>'DICTIONARY-3'!$A$148</f>
        <v>CEREX 300-L</v>
      </c>
      <c r="Q1989" s="731" t="str">
        <f>'DICTIONARY-3'!$A$204</f>
        <v>Przepustnica kołnierzowa</v>
      </c>
      <c r="R1989" s="732" t="str">
        <f>CONCATENATE('DICTIONARY-3'!$A$148," ",'DICTIONARY-6'!$A$2," ",'DICTIONARY-2'!$A$2,"450"," ",'DICTIONARY-2'!$A$3,"16"," ",'DICTIONARY-2'!$A$10,"10",'DICTIONARY-2'!$A$20," ","R20"," ",'DICTIONARY-5'!$A$51,"/",'DICTIONARY-5'!$A$45,", ",'DICTIONARY-4'!$A$8," AB1250N")</f>
        <v>CEREX 300-L Przep. kołnierz. DN450 PN16 PS10bar R20 GGG/NBR, PK AB1250N</v>
      </c>
      <c r="S1989" s="733" t="str">
        <f>'DICTIONARY-4'!$A$8</f>
        <v>PK</v>
      </c>
      <c r="T1989" s="732" t="str">
        <f>'DICTIONARY-4'!$A$24</f>
        <v>Przekładnia z kółkiem</v>
      </c>
      <c r="U1989" s="734" t="s">
        <v>5755</v>
      </c>
      <c r="V1989" s="735">
        <v>16</v>
      </c>
      <c r="W1989" s="736"/>
      <c r="X1989" s="737"/>
      <c r="Y1989" s="738"/>
      <c r="Z1989" s="739"/>
      <c r="AA1989" s="739"/>
      <c r="AB1989" s="740">
        <v>10</v>
      </c>
      <c r="AC1989" s="741" t="str">
        <f>'DICTIONARY-5'!$A$11&amp;" 20"</f>
        <v>EN 558 szereg 20</v>
      </c>
      <c r="AD1989" s="741" t="str">
        <f>'DICTIONARY-5'!$A$14</f>
        <v>ścieki</v>
      </c>
      <c r="AE1989" s="742">
        <v>80</v>
      </c>
      <c r="AF1989" s="743">
        <v>149</v>
      </c>
      <c r="AG1989" s="741" t="str">
        <f>'DICTIONARY-5'!$A$23</f>
        <v>powłoka epoksydowa</v>
      </c>
    </row>
    <row r="1990" spans="1:33" x14ac:dyDescent="0.25">
      <c r="A1990" s="754" t="s">
        <v>1695</v>
      </c>
      <c r="B1990" s="866" t="s">
        <v>3974</v>
      </c>
      <c r="C1990" s="836">
        <v>3267</v>
      </c>
      <c r="D1990" s="836"/>
      <c r="E1990" s="836"/>
      <c r="F1990" s="836"/>
      <c r="G1990" s="496" t="s">
        <v>7832</v>
      </c>
      <c r="H1990" s="797" t="str">
        <f>VLOOKUP(G1990,SETTINGS!$B$7:$D$97,2,0)</f>
        <v>CEREX 300</v>
      </c>
      <c r="I1990" s="796">
        <f>VLOOKUP(G1990,SETTINGS!$B$7:$D$97,3,0)</f>
        <v>0</v>
      </c>
      <c r="J1990" s="670" t="str">
        <f>IFERROR(IF(CURRENCY.FORMAT_1=0,CONCATENATE(TEXT(FIXED(ROUND((C1990/EXC.RATE_1),CURRENCY.FORMAT_1),CURRENCY.FORMAT_1,1),"# ##0;-# ##0"),",-"),FIXED(ROUND((C1990/EXC.RATE_1),CURRENCY.FORMAT_1),CURRENCY.FORMAT_1,0)),'DICTIONARY-5'!$A$2)</f>
        <v>3 267,-</v>
      </c>
      <c r="K1990" s="670" t="str">
        <f>IF(EXC.RATE_2=0,"",IFERROR(IF(CURRENCY.FORMAT_2=0,CONCATENATE(TEXT(FIXED(ROUND(IF(EXC.RATE.SWITCH=1,C1990/EXC.RATE_2,C1990*EXC.RATE_2),CURRENCY.FORMAT_2),CURRENCY.FORMAT_2,1),"# ##0;-# ##0"),",-"),FIXED(ROUND(IF(EXC.RATE.SWITCH=1,C1990/EXC.RATE_2,C1990*EXC.RATE_2),CURRENCY.FORMAT_2),CURRENCY.FORMAT_2,0)),'DICTIONARY-5'!$A$2))</f>
        <v/>
      </c>
      <c r="L1990" s="670" t="str">
        <f>IFERROR(IF(CURRENCY.FORMAT_1=0,CONCATENATE(TEXT(FIXED(ROUND((C1990*(1-I1990)*(1-ADD.DISCOUNT)*(1+MAT.SURCHARGE)/EXC.RATE_1),CURRENCY.FORMAT_1),CURRENCY.FORMAT_1,1),"# ##0;-# ##0"),",-"),FIXED(ROUND((C1990*(1-I1990)*(1-ADD.DISCOUNT)*(1+MAT.SURCHARGE)/EXC.RATE_1),CURRENCY.FORMAT_1),CURRENCY.FORMAT_1,0)),'DICTIONARY-5'!$A$2)</f>
        <v>3 394,-</v>
      </c>
      <c r="M1990" s="670" t="str">
        <f>IF(EXC.RATE_2=0,"",IFERROR(IF(CURRENCY.FORMAT_2=0,CONCATENATE(TEXT(FIXED(ROUND(IF(EXC.RATE.SWITCH=1,C1990*(1-I1990)*(1-ADD.DISCOUNT)*(1+MAT.SURCHARGE)/EXC.RATE_2,C1990*(1-I1990)*(1-ADD.DISCOUNT)*(1+MAT.SURCHARGE)*EXC.RATE_2),CURRENCY.FORMAT_2),CURRENCY.FORMAT_2,1),"# ##0;-# ##0"),",-"),FIXED(ROUND(IF(EXC.RATE.SWITCH=1,C1990*(1-I1990)*(1-ADD.DISCOUNT)*(1+MAT.SURCHARGE)/EXC.RATE_2,C1990*(1-I1990)*(1-ADD.DISCOUNT)*(1+MAT.SURCHARGE)*EXC.RATE_2),CURRENCY.FORMAT_2),CURRENCY.FORMAT_2,0)),'DICTIONARY-5'!$A$2))</f>
        <v/>
      </c>
      <c r="N1990" s="541">
        <v>6</v>
      </c>
      <c r="O1990" s="541"/>
      <c r="P1990" s="731" t="str">
        <f>'DICTIONARY-3'!$A$148</f>
        <v>CEREX 300-L</v>
      </c>
      <c r="Q1990" s="731" t="str">
        <f>'DICTIONARY-3'!$A$204</f>
        <v>Przepustnica kołnierzowa</v>
      </c>
      <c r="R1990" s="732" t="str">
        <f>CONCATENATE('DICTIONARY-3'!$A$148," ",'DICTIONARY-6'!$A$2," ",'DICTIONARY-2'!$A$2,"500"," ",'DICTIONARY-2'!$A$3,"10"," ","R20"," ",'DICTIONARY-5'!$A$51,"/",'DICTIONARY-5'!$A$45,", ",'DICTIONARY-4'!$A$8," AB1250N")</f>
        <v>CEREX 300-L Przep. kołnierz. DN500 PN10 R20 GGG/NBR, PK AB1250N</v>
      </c>
      <c r="S1990" s="733" t="str">
        <f>'DICTIONARY-4'!$A$8</f>
        <v>PK</v>
      </c>
      <c r="T1990" s="732" t="str">
        <f>'DICTIONARY-4'!$A$24</f>
        <v>Przekładnia z kółkiem</v>
      </c>
      <c r="U1990" s="734" t="s">
        <v>5756</v>
      </c>
      <c r="V1990" s="735">
        <v>10</v>
      </c>
      <c r="W1990" s="736"/>
      <c r="X1990" s="737"/>
      <c r="Y1990" s="738"/>
      <c r="Z1990" s="739"/>
      <c r="AA1990" s="739"/>
      <c r="AB1990" s="740">
        <v>10</v>
      </c>
      <c r="AC1990" s="741" t="str">
        <f>'DICTIONARY-5'!$A$11&amp;" 20"</f>
        <v>EN 558 szereg 20</v>
      </c>
      <c r="AD1990" s="741" t="str">
        <f>'DICTIONARY-5'!$A$14</f>
        <v>ścieki</v>
      </c>
      <c r="AE1990" s="742">
        <v>80</v>
      </c>
      <c r="AF1990" s="743">
        <v>161</v>
      </c>
      <c r="AG1990" s="741" t="str">
        <f>'DICTIONARY-5'!$A$23</f>
        <v>powłoka epoksydowa</v>
      </c>
    </row>
    <row r="1991" spans="1:33" x14ac:dyDescent="0.25">
      <c r="A1991" s="754" t="s">
        <v>1697</v>
      </c>
      <c r="B1991" s="866" t="s">
        <v>3926</v>
      </c>
      <c r="C1991" s="836">
        <v>3580</v>
      </c>
      <c r="D1991" s="836"/>
      <c r="E1991" s="836"/>
      <c r="F1991" s="836"/>
      <c r="G1991" s="496" t="s">
        <v>7832</v>
      </c>
      <c r="H1991" s="797" t="str">
        <f>VLOOKUP(G1991,SETTINGS!$B$7:$D$97,2,0)</f>
        <v>CEREX 300</v>
      </c>
      <c r="I1991" s="796">
        <f>VLOOKUP(G1991,SETTINGS!$B$7:$D$97,3,0)</f>
        <v>0</v>
      </c>
      <c r="J1991" s="670" t="str">
        <f>IFERROR(IF(CURRENCY.FORMAT_1=0,CONCATENATE(TEXT(FIXED(ROUND((C1991/EXC.RATE_1),CURRENCY.FORMAT_1),CURRENCY.FORMAT_1,1),"# ##0;-# ##0"),",-"),FIXED(ROUND((C1991/EXC.RATE_1),CURRENCY.FORMAT_1),CURRENCY.FORMAT_1,0)),'DICTIONARY-5'!$A$2)</f>
        <v>3 580,-</v>
      </c>
      <c r="K1991" s="670" t="str">
        <f>IF(EXC.RATE_2=0,"",IFERROR(IF(CURRENCY.FORMAT_2=0,CONCATENATE(TEXT(FIXED(ROUND(IF(EXC.RATE.SWITCH=1,C1991/EXC.RATE_2,C1991*EXC.RATE_2),CURRENCY.FORMAT_2),CURRENCY.FORMAT_2,1),"# ##0;-# ##0"),",-"),FIXED(ROUND(IF(EXC.RATE.SWITCH=1,C1991/EXC.RATE_2,C1991*EXC.RATE_2),CURRENCY.FORMAT_2),CURRENCY.FORMAT_2,0)),'DICTIONARY-5'!$A$2))</f>
        <v/>
      </c>
      <c r="L1991" s="670" t="str">
        <f>IFERROR(IF(CURRENCY.FORMAT_1=0,CONCATENATE(TEXT(FIXED(ROUND((C1991*(1-I1991)*(1-ADD.DISCOUNT)*(1+MAT.SURCHARGE)/EXC.RATE_1),CURRENCY.FORMAT_1),CURRENCY.FORMAT_1,1),"# ##0;-# ##0"),",-"),FIXED(ROUND((C1991*(1-I1991)*(1-ADD.DISCOUNT)*(1+MAT.SURCHARGE)/EXC.RATE_1),CURRENCY.FORMAT_1),CURRENCY.FORMAT_1,0)),'DICTIONARY-5'!$A$2)</f>
        <v>3 720,-</v>
      </c>
      <c r="M1991" s="670" t="str">
        <f>IF(EXC.RATE_2=0,"",IFERROR(IF(CURRENCY.FORMAT_2=0,CONCATENATE(TEXT(FIXED(ROUND(IF(EXC.RATE.SWITCH=1,C1991*(1-I1991)*(1-ADD.DISCOUNT)*(1+MAT.SURCHARGE)/EXC.RATE_2,C1991*(1-I1991)*(1-ADD.DISCOUNT)*(1+MAT.SURCHARGE)*EXC.RATE_2),CURRENCY.FORMAT_2),CURRENCY.FORMAT_2,1),"# ##0;-# ##0"),",-"),FIXED(ROUND(IF(EXC.RATE.SWITCH=1,C1991*(1-I1991)*(1-ADD.DISCOUNT)*(1+MAT.SURCHARGE)/EXC.RATE_2,C1991*(1-I1991)*(1-ADD.DISCOUNT)*(1+MAT.SURCHARGE)*EXC.RATE_2),CURRENCY.FORMAT_2),CURRENCY.FORMAT_2,0)),'DICTIONARY-5'!$A$2))</f>
        <v/>
      </c>
      <c r="N1991" s="541">
        <v>6</v>
      </c>
      <c r="O1991" s="541"/>
      <c r="P1991" s="731" t="str">
        <f>'DICTIONARY-3'!$A$148</f>
        <v>CEREX 300-L</v>
      </c>
      <c r="Q1991" s="731" t="str">
        <f>'DICTIONARY-3'!$A$204</f>
        <v>Przepustnica kołnierzowa</v>
      </c>
      <c r="R1991" s="732" t="str">
        <f>CONCATENATE('DICTIONARY-3'!$A$148," ",'DICTIONARY-6'!$A$2," ",'DICTIONARY-2'!$A$2,"500"," ",'DICTIONARY-2'!$A$3,"16"," ",'DICTIONARY-2'!$A$10,"10",'DICTIONARY-2'!$A$20," ","R20"," ",'DICTIONARY-5'!$A$51,"/",'DICTIONARY-5'!$A$45,", ",'DICTIONARY-4'!$A$8," AB1250N")</f>
        <v>CEREX 300-L Przep. kołnierz. DN500 PN16 PS10bar R20 GGG/NBR, PK AB1250N</v>
      </c>
      <c r="S1991" s="733" t="str">
        <f>'DICTIONARY-4'!$A$8</f>
        <v>PK</v>
      </c>
      <c r="T1991" s="732" t="str">
        <f>'DICTIONARY-4'!$A$24</f>
        <v>Przekładnia z kółkiem</v>
      </c>
      <c r="U1991" s="734" t="s">
        <v>5756</v>
      </c>
      <c r="V1991" s="735">
        <v>16</v>
      </c>
      <c r="W1991" s="736"/>
      <c r="X1991" s="737"/>
      <c r="Y1991" s="738"/>
      <c r="Z1991" s="739"/>
      <c r="AA1991" s="739"/>
      <c r="AB1991" s="740">
        <v>10</v>
      </c>
      <c r="AC1991" s="741" t="str">
        <f>'DICTIONARY-5'!$A$11&amp;" 20"</f>
        <v>EN 558 szereg 20</v>
      </c>
      <c r="AD1991" s="741" t="str">
        <f>'DICTIONARY-5'!$A$14</f>
        <v>ścieki</v>
      </c>
      <c r="AE1991" s="742">
        <v>80</v>
      </c>
      <c r="AF1991" s="743">
        <v>190</v>
      </c>
      <c r="AG1991" s="741" t="str">
        <f>'DICTIONARY-5'!$A$23</f>
        <v>powłoka epoksydowa</v>
      </c>
    </row>
    <row r="1992" spans="1:33" x14ac:dyDescent="0.25">
      <c r="A1992" s="754" t="s">
        <v>1699</v>
      </c>
      <c r="B1992" s="866" t="s">
        <v>3976</v>
      </c>
      <c r="C1992" s="836">
        <v>4702</v>
      </c>
      <c r="D1992" s="836"/>
      <c r="E1992" s="836"/>
      <c r="F1992" s="836"/>
      <c r="G1992" s="496" t="s">
        <v>7832</v>
      </c>
      <c r="H1992" s="797" t="str">
        <f>VLOOKUP(G1992,SETTINGS!$B$7:$D$97,2,0)</f>
        <v>CEREX 300</v>
      </c>
      <c r="I1992" s="796">
        <f>VLOOKUP(G1992,SETTINGS!$B$7:$D$97,3,0)</f>
        <v>0</v>
      </c>
      <c r="J1992" s="670" t="str">
        <f>IFERROR(IF(CURRENCY.FORMAT_1=0,CONCATENATE(TEXT(FIXED(ROUND((C1992/EXC.RATE_1),CURRENCY.FORMAT_1),CURRENCY.FORMAT_1,1),"# ##0;-# ##0"),",-"),FIXED(ROUND((C1992/EXC.RATE_1),CURRENCY.FORMAT_1),CURRENCY.FORMAT_1,0)),'DICTIONARY-5'!$A$2)</f>
        <v>4 702,-</v>
      </c>
      <c r="K1992" s="670" t="str">
        <f>IF(EXC.RATE_2=0,"",IFERROR(IF(CURRENCY.FORMAT_2=0,CONCATENATE(TEXT(FIXED(ROUND(IF(EXC.RATE.SWITCH=1,C1992/EXC.RATE_2,C1992*EXC.RATE_2),CURRENCY.FORMAT_2),CURRENCY.FORMAT_2,1),"# ##0;-# ##0"),",-"),FIXED(ROUND(IF(EXC.RATE.SWITCH=1,C1992/EXC.RATE_2,C1992*EXC.RATE_2),CURRENCY.FORMAT_2),CURRENCY.FORMAT_2,0)),'DICTIONARY-5'!$A$2))</f>
        <v/>
      </c>
      <c r="L1992" s="670" t="str">
        <f>IFERROR(IF(CURRENCY.FORMAT_1=0,CONCATENATE(TEXT(FIXED(ROUND((C1992*(1-I1992)*(1-ADD.DISCOUNT)*(1+MAT.SURCHARGE)/EXC.RATE_1),CURRENCY.FORMAT_1),CURRENCY.FORMAT_1,1),"# ##0;-# ##0"),",-"),FIXED(ROUND((C1992*(1-I1992)*(1-ADD.DISCOUNT)*(1+MAT.SURCHARGE)/EXC.RATE_1),CURRENCY.FORMAT_1),CURRENCY.FORMAT_1,0)),'DICTIONARY-5'!$A$2)</f>
        <v>4 885,-</v>
      </c>
      <c r="M1992" s="670" t="str">
        <f>IF(EXC.RATE_2=0,"",IFERROR(IF(CURRENCY.FORMAT_2=0,CONCATENATE(TEXT(FIXED(ROUND(IF(EXC.RATE.SWITCH=1,C1992*(1-I1992)*(1-ADD.DISCOUNT)*(1+MAT.SURCHARGE)/EXC.RATE_2,C1992*(1-I1992)*(1-ADD.DISCOUNT)*(1+MAT.SURCHARGE)*EXC.RATE_2),CURRENCY.FORMAT_2),CURRENCY.FORMAT_2,1),"# ##0;-# ##0"),",-"),FIXED(ROUND(IF(EXC.RATE.SWITCH=1,C1992*(1-I1992)*(1-ADD.DISCOUNT)*(1+MAT.SURCHARGE)/EXC.RATE_2,C1992*(1-I1992)*(1-ADD.DISCOUNT)*(1+MAT.SURCHARGE)*EXC.RATE_2),CURRENCY.FORMAT_2),CURRENCY.FORMAT_2,0)),'DICTIONARY-5'!$A$2))</f>
        <v/>
      </c>
      <c r="N1992" s="541">
        <v>6</v>
      </c>
      <c r="O1992" s="541"/>
      <c r="P1992" s="731" t="str">
        <f>'DICTIONARY-3'!$A$148</f>
        <v>CEREX 300-L</v>
      </c>
      <c r="Q1992" s="731" t="str">
        <f>'DICTIONARY-3'!$A$204</f>
        <v>Przepustnica kołnierzowa</v>
      </c>
      <c r="R1992" s="732" t="str">
        <f>CONCATENATE('DICTIONARY-3'!$A$148," ",'DICTIONARY-6'!$A$2," ",'DICTIONARY-2'!$A$2,"600"," ",'DICTIONARY-2'!$A$3,"10"," ","R20"," ",'DICTIONARY-5'!$A$51,"/",'DICTIONARY-5'!$A$45,", ",'DICTIONARY-4'!$A$8," AB1950N")</f>
        <v>CEREX 300-L Przep. kołnierz. DN600 PN10 R20 GGG/NBR, PK AB1950N</v>
      </c>
      <c r="S1992" s="733" t="str">
        <f>'DICTIONARY-4'!$A$8</f>
        <v>PK</v>
      </c>
      <c r="T1992" s="732" t="str">
        <f>'DICTIONARY-4'!$A$24</f>
        <v>Przekładnia z kółkiem</v>
      </c>
      <c r="U1992" s="734" t="s">
        <v>5757</v>
      </c>
      <c r="V1992" s="735">
        <v>10</v>
      </c>
      <c r="W1992" s="736"/>
      <c r="X1992" s="737"/>
      <c r="Y1992" s="738"/>
      <c r="Z1992" s="739"/>
      <c r="AA1992" s="739"/>
      <c r="AB1992" s="740">
        <v>10</v>
      </c>
      <c r="AC1992" s="741" t="str">
        <f>'DICTIONARY-5'!$A$11&amp;" 20"</f>
        <v>EN 558 szereg 20</v>
      </c>
      <c r="AD1992" s="741" t="str">
        <f>'DICTIONARY-5'!$A$14</f>
        <v>ścieki</v>
      </c>
      <c r="AE1992" s="742">
        <v>80</v>
      </c>
      <c r="AF1992" s="743">
        <v>250</v>
      </c>
      <c r="AG1992" s="741" t="str">
        <f>'DICTIONARY-5'!$A$23</f>
        <v>powłoka epoksydowa</v>
      </c>
    </row>
    <row r="1993" spans="1:33" x14ac:dyDescent="0.25">
      <c r="A1993" s="754" t="s">
        <v>1701</v>
      </c>
      <c r="B1993" s="866" t="s">
        <v>3928</v>
      </c>
      <c r="C1993" s="836">
        <v>4595</v>
      </c>
      <c r="D1993" s="836"/>
      <c r="E1993" s="836"/>
      <c r="F1993" s="836"/>
      <c r="G1993" s="496" t="s">
        <v>7832</v>
      </c>
      <c r="H1993" s="797" t="str">
        <f>VLOOKUP(G1993,SETTINGS!$B$7:$D$97,2,0)</f>
        <v>CEREX 300</v>
      </c>
      <c r="I1993" s="796">
        <f>VLOOKUP(G1993,SETTINGS!$B$7:$D$97,3,0)</f>
        <v>0</v>
      </c>
      <c r="J1993" s="670" t="str">
        <f>IFERROR(IF(CURRENCY.FORMAT_1=0,CONCATENATE(TEXT(FIXED(ROUND((C1993/EXC.RATE_1),CURRENCY.FORMAT_1),CURRENCY.FORMAT_1,1),"# ##0;-# ##0"),",-"),FIXED(ROUND((C1993/EXC.RATE_1),CURRENCY.FORMAT_1),CURRENCY.FORMAT_1,0)),'DICTIONARY-5'!$A$2)</f>
        <v>4 595,-</v>
      </c>
      <c r="K1993" s="670" t="str">
        <f>IF(EXC.RATE_2=0,"",IFERROR(IF(CURRENCY.FORMAT_2=0,CONCATENATE(TEXT(FIXED(ROUND(IF(EXC.RATE.SWITCH=1,C1993/EXC.RATE_2,C1993*EXC.RATE_2),CURRENCY.FORMAT_2),CURRENCY.FORMAT_2,1),"# ##0;-# ##0"),",-"),FIXED(ROUND(IF(EXC.RATE.SWITCH=1,C1993/EXC.RATE_2,C1993*EXC.RATE_2),CURRENCY.FORMAT_2),CURRENCY.FORMAT_2,0)),'DICTIONARY-5'!$A$2))</f>
        <v/>
      </c>
      <c r="L1993" s="670" t="str">
        <f>IFERROR(IF(CURRENCY.FORMAT_1=0,CONCATENATE(TEXT(FIXED(ROUND((C1993*(1-I1993)*(1-ADD.DISCOUNT)*(1+MAT.SURCHARGE)/EXC.RATE_1),CURRENCY.FORMAT_1),CURRENCY.FORMAT_1,1),"# ##0;-# ##0"),",-"),FIXED(ROUND((C1993*(1-I1993)*(1-ADD.DISCOUNT)*(1+MAT.SURCHARGE)/EXC.RATE_1),CURRENCY.FORMAT_1),CURRENCY.FORMAT_1,0)),'DICTIONARY-5'!$A$2)</f>
        <v>4 774,-</v>
      </c>
      <c r="M1993" s="670" t="str">
        <f>IF(EXC.RATE_2=0,"",IFERROR(IF(CURRENCY.FORMAT_2=0,CONCATENATE(TEXT(FIXED(ROUND(IF(EXC.RATE.SWITCH=1,C1993*(1-I1993)*(1-ADD.DISCOUNT)*(1+MAT.SURCHARGE)/EXC.RATE_2,C1993*(1-I1993)*(1-ADD.DISCOUNT)*(1+MAT.SURCHARGE)*EXC.RATE_2),CURRENCY.FORMAT_2),CURRENCY.FORMAT_2,1),"# ##0;-# ##0"),",-"),FIXED(ROUND(IF(EXC.RATE.SWITCH=1,C1993*(1-I1993)*(1-ADD.DISCOUNT)*(1+MAT.SURCHARGE)/EXC.RATE_2,C1993*(1-I1993)*(1-ADD.DISCOUNT)*(1+MAT.SURCHARGE)*EXC.RATE_2),CURRENCY.FORMAT_2),CURRENCY.FORMAT_2,0)),'DICTIONARY-5'!$A$2))</f>
        <v/>
      </c>
      <c r="N1993" s="541">
        <v>6</v>
      </c>
      <c r="O1993" s="541"/>
      <c r="P1993" s="731" t="str">
        <f>'DICTIONARY-3'!$A$148</f>
        <v>CEREX 300-L</v>
      </c>
      <c r="Q1993" s="731" t="str">
        <f>'DICTIONARY-3'!$A$204</f>
        <v>Przepustnica kołnierzowa</v>
      </c>
      <c r="R1993" s="732" t="str">
        <f>CONCATENATE('DICTIONARY-3'!$A$148," ",'DICTIONARY-6'!$A$2," ",'DICTIONARY-2'!$A$2,"600"," ",'DICTIONARY-2'!$A$3,"16"," ",'DICTIONARY-2'!$A$10,"10",'DICTIONARY-2'!$A$20," ","R20"," ",'DICTIONARY-5'!$A$51,"/",'DICTIONARY-5'!$A$45,", ",'DICTIONARY-4'!$A$8," AB1950N")</f>
        <v>CEREX 300-L Przep. kołnierz. DN600 PN16 PS10bar R20 GGG/NBR, PK AB1950N</v>
      </c>
      <c r="S1993" s="733" t="str">
        <f>'DICTIONARY-4'!$A$8</f>
        <v>PK</v>
      </c>
      <c r="T1993" s="732" t="str">
        <f>'DICTIONARY-4'!$A$24</f>
        <v>Przekładnia z kółkiem</v>
      </c>
      <c r="U1993" s="734" t="s">
        <v>5757</v>
      </c>
      <c r="V1993" s="735">
        <v>16</v>
      </c>
      <c r="W1993" s="736"/>
      <c r="X1993" s="737"/>
      <c r="Y1993" s="738"/>
      <c r="Z1993" s="739"/>
      <c r="AA1993" s="739"/>
      <c r="AB1993" s="740">
        <v>10</v>
      </c>
      <c r="AC1993" s="741" t="str">
        <f>'DICTIONARY-5'!$A$11&amp;" 20"</f>
        <v>EN 558 szereg 20</v>
      </c>
      <c r="AD1993" s="741" t="str">
        <f>'DICTIONARY-5'!$A$14</f>
        <v>ścieki</v>
      </c>
      <c r="AE1993" s="742">
        <v>80</v>
      </c>
      <c r="AF1993" s="743">
        <v>306</v>
      </c>
      <c r="AG1993" s="741" t="str">
        <f>'DICTIONARY-5'!$A$23</f>
        <v>powłoka epoksydowa</v>
      </c>
    </row>
    <row r="1994" spans="1:33" x14ac:dyDescent="0.25">
      <c r="A1994" s="754" t="s">
        <v>1660</v>
      </c>
      <c r="B1994" s="869" t="s">
        <v>3820</v>
      </c>
      <c r="C1994" s="836">
        <v>248</v>
      </c>
      <c r="D1994" s="836"/>
      <c r="E1994" s="836"/>
      <c r="F1994" s="836"/>
      <c r="G1994" s="496" t="s">
        <v>7832</v>
      </c>
      <c r="H1994" s="797" t="str">
        <f>VLOOKUP(G1994,SETTINGS!$B$7:$D$97,2,0)</f>
        <v>CEREX 300</v>
      </c>
      <c r="I1994" s="796">
        <f>VLOOKUP(G1994,SETTINGS!$B$7:$D$97,3,0)</f>
        <v>0</v>
      </c>
      <c r="J1994" s="670" t="str">
        <f>IFERROR(IF(CURRENCY.FORMAT_1=0,CONCATENATE(TEXT(FIXED(ROUND((C1994/EXC.RATE_1),CURRENCY.FORMAT_1),CURRENCY.FORMAT_1,1),"# ##0;-# ##0"),",-"),FIXED(ROUND((C1994/EXC.RATE_1),CURRENCY.FORMAT_1),CURRENCY.FORMAT_1,0)),'DICTIONARY-5'!$A$2)</f>
        <v>248,-</v>
      </c>
      <c r="K1994" s="670" t="str">
        <f>IF(EXC.RATE_2=0,"",IFERROR(IF(CURRENCY.FORMAT_2=0,CONCATENATE(TEXT(FIXED(ROUND(IF(EXC.RATE.SWITCH=1,C1994/EXC.RATE_2,C1994*EXC.RATE_2),CURRENCY.FORMAT_2),CURRENCY.FORMAT_2,1),"# ##0;-# ##0"),",-"),FIXED(ROUND(IF(EXC.RATE.SWITCH=1,C1994/EXC.RATE_2,C1994*EXC.RATE_2),CURRENCY.FORMAT_2),CURRENCY.FORMAT_2,0)),'DICTIONARY-5'!$A$2))</f>
        <v/>
      </c>
      <c r="L1994" s="670" t="str">
        <f>IFERROR(IF(CURRENCY.FORMAT_1=0,CONCATENATE(TEXT(FIXED(ROUND((C1994*(1-I1994)*(1-ADD.DISCOUNT)*(1+MAT.SURCHARGE)/EXC.RATE_1),CURRENCY.FORMAT_1),CURRENCY.FORMAT_1,1),"# ##0;-# ##0"),",-"),FIXED(ROUND((C1994*(1-I1994)*(1-ADD.DISCOUNT)*(1+MAT.SURCHARGE)/EXC.RATE_1),CURRENCY.FORMAT_1),CURRENCY.FORMAT_1,0)),'DICTIONARY-5'!$A$2)</f>
        <v>258,-</v>
      </c>
      <c r="M1994" s="670" t="str">
        <f>IF(EXC.RATE_2=0,"",IFERROR(IF(CURRENCY.FORMAT_2=0,CONCATENATE(TEXT(FIXED(ROUND(IF(EXC.RATE.SWITCH=1,C1994*(1-I1994)*(1-ADD.DISCOUNT)*(1+MAT.SURCHARGE)/EXC.RATE_2,C1994*(1-I1994)*(1-ADD.DISCOUNT)*(1+MAT.SURCHARGE)*EXC.RATE_2),CURRENCY.FORMAT_2),CURRENCY.FORMAT_2,1),"# ##0;-# ##0"),",-"),FIXED(ROUND(IF(EXC.RATE.SWITCH=1,C1994*(1-I1994)*(1-ADD.DISCOUNT)*(1+MAT.SURCHARGE)/EXC.RATE_2,C1994*(1-I1994)*(1-ADD.DISCOUNT)*(1+MAT.SURCHARGE)*EXC.RATE_2),CURRENCY.FORMAT_2),CURRENCY.FORMAT_2,0)),'DICTIONARY-5'!$A$2))</f>
        <v/>
      </c>
      <c r="N1994" s="535">
        <v>6</v>
      </c>
      <c r="O1994" s="535"/>
      <c r="P1994" s="731" t="str">
        <f>'DICTIONARY-3'!$A$148</f>
        <v>CEREX 300-L</v>
      </c>
      <c r="Q1994" s="732" t="str">
        <f>'DICTIONARY-3'!$A$204</f>
        <v>Przepustnica kołnierzowa</v>
      </c>
      <c r="R1994" s="732" t="str">
        <f>CONCATENATE('DICTIONARY-3'!$A$148," ",'DICTIONARY-6'!$A$2," ",UPPER('DICTIONARY-5'!$A$18)," ",'DICTIONARY-2'!$A$2,"50,"," ",'DICTIONARY-2'!$A$3,"10/16"," ","R20"," ",'DICTIONARY-5'!$A$37,"/",'DICTIONARY-5'!$A$45,", ",'DICTIONARY-4'!$A$8," 232-05")</f>
        <v>CEREX 300-L Przep. kołnierz. GAZ DN50, PN10/16 R20 CF8M/NBR, PK 232-05</v>
      </c>
      <c r="S1994" s="733" t="str">
        <f>'DICTIONARY-4'!$A$8</f>
        <v>PK</v>
      </c>
      <c r="T1994" s="732" t="str">
        <f>'DICTIONARY-4'!$A$24</f>
        <v>Przekładnia z kółkiem</v>
      </c>
      <c r="U1994" s="734" t="s">
        <v>5748</v>
      </c>
      <c r="V1994" s="735">
        <v>16</v>
      </c>
      <c r="W1994" s="736"/>
      <c r="X1994" s="737"/>
      <c r="Y1994" s="738"/>
      <c r="Z1994" s="739"/>
      <c r="AA1994" s="739"/>
      <c r="AB1994" s="740">
        <v>16</v>
      </c>
      <c r="AC1994" s="741" t="str">
        <f>'DICTIONARY-5'!$A$11&amp;" 20"</f>
        <v>EN 558 szereg 20</v>
      </c>
      <c r="AD1994" s="741" t="str">
        <f>'DICTIONARY-5'!$A$18&amp;", "&amp;'DICTIONARY-5'!$A$14</f>
        <v>gaz, ścieki</v>
      </c>
      <c r="AE1994" s="742">
        <v>110</v>
      </c>
      <c r="AF1994" s="743">
        <v>6</v>
      </c>
      <c r="AG1994" s="741" t="str">
        <f>'DICTIONARY-5'!$A$23</f>
        <v>powłoka epoksydowa</v>
      </c>
    </row>
    <row r="1995" spans="1:33" x14ac:dyDescent="0.25">
      <c r="A1995" s="754" t="s">
        <v>1662</v>
      </c>
      <c r="B1995" s="869" t="s">
        <v>3826</v>
      </c>
      <c r="C1995" s="836">
        <v>261</v>
      </c>
      <c r="D1995" s="836"/>
      <c r="E1995" s="836"/>
      <c r="F1995" s="836"/>
      <c r="G1995" s="496" t="s">
        <v>7832</v>
      </c>
      <c r="H1995" s="797" t="str">
        <f>VLOOKUP(G1995,SETTINGS!$B$7:$D$97,2,0)</f>
        <v>CEREX 300</v>
      </c>
      <c r="I1995" s="796">
        <f>VLOOKUP(G1995,SETTINGS!$B$7:$D$97,3,0)</f>
        <v>0</v>
      </c>
      <c r="J1995" s="670" t="str">
        <f>IFERROR(IF(CURRENCY.FORMAT_1=0,CONCATENATE(TEXT(FIXED(ROUND((C1995/EXC.RATE_1),CURRENCY.FORMAT_1),CURRENCY.FORMAT_1,1),"# ##0;-# ##0"),",-"),FIXED(ROUND((C1995/EXC.RATE_1),CURRENCY.FORMAT_1),CURRENCY.FORMAT_1,0)),'DICTIONARY-5'!$A$2)</f>
        <v>261,-</v>
      </c>
      <c r="K1995" s="670" t="str">
        <f>IF(EXC.RATE_2=0,"",IFERROR(IF(CURRENCY.FORMAT_2=0,CONCATENATE(TEXT(FIXED(ROUND(IF(EXC.RATE.SWITCH=1,C1995/EXC.RATE_2,C1995*EXC.RATE_2),CURRENCY.FORMAT_2),CURRENCY.FORMAT_2,1),"# ##0;-# ##0"),",-"),FIXED(ROUND(IF(EXC.RATE.SWITCH=1,C1995/EXC.RATE_2,C1995*EXC.RATE_2),CURRENCY.FORMAT_2),CURRENCY.FORMAT_2,0)),'DICTIONARY-5'!$A$2))</f>
        <v/>
      </c>
      <c r="L1995" s="670" t="str">
        <f>IFERROR(IF(CURRENCY.FORMAT_1=0,CONCATENATE(TEXT(FIXED(ROUND((C1995*(1-I1995)*(1-ADD.DISCOUNT)*(1+MAT.SURCHARGE)/EXC.RATE_1),CURRENCY.FORMAT_1),CURRENCY.FORMAT_1,1),"# ##0;-# ##0"),",-"),FIXED(ROUND((C1995*(1-I1995)*(1-ADD.DISCOUNT)*(1+MAT.SURCHARGE)/EXC.RATE_1),CURRENCY.FORMAT_1),CURRENCY.FORMAT_1,0)),'DICTIONARY-5'!$A$2)</f>
        <v>271,-</v>
      </c>
      <c r="M1995" s="670" t="str">
        <f>IF(EXC.RATE_2=0,"",IFERROR(IF(CURRENCY.FORMAT_2=0,CONCATENATE(TEXT(FIXED(ROUND(IF(EXC.RATE.SWITCH=1,C1995*(1-I1995)*(1-ADD.DISCOUNT)*(1+MAT.SURCHARGE)/EXC.RATE_2,C1995*(1-I1995)*(1-ADD.DISCOUNT)*(1+MAT.SURCHARGE)*EXC.RATE_2),CURRENCY.FORMAT_2),CURRENCY.FORMAT_2,1),"# ##0;-# ##0"),",-"),FIXED(ROUND(IF(EXC.RATE.SWITCH=1,C1995*(1-I1995)*(1-ADD.DISCOUNT)*(1+MAT.SURCHARGE)/EXC.RATE_2,C1995*(1-I1995)*(1-ADD.DISCOUNT)*(1+MAT.SURCHARGE)*EXC.RATE_2),CURRENCY.FORMAT_2),CURRENCY.FORMAT_2,0)),'DICTIONARY-5'!$A$2))</f>
        <v/>
      </c>
      <c r="N1995" s="535">
        <v>6</v>
      </c>
      <c r="O1995" s="535"/>
      <c r="P1995" s="731" t="str">
        <f>'DICTIONARY-3'!$A$148</f>
        <v>CEREX 300-L</v>
      </c>
      <c r="Q1995" s="732" t="str">
        <f>'DICTIONARY-3'!$A$204</f>
        <v>Przepustnica kołnierzowa</v>
      </c>
      <c r="R1995" s="732" t="str">
        <f>CONCATENATE('DICTIONARY-3'!$A$148," ",'DICTIONARY-6'!$A$2," ",UPPER('DICTIONARY-5'!$A$18)," ",'DICTIONARY-2'!$A$2,"65,"," ",'DICTIONARY-2'!$A$3,"10/16"," ","R20"," ",'DICTIONARY-5'!$A$37,"/",'DICTIONARY-5'!$A$45,", ",'DICTIONARY-4'!$A$8," 232-05")</f>
        <v>CEREX 300-L Przep. kołnierz. GAZ DN65, PN10/16 R20 CF8M/NBR, PK 232-05</v>
      </c>
      <c r="S1995" s="733" t="str">
        <f>'DICTIONARY-4'!$A$8</f>
        <v>PK</v>
      </c>
      <c r="T1995" s="732" t="str">
        <f>'DICTIONARY-4'!$A$24</f>
        <v>Przekładnia z kółkiem</v>
      </c>
      <c r="U1995" s="734" t="s">
        <v>5759</v>
      </c>
      <c r="V1995" s="735">
        <v>16</v>
      </c>
      <c r="W1995" s="736"/>
      <c r="X1995" s="737"/>
      <c r="Y1995" s="738"/>
      <c r="Z1995" s="739"/>
      <c r="AA1995" s="739"/>
      <c r="AB1995" s="740">
        <v>16</v>
      </c>
      <c r="AC1995" s="741" t="str">
        <f>'DICTIONARY-5'!$A$11&amp;" 20"</f>
        <v>EN 558 szereg 20</v>
      </c>
      <c r="AD1995" s="741" t="str">
        <f>'DICTIONARY-5'!$A$18&amp;", "&amp;'DICTIONARY-5'!$A$14</f>
        <v>gaz, ścieki</v>
      </c>
      <c r="AE1995" s="742">
        <v>110</v>
      </c>
      <c r="AF1995" s="743">
        <v>5</v>
      </c>
      <c r="AG1995" s="741" t="str">
        <f>'DICTIONARY-5'!$A$23</f>
        <v>powłoka epoksydowa</v>
      </c>
    </row>
    <row r="1996" spans="1:33" x14ac:dyDescent="0.25">
      <c r="A1996" s="754" t="s">
        <v>1664</v>
      </c>
      <c r="B1996" s="869" t="s">
        <v>3832</v>
      </c>
      <c r="C1996" s="836">
        <v>294</v>
      </c>
      <c r="D1996" s="836"/>
      <c r="E1996" s="836"/>
      <c r="F1996" s="836"/>
      <c r="G1996" s="496" t="s">
        <v>7832</v>
      </c>
      <c r="H1996" s="797" t="str">
        <f>VLOOKUP(G1996,SETTINGS!$B$7:$D$97,2,0)</f>
        <v>CEREX 300</v>
      </c>
      <c r="I1996" s="796">
        <f>VLOOKUP(G1996,SETTINGS!$B$7:$D$97,3,0)</f>
        <v>0</v>
      </c>
      <c r="J1996" s="670" t="str">
        <f>IFERROR(IF(CURRENCY.FORMAT_1=0,CONCATENATE(TEXT(FIXED(ROUND((C1996/EXC.RATE_1),CURRENCY.FORMAT_1),CURRENCY.FORMAT_1,1),"# ##0;-# ##0"),",-"),FIXED(ROUND((C1996/EXC.RATE_1),CURRENCY.FORMAT_1),CURRENCY.FORMAT_1,0)),'DICTIONARY-5'!$A$2)</f>
        <v>294,-</v>
      </c>
      <c r="K1996" s="670" t="str">
        <f>IF(EXC.RATE_2=0,"",IFERROR(IF(CURRENCY.FORMAT_2=0,CONCATENATE(TEXT(FIXED(ROUND(IF(EXC.RATE.SWITCH=1,C1996/EXC.RATE_2,C1996*EXC.RATE_2),CURRENCY.FORMAT_2),CURRENCY.FORMAT_2,1),"# ##0;-# ##0"),",-"),FIXED(ROUND(IF(EXC.RATE.SWITCH=1,C1996/EXC.RATE_2,C1996*EXC.RATE_2),CURRENCY.FORMAT_2),CURRENCY.FORMAT_2,0)),'DICTIONARY-5'!$A$2))</f>
        <v/>
      </c>
      <c r="L1996" s="670" t="str">
        <f>IFERROR(IF(CURRENCY.FORMAT_1=0,CONCATENATE(TEXT(FIXED(ROUND((C1996*(1-I1996)*(1-ADD.DISCOUNT)*(1+MAT.SURCHARGE)/EXC.RATE_1),CURRENCY.FORMAT_1),CURRENCY.FORMAT_1,1),"# ##0;-# ##0"),",-"),FIXED(ROUND((C1996*(1-I1996)*(1-ADD.DISCOUNT)*(1+MAT.SURCHARGE)/EXC.RATE_1),CURRENCY.FORMAT_1),CURRENCY.FORMAT_1,0)),'DICTIONARY-5'!$A$2)</f>
        <v>305,-</v>
      </c>
      <c r="M1996" s="670" t="str">
        <f>IF(EXC.RATE_2=0,"",IFERROR(IF(CURRENCY.FORMAT_2=0,CONCATENATE(TEXT(FIXED(ROUND(IF(EXC.RATE.SWITCH=1,C1996*(1-I1996)*(1-ADD.DISCOUNT)*(1+MAT.SURCHARGE)/EXC.RATE_2,C1996*(1-I1996)*(1-ADD.DISCOUNT)*(1+MAT.SURCHARGE)*EXC.RATE_2),CURRENCY.FORMAT_2),CURRENCY.FORMAT_2,1),"# ##0;-# ##0"),",-"),FIXED(ROUND(IF(EXC.RATE.SWITCH=1,C1996*(1-I1996)*(1-ADD.DISCOUNT)*(1+MAT.SURCHARGE)/EXC.RATE_2,C1996*(1-I1996)*(1-ADD.DISCOUNT)*(1+MAT.SURCHARGE)*EXC.RATE_2),CURRENCY.FORMAT_2),CURRENCY.FORMAT_2,0)),'DICTIONARY-5'!$A$2))</f>
        <v/>
      </c>
      <c r="N1996" s="535">
        <v>6</v>
      </c>
      <c r="O1996" s="535"/>
      <c r="P1996" s="731" t="str">
        <f>'DICTIONARY-3'!$A$148</f>
        <v>CEREX 300-L</v>
      </c>
      <c r="Q1996" s="732" t="str">
        <f>'DICTIONARY-3'!$A$204</f>
        <v>Przepustnica kołnierzowa</v>
      </c>
      <c r="R1996" s="732" t="str">
        <f>CONCATENATE('DICTIONARY-3'!$A$148," ",'DICTIONARY-6'!$A$2," ",UPPER('DICTIONARY-5'!$A$18)," ",'DICTIONARY-2'!$A$2,"80,"," ",'DICTIONARY-2'!$A$3,"10/16"," ","R20"," ",'DICTIONARY-5'!$A$37,"/",'DICTIONARY-5'!$A$45,", ",'DICTIONARY-4'!$A$8," 232-05")</f>
        <v>CEREX 300-L Przep. kołnierz. GAZ DN80, PN10/16 R20 CF8M/NBR, PK 232-05</v>
      </c>
      <c r="S1996" s="733" t="str">
        <f>'DICTIONARY-4'!$A$8</f>
        <v>PK</v>
      </c>
      <c r="T1996" s="732" t="str">
        <f>'DICTIONARY-4'!$A$24</f>
        <v>Przekładnia z kółkiem</v>
      </c>
      <c r="U1996" s="734" t="s">
        <v>5760</v>
      </c>
      <c r="V1996" s="735">
        <v>16</v>
      </c>
      <c r="W1996" s="736"/>
      <c r="X1996" s="737"/>
      <c r="Y1996" s="738"/>
      <c r="Z1996" s="739"/>
      <c r="AA1996" s="739"/>
      <c r="AB1996" s="740">
        <v>16</v>
      </c>
      <c r="AC1996" s="741" t="str">
        <f>'DICTIONARY-5'!$A$11&amp;" 20"</f>
        <v>EN 558 szereg 20</v>
      </c>
      <c r="AD1996" s="741" t="str">
        <f>'DICTIONARY-5'!$A$18&amp;", "&amp;'DICTIONARY-5'!$A$14</f>
        <v>gaz, ścieki</v>
      </c>
      <c r="AE1996" s="742">
        <v>110</v>
      </c>
      <c r="AF1996" s="743">
        <v>8</v>
      </c>
      <c r="AG1996" s="741" t="str">
        <f>'DICTIONARY-5'!$A$23</f>
        <v>powłoka epoksydowa</v>
      </c>
    </row>
    <row r="1997" spans="1:33" x14ac:dyDescent="0.25">
      <c r="A1997" s="754" t="s">
        <v>1666</v>
      </c>
      <c r="B1997" s="869" t="s">
        <v>3838</v>
      </c>
      <c r="C1997" s="836">
        <v>328</v>
      </c>
      <c r="D1997" s="836"/>
      <c r="E1997" s="836"/>
      <c r="F1997" s="836"/>
      <c r="G1997" s="496" t="s">
        <v>7832</v>
      </c>
      <c r="H1997" s="797" t="str">
        <f>VLOOKUP(G1997,SETTINGS!$B$7:$D$97,2,0)</f>
        <v>CEREX 300</v>
      </c>
      <c r="I1997" s="796">
        <f>VLOOKUP(G1997,SETTINGS!$B$7:$D$97,3,0)</f>
        <v>0</v>
      </c>
      <c r="J1997" s="670" t="str">
        <f>IFERROR(IF(CURRENCY.FORMAT_1=0,CONCATENATE(TEXT(FIXED(ROUND((C1997/EXC.RATE_1),CURRENCY.FORMAT_1),CURRENCY.FORMAT_1,1),"# ##0;-# ##0"),",-"),FIXED(ROUND((C1997/EXC.RATE_1),CURRENCY.FORMAT_1),CURRENCY.FORMAT_1,0)),'DICTIONARY-5'!$A$2)</f>
        <v>328,-</v>
      </c>
      <c r="K1997" s="670" t="str">
        <f>IF(EXC.RATE_2=0,"",IFERROR(IF(CURRENCY.FORMAT_2=0,CONCATENATE(TEXT(FIXED(ROUND(IF(EXC.RATE.SWITCH=1,C1997/EXC.RATE_2,C1997*EXC.RATE_2),CURRENCY.FORMAT_2),CURRENCY.FORMAT_2,1),"# ##0;-# ##0"),",-"),FIXED(ROUND(IF(EXC.RATE.SWITCH=1,C1997/EXC.RATE_2,C1997*EXC.RATE_2),CURRENCY.FORMAT_2),CURRENCY.FORMAT_2,0)),'DICTIONARY-5'!$A$2))</f>
        <v/>
      </c>
      <c r="L1997" s="670" t="str">
        <f>IFERROR(IF(CURRENCY.FORMAT_1=0,CONCATENATE(TEXT(FIXED(ROUND((C1997*(1-I1997)*(1-ADD.DISCOUNT)*(1+MAT.SURCHARGE)/EXC.RATE_1),CURRENCY.FORMAT_1),CURRENCY.FORMAT_1,1),"# ##0;-# ##0"),",-"),FIXED(ROUND((C1997*(1-I1997)*(1-ADD.DISCOUNT)*(1+MAT.SURCHARGE)/EXC.RATE_1),CURRENCY.FORMAT_1),CURRENCY.FORMAT_1,0)),'DICTIONARY-5'!$A$2)</f>
        <v>341,-</v>
      </c>
      <c r="M1997" s="670" t="str">
        <f>IF(EXC.RATE_2=0,"",IFERROR(IF(CURRENCY.FORMAT_2=0,CONCATENATE(TEXT(FIXED(ROUND(IF(EXC.RATE.SWITCH=1,C1997*(1-I1997)*(1-ADD.DISCOUNT)*(1+MAT.SURCHARGE)/EXC.RATE_2,C1997*(1-I1997)*(1-ADD.DISCOUNT)*(1+MAT.SURCHARGE)*EXC.RATE_2),CURRENCY.FORMAT_2),CURRENCY.FORMAT_2,1),"# ##0;-# ##0"),",-"),FIXED(ROUND(IF(EXC.RATE.SWITCH=1,C1997*(1-I1997)*(1-ADD.DISCOUNT)*(1+MAT.SURCHARGE)/EXC.RATE_2,C1997*(1-I1997)*(1-ADD.DISCOUNT)*(1+MAT.SURCHARGE)*EXC.RATE_2),CURRENCY.FORMAT_2),CURRENCY.FORMAT_2,0)),'DICTIONARY-5'!$A$2))</f>
        <v/>
      </c>
      <c r="N1997" s="535">
        <v>6</v>
      </c>
      <c r="O1997" s="535"/>
      <c r="P1997" s="731" t="str">
        <f>'DICTIONARY-3'!$A$148</f>
        <v>CEREX 300-L</v>
      </c>
      <c r="Q1997" s="732" t="str">
        <f>'DICTIONARY-3'!$A$204</f>
        <v>Przepustnica kołnierzowa</v>
      </c>
      <c r="R1997" s="732" t="str">
        <f>CONCATENATE('DICTIONARY-3'!$A$148," ",'DICTIONARY-6'!$A$2," ",UPPER('DICTIONARY-5'!$A$18)," ",'DICTIONARY-2'!$A$2,"100"," ",'DICTIONARY-2'!$A$3,"10/16"," ","R20"," ",'DICTIONARY-5'!$A$37,"/",'DICTIONARY-5'!$A$45,", ",'DICTIONARY-4'!$A$8," 232-05")</f>
        <v>CEREX 300-L Przep. kołnierz. GAZ DN100 PN10/16 R20 CF8M/NBR, PK 232-05</v>
      </c>
      <c r="S1997" s="733" t="str">
        <f>'DICTIONARY-4'!$A$8</f>
        <v>PK</v>
      </c>
      <c r="T1997" s="732" t="str">
        <f>'DICTIONARY-4'!$A$24</f>
        <v>Przekładnia z kółkiem</v>
      </c>
      <c r="U1997" s="734" t="s">
        <v>5749</v>
      </c>
      <c r="V1997" s="735">
        <v>16</v>
      </c>
      <c r="W1997" s="736"/>
      <c r="X1997" s="737"/>
      <c r="Y1997" s="738"/>
      <c r="Z1997" s="739"/>
      <c r="AA1997" s="739"/>
      <c r="AB1997" s="740">
        <v>16</v>
      </c>
      <c r="AC1997" s="741" t="str">
        <f>'DICTIONARY-5'!$A$11&amp;" 20"</f>
        <v>EN 558 szereg 20</v>
      </c>
      <c r="AD1997" s="741" t="str">
        <f>'DICTIONARY-5'!$A$18&amp;", "&amp;'DICTIONARY-5'!$A$14</f>
        <v>gaz, ścieki</v>
      </c>
      <c r="AE1997" s="742">
        <v>110</v>
      </c>
      <c r="AF1997" s="743">
        <v>6</v>
      </c>
      <c r="AG1997" s="741" t="str">
        <f>'DICTIONARY-5'!$A$23</f>
        <v>powłoka epoksydowa</v>
      </c>
    </row>
    <row r="1998" spans="1:33" x14ac:dyDescent="0.25">
      <c r="A1998" s="754" t="s">
        <v>1668</v>
      </c>
      <c r="B1998" s="869" t="s">
        <v>3844</v>
      </c>
      <c r="C1998" s="836">
        <v>368</v>
      </c>
      <c r="D1998" s="836"/>
      <c r="E1998" s="836"/>
      <c r="F1998" s="836"/>
      <c r="G1998" s="496" t="s">
        <v>7832</v>
      </c>
      <c r="H1998" s="797" t="str">
        <f>VLOOKUP(G1998,SETTINGS!$B$7:$D$97,2,0)</f>
        <v>CEREX 300</v>
      </c>
      <c r="I1998" s="796">
        <f>VLOOKUP(G1998,SETTINGS!$B$7:$D$97,3,0)</f>
        <v>0</v>
      </c>
      <c r="J1998" s="670" t="str">
        <f>IFERROR(IF(CURRENCY.FORMAT_1=0,CONCATENATE(TEXT(FIXED(ROUND((C1998/EXC.RATE_1),CURRENCY.FORMAT_1),CURRENCY.FORMAT_1,1),"# ##0;-# ##0"),",-"),FIXED(ROUND((C1998/EXC.RATE_1),CURRENCY.FORMAT_1),CURRENCY.FORMAT_1,0)),'DICTIONARY-5'!$A$2)</f>
        <v>368,-</v>
      </c>
      <c r="K1998" s="670" t="str">
        <f>IF(EXC.RATE_2=0,"",IFERROR(IF(CURRENCY.FORMAT_2=0,CONCATENATE(TEXT(FIXED(ROUND(IF(EXC.RATE.SWITCH=1,C1998/EXC.RATE_2,C1998*EXC.RATE_2),CURRENCY.FORMAT_2),CURRENCY.FORMAT_2,1),"# ##0;-# ##0"),",-"),FIXED(ROUND(IF(EXC.RATE.SWITCH=1,C1998/EXC.RATE_2,C1998*EXC.RATE_2),CURRENCY.FORMAT_2),CURRENCY.FORMAT_2,0)),'DICTIONARY-5'!$A$2))</f>
        <v/>
      </c>
      <c r="L1998" s="670" t="str">
        <f>IFERROR(IF(CURRENCY.FORMAT_1=0,CONCATENATE(TEXT(FIXED(ROUND((C1998*(1-I1998)*(1-ADD.DISCOUNT)*(1+MAT.SURCHARGE)/EXC.RATE_1),CURRENCY.FORMAT_1),CURRENCY.FORMAT_1,1),"# ##0;-# ##0"),",-"),FIXED(ROUND((C1998*(1-I1998)*(1-ADD.DISCOUNT)*(1+MAT.SURCHARGE)/EXC.RATE_1),CURRENCY.FORMAT_1),CURRENCY.FORMAT_1,0)),'DICTIONARY-5'!$A$2)</f>
        <v>382,-</v>
      </c>
      <c r="M1998" s="670" t="str">
        <f>IF(EXC.RATE_2=0,"",IFERROR(IF(CURRENCY.FORMAT_2=0,CONCATENATE(TEXT(FIXED(ROUND(IF(EXC.RATE.SWITCH=1,C1998*(1-I1998)*(1-ADD.DISCOUNT)*(1+MAT.SURCHARGE)/EXC.RATE_2,C1998*(1-I1998)*(1-ADD.DISCOUNT)*(1+MAT.SURCHARGE)*EXC.RATE_2),CURRENCY.FORMAT_2),CURRENCY.FORMAT_2,1),"# ##0;-# ##0"),",-"),FIXED(ROUND(IF(EXC.RATE.SWITCH=1,C1998*(1-I1998)*(1-ADD.DISCOUNT)*(1+MAT.SURCHARGE)/EXC.RATE_2,C1998*(1-I1998)*(1-ADD.DISCOUNT)*(1+MAT.SURCHARGE)*EXC.RATE_2),CURRENCY.FORMAT_2),CURRENCY.FORMAT_2,0)),'DICTIONARY-5'!$A$2))</f>
        <v/>
      </c>
      <c r="N1998" s="535">
        <v>6</v>
      </c>
      <c r="O1998" s="535"/>
      <c r="P1998" s="731" t="str">
        <f>'DICTIONARY-3'!$A$148</f>
        <v>CEREX 300-L</v>
      </c>
      <c r="Q1998" s="732" t="str">
        <f>'DICTIONARY-3'!$A$204</f>
        <v>Przepustnica kołnierzowa</v>
      </c>
      <c r="R1998" s="732" t="str">
        <f>CONCATENATE('DICTIONARY-3'!$A$148," ",'DICTIONARY-6'!$A$2," ",UPPER('DICTIONARY-5'!$A$18)," ",'DICTIONARY-2'!$A$2,"125"," ",'DICTIONARY-2'!$A$3,"10/16"," ","R20"," ",'DICTIONARY-5'!$A$37,"/",'DICTIONARY-5'!$A$45,", ",'DICTIONARY-4'!$A$8," 232-05")</f>
        <v>CEREX 300-L Przep. kołnierz. GAZ DN125 PN10/16 R20 CF8M/NBR, PK 232-05</v>
      </c>
      <c r="S1998" s="733" t="str">
        <f>'DICTIONARY-4'!$A$8</f>
        <v>PK</v>
      </c>
      <c r="T1998" s="732" t="str">
        <f>'DICTIONARY-4'!$A$24</f>
        <v>Przekładnia z kółkiem</v>
      </c>
      <c r="U1998" s="734" t="s">
        <v>5761</v>
      </c>
      <c r="V1998" s="735">
        <v>16</v>
      </c>
      <c r="W1998" s="736"/>
      <c r="X1998" s="737"/>
      <c r="Y1998" s="738"/>
      <c r="Z1998" s="739"/>
      <c r="AA1998" s="739"/>
      <c r="AB1998" s="740">
        <v>16</v>
      </c>
      <c r="AC1998" s="741" t="str">
        <f>'DICTIONARY-5'!$A$11&amp;" 20"</f>
        <v>EN 558 szereg 20</v>
      </c>
      <c r="AD1998" s="741" t="str">
        <f>'DICTIONARY-5'!$A$18&amp;", "&amp;'DICTIONARY-5'!$A$14</f>
        <v>gaz, ścieki</v>
      </c>
      <c r="AE1998" s="742">
        <v>110</v>
      </c>
      <c r="AF1998" s="743">
        <v>12</v>
      </c>
      <c r="AG1998" s="741" t="str">
        <f>'DICTIONARY-5'!$A$23</f>
        <v>powłoka epoksydowa</v>
      </c>
    </row>
    <row r="1999" spans="1:33" x14ac:dyDescent="0.25">
      <c r="A1999" s="754" t="s">
        <v>1670</v>
      </c>
      <c r="B1999" s="869" t="s">
        <v>3850</v>
      </c>
      <c r="C1999" s="836">
        <v>494</v>
      </c>
      <c r="D1999" s="836"/>
      <c r="E1999" s="836"/>
      <c r="F1999" s="836"/>
      <c r="G1999" s="496" t="s">
        <v>7832</v>
      </c>
      <c r="H1999" s="797" t="str">
        <f>VLOOKUP(G1999,SETTINGS!$B$7:$D$97,2,0)</f>
        <v>CEREX 300</v>
      </c>
      <c r="I1999" s="796">
        <f>VLOOKUP(G1999,SETTINGS!$B$7:$D$97,3,0)</f>
        <v>0</v>
      </c>
      <c r="J1999" s="670" t="str">
        <f>IFERROR(IF(CURRENCY.FORMAT_1=0,CONCATENATE(TEXT(FIXED(ROUND((C1999/EXC.RATE_1),CURRENCY.FORMAT_1),CURRENCY.FORMAT_1,1),"# ##0;-# ##0"),",-"),FIXED(ROUND((C1999/EXC.RATE_1),CURRENCY.FORMAT_1),CURRENCY.FORMAT_1,0)),'DICTIONARY-5'!$A$2)</f>
        <v>494,-</v>
      </c>
      <c r="K1999" s="670" t="str">
        <f>IF(EXC.RATE_2=0,"",IFERROR(IF(CURRENCY.FORMAT_2=0,CONCATENATE(TEXT(FIXED(ROUND(IF(EXC.RATE.SWITCH=1,C1999/EXC.RATE_2,C1999*EXC.RATE_2),CURRENCY.FORMAT_2),CURRENCY.FORMAT_2,1),"# ##0;-# ##0"),",-"),FIXED(ROUND(IF(EXC.RATE.SWITCH=1,C1999/EXC.RATE_2,C1999*EXC.RATE_2),CURRENCY.FORMAT_2),CURRENCY.FORMAT_2,0)),'DICTIONARY-5'!$A$2))</f>
        <v/>
      </c>
      <c r="L1999" s="670" t="str">
        <f>IFERROR(IF(CURRENCY.FORMAT_1=0,CONCATENATE(TEXT(FIXED(ROUND((C1999*(1-I1999)*(1-ADD.DISCOUNT)*(1+MAT.SURCHARGE)/EXC.RATE_1),CURRENCY.FORMAT_1),CURRENCY.FORMAT_1,1),"# ##0;-# ##0"),",-"),FIXED(ROUND((C1999*(1-I1999)*(1-ADD.DISCOUNT)*(1+MAT.SURCHARGE)/EXC.RATE_1),CURRENCY.FORMAT_1),CURRENCY.FORMAT_1,0)),'DICTIONARY-5'!$A$2)</f>
        <v>513,-</v>
      </c>
      <c r="M1999" s="670" t="str">
        <f>IF(EXC.RATE_2=0,"",IFERROR(IF(CURRENCY.FORMAT_2=0,CONCATENATE(TEXT(FIXED(ROUND(IF(EXC.RATE.SWITCH=1,C1999*(1-I1999)*(1-ADD.DISCOUNT)*(1+MAT.SURCHARGE)/EXC.RATE_2,C1999*(1-I1999)*(1-ADD.DISCOUNT)*(1+MAT.SURCHARGE)*EXC.RATE_2),CURRENCY.FORMAT_2),CURRENCY.FORMAT_2,1),"# ##0;-# ##0"),",-"),FIXED(ROUND(IF(EXC.RATE.SWITCH=1,C1999*(1-I1999)*(1-ADD.DISCOUNT)*(1+MAT.SURCHARGE)/EXC.RATE_2,C1999*(1-I1999)*(1-ADD.DISCOUNT)*(1+MAT.SURCHARGE)*EXC.RATE_2),CURRENCY.FORMAT_2),CURRENCY.FORMAT_2,0)),'DICTIONARY-5'!$A$2))</f>
        <v/>
      </c>
      <c r="N1999" s="535">
        <v>6</v>
      </c>
      <c r="O1999" s="535"/>
      <c r="P1999" s="731" t="str">
        <f>'DICTIONARY-3'!$A$148</f>
        <v>CEREX 300-L</v>
      </c>
      <c r="Q1999" s="732" t="str">
        <f>'DICTIONARY-3'!$A$204</f>
        <v>Przepustnica kołnierzowa</v>
      </c>
      <c r="R1999" s="732" t="str">
        <f>CONCATENATE('DICTIONARY-3'!$A$148," ",'DICTIONARY-6'!$A$2," ",UPPER('DICTIONARY-5'!$A$18)," ",'DICTIONARY-2'!$A$2,"150"," ",'DICTIONARY-2'!$A$3,"10/16"," ","R20"," ",'DICTIONARY-5'!$A$37,"/",'DICTIONARY-5'!$A$45,", ",'DICTIONARY-4'!$A$8," 232-06")</f>
        <v>CEREX 300-L Przep. kołnierz. GAZ DN150 PN10/16 R20 CF8M/NBR, PK 232-06</v>
      </c>
      <c r="S1999" s="733" t="str">
        <f>'DICTIONARY-4'!$A$8</f>
        <v>PK</v>
      </c>
      <c r="T1999" s="732" t="str">
        <f>'DICTIONARY-4'!$A$24</f>
        <v>Przekładnia z kółkiem</v>
      </c>
      <c r="U1999" s="734" t="s">
        <v>5572</v>
      </c>
      <c r="V1999" s="735">
        <v>16</v>
      </c>
      <c r="W1999" s="736"/>
      <c r="X1999" s="737"/>
      <c r="Y1999" s="738"/>
      <c r="Z1999" s="739"/>
      <c r="AA1999" s="739"/>
      <c r="AB1999" s="740">
        <v>16</v>
      </c>
      <c r="AC1999" s="741" t="str">
        <f>'DICTIONARY-5'!$A$11&amp;" 20"</f>
        <v>EN 558 szereg 20</v>
      </c>
      <c r="AD1999" s="741" t="str">
        <f>'DICTIONARY-5'!$A$18&amp;", "&amp;'DICTIONARY-5'!$A$14</f>
        <v>gaz, ścieki</v>
      </c>
      <c r="AE1999" s="742">
        <v>110</v>
      </c>
      <c r="AF1999" s="743">
        <v>15</v>
      </c>
      <c r="AG1999" s="741" t="str">
        <f>'DICTIONARY-5'!$A$23</f>
        <v>powłoka epoksydowa</v>
      </c>
    </row>
    <row r="2000" spans="1:33" x14ac:dyDescent="0.25">
      <c r="A2000" s="754" t="s">
        <v>1672</v>
      </c>
      <c r="B2000" s="869" t="s">
        <v>3932</v>
      </c>
      <c r="C2000" s="836">
        <v>652</v>
      </c>
      <c r="D2000" s="836"/>
      <c r="E2000" s="836"/>
      <c r="F2000" s="836"/>
      <c r="G2000" s="496" t="s">
        <v>7832</v>
      </c>
      <c r="H2000" s="797" t="str">
        <f>VLOOKUP(G2000,SETTINGS!$B$7:$D$97,2,0)</f>
        <v>CEREX 300</v>
      </c>
      <c r="I2000" s="796">
        <f>VLOOKUP(G2000,SETTINGS!$B$7:$D$97,3,0)</f>
        <v>0</v>
      </c>
      <c r="J2000" s="670" t="str">
        <f>IFERROR(IF(CURRENCY.FORMAT_1=0,CONCATENATE(TEXT(FIXED(ROUND((C2000/EXC.RATE_1),CURRENCY.FORMAT_1),CURRENCY.FORMAT_1,1),"# ##0;-# ##0"),",-"),FIXED(ROUND((C2000/EXC.RATE_1),CURRENCY.FORMAT_1),CURRENCY.FORMAT_1,0)),'DICTIONARY-5'!$A$2)</f>
        <v>652,-</v>
      </c>
      <c r="K2000" s="670" t="str">
        <f>IF(EXC.RATE_2=0,"",IFERROR(IF(CURRENCY.FORMAT_2=0,CONCATENATE(TEXT(FIXED(ROUND(IF(EXC.RATE.SWITCH=1,C2000/EXC.RATE_2,C2000*EXC.RATE_2),CURRENCY.FORMAT_2),CURRENCY.FORMAT_2,1),"# ##0;-# ##0"),",-"),FIXED(ROUND(IF(EXC.RATE.SWITCH=1,C2000/EXC.RATE_2,C2000*EXC.RATE_2),CURRENCY.FORMAT_2),CURRENCY.FORMAT_2,0)),'DICTIONARY-5'!$A$2))</f>
        <v/>
      </c>
      <c r="L2000" s="670" t="str">
        <f>IFERROR(IF(CURRENCY.FORMAT_1=0,CONCATENATE(TEXT(FIXED(ROUND((C2000*(1-I2000)*(1-ADD.DISCOUNT)*(1+MAT.SURCHARGE)/EXC.RATE_1),CURRENCY.FORMAT_1),CURRENCY.FORMAT_1,1),"# ##0;-# ##0"),",-"),FIXED(ROUND((C2000*(1-I2000)*(1-ADD.DISCOUNT)*(1+MAT.SURCHARGE)/EXC.RATE_1),CURRENCY.FORMAT_1),CURRENCY.FORMAT_1,0)),'DICTIONARY-5'!$A$2)</f>
        <v>677,-</v>
      </c>
      <c r="M2000" s="670" t="str">
        <f>IF(EXC.RATE_2=0,"",IFERROR(IF(CURRENCY.FORMAT_2=0,CONCATENATE(TEXT(FIXED(ROUND(IF(EXC.RATE.SWITCH=1,C2000*(1-I2000)*(1-ADD.DISCOUNT)*(1+MAT.SURCHARGE)/EXC.RATE_2,C2000*(1-I2000)*(1-ADD.DISCOUNT)*(1+MAT.SURCHARGE)*EXC.RATE_2),CURRENCY.FORMAT_2),CURRENCY.FORMAT_2,1),"# ##0;-# ##0"),",-"),FIXED(ROUND(IF(EXC.RATE.SWITCH=1,C2000*(1-I2000)*(1-ADD.DISCOUNT)*(1+MAT.SURCHARGE)/EXC.RATE_2,C2000*(1-I2000)*(1-ADD.DISCOUNT)*(1+MAT.SURCHARGE)*EXC.RATE_2),CURRENCY.FORMAT_2),CURRENCY.FORMAT_2,0)),'DICTIONARY-5'!$A$2))</f>
        <v/>
      </c>
      <c r="N2000" s="535">
        <v>6</v>
      </c>
      <c r="O2000" s="535"/>
      <c r="P2000" s="731" t="str">
        <f>'DICTIONARY-3'!$A$148</f>
        <v>CEREX 300-L</v>
      </c>
      <c r="Q2000" s="732" t="str">
        <f>'DICTIONARY-3'!$A$204</f>
        <v>Przepustnica kołnierzowa</v>
      </c>
      <c r="R2000" s="732" t="str">
        <f>CONCATENATE('DICTIONARY-3'!$A$148," ",'DICTIONARY-6'!$A$2," ",UPPER('DICTIONARY-5'!$A$18)," ",'DICTIONARY-2'!$A$2,"200"," ",'DICTIONARY-2'!$A$3,"10"," ","R20"," ",'DICTIONARY-5'!$A$37,"/",'DICTIONARY-5'!$A$45,", ",'DICTIONARY-4'!$A$8," 232-08")</f>
        <v>CEREX 300-L Przep. kołnierz. GAZ DN200 PN10 R20 CF8M/NBR, PK 232-08</v>
      </c>
      <c r="S2000" s="733" t="str">
        <f>'DICTIONARY-4'!$A$8</f>
        <v>PK</v>
      </c>
      <c r="T2000" s="732" t="str">
        <f>'DICTIONARY-4'!$A$24</f>
        <v>Przekładnia z kółkiem</v>
      </c>
      <c r="U2000" s="734" t="s">
        <v>5750</v>
      </c>
      <c r="V2000" s="735">
        <v>10</v>
      </c>
      <c r="W2000" s="736"/>
      <c r="X2000" s="737"/>
      <c r="Y2000" s="738"/>
      <c r="Z2000" s="739"/>
      <c r="AA2000" s="739"/>
      <c r="AB2000" s="740">
        <v>10</v>
      </c>
      <c r="AC2000" s="741" t="str">
        <f>'DICTIONARY-5'!$A$11&amp;" 20"</f>
        <v>EN 558 szereg 20</v>
      </c>
      <c r="AD2000" s="741" t="str">
        <f>'DICTIONARY-5'!$A$18&amp;", "&amp;'DICTIONARY-5'!$A$14</f>
        <v>gaz, ścieki</v>
      </c>
      <c r="AE2000" s="742">
        <v>80</v>
      </c>
      <c r="AF2000" s="743">
        <v>19</v>
      </c>
      <c r="AG2000" s="741" t="str">
        <f>'DICTIONARY-5'!$A$23</f>
        <v>powłoka epoksydowa</v>
      </c>
    </row>
    <row r="2001" spans="1:33" x14ac:dyDescent="0.25">
      <c r="A2001" s="754" t="s">
        <v>1674</v>
      </c>
      <c r="B2001" s="869" t="s">
        <v>3856</v>
      </c>
      <c r="C2001" s="836">
        <v>700</v>
      </c>
      <c r="D2001" s="836"/>
      <c r="E2001" s="836"/>
      <c r="F2001" s="836"/>
      <c r="G2001" s="496" t="s">
        <v>7832</v>
      </c>
      <c r="H2001" s="797" t="str">
        <f>VLOOKUP(G2001,SETTINGS!$B$7:$D$97,2,0)</f>
        <v>CEREX 300</v>
      </c>
      <c r="I2001" s="796">
        <f>VLOOKUP(G2001,SETTINGS!$B$7:$D$97,3,0)</f>
        <v>0</v>
      </c>
      <c r="J2001" s="670" t="str">
        <f>IFERROR(IF(CURRENCY.FORMAT_1=0,CONCATENATE(TEXT(FIXED(ROUND((C2001/EXC.RATE_1),CURRENCY.FORMAT_1),CURRENCY.FORMAT_1,1),"# ##0;-# ##0"),",-"),FIXED(ROUND((C2001/EXC.RATE_1),CURRENCY.FORMAT_1),CURRENCY.FORMAT_1,0)),'DICTIONARY-5'!$A$2)</f>
        <v>700,-</v>
      </c>
      <c r="K2001" s="670" t="str">
        <f>IF(EXC.RATE_2=0,"",IFERROR(IF(CURRENCY.FORMAT_2=0,CONCATENATE(TEXT(FIXED(ROUND(IF(EXC.RATE.SWITCH=1,C2001/EXC.RATE_2,C2001*EXC.RATE_2),CURRENCY.FORMAT_2),CURRENCY.FORMAT_2,1),"# ##0;-# ##0"),",-"),FIXED(ROUND(IF(EXC.RATE.SWITCH=1,C2001/EXC.RATE_2,C2001*EXC.RATE_2),CURRENCY.FORMAT_2),CURRENCY.FORMAT_2,0)),'DICTIONARY-5'!$A$2))</f>
        <v/>
      </c>
      <c r="L2001" s="670" t="str">
        <f>IFERROR(IF(CURRENCY.FORMAT_1=0,CONCATENATE(TEXT(FIXED(ROUND((C2001*(1-I2001)*(1-ADD.DISCOUNT)*(1+MAT.SURCHARGE)/EXC.RATE_1),CURRENCY.FORMAT_1),CURRENCY.FORMAT_1,1),"# ##0;-# ##0"),",-"),FIXED(ROUND((C2001*(1-I2001)*(1-ADD.DISCOUNT)*(1+MAT.SURCHARGE)/EXC.RATE_1),CURRENCY.FORMAT_1),CURRENCY.FORMAT_1,0)),'DICTIONARY-5'!$A$2)</f>
        <v>727,-</v>
      </c>
      <c r="M2001" s="670" t="str">
        <f>IF(EXC.RATE_2=0,"",IFERROR(IF(CURRENCY.FORMAT_2=0,CONCATENATE(TEXT(FIXED(ROUND(IF(EXC.RATE.SWITCH=1,C2001*(1-I2001)*(1-ADD.DISCOUNT)*(1+MAT.SURCHARGE)/EXC.RATE_2,C2001*(1-I2001)*(1-ADD.DISCOUNT)*(1+MAT.SURCHARGE)*EXC.RATE_2),CURRENCY.FORMAT_2),CURRENCY.FORMAT_2,1),"# ##0;-# ##0"),",-"),FIXED(ROUND(IF(EXC.RATE.SWITCH=1,C2001*(1-I2001)*(1-ADD.DISCOUNT)*(1+MAT.SURCHARGE)/EXC.RATE_2,C2001*(1-I2001)*(1-ADD.DISCOUNT)*(1+MAT.SURCHARGE)*EXC.RATE_2),CURRENCY.FORMAT_2),CURRENCY.FORMAT_2,0)),'DICTIONARY-5'!$A$2))</f>
        <v/>
      </c>
      <c r="N2001" s="535">
        <v>6</v>
      </c>
      <c r="O2001" s="535"/>
      <c r="P2001" s="731" t="str">
        <f>'DICTIONARY-3'!$A$148</f>
        <v>CEREX 300-L</v>
      </c>
      <c r="Q2001" s="732" t="str">
        <f>'DICTIONARY-3'!$A$204</f>
        <v>Przepustnica kołnierzowa</v>
      </c>
      <c r="R2001" s="732" t="str">
        <f>CONCATENATE('DICTIONARY-3'!$A$148," ",'DICTIONARY-6'!$A$2," ",UPPER('DICTIONARY-5'!$A$18)," ",'DICTIONARY-2'!$A$2,"200"," ",'DICTIONARY-2'!$A$3,"16"," ","R20"," ",'DICTIONARY-5'!$A$37,"/",'DICTIONARY-5'!$A$45,", ",'DICTIONARY-4'!$A$8," 232-08")</f>
        <v>CEREX 300-L Przep. kołnierz. GAZ DN200 PN16 R20 CF8M/NBR, PK 232-08</v>
      </c>
      <c r="S2001" s="733" t="str">
        <f>'DICTIONARY-4'!$A$8</f>
        <v>PK</v>
      </c>
      <c r="T2001" s="732" t="str">
        <f>'DICTIONARY-4'!$A$24</f>
        <v>Przekładnia z kółkiem</v>
      </c>
      <c r="U2001" s="734" t="s">
        <v>5750</v>
      </c>
      <c r="V2001" s="735">
        <v>16</v>
      </c>
      <c r="W2001" s="736"/>
      <c r="X2001" s="737"/>
      <c r="Y2001" s="738"/>
      <c r="Z2001" s="739"/>
      <c r="AA2001" s="739"/>
      <c r="AB2001" s="740">
        <v>16</v>
      </c>
      <c r="AC2001" s="741" t="str">
        <f>'DICTIONARY-5'!$A$11&amp;" 20"</f>
        <v>EN 558 szereg 20</v>
      </c>
      <c r="AD2001" s="741" t="str">
        <f>'DICTIONARY-5'!$A$18&amp;", "&amp;'DICTIONARY-5'!$A$14</f>
        <v>gaz, ścieki</v>
      </c>
      <c r="AE2001" s="742">
        <v>110</v>
      </c>
      <c r="AF2001" s="743">
        <v>21</v>
      </c>
      <c r="AG2001" s="741" t="str">
        <f>'DICTIONARY-5'!$A$23</f>
        <v>powłoka epoksydowa</v>
      </c>
    </row>
    <row r="2002" spans="1:33" x14ac:dyDescent="0.25">
      <c r="A2002" s="754" t="s">
        <v>1676</v>
      </c>
      <c r="B2002" s="869" t="s">
        <v>3936</v>
      </c>
      <c r="C2002" s="836">
        <v>820</v>
      </c>
      <c r="D2002" s="836"/>
      <c r="E2002" s="836"/>
      <c r="F2002" s="836"/>
      <c r="G2002" s="496" t="s">
        <v>7832</v>
      </c>
      <c r="H2002" s="797" t="str">
        <f>VLOOKUP(G2002,SETTINGS!$B$7:$D$97,2,0)</f>
        <v>CEREX 300</v>
      </c>
      <c r="I2002" s="796">
        <f>VLOOKUP(G2002,SETTINGS!$B$7:$D$97,3,0)</f>
        <v>0</v>
      </c>
      <c r="J2002" s="670" t="str">
        <f>IFERROR(IF(CURRENCY.FORMAT_1=0,CONCATENATE(TEXT(FIXED(ROUND((C2002/EXC.RATE_1),CURRENCY.FORMAT_1),CURRENCY.FORMAT_1,1),"# ##0;-# ##0"),",-"),FIXED(ROUND((C2002/EXC.RATE_1),CURRENCY.FORMAT_1),CURRENCY.FORMAT_1,0)),'DICTIONARY-5'!$A$2)</f>
        <v>820,-</v>
      </c>
      <c r="K2002" s="670" t="str">
        <f>IF(EXC.RATE_2=0,"",IFERROR(IF(CURRENCY.FORMAT_2=0,CONCATENATE(TEXT(FIXED(ROUND(IF(EXC.RATE.SWITCH=1,C2002/EXC.RATE_2,C2002*EXC.RATE_2),CURRENCY.FORMAT_2),CURRENCY.FORMAT_2,1),"# ##0;-# ##0"),",-"),FIXED(ROUND(IF(EXC.RATE.SWITCH=1,C2002/EXC.RATE_2,C2002*EXC.RATE_2),CURRENCY.FORMAT_2),CURRENCY.FORMAT_2,0)),'DICTIONARY-5'!$A$2))</f>
        <v/>
      </c>
      <c r="L2002" s="670" t="str">
        <f>IFERROR(IF(CURRENCY.FORMAT_1=0,CONCATENATE(TEXT(FIXED(ROUND((C2002*(1-I2002)*(1-ADD.DISCOUNT)*(1+MAT.SURCHARGE)/EXC.RATE_1),CURRENCY.FORMAT_1),CURRENCY.FORMAT_1,1),"# ##0;-# ##0"),",-"),FIXED(ROUND((C2002*(1-I2002)*(1-ADD.DISCOUNT)*(1+MAT.SURCHARGE)/EXC.RATE_1),CURRENCY.FORMAT_1),CURRENCY.FORMAT_1,0)),'DICTIONARY-5'!$A$2)</f>
        <v>852,-</v>
      </c>
      <c r="M2002" s="670" t="str">
        <f>IF(EXC.RATE_2=0,"",IFERROR(IF(CURRENCY.FORMAT_2=0,CONCATENATE(TEXT(FIXED(ROUND(IF(EXC.RATE.SWITCH=1,C2002*(1-I2002)*(1-ADD.DISCOUNT)*(1+MAT.SURCHARGE)/EXC.RATE_2,C2002*(1-I2002)*(1-ADD.DISCOUNT)*(1+MAT.SURCHARGE)*EXC.RATE_2),CURRENCY.FORMAT_2),CURRENCY.FORMAT_2,1),"# ##0;-# ##0"),",-"),FIXED(ROUND(IF(EXC.RATE.SWITCH=1,C2002*(1-I2002)*(1-ADD.DISCOUNT)*(1+MAT.SURCHARGE)/EXC.RATE_2,C2002*(1-I2002)*(1-ADD.DISCOUNT)*(1+MAT.SURCHARGE)*EXC.RATE_2),CURRENCY.FORMAT_2),CURRENCY.FORMAT_2,0)),'DICTIONARY-5'!$A$2))</f>
        <v/>
      </c>
      <c r="N2002" s="535">
        <v>6</v>
      </c>
      <c r="O2002" s="535"/>
      <c r="P2002" s="731" t="str">
        <f>'DICTIONARY-3'!$A$148</f>
        <v>CEREX 300-L</v>
      </c>
      <c r="Q2002" s="732" t="str">
        <f>'DICTIONARY-3'!$A$204</f>
        <v>Przepustnica kołnierzowa</v>
      </c>
      <c r="R2002" s="732" t="str">
        <f>CONCATENATE('DICTIONARY-3'!$A$148," ",'DICTIONARY-6'!$A$2," ",UPPER('DICTIONARY-5'!$A$18)," ",'DICTIONARY-2'!$A$2,"250"," ",'DICTIONARY-2'!$A$3,"10"," ","R20"," ",'DICTIONARY-5'!$A$37,"/",'DICTIONARY-5'!$A$45,", ",'DICTIONARY-4'!$A$8," 232-08")</f>
        <v>CEREX 300-L Przep. kołnierz. GAZ DN250 PN10 R20 CF8M/NBR, PK 232-08</v>
      </c>
      <c r="S2002" s="733" t="str">
        <f>'DICTIONARY-4'!$A$8</f>
        <v>PK</v>
      </c>
      <c r="T2002" s="732" t="str">
        <f>'DICTIONARY-4'!$A$24</f>
        <v>Przekładnia z kółkiem</v>
      </c>
      <c r="U2002" s="734" t="s">
        <v>5751</v>
      </c>
      <c r="V2002" s="735">
        <v>10</v>
      </c>
      <c r="W2002" s="736"/>
      <c r="X2002" s="737"/>
      <c r="Y2002" s="738"/>
      <c r="Z2002" s="739"/>
      <c r="AA2002" s="739"/>
      <c r="AB2002" s="740">
        <v>10</v>
      </c>
      <c r="AC2002" s="741" t="str">
        <f>'DICTIONARY-5'!$A$11&amp;" 20"</f>
        <v>EN 558 szereg 20</v>
      </c>
      <c r="AD2002" s="741" t="str">
        <f>'DICTIONARY-5'!$A$18&amp;", "&amp;'DICTIONARY-5'!$A$14</f>
        <v>gaz, ścieki</v>
      </c>
      <c r="AE2002" s="742">
        <v>80</v>
      </c>
      <c r="AF2002" s="743">
        <v>28</v>
      </c>
      <c r="AG2002" s="741" t="str">
        <f>'DICTIONARY-5'!$A$23</f>
        <v>powłoka epoksydowa</v>
      </c>
    </row>
    <row r="2003" spans="1:33" x14ac:dyDescent="0.25">
      <c r="A2003" s="754" t="s">
        <v>1678</v>
      </c>
      <c r="B2003" s="869" t="s">
        <v>3860</v>
      </c>
      <c r="C2003" s="836">
        <v>830</v>
      </c>
      <c r="D2003" s="836"/>
      <c r="E2003" s="836"/>
      <c r="F2003" s="836"/>
      <c r="G2003" s="496" t="s">
        <v>7832</v>
      </c>
      <c r="H2003" s="797" t="str">
        <f>VLOOKUP(G2003,SETTINGS!$B$7:$D$97,2,0)</f>
        <v>CEREX 300</v>
      </c>
      <c r="I2003" s="796">
        <f>VLOOKUP(G2003,SETTINGS!$B$7:$D$97,3,0)</f>
        <v>0</v>
      </c>
      <c r="J2003" s="670" t="str">
        <f>IFERROR(IF(CURRENCY.FORMAT_1=0,CONCATENATE(TEXT(FIXED(ROUND((C2003/EXC.RATE_1),CURRENCY.FORMAT_1),CURRENCY.FORMAT_1,1),"# ##0;-# ##0"),",-"),FIXED(ROUND((C2003/EXC.RATE_1),CURRENCY.FORMAT_1),CURRENCY.FORMAT_1,0)),'DICTIONARY-5'!$A$2)</f>
        <v>830,-</v>
      </c>
      <c r="K2003" s="670" t="str">
        <f>IF(EXC.RATE_2=0,"",IFERROR(IF(CURRENCY.FORMAT_2=0,CONCATENATE(TEXT(FIXED(ROUND(IF(EXC.RATE.SWITCH=1,C2003/EXC.RATE_2,C2003*EXC.RATE_2),CURRENCY.FORMAT_2),CURRENCY.FORMAT_2,1),"# ##0;-# ##0"),",-"),FIXED(ROUND(IF(EXC.RATE.SWITCH=1,C2003/EXC.RATE_2,C2003*EXC.RATE_2),CURRENCY.FORMAT_2),CURRENCY.FORMAT_2,0)),'DICTIONARY-5'!$A$2))</f>
        <v/>
      </c>
      <c r="L2003" s="670" t="str">
        <f>IFERROR(IF(CURRENCY.FORMAT_1=0,CONCATENATE(TEXT(FIXED(ROUND((C2003*(1-I2003)*(1-ADD.DISCOUNT)*(1+MAT.SURCHARGE)/EXC.RATE_1),CURRENCY.FORMAT_1),CURRENCY.FORMAT_1,1),"# ##0;-# ##0"),",-"),FIXED(ROUND((C2003*(1-I2003)*(1-ADD.DISCOUNT)*(1+MAT.SURCHARGE)/EXC.RATE_1),CURRENCY.FORMAT_1),CURRENCY.FORMAT_1,0)),'DICTIONARY-5'!$A$2)</f>
        <v>862,-</v>
      </c>
      <c r="M2003" s="670" t="str">
        <f>IF(EXC.RATE_2=0,"",IFERROR(IF(CURRENCY.FORMAT_2=0,CONCATENATE(TEXT(FIXED(ROUND(IF(EXC.RATE.SWITCH=1,C2003*(1-I2003)*(1-ADD.DISCOUNT)*(1+MAT.SURCHARGE)/EXC.RATE_2,C2003*(1-I2003)*(1-ADD.DISCOUNT)*(1+MAT.SURCHARGE)*EXC.RATE_2),CURRENCY.FORMAT_2),CURRENCY.FORMAT_2,1),"# ##0;-# ##0"),",-"),FIXED(ROUND(IF(EXC.RATE.SWITCH=1,C2003*(1-I2003)*(1-ADD.DISCOUNT)*(1+MAT.SURCHARGE)/EXC.RATE_2,C2003*(1-I2003)*(1-ADD.DISCOUNT)*(1+MAT.SURCHARGE)*EXC.RATE_2),CURRENCY.FORMAT_2),CURRENCY.FORMAT_2,0)),'DICTIONARY-5'!$A$2))</f>
        <v/>
      </c>
      <c r="N2003" s="535">
        <v>6</v>
      </c>
      <c r="O2003" s="535"/>
      <c r="P2003" s="731" t="str">
        <f>'DICTIONARY-3'!$A$148</f>
        <v>CEREX 300-L</v>
      </c>
      <c r="Q2003" s="732" t="str">
        <f>'DICTIONARY-3'!$A$204</f>
        <v>Przepustnica kołnierzowa</v>
      </c>
      <c r="R2003" s="732" t="str">
        <f>CONCATENATE('DICTIONARY-3'!$A$148," ",'DICTIONARY-6'!$A$2," ",UPPER('DICTIONARY-5'!$A$18)," ",'DICTIONARY-2'!$A$2,"250"," ",'DICTIONARY-2'!$A$3,"16"," ","R20"," ",'DICTIONARY-5'!$A$37,"/",'DICTIONARY-5'!$A$45,", ",'DICTIONARY-4'!$A$8," 232-08")</f>
        <v>CEREX 300-L Przep. kołnierz. GAZ DN250 PN16 R20 CF8M/NBR, PK 232-08</v>
      </c>
      <c r="S2003" s="733" t="str">
        <f>'DICTIONARY-4'!$A$8</f>
        <v>PK</v>
      </c>
      <c r="T2003" s="732" t="str">
        <f>'DICTIONARY-4'!$A$24</f>
        <v>Przekładnia z kółkiem</v>
      </c>
      <c r="U2003" s="734" t="s">
        <v>5751</v>
      </c>
      <c r="V2003" s="735">
        <v>16</v>
      </c>
      <c r="W2003" s="736"/>
      <c r="X2003" s="737"/>
      <c r="Y2003" s="738"/>
      <c r="Z2003" s="739"/>
      <c r="AA2003" s="739"/>
      <c r="AB2003" s="740">
        <v>16</v>
      </c>
      <c r="AC2003" s="741" t="str">
        <f>'DICTIONARY-5'!$A$11&amp;" 20"</f>
        <v>EN 558 szereg 20</v>
      </c>
      <c r="AD2003" s="741" t="str">
        <f>'DICTIONARY-5'!$A$18&amp;", "&amp;'DICTIONARY-5'!$A$14</f>
        <v>gaz, ścieki</v>
      </c>
      <c r="AE2003" s="742">
        <v>110</v>
      </c>
      <c r="AF2003" s="743">
        <v>19</v>
      </c>
      <c r="AG2003" s="741" t="str">
        <f>'DICTIONARY-5'!$A$23</f>
        <v>powłoka epoksydowa</v>
      </c>
    </row>
    <row r="2004" spans="1:33" x14ac:dyDescent="0.25">
      <c r="A2004" s="754" t="s">
        <v>1680</v>
      </c>
      <c r="B2004" s="869" t="s">
        <v>3940</v>
      </c>
      <c r="C2004" s="836">
        <v>1128</v>
      </c>
      <c r="D2004" s="836"/>
      <c r="E2004" s="836"/>
      <c r="F2004" s="836"/>
      <c r="G2004" s="496" t="s">
        <v>7832</v>
      </c>
      <c r="H2004" s="797" t="str">
        <f>VLOOKUP(G2004,SETTINGS!$B$7:$D$97,2,0)</f>
        <v>CEREX 300</v>
      </c>
      <c r="I2004" s="796">
        <f>VLOOKUP(G2004,SETTINGS!$B$7:$D$97,3,0)</f>
        <v>0</v>
      </c>
      <c r="J2004" s="670" t="str">
        <f>IFERROR(IF(CURRENCY.FORMAT_1=0,CONCATENATE(TEXT(FIXED(ROUND((C2004/EXC.RATE_1),CURRENCY.FORMAT_1),CURRENCY.FORMAT_1,1),"# ##0;-# ##0"),",-"),FIXED(ROUND((C2004/EXC.RATE_1),CURRENCY.FORMAT_1),CURRENCY.FORMAT_1,0)),'DICTIONARY-5'!$A$2)</f>
        <v>1 128,-</v>
      </c>
      <c r="K2004" s="670" t="str">
        <f>IF(EXC.RATE_2=0,"",IFERROR(IF(CURRENCY.FORMAT_2=0,CONCATENATE(TEXT(FIXED(ROUND(IF(EXC.RATE.SWITCH=1,C2004/EXC.RATE_2,C2004*EXC.RATE_2),CURRENCY.FORMAT_2),CURRENCY.FORMAT_2,1),"# ##0;-# ##0"),",-"),FIXED(ROUND(IF(EXC.RATE.SWITCH=1,C2004/EXC.RATE_2,C2004*EXC.RATE_2),CURRENCY.FORMAT_2),CURRENCY.FORMAT_2,0)),'DICTIONARY-5'!$A$2))</f>
        <v/>
      </c>
      <c r="L2004" s="670" t="str">
        <f>IFERROR(IF(CURRENCY.FORMAT_1=0,CONCATENATE(TEXT(FIXED(ROUND((C2004*(1-I2004)*(1-ADD.DISCOUNT)*(1+MAT.SURCHARGE)/EXC.RATE_1),CURRENCY.FORMAT_1),CURRENCY.FORMAT_1,1),"# ##0;-# ##0"),",-"),FIXED(ROUND((C2004*(1-I2004)*(1-ADD.DISCOUNT)*(1+MAT.SURCHARGE)/EXC.RATE_1),CURRENCY.FORMAT_1),CURRENCY.FORMAT_1,0)),'DICTIONARY-5'!$A$2)</f>
        <v>1 172,-</v>
      </c>
      <c r="M2004" s="670" t="str">
        <f>IF(EXC.RATE_2=0,"",IFERROR(IF(CURRENCY.FORMAT_2=0,CONCATENATE(TEXT(FIXED(ROUND(IF(EXC.RATE.SWITCH=1,C2004*(1-I2004)*(1-ADD.DISCOUNT)*(1+MAT.SURCHARGE)/EXC.RATE_2,C2004*(1-I2004)*(1-ADD.DISCOUNT)*(1+MAT.SURCHARGE)*EXC.RATE_2),CURRENCY.FORMAT_2),CURRENCY.FORMAT_2,1),"# ##0;-# ##0"),",-"),FIXED(ROUND(IF(EXC.RATE.SWITCH=1,C2004*(1-I2004)*(1-ADD.DISCOUNT)*(1+MAT.SURCHARGE)/EXC.RATE_2,C2004*(1-I2004)*(1-ADD.DISCOUNT)*(1+MAT.SURCHARGE)*EXC.RATE_2),CURRENCY.FORMAT_2),CURRENCY.FORMAT_2,0)),'DICTIONARY-5'!$A$2))</f>
        <v/>
      </c>
      <c r="N2004" s="535">
        <v>6</v>
      </c>
      <c r="O2004" s="535"/>
      <c r="P2004" s="731" t="str">
        <f>'DICTIONARY-3'!$A$148</f>
        <v>CEREX 300-L</v>
      </c>
      <c r="Q2004" s="732" t="str">
        <f>'DICTIONARY-3'!$A$204</f>
        <v>Przepustnica kołnierzowa</v>
      </c>
      <c r="R2004" s="732" t="str">
        <f>CONCATENATE('DICTIONARY-3'!$A$148," ",'DICTIONARY-6'!$A$2," ",UPPER('DICTIONARY-5'!$A$18)," ",'DICTIONARY-2'!$A$2,"300"," ",'DICTIONARY-2'!$A$3,"10"," ","R20"," ",'DICTIONARY-5'!$A$37,"/",'DICTIONARY-5'!$A$45,", ",'DICTIONARY-4'!$A$8," 232-11")</f>
        <v>CEREX 300-L Przep. kołnierz. GAZ DN300 PN10 R20 CF8M/NBR, PK 232-11</v>
      </c>
      <c r="S2004" s="733" t="str">
        <f>'DICTIONARY-4'!$A$8</f>
        <v>PK</v>
      </c>
      <c r="T2004" s="732" t="str">
        <f>'DICTIONARY-4'!$A$24</f>
        <v>Przekładnia z kółkiem</v>
      </c>
      <c r="U2004" s="734" t="s">
        <v>5752</v>
      </c>
      <c r="V2004" s="735">
        <v>10</v>
      </c>
      <c r="W2004" s="736"/>
      <c r="X2004" s="737"/>
      <c r="Y2004" s="738"/>
      <c r="Z2004" s="739"/>
      <c r="AA2004" s="739"/>
      <c r="AB2004" s="740">
        <v>10</v>
      </c>
      <c r="AC2004" s="741" t="str">
        <f>'DICTIONARY-5'!$A$11&amp;" 20"</f>
        <v>EN 558 szereg 20</v>
      </c>
      <c r="AD2004" s="741" t="str">
        <f>'DICTIONARY-5'!$A$18&amp;", "&amp;'DICTIONARY-5'!$A$14</f>
        <v>gaz, ścieki</v>
      </c>
      <c r="AE2004" s="742">
        <v>80</v>
      </c>
      <c r="AF2004" s="743">
        <v>46</v>
      </c>
      <c r="AG2004" s="741" t="str">
        <f>'DICTIONARY-5'!$A$23</f>
        <v>powłoka epoksydowa</v>
      </c>
    </row>
    <row r="2005" spans="1:33" x14ac:dyDescent="0.25">
      <c r="A2005" s="754" t="s">
        <v>1682</v>
      </c>
      <c r="B2005" s="869" t="s">
        <v>3862</v>
      </c>
      <c r="C2005" s="836">
        <v>1134</v>
      </c>
      <c r="D2005" s="836"/>
      <c r="E2005" s="836"/>
      <c r="F2005" s="836"/>
      <c r="G2005" s="496" t="s">
        <v>7832</v>
      </c>
      <c r="H2005" s="797" t="str">
        <f>VLOOKUP(G2005,SETTINGS!$B$7:$D$97,2,0)</f>
        <v>CEREX 300</v>
      </c>
      <c r="I2005" s="796">
        <f>VLOOKUP(G2005,SETTINGS!$B$7:$D$97,3,0)</f>
        <v>0</v>
      </c>
      <c r="J2005" s="670" t="str">
        <f>IFERROR(IF(CURRENCY.FORMAT_1=0,CONCATENATE(TEXT(FIXED(ROUND((C2005/EXC.RATE_1),CURRENCY.FORMAT_1),CURRENCY.FORMAT_1,1),"# ##0;-# ##0"),",-"),FIXED(ROUND((C2005/EXC.RATE_1),CURRENCY.FORMAT_1),CURRENCY.FORMAT_1,0)),'DICTIONARY-5'!$A$2)</f>
        <v>1 134,-</v>
      </c>
      <c r="K2005" s="670" t="str">
        <f>IF(EXC.RATE_2=0,"",IFERROR(IF(CURRENCY.FORMAT_2=0,CONCATENATE(TEXT(FIXED(ROUND(IF(EXC.RATE.SWITCH=1,C2005/EXC.RATE_2,C2005*EXC.RATE_2),CURRENCY.FORMAT_2),CURRENCY.FORMAT_2,1),"# ##0;-# ##0"),",-"),FIXED(ROUND(IF(EXC.RATE.SWITCH=1,C2005/EXC.RATE_2,C2005*EXC.RATE_2),CURRENCY.FORMAT_2),CURRENCY.FORMAT_2,0)),'DICTIONARY-5'!$A$2))</f>
        <v/>
      </c>
      <c r="L2005" s="670" t="str">
        <f>IFERROR(IF(CURRENCY.FORMAT_1=0,CONCATENATE(TEXT(FIXED(ROUND((C2005*(1-I2005)*(1-ADD.DISCOUNT)*(1+MAT.SURCHARGE)/EXC.RATE_1),CURRENCY.FORMAT_1),CURRENCY.FORMAT_1,1),"# ##0;-# ##0"),",-"),FIXED(ROUND((C2005*(1-I2005)*(1-ADD.DISCOUNT)*(1+MAT.SURCHARGE)/EXC.RATE_1),CURRENCY.FORMAT_1),CURRENCY.FORMAT_1,0)),'DICTIONARY-5'!$A$2)</f>
        <v>1 178,-</v>
      </c>
      <c r="M2005" s="670" t="str">
        <f>IF(EXC.RATE_2=0,"",IFERROR(IF(CURRENCY.FORMAT_2=0,CONCATENATE(TEXT(FIXED(ROUND(IF(EXC.RATE.SWITCH=1,C2005*(1-I2005)*(1-ADD.DISCOUNT)*(1+MAT.SURCHARGE)/EXC.RATE_2,C2005*(1-I2005)*(1-ADD.DISCOUNT)*(1+MAT.SURCHARGE)*EXC.RATE_2),CURRENCY.FORMAT_2),CURRENCY.FORMAT_2,1),"# ##0;-# ##0"),",-"),FIXED(ROUND(IF(EXC.RATE.SWITCH=1,C2005*(1-I2005)*(1-ADD.DISCOUNT)*(1+MAT.SURCHARGE)/EXC.RATE_2,C2005*(1-I2005)*(1-ADD.DISCOUNT)*(1+MAT.SURCHARGE)*EXC.RATE_2),CURRENCY.FORMAT_2),CURRENCY.FORMAT_2,0)),'DICTIONARY-5'!$A$2))</f>
        <v/>
      </c>
      <c r="N2005" s="535">
        <v>6</v>
      </c>
      <c r="O2005" s="535"/>
      <c r="P2005" s="731" t="str">
        <f>'DICTIONARY-3'!$A$148</f>
        <v>CEREX 300-L</v>
      </c>
      <c r="Q2005" s="732" t="str">
        <f>'DICTIONARY-3'!$A$204</f>
        <v>Przepustnica kołnierzowa</v>
      </c>
      <c r="R2005" s="732" t="str">
        <f>CONCATENATE('DICTIONARY-3'!$A$148," ",'DICTIONARY-6'!$A$2," ",UPPER('DICTIONARY-5'!$A$18)," ",'DICTIONARY-2'!$A$2,"300"," ",'DICTIONARY-2'!$A$3,"16"," ","R20"," ",'DICTIONARY-5'!$A$37,"/",'DICTIONARY-5'!$A$45,", ",'DICTIONARY-4'!$A$8," 232-11")</f>
        <v>CEREX 300-L Przep. kołnierz. GAZ DN300 PN16 R20 CF8M/NBR, PK 232-11</v>
      </c>
      <c r="S2005" s="733" t="str">
        <f>'DICTIONARY-4'!$A$8</f>
        <v>PK</v>
      </c>
      <c r="T2005" s="732" t="str">
        <f>'DICTIONARY-4'!$A$24</f>
        <v>Przekładnia z kółkiem</v>
      </c>
      <c r="U2005" s="734" t="s">
        <v>5752</v>
      </c>
      <c r="V2005" s="735">
        <v>16</v>
      </c>
      <c r="W2005" s="736"/>
      <c r="X2005" s="737"/>
      <c r="Y2005" s="738"/>
      <c r="Z2005" s="739"/>
      <c r="AA2005" s="739"/>
      <c r="AB2005" s="740">
        <v>16</v>
      </c>
      <c r="AC2005" s="741" t="str">
        <f>'DICTIONARY-5'!$A$11&amp;" 20"</f>
        <v>EN 558 szereg 20</v>
      </c>
      <c r="AD2005" s="741" t="str">
        <f>'DICTIONARY-5'!$A$18&amp;", "&amp;'DICTIONARY-5'!$A$14</f>
        <v>gaz, ścieki</v>
      </c>
      <c r="AE2005" s="742">
        <v>80</v>
      </c>
      <c r="AF2005" s="743">
        <v>44</v>
      </c>
      <c r="AG2005" s="741" t="str">
        <f>'DICTIONARY-5'!$A$23</f>
        <v>powłoka epoksydowa</v>
      </c>
    </row>
    <row r="2006" spans="1:33" x14ac:dyDescent="0.25">
      <c r="A2006" s="754" t="s">
        <v>1684</v>
      </c>
      <c r="B2006" s="866" t="s">
        <v>3944</v>
      </c>
      <c r="C2006" s="836">
        <v>1570</v>
      </c>
      <c r="D2006" s="836"/>
      <c r="E2006" s="836"/>
      <c r="F2006" s="836"/>
      <c r="G2006" s="496" t="s">
        <v>7832</v>
      </c>
      <c r="H2006" s="797" t="str">
        <f>VLOOKUP(G2006,SETTINGS!$B$7:$D$97,2,0)</f>
        <v>CEREX 300</v>
      </c>
      <c r="I2006" s="796">
        <f>VLOOKUP(G2006,SETTINGS!$B$7:$D$97,3,0)</f>
        <v>0</v>
      </c>
      <c r="J2006" s="670" t="str">
        <f>IFERROR(IF(CURRENCY.FORMAT_1=0,CONCATENATE(TEXT(FIXED(ROUND((C2006/EXC.RATE_1),CURRENCY.FORMAT_1),CURRENCY.FORMAT_1,1),"# ##0;-# ##0"),",-"),FIXED(ROUND((C2006/EXC.RATE_1),CURRENCY.FORMAT_1),CURRENCY.FORMAT_1,0)),'DICTIONARY-5'!$A$2)</f>
        <v>1 570,-</v>
      </c>
      <c r="K2006" s="670" t="str">
        <f>IF(EXC.RATE_2=0,"",IFERROR(IF(CURRENCY.FORMAT_2=0,CONCATENATE(TEXT(FIXED(ROUND(IF(EXC.RATE.SWITCH=1,C2006/EXC.RATE_2,C2006*EXC.RATE_2),CURRENCY.FORMAT_2),CURRENCY.FORMAT_2,1),"# ##0;-# ##0"),",-"),FIXED(ROUND(IF(EXC.RATE.SWITCH=1,C2006/EXC.RATE_2,C2006*EXC.RATE_2),CURRENCY.FORMAT_2),CURRENCY.FORMAT_2,0)),'DICTIONARY-5'!$A$2))</f>
        <v/>
      </c>
      <c r="L2006" s="670" t="str">
        <f>IFERROR(IF(CURRENCY.FORMAT_1=0,CONCATENATE(TEXT(FIXED(ROUND((C2006*(1-I2006)*(1-ADD.DISCOUNT)*(1+MAT.SURCHARGE)/EXC.RATE_1),CURRENCY.FORMAT_1),CURRENCY.FORMAT_1,1),"# ##0;-# ##0"),",-"),FIXED(ROUND((C2006*(1-I2006)*(1-ADD.DISCOUNT)*(1+MAT.SURCHARGE)/EXC.RATE_1),CURRENCY.FORMAT_1),CURRENCY.FORMAT_1,0)),'DICTIONARY-5'!$A$2)</f>
        <v>1 631,-</v>
      </c>
      <c r="M2006" s="670" t="str">
        <f>IF(EXC.RATE_2=0,"",IFERROR(IF(CURRENCY.FORMAT_2=0,CONCATENATE(TEXT(FIXED(ROUND(IF(EXC.RATE.SWITCH=1,C2006*(1-I2006)*(1-ADD.DISCOUNT)*(1+MAT.SURCHARGE)/EXC.RATE_2,C2006*(1-I2006)*(1-ADD.DISCOUNT)*(1+MAT.SURCHARGE)*EXC.RATE_2),CURRENCY.FORMAT_2),CURRENCY.FORMAT_2,1),"# ##0;-# ##0"),",-"),FIXED(ROUND(IF(EXC.RATE.SWITCH=1,C2006*(1-I2006)*(1-ADD.DISCOUNT)*(1+MAT.SURCHARGE)/EXC.RATE_2,C2006*(1-I2006)*(1-ADD.DISCOUNT)*(1+MAT.SURCHARGE)*EXC.RATE_2),CURRENCY.FORMAT_2),CURRENCY.FORMAT_2,0)),'DICTIONARY-5'!$A$2))</f>
        <v/>
      </c>
      <c r="N2006" s="541">
        <v>6</v>
      </c>
      <c r="O2006" s="541"/>
      <c r="P2006" s="731" t="str">
        <f>'DICTIONARY-3'!$A$148</f>
        <v>CEREX 300-L</v>
      </c>
      <c r="Q2006" s="731" t="str">
        <f>'DICTIONARY-3'!$A$204</f>
        <v>Przepustnica kołnierzowa</v>
      </c>
      <c r="R2006" s="732" t="str">
        <f>CONCATENATE('DICTIONARY-3'!$A$148," ",'DICTIONARY-6'!$A$2," ",'DICTIONARY-2'!$A$2,"350"," ",'DICTIONARY-2'!$A$3,"10"," ","R20"," ",'DICTIONARY-5'!$A$37,"/",'DICTIONARY-5'!$A$45,", ",'DICTIONARY-4'!$A$8," 232-11")</f>
        <v>CEREX 300-L Przep. kołnierz. DN350 PN10 R20 CF8M/NBR, PK 232-11</v>
      </c>
      <c r="S2006" s="733" t="str">
        <f>'DICTIONARY-4'!$A$8</f>
        <v>PK</v>
      </c>
      <c r="T2006" s="732" t="str">
        <f>'DICTIONARY-4'!$A$24</f>
        <v>Przekładnia z kółkiem</v>
      </c>
      <c r="U2006" s="734" t="s">
        <v>5753</v>
      </c>
      <c r="V2006" s="735">
        <v>10</v>
      </c>
      <c r="W2006" s="736"/>
      <c r="X2006" s="737"/>
      <c r="Y2006" s="738"/>
      <c r="Z2006" s="739"/>
      <c r="AA2006" s="739"/>
      <c r="AB2006" s="740">
        <v>10</v>
      </c>
      <c r="AC2006" s="741" t="str">
        <f>'DICTIONARY-5'!$A$11&amp;" 20"</f>
        <v>EN 558 szereg 20</v>
      </c>
      <c r="AD2006" s="741" t="str">
        <f>'DICTIONARY-5'!$A$14</f>
        <v>ścieki</v>
      </c>
      <c r="AE2006" s="742">
        <v>80</v>
      </c>
      <c r="AF2006" s="743">
        <v>56</v>
      </c>
      <c r="AG2006" s="741" t="str">
        <f>'DICTIONARY-5'!$A$23</f>
        <v>powłoka epoksydowa</v>
      </c>
    </row>
    <row r="2007" spans="1:33" x14ac:dyDescent="0.25">
      <c r="A2007" s="754" t="s">
        <v>1686</v>
      </c>
      <c r="B2007" s="866" t="s">
        <v>3864</v>
      </c>
      <c r="C2007" s="836">
        <v>1596</v>
      </c>
      <c r="D2007" s="836"/>
      <c r="E2007" s="836"/>
      <c r="F2007" s="836"/>
      <c r="G2007" s="496" t="s">
        <v>7832</v>
      </c>
      <c r="H2007" s="797" t="str">
        <f>VLOOKUP(G2007,SETTINGS!$B$7:$D$97,2,0)</f>
        <v>CEREX 300</v>
      </c>
      <c r="I2007" s="796">
        <f>VLOOKUP(G2007,SETTINGS!$B$7:$D$97,3,0)</f>
        <v>0</v>
      </c>
      <c r="J2007" s="670" t="str">
        <f>IFERROR(IF(CURRENCY.FORMAT_1=0,CONCATENATE(TEXT(FIXED(ROUND((C2007/EXC.RATE_1),CURRENCY.FORMAT_1),CURRENCY.FORMAT_1,1),"# ##0;-# ##0"),",-"),FIXED(ROUND((C2007/EXC.RATE_1),CURRENCY.FORMAT_1),CURRENCY.FORMAT_1,0)),'DICTIONARY-5'!$A$2)</f>
        <v>1 596,-</v>
      </c>
      <c r="K2007" s="670" t="str">
        <f>IF(EXC.RATE_2=0,"",IFERROR(IF(CURRENCY.FORMAT_2=0,CONCATENATE(TEXT(FIXED(ROUND(IF(EXC.RATE.SWITCH=1,C2007/EXC.RATE_2,C2007*EXC.RATE_2),CURRENCY.FORMAT_2),CURRENCY.FORMAT_2,1),"# ##0;-# ##0"),",-"),FIXED(ROUND(IF(EXC.RATE.SWITCH=1,C2007/EXC.RATE_2,C2007*EXC.RATE_2),CURRENCY.FORMAT_2),CURRENCY.FORMAT_2,0)),'DICTIONARY-5'!$A$2))</f>
        <v/>
      </c>
      <c r="L2007" s="670" t="str">
        <f>IFERROR(IF(CURRENCY.FORMAT_1=0,CONCATENATE(TEXT(FIXED(ROUND((C2007*(1-I2007)*(1-ADD.DISCOUNT)*(1+MAT.SURCHARGE)/EXC.RATE_1),CURRENCY.FORMAT_1),CURRENCY.FORMAT_1,1),"# ##0;-# ##0"),",-"),FIXED(ROUND((C2007*(1-I2007)*(1-ADD.DISCOUNT)*(1+MAT.SURCHARGE)/EXC.RATE_1),CURRENCY.FORMAT_1),CURRENCY.FORMAT_1,0)),'DICTIONARY-5'!$A$2)</f>
        <v>1 658,-</v>
      </c>
      <c r="M2007" s="670" t="str">
        <f>IF(EXC.RATE_2=0,"",IFERROR(IF(CURRENCY.FORMAT_2=0,CONCATENATE(TEXT(FIXED(ROUND(IF(EXC.RATE.SWITCH=1,C2007*(1-I2007)*(1-ADD.DISCOUNT)*(1+MAT.SURCHARGE)/EXC.RATE_2,C2007*(1-I2007)*(1-ADD.DISCOUNT)*(1+MAT.SURCHARGE)*EXC.RATE_2),CURRENCY.FORMAT_2),CURRENCY.FORMAT_2,1),"# ##0;-# ##0"),",-"),FIXED(ROUND(IF(EXC.RATE.SWITCH=1,C2007*(1-I2007)*(1-ADD.DISCOUNT)*(1+MAT.SURCHARGE)/EXC.RATE_2,C2007*(1-I2007)*(1-ADD.DISCOUNT)*(1+MAT.SURCHARGE)*EXC.RATE_2),CURRENCY.FORMAT_2),CURRENCY.FORMAT_2,0)),'DICTIONARY-5'!$A$2))</f>
        <v/>
      </c>
      <c r="N2007" s="541">
        <v>6</v>
      </c>
      <c r="O2007" s="541"/>
      <c r="P2007" s="731" t="str">
        <f>'DICTIONARY-3'!$A$148</f>
        <v>CEREX 300-L</v>
      </c>
      <c r="Q2007" s="731" t="str">
        <f>'DICTIONARY-3'!$A$204</f>
        <v>Przepustnica kołnierzowa</v>
      </c>
      <c r="R2007" s="732" t="str">
        <f>CONCATENATE('DICTIONARY-3'!$A$148," ",'DICTIONARY-6'!$A$2," ",'DICTIONARY-2'!$A$2,"350"," ",'DICTIONARY-2'!$A$3,"16"," ","R20"," ",'DICTIONARY-5'!$A$37,"/",'DICTIONARY-5'!$A$45,", ",'DICTIONARY-4'!$A$8," 232-11")</f>
        <v>CEREX 300-L Przep. kołnierz. DN350 PN16 R20 CF8M/NBR, PK 232-11</v>
      </c>
      <c r="S2007" s="733" t="str">
        <f>'DICTIONARY-4'!$A$8</f>
        <v>PK</v>
      </c>
      <c r="T2007" s="732" t="str">
        <f>'DICTIONARY-4'!$A$24</f>
        <v>Przekładnia z kółkiem</v>
      </c>
      <c r="U2007" s="734" t="s">
        <v>5753</v>
      </c>
      <c r="V2007" s="735">
        <v>16</v>
      </c>
      <c r="W2007" s="736"/>
      <c r="X2007" s="737"/>
      <c r="Y2007" s="738"/>
      <c r="Z2007" s="739"/>
      <c r="AA2007" s="739"/>
      <c r="AB2007" s="740">
        <v>16</v>
      </c>
      <c r="AC2007" s="741" t="str">
        <f>'DICTIONARY-5'!$A$11&amp;" 20"</f>
        <v>EN 558 szereg 20</v>
      </c>
      <c r="AD2007" s="741" t="str">
        <f>'DICTIONARY-5'!$A$14</f>
        <v>ścieki</v>
      </c>
      <c r="AE2007" s="742">
        <v>80</v>
      </c>
      <c r="AF2007" s="743">
        <v>62</v>
      </c>
      <c r="AG2007" s="741" t="str">
        <f>'DICTIONARY-5'!$A$23</f>
        <v>powłoka epoksydowa</v>
      </c>
    </row>
    <row r="2008" spans="1:33" x14ac:dyDescent="0.25">
      <c r="A2008" s="754" t="s">
        <v>1688</v>
      </c>
      <c r="B2008" s="866" t="s">
        <v>3946</v>
      </c>
      <c r="C2008" s="836">
        <v>2114</v>
      </c>
      <c r="D2008" s="836"/>
      <c r="E2008" s="836"/>
      <c r="F2008" s="836"/>
      <c r="G2008" s="496" t="s">
        <v>7832</v>
      </c>
      <c r="H2008" s="797" t="str">
        <f>VLOOKUP(G2008,SETTINGS!$B$7:$D$97,2,0)</f>
        <v>CEREX 300</v>
      </c>
      <c r="I2008" s="796">
        <f>VLOOKUP(G2008,SETTINGS!$B$7:$D$97,3,0)</f>
        <v>0</v>
      </c>
      <c r="J2008" s="670" t="str">
        <f>IFERROR(IF(CURRENCY.FORMAT_1=0,CONCATENATE(TEXT(FIXED(ROUND((C2008/EXC.RATE_1),CURRENCY.FORMAT_1),CURRENCY.FORMAT_1,1),"# ##0;-# ##0"),",-"),FIXED(ROUND((C2008/EXC.RATE_1),CURRENCY.FORMAT_1),CURRENCY.FORMAT_1,0)),'DICTIONARY-5'!$A$2)</f>
        <v>2 114,-</v>
      </c>
      <c r="K2008" s="670" t="str">
        <f>IF(EXC.RATE_2=0,"",IFERROR(IF(CURRENCY.FORMAT_2=0,CONCATENATE(TEXT(FIXED(ROUND(IF(EXC.RATE.SWITCH=1,C2008/EXC.RATE_2,C2008*EXC.RATE_2),CURRENCY.FORMAT_2),CURRENCY.FORMAT_2,1),"# ##0;-# ##0"),",-"),FIXED(ROUND(IF(EXC.RATE.SWITCH=1,C2008/EXC.RATE_2,C2008*EXC.RATE_2),CURRENCY.FORMAT_2),CURRENCY.FORMAT_2,0)),'DICTIONARY-5'!$A$2))</f>
        <v/>
      </c>
      <c r="L2008" s="670" t="str">
        <f>IFERROR(IF(CURRENCY.FORMAT_1=0,CONCATENATE(TEXT(FIXED(ROUND((C2008*(1-I2008)*(1-ADD.DISCOUNT)*(1+MAT.SURCHARGE)/EXC.RATE_1),CURRENCY.FORMAT_1),CURRENCY.FORMAT_1,1),"# ##0;-# ##0"),",-"),FIXED(ROUND((C2008*(1-I2008)*(1-ADD.DISCOUNT)*(1+MAT.SURCHARGE)/EXC.RATE_1),CURRENCY.FORMAT_1),CURRENCY.FORMAT_1,0)),'DICTIONARY-5'!$A$2)</f>
        <v>2 196,-</v>
      </c>
      <c r="M2008" s="670" t="str">
        <f>IF(EXC.RATE_2=0,"",IFERROR(IF(CURRENCY.FORMAT_2=0,CONCATENATE(TEXT(FIXED(ROUND(IF(EXC.RATE.SWITCH=1,C2008*(1-I2008)*(1-ADD.DISCOUNT)*(1+MAT.SURCHARGE)/EXC.RATE_2,C2008*(1-I2008)*(1-ADD.DISCOUNT)*(1+MAT.SURCHARGE)*EXC.RATE_2),CURRENCY.FORMAT_2),CURRENCY.FORMAT_2,1),"# ##0;-# ##0"),",-"),FIXED(ROUND(IF(EXC.RATE.SWITCH=1,C2008*(1-I2008)*(1-ADD.DISCOUNT)*(1+MAT.SURCHARGE)/EXC.RATE_2,C2008*(1-I2008)*(1-ADD.DISCOUNT)*(1+MAT.SURCHARGE)*EXC.RATE_2),CURRENCY.FORMAT_2),CURRENCY.FORMAT_2,0)),'DICTIONARY-5'!$A$2))</f>
        <v/>
      </c>
      <c r="N2008" s="541">
        <v>6</v>
      </c>
      <c r="O2008" s="541"/>
      <c r="P2008" s="731" t="str">
        <f>'DICTIONARY-3'!$A$148</f>
        <v>CEREX 300-L</v>
      </c>
      <c r="Q2008" s="731" t="str">
        <f>'DICTIONARY-3'!$A$204</f>
        <v>Przepustnica kołnierzowa</v>
      </c>
      <c r="R2008" s="732" t="str">
        <f>CONCATENATE('DICTIONARY-3'!$A$148," ",'DICTIONARY-6'!$A$2," ",'DICTIONARY-2'!$A$2,"400"," ",'DICTIONARY-2'!$A$3,"10"," ","R20"," ",'DICTIONARY-5'!$A$37,"/",'DICTIONARY-5'!$A$45,", ",'DICTIONARY-4'!$A$8," 232-14")</f>
        <v>CEREX 300-L Przep. kołnierz. DN400 PN10 R20 CF8M/NBR, PK 232-14</v>
      </c>
      <c r="S2008" s="733" t="str">
        <f>'DICTIONARY-4'!$A$8</f>
        <v>PK</v>
      </c>
      <c r="T2008" s="732" t="str">
        <f>'DICTIONARY-4'!$A$24</f>
        <v>Przekładnia z kółkiem</v>
      </c>
      <c r="U2008" s="734" t="s">
        <v>5754</v>
      </c>
      <c r="V2008" s="735">
        <v>10</v>
      </c>
      <c r="W2008" s="736"/>
      <c r="X2008" s="737"/>
      <c r="Y2008" s="738"/>
      <c r="Z2008" s="739"/>
      <c r="AA2008" s="739"/>
      <c r="AB2008" s="740">
        <v>10</v>
      </c>
      <c r="AC2008" s="741" t="str">
        <f>'DICTIONARY-5'!$A$11&amp;" 20"</f>
        <v>EN 558 szereg 20</v>
      </c>
      <c r="AD2008" s="741" t="str">
        <f>'DICTIONARY-5'!$A$14</f>
        <v>ścieki</v>
      </c>
      <c r="AE2008" s="742">
        <v>80</v>
      </c>
      <c r="AF2008" s="743">
        <v>86</v>
      </c>
      <c r="AG2008" s="741" t="str">
        <f>'DICTIONARY-5'!$A$23</f>
        <v>powłoka epoksydowa</v>
      </c>
    </row>
    <row r="2009" spans="1:33" x14ac:dyDescent="0.25">
      <c r="A2009" s="754" t="s">
        <v>1690</v>
      </c>
      <c r="B2009" s="866" t="s">
        <v>3866</v>
      </c>
      <c r="C2009" s="836">
        <v>2150</v>
      </c>
      <c r="D2009" s="836"/>
      <c r="E2009" s="836"/>
      <c r="F2009" s="836"/>
      <c r="G2009" s="496" t="s">
        <v>7832</v>
      </c>
      <c r="H2009" s="797" t="str">
        <f>VLOOKUP(G2009,SETTINGS!$B$7:$D$97,2,0)</f>
        <v>CEREX 300</v>
      </c>
      <c r="I2009" s="796">
        <f>VLOOKUP(G2009,SETTINGS!$B$7:$D$97,3,0)</f>
        <v>0</v>
      </c>
      <c r="J2009" s="670" t="str">
        <f>IFERROR(IF(CURRENCY.FORMAT_1=0,CONCATENATE(TEXT(FIXED(ROUND((C2009/EXC.RATE_1),CURRENCY.FORMAT_1),CURRENCY.FORMAT_1,1),"# ##0;-# ##0"),",-"),FIXED(ROUND((C2009/EXC.RATE_1),CURRENCY.FORMAT_1),CURRENCY.FORMAT_1,0)),'DICTIONARY-5'!$A$2)</f>
        <v>2 150,-</v>
      </c>
      <c r="K2009" s="670" t="str">
        <f>IF(EXC.RATE_2=0,"",IFERROR(IF(CURRENCY.FORMAT_2=0,CONCATENATE(TEXT(FIXED(ROUND(IF(EXC.RATE.SWITCH=1,C2009/EXC.RATE_2,C2009*EXC.RATE_2),CURRENCY.FORMAT_2),CURRENCY.FORMAT_2,1),"# ##0;-# ##0"),",-"),FIXED(ROUND(IF(EXC.RATE.SWITCH=1,C2009/EXC.RATE_2,C2009*EXC.RATE_2),CURRENCY.FORMAT_2),CURRENCY.FORMAT_2,0)),'DICTIONARY-5'!$A$2))</f>
        <v/>
      </c>
      <c r="L2009" s="670" t="str">
        <f>IFERROR(IF(CURRENCY.FORMAT_1=0,CONCATENATE(TEXT(FIXED(ROUND((C2009*(1-I2009)*(1-ADD.DISCOUNT)*(1+MAT.SURCHARGE)/EXC.RATE_1),CURRENCY.FORMAT_1),CURRENCY.FORMAT_1,1),"# ##0;-# ##0"),",-"),FIXED(ROUND((C2009*(1-I2009)*(1-ADD.DISCOUNT)*(1+MAT.SURCHARGE)/EXC.RATE_1),CURRENCY.FORMAT_1),CURRENCY.FORMAT_1,0)),'DICTIONARY-5'!$A$2)</f>
        <v>2 234,-</v>
      </c>
      <c r="M2009" s="670" t="str">
        <f>IF(EXC.RATE_2=0,"",IFERROR(IF(CURRENCY.FORMAT_2=0,CONCATENATE(TEXT(FIXED(ROUND(IF(EXC.RATE.SWITCH=1,C2009*(1-I2009)*(1-ADD.DISCOUNT)*(1+MAT.SURCHARGE)/EXC.RATE_2,C2009*(1-I2009)*(1-ADD.DISCOUNT)*(1+MAT.SURCHARGE)*EXC.RATE_2),CURRENCY.FORMAT_2),CURRENCY.FORMAT_2,1),"# ##0;-# ##0"),",-"),FIXED(ROUND(IF(EXC.RATE.SWITCH=1,C2009*(1-I2009)*(1-ADD.DISCOUNT)*(1+MAT.SURCHARGE)/EXC.RATE_2,C2009*(1-I2009)*(1-ADD.DISCOUNT)*(1+MAT.SURCHARGE)*EXC.RATE_2),CURRENCY.FORMAT_2),CURRENCY.FORMAT_2,0)),'DICTIONARY-5'!$A$2))</f>
        <v/>
      </c>
      <c r="N2009" s="541">
        <v>6</v>
      </c>
      <c r="O2009" s="541"/>
      <c r="P2009" s="731" t="str">
        <f>'DICTIONARY-3'!$A$148</f>
        <v>CEREX 300-L</v>
      </c>
      <c r="Q2009" s="731" t="str">
        <f>'DICTIONARY-3'!$A$204</f>
        <v>Przepustnica kołnierzowa</v>
      </c>
      <c r="R2009" s="732" t="str">
        <f>CONCATENATE('DICTIONARY-3'!$A$148," ",'DICTIONARY-6'!$A$2," ",'DICTIONARY-2'!$A$2,"400"," ",'DICTIONARY-2'!$A$3,"16"," ","R20"," ",'DICTIONARY-5'!$A$37,"/",'DICTIONARY-5'!$A$45,", ",'DICTIONARY-4'!$A$8," 232-14")</f>
        <v>CEREX 300-L Przep. kołnierz. DN400 PN16 R20 CF8M/NBR, PK 232-14</v>
      </c>
      <c r="S2009" s="733" t="str">
        <f>'DICTIONARY-4'!$A$8</f>
        <v>PK</v>
      </c>
      <c r="T2009" s="732" t="str">
        <f>'DICTIONARY-4'!$A$24</f>
        <v>Przekładnia z kółkiem</v>
      </c>
      <c r="U2009" s="734" t="s">
        <v>5754</v>
      </c>
      <c r="V2009" s="735">
        <v>16</v>
      </c>
      <c r="W2009" s="736"/>
      <c r="X2009" s="737"/>
      <c r="Y2009" s="738"/>
      <c r="Z2009" s="739"/>
      <c r="AA2009" s="739"/>
      <c r="AB2009" s="740">
        <v>16</v>
      </c>
      <c r="AC2009" s="741" t="str">
        <f>'DICTIONARY-5'!$A$11&amp;" 20"</f>
        <v>EN 558 szereg 20</v>
      </c>
      <c r="AD2009" s="741" t="str">
        <f>'DICTIONARY-5'!$A$14</f>
        <v>ścieki</v>
      </c>
      <c r="AE2009" s="742">
        <v>80</v>
      </c>
      <c r="AF2009" s="743">
        <v>88</v>
      </c>
      <c r="AG2009" s="741" t="str">
        <f>'DICTIONARY-5'!$A$23</f>
        <v>powłoka epoksydowa</v>
      </c>
    </row>
    <row r="2010" spans="1:33" x14ac:dyDescent="0.25">
      <c r="A2010" s="754" t="s">
        <v>1692</v>
      </c>
      <c r="B2010" s="866" t="s">
        <v>3948</v>
      </c>
      <c r="C2010" s="836">
        <v>3216</v>
      </c>
      <c r="D2010" s="836"/>
      <c r="E2010" s="836"/>
      <c r="F2010" s="836"/>
      <c r="G2010" s="496" t="s">
        <v>7832</v>
      </c>
      <c r="H2010" s="797" t="str">
        <f>VLOOKUP(G2010,SETTINGS!$B$7:$D$97,2,0)</f>
        <v>CEREX 300</v>
      </c>
      <c r="I2010" s="796">
        <f>VLOOKUP(G2010,SETTINGS!$B$7:$D$97,3,0)</f>
        <v>0</v>
      </c>
      <c r="J2010" s="670" t="str">
        <f>IFERROR(IF(CURRENCY.FORMAT_1=0,CONCATENATE(TEXT(FIXED(ROUND((C2010/EXC.RATE_1),CURRENCY.FORMAT_1),CURRENCY.FORMAT_1,1),"# ##0;-# ##0"),",-"),FIXED(ROUND((C2010/EXC.RATE_1),CURRENCY.FORMAT_1),CURRENCY.FORMAT_1,0)),'DICTIONARY-5'!$A$2)</f>
        <v>3 216,-</v>
      </c>
      <c r="K2010" s="670" t="str">
        <f>IF(EXC.RATE_2=0,"",IFERROR(IF(CURRENCY.FORMAT_2=0,CONCATENATE(TEXT(FIXED(ROUND(IF(EXC.RATE.SWITCH=1,C2010/EXC.RATE_2,C2010*EXC.RATE_2),CURRENCY.FORMAT_2),CURRENCY.FORMAT_2,1),"# ##0;-# ##0"),",-"),FIXED(ROUND(IF(EXC.RATE.SWITCH=1,C2010/EXC.RATE_2,C2010*EXC.RATE_2),CURRENCY.FORMAT_2),CURRENCY.FORMAT_2,0)),'DICTIONARY-5'!$A$2))</f>
        <v/>
      </c>
      <c r="L2010" s="670" t="str">
        <f>IFERROR(IF(CURRENCY.FORMAT_1=0,CONCATENATE(TEXT(FIXED(ROUND((C2010*(1-I2010)*(1-ADD.DISCOUNT)*(1+MAT.SURCHARGE)/EXC.RATE_1),CURRENCY.FORMAT_1),CURRENCY.FORMAT_1,1),"# ##0;-# ##0"),",-"),FIXED(ROUND((C2010*(1-I2010)*(1-ADD.DISCOUNT)*(1+MAT.SURCHARGE)/EXC.RATE_1),CURRENCY.FORMAT_1),CURRENCY.FORMAT_1,0)),'DICTIONARY-5'!$A$2)</f>
        <v>3 341,-</v>
      </c>
      <c r="M2010" s="670" t="str">
        <f>IF(EXC.RATE_2=0,"",IFERROR(IF(CURRENCY.FORMAT_2=0,CONCATENATE(TEXT(FIXED(ROUND(IF(EXC.RATE.SWITCH=1,C2010*(1-I2010)*(1-ADD.DISCOUNT)*(1+MAT.SURCHARGE)/EXC.RATE_2,C2010*(1-I2010)*(1-ADD.DISCOUNT)*(1+MAT.SURCHARGE)*EXC.RATE_2),CURRENCY.FORMAT_2),CURRENCY.FORMAT_2,1),"# ##0;-# ##0"),",-"),FIXED(ROUND(IF(EXC.RATE.SWITCH=1,C2010*(1-I2010)*(1-ADD.DISCOUNT)*(1+MAT.SURCHARGE)/EXC.RATE_2,C2010*(1-I2010)*(1-ADD.DISCOUNT)*(1+MAT.SURCHARGE)*EXC.RATE_2),CURRENCY.FORMAT_2),CURRENCY.FORMAT_2,0)),'DICTIONARY-5'!$A$2))</f>
        <v/>
      </c>
      <c r="N2010" s="541">
        <v>6</v>
      </c>
      <c r="O2010" s="541"/>
      <c r="P2010" s="731" t="str">
        <f>'DICTIONARY-3'!$A$148</f>
        <v>CEREX 300-L</v>
      </c>
      <c r="Q2010" s="731" t="str">
        <f>'DICTIONARY-3'!$A$204</f>
        <v>Przepustnica kołnierzowa</v>
      </c>
      <c r="R2010" s="732" t="str">
        <f>CONCATENATE('DICTIONARY-3'!$A$148," ",'DICTIONARY-6'!$A$2," ",'DICTIONARY-2'!$A$2,"450"," ",'DICTIONARY-2'!$A$3,"10"," ","R20"," ",'DICTIONARY-5'!$A$37,"/",'DICTIONARY-5'!$A$45,", ",'DICTIONARY-4'!$A$8," AB1250N")</f>
        <v>CEREX 300-L Przep. kołnierz. DN450 PN10 R20 CF8M/NBR, PK AB1250N</v>
      </c>
      <c r="S2010" s="733" t="str">
        <f>'DICTIONARY-4'!$A$8</f>
        <v>PK</v>
      </c>
      <c r="T2010" s="732" t="str">
        <f>'DICTIONARY-4'!$A$24</f>
        <v>Przekładnia z kółkiem</v>
      </c>
      <c r="U2010" s="734" t="s">
        <v>5755</v>
      </c>
      <c r="V2010" s="735">
        <v>10</v>
      </c>
      <c r="W2010" s="736"/>
      <c r="X2010" s="737"/>
      <c r="Y2010" s="738"/>
      <c r="Z2010" s="739"/>
      <c r="AA2010" s="739"/>
      <c r="AB2010" s="740">
        <v>10</v>
      </c>
      <c r="AC2010" s="741" t="str">
        <f>'DICTIONARY-5'!$A$11&amp;" 20"</f>
        <v>EN 558 szereg 20</v>
      </c>
      <c r="AD2010" s="741" t="str">
        <f>'DICTIONARY-5'!$A$14</f>
        <v>ścieki</v>
      </c>
      <c r="AE2010" s="742">
        <v>80</v>
      </c>
      <c r="AF2010" s="743">
        <v>132</v>
      </c>
      <c r="AG2010" s="741" t="str">
        <f>'DICTIONARY-5'!$A$23</f>
        <v>powłoka epoksydowa</v>
      </c>
    </row>
    <row r="2011" spans="1:33" x14ac:dyDescent="0.25">
      <c r="A2011" s="754" t="s">
        <v>1694</v>
      </c>
      <c r="B2011" s="866" t="s">
        <v>3868</v>
      </c>
      <c r="C2011" s="836">
        <v>3583</v>
      </c>
      <c r="D2011" s="836"/>
      <c r="E2011" s="836"/>
      <c r="F2011" s="836"/>
      <c r="G2011" s="496" t="s">
        <v>7832</v>
      </c>
      <c r="H2011" s="797" t="str">
        <f>VLOOKUP(G2011,SETTINGS!$B$7:$D$97,2,0)</f>
        <v>CEREX 300</v>
      </c>
      <c r="I2011" s="796">
        <f>VLOOKUP(G2011,SETTINGS!$B$7:$D$97,3,0)</f>
        <v>0</v>
      </c>
      <c r="J2011" s="670" t="str">
        <f>IFERROR(IF(CURRENCY.FORMAT_1=0,CONCATENATE(TEXT(FIXED(ROUND((C2011/EXC.RATE_1),CURRENCY.FORMAT_1),CURRENCY.FORMAT_1,1),"# ##0;-# ##0"),",-"),FIXED(ROUND((C2011/EXC.RATE_1),CURRENCY.FORMAT_1),CURRENCY.FORMAT_1,0)),'DICTIONARY-5'!$A$2)</f>
        <v>3 583,-</v>
      </c>
      <c r="K2011" s="670" t="str">
        <f>IF(EXC.RATE_2=0,"",IFERROR(IF(CURRENCY.FORMAT_2=0,CONCATENATE(TEXT(FIXED(ROUND(IF(EXC.RATE.SWITCH=1,C2011/EXC.RATE_2,C2011*EXC.RATE_2),CURRENCY.FORMAT_2),CURRENCY.FORMAT_2,1),"# ##0;-# ##0"),",-"),FIXED(ROUND(IF(EXC.RATE.SWITCH=1,C2011/EXC.RATE_2,C2011*EXC.RATE_2),CURRENCY.FORMAT_2),CURRENCY.FORMAT_2,0)),'DICTIONARY-5'!$A$2))</f>
        <v/>
      </c>
      <c r="L2011" s="670" t="str">
        <f>IFERROR(IF(CURRENCY.FORMAT_1=0,CONCATENATE(TEXT(FIXED(ROUND((C2011*(1-I2011)*(1-ADD.DISCOUNT)*(1+MAT.SURCHARGE)/EXC.RATE_1),CURRENCY.FORMAT_1),CURRENCY.FORMAT_1,1),"# ##0;-# ##0"),",-"),FIXED(ROUND((C2011*(1-I2011)*(1-ADD.DISCOUNT)*(1+MAT.SURCHARGE)/EXC.RATE_1),CURRENCY.FORMAT_1),CURRENCY.FORMAT_1,0)),'DICTIONARY-5'!$A$2)</f>
        <v>3 723,-</v>
      </c>
      <c r="M2011" s="670" t="str">
        <f>IF(EXC.RATE_2=0,"",IFERROR(IF(CURRENCY.FORMAT_2=0,CONCATENATE(TEXT(FIXED(ROUND(IF(EXC.RATE.SWITCH=1,C2011*(1-I2011)*(1-ADD.DISCOUNT)*(1+MAT.SURCHARGE)/EXC.RATE_2,C2011*(1-I2011)*(1-ADD.DISCOUNT)*(1+MAT.SURCHARGE)*EXC.RATE_2),CURRENCY.FORMAT_2),CURRENCY.FORMAT_2,1),"# ##0;-# ##0"),",-"),FIXED(ROUND(IF(EXC.RATE.SWITCH=1,C2011*(1-I2011)*(1-ADD.DISCOUNT)*(1+MAT.SURCHARGE)/EXC.RATE_2,C2011*(1-I2011)*(1-ADD.DISCOUNT)*(1+MAT.SURCHARGE)*EXC.RATE_2),CURRENCY.FORMAT_2),CURRENCY.FORMAT_2,0)),'DICTIONARY-5'!$A$2))</f>
        <v/>
      </c>
      <c r="N2011" s="541">
        <v>6</v>
      </c>
      <c r="O2011" s="541"/>
      <c r="P2011" s="731" t="str">
        <f>'DICTIONARY-3'!$A$148</f>
        <v>CEREX 300-L</v>
      </c>
      <c r="Q2011" s="731" t="str">
        <f>'DICTIONARY-3'!$A$204</f>
        <v>Przepustnica kołnierzowa</v>
      </c>
      <c r="R2011" s="732" t="str">
        <f>CONCATENATE('DICTIONARY-3'!$A$148," ",'DICTIONARY-6'!$A$2," ",'DICTIONARY-2'!$A$2,"450"," ",'DICTIONARY-2'!$A$3,"16"," ",'DICTIONARY-2'!$A$10,"10",'DICTIONARY-2'!$A$20," ","R20"," ",'DICTIONARY-5'!$A$37,"/",'DICTIONARY-5'!$A$45,", ",'DICTIONARY-4'!$A$8," AB1250N")</f>
        <v>CEREX 300-L Przep. kołnierz. DN450 PN16 PS10bar R20 CF8M/NBR, PK AB1250N</v>
      </c>
      <c r="S2011" s="733" t="str">
        <f>'DICTIONARY-4'!$A$8</f>
        <v>PK</v>
      </c>
      <c r="T2011" s="732" t="str">
        <f>'DICTIONARY-4'!$A$24</f>
        <v>Przekładnia z kółkiem</v>
      </c>
      <c r="U2011" s="734" t="s">
        <v>5755</v>
      </c>
      <c r="V2011" s="735">
        <v>16</v>
      </c>
      <c r="W2011" s="736"/>
      <c r="X2011" s="737"/>
      <c r="Y2011" s="738"/>
      <c r="Z2011" s="739"/>
      <c r="AA2011" s="739"/>
      <c r="AB2011" s="740">
        <v>10</v>
      </c>
      <c r="AC2011" s="741" t="str">
        <f>'DICTIONARY-5'!$A$11&amp;" 20"</f>
        <v>EN 558 szereg 20</v>
      </c>
      <c r="AD2011" s="741" t="str">
        <f>'DICTIONARY-5'!$A$14</f>
        <v>ścieki</v>
      </c>
      <c r="AE2011" s="742">
        <v>80</v>
      </c>
      <c r="AF2011" s="743">
        <v>147</v>
      </c>
      <c r="AG2011" s="741" t="str">
        <f>'DICTIONARY-5'!$A$23</f>
        <v>powłoka epoksydowa</v>
      </c>
    </row>
    <row r="2012" spans="1:33" x14ac:dyDescent="0.25">
      <c r="A2012" s="754" t="s">
        <v>1696</v>
      </c>
      <c r="B2012" s="866" t="s">
        <v>3950</v>
      </c>
      <c r="C2012" s="836">
        <v>4517</v>
      </c>
      <c r="D2012" s="836"/>
      <c r="E2012" s="836"/>
      <c r="F2012" s="836"/>
      <c r="G2012" s="496" t="s">
        <v>7832</v>
      </c>
      <c r="H2012" s="797" t="str">
        <f>VLOOKUP(G2012,SETTINGS!$B$7:$D$97,2,0)</f>
        <v>CEREX 300</v>
      </c>
      <c r="I2012" s="796">
        <f>VLOOKUP(G2012,SETTINGS!$B$7:$D$97,3,0)</f>
        <v>0</v>
      </c>
      <c r="J2012" s="670" t="str">
        <f>IFERROR(IF(CURRENCY.FORMAT_1=0,CONCATENATE(TEXT(FIXED(ROUND((C2012/EXC.RATE_1),CURRENCY.FORMAT_1),CURRENCY.FORMAT_1,1),"# ##0;-# ##0"),",-"),FIXED(ROUND((C2012/EXC.RATE_1),CURRENCY.FORMAT_1),CURRENCY.FORMAT_1,0)),'DICTIONARY-5'!$A$2)</f>
        <v>4 517,-</v>
      </c>
      <c r="K2012" s="670" t="str">
        <f>IF(EXC.RATE_2=0,"",IFERROR(IF(CURRENCY.FORMAT_2=0,CONCATENATE(TEXT(FIXED(ROUND(IF(EXC.RATE.SWITCH=1,C2012/EXC.RATE_2,C2012*EXC.RATE_2),CURRENCY.FORMAT_2),CURRENCY.FORMAT_2,1),"# ##0;-# ##0"),",-"),FIXED(ROUND(IF(EXC.RATE.SWITCH=1,C2012/EXC.RATE_2,C2012*EXC.RATE_2),CURRENCY.FORMAT_2),CURRENCY.FORMAT_2,0)),'DICTIONARY-5'!$A$2))</f>
        <v/>
      </c>
      <c r="L2012" s="670" t="str">
        <f>IFERROR(IF(CURRENCY.FORMAT_1=0,CONCATENATE(TEXT(FIXED(ROUND((C2012*(1-I2012)*(1-ADD.DISCOUNT)*(1+MAT.SURCHARGE)/EXC.RATE_1),CURRENCY.FORMAT_1),CURRENCY.FORMAT_1,1),"# ##0;-# ##0"),",-"),FIXED(ROUND((C2012*(1-I2012)*(1-ADD.DISCOUNT)*(1+MAT.SURCHARGE)/EXC.RATE_1),CURRENCY.FORMAT_1),CURRENCY.FORMAT_1,0)),'DICTIONARY-5'!$A$2)</f>
        <v>4 693,-</v>
      </c>
      <c r="M2012" s="670" t="str">
        <f>IF(EXC.RATE_2=0,"",IFERROR(IF(CURRENCY.FORMAT_2=0,CONCATENATE(TEXT(FIXED(ROUND(IF(EXC.RATE.SWITCH=1,C2012*(1-I2012)*(1-ADD.DISCOUNT)*(1+MAT.SURCHARGE)/EXC.RATE_2,C2012*(1-I2012)*(1-ADD.DISCOUNT)*(1+MAT.SURCHARGE)*EXC.RATE_2),CURRENCY.FORMAT_2),CURRENCY.FORMAT_2,1),"# ##0;-# ##0"),",-"),FIXED(ROUND(IF(EXC.RATE.SWITCH=1,C2012*(1-I2012)*(1-ADD.DISCOUNT)*(1+MAT.SURCHARGE)/EXC.RATE_2,C2012*(1-I2012)*(1-ADD.DISCOUNT)*(1+MAT.SURCHARGE)*EXC.RATE_2),CURRENCY.FORMAT_2),CURRENCY.FORMAT_2,0)),'DICTIONARY-5'!$A$2))</f>
        <v/>
      </c>
      <c r="N2012" s="541">
        <v>6</v>
      </c>
      <c r="O2012" s="541"/>
      <c r="P2012" s="731" t="str">
        <f>'DICTIONARY-3'!$A$148</f>
        <v>CEREX 300-L</v>
      </c>
      <c r="Q2012" s="731" t="str">
        <f>'DICTIONARY-3'!$A$204</f>
        <v>Przepustnica kołnierzowa</v>
      </c>
      <c r="R2012" s="732" t="str">
        <f>CONCATENATE('DICTIONARY-3'!$A$148," ",'DICTIONARY-6'!$A$2," ",'DICTIONARY-2'!$A$2,"500"," ",'DICTIONARY-2'!$A$3,"10"," ","R20"," ",'DICTIONARY-5'!$A$37,"/",'DICTIONARY-5'!$A$45,", ",'DICTIONARY-4'!$A$8," AB1250N")</f>
        <v>CEREX 300-L Przep. kołnierz. DN500 PN10 R20 CF8M/NBR, PK AB1250N</v>
      </c>
      <c r="S2012" s="733" t="str">
        <f>'DICTIONARY-4'!$A$8</f>
        <v>PK</v>
      </c>
      <c r="T2012" s="732" t="str">
        <f>'DICTIONARY-4'!$A$24</f>
        <v>Przekładnia z kółkiem</v>
      </c>
      <c r="U2012" s="734" t="s">
        <v>5756</v>
      </c>
      <c r="V2012" s="735">
        <v>10</v>
      </c>
      <c r="W2012" s="736"/>
      <c r="X2012" s="737"/>
      <c r="Y2012" s="738"/>
      <c r="Z2012" s="739"/>
      <c r="AA2012" s="739"/>
      <c r="AB2012" s="740">
        <v>10</v>
      </c>
      <c r="AC2012" s="741" t="str">
        <f>'DICTIONARY-5'!$A$11&amp;" 20"</f>
        <v>EN 558 szereg 20</v>
      </c>
      <c r="AD2012" s="741" t="str">
        <f>'DICTIONARY-5'!$A$14</f>
        <v>ścieki</v>
      </c>
      <c r="AE2012" s="742">
        <v>80</v>
      </c>
      <c r="AF2012" s="743">
        <v>167</v>
      </c>
      <c r="AG2012" s="741" t="str">
        <f>'DICTIONARY-5'!$A$23</f>
        <v>powłoka epoksydowa</v>
      </c>
    </row>
    <row r="2013" spans="1:33" x14ac:dyDescent="0.25">
      <c r="A2013" s="754" t="s">
        <v>1698</v>
      </c>
      <c r="B2013" s="866" t="s">
        <v>3870</v>
      </c>
      <c r="C2013" s="836">
        <v>5686</v>
      </c>
      <c r="D2013" s="836"/>
      <c r="E2013" s="836"/>
      <c r="F2013" s="836"/>
      <c r="G2013" s="496" t="s">
        <v>7832</v>
      </c>
      <c r="H2013" s="797" t="str">
        <f>VLOOKUP(G2013,SETTINGS!$B$7:$D$97,2,0)</f>
        <v>CEREX 300</v>
      </c>
      <c r="I2013" s="796">
        <f>VLOOKUP(G2013,SETTINGS!$B$7:$D$97,3,0)</f>
        <v>0</v>
      </c>
      <c r="J2013" s="670" t="str">
        <f>IFERROR(IF(CURRENCY.FORMAT_1=0,CONCATENATE(TEXT(FIXED(ROUND((C2013/EXC.RATE_1),CURRENCY.FORMAT_1),CURRENCY.FORMAT_1,1),"# ##0;-# ##0"),",-"),FIXED(ROUND((C2013/EXC.RATE_1),CURRENCY.FORMAT_1),CURRENCY.FORMAT_1,0)),'DICTIONARY-5'!$A$2)</f>
        <v>5 686,-</v>
      </c>
      <c r="K2013" s="670" t="str">
        <f>IF(EXC.RATE_2=0,"",IFERROR(IF(CURRENCY.FORMAT_2=0,CONCATENATE(TEXT(FIXED(ROUND(IF(EXC.RATE.SWITCH=1,C2013/EXC.RATE_2,C2013*EXC.RATE_2),CURRENCY.FORMAT_2),CURRENCY.FORMAT_2,1),"# ##0;-# ##0"),",-"),FIXED(ROUND(IF(EXC.RATE.SWITCH=1,C2013/EXC.RATE_2,C2013*EXC.RATE_2),CURRENCY.FORMAT_2),CURRENCY.FORMAT_2,0)),'DICTIONARY-5'!$A$2))</f>
        <v/>
      </c>
      <c r="L2013" s="670" t="str">
        <f>IFERROR(IF(CURRENCY.FORMAT_1=0,CONCATENATE(TEXT(FIXED(ROUND((C2013*(1-I2013)*(1-ADD.DISCOUNT)*(1+MAT.SURCHARGE)/EXC.RATE_1),CURRENCY.FORMAT_1),CURRENCY.FORMAT_1,1),"# ##0;-# ##0"),",-"),FIXED(ROUND((C2013*(1-I2013)*(1-ADD.DISCOUNT)*(1+MAT.SURCHARGE)/EXC.RATE_1),CURRENCY.FORMAT_1),CURRENCY.FORMAT_1,0)),'DICTIONARY-5'!$A$2)</f>
        <v>5 908,-</v>
      </c>
      <c r="M2013" s="670" t="str">
        <f>IF(EXC.RATE_2=0,"",IFERROR(IF(CURRENCY.FORMAT_2=0,CONCATENATE(TEXT(FIXED(ROUND(IF(EXC.RATE.SWITCH=1,C2013*(1-I2013)*(1-ADD.DISCOUNT)*(1+MAT.SURCHARGE)/EXC.RATE_2,C2013*(1-I2013)*(1-ADD.DISCOUNT)*(1+MAT.SURCHARGE)*EXC.RATE_2),CURRENCY.FORMAT_2),CURRENCY.FORMAT_2,1),"# ##0;-# ##0"),",-"),FIXED(ROUND(IF(EXC.RATE.SWITCH=1,C2013*(1-I2013)*(1-ADD.DISCOUNT)*(1+MAT.SURCHARGE)/EXC.RATE_2,C2013*(1-I2013)*(1-ADD.DISCOUNT)*(1+MAT.SURCHARGE)*EXC.RATE_2),CURRENCY.FORMAT_2),CURRENCY.FORMAT_2,0)),'DICTIONARY-5'!$A$2))</f>
        <v/>
      </c>
      <c r="N2013" s="541">
        <v>6</v>
      </c>
      <c r="O2013" s="541"/>
      <c r="P2013" s="731" t="str">
        <f>'DICTIONARY-3'!$A$148</f>
        <v>CEREX 300-L</v>
      </c>
      <c r="Q2013" s="731" t="str">
        <f>'DICTIONARY-3'!$A$204</f>
        <v>Przepustnica kołnierzowa</v>
      </c>
      <c r="R2013" s="732" t="str">
        <f>CONCATENATE('DICTIONARY-3'!$A$148," ",'DICTIONARY-6'!$A$2," ",'DICTIONARY-2'!$A$2,"500"," ",'DICTIONARY-2'!$A$3,"16"," ",'DICTIONARY-2'!$A$10,"10",'DICTIONARY-2'!$A$20," ","R20"," ",'DICTIONARY-5'!$A$37,"/",'DICTIONARY-5'!$A$45,", ",'DICTIONARY-4'!$A$8," AB1250N")</f>
        <v>CEREX 300-L Przep. kołnierz. DN500 PN16 PS10bar R20 CF8M/NBR, PK AB1250N</v>
      </c>
      <c r="S2013" s="733" t="str">
        <f>'DICTIONARY-4'!$A$8</f>
        <v>PK</v>
      </c>
      <c r="T2013" s="732" t="str">
        <f>'DICTIONARY-4'!$A$24</f>
        <v>Przekładnia z kółkiem</v>
      </c>
      <c r="U2013" s="734" t="s">
        <v>5756</v>
      </c>
      <c r="V2013" s="735">
        <v>16</v>
      </c>
      <c r="W2013" s="736"/>
      <c r="X2013" s="737"/>
      <c r="Y2013" s="738"/>
      <c r="Z2013" s="739"/>
      <c r="AA2013" s="739"/>
      <c r="AB2013" s="740">
        <v>10</v>
      </c>
      <c r="AC2013" s="741" t="str">
        <f>'DICTIONARY-5'!$A$11&amp;" 20"</f>
        <v>EN 558 szereg 20</v>
      </c>
      <c r="AD2013" s="741" t="str">
        <f>'DICTIONARY-5'!$A$14</f>
        <v>ścieki</v>
      </c>
      <c r="AE2013" s="742">
        <v>80</v>
      </c>
      <c r="AF2013" s="743">
        <v>192</v>
      </c>
      <c r="AG2013" s="741" t="str">
        <f>'DICTIONARY-5'!$A$23</f>
        <v>powłoka epoksydowa</v>
      </c>
    </row>
    <row r="2014" spans="1:33" x14ac:dyDescent="0.25">
      <c r="A2014" s="754" t="s">
        <v>1700</v>
      </c>
      <c r="B2014" s="866" t="s">
        <v>3952</v>
      </c>
      <c r="C2014" s="836">
        <v>6733</v>
      </c>
      <c r="D2014" s="836"/>
      <c r="E2014" s="836"/>
      <c r="F2014" s="836"/>
      <c r="G2014" s="496" t="s">
        <v>7832</v>
      </c>
      <c r="H2014" s="797" t="str">
        <f>VLOOKUP(G2014,SETTINGS!$B$7:$D$97,2,0)</f>
        <v>CEREX 300</v>
      </c>
      <c r="I2014" s="796">
        <f>VLOOKUP(G2014,SETTINGS!$B$7:$D$97,3,0)</f>
        <v>0</v>
      </c>
      <c r="J2014" s="670" t="str">
        <f>IFERROR(IF(CURRENCY.FORMAT_1=0,CONCATENATE(TEXT(FIXED(ROUND((C2014/EXC.RATE_1),CURRENCY.FORMAT_1),CURRENCY.FORMAT_1,1),"# ##0;-# ##0"),",-"),FIXED(ROUND((C2014/EXC.RATE_1),CURRENCY.FORMAT_1),CURRENCY.FORMAT_1,0)),'DICTIONARY-5'!$A$2)</f>
        <v>6 733,-</v>
      </c>
      <c r="K2014" s="670" t="str">
        <f>IF(EXC.RATE_2=0,"",IFERROR(IF(CURRENCY.FORMAT_2=0,CONCATENATE(TEXT(FIXED(ROUND(IF(EXC.RATE.SWITCH=1,C2014/EXC.RATE_2,C2014*EXC.RATE_2),CURRENCY.FORMAT_2),CURRENCY.FORMAT_2,1),"# ##0;-# ##0"),",-"),FIXED(ROUND(IF(EXC.RATE.SWITCH=1,C2014/EXC.RATE_2,C2014*EXC.RATE_2),CURRENCY.FORMAT_2),CURRENCY.FORMAT_2,0)),'DICTIONARY-5'!$A$2))</f>
        <v/>
      </c>
      <c r="L2014" s="670" t="str">
        <f>IFERROR(IF(CURRENCY.FORMAT_1=0,CONCATENATE(TEXT(FIXED(ROUND((C2014*(1-I2014)*(1-ADD.DISCOUNT)*(1+MAT.SURCHARGE)/EXC.RATE_1),CURRENCY.FORMAT_1),CURRENCY.FORMAT_1,1),"# ##0;-# ##0"),",-"),FIXED(ROUND((C2014*(1-I2014)*(1-ADD.DISCOUNT)*(1+MAT.SURCHARGE)/EXC.RATE_1),CURRENCY.FORMAT_1),CURRENCY.FORMAT_1,0)),'DICTIONARY-5'!$A$2)</f>
        <v>6 996,-</v>
      </c>
      <c r="M2014" s="670" t="str">
        <f>IF(EXC.RATE_2=0,"",IFERROR(IF(CURRENCY.FORMAT_2=0,CONCATENATE(TEXT(FIXED(ROUND(IF(EXC.RATE.SWITCH=1,C2014*(1-I2014)*(1-ADD.DISCOUNT)*(1+MAT.SURCHARGE)/EXC.RATE_2,C2014*(1-I2014)*(1-ADD.DISCOUNT)*(1+MAT.SURCHARGE)*EXC.RATE_2),CURRENCY.FORMAT_2),CURRENCY.FORMAT_2,1),"# ##0;-# ##0"),",-"),FIXED(ROUND(IF(EXC.RATE.SWITCH=1,C2014*(1-I2014)*(1-ADD.DISCOUNT)*(1+MAT.SURCHARGE)/EXC.RATE_2,C2014*(1-I2014)*(1-ADD.DISCOUNT)*(1+MAT.SURCHARGE)*EXC.RATE_2),CURRENCY.FORMAT_2),CURRENCY.FORMAT_2,0)),'DICTIONARY-5'!$A$2))</f>
        <v/>
      </c>
      <c r="N2014" s="541">
        <v>6</v>
      </c>
      <c r="O2014" s="541"/>
      <c r="P2014" s="731" t="str">
        <f>'DICTIONARY-3'!$A$148</f>
        <v>CEREX 300-L</v>
      </c>
      <c r="Q2014" s="731" t="str">
        <f>'DICTIONARY-3'!$A$204</f>
        <v>Przepustnica kołnierzowa</v>
      </c>
      <c r="R2014" s="732" t="str">
        <f>CONCATENATE('DICTIONARY-3'!$A$148," ",'DICTIONARY-6'!$A$2," ",'DICTIONARY-2'!$A$2,"600"," ",'DICTIONARY-2'!$A$3,"10"," ","R20"," ",'DICTIONARY-5'!$A$37,"/",'DICTIONARY-5'!$A$45,", ",'DICTIONARY-4'!$A$8," AB1950N")</f>
        <v>CEREX 300-L Przep. kołnierz. DN600 PN10 R20 CF8M/NBR, PK AB1950N</v>
      </c>
      <c r="S2014" s="733" t="str">
        <f>'DICTIONARY-4'!$A$8</f>
        <v>PK</v>
      </c>
      <c r="T2014" s="732" t="str">
        <f>'DICTIONARY-4'!$A$24</f>
        <v>Przekładnia z kółkiem</v>
      </c>
      <c r="U2014" s="734" t="s">
        <v>5757</v>
      </c>
      <c r="V2014" s="735">
        <v>10</v>
      </c>
      <c r="W2014" s="736"/>
      <c r="X2014" s="737"/>
      <c r="Y2014" s="738"/>
      <c r="Z2014" s="739"/>
      <c r="AA2014" s="739"/>
      <c r="AB2014" s="740">
        <v>10</v>
      </c>
      <c r="AC2014" s="741" t="str">
        <f>'DICTIONARY-5'!$A$11&amp;" 20"</f>
        <v>EN 558 szereg 20</v>
      </c>
      <c r="AD2014" s="741" t="str">
        <f>'DICTIONARY-5'!$A$14</f>
        <v>ścieki</v>
      </c>
      <c r="AE2014" s="742">
        <v>80</v>
      </c>
      <c r="AF2014" s="743">
        <v>244</v>
      </c>
      <c r="AG2014" s="741" t="str">
        <f>'DICTIONARY-5'!$A$23</f>
        <v>powłoka epoksydowa</v>
      </c>
    </row>
    <row r="2015" spans="1:33" x14ac:dyDescent="0.25">
      <c r="A2015" s="754" t="s">
        <v>1702</v>
      </c>
      <c r="B2015" s="866" t="s">
        <v>3872</v>
      </c>
      <c r="C2015" s="836">
        <v>6965</v>
      </c>
      <c r="D2015" s="836"/>
      <c r="E2015" s="836"/>
      <c r="F2015" s="836"/>
      <c r="G2015" s="496" t="s">
        <v>7832</v>
      </c>
      <c r="H2015" s="797" t="str">
        <f>VLOOKUP(G2015,SETTINGS!$B$7:$D$97,2,0)</f>
        <v>CEREX 300</v>
      </c>
      <c r="I2015" s="796">
        <f>VLOOKUP(G2015,SETTINGS!$B$7:$D$97,3,0)</f>
        <v>0</v>
      </c>
      <c r="J2015" s="670" t="str">
        <f>IFERROR(IF(CURRENCY.FORMAT_1=0,CONCATENATE(TEXT(FIXED(ROUND((C2015/EXC.RATE_1),CURRENCY.FORMAT_1),CURRENCY.FORMAT_1,1),"# ##0;-# ##0"),",-"),FIXED(ROUND((C2015/EXC.RATE_1),CURRENCY.FORMAT_1),CURRENCY.FORMAT_1,0)),'DICTIONARY-5'!$A$2)</f>
        <v>6 965,-</v>
      </c>
      <c r="K2015" s="670" t="str">
        <f>IF(EXC.RATE_2=0,"",IFERROR(IF(CURRENCY.FORMAT_2=0,CONCATENATE(TEXT(FIXED(ROUND(IF(EXC.RATE.SWITCH=1,C2015/EXC.RATE_2,C2015*EXC.RATE_2),CURRENCY.FORMAT_2),CURRENCY.FORMAT_2,1),"# ##0;-# ##0"),",-"),FIXED(ROUND(IF(EXC.RATE.SWITCH=1,C2015/EXC.RATE_2,C2015*EXC.RATE_2),CURRENCY.FORMAT_2),CURRENCY.FORMAT_2,0)),'DICTIONARY-5'!$A$2))</f>
        <v/>
      </c>
      <c r="L2015" s="670" t="str">
        <f>IFERROR(IF(CURRENCY.FORMAT_1=0,CONCATENATE(TEXT(FIXED(ROUND((C2015*(1-I2015)*(1-ADD.DISCOUNT)*(1+MAT.SURCHARGE)/EXC.RATE_1),CURRENCY.FORMAT_1),CURRENCY.FORMAT_1,1),"# ##0;-# ##0"),",-"),FIXED(ROUND((C2015*(1-I2015)*(1-ADD.DISCOUNT)*(1+MAT.SURCHARGE)/EXC.RATE_1),CURRENCY.FORMAT_1),CURRENCY.FORMAT_1,0)),'DICTIONARY-5'!$A$2)</f>
        <v>7 237,-</v>
      </c>
      <c r="M2015" s="670" t="str">
        <f>IF(EXC.RATE_2=0,"",IFERROR(IF(CURRENCY.FORMAT_2=0,CONCATENATE(TEXT(FIXED(ROUND(IF(EXC.RATE.SWITCH=1,C2015*(1-I2015)*(1-ADD.DISCOUNT)*(1+MAT.SURCHARGE)/EXC.RATE_2,C2015*(1-I2015)*(1-ADD.DISCOUNT)*(1+MAT.SURCHARGE)*EXC.RATE_2),CURRENCY.FORMAT_2),CURRENCY.FORMAT_2,1),"# ##0;-# ##0"),",-"),FIXED(ROUND(IF(EXC.RATE.SWITCH=1,C2015*(1-I2015)*(1-ADD.DISCOUNT)*(1+MAT.SURCHARGE)/EXC.RATE_2,C2015*(1-I2015)*(1-ADD.DISCOUNT)*(1+MAT.SURCHARGE)*EXC.RATE_2),CURRENCY.FORMAT_2),CURRENCY.FORMAT_2,0)),'DICTIONARY-5'!$A$2))</f>
        <v/>
      </c>
      <c r="N2015" s="541">
        <v>6</v>
      </c>
      <c r="O2015" s="541"/>
      <c r="P2015" s="731" t="str">
        <f>'DICTIONARY-3'!$A$148</f>
        <v>CEREX 300-L</v>
      </c>
      <c r="Q2015" s="731" t="str">
        <f>'DICTIONARY-3'!$A$204</f>
        <v>Przepustnica kołnierzowa</v>
      </c>
      <c r="R2015" s="732" t="str">
        <f>CONCATENATE('DICTIONARY-3'!$A$148," ",'DICTIONARY-6'!$A$2," ",'DICTIONARY-2'!$A$2,"600"," ",'DICTIONARY-2'!$A$3,"16"," ",'DICTIONARY-2'!$A$10,"10",'DICTIONARY-2'!$A$20," ","R20"," ",'DICTIONARY-5'!$A$37,"/",'DICTIONARY-5'!$A$45,", ",'DICTIONARY-4'!$A$8," AB1950N")</f>
        <v>CEREX 300-L Przep. kołnierz. DN600 PN16 PS10bar R20 CF8M/NBR, PK AB1950N</v>
      </c>
      <c r="S2015" s="733" t="str">
        <f>'DICTIONARY-4'!$A$8</f>
        <v>PK</v>
      </c>
      <c r="T2015" s="732" t="str">
        <f>'DICTIONARY-4'!$A$24</f>
        <v>Przekładnia z kółkiem</v>
      </c>
      <c r="U2015" s="734" t="s">
        <v>5757</v>
      </c>
      <c r="V2015" s="735">
        <v>16</v>
      </c>
      <c r="W2015" s="736"/>
      <c r="X2015" s="737"/>
      <c r="Y2015" s="738"/>
      <c r="Z2015" s="739"/>
      <c r="AA2015" s="739"/>
      <c r="AB2015" s="740">
        <v>10</v>
      </c>
      <c r="AC2015" s="741" t="str">
        <f>'DICTIONARY-5'!$A$11&amp;" 20"</f>
        <v>EN 558 szereg 20</v>
      </c>
      <c r="AD2015" s="741" t="str">
        <f>'DICTIONARY-5'!$A$14</f>
        <v>ścieki</v>
      </c>
      <c r="AE2015" s="742">
        <v>80</v>
      </c>
      <c r="AF2015" s="743">
        <v>310</v>
      </c>
      <c r="AG2015" s="741" t="str">
        <f>'DICTIONARY-5'!$A$23</f>
        <v>powłoka epoksydowa</v>
      </c>
    </row>
    <row r="2016" spans="1:33" x14ac:dyDescent="0.25">
      <c r="A2016" s="866" t="s">
        <v>1853</v>
      </c>
      <c r="B2016" s="866" t="s">
        <v>2739</v>
      </c>
      <c r="C2016" s="836">
        <v>20</v>
      </c>
      <c r="D2016" s="836"/>
      <c r="E2016" s="836"/>
      <c r="F2016" s="836"/>
      <c r="G2016" s="871" t="s">
        <v>7807</v>
      </c>
      <c r="H2016" s="797" t="str">
        <f>VLOOKUP(G2016,SETTINGS!$B$7:$D$97,2,0)</f>
        <v>Accessory components</v>
      </c>
      <c r="I2016" s="796">
        <f>VLOOKUP(G2016,SETTINGS!$B$7:$D$97,3,0)</f>
        <v>0</v>
      </c>
      <c r="J2016" s="670" t="str">
        <f>IFERROR(IF(CURRENCY.FORMAT_1=0,CONCATENATE(TEXT(FIXED(ROUND((C2016/EXC.RATE_1),CURRENCY.FORMAT_1),CURRENCY.FORMAT_1,1),"# ##0;-# ##0"),",-"),FIXED(ROUND((C2016/EXC.RATE_1),CURRENCY.FORMAT_1),CURRENCY.FORMAT_1,0)),'DICTIONARY-5'!$A$2)</f>
        <v>20,-</v>
      </c>
      <c r="K2016" s="670" t="str">
        <f>IF(EXC.RATE_2=0,"",IFERROR(IF(CURRENCY.FORMAT_2=0,CONCATENATE(TEXT(FIXED(ROUND(IF(EXC.RATE.SWITCH=1,C2016/EXC.RATE_2,C2016*EXC.RATE_2),CURRENCY.FORMAT_2),CURRENCY.FORMAT_2,1),"# ##0;-# ##0"),",-"),FIXED(ROUND(IF(EXC.RATE.SWITCH=1,C2016/EXC.RATE_2,C2016*EXC.RATE_2),CURRENCY.FORMAT_2),CURRENCY.FORMAT_2,0)),'DICTIONARY-5'!$A$2))</f>
        <v/>
      </c>
      <c r="L2016" s="670" t="str">
        <f>IFERROR(IF(CURRENCY.FORMAT_1=0,CONCATENATE(TEXT(FIXED(ROUND((C2016*(1-I2016)*(1-ADD.DISCOUNT)*(1+MAT.SURCHARGE)/EXC.RATE_1),CURRENCY.FORMAT_1),CURRENCY.FORMAT_1,1),"# ##0;-# ##0"),",-"),FIXED(ROUND((C2016*(1-I2016)*(1-ADD.DISCOUNT)*(1+MAT.SURCHARGE)/EXC.RATE_1),CURRENCY.FORMAT_1),CURRENCY.FORMAT_1,0)),'DICTIONARY-5'!$A$2)</f>
        <v>21,-</v>
      </c>
      <c r="M2016" s="670" t="str">
        <f>IF(EXC.RATE_2=0,"",IFERROR(IF(CURRENCY.FORMAT_2=0,CONCATENATE(TEXT(FIXED(ROUND(IF(EXC.RATE.SWITCH=1,C2016*(1-I2016)*(1-ADD.DISCOUNT)*(1+MAT.SURCHARGE)/EXC.RATE_2,C2016*(1-I2016)*(1-ADD.DISCOUNT)*(1+MAT.SURCHARGE)*EXC.RATE_2),CURRENCY.FORMAT_2),CURRENCY.FORMAT_2,1),"# ##0;-# ##0"),",-"),FIXED(ROUND(IF(EXC.RATE.SWITCH=1,C2016*(1-I2016)*(1-ADD.DISCOUNT)*(1+MAT.SURCHARGE)/EXC.RATE_2,C2016*(1-I2016)*(1-ADD.DISCOUNT)*(1+MAT.SURCHARGE)*EXC.RATE_2),CURRENCY.FORMAT_2),CURRENCY.FORMAT_2,0)),'DICTIONARY-5'!$A$2))</f>
        <v/>
      </c>
      <c r="N2016" s="541">
        <v>6</v>
      </c>
      <c r="O2016" s="541"/>
      <c r="P2016" s="732" t="str">
        <f>'DICTIONARY-3'!$A$105</f>
        <v>Przeciwkołnierz</v>
      </c>
      <c r="Q2016" s="732" t="str">
        <f>'DICTIONARY-3'!$A$241</f>
        <v>Kołnierz</v>
      </c>
      <c r="R2016" s="732" t="str">
        <f>CONCATENATE('DICTIONARY-3'!$A$105," ",'DICTIONARY-5'!$A$7," ",'DICTIONARY-3'!$A$148," ",'DICTIONARY-2'!$A$2,"50"," ",'DICTIONARY-2'!$A$3,"10/16")</f>
        <v>Przeciwkołnierz dla CEREX 300-L DN50 PN10/16</v>
      </c>
      <c r="S2016" s="733" t="s">
        <v>5569</v>
      </c>
      <c r="T2016" s="732" t="s">
        <v>5569</v>
      </c>
      <c r="U2016" s="734" t="s">
        <v>5748</v>
      </c>
      <c r="V2016" s="735">
        <v>16</v>
      </c>
      <c r="W2016" s="736"/>
      <c r="X2016" s="737"/>
      <c r="Y2016" s="738"/>
      <c r="Z2016" s="739"/>
      <c r="AA2016" s="739"/>
      <c r="AB2016" s="740">
        <v>16</v>
      </c>
      <c r="AC2016" s="741">
        <v>20</v>
      </c>
      <c r="AD2016" s="741"/>
      <c r="AE2016" s="742" t="s">
        <v>5569</v>
      </c>
      <c r="AF2016" s="743">
        <v>2.7309999999999999</v>
      </c>
      <c r="AG2016" s="741" t="str">
        <f>'DICTIONARY-5'!$A$23</f>
        <v>powłoka epoksydowa</v>
      </c>
    </row>
    <row r="2017" spans="1:33" x14ac:dyDescent="0.25">
      <c r="A2017" s="866" t="s">
        <v>1854</v>
      </c>
      <c r="B2017" s="866" t="s">
        <v>2740</v>
      </c>
      <c r="C2017" s="836">
        <v>23</v>
      </c>
      <c r="D2017" s="836"/>
      <c r="E2017" s="836"/>
      <c r="F2017" s="836"/>
      <c r="G2017" s="871" t="s">
        <v>7807</v>
      </c>
      <c r="H2017" s="797" t="str">
        <f>VLOOKUP(G2017,SETTINGS!$B$7:$D$97,2,0)</f>
        <v>Accessory components</v>
      </c>
      <c r="I2017" s="796">
        <f>VLOOKUP(G2017,SETTINGS!$B$7:$D$97,3,0)</f>
        <v>0</v>
      </c>
      <c r="J2017" s="670" t="str">
        <f>IFERROR(IF(CURRENCY.FORMAT_1=0,CONCATENATE(TEXT(FIXED(ROUND((C2017/EXC.RATE_1),CURRENCY.FORMAT_1),CURRENCY.FORMAT_1,1),"# ##0;-# ##0"),",-"),FIXED(ROUND((C2017/EXC.RATE_1),CURRENCY.FORMAT_1),CURRENCY.FORMAT_1,0)),'DICTIONARY-5'!$A$2)</f>
        <v>23,-</v>
      </c>
      <c r="K2017" s="670" t="str">
        <f>IF(EXC.RATE_2=0,"",IFERROR(IF(CURRENCY.FORMAT_2=0,CONCATENATE(TEXT(FIXED(ROUND(IF(EXC.RATE.SWITCH=1,C2017/EXC.RATE_2,C2017*EXC.RATE_2),CURRENCY.FORMAT_2),CURRENCY.FORMAT_2,1),"# ##0;-# ##0"),",-"),FIXED(ROUND(IF(EXC.RATE.SWITCH=1,C2017/EXC.RATE_2,C2017*EXC.RATE_2),CURRENCY.FORMAT_2),CURRENCY.FORMAT_2,0)),'DICTIONARY-5'!$A$2))</f>
        <v/>
      </c>
      <c r="L2017" s="670" t="str">
        <f>IFERROR(IF(CURRENCY.FORMAT_1=0,CONCATENATE(TEXT(FIXED(ROUND((C2017*(1-I2017)*(1-ADD.DISCOUNT)*(1+MAT.SURCHARGE)/EXC.RATE_1),CURRENCY.FORMAT_1),CURRENCY.FORMAT_1,1),"# ##0;-# ##0"),",-"),FIXED(ROUND((C2017*(1-I2017)*(1-ADD.DISCOUNT)*(1+MAT.SURCHARGE)/EXC.RATE_1),CURRENCY.FORMAT_1),CURRENCY.FORMAT_1,0)),'DICTIONARY-5'!$A$2)</f>
        <v>24,-</v>
      </c>
      <c r="M2017" s="670" t="str">
        <f>IF(EXC.RATE_2=0,"",IFERROR(IF(CURRENCY.FORMAT_2=0,CONCATENATE(TEXT(FIXED(ROUND(IF(EXC.RATE.SWITCH=1,C2017*(1-I2017)*(1-ADD.DISCOUNT)*(1+MAT.SURCHARGE)/EXC.RATE_2,C2017*(1-I2017)*(1-ADD.DISCOUNT)*(1+MAT.SURCHARGE)*EXC.RATE_2),CURRENCY.FORMAT_2),CURRENCY.FORMAT_2,1),"# ##0;-# ##0"),",-"),FIXED(ROUND(IF(EXC.RATE.SWITCH=1,C2017*(1-I2017)*(1-ADD.DISCOUNT)*(1+MAT.SURCHARGE)/EXC.RATE_2,C2017*(1-I2017)*(1-ADD.DISCOUNT)*(1+MAT.SURCHARGE)*EXC.RATE_2),CURRENCY.FORMAT_2),CURRENCY.FORMAT_2,0)),'DICTIONARY-5'!$A$2))</f>
        <v/>
      </c>
      <c r="N2017" s="541">
        <v>6</v>
      </c>
      <c r="O2017" s="541"/>
      <c r="P2017" s="732" t="str">
        <f>'DICTIONARY-3'!$A$105</f>
        <v>Przeciwkołnierz</v>
      </c>
      <c r="Q2017" s="732" t="str">
        <f>'DICTIONARY-3'!$A$241</f>
        <v>Kołnierz</v>
      </c>
      <c r="R2017" s="732" t="str">
        <f>CONCATENATE('DICTIONARY-3'!$A$105," ",'DICTIONARY-5'!$A$7," ",'DICTIONARY-3'!$A$148," ",'DICTIONARY-2'!$A$2,"65"," ",'DICTIONARY-2'!$A$3,"10/16")</f>
        <v>Przeciwkołnierz dla CEREX 300-L DN65 PN10/16</v>
      </c>
      <c r="S2017" s="733" t="s">
        <v>5569</v>
      </c>
      <c r="T2017" s="732" t="s">
        <v>5569</v>
      </c>
      <c r="U2017" s="734" t="s">
        <v>5759</v>
      </c>
      <c r="V2017" s="735">
        <v>16</v>
      </c>
      <c r="W2017" s="736"/>
      <c r="X2017" s="737"/>
      <c r="Y2017" s="738"/>
      <c r="Z2017" s="739"/>
      <c r="AA2017" s="739"/>
      <c r="AB2017" s="740">
        <v>16</v>
      </c>
      <c r="AC2017" s="741">
        <v>20</v>
      </c>
      <c r="AD2017" s="741"/>
      <c r="AE2017" s="742" t="s">
        <v>5569</v>
      </c>
      <c r="AF2017" s="743">
        <v>3.16</v>
      </c>
      <c r="AG2017" s="741" t="str">
        <f>'DICTIONARY-5'!$A$23</f>
        <v>powłoka epoksydowa</v>
      </c>
    </row>
    <row r="2018" spans="1:33" x14ac:dyDescent="0.25">
      <c r="A2018" s="866" t="s">
        <v>1855</v>
      </c>
      <c r="B2018" s="866" t="s">
        <v>2741</v>
      </c>
      <c r="C2018" s="836">
        <v>36</v>
      </c>
      <c r="D2018" s="836"/>
      <c r="E2018" s="836"/>
      <c r="F2018" s="836"/>
      <c r="G2018" s="871" t="s">
        <v>7807</v>
      </c>
      <c r="H2018" s="797" t="str">
        <f>VLOOKUP(G2018,SETTINGS!$B$7:$D$97,2,0)</f>
        <v>Accessory components</v>
      </c>
      <c r="I2018" s="796">
        <f>VLOOKUP(G2018,SETTINGS!$B$7:$D$97,3,0)</f>
        <v>0</v>
      </c>
      <c r="J2018" s="670" t="str">
        <f>IFERROR(IF(CURRENCY.FORMAT_1=0,CONCATENATE(TEXT(FIXED(ROUND((C2018/EXC.RATE_1),CURRENCY.FORMAT_1),CURRENCY.FORMAT_1,1),"# ##0;-# ##0"),",-"),FIXED(ROUND((C2018/EXC.RATE_1),CURRENCY.FORMAT_1),CURRENCY.FORMAT_1,0)),'DICTIONARY-5'!$A$2)</f>
        <v>36,-</v>
      </c>
      <c r="K2018" s="670" t="str">
        <f>IF(EXC.RATE_2=0,"",IFERROR(IF(CURRENCY.FORMAT_2=0,CONCATENATE(TEXT(FIXED(ROUND(IF(EXC.RATE.SWITCH=1,C2018/EXC.RATE_2,C2018*EXC.RATE_2),CURRENCY.FORMAT_2),CURRENCY.FORMAT_2,1),"# ##0;-# ##0"),",-"),FIXED(ROUND(IF(EXC.RATE.SWITCH=1,C2018/EXC.RATE_2,C2018*EXC.RATE_2),CURRENCY.FORMAT_2),CURRENCY.FORMAT_2,0)),'DICTIONARY-5'!$A$2))</f>
        <v/>
      </c>
      <c r="L2018" s="670" t="str">
        <f>IFERROR(IF(CURRENCY.FORMAT_1=0,CONCATENATE(TEXT(FIXED(ROUND((C2018*(1-I2018)*(1-ADD.DISCOUNT)*(1+MAT.SURCHARGE)/EXC.RATE_1),CURRENCY.FORMAT_1),CURRENCY.FORMAT_1,1),"# ##0;-# ##0"),",-"),FIXED(ROUND((C2018*(1-I2018)*(1-ADD.DISCOUNT)*(1+MAT.SURCHARGE)/EXC.RATE_1),CURRENCY.FORMAT_1),CURRENCY.FORMAT_1,0)),'DICTIONARY-5'!$A$2)</f>
        <v>37,-</v>
      </c>
      <c r="M2018" s="670" t="str">
        <f>IF(EXC.RATE_2=0,"",IFERROR(IF(CURRENCY.FORMAT_2=0,CONCATENATE(TEXT(FIXED(ROUND(IF(EXC.RATE.SWITCH=1,C2018*(1-I2018)*(1-ADD.DISCOUNT)*(1+MAT.SURCHARGE)/EXC.RATE_2,C2018*(1-I2018)*(1-ADD.DISCOUNT)*(1+MAT.SURCHARGE)*EXC.RATE_2),CURRENCY.FORMAT_2),CURRENCY.FORMAT_2,1),"# ##0;-# ##0"),",-"),FIXED(ROUND(IF(EXC.RATE.SWITCH=1,C2018*(1-I2018)*(1-ADD.DISCOUNT)*(1+MAT.SURCHARGE)/EXC.RATE_2,C2018*(1-I2018)*(1-ADD.DISCOUNT)*(1+MAT.SURCHARGE)*EXC.RATE_2),CURRENCY.FORMAT_2),CURRENCY.FORMAT_2,0)),'DICTIONARY-5'!$A$2))</f>
        <v/>
      </c>
      <c r="N2018" s="541">
        <v>6</v>
      </c>
      <c r="O2018" s="541"/>
      <c r="P2018" s="732" t="str">
        <f>'DICTIONARY-3'!$A$105</f>
        <v>Przeciwkołnierz</v>
      </c>
      <c r="Q2018" s="732" t="str">
        <f>'DICTIONARY-3'!$A$241</f>
        <v>Kołnierz</v>
      </c>
      <c r="R2018" s="732" t="str">
        <f>CONCATENATE('DICTIONARY-3'!$A$105," ",'DICTIONARY-5'!$A$7," ",'DICTIONARY-3'!$A$148," ",'DICTIONARY-2'!$A$2,"80"," ",'DICTIONARY-2'!$A$3,"10/16")</f>
        <v>Przeciwkołnierz dla CEREX 300-L DN80 PN10/16</v>
      </c>
      <c r="S2018" s="733" t="s">
        <v>5569</v>
      </c>
      <c r="T2018" s="732" t="s">
        <v>5569</v>
      </c>
      <c r="U2018" s="734" t="s">
        <v>5760</v>
      </c>
      <c r="V2018" s="735">
        <v>16</v>
      </c>
      <c r="W2018" s="736"/>
      <c r="X2018" s="737"/>
      <c r="Y2018" s="738"/>
      <c r="Z2018" s="739"/>
      <c r="AA2018" s="739"/>
      <c r="AB2018" s="740">
        <v>16</v>
      </c>
      <c r="AC2018" s="741">
        <v>20</v>
      </c>
      <c r="AD2018" s="741"/>
      <c r="AE2018" s="742" t="s">
        <v>5569</v>
      </c>
      <c r="AF2018" s="743">
        <v>3.6030000000000002</v>
      </c>
      <c r="AG2018" s="741" t="str">
        <f>'DICTIONARY-5'!$A$23</f>
        <v>powłoka epoksydowa</v>
      </c>
    </row>
    <row r="2019" spans="1:33" x14ac:dyDescent="0.25">
      <c r="A2019" s="866" t="s">
        <v>1856</v>
      </c>
      <c r="B2019" s="866" t="s">
        <v>2742</v>
      </c>
      <c r="C2019" s="836">
        <v>50</v>
      </c>
      <c r="D2019" s="836"/>
      <c r="E2019" s="836"/>
      <c r="F2019" s="836"/>
      <c r="G2019" s="871" t="s">
        <v>7807</v>
      </c>
      <c r="H2019" s="797" t="str">
        <f>VLOOKUP(G2019,SETTINGS!$B$7:$D$97,2,0)</f>
        <v>Accessory components</v>
      </c>
      <c r="I2019" s="796">
        <f>VLOOKUP(G2019,SETTINGS!$B$7:$D$97,3,0)</f>
        <v>0</v>
      </c>
      <c r="J2019" s="670" t="str">
        <f>IFERROR(IF(CURRENCY.FORMAT_1=0,CONCATENATE(TEXT(FIXED(ROUND((C2019/EXC.RATE_1),CURRENCY.FORMAT_1),CURRENCY.FORMAT_1,1),"# ##0;-# ##0"),",-"),FIXED(ROUND((C2019/EXC.RATE_1),CURRENCY.FORMAT_1),CURRENCY.FORMAT_1,0)),'DICTIONARY-5'!$A$2)</f>
        <v>50,-</v>
      </c>
      <c r="K2019" s="670" t="str">
        <f>IF(EXC.RATE_2=0,"",IFERROR(IF(CURRENCY.FORMAT_2=0,CONCATENATE(TEXT(FIXED(ROUND(IF(EXC.RATE.SWITCH=1,C2019/EXC.RATE_2,C2019*EXC.RATE_2),CURRENCY.FORMAT_2),CURRENCY.FORMAT_2,1),"# ##0;-# ##0"),",-"),FIXED(ROUND(IF(EXC.RATE.SWITCH=1,C2019/EXC.RATE_2,C2019*EXC.RATE_2),CURRENCY.FORMAT_2),CURRENCY.FORMAT_2,0)),'DICTIONARY-5'!$A$2))</f>
        <v/>
      </c>
      <c r="L2019" s="670" t="str">
        <f>IFERROR(IF(CURRENCY.FORMAT_1=0,CONCATENATE(TEXT(FIXED(ROUND((C2019*(1-I2019)*(1-ADD.DISCOUNT)*(1+MAT.SURCHARGE)/EXC.RATE_1),CURRENCY.FORMAT_1),CURRENCY.FORMAT_1,1),"# ##0;-# ##0"),",-"),FIXED(ROUND((C2019*(1-I2019)*(1-ADD.DISCOUNT)*(1+MAT.SURCHARGE)/EXC.RATE_1),CURRENCY.FORMAT_1),CURRENCY.FORMAT_1,0)),'DICTIONARY-5'!$A$2)</f>
        <v>52,-</v>
      </c>
      <c r="M2019" s="670" t="str">
        <f>IF(EXC.RATE_2=0,"",IFERROR(IF(CURRENCY.FORMAT_2=0,CONCATENATE(TEXT(FIXED(ROUND(IF(EXC.RATE.SWITCH=1,C2019*(1-I2019)*(1-ADD.DISCOUNT)*(1+MAT.SURCHARGE)/EXC.RATE_2,C2019*(1-I2019)*(1-ADD.DISCOUNT)*(1+MAT.SURCHARGE)*EXC.RATE_2),CURRENCY.FORMAT_2),CURRENCY.FORMAT_2,1),"# ##0;-# ##0"),",-"),FIXED(ROUND(IF(EXC.RATE.SWITCH=1,C2019*(1-I2019)*(1-ADD.DISCOUNT)*(1+MAT.SURCHARGE)/EXC.RATE_2,C2019*(1-I2019)*(1-ADD.DISCOUNT)*(1+MAT.SURCHARGE)*EXC.RATE_2),CURRENCY.FORMAT_2),CURRENCY.FORMAT_2,0)),'DICTIONARY-5'!$A$2))</f>
        <v/>
      </c>
      <c r="N2019" s="541">
        <v>6</v>
      </c>
      <c r="O2019" s="541"/>
      <c r="P2019" s="732" t="str">
        <f>'DICTIONARY-3'!$A$105</f>
        <v>Przeciwkołnierz</v>
      </c>
      <c r="Q2019" s="732" t="str">
        <f>'DICTIONARY-3'!$A$241</f>
        <v>Kołnierz</v>
      </c>
      <c r="R2019" s="732" t="str">
        <f>CONCATENATE('DICTIONARY-3'!$A$105," ",'DICTIONARY-5'!$A$7," ",'DICTIONARY-3'!$A$148," ",'DICTIONARY-2'!$A$2,"100"," ",'DICTIONARY-2'!$A$3,"10/16")</f>
        <v>Przeciwkołnierz dla CEREX 300-L DN100 PN10/16</v>
      </c>
      <c r="S2019" s="733" t="s">
        <v>5569</v>
      </c>
      <c r="T2019" s="732" t="s">
        <v>5569</v>
      </c>
      <c r="U2019" s="734" t="s">
        <v>5749</v>
      </c>
      <c r="V2019" s="735">
        <v>16</v>
      </c>
      <c r="W2019" s="736"/>
      <c r="X2019" s="737"/>
      <c r="Y2019" s="738"/>
      <c r="Z2019" s="739"/>
      <c r="AA2019" s="739"/>
      <c r="AB2019" s="740">
        <v>16</v>
      </c>
      <c r="AC2019" s="741">
        <v>22</v>
      </c>
      <c r="AD2019" s="741"/>
      <c r="AE2019" s="742" t="s">
        <v>5569</v>
      </c>
      <c r="AF2019" s="743">
        <v>4.3879999999999999</v>
      </c>
      <c r="AG2019" s="741" t="str">
        <f>'DICTIONARY-5'!$A$23</f>
        <v>powłoka epoksydowa</v>
      </c>
    </row>
    <row r="2020" spans="1:33" x14ac:dyDescent="0.25">
      <c r="A2020" s="866" t="s">
        <v>1857</v>
      </c>
      <c r="B2020" s="866" t="s">
        <v>2743</v>
      </c>
      <c r="C2020" s="836">
        <v>63</v>
      </c>
      <c r="D2020" s="836"/>
      <c r="E2020" s="836"/>
      <c r="F2020" s="836"/>
      <c r="G2020" s="871" t="s">
        <v>7807</v>
      </c>
      <c r="H2020" s="797" t="str">
        <f>VLOOKUP(G2020,SETTINGS!$B$7:$D$97,2,0)</f>
        <v>Accessory components</v>
      </c>
      <c r="I2020" s="796">
        <f>VLOOKUP(G2020,SETTINGS!$B$7:$D$97,3,0)</f>
        <v>0</v>
      </c>
      <c r="J2020" s="670" t="str">
        <f>IFERROR(IF(CURRENCY.FORMAT_1=0,CONCATENATE(TEXT(FIXED(ROUND((C2020/EXC.RATE_1),CURRENCY.FORMAT_1),CURRENCY.FORMAT_1,1),"# ##0;-# ##0"),",-"),FIXED(ROUND((C2020/EXC.RATE_1),CURRENCY.FORMAT_1),CURRENCY.FORMAT_1,0)),'DICTIONARY-5'!$A$2)</f>
        <v>63,-</v>
      </c>
      <c r="K2020" s="670" t="str">
        <f>IF(EXC.RATE_2=0,"",IFERROR(IF(CURRENCY.FORMAT_2=0,CONCATENATE(TEXT(FIXED(ROUND(IF(EXC.RATE.SWITCH=1,C2020/EXC.RATE_2,C2020*EXC.RATE_2),CURRENCY.FORMAT_2),CURRENCY.FORMAT_2,1),"# ##0;-# ##0"),",-"),FIXED(ROUND(IF(EXC.RATE.SWITCH=1,C2020/EXC.RATE_2,C2020*EXC.RATE_2),CURRENCY.FORMAT_2),CURRENCY.FORMAT_2,0)),'DICTIONARY-5'!$A$2))</f>
        <v/>
      </c>
      <c r="L2020" s="670" t="str">
        <f>IFERROR(IF(CURRENCY.FORMAT_1=0,CONCATENATE(TEXT(FIXED(ROUND((C2020*(1-I2020)*(1-ADD.DISCOUNT)*(1+MAT.SURCHARGE)/EXC.RATE_1),CURRENCY.FORMAT_1),CURRENCY.FORMAT_1,1),"# ##0;-# ##0"),",-"),FIXED(ROUND((C2020*(1-I2020)*(1-ADD.DISCOUNT)*(1+MAT.SURCHARGE)/EXC.RATE_1),CURRENCY.FORMAT_1),CURRENCY.FORMAT_1,0)),'DICTIONARY-5'!$A$2)</f>
        <v>65,-</v>
      </c>
      <c r="M2020" s="670" t="str">
        <f>IF(EXC.RATE_2=0,"",IFERROR(IF(CURRENCY.FORMAT_2=0,CONCATENATE(TEXT(FIXED(ROUND(IF(EXC.RATE.SWITCH=1,C2020*(1-I2020)*(1-ADD.DISCOUNT)*(1+MAT.SURCHARGE)/EXC.RATE_2,C2020*(1-I2020)*(1-ADD.DISCOUNT)*(1+MAT.SURCHARGE)*EXC.RATE_2),CURRENCY.FORMAT_2),CURRENCY.FORMAT_2,1),"# ##0;-# ##0"),",-"),FIXED(ROUND(IF(EXC.RATE.SWITCH=1,C2020*(1-I2020)*(1-ADD.DISCOUNT)*(1+MAT.SURCHARGE)/EXC.RATE_2,C2020*(1-I2020)*(1-ADD.DISCOUNT)*(1+MAT.SURCHARGE)*EXC.RATE_2),CURRENCY.FORMAT_2),CURRENCY.FORMAT_2,0)),'DICTIONARY-5'!$A$2))</f>
        <v/>
      </c>
      <c r="N2020" s="541">
        <v>6</v>
      </c>
      <c r="O2020" s="541"/>
      <c r="P2020" s="732" t="str">
        <f>'DICTIONARY-3'!$A$105</f>
        <v>Przeciwkołnierz</v>
      </c>
      <c r="Q2020" s="732" t="str">
        <f>'DICTIONARY-3'!$A$241</f>
        <v>Kołnierz</v>
      </c>
      <c r="R2020" s="732" t="str">
        <f>CONCATENATE('DICTIONARY-3'!$A$105," ",'DICTIONARY-5'!$A$7," ",'DICTIONARY-3'!$A$148," ",'DICTIONARY-2'!$A$2,"125"," ",'DICTIONARY-2'!$A$3,"10/16")</f>
        <v>Przeciwkołnierz dla CEREX 300-L DN125 PN10/16</v>
      </c>
      <c r="S2020" s="733" t="s">
        <v>5569</v>
      </c>
      <c r="T2020" s="732" t="s">
        <v>5569</v>
      </c>
      <c r="U2020" s="734" t="s">
        <v>5761</v>
      </c>
      <c r="V2020" s="735">
        <v>16</v>
      </c>
      <c r="W2020" s="736"/>
      <c r="X2020" s="737"/>
      <c r="Y2020" s="738"/>
      <c r="Z2020" s="739"/>
      <c r="AA2020" s="739"/>
      <c r="AB2020" s="740">
        <v>16</v>
      </c>
      <c r="AC2020" s="741">
        <v>22</v>
      </c>
      <c r="AD2020" s="741"/>
      <c r="AE2020" s="742" t="s">
        <v>5569</v>
      </c>
      <c r="AF2020" s="743">
        <v>5.41</v>
      </c>
      <c r="AG2020" s="741" t="str">
        <f>'DICTIONARY-5'!$A$23</f>
        <v>powłoka epoksydowa</v>
      </c>
    </row>
    <row r="2021" spans="1:33" x14ac:dyDescent="0.25">
      <c r="A2021" s="866" t="s">
        <v>1858</v>
      </c>
      <c r="B2021" s="866" t="s">
        <v>2744</v>
      </c>
      <c r="C2021" s="836">
        <v>77</v>
      </c>
      <c r="D2021" s="836"/>
      <c r="E2021" s="836"/>
      <c r="F2021" s="836"/>
      <c r="G2021" s="871" t="s">
        <v>7807</v>
      </c>
      <c r="H2021" s="797" t="str">
        <f>VLOOKUP(G2021,SETTINGS!$B$7:$D$97,2,0)</f>
        <v>Accessory components</v>
      </c>
      <c r="I2021" s="796">
        <f>VLOOKUP(G2021,SETTINGS!$B$7:$D$97,3,0)</f>
        <v>0</v>
      </c>
      <c r="J2021" s="670" t="str">
        <f>IFERROR(IF(CURRENCY.FORMAT_1=0,CONCATENATE(TEXT(FIXED(ROUND((C2021/EXC.RATE_1),CURRENCY.FORMAT_1),CURRENCY.FORMAT_1,1),"# ##0;-# ##0"),",-"),FIXED(ROUND((C2021/EXC.RATE_1),CURRENCY.FORMAT_1),CURRENCY.FORMAT_1,0)),'DICTIONARY-5'!$A$2)</f>
        <v>77,-</v>
      </c>
      <c r="K2021" s="670" t="str">
        <f>IF(EXC.RATE_2=0,"",IFERROR(IF(CURRENCY.FORMAT_2=0,CONCATENATE(TEXT(FIXED(ROUND(IF(EXC.RATE.SWITCH=1,C2021/EXC.RATE_2,C2021*EXC.RATE_2),CURRENCY.FORMAT_2),CURRENCY.FORMAT_2,1),"# ##0;-# ##0"),",-"),FIXED(ROUND(IF(EXC.RATE.SWITCH=1,C2021/EXC.RATE_2,C2021*EXC.RATE_2),CURRENCY.FORMAT_2),CURRENCY.FORMAT_2,0)),'DICTIONARY-5'!$A$2))</f>
        <v/>
      </c>
      <c r="L2021" s="670" t="str">
        <f>IFERROR(IF(CURRENCY.FORMAT_1=0,CONCATENATE(TEXT(FIXED(ROUND((C2021*(1-I2021)*(1-ADD.DISCOUNT)*(1+MAT.SURCHARGE)/EXC.RATE_1),CURRENCY.FORMAT_1),CURRENCY.FORMAT_1,1),"# ##0;-# ##0"),",-"),FIXED(ROUND((C2021*(1-I2021)*(1-ADD.DISCOUNT)*(1+MAT.SURCHARGE)/EXC.RATE_1),CURRENCY.FORMAT_1),CURRENCY.FORMAT_1,0)),'DICTIONARY-5'!$A$2)</f>
        <v>80,-</v>
      </c>
      <c r="M2021" s="670" t="str">
        <f>IF(EXC.RATE_2=0,"",IFERROR(IF(CURRENCY.FORMAT_2=0,CONCATENATE(TEXT(FIXED(ROUND(IF(EXC.RATE.SWITCH=1,C2021*(1-I2021)*(1-ADD.DISCOUNT)*(1+MAT.SURCHARGE)/EXC.RATE_2,C2021*(1-I2021)*(1-ADD.DISCOUNT)*(1+MAT.SURCHARGE)*EXC.RATE_2),CURRENCY.FORMAT_2),CURRENCY.FORMAT_2,1),"# ##0;-# ##0"),",-"),FIXED(ROUND(IF(EXC.RATE.SWITCH=1,C2021*(1-I2021)*(1-ADD.DISCOUNT)*(1+MAT.SURCHARGE)/EXC.RATE_2,C2021*(1-I2021)*(1-ADD.DISCOUNT)*(1+MAT.SURCHARGE)*EXC.RATE_2),CURRENCY.FORMAT_2),CURRENCY.FORMAT_2,0)),'DICTIONARY-5'!$A$2))</f>
        <v/>
      </c>
      <c r="N2021" s="541">
        <v>6</v>
      </c>
      <c r="O2021" s="541"/>
      <c r="P2021" s="732" t="str">
        <f>'DICTIONARY-3'!$A$105</f>
        <v>Przeciwkołnierz</v>
      </c>
      <c r="Q2021" s="732" t="str">
        <f>'DICTIONARY-3'!$A$241</f>
        <v>Kołnierz</v>
      </c>
      <c r="R2021" s="732" t="str">
        <f>CONCATENATE('DICTIONARY-3'!$A$105," ",'DICTIONARY-5'!$A$7," ",'DICTIONARY-3'!$A$148," ",'DICTIONARY-2'!$A$2,"150"," ",'DICTIONARY-2'!$A$3,"10/16")</f>
        <v>Przeciwkołnierz dla CEREX 300-L DN150 PN10/16</v>
      </c>
      <c r="S2021" s="733" t="s">
        <v>5569</v>
      </c>
      <c r="T2021" s="732" t="s">
        <v>5569</v>
      </c>
      <c r="U2021" s="734" t="s">
        <v>5572</v>
      </c>
      <c r="V2021" s="735">
        <v>16</v>
      </c>
      <c r="W2021" s="736"/>
      <c r="X2021" s="737"/>
      <c r="Y2021" s="738"/>
      <c r="Z2021" s="739"/>
      <c r="AA2021" s="739"/>
      <c r="AB2021" s="740">
        <v>16</v>
      </c>
      <c r="AC2021" s="741">
        <v>24</v>
      </c>
      <c r="AD2021" s="741"/>
      <c r="AE2021" s="742" t="s">
        <v>5569</v>
      </c>
      <c r="AF2021" s="743">
        <v>7.1440000000000001</v>
      </c>
      <c r="AG2021" s="741" t="str">
        <f>'DICTIONARY-5'!$A$23</f>
        <v>powłoka epoksydowa</v>
      </c>
    </row>
    <row r="2022" spans="1:33" x14ac:dyDescent="0.25">
      <c r="A2022" s="866" t="s">
        <v>1859</v>
      </c>
      <c r="B2022" s="866" t="s">
        <v>2745</v>
      </c>
      <c r="C2022" s="836">
        <v>117</v>
      </c>
      <c r="D2022" s="836"/>
      <c r="E2022" s="836"/>
      <c r="F2022" s="836"/>
      <c r="G2022" s="871" t="s">
        <v>7807</v>
      </c>
      <c r="H2022" s="797" t="str">
        <f>VLOOKUP(G2022,SETTINGS!$B$7:$D$97,2,0)</f>
        <v>Accessory components</v>
      </c>
      <c r="I2022" s="796">
        <f>VLOOKUP(G2022,SETTINGS!$B$7:$D$97,3,0)</f>
        <v>0</v>
      </c>
      <c r="J2022" s="670" t="str">
        <f>IFERROR(IF(CURRENCY.FORMAT_1=0,CONCATENATE(TEXT(FIXED(ROUND((C2022/EXC.RATE_1),CURRENCY.FORMAT_1),CURRENCY.FORMAT_1,1),"# ##0;-# ##0"),",-"),FIXED(ROUND((C2022/EXC.RATE_1),CURRENCY.FORMAT_1),CURRENCY.FORMAT_1,0)),'DICTIONARY-5'!$A$2)</f>
        <v>117,-</v>
      </c>
      <c r="K2022" s="670" t="str">
        <f>IF(EXC.RATE_2=0,"",IFERROR(IF(CURRENCY.FORMAT_2=0,CONCATENATE(TEXT(FIXED(ROUND(IF(EXC.RATE.SWITCH=1,C2022/EXC.RATE_2,C2022*EXC.RATE_2),CURRENCY.FORMAT_2),CURRENCY.FORMAT_2,1),"# ##0;-# ##0"),",-"),FIXED(ROUND(IF(EXC.RATE.SWITCH=1,C2022/EXC.RATE_2,C2022*EXC.RATE_2),CURRENCY.FORMAT_2),CURRENCY.FORMAT_2,0)),'DICTIONARY-5'!$A$2))</f>
        <v/>
      </c>
      <c r="L2022" s="670" t="str">
        <f>IFERROR(IF(CURRENCY.FORMAT_1=0,CONCATENATE(TEXT(FIXED(ROUND((C2022*(1-I2022)*(1-ADD.DISCOUNT)*(1+MAT.SURCHARGE)/EXC.RATE_1),CURRENCY.FORMAT_1),CURRENCY.FORMAT_1,1),"# ##0;-# ##0"),",-"),FIXED(ROUND((C2022*(1-I2022)*(1-ADD.DISCOUNT)*(1+MAT.SURCHARGE)/EXC.RATE_1),CURRENCY.FORMAT_1),CURRENCY.FORMAT_1,0)),'DICTIONARY-5'!$A$2)</f>
        <v>122,-</v>
      </c>
      <c r="M2022" s="670" t="str">
        <f>IF(EXC.RATE_2=0,"",IFERROR(IF(CURRENCY.FORMAT_2=0,CONCATENATE(TEXT(FIXED(ROUND(IF(EXC.RATE.SWITCH=1,C2022*(1-I2022)*(1-ADD.DISCOUNT)*(1+MAT.SURCHARGE)/EXC.RATE_2,C2022*(1-I2022)*(1-ADD.DISCOUNT)*(1+MAT.SURCHARGE)*EXC.RATE_2),CURRENCY.FORMAT_2),CURRENCY.FORMAT_2,1),"# ##0;-# ##0"),",-"),FIXED(ROUND(IF(EXC.RATE.SWITCH=1,C2022*(1-I2022)*(1-ADD.DISCOUNT)*(1+MAT.SURCHARGE)/EXC.RATE_2,C2022*(1-I2022)*(1-ADD.DISCOUNT)*(1+MAT.SURCHARGE)*EXC.RATE_2),CURRENCY.FORMAT_2),CURRENCY.FORMAT_2,0)),'DICTIONARY-5'!$A$2))</f>
        <v/>
      </c>
      <c r="N2022" s="541">
        <v>6</v>
      </c>
      <c r="O2022" s="541"/>
      <c r="P2022" s="732" t="str">
        <f>'DICTIONARY-3'!$A$105</f>
        <v>Przeciwkołnierz</v>
      </c>
      <c r="Q2022" s="732" t="str">
        <f>'DICTIONARY-3'!$A$241</f>
        <v>Kołnierz</v>
      </c>
      <c r="R2022" s="732" t="str">
        <f>CONCATENATE('DICTIONARY-3'!$A$105," ",'DICTIONARY-5'!$A$7," ",'DICTIONARY-3'!$A$148," ",'DICTIONARY-2'!$A$2,"200"," ",'DICTIONARY-2'!$A$3,"16")</f>
        <v>Przeciwkołnierz dla CEREX 300-L DN200 PN16</v>
      </c>
      <c r="S2022" s="733" t="s">
        <v>5569</v>
      </c>
      <c r="T2022" s="732" t="s">
        <v>5569</v>
      </c>
      <c r="U2022" s="734" t="s">
        <v>5750</v>
      </c>
      <c r="V2022" s="735">
        <v>16</v>
      </c>
      <c r="W2022" s="736"/>
      <c r="X2022" s="737"/>
      <c r="Y2022" s="738"/>
      <c r="Z2022" s="739"/>
      <c r="AA2022" s="739"/>
      <c r="AB2022" s="740">
        <v>16</v>
      </c>
      <c r="AC2022" s="741">
        <v>26</v>
      </c>
      <c r="AD2022" s="741"/>
      <c r="AE2022" s="742" t="s">
        <v>5569</v>
      </c>
      <c r="AF2022" s="743">
        <v>9.7349999999999994</v>
      </c>
      <c r="AG2022" s="741" t="str">
        <f>'DICTIONARY-5'!$A$23</f>
        <v>powłoka epoksydowa</v>
      </c>
    </row>
    <row r="2023" spans="1:33" x14ac:dyDescent="0.25">
      <c r="A2023" s="866" t="s">
        <v>1860</v>
      </c>
      <c r="B2023" s="866" t="s">
        <v>2746</v>
      </c>
      <c r="C2023" s="836">
        <v>169</v>
      </c>
      <c r="D2023" s="836"/>
      <c r="E2023" s="836"/>
      <c r="F2023" s="836"/>
      <c r="G2023" s="871" t="s">
        <v>7807</v>
      </c>
      <c r="H2023" s="797" t="str">
        <f>VLOOKUP(G2023,SETTINGS!$B$7:$D$97,2,0)</f>
        <v>Accessory components</v>
      </c>
      <c r="I2023" s="796">
        <f>VLOOKUP(G2023,SETTINGS!$B$7:$D$97,3,0)</f>
        <v>0</v>
      </c>
      <c r="J2023" s="670" t="str">
        <f>IFERROR(IF(CURRENCY.FORMAT_1=0,CONCATENATE(TEXT(FIXED(ROUND((C2023/EXC.RATE_1),CURRENCY.FORMAT_1),CURRENCY.FORMAT_1,1),"# ##0;-# ##0"),",-"),FIXED(ROUND((C2023/EXC.RATE_1),CURRENCY.FORMAT_1),CURRENCY.FORMAT_1,0)),'DICTIONARY-5'!$A$2)</f>
        <v>169,-</v>
      </c>
      <c r="K2023" s="670" t="str">
        <f>IF(EXC.RATE_2=0,"",IFERROR(IF(CURRENCY.FORMAT_2=0,CONCATENATE(TEXT(FIXED(ROUND(IF(EXC.RATE.SWITCH=1,C2023/EXC.RATE_2,C2023*EXC.RATE_2),CURRENCY.FORMAT_2),CURRENCY.FORMAT_2,1),"# ##0;-# ##0"),",-"),FIXED(ROUND(IF(EXC.RATE.SWITCH=1,C2023/EXC.RATE_2,C2023*EXC.RATE_2),CURRENCY.FORMAT_2),CURRENCY.FORMAT_2,0)),'DICTIONARY-5'!$A$2))</f>
        <v/>
      </c>
      <c r="L2023" s="670" t="str">
        <f>IFERROR(IF(CURRENCY.FORMAT_1=0,CONCATENATE(TEXT(FIXED(ROUND((C2023*(1-I2023)*(1-ADD.DISCOUNT)*(1+MAT.SURCHARGE)/EXC.RATE_1),CURRENCY.FORMAT_1),CURRENCY.FORMAT_1,1),"# ##0;-# ##0"),",-"),FIXED(ROUND((C2023*(1-I2023)*(1-ADD.DISCOUNT)*(1+MAT.SURCHARGE)/EXC.RATE_1),CURRENCY.FORMAT_1),CURRENCY.FORMAT_1,0)),'DICTIONARY-5'!$A$2)</f>
        <v>176,-</v>
      </c>
      <c r="M2023" s="670" t="str">
        <f>IF(EXC.RATE_2=0,"",IFERROR(IF(CURRENCY.FORMAT_2=0,CONCATENATE(TEXT(FIXED(ROUND(IF(EXC.RATE.SWITCH=1,C2023*(1-I2023)*(1-ADD.DISCOUNT)*(1+MAT.SURCHARGE)/EXC.RATE_2,C2023*(1-I2023)*(1-ADD.DISCOUNT)*(1+MAT.SURCHARGE)*EXC.RATE_2),CURRENCY.FORMAT_2),CURRENCY.FORMAT_2,1),"# ##0;-# ##0"),",-"),FIXED(ROUND(IF(EXC.RATE.SWITCH=1,C2023*(1-I2023)*(1-ADD.DISCOUNT)*(1+MAT.SURCHARGE)/EXC.RATE_2,C2023*(1-I2023)*(1-ADD.DISCOUNT)*(1+MAT.SURCHARGE)*EXC.RATE_2),CURRENCY.FORMAT_2),CURRENCY.FORMAT_2,0)),'DICTIONARY-5'!$A$2))</f>
        <v/>
      </c>
      <c r="N2023" s="541">
        <v>6</v>
      </c>
      <c r="O2023" s="541"/>
      <c r="P2023" s="732" t="str">
        <f>'DICTIONARY-3'!$A$105</f>
        <v>Przeciwkołnierz</v>
      </c>
      <c r="Q2023" s="732" t="str">
        <f>'DICTIONARY-3'!$A$241</f>
        <v>Kołnierz</v>
      </c>
      <c r="R2023" s="732" t="str">
        <f>CONCATENATE('DICTIONARY-3'!$A$105," ",'DICTIONARY-5'!$A$7," ",'DICTIONARY-3'!$A$148," ",'DICTIONARY-2'!$A$2,"250"," ",'DICTIONARY-2'!$A$3,"16")</f>
        <v>Przeciwkołnierz dla CEREX 300-L DN250 PN16</v>
      </c>
      <c r="S2023" s="733" t="s">
        <v>5569</v>
      </c>
      <c r="T2023" s="732" t="s">
        <v>5569</v>
      </c>
      <c r="U2023" s="734" t="s">
        <v>5751</v>
      </c>
      <c r="V2023" s="735">
        <v>16</v>
      </c>
      <c r="W2023" s="736"/>
      <c r="X2023" s="737"/>
      <c r="Y2023" s="738"/>
      <c r="Z2023" s="739"/>
      <c r="AA2023" s="739"/>
      <c r="AB2023" s="740">
        <v>16</v>
      </c>
      <c r="AC2023" s="741">
        <v>29</v>
      </c>
      <c r="AD2023" s="741"/>
      <c r="AE2023" s="742" t="s">
        <v>5569</v>
      </c>
      <c r="AF2023" s="743">
        <v>14.207000000000001</v>
      </c>
      <c r="AG2023" s="741" t="str">
        <f>'DICTIONARY-5'!$A$23</f>
        <v>powłoka epoksydowa</v>
      </c>
    </row>
    <row r="2024" spans="1:33" x14ac:dyDescent="0.25">
      <c r="A2024" s="866" t="s">
        <v>1861</v>
      </c>
      <c r="B2024" s="866" t="s">
        <v>2747</v>
      </c>
      <c r="C2024" s="836">
        <v>228</v>
      </c>
      <c r="D2024" s="836"/>
      <c r="E2024" s="836"/>
      <c r="F2024" s="836"/>
      <c r="G2024" s="871" t="s">
        <v>7807</v>
      </c>
      <c r="H2024" s="797" t="str">
        <f>VLOOKUP(G2024,SETTINGS!$B$7:$D$97,2,0)</f>
        <v>Accessory components</v>
      </c>
      <c r="I2024" s="796">
        <f>VLOOKUP(G2024,SETTINGS!$B$7:$D$97,3,0)</f>
        <v>0</v>
      </c>
      <c r="J2024" s="670" t="str">
        <f>IFERROR(IF(CURRENCY.FORMAT_1=0,CONCATENATE(TEXT(FIXED(ROUND((C2024/EXC.RATE_1),CURRENCY.FORMAT_1),CURRENCY.FORMAT_1,1),"# ##0;-# ##0"),",-"),FIXED(ROUND((C2024/EXC.RATE_1),CURRENCY.FORMAT_1),CURRENCY.FORMAT_1,0)),'DICTIONARY-5'!$A$2)</f>
        <v>228,-</v>
      </c>
      <c r="K2024" s="670" t="str">
        <f>IF(EXC.RATE_2=0,"",IFERROR(IF(CURRENCY.FORMAT_2=0,CONCATENATE(TEXT(FIXED(ROUND(IF(EXC.RATE.SWITCH=1,C2024/EXC.RATE_2,C2024*EXC.RATE_2),CURRENCY.FORMAT_2),CURRENCY.FORMAT_2,1),"# ##0;-# ##0"),",-"),FIXED(ROUND(IF(EXC.RATE.SWITCH=1,C2024/EXC.RATE_2,C2024*EXC.RATE_2),CURRENCY.FORMAT_2),CURRENCY.FORMAT_2,0)),'DICTIONARY-5'!$A$2))</f>
        <v/>
      </c>
      <c r="L2024" s="670" t="str">
        <f>IFERROR(IF(CURRENCY.FORMAT_1=0,CONCATENATE(TEXT(FIXED(ROUND((C2024*(1-I2024)*(1-ADD.DISCOUNT)*(1+MAT.SURCHARGE)/EXC.RATE_1),CURRENCY.FORMAT_1),CURRENCY.FORMAT_1,1),"# ##0;-# ##0"),",-"),FIXED(ROUND((C2024*(1-I2024)*(1-ADD.DISCOUNT)*(1+MAT.SURCHARGE)/EXC.RATE_1),CURRENCY.FORMAT_1),CURRENCY.FORMAT_1,0)),'DICTIONARY-5'!$A$2)</f>
        <v>237,-</v>
      </c>
      <c r="M2024" s="670" t="str">
        <f>IF(EXC.RATE_2=0,"",IFERROR(IF(CURRENCY.FORMAT_2=0,CONCATENATE(TEXT(FIXED(ROUND(IF(EXC.RATE.SWITCH=1,C2024*(1-I2024)*(1-ADD.DISCOUNT)*(1+MAT.SURCHARGE)/EXC.RATE_2,C2024*(1-I2024)*(1-ADD.DISCOUNT)*(1+MAT.SURCHARGE)*EXC.RATE_2),CURRENCY.FORMAT_2),CURRENCY.FORMAT_2,1),"# ##0;-# ##0"),",-"),FIXED(ROUND(IF(EXC.RATE.SWITCH=1,C2024*(1-I2024)*(1-ADD.DISCOUNT)*(1+MAT.SURCHARGE)/EXC.RATE_2,C2024*(1-I2024)*(1-ADD.DISCOUNT)*(1+MAT.SURCHARGE)*EXC.RATE_2),CURRENCY.FORMAT_2),CURRENCY.FORMAT_2,0)),'DICTIONARY-5'!$A$2))</f>
        <v/>
      </c>
      <c r="N2024" s="541">
        <v>6</v>
      </c>
      <c r="O2024" s="541"/>
      <c r="P2024" s="732" t="str">
        <f>'DICTIONARY-3'!$A$105</f>
        <v>Przeciwkołnierz</v>
      </c>
      <c r="Q2024" s="732" t="str">
        <f>'DICTIONARY-3'!$A$241</f>
        <v>Kołnierz</v>
      </c>
      <c r="R2024" s="732" t="str">
        <f>CONCATENATE('DICTIONARY-3'!$A$105," ",'DICTIONARY-5'!$A$7," ",'DICTIONARY-3'!$A$148," ",'DICTIONARY-2'!$A$2,"300"," ",'DICTIONARY-2'!$A$3,"16")</f>
        <v>Przeciwkołnierz dla CEREX 300-L DN300 PN16</v>
      </c>
      <c r="S2024" s="733" t="s">
        <v>5569</v>
      </c>
      <c r="T2024" s="732" t="s">
        <v>5569</v>
      </c>
      <c r="U2024" s="734" t="s">
        <v>5752</v>
      </c>
      <c r="V2024" s="735">
        <v>16</v>
      </c>
      <c r="W2024" s="736"/>
      <c r="X2024" s="737"/>
      <c r="Y2024" s="738"/>
      <c r="Z2024" s="739"/>
      <c r="AA2024" s="739"/>
      <c r="AB2024" s="740">
        <v>16</v>
      </c>
      <c r="AC2024" s="741">
        <v>32</v>
      </c>
      <c r="AD2024" s="741"/>
      <c r="AE2024" s="742" t="s">
        <v>5569</v>
      </c>
      <c r="AF2024" s="743">
        <v>18.986000000000001</v>
      </c>
      <c r="AG2024" s="741" t="str">
        <f>'DICTIONARY-5'!$A$23</f>
        <v>powłoka epoksydowa</v>
      </c>
    </row>
    <row r="2025" spans="1:33" x14ac:dyDescent="0.25">
      <c r="A2025" s="844" t="s">
        <v>5115</v>
      </c>
      <c r="B2025" s="844" t="s">
        <v>5343</v>
      </c>
      <c r="C2025" s="836">
        <v>272</v>
      </c>
      <c r="D2025" s="836"/>
      <c r="E2025" s="836"/>
      <c r="F2025" s="836"/>
      <c r="G2025" s="496" t="s">
        <v>7833</v>
      </c>
      <c r="H2025" s="797" t="str">
        <f>VLOOKUP(G2025,SETTINGS!$B$7:$D$97,2,0)</f>
        <v>TWINJET</v>
      </c>
      <c r="I2025" s="796">
        <f>VLOOKUP(G2025,SETTINGS!$B$7:$D$97,3,0)</f>
        <v>0</v>
      </c>
      <c r="J2025" s="670" t="str">
        <f>IFERROR(IF(CURRENCY.FORMAT_1=0,CONCATENATE(TEXT(FIXED(ROUND((C2025/EXC.RATE_1),CURRENCY.FORMAT_1),CURRENCY.FORMAT_1,1),"# ##0;-# ##0"),",-"),FIXED(ROUND((C2025/EXC.RATE_1),CURRENCY.FORMAT_1),CURRENCY.FORMAT_1,0)),'DICTIONARY-5'!$A$2)</f>
        <v>272,-</v>
      </c>
      <c r="K2025" s="670" t="str">
        <f>IF(EXC.RATE_2=0,"",IFERROR(IF(CURRENCY.FORMAT_2=0,CONCATENATE(TEXT(FIXED(ROUND(IF(EXC.RATE.SWITCH=1,C2025/EXC.RATE_2,C2025*EXC.RATE_2),CURRENCY.FORMAT_2),CURRENCY.FORMAT_2,1),"# ##0;-# ##0"),",-"),FIXED(ROUND(IF(EXC.RATE.SWITCH=1,C2025/EXC.RATE_2,C2025*EXC.RATE_2),CURRENCY.FORMAT_2),CURRENCY.FORMAT_2,0)),'DICTIONARY-5'!$A$2))</f>
        <v/>
      </c>
      <c r="L2025" s="670" t="str">
        <f>IFERROR(IF(CURRENCY.FORMAT_1=0,CONCATENATE(TEXT(FIXED(ROUND((C2025*(1-I2025)*(1-ADD.DISCOUNT)*(1+MAT.SURCHARGE)/EXC.RATE_1),CURRENCY.FORMAT_1),CURRENCY.FORMAT_1,1),"# ##0;-# ##0"),",-"),FIXED(ROUND((C2025*(1-I2025)*(1-ADD.DISCOUNT)*(1+MAT.SURCHARGE)/EXC.RATE_1),CURRENCY.FORMAT_1),CURRENCY.FORMAT_1,0)),'DICTIONARY-5'!$A$2)</f>
        <v>283,-</v>
      </c>
      <c r="M2025" s="670" t="str">
        <f>IF(EXC.RATE_2=0,"",IFERROR(IF(CURRENCY.FORMAT_2=0,CONCATENATE(TEXT(FIXED(ROUND(IF(EXC.RATE.SWITCH=1,C2025*(1-I2025)*(1-ADD.DISCOUNT)*(1+MAT.SURCHARGE)/EXC.RATE_2,C2025*(1-I2025)*(1-ADD.DISCOUNT)*(1+MAT.SURCHARGE)*EXC.RATE_2),CURRENCY.FORMAT_2),CURRENCY.FORMAT_2,1),"# ##0;-# ##0"),",-"),FIXED(ROUND(IF(EXC.RATE.SWITCH=1,C2025*(1-I2025)*(1-ADD.DISCOUNT)*(1+MAT.SURCHARGE)/EXC.RATE_2,C2025*(1-I2025)*(1-ADD.DISCOUNT)*(1+MAT.SURCHARGE)*EXC.RATE_2),CURRENCY.FORMAT_2),CURRENCY.FORMAT_2,0)),'DICTIONARY-5'!$A$2))</f>
        <v/>
      </c>
      <c r="N2025" s="496">
        <v>8</v>
      </c>
      <c r="O2025" s="654" t="s">
        <v>7363</v>
      </c>
      <c r="P2025" s="731" t="str">
        <f>'DICTIONARY-3'!$A$109</f>
        <v>TWINJET</v>
      </c>
      <c r="Q2025" s="732" t="str">
        <f>'DICTIONARY-3'!$A$206</f>
        <v>Zawór na- i odpowietrzający</v>
      </c>
      <c r="R2025" s="732" t="str">
        <f>CONCATENATE('DICTIONARY-3'!$A$109," ",'DICTIONARY-6'!$A$7," ",'DICTIONARY-2'!$A$2,"50"," ",'DICTIONARY-2'!$A$3,"10/16/25 G1¼")</f>
        <v>TWINJET Zaw. na-/odpowietrz. DN50 PN10/16/25 G1¼</v>
      </c>
      <c r="S2025" s="733" t="str">
        <f>'DICTIONARY-4'!$A$17</f>
        <v>AS</v>
      </c>
      <c r="T2025" s="732" t="str">
        <f>'DICTIONARY-4'!$A$33</f>
        <v>Automatyczne sterowanie</v>
      </c>
      <c r="U2025" s="734" t="s">
        <v>5748</v>
      </c>
      <c r="V2025" s="735">
        <v>25</v>
      </c>
      <c r="W2025" s="736"/>
      <c r="X2025" s="750" t="s">
        <v>5740</v>
      </c>
      <c r="Y2025" s="738"/>
      <c r="Z2025" s="739"/>
      <c r="AA2025" s="739"/>
      <c r="AB2025" s="740">
        <v>25</v>
      </c>
      <c r="AC2025" s="741"/>
      <c r="AD2025" s="741" t="str">
        <f>'DICTIONARY-5'!$A$13</f>
        <v>woda pitna</v>
      </c>
      <c r="AE2025" s="742">
        <v>50</v>
      </c>
      <c r="AF2025" s="743">
        <v>14.5</v>
      </c>
      <c r="AG2025" s="741" t="str">
        <f>'DICTIONARY-5'!$A$23</f>
        <v>powłoka epoksydowa</v>
      </c>
    </row>
    <row r="2026" spans="1:33" x14ac:dyDescent="0.25">
      <c r="A2026" s="844" t="s">
        <v>5116</v>
      </c>
      <c r="B2026" s="844" t="s">
        <v>5344</v>
      </c>
      <c r="C2026" s="836">
        <v>305</v>
      </c>
      <c r="D2026" s="836"/>
      <c r="E2026" s="836"/>
      <c r="F2026" s="836"/>
      <c r="G2026" s="496" t="s">
        <v>7833</v>
      </c>
      <c r="H2026" s="797" t="str">
        <f>VLOOKUP(G2026,SETTINGS!$B$7:$D$97,2,0)</f>
        <v>TWINJET</v>
      </c>
      <c r="I2026" s="796">
        <f>VLOOKUP(G2026,SETTINGS!$B$7:$D$97,3,0)</f>
        <v>0</v>
      </c>
      <c r="J2026" s="670" t="str">
        <f>IFERROR(IF(CURRENCY.FORMAT_1=0,CONCATENATE(TEXT(FIXED(ROUND((C2026/EXC.RATE_1),CURRENCY.FORMAT_1),CURRENCY.FORMAT_1,1),"# ##0;-# ##0"),",-"),FIXED(ROUND((C2026/EXC.RATE_1),CURRENCY.FORMAT_1),CURRENCY.FORMAT_1,0)),'DICTIONARY-5'!$A$2)</f>
        <v>305,-</v>
      </c>
      <c r="K2026" s="670" t="str">
        <f>IF(EXC.RATE_2=0,"",IFERROR(IF(CURRENCY.FORMAT_2=0,CONCATENATE(TEXT(FIXED(ROUND(IF(EXC.RATE.SWITCH=1,C2026/EXC.RATE_2,C2026*EXC.RATE_2),CURRENCY.FORMAT_2),CURRENCY.FORMAT_2,1),"# ##0;-# ##0"),",-"),FIXED(ROUND(IF(EXC.RATE.SWITCH=1,C2026/EXC.RATE_2,C2026*EXC.RATE_2),CURRENCY.FORMAT_2),CURRENCY.FORMAT_2,0)),'DICTIONARY-5'!$A$2))</f>
        <v/>
      </c>
      <c r="L2026" s="670" t="str">
        <f>IFERROR(IF(CURRENCY.FORMAT_1=0,CONCATENATE(TEXT(FIXED(ROUND((C2026*(1-I2026)*(1-ADD.DISCOUNT)*(1+MAT.SURCHARGE)/EXC.RATE_1),CURRENCY.FORMAT_1),CURRENCY.FORMAT_1,1),"# ##0;-# ##0"),",-"),FIXED(ROUND((C2026*(1-I2026)*(1-ADD.DISCOUNT)*(1+MAT.SURCHARGE)/EXC.RATE_1),CURRENCY.FORMAT_1),CURRENCY.FORMAT_1,0)),'DICTIONARY-5'!$A$2)</f>
        <v>317,-</v>
      </c>
      <c r="M2026" s="670" t="str">
        <f>IF(EXC.RATE_2=0,"",IFERROR(IF(CURRENCY.FORMAT_2=0,CONCATENATE(TEXT(FIXED(ROUND(IF(EXC.RATE.SWITCH=1,C2026*(1-I2026)*(1-ADD.DISCOUNT)*(1+MAT.SURCHARGE)/EXC.RATE_2,C2026*(1-I2026)*(1-ADD.DISCOUNT)*(1+MAT.SURCHARGE)*EXC.RATE_2),CURRENCY.FORMAT_2),CURRENCY.FORMAT_2,1),"# ##0;-# ##0"),",-"),FIXED(ROUND(IF(EXC.RATE.SWITCH=1,C2026*(1-I2026)*(1-ADD.DISCOUNT)*(1+MAT.SURCHARGE)/EXC.RATE_2,C2026*(1-I2026)*(1-ADD.DISCOUNT)*(1+MAT.SURCHARGE)*EXC.RATE_2),CURRENCY.FORMAT_2),CURRENCY.FORMAT_2,0)),'DICTIONARY-5'!$A$2))</f>
        <v/>
      </c>
      <c r="N2026" s="496">
        <v>8</v>
      </c>
      <c r="O2026" s="654" t="s">
        <v>7363</v>
      </c>
      <c r="P2026" s="731" t="str">
        <f>'DICTIONARY-3'!$A$109</f>
        <v>TWINJET</v>
      </c>
      <c r="Q2026" s="732" t="str">
        <f>'DICTIONARY-3'!$A$206</f>
        <v>Zawór na- i odpowietrzający</v>
      </c>
      <c r="R2026" s="732" t="str">
        <f>CONCATENATE('DICTIONARY-3'!$A$109," ",'DICTIONARY-6'!$A$7," ",'DICTIONARY-2'!$A$2,"65"," ",'DICTIONARY-2'!$A$3,"10/16/25 G1¼")</f>
        <v>TWINJET Zaw. na-/odpowietrz. DN65 PN10/16/25 G1¼</v>
      </c>
      <c r="S2026" s="733" t="str">
        <f>'DICTIONARY-4'!$A$17</f>
        <v>AS</v>
      </c>
      <c r="T2026" s="732" t="str">
        <f>'DICTIONARY-4'!$A$33</f>
        <v>Automatyczne sterowanie</v>
      </c>
      <c r="U2026" s="734" t="s">
        <v>5759</v>
      </c>
      <c r="V2026" s="735">
        <v>25</v>
      </c>
      <c r="W2026" s="736"/>
      <c r="X2026" s="750" t="s">
        <v>5740</v>
      </c>
      <c r="Y2026" s="738"/>
      <c r="Z2026" s="739"/>
      <c r="AA2026" s="739"/>
      <c r="AB2026" s="740">
        <v>25</v>
      </c>
      <c r="AC2026" s="741"/>
      <c r="AD2026" s="741" t="str">
        <f>'DICTIONARY-5'!$A$13</f>
        <v>woda pitna</v>
      </c>
      <c r="AE2026" s="742">
        <v>50</v>
      </c>
      <c r="AF2026" s="743">
        <v>15.5</v>
      </c>
      <c r="AG2026" s="741" t="str">
        <f>'DICTIONARY-5'!$A$23</f>
        <v>powłoka epoksydowa</v>
      </c>
    </row>
    <row r="2027" spans="1:33" x14ac:dyDescent="0.25">
      <c r="A2027" s="844" t="s">
        <v>5118</v>
      </c>
      <c r="B2027" s="844" t="s">
        <v>5345</v>
      </c>
      <c r="C2027" s="836">
        <v>364</v>
      </c>
      <c r="D2027" s="836"/>
      <c r="E2027" s="836"/>
      <c r="F2027" s="836"/>
      <c r="G2027" s="496" t="s">
        <v>7833</v>
      </c>
      <c r="H2027" s="797" t="str">
        <f>VLOOKUP(G2027,SETTINGS!$B$7:$D$97,2,0)</f>
        <v>TWINJET</v>
      </c>
      <c r="I2027" s="796">
        <f>VLOOKUP(G2027,SETTINGS!$B$7:$D$97,3,0)</f>
        <v>0</v>
      </c>
      <c r="J2027" s="670" t="str">
        <f>IFERROR(IF(CURRENCY.FORMAT_1=0,CONCATENATE(TEXT(FIXED(ROUND((C2027/EXC.RATE_1),CURRENCY.FORMAT_1),CURRENCY.FORMAT_1,1),"# ##0;-# ##0"),",-"),FIXED(ROUND((C2027/EXC.RATE_1),CURRENCY.FORMAT_1),CURRENCY.FORMAT_1,0)),'DICTIONARY-5'!$A$2)</f>
        <v>364,-</v>
      </c>
      <c r="K2027" s="670" t="str">
        <f>IF(EXC.RATE_2=0,"",IFERROR(IF(CURRENCY.FORMAT_2=0,CONCATENATE(TEXT(FIXED(ROUND(IF(EXC.RATE.SWITCH=1,C2027/EXC.RATE_2,C2027*EXC.RATE_2),CURRENCY.FORMAT_2),CURRENCY.FORMAT_2,1),"# ##0;-# ##0"),",-"),FIXED(ROUND(IF(EXC.RATE.SWITCH=1,C2027/EXC.RATE_2,C2027*EXC.RATE_2),CURRENCY.FORMAT_2),CURRENCY.FORMAT_2,0)),'DICTIONARY-5'!$A$2))</f>
        <v/>
      </c>
      <c r="L2027" s="670" t="str">
        <f>IFERROR(IF(CURRENCY.FORMAT_1=0,CONCATENATE(TEXT(FIXED(ROUND((C2027*(1-I2027)*(1-ADD.DISCOUNT)*(1+MAT.SURCHARGE)/EXC.RATE_1),CURRENCY.FORMAT_1),CURRENCY.FORMAT_1,1),"# ##0;-# ##0"),",-"),FIXED(ROUND((C2027*(1-I2027)*(1-ADD.DISCOUNT)*(1+MAT.SURCHARGE)/EXC.RATE_1),CURRENCY.FORMAT_1),CURRENCY.FORMAT_1,0)),'DICTIONARY-5'!$A$2)</f>
        <v>378,-</v>
      </c>
      <c r="M2027" s="670" t="str">
        <f>IF(EXC.RATE_2=0,"",IFERROR(IF(CURRENCY.FORMAT_2=0,CONCATENATE(TEXT(FIXED(ROUND(IF(EXC.RATE.SWITCH=1,C2027*(1-I2027)*(1-ADD.DISCOUNT)*(1+MAT.SURCHARGE)/EXC.RATE_2,C2027*(1-I2027)*(1-ADD.DISCOUNT)*(1+MAT.SURCHARGE)*EXC.RATE_2),CURRENCY.FORMAT_2),CURRENCY.FORMAT_2,1),"# ##0;-# ##0"),",-"),FIXED(ROUND(IF(EXC.RATE.SWITCH=1,C2027*(1-I2027)*(1-ADD.DISCOUNT)*(1+MAT.SURCHARGE)/EXC.RATE_2,C2027*(1-I2027)*(1-ADD.DISCOUNT)*(1+MAT.SURCHARGE)*EXC.RATE_2),CURRENCY.FORMAT_2),CURRENCY.FORMAT_2,0)),'DICTIONARY-5'!$A$2))</f>
        <v/>
      </c>
      <c r="N2027" s="496">
        <v>8</v>
      </c>
      <c r="O2027" s="654" t="s">
        <v>7363</v>
      </c>
      <c r="P2027" s="731" t="str">
        <f>'DICTIONARY-3'!$A$109</f>
        <v>TWINJET</v>
      </c>
      <c r="Q2027" s="732" t="str">
        <f>'DICTIONARY-3'!$A$206</f>
        <v>Zawór na- i odpowietrzający</v>
      </c>
      <c r="R2027" s="732" t="str">
        <f>CONCATENATE('DICTIONARY-3'!$A$109," ",'DICTIONARY-6'!$A$7," ",'DICTIONARY-2'!$A$2,"80"," ",'DICTIONARY-2'!$A$3,"10/16/25 G2")</f>
        <v>TWINJET Zaw. na-/odpowietrz. DN80 PN10/16/25 G2</v>
      </c>
      <c r="S2027" s="733" t="str">
        <f>'DICTIONARY-4'!$A$17</f>
        <v>AS</v>
      </c>
      <c r="T2027" s="732" t="str">
        <f>'DICTIONARY-4'!$A$33</f>
        <v>Automatyczne sterowanie</v>
      </c>
      <c r="U2027" s="734" t="s">
        <v>5760</v>
      </c>
      <c r="V2027" s="735">
        <v>25</v>
      </c>
      <c r="W2027" s="736"/>
      <c r="X2027" s="750" t="s">
        <v>50</v>
      </c>
      <c r="Y2027" s="738"/>
      <c r="Z2027" s="739"/>
      <c r="AA2027" s="739"/>
      <c r="AB2027" s="740">
        <v>25</v>
      </c>
      <c r="AC2027" s="741"/>
      <c r="AD2027" s="741" t="str">
        <f>'DICTIONARY-5'!$A$13</f>
        <v>woda pitna</v>
      </c>
      <c r="AE2027" s="742">
        <v>50</v>
      </c>
      <c r="AF2027" s="743">
        <v>21.5</v>
      </c>
      <c r="AG2027" s="741" t="str">
        <f>'DICTIONARY-5'!$A$23</f>
        <v>powłoka epoksydowa</v>
      </c>
    </row>
    <row r="2028" spans="1:33" x14ac:dyDescent="0.25">
      <c r="A2028" s="844" t="s">
        <v>5120</v>
      </c>
      <c r="B2028" s="844" t="s">
        <v>5346</v>
      </c>
      <c r="C2028" s="836">
        <v>398</v>
      </c>
      <c r="D2028" s="836"/>
      <c r="E2028" s="836"/>
      <c r="F2028" s="836"/>
      <c r="G2028" s="496" t="s">
        <v>7833</v>
      </c>
      <c r="H2028" s="797" t="str">
        <f>VLOOKUP(G2028,SETTINGS!$B$7:$D$97,2,0)</f>
        <v>TWINJET</v>
      </c>
      <c r="I2028" s="796">
        <f>VLOOKUP(G2028,SETTINGS!$B$7:$D$97,3,0)</f>
        <v>0</v>
      </c>
      <c r="J2028" s="670" t="str">
        <f>IFERROR(IF(CURRENCY.FORMAT_1=0,CONCATENATE(TEXT(FIXED(ROUND((C2028/EXC.RATE_1),CURRENCY.FORMAT_1),CURRENCY.FORMAT_1,1),"# ##0;-# ##0"),",-"),FIXED(ROUND((C2028/EXC.RATE_1),CURRENCY.FORMAT_1),CURRENCY.FORMAT_1,0)),'DICTIONARY-5'!$A$2)</f>
        <v>398,-</v>
      </c>
      <c r="K2028" s="670" t="str">
        <f>IF(EXC.RATE_2=0,"",IFERROR(IF(CURRENCY.FORMAT_2=0,CONCATENATE(TEXT(FIXED(ROUND(IF(EXC.RATE.SWITCH=1,C2028/EXC.RATE_2,C2028*EXC.RATE_2),CURRENCY.FORMAT_2),CURRENCY.FORMAT_2,1),"# ##0;-# ##0"),",-"),FIXED(ROUND(IF(EXC.RATE.SWITCH=1,C2028/EXC.RATE_2,C2028*EXC.RATE_2),CURRENCY.FORMAT_2),CURRENCY.FORMAT_2,0)),'DICTIONARY-5'!$A$2))</f>
        <v/>
      </c>
      <c r="L2028" s="670" t="str">
        <f>IFERROR(IF(CURRENCY.FORMAT_1=0,CONCATENATE(TEXT(FIXED(ROUND((C2028*(1-I2028)*(1-ADD.DISCOUNT)*(1+MAT.SURCHARGE)/EXC.RATE_1),CURRENCY.FORMAT_1),CURRENCY.FORMAT_1,1),"# ##0;-# ##0"),",-"),FIXED(ROUND((C2028*(1-I2028)*(1-ADD.DISCOUNT)*(1+MAT.SURCHARGE)/EXC.RATE_1),CURRENCY.FORMAT_1),CURRENCY.FORMAT_1,0)),'DICTIONARY-5'!$A$2)</f>
        <v>414,-</v>
      </c>
      <c r="M2028" s="670" t="str">
        <f>IF(EXC.RATE_2=0,"",IFERROR(IF(CURRENCY.FORMAT_2=0,CONCATENATE(TEXT(FIXED(ROUND(IF(EXC.RATE.SWITCH=1,C2028*(1-I2028)*(1-ADD.DISCOUNT)*(1+MAT.SURCHARGE)/EXC.RATE_2,C2028*(1-I2028)*(1-ADD.DISCOUNT)*(1+MAT.SURCHARGE)*EXC.RATE_2),CURRENCY.FORMAT_2),CURRENCY.FORMAT_2,1),"# ##0;-# ##0"),",-"),FIXED(ROUND(IF(EXC.RATE.SWITCH=1,C2028*(1-I2028)*(1-ADD.DISCOUNT)*(1+MAT.SURCHARGE)/EXC.RATE_2,C2028*(1-I2028)*(1-ADD.DISCOUNT)*(1+MAT.SURCHARGE)*EXC.RATE_2),CURRENCY.FORMAT_2),CURRENCY.FORMAT_2,0)),'DICTIONARY-5'!$A$2))</f>
        <v/>
      </c>
      <c r="N2028" s="496">
        <v>8</v>
      </c>
      <c r="O2028" s="654" t="s">
        <v>7363</v>
      </c>
      <c r="P2028" s="731" t="str">
        <f>'DICTIONARY-3'!$A$109</f>
        <v>TWINJET</v>
      </c>
      <c r="Q2028" s="732" t="str">
        <f>'DICTIONARY-3'!$A$206</f>
        <v>Zawór na- i odpowietrzający</v>
      </c>
      <c r="R2028" s="732" t="str">
        <f>CONCATENATE('DICTIONARY-3'!$A$109," ",'DICTIONARY-6'!$A$7," ",'DICTIONARY-2'!$A$2,"100"," ",'DICTIONARY-2'!$A$3,"10/16"," ","G2½")</f>
        <v>TWINJET Zaw. na-/odpowietrz. DN100 PN10/16 G2½</v>
      </c>
      <c r="S2028" s="733" t="str">
        <f>'DICTIONARY-4'!$A$17</f>
        <v>AS</v>
      </c>
      <c r="T2028" s="732" t="str">
        <f>'DICTIONARY-4'!$A$33</f>
        <v>Automatyczne sterowanie</v>
      </c>
      <c r="U2028" s="734" t="s">
        <v>5749</v>
      </c>
      <c r="V2028" s="735">
        <v>16</v>
      </c>
      <c r="W2028" s="736"/>
      <c r="X2028" s="750" t="s">
        <v>5744</v>
      </c>
      <c r="Y2028" s="738"/>
      <c r="Z2028" s="739"/>
      <c r="AA2028" s="739"/>
      <c r="AB2028" s="740">
        <v>16</v>
      </c>
      <c r="AC2028" s="741"/>
      <c r="AD2028" s="741" t="str">
        <f>'DICTIONARY-5'!$A$13</f>
        <v>woda pitna</v>
      </c>
      <c r="AE2028" s="742">
        <v>50</v>
      </c>
      <c r="AF2028" s="743">
        <v>26</v>
      </c>
      <c r="AG2028" s="741" t="str">
        <f>'DICTIONARY-5'!$A$23</f>
        <v>powłoka epoksydowa</v>
      </c>
    </row>
    <row r="2029" spans="1:33" x14ac:dyDescent="0.25">
      <c r="A2029" s="844" t="s">
        <v>5123</v>
      </c>
      <c r="B2029" s="844" t="s">
        <v>5347</v>
      </c>
      <c r="C2029" s="836">
        <v>646</v>
      </c>
      <c r="D2029" s="836"/>
      <c r="E2029" s="836"/>
      <c r="F2029" s="836"/>
      <c r="G2029" s="496" t="s">
        <v>7833</v>
      </c>
      <c r="H2029" s="797" t="str">
        <f>VLOOKUP(G2029,SETTINGS!$B$7:$D$97,2,0)</f>
        <v>TWINJET</v>
      </c>
      <c r="I2029" s="796">
        <f>VLOOKUP(G2029,SETTINGS!$B$7:$D$97,3,0)</f>
        <v>0</v>
      </c>
      <c r="J2029" s="670" t="str">
        <f>IFERROR(IF(CURRENCY.FORMAT_1=0,CONCATENATE(TEXT(FIXED(ROUND((C2029/EXC.RATE_1),CURRENCY.FORMAT_1),CURRENCY.FORMAT_1,1),"# ##0;-# ##0"),",-"),FIXED(ROUND((C2029/EXC.RATE_1),CURRENCY.FORMAT_1),CURRENCY.FORMAT_1,0)),'DICTIONARY-5'!$A$2)</f>
        <v>646,-</v>
      </c>
      <c r="K2029" s="670" t="str">
        <f>IF(EXC.RATE_2=0,"",IFERROR(IF(CURRENCY.FORMAT_2=0,CONCATENATE(TEXT(FIXED(ROUND(IF(EXC.RATE.SWITCH=1,C2029/EXC.RATE_2,C2029*EXC.RATE_2),CURRENCY.FORMAT_2),CURRENCY.FORMAT_2,1),"# ##0;-# ##0"),",-"),FIXED(ROUND(IF(EXC.RATE.SWITCH=1,C2029/EXC.RATE_2,C2029*EXC.RATE_2),CURRENCY.FORMAT_2),CURRENCY.FORMAT_2,0)),'DICTIONARY-5'!$A$2))</f>
        <v/>
      </c>
      <c r="L2029" s="670" t="str">
        <f>IFERROR(IF(CURRENCY.FORMAT_1=0,CONCATENATE(TEXT(FIXED(ROUND((C2029*(1-I2029)*(1-ADD.DISCOUNT)*(1+MAT.SURCHARGE)/EXC.RATE_1),CURRENCY.FORMAT_1),CURRENCY.FORMAT_1,1),"# ##0;-# ##0"),",-"),FIXED(ROUND((C2029*(1-I2029)*(1-ADD.DISCOUNT)*(1+MAT.SURCHARGE)/EXC.RATE_1),CURRENCY.FORMAT_1),CURRENCY.FORMAT_1,0)),'DICTIONARY-5'!$A$2)</f>
        <v>671,-</v>
      </c>
      <c r="M2029" s="670" t="str">
        <f>IF(EXC.RATE_2=0,"",IFERROR(IF(CURRENCY.FORMAT_2=0,CONCATENATE(TEXT(FIXED(ROUND(IF(EXC.RATE.SWITCH=1,C2029*(1-I2029)*(1-ADD.DISCOUNT)*(1+MAT.SURCHARGE)/EXC.RATE_2,C2029*(1-I2029)*(1-ADD.DISCOUNT)*(1+MAT.SURCHARGE)*EXC.RATE_2),CURRENCY.FORMAT_2),CURRENCY.FORMAT_2,1),"# ##0;-# ##0"),",-"),FIXED(ROUND(IF(EXC.RATE.SWITCH=1,C2029*(1-I2029)*(1-ADD.DISCOUNT)*(1+MAT.SURCHARGE)/EXC.RATE_2,C2029*(1-I2029)*(1-ADD.DISCOUNT)*(1+MAT.SURCHARGE)*EXC.RATE_2),CURRENCY.FORMAT_2),CURRENCY.FORMAT_2,0)),'DICTIONARY-5'!$A$2))</f>
        <v/>
      </c>
      <c r="N2029" s="496">
        <v>8</v>
      </c>
      <c r="O2029" s="654" t="s">
        <v>7363</v>
      </c>
      <c r="P2029" s="731" t="str">
        <f>'DICTIONARY-3'!$A$109</f>
        <v>TWINJET</v>
      </c>
      <c r="Q2029" s="732" t="str">
        <f>'DICTIONARY-3'!$A$206</f>
        <v>Zawór na- i odpowietrzający</v>
      </c>
      <c r="R2029" s="732" t="str">
        <f>CONCATENATE('DICTIONARY-3'!$A$109," ",'DICTIONARY-6'!$A$7," ",'DICTIONARY-2'!$A$2,"150"," ",'DICTIONARY-2'!$A$3,"10/16"," ","G4")</f>
        <v>TWINJET Zaw. na-/odpowietrz. DN150 PN10/16 G4</v>
      </c>
      <c r="S2029" s="733" t="str">
        <f>'DICTIONARY-4'!$A$17</f>
        <v>AS</v>
      </c>
      <c r="T2029" s="732" t="str">
        <f>'DICTIONARY-4'!$A$33</f>
        <v>Automatyczne sterowanie</v>
      </c>
      <c r="U2029" s="734" t="s">
        <v>5572</v>
      </c>
      <c r="V2029" s="735">
        <v>16</v>
      </c>
      <c r="W2029" s="736"/>
      <c r="X2029" s="750" t="s">
        <v>53</v>
      </c>
      <c r="Y2029" s="738"/>
      <c r="Z2029" s="739"/>
      <c r="AA2029" s="739"/>
      <c r="AB2029" s="740">
        <v>16</v>
      </c>
      <c r="AC2029" s="741"/>
      <c r="AD2029" s="741" t="str">
        <f>'DICTIONARY-5'!$A$13</f>
        <v>woda pitna</v>
      </c>
      <c r="AE2029" s="742">
        <v>50</v>
      </c>
      <c r="AF2029" s="743">
        <v>53</v>
      </c>
      <c r="AG2029" s="741" t="str">
        <f>'DICTIONARY-5'!$A$23</f>
        <v>powłoka epoksydowa</v>
      </c>
    </row>
    <row r="2030" spans="1:33" x14ac:dyDescent="0.25">
      <c r="A2030" s="844" t="s">
        <v>5125</v>
      </c>
      <c r="B2030" s="844" t="s">
        <v>5348</v>
      </c>
      <c r="C2030" s="836">
        <v>641</v>
      </c>
      <c r="D2030" s="836"/>
      <c r="E2030" s="836"/>
      <c r="F2030" s="836"/>
      <c r="G2030" s="496" t="s">
        <v>7833</v>
      </c>
      <c r="H2030" s="797" t="str">
        <f>VLOOKUP(G2030,SETTINGS!$B$7:$D$97,2,0)</f>
        <v>TWINJET</v>
      </c>
      <c r="I2030" s="796">
        <f>VLOOKUP(G2030,SETTINGS!$B$7:$D$97,3,0)</f>
        <v>0</v>
      </c>
      <c r="J2030" s="670" t="str">
        <f>IFERROR(IF(CURRENCY.FORMAT_1=0,CONCATENATE(TEXT(FIXED(ROUND((C2030/EXC.RATE_1),CURRENCY.FORMAT_1),CURRENCY.FORMAT_1,1),"# ##0;-# ##0"),",-"),FIXED(ROUND((C2030/EXC.RATE_1),CURRENCY.FORMAT_1),CURRENCY.FORMAT_1,0)),'DICTIONARY-5'!$A$2)</f>
        <v>641,-</v>
      </c>
      <c r="K2030" s="670" t="str">
        <f>IF(EXC.RATE_2=0,"",IFERROR(IF(CURRENCY.FORMAT_2=0,CONCATENATE(TEXT(FIXED(ROUND(IF(EXC.RATE.SWITCH=1,C2030/EXC.RATE_2,C2030*EXC.RATE_2),CURRENCY.FORMAT_2),CURRENCY.FORMAT_2,1),"# ##0;-# ##0"),",-"),FIXED(ROUND(IF(EXC.RATE.SWITCH=1,C2030/EXC.RATE_2,C2030*EXC.RATE_2),CURRENCY.FORMAT_2),CURRENCY.FORMAT_2,0)),'DICTIONARY-5'!$A$2))</f>
        <v/>
      </c>
      <c r="L2030" s="670" t="str">
        <f>IFERROR(IF(CURRENCY.FORMAT_1=0,CONCATENATE(TEXT(FIXED(ROUND((C2030*(1-I2030)*(1-ADD.DISCOUNT)*(1+MAT.SURCHARGE)/EXC.RATE_1),CURRENCY.FORMAT_1),CURRENCY.FORMAT_1,1),"# ##0;-# ##0"),",-"),FIXED(ROUND((C2030*(1-I2030)*(1-ADD.DISCOUNT)*(1+MAT.SURCHARGE)/EXC.RATE_1),CURRENCY.FORMAT_1),CURRENCY.FORMAT_1,0)),'DICTIONARY-5'!$A$2)</f>
        <v>666,-</v>
      </c>
      <c r="M2030" s="670" t="str">
        <f>IF(EXC.RATE_2=0,"",IFERROR(IF(CURRENCY.FORMAT_2=0,CONCATENATE(TEXT(FIXED(ROUND(IF(EXC.RATE.SWITCH=1,C2030*(1-I2030)*(1-ADD.DISCOUNT)*(1+MAT.SURCHARGE)/EXC.RATE_2,C2030*(1-I2030)*(1-ADD.DISCOUNT)*(1+MAT.SURCHARGE)*EXC.RATE_2),CURRENCY.FORMAT_2),CURRENCY.FORMAT_2,1),"# ##0;-# ##0"),",-"),FIXED(ROUND(IF(EXC.RATE.SWITCH=1,C2030*(1-I2030)*(1-ADD.DISCOUNT)*(1+MAT.SURCHARGE)/EXC.RATE_2,C2030*(1-I2030)*(1-ADD.DISCOUNT)*(1+MAT.SURCHARGE)*EXC.RATE_2),CURRENCY.FORMAT_2),CURRENCY.FORMAT_2,0)),'DICTIONARY-5'!$A$2))</f>
        <v/>
      </c>
      <c r="N2030" s="496">
        <v>8</v>
      </c>
      <c r="O2030" s="654" t="s">
        <v>7363</v>
      </c>
      <c r="P2030" s="731" t="str">
        <f>'DICTIONARY-3'!$A$109</f>
        <v>TWINJET</v>
      </c>
      <c r="Q2030" s="732" t="str">
        <f>'DICTIONARY-3'!$A$206</f>
        <v>Zawór na- i odpowietrzający</v>
      </c>
      <c r="R2030" s="732" t="str">
        <f>CONCATENATE('DICTIONARY-3'!$A$109," ",'DICTIONARY-6'!$A$7," ",'DICTIONARY-2'!$A$2,"200"," ",'DICTIONARY-2'!$A$3,"10"," ","G4")</f>
        <v>TWINJET Zaw. na-/odpowietrz. DN200 PN10 G4</v>
      </c>
      <c r="S2030" s="733" t="str">
        <f>'DICTIONARY-4'!$A$17</f>
        <v>AS</v>
      </c>
      <c r="T2030" s="732" t="str">
        <f>'DICTIONARY-4'!$A$33</f>
        <v>Automatyczne sterowanie</v>
      </c>
      <c r="U2030" s="734" t="s">
        <v>5750</v>
      </c>
      <c r="V2030" s="735">
        <v>10</v>
      </c>
      <c r="W2030" s="736"/>
      <c r="X2030" s="750" t="s">
        <v>53</v>
      </c>
      <c r="Y2030" s="738"/>
      <c r="Z2030" s="739"/>
      <c r="AA2030" s="739"/>
      <c r="AB2030" s="740">
        <v>10</v>
      </c>
      <c r="AC2030" s="741"/>
      <c r="AD2030" s="741" t="str">
        <f>'DICTIONARY-5'!$A$13</f>
        <v>woda pitna</v>
      </c>
      <c r="AE2030" s="742">
        <v>50</v>
      </c>
      <c r="AF2030" s="743">
        <v>58</v>
      </c>
      <c r="AG2030" s="741" t="str">
        <f>'DICTIONARY-5'!$A$23</f>
        <v>powłoka epoksydowa</v>
      </c>
    </row>
    <row r="2031" spans="1:33" x14ac:dyDescent="0.25">
      <c r="A2031" s="844" t="s">
        <v>5127</v>
      </c>
      <c r="B2031" s="844" t="s">
        <v>5349</v>
      </c>
      <c r="C2031" s="836">
        <v>653</v>
      </c>
      <c r="D2031" s="836"/>
      <c r="E2031" s="836"/>
      <c r="F2031" s="836"/>
      <c r="G2031" s="496" t="s">
        <v>7833</v>
      </c>
      <c r="H2031" s="797" t="str">
        <f>VLOOKUP(G2031,SETTINGS!$B$7:$D$97,2,0)</f>
        <v>TWINJET</v>
      </c>
      <c r="I2031" s="796">
        <f>VLOOKUP(G2031,SETTINGS!$B$7:$D$97,3,0)</f>
        <v>0</v>
      </c>
      <c r="J2031" s="670" t="str">
        <f>IFERROR(IF(CURRENCY.FORMAT_1=0,CONCATENATE(TEXT(FIXED(ROUND((C2031/EXC.RATE_1),CURRENCY.FORMAT_1),CURRENCY.FORMAT_1,1),"# ##0;-# ##0"),",-"),FIXED(ROUND((C2031/EXC.RATE_1),CURRENCY.FORMAT_1),CURRENCY.FORMAT_1,0)),'DICTIONARY-5'!$A$2)</f>
        <v>653,-</v>
      </c>
      <c r="K2031" s="670" t="str">
        <f>IF(EXC.RATE_2=0,"",IFERROR(IF(CURRENCY.FORMAT_2=0,CONCATENATE(TEXT(FIXED(ROUND(IF(EXC.RATE.SWITCH=1,C2031/EXC.RATE_2,C2031*EXC.RATE_2),CURRENCY.FORMAT_2),CURRENCY.FORMAT_2,1),"# ##0;-# ##0"),",-"),FIXED(ROUND(IF(EXC.RATE.SWITCH=1,C2031/EXC.RATE_2,C2031*EXC.RATE_2),CURRENCY.FORMAT_2),CURRENCY.FORMAT_2,0)),'DICTIONARY-5'!$A$2))</f>
        <v/>
      </c>
      <c r="L2031" s="670" t="str">
        <f>IFERROR(IF(CURRENCY.FORMAT_1=0,CONCATENATE(TEXT(FIXED(ROUND((C2031*(1-I2031)*(1-ADD.DISCOUNT)*(1+MAT.SURCHARGE)/EXC.RATE_1),CURRENCY.FORMAT_1),CURRENCY.FORMAT_1,1),"# ##0;-# ##0"),",-"),FIXED(ROUND((C2031*(1-I2031)*(1-ADD.DISCOUNT)*(1+MAT.SURCHARGE)/EXC.RATE_1),CURRENCY.FORMAT_1),CURRENCY.FORMAT_1,0)),'DICTIONARY-5'!$A$2)</f>
        <v>678,-</v>
      </c>
      <c r="M2031" s="670" t="str">
        <f>IF(EXC.RATE_2=0,"",IFERROR(IF(CURRENCY.FORMAT_2=0,CONCATENATE(TEXT(FIXED(ROUND(IF(EXC.RATE.SWITCH=1,C2031*(1-I2031)*(1-ADD.DISCOUNT)*(1+MAT.SURCHARGE)/EXC.RATE_2,C2031*(1-I2031)*(1-ADD.DISCOUNT)*(1+MAT.SURCHARGE)*EXC.RATE_2),CURRENCY.FORMAT_2),CURRENCY.FORMAT_2,1),"# ##0;-# ##0"),",-"),FIXED(ROUND(IF(EXC.RATE.SWITCH=1,C2031*(1-I2031)*(1-ADD.DISCOUNT)*(1+MAT.SURCHARGE)/EXC.RATE_2,C2031*(1-I2031)*(1-ADD.DISCOUNT)*(1+MAT.SURCHARGE)*EXC.RATE_2),CURRENCY.FORMAT_2),CURRENCY.FORMAT_2,0)),'DICTIONARY-5'!$A$2))</f>
        <v/>
      </c>
      <c r="N2031" s="496">
        <v>8</v>
      </c>
      <c r="O2031" s="654" t="s">
        <v>7363</v>
      </c>
      <c r="P2031" s="731" t="str">
        <f>'DICTIONARY-3'!$A$109</f>
        <v>TWINJET</v>
      </c>
      <c r="Q2031" s="732" t="str">
        <f>'DICTIONARY-3'!$A$206</f>
        <v>Zawór na- i odpowietrzający</v>
      </c>
      <c r="R2031" s="732" t="str">
        <f>CONCATENATE('DICTIONARY-3'!$A$109," ",'DICTIONARY-6'!$A$7," ",'DICTIONARY-2'!$A$2,"200"," ",'DICTIONARY-2'!$A$3,"16"," ","G4")</f>
        <v>TWINJET Zaw. na-/odpowietrz. DN200 PN16 G4</v>
      </c>
      <c r="S2031" s="733" t="str">
        <f>'DICTIONARY-4'!$A$17</f>
        <v>AS</v>
      </c>
      <c r="T2031" s="732" t="str">
        <f>'DICTIONARY-4'!$A$33</f>
        <v>Automatyczne sterowanie</v>
      </c>
      <c r="U2031" s="734" t="s">
        <v>5750</v>
      </c>
      <c r="V2031" s="735">
        <v>16</v>
      </c>
      <c r="W2031" s="736"/>
      <c r="X2031" s="750" t="s">
        <v>53</v>
      </c>
      <c r="Y2031" s="738"/>
      <c r="Z2031" s="739"/>
      <c r="AA2031" s="739"/>
      <c r="AB2031" s="740">
        <v>16</v>
      </c>
      <c r="AC2031" s="741"/>
      <c r="AD2031" s="741" t="str">
        <f>'DICTIONARY-5'!$A$13</f>
        <v>woda pitna</v>
      </c>
      <c r="AE2031" s="742">
        <v>50</v>
      </c>
      <c r="AF2031" s="743">
        <v>55.5</v>
      </c>
      <c r="AG2031" s="741" t="str">
        <f>'DICTIONARY-5'!$A$23</f>
        <v>powłoka epoksydowa</v>
      </c>
    </row>
    <row r="2032" spans="1:33" x14ac:dyDescent="0.25">
      <c r="A2032" s="844" t="s">
        <v>5129</v>
      </c>
      <c r="B2032" s="844" t="s">
        <v>5350</v>
      </c>
      <c r="C2032" s="836">
        <v>3276</v>
      </c>
      <c r="D2032" s="836"/>
      <c r="E2032" s="836"/>
      <c r="F2032" s="836"/>
      <c r="G2032" s="496" t="s">
        <v>7833</v>
      </c>
      <c r="H2032" s="797" t="str">
        <f>VLOOKUP(G2032,SETTINGS!$B$7:$D$97,2,0)</f>
        <v>TWINJET</v>
      </c>
      <c r="I2032" s="796">
        <f>VLOOKUP(G2032,SETTINGS!$B$7:$D$97,3,0)</f>
        <v>0</v>
      </c>
      <c r="J2032" s="670" t="str">
        <f>IFERROR(IF(CURRENCY.FORMAT_1=0,CONCATENATE(TEXT(FIXED(ROUND((C2032/EXC.RATE_1),CURRENCY.FORMAT_1),CURRENCY.FORMAT_1,1),"# ##0;-# ##0"),",-"),FIXED(ROUND((C2032/EXC.RATE_1),CURRENCY.FORMAT_1),CURRENCY.FORMAT_1,0)),'DICTIONARY-5'!$A$2)</f>
        <v>3 276,-</v>
      </c>
      <c r="K2032" s="670" t="str">
        <f>IF(EXC.RATE_2=0,"",IFERROR(IF(CURRENCY.FORMAT_2=0,CONCATENATE(TEXT(FIXED(ROUND(IF(EXC.RATE.SWITCH=1,C2032/EXC.RATE_2,C2032*EXC.RATE_2),CURRENCY.FORMAT_2),CURRENCY.FORMAT_2,1),"# ##0;-# ##0"),",-"),FIXED(ROUND(IF(EXC.RATE.SWITCH=1,C2032/EXC.RATE_2,C2032*EXC.RATE_2),CURRENCY.FORMAT_2),CURRENCY.FORMAT_2,0)),'DICTIONARY-5'!$A$2))</f>
        <v/>
      </c>
      <c r="L2032" s="670" t="str">
        <f>IFERROR(IF(CURRENCY.FORMAT_1=0,CONCATENATE(TEXT(FIXED(ROUND((C2032*(1-I2032)*(1-ADD.DISCOUNT)*(1+MAT.SURCHARGE)/EXC.RATE_1),CURRENCY.FORMAT_1),CURRENCY.FORMAT_1,1),"# ##0;-# ##0"),",-"),FIXED(ROUND((C2032*(1-I2032)*(1-ADD.DISCOUNT)*(1+MAT.SURCHARGE)/EXC.RATE_1),CURRENCY.FORMAT_1),CURRENCY.FORMAT_1,0)),'DICTIONARY-5'!$A$2)</f>
        <v>3 404,-</v>
      </c>
      <c r="M2032" s="670" t="str">
        <f>IF(EXC.RATE_2=0,"",IFERROR(IF(CURRENCY.FORMAT_2=0,CONCATENATE(TEXT(FIXED(ROUND(IF(EXC.RATE.SWITCH=1,C2032*(1-I2032)*(1-ADD.DISCOUNT)*(1+MAT.SURCHARGE)/EXC.RATE_2,C2032*(1-I2032)*(1-ADD.DISCOUNT)*(1+MAT.SURCHARGE)*EXC.RATE_2),CURRENCY.FORMAT_2),CURRENCY.FORMAT_2,1),"# ##0;-# ##0"),",-"),FIXED(ROUND(IF(EXC.RATE.SWITCH=1,C2032*(1-I2032)*(1-ADD.DISCOUNT)*(1+MAT.SURCHARGE)/EXC.RATE_2,C2032*(1-I2032)*(1-ADD.DISCOUNT)*(1+MAT.SURCHARGE)*EXC.RATE_2),CURRENCY.FORMAT_2),CURRENCY.FORMAT_2,0)),'DICTIONARY-5'!$A$2))</f>
        <v/>
      </c>
      <c r="N2032" s="496">
        <v>8</v>
      </c>
      <c r="O2032" s="654" t="s">
        <v>7363</v>
      </c>
      <c r="P2032" s="731" t="str">
        <f>'DICTIONARY-3'!$A$109</f>
        <v>TWINJET</v>
      </c>
      <c r="Q2032" s="732" t="str">
        <f>'DICTIONARY-3'!$A$206</f>
        <v>Zawór na- i odpowietrzający</v>
      </c>
      <c r="R2032" s="732" t="str">
        <f>CONCATENATE('DICTIONARY-3'!$A$109," ",'DICTIONARY-6'!$A$7," ",'DICTIONARY-2'!$A$2,"250"," ",'DICTIONARY-2'!$A$3,"10"," ","M220x3")</f>
        <v>TWINJET Zaw. na-/odpowietrz. DN250 PN10 M220x3</v>
      </c>
      <c r="S2032" s="733" t="str">
        <f>'DICTIONARY-4'!$A$17</f>
        <v>AS</v>
      </c>
      <c r="T2032" s="732" t="str">
        <f>'DICTIONARY-4'!$A$33</f>
        <v>Automatyczne sterowanie</v>
      </c>
      <c r="U2032" s="734" t="s">
        <v>5751</v>
      </c>
      <c r="V2032" s="735">
        <v>10</v>
      </c>
      <c r="W2032" s="736"/>
      <c r="X2032" s="733" t="s">
        <v>5868</v>
      </c>
      <c r="Y2032" s="738"/>
      <c r="Z2032" s="739"/>
      <c r="AA2032" s="739"/>
      <c r="AB2032" s="740">
        <v>10</v>
      </c>
      <c r="AC2032" s="741"/>
      <c r="AD2032" s="741" t="str">
        <f>'DICTIONARY-5'!$A$13</f>
        <v>woda pitna</v>
      </c>
      <c r="AE2032" s="742">
        <v>50</v>
      </c>
      <c r="AF2032" s="743">
        <v>267</v>
      </c>
      <c r="AG2032" s="741" t="str">
        <f>'DICTIONARY-5'!$A$23</f>
        <v>powłoka epoksydowa</v>
      </c>
    </row>
    <row r="2033" spans="1:33" x14ac:dyDescent="0.25">
      <c r="A2033" s="844" t="s">
        <v>5131</v>
      </c>
      <c r="B2033" s="844" t="s">
        <v>5351</v>
      </c>
      <c r="C2033" s="836">
        <v>3276</v>
      </c>
      <c r="D2033" s="836"/>
      <c r="E2033" s="836"/>
      <c r="F2033" s="836"/>
      <c r="G2033" s="496" t="s">
        <v>7833</v>
      </c>
      <c r="H2033" s="797" t="str">
        <f>VLOOKUP(G2033,SETTINGS!$B$7:$D$97,2,0)</f>
        <v>TWINJET</v>
      </c>
      <c r="I2033" s="796">
        <f>VLOOKUP(G2033,SETTINGS!$B$7:$D$97,3,0)</f>
        <v>0</v>
      </c>
      <c r="J2033" s="670" t="str">
        <f>IFERROR(IF(CURRENCY.FORMAT_1=0,CONCATENATE(TEXT(FIXED(ROUND((C2033/EXC.RATE_1),CURRENCY.FORMAT_1),CURRENCY.FORMAT_1,1),"# ##0;-# ##0"),",-"),FIXED(ROUND((C2033/EXC.RATE_1),CURRENCY.FORMAT_1),CURRENCY.FORMAT_1,0)),'DICTIONARY-5'!$A$2)</f>
        <v>3 276,-</v>
      </c>
      <c r="K2033" s="670" t="str">
        <f>IF(EXC.RATE_2=0,"",IFERROR(IF(CURRENCY.FORMAT_2=0,CONCATENATE(TEXT(FIXED(ROUND(IF(EXC.RATE.SWITCH=1,C2033/EXC.RATE_2,C2033*EXC.RATE_2),CURRENCY.FORMAT_2),CURRENCY.FORMAT_2,1),"# ##0;-# ##0"),",-"),FIXED(ROUND(IF(EXC.RATE.SWITCH=1,C2033/EXC.RATE_2,C2033*EXC.RATE_2),CURRENCY.FORMAT_2),CURRENCY.FORMAT_2,0)),'DICTIONARY-5'!$A$2))</f>
        <v/>
      </c>
      <c r="L2033" s="670" t="str">
        <f>IFERROR(IF(CURRENCY.FORMAT_1=0,CONCATENATE(TEXT(FIXED(ROUND((C2033*(1-I2033)*(1-ADD.DISCOUNT)*(1+MAT.SURCHARGE)/EXC.RATE_1),CURRENCY.FORMAT_1),CURRENCY.FORMAT_1,1),"# ##0;-# ##0"),",-"),FIXED(ROUND((C2033*(1-I2033)*(1-ADD.DISCOUNT)*(1+MAT.SURCHARGE)/EXC.RATE_1),CURRENCY.FORMAT_1),CURRENCY.FORMAT_1,0)),'DICTIONARY-5'!$A$2)</f>
        <v>3 404,-</v>
      </c>
      <c r="M2033" s="670" t="str">
        <f>IF(EXC.RATE_2=0,"",IFERROR(IF(CURRENCY.FORMAT_2=0,CONCATENATE(TEXT(FIXED(ROUND(IF(EXC.RATE.SWITCH=1,C2033*(1-I2033)*(1-ADD.DISCOUNT)*(1+MAT.SURCHARGE)/EXC.RATE_2,C2033*(1-I2033)*(1-ADD.DISCOUNT)*(1+MAT.SURCHARGE)*EXC.RATE_2),CURRENCY.FORMAT_2),CURRENCY.FORMAT_2,1),"# ##0;-# ##0"),",-"),FIXED(ROUND(IF(EXC.RATE.SWITCH=1,C2033*(1-I2033)*(1-ADD.DISCOUNT)*(1+MAT.SURCHARGE)/EXC.RATE_2,C2033*(1-I2033)*(1-ADD.DISCOUNT)*(1+MAT.SURCHARGE)*EXC.RATE_2),CURRENCY.FORMAT_2),CURRENCY.FORMAT_2,0)),'DICTIONARY-5'!$A$2))</f>
        <v/>
      </c>
      <c r="N2033" s="496">
        <v>8</v>
      </c>
      <c r="O2033" s="654" t="s">
        <v>7363</v>
      </c>
      <c r="P2033" s="731" t="str">
        <f>'DICTIONARY-3'!$A$109</f>
        <v>TWINJET</v>
      </c>
      <c r="Q2033" s="732" t="str">
        <f>'DICTIONARY-3'!$A$206</f>
        <v>Zawór na- i odpowietrzający</v>
      </c>
      <c r="R2033" s="732" t="str">
        <f>CONCATENATE('DICTIONARY-3'!$A$109," ",'DICTIONARY-6'!$A$7," ",'DICTIONARY-2'!$A$2,"250"," ",'DICTIONARY-2'!$A$3,"16"," ","M220x3")</f>
        <v>TWINJET Zaw. na-/odpowietrz. DN250 PN16 M220x3</v>
      </c>
      <c r="S2033" s="733" t="str">
        <f>'DICTIONARY-4'!$A$17</f>
        <v>AS</v>
      </c>
      <c r="T2033" s="732" t="str">
        <f>'DICTIONARY-4'!$A$33</f>
        <v>Automatyczne sterowanie</v>
      </c>
      <c r="U2033" s="734" t="s">
        <v>5751</v>
      </c>
      <c r="V2033" s="735">
        <v>16</v>
      </c>
      <c r="W2033" s="736"/>
      <c r="X2033" s="741" t="s">
        <v>5868</v>
      </c>
      <c r="Y2033" s="738"/>
      <c r="Z2033" s="739"/>
      <c r="AA2033" s="739"/>
      <c r="AB2033" s="740">
        <v>16</v>
      </c>
      <c r="AC2033" s="741"/>
      <c r="AD2033" s="741" t="str">
        <f>'DICTIONARY-5'!$A$13</f>
        <v>woda pitna</v>
      </c>
      <c r="AE2033" s="742">
        <v>50</v>
      </c>
      <c r="AF2033" s="743">
        <v>268.5</v>
      </c>
      <c r="AG2033" s="741" t="str">
        <f>'DICTIONARY-5'!$A$23</f>
        <v>powłoka epoksydowa</v>
      </c>
    </row>
    <row r="2034" spans="1:33" x14ac:dyDescent="0.25">
      <c r="A2034" s="844" t="s">
        <v>5132</v>
      </c>
      <c r="B2034" s="844" t="s">
        <v>5352</v>
      </c>
      <c r="C2034" s="836">
        <v>3455</v>
      </c>
      <c r="D2034" s="836"/>
      <c r="E2034" s="836"/>
      <c r="F2034" s="836"/>
      <c r="G2034" s="496" t="s">
        <v>7833</v>
      </c>
      <c r="H2034" s="797" t="str">
        <f>VLOOKUP(G2034,SETTINGS!$B$7:$D$97,2,0)</f>
        <v>TWINJET</v>
      </c>
      <c r="I2034" s="796">
        <f>VLOOKUP(G2034,SETTINGS!$B$7:$D$97,3,0)</f>
        <v>0</v>
      </c>
      <c r="J2034" s="670" t="str">
        <f>IFERROR(IF(CURRENCY.FORMAT_1=0,CONCATENATE(TEXT(FIXED(ROUND((C2034/EXC.RATE_1),CURRENCY.FORMAT_1),CURRENCY.FORMAT_1,1),"# ##0;-# ##0"),",-"),FIXED(ROUND((C2034/EXC.RATE_1),CURRENCY.FORMAT_1),CURRENCY.FORMAT_1,0)),'DICTIONARY-5'!$A$2)</f>
        <v>3 455,-</v>
      </c>
      <c r="K2034" s="670" t="str">
        <f>IF(EXC.RATE_2=0,"",IFERROR(IF(CURRENCY.FORMAT_2=0,CONCATENATE(TEXT(FIXED(ROUND(IF(EXC.RATE.SWITCH=1,C2034/EXC.RATE_2,C2034*EXC.RATE_2),CURRENCY.FORMAT_2),CURRENCY.FORMAT_2,1),"# ##0;-# ##0"),",-"),FIXED(ROUND(IF(EXC.RATE.SWITCH=1,C2034/EXC.RATE_2,C2034*EXC.RATE_2),CURRENCY.FORMAT_2),CURRENCY.FORMAT_2,0)),'DICTIONARY-5'!$A$2))</f>
        <v/>
      </c>
      <c r="L2034" s="670" t="str">
        <f>IFERROR(IF(CURRENCY.FORMAT_1=0,CONCATENATE(TEXT(FIXED(ROUND((C2034*(1-I2034)*(1-ADD.DISCOUNT)*(1+MAT.SURCHARGE)/EXC.RATE_1),CURRENCY.FORMAT_1),CURRENCY.FORMAT_1,1),"# ##0;-# ##0"),",-"),FIXED(ROUND((C2034*(1-I2034)*(1-ADD.DISCOUNT)*(1+MAT.SURCHARGE)/EXC.RATE_1),CURRENCY.FORMAT_1),CURRENCY.FORMAT_1,0)),'DICTIONARY-5'!$A$2)</f>
        <v>3 590,-</v>
      </c>
      <c r="M2034" s="670" t="str">
        <f>IF(EXC.RATE_2=0,"",IFERROR(IF(CURRENCY.FORMAT_2=0,CONCATENATE(TEXT(FIXED(ROUND(IF(EXC.RATE.SWITCH=1,C2034*(1-I2034)*(1-ADD.DISCOUNT)*(1+MAT.SURCHARGE)/EXC.RATE_2,C2034*(1-I2034)*(1-ADD.DISCOUNT)*(1+MAT.SURCHARGE)*EXC.RATE_2),CURRENCY.FORMAT_2),CURRENCY.FORMAT_2,1),"# ##0;-# ##0"),",-"),FIXED(ROUND(IF(EXC.RATE.SWITCH=1,C2034*(1-I2034)*(1-ADD.DISCOUNT)*(1+MAT.SURCHARGE)/EXC.RATE_2,C2034*(1-I2034)*(1-ADD.DISCOUNT)*(1+MAT.SURCHARGE)*EXC.RATE_2),CURRENCY.FORMAT_2),CURRENCY.FORMAT_2,0)),'DICTIONARY-5'!$A$2))</f>
        <v/>
      </c>
      <c r="N2034" s="496">
        <v>8</v>
      </c>
      <c r="O2034" s="654" t="s">
        <v>7363</v>
      </c>
      <c r="P2034" s="731" t="str">
        <f>'DICTIONARY-3'!$A$109</f>
        <v>TWINJET</v>
      </c>
      <c r="Q2034" s="732" t="str">
        <f>'DICTIONARY-3'!$A$206</f>
        <v>Zawór na- i odpowietrzający</v>
      </c>
      <c r="R2034" s="732" t="str">
        <f>CONCATENATE('DICTIONARY-3'!$A$109," ",'DICTIONARY-6'!$A$7," ",'DICTIONARY-2'!$A$2,"300"," ",'DICTIONARY-2'!$A$3,"10"," ","M220x3")</f>
        <v>TWINJET Zaw. na-/odpowietrz. DN300 PN10 M220x3</v>
      </c>
      <c r="S2034" s="733" t="str">
        <f>'DICTIONARY-4'!$A$17</f>
        <v>AS</v>
      </c>
      <c r="T2034" s="732" t="str">
        <f>'DICTIONARY-4'!$A$33</f>
        <v>Automatyczne sterowanie</v>
      </c>
      <c r="U2034" s="734" t="s">
        <v>5752</v>
      </c>
      <c r="V2034" s="735">
        <v>10</v>
      </c>
      <c r="W2034" s="736"/>
      <c r="X2034" s="741" t="s">
        <v>5868</v>
      </c>
      <c r="Y2034" s="738"/>
      <c r="Z2034" s="739"/>
      <c r="AA2034" s="739"/>
      <c r="AB2034" s="740">
        <v>10</v>
      </c>
      <c r="AC2034" s="741"/>
      <c r="AD2034" s="741" t="str">
        <f>'DICTIONARY-5'!$A$13</f>
        <v>woda pitna</v>
      </c>
      <c r="AE2034" s="742">
        <v>50</v>
      </c>
      <c r="AF2034" s="743">
        <v>266</v>
      </c>
      <c r="AG2034" s="741" t="str">
        <f>'DICTIONARY-5'!$A$23</f>
        <v>powłoka epoksydowa</v>
      </c>
    </row>
    <row r="2035" spans="1:33" x14ac:dyDescent="0.25">
      <c r="A2035" s="844" t="s">
        <v>5134</v>
      </c>
      <c r="B2035" s="844" t="s">
        <v>5353</v>
      </c>
      <c r="C2035" s="836">
        <v>3435</v>
      </c>
      <c r="D2035" s="836"/>
      <c r="E2035" s="836"/>
      <c r="F2035" s="836"/>
      <c r="G2035" s="496" t="s">
        <v>7833</v>
      </c>
      <c r="H2035" s="797" t="str">
        <f>VLOOKUP(G2035,SETTINGS!$B$7:$D$97,2,0)</f>
        <v>TWINJET</v>
      </c>
      <c r="I2035" s="796">
        <f>VLOOKUP(G2035,SETTINGS!$B$7:$D$97,3,0)</f>
        <v>0</v>
      </c>
      <c r="J2035" s="670" t="str">
        <f>IFERROR(IF(CURRENCY.FORMAT_1=0,CONCATENATE(TEXT(FIXED(ROUND((C2035/EXC.RATE_1),CURRENCY.FORMAT_1),CURRENCY.FORMAT_1,1),"# ##0;-# ##0"),",-"),FIXED(ROUND((C2035/EXC.RATE_1),CURRENCY.FORMAT_1),CURRENCY.FORMAT_1,0)),'DICTIONARY-5'!$A$2)</f>
        <v>3 435,-</v>
      </c>
      <c r="K2035" s="670" t="str">
        <f>IF(EXC.RATE_2=0,"",IFERROR(IF(CURRENCY.FORMAT_2=0,CONCATENATE(TEXT(FIXED(ROUND(IF(EXC.RATE.SWITCH=1,C2035/EXC.RATE_2,C2035*EXC.RATE_2),CURRENCY.FORMAT_2),CURRENCY.FORMAT_2,1),"# ##0;-# ##0"),",-"),FIXED(ROUND(IF(EXC.RATE.SWITCH=1,C2035/EXC.RATE_2,C2035*EXC.RATE_2),CURRENCY.FORMAT_2),CURRENCY.FORMAT_2,0)),'DICTIONARY-5'!$A$2))</f>
        <v/>
      </c>
      <c r="L2035" s="670" t="str">
        <f>IFERROR(IF(CURRENCY.FORMAT_1=0,CONCATENATE(TEXT(FIXED(ROUND((C2035*(1-I2035)*(1-ADD.DISCOUNT)*(1+MAT.SURCHARGE)/EXC.RATE_1),CURRENCY.FORMAT_1),CURRENCY.FORMAT_1,1),"# ##0;-# ##0"),",-"),FIXED(ROUND((C2035*(1-I2035)*(1-ADD.DISCOUNT)*(1+MAT.SURCHARGE)/EXC.RATE_1),CURRENCY.FORMAT_1),CURRENCY.FORMAT_1,0)),'DICTIONARY-5'!$A$2)</f>
        <v>3 569,-</v>
      </c>
      <c r="M2035" s="670" t="str">
        <f>IF(EXC.RATE_2=0,"",IFERROR(IF(CURRENCY.FORMAT_2=0,CONCATENATE(TEXT(FIXED(ROUND(IF(EXC.RATE.SWITCH=1,C2035*(1-I2035)*(1-ADD.DISCOUNT)*(1+MAT.SURCHARGE)/EXC.RATE_2,C2035*(1-I2035)*(1-ADD.DISCOUNT)*(1+MAT.SURCHARGE)*EXC.RATE_2),CURRENCY.FORMAT_2),CURRENCY.FORMAT_2,1),"# ##0;-# ##0"),",-"),FIXED(ROUND(IF(EXC.RATE.SWITCH=1,C2035*(1-I2035)*(1-ADD.DISCOUNT)*(1+MAT.SURCHARGE)/EXC.RATE_2,C2035*(1-I2035)*(1-ADD.DISCOUNT)*(1+MAT.SURCHARGE)*EXC.RATE_2),CURRENCY.FORMAT_2),CURRENCY.FORMAT_2,0)),'DICTIONARY-5'!$A$2))</f>
        <v/>
      </c>
      <c r="N2035" s="496">
        <v>8</v>
      </c>
      <c r="O2035" s="654" t="s">
        <v>7363</v>
      </c>
      <c r="P2035" s="731" t="str">
        <f>'DICTIONARY-3'!$A$109</f>
        <v>TWINJET</v>
      </c>
      <c r="Q2035" s="732" t="str">
        <f>'DICTIONARY-3'!$A$206</f>
        <v>Zawór na- i odpowietrzający</v>
      </c>
      <c r="R2035" s="732" t="str">
        <f>CONCATENATE('DICTIONARY-3'!$A$109," ",'DICTIONARY-6'!$A$7," ",'DICTIONARY-2'!$A$2,"300"," ",'DICTIONARY-2'!$A$3,"16"," ","M220x3")</f>
        <v>TWINJET Zaw. na-/odpowietrz. DN300 PN16 M220x3</v>
      </c>
      <c r="S2035" s="733" t="str">
        <f>'DICTIONARY-4'!$A$17</f>
        <v>AS</v>
      </c>
      <c r="T2035" s="732" t="str">
        <f>'DICTIONARY-4'!$A$33</f>
        <v>Automatyczne sterowanie</v>
      </c>
      <c r="U2035" s="734" t="s">
        <v>5752</v>
      </c>
      <c r="V2035" s="735">
        <v>16</v>
      </c>
      <c r="W2035" s="736"/>
      <c r="X2035" s="741" t="s">
        <v>5868</v>
      </c>
      <c r="Y2035" s="738"/>
      <c r="Z2035" s="739"/>
      <c r="AA2035" s="739"/>
      <c r="AB2035" s="740">
        <v>16</v>
      </c>
      <c r="AC2035" s="741"/>
      <c r="AD2035" s="741" t="str">
        <f>'DICTIONARY-5'!$A$13</f>
        <v>woda pitna</v>
      </c>
      <c r="AE2035" s="742">
        <v>50</v>
      </c>
      <c r="AF2035" s="743">
        <v>278.5</v>
      </c>
      <c r="AG2035" s="741" t="str">
        <f>'DICTIONARY-5'!$A$23</f>
        <v>powłoka epoksydowa</v>
      </c>
    </row>
    <row r="2036" spans="1:33" x14ac:dyDescent="0.25">
      <c r="A2036" s="844" t="s">
        <v>5121</v>
      </c>
      <c r="B2036" s="844" t="s">
        <v>5354</v>
      </c>
      <c r="C2036" s="836">
        <v>397</v>
      </c>
      <c r="D2036" s="836"/>
      <c r="E2036" s="836"/>
      <c r="F2036" s="836"/>
      <c r="G2036" s="496" t="s">
        <v>7833</v>
      </c>
      <c r="H2036" s="797" t="str">
        <f>VLOOKUP(G2036,SETTINGS!$B$7:$D$97,2,0)</f>
        <v>TWINJET</v>
      </c>
      <c r="I2036" s="796">
        <f>VLOOKUP(G2036,SETTINGS!$B$7:$D$97,3,0)</f>
        <v>0</v>
      </c>
      <c r="J2036" s="670" t="str">
        <f>IFERROR(IF(CURRENCY.FORMAT_1=0,CONCATENATE(TEXT(FIXED(ROUND((C2036/EXC.RATE_1),CURRENCY.FORMAT_1),CURRENCY.FORMAT_1,1),"# ##0;-# ##0"),",-"),FIXED(ROUND((C2036/EXC.RATE_1),CURRENCY.FORMAT_1),CURRENCY.FORMAT_1,0)),'DICTIONARY-5'!$A$2)</f>
        <v>397,-</v>
      </c>
      <c r="K2036" s="670" t="str">
        <f>IF(EXC.RATE_2=0,"",IFERROR(IF(CURRENCY.FORMAT_2=0,CONCATENATE(TEXT(FIXED(ROUND(IF(EXC.RATE.SWITCH=1,C2036/EXC.RATE_2,C2036*EXC.RATE_2),CURRENCY.FORMAT_2),CURRENCY.FORMAT_2,1),"# ##0;-# ##0"),",-"),FIXED(ROUND(IF(EXC.RATE.SWITCH=1,C2036/EXC.RATE_2,C2036*EXC.RATE_2),CURRENCY.FORMAT_2),CURRENCY.FORMAT_2,0)),'DICTIONARY-5'!$A$2))</f>
        <v/>
      </c>
      <c r="L2036" s="670" t="str">
        <f>IFERROR(IF(CURRENCY.FORMAT_1=0,CONCATENATE(TEXT(FIXED(ROUND((C2036*(1-I2036)*(1-ADD.DISCOUNT)*(1+MAT.SURCHARGE)/EXC.RATE_1),CURRENCY.FORMAT_1),CURRENCY.FORMAT_1,1),"# ##0;-# ##0"),",-"),FIXED(ROUND((C2036*(1-I2036)*(1-ADD.DISCOUNT)*(1+MAT.SURCHARGE)/EXC.RATE_1),CURRENCY.FORMAT_1),CURRENCY.FORMAT_1,0)),'DICTIONARY-5'!$A$2)</f>
        <v>412,-</v>
      </c>
      <c r="M2036" s="670" t="str">
        <f>IF(EXC.RATE_2=0,"",IFERROR(IF(CURRENCY.FORMAT_2=0,CONCATENATE(TEXT(FIXED(ROUND(IF(EXC.RATE.SWITCH=1,C2036*(1-I2036)*(1-ADD.DISCOUNT)*(1+MAT.SURCHARGE)/EXC.RATE_2,C2036*(1-I2036)*(1-ADD.DISCOUNT)*(1+MAT.SURCHARGE)*EXC.RATE_2),CURRENCY.FORMAT_2),CURRENCY.FORMAT_2,1),"# ##0;-# ##0"),",-"),FIXED(ROUND(IF(EXC.RATE.SWITCH=1,C2036*(1-I2036)*(1-ADD.DISCOUNT)*(1+MAT.SURCHARGE)/EXC.RATE_2,C2036*(1-I2036)*(1-ADD.DISCOUNT)*(1+MAT.SURCHARGE)*EXC.RATE_2),CURRENCY.FORMAT_2),CURRENCY.FORMAT_2,0)),'DICTIONARY-5'!$A$2))</f>
        <v/>
      </c>
      <c r="N2036" s="496">
        <v>8</v>
      </c>
      <c r="O2036" s="654" t="s">
        <v>7363</v>
      </c>
      <c r="P2036" s="731" t="str">
        <f>'DICTIONARY-3'!$A$109</f>
        <v>TWINJET</v>
      </c>
      <c r="Q2036" s="732" t="str">
        <f>'DICTIONARY-3'!$A$206</f>
        <v>Zawór na- i odpowietrzający</v>
      </c>
      <c r="R2036" s="732" t="str">
        <f>CONCATENATE('DICTIONARY-3'!$A$109," ",'DICTIONARY-6'!$A$7," ",'DICTIONARY-2'!$A$2,"100"," ",'DICTIONARY-2'!$A$3,"25"," ","G2½")</f>
        <v>TWINJET Zaw. na-/odpowietrz. DN100 PN25 G2½</v>
      </c>
      <c r="S2036" s="733" t="str">
        <f>'DICTIONARY-4'!$A$17</f>
        <v>AS</v>
      </c>
      <c r="T2036" s="732" t="str">
        <f>'DICTIONARY-4'!$A$33</f>
        <v>Automatyczne sterowanie</v>
      </c>
      <c r="U2036" s="734" t="s">
        <v>5749</v>
      </c>
      <c r="V2036" s="735">
        <v>25</v>
      </c>
      <c r="W2036" s="736"/>
      <c r="X2036" s="750" t="s">
        <v>5744</v>
      </c>
      <c r="Y2036" s="738"/>
      <c r="Z2036" s="739"/>
      <c r="AA2036" s="739"/>
      <c r="AB2036" s="740">
        <v>25</v>
      </c>
      <c r="AC2036" s="741"/>
      <c r="AD2036" s="741" t="str">
        <f>'DICTIONARY-5'!$A$13</f>
        <v>woda pitna</v>
      </c>
      <c r="AE2036" s="742">
        <v>50</v>
      </c>
      <c r="AF2036" s="743">
        <v>27</v>
      </c>
      <c r="AG2036" s="741" t="str">
        <f>'DICTIONARY-5'!$A$23</f>
        <v>powłoka epoksydowa</v>
      </c>
    </row>
    <row r="2037" spans="1:33" x14ac:dyDescent="0.25">
      <c r="A2037" s="844" t="s">
        <v>5124</v>
      </c>
      <c r="B2037" s="844" t="s">
        <v>5355</v>
      </c>
      <c r="C2037" s="836">
        <v>642</v>
      </c>
      <c r="D2037" s="836"/>
      <c r="E2037" s="836"/>
      <c r="F2037" s="836"/>
      <c r="G2037" s="496" t="s">
        <v>7833</v>
      </c>
      <c r="H2037" s="797" t="str">
        <f>VLOOKUP(G2037,SETTINGS!$B$7:$D$97,2,0)</f>
        <v>TWINJET</v>
      </c>
      <c r="I2037" s="796">
        <f>VLOOKUP(G2037,SETTINGS!$B$7:$D$97,3,0)</f>
        <v>0</v>
      </c>
      <c r="J2037" s="670" t="str">
        <f>IFERROR(IF(CURRENCY.FORMAT_1=0,CONCATENATE(TEXT(FIXED(ROUND((C2037/EXC.RATE_1),CURRENCY.FORMAT_1),CURRENCY.FORMAT_1,1),"# ##0;-# ##0"),",-"),FIXED(ROUND((C2037/EXC.RATE_1),CURRENCY.FORMAT_1),CURRENCY.FORMAT_1,0)),'DICTIONARY-5'!$A$2)</f>
        <v>642,-</v>
      </c>
      <c r="K2037" s="670" t="str">
        <f>IF(EXC.RATE_2=0,"",IFERROR(IF(CURRENCY.FORMAT_2=0,CONCATENATE(TEXT(FIXED(ROUND(IF(EXC.RATE.SWITCH=1,C2037/EXC.RATE_2,C2037*EXC.RATE_2),CURRENCY.FORMAT_2),CURRENCY.FORMAT_2,1),"# ##0;-# ##0"),",-"),FIXED(ROUND(IF(EXC.RATE.SWITCH=1,C2037/EXC.RATE_2,C2037*EXC.RATE_2),CURRENCY.FORMAT_2),CURRENCY.FORMAT_2,0)),'DICTIONARY-5'!$A$2))</f>
        <v/>
      </c>
      <c r="L2037" s="670" t="str">
        <f>IFERROR(IF(CURRENCY.FORMAT_1=0,CONCATENATE(TEXT(FIXED(ROUND((C2037*(1-I2037)*(1-ADD.DISCOUNT)*(1+MAT.SURCHARGE)/EXC.RATE_1),CURRENCY.FORMAT_1),CURRENCY.FORMAT_1,1),"# ##0;-# ##0"),",-"),FIXED(ROUND((C2037*(1-I2037)*(1-ADD.DISCOUNT)*(1+MAT.SURCHARGE)/EXC.RATE_1),CURRENCY.FORMAT_1),CURRENCY.FORMAT_1,0)),'DICTIONARY-5'!$A$2)</f>
        <v>667,-</v>
      </c>
      <c r="M2037" s="670" t="str">
        <f>IF(EXC.RATE_2=0,"",IFERROR(IF(CURRENCY.FORMAT_2=0,CONCATENATE(TEXT(FIXED(ROUND(IF(EXC.RATE.SWITCH=1,C2037*(1-I2037)*(1-ADD.DISCOUNT)*(1+MAT.SURCHARGE)/EXC.RATE_2,C2037*(1-I2037)*(1-ADD.DISCOUNT)*(1+MAT.SURCHARGE)*EXC.RATE_2),CURRENCY.FORMAT_2),CURRENCY.FORMAT_2,1),"# ##0;-# ##0"),",-"),FIXED(ROUND(IF(EXC.RATE.SWITCH=1,C2037*(1-I2037)*(1-ADD.DISCOUNT)*(1+MAT.SURCHARGE)/EXC.RATE_2,C2037*(1-I2037)*(1-ADD.DISCOUNT)*(1+MAT.SURCHARGE)*EXC.RATE_2),CURRENCY.FORMAT_2),CURRENCY.FORMAT_2,0)),'DICTIONARY-5'!$A$2))</f>
        <v/>
      </c>
      <c r="N2037" s="496">
        <v>8</v>
      </c>
      <c r="O2037" s="654" t="s">
        <v>7363</v>
      </c>
      <c r="P2037" s="731" t="str">
        <f>'DICTIONARY-3'!$A$109</f>
        <v>TWINJET</v>
      </c>
      <c r="Q2037" s="732" t="str">
        <f>'DICTIONARY-3'!$A$206</f>
        <v>Zawór na- i odpowietrzający</v>
      </c>
      <c r="R2037" s="732" t="str">
        <f>CONCATENATE('DICTIONARY-3'!$A$109," ",'DICTIONARY-6'!$A$7," ",'DICTIONARY-2'!$A$2,"150"," ",'DICTIONARY-2'!$A$3,"25"," ","G4")</f>
        <v>TWINJET Zaw. na-/odpowietrz. DN150 PN25 G4</v>
      </c>
      <c r="S2037" s="733" t="str">
        <f>'DICTIONARY-4'!$A$17</f>
        <v>AS</v>
      </c>
      <c r="T2037" s="732" t="str">
        <f>'DICTIONARY-4'!$A$33</f>
        <v>Automatyczne sterowanie</v>
      </c>
      <c r="U2037" s="734" t="s">
        <v>5572</v>
      </c>
      <c r="V2037" s="735">
        <v>25</v>
      </c>
      <c r="W2037" s="736"/>
      <c r="X2037" s="750" t="s">
        <v>53</v>
      </c>
      <c r="Y2037" s="738"/>
      <c r="Z2037" s="739"/>
      <c r="AA2037" s="739"/>
      <c r="AB2037" s="740">
        <v>25</v>
      </c>
      <c r="AC2037" s="741"/>
      <c r="AD2037" s="741" t="str">
        <f>'DICTIONARY-5'!$A$13</f>
        <v>woda pitna</v>
      </c>
      <c r="AE2037" s="742">
        <v>50</v>
      </c>
      <c r="AF2037" s="743">
        <v>53.5</v>
      </c>
      <c r="AG2037" s="741" t="str">
        <f>'DICTIONARY-5'!$A$23</f>
        <v>powłoka epoksydowa</v>
      </c>
    </row>
    <row r="2038" spans="1:33" x14ac:dyDescent="0.25">
      <c r="A2038" s="844" t="s">
        <v>5126</v>
      </c>
      <c r="B2038" s="844" t="s">
        <v>5356</v>
      </c>
      <c r="C2038" s="836">
        <v>674</v>
      </c>
      <c r="D2038" s="836"/>
      <c r="E2038" s="836"/>
      <c r="F2038" s="836"/>
      <c r="G2038" s="496" t="s">
        <v>7833</v>
      </c>
      <c r="H2038" s="797" t="str">
        <f>VLOOKUP(G2038,SETTINGS!$B$7:$D$97,2,0)</f>
        <v>TWINJET</v>
      </c>
      <c r="I2038" s="796">
        <f>VLOOKUP(G2038,SETTINGS!$B$7:$D$97,3,0)</f>
        <v>0</v>
      </c>
      <c r="J2038" s="670" t="str">
        <f>IFERROR(IF(CURRENCY.FORMAT_1=0,CONCATENATE(TEXT(FIXED(ROUND((C2038/EXC.RATE_1),CURRENCY.FORMAT_1),CURRENCY.FORMAT_1,1),"# ##0;-# ##0"),",-"),FIXED(ROUND((C2038/EXC.RATE_1),CURRENCY.FORMAT_1),CURRENCY.FORMAT_1,0)),'DICTIONARY-5'!$A$2)</f>
        <v>674,-</v>
      </c>
      <c r="K2038" s="670" t="str">
        <f>IF(EXC.RATE_2=0,"",IFERROR(IF(CURRENCY.FORMAT_2=0,CONCATENATE(TEXT(FIXED(ROUND(IF(EXC.RATE.SWITCH=1,C2038/EXC.RATE_2,C2038*EXC.RATE_2),CURRENCY.FORMAT_2),CURRENCY.FORMAT_2,1),"# ##0;-# ##0"),",-"),FIXED(ROUND(IF(EXC.RATE.SWITCH=1,C2038/EXC.RATE_2,C2038*EXC.RATE_2),CURRENCY.FORMAT_2),CURRENCY.FORMAT_2,0)),'DICTIONARY-5'!$A$2))</f>
        <v/>
      </c>
      <c r="L2038" s="670" t="str">
        <f>IFERROR(IF(CURRENCY.FORMAT_1=0,CONCATENATE(TEXT(FIXED(ROUND((C2038*(1-I2038)*(1-ADD.DISCOUNT)*(1+MAT.SURCHARGE)/EXC.RATE_1),CURRENCY.FORMAT_1),CURRENCY.FORMAT_1,1),"# ##0;-# ##0"),",-"),FIXED(ROUND((C2038*(1-I2038)*(1-ADD.DISCOUNT)*(1+MAT.SURCHARGE)/EXC.RATE_1),CURRENCY.FORMAT_1),CURRENCY.FORMAT_1,0)),'DICTIONARY-5'!$A$2)</f>
        <v>700,-</v>
      </c>
      <c r="M2038" s="670" t="str">
        <f>IF(EXC.RATE_2=0,"",IFERROR(IF(CURRENCY.FORMAT_2=0,CONCATENATE(TEXT(FIXED(ROUND(IF(EXC.RATE.SWITCH=1,C2038*(1-I2038)*(1-ADD.DISCOUNT)*(1+MAT.SURCHARGE)/EXC.RATE_2,C2038*(1-I2038)*(1-ADD.DISCOUNT)*(1+MAT.SURCHARGE)*EXC.RATE_2),CURRENCY.FORMAT_2),CURRENCY.FORMAT_2,1),"# ##0;-# ##0"),",-"),FIXED(ROUND(IF(EXC.RATE.SWITCH=1,C2038*(1-I2038)*(1-ADD.DISCOUNT)*(1+MAT.SURCHARGE)/EXC.RATE_2,C2038*(1-I2038)*(1-ADD.DISCOUNT)*(1+MAT.SURCHARGE)*EXC.RATE_2),CURRENCY.FORMAT_2),CURRENCY.FORMAT_2,0)),'DICTIONARY-5'!$A$2))</f>
        <v/>
      </c>
      <c r="N2038" s="496">
        <v>8</v>
      </c>
      <c r="O2038" s="654" t="s">
        <v>7363</v>
      </c>
      <c r="P2038" s="731" t="str">
        <f>'DICTIONARY-3'!$A$109</f>
        <v>TWINJET</v>
      </c>
      <c r="Q2038" s="732" t="str">
        <f>'DICTIONARY-3'!$A$206</f>
        <v>Zawór na- i odpowietrzający</v>
      </c>
      <c r="R2038" s="732" t="str">
        <f>CONCATENATE('DICTIONARY-3'!$A$109," ",'DICTIONARY-6'!$A$7," ",'DICTIONARY-2'!$A$2,"200"," ",'DICTIONARY-2'!$A$3,"25"," ","G4")</f>
        <v>TWINJET Zaw. na-/odpowietrz. DN200 PN25 G4</v>
      </c>
      <c r="S2038" s="733" t="str">
        <f>'DICTIONARY-4'!$A$17</f>
        <v>AS</v>
      </c>
      <c r="T2038" s="732" t="str">
        <f>'DICTIONARY-4'!$A$33</f>
        <v>Automatyczne sterowanie</v>
      </c>
      <c r="U2038" s="734" t="s">
        <v>5750</v>
      </c>
      <c r="V2038" s="735">
        <v>25</v>
      </c>
      <c r="W2038" s="736"/>
      <c r="X2038" s="750" t="s">
        <v>53</v>
      </c>
      <c r="Y2038" s="738"/>
      <c r="Z2038" s="739"/>
      <c r="AA2038" s="739"/>
      <c r="AB2038" s="740">
        <v>25</v>
      </c>
      <c r="AC2038" s="741"/>
      <c r="AD2038" s="741" t="str">
        <f>'DICTIONARY-5'!$A$13</f>
        <v>woda pitna</v>
      </c>
      <c r="AE2038" s="742">
        <v>50</v>
      </c>
      <c r="AF2038" s="743">
        <v>58</v>
      </c>
      <c r="AG2038" s="741" t="str">
        <f>'DICTIONARY-5'!$A$23</f>
        <v>powłoka epoksydowa</v>
      </c>
    </row>
    <row r="2039" spans="1:33" x14ac:dyDescent="0.25">
      <c r="A2039" s="844" t="s">
        <v>5130</v>
      </c>
      <c r="B2039" s="844" t="s">
        <v>5357</v>
      </c>
      <c r="C2039" s="836">
        <v>3127</v>
      </c>
      <c r="D2039" s="836"/>
      <c r="E2039" s="836"/>
      <c r="F2039" s="836"/>
      <c r="G2039" s="496" t="s">
        <v>7833</v>
      </c>
      <c r="H2039" s="797" t="str">
        <f>VLOOKUP(G2039,SETTINGS!$B$7:$D$97,2,0)</f>
        <v>TWINJET</v>
      </c>
      <c r="I2039" s="796">
        <f>VLOOKUP(G2039,SETTINGS!$B$7:$D$97,3,0)</f>
        <v>0</v>
      </c>
      <c r="J2039" s="670" t="str">
        <f>IFERROR(IF(CURRENCY.FORMAT_1=0,CONCATENATE(TEXT(FIXED(ROUND((C2039/EXC.RATE_1),CURRENCY.FORMAT_1),CURRENCY.FORMAT_1,1),"# ##0;-# ##0"),",-"),FIXED(ROUND((C2039/EXC.RATE_1),CURRENCY.FORMAT_1),CURRENCY.FORMAT_1,0)),'DICTIONARY-5'!$A$2)</f>
        <v>3 127,-</v>
      </c>
      <c r="K2039" s="670" t="str">
        <f>IF(EXC.RATE_2=0,"",IFERROR(IF(CURRENCY.FORMAT_2=0,CONCATENATE(TEXT(FIXED(ROUND(IF(EXC.RATE.SWITCH=1,C2039/EXC.RATE_2,C2039*EXC.RATE_2),CURRENCY.FORMAT_2),CURRENCY.FORMAT_2,1),"# ##0;-# ##0"),",-"),FIXED(ROUND(IF(EXC.RATE.SWITCH=1,C2039/EXC.RATE_2,C2039*EXC.RATE_2),CURRENCY.FORMAT_2),CURRENCY.FORMAT_2,0)),'DICTIONARY-5'!$A$2))</f>
        <v/>
      </c>
      <c r="L2039" s="670" t="str">
        <f>IFERROR(IF(CURRENCY.FORMAT_1=0,CONCATENATE(TEXT(FIXED(ROUND((C2039*(1-I2039)*(1-ADD.DISCOUNT)*(1+MAT.SURCHARGE)/EXC.RATE_1),CURRENCY.FORMAT_1),CURRENCY.FORMAT_1,1),"# ##0;-# ##0"),",-"),FIXED(ROUND((C2039*(1-I2039)*(1-ADD.DISCOUNT)*(1+MAT.SURCHARGE)/EXC.RATE_1),CURRENCY.FORMAT_1),CURRENCY.FORMAT_1,0)),'DICTIONARY-5'!$A$2)</f>
        <v>3 249,-</v>
      </c>
      <c r="M2039" s="670" t="str">
        <f>IF(EXC.RATE_2=0,"",IFERROR(IF(CURRENCY.FORMAT_2=0,CONCATENATE(TEXT(FIXED(ROUND(IF(EXC.RATE.SWITCH=1,C2039*(1-I2039)*(1-ADD.DISCOUNT)*(1+MAT.SURCHARGE)/EXC.RATE_2,C2039*(1-I2039)*(1-ADD.DISCOUNT)*(1+MAT.SURCHARGE)*EXC.RATE_2),CURRENCY.FORMAT_2),CURRENCY.FORMAT_2,1),"# ##0;-# ##0"),",-"),FIXED(ROUND(IF(EXC.RATE.SWITCH=1,C2039*(1-I2039)*(1-ADD.DISCOUNT)*(1+MAT.SURCHARGE)/EXC.RATE_2,C2039*(1-I2039)*(1-ADD.DISCOUNT)*(1+MAT.SURCHARGE)*EXC.RATE_2),CURRENCY.FORMAT_2),CURRENCY.FORMAT_2,0)),'DICTIONARY-5'!$A$2))</f>
        <v/>
      </c>
      <c r="N2039" s="496">
        <v>8</v>
      </c>
      <c r="O2039" s="654" t="s">
        <v>7363</v>
      </c>
      <c r="P2039" s="731" t="str">
        <f>'DICTIONARY-3'!$A$109</f>
        <v>TWINJET</v>
      </c>
      <c r="Q2039" s="732" t="str">
        <f>'DICTIONARY-3'!$A$206</f>
        <v>Zawór na- i odpowietrzający</v>
      </c>
      <c r="R2039" s="732" t="str">
        <f>CONCATENATE('DICTIONARY-3'!$A$109," ",'DICTIONARY-6'!$A$7," ",'DICTIONARY-2'!$A$2,"250"," ",'DICTIONARY-2'!$A$3,"25"," ","M220x3")</f>
        <v>TWINJET Zaw. na-/odpowietrz. DN250 PN25 M220x3</v>
      </c>
      <c r="S2039" s="733" t="str">
        <f>'DICTIONARY-4'!$A$17</f>
        <v>AS</v>
      </c>
      <c r="T2039" s="732" t="str">
        <f>'DICTIONARY-4'!$A$33</f>
        <v>Automatyczne sterowanie</v>
      </c>
      <c r="U2039" s="734" t="s">
        <v>5751</v>
      </c>
      <c r="V2039" s="735">
        <v>25</v>
      </c>
      <c r="W2039" s="736"/>
      <c r="X2039" s="741" t="s">
        <v>5868</v>
      </c>
      <c r="Y2039" s="738"/>
      <c r="Z2039" s="739"/>
      <c r="AA2039" s="739"/>
      <c r="AB2039" s="740">
        <v>25</v>
      </c>
      <c r="AC2039" s="741"/>
      <c r="AD2039" s="741" t="str">
        <f>'DICTIONARY-5'!$A$13</f>
        <v>woda pitna</v>
      </c>
      <c r="AE2039" s="742">
        <v>50</v>
      </c>
      <c r="AF2039" s="743">
        <v>255</v>
      </c>
      <c r="AG2039" s="741" t="str">
        <f>'DICTIONARY-5'!$A$23</f>
        <v>powłoka epoksydowa</v>
      </c>
    </row>
    <row r="2040" spans="1:33" x14ac:dyDescent="0.25">
      <c r="A2040" s="844" t="s">
        <v>5133</v>
      </c>
      <c r="B2040" s="844" t="s">
        <v>5358</v>
      </c>
      <c r="C2040" s="836">
        <v>3342</v>
      </c>
      <c r="D2040" s="836"/>
      <c r="E2040" s="836"/>
      <c r="F2040" s="836"/>
      <c r="G2040" s="496" t="s">
        <v>7833</v>
      </c>
      <c r="H2040" s="797" t="str">
        <f>VLOOKUP(G2040,SETTINGS!$B$7:$D$97,2,0)</f>
        <v>TWINJET</v>
      </c>
      <c r="I2040" s="796">
        <f>VLOOKUP(G2040,SETTINGS!$B$7:$D$97,3,0)</f>
        <v>0</v>
      </c>
      <c r="J2040" s="670" t="str">
        <f>IFERROR(IF(CURRENCY.FORMAT_1=0,CONCATENATE(TEXT(FIXED(ROUND((C2040/EXC.RATE_1),CURRENCY.FORMAT_1),CURRENCY.FORMAT_1,1),"# ##0;-# ##0"),",-"),FIXED(ROUND((C2040/EXC.RATE_1),CURRENCY.FORMAT_1),CURRENCY.FORMAT_1,0)),'DICTIONARY-5'!$A$2)</f>
        <v>3 342,-</v>
      </c>
      <c r="K2040" s="670" t="str">
        <f>IF(EXC.RATE_2=0,"",IFERROR(IF(CURRENCY.FORMAT_2=0,CONCATENATE(TEXT(FIXED(ROUND(IF(EXC.RATE.SWITCH=1,C2040/EXC.RATE_2,C2040*EXC.RATE_2),CURRENCY.FORMAT_2),CURRENCY.FORMAT_2,1),"# ##0;-# ##0"),",-"),FIXED(ROUND(IF(EXC.RATE.SWITCH=1,C2040/EXC.RATE_2,C2040*EXC.RATE_2),CURRENCY.FORMAT_2),CURRENCY.FORMAT_2,0)),'DICTIONARY-5'!$A$2))</f>
        <v/>
      </c>
      <c r="L2040" s="670" t="str">
        <f>IFERROR(IF(CURRENCY.FORMAT_1=0,CONCATENATE(TEXT(FIXED(ROUND((C2040*(1-I2040)*(1-ADD.DISCOUNT)*(1+MAT.SURCHARGE)/EXC.RATE_1),CURRENCY.FORMAT_1),CURRENCY.FORMAT_1,1),"# ##0;-# ##0"),",-"),FIXED(ROUND((C2040*(1-I2040)*(1-ADD.DISCOUNT)*(1+MAT.SURCHARGE)/EXC.RATE_1),CURRENCY.FORMAT_1),CURRENCY.FORMAT_1,0)),'DICTIONARY-5'!$A$2)</f>
        <v>3 472,-</v>
      </c>
      <c r="M2040" s="670" t="str">
        <f>IF(EXC.RATE_2=0,"",IFERROR(IF(CURRENCY.FORMAT_2=0,CONCATENATE(TEXT(FIXED(ROUND(IF(EXC.RATE.SWITCH=1,C2040*(1-I2040)*(1-ADD.DISCOUNT)*(1+MAT.SURCHARGE)/EXC.RATE_2,C2040*(1-I2040)*(1-ADD.DISCOUNT)*(1+MAT.SURCHARGE)*EXC.RATE_2),CURRENCY.FORMAT_2),CURRENCY.FORMAT_2,1),"# ##0;-# ##0"),",-"),FIXED(ROUND(IF(EXC.RATE.SWITCH=1,C2040*(1-I2040)*(1-ADD.DISCOUNT)*(1+MAT.SURCHARGE)/EXC.RATE_2,C2040*(1-I2040)*(1-ADD.DISCOUNT)*(1+MAT.SURCHARGE)*EXC.RATE_2),CURRENCY.FORMAT_2),CURRENCY.FORMAT_2,0)),'DICTIONARY-5'!$A$2))</f>
        <v/>
      </c>
      <c r="N2040" s="496">
        <v>8</v>
      </c>
      <c r="O2040" s="654" t="s">
        <v>7363</v>
      </c>
      <c r="P2040" s="731" t="str">
        <f>'DICTIONARY-3'!$A$109</f>
        <v>TWINJET</v>
      </c>
      <c r="Q2040" s="732" t="str">
        <f>'DICTIONARY-3'!$A$206</f>
        <v>Zawór na- i odpowietrzający</v>
      </c>
      <c r="R2040" s="732" t="str">
        <f>CONCATENATE('DICTIONARY-3'!$A$109," ",'DICTIONARY-6'!$A$7," ",'DICTIONARY-2'!$A$2,"300"," ",'DICTIONARY-2'!$A$3,"25"," ","M220x3")</f>
        <v>TWINJET Zaw. na-/odpowietrz. DN300 PN25 M220x3</v>
      </c>
      <c r="S2040" s="733" t="str">
        <f>'DICTIONARY-4'!$A$17</f>
        <v>AS</v>
      </c>
      <c r="T2040" s="732" t="str">
        <f>'DICTIONARY-4'!$A$33</f>
        <v>Automatyczne sterowanie</v>
      </c>
      <c r="U2040" s="734" t="s">
        <v>5752</v>
      </c>
      <c r="V2040" s="735">
        <v>25</v>
      </c>
      <c r="W2040" s="736"/>
      <c r="X2040" s="741" t="s">
        <v>5868</v>
      </c>
      <c r="Y2040" s="738"/>
      <c r="Z2040" s="739"/>
      <c r="AA2040" s="739"/>
      <c r="AB2040" s="740">
        <v>25</v>
      </c>
      <c r="AC2040" s="741"/>
      <c r="AD2040" s="741" t="str">
        <f>'DICTIONARY-5'!$A$13</f>
        <v>woda pitna</v>
      </c>
      <c r="AE2040" s="742">
        <v>50</v>
      </c>
      <c r="AF2040" s="743">
        <v>269.35000000000002</v>
      </c>
      <c r="AG2040" s="741" t="str">
        <f>'DICTIONARY-5'!$A$23</f>
        <v>powłoka epoksydowa</v>
      </c>
    </row>
    <row r="2041" spans="1:33" x14ac:dyDescent="0.25">
      <c r="A2041" s="872" t="s">
        <v>7376</v>
      </c>
      <c r="B2041" s="872" t="s">
        <v>7377</v>
      </c>
      <c r="C2041" s="836">
        <v>333</v>
      </c>
      <c r="D2041" s="836"/>
      <c r="E2041" s="836"/>
      <c r="F2041" s="836"/>
      <c r="G2041" s="496" t="s">
        <v>7834</v>
      </c>
      <c r="H2041" s="797" t="str">
        <f>VLOOKUP(G2041,SETTINGS!$B$7:$D$97,2,0)</f>
        <v>DUOJET</v>
      </c>
      <c r="I2041" s="796">
        <f>VLOOKUP(G2041,SETTINGS!$B$7:$D$97,3,0)</f>
        <v>0</v>
      </c>
      <c r="J2041" s="670" t="str">
        <f>IFERROR(IF(CURRENCY.FORMAT_1=0,CONCATENATE(TEXT(FIXED(ROUND((C2041/EXC.RATE_1),CURRENCY.FORMAT_1),CURRENCY.FORMAT_1,1),"# ##0;-# ##0"),",-"),FIXED(ROUND((C2041/EXC.RATE_1),CURRENCY.FORMAT_1),CURRENCY.FORMAT_1,0)),'DICTIONARY-5'!$A$2)</f>
        <v>333,-</v>
      </c>
      <c r="K2041" s="670" t="str">
        <f>IF(EXC.RATE_2=0,"",IFERROR(IF(CURRENCY.FORMAT_2=0,CONCATENATE(TEXT(FIXED(ROUND(IF(EXC.RATE.SWITCH=1,C2041/EXC.RATE_2,C2041*EXC.RATE_2),CURRENCY.FORMAT_2),CURRENCY.FORMAT_2,1),"# ##0;-# ##0"),",-"),FIXED(ROUND(IF(EXC.RATE.SWITCH=1,C2041/EXC.RATE_2,C2041*EXC.RATE_2),CURRENCY.FORMAT_2),CURRENCY.FORMAT_2,0)),'DICTIONARY-5'!$A$2))</f>
        <v/>
      </c>
      <c r="L2041" s="670" t="str">
        <f>IFERROR(IF(CURRENCY.FORMAT_1=0,CONCATENATE(TEXT(FIXED(ROUND((C2041*(1-I2041)*(1-ADD.DISCOUNT)*(1+MAT.SURCHARGE)/EXC.RATE_1),CURRENCY.FORMAT_1),CURRENCY.FORMAT_1,1),"# ##0;-# ##0"),",-"),FIXED(ROUND((C2041*(1-I2041)*(1-ADD.DISCOUNT)*(1+MAT.SURCHARGE)/EXC.RATE_1),CURRENCY.FORMAT_1),CURRENCY.FORMAT_1,0)),'DICTIONARY-5'!$A$2)</f>
        <v>346,-</v>
      </c>
      <c r="M2041" s="670" t="str">
        <f>IF(EXC.RATE_2=0,"",IFERROR(IF(CURRENCY.FORMAT_2=0,CONCATENATE(TEXT(FIXED(ROUND(IF(EXC.RATE.SWITCH=1,C2041*(1-I2041)*(1-ADD.DISCOUNT)*(1+MAT.SURCHARGE)/EXC.RATE_2,C2041*(1-I2041)*(1-ADD.DISCOUNT)*(1+MAT.SURCHARGE)*EXC.RATE_2),CURRENCY.FORMAT_2),CURRENCY.FORMAT_2,1),"# ##0;-# ##0"),",-"),FIXED(ROUND(IF(EXC.RATE.SWITCH=1,C2041*(1-I2041)*(1-ADD.DISCOUNT)*(1+MAT.SURCHARGE)/EXC.RATE_2,C2041*(1-I2041)*(1-ADD.DISCOUNT)*(1+MAT.SURCHARGE)*EXC.RATE_2),CURRENCY.FORMAT_2),CURRENCY.FORMAT_2,0)),'DICTIONARY-5'!$A$2))</f>
        <v/>
      </c>
      <c r="N2041" s="538">
        <v>8</v>
      </c>
      <c r="O2041" s="538"/>
      <c r="P2041" s="731" t="str">
        <f>'DICTIONARY-3'!$A$107</f>
        <v>DUOJET</v>
      </c>
      <c r="Q2041" s="732" t="str">
        <f>'DICTIONARY-3'!$A$206</f>
        <v>Zawór na- i odpowietrzający</v>
      </c>
      <c r="R2041" s="732" t="str">
        <f>CONCATENATE('DICTIONARY-3'!$A$107," ",'DICTIONARY-6'!$A$7," ",'DICTIONARY-2'!$A$2,"50"," ",'DICTIONARY-2'!$A$3,"10/16"," ","G1¼",", ",'DICTIONARY-5'!$A$51,"+",'DICTIONARY-5'!$A$36,", ",'DICTIONARY-6'!$A$44)</f>
        <v>DUOJET Zaw. na-/odpowietrz. DN50 PN10/16 G1¼, GGG+CF8, pływak PP</v>
      </c>
      <c r="S2041" s="733" t="str">
        <f>'DICTIONARY-4'!$A$17</f>
        <v>AS</v>
      </c>
      <c r="T2041" s="732" t="str">
        <f>'DICTIONARY-4'!$A$33</f>
        <v>Automatyczne sterowanie</v>
      </c>
      <c r="U2041" s="734" t="s">
        <v>5748</v>
      </c>
      <c r="V2041" s="735">
        <v>16</v>
      </c>
      <c r="W2041" s="736"/>
      <c r="X2041" s="750" t="s">
        <v>5739</v>
      </c>
      <c r="Y2041" s="738"/>
      <c r="Z2041" s="739"/>
      <c r="AA2041" s="739"/>
      <c r="AB2041" s="740">
        <v>16</v>
      </c>
      <c r="AC2041" s="741"/>
      <c r="AD2041" s="741"/>
      <c r="AE2041" s="742"/>
      <c r="AF2041" s="743"/>
      <c r="AG2041" s="741"/>
    </row>
    <row r="2042" spans="1:33" x14ac:dyDescent="0.25">
      <c r="A2042" s="872" t="s">
        <v>1866</v>
      </c>
      <c r="B2042" s="872" t="s">
        <v>4218</v>
      </c>
      <c r="C2042" s="836">
        <v>450</v>
      </c>
      <c r="D2042" s="836"/>
      <c r="E2042" s="836"/>
      <c r="F2042" s="836"/>
      <c r="G2042" s="496" t="s">
        <v>7834</v>
      </c>
      <c r="H2042" s="797" t="str">
        <f>VLOOKUP(G2042,SETTINGS!$B$7:$D$97,2,0)</f>
        <v>DUOJET</v>
      </c>
      <c r="I2042" s="796">
        <f>VLOOKUP(G2042,SETTINGS!$B$7:$D$97,3,0)</f>
        <v>0</v>
      </c>
      <c r="J2042" s="670" t="str">
        <f>IFERROR(IF(CURRENCY.FORMAT_1=0,CONCATENATE(TEXT(FIXED(ROUND((C2042/EXC.RATE_1),CURRENCY.FORMAT_1),CURRENCY.FORMAT_1,1),"# ##0;-# ##0"),",-"),FIXED(ROUND((C2042/EXC.RATE_1),CURRENCY.FORMAT_1),CURRENCY.FORMAT_1,0)),'DICTIONARY-5'!$A$2)</f>
        <v>450,-</v>
      </c>
      <c r="K2042" s="670" t="str">
        <f>IF(EXC.RATE_2=0,"",IFERROR(IF(CURRENCY.FORMAT_2=0,CONCATENATE(TEXT(FIXED(ROUND(IF(EXC.RATE.SWITCH=1,C2042/EXC.RATE_2,C2042*EXC.RATE_2),CURRENCY.FORMAT_2),CURRENCY.FORMAT_2,1),"# ##0;-# ##0"),",-"),FIXED(ROUND(IF(EXC.RATE.SWITCH=1,C2042/EXC.RATE_2,C2042*EXC.RATE_2),CURRENCY.FORMAT_2),CURRENCY.FORMAT_2,0)),'DICTIONARY-5'!$A$2))</f>
        <v/>
      </c>
      <c r="L2042" s="670" t="str">
        <f>IFERROR(IF(CURRENCY.FORMAT_1=0,CONCATENATE(TEXT(FIXED(ROUND((C2042*(1-I2042)*(1-ADD.DISCOUNT)*(1+MAT.SURCHARGE)/EXC.RATE_1),CURRENCY.FORMAT_1),CURRENCY.FORMAT_1,1),"# ##0;-# ##0"),",-"),FIXED(ROUND((C2042*(1-I2042)*(1-ADD.DISCOUNT)*(1+MAT.SURCHARGE)/EXC.RATE_1),CURRENCY.FORMAT_1),CURRENCY.FORMAT_1,0)),'DICTIONARY-5'!$A$2)</f>
        <v>468,-</v>
      </c>
      <c r="M2042" s="670" t="str">
        <f>IF(EXC.RATE_2=0,"",IFERROR(IF(CURRENCY.FORMAT_2=0,CONCATENATE(TEXT(FIXED(ROUND(IF(EXC.RATE.SWITCH=1,C2042*(1-I2042)*(1-ADD.DISCOUNT)*(1+MAT.SURCHARGE)/EXC.RATE_2,C2042*(1-I2042)*(1-ADD.DISCOUNT)*(1+MAT.SURCHARGE)*EXC.RATE_2),CURRENCY.FORMAT_2),CURRENCY.FORMAT_2,1),"# ##0;-# ##0"),",-"),FIXED(ROUND(IF(EXC.RATE.SWITCH=1,C2042*(1-I2042)*(1-ADD.DISCOUNT)*(1+MAT.SURCHARGE)/EXC.RATE_2,C2042*(1-I2042)*(1-ADD.DISCOUNT)*(1+MAT.SURCHARGE)*EXC.RATE_2),CURRENCY.FORMAT_2),CURRENCY.FORMAT_2,0)),'DICTIONARY-5'!$A$2))</f>
        <v/>
      </c>
      <c r="N2042" s="538">
        <v>8</v>
      </c>
      <c r="O2042" s="538"/>
      <c r="P2042" s="731" t="str">
        <f>'DICTIONARY-3'!$A$107</f>
        <v>DUOJET</v>
      </c>
      <c r="Q2042" s="732" t="str">
        <f>'DICTIONARY-3'!$A$206</f>
        <v>Zawór na- i odpowietrzający</v>
      </c>
      <c r="R2042" s="732" t="str">
        <f>CONCATENATE('DICTIONARY-3'!$A$107," ",'DICTIONARY-6'!$A$7," ",'DICTIONARY-2'!$A$2,"50"," ",'DICTIONARY-2'!$A$3,"10/16/25 G2",", ",'DICTIONARY-5'!$A$51,"+",'DICTIONARY-5'!$A$36,", ",'DICTIONARY-6'!$A$44)</f>
        <v>DUOJET Zaw. na-/odpowietrz. DN50 PN10/16/25 G2, GGG+CF8, pływak PP</v>
      </c>
      <c r="S2042" s="733" t="str">
        <f>'DICTIONARY-4'!$A$17</f>
        <v>AS</v>
      </c>
      <c r="T2042" s="732" t="str">
        <f>'DICTIONARY-4'!$A$33</f>
        <v>Automatyczne sterowanie</v>
      </c>
      <c r="U2042" s="734" t="s">
        <v>5748</v>
      </c>
      <c r="V2042" s="735">
        <v>25</v>
      </c>
      <c r="W2042" s="736"/>
      <c r="X2042" s="750" t="s">
        <v>50</v>
      </c>
      <c r="Y2042" s="738"/>
      <c r="Z2042" s="739"/>
      <c r="AA2042" s="739"/>
      <c r="AB2042" s="740">
        <v>25</v>
      </c>
      <c r="AC2042" s="741"/>
      <c r="AD2042" s="741" t="str">
        <f>'DICTIONARY-5'!$A$13</f>
        <v>woda pitna</v>
      </c>
      <c r="AE2042" s="742">
        <v>50</v>
      </c>
      <c r="AF2042" s="743">
        <v>20</v>
      </c>
      <c r="AG2042" s="741" t="str">
        <f>'DICTIONARY-5'!$A$23</f>
        <v>powłoka epoksydowa</v>
      </c>
    </row>
    <row r="2043" spans="1:33" x14ac:dyDescent="0.25">
      <c r="A2043" s="872" t="s">
        <v>1868</v>
      </c>
      <c r="B2043" s="872" t="s">
        <v>4219</v>
      </c>
      <c r="C2043" s="836">
        <v>440</v>
      </c>
      <c r="D2043" s="836"/>
      <c r="E2043" s="836"/>
      <c r="F2043" s="836"/>
      <c r="G2043" s="496" t="s">
        <v>7834</v>
      </c>
      <c r="H2043" s="797" t="str">
        <f>VLOOKUP(G2043,SETTINGS!$B$7:$D$97,2,0)</f>
        <v>DUOJET</v>
      </c>
      <c r="I2043" s="796">
        <f>VLOOKUP(G2043,SETTINGS!$B$7:$D$97,3,0)</f>
        <v>0</v>
      </c>
      <c r="J2043" s="670" t="str">
        <f>IFERROR(IF(CURRENCY.FORMAT_1=0,CONCATENATE(TEXT(FIXED(ROUND((C2043/EXC.RATE_1),CURRENCY.FORMAT_1),CURRENCY.FORMAT_1,1),"# ##0;-# ##0"),",-"),FIXED(ROUND((C2043/EXC.RATE_1),CURRENCY.FORMAT_1),CURRENCY.FORMAT_1,0)),'DICTIONARY-5'!$A$2)</f>
        <v>440,-</v>
      </c>
      <c r="K2043" s="670" t="str">
        <f>IF(EXC.RATE_2=0,"",IFERROR(IF(CURRENCY.FORMAT_2=0,CONCATENATE(TEXT(FIXED(ROUND(IF(EXC.RATE.SWITCH=1,C2043/EXC.RATE_2,C2043*EXC.RATE_2),CURRENCY.FORMAT_2),CURRENCY.FORMAT_2,1),"# ##0;-# ##0"),",-"),FIXED(ROUND(IF(EXC.RATE.SWITCH=1,C2043/EXC.RATE_2,C2043*EXC.RATE_2),CURRENCY.FORMAT_2),CURRENCY.FORMAT_2,0)),'DICTIONARY-5'!$A$2))</f>
        <v/>
      </c>
      <c r="L2043" s="670" t="str">
        <f>IFERROR(IF(CURRENCY.FORMAT_1=0,CONCATENATE(TEXT(FIXED(ROUND((C2043*(1-I2043)*(1-ADD.DISCOUNT)*(1+MAT.SURCHARGE)/EXC.RATE_1),CURRENCY.FORMAT_1),CURRENCY.FORMAT_1,1),"# ##0;-# ##0"),",-"),FIXED(ROUND((C2043*(1-I2043)*(1-ADD.DISCOUNT)*(1+MAT.SURCHARGE)/EXC.RATE_1),CURRENCY.FORMAT_1),CURRENCY.FORMAT_1,0)),'DICTIONARY-5'!$A$2)</f>
        <v>457,-</v>
      </c>
      <c r="M2043" s="670" t="str">
        <f>IF(EXC.RATE_2=0,"",IFERROR(IF(CURRENCY.FORMAT_2=0,CONCATENATE(TEXT(FIXED(ROUND(IF(EXC.RATE.SWITCH=1,C2043*(1-I2043)*(1-ADD.DISCOUNT)*(1+MAT.SURCHARGE)/EXC.RATE_2,C2043*(1-I2043)*(1-ADD.DISCOUNT)*(1+MAT.SURCHARGE)*EXC.RATE_2),CURRENCY.FORMAT_2),CURRENCY.FORMAT_2,1),"# ##0;-# ##0"),",-"),FIXED(ROUND(IF(EXC.RATE.SWITCH=1,C2043*(1-I2043)*(1-ADD.DISCOUNT)*(1+MAT.SURCHARGE)/EXC.RATE_2,C2043*(1-I2043)*(1-ADD.DISCOUNT)*(1+MAT.SURCHARGE)*EXC.RATE_2),CURRENCY.FORMAT_2),CURRENCY.FORMAT_2,0)),'DICTIONARY-5'!$A$2))</f>
        <v/>
      </c>
      <c r="N2043" s="538">
        <v>8</v>
      </c>
      <c r="O2043" s="538"/>
      <c r="P2043" s="731" t="str">
        <f>'DICTIONARY-3'!$A$107</f>
        <v>DUOJET</v>
      </c>
      <c r="Q2043" s="732" t="str">
        <f>'DICTIONARY-3'!$A$206</f>
        <v>Zawór na- i odpowietrzający</v>
      </c>
      <c r="R2043" s="732" t="str">
        <f>CONCATENATE('DICTIONARY-3'!$A$107," ",'DICTIONARY-6'!$A$7," ",'DICTIONARY-2'!$A$2,"80"," ",'DICTIONARY-2'!$A$3,"10/16/25 G2",", ",'DICTIONARY-5'!$A$51,"+",'DICTIONARY-5'!$A$36,", ",'DICTIONARY-6'!$A$44)</f>
        <v>DUOJET Zaw. na-/odpowietrz. DN80 PN10/16/25 G2, GGG+CF8, pływak PP</v>
      </c>
      <c r="S2043" s="733" t="str">
        <f>'DICTIONARY-4'!$A$17</f>
        <v>AS</v>
      </c>
      <c r="T2043" s="732" t="str">
        <f>'DICTIONARY-4'!$A$33</f>
        <v>Automatyczne sterowanie</v>
      </c>
      <c r="U2043" s="734" t="s">
        <v>5760</v>
      </c>
      <c r="V2043" s="735">
        <v>25</v>
      </c>
      <c r="W2043" s="736"/>
      <c r="X2043" s="750" t="s">
        <v>50</v>
      </c>
      <c r="Y2043" s="738"/>
      <c r="Z2043" s="739"/>
      <c r="AA2043" s="739"/>
      <c r="AB2043" s="740">
        <v>25</v>
      </c>
      <c r="AC2043" s="741"/>
      <c r="AD2043" s="741" t="str">
        <f>'DICTIONARY-5'!$A$13</f>
        <v>woda pitna</v>
      </c>
      <c r="AE2043" s="742">
        <v>50</v>
      </c>
      <c r="AF2043" s="743">
        <v>19</v>
      </c>
      <c r="AG2043" s="741" t="str">
        <f>'DICTIONARY-5'!$A$23</f>
        <v>powłoka epoksydowa</v>
      </c>
    </row>
    <row r="2044" spans="1:33" x14ac:dyDescent="0.25">
      <c r="A2044" s="872" t="s">
        <v>1870</v>
      </c>
      <c r="B2044" s="872" t="s">
        <v>4213</v>
      </c>
      <c r="C2044" s="836">
        <v>540</v>
      </c>
      <c r="D2044" s="836"/>
      <c r="E2044" s="836"/>
      <c r="F2044" s="836"/>
      <c r="G2044" s="496" t="s">
        <v>7834</v>
      </c>
      <c r="H2044" s="797" t="str">
        <f>VLOOKUP(G2044,SETTINGS!$B$7:$D$97,2,0)</f>
        <v>DUOJET</v>
      </c>
      <c r="I2044" s="796">
        <f>VLOOKUP(G2044,SETTINGS!$B$7:$D$97,3,0)</f>
        <v>0</v>
      </c>
      <c r="J2044" s="670" t="str">
        <f>IFERROR(IF(CURRENCY.FORMAT_1=0,CONCATENATE(TEXT(FIXED(ROUND((C2044/EXC.RATE_1),CURRENCY.FORMAT_1),CURRENCY.FORMAT_1,1),"# ##0;-# ##0"),",-"),FIXED(ROUND((C2044/EXC.RATE_1),CURRENCY.FORMAT_1),CURRENCY.FORMAT_1,0)),'DICTIONARY-5'!$A$2)</f>
        <v>540,-</v>
      </c>
      <c r="K2044" s="670" t="str">
        <f>IF(EXC.RATE_2=0,"",IFERROR(IF(CURRENCY.FORMAT_2=0,CONCATENATE(TEXT(FIXED(ROUND(IF(EXC.RATE.SWITCH=1,C2044/EXC.RATE_2,C2044*EXC.RATE_2),CURRENCY.FORMAT_2),CURRENCY.FORMAT_2,1),"# ##0;-# ##0"),",-"),FIXED(ROUND(IF(EXC.RATE.SWITCH=1,C2044/EXC.RATE_2,C2044*EXC.RATE_2),CURRENCY.FORMAT_2),CURRENCY.FORMAT_2,0)),'DICTIONARY-5'!$A$2))</f>
        <v/>
      </c>
      <c r="L2044" s="670" t="str">
        <f>IFERROR(IF(CURRENCY.FORMAT_1=0,CONCATENATE(TEXT(FIXED(ROUND((C2044*(1-I2044)*(1-ADD.DISCOUNT)*(1+MAT.SURCHARGE)/EXC.RATE_1),CURRENCY.FORMAT_1),CURRENCY.FORMAT_1,1),"# ##0;-# ##0"),",-"),FIXED(ROUND((C2044*(1-I2044)*(1-ADD.DISCOUNT)*(1+MAT.SURCHARGE)/EXC.RATE_1),CURRENCY.FORMAT_1),CURRENCY.FORMAT_1,0)),'DICTIONARY-5'!$A$2)</f>
        <v>561,-</v>
      </c>
      <c r="M2044" s="670" t="str">
        <f>IF(EXC.RATE_2=0,"",IFERROR(IF(CURRENCY.FORMAT_2=0,CONCATENATE(TEXT(FIXED(ROUND(IF(EXC.RATE.SWITCH=1,C2044*(1-I2044)*(1-ADD.DISCOUNT)*(1+MAT.SURCHARGE)/EXC.RATE_2,C2044*(1-I2044)*(1-ADD.DISCOUNT)*(1+MAT.SURCHARGE)*EXC.RATE_2),CURRENCY.FORMAT_2),CURRENCY.FORMAT_2,1),"# ##0;-# ##0"),",-"),FIXED(ROUND(IF(EXC.RATE.SWITCH=1,C2044*(1-I2044)*(1-ADD.DISCOUNT)*(1+MAT.SURCHARGE)/EXC.RATE_2,C2044*(1-I2044)*(1-ADD.DISCOUNT)*(1+MAT.SURCHARGE)*EXC.RATE_2),CURRENCY.FORMAT_2),CURRENCY.FORMAT_2,0)),'DICTIONARY-5'!$A$2))</f>
        <v/>
      </c>
      <c r="N2044" s="538">
        <v>8</v>
      </c>
      <c r="O2044" s="538"/>
      <c r="P2044" s="731" t="str">
        <f>'DICTIONARY-3'!$A$107</f>
        <v>DUOJET</v>
      </c>
      <c r="Q2044" s="732" t="str">
        <f>'DICTIONARY-3'!$A$206</f>
        <v>Zawór na- i odpowietrzający</v>
      </c>
      <c r="R2044" s="732" t="str">
        <f>CONCATENATE('DICTIONARY-3'!$A$107," ",'DICTIONARY-6'!$A$7," ",'DICTIONARY-2'!$A$2,"100"," ",'DICTIONARY-2'!$A$3,"10/16"," ","G2½",", ",'DICTIONARY-5'!$A$51,"+",'DICTIONARY-5'!$A$36,", ",'DICTIONARY-6'!$A$44)</f>
        <v>DUOJET Zaw. na-/odpowietrz. DN100 PN10/16 G2½, GGG+CF8, pływak PP</v>
      </c>
      <c r="S2044" s="733" t="str">
        <f>'DICTIONARY-4'!$A$17</f>
        <v>AS</v>
      </c>
      <c r="T2044" s="732" t="str">
        <f>'DICTIONARY-4'!$A$33</f>
        <v>Automatyczne sterowanie</v>
      </c>
      <c r="U2044" s="734" t="s">
        <v>5749</v>
      </c>
      <c r="V2044" s="735">
        <v>16</v>
      </c>
      <c r="W2044" s="736"/>
      <c r="X2044" s="750" t="s">
        <v>5744</v>
      </c>
      <c r="Y2044" s="738"/>
      <c r="Z2044" s="739"/>
      <c r="AA2044" s="739"/>
      <c r="AB2044" s="740">
        <v>16</v>
      </c>
      <c r="AC2044" s="741"/>
      <c r="AD2044" s="741" t="str">
        <f>'DICTIONARY-5'!$A$13</f>
        <v>woda pitna</v>
      </c>
      <c r="AE2044" s="742">
        <v>50</v>
      </c>
      <c r="AF2044" s="743">
        <v>24</v>
      </c>
      <c r="AG2044" s="741" t="str">
        <f>'DICTIONARY-5'!$A$23</f>
        <v>powłoka epoksydowa</v>
      </c>
    </row>
    <row r="2045" spans="1:33" x14ac:dyDescent="0.25">
      <c r="A2045" s="872" t="s">
        <v>1873</v>
      </c>
      <c r="B2045" s="872" t="s">
        <v>4215</v>
      </c>
      <c r="C2045" s="836">
        <v>892</v>
      </c>
      <c r="D2045" s="836"/>
      <c r="E2045" s="836"/>
      <c r="F2045" s="836"/>
      <c r="G2045" s="496" t="s">
        <v>7834</v>
      </c>
      <c r="H2045" s="797" t="str">
        <f>VLOOKUP(G2045,SETTINGS!$B$7:$D$97,2,0)</f>
        <v>DUOJET</v>
      </c>
      <c r="I2045" s="796">
        <f>VLOOKUP(G2045,SETTINGS!$B$7:$D$97,3,0)</f>
        <v>0</v>
      </c>
      <c r="J2045" s="670" t="str">
        <f>IFERROR(IF(CURRENCY.FORMAT_1=0,CONCATENATE(TEXT(FIXED(ROUND((C2045/EXC.RATE_1),CURRENCY.FORMAT_1),CURRENCY.FORMAT_1,1),"# ##0;-# ##0"),",-"),FIXED(ROUND((C2045/EXC.RATE_1),CURRENCY.FORMAT_1),CURRENCY.FORMAT_1,0)),'DICTIONARY-5'!$A$2)</f>
        <v>892,-</v>
      </c>
      <c r="K2045" s="670" t="str">
        <f>IF(EXC.RATE_2=0,"",IFERROR(IF(CURRENCY.FORMAT_2=0,CONCATENATE(TEXT(FIXED(ROUND(IF(EXC.RATE.SWITCH=1,C2045/EXC.RATE_2,C2045*EXC.RATE_2),CURRENCY.FORMAT_2),CURRENCY.FORMAT_2,1),"# ##0;-# ##0"),",-"),FIXED(ROUND(IF(EXC.RATE.SWITCH=1,C2045/EXC.RATE_2,C2045*EXC.RATE_2),CURRENCY.FORMAT_2),CURRENCY.FORMAT_2,0)),'DICTIONARY-5'!$A$2))</f>
        <v/>
      </c>
      <c r="L2045" s="670" t="str">
        <f>IFERROR(IF(CURRENCY.FORMAT_1=0,CONCATENATE(TEXT(FIXED(ROUND((C2045*(1-I2045)*(1-ADD.DISCOUNT)*(1+MAT.SURCHARGE)/EXC.RATE_1),CURRENCY.FORMAT_1),CURRENCY.FORMAT_1,1),"# ##0;-# ##0"),",-"),FIXED(ROUND((C2045*(1-I2045)*(1-ADD.DISCOUNT)*(1+MAT.SURCHARGE)/EXC.RATE_1),CURRENCY.FORMAT_1),CURRENCY.FORMAT_1,0)),'DICTIONARY-5'!$A$2)</f>
        <v>927,-</v>
      </c>
      <c r="M2045" s="670" t="str">
        <f>IF(EXC.RATE_2=0,"",IFERROR(IF(CURRENCY.FORMAT_2=0,CONCATENATE(TEXT(FIXED(ROUND(IF(EXC.RATE.SWITCH=1,C2045*(1-I2045)*(1-ADD.DISCOUNT)*(1+MAT.SURCHARGE)/EXC.RATE_2,C2045*(1-I2045)*(1-ADD.DISCOUNT)*(1+MAT.SURCHARGE)*EXC.RATE_2),CURRENCY.FORMAT_2),CURRENCY.FORMAT_2,1),"# ##0;-# ##0"),",-"),FIXED(ROUND(IF(EXC.RATE.SWITCH=1,C2045*(1-I2045)*(1-ADD.DISCOUNT)*(1+MAT.SURCHARGE)/EXC.RATE_2,C2045*(1-I2045)*(1-ADD.DISCOUNT)*(1+MAT.SURCHARGE)*EXC.RATE_2),CURRENCY.FORMAT_2),CURRENCY.FORMAT_2,0)),'DICTIONARY-5'!$A$2))</f>
        <v/>
      </c>
      <c r="N2045" s="538">
        <v>8</v>
      </c>
      <c r="O2045" s="538"/>
      <c r="P2045" s="731" t="str">
        <f>'DICTIONARY-3'!$A$107</f>
        <v>DUOJET</v>
      </c>
      <c r="Q2045" s="732" t="str">
        <f>'DICTIONARY-3'!$A$206</f>
        <v>Zawór na- i odpowietrzający</v>
      </c>
      <c r="R2045" s="732" t="str">
        <f>CONCATENATE('DICTIONARY-3'!$A$107," ",'DICTIONARY-6'!$A$7," ",'DICTIONARY-2'!$A$2,"150"," ",'DICTIONARY-2'!$A$3,"10/16"," ","G4",", ",'DICTIONARY-5'!$A$51,"+",'DICTIONARY-5'!$A$36,", ",'DICTIONARY-6'!$A$44)</f>
        <v>DUOJET Zaw. na-/odpowietrz. DN150 PN10/16 G4, GGG+CF8, pływak PP</v>
      </c>
      <c r="S2045" s="733" t="str">
        <f>'DICTIONARY-4'!$A$17</f>
        <v>AS</v>
      </c>
      <c r="T2045" s="732" t="str">
        <f>'DICTIONARY-4'!$A$33</f>
        <v>Automatyczne sterowanie</v>
      </c>
      <c r="U2045" s="734" t="s">
        <v>5572</v>
      </c>
      <c r="V2045" s="735">
        <v>16</v>
      </c>
      <c r="W2045" s="736"/>
      <c r="X2045" s="750" t="s">
        <v>53</v>
      </c>
      <c r="Y2045" s="738"/>
      <c r="Z2045" s="739"/>
      <c r="AA2045" s="739"/>
      <c r="AB2045" s="740">
        <v>16</v>
      </c>
      <c r="AC2045" s="741"/>
      <c r="AD2045" s="741" t="str">
        <f>'DICTIONARY-5'!$A$13</f>
        <v>woda pitna</v>
      </c>
      <c r="AE2045" s="742">
        <v>50</v>
      </c>
      <c r="AF2045" s="743">
        <v>56</v>
      </c>
      <c r="AG2045" s="741" t="str">
        <f>'DICTIONARY-5'!$A$23</f>
        <v>powłoka epoksydowa</v>
      </c>
    </row>
    <row r="2046" spans="1:33" x14ac:dyDescent="0.25">
      <c r="A2046" s="872" t="s">
        <v>1875</v>
      </c>
      <c r="B2046" s="872" t="s">
        <v>4212</v>
      </c>
      <c r="C2046" s="836">
        <v>956</v>
      </c>
      <c r="D2046" s="836"/>
      <c r="E2046" s="836"/>
      <c r="F2046" s="836"/>
      <c r="G2046" s="496" t="s">
        <v>7834</v>
      </c>
      <c r="H2046" s="797" t="str">
        <f>VLOOKUP(G2046,SETTINGS!$B$7:$D$97,2,0)</f>
        <v>DUOJET</v>
      </c>
      <c r="I2046" s="796">
        <f>VLOOKUP(G2046,SETTINGS!$B$7:$D$97,3,0)</f>
        <v>0</v>
      </c>
      <c r="J2046" s="670" t="str">
        <f>IFERROR(IF(CURRENCY.FORMAT_1=0,CONCATENATE(TEXT(FIXED(ROUND((C2046/EXC.RATE_1),CURRENCY.FORMAT_1),CURRENCY.FORMAT_1,1),"# ##0;-# ##0"),",-"),FIXED(ROUND((C2046/EXC.RATE_1),CURRENCY.FORMAT_1),CURRENCY.FORMAT_1,0)),'DICTIONARY-5'!$A$2)</f>
        <v>956,-</v>
      </c>
      <c r="K2046" s="670" t="str">
        <f>IF(EXC.RATE_2=0,"",IFERROR(IF(CURRENCY.FORMAT_2=0,CONCATENATE(TEXT(FIXED(ROUND(IF(EXC.RATE.SWITCH=1,C2046/EXC.RATE_2,C2046*EXC.RATE_2),CURRENCY.FORMAT_2),CURRENCY.FORMAT_2,1),"# ##0;-# ##0"),",-"),FIXED(ROUND(IF(EXC.RATE.SWITCH=1,C2046/EXC.RATE_2,C2046*EXC.RATE_2),CURRENCY.FORMAT_2),CURRENCY.FORMAT_2,0)),'DICTIONARY-5'!$A$2))</f>
        <v/>
      </c>
      <c r="L2046" s="670" t="str">
        <f>IFERROR(IF(CURRENCY.FORMAT_1=0,CONCATENATE(TEXT(FIXED(ROUND((C2046*(1-I2046)*(1-ADD.DISCOUNT)*(1+MAT.SURCHARGE)/EXC.RATE_1),CURRENCY.FORMAT_1),CURRENCY.FORMAT_1,1),"# ##0;-# ##0"),",-"),FIXED(ROUND((C2046*(1-I2046)*(1-ADD.DISCOUNT)*(1+MAT.SURCHARGE)/EXC.RATE_1),CURRENCY.FORMAT_1),CURRENCY.FORMAT_1,0)),'DICTIONARY-5'!$A$2)</f>
        <v>993,-</v>
      </c>
      <c r="M2046" s="670" t="str">
        <f>IF(EXC.RATE_2=0,"",IFERROR(IF(CURRENCY.FORMAT_2=0,CONCATENATE(TEXT(FIXED(ROUND(IF(EXC.RATE.SWITCH=1,C2046*(1-I2046)*(1-ADD.DISCOUNT)*(1+MAT.SURCHARGE)/EXC.RATE_2,C2046*(1-I2046)*(1-ADD.DISCOUNT)*(1+MAT.SURCHARGE)*EXC.RATE_2),CURRENCY.FORMAT_2),CURRENCY.FORMAT_2,1),"# ##0;-# ##0"),",-"),FIXED(ROUND(IF(EXC.RATE.SWITCH=1,C2046*(1-I2046)*(1-ADD.DISCOUNT)*(1+MAT.SURCHARGE)/EXC.RATE_2,C2046*(1-I2046)*(1-ADD.DISCOUNT)*(1+MAT.SURCHARGE)*EXC.RATE_2),CURRENCY.FORMAT_2),CURRENCY.FORMAT_2,0)),'DICTIONARY-5'!$A$2))</f>
        <v/>
      </c>
      <c r="N2046" s="538">
        <v>8</v>
      </c>
      <c r="O2046" s="538"/>
      <c r="P2046" s="731" t="str">
        <f>'DICTIONARY-3'!$A$107</f>
        <v>DUOJET</v>
      </c>
      <c r="Q2046" s="732" t="str">
        <f>'DICTIONARY-3'!$A$206</f>
        <v>Zawór na- i odpowietrzający</v>
      </c>
      <c r="R2046" s="732" t="str">
        <f>CONCATENATE('DICTIONARY-3'!$A$107," ",'DICTIONARY-6'!$A$7," ",'DICTIONARY-2'!$A$2,"200"," ",'DICTIONARY-2'!$A$3,"10"," ","G4",", ",'DICTIONARY-5'!$A$51,"+",'DICTIONARY-5'!$A$36,", ",'DICTIONARY-6'!$A$44)</f>
        <v>DUOJET Zaw. na-/odpowietrz. DN200 PN10 G4, GGG+CF8, pływak PP</v>
      </c>
      <c r="S2046" s="733" t="str">
        <f>'DICTIONARY-4'!$A$17</f>
        <v>AS</v>
      </c>
      <c r="T2046" s="732" t="str">
        <f>'DICTIONARY-4'!$A$33</f>
        <v>Automatyczne sterowanie</v>
      </c>
      <c r="U2046" s="734" t="s">
        <v>5750</v>
      </c>
      <c r="V2046" s="735">
        <v>10</v>
      </c>
      <c r="W2046" s="736"/>
      <c r="X2046" s="750" t="s">
        <v>53</v>
      </c>
      <c r="Y2046" s="738"/>
      <c r="Z2046" s="739"/>
      <c r="AA2046" s="739"/>
      <c r="AB2046" s="740">
        <v>10</v>
      </c>
      <c r="AC2046" s="741"/>
      <c r="AD2046" s="741" t="str">
        <f>'DICTIONARY-5'!$A$13</f>
        <v>woda pitna</v>
      </c>
      <c r="AE2046" s="742">
        <v>50</v>
      </c>
      <c r="AF2046" s="743">
        <v>47</v>
      </c>
      <c r="AG2046" s="741" t="str">
        <f>'DICTIONARY-5'!$A$23</f>
        <v>powłoka epoksydowa</v>
      </c>
    </row>
    <row r="2047" spans="1:33" x14ac:dyDescent="0.25">
      <c r="A2047" s="872" t="s">
        <v>1877</v>
      </c>
      <c r="B2047" s="872" t="s">
        <v>4217</v>
      </c>
      <c r="C2047" s="836">
        <v>956</v>
      </c>
      <c r="D2047" s="836"/>
      <c r="E2047" s="836"/>
      <c r="F2047" s="836"/>
      <c r="G2047" s="496" t="s">
        <v>7834</v>
      </c>
      <c r="H2047" s="797" t="str">
        <f>VLOOKUP(G2047,SETTINGS!$B$7:$D$97,2,0)</f>
        <v>DUOJET</v>
      </c>
      <c r="I2047" s="796">
        <f>VLOOKUP(G2047,SETTINGS!$B$7:$D$97,3,0)</f>
        <v>0</v>
      </c>
      <c r="J2047" s="670" t="str">
        <f>IFERROR(IF(CURRENCY.FORMAT_1=0,CONCATENATE(TEXT(FIXED(ROUND((C2047/EXC.RATE_1),CURRENCY.FORMAT_1),CURRENCY.FORMAT_1,1),"# ##0;-# ##0"),",-"),FIXED(ROUND((C2047/EXC.RATE_1),CURRENCY.FORMAT_1),CURRENCY.FORMAT_1,0)),'DICTIONARY-5'!$A$2)</f>
        <v>956,-</v>
      </c>
      <c r="K2047" s="670" t="str">
        <f>IF(EXC.RATE_2=0,"",IFERROR(IF(CURRENCY.FORMAT_2=0,CONCATENATE(TEXT(FIXED(ROUND(IF(EXC.RATE.SWITCH=1,C2047/EXC.RATE_2,C2047*EXC.RATE_2),CURRENCY.FORMAT_2),CURRENCY.FORMAT_2,1),"# ##0;-# ##0"),",-"),FIXED(ROUND(IF(EXC.RATE.SWITCH=1,C2047/EXC.RATE_2,C2047*EXC.RATE_2),CURRENCY.FORMAT_2),CURRENCY.FORMAT_2,0)),'DICTIONARY-5'!$A$2))</f>
        <v/>
      </c>
      <c r="L2047" s="670" t="str">
        <f>IFERROR(IF(CURRENCY.FORMAT_1=0,CONCATENATE(TEXT(FIXED(ROUND((C2047*(1-I2047)*(1-ADD.DISCOUNT)*(1+MAT.SURCHARGE)/EXC.RATE_1),CURRENCY.FORMAT_1),CURRENCY.FORMAT_1,1),"# ##0;-# ##0"),",-"),FIXED(ROUND((C2047*(1-I2047)*(1-ADD.DISCOUNT)*(1+MAT.SURCHARGE)/EXC.RATE_1),CURRENCY.FORMAT_1),CURRENCY.FORMAT_1,0)),'DICTIONARY-5'!$A$2)</f>
        <v>993,-</v>
      </c>
      <c r="M2047" s="670" t="str">
        <f>IF(EXC.RATE_2=0,"",IFERROR(IF(CURRENCY.FORMAT_2=0,CONCATENATE(TEXT(FIXED(ROUND(IF(EXC.RATE.SWITCH=1,C2047*(1-I2047)*(1-ADD.DISCOUNT)*(1+MAT.SURCHARGE)/EXC.RATE_2,C2047*(1-I2047)*(1-ADD.DISCOUNT)*(1+MAT.SURCHARGE)*EXC.RATE_2),CURRENCY.FORMAT_2),CURRENCY.FORMAT_2,1),"# ##0;-# ##0"),",-"),FIXED(ROUND(IF(EXC.RATE.SWITCH=1,C2047*(1-I2047)*(1-ADD.DISCOUNT)*(1+MAT.SURCHARGE)/EXC.RATE_2,C2047*(1-I2047)*(1-ADD.DISCOUNT)*(1+MAT.SURCHARGE)*EXC.RATE_2),CURRENCY.FORMAT_2),CURRENCY.FORMAT_2,0)),'DICTIONARY-5'!$A$2))</f>
        <v/>
      </c>
      <c r="N2047" s="538">
        <v>8</v>
      </c>
      <c r="O2047" s="538"/>
      <c r="P2047" s="731" t="str">
        <f>'DICTIONARY-3'!$A$107</f>
        <v>DUOJET</v>
      </c>
      <c r="Q2047" s="732" t="str">
        <f>'DICTIONARY-3'!$A$206</f>
        <v>Zawór na- i odpowietrzający</v>
      </c>
      <c r="R2047" s="732" t="str">
        <f>CONCATENATE('DICTIONARY-3'!$A$107," ",'DICTIONARY-6'!$A$7," ",'DICTIONARY-2'!$A$2,"200"," ",'DICTIONARY-2'!$A$3,"16"," ","G4",", ",'DICTIONARY-5'!$A$51,"+",'DICTIONARY-5'!$A$36,", ",'DICTIONARY-6'!$A$44)</f>
        <v>DUOJET Zaw. na-/odpowietrz. DN200 PN16 G4, GGG+CF8, pływak PP</v>
      </c>
      <c r="S2047" s="733" t="str">
        <f>'DICTIONARY-4'!$A$17</f>
        <v>AS</v>
      </c>
      <c r="T2047" s="732" t="str">
        <f>'DICTIONARY-4'!$A$33</f>
        <v>Automatyczne sterowanie</v>
      </c>
      <c r="U2047" s="734" t="s">
        <v>5750</v>
      </c>
      <c r="V2047" s="735">
        <v>16</v>
      </c>
      <c r="W2047" s="736"/>
      <c r="X2047" s="750" t="s">
        <v>53</v>
      </c>
      <c r="Y2047" s="738"/>
      <c r="Z2047" s="739"/>
      <c r="AA2047" s="739"/>
      <c r="AB2047" s="740">
        <v>16</v>
      </c>
      <c r="AC2047" s="741"/>
      <c r="AD2047" s="741" t="str">
        <f>'DICTIONARY-5'!$A$13</f>
        <v>woda pitna</v>
      </c>
      <c r="AE2047" s="742">
        <v>50</v>
      </c>
      <c r="AF2047" s="743">
        <v>57</v>
      </c>
      <c r="AG2047" s="741" t="str">
        <f>'DICTIONARY-5'!$A$23</f>
        <v>powłoka epoksydowa</v>
      </c>
    </row>
    <row r="2048" spans="1:33" x14ac:dyDescent="0.25">
      <c r="A2048" s="872" t="s">
        <v>1871</v>
      </c>
      <c r="B2048" s="872" t="s">
        <v>4221</v>
      </c>
      <c r="C2048" s="836">
        <v>544</v>
      </c>
      <c r="D2048" s="836"/>
      <c r="E2048" s="836"/>
      <c r="F2048" s="836"/>
      <c r="G2048" s="496" t="s">
        <v>7834</v>
      </c>
      <c r="H2048" s="797" t="str">
        <f>VLOOKUP(G2048,SETTINGS!$B$7:$D$97,2,0)</f>
        <v>DUOJET</v>
      </c>
      <c r="I2048" s="796">
        <f>VLOOKUP(G2048,SETTINGS!$B$7:$D$97,3,0)</f>
        <v>0</v>
      </c>
      <c r="J2048" s="670" t="str">
        <f>IFERROR(IF(CURRENCY.FORMAT_1=0,CONCATENATE(TEXT(FIXED(ROUND((C2048/EXC.RATE_1),CURRENCY.FORMAT_1),CURRENCY.FORMAT_1,1),"# ##0;-# ##0"),",-"),FIXED(ROUND((C2048/EXC.RATE_1),CURRENCY.FORMAT_1),CURRENCY.FORMAT_1,0)),'DICTIONARY-5'!$A$2)</f>
        <v>544,-</v>
      </c>
      <c r="K2048" s="670" t="str">
        <f>IF(EXC.RATE_2=0,"",IFERROR(IF(CURRENCY.FORMAT_2=0,CONCATENATE(TEXT(FIXED(ROUND(IF(EXC.RATE.SWITCH=1,C2048/EXC.RATE_2,C2048*EXC.RATE_2),CURRENCY.FORMAT_2),CURRENCY.FORMAT_2,1),"# ##0;-# ##0"),",-"),FIXED(ROUND(IF(EXC.RATE.SWITCH=1,C2048/EXC.RATE_2,C2048*EXC.RATE_2),CURRENCY.FORMAT_2),CURRENCY.FORMAT_2,0)),'DICTIONARY-5'!$A$2))</f>
        <v/>
      </c>
      <c r="L2048" s="670" t="str">
        <f>IFERROR(IF(CURRENCY.FORMAT_1=0,CONCATENATE(TEXT(FIXED(ROUND((C2048*(1-I2048)*(1-ADD.DISCOUNT)*(1+MAT.SURCHARGE)/EXC.RATE_1),CURRENCY.FORMAT_1),CURRENCY.FORMAT_1,1),"# ##0;-# ##0"),",-"),FIXED(ROUND((C2048*(1-I2048)*(1-ADD.DISCOUNT)*(1+MAT.SURCHARGE)/EXC.RATE_1),CURRENCY.FORMAT_1),CURRENCY.FORMAT_1,0)),'DICTIONARY-5'!$A$2)</f>
        <v>565,-</v>
      </c>
      <c r="M2048" s="670" t="str">
        <f>IF(EXC.RATE_2=0,"",IFERROR(IF(CURRENCY.FORMAT_2=0,CONCATENATE(TEXT(FIXED(ROUND(IF(EXC.RATE.SWITCH=1,C2048*(1-I2048)*(1-ADD.DISCOUNT)*(1+MAT.SURCHARGE)/EXC.RATE_2,C2048*(1-I2048)*(1-ADD.DISCOUNT)*(1+MAT.SURCHARGE)*EXC.RATE_2),CURRENCY.FORMAT_2),CURRENCY.FORMAT_2,1),"# ##0;-# ##0"),",-"),FIXED(ROUND(IF(EXC.RATE.SWITCH=1,C2048*(1-I2048)*(1-ADD.DISCOUNT)*(1+MAT.SURCHARGE)/EXC.RATE_2,C2048*(1-I2048)*(1-ADD.DISCOUNT)*(1+MAT.SURCHARGE)*EXC.RATE_2),CURRENCY.FORMAT_2),CURRENCY.FORMAT_2,0)),'DICTIONARY-5'!$A$2))</f>
        <v/>
      </c>
      <c r="N2048" s="538">
        <v>8</v>
      </c>
      <c r="O2048" s="538"/>
      <c r="P2048" s="731" t="str">
        <f>'DICTIONARY-3'!$A$107</f>
        <v>DUOJET</v>
      </c>
      <c r="Q2048" s="732" t="str">
        <f>'DICTIONARY-3'!$A$206</f>
        <v>Zawór na- i odpowietrzający</v>
      </c>
      <c r="R2048" s="732" t="str">
        <f>CONCATENATE('DICTIONARY-3'!$A$107," ",'DICTIONARY-6'!$A$7," ",'DICTIONARY-2'!$A$2,"100"," ",'DICTIONARY-2'!$A$3,"25"," ","G2½",", ",'DICTIONARY-5'!$A$51,"+",'DICTIONARY-5'!$A$36,", ",'DICTIONARY-6'!$A$44)</f>
        <v>DUOJET Zaw. na-/odpowietrz. DN100 PN25 G2½, GGG+CF8, pływak PP</v>
      </c>
      <c r="S2048" s="733" t="str">
        <f>'DICTIONARY-4'!$A$17</f>
        <v>AS</v>
      </c>
      <c r="T2048" s="732" t="str">
        <f>'DICTIONARY-4'!$A$33</f>
        <v>Automatyczne sterowanie</v>
      </c>
      <c r="U2048" s="734" t="s">
        <v>5749</v>
      </c>
      <c r="V2048" s="735">
        <v>25</v>
      </c>
      <c r="W2048" s="736"/>
      <c r="X2048" s="750" t="s">
        <v>5744</v>
      </c>
      <c r="Y2048" s="738"/>
      <c r="Z2048" s="739"/>
      <c r="AA2048" s="739"/>
      <c r="AB2048" s="740">
        <v>25</v>
      </c>
      <c r="AC2048" s="741"/>
      <c r="AD2048" s="741" t="str">
        <f>'DICTIONARY-5'!$A$13</f>
        <v>woda pitna</v>
      </c>
      <c r="AE2048" s="742">
        <v>50</v>
      </c>
      <c r="AF2048" s="743">
        <v>24</v>
      </c>
      <c r="AG2048" s="741" t="str">
        <f>'DICTIONARY-5'!$A$23</f>
        <v>powłoka epoksydowa</v>
      </c>
    </row>
    <row r="2049" spans="1:33" x14ac:dyDescent="0.25">
      <c r="A2049" s="872" t="s">
        <v>1874</v>
      </c>
      <c r="B2049" s="872" t="s">
        <v>4222</v>
      </c>
      <c r="C2049" s="836">
        <v>953</v>
      </c>
      <c r="D2049" s="836"/>
      <c r="E2049" s="836"/>
      <c r="F2049" s="836"/>
      <c r="G2049" s="496" t="s">
        <v>7834</v>
      </c>
      <c r="H2049" s="797" t="str">
        <f>VLOOKUP(G2049,SETTINGS!$B$7:$D$97,2,0)</f>
        <v>DUOJET</v>
      </c>
      <c r="I2049" s="796">
        <f>VLOOKUP(G2049,SETTINGS!$B$7:$D$97,3,0)</f>
        <v>0</v>
      </c>
      <c r="J2049" s="670" t="str">
        <f>IFERROR(IF(CURRENCY.FORMAT_1=0,CONCATENATE(TEXT(FIXED(ROUND((C2049/EXC.RATE_1),CURRENCY.FORMAT_1),CURRENCY.FORMAT_1,1),"# ##0;-# ##0"),",-"),FIXED(ROUND((C2049/EXC.RATE_1),CURRENCY.FORMAT_1),CURRENCY.FORMAT_1,0)),'DICTIONARY-5'!$A$2)</f>
        <v>953,-</v>
      </c>
      <c r="K2049" s="670" t="str">
        <f>IF(EXC.RATE_2=0,"",IFERROR(IF(CURRENCY.FORMAT_2=0,CONCATENATE(TEXT(FIXED(ROUND(IF(EXC.RATE.SWITCH=1,C2049/EXC.RATE_2,C2049*EXC.RATE_2),CURRENCY.FORMAT_2),CURRENCY.FORMAT_2,1),"# ##0;-# ##0"),",-"),FIXED(ROUND(IF(EXC.RATE.SWITCH=1,C2049/EXC.RATE_2,C2049*EXC.RATE_2),CURRENCY.FORMAT_2),CURRENCY.FORMAT_2,0)),'DICTIONARY-5'!$A$2))</f>
        <v/>
      </c>
      <c r="L2049" s="670" t="str">
        <f>IFERROR(IF(CURRENCY.FORMAT_1=0,CONCATENATE(TEXT(FIXED(ROUND((C2049*(1-I2049)*(1-ADD.DISCOUNT)*(1+MAT.SURCHARGE)/EXC.RATE_1),CURRENCY.FORMAT_1),CURRENCY.FORMAT_1,1),"# ##0;-# ##0"),",-"),FIXED(ROUND((C2049*(1-I2049)*(1-ADD.DISCOUNT)*(1+MAT.SURCHARGE)/EXC.RATE_1),CURRENCY.FORMAT_1),CURRENCY.FORMAT_1,0)),'DICTIONARY-5'!$A$2)</f>
        <v>990,-</v>
      </c>
      <c r="M2049" s="670" t="str">
        <f>IF(EXC.RATE_2=0,"",IFERROR(IF(CURRENCY.FORMAT_2=0,CONCATENATE(TEXT(FIXED(ROUND(IF(EXC.RATE.SWITCH=1,C2049*(1-I2049)*(1-ADD.DISCOUNT)*(1+MAT.SURCHARGE)/EXC.RATE_2,C2049*(1-I2049)*(1-ADD.DISCOUNT)*(1+MAT.SURCHARGE)*EXC.RATE_2),CURRENCY.FORMAT_2),CURRENCY.FORMAT_2,1),"# ##0;-# ##0"),",-"),FIXED(ROUND(IF(EXC.RATE.SWITCH=1,C2049*(1-I2049)*(1-ADD.DISCOUNT)*(1+MAT.SURCHARGE)/EXC.RATE_2,C2049*(1-I2049)*(1-ADD.DISCOUNT)*(1+MAT.SURCHARGE)*EXC.RATE_2),CURRENCY.FORMAT_2),CURRENCY.FORMAT_2,0)),'DICTIONARY-5'!$A$2))</f>
        <v/>
      </c>
      <c r="N2049" s="538">
        <v>8</v>
      </c>
      <c r="O2049" s="538"/>
      <c r="P2049" s="731" t="str">
        <f>'DICTIONARY-3'!$A$107</f>
        <v>DUOJET</v>
      </c>
      <c r="Q2049" s="732" t="str">
        <f>'DICTIONARY-3'!$A$206</f>
        <v>Zawór na- i odpowietrzający</v>
      </c>
      <c r="R2049" s="732" t="str">
        <f>CONCATENATE('DICTIONARY-3'!$A$107," ",'DICTIONARY-6'!$A$7," ",'DICTIONARY-2'!$A$2,"150"," ",'DICTIONARY-2'!$A$3,"25"," ","G4",", ",'DICTIONARY-5'!$A$51,"+",'DICTIONARY-5'!$A$36,", ",'DICTIONARY-6'!$A$44)</f>
        <v>DUOJET Zaw. na-/odpowietrz. DN150 PN25 G4, GGG+CF8, pływak PP</v>
      </c>
      <c r="S2049" s="733" t="str">
        <f>'DICTIONARY-4'!$A$17</f>
        <v>AS</v>
      </c>
      <c r="T2049" s="732" t="str">
        <f>'DICTIONARY-4'!$A$33</f>
        <v>Automatyczne sterowanie</v>
      </c>
      <c r="U2049" s="734" t="s">
        <v>5572</v>
      </c>
      <c r="V2049" s="735">
        <v>25</v>
      </c>
      <c r="W2049" s="736"/>
      <c r="X2049" s="750" t="s">
        <v>53</v>
      </c>
      <c r="Y2049" s="738"/>
      <c r="Z2049" s="739"/>
      <c r="AA2049" s="739"/>
      <c r="AB2049" s="740">
        <v>25</v>
      </c>
      <c r="AC2049" s="741"/>
      <c r="AD2049" s="741" t="str">
        <f>'DICTIONARY-5'!$A$13</f>
        <v>woda pitna</v>
      </c>
      <c r="AE2049" s="742">
        <v>50</v>
      </c>
      <c r="AF2049" s="743">
        <v>45</v>
      </c>
      <c r="AG2049" s="741" t="str">
        <f>'DICTIONARY-5'!$A$23</f>
        <v>powłoka epoksydowa</v>
      </c>
    </row>
    <row r="2050" spans="1:33" x14ac:dyDescent="0.25">
      <c r="A2050" s="872" t="s">
        <v>1876</v>
      </c>
      <c r="B2050" s="872" t="s">
        <v>4223</v>
      </c>
      <c r="C2050" s="836">
        <v>973</v>
      </c>
      <c r="D2050" s="836"/>
      <c r="E2050" s="836"/>
      <c r="F2050" s="836"/>
      <c r="G2050" s="496" t="s">
        <v>7834</v>
      </c>
      <c r="H2050" s="797" t="str">
        <f>VLOOKUP(G2050,SETTINGS!$B$7:$D$97,2,0)</f>
        <v>DUOJET</v>
      </c>
      <c r="I2050" s="796">
        <f>VLOOKUP(G2050,SETTINGS!$B$7:$D$97,3,0)</f>
        <v>0</v>
      </c>
      <c r="J2050" s="670" t="str">
        <f>IFERROR(IF(CURRENCY.FORMAT_1=0,CONCATENATE(TEXT(FIXED(ROUND((C2050/EXC.RATE_1),CURRENCY.FORMAT_1),CURRENCY.FORMAT_1,1),"# ##0;-# ##0"),",-"),FIXED(ROUND((C2050/EXC.RATE_1),CURRENCY.FORMAT_1),CURRENCY.FORMAT_1,0)),'DICTIONARY-5'!$A$2)</f>
        <v>973,-</v>
      </c>
      <c r="K2050" s="670" t="str">
        <f>IF(EXC.RATE_2=0,"",IFERROR(IF(CURRENCY.FORMAT_2=0,CONCATENATE(TEXT(FIXED(ROUND(IF(EXC.RATE.SWITCH=1,C2050/EXC.RATE_2,C2050*EXC.RATE_2),CURRENCY.FORMAT_2),CURRENCY.FORMAT_2,1),"# ##0;-# ##0"),",-"),FIXED(ROUND(IF(EXC.RATE.SWITCH=1,C2050/EXC.RATE_2,C2050*EXC.RATE_2),CURRENCY.FORMAT_2),CURRENCY.FORMAT_2,0)),'DICTIONARY-5'!$A$2))</f>
        <v/>
      </c>
      <c r="L2050" s="670" t="str">
        <f>IFERROR(IF(CURRENCY.FORMAT_1=0,CONCATENATE(TEXT(FIXED(ROUND((C2050*(1-I2050)*(1-ADD.DISCOUNT)*(1+MAT.SURCHARGE)/EXC.RATE_1),CURRENCY.FORMAT_1),CURRENCY.FORMAT_1,1),"# ##0;-# ##0"),",-"),FIXED(ROUND((C2050*(1-I2050)*(1-ADD.DISCOUNT)*(1+MAT.SURCHARGE)/EXC.RATE_1),CURRENCY.FORMAT_1),CURRENCY.FORMAT_1,0)),'DICTIONARY-5'!$A$2)</f>
        <v>1 011,-</v>
      </c>
      <c r="M2050" s="670" t="str">
        <f>IF(EXC.RATE_2=0,"",IFERROR(IF(CURRENCY.FORMAT_2=0,CONCATENATE(TEXT(FIXED(ROUND(IF(EXC.RATE.SWITCH=1,C2050*(1-I2050)*(1-ADD.DISCOUNT)*(1+MAT.SURCHARGE)/EXC.RATE_2,C2050*(1-I2050)*(1-ADD.DISCOUNT)*(1+MAT.SURCHARGE)*EXC.RATE_2),CURRENCY.FORMAT_2),CURRENCY.FORMAT_2,1),"# ##0;-# ##0"),",-"),FIXED(ROUND(IF(EXC.RATE.SWITCH=1,C2050*(1-I2050)*(1-ADD.DISCOUNT)*(1+MAT.SURCHARGE)/EXC.RATE_2,C2050*(1-I2050)*(1-ADD.DISCOUNT)*(1+MAT.SURCHARGE)*EXC.RATE_2),CURRENCY.FORMAT_2),CURRENCY.FORMAT_2,0)),'DICTIONARY-5'!$A$2))</f>
        <v/>
      </c>
      <c r="N2050" s="538">
        <v>8</v>
      </c>
      <c r="O2050" s="538"/>
      <c r="P2050" s="731" t="str">
        <f>'DICTIONARY-3'!$A$107</f>
        <v>DUOJET</v>
      </c>
      <c r="Q2050" s="732" t="str">
        <f>'DICTIONARY-3'!$A$206</f>
        <v>Zawór na- i odpowietrzający</v>
      </c>
      <c r="R2050" s="732" t="str">
        <f>CONCATENATE('DICTIONARY-3'!$A$107," ",'DICTIONARY-6'!$A$7," ",'DICTIONARY-2'!$A$2,"200"," ",'DICTIONARY-2'!$A$3,"25"," ","G4",", ",'DICTIONARY-5'!$A$51,"+",'DICTIONARY-5'!$A$36,", ",'DICTIONARY-6'!$A$44)</f>
        <v>DUOJET Zaw. na-/odpowietrz. DN200 PN25 G4, GGG+CF8, pływak PP</v>
      </c>
      <c r="S2050" s="733" t="str">
        <f>'DICTIONARY-4'!$A$17</f>
        <v>AS</v>
      </c>
      <c r="T2050" s="732" t="str">
        <f>'DICTIONARY-4'!$A$33</f>
        <v>Automatyczne sterowanie</v>
      </c>
      <c r="U2050" s="734" t="s">
        <v>5750</v>
      </c>
      <c r="V2050" s="735">
        <v>25</v>
      </c>
      <c r="W2050" s="736"/>
      <c r="X2050" s="750" t="s">
        <v>53</v>
      </c>
      <c r="Y2050" s="738"/>
      <c r="Z2050" s="739"/>
      <c r="AA2050" s="739"/>
      <c r="AB2050" s="740">
        <v>25</v>
      </c>
      <c r="AC2050" s="741"/>
      <c r="AD2050" s="741" t="str">
        <f>'DICTIONARY-5'!$A$13</f>
        <v>woda pitna</v>
      </c>
      <c r="AE2050" s="742">
        <v>50</v>
      </c>
      <c r="AF2050" s="743">
        <v>49</v>
      </c>
      <c r="AG2050" s="741" t="str">
        <f>'DICTIONARY-5'!$A$23</f>
        <v>powłoka epoksydowa</v>
      </c>
    </row>
    <row r="2051" spans="1:33" x14ac:dyDescent="0.25">
      <c r="A2051" s="873" t="s">
        <v>4900</v>
      </c>
      <c r="B2051" s="873" t="s">
        <v>1886</v>
      </c>
      <c r="C2051" s="836">
        <v>319</v>
      </c>
      <c r="D2051" s="836"/>
      <c r="E2051" s="836"/>
      <c r="F2051" s="836"/>
      <c r="G2051" s="496" t="s">
        <v>7834</v>
      </c>
      <c r="H2051" s="797" t="str">
        <f>VLOOKUP(G2051,SETTINGS!$B$7:$D$97,2,0)</f>
        <v>DUOJET</v>
      </c>
      <c r="I2051" s="796">
        <f>VLOOKUP(G2051,SETTINGS!$B$7:$D$97,3,0)</f>
        <v>0</v>
      </c>
      <c r="J2051" s="670" t="str">
        <f>IFERROR(IF(CURRENCY.FORMAT_1=0,CONCATENATE(TEXT(FIXED(ROUND((C2051/EXC.RATE_1),CURRENCY.FORMAT_1),CURRENCY.FORMAT_1,1),"# ##0;-# ##0"),",-"),FIXED(ROUND((C2051/EXC.RATE_1),CURRENCY.FORMAT_1),CURRENCY.FORMAT_1,0)),'DICTIONARY-5'!$A$2)</f>
        <v>319,-</v>
      </c>
      <c r="K2051" s="670" t="str">
        <f>IF(EXC.RATE_2=0,"",IFERROR(IF(CURRENCY.FORMAT_2=0,CONCATENATE(TEXT(FIXED(ROUND(IF(EXC.RATE.SWITCH=1,C2051/EXC.RATE_2,C2051*EXC.RATE_2),CURRENCY.FORMAT_2),CURRENCY.FORMAT_2,1),"# ##0;-# ##0"),",-"),FIXED(ROUND(IF(EXC.RATE.SWITCH=1,C2051/EXC.RATE_2,C2051*EXC.RATE_2),CURRENCY.FORMAT_2),CURRENCY.FORMAT_2,0)),'DICTIONARY-5'!$A$2))</f>
        <v/>
      </c>
      <c r="L2051" s="670" t="str">
        <f>IFERROR(IF(CURRENCY.FORMAT_1=0,CONCATENATE(TEXT(FIXED(ROUND((C2051*(1-I2051)*(1-ADD.DISCOUNT)*(1+MAT.SURCHARGE)/EXC.RATE_1),CURRENCY.FORMAT_1),CURRENCY.FORMAT_1,1),"# ##0;-# ##0"),",-"),FIXED(ROUND((C2051*(1-I2051)*(1-ADD.DISCOUNT)*(1+MAT.SURCHARGE)/EXC.RATE_1),CURRENCY.FORMAT_1),CURRENCY.FORMAT_1,0)),'DICTIONARY-5'!$A$2)</f>
        <v>331,-</v>
      </c>
      <c r="M2051" s="670" t="str">
        <f>IF(EXC.RATE_2=0,"",IFERROR(IF(CURRENCY.FORMAT_2=0,CONCATENATE(TEXT(FIXED(ROUND(IF(EXC.RATE.SWITCH=1,C2051*(1-I2051)*(1-ADD.DISCOUNT)*(1+MAT.SURCHARGE)/EXC.RATE_2,C2051*(1-I2051)*(1-ADD.DISCOUNT)*(1+MAT.SURCHARGE)*EXC.RATE_2),CURRENCY.FORMAT_2),CURRENCY.FORMAT_2,1),"# ##0;-# ##0"),",-"),FIXED(ROUND(IF(EXC.RATE.SWITCH=1,C2051*(1-I2051)*(1-ADD.DISCOUNT)*(1+MAT.SURCHARGE)/EXC.RATE_2,C2051*(1-I2051)*(1-ADD.DISCOUNT)*(1+MAT.SURCHARGE)*EXC.RATE_2),CURRENCY.FORMAT_2),CURRENCY.FORMAT_2,0)),'DICTIONARY-5'!$A$2))</f>
        <v/>
      </c>
      <c r="N2051" s="538">
        <v>8</v>
      </c>
      <c r="O2051" s="538"/>
      <c r="P2051" s="731" t="str">
        <f>'DICTIONARY-3'!$A$107</f>
        <v>DUOJET</v>
      </c>
      <c r="Q2051" s="732" t="str">
        <f>'DICTIONARY-3'!$A$206</f>
        <v>Zawór na- i odpowietrzający</v>
      </c>
      <c r="R2051" s="732" t="str">
        <f>CONCATENATE('DICTIONARY-3'!$A$107," ",'DICTIONARY-6'!$A$7," ",'DICTIONARY-2'!$A$2,"50"," ",'DICTIONARY-2'!$A$3,"16"," ","G1¼",", ",'DICTIONARY-5'!$A$51,"+",'DICTIONARY-5'!$A$36,", ",'DICTIONARY-6'!$A$44,", ",'DICTIONARY-6'!$A$62)</f>
        <v>DUOJET Zaw. na-/odpowietrz. DN50 PN16 G1¼, GGG+CF8, pływak PP, z zaw. kul.</v>
      </c>
      <c r="S2051" s="733" t="str">
        <f>'DICTIONARY-4'!$A$17</f>
        <v>AS</v>
      </c>
      <c r="T2051" s="732" t="str">
        <f>'DICTIONARY-4'!$A$33</f>
        <v>Automatyczne sterowanie</v>
      </c>
      <c r="U2051" s="734" t="s">
        <v>5748</v>
      </c>
      <c r="V2051" s="735">
        <v>16</v>
      </c>
      <c r="W2051" s="736"/>
      <c r="X2051" s="750" t="s">
        <v>5740</v>
      </c>
      <c r="Y2051" s="738"/>
      <c r="Z2051" s="739"/>
      <c r="AA2051" s="739"/>
      <c r="AB2051" s="740">
        <v>16</v>
      </c>
      <c r="AC2051" s="741"/>
      <c r="AD2051" s="741" t="str">
        <f>'DICTIONARY-5'!$A$13</f>
        <v>woda pitna</v>
      </c>
      <c r="AE2051" s="742">
        <v>50</v>
      </c>
      <c r="AF2051" s="743">
        <v>12.5</v>
      </c>
      <c r="AG2051" s="741" t="str">
        <f>'DICTIONARY-5'!$A$23</f>
        <v>powłoka epoksydowa</v>
      </c>
    </row>
    <row r="2052" spans="1:33" x14ac:dyDescent="0.25">
      <c r="A2052" s="873" t="s">
        <v>4899</v>
      </c>
      <c r="B2052" s="873" t="s">
        <v>1887</v>
      </c>
      <c r="C2052" s="836">
        <v>481</v>
      </c>
      <c r="D2052" s="836"/>
      <c r="E2052" s="836"/>
      <c r="F2052" s="836"/>
      <c r="G2052" s="496" t="s">
        <v>7834</v>
      </c>
      <c r="H2052" s="797" t="str">
        <f>VLOOKUP(G2052,SETTINGS!$B$7:$D$97,2,0)</f>
        <v>DUOJET</v>
      </c>
      <c r="I2052" s="796">
        <f>VLOOKUP(G2052,SETTINGS!$B$7:$D$97,3,0)</f>
        <v>0</v>
      </c>
      <c r="J2052" s="670" t="str">
        <f>IFERROR(IF(CURRENCY.FORMAT_1=0,CONCATENATE(TEXT(FIXED(ROUND((C2052/EXC.RATE_1),CURRENCY.FORMAT_1),CURRENCY.FORMAT_1,1),"# ##0;-# ##0"),",-"),FIXED(ROUND((C2052/EXC.RATE_1),CURRENCY.FORMAT_1),CURRENCY.FORMAT_1,0)),'DICTIONARY-5'!$A$2)</f>
        <v>481,-</v>
      </c>
      <c r="K2052" s="670" t="str">
        <f>IF(EXC.RATE_2=0,"",IFERROR(IF(CURRENCY.FORMAT_2=0,CONCATENATE(TEXT(FIXED(ROUND(IF(EXC.RATE.SWITCH=1,C2052/EXC.RATE_2,C2052*EXC.RATE_2),CURRENCY.FORMAT_2),CURRENCY.FORMAT_2,1),"# ##0;-# ##0"),",-"),FIXED(ROUND(IF(EXC.RATE.SWITCH=1,C2052/EXC.RATE_2,C2052*EXC.RATE_2),CURRENCY.FORMAT_2),CURRENCY.FORMAT_2,0)),'DICTIONARY-5'!$A$2))</f>
        <v/>
      </c>
      <c r="L2052" s="670" t="str">
        <f>IFERROR(IF(CURRENCY.FORMAT_1=0,CONCATENATE(TEXT(FIXED(ROUND((C2052*(1-I2052)*(1-ADD.DISCOUNT)*(1+MAT.SURCHARGE)/EXC.RATE_1),CURRENCY.FORMAT_1),CURRENCY.FORMAT_1,1),"# ##0;-# ##0"),",-"),FIXED(ROUND((C2052*(1-I2052)*(1-ADD.DISCOUNT)*(1+MAT.SURCHARGE)/EXC.RATE_1),CURRENCY.FORMAT_1),CURRENCY.FORMAT_1,0)),'DICTIONARY-5'!$A$2)</f>
        <v>500,-</v>
      </c>
      <c r="M2052" s="670" t="str">
        <f>IF(EXC.RATE_2=0,"",IFERROR(IF(CURRENCY.FORMAT_2=0,CONCATENATE(TEXT(FIXED(ROUND(IF(EXC.RATE.SWITCH=1,C2052*(1-I2052)*(1-ADD.DISCOUNT)*(1+MAT.SURCHARGE)/EXC.RATE_2,C2052*(1-I2052)*(1-ADD.DISCOUNT)*(1+MAT.SURCHARGE)*EXC.RATE_2),CURRENCY.FORMAT_2),CURRENCY.FORMAT_2,1),"# ##0;-# ##0"),",-"),FIXED(ROUND(IF(EXC.RATE.SWITCH=1,C2052*(1-I2052)*(1-ADD.DISCOUNT)*(1+MAT.SURCHARGE)/EXC.RATE_2,C2052*(1-I2052)*(1-ADD.DISCOUNT)*(1+MAT.SURCHARGE)*EXC.RATE_2),CURRENCY.FORMAT_2),CURRENCY.FORMAT_2,0)),'DICTIONARY-5'!$A$2))</f>
        <v/>
      </c>
      <c r="N2052" s="538">
        <v>8</v>
      </c>
      <c r="O2052" s="538"/>
      <c r="P2052" s="731" t="str">
        <f>'DICTIONARY-3'!$A$107</f>
        <v>DUOJET</v>
      </c>
      <c r="Q2052" s="732" t="str">
        <f>'DICTIONARY-3'!$A$206</f>
        <v>Zawór na- i odpowietrzający</v>
      </c>
      <c r="R2052" s="732" t="str">
        <f>CONCATENATE('DICTIONARY-3'!$A$107," ",'DICTIONARY-6'!$A$7," ",'DICTIONARY-2'!$A$2,"50"," ",'DICTIONARY-2'!$A$3,"10/16/25 G2",", ",'DICTIONARY-5'!$A$51,"+",'DICTIONARY-5'!$A$36,", ",'DICTIONARY-6'!$A$44,", ",'DICTIONARY-6'!$A$62)</f>
        <v>DUOJET Zaw. na-/odpowietrz. DN50 PN10/16/25 G2, GGG+CF8, pływak PP, z zaw. kul.</v>
      </c>
      <c r="S2052" s="733" t="str">
        <f>'DICTIONARY-4'!$A$17</f>
        <v>AS</v>
      </c>
      <c r="T2052" s="732" t="str">
        <f>'DICTIONARY-4'!$A$33</f>
        <v>Automatyczne sterowanie</v>
      </c>
      <c r="U2052" s="734" t="s">
        <v>5748</v>
      </c>
      <c r="V2052" s="735">
        <v>25</v>
      </c>
      <c r="W2052" s="736"/>
      <c r="X2052" s="750" t="s">
        <v>50</v>
      </c>
      <c r="Y2052" s="738"/>
      <c r="Z2052" s="739"/>
      <c r="AA2052" s="739"/>
      <c r="AB2052" s="740">
        <v>25</v>
      </c>
      <c r="AC2052" s="741"/>
      <c r="AD2052" s="741" t="str">
        <f>'DICTIONARY-5'!$A$13</f>
        <v>woda pitna</v>
      </c>
      <c r="AE2052" s="742">
        <v>50</v>
      </c>
      <c r="AF2052" s="743">
        <v>20</v>
      </c>
      <c r="AG2052" s="741" t="str">
        <f>'DICTIONARY-5'!$A$23</f>
        <v>powłoka epoksydowa</v>
      </c>
    </row>
    <row r="2053" spans="1:33" x14ac:dyDescent="0.25">
      <c r="A2053" s="873" t="s">
        <v>4901</v>
      </c>
      <c r="B2053" s="873" t="s">
        <v>1888</v>
      </c>
      <c r="C2053" s="836">
        <v>472</v>
      </c>
      <c r="D2053" s="836"/>
      <c r="E2053" s="836"/>
      <c r="F2053" s="836"/>
      <c r="G2053" s="496" t="s">
        <v>7834</v>
      </c>
      <c r="H2053" s="797" t="str">
        <f>VLOOKUP(G2053,SETTINGS!$B$7:$D$97,2,0)</f>
        <v>DUOJET</v>
      </c>
      <c r="I2053" s="796">
        <f>VLOOKUP(G2053,SETTINGS!$B$7:$D$97,3,0)</f>
        <v>0</v>
      </c>
      <c r="J2053" s="670" t="str">
        <f>IFERROR(IF(CURRENCY.FORMAT_1=0,CONCATENATE(TEXT(FIXED(ROUND((C2053/EXC.RATE_1),CURRENCY.FORMAT_1),CURRENCY.FORMAT_1,1),"# ##0;-# ##0"),",-"),FIXED(ROUND((C2053/EXC.RATE_1),CURRENCY.FORMAT_1),CURRENCY.FORMAT_1,0)),'DICTIONARY-5'!$A$2)</f>
        <v>472,-</v>
      </c>
      <c r="K2053" s="670" t="str">
        <f>IF(EXC.RATE_2=0,"",IFERROR(IF(CURRENCY.FORMAT_2=0,CONCATENATE(TEXT(FIXED(ROUND(IF(EXC.RATE.SWITCH=1,C2053/EXC.RATE_2,C2053*EXC.RATE_2),CURRENCY.FORMAT_2),CURRENCY.FORMAT_2,1),"# ##0;-# ##0"),",-"),FIXED(ROUND(IF(EXC.RATE.SWITCH=1,C2053/EXC.RATE_2,C2053*EXC.RATE_2),CURRENCY.FORMAT_2),CURRENCY.FORMAT_2,0)),'DICTIONARY-5'!$A$2))</f>
        <v/>
      </c>
      <c r="L2053" s="670" t="str">
        <f>IFERROR(IF(CURRENCY.FORMAT_1=0,CONCATENATE(TEXT(FIXED(ROUND((C2053*(1-I2053)*(1-ADD.DISCOUNT)*(1+MAT.SURCHARGE)/EXC.RATE_1),CURRENCY.FORMAT_1),CURRENCY.FORMAT_1,1),"# ##0;-# ##0"),",-"),FIXED(ROUND((C2053*(1-I2053)*(1-ADD.DISCOUNT)*(1+MAT.SURCHARGE)/EXC.RATE_1),CURRENCY.FORMAT_1),CURRENCY.FORMAT_1,0)),'DICTIONARY-5'!$A$2)</f>
        <v>490,-</v>
      </c>
      <c r="M2053" s="670" t="str">
        <f>IF(EXC.RATE_2=0,"",IFERROR(IF(CURRENCY.FORMAT_2=0,CONCATENATE(TEXT(FIXED(ROUND(IF(EXC.RATE.SWITCH=1,C2053*(1-I2053)*(1-ADD.DISCOUNT)*(1+MAT.SURCHARGE)/EXC.RATE_2,C2053*(1-I2053)*(1-ADD.DISCOUNT)*(1+MAT.SURCHARGE)*EXC.RATE_2),CURRENCY.FORMAT_2),CURRENCY.FORMAT_2,1),"# ##0;-# ##0"),",-"),FIXED(ROUND(IF(EXC.RATE.SWITCH=1,C2053*(1-I2053)*(1-ADD.DISCOUNT)*(1+MAT.SURCHARGE)/EXC.RATE_2,C2053*(1-I2053)*(1-ADD.DISCOUNT)*(1+MAT.SURCHARGE)*EXC.RATE_2),CURRENCY.FORMAT_2),CURRENCY.FORMAT_2,0)),'DICTIONARY-5'!$A$2))</f>
        <v/>
      </c>
      <c r="N2053" s="538">
        <v>8</v>
      </c>
      <c r="O2053" s="538"/>
      <c r="P2053" s="731" t="str">
        <f>'DICTIONARY-3'!$A$107</f>
        <v>DUOJET</v>
      </c>
      <c r="Q2053" s="732" t="str">
        <f>'DICTIONARY-3'!$A$206</f>
        <v>Zawór na- i odpowietrzający</v>
      </c>
      <c r="R2053" s="732" t="str">
        <f>CONCATENATE('DICTIONARY-3'!$A$107," ",'DICTIONARY-6'!$A$7," ",'DICTIONARY-2'!$A$2,"80"," ",'DICTIONARY-2'!$A$3,"25"," ","G2",", ",'DICTIONARY-5'!$A$51,"+",'DICTIONARY-5'!$A$36,", ",'DICTIONARY-6'!$A$44,", ",'DICTIONARY-6'!$A$62)</f>
        <v>DUOJET Zaw. na-/odpowietrz. DN80 PN25 G2, GGG+CF8, pływak PP, z zaw. kul.</v>
      </c>
      <c r="S2053" s="733" t="str">
        <f>'DICTIONARY-4'!$A$17</f>
        <v>AS</v>
      </c>
      <c r="T2053" s="732" t="str">
        <f>'DICTIONARY-4'!$A$33</f>
        <v>Automatyczne sterowanie</v>
      </c>
      <c r="U2053" s="734" t="s">
        <v>5760</v>
      </c>
      <c r="V2053" s="735">
        <v>25</v>
      </c>
      <c r="W2053" s="736"/>
      <c r="X2053" s="750" t="s">
        <v>50</v>
      </c>
      <c r="Y2053" s="738"/>
      <c r="Z2053" s="739"/>
      <c r="AA2053" s="739"/>
      <c r="AB2053" s="740">
        <v>25</v>
      </c>
      <c r="AC2053" s="741"/>
      <c r="AD2053" s="741" t="str">
        <f>'DICTIONARY-5'!$A$13</f>
        <v>woda pitna</v>
      </c>
      <c r="AE2053" s="742">
        <v>50</v>
      </c>
      <c r="AF2053" s="743">
        <v>19</v>
      </c>
      <c r="AG2053" s="741" t="str">
        <f>'DICTIONARY-5'!$A$23</f>
        <v>powłoka epoksydowa</v>
      </c>
    </row>
    <row r="2054" spans="1:33" x14ac:dyDescent="0.25">
      <c r="A2054" s="873" t="s">
        <v>4896</v>
      </c>
      <c r="B2054" s="873" t="s">
        <v>1889</v>
      </c>
      <c r="C2054" s="836">
        <v>573</v>
      </c>
      <c r="D2054" s="836"/>
      <c r="E2054" s="836"/>
      <c r="F2054" s="836"/>
      <c r="G2054" s="496" t="s">
        <v>7834</v>
      </c>
      <c r="H2054" s="797" t="str">
        <f>VLOOKUP(G2054,SETTINGS!$B$7:$D$97,2,0)</f>
        <v>DUOJET</v>
      </c>
      <c r="I2054" s="796">
        <f>VLOOKUP(G2054,SETTINGS!$B$7:$D$97,3,0)</f>
        <v>0</v>
      </c>
      <c r="J2054" s="670" t="str">
        <f>IFERROR(IF(CURRENCY.FORMAT_1=0,CONCATENATE(TEXT(FIXED(ROUND((C2054/EXC.RATE_1),CURRENCY.FORMAT_1),CURRENCY.FORMAT_1,1),"# ##0;-# ##0"),",-"),FIXED(ROUND((C2054/EXC.RATE_1),CURRENCY.FORMAT_1),CURRENCY.FORMAT_1,0)),'DICTIONARY-5'!$A$2)</f>
        <v>573,-</v>
      </c>
      <c r="K2054" s="670" t="str">
        <f>IF(EXC.RATE_2=0,"",IFERROR(IF(CURRENCY.FORMAT_2=0,CONCATENATE(TEXT(FIXED(ROUND(IF(EXC.RATE.SWITCH=1,C2054/EXC.RATE_2,C2054*EXC.RATE_2),CURRENCY.FORMAT_2),CURRENCY.FORMAT_2,1),"# ##0;-# ##0"),",-"),FIXED(ROUND(IF(EXC.RATE.SWITCH=1,C2054/EXC.RATE_2,C2054*EXC.RATE_2),CURRENCY.FORMAT_2),CURRENCY.FORMAT_2,0)),'DICTIONARY-5'!$A$2))</f>
        <v/>
      </c>
      <c r="L2054" s="670" t="str">
        <f>IFERROR(IF(CURRENCY.FORMAT_1=0,CONCATENATE(TEXT(FIXED(ROUND((C2054*(1-I2054)*(1-ADD.DISCOUNT)*(1+MAT.SURCHARGE)/EXC.RATE_1),CURRENCY.FORMAT_1),CURRENCY.FORMAT_1,1),"# ##0;-# ##0"),",-"),FIXED(ROUND((C2054*(1-I2054)*(1-ADD.DISCOUNT)*(1+MAT.SURCHARGE)/EXC.RATE_1),CURRENCY.FORMAT_1),CURRENCY.FORMAT_1,0)),'DICTIONARY-5'!$A$2)</f>
        <v>595,-</v>
      </c>
      <c r="M2054" s="670" t="str">
        <f>IF(EXC.RATE_2=0,"",IFERROR(IF(CURRENCY.FORMAT_2=0,CONCATENATE(TEXT(FIXED(ROUND(IF(EXC.RATE.SWITCH=1,C2054*(1-I2054)*(1-ADD.DISCOUNT)*(1+MAT.SURCHARGE)/EXC.RATE_2,C2054*(1-I2054)*(1-ADD.DISCOUNT)*(1+MAT.SURCHARGE)*EXC.RATE_2),CURRENCY.FORMAT_2),CURRENCY.FORMAT_2,1),"# ##0;-# ##0"),",-"),FIXED(ROUND(IF(EXC.RATE.SWITCH=1,C2054*(1-I2054)*(1-ADD.DISCOUNT)*(1+MAT.SURCHARGE)/EXC.RATE_2,C2054*(1-I2054)*(1-ADD.DISCOUNT)*(1+MAT.SURCHARGE)*EXC.RATE_2),CURRENCY.FORMAT_2),CURRENCY.FORMAT_2,0)),'DICTIONARY-5'!$A$2))</f>
        <v/>
      </c>
      <c r="N2054" s="538">
        <v>8</v>
      </c>
      <c r="O2054" s="538"/>
      <c r="P2054" s="731" t="str">
        <f>'DICTIONARY-3'!$A$107</f>
        <v>DUOJET</v>
      </c>
      <c r="Q2054" s="732" t="str">
        <f>'DICTIONARY-3'!$A$206</f>
        <v>Zawór na- i odpowietrzający</v>
      </c>
      <c r="R2054" s="732" t="str">
        <f>CONCATENATE('DICTIONARY-3'!$A$107," ",'DICTIONARY-6'!$A$7," ",'DICTIONARY-2'!$A$2,"100"," ",'DICTIONARY-2'!$A$3,"10/16"," ","G2½",", ",'DICTIONARY-5'!$A$51,"+",'DICTIONARY-5'!$A$36,", ",'DICTIONARY-6'!$A$44,", ",'DICTIONARY-6'!$A$62)</f>
        <v>DUOJET Zaw. na-/odpowietrz. DN100 PN10/16 G2½, GGG+CF8, pływak PP, z zaw. kul.</v>
      </c>
      <c r="S2054" s="733" t="str">
        <f>'DICTIONARY-4'!$A$17</f>
        <v>AS</v>
      </c>
      <c r="T2054" s="732" t="str">
        <f>'DICTIONARY-4'!$A$33</f>
        <v>Automatyczne sterowanie</v>
      </c>
      <c r="U2054" s="734" t="s">
        <v>5749</v>
      </c>
      <c r="V2054" s="735">
        <v>16</v>
      </c>
      <c r="W2054" s="736"/>
      <c r="X2054" s="750" t="s">
        <v>5744</v>
      </c>
      <c r="Y2054" s="738"/>
      <c r="Z2054" s="739"/>
      <c r="AA2054" s="739"/>
      <c r="AB2054" s="740">
        <v>16</v>
      </c>
      <c r="AC2054" s="741"/>
      <c r="AD2054" s="741" t="str">
        <f>'DICTIONARY-5'!$A$13</f>
        <v>woda pitna</v>
      </c>
      <c r="AE2054" s="742">
        <v>50</v>
      </c>
      <c r="AF2054" s="743">
        <v>24</v>
      </c>
      <c r="AG2054" s="741" t="str">
        <f>'DICTIONARY-5'!$A$23</f>
        <v>powłoka epoksydowa</v>
      </c>
    </row>
    <row r="2055" spans="1:33" x14ac:dyDescent="0.25">
      <c r="A2055" s="873" t="s">
        <v>4897</v>
      </c>
      <c r="B2055" s="873" t="s">
        <v>1891</v>
      </c>
      <c r="C2055" s="836">
        <v>935</v>
      </c>
      <c r="D2055" s="836"/>
      <c r="E2055" s="836"/>
      <c r="F2055" s="836"/>
      <c r="G2055" s="496" t="s">
        <v>7834</v>
      </c>
      <c r="H2055" s="797" t="str">
        <f>VLOOKUP(G2055,SETTINGS!$B$7:$D$97,2,0)</f>
        <v>DUOJET</v>
      </c>
      <c r="I2055" s="796">
        <f>VLOOKUP(G2055,SETTINGS!$B$7:$D$97,3,0)</f>
        <v>0</v>
      </c>
      <c r="J2055" s="670" t="str">
        <f>IFERROR(IF(CURRENCY.FORMAT_1=0,CONCATENATE(TEXT(FIXED(ROUND((C2055/EXC.RATE_1),CURRENCY.FORMAT_1),CURRENCY.FORMAT_1,1),"# ##0;-# ##0"),",-"),FIXED(ROUND((C2055/EXC.RATE_1),CURRENCY.FORMAT_1),CURRENCY.FORMAT_1,0)),'DICTIONARY-5'!$A$2)</f>
        <v>935,-</v>
      </c>
      <c r="K2055" s="670" t="str">
        <f>IF(EXC.RATE_2=0,"",IFERROR(IF(CURRENCY.FORMAT_2=0,CONCATENATE(TEXT(FIXED(ROUND(IF(EXC.RATE.SWITCH=1,C2055/EXC.RATE_2,C2055*EXC.RATE_2),CURRENCY.FORMAT_2),CURRENCY.FORMAT_2,1),"# ##0;-# ##0"),",-"),FIXED(ROUND(IF(EXC.RATE.SWITCH=1,C2055/EXC.RATE_2,C2055*EXC.RATE_2),CURRENCY.FORMAT_2),CURRENCY.FORMAT_2,0)),'DICTIONARY-5'!$A$2))</f>
        <v/>
      </c>
      <c r="L2055" s="670" t="str">
        <f>IFERROR(IF(CURRENCY.FORMAT_1=0,CONCATENATE(TEXT(FIXED(ROUND((C2055*(1-I2055)*(1-ADD.DISCOUNT)*(1+MAT.SURCHARGE)/EXC.RATE_1),CURRENCY.FORMAT_1),CURRENCY.FORMAT_1,1),"# ##0;-# ##0"),",-"),FIXED(ROUND((C2055*(1-I2055)*(1-ADD.DISCOUNT)*(1+MAT.SURCHARGE)/EXC.RATE_1),CURRENCY.FORMAT_1),CURRENCY.FORMAT_1,0)),'DICTIONARY-5'!$A$2)</f>
        <v>971,-</v>
      </c>
      <c r="M2055" s="670" t="str">
        <f>IF(EXC.RATE_2=0,"",IFERROR(IF(CURRENCY.FORMAT_2=0,CONCATENATE(TEXT(FIXED(ROUND(IF(EXC.RATE.SWITCH=1,C2055*(1-I2055)*(1-ADD.DISCOUNT)*(1+MAT.SURCHARGE)/EXC.RATE_2,C2055*(1-I2055)*(1-ADD.DISCOUNT)*(1+MAT.SURCHARGE)*EXC.RATE_2),CURRENCY.FORMAT_2),CURRENCY.FORMAT_2,1),"# ##0;-# ##0"),",-"),FIXED(ROUND(IF(EXC.RATE.SWITCH=1,C2055*(1-I2055)*(1-ADD.DISCOUNT)*(1+MAT.SURCHARGE)/EXC.RATE_2,C2055*(1-I2055)*(1-ADD.DISCOUNT)*(1+MAT.SURCHARGE)*EXC.RATE_2),CURRENCY.FORMAT_2),CURRENCY.FORMAT_2,0)),'DICTIONARY-5'!$A$2))</f>
        <v/>
      </c>
      <c r="N2055" s="538">
        <v>8</v>
      </c>
      <c r="O2055" s="538"/>
      <c r="P2055" s="731" t="str">
        <f>'DICTIONARY-3'!$A$107</f>
        <v>DUOJET</v>
      </c>
      <c r="Q2055" s="732" t="str">
        <f>'DICTIONARY-3'!$A$206</f>
        <v>Zawór na- i odpowietrzający</v>
      </c>
      <c r="R2055" s="732" t="str">
        <f>CONCATENATE('DICTIONARY-3'!$A$107," ",'DICTIONARY-6'!$A$7," ",'DICTIONARY-2'!$A$2,"150"," ",'DICTIONARY-2'!$A$3,"10/16"," ","G4",", ",'DICTIONARY-5'!$A$51,"+",'DICTIONARY-5'!$A$36,", ",'DICTIONARY-6'!$A$44,", ",'DICTIONARY-6'!$A$62)</f>
        <v>DUOJET Zaw. na-/odpowietrz. DN150 PN10/16 G4, GGG+CF8, pływak PP, z zaw. kul.</v>
      </c>
      <c r="S2055" s="733" t="str">
        <f>'DICTIONARY-4'!$A$17</f>
        <v>AS</v>
      </c>
      <c r="T2055" s="732" t="str">
        <f>'DICTIONARY-4'!$A$33</f>
        <v>Automatyczne sterowanie</v>
      </c>
      <c r="U2055" s="734" t="s">
        <v>5572</v>
      </c>
      <c r="V2055" s="735">
        <v>16</v>
      </c>
      <c r="W2055" s="736"/>
      <c r="X2055" s="750" t="s">
        <v>53</v>
      </c>
      <c r="Y2055" s="738"/>
      <c r="Z2055" s="739"/>
      <c r="AA2055" s="739"/>
      <c r="AB2055" s="740">
        <v>16</v>
      </c>
      <c r="AC2055" s="741"/>
      <c r="AD2055" s="741" t="str">
        <f>'DICTIONARY-5'!$A$13</f>
        <v>woda pitna</v>
      </c>
      <c r="AE2055" s="742">
        <v>50</v>
      </c>
      <c r="AF2055" s="743">
        <v>56</v>
      </c>
      <c r="AG2055" s="741" t="str">
        <f>'DICTIONARY-5'!$A$23</f>
        <v>powłoka epoksydowa</v>
      </c>
    </row>
    <row r="2056" spans="1:33" x14ac:dyDescent="0.25">
      <c r="A2056" s="873" t="s">
        <v>4895</v>
      </c>
      <c r="B2056" s="873" t="s">
        <v>1893</v>
      </c>
      <c r="C2056" s="836">
        <v>1004</v>
      </c>
      <c r="D2056" s="836"/>
      <c r="E2056" s="836"/>
      <c r="F2056" s="836"/>
      <c r="G2056" s="496" t="s">
        <v>7834</v>
      </c>
      <c r="H2056" s="797" t="str">
        <f>VLOOKUP(G2056,SETTINGS!$B$7:$D$97,2,0)</f>
        <v>DUOJET</v>
      </c>
      <c r="I2056" s="796">
        <f>VLOOKUP(G2056,SETTINGS!$B$7:$D$97,3,0)</f>
        <v>0</v>
      </c>
      <c r="J2056" s="670" t="str">
        <f>IFERROR(IF(CURRENCY.FORMAT_1=0,CONCATENATE(TEXT(FIXED(ROUND((C2056/EXC.RATE_1),CURRENCY.FORMAT_1),CURRENCY.FORMAT_1,1),"# ##0;-# ##0"),",-"),FIXED(ROUND((C2056/EXC.RATE_1),CURRENCY.FORMAT_1),CURRENCY.FORMAT_1,0)),'DICTIONARY-5'!$A$2)</f>
        <v>1 004,-</v>
      </c>
      <c r="K2056" s="670" t="str">
        <f>IF(EXC.RATE_2=0,"",IFERROR(IF(CURRENCY.FORMAT_2=0,CONCATENATE(TEXT(FIXED(ROUND(IF(EXC.RATE.SWITCH=1,C2056/EXC.RATE_2,C2056*EXC.RATE_2),CURRENCY.FORMAT_2),CURRENCY.FORMAT_2,1),"# ##0;-# ##0"),",-"),FIXED(ROUND(IF(EXC.RATE.SWITCH=1,C2056/EXC.RATE_2,C2056*EXC.RATE_2),CURRENCY.FORMAT_2),CURRENCY.FORMAT_2,0)),'DICTIONARY-5'!$A$2))</f>
        <v/>
      </c>
      <c r="L2056" s="670" t="str">
        <f>IFERROR(IF(CURRENCY.FORMAT_1=0,CONCATENATE(TEXT(FIXED(ROUND((C2056*(1-I2056)*(1-ADD.DISCOUNT)*(1+MAT.SURCHARGE)/EXC.RATE_1),CURRENCY.FORMAT_1),CURRENCY.FORMAT_1,1),"# ##0;-# ##0"),",-"),FIXED(ROUND((C2056*(1-I2056)*(1-ADD.DISCOUNT)*(1+MAT.SURCHARGE)/EXC.RATE_1),CURRENCY.FORMAT_1),CURRENCY.FORMAT_1,0)),'DICTIONARY-5'!$A$2)</f>
        <v>1 043,-</v>
      </c>
      <c r="M2056" s="670" t="str">
        <f>IF(EXC.RATE_2=0,"",IFERROR(IF(CURRENCY.FORMAT_2=0,CONCATENATE(TEXT(FIXED(ROUND(IF(EXC.RATE.SWITCH=1,C2056*(1-I2056)*(1-ADD.DISCOUNT)*(1+MAT.SURCHARGE)/EXC.RATE_2,C2056*(1-I2056)*(1-ADD.DISCOUNT)*(1+MAT.SURCHARGE)*EXC.RATE_2),CURRENCY.FORMAT_2),CURRENCY.FORMAT_2,1),"# ##0;-# ##0"),",-"),FIXED(ROUND(IF(EXC.RATE.SWITCH=1,C2056*(1-I2056)*(1-ADD.DISCOUNT)*(1+MAT.SURCHARGE)/EXC.RATE_2,C2056*(1-I2056)*(1-ADD.DISCOUNT)*(1+MAT.SURCHARGE)*EXC.RATE_2),CURRENCY.FORMAT_2),CURRENCY.FORMAT_2,0)),'DICTIONARY-5'!$A$2))</f>
        <v/>
      </c>
      <c r="N2056" s="538">
        <v>8</v>
      </c>
      <c r="O2056" s="538"/>
      <c r="P2056" s="731" t="str">
        <f>'DICTIONARY-3'!$A$107</f>
        <v>DUOJET</v>
      </c>
      <c r="Q2056" s="732" t="str">
        <f>'DICTIONARY-3'!$A$206</f>
        <v>Zawór na- i odpowietrzający</v>
      </c>
      <c r="R2056" s="732" t="str">
        <f>CONCATENATE('DICTIONARY-3'!$A$107," ",'DICTIONARY-6'!$A$7," ",'DICTIONARY-2'!$A$2,"200"," ",'DICTIONARY-2'!$A$3,"10"," ","G4",", ",'DICTIONARY-5'!$A$51,"+",'DICTIONARY-5'!$A$36,", ",'DICTIONARY-6'!$A$44,", ",'DICTIONARY-6'!$A$62)</f>
        <v>DUOJET Zaw. na-/odpowietrz. DN200 PN10 G4, GGG+CF8, pływak PP, z zaw. kul.</v>
      </c>
      <c r="S2056" s="733" t="str">
        <f>'DICTIONARY-4'!$A$17</f>
        <v>AS</v>
      </c>
      <c r="T2056" s="732" t="str">
        <f>'DICTIONARY-4'!$A$33</f>
        <v>Automatyczne sterowanie</v>
      </c>
      <c r="U2056" s="734" t="s">
        <v>5750</v>
      </c>
      <c r="V2056" s="735">
        <v>10</v>
      </c>
      <c r="W2056" s="736"/>
      <c r="X2056" s="750" t="s">
        <v>53</v>
      </c>
      <c r="Y2056" s="738"/>
      <c r="Z2056" s="739"/>
      <c r="AA2056" s="739"/>
      <c r="AB2056" s="740">
        <v>10</v>
      </c>
      <c r="AC2056" s="741"/>
      <c r="AD2056" s="741" t="str">
        <f>'DICTIONARY-5'!$A$13</f>
        <v>woda pitna</v>
      </c>
      <c r="AE2056" s="742">
        <v>50</v>
      </c>
      <c r="AF2056" s="743">
        <v>47</v>
      </c>
      <c r="AG2056" s="741" t="str">
        <f>'DICTIONARY-5'!$A$23</f>
        <v>powłoka epoksydowa</v>
      </c>
    </row>
    <row r="2057" spans="1:33" x14ac:dyDescent="0.25">
      <c r="A2057" s="873" t="s">
        <v>4898</v>
      </c>
      <c r="B2057" s="873" t="s">
        <v>1895</v>
      </c>
      <c r="C2057" s="836">
        <v>1006</v>
      </c>
      <c r="D2057" s="836"/>
      <c r="E2057" s="836"/>
      <c r="F2057" s="836"/>
      <c r="G2057" s="496" t="s">
        <v>7834</v>
      </c>
      <c r="H2057" s="797" t="str">
        <f>VLOOKUP(G2057,SETTINGS!$B$7:$D$97,2,0)</f>
        <v>DUOJET</v>
      </c>
      <c r="I2057" s="796">
        <f>VLOOKUP(G2057,SETTINGS!$B$7:$D$97,3,0)</f>
        <v>0</v>
      </c>
      <c r="J2057" s="670" t="str">
        <f>IFERROR(IF(CURRENCY.FORMAT_1=0,CONCATENATE(TEXT(FIXED(ROUND((C2057/EXC.RATE_1),CURRENCY.FORMAT_1),CURRENCY.FORMAT_1,1),"# ##0;-# ##0"),",-"),FIXED(ROUND((C2057/EXC.RATE_1),CURRENCY.FORMAT_1),CURRENCY.FORMAT_1,0)),'DICTIONARY-5'!$A$2)</f>
        <v>1 006,-</v>
      </c>
      <c r="K2057" s="670" t="str">
        <f>IF(EXC.RATE_2=0,"",IFERROR(IF(CURRENCY.FORMAT_2=0,CONCATENATE(TEXT(FIXED(ROUND(IF(EXC.RATE.SWITCH=1,C2057/EXC.RATE_2,C2057*EXC.RATE_2),CURRENCY.FORMAT_2),CURRENCY.FORMAT_2,1),"# ##0;-# ##0"),",-"),FIXED(ROUND(IF(EXC.RATE.SWITCH=1,C2057/EXC.RATE_2,C2057*EXC.RATE_2),CURRENCY.FORMAT_2),CURRENCY.FORMAT_2,0)),'DICTIONARY-5'!$A$2))</f>
        <v/>
      </c>
      <c r="L2057" s="670" t="str">
        <f>IFERROR(IF(CURRENCY.FORMAT_1=0,CONCATENATE(TEXT(FIXED(ROUND((C2057*(1-I2057)*(1-ADD.DISCOUNT)*(1+MAT.SURCHARGE)/EXC.RATE_1),CURRENCY.FORMAT_1),CURRENCY.FORMAT_1,1),"# ##0;-# ##0"),",-"),FIXED(ROUND((C2057*(1-I2057)*(1-ADD.DISCOUNT)*(1+MAT.SURCHARGE)/EXC.RATE_1),CURRENCY.FORMAT_1),CURRENCY.FORMAT_1,0)),'DICTIONARY-5'!$A$2)</f>
        <v>1 045,-</v>
      </c>
      <c r="M2057" s="670" t="str">
        <f>IF(EXC.RATE_2=0,"",IFERROR(IF(CURRENCY.FORMAT_2=0,CONCATENATE(TEXT(FIXED(ROUND(IF(EXC.RATE.SWITCH=1,C2057*(1-I2057)*(1-ADD.DISCOUNT)*(1+MAT.SURCHARGE)/EXC.RATE_2,C2057*(1-I2057)*(1-ADD.DISCOUNT)*(1+MAT.SURCHARGE)*EXC.RATE_2),CURRENCY.FORMAT_2),CURRENCY.FORMAT_2,1),"# ##0;-# ##0"),",-"),FIXED(ROUND(IF(EXC.RATE.SWITCH=1,C2057*(1-I2057)*(1-ADD.DISCOUNT)*(1+MAT.SURCHARGE)/EXC.RATE_2,C2057*(1-I2057)*(1-ADD.DISCOUNT)*(1+MAT.SURCHARGE)*EXC.RATE_2),CURRENCY.FORMAT_2),CURRENCY.FORMAT_2,0)),'DICTIONARY-5'!$A$2))</f>
        <v/>
      </c>
      <c r="N2057" s="538">
        <v>8</v>
      </c>
      <c r="O2057" s="538"/>
      <c r="P2057" s="731" t="str">
        <f>'DICTIONARY-3'!$A$107</f>
        <v>DUOJET</v>
      </c>
      <c r="Q2057" s="732" t="str">
        <f>'DICTIONARY-3'!$A$206</f>
        <v>Zawór na- i odpowietrzający</v>
      </c>
      <c r="R2057" s="732" t="str">
        <f>CONCATENATE('DICTIONARY-3'!$A$107," ",'DICTIONARY-6'!$A$7," ",'DICTIONARY-2'!$A$2,"200"," ",'DICTIONARY-2'!$A$3,"16"," ","G4",", ",'DICTIONARY-5'!$A$51,"+",'DICTIONARY-5'!$A$36,", ",'DICTIONARY-6'!$A$44,", ",'DICTIONARY-6'!$A$62)</f>
        <v>DUOJET Zaw. na-/odpowietrz. DN200 PN16 G4, GGG+CF8, pływak PP, z zaw. kul.</v>
      </c>
      <c r="S2057" s="733" t="str">
        <f>'DICTIONARY-4'!$A$17</f>
        <v>AS</v>
      </c>
      <c r="T2057" s="732" t="str">
        <f>'DICTIONARY-4'!$A$33</f>
        <v>Automatyczne sterowanie</v>
      </c>
      <c r="U2057" s="734" t="s">
        <v>5750</v>
      </c>
      <c r="V2057" s="735">
        <v>16</v>
      </c>
      <c r="W2057" s="736"/>
      <c r="X2057" s="750" t="s">
        <v>53</v>
      </c>
      <c r="Y2057" s="738"/>
      <c r="Z2057" s="739"/>
      <c r="AA2057" s="739"/>
      <c r="AB2057" s="740">
        <v>16</v>
      </c>
      <c r="AC2057" s="741"/>
      <c r="AD2057" s="741" t="str">
        <f>'DICTIONARY-5'!$A$13</f>
        <v>woda pitna</v>
      </c>
      <c r="AE2057" s="742">
        <v>50</v>
      </c>
      <c r="AF2057" s="743">
        <v>57</v>
      </c>
      <c r="AG2057" s="741" t="str">
        <f>'DICTIONARY-5'!$A$23</f>
        <v>powłoka epoksydowa</v>
      </c>
    </row>
    <row r="2058" spans="1:33" x14ac:dyDescent="0.25">
      <c r="A2058" s="873" t="s">
        <v>4902</v>
      </c>
      <c r="B2058" s="873" t="s">
        <v>1890</v>
      </c>
      <c r="C2058" s="836">
        <v>588</v>
      </c>
      <c r="D2058" s="836"/>
      <c r="E2058" s="836"/>
      <c r="F2058" s="836"/>
      <c r="G2058" s="496" t="s">
        <v>7834</v>
      </c>
      <c r="H2058" s="797" t="str">
        <f>VLOOKUP(G2058,SETTINGS!$B$7:$D$97,2,0)</f>
        <v>DUOJET</v>
      </c>
      <c r="I2058" s="796">
        <f>VLOOKUP(G2058,SETTINGS!$B$7:$D$97,3,0)</f>
        <v>0</v>
      </c>
      <c r="J2058" s="670" t="str">
        <f>IFERROR(IF(CURRENCY.FORMAT_1=0,CONCATENATE(TEXT(FIXED(ROUND((C2058/EXC.RATE_1),CURRENCY.FORMAT_1),CURRENCY.FORMAT_1,1),"# ##0;-# ##0"),",-"),FIXED(ROUND((C2058/EXC.RATE_1),CURRENCY.FORMAT_1),CURRENCY.FORMAT_1,0)),'DICTIONARY-5'!$A$2)</f>
        <v>588,-</v>
      </c>
      <c r="K2058" s="670" t="str">
        <f>IF(EXC.RATE_2=0,"",IFERROR(IF(CURRENCY.FORMAT_2=0,CONCATENATE(TEXT(FIXED(ROUND(IF(EXC.RATE.SWITCH=1,C2058/EXC.RATE_2,C2058*EXC.RATE_2),CURRENCY.FORMAT_2),CURRENCY.FORMAT_2,1),"# ##0;-# ##0"),",-"),FIXED(ROUND(IF(EXC.RATE.SWITCH=1,C2058/EXC.RATE_2,C2058*EXC.RATE_2),CURRENCY.FORMAT_2),CURRENCY.FORMAT_2,0)),'DICTIONARY-5'!$A$2))</f>
        <v/>
      </c>
      <c r="L2058" s="670" t="str">
        <f>IFERROR(IF(CURRENCY.FORMAT_1=0,CONCATENATE(TEXT(FIXED(ROUND((C2058*(1-I2058)*(1-ADD.DISCOUNT)*(1+MAT.SURCHARGE)/EXC.RATE_1),CURRENCY.FORMAT_1),CURRENCY.FORMAT_1,1),"# ##0;-# ##0"),",-"),FIXED(ROUND((C2058*(1-I2058)*(1-ADD.DISCOUNT)*(1+MAT.SURCHARGE)/EXC.RATE_1),CURRENCY.FORMAT_1),CURRENCY.FORMAT_1,0)),'DICTIONARY-5'!$A$2)</f>
        <v>611,-</v>
      </c>
      <c r="M2058" s="670" t="str">
        <f>IF(EXC.RATE_2=0,"",IFERROR(IF(CURRENCY.FORMAT_2=0,CONCATENATE(TEXT(FIXED(ROUND(IF(EXC.RATE.SWITCH=1,C2058*(1-I2058)*(1-ADD.DISCOUNT)*(1+MAT.SURCHARGE)/EXC.RATE_2,C2058*(1-I2058)*(1-ADD.DISCOUNT)*(1+MAT.SURCHARGE)*EXC.RATE_2),CURRENCY.FORMAT_2),CURRENCY.FORMAT_2,1),"# ##0;-# ##0"),",-"),FIXED(ROUND(IF(EXC.RATE.SWITCH=1,C2058*(1-I2058)*(1-ADD.DISCOUNT)*(1+MAT.SURCHARGE)/EXC.RATE_2,C2058*(1-I2058)*(1-ADD.DISCOUNT)*(1+MAT.SURCHARGE)*EXC.RATE_2),CURRENCY.FORMAT_2),CURRENCY.FORMAT_2,0)),'DICTIONARY-5'!$A$2))</f>
        <v/>
      </c>
      <c r="N2058" s="539">
        <v>8</v>
      </c>
      <c r="O2058" s="539"/>
      <c r="P2058" s="731" t="str">
        <f>'DICTIONARY-3'!$A$107</f>
        <v>DUOJET</v>
      </c>
      <c r="Q2058" s="732" t="str">
        <f>'DICTIONARY-3'!$A$206</f>
        <v>Zawór na- i odpowietrzający</v>
      </c>
      <c r="R2058" s="732" t="str">
        <f>CONCATENATE('DICTIONARY-3'!$A$107," ",'DICTIONARY-6'!$A$7," ",'DICTIONARY-2'!$A$2,"100"," ",'DICTIONARY-2'!$A$3,"25"," ","G2½",", ",'DICTIONARY-5'!$A$51,"+",'DICTIONARY-5'!$A$36,", ",'DICTIONARY-6'!$A$44,", ",'DICTIONARY-6'!$A$62)</f>
        <v>DUOJET Zaw. na-/odpowietrz. DN100 PN25 G2½, GGG+CF8, pływak PP, z zaw. kul.</v>
      </c>
      <c r="S2058" s="733" t="str">
        <f>'DICTIONARY-4'!$A$17</f>
        <v>AS</v>
      </c>
      <c r="T2058" s="732" t="str">
        <f>'DICTIONARY-4'!$A$33</f>
        <v>Automatyczne sterowanie</v>
      </c>
      <c r="U2058" s="734" t="s">
        <v>5749</v>
      </c>
      <c r="V2058" s="735">
        <v>25</v>
      </c>
      <c r="W2058" s="736"/>
      <c r="X2058" s="750" t="s">
        <v>5744</v>
      </c>
      <c r="Y2058" s="738"/>
      <c r="Z2058" s="739"/>
      <c r="AA2058" s="739"/>
      <c r="AB2058" s="740">
        <v>25</v>
      </c>
      <c r="AC2058" s="741"/>
      <c r="AD2058" s="741" t="str">
        <f>'DICTIONARY-5'!$A$13</f>
        <v>woda pitna</v>
      </c>
      <c r="AE2058" s="742">
        <v>50</v>
      </c>
      <c r="AF2058" s="743">
        <v>24</v>
      </c>
      <c r="AG2058" s="741" t="str">
        <f>'DICTIONARY-5'!$A$23</f>
        <v>powłoka epoksydowa</v>
      </c>
    </row>
    <row r="2059" spans="1:33" x14ac:dyDescent="0.25">
      <c r="A2059" s="873" t="s">
        <v>4903</v>
      </c>
      <c r="B2059" s="873" t="s">
        <v>1892</v>
      </c>
      <c r="C2059" s="836">
        <v>998</v>
      </c>
      <c r="D2059" s="836"/>
      <c r="E2059" s="836"/>
      <c r="F2059" s="836"/>
      <c r="G2059" s="496" t="s">
        <v>7834</v>
      </c>
      <c r="H2059" s="797" t="str">
        <f>VLOOKUP(G2059,SETTINGS!$B$7:$D$97,2,0)</f>
        <v>DUOJET</v>
      </c>
      <c r="I2059" s="796">
        <f>VLOOKUP(G2059,SETTINGS!$B$7:$D$97,3,0)</f>
        <v>0</v>
      </c>
      <c r="J2059" s="670" t="str">
        <f>IFERROR(IF(CURRENCY.FORMAT_1=0,CONCATENATE(TEXT(FIXED(ROUND((C2059/EXC.RATE_1),CURRENCY.FORMAT_1),CURRENCY.FORMAT_1,1),"# ##0;-# ##0"),",-"),FIXED(ROUND((C2059/EXC.RATE_1),CURRENCY.FORMAT_1),CURRENCY.FORMAT_1,0)),'DICTIONARY-5'!$A$2)</f>
        <v>998,-</v>
      </c>
      <c r="K2059" s="670" t="str">
        <f>IF(EXC.RATE_2=0,"",IFERROR(IF(CURRENCY.FORMAT_2=0,CONCATENATE(TEXT(FIXED(ROUND(IF(EXC.RATE.SWITCH=1,C2059/EXC.RATE_2,C2059*EXC.RATE_2),CURRENCY.FORMAT_2),CURRENCY.FORMAT_2,1),"# ##0;-# ##0"),",-"),FIXED(ROUND(IF(EXC.RATE.SWITCH=1,C2059/EXC.RATE_2,C2059*EXC.RATE_2),CURRENCY.FORMAT_2),CURRENCY.FORMAT_2,0)),'DICTIONARY-5'!$A$2))</f>
        <v/>
      </c>
      <c r="L2059" s="670" t="str">
        <f>IFERROR(IF(CURRENCY.FORMAT_1=0,CONCATENATE(TEXT(FIXED(ROUND((C2059*(1-I2059)*(1-ADD.DISCOUNT)*(1+MAT.SURCHARGE)/EXC.RATE_1),CURRENCY.FORMAT_1),CURRENCY.FORMAT_1,1),"# ##0;-# ##0"),",-"),FIXED(ROUND((C2059*(1-I2059)*(1-ADD.DISCOUNT)*(1+MAT.SURCHARGE)/EXC.RATE_1),CURRENCY.FORMAT_1),CURRENCY.FORMAT_1,0)),'DICTIONARY-5'!$A$2)</f>
        <v>1 037,-</v>
      </c>
      <c r="M2059" s="670" t="str">
        <f>IF(EXC.RATE_2=0,"",IFERROR(IF(CURRENCY.FORMAT_2=0,CONCATENATE(TEXT(FIXED(ROUND(IF(EXC.RATE.SWITCH=1,C2059*(1-I2059)*(1-ADD.DISCOUNT)*(1+MAT.SURCHARGE)/EXC.RATE_2,C2059*(1-I2059)*(1-ADD.DISCOUNT)*(1+MAT.SURCHARGE)*EXC.RATE_2),CURRENCY.FORMAT_2),CURRENCY.FORMAT_2,1),"# ##0;-# ##0"),",-"),FIXED(ROUND(IF(EXC.RATE.SWITCH=1,C2059*(1-I2059)*(1-ADD.DISCOUNT)*(1+MAT.SURCHARGE)/EXC.RATE_2,C2059*(1-I2059)*(1-ADD.DISCOUNT)*(1+MAT.SURCHARGE)*EXC.RATE_2),CURRENCY.FORMAT_2),CURRENCY.FORMAT_2,0)),'DICTIONARY-5'!$A$2))</f>
        <v/>
      </c>
      <c r="N2059" s="539">
        <v>8</v>
      </c>
      <c r="O2059" s="539"/>
      <c r="P2059" s="731" t="str">
        <f>'DICTIONARY-3'!$A$107</f>
        <v>DUOJET</v>
      </c>
      <c r="Q2059" s="732" t="str">
        <f>'DICTIONARY-3'!$A$206</f>
        <v>Zawór na- i odpowietrzający</v>
      </c>
      <c r="R2059" s="732" t="str">
        <f>CONCATENATE('DICTIONARY-3'!$A$107," ",'DICTIONARY-6'!$A$7," ",'DICTIONARY-2'!$A$2,"150"," ",'DICTIONARY-2'!$A$3,"25"," ","G4",", ",'DICTIONARY-5'!$A$51,"+",'DICTIONARY-5'!$A$36,", ",'DICTIONARY-6'!$A$44,", ",'DICTIONARY-6'!$A$62)</f>
        <v>DUOJET Zaw. na-/odpowietrz. DN150 PN25 G4, GGG+CF8, pływak PP, z zaw. kul.</v>
      </c>
      <c r="S2059" s="733" t="str">
        <f>'DICTIONARY-4'!$A$17</f>
        <v>AS</v>
      </c>
      <c r="T2059" s="732" t="str">
        <f>'DICTIONARY-4'!$A$33</f>
        <v>Automatyczne sterowanie</v>
      </c>
      <c r="U2059" s="734" t="s">
        <v>5572</v>
      </c>
      <c r="V2059" s="735">
        <v>25</v>
      </c>
      <c r="W2059" s="736"/>
      <c r="X2059" s="750" t="s">
        <v>53</v>
      </c>
      <c r="Y2059" s="738"/>
      <c r="Z2059" s="739"/>
      <c r="AA2059" s="739"/>
      <c r="AB2059" s="740">
        <v>25</v>
      </c>
      <c r="AC2059" s="741"/>
      <c r="AD2059" s="741" t="str">
        <f>'DICTIONARY-5'!$A$13</f>
        <v>woda pitna</v>
      </c>
      <c r="AE2059" s="742">
        <v>50</v>
      </c>
      <c r="AF2059" s="743">
        <v>44</v>
      </c>
      <c r="AG2059" s="741" t="str">
        <f>'DICTIONARY-5'!$A$23</f>
        <v>powłoka epoksydowa</v>
      </c>
    </row>
    <row r="2060" spans="1:33" x14ac:dyDescent="0.25">
      <c r="A2060" s="873" t="s">
        <v>4904</v>
      </c>
      <c r="B2060" s="873" t="s">
        <v>1894</v>
      </c>
      <c r="C2060" s="836">
        <v>1015</v>
      </c>
      <c r="D2060" s="836"/>
      <c r="E2060" s="836"/>
      <c r="F2060" s="836"/>
      <c r="G2060" s="496" t="s">
        <v>7834</v>
      </c>
      <c r="H2060" s="797" t="str">
        <f>VLOOKUP(G2060,SETTINGS!$B$7:$D$97,2,0)</f>
        <v>DUOJET</v>
      </c>
      <c r="I2060" s="796">
        <f>VLOOKUP(G2060,SETTINGS!$B$7:$D$97,3,0)</f>
        <v>0</v>
      </c>
      <c r="J2060" s="670" t="str">
        <f>IFERROR(IF(CURRENCY.FORMAT_1=0,CONCATENATE(TEXT(FIXED(ROUND((C2060/EXC.RATE_1),CURRENCY.FORMAT_1),CURRENCY.FORMAT_1,1),"# ##0;-# ##0"),",-"),FIXED(ROUND((C2060/EXC.RATE_1),CURRENCY.FORMAT_1),CURRENCY.FORMAT_1,0)),'DICTIONARY-5'!$A$2)</f>
        <v>1 015,-</v>
      </c>
      <c r="K2060" s="670" t="str">
        <f>IF(EXC.RATE_2=0,"",IFERROR(IF(CURRENCY.FORMAT_2=0,CONCATENATE(TEXT(FIXED(ROUND(IF(EXC.RATE.SWITCH=1,C2060/EXC.RATE_2,C2060*EXC.RATE_2),CURRENCY.FORMAT_2),CURRENCY.FORMAT_2,1),"# ##0;-# ##0"),",-"),FIXED(ROUND(IF(EXC.RATE.SWITCH=1,C2060/EXC.RATE_2,C2060*EXC.RATE_2),CURRENCY.FORMAT_2),CURRENCY.FORMAT_2,0)),'DICTIONARY-5'!$A$2))</f>
        <v/>
      </c>
      <c r="L2060" s="670" t="str">
        <f>IFERROR(IF(CURRENCY.FORMAT_1=0,CONCATENATE(TEXT(FIXED(ROUND((C2060*(1-I2060)*(1-ADD.DISCOUNT)*(1+MAT.SURCHARGE)/EXC.RATE_1),CURRENCY.FORMAT_1),CURRENCY.FORMAT_1,1),"# ##0;-# ##0"),",-"),FIXED(ROUND((C2060*(1-I2060)*(1-ADD.DISCOUNT)*(1+MAT.SURCHARGE)/EXC.RATE_1),CURRENCY.FORMAT_1),CURRENCY.FORMAT_1,0)),'DICTIONARY-5'!$A$2)</f>
        <v>1 055,-</v>
      </c>
      <c r="M2060" s="670" t="str">
        <f>IF(EXC.RATE_2=0,"",IFERROR(IF(CURRENCY.FORMAT_2=0,CONCATENATE(TEXT(FIXED(ROUND(IF(EXC.RATE.SWITCH=1,C2060*(1-I2060)*(1-ADD.DISCOUNT)*(1+MAT.SURCHARGE)/EXC.RATE_2,C2060*(1-I2060)*(1-ADD.DISCOUNT)*(1+MAT.SURCHARGE)*EXC.RATE_2),CURRENCY.FORMAT_2),CURRENCY.FORMAT_2,1),"# ##0;-# ##0"),",-"),FIXED(ROUND(IF(EXC.RATE.SWITCH=1,C2060*(1-I2060)*(1-ADD.DISCOUNT)*(1+MAT.SURCHARGE)/EXC.RATE_2,C2060*(1-I2060)*(1-ADD.DISCOUNT)*(1+MAT.SURCHARGE)*EXC.RATE_2),CURRENCY.FORMAT_2),CURRENCY.FORMAT_2,0)),'DICTIONARY-5'!$A$2))</f>
        <v/>
      </c>
      <c r="N2060" s="539">
        <v>8</v>
      </c>
      <c r="O2060" s="539"/>
      <c r="P2060" s="731" t="str">
        <f>'DICTIONARY-3'!$A$107</f>
        <v>DUOJET</v>
      </c>
      <c r="Q2060" s="732" t="str">
        <f>'DICTIONARY-3'!$A$206</f>
        <v>Zawór na- i odpowietrzający</v>
      </c>
      <c r="R2060" s="732" t="str">
        <f>CONCATENATE('DICTIONARY-3'!$A$107," ",'DICTIONARY-6'!$A$7," ",'DICTIONARY-2'!$A$2,"200"," ",'DICTIONARY-2'!$A$3,"25"," ","G4",", ",'DICTIONARY-5'!$A$51,"+",'DICTIONARY-5'!$A$36,", ",'DICTIONARY-6'!$A$44,", ",'DICTIONARY-6'!$A$62)</f>
        <v>DUOJET Zaw. na-/odpowietrz. DN200 PN25 G4, GGG+CF8, pływak PP, z zaw. kul.</v>
      </c>
      <c r="S2060" s="733" t="str">
        <f>'DICTIONARY-4'!$A$17</f>
        <v>AS</v>
      </c>
      <c r="T2060" s="732" t="str">
        <f>'DICTIONARY-4'!$A$33</f>
        <v>Automatyczne sterowanie</v>
      </c>
      <c r="U2060" s="734" t="s">
        <v>5750</v>
      </c>
      <c r="V2060" s="735">
        <v>25</v>
      </c>
      <c r="W2060" s="736"/>
      <c r="X2060" s="750" t="s">
        <v>53</v>
      </c>
      <c r="Y2060" s="738"/>
      <c r="Z2060" s="739"/>
      <c r="AA2060" s="739"/>
      <c r="AB2060" s="740">
        <v>25</v>
      </c>
      <c r="AC2060" s="741"/>
      <c r="AD2060" s="741" t="str">
        <f>'DICTIONARY-5'!$A$13</f>
        <v>woda pitna</v>
      </c>
      <c r="AE2060" s="742">
        <v>50</v>
      </c>
      <c r="AF2060" s="743">
        <v>49</v>
      </c>
      <c r="AG2060" s="741" t="str">
        <f>'DICTIONARY-5'!$A$23</f>
        <v>powłoka epoksydowa</v>
      </c>
    </row>
    <row r="2061" spans="1:33" x14ac:dyDescent="0.25">
      <c r="A2061" s="754" t="s">
        <v>1878</v>
      </c>
      <c r="B2061" s="754" t="s">
        <v>4208</v>
      </c>
      <c r="C2061" s="836">
        <v>437</v>
      </c>
      <c r="D2061" s="836"/>
      <c r="E2061" s="836"/>
      <c r="F2061" s="836"/>
      <c r="G2061" s="496" t="s">
        <v>7834</v>
      </c>
      <c r="H2061" s="797" t="str">
        <f>VLOOKUP(G2061,SETTINGS!$B$7:$D$97,2,0)</f>
        <v>DUOJET</v>
      </c>
      <c r="I2061" s="796">
        <f>VLOOKUP(G2061,SETTINGS!$B$7:$D$97,3,0)</f>
        <v>0</v>
      </c>
      <c r="J2061" s="670" t="str">
        <f>IFERROR(IF(CURRENCY.FORMAT_1=0,CONCATENATE(TEXT(FIXED(ROUND((C2061/EXC.RATE_1),CURRENCY.FORMAT_1),CURRENCY.FORMAT_1,1),"# ##0;-# ##0"),",-"),FIXED(ROUND((C2061/EXC.RATE_1),CURRENCY.FORMAT_1),CURRENCY.FORMAT_1,0)),'DICTIONARY-5'!$A$2)</f>
        <v>437,-</v>
      </c>
      <c r="K2061" s="670" t="str">
        <f>IF(EXC.RATE_2=0,"",IFERROR(IF(CURRENCY.FORMAT_2=0,CONCATENATE(TEXT(FIXED(ROUND(IF(EXC.RATE.SWITCH=1,C2061/EXC.RATE_2,C2061*EXC.RATE_2),CURRENCY.FORMAT_2),CURRENCY.FORMAT_2,1),"# ##0;-# ##0"),",-"),FIXED(ROUND(IF(EXC.RATE.SWITCH=1,C2061/EXC.RATE_2,C2061*EXC.RATE_2),CURRENCY.FORMAT_2),CURRENCY.FORMAT_2,0)),'DICTIONARY-5'!$A$2))</f>
        <v/>
      </c>
      <c r="L2061" s="670" t="str">
        <f>IFERROR(IF(CURRENCY.FORMAT_1=0,CONCATENATE(TEXT(FIXED(ROUND((C2061*(1-I2061)*(1-ADD.DISCOUNT)*(1+MAT.SURCHARGE)/EXC.RATE_1),CURRENCY.FORMAT_1),CURRENCY.FORMAT_1,1),"# ##0;-# ##0"),",-"),FIXED(ROUND((C2061*(1-I2061)*(1-ADD.DISCOUNT)*(1+MAT.SURCHARGE)/EXC.RATE_1),CURRENCY.FORMAT_1),CURRENCY.FORMAT_1,0)),'DICTIONARY-5'!$A$2)</f>
        <v>454,-</v>
      </c>
      <c r="M2061" s="670" t="str">
        <f>IF(EXC.RATE_2=0,"",IFERROR(IF(CURRENCY.FORMAT_2=0,CONCATENATE(TEXT(FIXED(ROUND(IF(EXC.RATE.SWITCH=1,C2061*(1-I2061)*(1-ADD.DISCOUNT)*(1+MAT.SURCHARGE)/EXC.RATE_2,C2061*(1-I2061)*(1-ADD.DISCOUNT)*(1+MAT.SURCHARGE)*EXC.RATE_2),CURRENCY.FORMAT_2),CURRENCY.FORMAT_2,1),"# ##0;-# ##0"),",-"),FIXED(ROUND(IF(EXC.RATE.SWITCH=1,C2061*(1-I2061)*(1-ADD.DISCOUNT)*(1+MAT.SURCHARGE)/EXC.RATE_2,C2061*(1-I2061)*(1-ADD.DISCOUNT)*(1+MAT.SURCHARGE)*EXC.RATE_2),CURRENCY.FORMAT_2),CURRENCY.FORMAT_2,0)),'DICTIONARY-5'!$A$2))</f>
        <v/>
      </c>
      <c r="N2061" s="540">
        <v>8</v>
      </c>
      <c r="O2061" s="540"/>
      <c r="P2061" s="731" t="str">
        <f>'DICTIONARY-3'!$A$108</f>
        <v>DUOJET-P</v>
      </c>
      <c r="Q2061" s="732" t="str">
        <f>'DICTIONARY-3'!$A$206</f>
        <v>Zawór na- i odpowietrzający</v>
      </c>
      <c r="R2061" s="732" t="str">
        <f>CONCATENATE('DICTIONARY-3'!$A$108," ",'DICTIONARY-6'!$A$7," ",'DICTIONARY-2'!$A$2,"50"," ",'DICTIONARY-2'!$A$3,"10/16/25 G2",", ",'DICTIONARY-5'!$A$51,"+",'DICTIONARY-5'!$A$36,", ",'DICTIONARY-6'!$A$44)</f>
        <v>DUOJET-P Zaw. na-/odpowietrz. DN50 PN10/16/25 G2, GGG+CF8, pływak PP</v>
      </c>
      <c r="S2061" s="733" t="str">
        <f>'DICTIONARY-4'!$A$17</f>
        <v>AS</v>
      </c>
      <c r="T2061" s="732" t="str">
        <f>'DICTIONARY-4'!$A$33</f>
        <v>Automatyczne sterowanie</v>
      </c>
      <c r="U2061" s="734" t="s">
        <v>5748</v>
      </c>
      <c r="V2061" s="735">
        <v>25</v>
      </c>
      <c r="W2061" s="736"/>
      <c r="X2061" s="750" t="s">
        <v>50</v>
      </c>
      <c r="Y2061" s="738"/>
      <c r="Z2061" s="739"/>
      <c r="AA2061" s="739"/>
      <c r="AB2061" s="740">
        <v>25</v>
      </c>
      <c r="AC2061" s="741"/>
      <c r="AD2061" s="741" t="str">
        <f>'DICTIONARY-5'!$A$13</f>
        <v>woda pitna</v>
      </c>
      <c r="AE2061" s="742">
        <v>50</v>
      </c>
      <c r="AF2061" s="743">
        <v>20</v>
      </c>
      <c r="AG2061" s="741" t="str">
        <f>'DICTIONARY-5'!$A$23</f>
        <v>powłoka epoksydowa</v>
      </c>
    </row>
    <row r="2062" spans="1:33" x14ac:dyDescent="0.25">
      <c r="A2062" s="754" t="s">
        <v>1880</v>
      </c>
      <c r="B2062" s="754" t="s">
        <v>4220</v>
      </c>
      <c r="C2062" s="836">
        <v>652</v>
      </c>
      <c r="D2062" s="836"/>
      <c r="E2062" s="836"/>
      <c r="F2062" s="836"/>
      <c r="G2062" s="496" t="s">
        <v>7834</v>
      </c>
      <c r="H2062" s="797" t="str">
        <f>VLOOKUP(G2062,SETTINGS!$B$7:$D$97,2,0)</f>
        <v>DUOJET</v>
      </c>
      <c r="I2062" s="796">
        <f>VLOOKUP(G2062,SETTINGS!$B$7:$D$97,3,0)</f>
        <v>0</v>
      </c>
      <c r="J2062" s="670" t="str">
        <f>IFERROR(IF(CURRENCY.FORMAT_1=0,CONCATENATE(TEXT(FIXED(ROUND((C2062/EXC.RATE_1),CURRENCY.FORMAT_1),CURRENCY.FORMAT_1,1),"# ##0;-# ##0"),",-"),FIXED(ROUND((C2062/EXC.RATE_1),CURRENCY.FORMAT_1),CURRENCY.FORMAT_1,0)),'DICTIONARY-5'!$A$2)</f>
        <v>652,-</v>
      </c>
      <c r="K2062" s="670" t="str">
        <f>IF(EXC.RATE_2=0,"",IFERROR(IF(CURRENCY.FORMAT_2=0,CONCATENATE(TEXT(FIXED(ROUND(IF(EXC.RATE.SWITCH=1,C2062/EXC.RATE_2,C2062*EXC.RATE_2),CURRENCY.FORMAT_2),CURRENCY.FORMAT_2,1),"# ##0;-# ##0"),",-"),FIXED(ROUND(IF(EXC.RATE.SWITCH=1,C2062/EXC.RATE_2,C2062*EXC.RATE_2),CURRENCY.FORMAT_2),CURRENCY.FORMAT_2,0)),'DICTIONARY-5'!$A$2))</f>
        <v/>
      </c>
      <c r="L2062" s="670" t="str">
        <f>IFERROR(IF(CURRENCY.FORMAT_1=0,CONCATENATE(TEXT(FIXED(ROUND((C2062*(1-I2062)*(1-ADD.DISCOUNT)*(1+MAT.SURCHARGE)/EXC.RATE_1),CURRENCY.FORMAT_1),CURRENCY.FORMAT_1,1),"# ##0;-# ##0"),",-"),FIXED(ROUND((C2062*(1-I2062)*(1-ADD.DISCOUNT)*(1+MAT.SURCHARGE)/EXC.RATE_1),CURRENCY.FORMAT_1),CURRENCY.FORMAT_1,0)),'DICTIONARY-5'!$A$2)</f>
        <v>677,-</v>
      </c>
      <c r="M2062" s="670" t="str">
        <f>IF(EXC.RATE_2=0,"",IFERROR(IF(CURRENCY.FORMAT_2=0,CONCATENATE(TEXT(FIXED(ROUND(IF(EXC.RATE.SWITCH=1,C2062*(1-I2062)*(1-ADD.DISCOUNT)*(1+MAT.SURCHARGE)/EXC.RATE_2,C2062*(1-I2062)*(1-ADD.DISCOUNT)*(1+MAT.SURCHARGE)*EXC.RATE_2),CURRENCY.FORMAT_2),CURRENCY.FORMAT_2,1),"# ##0;-# ##0"),",-"),FIXED(ROUND(IF(EXC.RATE.SWITCH=1,C2062*(1-I2062)*(1-ADD.DISCOUNT)*(1+MAT.SURCHARGE)/EXC.RATE_2,C2062*(1-I2062)*(1-ADD.DISCOUNT)*(1+MAT.SURCHARGE)*EXC.RATE_2),CURRENCY.FORMAT_2),CURRENCY.FORMAT_2,0)),'DICTIONARY-5'!$A$2))</f>
        <v/>
      </c>
      <c r="N2062" s="540">
        <v>8</v>
      </c>
      <c r="O2062" s="540"/>
      <c r="P2062" s="731" t="str">
        <f>'DICTIONARY-3'!$A$108</f>
        <v>DUOJET-P</v>
      </c>
      <c r="Q2062" s="732" t="str">
        <f>'DICTIONARY-3'!$A$206</f>
        <v>Zawór na- i odpowietrzający</v>
      </c>
      <c r="R2062" s="732" t="str">
        <f>CONCATENATE('DICTIONARY-3'!$A$108," ",'DICTIONARY-6'!$A$7," ",'DICTIONARY-2'!$A$2,"80"," ",'DICTIONARY-2'!$A$3,"10/16/25 G3",", ",'DICTIONARY-5'!$A$51,"+",'DICTIONARY-5'!$A$36,", ",'DICTIONARY-6'!$A$44)</f>
        <v>DUOJET-P Zaw. na-/odpowietrz. DN80 PN10/16/25 G3, GGG+CF8, pływak PP</v>
      </c>
      <c r="S2062" s="733" t="str">
        <f>'DICTIONARY-4'!$A$17</f>
        <v>AS</v>
      </c>
      <c r="T2062" s="732" t="str">
        <f>'DICTIONARY-4'!$A$33</f>
        <v>Automatyczne sterowanie</v>
      </c>
      <c r="U2062" s="734" t="s">
        <v>5760</v>
      </c>
      <c r="V2062" s="735">
        <v>25</v>
      </c>
      <c r="W2062" s="736"/>
      <c r="X2062" s="750" t="s">
        <v>51</v>
      </c>
      <c r="Y2062" s="738"/>
      <c r="Z2062" s="739"/>
      <c r="AA2062" s="739"/>
      <c r="AB2062" s="740">
        <v>25</v>
      </c>
      <c r="AC2062" s="741"/>
      <c r="AD2062" s="741" t="str">
        <f>'DICTIONARY-5'!$A$13</f>
        <v>woda pitna</v>
      </c>
      <c r="AE2062" s="742">
        <v>50</v>
      </c>
      <c r="AF2062" s="743">
        <v>24</v>
      </c>
      <c r="AG2062" s="741" t="str">
        <f>'DICTIONARY-5'!$A$23</f>
        <v>powłoka epoksydowa</v>
      </c>
    </row>
    <row r="2063" spans="1:33" x14ac:dyDescent="0.25">
      <c r="A2063" s="754" t="s">
        <v>1881</v>
      </c>
      <c r="B2063" s="754" t="s">
        <v>4214</v>
      </c>
      <c r="C2063" s="836">
        <v>958</v>
      </c>
      <c r="D2063" s="836"/>
      <c r="E2063" s="836"/>
      <c r="F2063" s="836"/>
      <c r="G2063" s="496" t="s">
        <v>7834</v>
      </c>
      <c r="H2063" s="797" t="str">
        <f>VLOOKUP(G2063,SETTINGS!$B$7:$D$97,2,0)</f>
        <v>DUOJET</v>
      </c>
      <c r="I2063" s="796">
        <f>VLOOKUP(G2063,SETTINGS!$B$7:$D$97,3,0)</f>
        <v>0</v>
      </c>
      <c r="J2063" s="670" t="str">
        <f>IFERROR(IF(CURRENCY.FORMAT_1=0,CONCATENATE(TEXT(FIXED(ROUND((C2063/EXC.RATE_1),CURRENCY.FORMAT_1),CURRENCY.FORMAT_1,1),"# ##0;-# ##0"),",-"),FIXED(ROUND((C2063/EXC.RATE_1),CURRENCY.FORMAT_1),CURRENCY.FORMAT_1,0)),'DICTIONARY-5'!$A$2)</f>
        <v>958,-</v>
      </c>
      <c r="K2063" s="670" t="str">
        <f>IF(EXC.RATE_2=0,"",IFERROR(IF(CURRENCY.FORMAT_2=0,CONCATENATE(TEXT(FIXED(ROUND(IF(EXC.RATE.SWITCH=1,C2063/EXC.RATE_2,C2063*EXC.RATE_2),CURRENCY.FORMAT_2),CURRENCY.FORMAT_2,1),"# ##0;-# ##0"),",-"),FIXED(ROUND(IF(EXC.RATE.SWITCH=1,C2063/EXC.RATE_2,C2063*EXC.RATE_2),CURRENCY.FORMAT_2),CURRENCY.FORMAT_2,0)),'DICTIONARY-5'!$A$2))</f>
        <v/>
      </c>
      <c r="L2063" s="670" t="str">
        <f>IFERROR(IF(CURRENCY.FORMAT_1=0,CONCATENATE(TEXT(FIXED(ROUND((C2063*(1-I2063)*(1-ADD.DISCOUNT)*(1+MAT.SURCHARGE)/EXC.RATE_1),CURRENCY.FORMAT_1),CURRENCY.FORMAT_1,1),"# ##0;-# ##0"),",-"),FIXED(ROUND((C2063*(1-I2063)*(1-ADD.DISCOUNT)*(1+MAT.SURCHARGE)/EXC.RATE_1),CURRENCY.FORMAT_1),CURRENCY.FORMAT_1,0)),'DICTIONARY-5'!$A$2)</f>
        <v>995,-</v>
      </c>
      <c r="M2063" s="670" t="str">
        <f>IF(EXC.RATE_2=0,"",IFERROR(IF(CURRENCY.FORMAT_2=0,CONCATENATE(TEXT(FIXED(ROUND(IF(EXC.RATE.SWITCH=1,C2063*(1-I2063)*(1-ADD.DISCOUNT)*(1+MAT.SURCHARGE)/EXC.RATE_2,C2063*(1-I2063)*(1-ADD.DISCOUNT)*(1+MAT.SURCHARGE)*EXC.RATE_2),CURRENCY.FORMAT_2),CURRENCY.FORMAT_2,1),"# ##0;-# ##0"),",-"),FIXED(ROUND(IF(EXC.RATE.SWITCH=1,C2063*(1-I2063)*(1-ADD.DISCOUNT)*(1+MAT.SURCHARGE)/EXC.RATE_2,C2063*(1-I2063)*(1-ADD.DISCOUNT)*(1+MAT.SURCHARGE)*EXC.RATE_2),CURRENCY.FORMAT_2),CURRENCY.FORMAT_2,0)),'DICTIONARY-5'!$A$2))</f>
        <v/>
      </c>
      <c r="N2063" s="540">
        <v>8</v>
      </c>
      <c r="O2063" s="540"/>
      <c r="P2063" s="731" t="str">
        <f>'DICTIONARY-3'!$A$108</f>
        <v>DUOJET-P</v>
      </c>
      <c r="Q2063" s="732" t="str">
        <f>'DICTIONARY-3'!$A$206</f>
        <v>Zawór na- i odpowietrzający</v>
      </c>
      <c r="R2063" s="732" t="str">
        <f>CONCATENATE('DICTIONARY-3'!$A$108," ",'DICTIONARY-6'!$A$7," ",'DICTIONARY-2'!$A$2,"100"," ",'DICTIONARY-2'!$A$3,"10/16"," ","G4",", ",'DICTIONARY-5'!$A$51,"+",'DICTIONARY-5'!$A$36,", ",'DICTIONARY-6'!$A$44)</f>
        <v>DUOJET-P Zaw. na-/odpowietrz. DN100 PN10/16 G4, GGG+CF8, pływak PP</v>
      </c>
      <c r="S2063" s="733" t="str">
        <f>'DICTIONARY-4'!$A$17</f>
        <v>AS</v>
      </c>
      <c r="T2063" s="732" t="str">
        <f>'DICTIONARY-4'!$A$33</f>
        <v>Automatyczne sterowanie</v>
      </c>
      <c r="U2063" s="734" t="s">
        <v>5749</v>
      </c>
      <c r="V2063" s="735">
        <v>16</v>
      </c>
      <c r="W2063" s="736"/>
      <c r="X2063" s="750" t="s">
        <v>53</v>
      </c>
      <c r="Y2063" s="738"/>
      <c r="Z2063" s="739"/>
      <c r="AA2063" s="739"/>
      <c r="AB2063" s="740">
        <v>16</v>
      </c>
      <c r="AC2063" s="741"/>
      <c r="AD2063" s="741" t="str">
        <f>'DICTIONARY-5'!$A$13</f>
        <v>woda pitna</v>
      </c>
      <c r="AE2063" s="742">
        <v>50</v>
      </c>
      <c r="AF2063" s="743">
        <v>49.5</v>
      </c>
      <c r="AG2063" s="741" t="str">
        <f>'DICTIONARY-5'!$A$23</f>
        <v>powłoka epoksydowa</v>
      </c>
    </row>
    <row r="2064" spans="1:33" x14ac:dyDescent="0.25">
      <c r="A2064" s="754" t="s">
        <v>1884</v>
      </c>
      <c r="B2064" s="754" t="s">
        <v>4216</v>
      </c>
      <c r="C2064" s="836">
        <v>2274</v>
      </c>
      <c r="D2064" s="836"/>
      <c r="E2064" s="836"/>
      <c r="F2064" s="836"/>
      <c r="G2064" s="496" t="s">
        <v>7834</v>
      </c>
      <c r="H2064" s="797" t="str">
        <f>VLOOKUP(G2064,SETTINGS!$B$7:$D$97,2,0)</f>
        <v>DUOJET</v>
      </c>
      <c r="I2064" s="796">
        <f>VLOOKUP(G2064,SETTINGS!$B$7:$D$97,3,0)</f>
        <v>0</v>
      </c>
      <c r="J2064" s="670" t="str">
        <f>IFERROR(IF(CURRENCY.FORMAT_1=0,CONCATENATE(TEXT(FIXED(ROUND((C2064/EXC.RATE_1),CURRENCY.FORMAT_1),CURRENCY.FORMAT_1,1),"# ##0;-# ##0"),",-"),FIXED(ROUND((C2064/EXC.RATE_1),CURRENCY.FORMAT_1),CURRENCY.FORMAT_1,0)),'DICTIONARY-5'!$A$2)</f>
        <v>2 274,-</v>
      </c>
      <c r="K2064" s="670" t="str">
        <f>IF(EXC.RATE_2=0,"",IFERROR(IF(CURRENCY.FORMAT_2=0,CONCATENATE(TEXT(FIXED(ROUND(IF(EXC.RATE.SWITCH=1,C2064/EXC.RATE_2,C2064*EXC.RATE_2),CURRENCY.FORMAT_2),CURRENCY.FORMAT_2,1),"# ##0;-# ##0"),",-"),FIXED(ROUND(IF(EXC.RATE.SWITCH=1,C2064/EXC.RATE_2,C2064*EXC.RATE_2),CURRENCY.FORMAT_2),CURRENCY.FORMAT_2,0)),'DICTIONARY-5'!$A$2))</f>
        <v/>
      </c>
      <c r="L2064" s="670" t="str">
        <f>IFERROR(IF(CURRENCY.FORMAT_1=0,CONCATENATE(TEXT(FIXED(ROUND((C2064*(1-I2064)*(1-ADD.DISCOUNT)*(1+MAT.SURCHARGE)/EXC.RATE_1),CURRENCY.FORMAT_1),CURRENCY.FORMAT_1,1),"# ##0;-# ##0"),",-"),FIXED(ROUND((C2064*(1-I2064)*(1-ADD.DISCOUNT)*(1+MAT.SURCHARGE)/EXC.RATE_1),CURRENCY.FORMAT_1),CURRENCY.FORMAT_1,0)),'DICTIONARY-5'!$A$2)</f>
        <v>2 363,-</v>
      </c>
      <c r="M2064" s="670" t="str">
        <f>IF(EXC.RATE_2=0,"",IFERROR(IF(CURRENCY.FORMAT_2=0,CONCATENATE(TEXT(FIXED(ROUND(IF(EXC.RATE.SWITCH=1,C2064*(1-I2064)*(1-ADD.DISCOUNT)*(1+MAT.SURCHARGE)/EXC.RATE_2,C2064*(1-I2064)*(1-ADD.DISCOUNT)*(1+MAT.SURCHARGE)*EXC.RATE_2),CURRENCY.FORMAT_2),CURRENCY.FORMAT_2,1),"# ##0;-# ##0"),",-"),FIXED(ROUND(IF(EXC.RATE.SWITCH=1,C2064*(1-I2064)*(1-ADD.DISCOUNT)*(1+MAT.SURCHARGE)/EXC.RATE_2,C2064*(1-I2064)*(1-ADD.DISCOUNT)*(1+MAT.SURCHARGE)*EXC.RATE_2),CURRENCY.FORMAT_2),CURRENCY.FORMAT_2,0)),'DICTIONARY-5'!$A$2))</f>
        <v/>
      </c>
      <c r="N2064" s="540">
        <v>8</v>
      </c>
      <c r="O2064" s="540"/>
      <c r="P2064" s="731" t="str">
        <f>'DICTIONARY-3'!$A$108</f>
        <v>DUOJET-P</v>
      </c>
      <c r="Q2064" s="732" t="str">
        <f>'DICTIONARY-3'!$A$206</f>
        <v>Zawór na- i odpowietrzający</v>
      </c>
      <c r="R2064" s="732" t="str">
        <f>CONCATENATE('DICTIONARY-3'!$A$108," ",'DICTIONARY-6'!$A$7," ",'DICTIONARY-2'!$A$2,"150"," ",'DICTIONARY-2'!$A$3,"10/16"," ","G6",", ",'DICTIONARY-5'!$A$51,"+",'DICTIONARY-5'!$A$36,", ",'DICTIONARY-6'!$A$44)</f>
        <v>DUOJET-P Zaw. na-/odpowietrz. DN150 PN10/16 G6, GGG+CF8, pływak PP</v>
      </c>
      <c r="S2064" s="733" t="str">
        <f>'DICTIONARY-4'!$A$17</f>
        <v>AS</v>
      </c>
      <c r="T2064" s="732" t="str">
        <f>'DICTIONARY-4'!$A$33</f>
        <v>Automatyczne sterowanie</v>
      </c>
      <c r="U2064" s="734" t="s">
        <v>5572</v>
      </c>
      <c r="V2064" s="735">
        <v>16</v>
      </c>
      <c r="W2064" s="736"/>
      <c r="X2064" s="750" t="s">
        <v>52</v>
      </c>
      <c r="Y2064" s="738"/>
      <c r="Z2064" s="739"/>
      <c r="AA2064" s="739"/>
      <c r="AB2064" s="740">
        <v>16</v>
      </c>
      <c r="AC2064" s="741"/>
      <c r="AD2064" s="741" t="str">
        <f>'DICTIONARY-5'!$A$13</f>
        <v>woda pitna</v>
      </c>
      <c r="AE2064" s="742">
        <v>50</v>
      </c>
      <c r="AF2064" s="743">
        <v>79</v>
      </c>
      <c r="AG2064" s="741" t="str">
        <f>'DICTIONARY-5'!$A$23</f>
        <v>powłoka epoksydowa</v>
      </c>
    </row>
    <row r="2065" spans="1:33" x14ac:dyDescent="0.25">
      <c r="A2065" s="754" t="s">
        <v>1882</v>
      </c>
      <c r="B2065" s="754" t="str">
        <f>'DICTIONARY-5'!$A$2</f>
        <v>na zapytanie</v>
      </c>
      <c r="C2065" s="836" t="s">
        <v>5967</v>
      </c>
      <c r="D2065" s="836"/>
      <c r="E2065" s="836"/>
      <c r="F2065" s="836"/>
      <c r="G2065" s="496" t="s">
        <v>7834</v>
      </c>
      <c r="H2065" s="797" t="str">
        <f>VLOOKUP(G2065,SETTINGS!$B$7:$D$97,2,0)</f>
        <v>DUOJET</v>
      </c>
      <c r="I2065" s="796">
        <f>VLOOKUP(G2065,SETTINGS!$B$7:$D$97,3,0)</f>
        <v>0</v>
      </c>
      <c r="J2065" s="670" t="str">
        <f>IFERROR(IF(CURRENCY.FORMAT_1=0,CONCATENATE(TEXT(FIXED(ROUND((C2065/EXC.RATE_1),CURRENCY.FORMAT_1),CURRENCY.FORMAT_1,1),"# ##0;-# ##0"),",-"),FIXED(ROUND((C2065/EXC.RATE_1),CURRENCY.FORMAT_1),CURRENCY.FORMAT_1,0)),'DICTIONARY-5'!$A$2)</f>
        <v>na zapytanie</v>
      </c>
      <c r="K2065" s="670" t="str">
        <f>IF(EXC.RATE_2=0,"",IFERROR(IF(CURRENCY.FORMAT_2=0,CONCATENATE(TEXT(FIXED(ROUND(IF(EXC.RATE.SWITCH=1,C2065/EXC.RATE_2,C2065*EXC.RATE_2),CURRENCY.FORMAT_2),CURRENCY.FORMAT_2,1),"# ##0;-# ##0"),",-"),FIXED(ROUND(IF(EXC.RATE.SWITCH=1,C2065/EXC.RATE_2,C2065*EXC.RATE_2),CURRENCY.FORMAT_2),CURRENCY.FORMAT_2,0)),'DICTIONARY-5'!$A$2))</f>
        <v/>
      </c>
      <c r="L2065" s="670" t="str">
        <f>IFERROR(IF(CURRENCY.FORMAT_1=0,CONCATENATE(TEXT(FIXED(ROUND((C2065*(1-I2065)*(1-ADD.DISCOUNT)*(1+MAT.SURCHARGE)/EXC.RATE_1),CURRENCY.FORMAT_1),CURRENCY.FORMAT_1,1),"# ##0;-# ##0"),",-"),FIXED(ROUND((C2065*(1-I2065)*(1-ADD.DISCOUNT)*(1+MAT.SURCHARGE)/EXC.RATE_1),CURRENCY.FORMAT_1),CURRENCY.FORMAT_1,0)),'DICTIONARY-5'!$A$2)</f>
        <v>na zapytanie</v>
      </c>
      <c r="M2065" s="670" t="str">
        <f>IF(EXC.RATE_2=0,"",IFERROR(IF(CURRENCY.FORMAT_2=0,CONCATENATE(TEXT(FIXED(ROUND(IF(EXC.RATE.SWITCH=1,C2065*(1-I2065)*(1-ADD.DISCOUNT)*(1+MAT.SURCHARGE)/EXC.RATE_2,C2065*(1-I2065)*(1-ADD.DISCOUNT)*(1+MAT.SURCHARGE)*EXC.RATE_2),CURRENCY.FORMAT_2),CURRENCY.FORMAT_2,1),"# ##0;-# ##0"),",-"),FIXED(ROUND(IF(EXC.RATE.SWITCH=1,C2065*(1-I2065)*(1-ADD.DISCOUNT)*(1+MAT.SURCHARGE)/EXC.RATE_2,C2065*(1-I2065)*(1-ADD.DISCOUNT)*(1+MAT.SURCHARGE)*EXC.RATE_2),CURRENCY.FORMAT_2),CURRENCY.FORMAT_2,0)),'DICTIONARY-5'!$A$2))</f>
        <v/>
      </c>
      <c r="N2065" s="540">
        <v>8</v>
      </c>
      <c r="O2065" s="540"/>
      <c r="P2065" s="731" t="str">
        <f>'DICTIONARY-3'!$A$108</f>
        <v>DUOJET-P</v>
      </c>
      <c r="Q2065" s="732" t="str">
        <f>'DICTIONARY-3'!$A$206</f>
        <v>Zawór na- i odpowietrzający</v>
      </c>
      <c r="R2065" s="732" t="str">
        <f>CONCATENATE('DICTIONARY-3'!$A$108," ",'DICTIONARY-6'!$A$7," ",'DICTIONARY-2'!$A$2,"100"," ",'DICTIONARY-2'!$A$3,"25"," ","G4",", ",'DICTIONARY-5'!$A$51,"+",'DICTIONARY-5'!$A$36,", ",'DICTIONARY-6'!$A$44)</f>
        <v>DUOJET-P Zaw. na-/odpowietrz. DN100 PN25 G4, GGG+CF8, pływak PP</v>
      </c>
      <c r="S2065" s="733" t="str">
        <f>'DICTIONARY-4'!$A$17</f>
        <v>AS</v>
      </c>
      <c r="T2065" s="732" t="str">
        <f>'DICTIONARY-4'!$A$33</f>
        <v>Automatyczne sterowanie</v>
      </c>
      <c r="U2065" s="734" t="s">
        <v>5749</v>
      </c>
      <c r="V2065" s="735">
        <v>25</v>
      </c>
      <c r="W2065" s="736"/>
      <c r="X2065" s="750" t="s">
        <v>53</v>
      </c>
      <c r="Y2065" s="738"/>
      <c r="Z2065" s="739"/>
      <c r="AA2065" s="739"/>
      <c r="AB2065" s="740">
        <v>25</v>
      </c>
      <c r="AC2065" s="741"/>
      <c r="AD2065" s="741" t="str">
        <f>'DICTIONARY-5'!$A$13</f>
        <v>woda pitna</v>
      </c>
      <c r="AE2065" s="742">
        <v>50</v>
      </c>
      <c r="AF2065" s="743"/>
      <c r="AG2065" s="741" t="str">
        <f>'DICTIONARY-5'!$A$23</f>
        <v>powłoka epoksydowa</v>
      </c>
    </row>
    <row r="2066" spans="1:33" x14ac:dyDescent="0.25">
      <c r="A2066" s="754" t="s">
        <v>1885</v>
      </c>
      <c r="B2066" s="754" t="str">
        <f>'DICTIONARY-5'!$A$2</f>
        <v>na zapytanie</v>
      </c>
      <c r="C2066" s="836" t="s">
        <v>5967</v>
      </c>
      <c r="D2066" s="836"/>
      <c r="E2066" s="836"/>
      <c r="F2066" s="836"/>
      <c r="G2066" s="496" t="s">
        <v>7834</v>
      </c>
      <c r="H2066" s="797" t="str">
        <f>VLOOKUP(G2066,SETTINGS!$B$7:$D$97,2,0)</f>
        <v>DUOJET</v>
      </c>
      <c r="I2066" s="796">
        <f>VLOOKUP(G2066,SETTINGS!$B$7:$D$97,3,0)</f>
        <v>0</v>
      </c>
      <c r="J2066" s="670" t="str">
        <f>IFERROR(IF(CURRENCY.FORMAT_1=0,CONCATENATE(TEXT(FIXED(ROUND((C2066/EXC.RATE_1),CURRENCY.FORMAT_1),CURRENCY.FORMAT_1,1),"# ##0;-# ##0"),",-"),FIXED(ROUND((C2066/EXC.RATE_1),CURRENCY.FORMAT_1),CURRENCY.FORMAT_1,0)),'DICTIONARY-5'!$A$2)</f>
        <v>na zapytanie</v>
      </c>
      <c r="K2066" s="670" t="str">
        <f>IF(EXC.RATE_2=0,"",IFERROR(IF(CURRENCY.FORMAT_2=0,CONCATENATE(TEXT(FIXED(ROUND(IF(EXC.RATE.SWITCH=1,C2066/EXC.RATE_2,C2066*EXC.RATE_2),CURRENCY.FORMAT_2),CURRENCY.FORMAT_2,1),"# ##0;-# ##0"),",-"),FIXED(ROUND(IF(EXC.RATE.SWITCH=1,C2066/EXC.RATE_2,C2066*EXC.RATE_2),CURRENCY.FORMAT_2),CURRENCY.FORMAT_2,0)),'DICTIONARY-5'!$A$2))</f>
        <v/>
      </c>
      <c r="L2066" s="670" t="str">
        <f>IFERROR(IF(CURRENCY.FORMAT_1=0,CONCATENATE(TEXT(FIXED(ROUND((C2066*(1-I2066)*(1-ADD.DISCOUNT)*(1+MAT.SURCHARGE)/EXC.RATE_1),CURRENCY.FORMAT_1),CURRENCY.FORMAT_1,1),"# ##0;-# ##0"),",-"),FIXED(ROUND((C2066*(1-I2066)*(1-ADD.DISCOUNT)*(1+MAT.SURCHARGE)/EXC.RATE_1),CURRENCY.FORMAT_1),CURRENCY.FORMAT_1,0)),'DICTIONARY-5'!$A$2)</f>
        <v>na zapytanie</v>
      </c>
      <c r="M2066" s="670" t="str">
        <f>IF(EXC.RATE_2=0,"",IFERROR(IF(CURRENCY.FORMAT_2=0,CONCATENATE(TEXT(FIXED(ROUND(IF(EXC.RATE.SWITCH=1,C2066*(1-I2066)*(1-ADD.DISCOUNT)*(1+MAT.SURCHARGE)/EXC.RATE_2,C2066*(1-I2066)*(1-ADD.DISCOUNT)*(1+MAT.SURCHARGE)*EXC.RATE_2),CURRENCY.FORMAT_2),CURRENCY.FORMAT_2,1),"# ##0;-# ##0"),",-"),FIXED(ROUND(IF(EXC.RATE.SWITCH=1,C2066*(1-I2066)*(1-ADD.DISCOUNT)*(1+MAT.SURCHARGE)/EXC.RATE_2,C2066*(1-I2066)*(1-ADD.DISCOUNT)*(1+MAT.SURCHARGE)*EXC.RATE_2),CURRENCY.FORMAT_2),CURRENCY.FORMAT_2,0)),'DICTIONARY-5'!$A$2))</f>
        <v/>
      </c>
      <c r="N2066" s="540">
        <v>8</v>
      </c>
      <c r="O2066" s="540"/>
      <c r="P2066" s="731" t="str">
        <f>'DICTIONARY-3'!$A$108</f>
        <v>DUOJET-P</v>
      </c>
      <c r="Q2066" s="732" t="str">
        <f>'DICTIONARY-3'!$A$206</f>
        <v>Zawór na- i odpowietrzający</v>
      </c>
      <c r="R2066" s="732" t="str">
        <f>CONCATENATE('DICTIONARY-3'!$A$108," ",'DICTIONARY-6'!$A$7," ",'DICTIONARY-2'!$A$2,"150"," ",'DICTIONARY-2'!$A$3,"25"," ","G6",", ",'DICTIONARY-5'!$A$51,"+",'DICTIONARY-5'!$A$36,", ",'DICTIONARY-6'!$A$44)</f>
        <v>DUOJET-P Zaw. na-/odpowietrz. DN150 PN25 G6, GGG+CF8, pływak PP</v>
      </c>
      <c r="S2066" s="733" t="str">
        <f>'DICTIONARY-4'!$A$17</f>
        <v>AS</v>
      </c>
      <c r="T2066" s="732" t="str">
        <f>'DICTIONARY-4'!$A$33</f>
        <v>Automatyczne sterowanie</v>
      </c>
      <c r="U2066" s="734" t="s">
        <v>5572</v>
      </c>
      <c r="V2066" s="735">
        <v>25</v>
      </c>
      <c r="W2066" s="736"/>
      <c r="X2066" s="750" t="s">
        <v>52</v>
      </c>
      <c r="Y2066" s="738"/>
      <c r="Z2066" s="739"/>
      <c r="AA2066" s="739"/>
      <c r="AB2066" s="740">
        <v>25</v>
      </c>
      <c r="AC2066" s="741"/>
      <c r="AD2066" s="741" t="str">
        <f>'DICTIONARY-5'!$A$13</f>
        <v>woda pitna</v>
      </c>
      <c r="AE2066" s="742">
        <v>50</v>
      </c>
      <c r="AF2066" s="743"/>
      <c r="AG2066" s="741" t="str">
        <f>'DICTIONARY-5'!$A$23</f>
        <v>powłoka epoksydowa</v>
      </c>
    </row>
    <row r="2067" spans="1:33" x14ac:dyDescent="0.25">
      <c r="A2067" s="874" t="s">
        <v>5543</v>
      </c>
      <c r="B2067" s="874" t="s">
        <v>5544</v>
      </c>
      <c r="C2067" s="836" t="s">
        <v>5967</v>
      </c>
      <c r="D2067" s="836"/>
      <c r="E2067" s="836"/>
      <c r="F2067" s="836"/>
      <c r="G2067" s="496" t="s">
        <v>7834</v>
      </c>
      <c r="H2067" s="797" t="str">
        <f>VLOOKUP(G2067,SETTINGS!$B$7:$D$97,2,0)</f>
        <v>DUOJET</v>
      </c>
      <c r="I2067" s="796">
        <f>VLOOKUP(G2067,SETTINGS!$B$7:$D$97,3,0)</f>
        <v>0</v>
      </c>
      <c r="J2067" s="670" t="str">
        <f>IFERROR(IF(CURRENCY.FORMAT_1=0,CONCATENATE(TEXT(FIXED(ROUND((C2067/EXC.RATE_1),CURRENCY.FORMAT_1),CURRENCY.FORMAT_1,1),"# ##0;-# ##0"),",-"),FIXED(ROUND((C2067/EXC.RATE_1),CURRENCY.FORMAT_1),CURRENCY.FORMAT_1,0)),'DICTIONARY-5'!$A$2)</f>
        <v>na zapytanie</v>
      </c>
      <c r="K2067" s="670" t="str">
        <f>IF(EXC.RATE_2=0,"",IFERROR(IF(CURRENCY.FORMAT_2=0,CONCATENATE(TEXT(FIXED(ROUND(IF(EXC.RATE.SWITCH=1,C2067/EXC.RATE_2,C2067*EXC.RATE_2),CURRENCY.FORMAT_2),CURRENCY.FORMAT_2,1),"# ##0;-# ##0"),",-"),FIXED(ROUND(IF(EXC.RATE.SWITCH=1,C2067/EXC.RATE_2,C2067*EXC.RATE_2),CURRENCY.FORMAT_2),CURRENCY.FORMAT_2,0)),'DICTIONARY-5'!$A$2))</f>
        <v/>
      </c>
      <c r="L2067" s="670" t="str">
        <f>IFERROR(IF(CURRENCY.FORMAT_1=0,CONCATENATE(TEXT(FIXED(ROUND((C2067*(1-I2067)*(1-ADD.DISCOUNT)*(1+MAT.SURCHARGE)/EXC.RATE_1),CURRENCY.FORMAT_1),CURRENCY.FORMAT_1,1),"# ##0;-# ##0"),",-"),FIXED(ROUND((C2067*(1-I2067)*(1-ADD.DISCOUNT)*(1+MAT.SURCHARGE)/EXC.RATE_1),CURRENCY.FORMAT_1),CURRENCY.FORMAT_1,0)),'DICTIONARY-5'!$A$2)</f>
        <v>na zapytanie</v>
      </c>
      <c r="M2067" s="670" t="str">
        <f>IF(EXC.RATE_2=0,"",IFERROR(IF(CURRENCY.FORMAT_2=0,CONCATENATE(TEXT(FIXED(ROUND(IF(EXC.RATE.SWITCH=1,C2067*(1-I2067)*(1-ADD.DISCOUNT)*(1+MAT.SURCHARGE)/EXC.RATE_2,C2067*(1-I2067)*(1-ADD.DISCOUNT)*(1+MAT.SURCHARGE)*EXC.RATE_2),CURRENCY.FORMAT_2),CURRENCY.FORMAT_2,1),"# ##0;-# ##0"),",-"),FIXED(ROUND(IF(EXC.RATE.SWITCH=1,C2067*(1-I2067)*(1-ADD.DISCOUNT)*(1+MAT.SURCHARGE)/EXC.RATE_2,C2067*(1-I2067)*(1-ADD.DISCOUNT)*(1+MAT.SURCHARGE)*EXC.RATE_2),CURRENCY.FORMAT_2),CURRENCY.FORMAT_2,0)),'DICTIONARY-5'!$A$2))</f>
        <v/>
      </c>
      <c r="N2067" s="539">
        <v>8</v>
      </c>
      <c r="O2067" s="539"/>
      <c r="P2067" s="731" t="str">
        <f>'DICTIONARY-3'!$A$107</f>
        <v>DUOJET</v>
      </c>
      <c r="Q2067" s="732" t="str">
        <f>'DICTIONARY-3'!$A$206</f>
        <v>Zawór na- i odpowietrzający</v>
      </c>
      <c r="R2067" s="732" t="str">
        <f>CONCATENATE('DICTIONARY-3'!$A$107," ",'DICTIONARY-6'!$A$7," ",LOWER('DICTIONARY-3'!$A$292)," ",'DICTIONARY-2'!$A$2,"50 G2"," ",'DICTIONARY-2'!$A$10,"16",'DICTIONARY-2'!$A$20," ","G1¼",", ",'DICTIONARY-5'!$A$51,", ",'DICTIONARY-6'!$A$44)</f>
        <v>DUOJET Zaw. na-/odpowietrz. konstrukcja gwintowana  DN50 G2 PS16bar G1¼, GGG, pływak PP</v>
      </c>
      <c r="S2067" s="733" t="str">
        <f>'DICTIONARY-4'!$A$17</f>
        <v>AS</v>
      </c>
      <c r="T2067" s="732" t="str">
        <f>'DICTIONARY-4'!$A$33</f>
        <v>Automatyczne sterowanie</v>
      </c>
      <c r="U2067" s="734" t="s">
        <v>5748</v>
      </c>
      <c r="V2067" s="735"/>
      <c r="W2067" s="736"/>
      <c r="X2067" s="750" t="s">
        <v>5740</v>
      </c>
      <c r="Y2067" s="738"/>
      <c r="Z2067" s="739"/>
      <c r="AA2067" s="739"/>
      <c r="AB2067" s="740">
        <v>16</v>
      </c>
      <c r="AC2067" s="741"/>
      <c r="AD2067" s="741" t="str">
        <f>'DICTIONARY-5'!$A$13</f>
        <v>woda pitna</v>
      </c>
      <c r="AE2067" s="742">
        <v>50</v>
      </c>
      <c r="AF2067" s="743">
        <v>10.5</v>
      </c>
      <c r="AG2067" s="741" t="str">
        <f>'DICTIONARY-5'!$A$23</f>
        <v>powłoka epoksydowa</v>
      </c>
    </row>
    <row r="2068" spans="1:33" x14ac:dyDescent="0.25">
      <c r="A2068" s="872" t="s">
        <v>1896</v>
      </c>
      <c r="B2068" s="872" t="s">
        <v>4203</v>
      </c>
      <c r="C2068" s="836">
        <v>898</v>
      </c>
      <c r="D2068" s="836"/>
      <c r="E2068" s="836"/>
      <c r="F2068" s="836"/>
      <c r="G2068" s="496" t="s">
        <v>7835</v>
      </c>
      <c r="H2068" s="797" t="str">
        <f>VLOOKUP(G2068,SETTINGS!$B$7:$D$97,2,0)</f>
        <v>FLOWJET</v>
      </c>
      <c r="I2068" s="796">
        <f>VLOOKUP(G2068,SETTINGS!$B$7:$D$97,3,0)</f>
        <v>0</v>
      </c>
      <c r="J2068" s="670" t="str">
        <f>IFERROR(IF(CURRENCY.FORMAT_1=0,CONCATENATE(TEXT(FIXED(ROUND((C2068/EXC.RATE_1),CURRENCY.FORMAT_1),CURRENCY.FORMAT_1,1),"# ##0;-# ##0"),",-"),FIXED(ROUND((C2068/EXC.RATE_1),CURRENCY.FORMAT_1),CURRENCY.FORMAT_1,0)),'DICTIONARY-5'!$A$2)</f>
        <v>898,-</v>
      </c>
      <c r="K2068" s="670" t="str">
        <f>IF(EXC.RATE_2=0,"",IFERROR(IF(CURRENCY.FORMAT_2=0,CONCATENATE(TEXT(FIXED(ROUND(IF(EXC.RATE.SWITCH=1,C2068/EXC.RATE_2,C2068*EXC.RATE_2),CURRENCY.FORMAT_2),CURRENCY.FORMAT_2,1),"# ##0;-# ##0"),",-"),FIXED(ROUND(IF(EXC.RATE.SWITCH=1,C2068/EXC.RATE_2,C2068*EXC.RATE_2),CURRENCY.FORMAT_2),CURRENCY.FORMAT_2,0)),'DICTIONARY-5'!$A$2))</f>
        <v/>
      </c>
      <c r="L2068" s="670" t="str">
        <f>IFERROR(IF(CURRENCY.FORMAT_1=0,CONCATENATE(TEXT(FIXED(ROUND((C2068*(1-I2068)*(1-ADD.DISCOUNT)*(1+MAT.SURCHARGE)/EXC.RATE_1),CURRENCY.FORMAT_1),CURRENCY.FORMAT_1,1),"# ##0;-# ##0"),",-"),FIXED(ROUND((C2068*(1-I2068)*(1-ADD.DISCOUNT)*(1+MAT.SURCHARGE)/EXC.RATE_1),CURRENCY.FORMAT_1),CURRENCY.FORMAT_1,0)),'DICTIONARY-5'!$A$2)</f>
        <v>933,-</v>
      </c>
      <c r="M2068" s="670" t="str">
        <f>IF(EXC.RATE_2=0,"",IFERROR(IF(CURRENCY.FORMAT_2=0,CONCATENATE(TEXT(FIXED(ROUND(IF(EXC.RATE.SWITCH=1,C2068*(1-I2068)*(1-ADD.DISCOUNT)*(1+MAT.SURCHARGE)/EXC.RATE_2,C2068*(1-I2068)*(1-ADD.DISCOUNT)*(1+MAT.SURCHARGE)*EXC.RATE_2),CURRENCY.FORMAT_2),CURRENCY.FORMAT_2,1),"# ##0;-# ##0"),",-"),FIXED(ROUND(IF(EXC.RATE.SWITCH=1,C2068*(1-I2068)*(1-ADD.DISCOUNT)*(1+MAT.SURCHARGE)/EXC.RATE_2,C2068*(1-I2068)*(1-ADD.DISCOUNT)*(1+MAT.SURCHARGE)*EXC.RATE_2),CURRENCY.FORMAT_2),CURRENCY.FORMAT_2,0)),'DICTIONARY-5'!$A$2))</f>
        <v/>
      </c>
      <c r="N2068" s="538">
        <v>8</v>
      </c>
      <c r="O2068" s="538"/>
      <c r="P2068" s="731" t="str">
        <f>'DICTIONARY-3'!$A$113</f>
        <v>FLOWJET PE</v>
      </c>
      <c r="Q2068" s="732" t="str">
        <f>'DICTIONARY-3'!$A$206</f>
        <v>Zawór na- i odpowietrzający</v>
      </c>
      <c r="R2068" s="732" t="str">
        <f>CONCATENATE('DICTIONARY-3'!$A$113," ",'DICTIONARY-6'!$A$7," ",'DICTIONARY-2'!$A$2,"50"," ",'DICTIONARY-2'!$A$3,"10/16")</f>
        <v>FLOWJET PE Zaw. na-/odpowietrz. DN50 PN10/16</v>
      </c>
      <c r="S2068" s="733" t="str">
        <f>'DICTIONARY-4'!$A$17</f>
        <v>AS</v>
      </c>
      <c r="T2068" s="732" t="str">
        <f>'DICTIONARY-4'!$A$33</f>
        <v>Automatyczne sterowanie</v>
      </c>
      <c r="U2068" s="734" t="s">
        <v>5748</v>
      </c>
      <c r="V2068" s="735">
        <v>16</v>
      </c>
      <c r="W2068" s="736"/>
      <c r="X2068" s="750"/>
      <c r="Y2068" s="738"/>
      <c r="Z2068" s="739"/>
      <c r="AA2068" s="739"/>
      <c r="AB2068" s="740">
        <v>16</v>
      </c>
      <c r="AC2068" s="741"/>
      <c r="AD2068" s="733" t="str">
        <f>'DICTIONARY-5'!$A$14</f>
        <v>ścieki</v>
      </c>
      <c r="AE2068" s="742">
        <v>50</v>
      </c>
      <c r="AF2068" s="743">
        <v>9.5</v>
      </c>
      <c r="AG2068" s="741"/>
    </row>
    <row r="2069" spans="1:33" x14ac:dyDescent="0.25">
      <c r="A2069" s="872" t="s">
        <v>1897</v>
      </c>
      <c r="B2069" s="872" t="s">
        <v>4204</v>
      </c>
      <c r="C2069" s="836">
        <v>896</v>
      </c>
      <c r="D2069" s="836"/>
      <c r="E2069" s="836"/>
      <c r="F2069" s="836"/>
      <c r="G2069" s="496" t="s">
        <v>7835</v>
      </c>
      <c r="H2069" s="797" t="str">
        <f>VLOOKUP(G2069,SETTINGS!$B$7:$D$97,2,0)</f>
        <v>FLOWJET</v>
      </c>
      <c r="I2069" s="796">
        <f>VLOOKUP(G2069,SETTINGS!$B$7:$D$97,3,0)</f>
        <v>0</v>
      </c>
      <c r="J2069" s="670" t="str">
        <f>IFERROR(IF(CURRENCY.FORMAT_1=0,CONCATENATE(TEXT(FIXED(ROUND((C2069/EXC.RATE_1),CURRENCY.FORMAT_1),CURRENCY.FORMAT_1,1),"# ##0;-# ##0"),",-"),FIXED(ROUND((C2069/EXC.RATE_1),CURRENCY.FORMAT_1),CURRENCY.FORMAT_1,0)),'DICTIONARY-5'!$A$2)</f>
        <v>896,-</v>
      </c>
      <c r="K2069" s="670" t="str">
        <f>IF(EXC.RATE_2=0,"",IFERROR(IF(CURRENCY.FORMAT_2=0,CONCATENATE(TEXT(FIXED(ROUND(IF(EXC.RATE.SWITCH=1,C2069/EXC.RATE_2,C2069*EXC.RATE_2),CURRENCY.FORMAT_2),CURRENCY.FORMAT_2,1),"# ##0;-# ##0"),",-"),FIXED(ROUND(IF(EXC.RATE.SWITCH=1,C2069/EXC.RATE_2,C2069*EXC.RATE_2),CURRENCY.FORMAT_2),CURRENCY.FORMAT_2,0)),'DICTIONARY-5'!$A$2))</f>
        <v/>
      </c>
      <c r="L2069" s="670" t="str">
        <f>IFERROR(IF(CURRENCY.FORMAT_1=0,CONCATENATE(TEXT(FIXED(ROUND((C2069*(1-I2069)*(1-ADD.DISCOUNT)*(1+MAT.SURCHARGE)/EXC.RATE_1),CURRENCY.FORMAT_1),CURRENCY.FORMAT_1,1),"# ##0;-# ##0"),",-"),FIXED(ROUND((C2069*(1-I2069)*(1-ADD.DISCOUNT)*(1+MAT.SURCHARGE)/EXC.RATE_1),CURRENCY.FORMAT_1),CURRENCY.FORMAT_1,0)),'DICTIONARY-5'!$A$2)</f>
        <v>931,-</v>
      </c>
      <c r="M2069" s="670" t="str">
        <f>IF(EXC.RATE_2=0,"",IFERROR(IF(CURRENCY.FORMAT_2=0,CONCATENATE(TEXT(FIXED(ROUND(IF(EXC.RATE.SWITCH=1,C2069*(1-I2069)*(1-ADD.DISCOUNT)*(1+MAT.SURCHARGE)/EXC.RATE_2,C2069*(1-I2069)*(1-ADD.DISCOUNT)*(1+MAT.SURCHARGE)*EXC.RATE_2),CURRENCY.FORMAT_2),CURRENCY.FORMAT_2,1),"# ##0;-# ##0"),",-"),FIXED(ROUND(IF(EXC.RATE.SWITCH=1,C2069*(1-I2069)*(1-ADD.DISCOUNT)*(1+MAT.SURCHARGE)/EXC.RATE_2,C2069*(1-I2069)*(1-ADD.DISCOUNT)*(1+MAT.SURCHARGE)*EXC.RATE_2),CURRENCY.FORMAT_2),CURRENCY.FORMAT_2,0)),'DICTIONARY-5'!$A$2))</f>
        <v/>
      </c>
      <c r="N2069" s="538">
        <v>8</v>
      </c>
      <c r="O2069" s="538"/>
      <c r="P2069" s="731" t="str">
        <f>'DICTIONARY-3'!$A$113</f>
        <v>FLOWJET PE</v>
      </c>
      <c r="Q2069" s="732" t="str">
        <f>'DICTIONARY-3'!$A$206</f>
        <v>Zawór na- i odpowietrzający</v>
      </c>
      <c r="R2069" s="732" t="str">
        <f>CONCATENATE('DICTIONARY-3'!$A$113," ",'DICTIONARY-6'!$A$7," ",'DICTIONARY-2'!$A$2,"80"," ",'DICTIONARY-2'!$A$3,"10/16")</f>
        <v>FLOWJET PE Zaw. na-/odpowietrz. DN80 PN10/16</v>
      </c>
      <c r="S2069" s="733" t="str">
        <f>'DICTIONARY-4'!$A$17</f>
        <v>AS</v>
      </c>
      <c r="T2069" s="732" t="str">
        <f>'DICTIONARY-4'!$A$33</f>
        <v>Automatyczne sterowanie</v>
      </c>
      <c r="U2069" s="734" t="s">
        <v>5760</v>
      </c>
      <c r="V2069" s="735">
        <v>16</v>
      </c>
      <c r="W2069" s="736"/>
      <c r="X2069" s="750"/>
      <c r="Y2069" s="738"/>
      <c r="Z2069" s="739"/>
      <c r="AA2069" s="739"/>
      <c r="AB2069" s="740">
        <v>16</v>
      </c>
      <c r="AC2069" s="741"/>
      <c r="AD2069" s="741" t="str">
        <f>'DICTIONARY-5'!$A$14</f>
        <v>ścieki</v>
      </c>
      <c r="AE2069" s="742">
        <v>50</v>
      </c>
      <c r="AF2069" s="743">
        <v>8.5</v>
      </c>
      <c r="AG2069" s="741"/>
    </row>
    <row r="2070" spans="1:33" x14ac:dyDescent="0.25">
      <c r="A2070" s="872" t="s">
        <v>1898</v>
      </c>
      <c r="B2070" s="872" t="s">
        <v>4205</v>
      </c>
      <c r="C2070" s="836">
        <v>925</v>
      </c>
      <c r="D2070" s="836"/>
      <c r="E2070" s="836"/>
      <c r="F2070" s="836"/>
      <c r="G2070" s="496" t="s">
        <v>7835</v>
      </c>
      <c r="H2070" s="797" t="str">
        <f>VLOOKUP(G2070,SETTINGS!$B$7:$D$97,2,0)</f>
        <v>FLOWJET</v>
      </c>
      <c r="I2070" s="796">
        <f>VLOOKUP(G2070,SETTINGS!$B$7:$D$97,3,0)</f>
        <v>0</v>
      </c>
      <c r="J2070" s="670" t="str">
        <f>IFERROR(IF(CURRENCY.FORMAT_1=0,CONCATENATE(TEXT(FIXED(ROUND((C2070/EXC.RATE_1),CURRENCY.FORMAT_1),CURRENCY.FORMAT_1,1),"# ##0;-# ##0"),",-"),FIXED(ROUND((C2070/EXC.RATE_1),CURRENCY.FORMAT_1),CURRENCY.FORMAT_1,0)),'DICTIONARY-5'!$A$2)</f>
        <v>925,-</v>
      </c>
      <c r="K2070" s="670" t="str">
        <f>IF(EXC.RATE_2=0,"",IFERROR(IF(CURRENCY.FORMAT_2=0,CONCATENATE(TEXT(FIXED(ROUND(IF(EXC.RATE.SWITCH=1,C2070/EXC.RATE_2,C2070*EXC.RATE_2),CURRENCY.FORMAT_2),CURRENCY.FORMAT_2,1),"# ##0;-# ##0"),",-"),FIXED(ROUND(IF(EXC.RATE.SWITCH=1,C2070/EXC.RATE_2,C2070*EXC.RATE_2),CURRENCY.FORMAT_2),CURRENCY.FORMAT_2,0)),'DICTIONARY-5'!$A$2))</f>
        <v/>
      </c>
      <c r="L2070" s="670" t="str">
        <f>IFERROR(IF(CURRENCY.FORMAT_1=0,CONCATENATE(TEXT(FIXED(ROUND((C2070*(1-I2070)*(1-ADD.DISCOUNT)*(1+MAT.SURCHARGE)/EXC.RATE_1),CURRENCY.FORMAT_1),CURRENCY.FORMAT_1,1),"# ##0;-# ##0"),",-"),FIXED(ROUND((C2070*(1-I2070)*(1-ADD.DISCOUNT)*(1+MAT.SURCHARGE)/EXC.RATE_1),CURRENCY.FORMAT_1),CURRENCY.FORMAT_1,0)),'DICTIONARY-5'!$A$2)</f>
        <v>961,-</v>
      </c>
      <c r="M2070" s="670" t="str">
        <f>IF(EXC.RATE_2=0,"",IFERROR(IF(CURRENCY.FORMAT_2=0,CONCATENATE(TEXT(FIXED(ROUND(IF(EXC.RATE.SWITCH=1,C2070*(1-I2070)*(1-ADD.DISCOUNT)*(1+MAT.SURCHARGE)/EXC.RATE_2,C2070*(1-I2070)*(1-ADD.DISCOUNT)*(1+MAT.SURCHARGE)*EXC.RATE_2),CURRENCY.FORMAT_2),CURRENCY.FORMAT_2,1),"# ##0;-# ##0"),",-"),FIXED(ROUND(IF(EXC.RATE.SWITCH=1,C2070*(1-I2070)*(1-ADD.DISCOUNT)*(1+MAT.SURCHARGE)/EXC.RATE_2,C2070*(1-I2070)*(1-ADD.DISCOUNT)*(1+MAT.SURCHARGE)*EXC.RATE_2),CURRENCY.FORMAT_2),CURRENCY.FORMAT_2,0)),'DICTIONARY-5'!$A$2))</f>
        <v/>
      </c>
      <c r="N2070" s="538">
        <v>8</v>
      </c>
      <c r="O2070" s="538"/>
      <c r="P2070" s="731" t="str">
        <f>'DICTIONARY-3'!$A$113</f>
        <v>FLOWJET PE</v>
      </c>
      <c r="Q2070" s="732" t="str">
        <f>'DICTIONARY-3'!$A$206</f>
        <v>Zawór na- i odpowietrzający</v>
      </c>
      <c r="R2070" s="732" t="str">
        <f>CONCATENATE('DICTIONARY-3'!$A$113," ",'DICTIONARY-6'!$A$7," ",'DICTIONARY-2'!$A$2,"100"," ",'DICTIONARY-2'!$A$3,"10/16")</f>
        <v>FLOWJET PE Zaw. na-/odpowietrz. DN100 PN10/16</v>
      </c>
      <c r="S2070" s="733" t="str">
        <f>'DICTIONARY-4'!$A$17</f>
        <v>AS</v>
      </c>
      <c r="T2070" s="732" t="str">
        <f>'DICTIONARY-4'!$A$33</f>
        <v>Automatyczne sterowanie</v>
      </c>
      <c r="U2070" s="734" t="s">
        <v>5749</v>
      </c>
      <c r="V2070" s="735">
        <v>16</v>
      </c>
      <c r="W2070" s="736"/>
      <c r="X2070" s="750"/>
      <c r="Y2070" s="738"/>
      <c r="Z2070" s="739"/>
      <c r="AA2070" s="739"/>
      <c r="AB2070" s="740">
        <v>16</v>
      </c>
      <c r="AC2070" s="741"/>
      <c r="AD2070" s="741" t="str">
        <f>'DICTIONARY-5'!$A$14</f>
        <v>ścieki</v>
      </c>
      <c r="AE2070" s="742">
        <v>50</v>
      </c>
      <c r="AF2070" s="743">
        <v>10</v>
      </c>
      <c r="AG2070" s="741"/>
    </row>
    <row r="2071" spans="1:33" x14ac:dyDescent="0.25">
      <c r="A2071" s="872" t="s">
        <v>1899</v>
      </c>
      <c r="B2071" s="872" t="s">
        <v>4206</v>
      </c>
      <c r="C2071" s="836">
        <v>1410</v>
      </c>
      <c r="D2071" s="836"/>
      <c r="E2071" s="836"/>
      <c r="F2071" s="836"/>
      <c r="G2071" s="496" t="s">
        <v>7835</v>
      </c>
      <c r="H2071" s="797" t="str">
        <f>VLOOKUP(G2071,SETTINGS!$B$7:$D$97,2,0)</f>
        <v>FLOWJET</v>
      </c>
      <c r="I2071" s="796">
        <f>VLOOKUP(G2071,SETTINGS!$B$7:$D$97,3,0)</f>
        <v>0</v>
      </c>
      <c r="J2071" s="670" t="str">
        <f>IFERROR(IF(CURRENCY.FORMAT_1=0,CONCATENATE(TEXT(FIXED(ROUND((C2071/EXC.RATE_1),CURRENCY.FORMAT_1),CURRENCY.FORMAT_1,1),"# ##0;-# ##0"),",-"),FIXED(ROUND((C2071/EXC.RATE_1),CURRENCY.FORMAT_1),CURRENCY.FORMAT_1,0)),'DICTIONARY-5'!$A$2)</f>
        <v>1 410,-</v>
      </c>
      <c r="K2071" s="670" t="str">
        <f>IF(EXC.RATE_2=0,"",IFERROR(IF(CURRENCY.FORMAT_2=0,CONCATENATE(TEXT(FIXED(ROUND(IF(EXC.RATE.SWITCH=1,C2071/EXC.RATE_2,C2071*EXC.RATE_2),CURRENCY.FORMAT_2),CURRENCY.FORMAT_2,1),"# ##0;-# ##0"),",-"),FIXED(ROUND(IF(EXC.RATE.SWITCH=1,C2071/EXC.RATE_2,C2071*EXC.RATE_2),CURRENCY.FORMAT_2),CURRENCY.FORMAT_2,0)),'DICTIONARY-5'!$A$2))</f>
        <v/>
      </c>
      <c r="L2071" s="670" t="str">
        <f>IFERROR(IF(CURRENCY.FORMAT_1=0,CONCATENATE(TEXT(FIXED(ROUND((C2071*(1-I2071)*(1-ADD.DISCOUNT)*(1+MAT.SURCHARGE)/EXC.RATE_1),CURRENCY.FORMAT_1),CURRENCY.FORMAT_1,1),"# ##0;-# ##0"),",-"),FIXED(ROUND((C2071*(1-I2071)*(1-ADD.DISCOUNT)*(1+MAT.SURCHARGE)/EXC.RATE_1),CURRENCY.FORMAT_1),CURRENCY.FORMAT_1,0)),'DICTIONARY-5'!$A$2)</f>
        <v>1 465,-</v>
      </c>
      <c r="M2071" s="670" t="str">
        <f>IF(EXC.RATE_2=0,"",IFERROR(IF(CURRENCY.FORMAT_2=0,CONCATENATE(TEXT(FIXED(ROUND(IF(EXC.RATE.SWITCH=1,C2071*(1-I2071)*(1-ADD.DISCOUNT)*(1+MAT.SURCHARGE)/EXC.RATE_2,C2071*(1-I2071)*(1-ADD.DISCOUNT)*(1+MAT.SURCHARGE)*EXC.RATE_2),CURRENCY.FORMAT_2),CURRENCY.FORMAT_2,1),"# ##0;-# ##0"),",-"),FIXED(ROUND(IF(EXC.RATE.SWITCH=1,C2071*(1-I2071)*(1-ADD.DISCOUNT)*(1+MAT.SURCHARGE)/EXC.RATE_2,C2071*(1-I2071)*(1-ADD.DISCOUNT)*(1+MAT.SURCHARGE)*EXC.RATE_2),CURRENCY.FORMAT_2),CURRENCY.FORMAT_2,0)),'DICTIONARY-5'!$A$2))</f>
        <v/>
      </c>
      <c r="N2071" s="538">
        <v>8</v>
      </c>
      <c r="O2071" s="538"/>
      <c r="P2071" s="731" t="str">
        <f>'DICTIONARY-3'!$A$113</f>
        <v>FLOWJET PE</v>
      </c>
      <c r="Q2071" s="732" t="str">
        <f>'DICTIONARY-3'!$A$206</f>
        <v>Zawór na- i odpowietrzający</v>
      </c>
      <c r="R2071" s="732" t="str">
        <f>CONCATENATE('DICTIONARY-3'!$A$113," ",'DICTIONARY-6'!$A$7," ",'DICTIONARY-2'!$A$2,"150"," ",'DICTIONARY-2'!$A$3,"10/16")</f>
        <v>FLOWJET PE Zaw. na-/odpowietrz. DN150 PN10/16</v>
      </c>
      <c r="S2071" s="733" t="str">
        <f>'DICTIONARY-4'!$A$17</f>
        <v>AS</v>
      </c>
      <c r="T2071" s="732" t="str">
        <f>'DICTIONARY-4'!$A$33</f>
        <v>Automatyczne sterowanie</v>
      </c>
      <c r="U2071" s="734" t="s">
        <v>5572</v>
      </c>
      <c r="V2071" s="735">
        <v>16</v>
      </c>
      <c r="W2071" s="736"/>
      <c r="X2071" s="750"/>
      <c r="Y2071" s="738"/>
      <c r="Z2071" s="739"/>
      <c r="AA2071" s="739"/>
      <c r="AB2071" s="740">
        <v>16</v>
      </c>
      <c r="AC2071" s="741"/>
      <c r="AD2071" s="741" t="str">
        <f>'DICTIONARY-5'!$A$14</f>
        <v>ścieki</v>
      </c>
      <c r="AE2071" s="742">
        <v>50</v>
      </c>
      <c r="AF2071" s="743">
        <v>19</v>
      </c>
      <c r="AG2071" s="741"/>
    </row>
    <row r="2072" spans="1:33" x14ac:dyDescent="0.25">
      <c r="A2072" s="872" t="s">
        <v>1900</v>
      </c>
      <c r="B2072" s="872" t="s">
        <v>4202</v>
      </c>
      <c r="C2072" s="836">
        <v>1529</v>
      </c>
      <c r="D2072" s="836"/>
      <c r="E2072" s="836"/>
      <c r="F2072" s="836"/>
      <c r="G2072" s="496" t="s">
        <v>7835</v>
      </c>
      <c r="H2072" s="797" t="str">
        <f>VLOOKUP(G2072,SETTINGS!$B$7:$D$97,2,0)</f>
        <v>FLOWJET</v>
      </c>
      <c r="I2072" s="796">
        <f>VLOOKUP(G2072,SETTINGS!$B$7:$D$97,3,0)</f>
        <v>0</v>
      </c>
      <c r="J2072" s="670" t="str">
        <f>IFERROR(IF(CURRENCY.FORMAT_1=0,CONCATENATE(TEXT(FIXED(ROUND((C2072/EXC.RATE_1),CURRENCY.FORMAT_1),CURRENCY.FORMAT_1,1),"# ##0;-# ##0"),",-"),FIXED(ROUND((C2072/EXC.RATE_1),CURRENCY.FORMAT_1),CURRENCY.FORMAT_1,0)),'DICTIONARY-5'!$A$2)</f>
        <v>1 529,-</v>
      </c>
      <c r="K2072" s="670" t="str">
        <f>IF(EXC.RATE_2=0,"",IFERROR(IF(CURRENCY.FORMAT_2=0,CONCATENATE(TEXT(FIXED(ROUND(IF(EXC.RATE.SWITCH=1,C2072/EXC.RATE_2,C2072*EXC.RATE_2),CURRENCY.FORMAT_2),CURRENCY.FORMAT_2,1),"# ##0;-# ##0"),",-"),FIXED(ROUND(IF(EXC.RATE.SWITCH=1,C2072/EXC.RATE_2,C2072*EXC.RATE_2),CURRENCY.FORMAT_2),CURRENCY.FORMAT_2,0)),'DICTIONARY-5'!$A$2))</f>
        <v/>
      </c>
      <c r="L2072" s="670" t="str">
        <f>IFERROR(IF(CURRENCY.FORMAT_1=0,CONCATENATE(TEXT(FIXED(ROUND((C2072*(1-I2072)*(1-ADD.DISCOUNT)*(1+MAT.SURCHARGE)/EXC.RATE_1),CURRENCY.FORMAT_1),CURRENCY.FORMAT_1,1),"# ##0;-# ##0"),",-"),FIXED(ROUND((C2072*(1-I2072)*(1-ADD.DISCOUNT)*(1+MAT.SURCHARGE)/EXC.RATE_1),CURRENCY.FORMAT_1),CURRENCY.FORMAT_1,0)),'DICTIONARY-5'!$A$2)</f>
        <v>1 589,-</v>
      </c>
      <c r="M2072" s="670" t="str">
        <f>IF(EXC.RATE_2=0,"",IFERROR(IF(CURRENCY.FORMAT_2=0,CONCATENATE(TEXT(FIXED(ROUND(IF(EXC.RATE.SWITCH=1,C2072*(1-I2072)*(1-ADD.DISCOUNT)*(1+MAT.SURCHARGE)/EXC.RATE_2,C2072*(1-I2072)*(1-ADD.DISCOUNT)*(1+MAT.SURCHARGE)*EXC.RATE_2),CURRENCY.FORMAT_2),CURRENCY.FORMAT_2,1),"# ##0;-# ##0"),",-"),FIXED(ROUND(IF(EXC.RATE.SWITCH=1,C2072*(1-I2072)*(1-ADD.DISCOUNT)*(1+MAT.SURCHARGE)/EXC.RATE_2,C2072*(1-I2072)*(1-ADD.DISCOUNT)*(1+MAT.SURCHARGE)*EXC.RATE_2),CURRENCY.FORMAT_2),CURRENCY.FORMAT_2,0)),'DICTIONARY-5'!$A$2))</f>
        <v/>
      </c>
      <c r="N2072" s="538">
        <v>8</v>
      </c>
      <c r="O2072" s="538"/>
      <c r="P2072" s="731" t="str">
        <f>'DICTIONARY-3'!$A$113</f>
        <v>FLOWJET PE</v>
      </c>
      <c r="Q2072" s="732" t="str">
        <f>'DICTIONARY-3'!$A$206</f>
        <v>Zawór na- i odpowietrzający</v>
      </c>
      <c r="R2072" s="732" t="str">
        <f>CONCATENATE('DICTIONARY-3'!$A$113," ",'DICTIONARY-6'!$A$7," ",'DICTIONARY-2'!$A$2,"200"," ",'DICTIONARY-2'!$A$3,"10")</f>
        <v>FLOWJET PE Zaw. na-/odpowietrz. DN200 PN10</v>
      </c>
      <c r="S2072" s="733" t="str">
        <f>'DICTIONARY-4'!$A$17</f>
        <v>AS</v>
      </c>
      <c r="T2072" s="732" t="str">
        <f>'DICTIONARY-4'!$A$33</f>
        <v>Automatyczne sterowanie</v>
      </c>
      <c r="U2072" s="734" t="s">
        <v>5750</v>
      </c>
      <c r="V2072" s="735">
        <v>10</v>
      </c>
      <c r="W2072" s="736"/>
      <c r="X2072" s="750"/>
      <c r="Y2072" s="738"/>
      <c r="Z2072" s="739"/>
      <c r="AA2072" s="739"/>
      <c r="AB2072" s="740">
        <v>10</v>
      </c>
      <c r="AC2072" s="741"/>
      <c r="AD2072" s="741" t="str">
        <f>'DICTIONARY-5'!$A$14</f>
        <v>ścieki</v>
      </c>
      <c r="AE2072" s="742">
        <v>50</v>
      </c>
      <c r="AF2072" s="743">
        <v>25</v>
      </c>
      <c r="AG2072" s="741"/>
    </row>
    <row r="2073" spans="1:33" x14ac:dyDescent="0.25">
      <c r="A2073" s="872" t="s">
        <v>1901</v>
      </c>
      <c r="B2073" s="872" t="s">
        <v>4207</v>
      </c>
      <c r="C2073" s="836">
        <v>1545</v>
      </c>
      <c r="D2073" s="836"/>
      <c r="E2073" s="836"/>
      <c r="F2073" s="836"/>
      <c r="G2073" s="496" t="s">
        <v>7835</v>
      </c>
      <c r="H2073" s="797" t="str">
        <f>VLOOKUP(G2073,SETTINGS!$B$7:$D$97,2,0)</f>
        <v>FLOWJET</v>
      </c>
      <c r="I2073" s="796">
        <f>VLOOKUP(G2073,SETTINGS!$B$7:$D$97,3,0)</f>
        <v>0</v>
      </c>
      <c r="J2073" s="670" t="str">
        <f>IFERROR(IF(CURRENCY.FORMAT_1=0,CONCATENATE(TEXT(FIXED(ROUND((C2073/EXC.RATE_1),CURRENCY.FORMAT_1),CURRENCY.FORMAT_1,1),"# ##0;-# ##0"),",-"),FIXED(ROUND((C2073/EXC.RATE_1),CURRENCY.FORMAT_1),CURRENCY.FORMAT_1,0)),'DICTIONARY-5'!$A$2)</f>
        <v>1 545,-</v>
      </c>
      <c r="K2073" s="670" t="str">
        <f>IF(EXC.RATE_2=0,"",IFERROR(IF(CURRENCY.FORMAT_2=0,CONCATENATE(TEXT(FIXED(ROUND(IF(EXC.RATE.SWITCH=1,C2073/EXC.RATE_2,C2073*EXC.RATE_2),CURRENCY.FORMAT_2),CURRENCY.FORMAT_2,1),"# ##0;-# ##0"),",-"),FIXED(ROUND(IF(EXC.RATE.SWITCH=1,C2073/EXC.RATE_2,C2073*EXC.RATE_2),CURRENCY.FORMAT_2),CURRENCY.FORMAT_2,0)),'DICTIONARY-5'!$A$2))</f>
        <v/>
      </c>
      <c r="L2073" s="670" t="str">
        <f>IFERROR(IF(CURRENCY.FORMAT_1=0,CONCATENATE(TEXT(FIXED(ROUND((C2073*(1-I2073)*(1-ADD.DISCOUNT)*(1+MAT.SURCHARGE)/EXC.RATE_1),CURRENCY.FORMAT_1),CURRENCY.FORMAT_1,1),"# ##0;-# ##0"),",-"),FIXED(ROUND((C2073*(1-I2073)*(1-ADD.DISCOUNT)*(1+MAT.SURCHARGE)/EXC.RATE_1),CURRENCY.FORMAT_1),CURRENCY.FORMAT_1,0)),'DICTIONARY-5'!$A$2)</f>
        <v>1 605,-</v>
      </c>
      <c r="M2073" s="670" t="str">
        <f>IF(EXC.RATE_2=0,"",IFERROR(IF(CURRENCY.FORMAT_2=0,CONCATENATE(TEXT(FIXED(ROUND(IF(EXC.RATE.SWITCH=1,C2073*(1-I2073)*(1-ADD.DISCOUNT)*(1+MAT.SURCHARGE)/EXC.RATE_2,C2073*(1-I2073)*(1-ADD.DISCOUNT)*(1+MAT.SURCHARGE)*EXC.RATE_2),CURRENCY.FORMAT_2),CURRENCY.FORMAT_2,1),"# ##0;-# ##0"),",-"),FIXED(ROUND(IF(EXC.RATE.SWITCH=1,C2073*(1-I2073)*(1-ADD.DISCOUNT)*(1+MAT.SURCHARGE)/EXC.RATE_2,C2073*(1-I2073)*(1-ADD.DISCOUNT)*(1+MAT.SURCHARGE)*EXC.RATE_2),CURRENCY.FORMAT_2),CURRENCY.FORMAT_2,0)),'DICTIONARY-5'!$A$2))</f>
        <v/>
      </c>
      <c r="N2073" s="538">
        <v>8</v>
      </c>
      <c r="O2073" s="538"/>
      <c r="P2073" s="731" t="str">
        <f>'DICTIONARY-3'!$A$113</f>
        <v>FLOWJET PE</v>
      </c>
      <c r="Q2073" s="732" t="str">
        <f>'DICTIONARY-3'!$A$206</f>
        <v>Zawór na- i odpowietrzający</v>
      </c>
      <c r="R2073" s="732" t="str">
        <f>CONCATENATE('DICTIONARY-3'!$A$113," ",'DICTIONARY-6'!$A$7," ",'DICTIONARY-2'!$A$2,"200"," ",'DICTIONARY-2'!$A$3,"16")</f>
        <v>FLOWJET PE Zaw. na-/odpowietrz. DN200 PN16</v>
      </c>
      <c r="S2073" s="733" t="str">
        <f>'DICTIONARY-4'!$A$17</f>
        <v>AS</v>
      </c>
      <c r="T2073" s="732" t="str">
        <f>'DICTIONARY-4'!$A$33</f>
        <v>Automatyczne sterowanie</v>
      </c>
      <c r="U2073" s="734" t="s">
        <v>5750</v>
      </c>
      <c r="V2073" s="735">
        <v>16</v>
      </c>
      <c r="W2073" s="736"/>
      <c r="X2073" s="750"/>
      <c r="Y2073" s="738"/>
      <c r="Z2073" s="739"/>
      <c r="AA2073" s="739"/>
      <c r="AB2073" s="740">
        <v>16</v>
      </c>
      <c r="AC2073" s="741"/>
      <c r="AD2073" s="741" t="str">
        <f>'DICTIONARY-5'!$A$14</f>
        <v>ścieki</v>
      </c>
      <c r="AE2073" s="742">
        <v>50</v>
      </c>
      <c r="AF2073" s="743">
        <v>20</v>
      </c>
      <c r="AG2073" s="741"/>
    </row>
    <row r="2074" spans="1:33" x14ac:dyDescent="0.25">
      <c r="A2074" s="872" t="s">
        <v>8307</v>
      </c>
      <c r="B2074" s="872" t="s">
        <v>8302</v>
      </c>
      <c r="C2074" s="836">
        <v>1529</v>
      </c>
      <c r="D2074" s="836"/>
      <c r="E2074" s="836"/>
      <c r="F2074" s="836"/>
      <c r="G2074" s="496" t="s">
        <v>7835</v>
      </c>
      <c r="H2074" s="797" t="str">
        <f>VLOOKUP(G2074,SETTINGS!$B$7:$D$97,2,0)</f>
        <v>FLOWJET</v>
      </c>
      <c r="I2074" s="796">
        <f>VLOOKUP(G2074,SETTINGS!$B$7:$D$97,3,0)</f>
        <v>0</v>
      </c>
      <c r="J2074" s="670" t="str">
        <f>IFERROR(IF(CURRENCY.FORMAT_1=0,CONCATENATE(TEXT(FIXED(ROUND((C2074/EXC.RATE_1),CURRENCY.FORMAT_1),CURRENCY.FORMAT_1,1),"# ##0;-# ##0"),",-"),FIXED(ROUND((C2074/EXC.RATE_1),CURRENCY.FORMAT_1),CURRENCY.FORMAT_1,0)),'DICTIONARY-5'!$A$2)</f>
        <v>1 529,-</v>
      </c>
      <c r="K2074" s="670" t="str">
        <f>IF(EXC.RATE_2=0,"",IFERROR(IF(CURRENCY.FORMAT_2=0,CONCATENATE(TEXT(FIXED(ROUND(IF(EXC.RATE.SWITCH=1,C2074/EXC.RATE_2,C2074*EXC.RATE_2),CURRENCY.FORMAT_2),CURRENCY.FORMAT_2,1),"# ##0;-# ##0"),",-"),FIXED(ROUND(IF(EXC.RATE.SWITCH=1,C2074/EXC.RATE_2,C2074*EXC.RATE_2),CURRENCY.FORMAT_2),CURRENCY.FORMAT_2,0)),'DICTIONARY-5'!$A$2))</f>
        <v/>
      </c>
      <c r="L2074" s="670" t="str">
        <f>IFERROR(IF(CURRENCY.FORMAT_1=0,CONCATENATE(TEXT(FIXED(ROUND((C2074*(1-I2074)*(1-ADD.DISCOUNT)*(1+MAT.SURCHARGE)/EXC.RATE_1),CURRENCY.FORMAT_1),CURRENCY.FORMAT_1,1),"# ##0;-# ##0"),",-"),FIXED(ROUND((C2074*(1-I2074)*(1-ADD.DISCOUNT)*(1+MAT.SURCHARGE)/EXC.RATE_1),CURRENCY.FORMAT_1),CURRENCY.FORMAT_1,0)),'DICTIONARY-5'!$A$2)</f>
        <v>1 589,-</v>
      </c>
      <c r="M2074" s="670" t="str">
        <f>IF(EXC.RATE_2=0,"",IFERROR(IF(CURRENCY.FORMAT_2=0,CONCATENATE(TEXT(FIXED(ROUND(IF(EXC.RATE.SWITCH=1,C2074*(1-I2074)*(1-ADD.DISCOUNT)*(1+MAT.SURCHARGE)/EXC.RATE_2,C2074*(1-I2074)*(1-ADD.DISCOUNT)*(1+MAT.SURCHARGE)*EXC.RATE_2),CURRENCY.FORMAT_2),CURRENCY.FORMAT_2,1),"# ##0;-# ##0"),",-"),FIXED(ROUND(IF(EXC.RATE.SWITCH=1,C2074*(1-I2074)*(1-ADD.DISCOUNT)*(1+MAT.SURCHARGE)/EXC.RATE_2,C2074*(1-I2074)*(1-ADD.DISCOUNT)*(1+MAT.SURCHARGE)*EXC.RATE_2),CURRENCY.FORMAT_2),CURRENCY.FORMAT_2,0)),'DICTIONARY-5'!$A$2))</f>
        <v/>
      </c>
      <c r="N2074" s="538">
        <v>8</v>
      </c>
      <c r="O2074" s="538"/>
      <c r="P2074" s="731" t="str">
        <f>'DICTIONARY-3'!$A$114</f>
        <v>FLOWJET NIRO</v>
      </c>
      <c r="Q2074" s="732" t="str">
        <f>'DICTIONARY-3'!$A$206</f>
        <v>Zawór na- i odpowietrzający</v>
      </c>
      <c r="R2074" s="732" t="str">
        <f>CONCATENATE('DICTIONARY-3'!$A$11," ",'DICTIONARY-6'!$A$7," ",'DICTIONARY-2'!$A$2,"50"," ",'DICTIONARY-2'!$A$3,"10/16")</f>
        <v>ZETA Zaw. na-/odpowietrz. DN50 PN10/16</v>
      </c>
      <c r="S2074" s="733" t="str">
        <f>'DICTIONARY-4'!$A$17</f>
        <v>AS</v>
      </c>
      <c r="T2074" s="732" t="str">
        <f>'DICTIONARY-4'!$A$33</f>
        <v>Automatyczne sterowanie</v>
      </c>
      <c r="U2074" s="734" t="s">
        <v>5748</v>
      </c>
      <c r="V2074" s="735">
        <v>16</v>
      </c>
      <c r="W2074" s="736"/>
      <c r="X2074" s="750"/>
      <c r="Y2074" s="738"/>
      <c r="Z2074" s="739"/>
      <c r="AA2074" s="739"/>
      <c r="AB2074" s="740">
        <v>16</v>
      </c>
      <c r="AC2074" s="741"/>
      <c r="AD2074" s="741" t="str">
        <f>'DICTIONARY-5'!$A$15</f>
        <v>woda morska</v>
      </c>
      <c r="AE2074" s="742">
        <v>50</v>
      </c>
      <c r="AF2074" s="743">
        <v>13.5</v>
      </c>
      <c r="AG2074" s="741" t="str">
        <f>'DICTIONARY-5'!$A$27</f>
        <v>pasywacja</v>
      </c>
    </row>
    <row r="2075" spans="1:33" x14ac:dyDescent="0.25">
      <c r="A2075" s="872" t="s">
        <v>8308</v>
      </c>
      <c r="B2075" s="872" t="s">
        <v>8303</v>
      </c>
      <c r="C2075" s="836">
        <v>1589</v>
      </c>
      <c r="D2075" s="836"/>
      <c r="E2075" s="836"/>
      <c r="F2075" s="836"/>
      <c r="G2075" s="496" t="s">
        <v>7835</v>
      </c>
      <c r="H2075" s="797" t="str">
        <f>VLOOKUP(G2075,SETTINGS!$B$7:$D$97,2,0)</f>
        <v>FLOWJET</v>
      </c>
      <c r="I2075" s="796">
        <f>VLOOKUP(G2075,SETTINGS!$B$7:$D$97,3,0)</f>
        <v>0</v>
      </c>
      <c r="J2075" s="670" t="str">
        <f>IFERROR(IF(CURRENCY.FORMAT_1=0,CONCATENATE(TEXT(FIXED(ROUND((C2075/EXC.RATE_1),CURRENCY.FORMAT_1),CURRENCY.FORMAT_1,1),"# ##0;-# ##0"),",-"),FIXED(ROUND((C2075/EXC.RATE_1),CURRENCY.FORMAT_1),CURRENCY.FORMAT_1,0)),'DICTIONARY-5'!$A$2)</f>
        <v>1 589,-</v>
      </c>
      <c r="K2075" s="670" t="str">
        <f>IF(EXC.RATE_2=0,"",IFERROR(IF(CURRENCY.FORMAT_2=0,CONCATENATE(TEXT(FIXED(ROUND(IF(EXC.RATE.SWITCH=1,C2075/EXC.RATE_2,C2075*EXC.RATE_2),CURRENCY.FORMAT_2),CURRENCY.FORMAT_2,1),"# ##0;-# ##0"),",-"),FIXED(ROUND(IF(EXC.RATE.SWITCH=1,C2075/EXC.RATE_2,C2075*EXC.RATE_2),CURRENCY.FORMAT_2),CURRENCY.FORMAT_2,0)),'DICTIONARY-5'!$A$2))</f>
        <v/>
      </c>
      <c r="L2075" s="670" t="str">
        <f>IFERROR(IF(CURRENCY.FORMAT_1=0,CONCATENATE(TEXT(FIXED(ROUND((C2075*(1-I2075)*(1-ADD.DISCOUNT)*(1+MAT.SURCHARGE)/EXC.RATE_1),CURRENCY.FORMAT_1),CURRENCY.FORMAT_1,1),"# ##0;-# ##0"),",-"),FIXED(ROUND((C2075*(1-I2075)*(1-ADD.DISCOUNT)*(1+MAT.SURCHARGE)/EXC.RATE_1),CURRENCY.FORMAT_1),CURRENCY.FORMAT_1,0)),'DICTIONARY-5'!$A$2)</f>
        <v>1 651,-</v>
      </c>
      <c r="M2075" s="670" t="str">
        <f>IF(EXC.RATE_2=0,"",IFERROR(IF(CURRENCY.FORMAT_2=0,CONCATENATE(TEXT(FIXED(ROUND(IF(EXC.RATE.SWITCH=1,C2075*(1-I2075)*(1-ADD.DISCOUNT)*(1+MAT.SURCHARGE)/EXC.RATE_2,C2075*(1-I2075)*(1-ADD.DISCOUNT)*(1+MAT.SURCHARGE)*EXC.RATE_2),CURRENCY.FORMAT_2),CURRENCY.FORMAT_2,1),"# ##0;-# ##0"),",-"),FIXED(ROUND(IF(EXC.RATE.SWITCH=1,C2075*(1-I2075)*(1-ADD.DISCOUNT)*(1+MAT.SURCHARGE)/EXC.RATE_2,C2075*(1-I2075)*(1-ADD.DISCOUNT)*(1+MAT.SURCHARGE)*EXC.RATE_2),CURRENCY.FORMAT_2),CURRENCY.FORMAT_2,0)),'DICTIONARY-5'!$A$2))</f>
        <v/>
      </c>
      <c r="N2075" s="538">
        <v>8</v>
      </c>
      <c r="O2075" s="538"/>
      <c r="P2075" s="731" t="str">
        <f>'DICTIONARY-3'!$A$114</f>
        <v>FLOWJET NIRO</v>
      </c>
      <c r="Q2075" s="732" t="str">
        <f>'DICTIONARY-3'!$A$206</f>
        <v>Zawór na- i odpowietrzający</v>
      </c>
      <c r="R2075" s="732" t="str">
        <f>CONCATENATE('DICTIONARY-3'!$A$114," ",'DICTIONARY-6'!$A$7," ",'DICTIONARY-2'!$A$2,"80"," ",'DICTIONARY-2'!$A$3,"10/16")</f>
        <v>FLOWJET NIRO Zaw. na-/odpowietrz. DN80 PN10/16</v>
      </c>
      <c r="S2075" s="733" t="str">
        <f>'DICTIONARY-4'!$A$17</f>
        <v>AS</v>
      </c>
      <c r="T2075" s="732" t="str">
        <f>'DICTIONARY-4'!$A$33</f>
        <v>Automatyczne sterowanie</v>
      </c>
      <c r="U2075" s="734" t="s">
        <v>5760</v>
      </c>
      <c r="V2075" s="735">
        <v>16</v>
      </c>
      <c r="W2075" s="736"/>
      <c r="X2075" s="750"/>
      <c r="Y2075" s="738"/>
      <c r="Z2075" s="739"/>
      <c r="AA2075" s="739"/>
      <c r="AB2075" s="740">
        <v>16</v>
      </c>
      <c r="AC2075" s="741"/>
      <c r="AD2075" s="741" t="str">
        <f>'DICTIONARY-5'!$A$15</f>
        <v>woda morska</v>
      </c>
      <c r="AE2075" s="742">
        <v>50</v>
      </c>
      <c r="AF2075" s="743">
        <v>14.5</v>
      </c>
      <c r="AG2075" s="741" t="str">
        <f>'DICTIONARY-5'!$A$27</f>
        <v>pasywacja</v>
      </c>
    </row>
    <row r="2076" spans="1:33" x14ac:dyDescent="0.25">
      <c r="A2076" s="872" t="s">
        <v>8309</v>
      </c>
      <c r="B2076" s="872" t="s">
        <v>8304</v>
      </c>
      <c r="C2076" s="836">
        <v>1741</v>
      </c>
      <c r="D2076" s="836"/>
      <c r="E2076" s="836"/>
      <c r="F2076" s="836"/>
      <c r="G2076" s="496" t="s">
        <v>7835</v>
      </c>
      <c r="H2076" s="797" t="str">
        <f>VLOOKUP(G2076,SETTINGS!$B$7:$D$97,2,0)</f>
        <v>FLOWJET</v>
      </c>
      <c r="I2076" s="796">
        <f>VLOOKUP(G2076,SETTINGS!$B$7:$D$97,3,0)</f>
        <v>0</v>
      </c>
      <c r="J2076" s="670" t="str">
        <f>IFERROR(IF(CURRENCY.FORMAT_1=0,CONCATENATE(TEXT(FIXED(ROUND((C2076/EXC.RATE_1),CURRENCY.FORMAT_1),CURRENCY.FORMAT_1,1),"# ##0;-# ##0"),",-"),FIXED(ROUND((C2076/EXC.RATE_1),CURRENCY.FORMAT_1),CURRENCY.FORMAT_1,0)),'DICTIONARY-5'!$A$2)</f>
        <v>1 741,-</v>
      </c>
      <c r="K2076" s="670" t="str">
        <f>IF(EXC.RATE_2=0,"",IFERROR(IF(CURRENCY.FORMAT_2=0,CONCATENATE(TEXT(FIXED(ROUND(IF(EXC.RATE.SWITCH=1,C2076/EXC.RATE_2,C2076*EXC.RATE_2),CURRENCY.FORMAT_2),CURRENCY.FORMAT_2,1),"# ##0;-# ##0"),",-"),FIXED(ROUND(IF(EXC.RATE.SWITCH=1,C2076/EXC.RATE_2,C2076*EXC.RATE_2),CURRENCY.FORMAT_2),CURRENCY.FORMAT_2,0)),'DICTIONARY-5'!$A$2))</f>
        <v/>
      </c>
      <c r="L2076" s="670" t="str">
        <f>IFERROR(IF(CURRENCY.FORMAT_1=0,CONCATENATE(TEXT(FIXED(ROUND((C2076*(1-I2076)*(1-ADD.DISCOUNT)*(1+MAT.SURCHARGE)/EXC.RATE_1),CURRENCY.FORMAT_1),CURRENCY.FORMAT_1,1),"# ##0;-# ##0"),",-"),FIXED(ROUND((C2076*(1-I2076)*(1-ADD.DISCOUNT)*(1+MAT.SURCHARGE)/EXC.RATE_1),CURRENCY.FORMAT_1),CURRENCY.FORMAT_1,0)),'DICTIONARY-5'!$A$2)</f>
        <v>1 809,-</v>
      </c>
      <c r="M2076" s="670" t="str">
        <f>IF(EXC.RATE_2=0,"",IFERROR(IF(CURRENCY.FORMAT_2=0,CONCATENATE(TEXT(FIXED(ROUND(IF(EXC.RATE.SWITCH=1,C2076*(1-I2076)*(1-ADD.DISCOUNT)*(1+MAT.SURCHARGE)/EXC.RATE_2,C2076*(1-I2076)*(1-ADD.DISCOUNT)*(1+MAT.SURCHARGE)*EXC.RATE_2),CURRENCY.FORMAT_2),CURRENCY.FORMAT_2,1),"# ##0;-# ##0"),",-"),FIXED(ROUND(IF(EXC.RATE.SWITCH=1,C2076*(1-I2076)*(1-ADD.DISCOUNT)*(1+MAT.SURCHARGE)/EXC.RATE_2,C2076*(1-I2076)*(1-ADD.DISCOUNT)*(1+MAT.SURCHARGE)*EXC.RATE_2),CURRENCY.FORMAT_2),CURRENCY.FORMAT_2,0)),'DICTIONARY-5'!$A$2))</f>
        <v/>
      </c>
      <c r="N2076" s="538">
        <v>8</v>
      </c>
      <c r="O2076" s="538"/>
      <c r="P2076" s="731" t="str">
        <f>'DICTIONARY-3'!$A$114</f>
        <v>FLOWJET NIRO</v>
      </c>
      <c r="Q2076" s="732" t="str">
        <f>'DICTIONARY-3'!$A$206</f>
        <v>Zawór na- i odpowietrzający</v>
      </c>
      <c r="R2076" s="732" t="str">
        <f>CONCATENATE('DICTIONARY-3'!$A$114," ",'DICTIONARY-6'!$A$7," ",'DICTIONARY-2'!$A$2,"100"," ",'DICTIONARY-2'!$A$3,"10/16")</f>
        <v>FLOWJET NIRO Zaw. na-/odpowietrz. DN100 PN10/16</v>
      </c>
      <c r="S2076" s="733" t="str">
        <f>'DICTIONARY-4'!$A$17</f>
        <v>AS</v>
      </c>
      <c r="T2076" s="732" t="str">
        <f>'DICTIONARY-4'!$A$33</f>
        <v>Automatyczne sterowanie</v>
      </c>
      <c r="U2076" s="734" t="s">
        <v>5749</v>
      </c>
      <c r="V2076" s="735">
        <v>16</v>
      </c>
      <c r="W2076" s="736"/>
      <c r="X2076" s="750"/>
      <c r="Y2076" s="738"/>
      <c r="Z2076" s="739"/>
      <c r="AA2076" s="739"/>
      <c r="AB2076" s="740">
        <v>16</v>
      </c>
      <c r="AC2076" s="741"/>
      <c r="AD2076" s="741" t="str">
        <f>'DICTIONARY-5'!$A$15</f>
        <v>woda morska</v>
      </c>
      <c r="AE2076" s="742">
        <v>50</v>
      </c>
      <c r="AF2076" s="743">
        <v>16.5</v>
      </c>
      <c r="AG2076" s="741" t="str">
        <f>'DICTIONARY-5'!$A$27</f>
        <v>pasywacja</v>
      </c>
    </row>
    <row r="2077" spans="1:33" x14ac:dyDescent="0.25">
      <c r="A2077" s="872" t="s">
        <v>8310</v>
      </c>
      <c r="B2077" s="872" t="s">
        <v>8305</v>
      </c>
      <c r="C2077" s="836">
        <v>2393</v>
      </c>
      <c r="D2077" s="836"/>
      <c r="E2077" s="836"/>
      <c r="F2077" s="836"/>
      <c r="G2077" s="496" t="s">
        <v>7835</v>
      </c>
      <c r="H2077" s="797" t="str">
        <f>VLOOKUP(G2077,SETTINGS!$B$7:$D$97,2,0)</f>
        <v>FLOWJET</v>
      </c>
      <c r="I2077" s="796">
        <f>VLOOKUP(G2077,SETTINGS!$B$7:$D$97,3,0)</f>
        <v>0</v>
      </c>
      <c r="J2077" s="670" t="str">
        <f>IFERROR(IF(CURRENCY.FORMAT_1=0,CONCATENATE(TEXT(FIXED(ROUND((C2077/EXC.RATE_1),CURRENCY.FORMAT_1),CURRENCY.FORMAT_1,1),"# ##0;-# ##0"),",-"),FIXED(ROUND((C2077/EXC.RATE_1),CURRENCY.FORMAT_1),CURRENCY.FORMAT_1,0)),'DICTIONARY-5'!$A$2)</f>
        <v>2 393,-</v>
      </c>
      <c r="K2077" s="670" t="str">
        <f>IF(EXC.RATE_2=0,"",IFERROR(IF(CURRENCY.FORMAT_2=0,CONCATENATE(TEXT(FIXED(ROUND(IF(EXC.RATE.SWITCH=1,C2077/EXC.RATE_2,C2077*EXC.RATE_2),CURRENCY.FORMAT_2),CURRENCY.FORMAT_2,1),"# ##0;-# ##0"),",-"),FIXED(ROUND(IF(EXC.RATE.SWITCH=1,C2077/EXC.RATE_2,C2077*EXC.RATE_2),CURRENCY.FORMAT_2),CURRENCY.FORMAT_2,0)),'DICTIONARY-5'!$A$2))</f>
        <v/>
      </c>
      <c r="L2077" s="670" t="str">
        <f>IFERROR(IF(CURRENCY.FORMAT_1=0,CONCATENATE(TEXT(FIXED(ROUND((C2077*(1-I2077)*(1-ADD.DISCOUNT)*(1+MAT.SURCHARGE)/EXC.RATE_1),CURRENCY.FORMAT_1),CURRENCY.FORMAT_1,1),"# ##0;-# ##0"),",-"),FIXED(ROUND((C2077*(1-I2077)*(1-ADD.DISCOUNT)*(1+MAT.SURCHARGE)/EXC.RATE_1),CURRENCY.FORMAT_1),CURRENCY.FORMAT_1,0)),'DICTIONARY-5'!$A$2)</f>
        <v>2 486,-</v>
      </c>
      <c r="M2077" s="670" t="str">
        <f>IF(EXC.RATE_2=0,"",IFERROR(IF(CURRENCY.FORMAT_2=0,CONCATENATE(TEXT(FIXED(ROUND(IF(EXC.RATE.SWITCH=1,C2077*(1-I2077)*(1-ADD.DISCOUNT)*(1+MAT.SURCHARGE)/EXC.RATE_2,C2077*(1-I2077)*(1-ADD.DISCOUNT)*(1+MAT.SURCHARGE)*EXC.RATE_2),CURRENCY.FORMAT_2),CURRENCY.FORMAT_2,1),"# ##0;-# ##0"),",-"),FIXED(ROUND(IF(EXC.RATE.SWITCH=1,C2077*(1-I2077)*(1-ADD.DISCOUNT)*(1+MAT.SURCHARGE)/EXC.RATE_2,C2077*(1-I2077)*(1-ADD.DISCOUNT)*(1+MAT.SURCHARGE)*EXC.RATE_2),CURRENCY.FORMAT_2),CURRENCY.FORMAT_2,0)),'DICTIONARY-5'!$A$2))</f>
        <v/>
      </c>
      <c r="N2077" s="538">
        <v>8</v>
      </c>
      <c r="O2077" s="538"/>
      <c r="P2077" s="731" t="str">
        <f>'DICTIONARY-3'!$A$114</f>
        <v>FLOWJET NIRO</v>
      </c>
      <c r="Q2077" s="732" t="str">
        <f>'DICTIONARY-3'!$A$206</f>
        <v>Zawór na- i odpowietrzający</v>
      </c>
      <c r="R2077" s="732" t="str">
        <f>CONCATENATE('DICTIONARY-3'!$A$114," ",'DICTIONARY-6'!$A$7," ",'DICTIONARY-2'!$A$2,"150"," ",'DICTIONARY-2'!$A$3,"10/16")</f>
        <v>FLOWJET NIRO Zaw. na-/odpowietrz. DN150 PN10/16</v>
      </c>
      <c r="S2077" s="733" t="str">
        <f>'DICTIONARY-4'!$A$17</f>
        <v>AS</v>
      </c>
      <c r="T2077" s="732" t="str">
        <f>'DICTIONARY-4'!$A$33</f>
        <v>Automatyczne sterowanie</v>
      </c>
      <c r="U2077" s="734" t="s">
        <v>5572</v>
      </c>
      <c r="V2077" s="735">
        <v>16</v>
      </c>
      <c r="W2077" s="736"/>
      <c r="X2077" s="750"/>
      <c r="Y2077" s="738"/>
      <c r="Z2077" s="739"/>
      <c r="AA2077" s="739"/>
      <c r="AB2077" s="740">
        <v>16</v>
      </c>
      <c r="AC2077" s="741"/>
      <c r="AD2077" s="741" t="str">
        <f>'DICTIONARY-5'!$A$15</f>
        <v>woda morska</v>
      </c>
      <c r="AE2077" s="742">
        <v>50</v>
      </c>
      <c r="AF2077" s="743">
        <v>27</v>
      </c>
      <c r="AG2077" s="741" t="str">
        <f>'DICTIONARY-5'!$A$27</f>
        <v>pasywacja</v>
      </c>
    </row>
    <row r="2078" spans="1:33" x14ac:dyDescent="0.25">
      <c r="A2078" s="872" t="s">
        <v>8311</v>
      </c>
      <c r="B2078" s="872" t="s">
        <v>8306</v>
      </c>
      <c r="C2078" s="836">
        <v>2792</v>
      </c>
      <c r="D2078" s="836"/>
      <c r="E2078" s="836"/>
      <c r="F2078" s="836"/>
      <c r="G2078" s="496" t="s">
        <v>7835</v>
      </c>
      <c r="H2078" s="797" t="str">
        <f>VLOOKUP(G2078,SETTINGS!$B$7:$D$97,2,0)</f>
        <v>FLOWJET</v>
      </c>
      <c r="I2078" s="796">
        <f>VLOOKUP(G2078,SETTINGS!$B$7:$D$97,3,0)</f>
        <v>0</v>
      </c>
      <c r="J2078" s="670" t="str">
        <f>IFERROR(IF(CURRENCY.FORMAT_1=0,CONCATENATE(TEXT(FIXED(ROUND((C2078/EXC.RATE_1),CURRENCY.FORMAT_1),CURRENCY.FORMAT_1,1),"# ##0;-# ##0"),",-"),FIXED(ROUND((C2078/EXC.RATE_1),CURRENCY.FORMAT_1),CURRENCY.FORMAT_1,0)),'DICTIONARY-5'!$A$2)</f>
        <v>2 792,-</v>
      </c>
      <c r="K2078" s="670" t="str">
        <f>IF(EXC.RATE_2=0,"",IFERROR(IF(CURRENCY.FORMAT_2=0,CONCATENATE(TEXT(FIXED(ROUND(IF(EXC.RATE.SWITCH=1,C2078/EXC.RATE_2,C2078*EXC.RATE_2),CURRENCY.FORMAT_2),CURRENCY.FORMAT_2,1),"# ##0;-# ##0"),",-"),FIXED(ROUND(IF(EXC.RATE.SWITCH=1,C2078/EXC.RATE_2,C2078*EXC.RATE_2),CURRENCY.FORMAT_2),CURRENCY.FORMAT_2,0)),'DICTIONARY-5'!$A$2))</f>
        <v/>
      </c>
      <c r="L2078" s="670" t="str">
        <f>IFERROR(IF(CURRENCY.FORMAT_1=0,CONCATENATE(TEXT(FIXED(ROUND((C2078*(1-I2078)*(1-ADD.DISCOUNT)*(1+MAT.SURCHARGE)/EXC.RATE_1),CURRENCY.FORMAT_1),CURRENCY.FORMAT_1,1),"# ##0;-# ##0"),",-"),FIXED(ROUND((C2078*(1-I2078)*(1-ADD.DISCOUNT)*(1+MAT.SURCHARGE)/EXC.RATE_1),CURRENCY.FORMAT_1),CURRENCY.FORMAT_1,0)),'DICTIONARY-5'!$A$2)</f>
        <v>2 901,-</v>
      </c>
      <c r="M2078" s="670" t="str">
        <f>IF(EXC.RATE_2=0,"",IFERROR(IF(CURRENCY.FORMAT_2=0,CONCATENATE(TEXT(FIXED(ROUND(IF(EXC.RATE.SWITCH=1,C2078*(1-I2078)*(1-ADD.DISCOUNT)*(1+MAT.SURCHARGE)/EXC.RATE_2,C2078*(1-I2078)*(1-ADD.DISCOUNT)*(1+MAT.SURCHARGE)*EXC.RATE_2),CURRENCY.FORMAT_2),CURRENCY.FORMAT_2,1),"# ##0;-# ##0"),",-"),FIXED(ROUND(IF(EXC.RATE.SWITCH=1,C2078*(1-I2078)*(1-ADD.DISCOUNT)*(1+MAT.SURCHARGE)/EXC.RATE_2,C2078*(1-I2078)*(1-ADD.DISCOUNT)*(1+MAT.SURCHARGE)*EXC.RATE_2),CURRENCY.FORMAT_2),CURRENCY.FORMAT_2,0)),'DICTIONARY-5'!$A$2))</f>
        <v/>
      </c>
      <c r="N2078" s="538">
        <v>8</v>
      </c>
      <c r="O2078" s="538"/>
      <c r="P2078" s="731" t="str">
        <f>'DICTIONARY-3'!$A$114</f>
        <v>FLOWJET NIRO</v>
      </c>
      <c r="Q2078" s="732" t="str">
        <f>'DICTIONARY-3'!$A$206</f>
        <v>Zawór na- i odpowietrzający</v>
      </c>
      <c r="R2078" s="732" t="str">
        <f>CONCATENATE('DICTIONARY-3'!$A$114," ",'DICTIONARY-6'!$A$7," ",'DICTIONARY-2'!$A$2,"200"," ",'DICTIONARY-2'!$A$3,"16")</f>
        <v>FLOWJET NIRO Zaw. na-/odpowietrz. DN200 PN16</v>
      </c>
      <c r="S2078" s="733" t="str">
        <f>'DICTIONARY-4'!$A$17</f>
        <v>AS</v>
      </c>
      <c r="T2078" s="732" t="str">
        <f>'DICTIONARY-4'!$A$33</f>
        <v>Automatyczne sterowanie</v>
      </c>
      <c r="U2078" s="734" t="s">
        <v>5750</v>
      </c>
      <c r="V2078" s="735">
        <v>16</v>
      </c>
      <c r="W2078" s="736"/>
      <c r="X2078" s="750"/>
      <c r="Y2078" s="738"/>
      <c r="Z2078" s="739"/>
      <c r="AA2078" s="739"/>
      <c r="AB2078" s="740">
        <v>16</v>
      </c>
      <c r="AC2078" s="741"/>
      <c r="AD2078" s="741" t="str">
        <f>'DICTIONARY-5'!$A$15</f>
        <v>woda morska</v>
      </c>
      <c r="AE2078" s="742">
        <v>50</v>
      </c>
      <c r="AF2078" s="743">
        <v>31</v>
      </c>
      <c r="AG2078" s="741" t="str">
        <f>'DICTIONARY-5'!$A$27</f>
        <v>pasywacja</v>
      </c>
    </row>
    <row r="2079" spans="1:33" x14ac:dyDescent="0.25">
      <c r="A2079" s="875" t="s">
        <v>1902</v>
      </c>
      <c r="B2079" s="875" t="s">
        <v>4194</v>
      </c>
      <c r="C2079" s="836">
        <v>1138</v>
      </c>
      <c r="D2079" s="836"/>
      <c r="E2079" s="836"/>
      <c r="F2079" s="836"/>
      <c r="G2079" s="871" t="s">
        <v>7855</v>
      </c>
      <c r="H2079" s="797" t="str">
        <f>VLOOKUP(G2079,SETTINGS!$B$7:$D$97,2,0)</f>
        <v>BEV-Garnitur</v>
      </c>
      <c r="I2079" s="796">
        <f>VLOOKUP(G2079,SETTINGS!$B$7:$D$97,3,0)</f>
        <v>0</v>
      </c>
      <c r="J2079" s="670" t="str">
        <f>IFERROR(IF(CURRENCY.FORMAT_1=0,CONCATENATE(TEXT(FIXED(ROUND((C2079/EXC.RATE_1),CURRENCY.FORMAT_1),CURRENCY.FORMAT_1,1),"# ##0;-# ##0"),",-"),FIXED(ROUND((C2079/EXC.RATE_1),CURRENCY.FORMAT_1),CURRENCY.FORMAT_1,0)),'DICTIONARY-5'!$A$2)</f>
        <v>1 138,-</v>
      </c>
      <c r="K2079" s="670" t="str">
        <f>IF(EXC.RATE_2=0,"",IFERROR(IF(CURRENCY.FORMAT_2=0,CONCATENATE(TEXT(FIXED(ROUND(IF(EXC.RATE.SWITCH=1,C2079/EXC.RATE_2,C2079*EXC.RATE_2),CURRENCY.FORMAT_2),CURRENCY.FORMAT_2,1),"# ##0;-# ##0"),",-"),FIXED(ROUND(IF(EXC.RATE.SWITCH=1,C2079/EXC.RATE_2,C2079*EXC.RATE_2),CURRENCY.FORMAT_2),CURRENCY.FORMAT_2,0)),'DICTIONARY-5'!$A$2))</f>
        <v/>
      </c>
      <c r="L2079" s="670" t="str">
        <f>IFERROR(IF(CURRENCY.FORMAT_1=0,CONCATENATE(TEXT(FIXED(ROUND((C2079*(1-I2079)*(1-ADD.DISCOUNT)*(1+MAT.SURCHARGE)/EXC.RATE_1),CURRENCY.FORMAT_1),CURRENCY.FORMAT_1,1),"# ##0;-# ##0"),",-"),FIXED(ROUND((C2079*(1-I2079)*(1-ADD.DISCOUNT)*(1+MAT.SURCHARGE)/EXC.RATE_1),CURRENCY.FORMAT_1),CURRENCY.FORMAT_1,0)),'DICTIONARY-5'!$A$2)</f>
        <v>1 182,-</v>
      </c>
      <c r="M2079" s="670" t="str">
        <f>IF(EXC.RATE_2=0,"",IFERROR(IF(CURRENCY.FORMAT_2=0,CONCATENATE(TEXT(FIXED(ROUND(IF(EXC.RATE.SWITCH=1,C2079*(1-I2079)*(1-ADD.DISCOUNT)*(1+MAT.SURCHARGE)/EXC.RATE_2,C2079*(1-I2079)*(1-ADD.DISCOUNT)*(1+MAT.SURCHARGE)*EXC.RATE_2),CURRENCY.FORMAT_2),CURRENCY.FORMAT_2,1),"# ##0;-# ##0"),",-"),FIXED(ROUND(IF(EXC.RATE.SWITCH=1,C2079*(1-I2079)*(1-ADD.DISCOUNT)*(1+MAT.SURCHARGE)/EXC.RATE_2,C2079*(1-I2079)*(1-ADD.DISCOUNT)*(1+MAT.SURCHARGE)*EXC.RATE_2),CURRENCY.FORMAT_2),CURRENCY.FORMAT_2,0)),'DICTIONARY-5'!$A$2))</f>
        <v/>
      </c>
      <c r="N2079" s="538">
        <v>8</v>
      </c>
      <c r="O2079" s="538"/>
      <c r="P2079" s="731" t="str">
        <f>'DICTIONARY-3'!$A$110</f>
        <v>BEV</v>
      </c>
      <c r="Q2079" s="731" t="str">
        <f>'DICTIONARY-3'!$A$207</f>
        <v>Zawór na- i odpowietrzający</v>
      </c>
      <c r="R2079" s="732" t="str">
        <f>CONCATENATE('DICTIONARY-3'!$A$110," ",'DICTIONARY-6'!$A$8," ",'DICTIONARY-2'!$A$2,"50"," ",'DICTIONARY-2'!$A$3,"10/16"," ",'DICTIONARY-2'!$A$7,"1,0m",", ",'DICTIONARY-6'!$A$42," ",'DICTIONARY-2'!$A$2,"50")</f>
        <v>BEV Zaw. na-/odpowietrz. DN50 PN10/16 Rd1,0m, wbudow. zaw. DN50</v>
      </c>
      <c r="S2079" s="733" t="str">
        <f>'DICTIONARY-4'!$A$17</f>
        <v>AS</v>
      </c>
      <c r="T2079" s="732" t="str">
        <f>'DICTIONARY-4'!$A$33</f>
        <v>Automatyczne sterowanie</v>
      </c>
      <c r="U2079" s="734" t="s">
        <v>5748</v>
      </c>
      <c r="V2079" s="735">
        <v>16</v>
      </c>
      <c r="W2079" s="736"/>
      <c r="X2079" s="750"/>
      <c r="Y2079" s="745" t="s">
        <v>5652</v>
      </c>
      <c r="Z2079" s="747"/>
      <c r="AA2079" s="747"/>
      <c r="AB2079" s="740">
        <v>16</v>
      </c>
      <c r="AC2079" s="741"/>
      <c r="AD2079" s="741" t="str">
        <f>'DICTIONARY-5'!$A$13</f>
        <v>woda pitna</v>
      </c>
      <c r="AE2079" s="742">
        <v>50</v>
      </c>
      <c r="AF2079" s="743">
        <v>41</v>
      </c>
      <c r="AG2079" s="741" t="str">
        <f>'DICTIONARY-5'!$A$23</f>
        <v>powłoka epoksydowa</v>
      </c>
    </row>
    <row r="2080" spans="1:33" x14ac:dyDescent="0.25">
      <c r="A2080" s="875" t="s">
        <v>1903</v>
      </c>
      <c r="B2080" s="875" t="s">
        <v>4195</v>
      </c>
      <c r="C2080" s="836">
        <v>1211</v>
      </c>
      <c r="D2080" s="836"/>
      <c r="E2080" s="836"/>
      <c r="F2080" s="836"/>
      <c r="G2080" s="871" t="s">
        <v>7855</v>
      </c>
      <c r="H2080" s="797" t="str">
        <f>VLOOKUP(G2080,SETTINGS!$B$7:$D$97,2,0)</f>
        <v>BEV-Garnitur</v>
      </c>
      <c r="I2080" s="796">
        <f>VLOOKUP(G2080,SETTINGS!$B$7:$D$97,3,0)</f>
        <v>0</v>
      </c>
      <c r="J2080" s="670" t="str">
        <f>IFERROR(IF(CURRENCY.FORMAT_1=0,CONCATENATE(TEXT(FIXED(ROUND((C2080/EXC.RATE_1),CURRENCY.FORMAT_1),CURRENCY.FORMAT_1,1),"# ##0;-# ##0"),",-"),FIXED(ROUND((C2080/EXC.RATE_1),CURRENCY.FORMAT_1),CURRENCY.FORMAT_1,0)),'DICTIONARY-5'!$A$2)</f>
        <v>1 211,-</v>
      </c>
      <c r="K2080" s="670" t="str">
        <f>IF(EXC.RATE_2=0,"",IFERROR(IF(CURRENCY.FORMAT_2=0,CONCATENATE(TEXT(FIXED(ROUND(IF(EXC.RATE.SWITCH=1,C2080/EXC.RATE_2,C2080*EXC.RATE_2),CURRENCY.FORMAT_2),CURRENCY.FORMAT_2,1),"# ##0;-# ##0"),",-"),FIXED(ROUND(IF(EXC.RATE.SWITCH=1,C2080/EXC.RATE_2,C2080*EXC.RATE_2),CURRENCY.FORMAT_2),CURRENCY.FORMAT_2,0)),'DICTIONARY-5'!$A$2))</f>
        <v/>
      </c>
      <c r="L2080" s="670" t="str">
        <f>IFERROR(IF(CURRENCY.FORMAT_1=0,CONCATENATE(TEXT(FIXED(ROUND((C2080*(1-I2080)*(1-ADD.DISCOUNT)*(1+MAT.SURCHARGE)/EXC.RATE_1),CURRENCY.FORMAT_1),CURRENCY.FORMAT_1,1),"# ##0;-# ##0"),",-"),FIXED(ROUND((C2080*(1-I2080)*(1-ADD.DISCOUNT)*(1+MAT.SURCHARGE)/EXC.RATE_1),CURRENCY.FORMAT_1),CURRENCY.FORMAT_1,0)),'DICTIONARY-5'!$A$2)</f>
        <v>1 258,-</v>
      </c>
      <c r="M2080" s="670" t="str">
        <f>IF(EXC.RATE_2=0,"",IFERROR(IF(CURRENCY.FORMAT_2=0,CONCATENATE(TEXT(FIXED(ROUND(IF(EXC.RATE.SWITCH=1,C2080*(1-I2080)*(1-ADD.DISCOUNT)*(1+MAT.SURCHARGE)/EXC.RATE_2,C2080*(1-I2080)*(1-ADD.DISCOUNT)*(1+MAT.SURCHARGE)*EXC.RATE_2),CURRENCY.FORMAT_2),CURRENCY.FORMAT_2,1),"# ##0;-# ##0"),",-"),FIXED(ROUND(IF(EXC.RATE.SWITCH=1,C2080*(1-I2080)*(1-ADD.DISCOUNT)*(1+MAT.SURCHARGE)/EXC.RATE_2,C2080*(1-I2080)*(1-ADD.DISCOUNT)*(1+MAT.SURCHARGE)*EXC.RATE_2),CURRENCY.FORMAT_2),CURRENCY.FORMAT_2,0)),'DICTIONARY-5'!$A$2))</f>
        <v/>
      </c>
      <c r="N2080" s="538">
        <v>8</v>
      </c>
      <c r="O2080" s="538"/>
      <c r="P2080" s="731" t="str">
        <f>'DICTIONARY-3'!$A$110</f>
        <v>BEV</v>
      </c>
      <c r="Q2080" s="731" t="str">
        <f>'DICTIONARY-3'!$A$207</f>
        <v>Zawór na- i odpowietrzający</v>
      </c>
      <c r="R2080" s="732" t="str">
        <f>CONCATENATE('DICTIONARY-3'!$A$110," ",'DICTIONARY-6'!$A$8," ",'DICTIONARY-2'!$A$2,"50"," ",'DICTIONARY-2'!$A$3,"10/16"," ",'DICTIONARY-2'!$A$7,"1,25m",", ",'DICTIONARY-6'!$A$42," ",'DICTIONARY-2'!$A$2,"50")</f>
        <v>BEV Zaw. na-/odpowietrz. DN50 PN10/16 Rd1,25m, wbudow. zaw. DN50</v>
      </c>
      <c r="S2080" s="733" t="str">
        <f>'DICTIONARY-4'!$A$17</f>
        <v>AS</v>
      </c>
      <c r="T2080" s="732" t="str">
        <f>'DICTIONARY-4'!$A$33</f>
        <v>Automatyczne sterowanie</v>
      </c>
      <c r="U2080" s="734" t="s">
        <v>5748</v>
      </c>
      <c r="V2080" s="735">
        <v>16</v>
      </c>
      <c r="W2080" s="736"/>
      <c r="X2080" s="750"/>
      <c r="Y2080" s="745" t="s">
        <v>5653</v>
      </c>
      <c r="Z2080" s="747"/>
      <c r="AA2080" s="747"/>
      <c r="AB2080" s="740">
        <v>16</v>
      </c>
      <c r="AC2080" s="741"/>
      <c r="AD2080" s="741" t="str">
        <f>'DICTIONARY-5'!$A$13</f>
        <v>woda pitna</v>
      </c>
      <c r="AE2080" s="742">
        <v>50</v>
      </c>
      <c r="AF2080" s="743">
        <v>48</v>
      </c>
      <c r="AG2080" s="741" t="str">
        <f>'DICTIONARY-5'!$A$23</f>
        <v>powłoka epoksydowa</v>
      </c>
    </row>
    <row r="2081" spans="1:33" x14ac:dyDescent="0.25">
      <c r="A2081" s="875" t="s">
        <v>1904</v>
      </c>
      <c r="B2081" s="875" t="s">
        <v>4196</v>
      </c>
      <c r="C2081" s="836">
        <v>1260</v>
      </c>
      <c r="D2081" s="836"/>
      <c r="E2081" s="836"/>
      <c r="F2081" s="836"/>
      <c r="G2081" s="871" t="s">
        <v>7855</v>
      </c>
      <c r="H2081" s="797" t="str">
        <f>VLOOKUP(G2081,SETTINGS!$B$7:$D$97,2,0)</f>
        <v>BEV-Garnitur</v>
      </c>
      <c r="I2081" s="796">
        <f>VLOOKUP(G2081,SETTINGS!$B$7:$D$97,3,0)</f>
        <v>0</v>
      </c>
      <c r="J2081" s="670" t="str">
        <f>IFERROR(IF(CURRENCY.FORMAT_1=0,CONCATENATE(TEXT(FIXED(ROUND((C2081/EXC.RATE_1),CURRENCY.FORMAT_1),CURRENCY.FORMAT_1,1),"# ##0;-# ##0"),",-"),FIXED(ROUND((C2081/EXC.RATE_1),CURRENCY.FORMAT_1),CURRENCY.FORMAT_1,0)),'DICTIONARY-5'!$A$2)</f>
        <v>1 260,-</v>
      </c>
      <c r="K2081" s="670" t="str">
        <f>IF(EXC.RATE_2=0,"",IFERROR(IF(CURRENCY.FORMAT_2=0,CONCATENATE(TEXT(FIXED(ROUND(IF(EXC.RATE.SWITCH=1,C2081/EXC.RATE_2,C2081*EXC.RATE_2),CURRENCY.FORMAT_2),CURRENCY.FORMAT_2,1),"# ##0;-# ##0"),",-"),FIXED(ROUND(IF(EXC.RATE.SWITCH=1,C2081/EXC.RATE_2,C2081*EXC.RATE_2),CURRENCY.FORMAT_2),CURRENCY.FORMAT_2,0)),'DICTIONARY-5'!$A$2))</f>
        <v/>
      </c>
      <c r="L2081" s="670" t="str">
        <f>IFERROR(IF(CURRENCY.FORMAT_1=0,CONCATENATE(TEXT(FIXED(ROUND((C2081*(1-I2081)*(1-ADD.DISCOUNT)*(1+MAT.SURCHARGE)/EXC.RATE_1),CURRENCY.FORMAT_1),CURRENCY.FORMAT_1,1),"# ##0;-# ##0"),",-"),FIXED(ROUND((C2081*(1-I2081)*(1-ADD.DISCOUNT)*(1+MAT.SURCHARGE)/EXC.RATE_1),CURRENCY.FORMAT_1),CURRENCY.FORMAT_1,0)),'DICTIONARY-5'!$A$2)</f>
        <v>1 309,-</v>
      </c>
      <c r="M2081" s="670" t="str">
        <f>IF(EXC.RATE_2=0,"",IFERROR(IF(CURRENCY.FORMAT_2=0,CONCATENATE(TEXT(FIXED(ROUND(IF(EXC.RATE.SWITCH=1,C2081*(1-I2081)*(1-ADD.DISCOUNT)*(1+MAT.SURCHARGE)/EXC.RATE_2,C2081*(1-I2081)*(1-ADD.DISCOUNT)*(1+MAT.SURCHARGE)*EXC.RATE_2),CURRENCY.FORMAT_2),CURRENCY.FORMAT_2,1),"# ##0;-# ##0"),",-"),FIXED(ROUND(IF(EXC.RATE.SWITCH=1,C2081*(1-I2081)*(1-ADD.DISCOUNT)*(1+MAT.SURCHARGE)/EXC.RATE_2,C2081*(1-I2081)*(1-ADD.DISCOUNT)*(1+MAT.SURCHARGE)*EXC.RATE_2),CURRENCY.FORMAT_2),CURRENCY.FORMAT_2,0)),'DICTIONARY-5'!$A$2))</f>
        <v/>
      </c>
      <c r="N2081" s="538">
        <v>8</v>
      </c>
      <c r="O2081" s="538"/>
      <c r="P2081" s="731" t="str">
        <f>'DICTIONARY-3'!$A$110</f>
        <v>BEV</v>
      </c>
      <c r="Q2081" s="731" t="str">
        <f>'DICTIONARY-3'!$A$207</f>
        <v>Zawór na- i odpowietrzający</v>
      </c>
      <c r="R2081" s="732" t="str">
        <f>CONCATENATE('DICTIONARY-3'!$A$110," ",'DICTIONARY-6'!$A$8," ",'DICTIONARY-2'!$A$2,"50"," ",'DICTIONARY-2'!$A$3,"10/16"," ",'DICTIONARY-2'!$A$7,"1,5m",", ",'DICTIONARY-6'!$A$42," ",'DICTIONARY-2'!$A$2,"50")</f>
        <v>BEV Zaw. na-/odpowietrz. DN50 PN10/16 Rd1,5m, wbudow. zaw. DN50</v>
      </c>
      <c r="S2081" s="733" t="str">
        <f>'DICTIONARY-4'!$A$17</f>
        <v>AS</v>
      </c>
      <c r="T2081" s="732" t="str">
        <f>'DICTIONARY-4'!$A$33</f>
        <v>Automatyczne sterowanie</v>
      </c>
      <c r="U2081" s="734" t="s">
        <v>5748</v>
      </c>
      <c r="V2081" s="735">
        <v>16</v>
      </c>
      <c r="W2081" s="736"/>
      <c r="X2081" s="750"/>
      <c r="Y2081" s="745" t="s">
        <v>5654</v>
      </c>
      <c r="Z2081" s="747"/>
      <c r="AA2081" s="747"/>
      <c r="AB2081" s="740">
        <v>16</v>
      </c>
      <c r="AC2081" s="741"/>
      <c r="AD2081" s="741" t="str">
        <f>'DICTIONARY-5'!$A$13</f>
        <v>woda pitna</v>
      </c>
      <c r="AE2081" s="742">
        <v>50</v>
      </c>
      <c r="AF2081" s="743">
        <v>51.4</v>
      </c>
      <c r="AG2081" s="741" t="str">
        <f>'DICTIONARY-5'!$A$23</f>
        <v>powłoka epoksydowa</v>
      </c>
    </row>
    <row r="2082" spans="1:33" x14ac:dyDescent="0.25">
      <c r="A2082" s="875" t="s">
        <v>1905</v>
      </c>
      <c r="B2082" s="875" t="s">
        <v>4197</v>
      </c>
      <c r="C2082" s="836">
        <v>1335</v>
      </c>
      <c r="D2082" s="836"/>
      <c r="E2082" s="836"/>
      <c r="F2082" s="836"/>
      <c r="G2082" s="871" t="s">
        <v>7855</v>
      </c>
      <c r="H2082" s="797" t="str">
        <f>VLOOKUP(G2082,SETTINGS!$B$7:$D$97,2,0)</f>
        <v>BEV-Garnitur</v>
      </c>
      <c r="I2082" s="796">
        <f>VLOOKUP(G2082,SETTINGS!$B$7:$D$97,3,0)</f>
        <v>0</v>
      </c>
      <c r="J2082" s="670" t="str">
        <f>IFERROR(IF(CURRENCY.FORMAT_1=0,CONCATENATE(TEXT(FIXED(ROUND((C2082/EXC.RATE_1),CURRENCY.FORMAT_1),CURRENCY.FORMAT_1,1),"# ##0;-# ##0"),",-"),FIXED(ROUND((C2082/EXC.RATE_1),CURRENCY.FORMAT_1),CURRENCY.FORMAT_1,0)),'DICTIONARY-5'!$A$2)</f>
        <v>1 335,-</v>
      </c>
      <c r="K2082" s="670" t="str">
        <f>IF(EXC.RATE_2=0,"",IFERROR(IF(CURRENCY.FORMAT_2=0,CONCATENATE(TEXT(FIXED(ROUND(IF(EXC.RATE.SWITCH=1,C2082/EXC.RATE_2,C2082*EXC.RATE_2),CURRENCY.FORMAT_2),CURRENCY.FORMAT_2,1),"# ##0;-# ##0"),",-"),FIXED(ROUND(IF(EXC.RATE.SWITCH=1,C2082/EXC.RATE_2,C2082*EXC.RATE_2),CURRENCY.FORMAT_2),CURRENCY.FORMAT_2,0)),'DICTIONARY-5'!$A$2))</f>
        <v/>
      </c>
      <c r="L2082" s="670" t="str">
        <f>IFERROR(IF(CURRENCY.FORMAT_1=0,CONCATENATE(TEXT(FIXED(ROUND((C2082*(1-I2082)*(1-ADD.DISCOUNT)*(1+MAT.SURCHARGE)/EXC.RATE_1),CURRENCY.FORMAT_1),CURRENCY.FORMAT_1,1),"# ##0;-# ##0"),",-"),FIXED(ROUND((C2082*(1-I2082)*(1-ADD.DISCOUNT)*(1+MAT.SURCHARGE)/EXC.RATE_1),CURRENCY.FORMAT_1),CURRENCY.FORMAT_1,0)),'DICTIONARY-5'!$A$2)</f>
        <v>1 387,-</v>
      </c>
      <c r="M2082" s="670" t="str">
        <f>IF(EXC.RATE_2=0,"",IFERROR(IF(CURRENCY.FORMAT_2=0,CONCATENATE(TEXT(FIXED(ROUND(IF(EXC.RATE.SWITCH=1,C2082*(1-I2082)*(1-ADD.DISCOUNT)*(1+MAT.SURCHARGE)/EXC.RATE_2,C2082*(1-I2082)*(1-ADD.DISCOUNT)*(1+MAT.SURCHARGE)*EXC.RATE_2),CURRENCY.FORMAT_2),CURRENCY.FORMAT_2,1),"# ##0;-# ##0"),",-"),FIXED(ROUND(IF(EXC.RATE.SWITCH=1,C2082*(1-I2082)*(1-ADD.DISCOUNT)*(1+MAT.SURCHARGE)/EXC.RATE_2,C2082*(1-I2082)*(1-ADD.DISCOUNT)*(1+MAT.SURCHARGE)*EXC.RATE_2),CURRENCY.FORMAT_2),CURRENCY.FORMAT_2,0)),'DICTIONARY-5'!$A$2))</f>
        <v/>
      </c>
      <c r="N2082" s="538">
        <v>8</v>
      </c>
      <c r="O2082" s="538"/>
      <c r="P2082" s="731" t="str">
        <f>'DICTIONARY-3'!$A$110</f>
        <v>BEV</v>
      </c>
      <c r="Q2082" s="731" t="str">
        <f>'DICTIONARY-3'!$A$207</f>
        <v>Zawór na- i odpowietrzający</v>
      </c>
      <c r="R2082" s="732" t="str">
        <f>CONCATENATE('DICTIONARY-3'!$A$110," ",'DICTIONARY-6'!$A$8," ",'DICTIONARY-2'!$A$2,"50"," ",'DICTIONARY-2'!$A$3,"10/16"," ",'DICTIONARY-2'!$A$7,"1,75m",", ",'DICTIONARY-6'!$A$42," ",'DICTIONARY-2'!$A$2,"50")</f>
        <v>BEV Zaw. na-/odpowietrz. DN50 PN10/16 Rd1,75m, wbudow. zaw. DN50</v>
      </c>
      <c r="S2082" s="733" t="str">
        <f>'DICTIONARY-4'!$A$17</f>
        <v>AS</v>
      </c>
      <c r="T2082" s="732" t="str">
        <f>'DICTIONARY-4'!$A$33</f>
        <v>Automatyczne sterowanie</v>
      </c>
      <c r="U2082" s="734" t="s">
        <v>5748</v>
      </c>
      <c r="V2082" s="735">
        <v>16</v>
      </c>
      <c r="W2082" s="736"/>
      <c r="X2082" s="750"/>
      <c r="Y2082" s="745" t="s">
        <v>5655</v>
      </c>
      <c r="Z2082" s="747"/>
      <c r="AA2082" s="747"/>
      <c r="AB2082" s="740">
        <v>16</v>
      </c>
      <c r="AC2082" s="741"/>
      <c r="AD2082" s="741" t="str">
        <f>'DICTIONARY-5'!$A$13</f>
        <v>woda pitna</v>
      </c>
      <c r="AE2082" s="742">
        <v>50</v>
      </c>
      <c r="AF2082" s="743">
        <v>56</v>
      </c>
      <c r="AG2082" s="741" t="str">
        <f>'DICTIONARY-5'!$A$23</f>
        <v>powłoka epoksydowa</v>
      </c>
    </row>
    <row r="2083" spans="1:33" x14ac:dyDescent="0.25">
      <c r="A2083" s="872" t="s">
        <v>1906</v>
      </c>
      <c r="B2083" s="872" t="s">
        <v>4186</v>
      </c>
      <c r="C2083" s="836">
        <v>1153</v>
      </c>
      <c r="D2083" s="836"/>
      <c r="E2083" s="836"/>
      <c r="F2083" s="836"/>
      <c r="G2083" s="871" t="s">
        <v>7855</v>
      </c>
      <c r="H2083" s="797" t="str">
        <f>VLOOKUP(G2083,SETTINGS!$B$7:$D$97,2,0)</f>
        <v>BEV-Garnitur</v>
      </c>
      <c r="I2083" s="796">
        <f>VLOOKUP(G2083,SETTINGS!$B$7:$D$97,3,0)</f>
        <v>0</v>
      </c>
      <c r="J2083" s="670" t="str">
        <f>IFERROR(IF(CURRENCY.FORMAT_1=0,CONCATENATE(TEXT(FIXED(ROUND((C2083/EXC.RATE_1),CURRENCY.FORMAT_1),CURRENCY.FORMAT_1,1),"# ##0;-# ##0"),",-"),FIXED(ROUND((C2083/EXC.RATE_1),CURRENCY.FORMAT_1),CURRENCY.FORMAT_1,0)),'DICTIONARY-5'!$A$2)</f>
        <v>1 153,-</v>
      </c>
      <c r="K2083" s="670" t="str">
        <f>IF(EXC.RATE_2=0,"",IFERROR(IF(CURRENCY.FORMAT_2=0,CONCATENATE(TEXT(FIXED(ROUND(IF(EXC.RATE.SWITCH=1,C2083/EXC.RATE_2,C2083*EXC.RATE_2),CURRENCY.FORMAT_2),CURRENCY.FORMAT_2,1),"# ##0;-# ##0"),",-"),FIXED(ROUND(IF(EXC.RATE.SWITCH=1,C2083/EXC.RATE_2,C2083*EXC.RATE_2),CURRENCY.FORMAT_2),CURRENCY.FORMAT_2,0)),'DICTIONARY-5'!$A$2))</f>
        <v/>
      </c>
      <c r="L2083" s="670" t="str">
        <f>IFERROR(IF(CURRENCY.FORMAT_1=0,CONCATENATE(TEXT(FIXED(ROUND((C2083*(1-I2083)*(1-ADD.DISCOUNT)*(1+MAT.SURCHARGE)/EXC.RATE_1),CURRENCY.FORMAT_1),CURRENCY.FORMAT_1,1),"# ##0;-# ##0"),",-"),FIXED(ROUND((C2083*(1-I2083)*(1-ADD.DISCOUNT)*(1+MAT.SURCHARGE)/EXC.RATE_1),CURRENCY.FORMAT_1),CURRENCY.FORMAT_1,0)),'DICTIONARY-5'!$A$2)</f>
        <v>1 198,-</v>
      </c>
      <c r="M2083" s="670" t="str">
        <f>IF(EXC.RATE_2=0,"",IFERROR(IF(CURRENCY.FORMAT_2=0,CONCATENATE(TEXT(FIXED(ROUND(IF(EXC.RATE.SWITCH=1,C2083*(1-I2083)*(1-ADD.DISCOUNT)*(1+MAT.SURCHARGE)/EXC.RATE_2,C2083*(1-I2083)*(1-ADD.DISCOUNT)*(1+MAT.SURCHARGE)*EXC.RATE_2),CURRENCY.FORMAT_2),CURRENCY.FORMAT_2,1),"# ##0;-# ##0"),",-"),FIXED(ROUND(IF(EXC.RATE.SWITCH=1,C2083*(1-I2083)*(1-ADD.DISCOUNT)*(1+MAT.SURCHARGE)/EXC.RATE_2,C2083*(1-I2083)*(1-ADD.DISCOUNT)*(1+MAT.SURCHARGE)*EXC.RATE_2),CURRENCY.FORMAT_2),CURRENCY.FORMAT_2,0)),'DICTIONARY-5'!$A$2))</f>
        <v/>
      </c>
      <c r="N2083" s="538">
        <v>8</v>
      </c>
      <c r="O2083" s="538"/>
      <c r="P2083" s="731" t="str">
        <f>'DICTIONARY-3'!$A$110</f>
        <v>BEV</v>
      </c>
      <c r="Q2083" s="731" t="str">
        <f>'DICTIONARY-3'!$A$207</f>
        <v>Zawór na- i odpowietrzający</v>
      </c>
      <c r="R2083" s="732" t="str">
        <f>CONCATENATE('DICTIONARY-3'!$A$110," ",'DICTIONARY-6'!$A$8," ",'DICTIONARY-2'!$A$2,"80"," ",'DICTIONARY-2'!$A$3,"10/16"," ",'DICTIONARY-2'!$A$7,"1,0m",", ",'DICTIONARY-6'!$A$42," ",'DICTIONARY-2'!$A$2,"50")</f>
        <v>BEV Zaw. na-/odpowietrz. DN80 PN10/16 Rd1,0m, wbudow. zaw. DN50</v>
      </c>
      <c r="S2083" s="733" t="str">
        <f>'DICTIONARY-4'!$A$17</f>
        <v>AS</v>
      </c>
      <c r="T2083" s="732" t="str">
        <f>'DICTIONARY-4'!$A$33</f>
        <v>Automatyczne sterowanie</v>
      </c>
      <c r="U2083" s="734" t="s">
        <v>5760</v>
      </c>
      <c r="V2083" s="735">
        <v>16</v>
      </c>
      <c r="W2083" s="736"/>
      <c r="X2083" s="750"/>
      <c r="Y2083" s="745" t="s">
        <v>5652</v>
      </c>
      <c r="Z2083" s="747"/>
      <c r="AA2083" s="747"/>
      <c r="AB2083" s="740">
        <v>16</v>
      </c>
      <c r="AC2083" s="741"/>
      <c r="AD2083" s="741" t="str">
        <f>'DICTIONARY-5'!$A$13</f>
        <v>woda pitna</v>
      </c>
      <c r="AE2083" s="742">
        <v>50</v>
      </c>
      <c r="AF2083" s="743">
        <v>43.5</v>
      </c>
      <c r="AG2083" s="741" t="str">
        <f>'DICTIONARY-5'!$A$23</f>
        <v>powłoka epoksydowa</v>
      </c>
    </row>
    <row r="2084" spans="1:33" x14ac:dyDescent="0.25">
      <c r="A2084" s="872" t="s">
        <v>1908</v>
      </c>
      <c r="B2084" s="872" t="s">
        <v>4187</v>
      </c>
      <c r="C2084" s="836">
        <v>1227</v>
      </c>
      <c r="D2084" s="836"/>
      <c r="E2084" s="836"/>
      <c r="F2084" s="836"/>
      <c r="G2084" s="871" t="s">
        <v>7855</v>
      </c>
      <c r="H2084" s="797" t="str">
        <f>VLOOKUP(G2084,SETTINGS!$B$7:$D$97,2,0)</f>
        <v>BEV-Garnitur</v>
      </c>
      <c r="I2084" s="796">
        <f>VLOOKUP(G2084,SETTINGS!$B$7:$D$97,3,0)</f>
        <v>0</v>
      </c>
      <c r="J2084" s="670" t="str">
        <f>IFERROR(IF(CURRENCY.FORMAT_1=0,CONCATENATE(TEXT(FIXED(ROUND((C2084/EXC.RATE_1),CURRENCY.FORMAT_1),CURRENCY.FORMAT_1,1),"# ##0;-# ##0"),",-"),FIXED(ROUND((C2084/EXC.RATE_1),CURRENCY.FORMAT_1),CURRENCY.FORMAT_1,0)),'DICTIONARY-5'!$A$2)</f>
        <v>1 227,-</v>
      </c>
      <c r="K2084" s="670" t="str">
        <f>IF(EXC.RATE_2=0,"",IFERROR(IF(CURRENCY.FORMAT_2=0,CONCATENATE(TEXT(FIXED(ROUND(IF(EXC.RATE.SWITCH=1,C2084/EXC.RATE_2,C2084*EXC.RATE_2),CURRENCY.FORMAT_2),CURRENCY.FORMAT_2,1),"# ##0;-# ##0"),",-"),FIXED(ROUND(IF(EXC.RATE.SWITCH=1,C2084/EXC.RATE_2,C2084*EXC.RATE_2),CURRENCY.FORMAT_2),CURRENCY.FORMAT_2,0)),'DICTIONARY-5'!$A$2))</f>
        <v/>
      </c>
      <c r="L2084" s="670" t="str">
        <f>IFERROR(IF(CURRENCY.FORMAT_1=0,CONCATENATE(TEXT(FIXED(ROUND((C2084*(1-I2084)*(1-ADD.DISCOUNT)*(1+MAT.SURCHARGE)/EXC.RATE_1),CURRENCY.FORMAT_1),CURRENCY.FORMAT_1,1),"# ##0;-# ##0"),",-"),FIXED(ROUND((C2084*(1-I2084)*(1-ADD.DISCOUNT)*(1+MAT.SURCHARGE)/EXC.RATE_1),CURRENCY.FORMAT_1),CURRENCY.FORMAT_1,0)),'DICTIONARY-5'!$A$2)</f>
        <v>1 275,-</v>
      </c>
      <c r="M2084" s="670" t="str">
        <f>IF(EXC.RATE_2=0,"",IFERROR(IF(CURRENCY.FORMAT_2=0,CONCATENATE(TEXT(FIXED(ROUND(IF(EXC.RATE.SWITCH=1,C2084*(1-I2084)*(1-ADD.DISCOUNT)*(1+MAT.SURCHARGE)/EXC.RATE_2,C2084*(1-I2084)*(1-ADD.DISCOUNT)*(1+MAT.SURCHARGE)*EXC.RATE_2),CURRENCY.FORMAT_2),CURRENCY.FORMAT_2,1),"# ##0;-# ##0"),",-"),FIXED(ROUND(IF(EXC.RATE.SWITCH=1,C2084*(1-I2084)*(1-ADD.DISCOUNT)*(1+MAT.SURCHARGE)/EXC.RATE_2,C2084*(1-I2084)*(1-ADD.DISCOUNT)*(1+MAT.SURCHARGE)*EXC.RATE_2),CURRENCY.FORMAT_2),CURRENCY.FORMAT_2,0)),'DICTIONARY-5'!$A$2))</f>
        <v/>
      </c>
      <c r="N2084" s="538">
        <v>8</v>
      </c>
      <c r="O2084" s="538"/>
      <c r="P2084" s="731" t="str">
        <f>'DICTIONARY-3'!$A$110</f>
        <v>BEV</v>
      </c>
      <c r="Q2084" s="731" t="str">
        <f>'DICTIONARY-3'!$A$207</f>
        <v>Zawór na- i odpowietrzający</v>
      </c>
      <c r="R2084" s="732" t="str">
        <f>CONCATENATE('DICTIONARY-3'!$A$110," ",'DICTIONARY-6'!$A$8," ",'DICTIONARY-2'!$A$2,"80"," ",'DICTIONARY-2'!$A$3,"10/16"," ",'DICTIONARY-2'!$A$7,"1,25m",", ",'DICTIONARY-6'!$A$42," ",'DICTIONARY-2'!$A$2,"50")</f>
        <v>BEV Zaw. na-/odpowietrz. DN80 PN10/16 Rd1,25m, wbudow. zaw. DN50</v>
      </c>
      <c r="S2084" s="733" t="str">
        <f>'DICTIONARY-4'!$A$17</f>
        <v>AS</v>
      </c>
      <c r="T2084" s="732" t="str">
        <f>'DICTIONARY-4'!$A$33</f>
        <v>Automatyczne sterowanie</v>
      </c>
      <c r="U2084" s="734" t="s">
        <v>5760</v>
      </c>
      <c r="V2084" s="735">
        <v>16</v>
      </c>
      <c r="W2084" s="736"/>
      <c r="X2084" s="750"/>
      <c r="Y2084" s="745" t="s">
        <v>5653</v>
      </c>
      <c r="Z2084" s="747"/>
      <c r="AA2084" s="747"/>
      <c r="AB2084" s="740">
        <v>16</v>
      </c>
      <c r="AC2084" s="741"/>
      <c r="AD2084" s="741" t="str">
        <f>'DICTIONARY-5'!$A$13</f>
        <v>woda pitna</v>
      </c>
      <c r="AE2084" s="742">
        <v>50</v>
      </c>
      <c r="AF2084" s="743">
        <v>48.5</v>
      </c>
      <c r="AG2084" s="741" t="str">
        <f>'DICTIONARY-5'!$A$23</f>
        <v>powłoka epoksydowa</v>
      </c>
    </row>
    <row r="2085" spans="1:33" x14ac:dyDescent="0.25">
      <c r="A2085" s="872" t="s">
        <v>1910</v>
      </c>
      <c r="B2085" s="872" t="s">
        <v>4188</v>
      </c>
      <c r="C2085" s="836">
        <v>1276</v>
      </c>
      <c r="D2085" s="836"/>
      <c r="E2085" s="836"/>
      <c r="F2085" s="836"/>
      <c r="G2085" s="871" t="s">
        <v>7855</v>
      </c>
      <c r="H2085" s="797" t="str">
        <f>VLOOKUP(G2085,SETTINGS!$B$7:$D$97,2,0)</f>
        <v>BEV-Garnitur</v>
      </c>
      <c r="I2085" s="796">
        <f>VLOOKUP(G2085,SETTINGS!$B$7:$D$97,3,0)</f>
        <v>0</v>
      </c>
      <c r="J2085" s="670" t="str">
        <f>IFERROR(IF(CURRENCY.FORMAT_1=0,CONCATENATE(TEXT(FIXED(ROUND((C2085/EXC.RATE_1),CURRENCY.FORMAT_1),CURRENCY.FORMAT_1,1),"# ##0;-# ##0"),",-"),FIXED(ROUND((C2085/EXC.RATE_1),CURRENCY.FORMAT_1),CURRENCY.FORMAT_1,0)),'DICTIONARY-5'!$A$2)</f>
        <v>1 276,-</v>
      </c>
      <c r="K2085" s="670" t="str">
        <f>IF(EXC.RATE_2=0,"",IFERROR(IF(CURRENCY.FORMAT_2=0,CONCATENATE(TEXT(FIXED(ROUND(IF(EXC.RATE.SWITCH=1,C2085/EXC.RATE_2,C2085*EXC.RATE_2),CURRENCY.FORMAT_2),CURRENCY.FORMAT_2,1),"# ##0;-# ##0"),",-"),FIXED(ROUND(IF(EXC.RATE.SWITCH=1,C2085/EXC.RATE_2,C2085*EXC.RATE_2),CURRENCY.FORMAT_2),CURRENCY.FORMAT_2,0)),'DICTIONARY-5'!$A$2))</f>
        <v/>
      </c>
      <c r="L2085" s="670" t="str">
        <f>IFERROR(IF(CURRENCY.FORMAT_1=0,CONCATENATE(TEXT(FIXED(ROUND((C2085*(1-I2085)*(1-ADD.DISCOUNT)*(1+MAT.SURCHARGE)/EXC.RATE_1),CURRENCY.FORMAT_1),CURRENCY.FORMAT_1,1),"# ##0;-# ##0"),",-"),FIXED(ROUND((C2085*(1-I2085)*(1-ADD.DISCOUNT)*(1+MAT.SURCHARGE)/EXC.RATE_1),CURRENCY.FORMAT_1),CURRENCY.FORMAT_1,0)),'DICTIONARY-5'!$A$2)</f>
        <v>1 326,-</v>
      </c>
      <c r="M2085" s="670" t="str">
        <f>IF(EXC.RATE_2=0,"",IFERROR(IF(CURRENCY.FORMAT_2=0,CONCATENATE(TEXT(FIXED(ROUND(IF(EXC.RATE.SWITCH=1,C2085*(1-I2085)*(1-ADD.DISCOUNT)*(1+MAT.SURCHARGE)/EXC.RATE_2,C2085*(1-I2085)*(1-ADD.DISCOUNT)*(1+MAT.SURCHARGE)*EXC.RATE_2),CURRENCY.FORMAT_2),CURRENCY.FORMAT_2,1),"# ##0;-# ##0"),",-"),FIXED(ROUND(IF(EXC.RATE.SWITCH=1,C2085*(1-I2085)*(1-ADD.DISCOUNT)*(1+MAT.SURCHARGE)/EXC.RATE_2,C2085*(1-I2085)*(1-ADD.DISCOUNT)*(1+MAT.SURCHARGE)*EXC.RATE_2),CURRENCY.FORMAT_2),CURRENCY.FORMAT_2,0)),'DICTIONARY-5'!$A$2))</f>
        <v/>
      </c>
      <c r="N2085" s="538">
        <v>8</v>
      </c>
      <c r="O2085" s="538"/>
      <c r="P2085" s="731" t="str">
        <f>'DICTIONARY-3'!$A$110</f>
        <v>BEV</v>
      </c>
      <c r="Q2085" s="731" t="str">
        <f>'DICTIONARY-3'!$A$207</f>
        <v>Zawór na- i odpowietrzający</v>
      </c>
      <c r="R2085" s="732" t="str">
        <f>CONCATENATE('DICTIONARY-3'!$A$110," ",'DICTIONARY-6'!$A$8," ",'DICTIONARY-2'!$A$2,"80"," ",'DICTIONARY-2'!$A$3,"10/16"," ",'DICTIONARY-2'!$A$7,"1,5m",", ",'DICTIONARY-6'!$A$42," ",'DICTIONARY-2'!$A$2,"50")</f>
        <v>BEV Zaw. na-/odpowietrz. DN80 PN10/16 Rd1,5m, wbudow. zaw. DN50</v>
      </c>
      <c r="S2085" s="733" t="str">
        <f>'DICTIONARY-4'!$A$17</f>
        <v>AS</v>
      </c>
      <c r="T2085" s="732" t="str">
        <f>'DICTIONARY-4'!$A$33</f>
        <v>Automatyczne sterowanie</v>
      </c>
      <c r="U2085" s="734" t="s">
        <v>5760</v>
      </c>
      <c r="V2085" s="735">
        <v>16</v>
      </c>
      <c r="W2085" s="736"/>
      <c r="X2085" s="750"/>
      <c r="Y2085" s="745" t="s">
        <v>5654</v>
      </c>
      <c r="Z2085" s="747"/>
      <c r="AA2085" s="747"/>
      <c r="AB2085" s="740">
        <v>16</v>
      </c>
      <c r="AC2085" s="741"/>
      <c r="AD2085" s="741" t="str">
        <f>'DICTIONARY-5'!$A$13</f>
        <v>woda pitna</v>
      </c>
      <c r="AE2085" s="742">
        <v>50</v>
      </c>
      <c r="AF2085" s="743">
        <v>52</v>
      </c>
      <c r="AG2085" s="741" t="str">
        <f>'DICTIONARY-5'!$A$23</f>
        <v>powłoka epoksydowa</v>
      </c>
    </row>
    <row r="2086" spans="1:33" x14ac:dyDescent="0.25">
      <c r="A2086" s="872" t="s">
        <v>1912</v>
      </c>
      <c r="B2086" s="872" t="s">
        <v>4189</v>
      </c>
      <c r="C2086" s="836">
        <v>1350</v>
      </c>
      <c r="D2086" s="836"/>
      <c r="E2086" s="836"/>
      <c r="F2086" s="836"/>
      <c r="G2086" s="871" t="s">
        <v>7855</v>
      </c>
      <c r="H2086" s="797" t="str">
        <f>VLOOKUP(G2086,SETTINGS!$B$7:$D$97,2,0)</f>
        <v>BEV-Garnitur</v>
      </c>
      <c r="I2086" s="796">
        <f>VLOOKUP(G2086,SETTINGS!$B$7:$D$97,3,0)</f>
        <v>0</v>
      </c>
      <c r="J2086" s="670" t="str">
        <f>IFERROR(IF(CURRENCY.FORMAT_1=0,CONCATENATE(TEXT(FIXED(ROUND((C2086/EXC.RATE_1),CURRENCY.FORMAT_1),CURRENCY.FORMAT_1,1),"# ##0;-# ##0"),",-"),FIXED(ROUND((C2086/EXC.RATE_1),CURRENCY.FORMAT_1),CURRENCY.FORMAT_1,0)),'DICTIONARY-5'!$A$2)</f>
        <v>1 350,-</v>
      </c>
      <c r="K2086" s="670" t="str">
        <f>IF(EXC.RATE_2=0,"",IFERROR(IF(CURRENCY.FORMAT_2=0,CONCATENATE(TEXT(FIXED(ROUND(IF(EXC.RATE.SWITCH=1,C2086/EXC.RATE_2,C2086*EXC.RATE_2),CURRENCY.FORMAT_2),CURRENCY.FORMAT_2,1),"# ##0;-# ##0"),",-"),FIXED(ROUND(IF(EXC.RATE.SWITCH=1,C2086/EXC.RATE_2,C2086*EXC.RATE_2),CURRENCY.FORMAT_2),CURRENCY.FORMAT_2,0)),'DICTIONARY-5'!$A$2))</f>
        <v/>
      </c>
      <c r="L2086" s="670" t="str">
        <f>IFERROR(IF(CURRENCY.FORMAT_1=0,CONCATENATE(TEXT(FIXED(ROUND((C2086*(1-I2086)*(1-ADD.DISCOUNT)*(1+MAT.SURCHARGE)/EXC.RATE_1),CURRENCY.FORMAT_1),CURRENCY.FORMAT_1,1),"# ##0;-# ##0"),",-"),FIXED(ROUND((C2086*(1-I2086)*(1-ADD.DISCOUNT)*(1+MAT.SURCHARGE)/EXC.RATE_1),CURRENCY.FORMAT_1),CURRENCY.FORMAT_1,0)),'DICTIONARY-5'!$A$2)</f>
        <v>1 403,-</v>
      </c>
      <c r="M2086" s="670" t="str">
        <f>IF(EXC.RATE_2=0,"",IFERROR(IF(CURRENCY.FORMAT_2=0,CONCATENATE(TEXT(FIXED(ROUND(IF(EXC.RATE.SWITCH=1,C2086*(1-I2086)*(1-ADD.DISCOUNT)*(1+MAT.SURCHARGE)/EXC.RATE_2,C2086*(1-I2086)*(1-ADD.DISCOUNT)*(1+MAT.SURCHARGE)*EXC.RATE_2),CURRENCY.FORMAT_2),CURRENCY.FORMAT_2,1),"# ##0;-# ##0"),",-"),FIXED(ROUND(IF(EXC.RATE.SWITCH=1,C2086*(1-I2086)*(1-ADD.DISCOUNT)*(1+MAT.SURCHARGE)/EXC.RATE_2,C2086*(1-I2086)*(1-ADD.DISCOUNT)*(1+MAT.SURCHARGE)*EXC.RATE_2),CURRENCY.FORMAT_2),CURRENCY.FORMAT_2,0)),'DICTIONARY-5'!$A$2))</f>
        <v/>
      </c>
      <c r="N2086" s="538">
        <v>8</v>
      </c>
      <c r="O2086" s="538"/>
      <c r="P2086" s="731" t="str">
        <f>'DICTIONARY-3'!$A$110</f>
        <v>BEV</v>
      </c>
      <c r="Q2086" s="731" t="str">
        <f>'DICTIONARY-3'!$A$207</f>
        <v>Zawór na- i odpowietrzający</v>
      </c>
      <c r="R2086" s="732" t="str">
        <f>CONCATENATE('DICTIONARY-3'!$A$110," ",'DICTIONARY-6'!$A$8," ",'DICTIONARY-2'!$A$2,"80"," ",'DICTIONARY-2'!$A$3,"10/16"," ",'DICTIONARY-2'!$A$7,"1,75m",", ",'DICTIONARY-6'!$A$42," ",'DICTIONARY-2'!$A$2,"50")</f>
        <v>BEV Zaw. na-/odpowietrz. DN80 PN10/16 Rd1,75m, wbudow. zaw. DN50</v>
      </c>
      <c r="S2086" s="733" t="str">
        <f>'DICTIONARY-4'!$A$17</f>
        <v>AS</v>
      </c>
      <c r="T2086" s="732" t="str">
        <f>'DICTIONARY-4'!$A$33</f>
        <v>Automatyczne sterowanie</v>
      </c>
      <c r="U2086" s="734" t="s">
        <v>5760</v>
      </c>
      <c r="V2086" s="735">
        <v>16</v>
      </c>
      <c r="W2086" s="736"/>
      <c r="X2086" s="750"/>
      <c r="Y2086" s="745" t="s">
        <v>5655</v>
      </c>
      <c r="Z2086" s="747"/>
      <c r="AA2086" s="747"/>
      <c r="AB2086" s="740">
        <v>16</v>
      </c>
      <c r="AC2086" s="741"/>
      <c r="AD2086" s="741" t="str">
        <f>'DICTIONARY-5'!$A$13</f>
        <v>woda pitna</v>
      </c>
      <c r="AE2086" s="742">
        <v>50</v>
      </c>
      <c r="AF2086" s="743">
        <v>57.5</v>
      </c>
      <c r="AG2086" s="741" t="str">
        <f>'DICTIONARY-5'!$A$23</f>
        <v>powłoka epoksydowa</v>
      </c>
    </row>
    <row r="2087" spans="1:33" x14ac:dyDescent="0.25">
      <c r="A2087" s="872" t="s">
        <v>1907</v>
      </c>
      <c r="B2087" s="872" t="s">
        <v>4190</v>
      </c>
      <c r="C2087" s="836">
        <v>1370</v>
      </c>
      <c r="D2087" s="836"/>
      <c r="E2087" s="836"/>
      <c r="F2087" s="836"/>
      <c r="G2087" s="871" t="s">
        <v>7855</v>
      </c>
      <c r="H2087" s="797" t="str">
        <f>VLOOKUP(G2087,SETTINGS!$B$7:$D$97,2,0)</f>
        <v>BEV-Garnitur</v>
      </c>
      <c r="I2087" s="796">
        <f>VLOOKUP(G2087,SETTINGS!$B$7:$D$97,3,0)</f>
        <v>0</v>
      </c>
      <c r="J2087" s="670" t="str">
        <f>IFERROR(IF(CURRENCY.FORMAT_1=0,CONCATENATE(TEXT(FIXED(ROUND((C2087/EXC.RATE_1),CURRENCY.FORMAT_1),CURRENCY.FORMAT_1,1),"# ##0;-# ##0"),",-"),FIXED(ROUND((C2087/EXC.RATE_1),CURRENCY.FORMAT_1),CURRENCY.FORMAT_1,0)),'DICTIONARY-5'!$A$2)</f>
        <v>1 370,-</v>
      </c>
      <c r="K2087" s="670" t="str">
        <f>IF(EXC.RATE_2=0,"",IFERROR(IF(CURRENCY.FORMAT_2=0,CONCATENATE(TEXT(FIXED(ROUND(IF(EXC.RATE.SWITCH=1,C2087/EXC.RATE_2,C2087*EXC.RATE_2),CURRENCY.FORMAT_2),CURRENCY.FORMAT_2,1),"# ##0;-# ##0"),",-"),FIXED(ROUND(IF(EXC.RATE.SWITCH=1,C2087/EXC.RATE_2,C2087*EXC.RATE_2),CURRENCY.FORMAT_2),CURRENCY.FORMAT_2,0)),'DICTIONARY-5'!$A$2))</f>
        <v/>
      </c>
      <c r="L2087" s="670" t="str">
        <f>IFERROR(IF(CURRENCY.FORMAT_1=0,CONCATENATE(TEXT(FIXED(ROUND((C2087*(1-I2087)*(1-ADD.DISCOUNT)*(1+MAT.SURCHARGE)/EXC.RATE_1),CURRENCY.FORMAT_1),CURRENCY.FORMAT_1,1),"# ##0;-# ##0"),",-"),FIXED(ROUND((C2087*(1-I2087)*(1-ADD.DISCOUNT)*(1+MAT.SURCHARGE)/EXC.RATE_1),CURRENCY.FORMAT_1),CURRENCY.FORMAT_1,0)),'DICTIONARY-5'!$A$2)</f>
        <v>1 423,-</v>
      </c>
      <c r="M2087" s="670" t="str">
        <f>IF(EXC.RATE_2=0,"",IFERROR(IF(CURRENCY.FORMAT_2=0,CONCATENATE(TEXT(FIXED(ROUND(IF(EXC.RATE.SWITCH=1,C2087*(1-I2087)*(1-ADD.DISCOUNT)*(1+MAT.SURCHARGE)/EXC.RATE_2,C2087*(1-I2087)*(1-ADD.DISCOUNT)*(1+MAT.SURCHARGE)*EXC.RATE_2),CURRENCY.FORMAT_2),CURRENCY.FORMAT_2,1),"# ##0;-# ##0"),",-"),FIXED(ROUND(IF(EXC.RATE.SWITCH=1,C2087*(1-I2087)*(1-ADD.DISCOUNT)*(1+MAT.SURCHARGE)/EXC.RATE_2,C2087*(1-I2087)*(1-ADD.DISCOUNT)*(1+MAT.SURCHARGE)*EXC.RATE_2),CURRENCY.FORMAT_2),CURRENCY.FORMAT_2,0)),'DICTIONARY-5'!$A$2))</f>
        <v/>
      </c>
      <c r="N2087" s="538">
        <v>8</v>
      </c>
      <c r="O2087" s="538"/>
      <c r="P2087" s="731" t="str">
        <f>'DICTIONARY-3'!$A$110</f>
        <v>BEV</v>
      </c>
      <c r="Q2087" s="731" t="str">
        <f>'DICTIONARY-3'!$A$207</f>
        <v>Zawór na- i odpowietrzający</v>
      </c>
      <c r="R2087" s="732" t="str">
        <f>CONCATENATE('DICTIONARY-3'!$A$110," ",'DICTIONARY-6'!$A$8," ",'DICTIONARY-2'!$A$2,"80"," ",'DICTIONARY-2'!$A$3,"10/16"," ",'DICTIONARY-2'!$A$7,"1,0m",", ",'DICTIONARY-6'!$A$42," ",'DICTIONARY-2'!$A$2,"80")</f>
        <v>BEV Zaw. na-/odpowietrz. DN80 PN10/16 Rd1,0m, wbudow. zaw. DN80</v>
      </c>
      <c r="S2087" s="733" t="str">
        <f>'DICTIONARY-4'!$A$17</f>
        <v>AS</v>
      </c>
      <c r="T2087" s="732" t="str">
        <f>'DICTIONARY-4'!$A$33</f>
        <v>Automatyczne sterowanie</v>
      </c>
      <c r="U2087" s="734" t="s">
        <v>5760</v>
      </c>
      <c r="V2087" s="735">
        <v>16</v>
      </c>
      <c r="W2087" s="736"/>
      <c r="X2087" s="750"/>
      <c r="Y2087" s="745" t="s">
        <v>5652</v>
      </c>
      <c r="Z2087" s="747"/>
      <c r="AA2087" s="747"/>
      <c r="AB2087" s="740">
        <v>16</v>
      </c>
      <c r="AC2087" s="741"/>
      <c r="AD2087" s="741" t="str">
        <f>'DICTIONARY-5'!$A$13</f>
        <v>woda pitna</v>
      </c>
      <c r="AE2087" s="742">
        <v>50</v>
      </c>
      <c r="AF2087" s="743">
        <v>49.5</v>
      </c>
      <c r="AG2087" s="741" t="str">
        <f>'DICTIONARY-5'!$A$23</f>
        <v>powłoka epoksydowa</v>
      </c>
    </row>
    <row r="2088" spans="1:33" x14ac:dyDescent="0.25">
      <c r="A2088" s="872" t="s">
        <v>1909</v>
      </c>
      <c r="B2088" s="872" t="s">
        <v>4191</v>
      </c>
      <c r="C2088" s="836">
        <v>1438</v>
      </c>
      <c r="D2088" s="836"/>
      <c r="E2088" s="836"/>
      <c r="F2088" s="836"/>
      <c r="G2088" s="871" t="s">
        <v>7855</v>
      </c>
      <c r="H2088" s="797" t="str">
        <f>VLOOKUP(G2088,SETTINGS!$B$7:$D$97,2,0)</f>
        <v>BEV-Garnitur</v>
      </c>
      <c r="I2088" s="796">
        <f>VLOOKUP(G2088,SETTINGS!$B$7:$D$97,3,0)</f>
        <v>0</v>
      </c>
      <c r="J2088" s="670" t="str">
        <f>IFERROR(IF(CURRENCY.FORMAT_1=0,CONCATENATE(TEXT(FIXED(ROUND((C2088/EXC.RATE_1),CURRENCY.FORMAT_1),CURRENCY.FORMAT_1,1),"# ##0;-# ##0"),",-"),FIXED(ROUND((C2088/EXC.RATE_1),CURRENCY.FORMAT_1),CURRENCY.FORMAT_1,0)),'DICTIONARY-5'!$A$2)</f>
        <v>1 438,-</v>
      </c>
      <c r="K2088" s="670" t="str">
        <f>IF(EXC.RATE_2=0,"",IFERROR(IF(CURRENCY.FORMAT_2=0,CONCATENATE(TEXT(FIXED(ROUND(IF(EXC.RATE.SWITCH=1,C2088/EXC.RATE_2,C2088*EXC.RATE_2),CURRENCY.FORMAT_2),CURRENCY.FORMAT_2,1),"# ##0;-# ##0"),",-"),FIXED(ROUND(IF(EXC.RATE.SWITCH=1,C2088/EXC.RATE_2,C2088*EXC.RATE_2),CURRENCY.FORMAT_2),CURRENCY.FORMAT_2,0)),'DICTIONARY-5'!$A$2))</f>
        <v/>
      </c>
      <c r="L2088" s="670" t="str">
        <f>IFERROR(IF(CURRENCY.FORMAT_1=0,CONCATENATE(TEXT(FIXED(ROUND((C2088*(1-I2088)*(1-ADD.DISCOUNT)*(1+MAT.SURCHARGE)/EXC.RATE_1),CURRENCY.FORMAT_1),CURRENCY.FORMAT_1,1),"# ##0;-# ##0"),",-"),FIXED(ROUND((C2088*(1-I2088)*(1-ADD.DISCOUNT)*(1+MAT.SURCHARGE)/EXC.RATE_1),CURRENCY.FORMAT_1),CURRENCY.FORMAT_1,0)),'DICTIONARY-5'!$A$2)</f>
        <v>1 494,-</v>
      </c>
      <c r="M2088" s="670" t="str">
        <f>IF(EXC.RATE_2=0,"",IFERROR(IF(CURRENCY.FORMAT_2=0,CONCATENATE(TEXT(FIXED(ROUND(IF(EXC.RATE.SWITCH=1,C2088*(1-I2088)*(1-ADD.DISCOUNT)*(1+MAT.SURCHARGE)/EXC.RATE_2,C2088*(1-I2088)*(1-ADD.DISCOUNT)*(1+MAT.SURCHARGE)*EXC.RATE_2),CURRENCY.FORMAT_2),CURRENCY.FORMAT_2,1),"# ##0;-# ##0"),",-"),FIXED(ROUND(IF(EXC.RATE.SWITCH=1,C2088*(1-I2088)*(1-ADD.DISCOUNT)*(1+MAT.SURCHARGE)/EXC.RATE_2,C2088*(1-I2088)*(1-ADD.DISCOUNT)*(1+MAT.SURCHARGE)*EXC.RATE_2),CURRENCY.FORMAT_2),CURRENCY.FORMAT_2,0)),'DICTIONARY-5'!$A$2))</f>
        <v/>
      </c>
      <c r="N2088" s="538">
        <v>8</v>
      </c>
      <c r="O2088" s="538"/>
      <c r="P2088" s="731" t="str">
        <f>'DICTIONARY-3'!$A$110</f>
        <v>BEV</v>
      </c>
      <c r="Q2088" s="731" t="str">
        <f>'DICTIONARY-3'!$A$207</f>
        <v>Zawór na- i odpowietrzający</v>
      </c>
      <c r="R2088" s="732" t="str">
        <f>CONCATENATE('DICTIONARY-3'!$A$110," ",'DICTIONARY-6'!$A$8," ",'DICTIONARY-2'!$A$2,"80"," ",'DICTIONARY-2'!$A$3,"10/16"," ",'DICTIONARY-2'!$A$7,"1,25m",", ",'DICTIONARY-6'!$A$42," ",'DICTIONARY-2'!$A$2,"80")</f>
        <v>BEV Zaw. na-/odpowietrz. DN80 PN10/16 Rd1,25m, wbudow. zaw. DN80</v>
      </c>
      <c r="S2088" s="733" t="str">
        <f>'DICTIONARY-4'!$A$17</f>
        <v>AS</v>
      </c>
      <c r="T2088" s="732" t="str">
        <f>'DICTIONARY-4'!$A$33</f>
        <v>Automatyczne sterowanie</v>
      </c>
      <c r="U2088" s="734" t="s">
        <v>5760</v>
      </c>
      <c r="V2088" s="735">
        <v>16</v>
      </c>
      <c r="W2088" s="736"/>
      <c r="X2088" s="750"/>
      <c r="Y2088" s="745" t="s">
        <v>5653</v>
      </c>
      <c r="Z2088" s="747"/>
      <c r="AA2088" s="747"/>
      <c r="AB2088" s="740">
        <v>16</v>
      </c>
      <c r="AC2088" s="741"/>
      <c r="AD2088" s="741" t="str">
        <f>'DICTIONARY-5'!$A$13</f>
        <v>woda pitna</v>
      </c>
      <c r="AE2088" s="742">
        <v>50</v>
      </c>
      <c r="AF2088" s="743">
        <v>45.42</v>
      </c>
      <c r="AG2088" s="741" t="str">
        <f>'DICTIONARY-5'!$A$23</f>
        <v>powłoka epoksydowa</v>
      </c>
    </row>
    <row r="2089" spans="1:33" x14ac:dyDescent="0.25">
      <c r="A2089" s="872" t="s">
        <v>1911</v>
      </c>
      <c r="B2089" s="872" t="s">
        <v>4192</v>
      </c>
      <c r="C2089" s="836">
        <v>1492</v>
      </c>
      <c r="D2089" s="836"/>
      <c r="E2089" s="836"/>
      <c r="F2089" s="836"/>
      <c r="G2089" s="871" t="s">
        <v>7855</v>
      </c>
      <c r="H2089" s="797" t="str">
        <f>VLOOKUP(G2089,SETTINGS!$B$7:$D$97,2,0)</f>
        <v>BEV-Garnitur</v>
      </c>
      <c r="I2089" s="796">
        <f>VLOOKUP(G2089,SETTINGS!$B$7:$D$97,3,0)</f>
        <v>0</v>
      </c>
      <c r="J2089" s="670" t="str">
        <f>IFERROR(IF(CURRENCY.FORMAT_1=0,CONCATENATE(TEXT(FIXED(ROUND((C2089/EXC.RATE_1),CURRENCY.FORMAT_1),CURRENCY.FORMAT_1,1),"# ##0;-# ##0"),",-"),FIXED(ROUND((C2089/EXC.RATE_1),CURRENCY.FORMAT_1),CURRENCY.FORMAT_1,0)),'DICTIONARY-5'!$A$2)</f>
        <v>1 492,-</v>
      </c>
      <c r="K2089" s="670" t="str">
        <f>IF(EXC.RATE_2=0,"",IFERROR(IF(CURRENCY.FORMAT_2=0,CONCATENATE(TEXT(FIXED(ROUND(IF(EXC.RATE.SWITCH=1,C2089/EXC.RATE_2,C2089*EXC.RATE_2),CURRENCY.FORMAT_2),CURRENCY.FORMAT_2,1),"# ##0;-# ##0"),",-"),FIXED(ROUND(IF(EXC.RATE.SWITCH=1,C2089/EXC.RATE_2,C2089*EXC.RATE_2),CURRENCY.FORMAT_2),CURRENCY.FORMAT_2,0)),'DICTIONARY-5'!$A$2))</f>
        <v/>
      </c>
      <c r="L2089" s="670" t="str">
        <f>IFERROR(IF(CURRENCY.FORMAT_1=0,CONCATENATE(TEXT(FIXED(ROUND((C2089*(1-I2089)*(1-ADD.DISCOUNT)*(1+MAT.SURCHARGE)/EXC.RATE_1),CURRENCY.FORMAT_1),CURRENCY.FORMAT_1,1),"# ##0;-# ##0"),",-"),FIXED(ROUND((C2089*(1-I2089)*(1-ADD.DISCOUNT)*(1+MAT.SURCHARGE)/EXC.RATE_1),CURRENCY.FORMAT_1),CURRENCY.FORMAT_1,0)),'DICTIONARY-5'!$A$2)</f>
        <v>1 550,-</v>
      </c>
      <c r="M2089" s="670" t="str">
        <f>IF(EXC.RATE_2=0,"",IFERROR(IF(CURRENCY.FORMAT_2=0,CONCATENATE(TEXT(FIXED(ROUND(IF(EXC.RATE.SWITCH=1,C2089*(1-I2089)*(1-ADD.DISCOUNT)*(1+MAT.SURCHARGE)/EXC.RATE_2,C2089*(1-I2089)*(1-ADD.DISCOUNT)*(1+MAT.SURCHARGE)*EXC.RATE_2),CURRENCY.FORMAT_2),CURRENCY.FORMAT_2,1),"# ##0;-# ##0"),",-"),FIXED(ROUND(IF(EXC.RATE.SWITCH=1,C2089*(1-I2089)*(1-ADD.DISCOUNT)*(1+MAT.SURCHARGE)/EXC.RATE_2,C2089*(1-I2089)*(1-ADD.DISCOUNT)*(1+MAT.SURCHARGE)*EXC.RATE_2),CURRENCY.FORMAT_2),CURRENCY.FORMAT_2,0)),'DICTIONARY-5'!$A$2))</f>
        <v/>
      </c>
      <c r="N2089" s="538">
        <v>8</v>
      </c>
      <c r="O2089" s="538"/>
      <c r="P2089" s="731" t="str">
        <f>'DICTIONARY-3'!$A$110</f>
        <v>BEV</v>
      </c>
      <c r="Q2089" s="731" t="str">
        <f>'DICTIONARY-3'!$A$207</f>
        <v>Zawór na- i odpowietrzający</v>
      </c>
      <c r="R2089" s="732" t="str">
        <f>CONCATENATE('DICTIONARY-3'!$A$110," ",'DICTIONARY-6'!$A$8," ",'DICTIONARY-2'!$A$2,"80"," ",'DICTIONARY-2'!$A$3,"10/16"," ",'DICTIONARY-2'!$A$7,"1,5m",", ",'DICTIONARY-6'!$A$42," ",'DICTIONARY-2'!$A$2,"80")</f>
        <v>BEV Zaw. na-/odpowietrz. DN80 PN10/16 Rd1,5m, wbudow. zaw. DN80</v>
      </c>
      <c r="S2089" s="733" t="str">
        <f>'DICTIONARY-4'!$A$17</f>
        <v>AS</v>
      </c>
      <c r="T2089" s="732" t="str">
        <f>'DICTIONARY-4'!$A$33</f>
        <v>Automatyczne sterowanie</v>
      </c>
      <c r="U2089" s="734" t="s">
        <v>5760</v>
      </c>
      <c r="V2089" s="735">
        <v>16</v>
      </c>
      <c r="W2089" s="736"/>
      <c r="X2089" s="750"/>
      <c r="Y2089" s="745" t="s">
        <v>5654</v>
      </c>
      <c r="Z2089" s="747"/>
      <c r="AA2089" s="747"/>
      <c r="AB2089" s="740">
        <v>16</v>
      </c>
      <c r="AC2089" s="741"/>
      <c r="AD2089" s="741" t="str">
        <f>'DICTIONARY-5'!$A$13</f>
        <v>woda pitna</v>
      </c>
      <c r="AE2089" s="742">
        <v>50</v>
      </c>
      <c r="AF2089" s="743">
        <v>46.1</v>
      </c>
      <c r="AG2089" s="741" t="str">
        <f>'DICTIONARY-5'!$A$23</f>
        <v>powłoka epoksydowa</v>
      </c>
    </row>
    <row r="2090" spans="1:33" x14ac:dyDescent="0.25">
      <c r="A2090" s="872" t="s">
        <v>1913</v>
      </c>
      <c r="B2090" s="872" t="s">
        <v>4193</v>
      </c>
      <c r="C2090" s="836">
        <v>1568</v>
      </c>
      <c r="D2090" s="836"/>
      <c r="E2090" s="836"/>
      <c r="F2090" s="836"/>
      <c r="G2090" s="871" t="s">
        <v>7855</v>
      </c>
      <c r="H2090" s="797" t="str">
        <f>VLOOKUP(G2090,SETTINGS!$B$7:$D$97,2,0)</f>
        <v>BEV-Garnitur</v>
      </c>
      <c r="I2090" s="796">
        <f>VLOOKUP(G2090,SETTINGS!$B$7:$D$97,3,0)</f>
        <v>0</v>
      </c>
      <c r="J2090" s="670" t="str">
        <f>IFERROR(IF(CURRENCY.FORMAT_1=0,CONCATENATE(TEXT(FIXED(ROUND((C2090/EXC.RATE_1),CURRENCY.FORMAT_1),CURRENCY.FORMAT_1,1),"# ##0;-# ##0"),",-"),FIXED(ROUND((C2090/EXC.RATE_1),CURRENCY.FORMAT_1),CURRENCY.FORMAT_1,0)),'DICTIONARY-5'!$A$2)</f>
        <v>1 568,-</v>
      </c>
      <c r="K2090" s="670" t="str">
        <f>IF(EXC.RATE_2=0,"",IFERROR(IF(CURRENCY.FORMAT_2=0,CONCATENATE(TEXT(FIXED(ROUND(IF(EXC.RATE.SWITCH=1,C2090/EXC.RATE_2,C2090*EXC.RATE_2),CURRENCY.FORMAT_2),CURRENCY.FORMAT_2,1),"# ##0;-# ##0"),",-"),FIXED(ROUND(IF(EXC.RATE.SWITCH=1,C2090/EXC.RATE_2,C2090*EXC.RATE_2),CURRENCY.FORMAT_2),CURRENCY.FORMAT_2,0)),'DICTIONARY-5'!$A$2))</f>
        <v/>
      </c>
      <c r="L2090" s="670" t="str">
        <f>IFERROR(IF(CURRENCY.FORMAT_1=0,CONCATENATE(TEXT(FIXED(ROUND((C2090*(1-I2090)*(1-ADD.DISCOUNT)*(1+MAT.SURCHARGE)/EXC.RATE_1),CURRENCY.FORMAT_1),CURRENCY.FORMAT_1,1),"# ##0;-# ##0"),",-"),FIXED(ROUND((C2090*(1-I2090)*(1-ADD.DISCOUNT)*(1+MAT.SURCHARGE)/EXC.RATE_1),CURRENCY.FORMAT_1),CURRENCY.FORMAT_1,0)),'DICTIONARY-5'!$A$2)</f>
        <v>1 629,-</v>
      </c>
      <c r="M2090" s="670" t="str">
        <f>IF(EXC.RATE_2=0,"",IFERROR(IF(CURRENCY.FORMAT_2=0,CONCATENATE(TEXT(FIXED(ROUND(IF(EXC.RATE.SWITCH=1,C2090*(1-I2090)*(1-ADD.DISCOUNT)*(1+MAT.SURCHARGE)/EXC.RATE_2,C2090*(1-I2090)*(1-ADD.DISCOUNT)*(1+MAT.SURCHARGE)*EXC.RATE_2),CURRENCY.FORMAT_2),CURRENCY.FORMAT_2,1),"# ##0;-# ##0"),",-"),FIXED(ROUND(IF(EXC.RATE.SWITCH=1,C2090*(1-I2090)*(1-ADD.DISCOUNT)*(1+MAT.SURCHARGE)/EXC.RATE_2,C2090*(1-I2090)*(1-ADD.DISCOUNT)*(1+MAT.SURCHARGE)*EXC.RATE_2),CURRENCY.FORMAT_2),CURRENCY.FORMAT_2,0)),'DICTIONARY-5'!$A$2))</f>
        <v/>
      </c>
      <c r="N2090" s="538">
        <v>8</v>
      </c>
      <c r="O2090" s="538"/>
      <c r="P2090" s="731" t="str">
        <f>'DICTIONARY-3'!$A$110</f>
        <v>BEV</v>
      </c>
      <c r="Q2090" s="731" t="str">
        <f>'DICTIONARY-3'!$A$207</f>
        <v>Zawór na- i odpowietrzający</v>
      </c>
      <c r="R2090" s="732" t="str">
        <f>CONCATENATE('DICTIONARY-3'!$A$110," ",'DICTIONARY-6'!$A$8," ",'DICTIONARY-2'!$A$2,"80"," ",'DICTIONARY-2'!$A$3,"10/16"," ",'DICTIONARY-2'!$A$7,"1,75m",", ",'DICTIONARY-6'!$A$42," ",'DICTIONARY-2'!$A$2,"80")</f>
        <v>BEV Zaw. na-/odpowietrz. DN80 PN10/16 Rd1,75m, wbudow. zaw. DN80</v>
      </c>
      <c r="S2090" s="733" t="str">
        <f>'DICTIONARY-4'!$A$17</f>
        <v>AS</v>
      </c>
      <c r="T2090" s="732" t="str">
        <f>'DICTIONARY-4'!$A$33</f>
        <v>Automatyczne sterowanie</v>
      </c>
      <c r="U2090" s="734" t="s">
        <v>5760</v>
      </c>
      <c r="V2090" s="735">
        <v>16</v>
      </c>
      <c r="W2090" s="736"/>
      <c r="X2090" s="750"/>
      <c r="Y2090" s="745" t="s">
        <v>5655</v>
      </c>
      <c r="Z2090" s="747"/>
      <c r="AA2090" s="747"/>
      <c r="AB2090" s="740">
        <v>16</v>
      </c>
      <c r="AC2090" s="741"/>
      <c r="AD2090" s="741" t="str">
        <f>'DICTIONARY-5'!$A$13</f>
        <v>woda pitna</v>
      </c>
      <c r="AE2090" s="742">
        <v>50</v>
      </c>
      <c r="AF2090" s="743">
        <v>65</v>
      </c>
      <c r="AG2090" s="741" t="str">
        <f>'DICTIONARY-5'!$A$23</f>
        <v>powłoka epoksydowa</v>
      </c>
    </row>
    <row r="2091" spans="1:33" x14ac:dyDescent="0.25">
      <c r="A2091" s="875" t="s">
        <v>1914</v>
      </c>
      <c r="B2091" s="875" t="s">
        <v>4303</v>
      </c>
      <c r="C2091" s="836">
        <v>476</v>
      </c>
      <c r="D2091" s="836"/>
      <c r="E2091" s="836"/>
      <c r="F2091" s="836"/>
      <c r="G2091" s="496" t="s">
        <v>7807</v>
      </c>
      <c r="H2091" s="797" t="str">
        <f>VLOOKUP(G2091,SETTINGS!$B$7:$D$97,2,0)</f>
        <v>Accessory components</v>
      </c>
      <c r="I2091" s="796">
        <f>VLOOKUP(G2091,SETTINGS!$B$7:$D$97,3,0)</f>
        <v>0</v>
      </c>
      <c r="J2091" s="670" t="str">
        <f>IFERROR(IF(CURRENCY.FORMAT_1=0,CONCATENATE(TEXT(FIXED(ROUND((C2091/EXC.RATE_1),CURRENCY.FORMAT_1),CURRENCY.FORMAT_1,1),"# ##0;-# ##0"),",-"),FIXED(ROUND((C2091/EXC.RATE_1),CURRENCY.FORMAT_1),CURRENCY.FORMAT_1,0)),'DICTIONARY-5'!$A$2)</f>
        <v>476,-</v>
      </c>
      <c r="K2091" s="670" t="str">
        <f>IF(EXC.RATE_2=0,"",IFERROR(IF(CURRENCY.FORMAT_2=0,CONCATENATE(TEXT(FIXED(ROUND(IF(EXC.RATE.SWITCH=1,C2091/EXC.RATE_2,C2091*EXC.RATE_2),CURRENCY.FORMAT_2),CURRENCY.FORMAT_2,1),"# ##0;-# ##0"),",-"),FIXED(ROUND(IF(EXC.RATE.SWITCH=1,C2091/EXC.RATE_2,C2091*EXC.RATE_2),CURRENCY.FORMAT_2),CURRENCY.FORMAT_2,0)),'DICTIONARY-5'!$A$2))</f>
        <v/>
      </c>
      <c r="L2091" s="670" t="str">
        <f>IFERROR(IF(CURRENCY.FORMAT_1=0,CONCATENATE(TEXT(FIXED(ROUND((C2091*(1-I2091)*(1-ADD.DISCOUNT)*(1+MAT.SURCHARGE)/EXC.RATE_1),CURRENCY.FORMAT_1),CURRENCY.FORMAT_1,1),"# ##0;-# ##0"),",-"),FIXED(ROUND((C2091*(1-I2091)*(1-ADD.DISCOUNT)*(1+MAT.SURCHARGE)/EXC.RATE_1),CURRENCY.FORMAT_1),CURRENCY.FORMAT_1,0)),'DICTIONARY-5'!$A$2)</f>
        <v>495,-</v>
      </c>
      <c r="M2091" s="670" t="str">
        <f>IF(EXC.RATE_2=0,"",IFERROR(IF(CURRENCY.FORMAT_2=0,CONCATENATE(TEXT(FIXED(ROUND(IF(EXC.RATE.SWITCH=1,C2091*(1-I2091)*(1-ADD.DISCOUNT)*(1+MAT.SURCHARGE)/EXC.RATE_2,C2091*(1-I2091)*(1-ADD.DISCOUNT)*(1+MAT.SURCHARGE)*EXC.RATE_2),CURRENCY.FORMAT_2),CURRENCY.FORMAT_2,1),"# ##0;-# ##0"),",-"),FIXED(ROUND(IF(EXC.RATE.SWITCH=1,C2091*(1-I2091)*(1-ADD.DISCOUNT)*(1+MAT.SURCHARGE)/EXC.RATE_2,C2091*(1-I2091)*(1-ADD.DISCOUNT)*(1+MAT.SURCHARGE)*EXC.RATE_2),CURRENCY.FORMAT_2),CURRENCY.FORMAT_2,0)),'DICTIONARY-5'!$A$2))</f>
        <v/>
      </c>
      <c r="N2091" s="538">
        <v>8</v>
      </c>
      <c r="O2091" s="538"/>
      <c r="P2091" s="731" t="str">
        <f>'DICTIONARY-3'!$A$110</f>
        <v>BEV</v>
      </c>
      <c r="Q2091" s="732" t="str">
        <f>'DICTIONARY-3'!$A$220</f>
        <v>Skrzynka</v>
      </c>
      <c r="R2091" s="732" t="str">
        <f>CONCATENATE('DICTIONARY-3'!$A$110," ",'DICTIONARY-3'!$A$220," ","DIN 3583",", ",'DICTIONARY-5'!$A$51)</f>
        <v>BEV Skrzynka DIN 3583, GGG</v>
      </c>
      <c r="S2091" s="733"/>
      <c r="T2091" s="732"/>
      <c r="U2091" s="734" t="s">
        <v>5569</v>
      </c>
      <c r="V2091" s="735" t="s">
        <v>5569</v>
      </c>
      <c r="W2091" s="736"/>
      <c r="X2091" s="750"/>
      <c r="Y2091" s="738"/>
      <c r="Z2091" s="739"/>
      <c r="AA2091" s="739"/>
      <c r="AB2091" s="740" t="s">
        <v>5569</v>
      </c>
      <c r="AC2091" s="741"/>
      <c r="AD2091" s="741" t="s">
        <v>5569</v>
      </c>
      <c r="AE2091" s="742" t="s">
        <v>5569</v>
      </c>
      <c r="AF2091" s="743">
        <v>66.5</v>
      </c>
      <c r="AG2091" s="741" t="s">
        <v>5569</v>
      </c>
    </row>
    <row r="2092" spans="1:33" x14ac:dyDescent="0.25">
      <c r="A2092" s="875" t="s">
        <v>1915</v>
      </c>
      <c r="B2092" s="875" t="s">
        <v>4787</v>
      </c>
      <c r="C2092" s="836">
        <v>46</v>
      </c>
      <c r="D2092" s="836"/>
      <c r="E2092" s="836"/>
      <c r="F2092" s="836"/>
      <c r="G2092" s="496" t="s">
        <v>7807</v>
      </c>
      <c r="H2092" s="797" t="str">
        <f>VLOOKUP(G2092,SETTINGS!$B$7:$D$97,2,0)</f>
        <v>Accessory components</v>
      </c>
      <c r="I2092" s="796">
        <f>VLOOKUP(G2092,SETTINGS!$B$7:$D$97,3,0)</f>
        <v>0</v>
      </c>
      <c r="J2092" s="670" t="str">
        <f>IFERROR(IF(CURRENCY.FORMAT_1=0,CONCATENATE(TEXT(FIXED(ROUND((C2092/EXC.RATE_1),CURRENCY.FORMAT_1),CURRENCY.FORMAT_1,1),"# ##0;-# ##0"),",-"),FIXED(ROUND((C2092/EXC.RATE_1),CURRENCY.FORMAT_1),CURRENCY.FORMAT_1,0)),'DICTIONARY-5'!$A$2)</f>
        <v>46,-</v>
      </c>
      <c r="K2092" s="670" t="str">
        <f>IF(EXC.RATE_2=0,"",IFERROR(IF(CURRENCY.FORMAT_2=0,CONCATENATE(TEXT(FIXED(ROUND(IF(EXC.RATE.SWITCH=1,C2092/EXC.RATE_2,C2092*EXC.RATE_2),CURRENCY.FORMAT_2),CURRENCY.FORMAT_2,1),"# ##0;-# ##0"),",-"),FIXED(ROUND(IF(EXC.RATE.SWITCH=1,C2092/EXC.RATE_2,C2092*EXC.RATE_2),CURRENCY.FORMAT_2),CURRENCY.FORMAT_2,0)),'DICTIONARY-5'!$A$2))</f>
        <v/>
      </c>
      <c r="L2092" s="670" t="str">
        <f>IFERROR(IF(CURRENCY.FORMAT_1=0,CONCATENATE(TEXT(FIXED(ROUND((C2092*(1-I2092)*(1-ADD.DISCOUNT)*(1+MAT.SURCHARGE)/EXC.RATE_1),CURRENCY.FORMAT_1),CURRENCY.FORMAT_1,1),"# ##0;-# ##0"),",-"),FIXED(ROUND((C2092*(1-I2092)*(1-ADD.DISCOUNT)*(1+MAT.SURCHARGE)/EXC.RATE_1),CURRENCY.FORMAT_1),CURRENCY.FORMAT_1,0)),'DICTIONARY-5'!$A$2)</f>
        <v>48,-</v>
      </c>
      <c r="M2092" s="670" t="str">
        <f>IF(EXC.RATE_2=0,"",IFERROR(IF(CURRENCY.FORMAT_2=0,CONCATENATE(TEXT(FIXED(ROUND(IF(EXC.RATE.SWITCH=1,C2092*(1-I2092)*(1-ADD.DISCOUNT)*(1+MAT.SURCHARGE)/EXC.RATE_2,C2092*(1-I2092)*(1-ADD.DISCOUNT)*(1+MAT.SURCHARGE)*EXC.RATE_2),CURRENCY.FORMAT_2),CURRENCY.FORMAT_2,1),"# ##0;-# ##0"),",-"),FIXED(ROUND(IF(EXC.RATE.SWITCH=1,C2092*(1-I2092)*(1-ADD.DISCOUNT)*(1+MAT.SURCHARGE)/EXC.RATE_2,C2092*(1-I2092)*(1-ADD.DISCOUNT)*(1+MAT.SURCHARGE)*EXC.RATE_2),CURRENCY.FORMAT_2),CURRENCY.FORMAT_2,0)),'DICTIONARY-5'!$A$2))</f>
        <v/>
      </c>
      <c r="N2092" s="538">
        <v>8</v>
      </c>
      <c r="O2092" s="538"/>
      <c r="P2092" s="731" t="str">
        <f>'DICTIONARY-3'!$A$110</f>
        <v>BEV</v>
      </c>
      <c r="Q2092" s="732" t="str">
        <f>'DICTIONARY-3'!$A$221</f>
        <v>Płyta podkładowa</v>
      </c>
      <c r="R2092" s="732" t="str">
        <f>CONCATENATE('DICTIONARY-3'!$A$110," ",'DICTIONARY-3'!$A$221," ",'DICTIONARY-5'!$A$7," ",'DICTIONARY-3'!$A$110," ",'DICTIONARY-3'!$A$220,", ",'DICTIONARY-5'!$A$47)</f>
        <v>BEV Płyta podkładowa dla BEV Skrzynka, beton</v>
      </c>
      <c r="S2092" s="733"/>
      <c r="T2092" s="732"/>
      <c r="U2092" s="734" t="s">
        <v>5569</v>
      </c>
      <c r="V2092" s="735" t="s">
        <v>5569</v>
      </c>
      <c r="W2092" s="736"/>
      <c r="X2092" s="750"/>
      <c r="Y2092" s="738"/>
      <c r="Z2092" s="739"/>
      <c r="AA2092" s="739"/>
      <c r="AB2092" s="740" t="s">
        <v>5569</v>
      </c>
      <c r="AC2092" s="741"/>
      <c r="AD2092" s="741" t="s">
        <v>5569</v>
      </c>
      <c r="AE2092" s="742" t="s">
        <v>5569</v>
      </c>
      <c r="AF2092" s="743">
        <v>32.5</v>
      </c>
      <c r="AG2092" s="741" t="s">
        <v>5569</v>
      </c>
    </row>
    <row r="2093" spans="1:33" x14ac:dyDescent="0.25">
      <c r="A2093" s="874" t="s">
        <v>5545</v>
      </c>
      <c r="B2093" s="874" t="s">
        <v>5546</v>
      </c>
      <c r="C2093" s="836">
        <v>106</v>
      </c>
      <c r="D2093" s="836"/>
      <c r="E2093" s="836"/>
      <c r="F2093" s="836"/>
      <c r="G2093" s="496" t="s">
        <v>7836</v>
      </c>
      <c r="H2093" s="797" t="str">
        <f>VLOOKUP(G2093,SETTINGS!$B$7:$D$97,2,0)</f>
        <v>BEV-E</v>
      </c>
      <c r="I2093" s="796">
        <f>VLOOKUP(G2093,SETTINGS!$B$7:$D$97,3,0)</f>
        <v>0</v>
      </c>
      <c r="J2093" s="670" t="str">
        <f>IFERROR(IF(CURRENCY.FORMAT_1=0,CONCATENATE(TEXT(FIXED(ROUND((C2093/EXC.RATE_1),CURRENCY.FORMAT_1),CURRENCY.FORMAT_1,1),"# ##0;-# ##0"),",-"),FIXED(ROUND((C2093/EXC.RATE_1),CURRENCY.FORMAT_1),CURRENCY.FORMAT_1,0)),'DICTIONARY-5'!$A$2)</f>
        <v>106,-</v>
      </c>
      <c r="K2093" s="670" t="str">
        <f>IF(EXC.RATE_2=0,"",IFERROR(IF(CURRENCY.FORMAT_2=0,CONCATENATE(TEXT(FIXED(ROUND(IF(EXC.RATE.SWITCH=1,C2093/EXC.RATE_2,C2093*EXC.RATE_2),CURRENCY.FORMAT_2),CURRENCY.FORMAT_2,1),"# ##0;-# ##0"),",-"),FIXED(ROUND(IF(EXC.RATE.SWITCH=1,C2093/EXC.RATE_2,C2093*EXC.RATE_2),CURRENCY.FORMAT_2),CURRENCY.FORMAT_2,0)),'DICTIONARY-5'!$A$2))</f>
        <v/>
      </c>
      <c r="L2093" s="670" t="str">
        <f>IFERROR(IF(CURRENCY.FORMAT_1=0,CONCATENATE(TEXT(FIXED(ROUND((C2093*(1-I2093)*(1-ADD.DISCOUNT)*(1+MAT.SURCHARGE)/EXC.RATE_1),CURRENCY.FORMAT_1),CURRENCY.FORMAT_1,1),"# ##0;-# ##0"),",-"),FIXED(ROUND((C2093*(1-I2093)*(1-ADD.DISCOUNT)*(1+MAT.SURCHARGE)/EXC.RATE_1),CURRENCY.FORMAT_1),CURRENCY.FORMAT_1,0)),'DICTIONARY-5'!$A$2)</f>
        <v>110,-</v>
      </c>
      <c r="M2093" s="670" t="str">
        <f>IF(EXC.RATE_2=0,"",IFERROR(IF(CURRENCY.FORMAT_2=0,CONCATENATE(TEXT(FIXED(ROUND(IF(EXC.RATE.SWITCH=1,C2093*(1-I2093)*(1-ADD.DISCOUNT)*(1+MAT.SURCHARGE)/EXC.RATE_2,C2093*(1-I2093)*(1-ADD.DISCOUNT)*(1+MAT.SURCHARGE)*EXC.RATE_2),CURRENCY.FORMAT_2),CURRENCY.FORMAT_2,1),"# ##0;-# ##0"),",-"),FIXED(ROUND(IF(EXC.RATE.SWITCH=1,C2093*(1-I2093)*(1-ADD.DISCOUNT)*(1+MAT.SURCHARGE)/EXC.RATE_2,C2093*(1-I2093)*(1-ADD.DISCOUNT)*(1+MAT.SURCHARGE)*EXC.RATE_2),CURRENCY.FORMAT_2),CURRENCY.FORMAT_2,0)),'DICTIONARY-5'!$A$2))</f>
        <v/>
      </c>
      <c r="N2093" s="752">
        <v>8</v>
      </c>
      <c r="O2093" s="654" t="s">
        <v>7363</v>
      </c>
      <c r="P2093" s="731" t="str">
        <f>'DICTIONARY-3'!$A$111</f>
        <v>BEV-E</v>
      </c>
      <c r="Q2093" s="732" t="str">
        <f>'DICTIONARY-3'!$A$206</f>
        <v>Zawór na- i odpowietrzający</v>
      </c>
      <c r="R2093" s="732" t="str">
        <f>CONCATENATE('DICTIONARY-3'!$A$111," ",'DICTIONARY-6'!$A$7," ","G¾"," ",'DICTIONARY-2'!$A$10,"25",'DICTIONARY-2'!$A$20,)</f>
        <v>BEV-E Zaw. na-/odpowietrz. G¾ PS25bar</v>
      </c>
      <c r="S2093" s="733" t="str">
        <f>'DICTIONARY-4'!$A$17</f>
        <v>AS</v>
      </c>
      <c r="T2093" s="732" t="str">
        <f>'DICTIONARY-4'!$A$33</f>
        <v>Automatyczne sterowanie</v>
      </c>
      <c r="U2093" s="734"/>
      <c r="V2093" s="735"/>
      <c r="W2093" s="736"/>
      <c r="X2093" s="750" t="s">
        <v>5831</v>
      </c>
      <c r="Y2093" s="738"/>
      <c r="Z2093" s="739"/>
      <c r="AA2093" s="739"/>
      <c r="AB2093" s="740">
        <v>25</v>
      </c>
      <c r="AC2093" s="741"/>
      <c r="AD2093" s="741" t="str">
        <f>'DICTIONARY-5'!$A$13</f>
        <v>woda pitna</v>
      </c>
      <c r="AE2093" s="742">
        <v>50</v>
      </c>
      <c r="AF2093" s="743">
        <v>4</v>
      </c>
      <c r="AG2093" s="741" t="str">
        <f>'DICTIONARY-5'!$A$23</f>
        <v>powłoka epoksydowa</v>
      </c>
    </row>
    <row r="2094" spans="1:33" x14ac:dyDescent="0.25">
      <c r="A2094" s="874" t="s">
        <v>5547</v>
      </c>
      <c r="B2094" s="874" t="s">
        <v>5548</v>
      </c>
      <c r="C2094" s="836">
        <v>107</v>
      </c>
      <c r="D2094" s="836"/>
      <c r="E2094" s="836"/>
      <c r="F2094" s="836"/>
      <c r="G2094" s="496" t="s">
        <v>7836</v>
      </c>
      <c r="H2094" s="797" t="str">
        <f>VLOOKUP(G2094,SETTINGS!$B$7:$D$97,2,0)</f>
        <v>BEV-E</v>
      </c>
      <c r="I2094" s="796">
        <f>VLOOKUP(G2094,SETTINGS!$B$7:$D$97,3,0)</f>
        <v>0</v>
      </c>
      <c r="J2094" s="670" t="str">
        <f>IFERROR(IF(CURRENCY.FORMAT_1=0,CONCATENATE(TEXT(FIXED(ROUND((C2094/EXC.RATE_1),CURRENCY.FORMAT_1),CURRENCY.FORMAT_1,1),"# ##0;-# ##0"),",-"),FIXED(ROUND((C2094/EXC.RATE_1),CURRENCY.FORMAT_1),CURRENCY.FORMAT_1,0)),'DICTIONARY-5'!$A$2)</f>
        <v>107,-</v>
      </c>
      <c r="K2094" s="670" t="str">
        <f>IF(EXC.RATE_2=0,"",IFERROR(IF(CURRENCY.FORMAT_2=0,CONCATENATE(TEXT(FIXED(ROUND(IF(EXC.RATE.SWITCH=1,C2094/EXC.RATE_2,C2094*EXC.RATE_2),CURRENCY.FORMAT_2),CURRENCY.FORMAT_2,1),"# ##0;-# ##0"),",-"),FIXED(ROUND(IF(EXC.RATE.SWITCH=1,C2094/EXC.RATE_2,C2094*EXC.RATE_2),CURRENCY.FORMAT_2),CURRENCY.FORMAT_2,0)),'DICTIONARY-5'!$A$2))</f>
        <v/>
      </c>
      <c r="L2094" s="670" t="str">
        <f>IFERROR(IF(CURRENCY.FORMAT_1=0,CONCATENATE(TEXT(FIXED(ROUND((C2094*(1-I2094)*(1-ADD.DISCOUNT)*(1+MAT.SURCHARGE)/EXC.RATE_1),CURRENCY.FORMAT_1),CURRENCY.FORMAT_1,1),"# ##0;-# ##0"),",-"),FIXED(ROUND((C2094*(1-I2094)*(1-ADD.DISCOUNT)*(1+MAT.SURCHARGE)/EXC.RATE_1),CURRENCY.FORMAT_1),CURRENCY.FORMAT_1,0)),'DICTIONARY-5'!$A$2)</f>
        <v>111,-</v>
      </c>
      <c r="M2094" s="670" t="str">
        <f>IF(EXC.RATE_2=0,"",IFERROR(IF(CURRENCY.FORMAT_2=0,CONCATENATE(TEXT(FIXED(ROUND(IF(EXC.RATE.SWITCH=1,C2094*(1-I2094)*(1-ADD.DISCOUNT)*(1+MAT.SURCHARGE)/EXC.RATE_2,C2094*(1-I2094)*(1-ADD.DISCOUNT)*(1+MAT.SURCHARGE)*EXC.RATE_2),CURRENCY.FORMAT_2),CURRENCY.FORMAT_2,1),"# ##0;-# ##0"),",-"),FIXED(ROUND(IF(EXC.RATE.SWITCH=1,C2094*(1-I2094)*(1-ADD.DISCOUNT)*(1+MAT.SURCHARGE)/EXC.RATE_2,C2094*(1-I2094)*(1-ADD.DISCOUNT)*(1+MAT.SURCHARGE)*EXC.RATE_2),CURRENCY.FORMAT_2),CURRENCY.FORMAT_2,0)),'DICTIONARY-5'!$A$2))</f>
        <v/>
      </c>
      <c r="N2094" s="752">
        <v>8</v>
      </c>
      <c r="O2094" s="654" t="s">
        <v>7363</v>
      </c>
      <c r="P2094" s="731" t="str">
        <f>'DICTIONARY-3'!$A$111</f>
        <v>BEV-E</v>
      </c>
      <c r="Q2094" s="732" t="str">
        <f>'DICTIONARY-3'!$A$206</f>
        <v>Zawór na- i odpowietrzający</v>
      </c>
      <c r="R2094" s="732" t="str">
        <f>CONCATENATE('DICTIONARY-3'!$A$111," ",'DICTIONARY-6'!$A$7," ","G1"," ",'DICTIONARY-2'!$A$10,"25",'DICTIONARY-2'!$A$20,)</f>
        <v>BEV-E Zaw. na-/odpowietrz. G1 PS25bar</v>
      </c>
      <c r="S2094" s="733" t="str">
        <f>'DICTIONARY-4'!$A$17</f>
        <v>AS</v>
      </c>
      <c r="T2094" s="732" t="str">
        <f>'DICTIONARY-4'!$A$33</f>
        <v>Automatyczne sterowanie</v>
      </c>
      <c r="U2094" s="734"/>
      <c r="V2094" s="735"/>
      <c r="W2094" s="736"/>
      <c r="X2094" s="750" t="s">
        <v>49</v>
      </c>
      <c r="Y2094" s="738"/>
      <c r="Z2094" s="739"/>
      <c r="AA2094" s="739"/>
      <c r="AB2094" s="740">
        <v>25</v>
      </c>
      <c r="AC2094" s="741"/>
      <c r="AD2094" s="741" t="str">
        <f>'DICTIONARY-5'!$A$13</f>
        <v>woda pitna</v>
      </c>
      <c r="AE2094" s="742">
        <v>50</v>
      </c>
      <c r="AF2094" s="743">
        <v>4.0549999999999997</v>
      </c>
      <c r="AG2094" s="741" t="str">
        <f>'DICTIONARY-5'!$A$23</f>
        <v>powłoka epoksydowa</v>
      </c>
    </row>
    <row r="2095" spans="1:33" x14ac:dyDescent="0.25">
      <c r="A2095" s="874" t="s">
        <v>5549</v>
      </c>
      <c r="B2095" s="874" t="s">
        <v>5550</v>
      </c>
      <c r="C2095" s="836">
        <v>108</v>
      </c>
      <c r="D2095" s="836"/>
      <c r="E2095" s="836"/>
      <c r="F2095" s="836"/>
      <c r="G2095" s="496" t="s">
        <v>7836</v>
      </c>
      <c r="H2095" s="797" t="str">
        <f>VLOOKUP(G2095,SETTINGS!$B$7:$D$97,2,0)</f>
        <v>BEV-E</v>
      </c>
      <c r="I2095" s="796">
        <f>VLOOKUP(G2095,SETTINGS!$B$7:$D$97,3,0)</f>
        <v>0</v>
      </c>
      <c r="J2095" s="670" t="str">
        <f>IFERROR(IF(CURRENCY.FORMAT_1=0,CONCATENATE(TEXT(FIXED(ROUND((C2095/EXC.RATE_1),CURRENCY.FORMAT_1),CURRENCY.FORMAT_1,1),"# ##0;-# ##0"),",-"),FIXED(ROUND((C2095/EXC.RATE_1),CURRENCY.FORMAT_1),CURRENCY.FORMAT_1,0)),'DICTIONARY-5'!$A$2)</f>
        <v>108,-</v>
      </c>
      <c r="K2095" s="670" t="str">
        <f>IF(EXC.RATE_2=0,"",IFERROR(IF(CURRENCY.FORMAT_2=0,CONCATENATE(TEXT(FIXED(ROUND(IF(EXC.RATE.SWITCH=1,C2095/EXC.RATE_2,C2095*EXC.RATE_2),CURRENCY.FORMAT_2),CURRENCY.FORMAT_2,1),"# ##0;-# ##0"),",-"),FIXED(ROUND(IF(EXC.RATE.SWITCH=1,C2095/EXC.RATE_2,C2095*EXC.RATE_2),CURRENCY.FORMAT_2),CURRENCY.FORMAT_2,0)),'DICTIONARY-5'!$A$2))</f>
        <v/>
      </c>
      <c r="L2095" s="670" t="str">
        <f>IFERROR(IF(CURRENCY.FORMAT_1=0,CONCATENATE(TEXT(FIXED(ROUND((C2095*(1-I2095)*(1-ADD.DISCOUNT)*(1+MAT.SURCHARGE)/EXC.RATE_1),CURRENCY.FORMAT_1),CURRENCY.FORMAT_1,1),"# ##0;-# ##0"),",-"),FIXED(ROUND((C2095*(1-I2095)*(1-ADD.DISCOUNT)*(1+MAT.SURCHARGE)/EXC.RATE_1),CURRENCY.FORMAT_1),CURRENCY.FORMAT_1,0)),'DICTIONARY-5'!$A$2)</f>
        <v>112,-</v>
      </c>
      <c r="M2095" s="670" t="str">
        <f>IF(EXC.RATE_2=0,"",IFERROR(IF(CURRENCY.FORMAT_2=0,CONCATENATE(TEXT(FIXED(ROUND(IF(EXC.RATE.SWITCH=1,C2095*(1-I2095)*(1-ADD.DISCOUNT)*(1+MAT.SURCHARGE)/EXC.RATE_2,C2095*(1-I2095)*(1-ADD.DISCOUNT)*(1+MAT.SURCHARGE)*EXC.RATE_2),CURRENCY.FORMAT_2),CURRENCY.FORMAT_2,1),"# ##0;-# ##0"),",-"),FIXED(ROUND(IF(EXC.RATE.SWITCH=1,C2095*(1-I2095)*(1-ADD.DISCOUNT)*(1+MAT.SURCHARGE)/EXC.RATE_2,C2095*(1-I2095)*(1-ADD.DISCOUNT)*(1+MAT.SURCHARGE)*EXC.RATE_2),CURRENCY.FORMAT_2),CURRENCY.FORMAT_2,0)),'DICTIONARY-5'!$A$2))</f>
        <v/>
      </c>
      <c r="N2095" s="752">
        <v>8</v>
      </c>
      <c r="O2095" s="654" t="s">
        <v>7363</v>
      </c>
      <c r="P2095" s="731" t="str">
        <f>'DICTIONARY-3'!$A$111</f>
        <v>BEV-E</v>
      </c>
      <c r="Q2095" s="732" t="str">
        <f>'DICTIONARY-3'!$A$206</f>
        <v>Zawór na- i odpowietrzający</v>
      </c>
      <c r="R2095" s="732" t="str">
        <f>CONCATENATE('DICTIONARY-3'!$A$111," ",'DICTIONARY-6'!$A$7," ","G1¼"," ",'DICTIONARY-2'!$A$10,"25",'DICTIONARY-2'!$A$20,)</f>
        <v>BEV-E Zaw. na-/odpowietrz. G1¼ PS25bar</v>
      </c>
      <c r="S2095" s="733" t="str">
        <f>'DICTIONARY-4'!$A$17</f>
        <v>AS</v>
      </c>
      <c r="T2095" s="732" t="str">
        <f>'DICTIONARY-4'!$A$33</f>
        <v>Automatyczne sterowanie</v>
      </c>
      <c r="U2095" s="734"/>
      <c r="V2095" s="735"/>
      <c r="W2095" s="736"/>
      <c r="X2095" s="750" t="s">
        <v>5740</v>
      </c>
      <c r="Y2095" s="738"/>
      <c r="Z2095" s="739"/>
      <c r="AA2095" s="739"/>
      <c r="AB2095" s="740">
        <v>25</v>
      </c>
      <c r="AC2095" s="741"/>
      <c r="AD2095" s="741" t="str">
        <f>'DICTIONARY-5'!$A$13</f>
        <v>woda pitna</v>
      </c>
      <c r="AE2095" s="742">
        <v>50</v>
      </c>
      <c r="AF2095" s="743">
        <v>4</v>
      </c>
      <c r="AG2095" s="741" t="str">
        <f>'DICTIONARY-5'!$A$23</f>
        <v>powłoka epoksydowa</v>
      </c>
    </row>
    <row r="2096" spans="1:33" x14ac:dyDescent="0.25">
      <c r="A2096" s="874" t="s">
        <v>7369</v>
      </c>
      <c r="B2096" s="874" t="s">
        <v>7366</v>
      </c>
      <c r="C2096" s="836">
        <v>126</v>
      </c>
      <c r="D2096" s="836"/>
      <c r="E2096" s="836"/>
      <c r="F2096" s="836"/>
      <c r="G2096" s="496" t="s">
        <v>7836</v>
      </c>
      <c r="H2096" s="797" t="str">
        <f>VLOOKUP(G2096,SETTINGS!$B$7:$D$97,2,0)</f>
        <v>BEV-E</v>
      </c>
      <c r="I2096" s="796">
        <f>VLOOKUP(G2096,SETTINGS!$B$7:$D$97,3,0)</f>
        <v>0</v>
      </c>
      <c r="J2096" s="670" t="str">
        <f>IFERROR(IF(CURRENCY.FORMAT_1=0,CONCATENATE(TEXT(FIXED(ROUND((C2096/EXC.RATE_1),CURRENCY.FORMAT_1),CURRENCY.FORMAT_1,1),"# ##0;-# ##0"),",-"),FIXED(ROUND((C2096/EXC.RATE_1),CURRENCY.FORMAT_1),CURRENCY.FORMAT_1,0)),'DICTIONARY-5'!$A$2)</f>
        <v>126,-</v>
      </c>
      <c r="K2096" s="670" t="str">
        <f>IF(EXC.RATE_2=0,"",IFERROR(IF(CURRENCY.FORMAT_2=0,CONCATENATE(TEXT(FIXED(ROUND(IF(EXC.RATE.SWITCH=1,C2096/EXC.RATE_2,C2096*EXC.RATE_2),CURRENCY.FORMAT_2),CURRENCY.FORMAT_2,1),"# ##0;-# ##0"),",-"),FIXED(ROUND(IF(EXC.RATE.SWITCH=1,C2096/EXC.RATE_2,C2096*EXC.RATE_2),CURRENCY.FORMAT_2),CURRENCY.FORMAT_2,0)),'DICTIONARY-5'!$A$2))</f>
        <v/>
      </c>
      <c r="L2096" s="670" t="str">
        <f>IFERROR(IF(CURRENCY.FORMAT_1=0,CONCATENATE(TEXT(FIXED(ROUND((C2096*(1-I2096)*(1-ADD.DISCOUNT)*(1+MAT.SURCHARGE)/EXC.RATE_1),CURRENCY.FORMAT_1),CURRENCY.FORMAT_1,1),"# ##0;-# ##0"),",-"),FIXED(ROUND((C2096*(1-I2096)*(1-ADD.DISCOUNT)*(1+MAT.SURCHARGE)/EXC.RATE_1),CURRENCY.FORMAT_1),CURRENCY.FORMAT_1,0)),'DICTIONARY-5'!$A$2)</f>
        <v>131,-</v>
      </c>
      <c r="M2096" s="670" t="str">
        <f>IF(EXC.RATE_2=0,"",IFERROR(IF(CURRENCY.FORMAT_2=0,CONCATENATE(TEXT(FIXED(ROUND(IF(EXC.RATE.SWITCH=1,C2096*(1-I2096)*(1-ADD.DISCOUNT)*(1+MAT.SURCHARGE)/EXC.RATE_2,C2096*(1-I2096)*(1-ADD.DISCOUNT)*(1+MAT.SURCHARGE)*EXC.RATE_2),CURRENCY.FORMAT_2),CURRENCY.FORMAT_2,1),"# ##0;-# ##0"),",-"),FIXED(ROUND(IF(EXC.RATE.SWITCH=1,C2096*(1-I2096)*(1-ADD.DISCOUNT)*(1+MAT.SURCHARGE)/EXC.RATE_2,C2096*(1-I2096)*(1-ADD.DISCOUNT)*(1+MAT.SURCHARGE)*EXC.RATE_2),CURRENCY.FORMAT_2),CURRENCY.FORMAT_2,0)),'DICTIONARY-5'!$A$2))</f>
        <v/>
      </c>
      <c r="N2096" s="752">
        <v>8</v>
      </c>
      <c r="O2096" s="654" t="s">
        <v>7363</v>
      </c>
      <c r="P2096" s="731" t="str">
        <f>'DICTIONARY-3'!$A$111</f>
        <v>BEV-E</v>
      </c>
      <c r="Q2096" s="732" t="str">
        <f>'DICTIONARY-3'!$A$206</f>
        <v>Zawór na- i odpowietrzający</v>
      </c>
      <c r="R2096" s="732" t="str">
        <f>CONCATENATE('DICTIONARY-3'!$A$111," ",'DICTIONARY-6'!$A$7," ","G¾"," ",'DICTIONARY-2'!$A$10,"25",'DICTIONARY-2'!$A$20," ",'DICTIONARY-6'!$A$62)</f>
        <v>BEV-E Zaw. na-/odpowietrz. G¾ PS25bar z zaw. kul.</v>
      </c>
      <c r="S2096" s="733" t="str">
        <f>'DICTIONARY-4'!$A$17</f>
        <v>AS</v>
      </c>
      <c r="T2096" s="732" t="str">
        <f>'DICTIONARY-4'!$A$33</f>
        <v>Automatyczne sterowanie</v>
      </c>
      <c r="U2096" s="734"/>
      <c r="V2096" s="735"/>
      <c r="W2096" s="736"/>
      <c r="X2096" s="750" t="s">
        <v>5831</v>
      </c>
      <c r="Y2096" s="738"/>
      <c r="Z2096" s="739"/>
      <c r="AA2096" s="739"/>
      <c r="AB2096" s="740">
        <v>25</v>
      </c>
      <c r="AC2096" s="741"/>
      <c r="AD2096" s="741" t="str">
        <f>'DICTIONARY-5'!$A$13</f>
        <v>woda pitna</v>
      </c>
      <c r="AE2096" s="742">
        <v>50</v>
      </c>
      <c r="AF2096" s="743">
        <v>4</v>
      </c>
      <c r="AG2096" s="741" t="str">
        <f>'DICTIONARY-5'!$A$23</f>
        <v>powłoka epoksydowa</v>
      </c>
    </row>
    <row r="2097" spans="1:33" x14ac:dyDescent="0.25">
      <c r="A2097" s="874" t="s">
        <v>7370</v>
      </c>
      <c r="B2097" s="874" t="s">
        <v>7367</v>
      </c>
      <c r="C2097" s="836">
        <v>133</v>
      </c>
      <c r="D2097" s="836"/>
      <c r="E2097" s="836"/>
      <c r="F2097" s="836"/>
      <c r="G2097" s="496" t="s">
        <v>7836</v>
      </c>
      <c r="H2097" s="797" t="str">
        <f>VLOOKUP(G2097,SETTINGS!$B$7:$D$97,2,0)</f>
        <v>BEV-E</v>
      </c>
      <c r="I2097" s="796">
        <f>VLOOKUP(G2097,SETTINGS!$B$7:$D$97,3,0)</f>
        <v>0</v>
      </c>
      <c r="J2097" s="670" t="str">
        <f>IFERROR(IF(CURRENCY.FORMAT_1=0,CONCATENATE(TEXT(FIXED(ROUND((C2097/EXC.RATE_1),CURRENCY.FORMAT_1),CURRENCY.FORMAT_1,1),"# ##0;-# ##0"),",-"),FIXED(ROUND((C2097/EXC.RATE_1),CURRENCY.FORMAT_1),CURRENCY.FORMAT_1,0)),'DICTIONARY-5'!$A$2)</f>
        <v>133,-</v>
      </c>
      <c r="K2097" s="670" t="str">
        <f>IF(EXC.RATE_2=0,"",IFERROR(IF(CURRENCY.FORMAT_2=0,CONCATENATE(TEXT(FIXED(ROUND(IF(EXC.RATE.SWITCH=1,C2097/EXC.RATE_2,C2097*EXC.RATE_2),CURRENCY.FORMAT_2),CURRENCY.FORMAT_2,1),"# ##0;-# ##0"),",-"),FIXED(ROUND(IF(EXC.RATE.SWITCH=1,C2097/EXC.RATE_2,C2097*EXC.RATE_2),CURRENCY.FORMAT_2),CURRENCY.FORMAT_2,0)),'DICTIONARY-5'!$A$2))</f>
        <v/>
      </c>
      <c r="L2097" s="670" t="str">
        <f>IFERROR(IF(CURRENCY.FORMAT_1=0,CONCATENATE(TEXT(FIXED(ROUND((C2097*(1-I2097)*(1-ADD.DISCOUNT)*(1+MAT.SURCHARGE)/EXC.RATE_1),CURRENCY.FORMAT_1),CURRENCY.FORMAT_1,1),"# ##0;-# ##0"),",-"),FIXED(ROUND((C2097*(1-I2097)*(1-ADD.DISCOUNT)*(1+MAT.SURCHARGE)/EXC.RATE_1),CURRENCY.FORMAT_1),CURRENCY.FORMAT_1,0)),'DICTIONARY-5'!$A$2)</f>
        <v>138,-</v>
      </c>
      <c r="M2097" s="670" t="str">
        <f>IF(EXC.RATE_2=0,"",IFERROR(IF(CURRENCY.FORMAT_2=0,CONCATENATE(TEXT(FIXED(ROUND(IF(EXC.RATE.SWITCH=1,C2097*(1-I2097)*(1-ADD.DISCOUNT)*(1+MAT.SURCHARGE)/EXC.RATE_2,C2097*(1-I2097)*(1-ADD.DISCOUNT)*(1+MAT.SURCHARGE)*EXC.RATE_2),CURRENCY.FORMAT_2),CURRENCY.FORMAT_2,1),"# ##0;-# ##0"),",-"),FIXED(ROUND(IF(EXC.RATE.SWITCH=1,C2097*(1-I2097)*(1-ADD.DISCOUNT)*(1+MAT.SURCHARGE)/EXC.RATE_2,C2097*(1-I2097)*(1-ADD.DISCOUNT)*(1+MAT.SURCHARGE)*EXC.RATE_2),CURRENCY.FORMAT_2),CURRENCY.FORMAT_2,0)),'DICTIONARY-5'!$A$2))</f>
        <v/>
      </c>
      <c r="N2097" s="752">
        <v>8</v>
      </c>
      <c r="O2097" s="654" t="s">
        <v>7363</v>
      </c>
      <c r="P2097" s="731" t="str">
        <f>'DICTIONARY-3'!$A$111</f>
        <v>BEV-E</v>
      </c>
      <c r="Q2097" s="732" t="str">
        <f>'DICTIONARY-3'!$A$206</f>
        <v>Zawór na- i odpowietrzający</v>
      </c>
      <c r="R2097" s="732" t="str">
        <f>CONCATENATE('DICTIONARY-3'!$A$111," ",'DICTIONARY-6'!$A$7," ","G1"," ",'DICTIONARY-2'!$A$10,"25",'DICTIONARY-2'!$A$20," ",'DICTIONARY-6'!$A$62)</f>
        <v>BEV-E Zaw. na-/odpowietrz. G1 PS25bar z zaw. kul.</v>
      </c>
      <c r="S2097" s="733" t="str">
        <f>'DICTIONARY-4'!$A$17</f>
        <v>AS</v>
      </c>
      <c r="T2097" s="732" t="str">
        <f>'DICTIONARY-4'!$A$33</f>
        <v>Automatyczne sterowanie</v>
      </c>
      <c r="U2097" s="734"/>
      <c r="V2097" s="735"/>
      <c r="W2097" s="736"/>
      <c r="X2097" s="750" t="s">
        <v>49</v>
      </c>
      <c r="Y2097" s="738"/>
      <c r="Z2097" s="739"/>
      <c r="AA2097" s="739"/>
      <c r="AB2097" s="740">
        <v>25</v>
      </c>
      <c r="AC2097" s="741"/>
      <c r="AD2097" s="741" t="str">
        <f>'DICTIONARY-5'!$A$13</f>
        <v>woda pitna</v>
      </c>
      <c r="AE2097" s="742">
        <v>50</v>
      </c>
      <c r="AF2097" s="743">
        <v>4.0549999999999997</v>
      </c>
      <c r="AG2097" s="741" t="str">
        <f>'DICTIONARY-5'!$A$23</f>
        <v>powłoka epoksydowa</v>
      </c>
    </row>
    <row r="2098" spans="1:33" x14ac:dyDescent="0.25">
      <c r="A2098" s="874" t="s">
        <v>7371</v>
      </c>
      <c r="B2098" s="874" t="s">
        <v>7368</v>
      </c>
      <c r="C2098" s="836">
        <v>136</v>
      </c>
      <c r="D2098" s="836"/>
      <c r="E2098" s="836"/>
      <c r="F2098" s="836"/>
      <c r="G2098" s="496" t="s">
        <v>7836</v>
      </c>
      <c r="H2098" s="797" t="str">
        <f>VLOOKUP(G2098,SETTINGS!$B$7:$D$97,2,0)</f>
        <v>BEV-E</v>
      </c>
      <c r="I2098" s="796">
        <f>VLOOKUP(G2098,SETTINGS!$B$7:$D$97,3,0)</f>
        <v>0</v>
      </c>
      <c r="J2098" s="670" t="str">
        <f>IFERROR(IF(CURRENCY.FORMAT_1=0,CONCATENATE(TEXT(FIXED(ROUND((C2098/EXC.RATE_1),CURRENCY.FORMAT_1),CURRENCY.FORMAT_1,1),"# ##0;-# ##0"),",-"),FIXED(ROUND((C2098/EXC.RATE_1),CURRENCY.FORMAT_1),CURRENCY.FORMAT_1,0)),'DICTIONARY-5'!$A$2)</f>
        <v>136,-</v>
      </c>
      <c r="K2098" s="670" t="str">
        <f>IF(EXC.RATE_2=0,"",IFERROR(IF(CURRENCY.FORMAT_2=0,CONCATENATE(TEXT(FIXED(ROUND(IF(EXC.RATE.SWITCH=1,C2098/EXC.RATE_2,C2098*EXC.RATE_2),CURRENCY.FORMAT_2),CURRENCY.FORMAT_2,1),"# ##0;-# ##0"),",-"),FIXED(ROUND(IF(EXC.RATE.SWITCH=1,C2098/EXC.RATE_2,C2098*EXC.RATE_2),CURRENCY.FORMAT_2),CURRENCY.FORMAT_2,0)),'DICTIONARY-5'!$A$2))</f>
        <v/>
      </c>
      <c r="L2098" s="670" t="str">
        <f>IFERROR(IF(CURRENCY.FORMAT_1=0,CONCATENATE(TEXT(FIXED(ROUND((C2098*(1-I2098)*(1-ADD.DISCOUNT)*(1+MAT.SURCHARGE)/EXC.RATE_1),CURRENCY.FORMAT_1),CURRENCY.FORMAT_1,1),"# ##0;-# ##0"),",-"),FIXED(ROUND((C2098*(1-I2098)*(1-ADD.DISCOUNT)*(1+MAT.SURCHARGE)/EXC.RATE_1),CURRENCY.FORMAT_1),CURRENCY.FORMAT_1,0)),'DICTIONARY-5'!$A$2)</f>
        <v>141,-</v>
      </c>
      <c r="M2098" s="670" t="str">
        <f>IF(EXC.RATE_2=0,"",IFERROR(IF(CURRENCY.FORMAT_2=0,CONCATENATE(TEXT(FIXED(ROUND(IF(EXC.RATE.SWITCH=1,C2098*(1-I2098)*(1-ADD.DISCOUNT)*(1+MAT.SURCHARGE)/EXC.RATE_2,C2098*(1-I2098)*(1-ADD.DISCOUNT)*(1+MAT.SURCHARGE)*EXC.RATE_2),CURRENCY.FORMAT_2),CURRENCY.FORMAT_2,1),"# ##0;-# ##0"),",-"),FIXED(ROUND(IF(EXC.RATE.SWITCH=1,C2098*(1-I2098)*(1-ADD.DISCOUNT)*(1+MAT.SURCHARGE)/EXC.RATE_2,C2098*(1-I2098)*(1-ADD.DISCOUNT)*(1+MAT.SURCHARGE)*EXC.RATE_2),CURRENCY.FORMAT_2),CURRENCY.FORMAT_2,0)),'DICTIONARY-5'!$A$2))</f>
        <v/>
      </c>
      <c r="N2098" s="752">
        <v>8</v>
      </c>
      <c r="O2098" s="654" t="s">
        <v>7363</v>
      </c>
      <c r="P2098" s="731" t="str">
        <f>'DICTIONARY-3'!$A$111</f>
        <v>BEV-E</v>
      </c>
      <c r="Q2098" s="732" t="str">
        <f>'DICTIONARY-3'!$A$206</f>
        <v>Zawór na- i odpowietrzający</v>
      </c>
      <c r="R2098" s="732" t="str">
        <f>CONCATENATE('DICTIONARY-3'!$A$111," ",'DICTIONARY-6'!$A$7," ","G1¼"," ",'DICTIONARY-2'!$A$10,"25",'DICTIONARY-2'!$A$20," ",'DICTIONARY-6'!$A$62)</f>
        <v>BEV-E Zaw. na-/odpowietrz. G1¼ PS25bar z zaw. kul.</v>
      </c>
      <c r="S2098" s="733" t="str">
        <f>'DICTIONARY-4'!$A$17</f>
        <v>AS</v>
      </c>
      <c r="T2098" s="732" t="str">
        <f>'DICTIONARY-4'!$A$33</f>
        <v>Automatyczne sterowanie</v>
      </c>
      <c r="U2098" s="734"/>
      <c r="V2098" s="735"/>
      <c r="W2098" s="736"/>
      <c r="X2098" s="750" t="s">
        <v>5740</v>
      </c>
      <c r="Y2098" s="738"/>
      <c r="Z2098" s="739"/>
      <c r="AA2098" s="739"/>
      <c r="AB2098" s="740">
        <v>25</v>
      </c>
      <c r="AC2098" s="741"/>
      <c r="AD2098" s="741" t="str">
        <f>'DICTIONARY-5'!$A$13</f>
        <v>woda pitna</v>
      </c>
      <c r="AE2098" s="742">
        <v>50</v>
      </c>
      <c r="AF2098" s="743">
        <v>4</v>
      </c>
      <c r="AG2098" s="741" t="str">
        <f>'DICTIONARY-5'!$A$23</f>
        <v>powłoka epoksydowa</v>
      </c>
    </row>
    <row r="2099" spans="1:33" x14ac:dyDescent="0.25">
      <c r="A2099" s="874" t="s">
        <v>5551</v>
      </c>
      <c r="B2099" s="874" t="s">
        <v>5552</v>
      </c>
      <c r="C2099" s="836" t="s">
        <v>5967</v>
      </c>
      <c r="D2099" s="836"/>
      <c r="E2099" s="836"/>
      <c r="F2099" s="836"/>
      <c r="G2099" s="496" t="s">
        <v>7836</v>
      </c>
      <c r="H2099" s="797" t="str">
        <f>VLOOKUP(G2099,SETTINGS!$B$7:$D$97,2,0)</f>
        <v>BEV-E</v>
      </c>
      <c r="I2099" s="796">
        <f>VLOOKUP(G2099,SETTINGS!$B$7:$D$97,3,0)</f>
        <v>0</v>
      </c>
      <c r="J2099" s="670" t="str">
        <f>IFERROR(IF(CURRENCY.FORMAT_1=0,CONCATENATE(TEXT(FIXED(ROUND((C2099/EXC.RATE_1),CURRENCY.FORMAT_1),CURRENCY.FORMAT_1,1),"# ##0;-# ##0"),",-"),FIXED(ROUND((C2099/EXC.RATE_1),CURRENCY.FORMAT_1),CURRENCY.FORMAT_1,0)),'DICTIONARY-5'!$A$2)</f>
        <v>na zapytanie</v>
      </c>
      <c r="K2099" s="670" t="str">
        <f>IF(EXC.RATE_2=0,"",IFERROR(IF(CURRENCY.FORMAT_2=0,CONCATENATE(TEXT(FIXED(ROUND(IF(EXC.RATE.SWITCH=1,C2099/EXC.RATE_2,C2099*EXC.RATE_2),CURRENCY.FORMAT_2),CURRENCY.FORMAT_2,1),"# ##0;-# ##0"),",-"),FIXED(ROUND(IF(EXC.RATE.SWITCH=1,C2099/EXC.RATE_2,C2099*EXC.RATE_2),CURRENCY.FORMAT_2),CURRENCY.FORMAT_2,0)),'DICTIONARY-5'!$A$2))</f>
        <v/>
      </c>
      <c r="L2099" s="670" t="str">
        <f>IFERROR(IF(CURRENCY.FORMAT_1=0,CONCATENATE(TEXT(FIXED(ROUND((C2099*(1-I2099)*(1-ADD.DISCOUNT)*(1+MAT.SURCHARGE)/EXC.RATE_1),CURRENCY.FORMAT_1),CURRENCY.FORMAT_1,1),"# ##0;-# ##0"),",-"),FIXED(ROUND((C2099*(1-I2099)*(1-ADD.DISCOUNT)*(1+MAT.SURCHARGE)/EXC.RATE_1),CURRENCY.FORMAT_1),CURRENCY.FORMAT_1,0)),'DICTIONARY-5'!$A$2)</f>
        <v>na zapytanie</v>
      </c>
      <c r="M2099" s="670" t="str">
        <f>IF(EXC.RATE_2=0,"",IFERROR(IF(CURRENCY.FORMAT_2=0,CONCATENATE(TEXT(FIXED(ROUND(IF(EXC.RATE.SWITCH=1,C2099*(1-I2099)*(1-ADD.DISCOUNT)*(1+MAT.SURCHARGE)/EXC.RATE_2,C2099*(1-I2099)*(1-ADD.DISCOUNT)*(1+MAT.SURCHARGE)*EXC.RATE_2),CURRENCY.FORMAT_2),CURRENCY.FORMAT_2,1),"# ##0;-# ##0"),",-"),FIXED(ROUND(IF(EXC.RATE.SWITCH=1,C2099*(1-I2099)*(1-ADD.DISCOUNT)*(1+MAT.SURCHARGE)/EXC.RATE_2,C2099*(1-I2099)*(1-ADD.DISCOUNT)*(1+MAT.SURCHARGE)*EXC.RATE_2),CURRENCY.FORMAT_2),CURRENCY.FORMAT_2,0)),'DICTIONARY-5'!$A$2))</f>
        <v/>
      </c>
      <c r="N2099" s="752">
        <v>8</v>
      </c>
      <c r="O2099" s="654" t="s">
        <v>7363</v>
      </c>
      <c r="P2099" s="731" t="str">
        <f>'DICTIONARY-3'!$A$111</f>
        <v>BEV-E</v>
      </c>
      <c r="Q2099" s="732" t="str">
        <f>'DICTIONARY-3'!$A$206</f>
        <v>Zawór na- i odpowietrzający</v>
      </c>
      <c r="R2099" s="732" t="str">
        <f>CONCATENATE('DICTIONARY-3'!$A$111," ",'DICTIONARY-6'!$A$7," ",'DICTIONARY-2'!$A$2,"40/50/60"," ",'DICTIONARY-2'!$A$3,"10/16")</f>
        <v>BEV-E Zaw. na-/odpowietrz. DN40/50/60 PN10/16</v>
      </c>
      <c r="S2099" s="733" t="str">
        <f>'DICTIONARY-4'!$A$17</f>
        <v>AS</v>
      </c>
      <c r="T2099" s="732" t="str">
        <f>'DICTIONARY-4'!$A$33</f>
        <v>Automatyczne sterowanie</v>
      </c>
      <c r="U2099" s="734" t="s">
        <v>5830</v>
      </c>
      <c r="V2099" s="735">
        <v>16</v>
      </c>
      <c r="W2099" s="736"/>
      <c r="X2099" s="737"/>
      <c r="Y2099" s="738"/>
      <c r="Z2099" s="739"/>
      <c r="AA2099" s="739"/>
      <c r="AB2099" s="740">
        <v>16</v>
      </c>
      <c r="AC2099" s="741"/>
      <c r="AD2099" s="741" t="str">
        <f>'DICTIONARY-5'!$A$13</f>
        <v>woda pitna</v>
      </c>
      <c r="AE2099" s="742">
        <v>50</v>
      </c>
      <c r="AF2099" s="743">
        <v>7.37</v>
      </c>
      <c r="AG2099" s="741" t="str">
        <f>'DICTIONARY-5'!$A$23</f>
        <v>powłoka epoksydowa</v>
      </c>
    </row>
    <row r="2100" spans="1:33" x14ac:dyDescent="0.25">
      <c r="A2100" s="872" t="s">
        <v>1917</v>
      </c>
      <c r="B2100" s="872" t="s">
        <v>4210</v>
      </c>
      <c r="C2100" s="836">
        <v>116</v>
      </c>
      <c r="D2100" s="836"/>
      <c r="E2100" s="836"/>
      <c r="F2100" s="836"/>
      <c r="G2100" s="496" t="s">
        <v>7837</v>
      </c>
      <c r="H2100" s="797" t="str">
        <f>VLOOKUP(G2100,SETTINGS!$B$7:$D$97,2,0)</f>
        <v>HILL</v>
      </c>
      <c r="I2100" s="796">
        <f>VLOOKUP(G2100,SETTINGS!$B$7:$D$97,3,0)</f>
        <v>0</v>
      </c>
      <c r="J2100" s="670" t="str">
        <f>IFERROR(IF(CURRENCY.FORMAT_1=0,CONCATENATE(TEXT(FIXED(ROUND((C2100/EXC.RATE_1),CURRENCY.FORMAT_1),CURRENCY.FORMAT_1,1),"# ##0;-# ##0"),",-"),FIXED(ROUND((C2100/EXC.RATE_1),CURRENCY.FORMAT_1),CURRENCY.FORMAT_1,0)),'DICTIONARY-5'!$A$2)</f>
        <v>116,-</v>
      </c>
      <c r="K2100" s="670" t="str">
        <f>IF(EXC.RATE_2=0,"",IFERROR(IF(CURRENCY.FORMAT_2=0,CONCATENATE(TEXT(FIXED(ROUND(IF(EXC.RATE.SWITCH=1,C2100/EXC.RATE_2,C2100*EXC.RATE_2),CURRENCY.FORMAT_2),CURRENCY.FORMAT_2,1),"# ##0;-# ##0"),",-"),FIXED(ROUND(IF(EXC.RATE.SWITCH=1,C2100/EXC.RATE_2,C2100*EXC.RATE_2),CURRENCY.FORMAT_2),CURRENCY.FORMAT_2,0)),'DICTIONARY-5'!$A$2))</f>
        <v/>
      </c>
      <c r="L2100" s="670" t="str">
        <f>IFERROR(IF(CURRENCY.FORMAT_1=0,CONCATENATE(TEXT(FIXED(ROUND((C2100*(1-I2100)*(1-ADD.DISCOUNT)*(1+MAT.SURCHARGE)/EXC.RATE_1),CURRENCY.FORMAT_1),CURRENCY.FORMAT_1,1),"# ##0;-# ##0"),",-"),FIXED(ROUND((C2100*(1-I2100)*(1-ADD.DISCOUNT)*(1+MAT.SURCHARGE)/EXC.RATE_1),CURRENCY.FORMAT_1),CURRENCY.FORMAT_1,0)),'DICTIONARY-5'!$A$2)</f>
        <v>121,-</v>
      </c>
      <c r="M2100" s="670" t="str">
        <f>IF(EXC.RATE_2=0,"",IFERROR(IF(CURRENCY.FORMAT_2=0,CONCATENATE(TEXT(FIXED(ROUND(IF(EXC.RATE.SWITCH=1,C2100*(1-I2100)*(1-ADD.DISCOUNT)*(1+MAT.SURCHARGE)/EXC.RATE_2,C2100*(1-I2100)*(1-ADD.DISCOUNT)*(1+MAT.SURCHARGE)*EXC.RATE_2),CURRENCY.FORMAT_2),CURRENCY.FORMAT_2,1),"# ##0;-# ##0"),",-"),FIXED(ROUND(IF(EXC.RATE.SWITCH=1,C2100*(1-I2100)*(1-ADD.DISCOUNT)*(1+MAT.SURCHARGE)/EXC.RATE_2,C2100*(1-I2100)*(1-ADD.DISCOUNT)*(1+MAT.SURCHARGE)*EXC.RATE_2),CURRENCY.FORMAT_2),CURRENCY.FORMAT_2,0)),'DICTIONARY-5'!$A$2))</f>
        <v/>
      </c>
      <c r="N2100" s="538">
        <v>8</v>
      </c>
      <c r="O2100" s="538"/>
      <c r="P2100" s="731" t="str">
        <f>'DICTIONARY-3'!$A$112</f>
        <v>HILL</v>
      </c>
      <c r="Q2100" s="732" t="str">
        <f>'DICTIONARY-3'!$A$208</f>
        <v>Zawór powietrzny</v>
      </c>
      <c r="R2100" s="732" t="str">
        <f>CONCATENATE('DICTIONARY-3'!$A$112," ",'DICTIONARY-6'!$A$9," ",'DICTIONARY-2'!$A$2,"50"," ",'DICTIONARY-2'!$A$3,"10")</f>
        <v>HILL Zaw. powietrz. DN50 PN10</v>
      </c>
      <c r="S2100" s="733" t="str">
        <f>'DICTIONARY-4'!$A$17</f>
        <v>AS</v>
      </c>
      <c r="T2100" s="732" t="str">
        <f>'DICTIONARY-4'!$A$33</f>
        <v>Automatyczne sterowanie</v>
      </c>
      <c r="U2100" s="734" t="s">
        <v>5748</v>
      </c>
      <c r="V2100" s="735">
        <v>10</v>
      </c>
      <c r="W2100" s="736"/>
      <c r="X2100" s="737"/>
      <c r="Y2100" s="738"/>
      <c r="Z2100" s="739"/>
      <c r="AA2100" s="739"/>
      <c r="AB2100" s="740">
        <v>10</v>
      </c>
      <c r="AC2100" s="741"/>
      <c r="AD2100" s="741" t="str">
        <f>'DICTIONARY-5'!$A$13</f>
        <v>woda pitna</v>
      </c>
      <c r="AE2100" s="742">
        <v>50</v>
      </c>
      <c r="AF2100" s="743">
        <v>4</v>
      </c>
      <c r="AG2100" s="741" t="str">
        <f>'DICTIONARY-5'!$A$23</f>
        <v>powłoka epoksydowa</v>
      </c>
    </row>
    <row r="2101" spans="1:33" x14ac:dyDescent="0.25">
      <c r="A2101" s="872" t="s">
        <v>1918</v>
      </c>
      <c r="B2101" s="872" t="s">
        <v>4211</v>
      </c>
      <c r="C2101" s="836">
        <v>121</v>
      </c>
      <c r="D2101" s="836"/>
      <c r="E2101" s="836"/>
      <c r="F2101" s="836"/>
      <c r="G2101" s="496" t="s">
        <v>7837</v>
      </c>
      <c r="H2101" s="797" t="str">
        <f>VLOOKUP(G2101,SETTINGS!$B$7:$D$97,2,0)</f>
        <v>HILL</v>
      </c>
      <c r="I2101" s="796">
        <f>VLOOKUP(G2101,SETTINGS!$B$7:$D$97,3,0)</f>
        <v>0</v>
      </c>
      <c r="J2101" s="670" t="str">
        <f>IFERROR(IF(CURRENCY.FORMAT_1=0,CONCATENATE(TEXT(FIXED(ROUND((C2101/EXC.RATE_1),CURRENCY.FORMAT_1),CURRENCY.FORMAT_1,1),"# ##0;-# ##0"),",-"),FIXED(ROUND((C2101/EXC.RATE_1),CURRENCY.FORMAT_1),CURRENCY.FORMAT_1,0)),'DICTIONARY-5'!$A$2)</f>
        <v>121,-</v>
      </c>
      <c r="K2101" s="670" t="str">
        <f>IF(EXC.RATE_2=0,"",IFERROR(IF(CURRENCY.FORMAT_2=0,CONCATENATE(TEXT(FIXED(ROUND(IF(EXC.RATE.SWITCH=1,C2101/EXC.RATE_2,C2101*EXC.RATE_2),CURRENCY.FORMAT_2),CURRENCY.FORMAT_2,1),"# ##0;-# ##0"),",-"),FIXED(ROUND(IF(EXC.RATE.SWITCH=1,C2101/EXC.RATE_2,C2101*EXC.RATE_2),CURRENCY.FORMAT_2),CURRENCY.FORMAT_2,0)),'DICTIONARY-5'!$A$2))</f>
        <v/>
      </c>
      <c r="L2101" s="670" t="str">
        <f>IFERROR(IF(CURRENCY.FORMAT_1=0,CONCATENATE(TEXT(FIXED(ROUND((C2101*(1-I2101)*(1-ADD.DISCOUNT)*(1+MAT.SURCHARGE)/EXC.RATE_1),CURRENCY.FORMAT_1),CURRENCY.FORMAT_1,1),"# ##0;-# ##0"),",-"),FIXED(ROUND((C2101*(1-I2101)*(1-ADD.DISCOUNT)*(1+MAT.SURCHARGE)/EXC.RATE_1),CURRENCY.FORMAT_1),CURRENCY.FORMAT_1,0)),'DICTIONARY-5'!$A$2)</f>
        <v>126,-</v>
      </c>
      <c r="M2101" s="670" t="str">
        <f>IF(EXC.RATE_2=0,"",IFERROR(IF(CURRENCY.FORMAT_2=0,CONCATENATE(TEXT(FIXED(ROUND(IF(EXC.RATE.SWITCH=1,C2101*(1-I2101)*(1-ADD.DISCOUNT)*(1+MAT.SURCHARGE)/EXC.RATE_2,C2101*(1-I2101)*(1-ADD.DISCOUNT)*(1+MAT.SURCHARGE)*EXC.RATE_2),CURRENCY.FORMAT_2),CURRENCY.FORMAT_2,1),"# ##0;-# ##0"),",-"),FIXED(ROUND(IF(EXC.RATE.SWITCH=1,C2101*(1-I2101)*(1-ADD.DISCOUNT)*(1+MAT.SURCHARGE)/EXC.RATE_2,C2101*(1-I2101)*(1-ADD.DISCOUNT)*(1+MAT.SURCHARGE)*EXC.RATE_2),CURRENCY.FORMAT_2),CURRENCY.FORMAT_2,0)),'DICTIONARY-5'!$A$2))</f>
        <v/>
      </c>
      <c r="N2101" s="538">
        <v>8</v>
      </c>
      <c r="O2101" s="538"/>
      <c r="P2101" s="731" t="str">
        <f>'DICTIONARY-3'!$A$112</f>
        <v>HILL</v>
      </c>
      <c r="Q2101" s="732" t="str">
        <f>'DICTIONARY-3'!$A$208</f>
        <v>Zawór powietrzny</v>
      </c>
      <c r="R2101" s="732" t="str">
        <f>CONCATENATE('DICTIONARY-3'!$A$112," ",'DICTIONARY-6'!$A$9," ",'DICTIONARY-2'!$A$2,"80"," ",'DICTIONARY-2'!$A$3,"10")</f>
        <v>HILL Zaw. powietrz. DN80 PN10</v>
      </c>
      <c r="S2101" s="733" t="str">
        <f>'DICTIONARY-4'!$A$17</f>
        <v>AS</v>
      </c>
      <c r="T2101" s="732" t="str">
        <f>'DICTIONARY-4'!$A$33</f>
        <v>Automatyczne sterowanie</v>
      </c>
      <c r="U2101" s="734" t="s">
        <v>5760</v>
      </c>
      <c r="V2101" s="735">
        <v>10</v>
      </c>
      <c r="W2101" s="736"/>
      <c r="X2101" s="737"/>
      <c r="Y2101" s="738"/>
      <c r="Z2101" s="739"/>
      <c r="AA2101" s="739"/>
      <c r="AB2101" s="740">
        <v>10</v>
      </c>
      <c r="AC2101" s="741"/>
      <c r="AD2101" s="741" t="str">
        <f>'DICTIONARY-5'!$A$13</f>
        <v>woda pitna</v>
      </c>
      <c r="AE2101" s="742">
        <v>50</v>
      </c>
      <c r="AF2101" s="743">
        <v>4.5</v>
      </c>
      <c r="AG2101" s="741" t="str">
        <f>'DICTIONARY-5'!$A$23</f>
        <v>powłoka epoksydowa</v>
      </c>
    </row>
    <row r="2102" spans="1:33" x14ac:dyDescent="0.25">
      <c r="A2102" s="872" t="s">
        <v>1920</v>
      </c>
      <c r="B2102" s="872" t="s">
        <v>4209</v>
      </c>
      <c r="C2102" s="836">
        <v>139</v>
      </c>
      <c r="D2102" s="836"/>
      <c r="E2102" s="836"/>
      <c r="F2102" s="836"/>
      <c r="G2102" s="496" t="s">
        <v>7837</v>
      </c>
      <c r="H2102" s="797" t="str">
        <f>VLOOKUP(G2102,SETTINGS!$B$7:$D$97,2,0)</f>
        <v>HILL</v>
      </c>
      <c r="I2102" s="796">
        <f>VLOOKUP(G2102,SETTINGS!$B$7:$D$97,3,0)</f>
        <v>0</v>
      </c>
      <c r="J2102" s="670" t="str">
        <f>IFERROR(IF(CURRENCY.FORMAT_1=0,CONCATENATE(TEXT(FIXED(ROUND((C2102/EXC.RATE_1),CURRENCY.FORMAT_1),CURRENCY.FORMAT_1,1),"# ##0;-# ##0"),",-"),FIXED(ROUND((C2102/EXC.RATE_1),CURRENCY.FORMAT_1),CURRENCY.FORMAT_1,0)),'DICTIONARY-5'!$A$2)</f>
        <v>139,-</v>
      </c>
      <c r="K2102" s="670" t="str">
        <f>IF(EXC.RATE_2=0,"",IFERROR(IF(CURRENCY.FORMAT_2=0,CONCATENATE(TEXT(FIXED(ROUND(IF(EXC.RATE.SWITCH=1,C2102/EXC.RATE_2,C2102*EXC.RATE_2),CURRENCY.FORMAT_2),CURRENCY.FORMAT_2,1),"# ##0;-# ##0"),",-"),FIXED(ROUND(IF(EXC.RATE.SWITCH=1,C2102/EXC.RATE_2,C2102*EXC.RATE_2),CURRENCY.FORMAT_2),CURRENCY.FORMAT_2,0)),'DICTIONARY-5'!$A$2))</f>
        <v/>
      </c>
      <c r="L2102" s="670" t="str">
        <f>IFERROR(IF(CURRENCY.FORMAT_1=0,CONCATENATE(TEXT(FIXED(ROUND((C2102*(1-I2102)*(1-ADD.DISCOUNT)*(1+MAT.SURCHARGE)/EXC.RATE_1),CURRENCY.FORMAT_1),CURRENCY.FORMAT_1,1),"# ##0;-# ##0"),",-"),FIXED(ROUND((C2102*(1-I2102)*(1-ADD.DISCOUNT)*(1+MAT.SURCHARGE)/EXC.RATE_1),CURRENCY.FORMAT_1),CURRENCY.FORMAT_1,0)),'DICTIONARY-5'!$A$2)</f>
        <v>144,-</v>
      </c>
      <c r="M2102" s="670" t="str">
        <f>IF(EXC.RATE_2=0,"",IFERROR(IF(CURRENCY.FORMAT_2=0,CONCATENATE(TEXT(FIXED(ROUND(IF(EXC.RATE.SWITCH=1,C2102*(1-I2102)*(1-ADD.DISCOUNT)*(1+MAT.SURCHARGE)/EXC.RATE_2,C2102*(1-I2102)*(1-ADD.DISCOUNT)*(1+MAT.SURCHARGE)*EXC.RATE_2),CURRENCY.FORMAT_2),CURRENCY.FORMAT_2,1),"# ##0;-# ##0"),",-"),FIXED(ROUND(IF(EXC.RATE.SWITCH=1,C2102*(1-I2102)*(1-ADD.DISCOUNT)*(1+MAT.SURCHARGE)/EXC.RATE_2,C2102*(1-I2102)*(1-ADD.DISCOUNT)*(1+MAT.SURCHARGE)*EXC.RATE_2),CURRENCY.FORMAT_2),CURRENCY.FORMAT_2,0)),'DICTIONARY-5'!$A$2))</f>
        <v/>
      </c>
      <c r="N2102" s="538">
        <v>8</v>
      </c>
      <c r="O2102" s="538"/>
      <c r="P2102" s="731" t="str">
        <f>'DICTIONARY-3'!$A$112</f>
        <v>HILL</v>
      </c>
      <c r="Q2102" s="732" t="str">
        <f>'DICTIONARY-3'!$A$208</f>
        <v>Zawór powietrzny</v>
      </c>
      <c r="R2102" s="732" t="str">
        <f>CONCATENATE('DICTIONARY-3'!$A$112," ",'DICTIONARY-6'!$A$9," ",'DICTIONARY-2'!$A$2,"25"," ",'DICTIONARY-2'!$A$3,"10"," ","G1")</f>
        <v>HILL Zaw. powietrz. DN25 PN10 G1</v>
      </c>
      <c r="S2102" s="733" t="str">
        <f>'DICTIONARY-4'!$A$17</f>
        <v>AS</v>
      </c>
      <c r="T2102" s="732" t="str">
        <f>'DICTIONARY-4'!$A$33</f>
        <v>Automatyczne sterowanie</v>
      </c>
      <c r="U2102" s="734" t="s">
        <v>44</v>
      </c>
      <c r="V2102" s="735">
        <v>10</v>
      </c>
      <c r="W2102" s="736"/>
      <c r="X2102" s="750" t="s">
        <v>49</v>
      </c>
      <c r="Y2102" s="738"/>
      <c r="Z2102" s="739"/>
      <c r="AA2102" s="739"/>
      <c r="AB2102" s="740">
        <v>10</v>
      </c>
      <c r="AC2102" s="741"/>
      <c r="AD2102" s="741" t="str">
        <f>'DICTIONARY-5'!$A$13</f>
        <v>woda pitna</v>
      </c>
      <c r="AE2102" s="742">
        <v>50</v>
      </c>
      <c r="AF2102" s="743">
        <v>7</v>
      </c>
      <c r="AG2102" s="741" t="str">
        <f>'DICTIONARY-5'!$A$23</f>
        <v>powłoka epoksydowa</v>
      </c>
    </row>
    <row r="2103" spans="1:33" x14ac:dyDescent="0.25">
      <c r="A2103" s="872" t="s">
        <v>1921</v>
      </c>
      <c r="B2103" s="872" t="s">
        <v>3528</v>
      </c>
      <c r="C2103" s="836">
        <v>2223</v>
      </c>
      <c r="D2103" s="836"/>
      <c r="E2103" s="836"/>
      <c r="F2103" s="836"/>
      <c r="G2103" s="496" t="s">
        <v>7838</v>
      </c>
      <c r="H2103" s="797" t="str">
        <f>VLOOKUP(G2103,SETTINGS!$B$7:$D$97,2,0)</f>
        <v>PICO-H</v>
      </c>
      <c r="I2103" s="796">
        <f>VLOOKUP(G2103,SETTINGS!$B$7:$D$97,3,0)</f>
        <v>0</v>
      </c>
      <c r="J2103" s="670" t="str">
        <f>IFERROR(IF(CURRENCY.FORMAT_1=0,CONCATENATE(TEXT(FIXED(ROUND((C2103/EXC.RATE_1),CURRENCY.FORMAT_1),CURRENCY.FORMAT_1,1),"# ##0;-# ##0"),",-"),FIXED(ROUND((C2103/EXC.RATE_1),CURRENCY.FORMAT_1),CURRENCY.FORMAT_1,0)),'DICTIONARY-5'!$A$2)</f>
        <v>2 223,-</v>
      </c>
      <c r="K2103" s="670" t="str">
        <f>IF(EXC.RATE_2=0,"",IFERROR(IF(CURRENCY.FORMAT_2=0,CONCATENATE(TEXT(FIXED(ROUND(IF(EXC.RATE.SWITCH=1,C2103/EXC.RATE_2,C2103*EXC.RATE_2),CURRENCY.FORMAT_2),CURRENCY.FORMAT_2,1),"# ##0;-# ##0"),",-"),FIXED(ROUND(IF(EXC.RATE.SWITCH=1,C2103/EXC.RATE_2,C2103*EXC.RATE_2),CURRENCY.FORMAT_2),CURRENCY.FORMAT_2,0)),'DICTIONARY-5'!$A$2))</f>
        <v/>
      </c>
      <c r="L2103" s="670" t="str">
        <f>IFERROR(IF(CURRENCY.FORMAT_1=0,CONCATENATE(TEXT(FIXED(ROUND((C2103*(1-I2103)*(1-ADD.DISCOUNT)*(1+MAT.SURCHARGE)/EXC.RATE_1),CURRENCY.FORMAT_1),CURRENCY.FORMAT_1,1),"# ##0;-# ##0"),",-"),FIXED(ROUND((C2103*(1-I2103)*(1-ADD.DISCOUNT)*(1+MAT.SURCHARGE)/EXC.RATE_1),CURRENCY.FORMAT_1),CURRENCY.FORMAT_1,0)),'DICTIONARY-5'!$A$2)</f>
        <v>2 310,-</v>
      </c>
      <c r="M2103" s="670" t="str">
        <f>IF(EXC.RATE_2=0,"",IFERROR(IF(CURRENCY.FORMAT_2=0,CONCATENATE(TEXT(FIXED(ROUND(IF(EXC.RATE.SWITCH=1,C2103*(1-I2103)*(1-ADD.DISCOUNT)*(1+MAT.SURCHARGE)/EXC.RATE_2,C2103*(1-I2103)*(1-ADD.DISCOUNT)*(1+MAT.SURCHARGE)*EXC.RATE_2),CURRENCY.FORMAT_2),CURRENCY.FORMAT_2,1),"# ##0;-# ##0"),",-"),FIXED(ROUND(IF(EXC.RATE.SWITCH=1,C2103*(1-I2103)*(1-ADD.DISCOUNT)*(1+MAT.SURCHARGE)/EXC.RATE_2,C2103*(1-I2103)*(1-ADD.DISCOUNT)*(1+MAT.SURCHARGE)*EXC.RATE_2),CURRENCY.FORMAT_2),CURRENCY.FORMAT_2,0)),'DICTIONARY-5'!$A$2))</f>
        <v/>
      </c>
      <c r="N2103" s="538">
        <v>9</v>
      </c>
      <c r="O2103" s="538"/>
      <c r="P2103" s="731" t="str">
        <f>'DICTIONARY-3'!$A$116</f>
        <v>PICO H</v>
      </c>
      <c r="Q2103" s="732" t="str">
        <f>'DICTIONARY-3'!$A$209</f>
        <v>Zawór regulacyjny</v>
      </c>
      <c r="R2103" s="732" t="str">
        <f>CONCATENATE('DICTIONARY-3'!$A$116," ",'DICTIONARY-6'!$A$17," ",LOWER('DICTIONARY-2'!$A$36),"02"," ",'DICTIONARY-2'!$A$2,"50"," ",'DICTIONARY-2'!$A$3,"10/16"," ","SZ40 2-12",'DICTIONARY-2'!$A$20)</f>
        <v>PICO H  Zaw. regulacyjny typ02 DN50 PN10/16 SZ40 2-12bar</v>
      </c>
      <c r="S2103" s="733" t="str">
        <f>'DICTIONARY-4'!$A$17</f>
        <v>AS</v>
      </c>
      <c r="T2103" s="732" t="str">
        <f>'DICTIONARY-4'!$A$33</f>
        <v>Automatyczne sterowanie</v>
      </c>
      <c r="U2103" s="734" t="s">
        <v>5748</v>
      </c>
      <c r="V2103" s="735">
        <v>16</v>
      </c>
      <c r="W2103" s="736"/>
      <c r="X2103" s="737"/>
      <c r="Y2103" s="738"/>
      <c r="Z2103" s="739"/>
      <c r="AA2103" s="739"/>
      <c r="AB2103" s="740">
        <v>16</v>
      </c>
      <c r="AC2103" s="741" t="str">
        <f>'DICTIONARY-5'!$A$11&amp;" 1"</f>
        <v>EN 558 szereg 1</v>
      </c>
      <c r="AD2103" s="741" t="str">
        <f>'DICTIONARY-5'!$A$13</f>
        <v>woda pitna</v>
      </c>
      <c r="AE2103" s="742">
        <v>50</v>
      </c>
      <c r="AF2103" s="743">
        <v>16.5</v>
      </c>
      <c r="AG2103" s="741" t="str">
        <f>'DICTIONARY-5'!$A$23</f>
        <v>powłoka epoksydowa</v>
      </c>
    </row>
    <row r="2104" spans="1:33" x14ac:dyDescent="0.25">
      <c r="A2104" s="872" t="s">
        <v>1923</v>
      </c>
      <c r="B2104" s="872" t="s">
        <v>3530</v>
      </c>
      <c r="C2104" s="836">
        <v>2458</v>
      </c>
      <c r="D2104" s="836"/>
      <c r="E2104" s="836"/>
      <c r="F2104" s="836"/>
      <c r="G2104" s="496" t="s">
        <v>7838</v>
      </c>
      <c r="H2104" s="797" t="str">
        <f>VLOOKUP(G2104,SETTINGS!$B$7:$D$97,2,0)</f>
        <v>PICO-H</v>
      </c>
      <c r="I2104" s="796">
        <f>VLOOKUP(G2104,SETTINGS!$B$7:$D$97,3,0)</f>
        <v>0</v>
      </c>
      <c r="J2104" s="670" t="str">
        <f>IFERROR(IF(CURRENCY.FORMAT_1=0,CONCATENATE(TEXT(FIXED(ROUND((C2104/EXC.RATE_1),CURRENCY.FORMAT_1),CURRENCY.FORMAT_1,1),"# ##0;-# ##0"),",-"),FIXED(ROUND((C2104/EXC.RATE_1),CURRENCY.FORMAT_1),CURRENCY.FORMAT_1,0)),'DICTIONARY-5'!$A$2)</f>
        <v>2 458,-</v>
      </c>
      <c r="K2104" s="670" t="str">
        <f>IF(EXC.RATE_2=0,"",IFERROR(IF(CURRENCY.FORMAT_2=0,CONCATENATE(TEXT(FIXED(ROUND(IF(EXC.RATE.SWITCH=1,C2104/EXC.RATE_2,C2104*EXC.RATE_2),CURRENCY.FORMAT_2),CURRENCY.FORMAT_2,1),"# ##0;-# ##0"),",-"),FIXED(ROUND(IF(EXC.RATE.SWITCH=1,C2104/EXC.RATE_2,C2104*EXC.RATE_2),CURRENCY.FORMAT_2),CURRENCY.FORMAT_2,0)),'DICTIONARY-5'!$A$2))</f>
        <v/>
      </c>
      <c r="L2104" s="670" t="str">
        <f>IFERROR(IF(CURRENCY.FORMAT_1=0,CONCATENATE(TEXT(FIXED(ROUND((C2104*(1-I2104)*(1-ADD.DISCOUNT)*(1+MAT.SURCHARGE)/EXC.RATE_1),CURRENCY.FORMAT_1),CURRENCY.FORMAT_1,1),"# ##0;-# ##0"),",-"),FIXED(ROUND((C2104*(1-I2104)*(1-ADD.DISCOUNT)*(1+MAT.SURCHARGE)/EXC.RATE_1),CURRENCY.FORMAT_1),CURRENCY.FORMAT_1,0)),'DICTIONARY-5'!$A$2)</f>
        <v>2 554,-</v>
      </c>
      <c r="M2104" s="670" t="str">
        <f>IF(EXC.RATE_2=0,"",IFERROR(IF(CURRENCY.FORMAT_2=0,CONCATENATE(TEXT(FIXED(ROUND(IF(EXC.RATE.SWITCH=1,C2104*(1-I2104)*(1-ADD.DISCOUNT)*(1+MAT.SURCHARGE)/EXC.RATE_2,C2104*(1-I2104)*(1-ADD.DISCOUNT)*(1+MAT.SURCHARGE)*EXC.RATE_2),CURRENCY.FORMAT_2),CURRENCY.FORMAT_2,1),"# ##0;-# ##0"),",-"),FIXED(ROUND(IF(EXC.RATE.SWITCH=1,C2104*(1-I2104)*(1-ADD.DISCOUNT)*(1+MAT.SURCHARGE)/EXC.RATE_2,C2104*(1-I2104)*(1-ADD.DISCOUNT)*(1+MAT.SURCHARGE)*EXC.RATE_2),CURRENCY.FORMAT_2),CURRENCY.FORMAT_2,0)),'DICTIONARY-5'!$A$2))</f>
        <v/>
      </c>
      <c r="N2104" s="538">
        <v>9</v>
      </c>
      <c r="O2104" s="538"/>
      <c r="P2104" s="731" t="str">
        <f>'DICTIONARY-3'!$A$116</f>
        <v>PICO H</v>
      </c>
      <c r="Q2104" s="732" t="str">
        <f>'DICTIONARY-3'!$A$209</f>
        <v>Zawór regulacyjny</v>
      </c>
      <c r="R2104" s="732" t="str">
        <f>CONCATENATE('DICTIONARY-3'!$A$116," ",'DICTIONARY-6'!$A$17," ",LOWER('DICTIONARY-2'!$A$36),"02"," ",'DICTIONARY-2'!$A$2,"65"," ",'DICTIONARY-2'!$A$3,"10/16"," ","SZ40 2-12",'DICTIONARY-2'!$A$20)</f>
        <v>PICO H  Zaw. regulacyjny typ02 DN65 PN10/16 SZ40 2-12bar</v>
      </c>
      <c r="S2104" s="733" t="str">
        <f>'DICTIONARY-4'!$A$17</f>
        <v>AS</v>
      </c>
      <c r="T2104" s="732" t="str">
        <f>'DICTIONARY-4'!$A$33</f>
        <v>Automatyczne sterowanie</v>
      </c>
      <c r="U2104" s="734" t="s">
        <v>5759</v>
      </c>
      <c r="V2104" s="735">
        <v>16</v>
      </c>
      <c r="W2104" s="736"/>
      <c r="X2104" s="737"/>
      <c r="Y2104" s="738"/>
      <c r="Z2104" s="739"/>
      <c r="AA2104" s="739"/>
      <c r="AB2104" s="740">
        <v>16</v>
      </c>
      <c r="AC2104" s="741" t="str">
        <f>'DICTIONARY-5'!$A$11&amp;" 1"</f>
        <v>EN 558 szereg 1</v>
      </c>
      <c r="AD2104" s="741" t="str">
        <f>'DICTIONARY-5'!$A$13</f>
        <v>woda pitna</v>
      </c>
      <c r="AE2104" s="742">
        <v>50</v>
      </c>
      <c r="AF2104" s="743">
        <v>27</v>
      </c>
      <c r="AG2104" s="741" t="str">
        <f>'DICTIONARY-5'!$A$23</f>
        <v>powłoka epoksydowa</v>
      </c>
    </row>
    <row r="2105" spans="1:33" x14ac:dyDescent="0.25">
      <c r="A2105" s="872" t="s">
        <v>1925</v>
      </c>
      <c r="B2105" s="872" t="s">
        <v>3532</v>
      </c>
      <c r="C2105" s="836">
        <v>2471</v>
      </c>
      <c r="D2105" s="836"/>
      <c r="E2105" s="836"/>
      <c r="F2105" s="836"/>
      <c r="G2105" s="496" t="s">
        <v>7838</v>
      </c>
      <c r="H2105" s="797" t="str">
        <f>VLOOKUP(G2105,SETTINGS!$B$7:$D$97,2,0)</f>
        <v>PICO-H</v>
      </c>
      <c r="I2105" s="796">
        <f>VLOOKUP(G2105,SETTINGS!$B$7:$D$97,3,0)</f>
        <v>0</v>
      </c>
      <c r="J2105" s="670" t="str">
        <f>IFERROR(IF(CURRENCY.FORMAT_1=0,CONCATENATE(TEXT(FIXED(ROUND((C2105/EXC.RATE_1),CURRENCY.FORMAT_1),CURRENCY.FORMAT_1,1),"# ##0;-# ##0"),",-"),FIXED(ROUND((C2105/EXC.RATE_1),CURRENCY.FORMAT_1),CURRENCY.FORMAT_1,0)),'DICTIONARY-5'!$A$2)</f>
        <v>2 471,-</v>
      </c>
      <c r="K2105" s="670" t="str">
        <f>IF(EXC.RATE_2=0,"",IFERROR(IF(CURRENCY.FORMAT_2=0,CONCATENATE(TEXT(FIXED(ROUND(IF(EXC.RATE.SWITCH=1,C2105/EXC.RATE_2,C2105*EXC.RATE_2),CURRENCY.FORMAT_2),CURRENCY.FORMAT_2,1),"# ##0;-# ##0"),",-"),FIXED(ROUND(IF(EXC.RATE.SWITCH=1,C2105/EXC.RATE_2,C2105*EXC.RATE_2),CURRENCY.FORMAT_2),CURRENCY.FORMAT_2,0)),'DICTIONARY-5'!$A$2))</f>
        <v/>
      </c>
      <c r="L2105" s="670" t="str">
        <f>IFERROR(IF(CURRENCY.FORMAT_1=0,CONCATENATE(TEXT(FIXED(ROUND((C2105*(1-I2105)*(1-ADD.DISCOUNT)*(1+MAT.SURCHARGE)/EXC.RATE_1),CURRENCY.FORMAT_1),CURRENCY.FORMAT_1,1),"# ##0;-# ##0"),",-"),FIXED(ROUND((C2105*(1-I2105)*(1-ADD.DISCOUNT)*(1+MAT.SURCHARGE)/EXC.RATE_1),CURRENCY.FORMAT_1),CURRENCY.FORMAT_1,0)),'DICTIONARY-5'!$A$2)</f>
        <v>2 567,-</v>
      </c>
      <c r="M2105" s="670" t="str">
        <f>IF(EXC.RATE_2=0,"",IFERROR(IF(CURRENCY.FORMAT_2=0,CONCATENATE(TEXT(FIXED(ROUND(IF(EXC.RATE.SWITCH=1,C2105*(1-I2105)*(1-ADD.DISCOUNT)*(1+MAT.SURCHARGE)/EXC.RATE_2,C2105*(1-I2105)*(1-ADD.DISCOUNT)*(1+MAT.SURCHARGE)*EXC.RATE_2),CURRENCY.FORMAT_2),CURRENCY.FORMAT_2,1),"# ##0;-# ##0"),",-"),FIXED(ROUND(IF(EXC.RATE.SWITCH=1,C2105*(1-I2105)*(1-ADD.DISCOUNT)*(1+MAT.SURCHARGE)/EXC.RATE_2,C2105*(1-I2105)*(1-ADD.DISCOUNT)*(1+MAT.SURCHARGE)*EXC.RATE_2),CURRENCY.FORMAT_2),CURRENCY.FORMAT_2,0)),'DICTIONARY-5'!$A$2))</f>
        <v/>
      </c>
      <c r="N2105" s="538">
        <v>9</v>
      </c>
      <c r="O2105" s="538"/>
      <c r="P2105" s="731" t="str">
        <f>'DICTIONARY-3'!$A$116</f>
        <v>PICO H</v>
      </c>
      <c r="Q2105" s="732" t="str">
        <f>'DICTIONARY-3'!$A$209</f>
        <v>Zawór regulacyjny</v>
      </c>
      <c r="R2105" s="732" t="str">
        <f>CONCATENATE('DICTIONARY-3'!$A$116," ",'DICTIONARY-6'!$A$17," ",LOWER('DICTIONARY-2'!$A$36),"02"," ",'DICTIONARY-2'!$A$2,"80"," ",'DICTIONARY-2'!$A$3,"10/16"," ","SZ40 2-12",'DICTIONARY-2'!$A$20)</f>
        <v>PICO H  Zaw. regulacyjny typ02 DN80 PN10/16 SZ40 2-12bar</v>
      </c>
      <c r="S2105" s="733" t="str">
        <f>'DICTIONARY-4'!$A$17</f>
        <v>AS</v>
      </c>
      <c r="T2105" s="732" t="str">
        <f>'DICTIONARY-4'!$A$33</f>
        <v>Automatyczne sterowanie</v>
      </c>
      <c r="U2105" s="734" t="s">
        <v>5760</v>
      </c>
      <c r="V2105" s="735">
        <v>16</v>
      </c>
      <c r="W2105" s="736"/>
      <c r="X2105" s="737"/>
      <c r="Y2105" s="738"/>
      <c r="Z2105" s="739"/>
      <c r="AA2105" s="739"/>
      <c r="AB2105" s="740">
        <v>16</v>
      </c>
      <c r="AC2105" s="741" t="str">
        <f>'DICTIONARY-5'!$A$11&amp;" 1"</f>
        <v>EN 558 szereg 1</v>
      </c>
      <c r="AD2105" s="741" t="str">
        <f>'DICTIONARY-5'!$A$13</f>
        <v>woda pitna</v>
      </c>
      <c r="AE2105" s="742">
        <v>50</v>
      </c>
      <c r="AF2105" s="743">
        <v>28</v>
      </c>
      <c r="AG2105" s="741" t="str">
        <f>'DICTIONARY-5'!$A$23</f>
        <v>powłoka epoksydowa</v>
      </c>
    </row>
    <row r="2106" spans="1:33" x14ac:dyDescent="0.25">
      <c r="A2106" s="872" t="s">
        <v>1927</v>
      </c>
      <c r="B2106" s="872" t="s">
        <v>3534</v>
      </c>
      <c r="C2106" s="836">
        <v>2548</v>
      </c>
      <c r="D2106" s="836"/>
      <c r="E2106" s="836"/>
      <c r="F2106" s="836"/>
      <c r="G2106" s="496" t="s">
        <v>7838</v>
      </c>
      <c r="H2106" s="797" t="str">
        <f>VLOOKUP(G2106,SETTINGS!$B$7:$D$97,2,0)</f>
        <v>PICO-H</v>
      </c>
      <c r="I2106" s="796">
        <f>VLOOKUP(G2106,SETTINGS!$B$7:$D$97,3,0)</f>
        <v>0</v>
      </c>
      <c r="J2106" s="670" t="str">
        <f>IFERROR(IF(CURRENCY.FORMAT_1=0,CONCATENATE(TEXT(FIXED(ROUND((C2106/EXC.RATE_1),CURRENCY.FORMAT_1),CURRENCY.FORMAT_1,1),"# ##0;-# ##0"),",-"),FIXED(ROUND((C2106/EXC.RATE_1),CURRENCY.FORMAT_1),CURRENCY.FORMAT_1,0)),'DICTIONARY-5'!$A$2)</f>
        <v>2 548,-</v>
      </c>
      <c r="K2106" s="670" t="str">
        <f>IF(EXC.RATE_2=0,"",IFERROR(IF(CURRENCY.FORMAT_2=0,CONCATENATE(TEXT(FIXED(ROUND(IF(EXC.RATE.SWITCH=1,C2106/EXC.RATE_2,C2106*EXC.RATE_2),CURRENCY.FORMAT_2),CURRENCY.FORMAT_2,1),"# ##0;-# ##0"),",-"),FIXED(ROUND(IF(EXC.RATE.SWITCH=1,C2106/EXC.RATE_2,C2106*EXC.RATE_2),CURRENCY.FORMAT_2),CURRENCY.FORMAT_2,0)),'DICTIONARY-5'!$A$2))</f>
        <v/>
      </c>
      <c r="L2106" s="670" t="str">
        <f>IFERROR(IF(CURRENCY.FORMAT_1=0,CONCATENATE(TEXT(FIXED(ROUND((C2106*(1-I2106)*(1-ADD.DISCOUNT)*(1+MAT.SURCHARGE)/EXC.RATE_1),CURRENCY.FORMAT_1),CURRENCY.FORMAT_1,1),"# ##0;-# ##0"),",-"),FIXED(ROUND((C2106*(1-I2106)*(1-ADD.DISCOUNT)*(1+MAT.SURCHARGE)/EXC.RATE_1),CURRENCY.FORMAT_1),CURRENCY.FORMAT_1,0)),'DICTIONARY-5'!$A$2)</f>
        <v>2 647,-</v>
      </c>
      <c r="M2106" s="670" t="str">
        <f>IF(EXC.RATE_2=0,"",IFERROR(IF(CURRENCY.FORMAT_2=0,CONCATENATE(TEXT(FIXED(ROUND(IF(EXC.RATE.SWITCH=1,C2106*(1-I2106)*(1-ADD.DISCOUNT)*(1+MAT.SURCHARGE)/EXC.RATE_2,C2106*(1-I2106)*(1-ADD.DISCOUNT)*(1+MAT.SURCHARGE)*EXC.RATE_2),CURRENCY.FORMAT_2),CURRENCY.FORMAT_2,1),"# ##0;-# ##0"),",-"),FIXED(ROUND(IF(EXC.RATE.SWITCH=1,C2106*(1-I2106)*(1-ADD.DISCOUNT)*(1+MAT.SURCHARGE)/EXC.RATE_2,C2106*(1-I2106)*(1-ADD.DISCOUNT)*(1+MAT.SURCHARGE)*EXC.RATE_2),CURRENCY.FORMAT_2),CURRENCY.FORMAT_2,0)),'DICTIONARY-5'!$A$2))</f>
        <v/>
      </c>
      <c r="N2106" s="538">
        <v>9</v>
      </c>
      <c r="O2106" s="538"/>
      <c r="P2106" s="731" t="str">
        <f>'DICTIONARY-3'!$A$116</f>
        <v>PICO H</v>
      </c>
      <c r="Q2106" s="732" t="str">
        <f>'DICTIONARY-3'!$A$209</f>
        <v>Zawór regulacyjny</v>
      </c>
      <c r="R2106" s="732" t="str">
        <f>CONCATENATE('DICTIONARY-3'!$A$116," ",'DICTIONARY-6'!$A$17," ",LOWER('DICTIONARY-2'!$A$36),"02"," ",'DICTIONARY-2'!$A$2,"100"," ",'DICTIONARY-2'!$A$3,"10/16"," ","SZ40 2-12",'DICTIONARY-2'!$A$20)</f>
        <v>PICO H  Zaw. regulacyjny typ02 DN100 PN10/16 SZ40 2-12bar</v>
      </c>
      <c r="S2106" s="733" t="str">
        <f>'DICTIONARY-4'!$A$17</f>
        <v>AS</v>
      </c>
      <c r="T2106" s="732" t="str">
        <f>'DICTIONARY-4'!$A$33</f>
        <v>Automatyczne sterowanie</v>
      </c>
      <c r="U2106" s="734" t="s">
        <v>5749</v>
      </c>
      <c r="V2106" s="735">
        <v>16</v>
      </c>
      <c r="W2106" s="736"/>
      <c r="X2106" s="737"/>
      <c r="Y2106" s="738"/>
      <c r="Z2106" s="739"/>
      <c r="AA2106" s="739"/>
      <c r="AB2106" s="740">
        <v>16</v>
      </c>
      <c r="AC2106" s="741" t="str">
        <f>'DICTIONARY-5'!$A$11&amp;" 1"</f>
        <v>EN 558 szereg 1</v>
      </c>
      <c r="AD2106" s="741" t="str">
        <f>'DICTIONARY-5'!$A$13</f>
        <v>woda pitna</v>
      </c>
      <c r="AE2106" s="742">
        <v>50</v>
      </c>
      <c r="AF2106" s="743">
        <v>35.5</v>
      </c>
      <c r="AG2106" s="741" t="str">
        <f>'DICTIONARY-5'!$A$23</f>
        <v>powłoka epoksydowa</v>
      </c>
    </row>
    <row r="2107" spans="1:33" x14ac:dyDescent="0.25">
      <c r="A2107" s="872" t="s">
        <v>1929</v>
      </c>
      <c r="B2107" s="872" t="s">
        <v>3536</v>
      </c>
      <c r="C2107" s="836">
        <v>2690</v>
      </c>
      <c r="D2107" s="836"/>
      <c r="E2107" s="836"/>
      <c r="F2107" s="836"/>
      <c r="G2107" s="496" t="s">
        <v>7838</v>
      </c>
      <c r="H2107" s="797" t="str">
        <f>VLOOKUP(G2107,SETTINGS!$B$7:$D$97,2,0)</f>
        <v>PICO-H</v>
      </c>
      <c r="I2107" s="796">
        <f>VLOOKUP(G2107,SETTINGS!$B$7:$D$97,3,0)</f>
        <v>0</v>
      </c>
      <c r="J2107" s="670" t="str">
        <f>IFERROR(IF(CURRENCY.FORMAT_1=0,CONCATENATE(TEXT(FIXED(ROUND((C2107/EXC.RATE_1),CURRENCY.FORMAT_1),CURRENCY.FORMAT_1,1),"# ##0;-# ##0"),",-"),FIXED(ROUND((C2107/EXC.RATE_1),CURRENCY.FORMAT_1),CURRENCY.FORMAT_1,0)),'DICTIONARY-5'!$A$2)</f>
        <v>2 690,-</v>
      </c>
      <c r="K2107" s="670" t="str">
        <f>IF(EXC.RATE_2=0,"",IFERROR(IF(CURRENCY.FORMAT_2=0,CONCATENATE(TEXT(FIXED(ROUND(IF(EXC.RATE.SWITCH=1,C2107/EXC.RATE_2,C2107*EXC.RATE_2),CURRENCY.FORMAT_2),CURRENCY.FORMAT_2,1),"# ##0;-# ##0"),",-"),FIXED(ROUND(IF(EXC.RATE.SWITCH=1,C2107/EXC.RATE_2,C2107*EXC.RATE_2),CURRENCY.FORMAT_2),CURRENCY.FORMAT_2,0)),'DICTIONARY-5'!$A$2))</f>
        <v/>
      </c>
      <c r="L2107" s="670" t="str">
        <f>IFERROR(IF(CURRENCY.FORMAT_1=0,CONCATENATE(TEXT(FIXED(ROUND((C2107*(1-I2107)*(1-ADD.DISCOUNT)*(1+MAT.SURCHARGE)/EXC.RATE_1),CURRENCY.FORMAT_1),CURRENCY.FORMAT_1,1),"# ##0;-# ##0"),",-"),FIXED(ROUND((C2107*(1-I2107)*(1-ADD.DISCOUNT)*(1+MAT.SURCHARGE)/EXC.RATE_1),CURRENCY.FORMAT_1),CURRENCY.FORMAT_1,0)),'DICTIONARY-5'!$A$2)</f>
        <v>2 795,-</v>
      </c>
      <c r="M2107" s="670" t="str">
        <f>IF(EXC.RATE_2=0,"",IFERROR(IF(CURRENCY.FORMAT_2=0,CONCATENATE(TEXT(FIXED(ROUND(IF(EXC.RATE.SWITCH=1,C2107*(1-I2107)*(1-ADD.DISCOUNT)*(1+MAT.SURCHARGE)/EXC.RATE_2,C2107*(1-I2107)*(1-ADD.DISCOUNT)*(1+MAT.SURCHARGE)*EXC.RATE_2),CURRENCY.FORMAT_2),CURRENCY.FORMAT_2,1),"# ##0;-# ##0"),",-"),FIXED(ROUND(IF(EXC.RATE.SWITCH=1,C2107*(1-I2107)*(1-ADD.DISCOUNT)*(1+MAT.SURCHARGE)/EXC.RATE_2,C2107*(1-I2107)*(1-ADD.DISCOUNT)*(1+MAT.SURCHARGE)*EXC.RATE_2),CURRENCY.FORMAT_2),CURRENCY.FORMAT_2,0)),'DICTIONARY-5'!$A$2))</f>
        <v/>
      </c>
      <c r="N2107" s="538">
        <v>9</v>
      </c>
      <c r="O2107" s="538"/>
      <c r="P2107" s="731" t="str">
        <f>'DICTIONARY-3'!$A$116</f>
        <v>PICO H</v>
      </c>
      <c r="Q2107" s="732" t="str">
        <f>'DICTIONARY-3'!$A$209</f>
        <v>Zawór regulacyjny</v>
      </c>
      <c r="R2107" s="732" t="str">
        <f>CONCATENATE('DICTIONARY-3'!$A$116," ",'DICTIONARY-6'!$A$17," ",LOWER('DICTIONARY-2'!$A$36),"02"," ",'DICTIONARY-2'!$A$2,"125"," ",'DICTIONARY-2'!$A$3,"10/16"," ","SZ40 2-12",'DICTIONARY-2'!$A$20)</f>
        <v>PICO H  Zaw. regulacyjny typ02 DN125 PN10/16 SZ40 2-12bar</v>
      </c>
      <c r="S2107" s="733" t="str">
        <f>'DICTIONARY-4'!$A$17</f>
        <v>AS</v>
      </c>
      <c r="T2107" s="732" t="str">
        <f>'DICTIONARY-4'!$A$33</f>
        <v>Automatyczne sterowanie</v>
      </c>
      <c r="U2107" s="734" t="s">
        <v>5761</v>
      </c>
      <c r="V2107" s="735">
        <v>16</v>
      </c>
      <c r="W2107" s="736"/>
      <c r="X2107" s="737"/>
      <c r="Y2107" s="738"/>
      <c r="Z2107" s="739"/>
      <c r="AA2107" s="739"/>
      <c r="AB2107" s="740">
        <v>16</v>
      </c>
      <c r="AC2107" s="741" t="str">
        <f>'DICTIONARY-5'!$A$11&amp;" 1"</f>
        <v>EN 558 szereg 1</v>
      </c>
      <c r="AD2107" s="741" t="str">
        <f>'DICTIONARY-5'!$A$13</f>
        <v>woda pitna</v>
      </c>
      <c r="AE2107" s="742">
        <v>50</v>
      </c>
      <c r="AF2107" s="743">
        <v>39.5</v>
      </c>
      <c r="AG2107" s="741" t="str">
        <f>'DICTIONARY-5'!$A$23</f>
        <v>powłoka epoksydowa</v>
      </c>
    </row>
    <row r="2108" spans="1:33" x14ac:dyDescent="0.25">
      <c r="A2108" s="872" t="s">
        <v>1931</v>
      </c>
      <c r="B2108" s="872" t="s">
        <v>3538</v>
      </c>
      <c r="C2108" s="836">
        <v>3341</v>
      </c>
      <c r="D2108" s="836"/>
      <c r="E2108" s="836"/>
      <c r="F2108" s="836"/>
      <c r="G2108" s="496" t="s">
        <v>7838</v>
      </c>
      <c r="H2108" s="797" t="str">
        <f>VLOOKUP(G2108,SETTINGS!$B$7:$D$97,2,0)</f>
        <v>PICO-H</v>
      </c>
      <c r="I2108" s="796">
        <f>VLOOKUP(G2108,SETTINGS!$B$7:$D$97,3,0)</f>
        <v>0</v>
      </c>
      <c r="J2108" s="670" t="str">
        <f>IFERROR(IF(CURRENCY.FORMAT_1=0,CONCATENATE(TEXT(FIXED(ROUND((C2108/EXC.RATE_1),CURRENCY.FORMAT_1),CURRENCY.FORMAT_1,1),"# ##0;-# ##0"),",-"),FIXED(ROUND((C2108/EXC.RATE_1),CURRENCY.FORMAT_1),CURRENCY.FORMAT_1,0)),'DICTIONARY-5'!$A$2)</f>
        <v>3 341,-</v>
      </c>
      <c r="K2108" s="670" t="str">
        <f>IF(EXC.RATE_2=0,"",IFERROR(IF(CURRENCY.FORMAT_2=0,CONCATENATE(TEXT(FIXED(ROUND(IF(EXC.RATE.SWITCH=1,C2108/EXC.RATE_2,C2108*EXC.RATE_2),CURRENCY.FORMAT_2),CURRENCY.FORMAT_2,1),"# ##0;-# ##0"),",-"),FIXED(ROUND(IF(EXC.RATE.SWITCH=1,C2108/EXC.RATE_2,C2108*EXC.RATE_2),CURRENCY.FORMAT_2),CURRENCY.FORMAT_2,0)),'DICTIONARY-5'!$A$2))</f>
        <v/>
      </c>
      <c r="L2108" s="670" t="str">
        <f>IFERROR(IF(CURRENCY.FORMAT_1=0,CONCATENATE(TEXT(FIXED(ROUND((C2108*(1-I2108)*(1-ADD.DISCOUNT)*(1+MAT.SURCHARGE)/EXC.RATE_1),CURRENCY.FORMAT_1),CURRENCY.FORMAT_1,1),"# ##0;-# ##0"),",-"),FIXED(ROUND((C2108*(1-I2108)*(1-ADD.DISCOUNT)*(1+MAT.SURCHARGE)/EXC.RATE_1),CURRENCY.FORMAT_1),CURRENCY.FORMAT_1,0)),'DICTIONARY-5'!$A$2)</f>
        <v>3 471,-</v>
      </c>
      <c r="M2108" s="670" t="str">
        <f>IF(EXC.RATE_2=0,"",IFERROR(IF(CURRENCY.FORMAT_2=0,CONCATENATE(TEXT(FIXED(ROUND(IF(EXC.RATE.SWITCH=1,C2108*(1-I2108)*(1-ADD.DISCOUNT)*(1+MAT.SURCHARGE)/EXC.RATE_2,C2108*(1-I2108)*(1-ADD.DISCOUNT)*(1+MAT.SURCHARGE)*EXC.RATE_2),CURRENCY.FORMAT_2),CURRENCY.FORMAT_2,1),"# ##0;-# ##0"),",-"),FIXED(ROUND(IF(EXC.RATE.SWITCH=1,C2108*(1-I2108)*(1-ADD.DISCOUNT)*(1+MAT.SURCHARGE)/EXC.RATE_2,C2108*(1-I2108)*(1-ADD.DISCOUNT)*(1+MAT.SURCHARGE)*EXC.RATE_2),CURRENCY.FORMAT_2),CURRENCY.FORMAT_2,0)),'DICTIONARY-5'!$A$2))</f>
        <v/>
      </c>
      <c r="N2108" s="538">
        <v>9</v>
      </c>
      <c r="O2108" s="538"/>
      <c r="P2108" s="731" t="str">
        <f>'DICTIONARY-3'!$A$116</f>
        <v>PICO H</v>
      </c>
      <c r="Q2108" s="732" t="str">
        <f>'DICTIONARY-3'!$A$209</f>
        <v>Zawór regulacyjny</v>
      </c>
      <c r="R2108" s="732" t="str">
        <f>CONCATENATE('DICTIONARY-3'!$A$116," ",'DICTIONARY-6'!$A$17," ",LOWER('DICTIONARY-2'!$A$36),"02"," ",'DICTIONARY-2'!$A$2,"150"," ",'DICTIONARY-2'!$A$3,"10/16"," ","SZ40 2-12",'DICTIONARY-2'!$A$20)</f>
        <v>PICO H  Zaw. regulacyjny typ02 DN150 PN10/16 SZ40 2-12bar</v>
      </c>
      <c r="S2108" s="733" t="str">
        <f>'DICTIONARY-4'!$A$17</f>
        <v>AS</v>
      </c>
      <c r="T2108" s="732" t="str">
        <f>'DICTIONARY-4'!$A$33</f>
        <v>Automatyczne sterowanie</v>
      </c>
      <c r="U2108" s="734" t="s">
        <v>5572</v>
      </c>
      <c r="V2108" s="735">
        <v>16</v>
      </c>
      <c r="W2108" s="736"/>
      <c r="X2108" s="737"/>
      <c r="Y2108" s="738"/>
      <c r="Z2108" s="739"/>
      <c r="AA2108" s="739"/>
      <c r="AB2108" s="740">
        <v>16</v>
      </c>
      <c r="AC2108" s="741" t="str">
        <f>'DICTIONARY-5'!$A$11&amp;" 1"</f>
        <v>EN 558 szereg 1</v>
      </c>
      <c r="AD2108" s="741" t="str">
        <f>'DICTIONARY-5'!$A$13</f>
        <v>woda pitna</v>
      </c>
      <c r="AE2108" s="742">
        <v>50</v>
      </c>
      <c r="AF2108" s="743">
        <v>71</v>
      </c>
      <c r="AG2108" s="741" t="str">
        <f>'DICTIONARY-5'!$A$23</f>
        <v>powłoka epoksydowa</v>
      </c>
    </row>
    <row r="2109" spans="1:33" x14ac:dyDescent="0.25">
      <c r="A2109" s="872" t="s">
        <v>1933</v>
      </c>
      <c r="B2109" s="872" t="s">
        <v>3519</v>
      </c>
      <c r="C2109" s="836">
        <v>4739</v>
      </c>
      <c r="D2109" s="836"/>
      <c r="E2109" s="836"/>
      <c r="F2109" s="836"/>
      <c r="G2109" s="496" t="s">
        <v>7838</v>
      </c>
      <c r="H2109" s="797" t="str">
        <f>VLOOKUP(G2109,SETTINGS!$B$7:$D$97,2,0)</f>
        <v>PICO-H</v>
      </c>
      <c r="I2109" s="796">
        <f>VLOOKUP(G2109,SETTINGS!$B$7:$D$97,3,0)</f>
        <v>0</v>
      </c>
      <c r="J2109" s="670" t="str">
        <f>IFERROR(IF(CURRENCY.FORMAT_1=0,CONCATENATE(TEXT(FIXED(ROUND((C2109/EXC.RATE_1),CURRENCY.FORMAT_1),CURRENCY.FORMAT_1,1),"# ##0;-# ##0"),",-"),FIXED(ROUND((C2109/EXC.RATE_1),CURRENCY.FORMAT_1),CURRENCY.FORMAT_1,0)),'DICTIONARY-5'!$A$2)</f>
        <v>4 739,-</v>
      </c>
      <c r="K2109" s="670" t="str">
        <f>IF(EXC.RATE_2=0,"",IFERROR(IF(CURRENCY.FORMAT_2=0,CONCATENATE(TEXT(FIXED(ROUND(IF(EXC.RATE.SWITCH=1,C2109/EXC.RATE_2,C2109*EXC.RATE_2),CURRENCY.FORMAT_2),CURRENCY.FORMAT_2,1),"# ##0;-# ##0"),",-"),FIXED(ROUND(IF(EXC.RATE.SWITCH=1,C2109/EXC.RATE_2,C2109*EXC.RATE_2),CURRENCY.FORMAT_2),CURRENCY.FORMAT_2,0)),'DICTIONARY-5'!$A$2))</f>
        <v/>
      </c>
      <c r="L2109" s="670" t="str">
        <f>IFERROR(IF(CURRENCY.FORMAT_1=0,CONCATENATE(TEXT(FIXED(ROUND((C2109*(1-I2109)*(1-ADD.DISCOUNT)*(1+MAT.SURCHARGE)/EXC.RATE_1),CURRENCY.FORMAT_1),CURRENCY.FORMAT_1,1),"# ##0;-# ##0"),",-"),FIXED(ROUND((C2109*(1-I2109)*(1-ADD.DISCOUNT)*(1+MAT.SURCHARGE)/EXC.RATE_1),CURRENCY.FORMAT_1),CURRENCY.FORMAT_1,0)),'DICTIONARY-5'!$A$2)</f>
        <v>4 924,-</v>
      </c>
      <c r="M2109" s="670" t="str">
        <f>IF(EXC.RATE_2=0,"",IFERROR(IF(CURRENCY.FORMAT_2=0,CONCATENATE(TEXT(FIXED(ROUND(IF(EXC.RATE.SWITCH=1,C2109*(1-I2109)*(1-ADD.DISCOUNT)*(1+MAT.SURCHARGE)/EXC.RATE_2,C2109*(1-I2109)*(1-ADD.DISCOUNT)*(1+MAT.SURCHARGE)*EXC.RATE_2),CURRENCY.FORMAT_2),CURRENCY.FORMAT_2,1),"# ##0;-# ##0"),",-"),FIXED(ROUND(IF(EXC.RATE.SWITCH=1,C2109*(1-I2109)*(1-ADD.DISCOUNT)*(1+MAT.SURCHARGE)/EXC.RATE_2,C2109*(1-I2109)*(1-ADD.DISCOUNT)*(1+MAT.SURCHARGE)*EXC.RATE_2),CURRENCY.FORMAT_2),CURRENCY.FORMAT_2,0)),'DICTIONARY-5'!$A$2))</f>
        <v/>
      </c>
      <c r="N2109" s="538">
        <v>9</v>
      </c>
      <c r="O2109" s="538"/>
      <c r="P2109" s="731" t="str">
        <f>'DICTIONARY-3'!$A$116</f>
        <v>PICO H</v>
      </c>
      <c r="Q2109" s="732" t="str">
        <f>'DICTIONARY-3'!$A$209</f>
        <v>Zawór regulacyjny</v>
      </c>
      <c r="R2109" s="732" t="str">
        <f>CONCATENATE('DICTIONARY-3'!$A$116," ",'DICTIONARY-6'!$A$17," ",LOWER('DICTIONARY-2'!$A$36),"02"," ",'DICTIONARY-2'!$A$2,"200"," ",'DICTIONARY-2'!$A$3,"10"," ","SZ40 2-12",'DICTIONARY-2'!$A$20)</f>
        <v>PICO H  Zaw. regulacyjny typ02 DN200 PN10 SZ40 2-12bar</v>
      </c>
      <c r="S2109" s="733" t="str">
        <f>'DICTIONARY-4'!$A$17</f>
        <v>AS</v>
      </c>
      <c r="T2109" s="732" t="str">
        <f>'DICTIONARY-4'!$A$33</f>
        <v>Automatyczne sterowanie</v>
      </c>
      <c r="U2109" s="734" t="s">
        <v>5750</v>
      </c>
      <c r="V2109" s="735">
        <v>10</v>
      </c>
      <c r="W2109" s="736"/>
      <c r="X2109" s="737"/>
      <c r="Y2109" s="738"/>
      <c r="Z2109" s="739"/>
      <c r="AA2109" s="739"/>
      <c r="AB2109" s="740">
        <v>10</v>
      </c>
      <c r="AC2109" s="741" t="str">
        <f>'DICTIONARY-5'!$A$11&amp;" 1"</f>
        <v>EN 558 szereg 1</v>
      </c>
      <c r="AD2109" s="741" t="str">
        <f>'DICTIONARY-5'!$A$13</f>
        <v>woda pitna</v>
      </c>
      <c r="AE2109" s="742">
        <v>50</v>
      </c>
      <c r="AF2109" s="743">
        <v>125</v>
      </c>
      <c r="AG2109" s="741" t="str">
        <f>'DICTIONARY-5'!$A$23</f>
        <v>powłoka epoksydowa</v>
      </c>
    </row>
    <row r="2110" spans="1:33" x14ac:dyDescent="0.25">
      <c r="A2110" s="872" t="s">
        <v>1935</v>
      </c>
      <c r="B2110" s="872" t="s">
        <v>3540</v>
      </c>
      <c r="C2110" s="836">
        <v>4736</v>
      </c>
      <c r="D2110" s="836"/>
      <c r="E2110" s="836"/>
      <c r="F2110" s="836"/>
      <c r="G2110" s="496" t="s">
        <v>7838</v>
      </c>
      <c r="H2110" s="797" t="str">
        <f>VLOOKUP(G2110,SETTINGS!$B$7:$D$97,2,0)</f>
        <v>PICO-H</v>
      </c>
      <c r="I2110" s="796">
        <f>VLOOKUP(G2110,SETTINGS!$B$7:$D$97,3,0)</f>
        <v>0</v>
      </c>
      <c r="J2110" s="670" t="str">
        <f>IFERROR(IF(CURRENCY.FORMAT_1=0,CONCATENATE(TEXT(FIXED(ROUND((C2110/EXC.RATE_1),CURRENCY.FORMAT_1),CURRENCY.FORMAT_1,1),"# ##0;-# ##0"),",-"),FIXED(ROUND((C2110/EXC.RATE_1),CURRENCY.FORMAT_1),CURRENCY.FORMAT_1,0)),'DICTIONARY-5'!$A$2)</f>
        <v>4 736,-</v>
      </c>
      <c r="K2110" s="670" t="str">
        <f>IF(EXC.RATE_2=0,"",IFERROR(IF(CURRENCY.FORMAT_2=0,CONCATENATE(TEXT(FIXED(ROUND(IF(EXC.RATE.SWITCH=1,C2110/EXC.RATE_2,C2110*EXC.RATE_2),CURRENCY.FORMAT_2),CURRENCY.FORMAT_2,1),"# ##0;-# ##0"),",-"),FIXED(ROUND(IF(EXC.RATE.SWITCH=1,C2110/EXC.RATE_2,C2110*EXC.RATE_2),CURRENCY.FORMAT_2),CURRENCY.FORMAT_2,0)),'DICTIONARY-5'!$A$2))</f>
        <v/>
      </c>
      <c r="L2110" s="670" t="str">
        <f>IFERROR(IF(CURRENCY.FORMAT_1=0,CONCATENATE(TEXT(FIXED(ROUND((C2110*(1-I2110)*(1-ADD.DISCOUNT)*(1+MAT.SURCHARGE)/EXC.RATE_1),CURRENCY.FORMAT_1),CURRENCY.FORMAT_1,1),"# ##0;-# ##0"),",-"),FIXED(ROUND((C2110*(1-I2110)*(1-ADD.DISCOUNT)*(1+MAT.SURCHARGE)/EXC.RATE_1),CURRENCY.FORMAT_1),CURRENCY.FORMAT_1,0)),'DICTIONARY-5'!$A$2)</f>
        <v>4 921,-</v>
      </c>
      <c r="M2110" s="670" t="str">
        <f>IF(EXC.RATE_2=0,"",IFERROR(IF(CURRENCY.FORMAT_2=0,CONCATENATE(TEXT(FIXED(ROUND(IF(EXC.RATE.SWITCH=1,C2110*(1-I2110)*(1-ADD.DISCOUNT)*(1+MAT.SURCHARGE)/EXC.RATE_2,C2110*(1-I2110)*(1-ADD.DISCOUNT)*(1+MAT.SURCHARGE)*EXC.RATE_2),CURRENCY.FORMAT_2),CURRENCY.FORMAT_2,1),"# ##0;-# ##0"),",-"),FIXED(ROUND(IF(EXC.RATE.SWITCH=1,C2110*(1-I2110)*(1-ADD.DISCOUNT)*(1+MAT.SURCHARGE)/EXC.RATE_2,C2110*(1-I2110)*(1-ADD.DISCOUNT)*(1+MAT.SURCHARGE)*EXC.RATE_2),CURRENCY.FORMAT_2),CURRENCY.FORMAT_2,0)),'DICTIONARY-5'!$A$2))</f>
        <v/>
      </c>
      <c r="N2110" s="538">
        <v>9</v>
      </c>
      <c r="O2110" s="538"/>
      <c r="P2110" s="731" t="str">
        <f>'DICTIONARY-3'!$A$116</f>
        <v>PICO H</v>
      </c>
      <c r="Q2110" s="732" t="str">
        <f>'DICTIONARY-3'!$A$209</f>
        <v>Zawór regulacyjny</v>
      </c>
      <c r="R2110" s="732" t="str">
        <f>CONCATENATE('DICTIONARY-3'!$A$116," ",'DICTIONARY-6'!$A$17," ",LOWER('DICTIONARY-2'!$A$36),"02"," ",'DICTIONARY-2'!$A$2,"200"," ",'DICTIONARY-2'!$A$3,"16"," ","SZ40 2-12",'DICTIONARY-2'!$A$20)</f>
        <v>PICO H  Zaw. regulacyjny typ02 DN200 PN16 SZ40 2-12bar</v>
      </c>
      <c r="S2110" s="733" t="str">
        <f>'DICTIONARY-4'!$A$17</f>
        <v>AS</v>
      </c>
      <c r="T2110" s="732" t="str">
        <f>'DICTIONARY-4'!$A$33</f>
        <v>Automatyczne sterowanie</v>
      </c>
      <c r="U2110" s="734" t="s">
        <v>5750</v>
      </c>
      <c r="V2110" s="735">
        <v>16</v>
      </c>
      <c r="W2110" s="736"/>
      <c r="X2110" s="737"/>
      <c r="Y2110" s="738"/>
      <c r="Z2110" s="739"/>
      <c r="AA2110" s="739"/>
      <c r="AB2110" s="740">
        <v>16</v>
      </c>
      <c r="AC2110" s="741" t="str">
        <f>'DICTIONARY-5'!$A$11&amp;" 1"</f>
        <v>EN 558 szereg 1</v>
      </c>
      <c r="AD2110" s="741" t="str">
        <f>'DICTIONARY-5'!$A$13</f>
        <v>woda pitna</v>
      </c>
      <c r="AE2110" s="742">
        <v>50</v>
      </c>
      <c r="AF2110" s="743">
        <v>128.5</v>
      </c>
      <c r="AG2110" s="741" t="str">
        <f>'DICTIONARY-5'!$A$23</f>
        <v>powłoka epoksydowa</v>
      </c>
    </row>
    <row r="2111" spans="1:33" x14ac:dyDescent="0.25">
      <c r="A2111" s="872" t="s">
        <v>1937</v>
      </c>
      <c r="B2111" s="872" t="s">
        <v>3521</v>
      </c>
      <c r="C2111" s="836">
        <v>6031</v>
      </c>
      <c r="D2111" s="836"/>
      <c r="E2111" s="836"/>
      <c r="F2111" s="836"/>
      <c r="G2111" s="496" t="s">
        <v>7838</v>
      </c>
      <c r="H2111" s="797" t="str">
        <f>VLOOKUP(G2111,SETTINGS!$B$7:$D$97,2,0)</f>
        <v>PICO-H</v>
      </c>
      <c r="I2111" s="796">
        <f>VLOOKUP(G2111,SETTINGS!$B$7:$D$97,3,0)</f>
        <v>0</v>
      </c>
      <c r="J2111" s="670" t="str">
        <f>IFERROR(IF(CURRENCY.FORMAT_1=0,CONCATENATE(TEXT(FIXED(ROUND((C2111/EXC.RATE_1),CURRENCY.FORMAT_1),CURRENCY.FORMAT_1,1),"# ##0;-# ##0"),",-"),FIXED(ROUND((C2111/EXC.RATE_1),CURRENCY.FORMAT_1),CURRENCY.FORMAT_1,0)),'DICTIONARY-5'!$A$2)</f>
        <v>6 031,-</v>
      </c>
      <c r="K2111" s="670" t="str">
        <f>IF(EXC.RATE_2=0,"",IFERROR(IF(CURRENCY.FORMAT_2=0,CONCATENATE(TEXT(FIXED(ROUND(IF(EXC.RATE.SWITCH=1,C2111/EXC.RATE_2,C2111*EXC.RATE_2),CURRENCY.FORMAT_2),CURRENCY.FORMAT_2,1),"# ##0;-# ##0"),",-"),FIXED(ROUND(IF(EXC.RATE.SWITCH=1,C2111/EXC.RATE_2,C2111*EXC.RATE_2),CURRENCY.FORMAT_2),CURRENCY.FORMAT_2,0)),'DICTIONARY-5'!$A$2))</f>
        <v/>
      </c>
      <c r="L2111" s="670" t="str">
        <f>IFERROR(IF(CURRENCY.FORMAT_1=0,CONCATENATE(TEXT(FIXED(ROUND((C2111*(1-I2111)*(1-ADD.DISCOUNT)*(1+MAT.SURCHARGE)/EXC.RATE_1),CURRENCY.FORMAT_1),CURRENCY.FORMAT_1,1),"# ##0;-# ##0"),",-"),FIXED(ROUND((C2111*(1-I2111)*(1-ADD.DISCOUNT)*(1+MAT.SURCHARGE)/EXC.RATE_1),CURRENCY.FORMAT_1),CURRENCY.FORMAT_1,0)),'DICTIONARY-5'!$A$2)</f>
        <v>6 266,-</v>
      </c>
      <c r="M2111" s="670" t="str">
        <f>IF(EXC.RATE_2=0,"",IFERROR(IF(CURRENCY.FORMAT_2=0,CONCATENATE(TEXT(FIXED(ROUND(IF(EXC.RATE.SWITCH=1,C2111*(1-I2111)*(1-ADD.DISCOUNT)*(1+MAT.SURCHARGE)/EXC.RATE_2,C2111*(1-I2111)*(1-ADD.DISCOUNT)*(1+MAT.SURCHARGE)*EXC.RATE_2),CURRENCY.FORMAT_2),CURRENCY.FORMAT_2,1),"# ##0;-# ##0"),",-"),FIXED(ROUND(IF(EXC.RATE.SWITCH=1,C2111*(1-I2111)*(1-ADD.DISCOUNT)*(1+MAT.SURCHARGE)/EXC.RATE_2,C2111*(1-I2111)*(1-ADD.DISCOUNT)*(1+MAT.SURCHARGE)*EXC.RATE_2),CURRENCY.FORMAT_2),CURRENCY.FORMAT_2,0)),'DICTIONARY-5'!$A$2))</f>
        <v/>
      </c>
      <c r="N2111" s="538">
        <v>9</v>
      </c>
      <c r="O2111" s="538"/>
      <c r="P2111" s="731" t="str">
        <f>'DICTIONARY-3'!$A$116</f>
        <v>PICO H</v>
      </c>
      <c r="Q2111" s="732" t="str">
        <f>'DICTIONARY-3'!$A$209</f>
        <v>Zawór regulacyjny</v>
      </c>
      <c r="R2111" s="732" t="str">
        <f>CONCATENATE('DICTIONARY-3'!$A$116," ",'DICTIONARY-6'!$A$17," ",LOWER('DICTIONARY-2'!$A$36),"02"," ",'DICTIONARY-2'!$A$2,"250"," ",'DICTIONARY-2'!$A$3,"10"," ","SZ40 2-12",'DICTIONARY-2'!$A$20)</f>
        <v>PICO H  Zaw. regulacyjny typ02 DN250 PN10 SZ40 2-12bar</v>
      </c>
      <c r="S2111" s="733" t="str">
        <f>'DICTIONARY-4'!$A$17</f>
        <v>AS</v>
      </c>
      <c r="T2111" s="732" t="str">
        <f>'DICTIONARY-4'!$A$33</f>
        <v>Automatyczne sterowanie</v>
      </c>
      <c r="U2111" s="734" t="s">
        <v>5751</v>
      </c>
      <c r="V2111" s="735">
        <v>10</v>
      </c>
      <c r="W2111" s="736"/>
      <c r="X2111" s="737"/>
      <c r="Y2111" s="738"/>
      <c r="Z2111" s="739"/>
      <c r="AA2111" s="739"/>
      <c r="AB2111" s="740">
        <v>10</v>
      </c>
      <c r="AC2111" s="741" t="str">
        <f>'DICTIONARY-5'!$A$11&amp;" 1"</f>
        <v>EN 558 szereg 1</v>
      </c>
      <c r="AD2111" s="741" t="str">
        <f>'DICTIONARY-5'!$A$13</f>
        <v>woda pitna</v>
      </c>
      <c r="AE2111" s="742">
        <v>50</v>
      </c>
      <c r="AF2111" s="743">
        <v>232</v>
      </c>
      <c r="AG2111" s="741" t="str">
        <f>'DICTIONARY-5'!$A$23</f>
        <v>powłoka epoksydowa</v>
      </c>
    </row>
    <row r="2112" spans="1:33" x14ac:dyDescent="0.25">
      <c r="A2112" s="872" t="s">
        <v>1939</v>
      </c>
      <c r="B2112" s="872" t="s">
        <v>3542</v>
      </c>
      <c r="C2112" s="836">
        <v>6027</v>
      </c>
      <c r="D2112" s="836"/>
      <c r="E2112" s="836"/>
      <c r="F2112" s="836"/>
      <c r="G2112" s="496" t="s">
        <v>7838</v>
      </c>
      <c r="H2112" s="797" t="str">
        <f>VLOOKUP(G2112,SETTINGS!$B$7:$D$97,2,0)</f>
        <v>PICO-H</v>
      </c>
      <c r="I2112" s="796">
        <f>VLOOKUP(G2112,SETTINGS!$B$7:$D$97,3,0)</f>
        <v>0</v>
      </c>
      <c r="J2112" s="670" t="str">
        <f>IFERROR(IF(CURRENCY.FORMAT_1=0,CONCATENATE(TEXT(FIXED(ROUND((C2112/EXC.RATE_1),CURRENCY.FORMAT_1),CURRENCY.FORMAT_1,1),"# ##0;-# ##0"),",-"),FIXED(ROUND((C2112/EXC.RATE_1),CURRENCY.FORMAT_1),CURRENCY.FORMAT_1,0)),'DICTIONARY-5'!$A$2)</f>
        <v>6 027,-</v>
      </c>
      <c r="K2112" s="670" t="str">
        <f>IF(EXC.RATE_2=0,"",IFERROR(IF(CURRENCY.FORMAT_2=0,CONCATENATE(TEXT(FIXED(ROUND(IF(EXC.RATE.SWITCH=1,C2112/EXC.RATE_2,C2112*EXC.RATE_2),CURRENCY.FORMAT_2),CURRENCY.FORMAT_2,1),"# ##0;-# ##0"),",-"),FIXED(ROUND(IF(EXC.RATE.SWITCH=1,C2112/EXC.RATE_2,C2112*EXC.RATE_2),CURRENCY.FORMAT_2),CURRENCY.FORMAT_2,0)),'DICTIONARY-5'!$A$2))</f>
        <v/>
      </c>
      <c r="L2112" s="670" t="str">
        <f>IFERROR(IF(CURRENCY.FORMAT_1=0,CONCATENATE(TEXT(FIXED(ROUND((C2112*(1-I2112)*(1-ADD.DISCOUNT)*(1+MAT.SURCHARGE)/EXC.RATE_1),CURRENCY.FORMAT_1),CURRENCY.FORMAT_1,1),"# ##0;-# ##0"),",-"),FIXED(ROUND((C2112*(1-I2112)*(1-ADD.DISCOUNT)*(1+MAT.SURCHARGE)/EXC.RATE_1),CURRENCY.FORMAT_1),CURRENCY.FORMAT_1,0)),'DICTIONARY-5'!$A$2)</f>
        <v>6 262,-</v>
      </c>
      <c r="M2112" s="670" t="str">
        <f>IF(EXC.RATE_2=0,"",IFERROR(IF(CURRENCY.FORMAT_2=0,CONCATENATE(TEXT(FIXED(ROUND(IF(EXC.RATE.SWITCH=1,C2112*(1-I2112)*(1-ADD.DISCOUNT)*(1+MAT.SURCHARGE)/EXC.RATE_2,C2112*(1-I2112)*(1-ADD.DISCOUNT)*(1+MAT.SURCHARGE)*EXC.RATE_2),CURRENCY.FORMAT_2),CURRENCY.FORMAT_2,1),"# ##0;-# ##0"),",-"),FIXED(ROUND(IF(EXC.RATE.SWITCH=1,C2112*(1-I2112)*(1-ADD.DISCOUNT)*(1+MAT.SURCHARGE)/EXC.RATE_2,C2112*(1-I2112)*(1-ADD.DISCOUNT)*(1+MAT.SURCHARGE)*EXC.RATE_2),CURRENCY.FORMAT_2),CURRENCY.FORMAT_2,0)),'DICTIONARY-5'!$A$2))</f>
        <v/>
      </c>
      <c r="N2112" s="538">
        <v>9</v>
      </c>
      <c r="O2112" s="538"/>
      <c r="P2112" s="731" t="str">
        <f>'DICTIONARY-3'!$A$116</f>
        <v>PICO H</v>
      </c>
      <c r="Q2112" s="732" t="str">
        <f>'DICTIONARY-3'!$A$209</f>
        <v>Zawór regulacyjny</v>
      </c>
      <c r="R2112" s="732" t="str">
        <f>CONCATENATE('DICTIONARY-3'!$A$116," ",'DICTIONARY-6'!$A$17," ",LOWER('DICTIONARY-2'!$A$36),"02"," ",'DICTIONARY-2'!$A$2,"250"," ",'DICTIONARY-2'!$A$3,"16"," ","SZ40 2-12",'DICTIONARY-2'!$A$20)</f>
        <v>PICO H  Zaw. regulacyjny typ02 DN250 PN16 SZ40 2-12bar</v>
      </c>
      <c r="S2112" s="733" t="str">
        <f>'DICTIONARY-4'!$A$17</f>
        <v>AS</v>
      </c>
      <c r="T2112" s="732" t="str">
        <f>'DICTIONARY-4'!$A$33</f>
        <v>Automatyczne sterowanie</v>
      </c>
      <c r="U2112" s="734" t="s">
        <v>5751</v>
      </c>
      <c r="V2112" s="735">
        <v>16</v>
      </c>
      <c r="W2112" s="736"/>
      <c r="X2112" s="737"/>
      <c r="Y2112" s="738"/>
      <c r="Z2112" s="739"/>
      <c r="AA2112" s="739"/>
      <c r="AB2112" s="740">
        <v>16</v>
      </c>
      <c r="AC2112" s="741" t="str">
        <f>'DICTIONARY-5'!$A$11&amp;" 1"</f>
        <v>EN 558 szereg 1</v>
      </c>
      <c r="AD2112" s="741" t="str">
        <f>'DICTIONARY-5'!$A$13</f>
        <v>woda pitna</v>
      </c>
      <c r="AE2112" s="742">
        <v>50</v>
      </c>
      <c r="AF2112" s="743">
        <v>214</v>
      </c>
      <c r="AG2112" s="741" t="str">
        <f>'DICTIONARY-5'!$A$23</f>
        <v>powłoka epoksydowa</v>
      </c>
    </row>
    <row r="2113" spans="1:33" x14ac:dyDescent="0.25">
      <c r="A2113" s="872" t="s">
        <v>1941</v>
      </c>
      <c r="B2113" s="872" t="s">
        <v>3523</v>
      </c>
      <c r="C2113" s="836">
        <v>6082</v>
      </c>
      <c r="D2113" s="836"/>
      <c r="E2113" s="836"/>
      <c r="F2113" s="836"/>
      <c r="G2113" s="496" t="s">
        <v>7838</v>
      </c>
      <c r="H2113" s="797" t="str">
        <f>VLOOKUP(G2113,SETTINGS!$B$7:$D$97,2,0)</f>
        <v>PICO-H</v>
      </c>
      <c r="I2113" s="796">
        <f>VLOOKUP(G2113,SETTINGS!$B$7:$D$97,3,0)</f>
        <v>0</v>
      </c>
      <c r="J2113" s="670" t="str">
        <f>IFERROR(IF(CURRENCY.FORMAT_1=0,CONCATENATE(TEXT(FIXED(ROUND((C2113/EXC.RATE_1),CURRENCY.FORMAT_1),CURRENCY.FORMAT_1,1),"# ##0;-# ##0"),",-"),FIXED(ROUND((C2113/EXC.RATE_1),CURRENCY.FORMAT_1),CURRENCY.FORMAT_1,0)),'DICTIONARY-5'!$A$2)</f>
        <v>6 082,-</v>
      </c>
      <c r="K2113" s="670" t="str">
        <f>IF(EXC.RATE_2=0,"",IFERROR(IF(CURRENCY.FORMAT_2=0,CONCATENATE(TEXT(FIXED(ROUND(IF(EXC.RATE.SWITCH=1,C2113/EXC.RATE_2,C2113*EXC.RATE_2),CURRENCY.FORMAT_2),CURRENCY.FORMAT_2,1),"# ##0;-# ##0"),",-"),FIXED(ROUND(IF(EXC.RATE.SWITCH=1,C2113/EXC.RATE_2,C2113*EXC.RATE_2),CURRENCY.FORMAT_2),CURRENCY.FORMAT_2,0)),'DICTIONARY-5'!$A$2))</f>
        <v/>
      </c>
      <c r="L2113" s="670" t="str">
        <f>IFERROR(IF(CURRENCY.FORMAT_1=0,CONCATENATE(TEXT(FIXED(ROUND((C2113*(1-I2113)*(1-ADD.DISCOUNT)*(1+MAT.SURCHARGE)/EXC.RATE_1),CURRENCY.FORMAT_1),CURRENCY.FORMAT_1,1),"# ##0;-# ##0"),",-"),FIXED(ROUND((C2113*(1-I2113)*(1-ADD.DISCOUNT)*(1+MAT.SURCHARGE)/EXC.RATE_1),CURRENCY.FORMAT_1),CURRENCY.FORMAT_1,0)),'DICTIONARY-5'!$A$2)</f>
        <v>6 319,-</v>
      </c>
      <c r="M2113" s="670" t="str">
        <f>IF(EXC.RATE_2=0,"",IFERROR(IF(CURRENCY.FORMAT_2=0,CONCATENATE(TEXT(FIXED(ROUND(IF(EXC.RATE.SWITCH=1,C2113*(1-I2113)*(1-ADD.DISCOUNT)*(1+MAT.SURCHARGE)/EXC.RATE_2,C2113*(1-I2113)*(1-ADD.DISCOUNT)*(1+MAT.SURCHARGE)*EXC.RATE_2),CURRENCY.FORMAT_2),CURRENCY.FORMAT_2,1),"# ##0;-# ##0"),",-"),FIXED(ROUND(IF(EXC.RATE.SWITCH=1,C2113*(1-I2113)*(1-ADD.DISCOUNT)*(1+MAT.SURCHARGE)/EXC.RATE_2,C2113*(1-I2113)*(1-ADD.DISCOUNT)*(1+MAT.SURCHARGE)*EXC.RATE_2),CURRENCY.FORMAT_2),CURRENCY.FORMAT_2,0)),'DICTIONARY-5'!$A$2))</f>
        <v/>
      </c>
      <c r="N2113" s="538">
        <v>9</v>
      </c>
      <c r="O2113" s="538"/>
      <c r="P2113" s="731" t="str">
        <f>'DICTIONARY-3'!$A$116</f>
        <v>PICO H</v>
      </c>
      <c r="Q2113" s="732" t="str">
        <f>'DICTIONARY-3'!$A$209</f>
        <v>Zawór regulacyjny</v>
      </c>
      <c r="R2113" s="732" t="str">
        <f>CONCATENATE('DICTIONARY-3'!$A$116," ",'DICTIONARY-6'!$A$17," ",LOWER('DICTIONARY-2'!$A$36),"02"," ",'DICTIONARY-2'!$A$2,"300"," ",'DICTIONARY-2'!$A$3,"10"," ","SZ40 2-12",'DICTIONARY-2'!$A$20)</f>
        <v>PICO H  Zaw. regulacyjny typ02 DN300 PN10 SZ40 2-12bar</v>
      </c>
      <c r="S2113" s="733" t="str">
        <f>'DICTIONARY-4'!$A$17</f>
        <v>AS</v>
      </c>
      <c r="T2113" s="732" t="str">
        <f>'DICTIONARY-4'!$A$33</f>
        <v>Automatyczne sterowanie</v>
      </c>
      <c r="U2113" s="734" t="s">
        <v>5752</v>
      </c>
      <c r="V2113" s="735">
        <v>10</v>
      </c>
      <c r="W2113" s="736"/>
      <c r="X2113" s="737"/>
      <c r="Y2113" s="738"/>
      <c r="Z2113" s="739"/>
      <c r="AA2113" s="739"/>
      <c r="AB2113" s="740">
        <v>10</v>
      </c>
      <c r="AC2113" s="741" t="str">
        <f>'DICTIONARY-5'!$A$11&amp;" 1"</f>
        <v>EN 558 szereg 1</v>
      </c>
      <c r="AD2113" s="741" t="str">
        <f>'DICTIONARY-5'!$A$13</f>
        <v>woda pitna</v>
      </c>
      <c r="AE2113" s="742">
        <v>50</v>
      </c>
      <c r="AF2113" s="743">
        <v>251</v>
      </c>
      <c r="AG2113" s="741" t="str">
        <f>'DICTIONARY-5'!$A$23</f>
        <v>powłoka epoksydowa</v>
      </c>
    </row>
    <row r="2114" spans="1:33" x14ac:dyDescent="0.25">
      <c r="A2114" s="872" t="s">
        <v>1943</v>
      </c>
      <c r="B2114" s="872" t="s">
        <v>3544</v>
      </c>
      <c r="C2114" s="836">
        <v>6082</v>
      </c>
      <c r="D2114" s="836"/>
      <c r="E2114" s="836"/>
      <c r="F2114" s="836"/>
      <c r="G2114" s="496" t="s">
        <v>7838</v>
      </c>
      <c r="H2114" s="797" t="str">
        <f>VLOOKUP(G2114,SETTINGS!$B$7:$D$97,2,0)</f>
        <v>PICO-H</v>
      </c>
      <c r="I2114" s="796">
        <f>VLOOKUP(G2114,SETTINGS!$B$7:$D$97,3,0)</f>
        <v>0</v>
      </c>
      <c r="J2114" s="670" t="str">
        <f>IFERROR(IF(CURRENCY.FORMAT_1=0,CONCATENATE(TEXT(FIXED(ROUND((C2114/EXC.RATE_1),CURRENCY.FORMAT_1),CURRENCY.FORMAT_1,1),"# ##0;-# ##0"),",-"),FIXED(ROUND((C2114/EXC.RATE_1),CURRENCY.FORMAT_1),CURRENCY.FORMAT_1,0)),'DICTIONARY-5'!$A$2)</f>
        <v>6 082,-</v>
      </c>
      <c r="K2114" s="670" t="str">
        <f>IF(EXC.RATE_2=0,"",IFERROR(IF(CURRENCY.FORMAT_2=0,CONCATENATE(TEXT(FIXED(ROUND(IF(EXC.RATE.SWITCH=1,C2114/EXC.RATE_2,C2114*EXC.RATE_2),CURRENCY.FORMAT_2),CURRENCY.FORMAT_2,1),"# ##0;-# ##0"),",-"),FIXED(ROUND(IF(EXC.RATE.SWITCH=1,C2114/EXC.RATE_2,C2114*EXC.RATE_2),CURRENCY.FORMAT_2),CURRENCY.FORMAT_2,0)),'DICTIONARY-5'!$A$2))</f>
        <v/>
      </c>
      <c r="L2114" s="670" t="str">
        <f>IFERROR(IF(CURRENCY.FORMAT_1=0,CONCATENATE(TEXT(FIXED(ROUND((C2114*(1-I2114)*(1-ADD.DISCOUNT)*(1+MAT.SURCHARGE)/EXC.RATE_1),CURRENCY.FORMAT_1),CURRENCY.FORMAT_1,1),"# ##0;-# ##0"),",-"),FIXED(ROUND((C2114*(1-I2114)*(1-ADD.DISCOUNT)*(1+MAT.SURCHARGE)/EXC.RATE_1),CURRENCY.FORMAT_1),CURRENCY.FORMAT_1,0)),'DICTIONARY-5'!$A$2)</f>
        <v>6 319,-</v>
      </c>
      <c r="M2114" s="670" t="str">
        <f>IF(EXC.RATE_2=0,"",IFERROR(IF(CURRENCY.FORMAT_2=0,CONCATENATE(TEXT(FIXED(ROUND(IF(EXC.RATE.SWITCH=1,C2114*(1-I2114)*(1-ADD.DISCOUNT)*(1+MAT.SURCHARGE)/EXC.RATE_2,C2114*(1-I2114)*(1-ADD.DISCOUNT)*(1+MAT.SURCHARGE)*EXC.RATE_2),CURRENCY.FORMAT_2),CURRENCY.FORMAT_2,1),"# ##0;-# ##0"),",-"),FIXED(ROUND(IF(EXC.RATE.SWITCH=1,C2114*(1-I2114)*(1-ADD.DISCOUNT)*(1+MAT.SURCHARGE)/EXC.RATE_2,C2114*(1-I2114)*(1-ADD.DISCOUNT)*(1+MAT.SURCHARGE)*EXC.RATE_2),CURRENCY.FORMAT_2),CURRENCY.FORMAT_2,0)),'DICTIONARY-5'!$A$2))</f>
        <v/>
      </c>
      <c r="N2114" s="538">
        <v>9</v>
      </c>
      <c r="O2114" s="538"/>
      <c r="P2114" s="731" t="str">
        <f>'DICTIONARY-3'!$A$116</f>
        <v>PICO H</v>
      </c>
      <c r="Q2114" s="732" t="str">
        <f>'DICTIONARY-3'!$A$209</f>
        <v>Zawór regulacyjny</v>
      </c>
      <c r="R2114" s="732" t="str">
        <f>CONCATENATE('DICTIONARY-3'!$A$116," ",'DICTIONARY-6'!$A$17," ",LOWER('DICTIONARY-2'!$A$36),"02"," ",'DICTIONARY-2'!$A$2,"300"," ",'DICTIONARY-2'!$A$3,"16"," ","SZ40 2-12",'DICTIONARY-2'!$A$20)</f>
        <v>PICO H  Zaw. regulacyjny typ02 DN300 PN16 SZ40 2-12bar</v>
      </c>
      <c r="S2114" s="733" t="str">
        <f>'DICTIONARY-4'!$A$17</f>
        <v>AS</v>
      </c>
      <c r="T2114" s="732" t="str">
        <f>'DICTIONARY-4'!$A$33</f>
        <v>Automatyczne sterowanie</v>
      </c>
      <c r="U2114" s="734" t="s">
        <v>5752</v>
      </c>
      <c r="V2114" s="735">
        <v>16</v>
      </c>
      <c r="W2114" s="736"/>
      <c r="X2114" s="737"/>
      <c r="Y2114" s="738"/>
      <c r="Z2114" s="739"/>
      <c r="AA2114" s="739"/>
      <c r="AB2114" s="740">
        <v>16</v>
      </c>
      <c r="AC2114" s="741" t="str">
        <f>'DICTIONARY-5'!$A$11&amp;" 1"</f>
        <v>EN 558 szereg 1</v>
      </c>
      <c r="AD2114" s="741" t="str">
        <f>'DICTIONARY-5'!$A$13</f>
        <v>woda pitna</v>
      </c>
      <c r="AE2114" s="742">
        <v>50</v>
      </c>
      <c r="AF2114" s="743">
        <v>256</v>
      </c>
      <c r="AG2114" s="741" t="str">
        <f>'DICTIONARY-5'!$A$23</f>
        <v>powłoka epoksydowa</v>
      </c>
    </row>
    <row r="2115" spans="1:33" x14ac:dyDescent="0.25">
      <c r="A2115" s="872" t="s">
        <v>1922</v>
      </c>
      <c r="B2115" s="872" t="s">
        <v>3546</v>
      </c>
      <c r="C2115" s="836">
        <v>2884</v>
      </c>
      <c r="D2115" s="836"/>
      <c r="E2115" s="836"/>
      <c r="F2115" s="836"/>
      <c r="G2115" s="496" t="s">
        <v>7838</v>
      </c>
      <c r="H2115" s="797" t="str">
        <f>VLOOKUP(G2115,SETTINGS!$B$7:$D$97,2,0)</f>
        <v>PICO-H</v>
      </c>
      <c r="I2115" s="796">
        <f>VLOOKUP(G2115,SETTINGS!$B$7:$D$97,3,0)</f>
        <v>0</v>
      </c>
      <c r="J2115" s="670" t="str">
        <f>IFERROR(IF(CURRENCY.FORMAT_1=0,CONCATENATE(TEXT(FIXED(ROUND((C2115/EXC.RATE_1),CURRENCY.FORMAT_1),CURRENCY.FORMAT_1,1),"# ##0;-# ##0"),",-"),FIXED(ROUND((C2115/EXC.RATE_1),CURRENCY.FORMAT_1),CURRENCY.FORMAT_1,0)),'DICTIONARY-5'!$A$2)</f>
        <v>2 884,-</v>
      </c>
      <c r="K2115" s="670" t="str">
        <f>IF(EXC.RATE_2=0,"",IFERROR(IF(CURRENCY.FORMAT_2=0,CONCATENATE(TEXT(FIXED(ROUND(IF(EXC.RATE.SWITCH=1,C2115/EXC.RATE_2,C2115*EXC.RATE_2),CURRENCY.FORMAT_2),CURRENCY.FORMAT_2,1),"# ##0;-# ##0"),",-"),FIXED(ROUND(IF(EXC.RATE.SWITCH=1,C2115/EXC.RATE_2,C2115*EXC.RATE_2),CURRENCY.FORMAT_2),CURRENCY.FORMAT_2,0)),'DICTIONARY-5'!$A$2))</f>
        <v/>
      </c>
      <c r="L2115" s="670" t="str">
        <f>IFERROR(IF(CURRENCY.FORMAT_1=0,CONCATENATE(TEXT(FIXED(ROUND((C2115*(1-I2115)*(1-ADD.DISCOUNT)*(1+MAT.SURCHARGE)/EXC.RATE_1),CURRENCY.FORMAT_1),CURRENCY.FORMAT_1,1),"# ##0;-# ##0"),",-"),FIXED(ROUND((C2115*(1-I2115)*(1-ADD.DISCOUNT)*(1+MAT.SURCHARGE)/EXC.RATE_1),CURRENCY.FORMAT_1),CURRENCY.FORMAT_1,0)),'DICTIONARY-5'!$A$2)</f>
        <v>2 996,-</v>
      </c>
      <c r="M2115" s="670" t="str">
        <f>IF(EXC.RATE_2=0,"",IFERROR(IF(CURRENCY.FORMAT_2=0,CONCATENATE(TEXT(FIXED(ROUND(IF(EXC.RATE.SWITCH=1,C2115*(1-I2115)*(1-ADD.DISCOUNT)*(1+MAT.SURCHARGE)/EXC.RATE_2,C2115*(1-I2115)*(1-ADD.DISCOUNT)*(1+MAT.SURCHARGE)*EXC.RATE_2),CURRENCY.FORMAT_2),CURRENCY.FORMAT_2,1),"# ##0;-# ##0"),",-"),FIXED(ROUND(IF(EXC.RATE.SWITCH=1,C2115*(1-I2115)*(1-ADD.DISCOUNT)*(1+MAT.SURCHARGE)/EXC.RATE_2,C2115*(1-I2115)*(1-ADD.DISCOUNT)*(1+MAT.SURCHARGE)*EXC.RATE_2),CURRENCY.FORMAT_2),CURRENCY.FORMAT_2,0)),'DICTIONARY-5'!$A$2))</f>
        <v/>
      </c>
      <c r="N2115" s="538">
        <v>9</v>
      </c>
      <c r="O2115" s="538"/>
      <c r="P2115" s="731" t="str">
        <f>'DICTIONARY-3'!$A$116</f>
        <v>PICO H</v>
      </c>
      <c r="Q2115" s="732" t="str">
        <f>'DICTIONARY-3'!$A$209</f>
        <v>Zawór regulacyjny</v>
      </c>
      <c r="R2115" s="732" t="str">
        <f>CONCATENATE('DICTIONARY-3'!$A$116," ",'DICTIONARY-6'!$A$17," ",LOWER('DICTIONARY-2'!$A$36),"03"," ",'DICTIONARY-2'!$A$2,"50"," ",'DICTIONARY-2'!$A$3,"10/16"," ","SZ40 3-21",'DICTIONARY-2'!$A$20)</f>
        <v>PICO H  Zaw. regulacyjny typ03 DN50 PN10/16 SZ40 3-21bar</v>
      </c>
      <c r="S2115" s="733" t="str">
        <f>'DICTIONARY-4'!$A$17</f>
        <v>AS</v>
      </c>
      <c r="T2115" s="732" t="str">
        <f>'DICTIONARY-4'!$A$33</f>
        <v>Automatyczne sterowanie</v>
      </c>
      <c r="U2115" s="734" t="s">
        <v>5748</v>
      </c>
      <c r="V2115" s="735">
        <v>16</v>
      </c>
      <c r="W2115" s="736"/>
      <c r="X2115" s="737"/>
      <c r="Y2115" s="738"/>
      <c r="Z2115" s="739"/>
      <c r="AA2115" s="739"/>
      <c r="AB2115" s="740">
        <v>16</v>
      </c>
      <c r="AC2115" s="741" t="str">
        <f>'DICTIONARY-5'!$A$11&amp;" 1"</f>
        <v>EN 558 szereg 1</v>
      </c>
      <c r="AD2115" s="741" t="str">
        <f>'DICTIONARY-5'!$A$13</f>
        <v>woda pitna</v>
      </c>
      <c r="AE2115" s="742">
        <v>50</v>
      </c>
      <c r="AF2115" s="743">
        <v>17.5</v>
      </c>
      <c r="AG2115" s="741" t="str">
        <f>'DICTIONARY-5'!$A$23</f>
        <v>powłoka epoksydowa</v>
      </c>
    </row>
    <row r="2116" spans="1:33" x14ac:dyDescent="0.25">
      <c r="A2116" s="872" t="s">
        <v>1924</v>
      </c>
      <c r="B2116" s="872" t="s">
        <v>3547</v>
      </c>
      <c r="C2116" s="836">
        <v>3119</v>
      </c>
      <c r="D2116" s="836"/>
      <c r="E2116" s="836"/>
      <c r="F2116" s="836"/>
      <c r="G2116" s="496" t="s">
        <v>7838</v>
      </c>
      <c r="H2116" s="797" t="str">
        <f>VLOOKUP(G2116,SETTINGS!$B$7:$D$97,2,0)</f>
        <v>PICO-H</v>
      </c>
      <c r="I2116" s="796">
        <f>VLOOKUP(G2116,SETTINGS!$B$7:$D$97,3,0)</f>
        <v>0</v>
      </c>
      <c r="J2116" s="670" t="str">
        <f>IFERROR(IF(CURRENCY.FORMAT_1=0,CONCATENATE(TEXT(FIXED(ROUND((C2116/EXC.RATE_1),CURRENCY.FORMAT_1),CURRENCY.FORMAT_1,1),"# ##0;-# ##0"),",-"),FIXED(ROUND((C2116/EXC.RATE_1),CURRENCY.FORMAT_1),CURRENCY.FORMAT_1,0)),'DICTIONARY-5'!$A$2)</f>
        <v>3 119,-</v>
      </c>
      <c r="K2116" s="670" t="str">
        <f>IF(EXC.RATE_2=0,"",IFERROR(IF(CURRENCY.FORMAT_2=0,CONCATENATE(TEXT(FIXED(ROUND(IF(EXC.RATE.SWITCH=1,C2116/EXC.RATE_2,C2116*EXC.RATE_2),CURRENCY.FORMAT_2),CURRENCY.FORMAT_2,1),"# ##0;-# ##0"),",-"),FIXED(ROUND(IF(EXC.RATE.SWITCH=1,C2116/EXC.RATE_2,C2116*EXC.RATE_2),CURRENCY.FORMAT_2),CURRENCY.FORMAT_2,0)),'DICTIONARY-5'!$A$2))</f>
        <v/>
      </c>
      <c r="L2116" s="670" t="str">
        <f>IFERROR(IF(CURRENCY.FORMAT_1=0,CONCATENATE(TEXT(FIXED(ROUND((C2116*(1-I2116)*(1-ADD.DISCOUNT)*(1+MAT.SURCHARGE)/EXC.RATE_1),CURRENCY.FORMAT_1),CURRENCY.FORMAT_1,1),"# ##0;-# ##0"),",-"),FIXED(ROUND((C2116*(1-I2116)*(1-ADD.DISCOUNT)*(1+MAT.SURCHARGE)/EXC.RATE_1),CURRENCY.FORMAT_1),CURRENCY.FORMAT_1,0)),'DICTIONARY-5'!$A$2)</f>
        <v>3 241,-</v>
      </c>
      <c r="M2116" s="670" t="str">
        <f>IF(EXC.RATE_2=0,"",IFERROR(IF(CURRENCY.FORMAT_2=0,CONCATENATE(TEXT(FIXED(ROUND(IF(EXC.RATE.SWITCH=1,C2116*(1-I2116)*(1-ADD.DISCOUNT)*(1+MAT.SURCHARGE)/EXC.RATE_2,C2116*(1-I2116)*(1-ADD.DISCOUNT)*(1+MAT.SURCHARGE)*EXC.RATE_2),CURRENCY.FORMAT_2),CURRENCY.FORMAT_2,1),"# ##0;-# ##0"),",-"),FIXED(ROUND(IF(EXC.RATE.SWITCH=1,C2116*(1-I2116)*(1-ADD.DISCOUNT)*(1+MAT.SURCHARGE)/EXC.RATE_2,C2116*(1-I2116)*(1-ADD.DISCOUNT)*(1+MAT.SURCHARGE)*EXC.RATE_2),CURRENCY.FORMAT_2),CURRENCY.FORMAT_2,0)),'DICTIONARY-5'!$A$2))</f>
        <v/>
      </c>
      <c r="N2116" s="538">
        <v>9</v>
      </c>
      <c r="O2116" s="538"/>
      <c r="P2116" s="731" t="str">
        <f>'DICTIONARY-3'!$A$116</f>
        <v>PICO H</v>
      </c>
      <c r="Q2116" s="732" t="str">
        <f>'DICTIONARY-3'!$A$209</f>
        <v>Zawór regulacyjny</v>
      </c>
      <c r="R2116" s="732" t="str">
        <f>CONCATENATE('DICTIONARY-3'!$A$116," ",'DICTIONARY-6'!$A$17," ",LOWER('DICTIONARY-2'!$A$36),"03"," ",'DICTIONARY-2'!$A$2,"65"," ",'DICTIONARY-2'!$A$3,"10/16"," ","SZ40 3-21",'DICTIONARY-2'!$A$20)</f>
        <v>PICO H  Zaw. regulacyjny typ03 DN65 PN10/16 SZ40 3-21bar</v>
      </c>
      <c r="S2116" s="733" t="str">
        <f>'DICTIONARY-4'!$A$17</f>
        <v>AS</v>
      </c>
      <c r="T2116" s="732" t="str">
        <f>'DICTIONARY-4'!$A$33</f>
        <v>Automatyczne sterowanie</v>
      </c>
      <c r="U2116" s="734" t="s">
        <v>5759</v>
      </c>
      <c r="V2116" s="735">
        <v>16</v>
      </c>
      <c r="W2116" s="736"/>
      <c r="X2116" s="737"/>
      <c r="Y2116" s="738"/>
      <c r="Z2116" s="739"/>
      <c r="AA2116" s="739"/>
      <c r="AB2116" s="740">
        <v>16</v>
      </c>
      <c r="AC2116" s="741" t="str">
        <f>'DICTIONARY-5'!$A$11&amp;" 1"</f>
        <v>EN 558 szereg 1</v>
      </c>
      <c r="AD2116" s="741" t="str">
        <f>'DICTIONARY-5'!$A$13</f>
        <v>woda pitna</v>
      </c>
      <c r="AE2116" s="742">
        <v>50</v>
      </c>
      <c r="AF2116" s="743">
        <v>30</v>
      </c>
      <c r="AG2116" s="741" t="str">
        <f>'DICTIONARY-5'!$A$23</f>
        <v>powłoka epoksydowa</v>
      </c>
    </row>
    <row r="2117" spans="1:33" x14ac:dyDescent="0.25">
      <c r="A2117" s="872" t="s">
        <v>1926</v>
      </c>
      <c r="B2117" s="872" t="s">
        <v>3548</v>
      </c>
      <c r="C2117" s="836">
        <v>3132</v>
      </c>
      <c r="D2117" s="836"/>
      <c r="E2117" s="836"/>
      <c r="F2117" s="836"/>
      <c r="G2117" s="496" t="s">
        <v>7838</v>
      </c>
      <c r="H2117" s="797" t="str">
        <f>VLOOKUP(G2117,SETTINGS!$B$7:$D$97,2,0)</f>
        <v>PICO-H</v>
      </c>
      <c r="I2117" s="796">
        <f>VLOOKUP(G2117,SETTINGS!$B$7:$D$97,3,0)</f>
        <v>0</v>
      </c>
      <c r="J2117" s="670" t="str">
        <f>IFERROR(IF(CURRENCY.FORMAT_1=0,CONCATENATE(TEXT(FIXED(ROUND((C2117/EXC.RATE_1),CURRENCY.FORMAT_1),CURRENCY.FORMAT_1,1),"# ##0;-# ##0"),",-"),FIXED(ROUND((C2117/EXC.RATE_1),CURRENCY.FORMAT_1),CURRENCY.FORMAT_1,0)),'DICTIONARY-5'!$A$2)</f>
        <v>3 132,-</v>
      </c>
      <c r="K2117" s="670" t="str">
        <f>IF(EXC.RATE_2=0,"",IFERROR(IF(CURRENCY.FORMAT_2=0,CONCATENATE(TEXT(FIXED(ROUND(IF(EXC.RATE.SWITCH=1,C2117/EXC.RATE_2,C2117*EXC.RATE_2),CURRENCY.FORMAT_2),CURRENCY.FORMAT_2,1),"# ##0;-# ##0"),",-"),FIXED(ROUND(IF(EXC.RATE.SWITCH=1,C2117/EXC.RATE_2,C2117*EXC.RATE_2),CURRENCY.FORMAT_2),CURRENCY.FORMAT_2,0)),'DICTIONARY-5'!$A$2))</f>
        <v/>
      </c>
      <c r="L2117" s="670" t="str">
        <f>IFERROR(IF(CURRENCY.FORMAT_1=0,CONCATENATE(TEXT(FIXED(ROUND((C2117*(1-I2117)*(1-ADD.DISCOUNT)*(1+MAT.SURCHARGE)/EXC.RATE_1),CURRENCY.FORMAT_1),CURRENCY.FORMAT_1,1),"# ##0;-# ##0"),",-"),FIXED(ROUND((C2117*(1-I2117)*(1-ADD.DISCOUNT)*(1+MAT.SURCHARGE)/EXC.RATE_1),CURRENCY.FORMAT_1),CURRENCY.FORMAT_1,0)),'DICTIONARY-5'!$A$2)</f>
        <v>3 254,-</v>
      </c>
      <c r="M2117" s="670" t="str">
        <f>IF(EXC.RATE_2=0,"",IFERROR(IF(CURRENCY.FORMAT_2=0,CONCATENATE(TEXT(FIXED(ROUND(IF(EXC.RATE.SWITCH=1,C2117*(1-I2117)*(1-ADD.DISCOUNT)*(1+MAT.SURCHARGE)/EXC.RATE_2,C2117*(1-I2117)*(1-ADD.DISCOUNT)*(1+MAT.SURCHARGE)*EXC.RATE_2),CURRENCY.FORMAT_2),CURRENCY.FORMAT_2,1),"# ##0;-# ##0"),",-"),FIXED(ROUND(IF(EXC.RATE.SWITCH=1,C2117*(1-I2117)*(1-ADD.DISCOUNT)*(1+MAT.SURCHARGE)/EXC.RATE_2,C2117*(1-I2117)*(1-ADD.DISCOUNT)*(1+MAT.SURCHARGE)*EXC.RATE_2),CURRENCY.FORMAT_2),CURRENCY.FORMAT_2,0)),'DICTIONARY-5'!$A$2))</f>
        <v/>
      </c>
      <c r="N2117" s="538">
        <v>9</v>
      </c>
      <c r="O2117" s="538"/>
      <c r="P2117" s="731" t="str">
        <f>'DICTIONARY-3'!$A$116</f>
        <v>PICO H</v>
      </c>
      <c r="Q2117" s="732" t="str">
        <f>'DICTIONARY-3'!$A$209</f>
        <v>Zawór regulacyjny</v>
      </c>
      <c r="R2117" s="732" t="str">
        <f>CONCATENATE('DICTIONARY-3'!$A$116," ",'DICTIONARY-6'!$A$17," ",LOWER('DICTIONARY-2'!$A$36),"03"," ",'DICTIONARY-2'!$A$2,"80"," ",'DICTIONARY-2'!$A$3,"10/16"," ","SZ40 3-21",'DICTIONARY-2'!$A$20)</f>
        <v>PICO H  Zaw. regulacyjny typ03 DN80 PN10/16 SZ40 3-21bar</v>
      </c>
      <c r="S2117" s="733" t="str">
        <f>'DICTIONARY-4'!$A$17</f>
        <v>AS</v>
      </c>
      <c r="T2117" s="732" t="str">
        <f>'DICTIONARY-4'!$A$33</f>
        <v>Automatyczne sterowanie</v>
      </c>
      <c r="U2117" s="734" t="s">
        <v>5760</v>
      </c>
      <c r="V2117" s="735">
        <v>16</v>
      </c>
      <c r="W2117" s="736"/>
      <c r="X2117" s="737"/>
      <c r="Y2117" s="738"/>
      <c r="Z2117" s="739"/>
      <c r="AA2117" s="739"/>
      <c r="AB2117" s="740">
        <v>16</v>
      </c>
      <c r="AC2117" s="741" t="str">
        <f>'DICTIONARY-5'!$A$11&amp;" 1"</f>
        <v>EN 558 szereg 1</v>
      </c>
      <c r="AD2117" s="741" t="str">
        <f>'DICTIONARY-5'!$A$13</f>
        <v>woda pitna</v>
      </c>
      <c r="AE2117" s="742">
        <v>50</v>
      </c>
      <c r="AF2117" s="743">
        <v>29</v>
      </c>
      <c r="AG2117" s="741" t="str">
        <f>'DICTIONARY-5'!$A$23</f>
        <v>powłoka epoksydowa</v>
      </c>
    </row>
    <row r="2118" spans="1:33" x14ac:dyDescent="0.25">
      <c r="A2118" s="872" t="s">
        <v>1928</v>
      </c>
      <c r="B2118" s="872" t="s">
        <v>3549</v>
      </c>
      <c r="C2118" s="836">
        <v>3209</v>
      </c>
      <c r="D2118" s="836"/>
      <c r="E2118" s="836"/>
      <c r="F2118" s="836"/>
      <c r="G2118" s="496" t="s">
        <v>7838</v>
      </c>
      <c r="H2118" s="797" t="str">
        <f>VLOOKUP(G2118,SETTINGS!$B$7:$D$97,2,0)</f>
        <v>PICO-H</v>
      </c>
      <c r="I2118" s="796">
        <f>VLOOKUP(G2118,SETTINGS!$B$7:$D$97,3,0)</f>
        <v>0</v>
      </c>
      <c r="J2118" s="670" t="str">
        <f>IFERROR(IF(CURRENCY.FORMAT_1=0,CONCATENATE(TEXT(FIXED(ROUND((C2118/EXC.RATE_1),CURRENCY.FORMAT_1),CURRENCY.FORMAT_1,1),"# ##0;-# ##0"),",-"),FIXED(ROUND((C2118/EXC.RATE_1),CURRENCY.FORMAT_1),CURRENCY.FORMAT_1,0)),'DICTIONARY-5'!$A$2)</f>
        <v>3 209,-</v>
      </c>
      <c r="K2118" s="670" t="str">
        <f>IF(EXC.RATE_2=0,"",IFERROR(IF(CURRENCY.FORMAT_2=0,CONCATENATE(TEXT(FIXED(ROUND(IF(EXC.RATE.SWITCH=1,C2118/EXC.RATE_2,C2118*EXC.RATE_2),CURRENCY.FORMAT_2),CURRENCY.FORMAT_2,1),"# ##0;-# ##0"),",-"),FIXED(ROUND(IF(EXC.RATE.SWITCH=1,C2118/EXC.RATE_2,C2118*EXC.RATE_2),CURRENCY.FORMAT_2),CURRENCY.FORMAT_2,0)),'DICTIONARY-5'!$A$2))</f>
        <v/>
      </c>
      <c r="L2118" s="670" t="str">
        <f>IFERROR(IF(CURRENCY.FORMAT_1=0,CONCATENATE(TEXT(FIXED(ROUND((C2118*(1-I2118)*(1-ADD.DISCOUNT)*(1+MAT.SURCHARGE)/EXC.RATE_1),CURRENCY.FORMAT_1),CURRENCY.FORMAT_1,1),"# ##0;-# ##0"),",-"),FIXED(ROUND((C2118*(1-I2118)*(1-ADD.DISCOUNT)*(1+MAT.SURCHARGE)/EXC.RATE_1),CURRENCY.FORMAT_1),CURRENCY.FORMAT_1,0)),'DICTIONARY-5'!$A$2)</f>
        <v>3 334,-</v>
      </c>
      <c r="M2118" s="670" t="str">
        <f>IF(EXC.RATE_2=0,"",IFERROR(IF(CURRENCY.FORMAT_2=0,CONCATENATE(TEXT(FIXED(ROUND(IF(EXC.RATE.SWITCH=1,C2118*(1-I2118)*(1-ADD.DISCOUNT)*(1+MAT.SURCHARGE)/EXC.RATE_2,C2118*(1-I2118)*(1-ADD.DISCOUNT)*(1+MAT.SURCHARGE)*EXC.RATE_2),CURRENCY.FORMAT_2),CURRENCY.FORMAT_2,1),"# ##0;-# ##0"),",-"),FIXED(ROUND(IF(EXC.RATE.SWITCH=1,C2118*(1-I2118)*(1-ADD.DISCOUNT)*(1+MAT.SURCHARGE)/EXC.RATE_2,C2118*(1-I2118)*(1-ADD.DISCOUNT)*(1+MAT.SURCHARGE)*EXC.RATE_2),CURRENCY.FORMAT_2),CURRENCY.FORMAT_2,0)),'DICTIONARY-5'!$A$2))</f>
        <v/>
      </c>
      <c r="N2118" s="538">
        <v>9</v>
      </c>
      <c r="O2118" s="538"/>
      <c r="P2118" s="731" t="str">
        <f>'DICTIONARY-3'!$A$116</f>
        <v>PICO H</v>
      </c>
      <c r="Q2118" s="732" t="str">
        <f>'DICTIONARY-3'!$A$209</f>
        <v>Zawór regulacyjny</v>
      </c>
      <c r="R2118" s="732" t="str">
        <f>CONCATENATE('DICTIONARY-3'!$A$116," ",'DICTIONARY-6'!$A$17," ",LOWER('DICTIONARY-2'!$A$36),"03"," ",'DICTIONARY-2'!$A$2,"100"," ",'DICTIONARY-2'!$A$3,"10/16"," ","SZ40 3-21",'DICTIONARY-2'!$A$20)</f>
        <v>PICO H  Zaw. regulacyjny typ03 DN100 PN10/16 SZ40 3-21bar</v>
      </c>
      <c r="S2118" s="733" t="str">
        <f>'DICTIONARY-4'!$A$17</f>
        <v>AS</v>
      </c>
      <c r="T2118" s="732" t="str">
        <f>'DICTIONARY-4'!$A$33</f>
        <v>Automatyczne sterowanie</v>
      </c>
      <c r="U2118" s="734" t="s">
        <v>5749</v>
      </c>
      <c r="V2118" s="735">
        <v>16</v>
      </c>
      <c r="W2118" s="736"/>
      <c r="X2118" s="737"/>
      <c r="Y2118" s="738"/>
      <c r="Z2118" s="739"/>
      <c r="AA2118" s="739"/>
      <c r="AB2118" s="740">
        <v>16</v>
      </c>
      <c r="AC2118" s="741" t="str">
        <f>'DICTIONARY-5'!$A$11&amp;" 1"</f>
        <v>EN 558 szereg 1</v>
      </c>
      <c r="AD2118" s="741" t="str">
        <f>'DICTIONARY-5'!$A$13</f>
        <v>woda pitna</v>
      </c>
      <c r="AE2118" s="742">
        <v>50</v>
      </c>
      <c r="AF2118" s="743">
        <v>36.5</v>
      </c>
      <c r="AG2118" s="741" t="str">
        <f>'DICTIONARY-5'!$A$23</f>
        <v>powłoka epoksydowa</v>
      </c>
    </row>
    <row r="2119" spans="1:33" x14ac:dyDescent="0.25">
      <c r="A2119" s="872" t="s">
        <v>1930</v>
      </c>
      <c r="B2119" s="872" t="s">
        <v>3550</v>
      </c>
      <c r="C2119" s="836">
        <v>3350</v>
      </c>
      <c r="D2119" s="836"/>
      <c r="E2119" s="836"/>
      <c r="F2119" s="836"/>
      <c r="G2119" s="496" t="s">
        <v>7838</v>
      </c>
      <c r="H2119" s="797" t="str">
        <f>VLOOKUP(G2119,SETTINGS!$B$7:$D$97,2,0)</f>
        <v>PICO-H</v>
      </c>
      <c r="I2119" s="796">
        <f>VLOOKUP(G2119,SETTINGS!$B$7:$D$97,3,0)</f>
        <v>0</v>
      </c>
      <c r="J2119" s="670" t="str">
        <f>IFERROR(IF(CURRENCY.FORMAT_1=0,CONCATENATE(TEXT(FIXED(ROUND((C2119/EXC.RATE_1),CURRENCY.FORMAT_1),CURRENCY.FORMAT_1,1),"# ##0;-# ##0"),",-"),FIXED(ROUND((C2119/EXC.RATE_1),CURRENCY.FORMAT_1),CURRENCY.FORMAT_1,0)),'DICTIONARY-5'!$A$2)</f>
        <v>3 350,-</v>
      </c>
      <c r="K2119" s="670" t="str">
        <f>IF(EXC.RATE_2=0,"",IFERROR(IF(CURRENCY.FORMAT_2=0,CONCATENATE(TEXT(FIXED(ROUND(IF(EXC.RATE.SWITCH=1,C2119/EXC.RATE_2,C2119*EXC.RATE_2),CURRENCY.FORMAT_2),CURRENCY.FORMAT_2,1),"# ##0;-# ##0"),",-"),FIXED(ROUND(IF(EXC.RATE.SWITCH=1,C2119/EXC.RATE_2,C2119*EXC.RATE_2),CURRENCY.FORMAT_2),CURRENCY.FORMAT_2,0)),'DICTIONARY-5'!$A$2))</f>
        <v/>
      </c>
      <c r="L2119" s="670" t="str">
        <f>IFERROR(IF(CURRENCY.FORMAT_1=0,CONCATENATE(TEXT(FIXED(ROUND((C2119*(1-I2119)*(1-ADD.DISCOUNT)*(1+MAT.SURCHARGE)/EXC.RATE_1),CURRENCY.FORMAT_1),CURRENCY.FORMAT_1,1),"# ##0;-# ##0"),",-"),FIXED(ROUND((C2119*(1-I2119)*(1-ADD.DISCOUNT)*(1+MAT.SURCHARGE)/EXC.RATE_1),CURRENCY.FORMAT_1),CURRENCY.FORMAT_1,0)),'DICTIONARY-5'!$A$2)</f>
        <v>3 481,-</v>
      </c>
      <c r="M2119" s="670" t="str">
        <f>IF(EXC.RATE_2=0,"",IFERROR(IF(CURRENCY.FORMAT_2=0,CONCATENATE(TEXT(FIXED(ROUND(IF(EXC.RATE.SWITCH=1,C2119*(1-I2119)*(1-ADD.DISCOUNT)*(1+MAT.SURCHARGE)/EXC.RATE_2,C2119*(1-I2119)*(1-ADD.DISCOUNT)*(1+MAT.SURCHARGE)*EXC.RATE_2),CURRENCY.FORMAT_2),CURRENCY.FORMAT_2,1),"# ##0;-# ##0"),",-"),FIXED(ROUND(IF(EXC.RATE.SWITCH=1,C2119*(1-I2119)*(1-ADD.DISCOUNT)*(1+MAT.SURCHARGE)/EXC.RATE_2,C2119*(1-I2119)*(1-ADD.DISCOUNT)*(1+MAT.SURCHARGE)*EXC.RATE_2),CURRENCY.FORMAT_2),CURRENCY.FORMAT_2,0)),'DICTIONARY-5'!$A$2))</f>
        <v/>
      </c>
      <c r="N2119" s="538">
        <v>9</v>
      </c>
      <c r="O2119" s="538"/>
      <c r="P2119" s="731" t="str">
        <f>'DICTIONARY-3'!$A$116</f>
        <v>PICO H</v>
      </c>
      <c r="Q2119" s="732" t="str">
        <f>'DICTIONARY-3'!$A$209</f>
        <v>Zawór regulacyjny</v>
      </c>
      <c r="R2119" s="732" t="str">
        <f>CONCATENATE('DICTIONARY-3'!$A$116," ",'DICTIONARY-6'!$A$17," ",LOWER('DICTIONARY-2'!$A$36),"03"," ",'DICTIONARY-2'!$A$2,"125"," ",'DICTIONARY-2'!$A$3,"10/16"," ","SZ40 3-21",'DICTIONARY-2'!$A$20)</f>
        <v>PICO H  Zaw. regulacyjny typ03 DN125 PN10/16 SZ40 3-21bar</v>
      </c>
      <c r="S2119" s="733" t="str">
        <f>'DICTIONARY-4'!$A$17</f>
        <v>AS</v>
      </c>
      <c r="T2119" s="732" t="str">
        <f>'DICTIONARY-4'!$A$33</f>
        <v>Automatyczne sterowanie</v>
      </c>
      <c r="U2119" s="734" t="s">
        <v>5761</v>
      </c>
      <c r="V2119" s="735">
        <v>16</v>
      </c>
      <c r="W2119" s="736"/>
      <c r="X2119" s="737"/>
      <c r="Y2119" s="738"/>
      <c r="Z2119" s="739"/>
      <c r="AA2119" s="739"/>
      <c r="AB2119" s="740">
        <v>16</v>
      </c>
      <c r="AC2119" s="741" t="str">
        <f>'DICTIONARY-5'!$A$11&amp;" 1"</f>
        <v>EN 558 szereg 1</v>
      </c>
      <c r="AD2119" s="741" t="str">
        <f>'DICTIONARY-5'!$A$13</f>
        <v>woda pitna</v>
      </c>
      <c r="AE2119" s="742">
        <v>50</v>
      </c>
      <c r="AF2119" s="743">
        <v>42</v>
      </c>
      <c r="AG2119" s="741" t="str">
        <f>'DICTIONARY-5'!$A$23</f>
        <v>powłoka epoksydowa</v>
      </c>
    </row>
    <row r="2120" spans="1:33" x14ac:dyDescent="0.25">
      <c r="A2120" s="872" t="s">
        <v>1932</v>
      </c>
      <c r="B2120" s="872" t="s">
        <v>3551</v>
      </c>
      <c r="C2120" s="836">
        <v>4002</v>
      </c>
      <c r="D2120" s="836"/>
      <c r="E2120" s="836"/>
      <c r="F2120" s="836"/>
      <c r="G2120" s="496" t="s">
        <v>7838</v>
      </c>
      <c r="H2120" s="797" t="str">
        <f>VLOOKUP(G2120,SETTINGS!$B$7:$D$97,2,0)</f>
        <v>PICO-H</v>
      </c>
      <c r="I2120" s="796">
        <f>VLOOKUP(G2120,SETTINGS!$B$7:$D$97,3,0)</f>
        <v>0</v>
      </c>
      <c r="J2120" s="670" t="str">
        <f>IFERROR(IF(CURRENCY.FORMAT_1=0,CONCATENATE(TEXT(FIXED(ROUND((C2120/EXC.RATE_1),CURRENCY.FORMAT_1),CURRENCY.FORMAT_1,1),"# ##0;-# ##0"),",-"),FIXED(ROUND((C2120/EXC.RATE_1),CURRENCY.FORMAT_1),CURRENCY.FORMAT_1,0)),'DICTIONARY-5'!$A$2)</f>
        <v>4 002,-</v>
      </c>
      <c r="K2120" s="670" t="str">
        <f>IF(EXC.RATE_2=0,"",IFERROR(IF(CURRENCY.FORMAT_2=0,CONCATENATE(TEXT(FIXED(ROUND(IF(EXC.RATE.SWITCH=1,C2120/EXC.RATE_2,C2120*EXC.RATE_2),CURRENCY.FORMAT_2),CURRENCY.FORMAT_2,1),"# ##0;-# ##0"),",-"),FIXED(ROUND(IF(EXC.RATE.SWITCH=1,C2120/EXC.RATE_2,C2120*EXC.RATE_2),CURRENCY.FORMAT_2),CURRENCY.FORMAT_2,0)),'DICTIONARY-5'!$A$2))</f>
        <v/>
      </c>
      <c r="L2120" s="670" t="str">
        <f>IFERROR(IF(CURRENCY.FORMAT_1=0,CONCATENATE(TEXT(FIXED(ROUND((C2120*(1-I2120)*(1-ADD.DISCOUNT)*(1+MAT.SURCHARGE)/EXC.RATE_1),CURRENCY.FORMAT_1),CURRENCY.FORMAT_1,1),"# ##0;-# ##0"),",-"),FIXED(ROUND((C2120*(1-I2120)*(1-ADD.DISCOUNT)*(1+MAT.SURCHARGE)/EXC.RATE_1),CURRENCY.FORMAT_1),CURRENCY.FORMAT_1,0)),'DICTIONARY-5'!$A$2)</f>
        <v>4 158,-</v>
      </c>
      <c r="M2120" s="670" t="str">
        <f>IF(EXC.RATE_2=0,"",IFERROR(IF(CURRENCY.FORMAT_2=0,CONCATENATE(TEXT(FIXED(ROUND(IF(EXC.RATE.SWITCH=1,C2120*(1-I2120)*(1-ADD.DISCOUNT)*(1+MAT.SURCHARGE)/EXC.RATE_2,C2120*(1-I2120)*(1-ADD.DISCOUNT)*(1+MAT.SURCHARGE)*EXC.RATE_2),CURRENCY.FORMAT_2),CURRENCY.FORMAT_2,1),"# ##0;-# ##0"),",-"),FIXED(ROUND(IF(EXC.RATE.SWITCH=1,C2120*(1-I2120)*(1-ADD.DISCOUNT)*(1+MAT.SURCHARGE)/EXC.RATE_2,C2120*(1-I2120)*(1-ADD.DISCOUNT)*(1+MAT.SURCHARGE)*EXC.RATE_2),CURRENCY.FORMAT_2),CURRENCY.FORMAT_2,0)),'DICTIONARY-5'!$A$2))</f>
        <v/>
      </c>
      <c r="N2120" s="538">
        <v>9</v>
      </c>
      <c r="O2120" s="538"/>
      <c r="P2120" s="731" t="str">
        <f>'DICTIONARY-3'!$A$116</f>
        <v>PICO H</v>
      </c>
      <c r="Q2120" s="732" t="str">
        <f>'DICTIONARY-3'!$A$209</f>
        <v>Zawór regulacyjny</v>
      </c>
      <c r="R2120" s="732" t="str">
        <f>CONCATENATE('DICTIONARY-3'!$A$116," ",'DICTIONARY-6'!$A$17," ",LOWER('DICTIONARY-2'!$A$36),"03"," ",'DICTIONARY-2'!$A$2,"150"," ",'DICTIONARY-2'!$A$3,"10/16"," ","SZ40 3-21",'DICTIONARY-2'!$A$20)</f>
        <v>PICO H  Zaw. regulacyjny typ03 DN150 PN10/16 SZ40 3-21bar</v>
      </c>
      <c r="S2120" s="733" t="str">
        <f>'DICTIONARY-4'!$A$17</f>
        <v>AS</v>
      </c>
      <c r="T2120" s="732" t="str">
        <f>'DICTIONARY-4'!$A$33</f>
        <v>Automatyczne sterowanie</v>
      </c>
      <c r="U2120" s="734" t="s">
        <v>5572</v>
      </c>
      <c r="V2120" s="735">
        <v>16</v>
      </c>
      <c r="W2120" s="736"/>
      <c r="X2120" s="737"/>
      <c r="Y2120" s="738"/>
      <c r="Z2120" s="739"/>
      <c r="AA2120" s="739"/>
      <c r="AB2120" s="740">
        <v>16</v>
      </c>
      <c r="AC2120" s="741" t="str">
        <f>'DICTIONARY-5'!$A$11&amp;" 1"</f>
        <v>EN 558 szereg 1</v>
      </c>
      <c r="AD2120" s="741" t="str">
        <f>'DICTIONARY-5'!$A$13</f>
        <v>woda pitna</v>
      </c>
      <c r="AE2120" s="742">
        <v>50</v>
      </c>
      <c r="AF2120" s="743">
        <v>72</v>
      </c>
      <c r="AG2120" s="741" t="str">
        <f>'DICTIONARY-5'!$A$23</f>
        <v>powłoka epoksydowa</v>
      </c>
    </row>
    <row r="2121" spans="1:33" x14ac:dyDescent="0.25">
      <c r="A2121" s="872" t="s">
        <v>1934</v>
      </c>
      <c r="B2121" s="872" t="s">
        <v>3525</v>
      </c>
      <c r="C2121" s="836">
        <v>5400</v>
      </c>
      <c r="D2121" s="836"/>
      <c r="E2121" s="836"/>
      <c r="F2121" s="836"/>
      <c r="G2121" s="496" t="s">
        <v>7838</v>
      </c>
      <c r="H2121" s="797" t="str">
        <f>VLOOKUP(G2121,SETTINGS!$B$7:$D$97,2,0)</f>
        <v>PICO-H</v>
      </c>
      <c r="I2121" s="796">
        <f>VLOOKUP(G2121,SETTINGS!$B$7:$D$97,3,0)</f>
        <v>0</v>
      </c>
      <c r="J2121" s="670" t="str">
        <f>IFERROR(IF(CURRENCY.FORMAT_1=0,CONCATENATE(TEXT(FIXED(ROUND((C2121/EXC.RATE_1),CURRENCY.FORMAT_1),CURRENCY.FORMAT_1,1),"# ##0;-# ##0"),",-"),FIXED(ROUND((C2121/EXC.RATE_1),CURRENCY.FORMAT_1),CURRENCY.FORMAT_1,0)),'DICTIONARY-5'!$A$2)</f>
        <v>5 400,-</v>
      </c>
      <c r="K2121" s="670" t="str">
        <f>IF(EXC.RATE_2=0,"",IFERROR(IF(CURRENCY.FORMAT_2=0,CONCATENATE(TEXT(FIXED(ROUND(IF(EXC.RATE.SWITCH=1,C2121/EXC.RATE_2,C2121*EXC.RATE_2),CURRENCY.FORMAT_2),CURRENCY.FORMAT_2,1),"# ##0;-# ##0"),",-"),FIXED(ROUND(IF(EXC.RATE.SWITCH=1,C2121/EXC.RATE_2,C2121*EXC.RATE_2),CURRENCY.FORMAT_2),CURRENCY.FORMAT_2,0)),'DICTIONARY-5'!$A$2))</f>
        <v/>
      </c>
      <c r="L2121" s="670" t="str">
        <f>IFERROR(IF(CURRENCY.FORMAT_1=0,CONCATENATE(TEXT(FIXED(ROUND((C2121*(1-I2121)*(1-ADD.DISCOUNT)*(1+MAT.SURCHARGE)/EXC.RATE_1),CURRENCY.FORMAT_1),CURRENCY.FORMAT_1,1),"# ##0;-# ##0"),",-"),FIXED(ROUND((C2121*(1-I2121)*(1-ADD.DISCOUNT)*(1+MAT.SURCHARGE)/EXC.RATE_1),CURRENCY.FORMAT_1),CURRENCY.FORMAT_1,0)),'DICTIONARY-5'!$A$2)</f>
        <v>5 611,-</v>
      </c>
      <c r="M2121" s="670" t="str">
        <f>IF(EXC.RATE_2=0,"",IFERROR(IF(CURRENCY.FORMAT_2=0,CONCATENATE(TEXT(FIXED(ROUND(IF(EXC.RATE.SWITCH=1,C2121*(1-I2121)*(1-ADD.DISCOUNT)*(1+MAT.SURCHARGE)/EXC.RATE_2,C2121*(1-I2121)*(1-ADD.DISCOUNT)*(1+MAT.SURCHARGE)*EXC.RATE_2),CURRENCY.FORMAT_2),CURRENCY.FORMAT_2,1),"# ##0;-# ##0"),",-"),FIXED(ROUND(IF(EXC.RATE.SWITCH=1,C2121*(1-I2121)*(1-ADD.DISCOUNT)*(1+MAT.SURCHARGE)/EXC.RATE_2,C2121*(1-I2121)*(1-ADD.DISCOUNT)*(1+MAT.SURCHARGE)*EXC.RATE_2),CURRENCY.FORMAT_2),CURRENCY.FORMAT_2,0)),'DICTIONARY-5'!$A$2))</f>
        <v/>
      </c>
      <c r="N2121" s="538">
        <v>9</v>
      </c>
      <c r="O2121" s="538"/>
      <c r="P2121" s="731" t="str">
        <f>'DICTIONARY-3'!$A$116</f>
        <v>PICO H</v>
      </c>
      <c r="Q2121" s="732" t="str">
        <f>'DICTIONARY-3'!$A$209</f>
        <v>Zawór regulacyjny</v>
      </c>
      <c r="R2121" s="732" t="str">
        <f>CONCATENATE('DICTIONARY-3'!$A$116," ",'DICTIONARY-6'!$A$17," ",LOWER('DICTIONARY-2'!$A$36),"03"," ",'DICTIONARY-2'!$A$2,"200"," ",'DICTIONARY-2'!$A$3,"10"," ","SZ40 3-21",'DICTIONARY-2'!$A$20)</f>
        <v>PICO H  Zaw. regulacyjny typ03 DN200 PN10 SZ40 3-21bar</v>
      </c>
      <c r="S2121" s="733" t="str">
        <f>'DICTIONARY-4'!$A$17</f>
        <v>AS</v>
      </c>
      <c r="T2121" s="732" t="str">
        <f>'DICTIONARY-4'!$A$33</f>
        <v>Automatyczne sterowanie</v>
      </c>
      <c r="U2121" s="734" t="s">
        <v>5750</v>
      </c>
      <c r="V2121" s="735">
        <v>10</v>
      </c>
      <c r="W2121" s="736"/>
      <c r="X2121" s="737"/>
      <c r="Y2121" s="738"/>
      <c r="Z2121" s="739"/>
      <c r="AA2121" s="739"/>
      <c r="AB2121" s="740">
        <v>10</v>
      </c>
      <c r="AC2121" s="741" t="str">
        <f>'DICTIONARY-5'!$A$11&amp;" 1"</f>
        <v>EN 558 szereg 1</v>
      </c>
      <c r="AD2121" s="741" t="str">
        <f>'DICTIONARY-5'!$A$13</f>
        <v>woda pitna</v>
      </c>
      <c r="AE2121" s="742">
        <v>50</v>
      </c>
      <c r="AF2121" s="743">
        <v>131</v>
      </c>
      <c r="AG2121" s="741" t="str">
        <f>'DICTIONARY-5'!$A$23</f>
        <v>powłoka epoksydowa</v>
      </c>
    </row>
    <row r="2122" spans="1:33" x14ac:dyDescent="0.25">
      <c r="A2122" s="872" t="s">
        <v>1936</v>
      </c>
      <c r="B2122" s="872" t="s">
        <v>3552</v>
      </c>
      <c r="C2122" s="836">
        <v>5398</v>
      </c>
      <c r="D2122" s="836"/>
      <c r="E2122" s="836"/>
      <c r="F2122" s="836"/>
      <c r="G2122" s="496" t="s">
        <v>7838</v>
      </c>
      <c r="H2122" s="797" t="str">
        <f>VLOOKUP(G2122,SETTINGS!$B$7:$D$97,2,0)</f>
        <v>PICO-H</v>
      </c>
      <c r="I2122" s="796">
        <f>VLOOKUP(G2122,SETTINGS!$B$7:$D$97,3,0)</f>
        <v>0</v>
      </c>
      <c r="J2122" s="670" t="str">
        <f>IFERROR(IF(CURRENCY.FORMAT_1=0,CONCATENATE(TEXT(FIXED(ROUND((C2122/EXC.RATE_1),CURRENCY.FORMAT_1),CURRENCY.FORMAT_1,1),"# ##0;-# ##0"),",-"),FIXED(ROUND((C2122/EXC.RATE_1),CURRENCY.FORMAT_1),CURRENCY.FORMAT_1,0)),'DICTIONARY-5'!$A$2)</f>
        <v>5 398,-</v>
      </c>
      <c r="K2122" s="670" t="str">
        <f>IF(EXC.RATE_2=0,"",IFERROR(IF(CURRENCY.FORMAT_2=0,CONCATENATE(TEXT(FIXED(ROUND(IF(EXC.RATE.SWITCH=1,C2122/EXC.RATE_2,C2122*EXC.RATE_2),CURRENCY.FORMAT_2),CURRENCY.FORMAT_2,1),"# ##0;-# ##0"),",-"),FIXED(ROUND(IF(EXC.RATE.SWITCH=1,C2122/EXC.RATE_2,C2122*EXC.RATE_2),CURRENCY.FORMAT_2),CURRENCY.FORMAT_2,0)),'DICTIONARY-5'!$A$2))</f>
        <v/>
      </c>
      <c r="L2122" s="670" t="str">
        <f>IFERROR(IF(CURRENCY.FORMAT_1=0,CONCATENATE(TEXT(FIXED(ROUND((C2122*(1-I2122)*(1-ADD.DISCOUNT)*(1+MAT.SURCHARGE)/EXC.RATE_1),CURRENCY.FORMAT_1),CURRENCY.FORMAT_1,1),"# ##0;-# ##0"),",-"),FIXED(ROUND((C2122*(1-I2122)*(1-ADD.DISCOUNT)*(1+MAT.SURCHARGE)/EXC.RATE_1),CURRENCY.FORMAT_1),CURRENCY.FORMAT_1,0)),'DICTIONARY-5'!$A$2)</f>
        <v>5 609,-</v>
      </c>
      <c r="M2122" s="670" t="str">
        <f>IF(EXC.RATE_2=0,"",IFERROR(IF(CURRENCY.FORMAT_2=0,CONCATENATE(TEXT(FIXED(ROUND(IF(EXC.RATE.SWITCH=1,C2122*(1-I2122)*(1-ADD.DISCOUNT)*(1+MAT.SURCHARGE)/EXC.RATE_2,C2122*(1-I2122)*(1-ADD.DISCOUNT)*(1+MAT.SURCHARGE)*EXC.RATE_2),CURRENCY.FORMAT_2),CURRENCY.FORMAT_2,1),"# ##0;-# ##0"),",-"),FIXED(ROUND(IF(EXC.RATE.SWITCH=1,C2122*(1-I2122)*(1-ADD.DISCOUNT)*(1+MAT.SURCHARGE)/EXC.RATE_2,C2122*(1-I2122)*(1-ADD.DISCOUNT)*(1+MAT.SURCHARGE)*EXC.RATE_2),CURRENCY.FORMAT_2),CURRENCY.FORMAT_2,0)),'DICTIONARY-5'!$A$2))</f>
        <v/>
      </c>
      <c r="N2122" s="538">
        <v>9</v>
      </c>
      <c r="O2122" s="538"/>
      <c r="P2122" s="731" t="str">
        <f>'DICTIONARY-3'!$A$116</f>
        <v>PICO H</v>
      </c>
      <c r="Q2122" s="732" t="str">
        <f>'DICTIONARY-3'!$A$209</f>
        <v>Zawór regulacyjny</v>
      </c>
      <c r="R2122" s="732" t="str">
        <f>CONCATENATE('DICTIONARY-3'!$A$116," ",'DICTIONARY-6'!$A$17," ",LOWER('DICTIONARY-2'!$A$36),"03"," ",'DICTIONARY-2'!$A$2,"200"," ",'DICTIONARY-2'!$A$3,"16"," ","SZ40 3-21",'DICTIONARY-2'!$A$20)</f>
        <v>PICO H  Zaw. regulacyjny typ03 DN200 PN16 SZ40 3-21bar</v>
      </c>
      <c r="S2122" s="733" t="str">
        <f>'DICTIONARY-4'!$A$17</f>
        <v>AS</v>
      </c>
      <c r="T2122" s="732" t="str">
        <f>'DICTIONARY-4'!$A$33</f>
        <v>Automatyczne sterowanie</v>
      </c>
      <c r="U2122" s="734" t="s">
        <v>5750</v>
      </c>
      <c r="V2122" s="735">
        <v>16</v>
      </c>
      <c r="W2122" s="736"/>
      <c r="X2122" s="737"/>
      <c r="Y2122" s="738"/>
      <c r="Z2122" s="739"/>
      <c r="AA2122" s="739"/>
      <c r="AB2122" s="740">
        <v>16</v>
      </c>
      <c r="AC2122" s="741" t="str">
        <f>'DICTIONARY-5'!$A$11&amp;" 1"</f>
        <v>EN 558 szereg 1</v>
      </c>
      <c r="AD2122" s="741" t="str">
        <f>'DICTIONARY-5'!$A$13</f>
        <v>woda pitna</v>
      </c>
      <c r="AE2122" s="742">
        <v>50</v>
      </c>
      <c r="AF2122" s="743">
        <v>131</v>
      </c>
      <c r="AG2122" s="741" t="str">
        <f>'DICTIONARY-5'!$A$23</f>
        <v>powłoka epoksydowa</v>
      </c>
    </row>
    <row r="2123" spans="1:33" x14ac:dyDescent="0.25">
      <c r="A2123" s="872" t="s">
        <v>1938</v>
      </c>
      <c r="B2123" s="872" t="s">
        <v>3526</v>
      </c>
      <c r="C2123" s="836">
        <v>6692</v>
      </c>
      <c r="D2123" s="836"/>
      <c r="E2123" s="836"/>
      <c r="F2123" s="836"/>
      <c r="G2123" s="496" t="s">
        <v>7838</v>
      </c>
      <c r="H2123" s="797" t="str">
        <f>VLOOKUP(G2123,SETTINGS!$B$7:$D$97,2,0)</f>
        <v>PICO-H</v>
      </c>
      <c r="I2123" s="796">
        <f>VLOOKUP(G2123,SETTINGS!$B$7:$D$97,3,0)</f>
        <v>0</v>
      </c>
      <c r="J2123" s="670" t="str">
        <f>IFERROR(IF(CURRENCY.FORMAT_1=0,CONCATENATE(TEXT(FIXED(ROUND((C2123/EXC.RATE_1),CURRENCY.FORMAT_1),CURRENCY.FORMAT_1,1),"# ##0;-# ##0"),",-"),FIXED(ROUND((C2123/EXC.RATE_1),CURRENCY.FORMAT_1),CURRENCY.FORMAT_1,0)),'DICTIONARY-5'!$A$2)</f>
        <v>6 692,-</v>
      </c>
      <c r="K2123" s="670" t="str">
        <f>IF(EXC.RATE_2=0,"",IFERROR(IF(CURRENCY.FORMAT_2=0,CONCATENATE(TEXT(FIXED(ROUND(IF(EXC.RATE.SWITCH=1,C2123/EXC.RATE_2,C2123*EXC.RATE_2),CURRENCY.FORMAT_2),CURRENCY.FORMAT_2,1),"# ##0;-# ##0"),",-"),FIXED(ROUND(IF(EXC.RATE.SWITCH=1,C2123/EXC.RATE_2,C2123*EXC.RATE_2),CURRENCY.FORMAT_2),CURRENCY.FORMAT_2,0)),'DICTIONARY-5'!$A$2))</f>
        <v/>
      </c>
      <c r="L2123" s="670" t="str">
        <f>IFERROR(IF(CURRENCY.FORMAT_1=0,CONCATENATE(TEXT(FIXED(ROUND((C2123*(1-I2123)*(1-ADD.DISCOUNT)*(1+MAT.SURCHARGE)/EXC.RATE_1),CURRENCY.FORMAT_1),CURRENCY.FORMAT_1,1),"# ##0;-# ##0"),",-"),FIXED(ROUND((C2123*(1-I2123)*(1-ADD.DISCOUNT)*(1+MAT.SURCHARGE)/EXC.RATE_1),CURRENCY.FORMAT_1),CURRENCY.FORMAT_1,0)),'DICTIONARY-5'!$A$2)</f>
        <v>6 953,-</v>
      </c>
      <c r="M2123" s="670" t="str">
        <f>IF(EXC.RATE_2=0,"",IFERROR(IF(CURRENCY.FORMAT_2=0,CONCATENATE(TEXT(FIXED(ROUND(IF(EXC.RATE.SWITCH=1,C2123*(1-I2123)*(1-ADD.DISCOUNT)*(1+MAT.SURCHARGE)/EXC.RATE_2,C2123*(1-I2123)*(1-ADD.DISCOUNT)*(1+MAT.SURCHARGE)*EXC.RATE_2),CURRENCY.FORMAT_2),CURRENCY.FORMAT_2,1),"# ##0;-# ##0"),",-"),FIXED(ROUND(IF(EXC.RATE.SWITCH=1,C2123*(1-I2123)*(1-ADD.DISCOUNT)*(1+MAT.SURCHARGE)/EXC.RATE_2,C2123*(1-I2123)*(1-ADD.DISCOUNT)*(1+MAT.SURCHARGE)*EXC.RATE_2),CURRENCY.FORMAT_2),CURRENCY.FORMAT_2,0)),'DICTIONARY-5'!$A$2))</f>
        <v/>
      </c>
      <c r="N2123" s="538">
        <v>9</v>
      </c>
      <c r="O2123" s="538"/>
      <c r="P2123" s="731" t="str">
        <f>'DICTIONARY-3'!$A$116</f>
        <v>PICO H</v>
      </c>
      <c r="Q2123" s="732" t="str">
        <f>'DICTIONARY-3'!$A$209</f>
        <v>Zawór regulacyjny</v>
      </c>
      <c r="R2123" s="732" t="str">
        <f>CONCATENATE('DICTIONARY-3'!$A$116," ",'DICTIONARY-6'!$A$17," ",LOWER('DICTIONARY-2'!$A$36),"03"," ",'DICTIONARY-2'!$A$2,"250"," ",'DICTIONARY-2'!$A$3,"10"," ","SZ40 3-21",'DICTIONARY-2'!$A$20)</f>
        <v>PICO H  Zaw. regulacyjny typ03 DN250 PN10 SZ40 3-21bar</v>
      </c>
      <c r="S2123" s="733" t="str">
        <f>'DICTIONARY-4'!$A$17</f>
        <v>AS</v>
      </c>
      <c r="T2123" s="732" t="str">
        <f>'DICTIONARY-4'!$A$33</f>
        <v>Automatyczne sterowanie</v>
      </c>
      <c r="U2123" s="734" t="s">
        <v>5751</v>
      </c>
      <c r="V2123" s="735">
        <v>10</v>
      </c>
      <c r="W2123" s="736"/>
      <c r="X2123" s="737"/>
      <c r="Y2123" s="738"/>
      <c r="Z2123" s="739"/>
      <c r="AA2123" s="739"/>
      <c r="AB2123" s="740">
        <v>10</v>
      </c>
      <c r="AC2123" s="741" t="str">
        <f>'DICTIONARY-5'!$A$11&amp;" 1"</f>
        <v>EN 558 szereg 1</v>
      </c>
      <c r="AD2123" s="741" t="str">
        <f>'DICTIONARY-5'!$A$13</f>
        <v>woda pitna</v>
      </c>
      <c r="AE2123" s="742">
        <v>50</v>
      </c>
      <c r="AF2123" s="743">
        <v>215</v>
      </c>
      <c r="AG2123" s="741" t="str">
        <f>'DICTIONARY-5'!$A$23</f>
        <v>powłoka epoksydowa</v>
      </c>
    </row>
    <row r="2124" spans="1:33" x14ac:dyDescent="0.25">
      <c r="A2124" s="872" t="s">
        <v>1940</v>
      </c>
      <c r="B2124" s="872" t="s">
        <v>3553</v>
      </c>
      <c r="C2124" s="836">
        <v>6688</v>
      </c>
      <c r="D2124" s="836"/>
      <c r="E2124" s="836"/>
      <c r="F2124" s="836"/>
      <c r="G2124" s="496" t="s">
        <v>7838</v>
      </c>
      <c r="H2124" s="797" t="str">
        <f>VLOOKUP(G2124,SETTINGS!$B$7:$D$97,2,0)</f>
        <v>PICO-H</v>
      </c>
      <c r="I2124" s="796">
        <f>VLOOKUP(G2124,SETTINGS!$B$7:$D$97,3,0)</f>
        <v>0</v>
      </c>
      <c r="J2124" s="670" t="str">
        <f>IFERROR(IF(CURRENCY.FORMAT_1=0,CONCATENATE(TEXT(FIXED(ROUND((C2124/EXC.RATE_1),CURRENCY.FORMAT_1),CURRENCY.FORMAT_1,1),"# ##0;-# ##0"),",-"),FIXED(ROUND((C2124/EXC.RATE_1),CURRENCY.FORMAT_1),CURRENCY.FORMAT_1,0)),'DICTIONARY-5'!$A$2)</f>
        <v>6 688,-</v>
      </c>
      <c r="K2124" s="670" t="str">
        <f>IF(EXC.RATE_2=0,"",IFERROR(IF(CURRENCY.FORMAT_2=0,CONCATENATE(TEXT(FIXED(ROUND(IF(EXC.RATE.SWITCH=1,C2124/EXC.RATE_2,C2124*EXC.RATE_2),CURRENCY.FORMAT_2),CURRENCY.FORMAT_2,1),"# ##0;-# ##0"),",-"),FIXED(ROUND(IF(EXC.RATE.SWITCH=1,C2124/EXC.RATE_2,C2124*EXC.RATE_2),CURRENCY.FORMAT_2),CURRENCY.FORMAT_2,0)),'DICTIONARY-5'!$A$2))</f>
        <v/>
      </c>
      <c r="L2124" s="670" t="str">
        <f>IFERROR(IF(CURRENCY.FORMAT_1=0,CONCATENATE(TEXT(FIXED(ROUND((C2124*(1-I2124)*(1-ADD.DISCOUNT)*(1+MAT.SURCHARGE)/EXC.RATE_1),CURRENCY.FORMAT_1),CURRENCY.FORMAT_1,1),"# ##0;-# ##0"),",-"),FIXED(ROUND((C2124*(1-I2124)*(1-ADD.DISCOUNT)*(1+MAT.SURCHARGE)/EXC.RATE_1),CURRENCY.FORMAT_1),CURRENCY.FORMAT_1,0)),'DICTIONARY-5'!$A$2)</f>
        <v>6 949,-</v>
      </c>
      <c r="M2124" s="670" t="str">
        <f>IF(EXC.RATE_2=0,"",IFERROR(IF(CURRENCY.FORMAT_2=0,CONCATENATE(TEXT(FIXED(ROUND(IF(EXC.RATE.SWITCH=1,C2124*(1-I2124)*(1-ADD.DISCOUNT)*(1+MAT.SURCHARGE)/EXC.RATE_2,C2124*(1-I2124)*(1-ADD.DISCOUNT)*(1+MAT.SURCHARGE)*EXC.RATE_2),CURRENCY.FORMAT_2),CURRENCY.FORMAT_2,1),"# ##0;-# ##0"),",-"),FIXED(ROUND(IF(EXC.RATE.SWITCH=1,C2124*(1-I2124)*(1-ADD.DISCOUNT)*(1+MAT.SURCHARGE)/EXC.RATE_2,C2124*(1-I2124)*(1-ADD.DISCOUNT)*(1+MAT.SURCHARGE)*EXC.RATE_2),CURRENCY.FORMAT_2),CURRENCY.FORMAT_2,0)),'DICTIONARY-5'!$A$2))</f>
        <v/>
      </c>
      <c r="N2124" s="538">
        <v>9</v>
      </c>
      <c r="O2124" s="538"/>
      <c r="P2124" s="731" t="str">
        <f>'DICTIONARY-3'!$A$116</f>
        <v>PICO H</v>
      </c>
      <c r="Q2124" s="732" t="str">
        <f>'DICTIONARY-3'!$A$209</f>
        <v>Zawór regulacyjny</v>
      </c>
      <c r="R2124" s="732" t="str">
        <f>CONCATENATE('DICTIONARY-3'!$A$116," ",'DICTIONARY-6'!$A$17," ",LOWER('DICTIONARY-2'!$A$36),"03"," ",'DICTIONARY-2'!$A$2,"250"," ",'DICTIONARY-2'!$A$3,"16"," ","SZ40 3-21",'DICTIONARY-2'!$A$20)</f>
        <v>PICO H  Zaw. regulacyjny typ03 DN250 PN16 SZ40 3-21bar</v>
      </c>
      <c r="S2124" s="733" t="str">
        <f>'DICTIONARY-4'!$A$17</f>
        <v>AS</v>
      </c>
      <c r="T2124" s="732" t="str">
        <f>'DICTIONARY-4'!$A$33</f>
        <v>Automatyczne sterowanie</v>
      </c>
      <c r="U2124" s="734" t="s">
        <v>5751</v>
      </c>
      <c r="V2124" s="735">
        <v>16</v>
      </c>
      <c r="W2124" s="736"/>
      <c r="X2124" s="737"/>
      <c r="Y2124" s="738"/>
      <c r="Z2124" s="739"/>
      <c r="AA2124" s="739"/>
      <c r="AB2124" s="740">
        <v>16</v>
      </c>
      <c r="AC2124" s="741" t="str">
        <f>'DICTIONARY-5'!$A$11&amp;" 1"</f>
        <v>EN 558 szereg 1</v>
      </c>
      <c r="AD2124" s="741" t="str">
        <f>'DICTIONARY-5'!$A$13</f>
        <v>woda pitna</v>
      </c>
      <c r="AE2124" s="742">
        <v>50</v>
      </c>
      <c r="AF2124" s="743">
        <v>215</v>
      </c>
      <c r="AG2124" s="741" t="str">
        <f>'DICTIONARY-5'!$A$23</f>
        <v>powłoka epoksydowa</v>
      </c>
    </row>
    <row r="2125" spans="1:33" x14ac:dyDescent="0.25">
      <c r="A2125" s="872" t="s">
        <v>1942</v>
      </c>
      <c r="B2125" s="872" t="s">
        <v>3527</v>
      </c>
      <c r="C2125" s="836">
        <v>6743</v>
      </c>
      <c r="D2125" s="836"/>
      <c r="E2125" s="836"/>
      <c r="F2125" s="836"/>
      <c r="G2125" s="496" t="s">
        <v>7838</v>
      </c>
      <c r="H2125" s="797" t="str">
        <f>VLOOKUP(G2125,SETTINGS!$B$7:$D$97,2,0)</f>
        <v>PICO-H</v>
      </c>
      <c r="I2125" s="796">
        <f>VLOOKUP(G2125,SETTINGS!$B$7:$D$97,3,0)</f>
        <v>0</v>
      </c>
      <c r="J2125" s="670" t="str">
        <f>IFERROR(IF(CURRENCY.FORMAT_1=0,CONCATENATE(TEXT(FIXED(ROUND((C2125/EXC.RATE_1),CURRENCY.FORMAT_1),CURRENCY.FORMAT_1,1),"# ##0;-# ##0"),",-"),FIXED(ROUND((C2125/EXC.RATE_1),CURRENCY.FORMAT_1),CURRENCY.FORMAT_1,0)),'DICTIONARY-5'!$A$2)</f>
        <v>6 743,-</v>
      </c>
      <c r="K2125" s="670" t="str">
        <f>IF(EXC.RATE_2=0,"",IFERROR(IF(CURRENCY.FORMAT_2=0,CONCATENATE(TEXT(FIXED(ROUND(IF(EXC.RATE.SWITCH=1,C2125/EXC.RATE_2,C2125*EXC.RATE_2),CURRENCY.FORMAT_2),CURRENCY.FORMAT_2,1),"# ##0;-# ##0"),",-"),FIXED(ROUND(IF(EXC.RATE.SWITCH=1,C2125/EXC.RATE_2,C2125*EXC.RATE_2),CURRENCY.FORMAT_2),CURRENCY.FORMAT_2,0)),'DICTIONARY-5'!$A$2))</f>
        <v/>
      </c>
      <c r="L2125" s="670" t="str">
        <f>IFERROR(IF(CURRENCY.FORMAT_1=0,CONCATENATE(TEXT(FIXED(ROUND((C2125*(1-I2125)*(1-ADD.DISCOUNT)*(1+MAT.SURCHARGE)/EXC.RATE_1),CURRENCY.FORMAT_1),CURRENCY.FORMAT_1,1),"# ##0;-# ##0"),",-"),FIXED(ROUND((C2125*(1-I2125)*(1-ADD.DISCOUNT)*(1+MAT.SURCHARGE)/EXC.RATE_1),CURRENCY.FORMAT_1),CURRENCY.FORMAT_1,0)),'DICTIONARY-5'!$A$2)</f>
        <v>7 006,-</v>
      </c>
      <c r="M2125" s="670" t="str">
        <f>IF(EXC.RATE_2=0,"",IFERROR(IF(CURRENCY.FORMAT_2=0,CONCATENATE(TEXT(FIXED(ROUND(IF(EXC.RATE.SWITCH=1,C2125*(1-I2125)*(1-ADD.DISCOUNT)*(1+MAT.SURCHARGE)/EXC.RATE_2,C2125*(1-I2125)*(1-ADD.DISCOUNT)*(1+MAT.SURCHARGE)*EXC.RATE_2),CURRENCY.FORMAT_2),CURRENCY.FORMAT_2,1),"# ##0;-# ##0"),",-"),FIXED(ROUND(IF(EXC.RATE.SWITCH=1,C2125*(1-I2125)*(1-ADD.DISCOUNT)*(1+MAT.SURCHARGE)/EXC.RATE_2,C2125*(1-I2125)*(1-ADD.DISCOUNT)*(1+MAT.SURCHARGE)*EXC.RATE_2),CURRENCY.FORMAT_2),CURRENCY.FORMAT_2,0)),'DICTIONARY-5'!$A$2))</f>
        <v/>
      </c>
      <c r="N2125" s="538">
        <v>9</v>
      </c>
      <c r="O2125" s="538"/>
      <c r="P2125" s="731" t="str">
        <f>'DICTIONARY-3'!$A$116</f>
        <v>PICO H</v>
      </c>
      <c r="Q2125" s="732" t="str">
        <f>'DICTIONARY-3'!$A$209</f>
        <v>Zawór regulacyjny</v>
      </c>
      <c r="R2125" s="732" t="str">
        <f>CONCATENATE('DICTIONARY-3'!$A$116," ",'DICTIONARY-6'!$A$17," ",LOWER('DICTIONARY-2'!$A$36),"03"," ",'DICTIONARY-2'!$A$2,"300"," ",'DICTIONARY-2'!$A$3,"10"," ","SZ40 3-21",'DICTIONARY-2'!$A$20)</f>
        <v>PICO H  Zaw. regulacyjny typ03 DN300 PN10 SZ40 3-21bar</v>
      </c>
      <c r="S2125" s="733" t="str">
        <f>'DICTIONARY-4'!$A$17</f>
        <v>AS</v>
      </c>
      <c r="T2125" s="732" t="str">
        <f>'DICTIONARY-4'!$A$33</f>
        <v>Automatyczne sterowanie</v>
      </c>
      <c r="U2125" s="734" t="s">
        <v>5752</v>
      </c>
      <c r="V2125" s="735">
        <v>10</v>
      </c>
      <c r="W2125" s="736"/>
      <c r="X2125" s="737"/>
      <c r="Y2125" s="738"/>
      <c r="Z2125" s="739"/>
      <c r="AA2125" s="739"/>
      <c r="AB2125" s="740">
        <v>10</v>
      </c>
      <c r="AC2125" s="741" t="str">
        <f>'DICTIONARY-5'!$A$11&amp;" 1"</f>
        <v>EN 558 szereg 1</v>
      </c>
      <c r="AD2125" s="741" t="str">
        <f>'DICTIONARY-5'!$A$13</f>
        <v>woda pitna</v>
      </c>
      <c r="AE2125" s="742">
        <v>50</v>
      </c>
      <c r="AF2125" s="743">
        <v>264</v>
      </c>
      <c r="AG2125" s="741" t="str">
        <f>'DICTIONARY-5'!$A$23</f>
        <v>powłoka epoksydowa</v>
      </c>
    </row>
    <row r="2126" spans="1:33" x14ac:dyDescent="0.25">
      <c r="A2126" s="872" t="s">
        <v>1944</v>
      </c>
      <c r="B2126" s="872" t="s">
        <v>3554</v>
      </c>
      <c r="C2126" s="836">
        <v>6741</v>
      </c>
      <c r="D2126" s="836"/>
      <c r="E2126" s="836"/>
      <c r="F2126" s="836"/>
      <c r="G2126" s="496" t="s">
        <v>7838</v>
      </c>
      <c r="H2126" s="797" t="str">
        <f>VLOOKUP(G2126,SETTINGS!$B$7:$D$97,2,0)</f>
        <v>PICO-H</v>
      </c>
      <c r="I2126" s="796">
        <f>VLOOKUP(G2126,SETTINGS!$B$7:$D$97,3,0)</f>
        <v>0</v>
      </c>
      <c r="J2126" s="670" t="str">
        <f>IFERROR(IF(CURRENCY.FORMAT_1=0,CONCATENATE(TEXT(FIXED(ROUND((C2126/EXC.RATE_1),CURRENCY.FORMAT_1),CURRENCY.FORMAT_1,1),"# ##0;-# ##0"),",-"),FIXED(ROUND((C2126/EXC.RATE_1),CURRENCY.FORMAT_1),CURRENCY.FORMAT_1,0)),'DICTIONARY-5'!$A$2)</f>
        <v>6 741,-</v>
      </c>
      <c r="K2126" s="670" t="str">
        <f>IF(EXC.RATE_2=0,"",IFERROR(IF(CURRENCY.FORMAT_2=0,CONCATENATE(TEXT(FIXED(ROUND(IF(EXC.RATE.SWITCH=1,C2126/EXC.RATE_2,C2126*EXC.RATE_2),CURRENCY.FORMAT_2),CURRENCY.FORMAT_2,1),"# ##0;-# ##0"),",-"),FIXED(ROUND(IF(EXC.RATE.SWITCH=1,C2126/EXC.RATE_2,C2126*EXC.RATE_2),CURRENCY.FORMAT_2),CURRENCY.FORMAT_2,0)),'DICTIONARY-5'!$A$2))</f>
        <v/>
      </c>
      <c r="L2126" s="670" t="str">
        <f>IFERROR(IF(CURRENCY.FORMAT_1=0,CONCATENATE(TEXT(FIXED(ROUND((C2126*(1-I2126)*(1-ADD.DISCOUNT)*(1+MAT.SURCHARGE)/EXC.RATE_1),CURRENCY.FORMAT_1),CURRENCY.FORMAT_1,1),"# ##0;-# ##0"),",-"),FIXED(ROUND((C2126*(1-I2126)*(1-ADD.DISCOUNT)*(1+MAT.SURCHARGE)/EXC.RATE_1),CURRENCY.FORMAT_1),CURRENCY.FORMAT_1,0)),'DICTIONARY-5'!$A$2)</f>
        <v>7 004,-</v>
      </c>
      <c r="M2126" s="670" t="str">
        <f>IF(EXC.RATE_2=0,"",IFERROR(IF(CURRENCY.FORMAT_2=0,CONCATENATE(TEXT(FIXED(ROUND(IF(EXC.RATE.SWITCH=1,C2126*(1-I2126)*(1-ADD.DISCOUNT)*(1+MAT.SURCHARGE)/EXC.RATE_2,C2126*(1-I2126)*(1-ADD.DISCOUNT)*(1+MAT.SURCHARGE)*EXC.RATE_2),CURRENCY.FORMAT_2),CURRENCY.FORMAT_2,1),"# ##0;-# ##0"),",-"),FIXED(ROUND(IF(EXC.RATE.SWITCH=1,C2126*(1-I2126)*(1-ADD.DISCOUNT)*(1+MAT.SURCHARGE)/EXC.RATE_2,C2126*(1-I2126)*(1-ADD.DISCOUNT)*(1+MAT.SURCHARGE)*EXC.RATE_2),CURRENCY.FORMAT_2),CURRENCY.FORMAT_2,0)),'DICTIONARY-5'!$A$2))</f>
        <v/>
      </c>
      <c r="N2126" s="538">
        <v>9</v>
      </c>
      <c r="O2126" s="538"/>
      <c r="P2126" s="731" t="str">
        <f>'DICTIONARY-3'!$A$116</f>
        <v>PICO H</v>
      </c>
      <c r="Q2126" s="732" t="str">
        <f>'DICTIONARY-3'!$A$209</f>
        <v>Zawór regulacyjny</v>
      </c>
      <c r="R2126" s="732" t="str">
        <f>CONCATENATE('DICTIONARY-3'!$A$116," ",'DICTIONARY-6'!$A$17," ",LOWER('DICTIONARY-2'!$A$36),"03"," ",'DICTIONARY-2'!$A$2,"300"," ",'DICTIONARY-2'!$A$3,"16"," ","SZ40 3-21",'DICTIONARY-2'!$A$20)</f>
        <v>PICO H  Zaw. regulacyjny typ03 DN300 PN16 SZ40 3-21bar</v>
      </c>
      <c r="S2126" s="733" t="str">
        <f>'DICTIONARY-4'!$A$17</f>
        <v>AS</v>
      </c>
      <c r="T2126" s="732" t="str">
        <f>'DICTIONARY-4'!$A$33</f>
        <v>Automatyczne sterowanie</v>
      </c>
      <c r="U2126" s="734" t="s">
        <v>5752</v>
      </c>
      <c r="V2126" s="735">
        <v>16</v>
      </c>
      <c r="W2126" s="736"/>
      <c r="X2126" s="737"/>
      <c r="Y2126" s="738"/>
      <c r="Z2126" s="739"/>
      <c r="AA2126" s="739"/>
      <c r="AB2126" s="740">
        <v>16</v>
      </c>
      <c r="AC2126" s="741" t="str">
        <f>'DICTIONARY-5'!$A$11&amp;" 1"</f>
        <v>EN 558 szereg 1</v>
      </c>
      <c r="AD2126" s="741" t="str">
        <f>'DICTIONARY-5'!$A$13</f>
        <v>woda pitna</v>
      </c>
      <c r="AE2126" s="742">
        <v>50</v>
      </c>
      <c r="AF2126" s="743">
        <v>237</v>
      </c>
      <c r="AG2126" s="741" t="str">
        <f>'DICTIONARY-5'!$A$23</f>
        <v>powłoka epoksydowa</v>
      </c>
    </row>
    <row r="2127" spans="1:33" x14ac:dyDescent="0.25">
      <c r="A2127" s="872" t="s">
        <v>1945</v>
      </c>
      <c r="B2127" s="872" t="s">
        <v>3529</v>
      </c>
      <c r="C2127" s="836">
        <v>1434</v>
      </c>
      <c r="D2127" s="836"/>
      <c r="E2127" s="836"/>
      <c r="F2127" s="836"/>
      <c r="G2127" s="496" t="s">
        <v>7839</v>
      </c>
      <c r="H2127" s="797" t="str">
        <f>VLOOKUP(G2127,SETTINGS!$B$7:$D$97,2,0)</f>
        <v>PICO-M</v>
      </c>
      <c r="I2127" s="796">
        <f>VLOOKUP(G2127,SETTINGS!$B$7:$D$97,3,0)</f>
        <v>0</v>
      </c>
      <c r="J2127" s="670" t="str">
        <f>IFERROR(IF(CURRENCY.FORMAT_1=0,CONCATENATE(TEXT(FIXED(ROUND((C2127/EXC.RATE_1),CURRENCY.FORMAT_1),CURRENCY.FORMAT_1,1),"# ##0;-# ##0"),",-"),FIXED(ROUND((C2127/EXC.RATE_1),CURRENCY.FORMAT_1),CURRENCY.FORMAT_1,0)),'DICTIONARY-5'!$A$2)</f>
        <v>1 434,-</v>
      </c>
      <c r="K2127" s="670" t="str">
        <f>IF(EXC.RATE_2=0,"",IFERROR(IF(CURRENCY.FORMAT_2=0,CONCATENATE(TEXT(FIXED(ROUND(IF(EXC.RATE.SWITCH=1,C2127/EXC.RATE_2,C2127*EXC.RATE_2),CURRENCY.FORMAT_2),CURRENCY.FORMAT_2,1),"# ##0;-# ##0"),",-"),FIXED(ROUND(IF(EXC.RATE.SWITCH=1,C2127/EXC.RATE_2,C2127*EXC.RATE_2),CURRENCY.FORMAT_2),CURRENCY.FORMAT_2,0)),'DICTIONARY-5'!$A$2))</f>
        <v/>
      </c>
      <c r="L2127" s="670" t="str">
        <f>IFERROR(IF(CURRENCY.FORMAT_1=0,CONCATENATE(TEXT(FIXED(ROUND((C2127*(1-I2127)*(1-ADD.DISCOUNT)*(1+MAT.SURCHARGE)/EXC.RATE_1),CURRENCY.FORMAT_1),CURRENCY.FORMAT_1,1),"# ##0;-# ##0"),",-"),FIXED(ROUND((C2127*(1-I2127)*(1-ADD.DISCOUNT)*(1+MAT.SURCHARGE)/EXC.RATE_1),CURRENCY.FORMAT_1),CURRENCY.FORMAT_1,0)),'DICTIONARY-5'!$A$2)</f>
        <v>1 490,-</v>
      </c>
      <c r="M2127" s="670" t="str">
        <f>IF(EXC.RATE_2=0,"",IFERROR(IF(CURRENCY.FORMAT_2=0,CONCATENATE(TEXT(FIXED(ROUND(IF(EXC.RATE.SWITCH=1,C2127*(1-I2127)*(1-ADD.DISCOUNT)*(1+MAT.SURCHARGE)/EXC.RATE_2,C2127*(1-I2127)*(1-ADD.DISCOUNT)*(1+MAT.SURCHARGE)*EXC.RATE_2),CURRENCY.FORMAT_2),CURRENCY.FORMAT_2,1),"# ##0;-# ##0"),",-"),FIXED(ROUND(IF(EXC.RATE.SWITCH=1,C2127*(1-I2127)*(1-ADD.DISCOUNT)*(1+MAT.SURCHARGE)/EXC.RATE_2,C2127*(1-I2127)*(1-ADD.DISCOUNT)*(1+MAT.SURCHARGE)*EXC.RATE_2),CURRENCY.FORMAT_2),CURRENCY.FORMAT_2,0)),'DICTIONARY-5'!$A$2))</f>
        <v/>
      </c>
      <c r="N2127" s="538">
        <v>9</v>
      </c>
      <c r="O2127" s="538"/>
      <c r="P2127" s="731" t="str">
        <f>'DICTIONARY-3'!$A$117</f>
        <v>PICO M</v>
      </c>
      <c r="Q2127" s="732" t="str">
        <f>'DICTIONARY-3'!$A$209</f>
        <v>Zawór regulacyjny</v>
      </c>
      <c r="R2127" s="732" t="str">
        <f>CONCATENATE('DICTIONARY-3'!$A$117," ",'DICTIONARY-6'!$A$17," ",'DICTIONARY-2'!$A$2,"50"," ",'DICTIONARY-2'!$A$3,"10/16"," ","SZ40 1,5-12",'DICTIONARY-2'!$A$20)</f>
        <v>PICO M  Zaw. regulacyjny DN50 PN10/16 SZ40 1,5-12bar</v>
      </c>
      <c r="S2127" s="733" t="str">
        <f>'DICTIONARY-4'!$A$17</f>
        <v>AS</v>
      </c>
      <c r="T2127" s="732" t="str">
        <f>'DICTIONARY-4'!$A$33</f>
        <v>Automatyczne sterowanie</v>
      </c>
      <c r="U2127" s="734" t="s">
        <v>5748</v>
      </c>
      <c r="V2127" s="735">
        <v>16</v>
      </c>
      <c r="W2127" s="736"/>
      <c r="X2127" s="737"/>
      <c r="Y2127" s="738"/>
      <c r="Z2127" s="739"/>
      <c r="AA2127" s="739"/>
      <c r="AB2127" s="740">
        <v>16</v>
      </c>
      <c r="AC2127" s="741" t="str">
        <f>'DICTIONARY-5'!$A$11&amp;" 1"</f>
        <v>EN 558 szereg 1</v>
      </c>
      <c r="AD2127" s="741" t="str">
        <f>'DICTIONARY-5'!$A$13</f>
        <v>woda pitna</v>
      </c>
      <c r="AE2127" s="742">
        <v>50</v>
      </c>
      <c r="AF2127" s="743">
        <v>14.5</v>
      </c>
      <c r="AG2127" s="741" t="str">
        <f>'DICTIONARY-5'!$A$23</f>
        <v>powłoka epoksydowa</v>
      </c>
    </row>
    <row r="2128" spans="1:33" x14ac:dyDescent="0.25">
      <c r="A2128" s="872" t="s">
        <v>1946</v>
      </c>
      <c r="B2128" s="872" t="s">
        <v>3531</v>
      </c>
      <c r="C2128" s="836">
        <v>1647</v>
      </c>
      <c r="D2128" s="836"/>
      <c r="E2128" s="836"/>
      <c r="F2128" s="836"/>
      <c r="G2128" s="496" t="s">
        <v>7839</v>
      </c>
      <c r="H2128" s="797" t="str">
        <f>VLOOKUP(G2128,SETTINGS!$B$7:$D$97,2,0)</f>
        <v>PICO-M</v>
      </c>
      <c r="I2128" s="796">
        <f>VLOOKUP(G2128,SETTINGS!$B$7:$D$97,3,0)</f>
        <v>0</v>
      </c>
      <c r="J2128" s="670" t="str">
        <f>IFERROR(IF(CURRENCY.FORMAT_1=0,CONCATENATE(TEXT(FIXED(ROUND((C2128/EXC.RATE_1),CURRENCY.FORMAT_1),CURRENCY.FORMAT_1,1),"# ##0;-# ##0"),",-"),FIXED(ROUND((C2128/EXC.RATE_1),CURRENCY.FORMAT_1),CURRENCY.FORMAT_1,0)),'DICTIONARY-5'!$A$2)</f>
        <v>1 647,-</v>
      </c>
      <c r="K2128" s="670" t="str">
        <f>IF(EXC.RATE_2=0,"",IFERROR(IF(CURRENCY.FORMAT_2=0,CONCATENATE(TEXT(FIXED(ROUND(IF(EXC.RATE.SWITCH=1,C2128/EXC.RATE_2,C2128*EXC.RATE_2),CURRENCY.FORMAT_2),CURRENCY.FORMAT_2,1),"# ##0;-# ##0"),",-"),FIXED(ROUND(IF(EXC.RATE.SWITCH=1,C2128/EXC.RATE_2,C2128*EXC.RATE_2),CURRENCY.FORMAT_2),CURRENCY.FORMAT_2,0)),'DICTIONARY-5'!$A$2))</f>
        <v/>
      </c>
      <c r="L2128" s="670" t="str">
        <f>IFERROR(IF(CURRENCY.FORMAT_1=0,CONCATENATE(TEXT(FIXED(ROUND((C2128*(1-I2128)*(1-ADD.DISCOUNT)*(1+MAT.SURCHARGE)/EXC.RATE_1),CURRENCY.FORMAT_1),CURRENCY.FORMAT_1,1),"# ##0;-# ##0"),",-"),FIXED(ROUND((C2128*(1-I2128)*(1-ADD.DISCOUNT)*(1+MAT.SURCHARGE)/EXC.RATE_1),CURRENCY.FORMAT_1),CURRENCY.FORMAT_1,0)),'DICTIONARY-5'!$A$2)</f>
        <v>1 711,-</v>
      </c>
      <c r="M2128" s="670" t="str">
        <f>IF(EXC.RATE_2=0,"",IFERROR(IF(CURRENCY.FORMAT_2=0,CONCATENATE(TEXT(FIXED(ROUND(IF(EXC.RATE.SWITCH=1,C2128*(1-I2128)*(1-ADD.DISCOUNT)*(1+MAT.SURCHARGE)/EXC.RATE_2,C2128*(1-I2128)*(1-ADD.DISCOUNT)*(1+MAT.SURCHARGE)*EXC.RATE_2),CURRENCY.FORMAT_2),CURRENCY.FORMAT_2,1),"# ##0;-# ##0"),",-"),FIXED(ROUND(IF(EXC.RATE.SWITCH=1,C2128*(1-I2128)*(1-ADD.DISCOUNT)*(1+MAT.SURCHARGE)/EXC.RATE_2,C2128*(1-I2128)*(1-ADD.DISCOUNT)*(1+MAT.SURCHARGE)*EXC.RATE_2),CURRENCY.FORMAT_2),CURRENCY.FORMAT_2,0)),'DICTIONARY-5'!$A$2))</f>
        <v/>
      </c>
      <c r="N2128" s="538">
        <v>9</v>
      </c>
      <c r="O2128" s="538"/>
      <c r="P2128" s="731" t="str">
        <f>'DICTIONARY-3'!$A$117</f>
        <v>PICO M</v>
      </c>
      <c r="Q2128" s="732" t="str">
        <f>'DICTIONARY-3'!$A$209</f>
        <v>Zawór regulacyjny</v>
      </c>
      <c r="R2128" s="732" t="str">
        <f>CONCATENATE('DICTIONARY-3'!$A$117," ",'DICTIONARY-6'!$A$17," ",'DICTIONARY-2'!$A$2,"65"," ",'DICTIONARY-2'!$A$3,"10/16"," ","SZ40 1,5-12",'DICTIONARY-2'!$A$20)</f>
        <v>PICO M  Zaw. regulacyjny DN65 PN10/16 SZ40 1,5-12bar</v>
      </c>
      <c r="S2128" s="733" t="str">
        <f>'DICTIONARY-4'!$A$17</f>
        <v>AS</v>
      </c>
      <c r="T2128" s="732" t="str">
        <f>'DICTIONARY-4'!$A$33</f>
        <v>Automatyczne sterowanie</v>
      </c>
      <c r="U2128" s="734" t="s">
        <v>5759</v>
      </c>
      <c r="V2128" s="735">
        <v>16</v>
      </c>
      <c r="W2128" s="736"/>
      <c r="X2128" s="737"/>
      <c r="Y2128" s="738"/>
      <c r="Z2128" s="739"/>
      <c r="AA2128" s="739"/>
      <c r="AB2128" s="740">
        <v>16</v>
      </c>
      <c r="AC2128" s="741" t="str">
        <f>'DICTIONARY-5'!$A$11&amp;" 1"</f>
        <v>EN 558 szereg 1</v>
      </c>
      <c r="AD2128" s="741" t="str">
        <f>'DICTIONARY-5'!$A$13</f>
        <v>woda pitna</v>
      </c>
      <c r="AE2128" s="742">
        <v>50</v>
      </c>
      <c r="AF2128" s="743">
        <v>24</v>
      </c>
      <c r="AG2128" s="741" t="str">
        <f>'DICTIONARY-5'!$A$23</f>
        <v>powłoka epoksydowa</v>
      </c>
    </row>
    <row r="2129" spans="1:33" x14ac:dyDescent="0.25">
      <c r="A2129" s="872" t="s">
        <v>1947</v>
      </c>
      <c r="B2129" s="872" t="s">
        <v>3533</v>
      </c>
      <c r="C2129" s="836">
        <v>1644</v>
      </c>
      <c r="D2129" s="836"/>
      <c r="E2129" s="836"/>
      <c r="F2129" s="836"/>
      <c r="G2129" s="496" t="s">
        <v>7839</v>
      </c>
      <c r="H2129" s="797" t="str">
        <f>VLOOKUP(G2129,SETTINGS!$B$7:$D$97,2,0)</f>
        <v>PICO-M</v>
      </c>
      <c r="I2129" s="796">
        <f>VLOOKUP(G2129,SETTINGS!$B$7:$D$97,3,0)</f>
        <v>0</v>
      </c>
      <c r="J2129" s="670" t="str">
        <f>IFERROR(IF(CURRENCY.FORMAT_1=0,CONCATENATE(TEXT(FIXED(ROUND((C2129/EXC.RATE_1),CURRENCY.FORMAT_1),CURRENCY.FORMAT_1,1),"# ##0;-# ##0"),",-"),FIXED(ROUND((C2129/EXC.RATE_1),CURRENCY.FORMAT_1),CURRENCY.FORMAT_1,0)),'DICTIONARY-5'!$A$2)</f>
        <v>1 644,-</v>
      </c>
      <c r="K2129" s="670" t="str">
        <f>IF(EXC.RATE_2=0,"",IFERROR(IF(CURRENCY.FORMAT_2=0,CONCATENATE(TEXT(FIXED(ROUND(IF(EXC.RATE.SWITCH=1,C2129/EXC.RATE_2,C2129*EXC.RATE_2),CURRENCY.FORMAT_2),CURRENCY.FORMAT_2,1),"# ##0;-# ##0"),",-"),FIXED(ROUND(IF(EXC.RATE.SWITCH=1,C2129/EXC.RATE_2,C2129*EXC.RATE_2),CURRENCY.FORMAT_2),CURRENCY.FORMAT_2,0)),'DICTIONARY-5'!$A$2))</f>
        <v/>
      </c>
      <c r="L2129" s="670" t="str">
        <f>IFERROR(IF(CURRENCY.FORMAT_1=0,CONCATENATE(TEXT(FIXED(ROUND((C2129*(1-I2129)*(1-ADD.DISCOUNT)*(1+MAT.SURCHARGE)/EXC.RATE_1),CURRENCY.FORMAT_1),CURRENCY.FORMAT_1,1),"# ##0;-# ##0"),",-"),FIXED(ROUND((C2129*(1-I2129)*(1-ADD.DISCOUNT)*(1+MAT.SURCHARGE)/EXC.RATE_1),CURRENCY.FORMAT_1),CURRENCY.FORMAT_1,0)),'DICTIONARY-5'!$A$2)</f>
        <v>1 708,-</v>
      </c>
      <c r="M2129" s="670" t="str">
        <f>IF(EXC.RATE_2=0,"",IFERROR(IF(CURRENCY.FORMAT_2=0,CONCATENATE(TEXT(FIXED(ROUND(IF(EXC.RATE.SWITCH=1,C2129*(1-I2129)*(1-ADD.DISCOUNT)*(1+MAT.SURCHARGE)/EXC.RATE_2,C2129*(1-I2129)*(1-ADD.DISCOUNT)*(1+MAT.SURCHARGE)*EXC.RATE_2),CURRENCY.FORMAT_2),CURRENCY.FORMAT_2,1),"# ##0;-# ##0"),",-"),FIXED(ROUND(IF(EXC.RATE.SWITCH=1,C2129*(1-I2129)*(1-ADD.DISCOUNT)*(1+MAT.SURCHARGE)/EXC.RATE_2,C2129*(1-I2129)*(1-ADD.DISCOUNT)*(1+MAT.SURCHARGE)*EXC.RATE_2),CURRENCY.FORMAT_2),CURRENCY.FORMAT_2,0)),'DICTIONARY-5'!$A$2))</f>
        <v/>
      </c>
      <c r="N2129" s="538">
        <v>9</v>
      </c>
      <c r="O2129" s="538"/>
      <c r="P2129" s="731" t="str">
        <f>'DICTIONARY-3'!$A$117</f>
        <v>PICO M</v>
      </c>
      <c r="Q2129" s="732" t="str">
        <f>'DICTIONARY-3'!$A$209</f>
        <v>Zawór regulacyjny</v>
      </c>
      <c r="R2129" s="732" t="str">
        <f>CONCATENATE('DICTIONARY-3'!$A$117," ",'DICTIONARY-6'!$A$17," ",'DICTIONARY-2'!$A$2,"80"," ",'DICTIONARY-2'!$A$3,"10/16"," ","SZ40 1,5-12",'DICTIONARY-2'!$A$20)</f>
        <v>PICO M  Zaw. regulacyjny DN80 PN10/16 SZ40 1,5-12bar</v>
      </c>
      <c r="S2129" s="733" t="str">
        <f>'DICTIONARY-4'!$A$17</f>
        <v>AS</v>
      </c>
      <c r="T2129" s="732" t="str">
        <f>'DICTIONARY-4'!$A$33</f>
        <v>Automatyczne sterowanie</v>
      </c>
      <c r="U2129" s="734" t="s">
        <v>5760</v>
      </c>
      <c r="V2129" s="735">
        <v>16</v>
      </c>
      <c r="W2129" s="736"/>
      <c r="X2129" s="737"/>
      <c r="Y2129" s="738"/>
      <c r="Z2129" s="739"/>
      <c r="AA2129" s="739"/>
      <c r="AB2129" s="740">
        <v>16</v>
      </c>
      <c r="AC2129" s="741" t="str">
        <f>'DICTIONARY-5'!$A$11&amp;" 1"</f>
        <v>EN 558 szereg 1</v>
      </c>
      <c r="AD2129" s="741" t="str">
        <f>'DICTIONARY-5'!$A$13</f>
        <v>woda pitna</v>
      </c>
      <c r="AE2129" s="742">
        <v>50</v>
      </c>
      <c r="AF2129" s="743">
        <v>29</v>
      </c>
      <c r="AG2129" s="741" t="str">
        <f>'DICTIONARY-5'!$A$23</f>
        <v>powłoka epoksydowa</v>
      </c>
    </row>
    <row r="2130" spans="1:33" x14ac:dyDescent="0.25">
      <c r="A2130" s="872" t="s">
        <v>1948</v>
      </c>
      <c r="B2130" s="872" t="s">
        <v>3535</v>
      </c>
      <c r="C2130" s="836">
        <v>1750</v>
      </c>
      <c r="D2130" s="836"/>
      <c r="E2130" s="836"/>
      <c r="F2130" s="836"/>
      <c r="G2130" s="496" t="s">
        <v>7839</v>
      </c>
      <c r="H2130" s="797" t="str">
        <f>VLOOKUP(G2130,SETTINGS!$B$7:$D$97,2,0)</f>
        <v>PICO-M</v>
      </c>
      <c r="I2130" s="796">
        <f>VLOOKUP(G2130,SETTINGS!$B$7:$D$97,3,0)</f>
        <v>0</v>
      </c>
      <c r="J2130" s="670" t="str">
        <f>IFERROR(IF(CURRENCY.FORMAT_1=0,CONCATENATE(TEXT(FIXED(ROUND((C2130/EXC.RATE_1),CURRENCY.FORMAT_1),CURRENCY.FORMAT_1,1),"# ##0;-# ##0"),",-"),FIXED(ROUND((C2130/EXC.RATE_1),CURRENCY.FORMAT_1),CURRENCY.FORMAT_1,0)),'DICTIONARY-5'!$A$2)</f>
        <v>1 750,-</v>
      </c>
      <c r="K2130" s="670" t="str">
        <f>IF(EXC.RATE_2=0,"",IFERROR(IF(CURRENCY.FORMAT_2=0,CONCATENATE(TEXT(FIXED(ROUND(IF(EXC.RATE.SWITCH=1,C2130/EXC.RATE_2,C2130*EXC.RATE_2),CURRENCY.FORMAT_2),CURRENCY.FORMAT_2,1),"# ##0;-# ##0"),",-"),FIXED(ROUND(IF(EXC.RATE.SWITCH=1,C2130/EXC.RATE_2,C2130*EXC.RATE_2),CURRENCY.FORMAT_2),CURRENCY.FORMAT_2,0)),'DICTIONARY-5'!$A$2))</f>
        <v/>
      </c>
      <c r="L2130" s="670" t="str">
        <f>IFERROR(IF(CURRENCY.FORMAT_1=0,CONCATENATE(TEXT(FIXED(ROUND((C2130*(1-I2130)*(1-ADD.DISCOUNT)*(1+MAT.SURCHARGE)/EXC.RATE_1),CURRENCY.FORMAT_1),CURRENCY.FORMAT_1,1),"# ##0;-# ##0"),",-"),FIXED(ROUND((C2130*(1-I2130)*(1-ADD.DISCOUNT)*(1+MAT.SURCHARGE)/EXC.RATE_1),CURRENCY.FORMAT_1),CURRENCY.FORMAT_1,0)),'DICTIONARY-5'!$A$2)</f>
        <v>1 818,-</v>
      </c>
      <c r="M2130" s="670" t="str">
        <f>IF(EXC.RATE_2=0,"",IFERROR(IF(CURRENCY.FORMAT_2=0,CONCATENATE(TEXT(FIXED(ROUND(IF(EXC.RATE.SWITCH=1,C2130*(1-I2130)*(1-ADD.DISCOUNT)*(1+MAT.SURCHARGE)/EXC.RATE_2,C2130*(1-I2130)*(1-ADD.DISCOUNT)*(1+MAT.SURCHARGE)*EXC.RATE_2),CURRENCY.FORMAT_2),CURRENCY.FORMAT_2,1),"# ##0;-# ##0"),",-"),FIXED(ROUND(IF(EXC.RATE.SWITCH=1,C2130*(1-I2130)*(1-ADD.DISCOUNT)*(1+MAT.SURCHARGE)/EXC.RATE_2,C2130*(1-I2130)*(1-ADD.DISCOUNT)*(1+MAT.SURCHARGE)*EXC.RATE_2),CURRENCY.FORMAT_2),CURRENCY.FORMAT_2,0)),'DICTIONARY-5'!$A$2))</f>
        <v/>
      </c>
      <c r="N2130" s="538">
        <v>9</v>
      </c>
      <c r="O2130" s="538"/>
      <c r="P2130" s="731" t="str">
        <f>'DICTIONARY-3'!$A$117</f>
        <v>PICO M</v>
      </c>
      <c r="Q2130" s="732" t="str">
        <f>'DICTIONARY-3'!$A$209</f>
        <v>Zawór regulacyjny</v>
      </c>
      <c r="R2130" s="732" t="str">
        <f>CONCATENATE('DICTIONARY-3'!$A$117," ",'DICTIONARY-6'!$A$17," ",'DICTIONARY-2'!$A$2,"100"," ",'DICTIONARY-2'!$A$3,"10/16"," ","SZ40 1,5-12",'DICTIONARY-2'!$A$20)</f>
        <v>PICO M  Zaw. regulacyjny DN100 PN10/16 SZ40 1,5-12bar</v>
      </c>
      <c r="S2130" s="733" t="str">
        <f>'DICTIONARY-4'!$A$17</f>
        <v>AS</v>
      </c>
      <c r="T2130" s="732" t="str">
        <f>'DICTIONARY-4'!$A$33</f>
        <v>Automatyczne sterowanie</v>
      </c>
      <c r="U2130" s="734" t="s">
        <v>5749</v>
      </c>
      <c r="V2130" s="735">
        <v>16</v>
      </c>
      <c r="W2130" s="736"/>
      <c r="X2130" s="737"/>
      <c r="Y2130" s="738"/>
      <c r="Z2130" s="739"/>
      <c r="AA2130" s="739"/>
      <c r="AB2130" s="740">
        <v>16</v>
      </c>
      <c r="AC2130" s="741" t="str">
        <f>'DICTIONARY-5'!$A$11&amp;" 1"</f>
        <v>EN 558 szereg 1</v>
      </c>
      <c r="AD2130" s="741" t="str">
        <f>'DICTIONARY-5'!$A$13</f>
        <v>woda pitna</v>
      </c>
      <c r="AE2130" s="742">
        <v>50</v>
      </c>
      <c r="AF2130" s="743">
        <v>34</v>
      </c>
      <c r="AG2130" s="741" t="str">
        <f>'DICTIONARY-5'!$A$23</f>
        <v>powłoka epoksydowa</v>
      </c>
    </row>
    <row r="2131" spans="1:33" x14ac:dyDescent="0.25">
      <c r="A2131" s="872" t="s">
        <v>1949</v>
      </c>
      <c r="B2131" s="872" t="s">
        <v>3537</v>
      </c>
      <c r="C2131" s="836">
        <v>1860</v>
      </c>
      <c r="D2131" s="836"/>
      <c r="E2131" s="836"/>
      <c r="F2131" s="836"/>
      <c r="G2131" s="496" t="s">
        <v>7839</v>
      </c>
      <c r="H2131" s="797" t="str">
        <f>VLOOKUP(G2131,SETTINGS!$B$7:$D$97,2,0)</f>
        <v>PICO-M</v>
      </c>
      <c r="I2131" s="796">
        <f>VLOOKUP(G2131,SETTINGS!$B$7:$D$97,3,0)</f>
        <v>0</v>
      </c>
      <c r="J2131" s="670" t="str">
        <f>IFERROR(IF(CURRENCY.FORMAT_1=0,CONCATENATE(TEXT(FIXED(ROUND((C2131/EXC.RATE_1),CURRENCY.FORMAT_1),CURRENCY.FORMAT_1,1),"# ##0;-# ##0"),",-"),FIXED(ROUND((C2131/EXC.RATE_1),CURRENCY.FORMAT_1),CURRENCY.FORMAT_1,0)),'DICTIONARY-5'!$A$2)</f>
        <v>1 860,-</v>
      </c>
      <c r="K2131" s="670" t="str">
        <f>IF(EXC.RATE_2=0,"",IFERROR(IF(CURRENCY.FORMAT_2=0,CONCATENATE(TEXT(FIXED(ROUND(IF(EXC.RATE.SWITCH=1,C2131/EXC.RATE_2,C2131*EXC.RATE_2),CURRENCY.FORMAT_2),CURRENCY.FORMAT_2,1),"# ##0;-# ##0"),",-"),FIXED(ROUND(IF(EXC.RATE.SWITCH=1,C2131/EXC.RATE_2,C2131*EXC.RATE_2),CURRENCY.FORMAT_2),CURRENCY.FORMAT_2,0)),'DICTIONARY-5'!$A$2))</f>
        <v/>
      </c>
      <c r="L2131" s="670" t="str">
        <f>IFERROR(IF(CURRENCY.FORMAT_1=0,CONCATENATE(TEXT(FIXED(ROUND((C2131*(1-I2131)*(1-ADD.DISCOUNT)*(1+MAT.SURCHARGE)/EXC.RATE_1),CURRENCY.FORMAT_1),CURRENCY.FORMAT_1,1),"# ##0;-# ##0"),",-"),FIXED(ROUND((C2131*(1-I2131)*(1-ADD.DISCOUNT)*(1+MAT.SURCHARGE)/EXC.RATE_1),CURRENCY.FORMAT_1),CURRENCY.FORMAT_1,0)),'DICTIONARY-5'!$A$2)</f>
        <v>1 933,-</v>
      </c>
      <c r="M2131" s="670" t="str">
        <f>IF(EXC.RATE_2=0,"",IFERROR(IF(CURRENCY.FORMAT_2=0,CONCATENATE(TEXT(FIXED(ROUND(IF(EXC.RATE.SWITCH=1,C2131*(1-I2131)*(1-ADD.DISCOUNT)*(1+MAT.SURCHARGE)/EXC.RATE_2,C2131*(1-I2131)*(1-ADD.DISCOUNT)*(1+MAT.SURCHARGE)*EXC.RATE_2),CURRENCY.FORMAT_2),CURRENCY.FORMAT_2,1),"# ##0;-# ##0"),",-"),FIXED(ROUND(IF(EXC.RATE.SWITCH=1,C2131*(1-I2131)*(1-ADD.DISCOUNT)*(1+MAT.SURCHARGE)/EXC.RATE_2,C2131*(1-I2131)*(1-ADD.DISCOUNT)*(1+MAT.SURCHARGE)*EXC.RATE_2),CURRENCY.FORMAT_2),CURRENCY.FORMAT_2,0)),'DICTIONARY-5'!$A$2))</f>
        <v/>
      </c>
      <c r="N2131" s="538">
        <v>9</v>
      </c>
      <c r="O2131" s="538"/>
      <c r="P2131" s="731" t="str">
        <f>'DICTIONARY-3'!$A$117</f>
        <v>PICO M</v>
      </c>
      <c r="Q2131" s="732" t="str">
        <f>'DICTIONARY-3'!$A$209</f>
        <v>Zawór regulacyjny</v>
      </c>
      <c r="R2131" s="732" t="str">
        <f>CONCATENATE('DICTIONARY-3'!$A$117," ",'DICTIONARY-6'!$A$17," ",'DICTIONARY-2'!$A$2,"125"," ",'DICTIONARY-2'!$A$3,"10/16"," ","SZ40 1,5-12",'DICTIONARY-2'!$A$20)</f>
        <v>PICO M  Zaw. regulacyjny DN125 PN10/16 SZ40 1,5-12bar</v>
      </c>
      <c r="S2131" s="733" t="str">
        <f>'DICTIONARY-4'!$A$17</f>
        <v>AS</v>
      </c>
      <c r="T2131" s="732" t="str">
        <f>'DICTIONARY-4'!$A$33</f>
        <v>Automatyczne sterowanie</v>
      </c>
      <c r="U2131" s="734" t="s">
        <v>5761</v>
      </c>
      <c r="V2131" s="735">
        <v>16</v>
      </c>
      <c r="W2131" s="736"/>
      <c r="X2131" s="737"/>
      <c r="Y2131" s="738"/>
      <c r="Z2131" s="739"/>
      <c r="AA2131" s="739"/>
      <c r="AB2131" s="740">
        <v>16</v>
      </c>
      <c r="AC2131" s="741" t="str">
        <f>'DICTIONARY-5'!$A$11&amp;" 1"</f>
        <v>EN 558 szereg 1</v>
      </c>
      <c r="AD2131" s="741" t="str">
        <f>'DICTIONARY-5'!$A$13</f>
        <v>woda pitna</v>
      </c>
      <c r="AE2131" s="742">
        <v>50</v>
      </c>
      <c r="AF2131" s="743">
        <v>38</v>
      </c>
      <c r="AG2131" s="741" t="str">
        <f>'DICTIONARY-5'!$A$23</f>
        <v>powłoka epoksydowa</v>
      </c>
    </row>
    <row r="2132" spans="1:33" x14ac:dyDescent="0.25">
      <c r="A2132" s="872" t="s">
        <v>1950</v>
      </c>
      <c r="B2132" s="872" t="s">
        <v>3539</v>
      </c>
      <c r="C2132" s="836">
        <v>2510</v>
      </c>
      <c r="D2132" s="836"/>
      <c r="E2132" s="836"/>
      <c r="F2132" s="836"/>
      <c r="G2132" s="496" t="s">
        <v>7839</v>
      </c>
      <c r="H2132" s="797" t="str">
        <f>VLOOKUP(G2132,SETTINGS!$B$7:$D$97,2,0)</f>
        <v>PICO-M</v>
      </c>
      <c r="I2132" s="796">
        <f>VLOOKUP(G2132,SETTINGS!$B$7:$D$97,3,0)</f>
        <v>0</v>
      </c>
      <c r="J2132" s="670" t="str">
        <f>IFERROR(IF(CURRENCY.FORMAT_1=0,CONCATENATE(TEXT(FIXED(ROUND((C2132/EXC.RATE_1),CURRENCY.FORMAT_1),CURRENCY.FORMAT_1,1),"# ##0;-# ##0"),",-"),FIXED(ROUND((C2132/EXC.RATE_1),CURRENCY.FORMAT_1),CURRENCY.FORMAT_1,0)),'DICTIONARY-5'!$A$2)</f>
        <v>2 510,-</v>
      </c>
      <c r="K2132" s="670" t="str">
        <f>IF(EXC.RATE_2=0,"",IFERROR(IF(CURRENCY.FORMAT_2=0,CONCATENATE(TEXT(FIXED(ROUND(IF(EXC.RATE.SWITCH=1,C2132/EXC.RATE_2,C2132*EXC.RATE_2),CURRENCY.FORMAT_2),CURRENCY.FORMAT_2,1),"# ##0;-# ##0"),",-"),FIXED(ROUND(IF(EXC.RATE.SWITCH=1,C2132/EXC.RATE_2,C2132*EXC.RATE_2),CURRENCY.FORMAT_2),CURRENCY.FORMAT_2,0)),'DICTIONARY-5'!$A$2))</f>
        <v/>
      </c>
      <c r="L2132" s="670" t="str">
        <f>IFERROR(IF(CURRENCY.FORMAT_1=0,CONCATENATE(TEXT(FIXED(ROUND((C2132*(1-I2132)*(1-ADD.DISCOUNT)*(1+MAT.SURCHARGE)/EXC.RATE_1),CURRENCY.FORMAT_1),CURRENCY.FORMAT_1,1),"# ##0;-# ##0"),",-"),FIXED(ROUND((C2132*(1-I2132)*(1-ADD.DISCOUNT)*(1+MAT.SURCHARGE)/EXC.RATE_1),CURRENCY.FORMAT_1),CURRENCY.FORMAT_1,0)),'DICTIONARY-5'!$A$2)</f>
        <v>2 608,-</v>
      </c>
      <c r="M2132" s="670" t="str">
        <f>IF(EXC.RATE_2=0,"",IFERROR(IF(CURRENCY.FORMAT_2=0,CONCATENATE(TEXT(FIXED(ROUND(IF(EXC.RATE.SWITCH=1,C2132*(1-I2132)*(1-ADD.DISCOUNT)*(1+MAT.SURCHARGE)/EXC.RATE_2,C2132*(1-I2132)*(1-ADD.DISCOUNT)*(1+MAT.SURCHARGE)*EXC.RATE_2),CURRENCY.FORMAT_2),CURRENCY.FORMAT_2,1),"# ##0;-# ##0"),",-"),FIXED(ROUND(IF(EXC.RATE.SWITCH=1,C2132*(1-I2132)*(1-ADD.DISCOUNT)*(1+MAT.SURCHARGE)/EXC.RATE_2,C2132*(1-I2132)*(1-ADD.DISCOUNT)*(1+MAT.SURCHARGE)*EXC.RATE_2),CURRENCY.FORMAT_2),CURRENCY.FORMAT_2,0)),'DICTIONARY-5'!$A$2))</f>
        <v/>
      </c>
      <c r="N2132" s="538">
        <v>9</v>
      </c>
      <c r="O2132" s="538"/>
      <c r="P2132" s="731" t="str">
        <f>'DICTIONARY-3'!$A$117</f>
        <v>PICO M</v>
      </c>
      <c r="Q2132" s="732" t="str">
        <f>'DICTIONARY-3'!$A$209</f>
        <v>Zawór regulacyjny</v>
      </c>
      <c r="R2132" s="732" t="str">
        <f>CONCATENATE('DICTIONARY-3'!$A$117," ",'DICTIONARY-6'!$A$17," ",'DICTIONARY-2'!$A$2,"150"," ",'DICTIONARY-2'!$A$3,"10/16"," ","SZ40 1,5-12",'DICTIONARY-2'!$A$20)</f>
        <v>PICO M  Zaw. regulacyjny DN150 PN10/16 SZ40 1,5-12bar</v>
      </c>
      <c r="S2132" s="733" t="str">
        <f>'DICTIONARY-4'!$A$17</f>
        <v>AS</v>
      </c>
      <c r="T2132" s="732" t="str">
        <f>'DICTIONARY-4'!$A$33</f>
        <v>Automatyczne sterowanie</v>
      </c>
      <c r="U2132" s="734" t="s">
        <v>5572</v>
      </c>
      <c r="V2132" s="735">
        <v>16</v>
      </c>
      <c r="W2132" s="736"/>
      <c r="X2132" s="737"/>
      <c r="Y2132" s="738"/>
      <c r="Z2132" s="739"/>
      <c r="AA2132" s="739"/>
      <c r="AB2132" s="740">
        <v>16</v>
      </c>
      <c r="AC2132" s="741" t="str">
        <f>'DICTIONARY-5'!$A$11&amp;" 1"</f>
        <v>EN 558 szereg 1</v>
      </c>
      <c r="AD2132" s="741" t="str">
        <f>'DICTIONARY-5'!$A$13</f>
        <v>woda pitna</v>
      </c>
      <c r="AE2132" s="742">
        <v>50</v>
      </c>
      <c r="AF2132" s="743">
        <v>28</v>
      </c>
      <c r="AG2132" s="741" t="str">
        <f>'DICTIONARY-5'!$A$23</f>
        <v>powłoka epoksydowa</v>
      </c>
    </row>
    <row r="2133" spans="1:33" x14ac:dyDescent="0.25">
      <c r="A2133" s="872" t="s">
        <v>1951</v>
      </c>
      <c r="B2133" s="872" t="s">
        <v>3520</v>
      </c>
      <c r="C2133" s="836">
        <v>3964</v>
      </c>
      <c r="D2133" s="836"/>
      <c r="E2133" s="836"/>
      <c r="F2133" s="836"/>
      <c r="G2133" s="496" t="s">
        <v>7839</v>
      </c>
      <c r="H2133" s="797" t="str">
        <f>VLOOKUP(G2133,SETTINGS!$B$7:$D$97,2,0)</f>
        <v>PICO-M</v>
      </c>
      <c r="I2133" s="796">
        <f>VLOOKUP(G2133,SETTINGS!$B$7:$D$97,3,0)</f>
        <v>0</v>
      </c>
      <c r="J2133" s="670" t="str">
        <f>IFERROR(IF(CURRENCY.FORMAT_1=0,CONCATENATE(TEXT(FIXED(ROUND((C2133/EXC.RATE_1),CURRENCY.FORMAT_1),CURRENCY.FORMAT_1,1),"# ##0;-# ##0"),",-"),FIXED(ROUND((C2133/EXC.RATE_1),CURRENCY.FORMAT_1),CURRENCY.FORMAT_1,0)),'DICTIONARY-5'!$A$2)</f>
        <v>3 964,-</v>
      </c>
      <c r="K2133" s="670" t="str">
        <f>IF(EXC.RATE_2=0,"",IFERROR(IF(CURRENCY.FORMAT_2=0,CONCATENATE(TEXT(FIXED(ROUND(IF(EXC.RATE.SWITCH=1,C2133/EXC.RATE_2,C2133*EXC.RATE_2),CURRENCY.FORMAT_2),CURRENCY.FORMAT_2,1),"# ##0;-# ##0"),",-"),FIXED(ROUND(IF(EXC.RATE.SWITCH=1,C2133/EXC.RATE_2,C2133*EXC.RATE_2),CURRENCY.FORMAT_2),CURRENCY.FORMAT_2,0)),'DICTIONARY-5'!$A$2))</f>
        <v/>
      </c>
      <c r="L2133" s="670" t="str">
        <f>IFERROR(IF(CURRENCY.FORMAT_1=0,CONCATENATE(TEXT(FIXED(ROUND((C2133*(1-I2133)*(1-ADD.DISCOUNT)*(1+MAT.SURCHARGE)/EXC.RATE_1),CURRENCY.FORMAT_1),CURRENCY.FORMAT_1,1),"# ##0;-# ##0"),",-"),FIXED(ROUND((C2133*(1-I2133)*(1-ADD.DISCOUNT)*(1+MAT.SURCHARGE)/EXC.RATE_1),CURRENCY.FORMAT_1),CURRENCY.FORMAT_1,0)),'DICTIONARY-5'!$A$2)</f>
        <v>4 119,-</v>
      </c>
      <c r="M2133" s="670" t="str">
        <f>IF(EXC.RATE_2=0,"",IFERROR(IF(CURRENCY.FORMAT_2=0,CONCATENATE(TEXT(FIXED(ROUND(IF(EXC.RATE.SWITCH=1,C2133*(1-I2133)*(1-ADD.DISCOUNT)*(1+MAT.SURCHARGE)/EXC.RATE_2,C2133*(1-I2133)*(1-ADD.DISCOUNT)*(1+MAT.SURCHARGE)*EXC.RATE_2),CURRENCY.FORMAT_2),CURRENCY.FORMAT_2,1),"# ##0;-# ##0"),",-"),FIXED(ROUND(IF(EXC.RATE.SWITCH=1,C2133*(1-I2133)*(1-ADD.DISCOUNT)*(1+MAT.SURCHARGE)/EXC.RATE_2,C2133*(1-I2133)*(1-ADD.DISCOUNT)*(1+MAT.SURCHARGE)*EXC.RATE_2),CURRENCY.FORMAT_2),CURRENCY.FORMAT_2,0)),'DICTIONARY-5'!$A$2))</f>
        <v/>
      </c>
      <c r="N2133" s="538">
        <v>9</v>
      </c>
      <c r="O2133" s="538"/>
      <c r="P2133" s="731" t="str">
        <f>'DICTIONARY-3'!$A$117</f>
        <v>PICO M</v>
      </c>
      <c r="Q2133" s="732" t="str">
        <f>'DICTIONARY-3'!$A$209</f>
        <v>Zawór regulacyjny</v>
      </c>
      <c r="R2133" s="732" t="str">
        <f>CONCATENATE('DICTIONARY-3'!$A$117," ",'DICTIONARY-6'!$A$17," ",'DICTIONARY-2'!$A$2,"200"," ",'DICTIONARY-2'!$A$3,"10"," ","SZ40 1,5-12",'DICTIONARY-2'!$A$20)</f>
        <v>PICO M  Zaw. regulacyjny DN200 PN10 SZ40 1,5-12bar</v>
      </c>
      <c r="S2133" s="733" t="str">
        <f>'DICTIONARY-4'!$A$17</f>
        <v>AS</v>
      </c>
      <c r="T2133" s="732" t="str">
        <f>'DICTIONARY-4'!$A$33</f>
        <v>Automatyczne sterowanie</v>
      </c>
      <c r="U2133" s="734" t="s">
        <v>5750</v>
      </c>
      <c r="V2133" s="735">
        <v>10</v>
      </c>
      <c r="W2133" s="736"/>
      <c r="X2133" s="737"/>
      <c r="Y2133" s="738"/>
      <c r="Z2133" s="739"/>
      <c r="AA2133" s="739"/>
      <c r="AB2133" s="740">
        <v>10</v>
      </c>
      <c r="AC2133" s="741" t="str">
        <f>'DICTIONARY-5'!$A$11&amp;" 1"</f>
        <v>EN 558 szereg 1</v>
      </c>
      <c r="AD2133" s="741" t="str">
        <f>'DICTIONARY-5'!$A$13</f>
        <v>woda pitna</v>
      </c>
      <c r="AE2133" s="742">
        <v>50</v>
      </c>
      <c r="AF2133" s="743">
        <v>126</v>
      </c>
      <c r="AG2133" s="741" t="str">
        <f>'DICTIONARY-5'!$A$23</f>
        <v>powłoka epoksydowa</v>
      </c>
    </row>
    <row r="2134" spans="1:33" x14ac:dyDescent="0.25">
      <c r="A2134" s="872" t="s">
        <v>1953</v>
      </c>
      <c r="B2134" s="872" t="s">
        <v>3522</v>
      </c>
      <c r="C2134" s="836">
        <v>5255</v>
      </c>
      <c r="D2134" s="836"/>
      <c r="E2134" s="836"/>
      <c r="F2134" s="836"/>
      <c r="G2134" s="496" t="s">
        <v>7839</v>
      </c>
      <c r="H2134" s="797" t="str">
        <f>VLOOKUP(G2134,SETTINGS!$B$7:$D$97,2,0)</f>
        <v>PICO-M</v>
      </c>
      <c r="I2134" s="796">
        <f>VLOOKUP(G2134,SETTINGS!$B$7:$D$97,3,0)</f>
        <v>0</v>
      </c>
      <c r="J2134" s="670" t="str">
        <f>IFERROR(IF(CURRENCY.FORMAT_1=0,CONCATENATE(TEXT(FIXED(ROUND((C2134/EXC.RATE_1),CURRENCY.FORMAT_1),CURRENCY.FORMAT_1,1),"# ##0;-# ##0"),",-"),FIXED(ROUND((C2134/EXC.RATE_1),CURRENCY.FORMAT_1),CURRENCY.FORMAT_1,0)),'DICTIONARY-5'!$A$2)</f>
        <v>5 255,-</v>
      </c>
      <c r="K2134" s="670" t="str">
        <f>IF(EXC.RATE_2=0,"",IFERROR(IF(CURRENCY.FORMAT_2=0,CONCATENATE(TEXT(FIXED(ROUND(IF(EXC.RATE.SWITCH=1,C2134/EXC.RATE_2,C2134*EXC.RATE_2),CURRENCY.FORMAT_2),CURRENCY.FORMAT_2,1),"# ##0;-# ##0"),",-"),FIXED(ROUND(IF(EXC.RATE.SWITCH=1,C2134/EXC.RATE_2,C2134*EXC.RATE_2),CURRENCY.FORMAT_2),CURRENCY.FORMAT_2,0)),'DICTIONARY-5'!$A$2))</f>
        <v/>
      </c>
      <c r="L2134" s="670" t="str">
        <f>IFERROR(IF(CURRENCY.FORMAT_1=0,CONCATENATE(TEXT(FIXED(ROUND((C2134*(1-I2134)*(1-ADD.DISCOUNT)*(1+MAT.SURCHARGE)/EXC.RATE_1),CURRENCY.FORMAT_1),CURRENCY.FORMAT_1,1),"# ##0;-# ##0"),",-"),FIXED(ROUND((C2134*(1-I2134)*(1-ADD.DISCOUNT)*(1+MAT.SURCHARGE)/EXC.RATE_1),CURRENCY.FORMAT_1),CURRENCY.FORMAT_1,0)),'DICTIONARY-5'!$A$2)</f>
        <v>5 460,-</v>
      </c>
      <c r="M2134" s="670" t="str">
        <f>IF(EXC.RATE_2=0,"",IFERROR(IF(CURRENCY.FORMAT_2=0,CONCATENATE(TEXT(FIXED(ROUND(IF(EXC.RATE.SWITCH=1,C2134*(1-I2134)*(1-ADD.DISCOUNT)*(1+MAT.SURCHARGE)/EXC.RATE_2,C2134*(1-I2134)*(1-ADD.DISCOUNT)*(1+MAT.SURCHARGE)*EXC.RATE_2),CURRENCY.FORMAT_2),CURRENCY.FORMAT_2,1),"# ##0;-# ##0"),",-"),FIXED(ROUND(IF(EXC.RATE.SWITCH=1,C2134*(1-I2134)*(1-ADD.DISCOUNT)*(1+MAT.SURCHARGE)/EXC.RATE_2,C2134*(1-I2134)*(1-ADD.DISCOUNT)*(1+MAT.SURCHARGE)*EXC.RATE_2),CURRENCY.FORMAT_2),CURRENCY.FORMAT_2,0)),'DICTIONARY-5'!$A$2))</f>
        <v/>
      </c>
      <c r="N2134" s="538">
        <v>9</v>
      </c>
      <c r="O2134" s="538"/>
      <c r="P2134" s="731" t="str">
        <f>'DICTIONARY-3'!$A$117</f>
        <v>PICO M</v>
      </c>
      <c r="Q2134" s="732" t="str">
        <f>'DICTIONARY-3'!$A$209</f>
        <v>Zawór regulacyjny</v>
      </c>
      <c r="R2134" s="732" t="str">
        <f>CONCATENATE('DICTIONARY-3'!$A$117," ",'DICTIONARY-6'!$A$17," ",'DICTIONARY-2'!$A$2,"250"," ",'DICTIONARY-2'!$A$3,"10"," ","SZ40 1,5-12",'DICTIONARY-2'!$A$20)</f>
        <v>PICO M  Zaw. regulacyjny DN250 PN10 SZ40 1,5-12bar</v>
      </c>
      <c r="S2134" s="733" t="str">
        <f>'DICTIONARY-4'!$A$17</f>
        <v>AS</v>
      </c>
      <c r="T2134" s="732" t="str">
        <f>'DICTIONARY-4'!$A$33</f>
        <v>Automatyczne sterowanie</v>
      </c>
      <c r="U2134" s="734" t="s">
        <v>5751</v>
      </c>
      <c r="V2134" s="735">
        <v>10</v>
      </c>
      <c r="W2134" s="736"/>
      <c r="X2134" s="737"/>
      <c r="Y2134" s="738"/>
      <c r="Z2134" s="739"/>
      <c r="AA2134" s="739"/>
      <c r="AB2134" s="740">
        <v>10</v>
      </c>
      <c r="AC2134" s="741" t="str">
        <f>'DICTIONARY-5'!$A$11&amp;" 1"</f>
        <v>EN 558 szereg 1</v>
      </c>
      <c r="AD2134" s="741" t="str">
        <f>'DICTIONARY-5'!$A$13</f>
        <v>woda pitna</v>
      </c>
      <c r="AE2134" s="742">
        <v>50</v>
      </c>
      <c r="AF2134" s="743">
        <v>219</v>
      </c>
      <c r="AG2134" s="741" t="str">
        <f>'DICTIONARY-5'!$A$23</f>
        <v>powłoka epoksydowa</v>
      </c>
    </row>
    <row r="2135" spans="1:33" x14ac:dyDescent="0.25">
      <c r="A2135" s="872" t="s">
        <v>1955</v>
      </c>
      <c r="B2135" s="872" t="s">
        <v>3524</v>
      </c>
      <c r="C2135" s="836">
        <v>5290</v>
      </c>
      <c r="D2135" s="836"/>
      <c r="E2135" s="836"/>
      <c r="F2135" s="836"/>
      <c r="G2135" s="496" t="s">
        <v>7839</v>
      </c>
      <c r="H2135" s="797" t="str">
        <f>VLOOKUP(G2135,SETTINGS!$B$7:$D$97,2,0)</f>
        <v>PICO-M</v>
      </c>
      <c r="I2135" s="796">
        <f>VLOOKUP(G2135,SETTINGS!$B$7:$D$97,3,0)</f>
        <v>0</v>
      </c>
      <c r="J2135" s="670" t="str">
        <f>IFERROR(IF(CURRENCY.FORMAT_1=0,CONCATENATE(TEXT(FIXED(ROUND((C2135/EXC.RATE_1),CURRENCY.FORMAT_1),CURRENCY.FORMAT_1,1),"# ##0;-# ##0"),",-"),FIXED(ROUND((C2135/EXC.RATE_1),CURRENCY.FORMAT_1),CURRENCY.FORMAT_1,0)),'DICTIONARY-5'!$A$2)</f>
        <v>5 290,-</v>
      </c>
      <c r="K2135" s="670" t="str">
        <f>IF(EXC.RATE_2=0,"",IFERROR(IF(CURRENCY.FORMAT_2=0,CONCATENATE(TEXT(FIXED(ROUND(IF(EXC.RATE.SWITCH=1,C2135/EXC.RATE_2,C2135*EXC.RATE_2),CURRENCY.FORMAT_2),CURRENCY.FORMAT_2,1),"# ##0;-# ##0"),",-"),FIXED(ROUND(IF(EXC.RATE.SWITCH=1,C2135/EXC.RATE_2,C2135*EXC.RATE_2),CURRENCY.FORMAT_2),CURRENCY.FORMAT_2,0)),'DICTIONARY-5'!$A$2))</f>
        <v/>
      </c>
      <c r="L2135" s="670" t="str">
        <f>IFERROR(IF(CURRENCY.FORMAT_1=0,CONCATENATE(TEXT(FIXED(ROUND((C2135*(1-I2135)*(1-ADD.DISCOUNT)*(1+MAT.SURCHARGE)/EXC.RATE_1),CURRENCY.FORMAT_1),CURRENCY.FORMAT_1,1),"# ##0;-# ##0"),",-"),FIXED(ROUND((C2135*(1-I2135)*(1-ADD.DISCOUNT)*(1+MAT.SURCHARGE)/EXC.RATE_1),CURRENCY.FORMAT_1),CURRENCY.FORMAT_1,0)),'DICTIONARY-5'!$A$2)</f>
        <v>5 496,-</v>
      </c>
      <c r="M2135" s="670" t="str">
        <f>IF(EXC.RATE_2=0,"",IFERROR(IF(CURRENCY.FORMAT_2=0,CONCATENATE(TEXT(FIXED(ROUND(IF(EXC.RATE.SWITCH=1,C2135*(1-I2135)*(1-ADD.DISCOUNT)*(1+MAT.SURCHARGE)/EXC.RATE_2,C2135*(1-I2135)*(1-ADD.DISCOUNT)*(1+MAT.SURCHARGE)*EXC.RATE_2),CURRENCY.FORMAT_2),CURRENCY.FORMAT_2,1),"# ##0;-# ##0"),",-"),FIXED(ROUND(IF(EXC.RATE.SWITCH=1,C2135*(1-I2135)*(1-ADD.DISCOUNT)*(1+MAT.SURCHARGE)/EXC.RATE_2,C2135*(1-I2135)*(1-ADD.DISCOUNT)*(1+MAT.SURCHARGE)*EXC.RATE_2),CURRENCY.FORMAT_2),CURRENCY.FORMAT_2,0)),'DICTIONARY-5'!$A$2))</f>
        <v/>
      </c>
      <c r="N2135" s="538">
        <v>9</v>
      </c>
      <c r="O2135" s="538"/>
      <c r="P2135" s="731" t="str">
        <f>'DICTIONARY-3'!$A$117</f>
        <v>PICO M</v>
      </c>
      <c r="Q2135" s="732" t="str">
        <f>'DICTIONARY-3'!$A$209</f>
        <v>Zawór regulacyjny</v>
      </c>
      <c r="R2135" s="732" t="str">
        <f>CONCATENATE('DICTIONARY-3'!$A$117," ",'DICTIONARY-6'!$A$17," ",'DICTIONARY-2'!$A$2,"300"," ",'DICTIONARY-2'!$A$3,"10"," ","SZ40 1,5-12",'DICTIONARY-2'!$A$20)</f>
        <v>PICO M  Zaw. regulacyjny DN300 PN10 SZ40 1,5-12bar</v>
      </c>
      <c r="S2135" s="733" t="str">
        <f>'DICTIONARY-4'!$A$17</f>
        <v>AS</v>
      </c>
      <c r="T2135" s="732" t="str">
        <f>'DICTIONARY-4'!$A$33</f>
        <v>Automatyczne sterowanie</v>
      </c>
      <c r="U2135" s="734" t="s">
        <v>5752</v>
      </c>
      <c r="V2135" s="735">
        <v>10</v>
      </c>
      <c r="W2135" s="736"/>
      <c r="X2135" s="737"/>
      <c r="Y2135" s="738"/>
      <c r="Z2135" s="739"/>
      <c r="AA2135" s="739"/>
      <c r="AB2135" s="740">
        <v>10</v>
      </c>
      <c r="AC2135" s="741" t="str">
        <f>'DICTIONARY-5'!$A$11&amp;" 1"</f>
        <v>EN 558 szereg 1</v>
      </c>
      <c r="AD2135" s="741" t="str">
        <f>'DICTIONARY-5'!$A$13</f>
        <v>woda pitna</v>
      </c>
      <c r="AE2135" s="742">
        <v>50</v>
      </c>
      <c r="AF2135" s="743">
        <v>256</v>
      </c>
      <c r="AG2135" s="741" t="str">
        <f>'DICTIONARY-5'!$A$23</f>
        <v>powłoka epoksydowa</v>
      </c>
    </row>
    <row r="2136" spans="1:33" x14ac:dyDescent="0.25">
      <c r="A2136" s="872" t="s">
        <v>1952</v>
      </c>
      <c r="B2136" s="872" t="s">
        <v>3541</v>
      </c>
      <c r="C2136" s="836">
        <v>3952</v>
      </c>
      <c r="D2136" s="836"/>
      <c r="E2136" s="836"/>
      <c r="F2136" s="836"/>
      <c r="G2136" s="496" t="s">
        <v>7839</v>
      </c>
      <c r="H2136" s="797" t="str">
        <f>VLOOKUP(G2136,SETTINGS!$B$7:$D$97,2,0)</f>
        <v>PICO-M</v>
      </c>
      <c r="I2136" s="796">
        <f>VLOOKUP(G2136,SETTINGS!$B$7:$D$97,3,0)</f>
        <v>0</v>
      </c>
      <c r="J2136" s="670" t="str">
        <f>IFERROR(IF(CURRENCY.FORMAT_1=0,CONCATENATE(TEXT(FIXED(ROUND((C2136/EXC.RATE_1),CURRENCY.FORMAT_1),CURRENCY.FORMAT_1,1),"# ##0;-# ##0"),",-"),FIXED(ROUND((C2136/EXC.RATE_1),CURRENCY.FORMAT_1),CURRENCY.FORMAT_1,0)),'DICTIONARY-5'!$A$2)</f>
        <v>3 952,-</v>
      </c>
      <c r="K2136" s="670" t="str">
        <f>IF(EXC.RATE_2=0,"",IFERROR(IF(CURRENCY.FORMAT_2=0,CONCATENATE(TEXT(FIXED(ROUND(IF(EXC.RATE.SWITCH=1,C2136/EXC.RATE_2,C2136*EXC.RATE_2),CURRENCY.FORMAT_2),CURRENCY.FORMAT_2,1),"# ##0;-# ##0"),",-"),FIXED(ROUND(IF(EXC.RATE.SWITCH=1,C2136/EXC.RATE_2,C2136*EXC.RATE_2),CURRENCY.FORMAT_2),CURRENCY.FORMAT_2,0)),'DICTIONARY-5'!$A$2))</f>
        <v/>
      </c>
      <c r="L2136" s="670" t="str">
        <f>IFERROR(IF(CURRENCY.FORMAT_1=0,CONCATENATE(TEXT(FIXED(ROUND((C2136*(1-I2136)*(1-ADD.DISCOUNT)*(1+MAT.SURCHARGE)/EXC.RATE_1),CURRENCY.FORMAT_1),CURRENCY.FORMAT_1,1),"# ##0;-# ##0"),",-"),FIXED(ROUND((C2136*(1-I2136)*(1-ADD.DISCOUNT)*(1+MAT.SURCHARGE)/EXC.RATE_1),CURRENCY.FORMAT_1),CURRENCY.FORMAT_1,0)),'DICTIONARY-5'!$A$2)</f>
        <v>4 106,-</v>
      </c>
      <c r="M2136" s="670" t="str">
        <f>IF(EXC.RATE_2=0,"",IFERROR(IF(CURRENCY.FORMAT_2=0,CONCATENATE(TEXT(FIXED(ROUND(IF(EXC.RATE.SWITCH=1,C2136*(1-I2136)*(1-ADD.DISCOUNT)*(1+MAT.SURCHARGE)/EXC.RATE_2,C2136*(1-I2136)*(1-ADD.DISCOUNT)*(1+MAT.SURCHARGE)*EXC.RATE_2),CURRENCY.FORMAT_2),CURRENCY.FORMAT_2,1),"# ##0;-# ##0"),",-"),FIXED(ROUND(IF(EXC.RATE.SWITCH=1,C2136*(1-I2136)*(1-ADD.DISCOUNT)*(1+MAT.SURCHARGE)/EXC.RATE_2,C2136*(1-I2136)*(1-ADD.DISCOUNT)*(1+MAT.SURCHARGE)*EXC.RATE_2),CURRENCY.FORMAT_2),CURRENCY.FORMAT_2,0)),'DICTIONARY-5'!$A$2))</f>
        <v/>
      </c>
      <c r="N2136" s="538">
        <v>9</v>
      </c>
      <c r="O2136" s="538"/>
      <c r="P2136" s="731" t="str">
        <f>'DICTIONARY-3'!$A$117</f>
        <v>PICO M</v>
      </c>
      <c r="Q2136" s="732" t="str">
        <f>'DICTIONARY-3'!$A$209</f>
        <v>Zawór regulacyjny</v>
      </c>
      <c r="R2136" s="732" t="str">
        <f>CONCATENATE('DICTIONARY-3'!$A$117," ",'DICTIONARY-6'!$A$17," ",'DICTIONARY-2'!$A$2,"200"," ",'DICTIONARY-2'!$A$3,"16"," ","SZ40 1,5-12",'DICTIONARY-2'!$A$20)</f>
        <v>PICO M  Zaw. regulacyjny DN200 PN16 SZ40 1,5-12bar</v>
      </c>
      <c r="S2136" s="733" t="str">
        <f>'DICTIONARY-4'!$A$17</f>
        <v>AS</v>
      </c>
      <c r="T2136" s="732" t="str">
        <f>'DICTIONARY-4'!$A$33</f>
        <v>Automatyczne sterowanie</v>
      </c>
      <c r="U2136" s="734" t="s">
        <v>5750</v>
      </c>
      <c r="V2136" s="735">
        <v>16</v>
      </c>
      <c r="W2136" s="736"/>
      <c r="X2136" s="737"/>
      <c r="Y2136" s="738"/>
      <c r="Z2136" s="739"/>
      <c r="AA2136" s="739"/>
      <c r="AB2136" s="740">
        <v>16</v>
      </c>
      <c r="AC2136" s="741" t="str">
        <f>'DICTIONARY-5'!$A$11&amp;" 1"</f>
        <v>EN 558 szereg 1</v>
      </c>
      <c r="AD2136" s="741" t="str">
        <f>'DICTIONARY-5'!$A$13</f>
        <v>woda pitna</v>
      </c>
      <c r="AE2136" s="742">
        <v>50</v>
      </c>
      <c r="AF2136" s="743">
        <v>126</v>
      </c>
      <c r="AG2136" s="741" t="str">
        <f>'DICTIONARY-5'!$A$23</f>
        <v>powłoka epoksydowa</v>
      </c>
    </row>
    <row r="2137" spans="1:33" x14ac:dyDescent="0.25">
      <c r="A2137" s="872" t="s">
        <v>1954</v>
      </c>
      <c r="B2137" s="872" t="s">
        <v>3543</v>
      </c>
      <c r="C2137" s="836">
        <v>5255</v>
      </c>
      <c r="D2137" s="836"/>
      <c r="E2137" s="836"/>
      <c r="F2137" s="836"/>
      <c r="G2137" s="496" t="s">
        <v>7839</v>
      </c>
      <c r="H2137" s="797" t="str">
        <f>VLOOKUP(G2137,SETTINGS!$B$7:$D$97,2,0)</f>
        <v>PICO-M</v>
      </c>
      <c r="I2137" s="796">
        <f>VLOOKUP(G2137,SETTINGS!$B$7:$D$97,3,0)</f>
        <v>0</v>
      </c>
      <c r="J2137" s="670" t="str">
        <f>IFERROR(IF(CURRENCY.FORMAT_1=0,CONCATENATE(TEXT(FIXED(ROUND((C2137/EXC.RATE_1),CURRENCY.FORMAT_1),CURRENCY.FORMAT_1,1),"# ##0;-# ##0"),",-"),FIXED(ROUND((C2137/EXC.RATE_1),CURRENCY.FORMAT_1),CURRENCY.FORMAT_1,0)),'DICTIONARY-5'!$A$2)</f>
        <v>5 255,-</v>
      </c>
      <c r="K2137" s="670" t="str">
        <f>IF(EXC.RATE_2=0,"",IFERROR(IF(CURRENCY.FORMAT_2=0,CONCATENATE(TEXT(FIXED(ROUND(IF(EXC.RATE.SWITCH=1,C2137/EXC.RATE_2,C2137*EXC.RATE_2),CURRENCY.FORMAT_2),CURRENCY.FORMAT_2,1),"# ##0;-# ##0"),",-"),FIXED(ROUND(IF(EXC.RATE.SWITCH=1,C2137/EXC.RATE_2,C2137*EXC.RATE_2),CURRENCY.FORMAT_2),CURRENCY.FORMAT_2,0)),'DICTIONARY-5'!$A$2))</f>
        <v/>
      </c>
      <c r="L2137" s="670" t="str">
        <f>IFERROR(IF(CURRENCY.FORMAT_1=0,CONCATENATE(TEXT(FIXED(ROUND((C2137*(1-I2137)*(1-ADD.DISCOUNT)*(1+MAT.SURCHARGE)/EXC.RATE_1),CURRENCY.FORMAT_1),CURRENCY.FORMAT_1,1),"# ##0;-# ##0"),",-"),FIXED(ROUND((C2137*(1-I2137)*(1-ADD.DISCOUNT)*(1+MAT.SURCHARGE)/EXC.RATE_1),CURRENCY.FORMAT_1),CURRENCY.FORMAT_1,0)),'DICTIONARY-5'!$A$2)</f>
        <v>5 460,-</v>
      </c>
      <c r="M2137" s="670" t="str">
        <f>IF(EXC.RATE_2=0,"",IFERROR(IF(CURRENCY.FORMAT_2=0,CONCATENATE(TEXT(FIXED(ROUND(IF(EXC.RATE.SWITCH=1,C2137*(1-I2137)*(1-ADD.DISCOUNT)*(1+MAT.SURCHARGE)/EXC.RATE_2,C2137*(1-I2137)*(1-ADD.DISCOUNT)*(1+MAT.SURCHARGE)*EXC.RATE_2),CURRENCY.FORMAT_2),CURRENCY.FORMAT_2,1),"# ##0;-# ##0"),",-"),FIXED(ROUND(IF(EXC.RATE.SWITCH=1,C2137*(1-I2137)*(1-ADD.DISCOUNT)*(1+MAT.SURCHARGE)/EXC.RATE_2,C2137*(1-I2137)*(1-ADD.DISCOUNT)*(1+MAT.SURCHARGE)*EXC.RATE_2),CURRENCY.FORMAT_2),CURRENCY.FORMAT_2,0)),'DICTIONARY-5'!$A$2))</f>
        <v/>
      </c>
      <c r="N2137" s="538">
        <v>9</v>
      </c>
      <c r="O2137" s="538"/>
      <c r="P2137" s="731" t="str">
        <f>'DICTIONARY-3'!$A$117</f>
        <v>PICO M</v>
      </c>
      <c r="Q2137" s="732" t="str">
        <f>'DICTIONARY-3'!$A$209</f>
        <v>Zawór regulacyjny</v>
      </c>
      <c r="R2137" s="732" t="str">
        <f>CONCATENATE('DICTIONARY-3'!$A$117," ",'DICTIONARY-6'!$A$17," ",'DICTIONARY-2'!$A$2,"250"," ",'DICTIONARY-2'!$A$3,"16"," ","SZ40 1,5-12",'DICTIONARY-2'!$A$20)</f>
        <v>PICO M  Zaw. regulacyjny DN250 PN16 SZ40 1,5-12bar</v>
      </c>
      <c r="S2137" s="733" t="str">
        <f>'DICTIONARY-4'!$A$17</f>
        <v>AS</v>
      </c>
      <c r="T2137" s="732" t="str">
        <f>'DICTIONARY-4'!$A$33</f>
        <v>Automatyczne sterowanie</v>
      </c>
      <c r="U2137" s="734" t="s">
        <v>5751</v>
      </c>
      <c r="V2137" s="735">
        <v>16</v>
      </c>
      <c r="W2137" s="736"/>
      <c r="X2137" s="737"/>
      <c r="Y2137" s="738"/>
      <c r="Z2137" s="739"/>
      <c r="AA2137" s="739"/>
      <c r="AB2137" s="740">
        <v>16</v>
      </c>
      <c r="AC2137" s="741" t="str">
        <f>'DICTIONARY-5'!$A$11&amp;" 1"</f>
        <v>EN 558 szereg 1</v>
      </c>
      <c r="AD2137" s="741" t="str">
        <f>'DICTIONARY-5'!$A$13</f>
        <v>woda pitna</v>
      </c>
      <c r="AE2137" s="742">
        <v>50</v>
      </c>
      <c r="AF2137" s="743">
        <v>239.9</v>
      </c>
      <c r="AG2137" s="741" t="str">
        <f>'DICTIONARY-5'!$A$23</f>
        <v>powłoka epoksydowa</v>
      </c>
    </row>
    <row r="2138" spans="1:33" x14ac:dyDescent="0.25">
      <c r="A2138" s="872" t="s">
        <v>1956</v>
      </c>
      <c r="B2138" s="872" t="s">
        <v>3545</v>
      </c>
      <c r="C2138" s="836">
        <v>5290</v>
      </c>
      <c r="D2138" s="836"/>
      <c r="E2138" s="836"/>
      <c r="F2138" s="836"/>
      <c r="G2138" s="496" t="s">
        <v>7839</v>
      </c>
      <c r="H2138" s="797" t="str">
        <f>VLOOKUP(G2138,SETTINGS!$B$7:$D$97,2,0)</f>
        <v>PICO-M</v>
      </c>
      <c r="I2138" s="796">
        <f>VLOOKUP(G2138,SETTINGS!$B$7:$D$97,3,0)</f>
        <v>0</v>
      </c>
      <c r="J2138" s="670" t="str">
        <f>IFERROR(IF(CURRENCY.FORMAT_1=0,CONCATENATE(TEXT(FIXED(ROUND((C2138/EXC.RATE_1),CURRENCY.FORMAT_1),CURRENCY.FORMAT_1,1),"# ##0;-# ##0"),",-"),FIXED(ROUND((C2138/EXC.RATE_1),CURRENCY.FORMAT_1),CURRENCY.FORMAT_1,0)),'DICTIONARY-5'!$A$2)</f>
        <v>5 290,-</v>
      </c>
      <c r="K2138" s="670" t="str">
        <f>IF(EXC.RATE_2=0,"",IFERROR(IF(CURRENCY.FORMAT_2=0,CONCATENATE(TEXT(FIXED(ROUND(IF(EXC.RATE.SWITCH=1,C2138/EXC.RATE_2,C2138*EXC.RATE_2),CURRENCY.FORMAT_2),CURRENCY.FORMAT_2,1),"# ##0;-# ##0"),",-"),FIXED(ROUND(IF(EXC.RATE.SWITCH=1,C2138/EXC.RATE_2,C2138*EXC.RATE_2),CURRENCY.FORMAT_2),CURRENCY.FORMAT_2,0)),'DICTIONARY-5'!$A$2))</f>
        <v/>
      </c>
      <c r="L2138" s="670" t="str">
        <f>IFERROR(IF(CURRENCY.FORMAT_1=0,CONCATENATE(TEXT(FIXED(ROUND((C2138*(1-I2138)*(1-ADD.DISCOUNT)*(1+MAT.SURCHARGE)/EXC.RATE_1),CURRENCY.FORMAT_1),CURRENCY.FORMAT_1,1),"# ##0;-# ##0"),",-"),FIXED(ROUND((C2138*(1-I2138)*(1-ADD.DISCOUNT)*(1+MAT.SURCHARGE)/EXC.RATE_1),CURRENCY.FORMAT_1),CURRENCY.FORMAT_1,0)),'DICTIONARY-5'!$A$2)</f>
        <v>5 496,-</v>
      </c>
      <c r="M2138" s="670" t="str">
        <f>IF(EXC.RATE_2=0,"",IFERROR(IF(CURRENCY.FORMAT_2=0,CONCATENATE(TEXT(FIXED(ROUND(IF(EXC.RATE.SWITCH=1,C2138*(1-I2138)*(1-ADD.DISCOUNT)*(1+MAT.SURCHARGE)/EXC.RATE_2,C2138*(1-I2138)*(1-ADD.DISCOUNT)*(1+MAT.SURCHARGE)*EXC.RATE_2),CURRENCY.FORMAT_2),CURRENCY.FORMAT_2,1),"# ##0;-# ##0"),",-"),FIXED(ROUND(IF(EXC.RATE.SWITCH=1,C2138*(1-I2138)*(1-ADD.DISCOUNT)*(1+MAT.SURCHARGE)/EXC.RATE_2,C2138*(1-I2138)*(1-ADD.DISCOUNT)*(1+MAT.SURCHARGE)*EXC.RATE_2),CURRENCY.FORMAT_2),CURRENCY.FORMAT_2,0)),'DICTIONARY-5'!$A$2))</f>
        <v/>
      </c>
      <c r="N2138" s="538">
        <v>9</v>
      </c>
      <c r="O2138" s="538"/>
      <c r="P2138" s="731" t="str">
        <f>'DICTIONARY-3'!$A$117</f>
        <v>PICO M</v>
      </c>
      <c r="Q2138" s="732" t="str">
        <f>'DICTIONARY-3'!$A$209</f>
        <v>Zawór regulacyjny</v>
      </c>
      <c r="R2138" s="732" t="str">
        <f>CONCATENATE('DICTIONARY-3'!$A$117," ",'DICTIONARY-6'!$A$17," ",'DICTIONARY-2'!$A$2,"300"," ",'DICTIONARY-2'!$A$3,"16"," ","SZ40 1,5-12",'DICTIONARY-2'!$A$20)</f>
        <v>PICO M  Zaw. regulacyjny DN300 PN16 SZ40 1,5-12bar</v>
      </c>
      <c r="S2138" s="733" t="str">
        <f>'DICTIONARY-4'!$A$17</f>
        <v>AS</v>
      </c>
      <c r="T2138" s="732" t="str">
        <f>'DICTIONARY-4'!$A$33</f>
        <v>Automatyczne sterowanie</v>
      </c>
      <c r="U2138" s="734" t="s">
        <v>5752</v>
      </c>
      <c r="V2138" s="735">
        <v>16</v>
      </c>
      <c r="W2138" s="736"/>
      <c r="X2138" s="737"/>
      <c r="Y2138" s="738"/>
      <c r="Z2138" s="739"/>
      <c r="AA2138" s="739"/>
      <c r="AB2138" s="740">
        <v>16</v>
      </c>
      <c r="AC2138" s="741" t="str">
        <f>'DICTIONARY-5'!$A$11&amp;" 1"</f>
        <v>EN 558 szereg 1</v>
      </c>
      <c r="AD2138" s="741" t="str">
        <f>'DICTIONARY-5'!$A$13</f>
        <v>woda pitna</v>
      </c>
      <c r="AE2138" s="742">
        <v>50</v>
      </c>
      <c r="AF2138" s="743">
        <v>250</v>
      </c>
      <c r="AG2138" s="741" t="str">
        <f>'DICTIONARY-5'!$A$23</f>
        <v>powłoka epoksydowa</v>
      </c>
    </row>
    <row r="2139" spans="1:33" x14ac:dyDescent="0.25">
      <c r="A2139" s="872" t="s">
        <v>1957</v>
      </c>
      <c r="B2139" s="876" t="s">
        <v>3555</v>
      </c>
      <c r="C2139" s="836">
        <v>1269</v>
      </c>
      <c r="D2139" s="836"/>
      <c r="E2139" s="836"/>
      <c r="F2139" s="836"/>
      <c r="G2139" s="496" t="s">
        <v>7840</v>
      </c>
      <c r="H2139" s="797" t="str">
        <f>VLOOKUP(G2139,SETTINGS!$B$7:$D$97,2,0)</f>
        <v>DURA</v>
      </c>
      <c r="I2139" s="796">
        <f>VLOOKUP(G2139,SETTINGS!$B$7:$D$97,3,0)</f>
        <v>0</v>
      </c>
      <c r="J2139" s="670" t="str">
        <f>IFERROR(IF(CURRENCY.FORMAT_1=0,CONCATENATE(TEXT(FIXED(ROUND((C2139/EXC.RATE_1),CURRENCY.FORMAT_1),CURRENCY.FORMAT_1,1),"# ##0;-# ##0"),",-"),FIXED(ROUND((C2139/EXC.RATE_1),CURRENCY.FORMAT_1),CURRENCY.FORMAT_1,0)),'DICTIONARY-5'!$A$2)</f>
        <v>1 269,-</v>
      </c>
      <c r="K2139" s="670" t="str">
        <f>IF(EXC.RATE_2=0,"",IFERROR(IF(CURRENCY.FORMAT_2=0,CONCATENATE(TEXT(FIXED(ROUND(IF(EXC.RATE.SWITCH=1,C2139/EXC.RATE_2,C2139*EXC.RATE_2),CURRENCY.FORMAT_2),CURRENCY.FORMAT_2,1),"# ##0;-# ##0"),",-"),FIXED(ROUND(IF(EXC.RATE.SWITCH=1,C2139/EXC.RATE_2,C2139*EXC.RATE_2),CURRENCY.FORMAT_2),CURRENCY.FORMAT_2,0)),'DICTIONARY-5'!$A$2))</f>
        <v/>
      </c>
      <c r="L2139" s="670" t="str">
        <f>IFERROR(IF(CURRENCY.FORMAT_1=0,CONCATENATE(TEXT(FIXED(ROUND((C2139*(1-I2139)*(1-ADD.DISCOUNT)*(1+MAT.SURCHARGE)/EXC.RATE_1),CURRENCY.FORMAT_1),CURRENCY.FORMAT_1,1),"# ##0;-# ##0"),",-"),FIXED(ROUND((C2139*(1-I2139)*(1-ADD.DISCOUNT)*(1+MAT.SURCHARGE)/EXC.RATE_1),CURRENCY.FORMAT_1),CURRENCY.FORMAT_1,0)),'DICTIONARY-5'!$A$2)</f>
        <v>1 318,-</v>
      </c>
      <c r="M2139" s="670" t="str">
        <f>IF(EXC.RATE_2=0,"",IFERROR(IF(CURRENCY.FORMAT_2=0,CONCATENATE(TEXT(FIXED(ROUND(IF(EXC.RATE.SWITCH=1,C2139*(1-I2139)*(1-ADD.DISCOUNT)*(1+MAT.SURCHARGE)/EXC.RATE_2,C2139*(1-I2139)*(1-ADD.DISCOUNT)*(1+MAT.SURCHARGE)*EXC.RATE_2),CURRENCY.FORMAT_2),CURRENCY.FORMAT_2,1),"# ##0;-# ##0"),",-"),FIXED(ROUND(IF(EXC.RATE.SWITCH=1,C2139*(1-I2139)*(1-ADD.DISCOUNT)*(1+MAT.SURCHARGE)/EXC.RATE_2,C2139*(1-I2139)*(1-ADD.DISCOUNT)*(1+MAT.SURCHARGE)*EXC.RATE_2),CURRENCY.FORMAT_2),CURRENCY.FORMAT_2,0)),'DICTIONARY-5'!$A$2))</f>
        <v/>
      </c>
      <c r="N2139" s="538">
        <v>9</v>
      </c>
      <c r="O2139" s="538"/>
      <c r="P2139" s="731" t="str">
        <f>'DICTIONARY-3'!$A$118</f>
        <v>DURA</v>
      </c>
      <c r="Q2139" s="732" t="str">
        <f>'DICTIONARY-3'!$A$210</f>
        <v>Zawór regulacyjny</v>
      </c>
      <c r="R2139" s="732" t="str">
        <f>CONCATENATE('DICTIONARY-3'!$A$118," ",'DICTIONARY-6'!$A$17," ",'DICTIONARY-2'!$A$2,"50"," ",'DICTIONARY-2'!$A$3,"10/16"," ","SZ40",", ",'DICTIONARY-4'!$A$7)</f>
        <v>DURA  Zaw. regulacyjny DN50 PN10/16 SZ40, KR</v>
      </c>
      <c r="S2139" s="733" t="str">
        <f>'DICTIONARY-4'!$A$7</f>
        <v>KR</v>
      </c>
      <c r="T2139" s="732" t="str">
        <f>'DICTIONARY-4'!$A$23</f>
        <v>Kółko ręczne</v>
      </c>
      <c r="U2139" s="734" t="s">
        <v>5748</v>
      </c>
      <c r="V2139" s="735">
        <v>16</v>
      </c>
      <c r="W2139" s="736"/>
      <c r="X2139" s="737"/>
      <c r="Y2139" s="738"/>
      <c r="Z2139" s="739"/>
      <c r="AA2139" s="739"/>
      <c r="AB2139" s="740">
        <v>16</v>
      </c>
      <c r="AC2139" s="741" t="str">
        <f>'DICTIONARY-5'!$A$11&amp;" 1"</f>
        <v>EN 558 szereg 1</v>
      </c>
      <c r="AD2139" s="741" t="str">
        <f>'DICTIONARY-5'!$A$13</f>
        <v>woda pitna</v>
      </c>
      <c r="AE2139" s="742">
        <v>50</v>
      </c>
      <c r="AF2139" s="743">
        <v>19.5</v>
      </c>
      <c r="AG2139" s="741" t="str">
        <f>'DICTIONARY-5'!$A$23</f>
        <v>powłoka epoksydowa</v>
      </c>
    </row>
    <row r="2140" spans="1:33" x14ac:dyDescent="0.25">
      <c r="A2140" s="872" t="s">
        <v>1959</v>
      </c>
      <c r="B2140" s="876" t="s">
        <v>3556</v>
      </c>
      <c r="C2140" s="836">
        <v>1431</v>
      </c>
      <c r="D2140" s="836"/>
      <c r="E2140" s="836"/>
      <c r="F2140" s="836"/>
      <c r="G2140" s="496" t="s">
        <v>7840</v>
      </c>
      <c r="H2140" s="797" t="str">
        <f>VLOOKUP(G2140,SETTINGS!$B$7:$D$97,2,0)</f>
        <v>DURA</v>
      </c>
      <c r="I2140" s="796">
        <f>VLOOKUP(G2140,SETTINGS!$B$7:$D$97,3,0)</f>
        <v>0</v>
      </c>
      <c r="J2140" s="670" t="str">
        <f>IFERROR(IF(CURRENCY.FORMAT_1=0,CONCATENATE(TEXT(FIXED(ROUND((C2140/EXC.RATE_1),CURRENCY.FORMAT_1),CURRENCY.FORMAT_1,1),"# ##0;-# ##0"),",-"),FIXED(ROUND((C2140/EXC.RATE_1),CURRENCY.FORMAT_1),CURRENCY.FORMAT_1,0)),'DICTIONARY-5'!$A$2)</f>
        <v>1 431,-</v>
      </c>
      <c r="K2140" s="670" t="str">
        <f>IF(EXC.RATE_2=0,"",IFERROR(IF(CURRENCY.FORMAT_2=0,CONCATENATE(TEXT(FIXED(ROUND(IF(EXC.RATE.SWITCH=1,C2140/EXC.RATE_2,C2140*EXC.RATE_2),CURRENCY.FORMAT_2),CURRENCY.FORMAT_2,1),"# ##0;-# ##0"),",-"),FIXED(ROUND(IF(EXC.RATE.SWITCH=1,C2140/EXC.RATE_2,C2140*EXC.RATE_2),CURRENCY.FORMAT_2),CURRENCY.FORMAT_2,0)),'DICTIONARY-5'!$A$2))</f>
        <v/>
      </c>
      <c r="L2140" s="670" t="str">
        <f>IFERROR(IF(CURRENCY.FORMAT_1=0,CONCATENATE(TEXT(FIXED(ROUND((C2140*(1-I2140)*(1-ADD.DISCOUNT)*(1+MAT.SURCHARGE)/EXC.RATE_1),CURRENCY.FORMAT_1),CURRENCY.FORMAT_1,1),"# ##0;-# ##0"),",-"),FIXED(ROUND((C2140*(1-I2140)*(1-ADD.DISCOUNT)*(1+MAT.SURCHARGE)/EXC.RATE_1),CURRENCY.FORMAT_1),CURRENCY.FORMAT_1,0)),'DICTIONARY-5'!$A$2)</f>
        <v>1 487,-</v>
      </c>
      <c r="M2140" s="670" t="str">
        <f>IF(EXC.RATE_2=0,"",IFERROR(IF(CURRENCY.FORMAT_2=0,CONCATENATE(TEXT(FIXED(ROUND(IF(EXC.RATE.SWITCH=1,C2140*(1-I2140)*(1-ADD.DISCOUNT)*(1+MAT.SURCHARGE)/EXC.RATE_2,C2140*(1-I2140)*(1-ADD.DISCOUNT)*(1+MAT.SURCHARGE)*EXC.RATE_2),CURRENCY.FORMAT_2),CURRENCY.FORMAT_2,1),"# ##0;-# ##0"),",-"),FIXED(ROUND(IF(EXC.RATE.SWITCH=1,C2140*(1-I2140)*(1-ADD.DISCOUNT)*(1+MAT.SURCHARGE)/EXC.RATE_2,C2140*(1-I2140)*(1-ADD.DISCOUNT)*(1+MAT.SURCHARGE)*EXC.RATE_2),CURRENCY.FORMAT_2),CURRENCY.FORMAT_2,0)),'DICTIONARY-5'!$A$2))</f>
        <v/>
      </c>
      <c r="N2140" s="538">
        <v>9</v>
      </c>
      <c r="O2140" s="538"/>
      <c r="P2140" s="731" t="str">
        <f>'DICTIONARY-3'!$A$118</f>
        <v>DURA</v>
      </c>
      <c r="Q2140" s="732" t="str">
        <f>'DICTIONARY-3'!$A$210</f>
        <v>Zawór regulacyjny</v>
      </c>
      <c r="R2140" s="732" t="str">
        <f>CONCATENATE('DICTIONARY-3'!$A$118," ",'DICTIONARY-6'!$A$17," ",'DICTIONARY-2'!$A$2,"65"," ",'DICTIONARY-2'!$A$3,"10/16"," ","SZ40",", ",'DICTIONARY-4'!$A$7)</f>
        <v>DURA  Zaw. regulacyjny DN65 PN10/16 SZ40, KR</v>
      </c>
      <c r="S2140" s="733" t="str">
        <f>'DICTIONARY-4'!$A$7</f>
        <v>KR</v>
      </c>
      <c r="T2140" s="732" t="str">
        <f>'DICTIONARY-4'!$A$23</f>
        <v>Kółko ręczne</v>
      </c>
      <c r="U2140" s="734" t="s">
        <v>5759</v>
      </c>
      <c r="V2140" s="735">
        <v>16</v>
      </c>
      <c r="W2140" s="736"/>
      <c r="X2140" s="737"/>
      <c r="Y2140" s="738"/>
      <c r="Z2140" s="739"/>
      <c r="AA2140" s="739"/>
      <c r="AB2140" s="740">
        <v>16</v>
      </c>
      <c r="AC2140" s="741" t="str">
        <f>'DICTIONARY-5'!$A$11&amp;" 1"</f>
        <v>EN 558 szereg 1</v>
      </c>
      <c r="AD2140" s="741" t="str">
        <f>'DICTIONARY-5'!$A$13</f>
        <v>woda pitna</v>
      </c>
      <c r="AE2140" s="742">
        <v>50</v>
      </c>
      <c r="AF2140" s="743">
        <v>28</v>
      </c>
      <c r="AG2140" s="741" t="str">
        <f>'DICTIONARY-5'!$A$23</f>
        <v>powłoka epoksydowa</v>
      </c>
    </row>
    <row r="2141" spans="1:33" x14ac:dyDescent="0.25">
      <c r="A2141" s="872" t="s">
        <v>1961</v>
      </c>
      <c r="B2141" s="876" t="s">
        <v>3557</v>
      </c>
      <c r="C2141" s="836">
        <v>1445</v>
      </c>
      <c r="D2141" s="836"/>
      <c r="E2141" s="836"/>
      <c r="F2141" s="836"/>
      <c r="G2141" s="496" t="s">
        <v>7840</v>
      </c>
      <c r="H2141" s="797" t="str">
        <f>VLOOKUP(G2141,SETTINGS!$B$7:$D$97,2,0)</f>
        <v>DURA</v>
      </c>
      <c r="I2141" s="796">
        <f>VLOOKUP(G2141,SETTINGS!$B$7:$D$97,3,0)</f>
        <v>0</v>
      </c>
      <c r="J2141" s="670" t="str">
        <f>IFERROR(IF(CURRENCY.FORMAT_1=0,CONCATENATE(TEXT(FIXED(ROUND((C2141/EXC.RATE_1),CURRENCY.FORMAT_1),CURRENCY.FORMAT_1,1),"# ##0;-# ##0"),",-"),FIXED(ROUND((C2141/EXC.RATE_1),CURRENCY.FORMAT_1),CURRENCY.FORMAT_1,0)),'DICTIONARY-5'!$A$2)</f>
        <v>1 445,-</v>
      </c>
      <c r="K2141" s="670" t="str">
        <f>IF(EXC.RATE_2=0,"",IFERROR(IF(CURRENCY.FORMAT_2=0,CONCATENATE(TEXT(FIXED(ROUND(IF(EXC.RATE.SWITCH=1,C2141/EXC.RATE_2,C2141*EXC.RATE_2),CURRENCY.FORMAT_2),CURRENCY.FORMAT_2,1),"# ##0;-# ##0"),",-"),FIXED(ROUND(IF(EXC.RATE.SWITCH=1,C2141/EXC.RATE_2,C2141*EXC.RATE_2),CURRENCY.FORMAT_2),CURRENCY.FORMAT_2,0)),'DICTIONARY-5'!$A$2))</f>
        <v/>
      </c>
      <c r="L2141" s="670" t="str">
        <f>IFERROR(IF(CURRENCY.FORMAT_1=0,CONCATENATE(TEXT(FIXED(ROUND((C2141*(1-I2141)*(1-ADD.DISCOUNT)*(1+MAT.SURCHARGE)/EXC.RATE_1),CURRENCY.FORMAT_1),CURRENCY.FORMAT_1,1),"# ##0;-# ##0"),",-"),FIXED(ROUND((C2141*(1-I2141)*(1-ADD.DISCOUNT)*(1+MAT.SURCHARGE)/EXC.RATE_1),CURRENCY.FORMAT_1),CURRENCY.FORMAT_1,0)),'DICTIONARY-5'!$A$2)</f>
        <v>1 501,-</v>
      </c>
      <c r="M2141" s="670" t="str">
        <f>IF(EXC.RATE_2=0,"",IFERROR(IF(CURRENCY.FORMAT_2=0,CONCATENATE(TEXT(FIXED(ROUND(IF(EXC.RATE.SWITCH=1,C2141*(1-I2141)*(1-ADD.DISCOUNT)*(1+MAT.SURCHARGE)/EXC.RATE_2,C2141*(1-I2141)*(1-ADD.DISCOUNT)*(1+MAT.SURCHARGE)*EXC.RATE_2),CURRENCY.FORMAT_2),CURRENCY.FORMAT_2,1),"# ##0;-# ##0"),",-"),FIXED(ROUND(IF(EXC.RATE.SWITCH=1,C2141*(1-I2141)*(1-ADD.DISCOUNT)*(1+MAT.SURCHARGE)/EXC.RATE_2,C2141*(1-I2141)*(1-ADD.DISCOUNT)*(1+MAT.SURCHARGE)*EXC.RATE_2),CURRENCY.FORMAT_2),CURRENCY.FORMAT_2,0)),'DICTIONARY-5'!$A$2))</f>
        <v/>
      </c>
      <c r="N2141" s="538">
        <v>9</v>
      </c>
      <c r="O2141" s="538"/>
      <c r="P2141" s="731" t="str">
        <f>'DICTIONARY-3'!$A$118</f>
        <v>DURA</v>
      </c>
      <c r="Q2141" s="732" t="str">
        <f>'DICTIONARY-3'!$A$210</f>
        <v>Zawór regulacyjny</v>
      </c>
      <c r="R2141" s="732" t="str">
        <f>CONCATENATE('DICTIONARY-3'!$A$118," ",'DICTIONARY-6'!$A$17," ",'DICTIONARY-2'!$A$2,"80"," ",'DICTIONARY-2'!$A$3,"10/16"," ","SZ40",", ",'DICTIONARY-4'!$A$7)</f>
        <v>DURA  Zaw. regulacyjny DN80 PN10/16 SZ40, KR</v>
      </c>
      <c r="S2141" s="733" t="str">
        <f>'DICTIONARY-4'!$A$7</f>
        <v>KR</v>
      </c>
      <c r="T2141" s="732" t="str">
        <f>'DICTIONARY-4'!$A$23</f>
        <v>Kółko ręczne</v>
      </c>
      <c r="U2141" s="734" t="s">
        <v>5760</v>
      </c>
      <c r="V2141" s="735">
        <v>16</v>
      </c>
      <c r="W2141" s="736"/>
      <c r="X2141" s="737"/>
      <c r="Y2141" s="738"/>
      <c r="Z2141" s="739"/>
      <c r="AA2141" s="739"/>
      <c r="AB2141" s="740">
        <v>16</v>
      </c>
      <c r="AC2141" s="741" t="str">
        <f>'DICTIONARY-5'!$A$11&amp;" 1"</f>
        <v>EN 558 szereg 1</v>
      </c>
      <c r="AD2141" s="741" t="str">
        <f>'DICTIONARY-5'!$A$13</f>
        <v>woda pitna</v>
      </c>
      <c r="AE2141" s="742">
        <v>50</v>
      </c>
      <c r="AF2141" s="743">
        <v>30</v>
      </c>
      <c r="AG2141" s="741" t="str">
        <f>'DICTIONARY-5'!$A$23</f>
        <v>powłoka epoksydowa</v>
      </c>
    </row>
    <row r="2142" spans="1:33" x14ac:dyDescent="0.25">
      <c r="A2142" s="872" t="s">
        <v>1963</v>
      </c>
      <c r="B2142" s="876" t="s">
        <v>3558</v>
      </c>
      <c r="C2142" s="836">
        <v>1530</v>
      </c>
      <c r="D2142" s="836"/>
      <c r="E2142" s="836"/>
      <c r="F2142" s="836"/>
      <c r="G2142" s="496" t="s">
        <v>7840</v>
      </c>
      <c r="H2142" s="797" t="str">
        <f>VLOOKUP(G2142,SETTINGS!$B$7:$D$97,2,0)</f>
        <v>DURA</v>
      </c>
      <c r="I2142" s="796">
        <f>VLOOKUP(G2142,SETTINGS!$B$7:$D$97,3,0)</f>
        <v>0</v>
      </c>
      <c r="J2142" s="670" t="str">
        <f>IFERROR(IF(CURRENCY.FORMAT_1=0,CONCATENATE(TEXT(FIXED(ROUND((C2142/EXC.RATE_1),CURRENCY.FORMAT_1),CURRENCY.FORMAT_1,1),"# ##0;-# ##0"),",-"),FIXED(ROUND((C2142/EXC.RATE_1),CURRENCY.FORMAT_1),CURRENCY.FORMAT_1,0)),'DICTIONARY-5'!$A$2)</f>
        <v>1 530,-</v>
      </c>
      <c r="K2142" s="670" t="str">
        <f>IF(EXC.RATE_2=0,"",IFERROR(IF(CURRENCY.FORMAT_2=0,CONCATENATE(TEXT(FIXED(ROUND(IF(EXC.RATE.SWITCH=1,C2142/EXC.RATE_2,C2142*EXC.RATE_2),CURRENCY.FORMAT_2),CURRENCY.FORMAT_2,1),"# ##0;-# ##0"),",-"),FIXED(ROUND(IF(EXC.RATE.SWITCH=1,C2142/EXC.RATE_2,C2142*EXC.RATE_2),CURRENCY.FORMAT_2),CURRENCY.FORMAT_2,0)),'DICTIONARY-5'!$A$2))</f>
        <v/>
      </c>
      <c r="L2142" s="670" t="str">
        <f>IFERROR(IF(CURRENCY.FORMAT_1=0,CONCATENATE(TEXT(FIXED(ROUND((C2142*(1-I2142)*(1-ADD.DISCOUNT)*(1+MAT.SURCHARGE)/EXC.RATE_1),CURRENCY.FORMAT_1),CURRENCY.FORMAT_1,1),"# ##0;-# ##0"),",-"),FIXED(ROUND((C2142*(1-I2142)*(1-ADD.DISCOUNT)*(1+MAT.SURCHARGE)/EXC.RATE_1),CURRENCY.FORMAT_1),CURRENCY.FORMAT_1,0)),'DICTIONARY-5'!$A$2)</f>
        <v>1 590,-</v>
      </c>
      <c r="M2142" s="670" t="str">
        <f>IF(EXC.RATE_2=0,"",IFERROR(IF(CURRENCY.FORMAT_2=0,CONCATENATE(TEXT(FIXED(ROUND(IF(EXC.RATE.SWITCH=1,C2142*(1-I2142)*(1-ADD.DISCOUNT)*(1+MAT.SURCHARGE)/EXC.RATE_2,C2142*(1-I2142)*(1-ADD.DISCOUNT)*(1+MAT.SURCHARGE)*EXC.RATE_2),CURRENCY.FORMAT_2),CURRENCY.FORMAT_2,1),"# ##0;-# ##0"),",-"),FIXED(ROUND(IF(EXC.RATE.SWITCH=1,C2142*(1-I2142)*(1-ADD.DISCOUNT)*(1+MAT.SURCHARGE)/EXC.RATE_2,C2142*(1-I2142)*(1-ADD.DISCOUNT)*(1+MAT.SURCHARGE)*EXC.RATE_2),CURRENCY.FORMAT_2),CURRENCY.FORMAT_2,0)),'DICTIONARY-5'!$A$2))</f>
        <v/>
      </c>
      <c r="N2142" s="538">
        <v>9</v>
      </c>
      <c r="O2142" s="538"/>
      <c r="P2142" s="731" t="str">
        <f>'DICTIONARY-3'!$A$118</f>
        <v>DURA</v>
      </c>
      <c r="Q2142" s="732" t="str">
        <f>'DICTIONARY-3'!$A$210</f>
        <v>Zawór regulacyjny</v>
      </c>
      <c r="R2142" s="732" t="str">
        <f>CONCATENATE('DICTIONARY-3'!$A$118," ",'DICTIONARY-6'!$A$17," ",'DICTIONARY-2'!$A$2,"100"," ",'DICTIONARY-2'!$A$3,"10/16"," ","SZ40",", ",'DICTIONARY-4'!$A$7)</f>
        <v>DURA  Zaw. regulacyjny DN100 PN10/16 SZ40, KR</v>
      </c>
      <c r="S2142" s="733" t="str">
        <f>'DICTIONARY-4'!$A$7</f>
        <v>KR</v>
      </c>
      <c r="T2142" s="732" t="str">
        <f>'DICTIONARY-4'!$A$23</f>
        <v>Kółko ręczne</v>
      </c>
      <c r="U2142" s="734" t="s">
        <v>5749</v>
      </c>
      <c r="V2142" s="735">
        <v>16</v>
      </c>
      <c r="W2142" s="736"/>
      <c r="X2142" s="737"/>
      <c r="Y2142" s="738"/>
      <c r="Z2142" s="739"/>
      <c r="AA2142" s="739"/>
      <c r="AB2142" s="740">
        <v>16</v>
      </c>
      <c r="AC2142" s="741" t="str">
        <f>'DICTIONARY-5'!$A$11&amp;" 1"</f>
        <v>EN 558 szereg 1</v>
      </c>
      <c r="AD2142" s="741" t="str">
        <f>'DICTIONARY-5'!$A$13</f>
        <v>woda pitna</v>
      </c>
      <c r="AE2142" s="742">
        <v>50</v>
      </c>
      <c r="AF2142" s="743">
        <v>35</v>
      </c>
      <c r="AG2142" s="741" t="str">
        <f>'DICTIONARY-5'!$A$23</f>
        <v>powłoka epoksydowa</v>
      </c>
    </row>
    <row r="2143" spans="1:33" x14ac:dyDescent="0.25">
      <c r="A2143" s="872" t="s">
        <v>1965</v>
      </c>
      <c r="B2143" s="876" t="s">
        <v>3559</v>
      </c>
      <c r="C2143" s="836">
        <v>1650</v>
      </c>
      <c r="D2143" s="836"/>
      <c r="E2143" s="836"/>
      <c r="F2143" s="836"/>
      <c r="G2143" s="496" t="s">
        <v>7840</v>
      </c>
      <c r="H2143" s="797" t="str">
        <f>VLOOKUP(G2143,SETTINGS!$B$7:$D$97,2,0)</f>
        <v>DURA</v>
      </c>
      <c r="I2143" s="796">
        <f>VLOOKUP(G2143,SETTINGS!$B$7:$D$97,3,0)</f>
        <v>0</v>
      </c>
      <c r="J2143" s="670" t="str">
        <f>IFERROR(IF(CURRENCY.FORMAT_1=0,CONCATENATE(TEXT(FIXED(ROUND((C2143/EXC.RATE_1),CURRENCY.FORMAT_1),CURRENCY.FORMAT_1,1),"# ##0;-# ##0"),",-"),FIXED(ROUND((C2143/EXC.RATE_1),CURRENCY.FORMAT_1),CURRENCY.FORMAT_1,0)),'DICTIONARY-5'!$A$2)</f>
        <v>1 650,-</v>
      </c>
      <c r="K2143" s="670" t="str">
        <f>IF(EXC.RATE_2=0,"",IFERROR(IF(CURRENCY.FORMAT_2=0,CONCATENATE(TEXT(FIXED(ROUND(IF(EXC.RATE.SWITCH=1,C2143/EXC.RATE_2,C2143*EXC.RATE_2),CURRENCY.FORMAT_2),CURRENCY.FORMAT_2,1),"# ##0;-# ##0"),",-"),FIXED(ROUND(IF(EXC.RATE.SWITCH=1,C2143/EXC.RATE_2,C2143*EXC.RATE_2),CURRENCY.FORMAT_2),CURRENCY.FORMAT_2,0)),'DICTIONARY-5'!$A$2))</f>
        <v/>
      </c>
      <c r="L2143" s="670" t="str">
        <f>IFERROR(IF(CURRENCY.FORMAT_1=0,CONCATENATE(TEXT(FIXED(ROUND((C2143*(1-I2143)*(1-ADD.DISCOUNT)*(1+MAT.SURCHARGE)/EXC.RATE_1),CURRENCY.FORMAT_1),CURRENCY.FORMAT_1,1),"# ##0;-# ##0"),",-"),FIXED(ROUND((C2143*(1-I2143)*(1-ADD.DISCOUNT)*(1+MAT.SURCHARGE)/EXC.RATE_1),CURRENCY.FORMAT_1),CURRENCY.FORMAT_1,0)),'DICTIONARY-5'!$A$2)</f>
        <v>1 714,-</v>
      </c>
      <c r="M2143" s="670" t="str">
        <f>IF(EXC.RATE_2=0,"",IFERROR(IF(CURRENCY.FORMAT_2=0,CONCATENATE(TEXT(FIXED(ROUND(IF(EXC.RATE.SWITCH=1,C2143*(1-I2143)*(1-ADD.DISCOUNT)*(1+MAT.SURCHARGE)/EXC.RATE_2,C2143*(1-I2143)*(1-ADD.DISCOUNT)*(1+MAT.SURCHARGE)*EXC.RATE_2),CURRENCY.FORMAT_2),CURRENCY.FORMAT_2,1),"# ##0;-# ##0"),",-"),FIXED(ROUND(IF(EXC.RATE.SWITCH=1,C2143*(1-I2143)*(1-ADD.DISCOUNT)*(1+MAT.SURCHARGE)/EXC.RATE_2,C2143*(1-I2143)*(1-ADD.DISCOUNT)*(1+MAT.SURCHARGE)*EXC.RATE_2),CURRENCY.FORMAT_2),CURRENCY.FORMAT_2,0)),'DICTIONARY-5'!$A$2))</f>
        <v/>
      </c>
      <c r="N2143" s="538">
        <v>9</v>
      </c>
      <c r="O2143" s="538"/>
      <c r="P2143" s="731" t="str">
        <f>'DICTIONARY-3'!$A$118</f>
        <v>DURA</v>
      </c>
      <c r="Q2143" s="732" t="str">
        <f>'DICTIONARY-3'!$A$210</f>
        <v>Zawór regulacyjny</v>
      </c>
      <c r="R2143" s="732" t="str">
        <f>CONCATENATE('DICTIONARY-3'!$A$118," ",'DICTIONARY-6'!$A$17," ",'DICTIONARY-2'!$A$2,"125"," ",'DICTIONARY-2'!$A$3,"10/16"," ","SZ40",", ",'DICTIONARY-4'!$A$7)</f>
        <v>DURA  Zaw. regulacyjny DN125 PN10/16 SZ40, KR</v>
      </c>
      <c r="S2143" s="733" t="str">
        <f>'DICTIONARY-4'!$A$7</f>
        <v>KR</v>
      </c>
      <c r="T2143" s="732" t="str">
        <f>'DICTIONARY-4'!$A$23</f>
        <v>Kółko ręczne</v>
      </c>
      <c r="U2143" s="734" t="s">
        <v>5761</v>
      </c>
      <c r="V2143" s="735">
        <v>16</v>
      </c>
      <c r="W2143" s="736"/>
      <c r="X2143" s="737"/>
      <c r="Y2143" s="738"/>
      <c r="Z2143" s="739"/>
      <c r="AA2143" s="739"/>
      <c r="AB2143" s="740">
        <v>16</v>
      </c>
      <c r="AC2143" s="741" t="str">
        <f>'DICTIONARY-5'!$A$11&amp;" 1"</f>
        <v>EN 558 szereg 1</v>
      </c>
      <c r="AD2143" s="741" t="str">
        <f>'DICTIONARY-5'!$A$13</f>
        <v>woda pitna</v>
      </c>
      <c r="AE2143" s="742">
        <v>50</v>
      </c>
      <c r="AF2143" s="743">
        <v>39</v>
      </c>
      <c r="AG2143" s="741" t="str">
        <f>'DICTIONARY-5'!$A$23</f>
        <v>powłoka epoksydowa</v>
      </c>
    </row>
    <row r="2144" spans="1:33" x14ac:dyDescent="0.25">
      <c r="A2144" s="872" t="s">
        <v>1967</v>
      </c>
      <c r="B2144" s="876" t="s">
        <v>3560</v>
      </c>
      <c r="C2144" s="836">
        <v>2573</v>
      </c>
      <c r="D2144" s="836"/>
      <c r="E2144" s="836"/>
      <c r="F2144" s="836"/>
      <c r="G2144" s="496" t="s">
        <v>7840</v>
      </c>
      <c r="H2144" s="797" t="str">
        <f>VLOOKUP(G2144,SETTINGS!$B$7:$D$97,2,0)</f>
        <v>DURA</v>
      </c>
      <c r="I2144" s="796">
        <f>VLOOKUP(G2144,SETTINGS!$B$7:$D$97,3,0)</f>
        <v>0</v>
      </c>
      <c r="J2144" s="670" t="str">
        <f>IFERROR(IF(CURRENCY.FORMAT_1=0,CONCATENATE(TEXT(FIXED(ROUND((C2144/EXC.RATE_1),CURRENCY.FORMAT_1),CURRENCY.FORMAT_1,1),"# ##0;-# ##0"),",-"),FIXED(ROUND((C2144/EXC.RATE_1),CURRENCY.FORMAT_1),CURRENCY.FORMAT_1,0)),'DICTIONARY-5'!$A$2)</f>
        <v>2 573,-</v>
      </c>
      <c r="K2144" s="670" t="str">
        <f>IF(EXC.RATE_2=0,"",IFERROR(IF(CURRENCY.FORMAT_2=0,CONCATENATE(TEXT(FIXED(ROUND(IF(EXC.RATE.SWITCH=1,C2144/EXC.RATE_2,C2144*EXC.RATE_2),CURRENCY.FORMAT_2),CURRENCY.FORMAT_2,1),"# ##0;-# ##0"),",-"),FIXED(ROUND(IF(EXC.RATE.SWITCH=1,C2144/EXC.RATE_2,C2144*EXC.RATE_2),CURRENCY.FORMAT_2),CURRENCY.FORMAT_2,0)),'DICTIONARY-5'!$A$2))</f>
        <v/>
      </c>
      <c r="L2144" s="670" t="str">
        <f>IFERROR(IF(CURRENCY.FORMAT_1=0,CONCATENATE(TEXT(FIXED(ROUND((C2144*(1-I2144)*(1-ADD.DISCOUNT)*(1+MAT.SURCHARGE)/EXC.RATE_1),CURRENCY.FORMAT_1),CURRENCY.FORMAT_1,1),"# ##0;-# ##0"),",-"),FIXED(ROUND((C2144*(1-I2144)*(1-ADD.DISCOUNT)*(1+MAT.SURCHARGE)/EXC.RATE_1),CURRENCY.FORMAT_1),CURRENCY.FORMAT_1,0)),'DICTIONARY-5'!$A$2)</f>
        <v>2 673,-</v>
      </c>
      <c r="M2144" s="670" t="str">
        <f>IF(EXC.RATE_2=0,"",IFERROR(IF(CURRENCY.FORMAT_2=0,CONCATENATE(TEXT(FIXED(ROUND(IF(EXC.RATE.SWITCH=1,C2144*(1-I2144)*(1-ADD.DISCOUNT)*(1+MAT.SURCHARGE)/EXC.RATE_2,C2144*(1-I2144)*(1-ADD.DISCOUNT)*(1+MAT.SURCHARGE)*EXC.RATE_2),CURRENCY.FORMAT_2),CURRENCY.FORMAT_2,1),"# ##0;-# ##0"),",-"),FIXED(ROUND(IF(EXC.RATE.SWITCH=1,C2144*(1-I2144)*(1-ADD.DISCOUNT)*(1+MAT.SURCHARGE)/EXC.RATE_2,C2144*(1-I2144)*(1-ADD.DISCOUNT)*(1+MAT.SURCHARGE)*EXC.RATE_2),CURRENCY.FORMAT_2),CURRENCY.FORMAT_2,0)),'DICTIONARY-5'!$A$2))</f>
        <v/>
      </c>
      <c r="N2144" s="538">
        <v>9</v>
      </c>
      <c r="O2144" s="538"/>
      <c r="P2144" s="731" t="str">
        <f>'DICTIONARY-3'!$A$118</f>
        <v>DURA</v>
      </c>
      <c r="Q2144" s="732" t="str">
        <f>'DICTIONARY-3'!$A$210</f>
        <v>Zawór regulacyjny</v>
      </c>
      <c r="R2144" s="732" t="str">
        <f>CONCATENATE('DICTIONARY-3'!$A$118," ",'DICTIONARY-6'!$A$17," ",'DICTIONARY-2'!$A$2,"150"," ",'DICTIONARY-2'!$A$3,"10/16"," ","SZ40",", ",'DICTIONARY-4'!$A$7)</f>
        <v>DURA  Zaw. regulacyjny DN150 PN10/16 SZ40, KR</v>
      </c>
      <c r="S2144" s="733" t="str">
        <f>'DICTIONARY-4'!$A$7</f>
        <v>KR</v>
      </c>
      <c r="T2144" s="732" t="str">
        <f>'DICTIONARY-4'!$A$23</f>
        <v>Kółko ręczne</v>
      </c>
      <c r="U2144" s="734" t="s">
        <v>5572</v>
      </c>
      <c r="V2144" s="735">
        <v>16</v>
      </c>
      <c r="W2144" s="736"/>
      <c r="X2144" s="737"/>
      <c r="Y2144" s="738"/>
      <c r="Z2144" s="739"/>
      <c r="AA2144" s="739"/>
      <c r="AB2144" s="740">
        <v>16</v>
      </c>
      <c r="AC2144" s="741" t="str">
        <f>'DICTIONARY-5'!$A$11&amp;" 1"</f>
        <v>EN 558 szereg 1</v>
      </c>
      <c r="AD2144" s="741" t="str">
        <f>'DICTIONARY-5'!$A$13</f>
        <v>woda pitna</v>
      </c>
      <c r="AE2144" s="742">
        <v>50</v>
      </c>
      <c r="AF2144" s="743">
        <v>69</v>
      </c>
      <c r="AG2144" s="741" t="str">
        <f>'DICTIONARY-5'!$A$23</f>
        <v>powłoka epoksydowa</v>
      </c>
    </row>
    <row r="2145" spans="1:33" x14ac:dyDescent="0.25">
      <c r="A2145" s="872" t="s">
        <v>1969</v>
      </c>
      <c r="B2145" s="876" t="s">
        <v>3561</v>
      </c>
      <c r="C2145" s="836">
        <v>4231</v>
      </c>
      <c r="D2145" s="836"/>
      <c r="E2145" s="836"/>
      <c r="F2145" s="836"/>
      <c r="G2145" s="496" t="s">
        <v>7840</v>
      </c>
      <c r="H2145" s="797" t="str">
        <f>VLOOKUP(G2145,SETTINGS!$B$7:$D$97,2,0)</f>
        <v>DURA</v>
      </c>
      <c r="I2145" s="796">
        <f>VLOOKUP(G2145,SETTINGS!$B$7:$D$97,3,0)</f>
        <v>0</v>
      </c>
      <c r="J2145" s="670" t="str">
        <f>IFERROR(IF(CURRENCY.FORMAT_1=0,CONCATENATE(TEXT(FIXED(ROUND((C2145/EXC.RATE_1),CURRENCY.FORMAT_1),CURRENCY.FORMAT_1,1),"# ##0;-# ##0"),",-"),FIXED(ROUND((C2145/EXC.RATE_1),CURRENCY.FORMAT_1),CURRENCY.FORMAT_1,0)),'DICTIONARY-5'!$A$2)</f>
        <v>4 231,-</v>
      </c>
      <c r="K2145" s="670" t="str">
        <f>IF(EXC.RATE_2=0,"",IFERROR(IF(CURRENCY.FORMAT_2=0,CONCATENATE(TEXT(FIXED(ROUND(IF(EXC.RATE.SWITCH=1,C2145/EXC.RATE_2,C2145*EXC.RATE_2),CURRENCY.FORMAT_2),CURRENCY.FORMAT_2,1),"# ##0;-# ##0"),",-"),FIXED(ROUND(IF(EXC.RATE.SWITCH=1,C2145/EXC.RATE_2,C2145*EXC.RATE_2),CURRENCY.FORMAT_2),CURRENCY.FORMAT_2,0)),'DICTIONARY-5'!$A$2))</f>
        <v/>
      </c>
      <c r="L2145" s="670" t="str">
        <f>IFERROR(IF(CURRENCY.FORMAT_1=0,CONCATENATE(TEXT(FIXED(ROUND((C2145*(1-I2145)*(1-ADD.DISCOUNT)*(1+MAT.SURCHARGE)/EXC.RATE_1),CURRENCY.FORMAT_1),CURRENCY.FORMAT_1,1),"# ##0;-# ##0"),",-"),FIXED(ROUND((C2145*(1-I2145)*(1-ADD.DISCOUNT)*(1+MAT.SURCHARGE)/EXC.RATE_1),CURRENCY.FORMAT_1),CURRENCY.FORMAT_1,0)),'DICTIONARY-5'!$A$2)</f>
        <v>4 396,-</v>
      </c>
      <c r="M2145" s="670" t="str">
        <f>IF(EXC.RATE_2=0,"",IFERROR(IF(CURRENCY.FORMAT_2=0,CONCATENATE(TEXT(FIXED(ROUND(IF(EXC.RATE.SWITCH=1,C2145*(1-I2145)*(1-ADD.DISCOUNT)*(1+MAT.SURCHARGE)/EXC.RATE_2,C2145*(1-I2145)*(1-ADD.DISCOUNT)*(1+MAT.SURCHARGE)*EXC.RATE_2),CURRENCY.FORMAT_2),CURRENCY.FORMAT_2,1),"# ##0;-# ##0"),",-"),FIXED(ROUND(IF(EXC.RATE.SWITCH=1,C2145*(1-I2145)*(1-ADD.DISCOUNT)*(1+MAT.SURCHARGE)/EXC.RATE_2,C2145*(1-I2145)*(1-ADD.DISCOUNT)*(1+MAT.SURCHARGE)*EXC.RATE_2),CURRENCY.FORMAT_2),CURRENCY.FORMAT_2,0)),'DICTIONARY-5'!$A$2))</f>
        <v/>
      </c>
      <c r="N2145" s="538">
        <v>9</v>
      </c>
      <c r="O2145" s="538"/>
      <c r="P2145" s="731" t="str">
        <f>'DICTIONARY-3'!$A$118</f>
        <v>DURA</v>
      </c>
      <c r="Q2145" s="732" t="str">
        <f>'DICTIONARY-3'!$A$210</f>
        <v>Zawór regulacyjny</v>
      </c>
      <c r="R2145" s="732" t="str">
        <f>CONCATENATE('DICTIONARY-3'!$A$118," ",'DICTIONARY-6'!$A$17," ",'DICTIONARY-2'!$A$2,"200"," ",'DICTIONARY-2'!$A$3,"16"," ","SZ40",", ",'DICTIONARY-4'!$A$7)</f>
        <v>DURA  Zaw. regulacyjny DN200 PN16 SZ40, KR</v>
      </c>
      <c r="S2145" s="733" t="str">
        <f>'DICTIONARY-4'!$A$7</f>
        <v>KR</v>
      </c>
      <c r="T2145" s="732" t="str">
        <f>'DICTIONARY-4'!$A$23</f>
        <v>Kółko ręczne</v>
      </c>
      <c r="U2145" s="734" t="s">
        <v>5750</v>
      </c>
      <c r="V2145" s="735">
        <v>16</v>
      </c>
      <c r="W2145" s="736"/>
      <c r="X2145" s="737"/>
      <c r="Y2145" s="738"/>
      <c r="Z2145" s="739"/>
      <c r="AA2145" s="739"/>
      <c r="AB2145" s="740">
        <v>16</v>
      </c>
      <c r="AC2145" s="741" t="str">
        <f>'DICTIONARY-5'!$A$11&amp;" 1"</f>
        <v>EN 558 szereg 1</v>
      </c>
      <c r="AD2145" s="741" t="str">
        <f>'DICTIONARY-5'!$A$13</f>
        <v>woda pitna</v>
      </c>
      <c r="AE2145" s="742">
        <v>50</v>
      </c>
      <c r="AF2145" s="743">
        <v>125.65</v>
      </c>
      <c r="AG2145" s="741" t="str">
        <f>'DICTIONARY-5'!$A$23</f>
        <v>powłoka epoksydowa</v>
      </c>
    </row>
    <row r="2146" spans="1:33" x14ac:dyDescent="0.25">
      <c r="A2146" s="872" t="s">
        <v>1958</v>
      </c>
      <c r="B2146" s="876" t="s">
        <v>3562</v>
      </c>
      <c r="C2146" s="836">
        <v>1479</v>
      </c>
      <c r="D2146" s="836"/>
      <c r="E2146" s="836"/>
      <c r="F2146" s="836"/>
      <c r="G2146" s="496" t="s">
        <v>7840</v>
      </c>
      <c r="H2146" s="797" t="str">
        <f>VLOOKUP(G2146,SETTINGS!$B$7:$D$97,2,0)</f>
        <v>DURA</v>
      </c>
      <c r="I2146" s="796">
        <f>VLOOKUP(G2146,SETTINGS!$B$7:$D$97,3,0)</f>
        <v>0</v>
      </c>
      <c r="J2146" s="670" t="str">
        <f>IFERROR(IF(CURRENCY.FORMAT_1=0,CONCATENATE(TEXT(FIXED(ROUND((C2146/EXC.RATE_1),CURRENCY.FORMAT_1),CURRENCY.FORMAT_1,1),"# ##0;-# ##0"),",-"),FIXED(ROUND((C2146/EXC.RATE_1),CURRENCY.FORMAT_1),CURRENCY.FORMAT_1,0)),'DICTIONARY-5'!$A$2)</f>
        <v>1 479,-</v>
      </c>
      <c r="K2146" s="670" t="str">
        <f>IF(EXC.RATE_2=0,"",IFERROR(IF(CURRENCY.FORMAT_2=0,CONCATENATE(TEXT(FIXED(ROUND(IF(EXC.RATE.SWITCH=1,C2146/EXC.RATE_2,C2146*EXC.RATE_2),CURRENCY.FORMAT_2),CURRENCY.FORMAT_2,1),"# ##0;-# ##0"),",-"),FIXED(ROUND(IF(EXC.RATE.SWITCH=1,C2146/EXC.RATE_2,C2146*EXC.RATE_2),CURRENCY.FORMAT_2),CURRENCY.FORMAT_2,0)),'DICTIONARY-5'!$A$2))</f>
        <v/>
      </c>
      <c r="L2146" s="670" t="str">
        <f>IFERROR(IF(CURRENCY.FORMAT_1=0,CONCATENATE(TEXT(FIXED(ROUND((C2146*(1-I2146)*(1-ADD.DISCOUNT)*(1+MAT.SURCHARGE)/EXC.RATE_1),CURRENCY.FORMAT_1),CURRENCY.FORMAT_1,1),"# ##0;-# ##0"),",-"),FIXED(ROUND((C2146*(1-I2146)*(1-ADD.DISCOUNT)*(1+MAT.SURCHARGE)/EXC.RATE_1),CURRENCY.FORMAT_1),CURRENCY.FORMAT_1,0)),'DICTIONARY-5'!$A$2)</f>
        <v>1 537,-</v>
      </c>
      <c r="M2146" s="670" t="str">
        <f>IF(EXC.RATE_2=0,"",IFERROR(IF(CURRENCY.FORMAT_2=0,CONCATENATE(TEXT(FIXED(ROUND(IF(EXC.RATE.SWITCH=1,C2146*(1-I2146)*(1-ADD.DISCOUNT)*(1+MAT.SURCHARGE)/EXC.RATE_2,C2146*(1-I2146)*(1-ADD.DISCOUNT)*(1+MAT.SURCHARGE)*EXC.RATE_2),CURRENCY.FORMAT_2),CURRENCY.FORMAT_2,1),"# ##0;-# ##0"),",-"),FIXED(ROUND(IF(EXC.RATE.SWITCH=1,C2146*(1-I2146)*(1-ADD.DISCOUNT)*(1+MAT.SURCHARGE)/EXC.RATE_2,C2146*(1-I2146)*(1-ADD.DISCOUNT)*(1+MAT.SURCHARGE)*EXC.RATE_2),CURRENCY.FORMAT_2),CURRENCY.FORMAT_2,0)),'DICTIONARY-5'!$A$2))</f>
        <v/>
      </c>
      <c r="N2146" s="538">
        <v>9</v>
      </c>
      <c r="O2146" s="538"/>
      <c r="P2146" s="731" t="str">
        <f>'DICTIONARY-3'!$A$118</f>
        <v>DURA</v>
      </c>
      <c r="Q2146" s="732" t="str">
        <f>'DICTIONARY-3'!$A$210</f>
        <v>Zawór regulacyjny</v>
      </c>
      <c r="R2146" s="732" t="str">
        <f>CONCATENATE('DICTIONARY-3'!$A$118," ",'DICTIONARY-6'!$A$17," ",'DICTIONARY-2'!$A$2,"50"," ",'DICTIONARY-2'!$A$3,"10/16"," ","SZ40",", ",'DICTIONARY-4'!$A$11)</f>
        <v>DURA  Zaw. regulacyjny DN50 PN10/16 SZ40, PNE</v>
      </c>
      <c r="S2146" s="733" t="str">
        <f>'DICTIONARY-4'!$A$11</f>
        <v>PNE</v>
      </c>
      <c r="T2146" s="732" t="str">
        <f>'DICTIONARY-4'!$A$27</f>
        <v>Przygotowane pod napęd elektryczny</v>
      </c>
      <c r="U2146" s="734" t="s">
        <v>5748</v>
      </c>
      <c r="V2146" s="735">
        <v>16</v>
      </c>
      <c r="W2146" s="736"/>
      <c r="X2146" s="737"/>
      <c r="Y2146" s="738"/>
      <c r="Z2146" s="739"/>
      <c r="AA2146" s="739"/>
      <c r="AB2146" s="740">
        <v>16</v>
      </c>
      <c r="AC2146" s="741" t="str">
        <f>'DICTIONARY-5'!$A$11&amp;" 1"</f>
        <v>EN 558 szereg 1</v>
      </c>
      <c r="AD2146" s="741" t="str">
        <f>'DICTIONARY-5'!$A$13</f>
        <v>woda pitna</v>
      </c>
      <c r="AE2146" s="742">
        <v>50</v>
      </c>
      <c r="AF2146" s="743">
        <v>19</v>
      </c>
      <c r="AG2146" s="741" t="str">
        <f>'DICTIONARY-5'!$A$23</f>
        <v>powłoka epoksydowa</v>
      </c>
    </row>
    <row r="2147" spans="1:33" x14ac:dyDescent="0.25">
      <c r="A2147" s="872" t="s">
        <v>1960</v>
      </c>
      <c r="B2147" s="876" t="s">
        <v>3563</v>
      </c>
      <c r="C2147" s="836">
        <v>1640</v>
      </c>
      <c r="D2147" s="836"/>
      <c r="E2147" s="836"/>
      <c r="F2147" s="836"/>
      <c r="G2147" s="496" t="s">
        <v>7840</v>
      </c>
      <c r="H2147" s="797" t="str">
        <f>VLOOKUP(G2147,SETTINGS!$B$7:$D$97,2,0)</f>
        <v>DURA</v>
      </c>
      <c r="I2147" s="796">
        <f>VLOOKUP(G2147,SETTINGS!$B$7:$D$97,3,0)</f>
        <v>0</v>
      </c>
      <c r="J2147" s="670" t="str">
        <f>IFERROR(IF(CURRENCY.FORMAT_1=0,CONCATENATE(TEXT(FIXED(ROUND((C2147/EXC.RATE_1),CURRENCY.FORMAT_1),CURRENCY.FORMAT_1,1),"# ##0;-# ##0"),",-"),FIXED(ROUND((C2147/EXC.RATE_1),CURRENCY.FORMAT_1),CURRENCY.FORMAT_1,0)),'DICTIONARY-5'!$A$2)</f>
        <v>1 640,-</v>
      </c>
      <c r="K2147" s="670" t="str">
        <f>IF(EXC.RATE_2=0,"",IFERROR(IF(CURRENCY.FORMAT_2=0,CONCATENATE(TEXT(FIXED(ROUND(IF(EXC.RATE.SWITCH=1,C2147/EXC.RATE_2,C2147*EXC.RATE_2),CURRENCY.FORMAT_2),CURRENCY.FORMAT_2,1),"# ##0;-# ##0"),",-"),FIXED(ROUND(IF(EXC.RATE.SWITCH=1,C2147/EXC.RATE_2,C2147*EXC.RATE_2),CURRENCY.FORMAT_2),CURRENCY.FORMAT_2,0)),'DICTIONARY-5'!$A$2))</f>
        <v/>
      </c>
      <c r="L2147" s="670" t="str">
        <f>IFERROR(IF(CURRENCY.FORMAT_1=0,CONCATENATE(TEXT(FIXED(ROUND((C2147*(1-I2147)*(1-ADD.DISCOUNT)*(1+MAT.SURCHARGE)/EXC.RATE_1),CURRENCY.FORMAT_1),CURRENCY.FORMAT_1,1),"# ##0;-# ##0"),",-"),FIXED(ROUND((C2147*(1-I2147)*(1-ADD.DISCOUNT)*(1+MAT.SURCHARGE)/EXC.RATE_1),CURRENCY.FORMAT_1),CURRENCY.FORMAT_1,0)),'DICTIONARY-5'!$A$2)</f>
        <v>1 704,-</v>
      </c>
      <c r="M2147" s="670" t="str">
        <f>IF(EXC.RATE_2=0,"",IFERROR(IF(CURRENCY.FORMAT_2=0,CONCATENATE(TEXT(FIXED(ROUND(IF(EXC.RATE.SWITCH=1,C2147*(1-I2147)*(1-ADD.DISCOUNT)*(1+MAT.SURCHARGE)/EXC.RATE_2,C2147*(1-I2147)*(1-ADD.DISCOUNT)*(1+MAT.SURCHARGE)*EXC.RATE_2),CURRENCY.FORMAT_2),CURRENCY.FORMAT_2,1),"# ##0;-# ##0"),",-"),FIXED(ROUND(IF(EXC.RATE.SWITCH=1,C2147*(1-I2147)*(1-ADD.DISCOUNT)*(1+MAT.SURCHARGE)/EXC.RATE_2,C2147*(1-I2147)*(1-ADD.DISCOUNT)*(1+MAT.SURCHARGE)*EXC.RATE_2),CURRENCY.FORMAT_2),CURRENCY.FORMAT_2,0)),'DICTIONARY-5'!$A$2))</f>
        <v/>
      </c>
      <c r="N2147" s="538">
        <v>9</v>
      </c>
      <c r="O2147" s="538"/>
      <c r="P2147" s="731" t="str">
        <f>'DICTIONARY-3'!$A$118</f>
        <v>DURA</v>
      </c>
      <c r="Q2147" s="732" t="str">
        <f>'DICTIONARY-3'!$A$210</f>
        <v>Zawór regulacyjny</v>
      </c>
      <c r="R2147" s="732" t="str">
        <f>CONCATENATE('DICTIONARY-3'!$A$118," ",'DICTIONARY-6'!$A$17," ",'DICTIONARY-2'!$A$2,"65"," ",'DICTIONARY-2'!$A$3,"10/16"," ","SZ40",", ",'DICTIONARY-4'!$A$11)</f>
        <v>DURA  Zaw. regulacyjny DN65 PN10/16 SZ40, PNE</v>
      </c>
      <c r="S2147" s="733" t="str">
        <f>'DICTIONARY-4'!$A$11</f>
        <v>PNE</v>
      </c>
      <c r="T2147" s="732" t="str">
        <f>'DICTIONARY-4'!$A$27</f>
        <v>Przygotowane pod napęd elektryczny</v>
      </c>
      <c r="U2147" s="734" t="s">
        <v>5759</v>
      </c>
      <c r="V2147" s="735">
        <v>16</v>
      </c>
      <c r="W2147" s="736"/>
      <c r="X2147" s="737"/>
      <c r="Y2147" s="738"/>
      <c r="Z2147" s="739"/>
      <c r="AA2147" s="739"/>
      <c r="AB2147" s="740">
        <v>16</v>
      </c>
      <c r="AC2147" s="741" t="str">
        <f>'DICTIONARY-5'!$A$11&amp;" 1"</f>
        <v>EN 558 szereg 1</v>
      </c>
      <c r="AD2147" s="741" t="str">
        <f>'DICTIONARY-5'!$A$13</f>
        <v>woda pitna</v>
      </c>
      <c r="AE2147" s="742">
        <v>50</v>
      </c>
      <c r="AF2147" s="743">
        <v>27</v>
      </c>
      <c r="AG2147" s="741" t="str">
        <f>'DICTIONARY-5'!$A$23</f>
        <v>powłoka epoksydowa</v>
      </c>
    </row>
    <row r="2148" spans="1:33" x14ac:dyDescent="0.25">
      <c r="A2148" s="872" t="s">
        <v>1962</v>
      </c>
      <c r="B2148" s="876" t="s">
        <v>3564</v>
      </c>
      <c r="C2148" s="836">
        <v>1654</v>
      </c>
      <c r="D2148" s="836"/>
      <c r="E2148" s="836"/>
      <c r="F2148" s="836"/>
      <c r="G2148" s="496" t="s">
        <v>7840</v>
      </c>
      <c r="H2148" s="797" t="str">
        <f>VLOOKUP(G2148,SETTINGS!$B$7:$D$97,2,0)</f>
        <v>DURA</v>
      </c>
      <c r="I2148" s="796">
        <f>VLOOKUP(G2148,SETTINGS!$B$7:$D$97,3,0)</f>
        <v>0</v>
      </c>
      <c r="J2148" s="670" t="str">
        <f>IFERROR(IF(CURRENCY.FORMAT_1=0,CONCATENATE(TEXT(FIXED(ROUND((C2148/EXC.RATE_1),CURRENCY.FORMAT_1),CURRENCY.FORMAT_1,1),"# ##0;-# ##0"),",-"),FIXED(ROUND((C2148/EXC.RATE_1),CURRENCY.FORMAT_1),CURRENCY.FORMAT_1,0)),'DICTIONARY-5'!$A$2)</f>
        <v>1 654,-</v>
      </c>
      <c r="K2148" s="670" t="str">
        <f>IF(EXC.RATE_2=0,"",IFERROR(IF(CURRENCY.FORMAT_2=0,CONCATENATE(TEXT(FIXED(ROUND(IF(EXC.RATE.SWITCH=1,C2148/EXC.RATE_2,C2148*EXC.RATE_2),CURRENCY.FORMAT_2),CURRENCY.FORMAT_2,1),"# ##0;-# ##0"),",-"),FIXED(ROUND(IF(EXC.RATE.SWITCH=1,C2148/EXC.RATE_2,C2148*EXC.RATE_2),CURRENCY.FORMAT_2),CURRENCY.FORMAT_2,0)),'DICTIONARY-5'!$A$2))</f>
        <v/>
      </c>
      <c r="L2148" s="670" t="str">
        <f>IFERROR(IF(CURRENCY.FORMAT_1=0,CONCATENATE(TEXT(FIXED(ROUND((C2148*(1-I2148)*(1-ADD.DISCOUNT)*(1+MAT.SURCHARGE)/EXC.RATE_1),CURRENCY.FORMAT_1),CURRENCY.FORMAT_1,1),"# ##0;-# ##0"),",-"),FIXED(ROUND((C2148*(1-I2148)*(1-ADD.DISCOUNT)*(1+MAT.SURCHARGE)/EXC.RATE_1),CURRENCY.FORMAT_1),CURRENCY.FORMAT_1,0)),'DICTIONARY-5'!$A$2)</f>
        <v>1 719,-</v>
      </c>
      <c r="M2148" s="670" t="str">
        <f>IF(EXC.RATE_2=0,"",IFERROR(IF(CURRENCY.FORMAT_2=0,CONCATENATE(TEXT(FIXED(ROUND(IF(EXC.RATE.SWITCH=1,C2148*(1-I2148)*(1-ADD.DISCOUNT)*(1+MAT.SURCHARGE)/EXC.RATE_2,C2148*(1-I2148)*(1-ADD.DISCOUNT)*(1+MAT.SURCHARGE)*EXC.RATE_2),CURRENCY.FORMAT_2),CURRENCY.FORMAT_2,1),"# ##0;-# ##0"),",-"),FIXED(ROUND(IF(EXC.RATE.SWITCH=1,C2148*(1-I2148)*(1-ADD.DISCOUNT)*(1+MAT.SURCHARGE)/EXC.RATE_2,C2148*(1-I2148)*(1-ADD.DISCOUNT)*(1+MAT.SURCHARGE)*EXC.RATE_2),CURRENCY.FORMAT_2),CURRENCY.FORMAT_2,0)),'DICTIONARY-5'!$A$2))</f>
        <v/>
      </c>
      <c r="N2148" s="538">
        <v>9</v>
      </c>
      <c r="O2148" s="538"/>
      <c r="P2148" s="731" t="str">
        <f>'DICTIONARY-3'!$A$118</f>
        <v>DURA</v>
      </c>
      <c r="Q2148" s="732" t="str">
        <f>'DICTIONARY-3'!$A$210</f>
        <v>Zawór regulacyjny</v>
      </c>
      <c r="R2148" s="732" t="str">
        <f>CONCATENATE('DICTIONARY-3'!$A$118," ",'DICTIONARY-6'!$A$17," ",'DICTIONARY-2'!$A$2,"80"," ",'DICTIONARY-2'!$A$3,"10/16"," ","SZ40",", ",'DICTIONARY-4'!$A$11)</f>
        <v>DURA  Zaw. regulacyjny DN80 PN10/16 SZ40, PNE</v>
      </c>
      <c r="S2148" s="733" t="str">
        <f>'DICTIONARY-4'!$A$11</f>
        <v>PNE</v>
      </c>
      <c r="T2148" s="732" t="str">
        <f>'DICTIONARY-4'!$A$27</f>
        <v>Przygotowane pod napęd elektryczny</v>
      </c>
      <c r="U2148" s="734" t="s">
        <v>5760</v>
      </c>
      <c r="V2148" s="735">
        <v>16</v>
      </c>
      <c r="W2148" s="736"/>
      <c r="X2148" s="737"/>
      <c r="Y2148" s="738"/>
      <c r="Z2148" s="739"/>
      <c r="AA2148" s="739"/>
      <c r="AB2148" s="740">
        <v>16</v>
      </c>
      <c r="AC2148" s="741" t="str">
        <f>'DICTIONARY-5'!$A$11&amp;" 1"</f>
        <v>EN 558 szereg 1</v>
      </c>
      <c r="AD2148" s="741" t="str">
        <f>'DICTIONARY-5'!$A$13</f>
        <v>woda pitna</v>
      </c>
      <c r="AE2148" s="742">
        <v>50</v>
      </c>
      <c r="AF2148" s="743">
        <v>30</v>
      </c>
      <c r="AG2148" s="741" t="str">
        <f>'DICTIONARY-5'!$A$23</f>
        <v>powłoka epoksydowa</v>
      </c>
    </row>
    <row r="2149" spans="1:33" x14ac:dyDescent="0.25">
      <c r="A2149" s="872" t="s">
        <v>1964</v>
      </c>
      <c r="B2149" s="876" t="s">
        <v>3565</v>
      </c>
      <c r="C2149" s="836">
        <v>1739</v>
      </c>
      <c r="D2149" s="836"/>
      <c r="E2149" s="836"/>
      <c r="F2149" s="836"/>
      <c r="G2149" s="496" t="s">
        <v>7840</v>
      </c>
      <c r="H2149" s="797" t="str">
        <f>VLOOKUP(G2149,SETTINGS!$B$7:$D$97,2,0)</f>
        <v>DURA</v>
      </c>
      <c r="I2149" s="796">
        <f>VLOOKUP(G2149,SETTINGS!$B$7:$D$97,3,0)</f>
        <v>0</v>
      </c>
      <c r="J2149" s="670" t="str">
        <f>IFERROR(IF(CURRENCY.FORMAT_1=0,CONCATENATE(TEXT(FIXED(ROUND((C2149/EXC.RATE_1),CURRENCY.FORMAT_1),CURRENCY.FORMAT_1,1),"# ##0;-# ##0"),",-"),FIXED(ROUND((C2149/EXC.RATE_1),CURRENCY.FORMAT_1),CURRENCY.FORMAT_1,0)),'DICTIONARY-5'!$A$2)</f>
        <v>1 739,-</v>
      </c>
      <c r="K2149" s="670" t="str">
        <f>IF(EXC.RATE_2=0,"",IFERROR(IF(CURRENCY.FORMAT_2=0,CONCATENATE(TEXT(FIXED(ROUND(IF(EXC.RATE.SWITCH=1,C2149/EXC.RATE_2,C2149*EXC.RATE_2),CURRENCY.FORMAT_2),CURRENCY.FORMAT_2,1),"# ##0;-# ##0"),",-"),FIXED(ROUND(IF(EXC.RATE.SWITCH=1,C2149/EXC.RATE_2,C2149*EXC.RATE_2),CURRENCY.FORMAT_2),CURRENCY.FORMAT_2,0)),'DICTIONARY-5'!$A$2))</f>
        <v/>
      </c>
      <c r="L2149" s="670" t="str">
        <f>IFERROR(IF(CURRENCY.FORMAT_1=0,CONCATENATE(TEXT(FIXED(ROUND((C2149*(1-I2149)*(1-ADD.DISCOUNT)*(1+MAT.SURCHARGE)/EXC.RATE_1),CURRENCY.FORMAT_1),CURRENCY.FORMAT_1,1),"# ##0;-# ##0"),",-"),FIXED(ROUND((C2149*(1-I2149)*(1-ADD.DISCOUNT)*(1+MAT.SURCHARGE)/EXC.RATE_1),CURRENCY.FORMAT_1),CURRENCY.FORMAT_1,0)),'DICTIONARY-5'!$A$2)</f>
        <v>1 807,-</v>
      </c>
      <c r="M2149" s="670" t="str">
        <f>IF(EXC.RATE_2=0,"",IFERROR(IF(CURRENCY.FORMAT_2=0,CONCATENATE(TEXT(FIXED(ROUND(IF(EXC.RATE.SWITCH=1,C2149*(1-I2149)*(1-ADD.DISCOUNT)*(1+MAT.SURCHARGE)/EXC.RATE_2,C2149*(1-I2149)*(1-ADD.DISCOUNT)*(1+MAT.SURCHARGE)*EXC.RATE_2),CURRENCY.FORMAT_2),CURRENCY.FORMAT_2,1),"# ##0;-# ##0"),",-"),FIXED(ROUND(IF(EXC.RATE.SWITCH=1,C2149*(1-I2149)*(1-ADD.DISCOUNT)*(1+MAT.SURCHARGE)/EXC.RATE_2,C2149*(1-I2149)*(1-ADD.DISCOUNT)*(1+MAT.SURCHARGE)*EXC.RATE_2),CURRENCY.FORMAT_2),CURRENCY.FORMAT_2,0)),'DICTIONARY-5'!$A$2))</f>
        <v/>
      </c>
      <c r="N2149" s="538">
        <v>9</v>
      </c>
      <c r="O2149" s="538"/>
      <c r="P2149" s="731" t="str">
        <f>'DICTIONARY-3'!$A$118</f>
        <v>DURA</v>
      </c>
      <c r="Q2149" s="732" t="str">
        <f>'DICTIONARY-3'!$A$210</f>
        <v>Zawór regulacyjny</v>
      </c>
      <c r="R2149" s="732" t="str">
        <f>CONCATENATE('DICTIONARY-3'!$A$118," ",'DICTIONARY-6'!$A$17," ",'DICTIONARY-2'!$A$2,"100"," ",'DICTIONARY-2'!$A$3,"10/16"," ","SZ40",", ",'DICTIONARY-4'!$A$11)</f>
        <v>DURA  Zaw. regulacyjny DN100 PN10/16 SZ40, PNE</v>
      </c>
      <c r="S2149" s="733" t="str">
        <f>'DICTIONARY-4'!$A$11</f>
        <v>PNE</v>
      </c>
      <c r="T2149" s="732" t="str">
        <f>'DICTIONARY-4'!$A$27</f>
        <v>Przygotowane pod napęd elektryczny</v>
      </c>
      <c r="U2149" s="734" t="s">
        <v>5749</v>
      </c>
      <c r="V2149" s="735">
        <v>16</v>
      </c>
      <c r="W2149" s="736"/>
      <c r="X2149" s="737"/>
      <c r="Y2149" s="738"/>
      <c r="Z2149" s="739"/>
      <c r="AA2149" s="739"/>
      <c r="AB2149" s="740">
        <v>16</v>
      </c>
      <c r="AC2149" s="741" t="str">
        <f>'DICTIONARY-5'!$A$11&amp;" 1"</f>
        <v>EN 558 szereg 1</v>
      </c>
      <c r="AD2149" s="741" t="str">
        <f>'DICTIONARY-5'!$A$13</f>
        <v>woda pitna</v>
      </c>
      <c r="AE2149" s="742">
        <v>50</v>
      </c>
      <c r="AF2149" s="743">
        <v>35</v>
      </c>
      <c r="AG2149" s="741" t="str">
        <f>'DICTIONARY-5'!$A$23</f>
        <v>powłoka epoksydowa</v>
      </c>
    </row>
    <row r="2150" spans="1:33" x14ac:dyDescent="0.25">
      <c r="A2150" s="872" t="s">
        <v>1966</v>
      </c>
      <c r="B2150" s="876" t="s">
        <v>3566</v>
      </c>
      <c r="C2150" s="836">
        <v>1859</v>
      </c>
      <c r="D2150" s="836"/>
      <c r="E2150" s="836"/>
      <c r="F2150" s="836"/>
      <c r="G2150" s="496" t="s">
        <v>7840</v>
      </c>
      <c r="H2150" s="797" t="str">
        <f>VLOOKUP(G2150,SETTINGS!$B$7:$D$97,2,0)</f>
        <v>DURA</v>
      </c>
      <c r="I2150" s="796">
        <f>VLOOKUP(G2150,SETTINGS!$B$7:$D$97,3,0)</f>
        <v>0</v>
      </c>
      <c r="J2150" s="670" t="str">
        <f>IFERROR(IF(CURRENCY.FORMAT_1=0,CONCATENATE(TEXT(FIXED(ROUND((C2150/EXC.RATE_1),CURRENCY.FORMAT_1),CURRENCY.FORMAT_1,1),"# ##0;-# ##0"),",-"),FIXED(ROUND((C2150/EXC.RATE_1),CURRENCY.FORMAT_1),CURRENCY.FORMAT_1,0)),'DICTIONARY-5'!$A$2)</f>
        <v>1 859,-</v>
      </c>
      <c r="K2150" s="670" t="str">
        <f>IF(EXC.RATE_2=0,"",IFERROR(IF(CURRENCY.FORMAT_2=0,CONCATENATE(TEXT(FIXED(ROUND(IF(EXC.RATE.SWITCH=1,C2150/EXC.RATE_2,C2150*EXC.RATE_2),CURRENCY.FORMAT_2),CURRENCY.FORMAT_2,1),"# ##0;-# ##0"),",-"),FIXED(ROUND(IF(EXC.RATE.SWITCH=1,C2150/EXC.RATE_2,C2150*EXC.RATE_2),CURRENCY.FORMAT_2),CURRENCY.FORMAT_2,0)),'DICTIONARY-5'!$A$2))</f>
        <v/>
      </c>
      <c r="L2150" s="670" t="str">
        <f>IFERROR(IF(CURRENCY.FORMAT_1=0,CONCATENATE(TEXT(FIXED(ROUND((C2150*(1-I2150)*(1-ADD.DISCOUNT)*(1+MAT.SURCHARGE)/EXC.RATE_1),CURRENCY.FORMAT_1),CURRENCY.FORMAT_1,1),"# ##0;-# ##0"),",-"),FIXED(ROUND((C2150*(1-I2150)*(1-ADD.DISCOUNT)*(1+MAT.SURCHARGE)/EXC.RATE_1),CURRENCY.FORMAT_1),CURRENCY.FORMAT_1,0)),'DICTIONARY-5'!$A$2)</f>
        <v>1 932,-</v>
      </c>
      <c r="M2150" s="670" t="str">
        <f>IF(EXC.RATE_2=0,"",IFERROR(IF(CURRENCY.FORMAT_2=0,CONCATENATE(TEXT(FIXED(ROUND(IF(EXC.RATE.SWITCH=1,C2150*(1-I2150)*(1-ADD.DISCOUNT)*(1+MAT.SURCHARGE)/EXC.RATE_2,C2150*(1-I2150)*(1-ADD.DISCOUNT)*(1+MAT.SURCHARGE)*EXC.RATE_2),CURRENCY.FORMAT_2),CURRENCY.FORMAT_2,1),"# ##0;-# ##0"),",-"),FIXED(ROUND(IF(EXC.RATE.SWITCH=1,C2150*(1-I2150)*(1-ADD.DISCOUNT)*(1+MAT.SURCHARGE)/EXC.RATE_2,C2150*(1-I2150)*(1-ADD.DISCOUNT)*(1+MAT.SURCHARGE)*EXC.RATE_2),CURRENCY.FORMAT_2),CURRENCY.FORMAT_2,0)),'DICTIONARY-5'!$A$2))</f>
        <v/>
      </c>
      <c r="N2150" s="538">
        <v>9</v>
      </c>
      <c r="O2150" s="538"/>
      <c r="P2150" s="731" t="str">
        <f>'DICTIONARY-3'!$A$118</f>
        <v>DURA</v>
      </c>
      <c r="Q2150" s="732" t="str">
        <f>'DICTIONARY-3'!$A$210</f>
        <v>Zawór regulacyjny</v>
      </c>
      <c r="R2150" s="732" t="str">
        <f>CONCATENATE('DICTIONARY-3'!$A$118," ",'DICTIONARY-6'!$A$17," ",'DICTIONARY-2'!$A$2,"125"," ",'DICTIONARY-2'!$A$3,"10/16"," ","SZ40",", ",'DICTIONARY-4'!$A$11)</f>
        <v>DURA  Zaw. regulacyjny DN125 PN10/16 SZ40, PNE</v>
      </c>
      <c r="S2150" s="733" t="str">
        <f>'DICTIONARY-4'!$A$11</f>
        <v>PNE</v>
      </c>
      <c r="T2150" s="732" t="str">
        <f>'DICTIONARY-4'!$A$27</f>
        <v>Przygotowane pod napęd elektryczny</v>
      </c>
      <c r="U2150" s="734" t="s">
        <v>5761</v>
      </c>
      <c r="V2150" s="735">
        <v>16</v>
      </c>
      <c r="W2150" s="736"/>
      <c r="X2150" s="737"/>
      <c r="Y2150" s="738"/>
      <c r="Z2150" s="739"/>
      <c r="AA2150" s="739"/>
      <c r="AB2150" s="740">
        <v>16</v>
      </c>
      <c r="AC2150" s="741" t="str">
        <f>'DICTIONARY-5'!$A$11&amp;" 1"</f>
        <v>EN 558 szereg 1</v>
      </c>
      <c r="AD2150" s="741" t="str">
        <f>'DICTIONARY-5'!$A$13</f>
        <v>woda pitna</v>
      </c>
      <c r="AE2150" s="742">
        <v>50</v>
      </c>
      <c r="AF2150" s="743">
        <v>39</v>
      </c>
      <c r="AG2150" s="741" t="str">
        <f>'DICTIONARY-5'!$A$23</f>
        <v>powłoka epoksydowa</v>
      </c>
    </row>
    <row r="2151" spans="1:33" x14ac:dyDescent="0.25">
      <c r="A2151" s="872" t="s">
        <v>1968</v>
      </c>
      <c r="B2151" s="876" t="s">
        <v>3567</v>
      </c>
      <c r="C2151" s="836">
        <v>2772</v>
      </c>
      <c r="D2151" s="836"/>
      <c r="E2151" s="836"/>
      <c r="F2151" s="836"/>
      <c r="G2151" s="496" t="s">
        <v>7840</v>
      </c>
      <c r="H2151" s="797" t="str">
        <f>VLOOKUP(G2151,SETTINGS!$B$7:$D$97,2,0)</f>
        <v>DURA</v>
      </c>
      <c r="I2151" s="796">
        <f>VLOOKUP(G2151,SETTINGS!$B$7:$D$97,3,0)</f>
        <v>0</v>
      </c>
      <c r="J2151" s="670" t="str">
        <f>IFERROR(IF(CURRENCY.FORMAT_1=0,CONCATENATE(TEXT(FIXED(ROUND((C2151/EXC.RATE_1),CURRENCY.FORMAT_1),CURRENCY.FORMAT_1,1),"# ##0;-# ##0"),",-"),FIXED(ROUND((C2151/EXC.RATE_1),CURRENCY.FORMAT_1),CURRENCY.FORMAT_1,0)),'DICTIONARY-5'!$A$2)</f>
        <v>2 772,-</v>
      </c>
      <c r="K2151" s="670" t="str">
        <f>IF(EXC.RATE_2=0,"",IFERROR(IF(CURRENCY.FORMAT_2=0,CONCATENATE(TEXT(FIXED(ROUND(IF(EXC.RATE.SWITCH=1,C2151/EXC.RATE_2,C2151*EXC.RATE_2),CURRENCY.FORMAT_2),CURRENCY.FORMAT_2,1),"# ##0;-# ##0"),",-"),FIXED(ROUND(IF(EXC.RATE.SWITCH=1,C2151/EXC.RATE_2,C2151*EXC.RATE_2),CURRENCY.FORMAT_2),CURRENCY.FORMAT_2,0)),'DICTIONARY-5'!$A$2))</f>
        <v/>
      </c>
      <c r="L2151" s="670" t="str">
        <f>IFERROR(IF(CURRENCY.FORMAT_1=0,CONCATENATE(TEXT(FIXED(ROUND((C2151*(1-I2151)*(1-ADD.DISCOUNT)*(1+MAT.SURCHARGE)/EXC.RATE_1),CURRENCY.FORMAT_1),CURRENCY.FORMAT_1,1),"# ##0;-# ##0"),",-"),FIXED(ROUND((C2151*(1-I2151)*(1-ADD.DISCOUNT)*(1+MAT.SURCHARGE)/EXC.RATE_1),CURRENCY.FORMAT_1),CURRENCY.FORMAT_1,0)),'DICTIONARY-5'!$A$2)</f>
        <v>2 880,-</v>
      </c>
      <c r="M2151" s="670" t="str">
        <f>IF(EXC.RATE_2=0,"",IFERROR(IF(CURRENCY.FORMAT_2=0,CONCATENATE(TEXT(FIXED(ROUND(IF(EXC.RATE.SWITCH=1,C2151*(1-I2151)*(1-ADD.DISCOUNT)*(1+MAT.SURCHARGE)/EXC.RATE_2,C2151*(1-I2151)*(1-ADD.DISCOUNT)*(1+MAT.SURCHARGE)*EXC.RATE_2),CURRENCY.FORMAT_2),CURRENCY.FORMAT_2,1),"# ##0;-# ##0"),",-"),FIXED(ROUND(IF(EXC.RATE.SWITCH=1,C2151*(1-I2151)*(1-ADD.DISCOUNT)*(1+MAT.SURCHARGE)/EXC.RATE_2,C2151*(1-I2151)*(1-ADD.DISCOUNT)*(1+MAT.SURCHARGE)*EXC.RATE_2),CURRENCY.FORMAT_2),CURRENCY.FORMAT_2,0)),'DICTIONARY-5'!$A$2))</f>
        <v/>
      </c>
      <c r="N2151" s="538">
        <v>9</v>
      </c>
      <c r="O2151" s="538"/>
      <c r="P2151" s="731" t="str">
        <f>'DICTIONARY-3'!$A$118</f>
        <v>DURA</v>
      </c>
      <c r="Q2151" s="732" t="str">
        <f>'DICTIONARY-3'!$A$210</f>
        <v>Zawór regulacyjny</v>
      </c>
      <c r="R2151" s="732" t="str">
        <f>CONCATENATE('DICTIONARY-3'!$A$118," ",'DICTIONARY-6'!$A$17," ",'DICTIONARY-2'!$A$2,"150"," ",'DICTIONARY-2'!$A$3,"10/16"," ","SZ40",", ",'DICTIONARY-4'!$A$11)</f>
        <v>DURA  Zaw. regulacyjny DN150 PN10/16 SZ40, PNE</v>
      </c>
      <c r="S2151" s="733" t="str">
        <f>'DICTIONARY-4'!$A$11</f>
        <v>PNE</v>
      </c>
      <c r="T2151" s="732" t="str">
        <f>'DICTIONARY-4'!$A$27</f>
        <v>Przygotowane pod napęd elektryczny</v>
      </c>
      <c r="U2151" s="734" t="s">
        <v>5572</v>
      </c>
      <c r="V2151" s="735">
        <v>16</v>
      </c>
      <c r="W2151" s="736"/>
      <c r="X2151" s="737"/>
      <c r="Y2151" s="738"/>
      <c r="Z2151" s="739"/>
      <c r="AA2151" s="739"/>
      <c r="AB2151" s="740">
        <v>16</v>
      </c>
      <c r="AC2151" s="741" t="str">
        <f>'DICTIONARY-5'!$A$11&amp;" 1"</f>
        <v>EN 558 szereg 1</v>
      </c>
      <c r="AD2151" s="741" t="str">
        <f>'DICTIONARY-5'!$A$13</f>
        <v>woda pitna</v>
      </c>
      <c r="AE2151" s="742">
        <v>50</v>
      </c>
      <c r="AF2151" s="743">
        <v>75</v>
      </c>
      <c r="AG2151" s="741" t="str">
        <f>'DICTIONARY-5'!$A$23</f>
        <v>powłoka epoksydowa</v>
      </c>
    </row>
    <row r="2152" spans="1:33" x14ac:dyDescent="0.25">
      <c r="A2152" s="872" t="s">
        <v>1970</v>
      </c>
      <c r="B2152" s="876" t="s">
        <v>3568</v>
      </c>
      <c r="C2152" s="836">
        <v>4401</v>
      </c>
      <c r="D2152" s="836"/>
      <c r="E2152" s="836"/>
      <c r="F2152" s="836"/>
      <c r="G2152" s="496" t="s">
        <v>7840</v>
      </c>
      <c r="H2152" s="797" t="str">
        <f>VLOOKUP(G2152,SETTINGS!$B$7:$D$97,2,0)</f>
        <v>DURA</v>
      </c>
      <c r="I2152" s="796">
        <f>VLOOKUP(G2152,SETTINGS!$B$7:$D$97,3,0)</f>
        <v>0</v>
      </c>
      <c r="J2152" s="670" t="str">
        <f>IFERROR(IF(CURRENCY.FORMAT_1=0,CONCATENATE(TEXT(FIXED(ROUND((C2152/EXC.RATE_1),CURRENCY.FORMAT_1),CURRENCY.FORMAT_1,1),"# ##0;-# ##0"),",-"),FIXED(ROUND((C2152/EXC.RATE_1),CURRENCY.FORMAT_1),CURRENCY.FORMAT_1,0)),'DICTIONARY-5'!$A$2)</f>
        <v>4 401,-</v>
      </c>
      <c r="K2152" s="670" t="str">
        <f>IF(EXC.RATE_2=0,"",IFERROR(IF(CURRENCY.FORMAT_2=0,CONCATENATE(TEXT(FIXED(ROUND(IF(EXC.RATE.SWITCH=1,C2152/EXC.RATE_2,C2152*EXC.RATE_2),CURRENCY.FORMAT_2),CURRENCY.FORMAT_2,1),"# ##0;-# ##0"),",-"),FIXED(ROUND(IF(EXC.RATE.SWITCH=1,C2152/EXC.RATE_2,C2152*EXC.RATE_2),CURRENCY.FORMAT_2),CURRENCY.FORMAT_2,0)),'DICTIONARY-5'!$A$2))</f>
        <v/>
      </c>
      <c r="L2152" s="670" t="str">
        <f>IFERROR(IF(CURRENCY.FORMAT_1=0,CONCATENATE(TEXT(FIXED(ROUND((C2152*(1-I2152)*(1-ADD.DISCOUNT)*(1+MAT.SURCHARGE)/EXC.RATE_1),CURRENCY.FORMAT_1),CURRENCY.FORMAT_1,1),"# ##0;-# ##0"),",-"),FIXED(ROUND((C2152*(1-I2152)*(1-ADD.DISCOUNT)*(1+MAT.SURCHARGE)/EXC.RATE_1),CURRENCY.FORMAT_1),CURRENCY.FORMAT_1,0)),'DICTIONARY-5'!$A$2)</f>
        <v>4 573,-</v>
      </c>
      <c r="M2152" s="670" t="str">
        <f>IF(EXC.RATE_2=0,"",IFERROR(IF(CURRENCY.FORMAT_2=0,CONCATENATE(TEXT(FIXED(ROUND(IF(EXC.RATE.SWITCH=1,C2152*(1-I2152)*(1-ADD.DISCOUNT)*(1+MAT.SURCHARGE)/EXC.RATE_2,C2152*(1-I2152)*(1-ADD.DISCOUNT)*(1+MAT.SURCHARGE)*EXC.RATE_2),CURRENCY.FORMAT_2),CURRENCY.FORMAT_2,1),"# ##0;-# ##0"),",-"),FIXED(ROUND(IF(EXC.RATE.SWITCH=1,C2152*(1-I2152)*(1-ADD.DISCOUNT)*(1+MAT.SURCHARGE)/EXC.RATE_2,C2152*(1-I2152)*(1-ADD.DISCOUNT)*(1+MAT.SURCHARGE)*EXC.RATE_2),CURRENCY.FORMAT_2),CURRENCY.FORMAT_2,0)),'DICTIONARY-5'!$A$2))</f>
        <v/>
      </c>
      <c r="N2152" s="538">
        <v>9</v>
      </c>
      <c r="O2152" s="538"/>
      <c r="P2152" s="731" t="str">
        <f>'DICTIONARY-3'!$A$118</f>
        <v>DURA</v>
      </c>
      <c r="Q2152" s="732" t="str">
        <f>'DICTIONARY-3'!$A$210</f>
        <v>Zawór regulacyjny</v>
      </c>
      <c r="R2152" s="732" t="str">
        <f>CONCATENATE('DICTIONARY-3'!$A$118," ",'DICTIONARY-6'!$A$17," ",'DICTIONARY-2'!$A$2,"200"," ",'DICTIONARY-2'!$A$3,"16"," ","SZ40",", ",'DICTIONARY-4'!$A$11)</f>
        <v>DURA  Zaw. regulacyjny DN200 PN16 SZ40, PNE</v>
      </c>
      <c r="S2152" s="733" t="str">
        <f>'DICTIONARY-4'!$A$11</f>
        <v>PNE</v>
      </c>
      <c r="T2152" s="732" t="str">
        <f>'DICTIONARY-4'!$A$27</f>
        <v>Przygotowane pod napęd elektryczny</v>
      </c>
      <c r="U2152" s="734" t="s">
        <v>5750</v>
      </c>
      <c r="V2152" s="735">
        <v>16</v>
      </c>
      <c r="W2152" s="736"/>
      <c r="X2152" s="737"/>
      <c r="Y2152" s="738"/>
      <c r="Z2152" s="739"/>
      <c r="AA2152" s="739"/>
      <c r="AB2152" s="740">
        <v>16</v>
      </c>
      <c r="AC2152" s="741" t="str">
        <f>'DICTIONARY-5'!$A$11&amp;" 1"</f>
        <v>EN 558 szereg 1</v>
      </c>
      <c r="AD2152" s="741" t="str">
        <f>'DICTIONARY-5'!$A$13</f>
        <v>woda pitna</v>
      </c>
      <c r="AE2152" s="742">
        <v>50</v>
      </c>
      <c r="AF2152" s="743">
        <v>125</v>
      </c>
      <c r="AG2152" s="741" t="str">
        <f>'DICTIONARY-5'!$A$23</f>
        <v>powłoka epoksydowa</v>
      </c>
    </row>
    <row r="2153" spans="1:33" x14ac:dyDescent="0.25">
      <c r="A2153" s="872" t="s">
        <v>1972</v>
      </c>
      <c r="B2153" s="872" t="s">
        <v>4233</v>
      </c>
      <c r="C2153" s="836">
        <v>114</v>
      </c>
      <c r="D2153" s="836"/>
      <c r="E2153" s="836"/>
      <c r="F2153" s="836"/>
      <c r="G2153" s="496" t="s">
        <v>7841</v>
      </c>
      <c r="H2153" s="797" t="str">
        <f>VLOOKUP(G2153,SETTINGS!$B$7:$D$97,2,0)</f>
        <v>FORTE</v>
      </c>
      <c r="I2153" s="796">
        <f>VLOOKUP(G2153,SETTINGS!$B$7:$D$97,3,0)</f>
        <v>0</v>
      </c>
      <c r="J2153" s="670" t="str">
        <f>IFERROR(IF(CURRENCY.FORMAT_1=0,CONCATENATE(TEXT(FIXED(ROUND((C2153/EXC.RATE_1),CURRENCY.FORMAT_1),CURRENCY.FORMAT_1,1),"# ##0;-# ##0"),",-"),FIXED(ROUND((C2153/EXC.RATE_1),CURRENCY.FORMAT_1),CURRENCY.FORMAT_1,0)),'DICTIONARY-5'!$A$2)</f>
        <v>114,-</v>
      </c>
      <c r="K2153" s="670" t="str">
        <f>IF(EXC.RATE_2=0,"",IFERROR(IF(CURRENCY.FORMAT_2=0,CONCATENATE(TEXT(FIXED(ROUND(IF(EXC.RATE.SWITCH=1,C2153/EXC.RATE_2,C2153*EXC.RATE_2),CURRENCY.FORMAT_2),CURRENCY.FORMAT_2,1),"# ##0;-# ##0"),",-"),FIXED(ROUND(IF(EXC.RATE.SWITCH=1,C2153/EXC.RATE_2,C2153*EXC.RATE_2),CURRENCY.FORMAT_2),CURRENCY.FORMAT_2,0)),'DICTIONARY-5'!$A$2))</f>
        <v/>
      </c>
      <c r="L2153" s="670" t="str">
        <f>IFERROR(IF(CURRENCY.FORMAT_1=0,CONCATENATE(TEXT(FIXED(ROUND((C2153*(1-I2153)*(1-ADD.DISCOUNT)*(1+MAT.SURCHARGE)/EXC.RATE_1),CURRENCY.FORMAT_1),CURRENCY.FORMAT_1,1),"# ##0;-# ##0"),",-"),FIXED(ROUND((C2153*(1-I2153)*(1-ADD.DISCOUNT)*(1+MAT.SURCHARGE)/EXC.RATE_1),CURRENCY.FORMAT_1),CURRENCY.FORMAT_1,0)),'DICTIONARY-5'!$A$2)</f>
        <v>118,-</v>
      </c>
      <c r="M2153" s="670" t="str">
        <f>IF(EXC.RATE_2=0,"",IFERROR(IF(CURRENCY.FORMAT_2=0,CONCATENATE(TEXT(FIXED(ROUND(IF(EXC.RATE.SWITCH=1,C2153*(1-I2153)*(1-ADD.DISCOUNT)*(1+MAT.SURCHARGE)/EXC.RATE_2,C2153*(1-I2153)*(1-ADD.DISCOUNT)*(1+MAT.SURCHARGE)*EXC.RATE_2),CURRENCY.FORMAT_2),CURRENCY.FORMAT_2,1),"# ##0;-# ##0"),",-"),FIXED(ROUND(IF(EXC.RATE.SWITCH=1,C2153*(1-I2153)*(1-ADD.DISCOUNT)*(1+MAT.SURCHARGE)/EXC.RATE_2,C2153*(1-I2153)*(1-ADD.DISCOUNT)*(1+MAT.SURCHARGE)*EXC.RATE_2),CURRENCY.FORMAT_2),CURRENCY.FORMAT_2,0)),'DICTIONARY-5'!$A$2))</f>
        <v/>
      </c>
      <c r="N2153" s="538">
        <v>10</v>
      </c>
      <c r="O2153" s="538"/>
      <c r="P2153" s="731" t="str">
        <f>'DICTIONARY-3'!$A$121</f>
        <v>FORTE</v>
      </c>
      <c r="Q2153" s="732" t="str">
        <f>'DICTIONARY-3'!$A$211</f>
        <v>Filtr siatkowy</v>
      </c>
      <c r="R2153" s="732" t="str">
        <f>CONCATENATE('DICTIONARY-3'!$A$121," ",'DICTIONARY-3'!$A$211," ",'DICTIONARY-2'!$A$2,"40"," ",'DICTIONARY-2'!$A$3,"10/16")</f>
        <v>FORTE Filtr siatkowy DN40 PN10/16</v>
      </c>
      <c r="S2153" s="733" t="s">
        <v>5569</v>
      </c>
      <c r="T2153" s="732" t="s">
        <v>5569</v>
      </c>
      <c r="U2153" s="734" t="s">
        <v>5758</v>
      </c>
      <c r="V2153" s="735">
        <v>16</v>
      </c>
      <c r="W2153" s="736"/>
      <c r="X2153" s="737"/>
      <c r="Y2153" s="738"/>
      <c r="Z2153" s="739"/>
      <c r="AA2153" s="739"/>
      <c r="AB2153" s="740">
        <v>16</v>
      </c>
      <c r="AC2153" s="741" t="str">
        <f>'DICTIONARY-5'!$A$11&amp;" 1"</f>
        <v>EN 558 szereg 1</v>
      </c>
      <c r="AD2153" s="741" t="str">
        <f>'DICTIONARY-5'!$A$13</f>
        <v>woda pitna</v>
      </c>
      <c r="AE2153" s="742">
        <v>50</v>
      </c>
      <c r="AF2153" s="743">
        <v>8</v>
      </c>
      <c r="AG2153" s="741" t="str">
        <f>'DICTIONARY-5'!$A$23</f>
        <v>powłoka epoksydowa</v>
      </c>
    </row>
    <row r="2154" spans="1:33" x14ac:dyDescent="0.25">
      <c r="A2154" s="872" t="s">
        <v>1974</v>
      </c>
      <c r="B2154" s="872" t="s">
        <v>4235</v>
      </c>
      <c r="C2154" s="836">
        <v>134</v>
      </c>
      <c r="D2154" s="836"/>
      <c r="E2154" s="836"/>
      <c r="F2154" s="836"/>
      <c r="G2154" s="496" t="s">
        <v>7841</v>
      </c>
      <c r="H2154" s="797" t="str">
        <f>VLOOKUP(G2154,SETTINGS!$B$7:$D$97,2,0)</f>
        <v>FORTE</v>
      </c>
      <c r="I2154" s="796">
        <f>VLOOKUP(G2154,SETTINGS!$B$7:$D$97,3,0)</f>
        <v>0</v>
      </c>
      <c r="J2154" s="670" t="str">
        <f>IFERROR(IF(CURRENCY.FORMAT_1=0,CONCATENATE(TEXT(FIXED(ROUND((C2154/EXC.RATE_1),CURRENCY.FORMAT_1),CURRENCY.FORMAT_1,1),"# ##0;-# ##0"),",-"),FIXED(ROUND((C2154/EXC.RATE_1),CURRENCY.FORMAT_1),CURRENCY.FORMAT_1,0)),'DICTIONARY-5'!$A$2)</f>
        <v>134,-</v>
      </c>
      <c r="K2154" s="670" t="str">
        <f>IF(EXC.RATE_2=0,"",IFERROR(IF(CURRENCY.FORMAT_2=0,CONCATENATE(TEXT(FIXED(ROUND(IF(EXC.RATE.SWITCH=1,C2154/EXC.RATE_2,C2154*EXC.RATE_2),CURRENCY.FORMAT_2),CURRENCY.FORMAT_2,1),"# ##0;-# ##0"),",-"),FIXED(ROUND(IF(EXC.RATE.SWITCH=1,C2154/EXC.RATE_2,C2154*EXC.RATE_2),CURRENCY.FORMAT_2),CURRENCY.FORMAT_2,0)),'DICTIONARY-5'!$A$2))</f>
        <v/>
      </c>
      <c r="L2154" s="670" t="str">
        <f>IFERROR(IF(CURRENCY.FORMAT_1=0,CONCATENATE(TEXT(FIXED(ROUND((C2154*(1-I2154)*(1-ADD.DISCOUNT)*(1+MAT.SURCHARGE)/EXC.RATE_1),CURRENCY.FORMAT_1),CURRENCY.FORMAT_1,1),"# ##0;-# ##0"),",-"),FIXED(ROUND((C2154*(1-I2154)*(1-ADD.DISCOUNT)*(1+MAT.SURCHARGE)/EXC.RATE_1),CURRENCY.FORMAT_1),CURRENCY.FORMAT_1,0)),'DICTIONARY-5'!$A$2)</f>
        <v>139,-</v>
      </c>
      <c r="M2154" s="670" t="str">
        <f>IF(EXC.RATE_2=0,"",IFERROR(IF(CURRENCY.FORMAT_2=0,CONCATENATE(TEXT(FIXED(ROUND(IF(EXC.RATE.SWITCH=1,C2154*(1-I2154)*(1-ADD.DISCOUNT)*(1+MAT.SURCHARGE)/EXC.RATE_2,C2154*(1-I2154)*(1-ADD.DISCOUNT)*(1+MAT.SURCHARGE)*EXC.RATE_2),CURRENCY.FORMAT_2),CURRENCY.FORMAT_2,1),"# ##0;-# ##0"),",-"),FIXED(ROUND(IF(EXC.RATE.SWITCH=1,C2154*(1-I2154)*(1-ADD.DISCOUNT)*(1+MAT.SURCHARGE)/EXC.RATE_2,C2154*(1-I2154)*(1-ADD.DISCOUNT)*(1+MAT.SURCHARGE)*EXC.RATE_2),CURRENCY.FORMAT_2),CURRENCY.FORMAT_2,0)),'DICTIONARY-5'!$A$2))</f>
        <v/>
      </c>
      <c r="N2154" s="538">
        <v>10</v>
      </c>
      <c r="O2154" s="538"/>
      <c r="P2154" s="731" t="str">
        <f>'DICTIONARY-3'!$A$121</f>
        <v>FORTE</v>
      </c>
      <c r="Q2154" s="732" t="str">
        <f>'DICTIONARY-3'!$A$211</f>
        <v>Filtr siatkowy</v>
      </c>
      <c r="R2154" s="732" t="str">
        <f>CONCATENATE('DICTIONARY-3'!$A$121," ",'DICTIONARY-3'!$A$211," ",'DICTIONARY-2'!$A$2,"50"," ",'DICTIONARY-2'!$A$3,"10/16")</f>
        <v>FORTE Filtr siatkowy DN50 PN10/16</v>
      </c>
      <c r="S2154" s="733" t="s">
        <v>5569</v>
      </c>
      <c r="T2154" s="732" t="s">
        <v>5569</v>
      </c>
      <c r="U2154" s="734" t="s">
        <v>5748</v>
      </c>
      <c r="V2154" s="735">
        <v>16</v>
      </c>
      <c r="W2154" s="736"/>
      <c r="X2154" s="737"/>
      <c r="Y2154" s="738"/>
      <c r="Z2154" s="739"/>
      <c r="AA2154" s="739"/>
      <c r="AB2154" s="740">
        <v>16</v>
      </c>
      <c r="AC2154" s="741" t="str">
        <f>'DICTIONARY-5'!$A$11&amp;" 1"</f>
        <v>EN 558 szereg 1</v>
      </c>
      <c r="AD2154" s="741" t="str">
        <f>'DICTIONARY-5'!$A$13</f>
        <v>woda pitna</v>
      </c>
      <c r="AE2154" s="742">
        <v>50</v>
      </c>
      <c r="AF2154" s="743">
        <v>10.5</v>
      </c>
      <c r="AG2154" s="741" t="str">
        <f>'DICTIONARY-5'!$A$23</f>
        <v>powłoka epoksydowa</v>
      </c>
    </row>
    <row r="2155" spans="1:33" x14ac:dyDescent="0.25">
      <c r="A2155" s="872" t="s">
        <v>1976</v>
      </c>
      <c r="B2155" s="872" t="s">
        <v>4237</v>
      </c>
      <c r="C2155" s="836">
        <v>189</v>
      </c>
      <c r="D2155" s="836"/>
      <c r="E2155" s="836"/>
      <c r="F2155" s="836"/>
      <c r="G2155" s="496" t="s">
        <v>7841</v>
      </c>
      <c r="H2155" s="797" t="str">
        <f>VLOOKUP(G2155,SETTINGS!$B$7:$D$97,2,0)</f>
        <v>FORTE</v>
      </c>
      <c r="I2155" s="796">
        <f>VLOOKUP(G2155,SETTINGS!$B$7:$D$97,3,0)</f>
        <v>0</v>
      </c>
      <c r="J2155" s="670" t="str">
        <f>IFERROR(IF(CURRENCY.FORMAT_1=0,CONCATENATE(TEXT(FIXED(ROUND((C2155/EXC.RATE_1),CURRENCY.FORMAT_1),CURRENCY.FORMAT_1,1),"# ##0;-# ##0"),",-"),FIXED(ROUND((C2155/EXC.RATE_1),CURRENCY.FORMAT_1),CURRENCY.FORMAT_1,0)),'DICTIONARY-5'!$A$2)</f>
        <v>189,-</v>
      </c>
      <c r="K2155" s="670" t="str">
        <f>IF(EXC.RATE_2=0,"",IFERROR(IF(CURRENCY.FORMAT_2=0,CONCATENATE(TEXT(FIXED(ROUND(IF(EXC.RATE.SWITCH=1,C2155/EXC.RATE_2,C2155*EXC.RATE_2),CURRENCY.FORMAT_2),CURRENCY.FORMAT_2,1),"# ##0;-# ##0"),",-"),FIXED(ROUND(IF(EXC.RATE.SWITCH=1,C2155/EXC.RATE_2,C2155*EXC.RATE_2),CURRENCY.FORMAT_2),CURRENCY.FORMAT_2,0)),'DICTIONARY-5'!$A$2))</f>
        <v/>
      </c>
      <c r="L2155" s="670" t="str">
        <f>IFERROR(IF(CURRENCY.FORMAT_1=0,CONCATENATE(TEXT(FIXED(ROUND((C2155*(1-I2155)*(1-ADD.DISCOUNT)*(1+MAT.SURCHARGE)/EXC.RATE_1),CURRENCY.FORMAT_1),CURRENCY.FORMAT_1,1),"# ##0;-# ##0"),",-"),FIXED(ROUND((C2155*(1-I2155)*(1-ADD.DISCOUNT)*(1+MAT.SURCHARGE)/EXC.RATE_1),CURRENCY.FORMAT_1),CURRENCY.FORMAT_1,0)),'DICTIONARY-5'!$A$2)</f>
        <v>196,-</v>
      </c>
      <c r="M2155" s="670" t="str">
        <f>IF(EXC.RATE_2=0,"",IFERROR(IF(CURRENCY.FORMAT_2=0,CONCATENATE(TEXT(FIXED(ROUND(IF(EXC.RATE.SWITCH=1,C2155*(1-I2155)*(1-ADD.DISCOUNT)*(1+MAT.SURCHARGE)/EXC.RATE_2,C2155*(1-I2155)*(1-ADD.DISCOUNT)*(1+MAT.SURCHARGE)*EXC.RATE_2),CURRENCY.FORMAT_2),CURRENCY.FORMAT_2,1),"# ##0;-# ##0"),",-"),FIXED(ROUND(IF(EXC.RATE.SWITCH=1,C2155*(1-I2155)*(1-ADD.DISCOUNT)*(1+MAT.SURCHARGE)/EXC.RATE_2,C2155*(1-I2155)*(1-ADD.DISCOUNT)*(1+MAT.SURCHARGE)*EXC.RATE_2),CURRENCY.FORMAT_2),CURRENCY.FORMAT_2,0)),'DICTIONARY-5'!$A$2))</f>
        <v/>
      </c>
      <c r="N2155" s="538">
        <v>10</v>
      </c>
      <c r="O2155" s="538"/>
      <c r="P2155" s="731" t="str">
        <f>'DICTIONARY-3'!$A$121</f>
        <v>FORTE</v>
      </c>
      <c r="Q2155" s="732" t="str">
        <f>'DICTIONARY-3'!$A$211</f>
        <v>Filtr siatkowy</v>
      </c>
      <c r="R2155" s="732" t="str">
        <f>CONCATENATE('DICTIONARY-3'!$A$121," ",'DICTIONARY-3'!$A$211," ",'DICTIONARY-2'!$A$2,"65"," ",'DICTIONARY-2'!$A$3,"10/16")</f>
        <v>FORTE Filtr siatkowy DN65 PN10/16</v>
      </c>
      <c r="S2155" s="733" t="s">
        <v>5569</v>
      </c>
      <c r="T2155" s="732" t="s">
        <v>5569</v>
      </c>
      <c r="U2155" s="734" t="s">
        <v>5759</v>
      </c>
      <c r="V2155" s="735">
        <v>16</v>
      </c>
      <c r="W2155" s="736"/>
      <c r="X2155" s="737"/>
      <c r="Y2155" s="738"/>
      <c r="Z2155" s="739"/>
      <c r="AA2155" s="739"/>
      <c r="AB2155" s="740">
        <v>16</v>
      </c>
      <c r="AC2155" s="741" t="str">
        <f>'DICTIONARY-5'!$A$11&amp;" 1"</f>
        <v>EN 558 szereg 1</v>
      </c>
      <c r="AD2155" s="741" t="str">
        <f>'DICTIONARY-5'!$A$13</f>
        <v>woda pitna</v>
      </c>
      <c r="AE2155" s="742">
        <v>50</v>
      </c>
      <c r="AF2155" s="743">
        <v>16.5</v>
      </c>
      <c r="AG2155" s="741" t="str">
        <f>'DICTIONARY-5'!$A$23</f>
        <v>powłoka epoksydowa</v>
      </c>
    </row>
    <row r="2156" spans="1:33" x14ac:dyDescent="0.25">
      <c r="A2156" s="872" t="s">
        <v>1978</v>
      </c>
      <c r="B2156" s="872" t="s">
        <v>4239</v>
      </c>
      <c r="C2156" s="836">
        <v>215</v>
      </c>
      <c r="D2156" s="836"/>
      <c r="E2156" s="836"/>
      <c r="F2156" s="836"/>
      <c r="G2156" s="496" t="s">
        <v>7841</v>
      </c>
      <c r="H2156" s="797" t="str">
        <f>VLOOKUP(G2156,SETTINGS!$B$7:$D$97,2,0)</f>
        <v>FORTE</v>
      </c>
      <c r="I2156" s="796">
        <f>VLOOKUP(G2156,SETTINGS!$B$7:$D$97,3,0)</f>
        <v>0</v>
      </c>
      <c r="J2156" s="670" t="str">
        <f>IFERROR(IF(CURRENCY.FORMAT_1=0,CONCATENATE(TEXT(FIXED(ROUND((C2156/EXC.RATE_1),CURRENCY.FORMAT_1),CURRENCY.FORMAT_1,1),"# ##0;-# ##0"),",-"),FIXED(ROUND((C2156/EXC.RATE_1),CURRENCY.FORMAT_1),CURRENCY.FORMAT_1,0)),'DICTIONARY-5'!$A$2)</f>
        <v>215,-</v>
      </c>
      <c r="K2156" s="670" t="str">
        <f>IF(EXC.RATE_2=0,"",IFERROR(IF(CURRENCY.FORMAT_2=0,CONCATENATE(TEXT(FIXED(ROUND(IF(EXC.RATE.SWITCH=1,C2156/EXC.RATE_2,C2156*EXC.RATE_2),CURRENCY.FORMAT_2),CURRENCY.FORMAT_2,1),"# ##0;-# ##0"),",-"),FIXED(ROUND(IF(EXC.RATE.SWITCH=1,C2156/EXC.RATE_2,C2156*EXC.RATE_2),CURRENCY.FORMAT_2),CURRENCY.FORMAT_2,0)),'DICTIONARY-5'!$A$2))</f>
        <v/>
      </c>
      <c r="L2156" s="670" t="str">
        <f>IFERROR(IF(CURRENCY.FORMAT_1=0,CONCATENATE(TEXT(FIXED(ROUND((C2156*(1-I2156)*(1-ADD.DISCOUNT)*(1+MAT.SURCHARGE)/EXC.RATE_1),CURRENCY.FORMAT_1),CURRENCY.FORMAT_1,1),"# ##0;-# ##0"),",-"),FIXED(ROUND((C2156*(1-I2156)*(1-ADD.DISCOUNT)*(1+MAT.SURCHARGE)/EXC.RATE_1),CURRENCY.FORMAT_1),CURRENCY.FORMAT_1,0)),'DICTIONARY-5'!$A$2)</f>
        <v>223,-</v>
      </c>
      <c r="M2156" s="670" t="str">
        <f>IF(EXC.RATE_2=0,"",IFERROR(IF(CURRENCY.FORMAT_2=0,CONCATENATE(TEXT(FIXED(ROUND(IF(EXC.RATE.SWITCH=1,C2156*(1-I2156)*(1-ADD.DISCOUNT)*(1+MAT.SURCHARGE)/EXC.RATE_2,C2156*(1-I2156)*(1-ADD.DISCOUNT)*(1+MAT.SURCHARGE)*EXC.RATE_2),CURRENCY.FORMAT_2),CURRENCY.FORMAT_2,1),"# ##0;-# ##0"),",-"),FIXED(ROUND(IF(EXC.RATE.SWITCH=1,C2156*(1-I2156)*(1-ADD.DISCOUNT)*(1+MAT.SURCHARGE)/EXC.RATE_2,C2156*(1-I2156)*(1-ADD.DISCOUNT)*(1+MAT.SURCHARGE)*EXC.RATE_2),CURRENCY.FORMAT_2),CURRENCY.FORMAT_2,0)),'DICTIONARY-5'!$A$2))</f>
        <v/>
      </c>
      <c r="N2156" s="538">
        <v>10</v>
      </c>
      <c r="O2156" s="538"/>
      <c r="P2156" s="731" t="str">
        <f>'DICTIONARY-3'!$A$121</f>
        <v>FORTE</v>
      </c>
      <c r="Q2156" s="732" t="str">
        <f>'DICTIONARY-3'!$A$211</f>
        <v>Filtr siatkowy</v>
      </c>
      <c r="R2156" s="732" t="str">
        <f>CONCATENATE('DICTIONARY-3'!$A$121," ",'DICTIONARY-3'!$A$211," ",'DICTIONARY-2'!$A$2,"80"," ",'DICTIONARY-2'!$A$3,"10/16")</f>
        <v>FORTE Filtr siatkowy DN80 PN10/16</v>
      </c>
      <c r="S2156" s="733" t="s">
        <v>5569</v>
      </c>
      <c r="T2156" s="732" t="s">
        <v>5569</v>
      </c>
      <c r="U2156" s="734" t="s">
        <v>5760</v>
      </c>
      <c r="V2156" s="735">
        <v>16</v>
      </c>
      <c r="W2156" s="736"/>
      <c r="X2156" s="737"/>
      <c r="Y2156" s="738"/>
      <c r="Z2156" s="739"/>
      <c r="AA2156" s="739"/>
      <c r="AB2156" s="740">
        <v>16</v>
      </c>
      <c r="AC2156" s="741" t="str">
        <f>'DICTIONARY-5'!$A$11&amp;" 1"</f>
        <v>EN 558 szereg 1</v>
      </c>
      <c r="AD2156" s="741" t="str">
        <f>'DICTIONARY-5'!$A$13</f>
        <v>woda pitna</v>
      </c>
      <c r="AE2156" s="742">
        <v>50</v>
      </c>
      <c r="AF2156" s="743">
        <v>18.5</v>
      </c>
      <c r="AG2156" s="741" t="str">
        <f>'DICTIONARY-5'!$A$23</f>
        <v>powłoka epoksydowa</v>
      </c>
    </row>
    <row r="2157" spans="1:33" x14ac:dyDescent="0.25">
      <c r="A2157" s="872" t="s">
        <v>1980</v>
      </c>
      <c r="B2157" s="872" t="s">
        <v>4241</v>
      </c>
      <c r="C2157" s="836">
        <v>247</v>
      </c>
      <c r="D2157" s="836"/>
      <c r="E2157" s="836"/>
      <c r="F2157" s="836"/>
      <c r="G2157" s="496" t="s">
        <v>7841</v>
      </c>
      <c r="H2157" s="797" t="str">
        <f>VLOOKUP(G2157,SETTINGS!$B$7:$D$97,2,0)</f>
        <v>FORTE</v>
      </c>
      <c r="I2157" s="796">
        <f>VLOOKUP(G2157,SETTINGS!$B$7:$D$97,3,0)</f>
        <v>0</v>
      </c>
      <c r="J2157" s="670" t="str">
        <f>IFERROR(IF(CURRENCY.FORMAT_1=0,CONCATENATE(TEXT(FIXED(ROUND((C2157/EXC.RATE_1),CURRENCY.FORMAT_1),CURRENCY.FORMAT_1,1),"# ##0;-# ##0"),",-"),FIXED(ROUND((C2157/EXC.RATE_1),CURRENCY.FORMAT_1),CURRENCY.FORMAT_1,0)),'DICTIONARY-5'!$A$2)</f>
        <v>247,-</v>
      </c>
      <c r="K2157" s="670" t="str">
        <f>IF(EXC.RATE_2=0,"",IFERROR(IF(CURRENCY.FORMAT_2=0,CONCATENATE(TEXT(FIXED(ROUND(IF(EXC.RATE.SWITCH=1,C2157/EXC.RATE_2,C2157*EXC.RATE_2),CURRENCY.FORMAT_2),CURRENCY.FORMAT_2,1),"# ##0;-# ##0"),",-"),FIXED(ROUND(IF(EXC.RATE.SWITCH=1,C2157/EXC.RATE_2,C2157*EXC.RATE_2),CURRENCY.FORMAT_2),CURRENCY.FORMAT_2,0)),'DICTIONARY-5'!$A$2))</f>
        <v/>
      </c>
      <c r="L2157" s="670" t="str">
        <f>IFERROR(IF(CURRENCY.FORMAT_1=0,CONCATENATE(TEXT(FIXED(ROUND((C2157*(1-I2157)*(1-ADD.DISCOUNT)*(1+MAT.SURCHARGE)/EXC.RATE_1),CURRENCY.FORMAT_1),CURRENCY.FORMAT_1,1),"# ##0;-# ##0"),",-"),FIXED(ROUND((C2157*(1-I2157)*(1-ADD.DISCOUNT)*(1+MAT.SURCHARGE)/EXC.RATE_1),CURRENCY.FORMAT_1),CURRENCY.FORMAT_1,0)),'DICTIONARY-5'!$A$2)</f>
        <v>257,-</v>
      </c>
      <c r="M2157" s="670" t="str">
        <f>IF(EXC.RATE_2=0,"",IFERROR(IF(CURRENCY.FORMAT_2=0,CONCATENATE(TEXT(FIXED(ROUND(IF(EXC.RATE.SWITCH=1,C2157*(1-I2157)*(1-ADD.DISCOUNT)*(1+MAT.SURCHARGE)/EXC.RATE_2,C2157*(1-I2157)*(1-ADD.DISCOUNT)*(1+MAT.SURCHARGE)*EXC.RATE_2),CURRENCY.FORMAT_2),CURRENCY.FORMAT_2,1),"# ##0;-# ##0"),",-"),FIXED(ROUND(IF(EXC.RATE.SWITCH=1,C2157*(1-I2157)*(1-ADD.DISCOUNT)*(1+MAT.SURCHARGE)/EXC.RATE_2,C2157*(1-I2157)*(1-ADD.DISCOUNT)*(1+MAT.SURCHARGE)*EXC.RATE_2),CURRENCY.FORMAT_2),CURRENCY.FORMAT_2,0)),'DICTIONARY-5'!$A$2))</f>
        <v/>
      </c>
      <c r="N2157" s="538">
        <v>10</v>
      </c>
      <c r="O2157" s="538"/>
      <c r="P2157" s="731" t="str">
        <f>'DICTIONARY-3'!$A$121</f>
        <v>FORTE</v>
      </c>
      <c r="Q2157" s="732" t="str">
        <f>'DICTIONARY-3'!$A$211</f>
        <v>Filtr siatkowy</v>
      </c>
      <c r="R2157" s="732" t="str">
        <f>CONCATENATE('DICTIONARY-3'!$A$121," ",'DICTIONARY-3'!$A$211," ",'DICTIONARY-2'!$A$2,"100"," ",'DICTIONARY-2'!$A$3,"10/16")</f>
        <v>FORTE Filtr siatkowy DN100 PN10/16</v>
      </c>
      <c r="S2157" s="733" t="s">
        <v>5569</v>
      </c>
      <c r="T2157" s="732" t="s">
        <v>5569</v>
      </c>
      <c r="U2157" s="734" t="s">
        <v>5749</v>
      </c>
      <c r="V2157" s="735">
        <v>16</v>
      </c>
      <c r="W2157" s="736"/>
      <c r="X2157" s="737"/>
      <c r="Y2157" s="738"/>
      <c r="Z2157" s="739"/>
      <c r="AA2157" s="739"/>
      <c r="AB2157" s="740">
        <v>16</v>
      </c>
      <c r="AC2157" s="741" t="str">
        <f>'DICTIONARY-5'!$A$11&amp;" 1"</f>
        <v>EN 558 szereg 1</v>
      </c>
      <c r="AD2157" s="741" t="str">
        <f>'DICTIONARY-5'!$A$13</f>
        <v>woda pitna</v>
      </c>
      <c r="AE2157" s="742">
        <v>50</v>
      </c>
      <c r="AF2157" s="743">
        <v>28.5</v>
      </c>
      <c r="AG2157" s="741" t="str">
        <f>'DICTIONARY-5'!$A$23</f>
        <v>powłoka epoksydowa</v>
      </c>
    </row>
    <row r="2158" spans="1:33" x14ac:dyDescent="0.25">
      <c r="A2158" s="872" t="s">
        <v>1982</v>
      </c>
      <c r="B2158" s="872" t="s">
        <v>4243</v>
      </c>
      <c r="C2158" s="836">
        <v>426</v>
      </c>
      <c r="D2158" s="836"/>
      <c r="E2158" s="836"/>
      <c r="F2158" s="836"/>
      <c r="G2158" s="496" t="s">
        <v>7841</v>
      </c>
      <c r="H2158" s="797" t="str">
        <f>VLOOKUP(G2158,SETTINGS!$B$7:$D$97,2,0)</f>
        <v>FORTE</v>
      </c>
      <c r="I2158" s="796">
        <f>VLOOKUP(G2158,SETTINGS!$B$7:$D$97,3,0)</f>
        <v>0</v>
      </c>
      <c r="J2158" s="670" t="str">
        <f>IFERROR(IF(CURRENCY.FORMAT_1=0,CONCATENATE(TEXT(FIXED(ROUND((C2158/EXC.RATE_1),CURRENCY.FORMAT_1),CURRENCY.FORMAT_1,1),"# ##0;-# ##0"),",-"),FIXED(ROUND((C2158/EXC.RATE_1),CURRENCY.FORMAT_1),CURRENCY.FORMAT_1,0)),'DICTIONARY-5'!$A$2)</f>
        <v>426,-</v>
      </c>
      <c r="K2158" s="670" t="str">
        <f>IF(EXC.RATE_2=0,"",IFERROR(IF(CURRENCY.FORMAT_2=0,CONCATENATE(TEXT(FIXED(ROUND(IF(EXC.RATE.SWITCH=1,C2158/EXC.RATE_2,C2158*EXC.RATE_2),CURRENCY.FORMAT_2),CURRENCY.FORMAT_2,1),"# ##0;-# ##0"),",-"),FIXED(ROUND(IF(EXC.RATE.SWITCH=1,C2158/EXC.RATE_2,C2158*EXC.RATE_2),CURRENCY.FORMAT_2),CURRENCY.FORMAT_2,0)),'DICTIONARY-5'!$A$2))</f>
        <v/>
      </c>
      <c r="L2158" s="670" t="str">
        <f>IFERROR(IF(CURRENCY.FORMAT_1=0,CONCATENATE(TEXT(FIXED(ROUND((C2158*(1-I2158)*(1-ADD.DISCOUNT)*(1+MAT.SURCHARGE)/EXC.RATE_1),CURRENCY.FORMAT_1),CURRENCY.FORMAT_1,1),"# ##0;-# ##0"),",-"),FIXED(ROUND((C2158*(1-I2158)*(1-ADD.DISCOUNT)*(1+MAT.SURCHARGE)/EXC.RATE_1),CURRENCY.FORMAT_1),CURRENCY.FORMAT_1,0)),'DICTIONARY-5'!$A$2)</f>
        <v>443,-</v>
      </c>
      <c r="M2158" s="670" t="str">
        <f>IF(EXC.RATE_2=0,"",IFERROR(IF(CURRENCY.FORMAT_2=0,CONCATENATE(TEXT(FIXED(ROUND(IF(EXC.RATE.SWITCH=1,C2158*(1-I2158)*(1-ADD.DISCOUNT)*(1+MAT.SURCHARGE)/EXC.RATE_2,C2158*(1-I2158)*(1-ADD.DISCOUNT)*(1+MAT.SURCHARGE)*EXC.RATE_2),CURRENCY.FORMAT_2),CURRENCY.FORMAT_2,1),"# ##0;-# ##0"),",-"),FIXED(ROUND(IF(EXC.RATE.SWITCH=1,C2158*(1-I2158)*(1-ADD.DISCOUNT)*(1+MAT.SURCHARGE)/EXC.RATE_2,C2158*(1-I2158)*(1-ADD.DISCOUNT)*(1+MAT.SURCHARGE)*EXC.RATE_2),CURRENCY.FORMAT_2),CURRENCY.FORMAT_2,0)),'DICTIONARY-5'!$A$2))</f>
        <v/>
      </c>
      <c r="N2158" s="538">
        <v>10</v>
      </c>
      <c r="O2158" s="538"/>
      <c r="P2158" s="731" t="str">
        <f>'DICTIONARY-3'!$A$121</f>
        <v>FORTE</v>
      </c>
      <c r="Q2158" s="732" t="str">
        <f>'DICTIONARY-3'!$A$211</f>
        <v>Filtr siatkowy</v>
      </c>
      <c r="R2158" s="732" t="str">
        <f>CONCATENATE('DICTIONARY-3'!$A$121," ",'DICTIONARY-3'!$A$211," ",'DICTIONARY-2'!$A$2,"125"," ",'DICTIONARY-2'!$A$3,"10/16")</f>
        <v>FORTE Filtr siatkowy DN125 PN10/16</v>
      </c>
      <c r="S2158" s="733" t="s">
        <v>5569</v>
      </c>
      <c r="T2158" s="732" t="s">
        <v>5569</v>
      </c>
      <c r="U2158" s="734" t="s">
        <v>5761</v>
      </c>
      <c r="V2158" s="735">
        <v>16</v>
      </c>
      <c r="W2158" s="736"/>
      <c r="X2158" s="737"/>
      <c r="Y2158" s="738"/>
      <c r="Z2158" s="739"/>
      <c r="AA2158" s="739"/>
      <c r="AB2158" s="740">
        <v>16</v>
      </c>
      <c r="AC2158" s="741" t="str">
        <f>'DICTIONARY-5'!$A$11&amp;" 1"</f>
        <v>EN 558 szereg 1</v>
      </c>
      <c r="AD2158" s="741" t="str">
        <f>'DICTIONARY-5'!$A$13</f>
        <v>woda pitna</v>
      </c>
      <c r="AE2158" s="742">
        <v>50</v>
      </c>
      <c r="AF2158" s="743">
        <v>39</v>
      </c>
      <c r="AG2158" s="741" t="str">
        <f>'DICTIONARY-5'!$A$23</f>
        <v>powłoka epoksydowa</v>
      </c>
    </row>
    <row r="2159" spans="1:33" x14ac:dyDescent="0.25">
      <c r="A2159" s="872" t="s">
        <v>1984</v>
      </c>
      <c r="B2159" s="872" t="s">
        <v>4245</v>
      </c>
      <c r="C2159" s="836">
        <v>555</v>
      </c>
      <c r="D2159" s="836"/>
      <c r="E2159" s="836"/>
      <c r="F2159" s="836"/>
      <c r="G2159" s="496" t="s">
        <v>7841</v>
      </c>
      <c r="H2159" s="797" t="str">
        <f>VLOOKUP(G2159,SETTINGS!$B$7:$D$97,2,0)</f>
        <v>FORTE</v>
      </c>
      <c r="I2159" s="796">
        <f>VLOOKUP(G2159,SETTINGS!$B$7:$D$97,3,0)</f>
        <v>0</v>
      </c>
      <c r="J2159" s="670" t="str">
        <f>IFERROR(IF(CURRENCY.FORMAT_1=0,CONCATENATE(TEXT(FIXED(ROUND((C2159/EXC.RATE_1),CURRENCY.FORMAT_1),CURRENCY.FORMAT_1,1),"# ##0;-# ##0"),",-"),FIXED(ROUND((C2159/EXC.RATE_1),CURRENCY.FORMAT_1),CURRENCY.FORMAT_1,0)),'DICTIONARY-5'!$A$2)</f>
        <v>555,-</v>
      </c>
      <c r="K2159" s="670" t="str">
        <f>IF(EXC.RATE_2=0,"",IFERROR(IF(CURRENCY.FORMAT_2=0,CONCATENATE(TEXT(FIXED(ROUND(IF(EXC.RATE.SWITCH=1,C2159/EXC.RATE_2,C2159*EXC.RATE_2),CURRENCY.FORMAT_2),CURRENCY.FORMAT_2,1),"# ##0;-# ##0"),",-"),FIXED(ROUND(IF(EXC.RATE.SWITCH=1,C2159/EXC.RATE_2,C2159*EXC.RATE_2),CURRENCY.FORMAT_2),CURRENCY.FORMAT_2,0)),'DICTIONARY-5'!$A$2))</f>
        <v/>
      </c>
      <c r="L2159" s="670" t="str">
        <f>IFERROR(IF(CURRENCY.FORMAT_1=0,CONCATENATE(TEXT(FIXED(ROUND((C2159*(1-I2159)*(1-ADD.DISCOUNT)*(1+MAT.SURCHARGE)/EXC.RATE_1),CURRENCY.FORMAT_1),CURRENCY.FORMAT_1,1),"# ##0;-# ##0"),",-"),FIXED(ROUND((C2159*(1-I2159)*(1-ADD.DISCOUNT)*(1+MAT.SURCHARGE)/EXC.RATE_1),CURRENCY.FORMAT_1),CURRENCY.FORMAT_1,0)),'DICTIONARY-5'!$A$2)</f>
        <v>577,-</v>
      </c>
      <c r="M2159" s="670" t="str">
        <f>IF(EXC.RATE_2=0,"",IFERROR(IF(CURRENCY.FORMAT_2=0,CONCATENATE(TEXT(FIXED(ROUND(IF(EXC.RATE.SWITCH=1,C2159*(1-I2159)*(1-ADD.DISCOUNT)*(1+MAT.SURCHARGE)/EXC.RATE_2,C2159*(1-I2159)*(1-ADD.DISCOUNT)*(1+MAT.SURCHARGE)*EXC.RATE_2),CURRENCY.FORMAT_2),CURRENCY.FORMAT_2,1),"# ##0;-# ##0"),",-"),FIXED(ROUND(IF(EXC.RATE.SWITCH=1,C2159*(1-I2159)*(1-ADD.DISCOUNT)*(1+MAT.SURCHARGE)/EXC.RATE_2,C2159*(1-I2159)*(1-ADD.DISCOUNT)*(1+MAT.SURCHARGE)*EXC.RATE_2),CURRENCY.FORMAT_2),CURRENCY.FORMAT_2,0)),'DICTIONARY-5'!$A$2))</f>
        <v/>
      </c>
      <c r="N2159" s="538">
        <v>10</v>
      </c>
      <c r="O2159" s="538"/>
      <c r="P2159" s="731" t="str">
        <f>'DICTIONARY-3'!$A$121</f>
        <v>FORTE</v>
      </c>
      <c r="Q2159" s="732" t="str">
        <f>'DICTIONARY-3'!$A$211</f>
        <v>Filtr siatkowy</v>
      </c>
      <c r="R2159" s="732" t="str">
        <f>CONCATENATE('DICTIONARY-3'!$A$121," ",'DICTIONARY-3'!$A$211," ",'DICTIONARY-2'!$A$2,"150"," ",'DICTIONARY-2'!$A$3,"10/16")</f>
        <v>FORTE Filtr siatkowy DN150 PN10/16</v>
      </c>
      <c r="S2159" s="733" t="s">
        <v>5569</v>
      </c>
      <c r="T2159" s="732" t="s">
        <v>5569</v>
      </c>
      <c r="U2159" s="734" t="s">
        <v>5572</v>
      </c>
      <c r="V2159" s="735">
        <v>16</v>
      </c>
      <c r="W2159" s="736"/>
      <c r="X2159" s="737"/>
      <c r="Y2159" s="738"/>
      <c r="Z2159" s="739"/>
      <c r="AA2159" s="739"/>
      <c r="AB2159" s="740">
        <v>16</v>
      </c>
      <c r="AC2159" s="741" t="str">
        <f>'DICTIONARY-5'!$A$11&amp;" 1"</f>
        <v>EN 558 szereg 1</v>
      </c>
      <c r="AD2159" s="741" t="str">
        <f>'DICTIONARY-5'!$A$13</f>
        <v>woda pitna</v>
      </c>
      <c r="AE2159" s="742">
        <v>50</v>
      </c>
      <c r="AF2159" s="743">
        <v>63.5</v>
      </c>
      <c r="AG2159" s="741" t="str">
        <f>'DICTIONARY-5'!$A$23</f>
        <v>powłoka epoksydowa</v>
      </c>
    </row>
    <row r="2160" spans="1:33" x14ac:dyDescent="0.25">
      <c r="A2160" s="872" t="s">
        <v>1986</v>
      </c>
      <c r="B2160" s="872" t="s">
        <v>4226</v>
      </c>
      <c r="C2160" s="836">
        <v>1034</v>
      </c>
      <c r="D2160" s="836"/>
      <c r="E2160" s="836"/>
      <c r="F2160" s="836"/>
      <c r="G2160" s="496" t="s">
        <v>7841</v>
      </c>
      <c r="H2160" s="797" t="str">
        <f>VLOOKUP(G2160,SETTINGS!$B$7:$D$97,2,0)</f>
        <v>FORTE</v>
      </c>
      <c r="I2160" s="796">
        <f>VLOOKUP(G2160,SETTINGS!$B$7:$D$97,3,0)</f>
        <v>0</v>
      </c>
      <c r="J2160" s="670" t="str">
        <f>IFERROR(IF(CURRENCY.FORMAT_1=0,CONCATENATE(TEXT(FIXED(ROUND((C2160/EXC.RATE_1),CURRENCY.FORMAT_1),CURRENCY.FORMAT_1,1),"# ##0;-# ##0"),",-"),FIXED(ROUND((C2160/EXC.RATE_1),CURRENCY.FORMAT_1),CURRENCY.FORMAT_1,0)),'DICTIONARY-5'!$A$2)</f>
        <v>1 034,-</v>
      </c>
      <c r="K2160" s="670" t="str">
        <f>IF(EXC.RATE_2=0,"",IFERROR(IF(CURRENCY.FORMAT_2=0,CONCATENATE(TEXT(FIXED(ROUND(IF(EXC.RATE.SWITCH=1,C2160/EXC.RATE_2,C2160*EXC.RATE_2),CURRENCY.FORMAT_2),CURRENCY.FORMAT_2,1),"# ##0;-# ##0"),",-"),FIXED(ROUND(IF(EXC.RATE.SWITCH=1,C2160/EXC.RATE_2,C2160*EXC.RATE_2),CURRENCY.FORMAT_2),CURRENCY.FORMAT_2,0)),'DICTIONARY-5'!$A$2))</f>
        <v/>
      </c>
      <c r="L2160" s="670" t="str">
        <f>IFERROR(IF(CURRENCY.FORMAT_1=0,CONCATENATE(TEXT(FIXED(ROUND((C2160*(1-I2160)*(1-ADD.DISCOUNT)*(1+MAT.SURCHARGE)/EXC.RATE_1),CURRENCY.FORMAT_1),CURRENCY.FORMAT_1,1),"# ##0;-# ##0"),",-"),FIXED(ROUND((C2160*(1-I2160)*(1-ADD.DISCOUNT)*(1+MAT.SURCHARGE)/EXC.RATE_1),CURRENCY.FORMAT_1),CURRENCY.FORMAT_1,0)),'DICTIONARY-5'!$A$2)</f>
        <v>1 074,-</v>
      </c>
      <c r="M2160" s="670" t="str">
        <f>IF(EXC.RATE_2=0,"",IFERROR(IF(CURRENCY.FORMAT_2=0,CONCATENATE(TEXT(FIXED(ROUND(IF(EXC.RATE.SWITCH=1,C2160*(1-I2160)*(1-ADD.DISCOUNT)*(1+MAT.SURCHARGE)/EXC.RATE_2,C2160*(1-I2160)*(1-ADD.DISCOUNT)*(1+MAT.SURCHARGE)*EXC.RATE_2),CURRENCY.FORMAT_2),CURRENCY.FORMAT_2,1),"# ##0;-# ##0"),",-"),FIXED(ROUND(IF(EXC.RATE.SWITCH=1,C2160*(1-I2160)*(1-ADD.DISCOUNT)*(1+MAT.SURCHARGE)/EXC.RATE_2,C2160*(1-I2160)*(1-ADD.DISCOUNT)*(1+MAT.SURCHARGE)*EXC.RATE_2),CURRENCY.FORMAT_2),CURRENCY.FORMAT_2,0)),'DICTIONARY-5'!$A$2))</f>
        <v/>
      </c>
      <c r="N2160" s="538">
        <v>10</v>
      </c>
      <c r="O2160" s="538"/>
      <c r="P2160" s="731" t="str">
        <f>'DICTIONARY-3'!$A$121</f>
        <v>FORTE</v>
      </c>
      <c r="Q2160" s="732" t="str">
        <f>'DICTIONARY-3'!$A$211</f>
        <v>Filtr siatkowy</v>
      </c>
      <c r="R2160" s="732" t="str">
        <f>CONCATENATE('DICTIONARY-3'!$A$121," ",'DICTIONARY-3'!$A$211," ",'DICTIONARY-2'!$A$2,"200"," ",'DICTIONARY-2'!$A$3,"10"," ",LOWER('DICTIONARY-3'!$A$311))</f>
        <v>FORTE Filtr siatkowy DN200 PN10 z korkiem do czyszczenia</v>
      </c>
      <c r="S2160" s="733" t="s">
        <v>5569</v>
      </c>
      <c r="T2160" s="732" t="s">
        <v>5569</v>
      </c>
      <c r="U2160" s="734" t="s">
        <v>5750</v>
      </c>
      <c r="V2160" s="735">
        <v>10</v>
      </c>
      <c r="W2160" s="736"/>
      <c r="X2160" s="737"/>
      <c r="Y2160" s="738"/>
      <c r="Z2160" s="739"/>
      <c r="AA2160" s="739"/>
      <c r="AB2160" s="740">
        <v>10</v>
      </c>
      <c r="AC2160" s="741" t="str">
        <f>'DICTIONARY-5'!$A$11&amp;" 1"</f>
        <v>EN 558 szereg 1</v>
      </c>
      <c r="AD2160" s="741" t="str">
        <f>'DICTIONARY-5'!$A$13</f>
        <v>woda pitna</v>
      </c>
      <c r="AE2160" s="742">
        <v>50</v>
      </c>
      <c r="AF2160" s="743">
        <v>118</v>
      </c>
      <c r="AG2160" s="741" t="str">
        <f>'DICTIONARY-5'!$A$23</f>
        <v>powłoka epoksydowa</v>
      </c>
    </row>
    <row r="2161" spans="1:33" x14ac:dyDescent="0.25">
      <c r="A2161" s="872" t="s">
        <v>1988</v>
      </c>
      <c r="B2161" s="872" t="s">
        <v>4225</v>
      </c>
      <c r="C2161" s="836">
        <v>1049</v>
      </c>
      <c r="D2161" s="836"/>
      <c r="E2161" s="836"/>
      <c r="F2161" s="836"/>
      <c r="G2161" s="496" t="s">
        <v>7841</v>
      </c>
      <c r="H2161" s="797" t="str">
        <f>VLOOKUP(G2161,SETTINGS!$B$7:$D$97,2,0)</f>
        <v>FORTE</v>
      </c>
      <c r="I2161" s="796">
        <f>VLOOKUP(G2161,SETTINGS!$B$7:$D$97,3,0)</f>
        <v>0</v>
      </c>
      <c r="J2161" s="670" t="str">
        <f>IFERROR(IF(CURRENCY.FORMAT_1=0,CONCATENATE(TEXT(FIXED(ROUND((C2161/EXC.RATE_1),CURRENCY.FORMAT_1),CURRENCY.FORMAT_1,1),"# ##0;-# ##0"),",-"),FIXED(ROUND((C2161/EXC.RATE_1),CURRENCY.FORMAT_1),CURRENCY.FORMAT_1,0)),'DICTIONARY-5'!$A$2)</f>
        <v>1 049,-</v>
      </c>
      <c r="K2161" s="670" t="str">
        <f>IF(EXC.RATE_2=0,"",IFERROR(IF(CURRENCY.FORMAT_2=0,CONCATENATE(TEXT(FIXED(ROUND(IF(EXC.RATE.SWITCH=1,C2161/EXC.RATE_2,C2161*EXC.RATE_2),CURRENCY.FORMAT_2),CURRENCY.FORMAT_2,1),"# ##0;-# ##0"),",-"),FIXED(ROUND(IF(EXC.RATE.SWITCH=1,C2161/EXC.RATE_2,C2161*EXC.RATE_2),CURRENCY.FORMAT_2),CURRENCY.FORMAT_2,0)),'DICTIONARY-5'!$A$2))</f>
        <v/>
      </c>
      <c r="L2161" s="670" t="str">
        <f>IFERROR(IF(CURRENCY.FORMAT_1=0,CONCATENATE(TEXT(FIXED(ROUND((C2161*(1-I2161)*(1-ADD.DISCOUNT)*(1+MAT.SURCHARGE)/EXC.RATE_1),CURRENCY.FORMAT_1),CURRENCY.FORMAT_1,1),"# ##0;-# ##0"),",-"),FIXED(ROUND((C2161*(1-I2161)*(1-ADD.DISCOUNT)*(1+MAT.SURCHARGE)/EXC.RATE_1),CURRENCY.FORMAT_1),CURRENCY.FORMAT_1,0)),'DICTIONARY-5'!$A$2)</f>
        <v>1 090,-</v>
      </c>
      <c r="M2161" s="670" t="str">
        <f>IF(EXC.RATE_2=0,"",IFERROR(IF(CURRENCY.FORMAT_2=0,CONCATENATE(TEXT(FIXED(ROUND(IF(EXC.RATE.SWITCH=1,C2161*(1-I2161)*(1-ADD.DISCOUNT)*(1+MAT.SURCHARGE)/EXC.RATE_2,C2161*(1-I2161)*(1-ADD.DISCOUNT)*(1+MAT.SURCHARGE)*EXC.RATE_2),CURRENCY.FORMAT_2),CURRENCY.FORMAT_2,1),"# ##0;-# ##0"),",-"),FIXED(ROUND(IF(EXC.RATE.SWITCH=1,C2161*(1-I2161)*(1-ADD.DISCOUNT)*(1+MAT.SURCHARGE)/EXC.RATE_2,C2161*(1-I2161)*(1-ADD.DISCOUNT)*(1+MAT.SURCHARGE)*EXC.RATE_2),CURRENCY.FORMAT_2),CURRENCY.FORMAT_2,0)),'DICTIONARY-5'!$A$2))</f>
        <v/>
      </c>
      <c r="N2161" s="538">
        <v>10</v>
      </c>
      <c r="O2161" s="538"/>
      <c r="P2161" s="731" t="str">
        <f>'DICTIONARY-3'!$A$121</f>
        <v>FORTE</v>
      </c>
      <c r="Q2161" s="732" t="str">
        <f>'DICTIONARY-3'!$A$211</f>
        <v>Filtr siatkowy</v>
      </c>
      <c r="R2161" s="732" t="str">
        <f>CONCATENATE('DICTIONARY-3'!$A$121," ",'DICTIONARY-3'!$A$211," ",'DICTIONARY-2'!$A$2,"200"," ",'DICTIONARY-2'!$A$3,"16"," ",LOWER('DICTIONARY-3'!$A$311))</f>
        <v>FORTE Filtr siatkowy DN200 PN16 z korkiem do czyszczenia</v>
      </c>
      <c r="S2161" s="733" t="s">
        <v>5569</v>
      </c>
      <c r="T2161" s="732" t="s">
        <v>5569</v>
      </c>
      <c r="U2161" s="734" t="s">
        <v>5750</v>
      </c>
      <c r="V2161" s="735">
        <v>16</v>
      </c>
      <c r="W2161" s="736"/>
      <c r="X2161" s="737"/>
      <c r="Y2161" s="738"/>
      <c r="Z2161" s="739"/>
      <c r="AA2161" s="739"/>
      <c r="AB2161" s="740">
        <v>16</v>
      </c>
      <c r="AC2161" s="741" t="str">
        <f>'DICTIONARY-5'!$A$11&amp;" 1"</f>
        <v>EN 558 szereg 1</v>
      </c>
      <c r="AD2161" s="741" t="str">
        <f>'DICTIONARY-5'!$A$13</f>
        <v>woda pitna</v>
      </c>
      <c r="AE2161" s="742">
        <v>50</v>
      </c>
      <c r="AF2161" s="743">
        <v>119.5</v>
      </c>
      <c r="AG2161" s="741" t="str">
        <f>'DICTIONARY-5'!$A$23</f>
        <v>powłoka epoksydowa</v>
      </c>
    </row>
    <row r="2162" spans="1:33" x14ac:dyDescent="0.25">
      <c r="A2162" s="872" t="s">
        <v>1991</v>
      </c>
      <c r="B2162" s="872" t="s">
        <v>4230</v>
      </c>
      <c r="C2162" s="836">
        <v>2287</v>
      </c>
      <c r="D2162" s="836"/>
      <c r="E2162" s="836"/>
      <c r="F2162" s="836"/>
      <c r="G2162" s="496" t="s">
        <v>7841</v>
      </c>
      <c r="H2162" s="797" t="str">
        <f>VLOOKUP(G2162,SETTINGS!$B$7:$D$97,2,0)</f>
        <v>FORTE</v>
      </c>
      <c r="I2162" s="796">
        <f>VLOOKUP(G2162,SETTINGS!$B$7:$D$97,3,0)</f>
        <v>0</v>
      </c>
      <c r="J2162" s="670" t="str">
        <f>IFERROR(IF(CURRENCY.FORMAT_1=0,CONCATENATE(TEXT(FIXED(ROUND((C2162/EXC.RATE_1),CURRENCY.FORMAT_1),CURRENCY.FORMAT_1,1),"# ##0;-# ##0"),",-"),FIXED(ROUND((C2162/EXC.RATE_1),CURRENCY.FORMAT_1),CURRENCY.FORMAT_1,0)),'DICTIONARY-5'!$A$2)</f>
        <v>2 287,-</v>
      </c>
      <c r="K2162" s="670" t="str">
        <f>IF(EXC.RATE_2=0,"",IFERROR(IF(CURRENCY.FORMAT_2=0,CONCATENATE(TEXT(FIXED(ROUND(IF(EXC.RATE.SWITCH=1,C2162/EXC.RATE_2,C2162*EXC.RATE_2),CURRENCY.FORMAT_2),CURRENCY.FORMAT_2,1),"# ##0;-# ##0"),",-"),FIXED(ROUND(IF(EXC.RATE.SWITCH=1,C2162/EXC.RATE_2,C2162*EXC.RATE_2),CURRENCY.FORMAT_2),CURRENCY.FORMAT_2,0)),'DICTIONARY-5'!$A$2))</f>
        <v/>
      </c>
      <c r="L2162" s="670" t="str">
        <f>IFERROR(IF(CURRENCY.FORMAT_1=0,CONCATENATE(TEXT(FIXED(ROUND((C2162*(1-I2162)*(1-ADD.DISCOUNT)*(1+MAT.SURCHARGE)/EXC.RATE_1),CURRENCY.FORMAT_1),CURRENCY.FORMAT_1,1),"# ##0;-# ##0"),",-"),FIXED(ROUND((C2162*(1-I2162)*(1-ADD.DISCOUNT)*(1+MAT.SURCHARGE)/EXC.RATE_1),CURRENCY.FORMAT_1),CURRENCY.FORMAT_1,0)),'DICTIONARY-5'!$A$2)</f>
        <v>2 376,-</v>
      </c>
      <c r="M2162" s="670" t="str">
        <f>IF(EXC.RATE_2=0,"",IFERROR(IF(CURRENCY.FORMAT_2=0,CONCATENATE(TEXT(FIXED(ROUND(IF(EXC.RATE.SWITCH=1,C2162*(1-I2162)*(1-ADD.DISCOUNT)*(1+MAT.SURCHARGE)/EXC.RATE_2,C2162*(1-I2162)*(1-ADD.DISCOUNT)*(1+MAT.SURCHARGE)*EXC.RATE_2),CURRENCY.FORMAT_2),CURRENCY.FORMAT_2,1),"# ##0;-# ##0"),",-"),FIXED(ROUND(IF(EXC.RATE.SWITCH=1,C2162*(1-I2162)*(1-ADD.DISCOUNT)*(1+MAT.SURCHARGE)/EXC.RATE_2,C2162*(1-I2162)*(1-ADD.DISCOUNT)*(1+MAT.SURCHARGE)*EXC.RATE_2),CURRENCY.FORMAT_2),CURRENCY.FORMAT_2,0)),'DICTIONARY-5'!$A$2))</f>
        <v/>
      </c>
      <c r="N2162" s="538">
        <v>10</v>
      </c>
      <c r="O2162" s="538"/>
      <c r="P2162" s="731" t="str">
        <f>'DICTIONARY-3'!$A$121</f>
        <v>FORTE</v>
      </c>
      <c r="Q2162" s="732" t="str">
        <f>'DICTIONARY-3'!$A$211</f>
        <v>Filtr siatkowy</v>
      </c>
      <c r="R2162" s="732" t="str">
        <f>CONCATENATE('DICTIONARY-3'!$A$121," ",'DICTIONARY-3'!$A$211," ",'DICTIONARY-2'!$A$2,"250"," ",'DICTIONARY-2'!$A$3,"10"," ",LOWER('DICTIONARY-3'!$A$311))</f>
        <v>FORTE Filtr siatkowy DN250 PN10 z korkiem do czyszczenia</v>
      </c>
      <c r="S2162" s="733" t="s">
        <v>5569</v>
      </c>
      <c r="T2162" s="732" t="s">
        <v>5569</v>
      </c>
      <c r="U2162" s="734" t="s">
        <v>5751</v>
      </c>
      <c r="V2162" s="735">
        <v>10</v>
      </c>
      <c r="W2162" s="736"/>
      <c r="X2162" s="737"/>
      <c r="Y2162" s="738"/>
      <c r="Z2162" s="739"/>
      <c r="AA2162" s="739"/>
      <c r="AB2162" s="740">
        <v>10</v>
      </c>
      <c r="AC2162" s="741" t="str">
        <f>'DICTIONARY-5'!$A$11&amp;" 1"</f>
        <v>EN 558 szereg 1</v>
      </c>
      <c r="AD2162" s="741" t="str">
        <f>'DICTIONARY-5'!$A$13</f>
        <v>woda pitna</v>
      </c>
      <c r="AE2162" s="742">
        <v>50</v>
      </c>
      <c r="AF2162" s="743">
        <v>165.5</v>
      </c>
      <c r="AG2162" s="741" t="str">
        <f>'DICTIONARY-5'!$A$23</f>
        <v>powłoka epoksydowa</v>
      </c>
    </row>
    <row r="2163" spans="1:33" x14ac:dyDescent="0.25">
      <c r="A2163" s="872" t="s">
        <v>1993</v>
      </c>
      <c r="B2163" s="872" t="s">
        <v>4229</v>
      </c>
      <c r="C2163" s="836">
        <v>2296</v>
      </c>
      <c r="D2163" s="836"/>
      <c r="E2163" s="836"/>
      <c r="F2163" s="836"/>
      <c r="G2163" s="496" t="s">
        <v>7841</v>
      </c>
      <c r="H2163" s="797" t="str">
        <f>VLOOKUP(G2163,SETTINGS!$B$7:$D$97,2,0)</f>
        <v>FORTE</v>
      </c>
      <c r="I2163" s="796">
        <f>VLOOKUP(G2163,SETTINGS!$B$7:$D$97,3,0)</f>
        <v>0</v>
      </c>
      <c r="J2163" s="670" t="str">
        <f>IFERROR(IF(CURRENCY.FORMAT_1=0,CONCATENATE(TEXT(FIXED(ROUND((C2163/EXC.RATE_1),CURRENCY.FORMAT_1),CURRENCY.FORMAT_1,1),"# ##0;-# ##0"),",-"),FIXED(ROUND((C2163/EXC.RATE_1),CURRENCY.FORMAT_1),CURRENCY.FORMAT_1,0)),'DICTIONARY-5'!$A$2)</f>
        <v>2 296,-</v>
      </c>
      <c r="K2163" s="670" t="str">
        <f>IF(EXC.RATE_2=0,"",IFERROR(IF(CURRENCY.FORMAT_2=0,CONCATENATE(TEXT(FIXED(ROUND(IF(EXC.RATE.SWITCH=1,C2163/EXC.RATE_2,C2163*EXC.RATE_2),CURRENCY.FORMAT_2),CURRENCY.FORMAT_2,1),"# ##0;-# ##0"),",-"),FIXED(ROUND(IF(EXC.RATE.SWITCH=1,C2163/EXC.RATE_2,C2163*EXC.RATE_2),CURRENCY.FORMAT_2),CURRENCY.FORMAT_2,0)),'DICTIONARY-5'!$A$2))</f>
        <v/>
      </c>
      <c r="L2163" s="670" t="str">
        <f>IFERROR(IF(CURRENCY.FORMAT_1=0,CONCATENATE(TEXT(FIXED(ROUND((C2163*(1-I2163)*(1-ADD.DISCOUNT)*(1+MAT.SURCHARGE)/EXC.RATE_1),CURRENCY.FORMAT_1),CURRENCY.FORMAT_1,1),"# ##0;-# ##0"),",-"),FIXED(ROUND((C2163*(1-I2163)*(1-ADD.DISCOUNT)*(1+MAT.SURCHARGE)/EXC.RATE_1),CURRENCY.FORMAT_1),CURRENCY.FORMAT_1,0)),'DICTIONARY-5'!$A$2)</f>
        <v>2 386,-</v>
      </c>
      <c r="M2163" s="670" t="str">
        <f>IF(EXC.RATE_2=0,"",IFERROR(IF(CURRENCY.FORMAT_2=0,CONCATENATE(TEXT(FIXED(ROUND(IF(EXC.RATE.SWITCH=1,C2163*(1-I2163)*(1-ADD.DISCOUNT)*(1+MAT.SURCHARGE)/EXC.RATE_2,C2163*(1-I2163)*(1-ADD.DISCOUNT)*(1+MAT.SURCHARGE)*EXC.RATE_2),CURRENCY.FORMAT_2),CURRENCY.FORMAT_2,1),"# ##0;-# ##0"),",-"),FIXED(ROUND(IF(EXC.RATE.SWITCH=1,C2163*(1-I2163)*(1-ADD.DISCOUNT)*(1+MAT.SURCHARGE)/EXC.RATE_2,C2163*(1-I2163)*(1-ADD.DISCOUNT)*(1+MAT.SURCHARGE)*EXC.RATE_2),CURRENCY.FORMAT_2),CURRENCY.FORMAT_2,0)),'DICTIONARY-5'!$A$2))</f>
        <v/>
      </c>
      <c r="N2163" s="538">
        <v>10</v>
      </c>
      <c r="O2163" s="538"/>
      <c r="P2163" s="731" t="str">
        <f>'DICTIONARY-3'!$A$121</f>
        <v>FORTE</v>
      </c>
      <c r="Q2163" s="732" t="str">
        <f>'DICTIONARY-3'!$A$211</f>
        <v>Filtr siatkowy</v>
      </c>
      <c r="R2163" s="732" t="str">
        <f>CONCATENATE('DICTIONARY-3'!$A$121," ",'DICTIONARY-3'!$A$211," ",'DICTIONARY-2'!$A$2,"250"," ",'DICTIONARY-2'!$A$3,"16"," ",LOWER('DICTIONARY-3'!$A$311))</f>
        <v>FORTE Filtr siatkowy DN250 PN16 z korkiem do czyszczenia</v>
      </c>
      <c r="S2163" s="733" t="s">
        <v>5569</v>
      </c>
      <c r="T2163" s="732" t="s">
        <v>5569</v>
      </c>
      <c r="U2163" s="734" t="s">
        <v>5751</v>
      </c>
      <c r="V2163" s="735">
        <v>16</v>
      </c>
      <c r="W2163" s="736"/>
      <c r="X2163" s="737"/>
      <c r="Y2163" s="738"/>
      <c r="Z2163" s="739"/>
      <c r="AA2163" s="739"/>
      <c r="AB2163" s="740">
        <v>16</v>
      </c>
      <c r="AC2163" s="741" t="str">
        <f>'DICTIONARY-5'!$A$11&amp;" 1"</f>
        <v>EN 558 szereg 1</v>
      </c>
      <c r="AD2163" s="741" t="str">
        <f>'DICTIONARY-5'!$A$13</f>
        <v>woda pitna</v>
      </c>
      <c r="AE2163" s="742">
        <v>50</v>
      </c>
      <c r="AF2163" s="743">
        <v>164</v>
      </c>
      <c r="AG2163" s="741" t="str">
        <f>'DICTIONARY-5'!$A$23</f>
        <v>powłoka epoksydowa</v>
      </c>
    </row>
    <row r="2164" spans="1:33" x14ac:dyDescent="0.25">
      <c r="A2164" s="872" t="s">
        <v>1971</v>
      </c>
      <c r="B2164" s="872" t="s">
        <v>4232</v>
      </c>
      <c r="C2164" s="836">
        <v>132</v>
      </c>
      <c r="D2164" s="836"/>
      <c r="E2164" s="836"/>
      <c r="F2164" s="836"/>
      <c r="G2164" s="496" t="s">
        <v>7841</v>
      </c>
      <c r="H2164" s="797" t="str">
        <f>VLOOKUP(G2164,SETTINGS!$B$7:$D$97,2,0)</f>
        <v>FORTE</v>
      </c>
      <c r="I2164" s="796">
        <f>VLOOKUP(G2164,SETTINGS!$B$7:$D$97,3,0)</f>
        <v>0</v>
      </c>
      <c r="J2164" s="670" t="str">
        <f>IFERROR(IF(CURRENCY.FORMAT_1=0,CONCATENATE(TEXT(FIXED(ROUND((C2164/EXC.RATE_1),CURRENCY.FORMAT_1),CURRENCY.FORMAT_1,1),"# ##0;-# ##0"),",-"),FIXED(ROUND((C2164/EXC.RATE_1),CURRENCY.FORMAT_1),CURRENCY.FORMAT_1,0)),'DICTIONARY-5'!$A$2)</f>
        <v>132,-</v>
      </c>
      <c r="K2164" s="670" t="str">
        <f>IF(EXC.RATE_2=0,"",IFERROR(IF(CURRENCY.FORMAT_2=0,CONCATENATE(TEXT(FIXED(ROUND(IF(EXC.RATE.SWITCH=1,C2164/EXC.RATE_2,C2164*EXC.RATE_2),CURRENCY.FORMAT_2),CURRENCY.FORMAT_2,1),"# ##0;-# ##0"),",-"),FIXED(ROUND(IF(EXC.RATE.SWITCH=1,C2164/EXC.RATE_2,C2164*EXC.RATE_2),CURRENCY.FORMAT_2),CURRENCY.FORMAT_2,0)),'DICTIONARY-5'!$A$2))</f>
        <v/>
      </c>
      <c r="L2164" s="670" t="str">
        <f>IFERROR(IF(CURRENCY.FORMAT_1=0,CONCATENATE(TEXT(FIXED(ROUND((C2164*(1-I2164)*(1-ADD.DISCOUNT)*(1+MAT.SURCHARGE)/EXC.RATE_1),CURRENCY.FORMAT_1),CURRENCY.FORMAT_1,1),"# ##0;-# ##0"),",-"),FIXED(ROUND((C2164*(1-I2164)*(1-ADD.DISCOUNT)*(1+MAT.SURCHARGE)/EXC.RATE_1),CURRENCY.FORMAT_1),CURRENCY.FORMAT_1,0)),'DICTIONARY-5'!$A$2)</f>
        <v>137,-</v>
      </c>
      <c r="M2164" s="670" t="str">
        <f>IF(EXC.RATE_2=0,"",IFERROR(IF(CURRENCY.FORMAT_2=0,CONCATENATE(TEXT(FIXED(ROUND(IF(EXC.RATE.SWITCH=1,C2164*(1-I2164)*(1-ADD.DISCOUNT)*(1+MAT.SURCHARGE)/EXC.RATE_2,C2164*(1-I2164)*(1-ADD.DISCOUNT)*(1+MAT.SURCHARGE)*EXC.RATE_2),CURRENCY.FORMAT_2),CURRENCY.FORMAT_2,1),"# ##0;-# ##0"),",-"),FIXED(ROUND(IF(EXC.RATE.SWITCH=1,C2164*(1-I2164)*(1-ADD.DISCOUNT)*(1+MAT.SURCHARGE)/EXC.RATE_2,C2164*(1-I2164)*(1-ADD.DISCOUNT)*(1+MAT.SURCHARGE)*EXC.RATE_2),CURRENCY.FORMAT_2),CURRENCY.FORMAT_2,0)),'DICTIONARY-5'!$A$2))</f>
        <v/>
      </c>
      <c r="N2164" s="538">
        <v>10</v>
      </c>
      <c r="O2164" s="538"/>
      <c r="P2164" s="731" t="str">
        <f>'DICTIONARY-3'!$A$121</f>
        <v>FORTE</v>
      </c>
      <c r="Q2164" s="732" t="str">
        <f>'DICTIONARY-3'!$A$211</f>
        <v>Filtr siatkowy</v>
      </c>
      <c r="R2164" s="732" t="str">
        <f>CONCATENATE('DICTIONARY-3'!$A$121," ",'DICTIONARY-3'!$A$211," ",'DICTIONARY-2'!$A$2,"40"," ",'DICTIONARY-2'!$A$3,"10/16"," ",'DICTIONARY-6'!$A$36)</f>
        <v>FORTE Filtr siatkowy DN40 PN10/16 SYNT.</v>
      </c>
      <c r="S2164" s="733" t="s">
        <v>5569</v>
      </c>
      <c r="T2164" s="732" t="s">
        <v>5569</v>
      </c>
      <c r="U2164" s="734" t="s">
        <v>5758</v>
      </c>
      <c r="V2164" s="735">
        <v>16</v>
      </c>
      <c r="W2164" s="736"/>
      <c r="X2164" s="737"/>
      <c r="Y2164" s="738"/>
      <c r="Z2164" s="739"/>
      <c r="AA2164" s="739"/>
      <c r="AB2164" s="740">
        <v>16</v>
      </c>
      <c r="AC2164" s="741" t="str">
        <f>'DICTIONARY-5'!$A$11&amp;" 1"</f>
        <v>EN 558 szereg 1</v>
      </c>
      <c r="AD2164" s="733" t="str">
        <f>'DICTIONARY-5'!$A$17</f>
        <v>woda przemysłowa</v>
      </c>
      <c r="AE2164" s="742">
        <v>200</v>
      </c>
      <c r="AF2164" s="743">
        <v>8</v>
      </c>
      <c r="AG2164" s="733" t="str">
        <f>'DICTIONARY-5'!$A$24</f>
        <v>powłoka syntetyczna</v>
      </c>
    </row>
    <row r="2165" spans="1:33" x14ac:dyDescent="0.25">
      <c r="A2165" s="872" t="s">
        <v>1973</v>
      </c>
      <c r="B2165" s="872" t="s">
        <v>4234</v>
      </c>
      <c r="C2165" s="836">
        <v>156</v>
      </c>
      <c r="D2165" s="836"/>
      <c r="E2165" s="836"/>
      <c r="F2165" s="836"/>
      <c r="G2165" s="496" t="s">
        <v>7841</v>
      </c>
      <c r="H2165" s="797" t="str">
        <f>VLOOKUP(G2165,SETTINGS!$B$7:$D$97,2,0)</f>
        <v>FORTE</v>
      </c>
      <c r="I2165" s="796">
        <f>VLOOKUP(G2165,SETTINGS!$B$7:$D$97,3,0)</f>
        <v>0</v>
      </c>
      <c r="J2165" s="670" t="str">
        <f>IFERROR(IF(CURRENCY.FORMAT_1=0,CONCATENATE(TEXT(FIXED(ROUND((C2165/EXC.RATE_1),CURRENCY.FORMAT_1),CURRENCY.FORMAT_1,1),"# ##0;-# ##0"),",-"),FIXED(ROUND((C2165/EXC.RATE_1),CURRENCY.FORMAT_1),CURRENCY.FORMAT_1,0)),'DICTIONARY-5'!$A$2)</f>
        <v>156,-</v>
      </c>
      <c r="K2165" s="670" t="str">
        <f>IF(EXC.RATE_2=0,"",IFERROR(IF(CURRENCY.FORMAT_2=0,CONCATENATE(TEXT(FIXED(ROUND(IF(EXC.RATE.SWITCH=1,C2165/EXC.RATE_2,C2165*EXC.RATE_2),CURRENCY.FORMAT_2),CURRENCY.FORMAT_2,1),"# ##0;-# ##0"),",-"),FIXED(ROUND(IF(EXC.RATE.SWITCH=1,C2165/EXC.RATE_2,C2165*EXC.RATE_2),CURRENCY.FORMAT_2),CURRENCY.FORMAT_2,0)),'DICTIONARY-5'!$A$2))</f>
        <v/>
      </c>
      <c r="L2165" s="670" t="str">
        <f>IFERROR(IF(CURRENCY.FORMAT_1=0,CONCATENATE(TEXT(FIXED(ROUND((C2165*(1-I2165)*(1-ADD.DISCOUNT)*(1+MAT.SURCHARGE)/EXC.RATE_1),CURRENCY.FORMAT_1),CURRENCY.FORMAT_1,1),"# ##0;-# ##0"),",-"),FIXED(ROUND((C2165*(1-I2165)*(1-ADD.DISCOUNT)*(1+MAT.SURCHARGE)/EXC.RATE_1),CURRENCY.FORMAT_1),CURRENCY.FORMAT_1,0)),'DICTIONARY-5'!$A$2)</f>
        <v>162,-</v>
      </c>
      <c r="M2165" s="670" t="str">
        <f>IF(EXC.RATE_2=0,"",IFERROR(IF(CURRENCY.FORMAT_2=0,CONCATENATE(TEXT(FIXED(ROUND(IF(EXC.RATE.SWITCH=1,C2165*(1-I2165)*(1-ADD.DISCOUNT)*(1+MAT.SURCHARGE)/EXC.RATE_2,C2165*(1-I2165)*(1-ADD.DISCOUNT)*(1+MAT.SURCHARGE)*EXC.RATE_2),CURRENCY.FORMAT_2),CURRENCY.FORMAT_2,1),"# ##0;-# ##0"),",-"),FIXED(ROUND(IF(EXC.RATE.SWITCH=1,C2165*(1-I2165)*(1-ADD.DISCOUNT)*(1+MAT.SURCHARGE)/EXC.RATE_2,C2165*(1-I2165)*(1-ADD.DISCOUNT)*(1+MAT.SURCHARGE)*EXC.RATE_2),CURRENCY.FORMAT_2),CURRENCY.FORMAT_2,0)),'DICTIONARY-5'!$A$2))</f>
        <v/>
      </c>
      <c r="N2165" s="538">
        <v>10</v>
      </c>
      <c r="O2165" s="538"/>
      <c r="P2165" s="731" t="str">
        <f>'DICTIONARY-3'!$A$121</f>
        <v>FORTE</v>
      </c>
      <c r="Q2165" s="732" t="str">
        <f>'DICTIONARY-3'!$A$211</f>
        <v>Filtr siatkowy</v>
      </c>
      <c r="R2165" s="732" t="str">
        <f>CONCATENATE('DICTIONARY-3'!$A$121," ",'DICTIONARY-3'!$A$211," ",'DICTIONARY-2'!$A$2,"50"," ",'DICTIONARY-2'!$A$3,"10/16"," ",'DICTIONARY-6'!$A$36)</f>
        <v>FORTE Filtr siatkowy DN50 PN10/16 SYNT.</v>
      </c>
      <c r="S2165" s="733" t="s">
        <v>5569</v>
      </c>
      <c r="T2165" s="732" t="s">
        <v>5569</v>
      </c>
      <c r="U2165" s="734" t="s">
        <v>5748</v>
      </c>
      <c r="V2165" s="735">
        <v>16</v>
      </c>
      <c r="W2165" s="736"/>
      <c r="X2165" s="737"/>
      <c r="Y2165" s="738"/>
      <c r="Z2165" s="739"/>
      <c r="AA2165" s="739"/>
      <c r="AB2165" s="740">
        <v>16</v>
      </c>
      <c r="AC2165" s="741" t="str">
        <f>'DICTIONARY-5'!$A$11&amp;" 1"</f>
        <v>EN 558 szereg 1</v>
      </c>
      <c r="AD2165" s="733" t="str">
        <f>'DICTIONARY-5'!$A$17</f>
        <v>woda przemysłowa</v>
      </c>
      <c r="AE2165" s="742">
        <v>200</v>
      </c>
      <c r="AF2165" s="743">
        <v>10.5</v>
      </c>
      <c r="AG2165" s="733" t="str">
        <f>'DICTIONARY-5'!$A$24</f>
        <v>powłoka syntetyczna</v>
      </c>
    </row>
    <row r="2166" spans="1:33" x14ac:dyDescent="0.25">
      <c r="A2166" s="872" t="s">
        <v>1975</v>
      </c>
      <c r="B2166" s="872" t="s">
        <v>4236</v>
      </c>
      <c r="C2166" s="836">
        <v>213</v>
      </c>
      <c r="D2166" s="836"/>
      <c r="E2166" s="836"/>
      <c r="F2166" s="836"/>
      <c r="G2166" s="496" t="s">
        <v>7841</v>
      </c>
      <c r="H2166" s="797" t="str">
        <f>VLOOKUP(G2166,SETTINGS!$B$7:$D$97,2,0)</f>
        <v>FORTE</v>
      </c>
      <c r="I2166" s="796">
        <f>VLOOKUP(G2166,SETTINGS!$B$7:$D$97,3,0)</f>
        <v>0</v>
      </c>
      <c r="J2166" s="670" t="str">
        <f>IFERROR(IF(CURRENCY.FORMAT_1=0,CONCATENATE(TEXT(FIXED(ROUND((C2166/EXC.RATE_1),CURRENCY.FORMAT_1),CURRENCY.FORMAT_1,1),"# ##0;-# ##0"),",-"),FIXED(ROUND((C2166/EXC.RATE_1),CURRENCY.FORMAT_1),CURRENCY.FORMAT_1,0)),'DICTIONARY-5'!$A$2)</f>
        <v>213,-</v>
      </c>
      <c r="K2166" s="670" t="str">
        <f>IF(EXC.RATE_2=0,"",IFERROR(IF(CURRENCY.FORMAT_2=0,CONCATENATE(TEXT(FIXED(ROUND(IF(EXC.RATE.SWITCH=1,C2166/EXC.RATE_2,C2166*EXC.RATE_2),CURRENCY.FORMAT_2),CURRENCY.FORMAT_2,1),"# ##0;-# ##0"),",-"),FIXED(ROUND(IF(EXC.RATE.SWITCH=1,C2166/EXC.RATE_2,C2166*EXC.RATE_2),CURRENCY.FORMAT_2),CURRENCY.FORMAT_2,0)),'DICTIONARY-5'!$A$2))</f>
        <v/>
      </c>
      <c r="L2166" s="670" t="str">
        <f>IFERROR(IF(CURRENCY.FORMAT_1=0,CONCATENATE(TEXT(FIXED(ROUND((C2166*(1-I2166)*(1-ADD.DISCOUNT)*(1+MAT.SURCHARGE)/EXC.RATE_1),CURRENCY.FORMAT_1),CURRENCY.FORMAT_1,1),"# ##0;-# ##0"),",-"),FIXED(ROUND((C2166*(1-I2166)*(1-ADD.DISCOUNT)*(1+MAT.SURCHARGE)/EXC.RATE_1),CURRENCY.FORMAT_1),CURRENCY.FORMAT_1,0)),'DICTIONARY-5'!$A$2)</f>
        <v>221,-</v>
      </c>
      <c r="M2166" s="670" t="str">
        <f>IF(EXC.RATE_2=0,"",IFERROR(IF(CURRENCY.FORMAT_2=0,CONCATENATE(TEXT(FIXED(ROUND(IF(EXC.RATE.SWITCH=1,C2166*(1-I2166)*(1-ADD.DISCOUNT)*(1+MAT.SURCHARGE)/EXC.RATE_2,C2166*(1-I2166)*(1-ADD.DISCOUNT)*(1+MAT.SURCHARGE)*EXC.RATE_2),CURRENCY.FORMAT_2),CURRENCY.FORMAT_2,1),"# ##0;-# ##0"),",-"),FIXED(ROUND(IF(EXC.RATE.SWITCH=1,C2166*(1-I2166)*(1-ADD.DISCOUNT)*(1+MAT.SURCHARGE)/EXC.RATE_2,C2166*(1-I2166)*(1-ADD.DISCOUNT)*(1+MAT.SURCHARGE)*EXC.RATE_2),CURRENCY.FORMAT_2),CURRENCY.FORMAT_2,0)),'DICTIONARY-5'!$A$2))</f>
        <v/>
      </c>
      <c r="N2166" s="538">
        <v>10</v>
      </c>
      <c r="O2166" s="538"/>
      <c r="P2166" s="731" t="str">
        <f>'DICTIONARY-3'!$A$121</f>
        <v>FORTE</v>
      </c>
      <c r="Q2166" s="732" t="str">
        <f>'DICTIONARY-3'!$A$211</f>
        <v>Filtr siatkowy</v>
      </c>
      <c r="R2166" s="732" t="str">
        <f>CONCATENATE('DICTIONARY-3'!$A$121," ",'DICTIONARY-3'!$A$211," ",'DICTIONARY-2'!$A$2,"65"," ",'DICTIONARY-2'!$A$3,"10/16"," ",'DICTIONARY-6'!$A$36)</f>
        <v>FORTE Filtr siatkowy DN65 PN10/16 SYNT.</v>
      </c>
      <c r="S2166" s="733" t="s">
        <v>5569</v>
      </c>
      <c r="T2166" s="732" t="s">
        <v>5569</v>
      </c>
      <c r="U2166" s="734" t="s">
        <v>5759</v>
      </c>
      <c r="V2166" s="735">
        <v>16</v>
      </c>
      <c r="W2166" s="736"/>
      <c r="X2166" s="737"/>
      <c r="Y2166" s="738"/>
      <c r="Z2166" s="739"/>
      <c r="AA2166" s="739"/>
      <c r="AB2166" s="740">
        <v>16</v>
      </c>
      <c r="AC2166" s="741" t="str">
        <f>'DICTIONARY-5'!$A$11&amp;" 1"</f>
        <v>EN 558 szereg 1</v>
      </c>
      <c r="AD2166" s="733" t="str">
        <f>'DICTIONARY-5'!$A$17</f>
        <v>woda przemysłowa</v>
      </c>
      <c r="AE2166" s="742">
        <v>200</v>
      </c>
      <c r="AF2166" s="743">
        <v>17</v>
      </c>
      <c r="AG2166" s="733" t="str">
        <f>'DICTIONARY-5'!$A$24</f>
        <v>powłoka syntetyczna</v>
      </c>
    </row>
    <row r="2167" spans="1:33" x14ac:dyDescent="0.25">
      <c r="A2167" s="872" t="s">
        <v>1977</v>
      </c>
      <c r="B2167" s="872" t="s">
        <v>4238</v>
      </c>
      <c r="C2167" s="836">
        <v>247</v>
      </c>
      <c r="D2167" s="836"/>
      <c r="E2167" s="836"/>
      <c r="F2167" s="836"/>
      <c r="G2167" s="496" t="s">
        <v>7841</v>
      </c>
      <c r="H2167" s="797" t="str">
        <f>VLOOKUP(G2167,SETTINGS!$B$7:$D$97,2,0)</f>
        <v>FORTE</v>
      </c>
      <c r="I2167" s="796">
        <f>VLOOKUP(G2167,SETTINGS!$B$7:$D$97,3,0)</f>
        <v>0</v>
      </c>
      <c r="J2167" s="670" t="str">
        <f>IFERROR(IF(CURRENCY.FORMAT_1=0,CONCATENATE(TEXT(FIXED(ROUND((C2167/EXC.RATE_1),CURRENCY.FORMAT_1),CURRENCY.FORMAT_1,1),"# ##0;-# ##0"),",-"),FIXED(ROUND((C2167/EXC.RATE_1),CURRENCY.FORMAT_1),CURRENCY.FORMAT_1,0)),'DICTIONARY-5'!$A$2)</f>
        <v>247,-</v>
      </c>
      <c r="K2167" s="670" t="str">
        <f>IF(EXC.RATE_2=0,"",IFERROR(IF(CURRENCY.FORMAT_2=0,CONCATENATE(TEXT(FIXED(ROUND(IF(EXC.RATE.SWITCH=1,C2167/EXC.RATE_2,C2167*EXC.RATE_2),CURRENCY.FORMAT_2),CURRENCY.FORMAT_2,1),"# ##0;-# ##0"),",-"),FIXED(ROUND(IF(EXC.RATE.SWITCH=1,C2167/EXC.RATE_2,C2167*EXC.RATE_2),CURRENCY.FORMAT_2),CURRENCY.FORMAT_2,0)),'DICTIONARY-5'!$A$2))</f>
        <v/>
      </c>
      <c r="L2167" s="670" t="str">
        <f>IFERROR(IF(CURRENCY.FORMAT_1=0,CONCATENATE(TEXT(FIXED(ROUND((C2167*(1-I2167)*(1-ADD.DISCOUNT)*(1+MAT.SURCHARGE)/EXC.RATE_1),CURRENCY.FORMAT_1),CURRENCY.FORMAT_1,1),"# ##0;-# ##0"),",-"),FIXED(ROUND((C2167*(1-I2167)*(1-ADD.DISCOUNT)*(1+MAT.SURCHARGE)/EXC.RATE_1),CURRENCY.FORMAT_1),CURRENCY.FORMAT_1,0)),'DICTIONARY-5'!$A$2)</f>
        <v>257,-</v>
      </c>
      <c r="M2167" s="670" t="str">
        <f>IF(EXC.RATE_2=0,"",IFERROR(IF(CURRENCY.FORMAT_2=0,CONCATENATE(TEXT(FIXED(ROUND(IF(EXC.RATE.SWITCH=1,C2167*(1-I2167)*(1-ADD.DISCOUNT)*(1+MAT.SURCHARGE)/EXC.RATE_2,C2167*(1-I2167)*(1-ADD.DISCOUNT)*(1+MAT.SURCHARGE)*EXC.RATE_2),CURRENCY.FORMAT_2),CURRENCY.FORMAT_2,1),"# ##0;-# ##0"),",-"),FIXED(ROUND(IF(EXC.RATE.SWITCH=1,C2167*(1-I2167)*(1-ADD.DISCOUNT)*(1+MAT.SURCHARGE)/EXC.RATE_2,C2167*(1-I2167)*(1-ADD.DISCOUNT)*(1+MAT.SURCHARGE)*EXC.RATE_2),CURRENCY.FORMAT_2),CURRENCY.FORMAT_2,0)),'DICTIONARY-5'!$A$2))</f>
        <v/>
      </c>
      <c r="N2167" s="538">
        <v>10</v>
      </c>
      <c r="O2167" s="538"/>
      <c r="P2167" s="731" t="str">
        <f>'DICTIONARY-3'!$A$121</f>
        <v>FORTE</v>
      </c>
      <c r="Q2167" s="732" t="str">
        <f>'DICTIONARY-3'!$A$211</f>
        <v>Filtr siatkowy</v>
      </c>
      <c r="R2167" s="732" t="str">
        <f>CONCATENATE('DICTIONARY-3'!$A$121," ",'DICTIONARY-3'!$A$211," ",'DICTIONARY-2'!$A$2,"80"," ",'DICTIONARY-2'!$A$3,"10/16"," ",'DICTIONARY-6'!$A$36)</f>
        <v>FORTE Filtr siatkowy DN80 PN10/16 SYNT.</v>
      </c>
      <c r="S2167" s="733" t="s">
        <v>5569</v>
      </c>
      <c r="T2167" s="732" t="s">
        <v>5569</v>
      </c>
      <c r="U2167" s="734" t="s">
        <v>5760</v>
      </c>
      <c r="V2167" s="735">
        <v>16</v>
      </c>
      <c r="W2167" s="736"/>
      <c r="X2167" s="737"/>
      <c r="Y2167" s="738"/>
      <c r="Z2167" s="739"/>
      <c r="AA2167" s="739"/>
      <c r="AB2167" s="740">
        <v>16</v>
      </c>
      <c r="AC2167" s="741" t="str">
        <f>'DICTIONARY-5'!$A$11&amp;" 1"</f>
        <v>EN 558 szereg 1</v>
      </c>
      <c r="AD2167" s="733" t="str">
        <f>'DICTIONARY-5'!$A$17</f>
        <v>woda przemysłowa</v>
      </c>
      <c r="AE2167" s="742">
        <v>200</v>
      </c>
      <c r="AF2167" s="743">
        <v>18.5</v>
      </c>
      <c r="AG2167" s="733" t="str">
        <f>'DICTIONARY-5'!$A$24</f>
        <v>powłoka syntetyczna</v>
      </c>
    </row>
    <row r="2168" spans="1:33" x14ac:dyDescent="0.25">
      <c r="A2168" s="872" t="s">
        <v>1979</v>
      </c>
      <c r="B2168" s="872" t="s">
        <v>4240</v>
      </c>
      <c r="C2168" s="836">
        <v>284</v>
      </c>
      <c r="D2168" s="836"/>
      <c r="E2168" s="836"/>
      <c r="F2168" s="836"/>
      <c r="G2168" s="496" t="s">
        <v>7841</v>
      </c>
      <c r="H2168" s="797" t="str">
        <f>VLOOKUP(G2168,SETTINGS!$B$7:$D$97,2,0)</f>
        <v>FORTE</v>
      </c>
      <c r="I2168" s="796">
        <f>VLOOKUP(G2168,SETTINGS!$B$7:$D$97,3,0)</f>
        <v>0</v>
      </c>
      <c r="J2168" s="670" t="str">
        <f>IFERROR(IF(CURRENCY.FORMAT_1=0,CONCATENATE(TEXT(FIXED(ROUND((C2168/EXC.RATE_1),CURRENCY.FORMAT_1),CURRENCY.FORMAT_1,1),"# ##0;-# ##0"),",-"),FIXED(ROUND((C2168/EXC.RATE_1),CURRENCY.FORMAT_1),CURRENCY.FORMAT_1,0)),'DICTIONARY-5'!$A$2)</f>
        <v>284,-</v>
      </c>
      <c r="K2168" s="670" t="str">
        <f>IF(EXC.RATE_2=0,"",IFERROR(IF(CURRENCY.FORMAT_2=0,CONCATENATE(TEXT(FIXED(ROUND(IF(EXC.RATE.SWITCH=1,C2168/EXC.RATE_2,C2168*EXC.RATE_2),CURRENCY.FORMAT_2),CURRENCY.FORMAT_2,1),"# ##0;-# ##0"),",-"),FIXED(ROUND(IF(EXC.RATE.SWITCH=1,C2168/EXC.RATE_2,C2168*EXC.RATE_2),CURRENCY.FORMAT_2),CURRENCY.FORMAT_2,0)),'DICTIONARY-5'!$A$2))</f>
        <v/>
      </c>
      <c r="L2168" s="670" t="str">
        <f>IFERROR(IF(CURRENCY.FORMAT_1=0,CONCATENATE(TEXT(FIXED(ROUND((C2168*(1-I2168)*(1-ADD.DISCOUNT)*(1+MAT.SURCHARGE)/EXC.RATE_1),CURRENCY.FORMAT_1),CURRENCY.FORMAT_1,1),"# ##0;-# ##0"),",-"),FIXED(ROUND((C2168*(1-I2168)*(1-ADD.DISCOUNT)*(1+MAT.SURCHARGE)/EXC.RATE_1),CURRENCY.FORMAT_1),CURRENCY.FORMAT_1,0)),'DICTIONARY-5'!$A$2)</f>
        <v>295,-</v>
      </c>
      <c r="M2168" s="670" t="str">
        <f>IF(EXC.RATE_2=0,"",IFERROR(IF(CURRENCY.FORMAT_2=0,CONCATENATE(TEXT(FIXED(ROUND(IF(EXC.RATE.SWITCH=1,C2168*(1-I2168)*(1-ADD.DISCOUNT)*(1+MAT.SURCHARGE)/EXC.RATE_2,C2168*(1-I2168)*(1-ADD.DISCOUNT)*(1+MAT.SURCHARGE)*EXC.RATE_2),CURRENCY.FORMAT_2),CURRENCY.FORMAT_2,1),"# ##0;-# ##0"),",-"),FIXED(ROUND(IF(EXC.RATE.SWITCH=1,C2168*(1-I2168)*(1-ADD.DISCOUNT)*(1+MAT.SURCHARGE)/EXC.RATE_2,C2168*(1-I2168)*(1-ADD.DISCOUNT)*(1+MAT.SURCHARGE)*EXC.RATE_2),CURRENCY.FORMAT_2),CURRENCY.FORMAT_2,0)),'DICTIONARY-5'!$A$2))</f>
        <v/>
      </c>
      <c r="N2168" s="538">
        <v>10</v>
      </c>
      <c r="O2168" s="538"/>
      <c r="P2168" s="731" t="str">
        <f>'DICTIONARY-3'!$A$121</f>
        <v>FORTE</v>
      </c>
      <c r="Q2168" s="732" t="str">
        <f>'DICTIONARY-3'!$A$211</f>
        <v>Filtr siatkowy</v>
      </c>
      <c r="R2168" s="732" t="str">
        <f>CONCATENATE('DICTIONARY-3'!$A$121," ",'DICTIONARY-3'!$A$211," ",'DICTIONARY-2'!$A$2,"100"," ",'DICTIONARY-2'!$A$3,"10/16"," ",'DICTIONARY-6'!$A$36)</f>
        <v>FORTE Filtr siatkowy DN100 PN10/16 SYNT.</v>
      </c>
      <c r="S2168" s="733" t="s">
        <v>5569</v>
      </c>
      <c r="T2168" s="732" t="s">
        <v>5569</v>
      </c>
      <c r="U2168" s="734" t="s">
        <v>5749</v>
      </c>
      <c r="V2168" s="735">
        <v>16</v>
      </c>
      <c r="W2168" s="736"/>
      <c r="X2168" s="737"/>
      <c r="Y2168" s="738"/>
      <c r="Z2168" s="739"/>
      <c r="AA2168" s="739"/>
      <c r="AB2168" s="740">
        <v>16</v>
      </c>
      <c r="AC2168" s="741" t="str">
        <f>'DICTIONARY-5'!$A$11&amp;" 1"</f>
        <v>EN 558 szereg 1</v>
      </c>
      <c r="AD2168" s="733" t="str">
        <f>'DICTIONARY-5'!$A$17</f>
        <v>woda przemysłowa</v>
      </c>
      <c r="AE2168" s="742">
        <v>200</v>
      </c>
      <c r="AF2168" s="743">
        <v>28</v>
      </c>
      <c r="AG2168" s="733" t="str">
        <f>'DICTIONARY-5'!$A$24</f>
        <v>powłoka syntetyczna</v>
      </c>
    </row>
    <row r="2169" spans="1:33" x14ac:dyDescent="0.25">
      <c r="A2169" s="872" t="s">
        <v>1981</v>
      </c>
      <c r="B2169" s="872" t="s">
        <v>4242</v>
      </c>
      <c r="C2169" s="836">
        <v>463</v>
      </c>
      <c r="D2169" s="836"/>
      <c r="E2169" s="836"/>
      <c r="F2169" s="836"/>
      <c r="G2169" s="496" t="s">
        <v>7841</v>
      </c>
      <c r="H2169" s="797" t="str">
        <f>VLOOKUP(G2169,SETTINGS!$B$7:$D$97,2,0)</f>
        <v>FORTE</v>
      </c>
      <c r="I2169" s="796">
        <f>VLOOKUP(G2169,SETTINGS!$B$7:$D$97,3,0)</f>
        <v>0</v>
      </c>
      <c r="J2169" s="670" t="str">
        <f>IFERROR(IF(CURRENCY.FORMAT_1=0,CONCATENATE(TEXT(FIXED(ROUND((C2169/EXC.RATE_1),CURRENCY.FORMAT_1),CURRENCY.FORMAT_1,1),"# ##0;-# ##0"),",-"),FIXED(ROUND((C2169/EXC.RATE_1),CURRENCY.FORMAT_1),CURRENCY.FORMAT_1,0)),'DICTIONARY-5'!$A$2)</f>
        <v>463,-</v>
      </c>
      <c r="K2169" s="670" t="str">
        <f>IF(EXC.RATE_2=0,"",IFERROR(IF(CURRENCY.FORMAT_2=0,CONCATENATE(TEXT(FIXED(ROUND(IF(EXC.RATE.SWITCH=1,C2169/EXC.RATE_2,C2169*EXC.RATE_2),CURRENCY.FORMAT_2),CURRENCY.FORMAT_2,1),"# ##0;-# ##0"),",-"),FIXED(ROUND(IF(EXC.RATE.SWITCH=1,C2169/EXC.RATE_2,C2169*EXC.RATE_2),CURRENCY.FORMAT_2),CURRENCY.FORMAT_2,0)),'DICTIONARY-5'!$A$2))</f>
        <v/>
      </c>
      <c r="L2169" s="670" t="str">
        <f>IFERROR(IF(CURRENCY.FORMAT_1=0,CONCATENATE(TEXT(FIXED(ROUND((C2169*(1-I2169)*(1-ADD.DISCOUNT)*(1+MAT.SURCHARGE)/EXC.RATE_1),CURRENCY.FORMAT_1),CURRENCY.FORMAT_1,1),"# ##0;-# ##0"),",-"),FIXED(ROUND((C2169*(1-I2169)*(1-ADD.DISCOUNT)*(1+MAT.SURCHARGE)/EXC.RATE_1),CURRENCY.FORMAT_1),CURRENCY.FORMAT_1,0)),'DICTIONARY-5'!$A$2)</f>
        <v>481,-</v>
      </c>
      <c r="M2169" s="670" t="str">
        <f>IF(EXC.RATE_2=0,"",IFERROR(IF(CURRENCY.FORMAT_2=0,CONCATENATE(TEXT(FIXED(ROUND(IF(EXC.RATE.SWITCH=1,C2169*(1-I2169)*(1-ADD.DISCOUNT)*(1+MAT.SURCHARGE)/EXC.RATE_2,C2169*(1-I2169)*(1-ADD.DISCOUNT)*(1+MAT.SURCHARGE)*EXC.RATE_2),CURRENCY.FORMAT_2),CURRENCY.FORMAT_2,1),"# ##0;-# ##0"),",-"),FIXED(ROUND(IF(EXC.RATE.SWITCH=1,C2169*(1-I2169)*(1-ADD.DISCOUNT)*(1+MAT.SURCHARGE)/EXC.RATE_2,C2169*(1-I2169)*(1-ADD.DISCOUNT)*(1+MAT.SURCHARGE)*EXC.RATE_2),CURRENCY.FORMAT_2),CURRENCY.FORMAT_2,0)),'DICTIONARY-5'!$A$2))</f>
        <v/>
      </c>
      <c r="N2169" s="538">
        <v>10</v>
      </c>
      <c r="O2169" s="538"/>
      <c r="P2169" s="731" t="str">
        <f>'DICTIONARY-3'!$A$121</f>
        <v>FORTE</v>
      </c>
      <c r="Q2169" s="732" t="str">
        <f>'DICTIONARY-3'!$A$211</f>
        <v>Filtr siatkowy</v>
      </c>
      <c r="R2169" s="732" t="str">
        <f>CONCATENATE('DICTIONARY-3'!$A$121," ",'DICTIONARY-3'!$A$211," ",'DICTIONARY-2'!$A$2,"125"," ",'DICTIONARY-2'!$A$3,"10/16"," ",'DICTIONARY-6'!$A$36)</f>
        <v>FORTE Filtr siatkowy DN125 PN10/16 SYNT.</v>
      </c>
      <c r="S2169" s="733" t="s">
        <v>5569</v>
      </c>
      <c r="T2169" s="732" t="s">
        <v>5569</v>
      </c>
      <c r="U2169" s="734" t="s">
        <v>5761</v>
      </c>
      <c r="V2169" s="735">
        <v>16</v>
      </c>
      <c r="W2169" s="736"/>
      <c r="X2169" s="737"/>
      <c r="Y2169" s="738"/>
      <c r="Z2169" s="739"/>
      <c r="AA2169" s="739"/>
      <c r="AB2169" s="740">
        <v>16</v>
      </c>
      <c r="AC2169" s="741" t="str">
        <f>'DICTIONARY-5'!$A$11&amp;" 1"</f>
        <v>EN 558 szereg 1</v>
      </c>
      <c r="AD2169" s="733" t="str">
        <f>'DICTIONARY-5'!$A$17</f>
        <v>woda przemysłowa</v>
      </c>
      <c r="AE2169" s="742">
        <v>200</v>
      </c>
      <c r="AF2169" s="743">
        <v>43</v>
      </c>
      <c r="AG2169" s="733" t="str">
        <f>'DICTIONARY-5'!$A$24</f>
        <v>powłoka syntetyczna</v>
      </c>
    </row>
    <row r="2170" spans="1:33" x14ac:dyDescent="0.25">
      <c r="A2170" s="872" t="s">
        <v>1983</v>
      </c>
      <c r="B2170" s="872" t="s">
        <v>4244</v>
      </c>
      <c r="C2170" s="836">
        <v>606</v>
      </c>
      <c r="D2170" s="836"/>
      <c r="E2170" s="836"/>
      <c r="F2170" s="836"/>
      <c r="G2170" s="496" t="s">
        <v>7841</v>
      </c>
      <c r="H2170" s="797" t="str">
        <f>VLOOKUP(G2170,SETTINGS!$B$7:$D$97,2,0)</f>
        <v>FORTE</v>
      </c>
      <c r="I2170" s="796">
        <f>VLOOKUP(G2170,SETTINGS!$B$7:$D$97,3,0)</f>
        <v>0</v>
      </c>
      <c r="J2170" s="670" t="str">
        <f>IFERROR(IF(CURRENCY.FORMAT_1=0,CONCATENATE(TEXT(FIXED(ROUND((C2170/EXC.RATE_1),CURRENCY.FORMAT_1),CURRENCY.FORMAT_1,1),"# ##0;-# ##0"),",-"),FIXED(ROUND((C2170/EXC.RATE_1),CURRENCY.FORMAT_1),CURRENCY.FORMAT_1,0)),'DICTIONARY-5'!$A$2)</f>
        <v>606,-</v>
      </c>
      <c r="K2170" s="670" t="str">
        <f>IF(EXC.RATE_2=0,"",IFERROR(IF(CURRENCY.FORMAT_2=0,CONCATENATE(TEXT(FIXED(ROUND(IF(EXC.RATE.SWITCH=1,C2170/EXC.RATE_2,C2170*EXC.RATE_2),CURRENCY.FORMAT_2),CURRENCY.FORMAT_2,1),"# ##0;-# ##0"),",-"),FIXED(ROUND(IF(EXC.RATE.SWITCH=1,C2170/EXC.RATE_2,C2170*EXC.RATE_2),CURRENCY.FORMAT_2),CURRENCY.FORMAT_2,0)),'DICTIONARY-5'!$A$2))</f>
        <v/>
      </c>
      <c r="L2170" s="670" t="str">
        <f>IFERROR(IF(CURRENCY.FORMAT_1=0,CONCATENATE(TEXT(FIXED(ROUND((C2170*(1-I2170)*(1-ADD.DISCOUNT)*(1+MAT.SURCHARGE)/EXC.RATE_1),CURRENCY.FORMAT_1),CURRENCY.FORMAT_1,1),"# ##0;-# ##0"),",-"),FIXED(ROUND((C2170*(1-I2170)*(1-ADD.DISCOUNT)*(1+MAT.SURCHARGE)/EXC.RATE_1),CURRENCY.FORMAT_1),CURRENCY.FORMAT_1,0)),'DICTIONARY-5'!$A$2)</f>
        <v>630,-</v>
      </c>
      <c r="M2170" s="670" t="str">
        <f>IF(EXC.RATE_2=0,"",IFERROR(IF(CURRENCY.FORMAT_2=0,CONCATENATE(TEXT(FIXED(ROUND(IF(EXC.RATE.SWITCH=1,C2170*(1-I2170)*(1-ADD.DISCOUNT)*(1+MAT.SURCHARGE)/EXC.RATE_2,C2170*(1-I2170)*(1-ADD.DISCOUNT)*(1+MAT.SURCHARGE)*EXC.RATE_2),CURRENCY.FORMAT_2),CURRENCY.FORMAT_2,1),"# ##0;-# ##0"),",-"),FIXED(ROUND(IF(EXC.RATE.SWITCH=1,C2170*(1-I2170)*(1-ADD.DISCOUNT)*(1+MAT.SURCHARGE)/EXC.RATE_2,C2170*(1-I2170)*(1-ADD.DISCOUNT)*(1+MAT.SURCHARGE)*EXC.RATE_2),CURRENCY.FORMAT_2),CURRENCY.FORMAT_2,0)),'DICTIONARY-5'!$A$2))</f>
        <v/>
      </c>
      <c r="N2170" s="538">
        <v>10</v>
      </c>
      <c r="O2170" s="538"/>
      <c r="P2170" s="731" t="str">
        <f>'DICTIONARY-3'!$A$121</f>
        <v>FORTE</v>
      </c>
      <c r="Q2170" s="732" t="str">
        <f>'DICTIONARY-3'!$A$211</f>
        <v>Filtr siatkowy</v>
      </c>
      <c r="R2170" s="732" t="str">
        <f>CONCATENATE('DICTIONARY-3'!$A$121," ",'DICTIONARY-3'!$A$211," ",'DICTIONARY-2'!$A$2,"150"," ",'DICTIONARY-2'!$A$3,"10/16"," ",'DICTIONARY-6'!$A$36)</f>
        <v>FORTE Filtr siatkowy DN150 PN10/16 SYNT.</v>
      </c>
      <c r="S2170" s="733" t="s">
        <v>5569</v>
      </c>
      <c r="T2170" s="732" t="s">
        <v>5569</v>
      </c>
      <c r="U2170" s="734" t="s">
        <v>5572</v>
      </c>
      <c r="V2170" s="735">
        <v>16</v>
      </c>
      <c r="W2170" s="736"/>
      <c r="X2170" s="737"/>
      <c r="Y2170" s="738"/>
      <c r="Z2170" s="739"/>
      <c r="AA2170" s="739"/>
      <c r="AB2170" s="740">
        <v>16</v>
      </c>
      <c r="AC2170" s="741" t="str">
        <f>'DICTIONARY-5'!$A$11&amp;" 1"</f>
        <v>EN 558 szereg 1</v>
      </c>
      <c r="AD2170" s="733" t="str">
        <f>'DICTIONARY-5'!$A$17</f>
        <v>woda przemysłowa</v>
      </c>
      <c r="AE2170" s="742">
        <v>200</v>
      </c>
      <c r="AF2170" s="743">
        <v>67.5</v>
      </c>
      <c r="AG2170" s="733" t="str">
        <f>'DICTIONARY-5'!$A$24</f>
        <v>powłoka syntetyczna</v>
      </c>
    </row>
    <row r="2171" spans="1:33" x14ac:dyDescent="0.25">
      <c r="A2171" s="872" t="s">
        <v>1985</v>
      </c>
      <c r="B2171" s="872" t="s">
        <v>4227</v>
      </c>
      <c r="C2171" s="836">
        <v>1124</v>
      </c>
      <c r="D2171" s="836"/>
      <c r="E2171" s="836"/>
      <c r="F2171" s="836"/>
      <c r="G2171" s="496" t="s">
        <v>7841</v>
      </c>
      <c r="H2171" s="797" t="str">
        <f>VLOOKUP(G2171,SETTINGS!$B$7:$D$97,2,0)</f>
        <v>FORTE</v>
      </c>
      <c r="I2171" s="796">
        <f>VLOOKUP(G2171,SETTINGS!$B$7:$D$97,3,0)</f>
        <v>0</v>
      </c>
      <c r="J2171" s="670" t="str">
        <f>IFERROR(IF(CURRENCY.FORMAT_1=0,CONCATENATE(TEXT(FIXED(ROUND((C2171/EXC.RATE_1),CURRENCY.FORMAT_1),CURRENCY.FORMAT_1,1),"# ##0;-# ##0"),",-"),FIXED(ROUND((C2171/EXC.RATE_1),CURRENCY.FORMAT_1),CURRENCY.FORMAT_1,0)),'DICTIONARY-5'!$A$2)</f>
        <v>1 124,-</v>
      </c>
      <c r="K2171" s="670" t="str">
        <f>IF(EXC.RATE_2=0,"",IFERROR(IF(CURRENCY.FORMAT_2=0,CONCATENATE(TEXT(FIXED(ROUND(IF(EXC.RATE.SWITCH=1,C2171/EXC.RATE_2,C2171*EXC.RATE_2),CURRENCY.FORMAT_2),CURRENCY.FORMAT_2,1),"# ##0;-# ##0"),",-"),FIXED(ROUND(IF(EXC.RATE.SWITCH=1,C2171/EXC.RATE_2,C2171*EXC.RATE_2),CURRENCY.FORMAT_2),CURRENCY.FORMAT_2,0)),'DICTIONARY-5'!$A$2))</f>
        <v/>
      </c>
      <c r="L2171" s="670" t="str">
        <f>IFERROR(IF(CURRENCY.FORMAT_1=0,CONCATENATE(TEXT(FIXED(ROUND((C2171*(1-I2171)*(1-ADD.DISCOUNT)*(1+MAT.SURCHARGE)/EXC.RATE_1),CURRENCY.FORMAT_1),CURRENCY.FORMAT_1,1),"# ##0;-# ##0"),",-"),FIXED(ROUND((C2171*(1-I2171)*(1-ADD.DISCOUNT)*(1+MAT.SURCHARGE)/EXC.RATE_1),CURRENCY.FORMAT_1),CURRENCY.FORMAT_1,0)),'DICTIONARY-5'!$A$2)</f>
        <v>1 168,-</v>
      </c>
      <c r="M2171" s="670" t="str">
        <f>IF(EXC.RATE_2=0,"",IFERROR(IF(CURRENCY.FORMAT_2=0,CONCATENATE(TEXT(FIXED(ROUND(IF(EXC.RATE.SWITCH=1,C2171*(1-I2171)*(1-ADD.DISCOUNT)*(1+MAT.SURCHARGE)/EXC.RATE_2,C2171*(1-I2171)*(1-ADD.DISCOUNT)*(1+MAT.SURCHARGE)*EXC.RATE_2),CURRENCY.FORMAT_2),CURRENCY.FORMAT_2,1),"# ##0;-# ##0"),",-"),FIXED(ROUND(IF(EXC.RATE.SWITCH=1,C2171*(1-I2171)*(1-ADD.DISCOUNT)*(1+MAT.SURCHARGE)/EXC.RATE_2,C2171*(1-I2171)*(1-ADD.DISCOUNT)*(1+MAT.SURCHARGE)*EXC.RATE_2),CURRENCY.FORMAT_2),CURRENCY.FORMAT_2,0)),'DICTIONARY-5'!$A$2))</f>
        <v/>
      </c>
      <c r="N2171" s="538">
        <v>10</v>
      </c>
      <c r="O2171" s="538"/>
      <c r="P2171" s="731" t="str">
        <f>'DICTIONARY-3'!$A$121</f>
        <v>FORTE</v>
      </c>
      <c r="Q2171" s="732" t="str">
        <f>'DICTIONARY-3'!$A$211</f>
        <v>Filtr siatkowy</v>
      </c>
      <c r="R2171" s="732" t="str">
        <f>CONCATENATE('DICTIONARY-3'!$A$121," ",'DICTIONARY-3'!$A$211," ",'DICTIONARY-2'!$A$2,"200"," ",'DICTIONARY-2'!$A$3,"10"," ",'DICTIONARY-6'!$A$36," ",LOWER('DICTIONARY-3'!$A$311))</f>
        <v>FORTE Filtr siatkowy DN200 PN10 SYNT. z korkiem do czyszczenia</v>
      </c>
      <c r="S2171" s="733" t="s">
        <v>5569</v>
      </c>
      <c r="T2171" s="732" t="s">
        <v>5569</v>
      </c>
      <c r="U2171" s="734" t="s">
        <v>5750</v>
      </c>
      <c r="V2171" s="735">
        <v>10</v>
      </c>
      <c r="W2171" s="736"/>
      <c r="X2171" s="737"/>
      <c r="Y2171" s="738"/>
      <c r="Z2171" s="739"/>
      <c r="AA2171" s="739"/>
      <c r="AB2171" s="740">
        <v>10</v>
      </c>
      <c r="AC2171" s="741" t="str">
        <f>'DICTIONARY-5'!$A$11&amp;" 1"</f>
        <v>EN 558 szereg 1</v>
      </c>
      <c r="AD2171" s="733" t="str">
        <f>'DICTIONARY-5'!$A$17</f>
        <v>woda przemysłowa</v>
      </c>
      <c r="AE2171" s="742">
        <v>200</v>
      </c>
      <c r="AF2171" s="743">
        <v>119</v>
      </c>
      <c r="AG2171" s="733" t="str">
        <f>'DICTIONARY-5'!$A$24</f>
        <v>powłoka syntetyczna</v>
      </c>
    </row>
    <row r="2172" spans="1:33" x14ac:dyDescent="0.25">
      <c r="A2172" s="872" t="s">
        <v>1987</v>
      </c>
      <c r="B2172" s="872" t="s">
        <v>4224</v>
      </c>
      <c r="C2172" s="836">
        <v>1119</v>
      </c>
      <c r="D2172" s="836"/>
      <c r="E2172" s="836"/>
      <c r="F2172" s="836"/>
      <c r="G2172" s="496" t="s">
        <v>7841</v>
      </c>
      <c r="H2172" s="797" t="str">
        <f>VLOOKUP(G2172,SETTINGS!$B$7:$D$97,2,0)</f>
        <v>FORTE</v>
      </c>
      <c r="I2172" s="796">
        <f>VLOOKUP(G2172,SETTINGS!$B$7:$D$97,3,0)</f>
        <v>0</v>
      </c>
      <c r="J2172" s="670" t="str">
        <f>IFERROR(IF(CURRENCY.FORMAT_1=0,CONCATENATE(TEXT(FIXED(ROUND((C2172/EXC.RATE_1),CURRENCY.FORMAT_1),CURRENCY.FORMAT_1,1),"# ##0;-# ##0"),",-"),FIXED(ROUND((C2172/EXC.RATE_1),CURRENCY.FORMAT_1),CURRENCY.FORMAT_1,0)),'DICTIONARY-5'!$A$2)</f>
        <v>1 119,-</v>
      </c>
      <c r="K2172" s="670" t="str">
        <f>IF(EXC.RATE_2=0,"",IFERROR(IF(CURRENCY.FORMAT_2=0,CONCATENATE(TEXT(FIXED(ROUND(IF(EXC.RATE.SWITCH=1,C2172/EXC.RATE_2,C2172*EXC.RATE_2),CURRENCY.FORMAT_2),CURRENCY.FORMAT_2,1),"# ##0;-# ##0"),",-"),FIXED(ROUND(IF(EXC.RATE.SWITCH=1,C2172/EXC.RATE_2,C2172*EXC.RATE_2),CURRENCY.FORMAT_2),CURRENCY.FORMAT_2,0)),'DICTIONARY-5'!$A$2))</f>
        <v/>
      </c>
      <c r="L2172" s="670" t="str">
        <f>IFERROR(IF(CURRENCY.FORMAT_1=0,CONCATENATE(TEXT(FIXED(ROUND((C2172*(1-I2172)*(1-ADD.DISCOUNT)*(1+MAT.SURCHARGE)/EXC.RATE_1),CURRENCY.FORMAT_1),CURRENCY.FORMAT_1,1),"# ##0;-# ##0"),",-"),FIXED(ROUND((C2172*(1-I2172)*(1-ADD.DISCOUNT)*(1+MAT.SURCHARGE)/EXC.RATE_1),CURRENCY.FORMAT_1),CURRENCY.FORMAT_1,0)),'DICTIONARY-5'!$A$2)</f>
        <v>1 163,-</v>
      </c>
      <c r="M2172" s="670" t="str">
        <f>IF(EXC.RATE_2=0,"",IFERROR(IF(CURRENCY.FORMAT_2=0,CONCATENATE(TEXT(FIXED(ROUND(IF(EXC.RATE.SWITCH=1,C2172*(1-I2172)*(1-ADD.DISCOUNT)*(1+MAT.SURCHARGE)/EXC.RATE_2,C2172*(1-I2172)*(1-ADD.DISCOUNT)*(1+MAT.SURCHARGE)*EXC.RATE_2),CURRENCY.FORMAT_2),CURRENCY.FORMAT_2,1),"# ##0;-# ##0"),",-"),FIXED(ROUND(IF(EXC.RATE.SWITCH=1,C2172*(1-I2172)*(1-ADD.DISCOUNT)*(1+MAT.SURCHARGE)/EXC.RATE_2,C2172*(1-I2172)*(1-ADD.DISCOUNT)*(1+MAT.SURCHARGE)*EXC.RATE_2),CURRENCY.FORMAT_2),CURRENCY.FORMAT_2,0)),'DICTIONARY-5'!$A$2))</f>
        <v/>
      </c>
      <c r="N2172" s="538">
        <v>10</v>
      </c>
      <c r="O2172" s="538"/>
      <c r="P2172" s="731" t="str">
        <f>'DICTIONARY-3'!$A$121</f>
        <v>FORTE</v>
      </c>
      <c r="Q2172" s="732" t="str">
        <f>'DICTIONARY-3'!$A$211</f>
        <v>Filtr siatkowy</v>
      </c>
      <c r="R2172" s="732" t="str">
        <f>CONCATENATE('DICTIONARY-3'!$A$121," ",'DICTIONARY-3'!$A$211," ",'DICTIONARY-2'!$A$2,"200"," ",'DICTIONARY-2'!$A$3,"16"," ",'DICTIONARY-6'!$A$36," ",LOWER('DICTIONARY-3'!$A$311))</f>
        <v>FORTE Filtr siatkowy DN200 PN16 SYNT. z korkiem do czyszczenia</v>
      </c>
      <c r="S2172" s="733" t="s">
        <v>5569</v>
      </c>
      <c r="T2172" s="732" t="s">
        <v>5569</v>
      </c>
      <c r="U2172" s="734" t="s">
        <v>5750</v>
      </c>
      <c r="V2172" s="735">
        <v>16</v>
      </c>
      <c r="W2172" s="736"/>
      <c r="X2172" s="737"/>
      <c r="Y2172" s="738"/>
      <c r="Z2172" s="739"/>
      <c r="AA2172" s="739"/>
      <c r="AB2172" s="740">
        <v>16</v>
      </c>
      <c r="AC2172" s="741" t="str">
        <f>'DICTIONARY-5'!$A$11&amp;" 1"</f>
        <v>EN 558 szereg 1</v>
      </c>
      <c r="AD2172" s="733" t="str">
        <f>'DICTIONARY-5'!$A$17</f>
        <v>woda przemysłowa</v>
      </c>
      <c r="AE2172" s="742">
        <v>200</v>
      </c>
      <c r="AF2172" s="743">
        <v>113</v>
      </c>
      <c r="AG2172" s="733" t="str">
        <f>'DICTIONARY-5'!$A$24</f>
        <v>powłoka syntetyczna</v>
      </c>
    </row>
    <row r="2173" spans="1:33" x14ac:dyDescent="0.25">
      <c r="A2173" s="872" t="s">
        <v>1990</v>
      </c>
      <c r="B2173" s="872" t="s">
        <v>4231</v>
      </c>
      <c r="C2173" s="836">
        <v>2231</v>
      </c>
      <c r="D2173" s="836"/>
      <c r="E2173" s="836"/>
      <c r="F2173" s="836"/>
      <c r="G2173" s="496" t="s">
        <v>7841</v>
      </c>
      <c r="H2173" s="797" t="str">
        <f>VLOOKUP(G2173,SETTINGS!$B$7:$D$97,2,0)</f>
        <v>FORTE</v>
      </c>
      <c r="I2173" s="796">
        <f>VLOOKUP(G2173,SETTINGS!$B$7:$D$97,3,0)</f>
        <v>0</v>
      </c>
      <c r="J2173" s="670" t="str">
        <f>IFERROR(IF(CURRENCY.FORMAT_1=0,CONCATENATE(TEXT(FIXED(ROUND((C2173/EXC.RATE_1),CURRENCY.FORMAT_1),CURRENCY.FORMAT_1,1),"# ##0;-# ##0"),",-"),FIXED(ROUND((C2173/EXC.RATE_1),CURRENCY.FORMAT_1),CURRENCY.FORMAT_1,0)),'DICTIONARY-5'!$A$2)</f>
        <v>2 231,-</v>
      </c>
      <c r="K2173" s="670" t="str">
        <f>IF(EXC.RATE_2=0,"",IFERROR(IF(CURRENCY.FORMAT_2=0,CONCATENATE(TEXT(FIXED(ROUND(IF(EXC.RATE.SWITCH=1,C2173/EXC.RATE_2,C2173*EXC.RATE_2),CURRENCY.FORMAT_2),CURRENCY.FORMAT_2,1),"# ##0;-# ##0"),",-"),FIXED(ROUND(IF(EXC.RATE.SWITCH=1,C2173/EXC.RATE_2,C2173*EXC.RATE_2),CURRENCY.FORMAT_2),CURRENCY.FORMAT_2,0)),'DICTIONARY-5'!$A$2))</f>
        <v/>
      </c>
      <c r="L2173" s="670" t="str">
        <f>IFERROR(IF(CURRENCY.FORMAT_1=0,CONCATENATE(TEXT(FIXED(ROUND((C2173*(1-I2173)*(1-ADD.DISCOUNT)*(1+MAT.SURCHARGE)/EXC.RATE_1),CURRENCY.FORMAT_1),CURRENCY.FORMAT_1,1),"# ##0;-# ##0"),",-"),FIXED(ROUND((C2173*(1-I2173)*(1-ADD.DISCOUNT)*(1+MAT.SURCHARGE)/EXC.RATE_1),CURRENCY.FORMAT_1),CURRENCY.FORMAT_1,0)),'DICTIONARY-5'!$A$2)</f>
        <v>2 318,-</v>
      </c>
      <c r="M2173" s="670" t="str">
        <f>IF(EXC.RATE_2=0,"",IFERROR(IF(CURRENCY.FORMAT_2=0,CONCATENATE(TEXT(FIXED(ROUND(IF(EXC.RATE.SWITCH=1,C2173*(1-I2173)*(1-ADD.DISCOUNT)*(1+MAT.SURCHARGE)/EXC.RATE_2,C2173*(1-I2173)*(1-ADD.DISCOUNT)*(1+MAT.SURCHARGE)*EXC.RATE_2),CURRENCY.FORMAT_2),CURRENCY.FORMAT_2,1),"# ##0;-# ##0"),",-"),FIXED(ROUND(IF(EXC.RATE.SWITCH=1,C2173*(1-I2173)*(1-ADD.DISCOUNT)*(1+MAT.SURCHARGE)/EXC.RATE_2,C2173*(1-I2173)*(1-ADD.DISCOUNT)*(1+MAT.SURCHARGE)*EXC.RATE_2),CURRENCY.FORMAT_2),CURRENCY.FORMAT_2,0)),'DICTIONARY-5'!$A$2))</f>
        <v/>
      </c>
      <c r="N2173" s="538">
        <v>10</v>
      </c>
      <c r="O2173" s="538"/>
      <c r="P2173" s="731" t="str">
        <f>'DICTIONARY-3'!$A$121</f>
        <v>FORTE</v>
      </c>
      <c r="Q2173" s="732" t="str">
        <f>'DICTIONARY-3'!$A$211</f>
        <v>Filtr siatkowy</v>
      </c>
      <c r="R2173" s="732" t="str">
        <f>CONCATENATE('DICTIONARY-3'!$A$121," ",'DICTIONARY-3'!$A$211," ",'DICTIONARY-2'!$A$2,"250"," ",'DICTIONARY-2'!$A$3,"10"," ",'DICTIONARY-6'!$A$36," ",LOWER('DICTIONARY-3'!$A$311))</f>
        <v>FORTE Filtr siatkowy DN250 PN10 SYNT. z korkiem do czyszczenia</v>
      </c>
      <c r="S2173" s="733" t="s">
        <v>5569</v>
      </c>
      <c r="T2173" s="732" t="s">
        <v>5569</v>
      </c>
      <c r="U2173" s="734" t="s">
        <v>5751</v>
      </c>
      <c r="V2173" s="735">
        <v>10</v>
      </c>
      <c r="W2173" s="736"/>
      <c r="X2173" s="737"/>
      <c r="Y2173" s="738"/>
      <c r="Z2173" s="739"/>
      <c r="AA2173" s="739"/>
      <c r="AB2173" s="740">
        <v>10</v>
      </c>
      <c r="AC2173" s="741" t="str">
        <f>'DICTIONARY-5'!$A$11&amp;" 1"</f>
        <v>EN 558 szereg 1</v>
      </c>
      <c r="AD2173" s="733" t="str">
        <f>'DICTIONARY-5'!$A$17</f>
        <v>woda przemysłowa</v>
      </c>
      <c r="AE2173" s="742">
        <v>200</v>
      </c>
      <c r="AF2173" s="743">
        <v>163</v>
      </c>
      <c r="AG2173" s="733" t="str">
        <f>'DICTIONARY-5'!$A$24</f>
        <v>powłoka syntetyczna</v>
      </c>
    </row>
    <row r="2174" spans="1:33" x14ac:dyDescent="0.25">
      <c r="A2174" s="872" t="s">
        <v>1992</v>
      </c>
      <c r="B2174" s="872" t="s">
        <v>4228</v>
      </c>
      <c r="C2174" s="836">
        <v>2227</v>
      </c>
      <c r="D2174" s="836"/>
      <c r="E2174" s="836"/>
      <c r="F2174" s="836"/>
      <c r="G2174" s="496" t="s">
        <v>7841</v>
      </c>
      <c r="H2174" s="797" t="str">
        <f>VLOOKUP(G2174,SETTINGS!$B$7:$D$97,2,0)</f>
        <v>FORTE</v>
      </c>
      <c r="I2174" s="796">
        <f>VLOOKUP(G2174,SETTINGS!$B$7:$D$97,3,0)</f>
        <v>0</v>
      </c>
      <c r="J2174" s="670" t="str">
        <f>IFERROR(IF(CURRENCY.FORMAT_1=0,CONCATENATE(TEXT(FIXED(ROUND((C2174/EXC.RATE_1),CURRENCY.FORMAT_1),CURRENCY.FORMAT_1,1),"# ##0;-# ##0"),",-"),FIXED(ROUND((C2174/EXC.RATE_1),CURRENCY.FORMAT_1),CURRENCY.FORMAT_1,0)),'DICTIONARY-5'!$A$2)</f>
        <v>2 227,-</v>
      </c>
      <c r="K2174" s="670" t="str">
        <f>IF(EXC.RATE_2=0,"",IFERROR(IF(CURRENCY.FORMAT_2=0,CONCATENATE(TEXT(FIXED(ROUND(IF(EXC.RATE.SWITCH=1,C2174/EXC.RATE_2,C2174*EXC.RATE_2),CURRENCY.FORMAT_2),CURRENCY.FORMAT_2,1),"# ##0;-# ##0"),",-"),FIXED(ROUND(IF(EXC.RATE.SWITCH=1,C2174/EXC.RATE_2,C2174*EXC.RATE_2),CURRENCY.FORMAT_2),CURRENCY.FORMAT_2,0)),'DICTIONARY-5'!$A$2))</f>
        <v/>
      </c>
      <c r="L2174" s="670" t="str">
        <f>IFERROR(IF(CURRENCY.FORMAT_1=0,CONCATENATE(TEXT(FIXED(ROUND((C2174*(1-I2174)*(1-ADD.DISCOUNT)*(1+MAT.SURCHARGE)/EXC.RATE_1),CURRENCY.FORMAT_1),CURRENCY.FORMAT_1,1),"# ##0;-# ##0"),",-"),FIXED(ROUND((C2174*(1-I2174)*(1-ADD.DISCOUNT)*(1+MAT.SURCHARGE)/EXC.RATE_1),CURRENCY.FORMAT_1),CURRENCY.FORMAT_1,0)),'DICTIONARY-5'!$A$2)</f>
        <v>2 314,-</v>
      </c>
      <c r="M2174" s="670" t="str">
        <f>IF(EXC.RATE_2=0,"",IFERROR(IF(CURRENCY.FORMAT_2=0,CONCATENATE(TEXT(FIXED(ROUND(IF(EXC.RATE.SWITCH=1,C2174*(1-I2174)*(1-ADD.DISCOUNT)*(1+MAT.SURCHARGE)/EXC.RATE_2,C2174*(1-I2174)*(1-ADD.DISCOUNT)*(1+MAT.SURCHARGE)*EXC.RATE_2),CURRENCY.FORMAT_2),CURRENCY.FORMAT_2,1),"# ##0;-# ##0"),",-"),FIXED(ROUND(IF(EXC.RATE.SWITCH=1,C2174*(1-I2174)*(1-ADD.DISCOUNT)*(1+MAT.SURCHARGE)/EXC.RATE_2,C2174*(1-I2174)*(1-ADD.DISCOUNT)*(1+MAT.SURCHARGE)*EXC.RATE_2),CURRENCY.FORMAT_2),CURRENCY.FORMAT_2,0)),'DICTIONARY-5'!$A$2))</f>
        <v/>
      </c>
      <c r="N2174" s="538">
        <v>10</v>
      </c>
      <c r="O2174" s="538"/>
      <c r="P2174" s="731" t="str">
        <f>'DICTIONARY-3'!$A$121</f>
        <v>FORTE</v>
      </c>
      <c r="Q2174" s="732" t="str">
        <f>'DICTIONARY-3'!$A$211</f>
        <v>Filtr siatkowy</v>
      </c>
      <c r="R2174" s="732" t="str">
        <f>CONCATENATE('DICTIONARY-3'!$A$121," ",'DICTIONARY-3'!$A$211," ",'DICTIONARY-2'!$A$2,"250"," ",'DICTIONARY-2'!$A$3,"16"," ",'DICTIONARY-6'!$A$36," ",LOWER('DICTIONARY-3'!$A$311))</f>
        <v>FORTE Filtr siatkowy DN250 PN16 SYNT. z korkiem do czyszczenia</v>
      </c>
      <c r="S2174" s="733" t="s">
        <v>5569</v>
      </c>
      <c r="T2174" s="732" t="s">
        <v>5569</v>
      </c>
      <c r="U2174" s="734" t="s">
        <v>5751</v>
      </c>
      <c r="V2174" s="735">
        <v>16</v>
      </c>
      <c r="W2174" s="736"/>
      <c r="X2174" s="737"/>
      <c r="Y2174" s="738"/>
      <c r="Z2174" s="739"/>
      <c r="AA2174" s="739"/>
      <c r="AB2174" s="740">
        <v>16</v>
      </c>
      <c r="AC2174" s="741" t="str">
        <f>'DICTIONARY-5'!$A$11&amp;" 1"</f>
        <v>EN 558 szereg 1</v>
      </c>
      <c r="AD2174" s="733" t="str">
        <f>'DICTIONARY-5'!$A$17</f>
        <v>woda przemysłowa</v>
      </c>
      <c r="AE2174" s="742">
        <v>200</v>
      </c>
      <c r="AF2174" s="743">
        <v>163</v>
      </c>
      <c r="AG2174" s="733" t="str">
        <f>'DICTIONARY-5'!$A$24</f>
        <v>powłoka syntetyczna</v>
      </c>
    </row>
    <row r="2175" spans="1:33" x14ac:dyDescent="0.25">
      <c r="A2175" s="872" t="s">
        <v>1994</v>
      </c>
      <c r="B2175" s="872" t="s">
        <v>2933</v>
      </c>
      <c r="C2175" s="836">
        <v>8</v>
      </c>
      <c r="D2175" s="836"/>
      <c r="E2175" s="836"/>
      <c r="F2175" s="836"/>
      <c r="G2175" s="862" t="s">
        <v>8193</v>
      </c>
      <c r="H2175" s="797" t="str">
        <f>VLOOKUP(G2175,SETTINGS!$B$7:$D$97,2,0)</f>
        <v>SPARE PARTS</v>
      </c>
      <c r="I2175" s="796">
        <f>VLOOKUP(G2175,SETTINGS!$B$7:$D$97,3,0)</f>
        <v>0</v>
      </c>
      <c r="J2175" s="670" t="str">
        <f>IFERROR(IF(CURRENCY.FORMAT_1=0,CONCATENATE(TEXT(FIXED(ROUND((C2175/EXC.RATE_1),CURRENCY.FORMAT_1),CURRENCY.FORMAT_1,1),"# ##0;-# ##0"),",-"),FIXED(ROUND((C2175/EXC.RATE_1),CURRENCY.FORMAT_1),CURRENCY.FORMAT_1,0)),'DICTIONARY-5'!$A$2)</f>
        <v>8,-</v>
      </c>
      <c r="K2175" s="670" t="str">
        <f>IF(EXC.RATE_2=0,"",IFERROR(IF(CURRENCY.FORMAT_2=0,CONCATENATE(TEXT(FIXED(ROUND(IF(EXC.RATE.SWITCH=1,C2175/EXC.RATE_2,C2175*EXC.RATE_2),CURRENCY.FORMAT_2),CURRENCY.FORMAT_2,1),"# ##0;-# ##0"),",-"),FIXED(ROUND(IF(EXC.RATE.SWITCH=1,C2175/EXC.RATE_2,C2175*EXC.RATE_2),CURRENCY.FORMAT_2),CURRENCY.FORMAT_2,0)),'DICTIONARY-5'!$A$2))</f>
        <v/>
      </c>
      <c r="L2175" s="670" t="str">
        <f>IFERROR(IF(CURRENCY.FORMAT_1=0,CONCATENATE(TEXT(FIXED(ROUND((C2175*(1-I2175)*(1-ADD.DISCOUNT)*(1+MAT.SURCHARGE)/EXC.RATE_1),CURRENCY.FORMAT_1),CURRENCY.FORMAT_1,1),"# ##0;-# ##0"),",-"),FIXED(ROUND((C2175*(1-I2175)*(1-ADD.DISCOUNT)*(1+MAT.SURCHARGE)/EXC.RATE_1),CURRENCY.FORMAT_1),CURRENCY.FORMAT_1,0)),'DICTIONARY-5'!$A$2)</f>
        <v>8,-</v>
      </c>
      <c r="M2175" s="670" t="str">
        <f>IF(EXC.RATE_2=0,"",IFERROR(IF(CURRENCY.FORMAT_2=0,CONCATENATE(TEXT(FIXED(ROUND(IF(EXC.RATE.SWITCH=1,C2175*(1-I2175)*(1-ADD.DISCOUNT)*(1+MAT.SURCHARGE)/EXC.RATE_2,C2175*(1-I2175)*(1-ADD.DISCOUNT)*(1+MAT.SURCHARGE)*EXC.RATE_2),CURRENCY.FORMAT_2),CURRENCY.FORMAT_2,1),"# ##0;-# ##0"),",-"),FIXED(ROUND(IF(EXC.RATE.SWITCH=1,C2175*(1-I2175)*(1-ADD.DISCOUNT)*(1+MAT.SURCHARGE)/EXC.RATE_2,C2175*(1-I2175)*(1-ADD.DISCOUNT)*(1+MAT.SURCHARGE)*EXC.RATE_2),CURRENCY.FORMAT_2),CURRENCY.FORMAT_2,0)),'DICTIONARY-5'!$A$2))</f>
        <v/>
      </c>
      <c r="N2175" s="538">
        <v>10</v>
      </c>
      <c r="O2175" s="538"/>
      <c r="P2175" s="731" t="str">
        <f>'DICTIONARY-3'!$A$121</f>
        <v>FORTE</v>
      </c>
      <c r="Q2175" s="732" t="str">
        <f>'DICTIONARY-3'!$A$240</f>
        <v>Filtr</v>
      </c>
      <c r="R2175" s="732" t="str">
        <f>CONCATENATE('DICTIONARY-3'!$A$121," ",'DICTIONARY-3'!$A$212," ",'DICTIONARY-2'!$A$2,"40 49×111"," ",LOWER('DICTIONARY-5'!$A$160)," ","0,9",'DICTIONARY-2'!$A$17,)</f>
        <v>FORTE Wymienny wkład filtrujący DN40 49×111 wielkośc oczek sita 0,9mm</v>
      </c>
      <c r="S2175" s="733" t="s">
        <v>5569</v>
      </c>
      <c r="T2175" s="732" t="s">
        <v>5569</v>
      </c>
      <c r="U2175" s="734" t="s">
        <v>5758</v>
      </c>
      <c r="V2175" s="735"/>
      <c r="W2175" s="736"/>
      <c r="X2175" s="737"/>
      <c r="Y2175" s="738"/>
      <c r="Z2175" s="739"/>
      <c r="AA2175" s="739"/>
      <c r="AB2175" s="740">
        <v>16</v>
      </c>
      <c r="AC2175" s="741"/>
      <c r="AD2175" s="741" t="s">
        <v>5569</v>
      </c>
      <c r="AE2175" s="742">
        <v>200</v>
      </c>
      <c r="AF2175" s="743">
        <v>9.5000000000000001E-2</v>
      </c>
      <c r="AG2175" s="741"/>
    </row>
    <row r="2176" spans="1:33" x14ac:dyDescent="0.25">
      <c r="A2176" s="872" t="s">
        <v>1995</v>
      </c>
      <c r="B2176" s="872" t="s">
        <v>2934</v>
      </c>
      <c r="C2176" s="836">
        <v>11</v>
      </c>
      <c r="D2176" s="836"/>
      <c r="E2176" s="836"/>
      <c r="F2176" s="836"/>
      <c r="G2176" s="862" t="s">
        <v>8193</v>
      </c>
      <c r="H2176" s="797" t="str">
        <f>VLOOKUP(G2176,SETTINGS!$B$7:$D$97,2,0)</f>
        <v>SPARE PARTS</v>
      </c>
      <c r="I2176" s="796">
        <f>VLOOKUP(G2176,SETTINGS!$B$7:$D$97,3,0)</f>
        <v>0</v>
      </c>
      <c r="J2176" s="670" t="str">
        <f>IFERROR(IF(CURRENCY.FORMAT_1=0,CONCATENATE(TEXT(FIXED(ROUND((C2176/EXC.RATE_1),CURRENCY.FORMAT_1),CURRENCY.FORMAT_1,1),"# ##0;-# ##0"),",-"),FIXED(ROUND((C2176/EXC.RATE_1),CURRENCY.FORMAT_1),CURRENCY.FORMAT_1,0)),'DICTIONARY-5'!$A$2)</f>
        <v>11,-</v>
      </c>
      <c r="K2176" s="670" t="str">
        <f>IF(EXC.RATE_2=0,"",IFERROR(IF(CURRENCY.FORMAT_2=0,CONCATENATE(TEXT(FIXED(ROUND(IF(EXC.RATE.SWITCH=1,C2176/EXC.RATE_2,C2176*EXC.RATE_2),CURRENCY.FORMAT_2),CURRENCY.FORMAT_2,1),"# ##0;-# ##0"),",-"),FIXED(ROUND(IF(EXC.RATE.SWITCH=1,C2176/EXC.RATE_2,C2176*EXC.RATE_2),CURRENCY.FORMAT_2),CURRENCY.FORMAT_2,0)),'DICTIONARY-5'!$A$2))</f>
        <v/>
      </c>
      <c r="L2176" s="670" t="str">
        <f>IFERROR(IF(CURRENCY.FORMAT_1=0,CONCATENATE(TEXT(FIXED(ROUND((C2176*(1-I2176)*(1-ADD.DISCOUNT)*(1+MAT.SURCHARGE)/EXC.RATE_1),CURRENCY.FORMAT_1),CURRENCY.FORMAT_1,1),"# ##0;-# ##0"),",-"),FIXED(ROUND((C2176*(1-I2176)*(1-ADD.DISCOUNT)*(1+MAT.SURCHARGE)/EXC.RATE_1),CURRENCY.FORMAT_1),CURRENCY.FORMAT_1,0)),'DICTIONARY-5'!$A$2)</f>
        <v>11,-</v>
      </c>
      <c r="M2176" s="670" t="str">
        <f>IF(EXC.RATE_2=0,"",IFERROR(IF(CURRENCY.FORMAT_2=0,CONCATENATE(TEXT(FIXED(ROUND(IF(EXC.RATE.SWITCH=1,C2176*(1-I2176)*(1-ADD.DISCOUNT)*(1+MAT.SURCHARGE)/EXC.RATE_2,C2176*(1-I2176)*(1-ADD.DISCOUNT)*(1+MAT.SURCHARGE)*EXC.RATE_2),CURRENCY.FORMAT_2),CURRENCY.FORMAT_2,1),"# ##0;-# ##0"),",-"),FIXED(ROUND(IF(EXC.RATE.SWITCH=1,C2176*(1-I2176)*(1-ADD.DISCOUNT)*(1+MAT.SURCHARGE)/EXC.RATE_2,C2176*(1-I2176)*(1-ADD.DISCOUNT)*(1+MAT.SURCHARGE)*EXC.RATE_2),CURRENCY.FORMAT_2),CURRENCY.FORMAT_2,0)),'DICTIONARY-5'!$A$2))</f>
        <v/>
      </c>
      <c r="N2176" s="538">
        <v>10</v>
      </c>
      <c r="O2176" s="538"/>
      <c r="P2176" s="731" t="str">
        <f>'DICTIONARY-3'!$A$121</f>
        <v>FORTE</v>
      </c>
      <c r="Q2176" s="732" t="str">
        <f>'DICTIONARY-3'!$A$240</f>
        <v>Filtr</v>
      </c>
      <c r="R2176" s="732" t="str">
        <f>CONCATENATE('DICTIONARY-3'!$A$121," ",'DICTIONARY-3'!$A$212," ",'DICTIONARY-2'!$A$2,"50 60×120"," ",LOWER('DICTIONARY-5'!$A$160)," ","0,9",'DICTIONARY-2'!$A$17,)</f>
        <v>FORTE Wymienny wkład filtrujący DN50 60×120 wielkośc oczek sita 0,9mm</v>
      </c>
      <c r="S2176" s="733" t="s">
        <v>5569</v>
      </c>
      <c r="T2176" s="732" t="s">
        <v>5569</v>
      </c>
      <c r="U2176" s="734" t="s">
        <v>5748</v>
      </c>
      <c r="V2176" s="735"/>
      <c r="W2176" s="736"/>
      <c r="X2176" s="737"/>
      <c r="Y2176" s="738"/>
      <c r="Z2176" s="739"/>
      <c r="AA2176" s="739"/>
      <c r="AB2176" s="740">
        <v>16</v>
      </c>
      <c r="AC2176" s="741"/>
      <c r="AD2176" s="741" t="s">
        <v>5569</v>
      </c>
      <c r="AE2176" s="742">
        <v>200</v>
      </c>
      <c r="AF2176" s="743">
        <v>0.14699999999999999</v>
      </c>
      <c r="AG2176" s="741"/>
    </row>
    <row r="2177" spans="1:33" x14ac:dyDescent="0.25">
      <c r="A2177" s="872" t="s">
        <v>1996</v>
      </c>
      <c r="B2177" s="872" t="s">
        <v>2935</v>
      </c>
      <c r="C2177" s="836">
        <v>15</v>
      </c>
      <c r="D2177" s="836"/>
      <c r="E2177" s="836"/>
      <c r="F2177" s="836"/>
      <c r="G2177" s="862" t="s">
        <v>8193</v>
      </c>
      <c r="H2177" s="797" t="str">
        <f>VLOOKUP(G2177,SETTINGS!$B$7:$D$97,2,0)</f>
        <v>SPARE PARTS</v>
      </c>
      <c r="I2177" s="796">
        <f>VLOOKUP(G2177,SETTINGS!$B$7:$D$97,3,0)</f>
        <v>0</v>
      </c>
      <c r="J2177" s="670" t="str">
        <f>IFERROR(IF(CURRENCY.FORMAT_1=0,CONCATENATE(TEXT(FIXED(ROUND((C2177/EXC.RATE_1),CURRENCY.FORMAT_1),CURRENCY.FORMAT_1,1),"# ##0;-# ##0"),",-"),FIXED(ROUND((C2177/EXC.RATE_1),CURRENCY.FORMAT_1),CURRENCY.FORMAT_1,0)),'DICTIONARY-5'!$A$2)</f>
        <v>15,-</v>
      </c>
      <c r="K2177" s="670" t="str">
        <f>IF(EXC.RATE_2=0,"",IFERROR(IF(CURRENCY.FORMAT_2=0,CONCATENATE(TEXT(FIXED(ROUND(IF(EXC.RATE.SWITCH=1,C2177/EXC.RATE_2,C2177*EXC.RATE_2),CURRENCY.FORMAT_2),CURRENCY.FORMAT_2,1),"# ##0;-# ##0"),",-"),FIXED(ROUND(IF(EXC.RATE.SWITCH=1,C2177/EXC.RATE_2,C2177*EXC.RATE_2),CURRENCY.FORMAT_2),CURRENCY.FORMAT_2,0)),'DICTIONARY-5'!$A$2))</f>
        <v/>
      </c>
      <c r="L2177" s="670" t="str">
        <f>IFERROR(IF(CURRENCY.FORMAT_1=0,CONCATENATE(TEXT(FIXED(ROUND((C2177*(1-I2177)*(1-ADD.DISCOUNT)*(1+MAT.SURCHARGE)/EXC.RATE_1),CURRENCY.FORMAT_1),CURRENCY.FORMAT_1,1),"# ##0;-# ##0"),",-"),FIXED(ROUND((C2177*(1-I2177)*(1-ADD.DISCOUNT)*(1+MAT.SURCHARGE)/EXC.RATE_1),CURRENCY.FORMAT_1),CURRENCY.FORMAT_1,0)),'DICTIONARY-5'!$A$2)</f>
        <v>16,-</v>
      </c>
      <c r="M2177" s="670" t="str">
        <f>IF(EXC.RATE_2=0,"",IFERROR(IF(CURRENCY.FORMAT_2=0,CONCATENATE(TEXT(FIXED(ROUND(IF(EXC.RATE.SWITCH=1,C2177*(1-I2177)*(1-ADD.DISCOUNT)*(1+MAT.SURCHARGE)/EXC.RATE_2,C2177*(1-I2177)*(1-ADD.DISCOUNT)*(1+MAT.SURCHARGE)*EXC.RATE_2),CURRENCY.FORMAT_2),CURRENCY.FORMAT_2,1),"# ##0;-# ##0"),",-"),FIXED(ROUND(IF(EXC.RATE.SWITCH=1,C2177*(1-I2177)*(1-ADD.DISCOUNT)*(1+MAT.SURCHARGE)/EXC.RATE_2,C2177*(1-I2177)*(1-ADD.DISCOUNT)*(1+MAT.SURCHARGE)*EXC.RATE_2),CURRENCY.FORMAT_2),CURRENCY.FORMAT_2,0)),'DICTIONARY-5'!$A$2))</f>
        <v/>
      </c>
      <c r="N2177" s="538">
        <v>10</v>
      </c>
      <c r="O2177" s="538"/>
      <c r="P2177" s="732" t="str">
        <f>'DICTIONARY-3'!$A$121</f>
        <v>FORTE</v>
      </c>
      <c r="Q2177" s="732" t="str">
        <f>'DICTIONARY-3'!$A$240</f>
        <v>Filtr</v>
      </c>
      <c r="R2177" s="732" t="str">
        <f>CONCATENATE('DICTIONARY-3'!$A$121," ",'DICTIONARY-3'!$A$212," ",'DICTIONARY-2'!$A$2,"65 84×137"," ",LOWER('DICTIONARY-5'!$A$160)," ","0,9",'DICTIONARY-2'!$A$17,)</f>
        <v>FORTE Wymienny wkład filtrujący DN65 84×137 wielkośc oczek sita 0,9mm</v>
      </c>
      <c r="S2177" s="733" t="s">
        <v>5569</v>
      </c>
      <c r="T2177" s="732" t="s">
        <v>5569</v>
      </c>
      <c r="U2177" s="734" t="s">
        <v>5759</v>
      </c>
      <c r="V2177" s="735"/>
      <c r="W2177" s="736"/>
      <c r="X2177" s="737"/>
      <c r="Y2177" s="738"/>
      <c r="Z2177" s="739"/>
      <c r="AA2177" s="739"/>
      <c r="AB2177" s="740">
        <v>16</v>
      </c>
      <c r="AC2177" s="741"/>
      <c r="AD2177" s="741" t="s">
        <v>5569</v>
      </c>
      <c r="AE2177" s="742">
        <v>200</v>
      </c>
      <c r="AF2177" s="743">
        <v>0.19</v>
      </c>
      <c r="AG2177" s="741"/>
    </row>
    <row r="2178" spans="1:33" x14ac:dyDescent="0.25">
      <c r="A2178" s="872" t="s">
        <v>1997</v>
      </c>
      <c r="B2178" s="872" t="s">
        <v>2936</v>
      </c>
      <c r="C2178" s="836">
        <v>18</v>
      </c>
      <c r="D2178" s="836"/>
      <c r="E2178" s="836"/>
      <c r="F2178" s="836"/>
      <c r="G2178" s="862" t="s">
        <v>8193</v>
      </c>
      <c r="H2178" s="797" t="str">
        <f>VLOOKUP(G2178,SETTINGS!$B$7:$D$97,2,0)</f>
        <v>SPARE PARTS</v>
      </c>
      <c r="I2178" s="796">
        <f>VLOOKUP(G2178,SETTINGS!$B$7:$D$97,3,0)</f>
        <v>0</v>
      </c>
      <c r="J2178" s="670" t="str">
        <f>IFERROR(IF(CURRENCY.FORMAT_1=0,CONCATENATE(TEXT(FIXED(ROUND((C2178/EXC.RATE_1),CURRENCY.FORMAT_1),CURRENCY.FORMAT_1,1),"# ##0;-# ##0"),",-"),FIXED(ROUND((C2178/EXC.RATE_1),CURRENCY.FORMAT_1),CURRENCY.FORMAT_1,0)),'DICTIONARY-5'!$A$2)</f>
        <v>18,-</v>
      </c>
      <c r="K2178" s="670" t="str">
        <f>IF(EXC.RATE_2=0,"",IFERROR(IF(CURRENCY.FORMAT_2=0,CONCATENATE(TEXT(FIXED(ROUND(IF(EXC.RATE.SWITCH=1,C2178/EXC.RATE_2,C2178*EXC.RATE_2),CURRENCY.FORMAT_2),CURRENCY.FORMAT_2,1),"# ##0;-# ##0"),",-"),FIXED(ROUND(IF(EXC.RATE.SWITCH=1,C2178/EXC.RATE_2,C2178*EXC.RATE_2),CURRENCY.FORMAT_2),CURRENCY.FORMAT_2,0)),'DICTIONARY-5'!$A$2))</f>
        <v/>
      </c>
      <c r="L2178" s="670" t="str">
        <f>IFERROR(IF(CURRENCY.FORMAT_1=0,CONCATENATE(TEXT(FIXED(ROUND((C2178*(1-I2178)*(1-ADD.DISCOUNT)*(1+MAT.SURCHARGE)/EXC.RATE_1),CURRENCY.FORMAT_1),CURRENCY.FORMAT_1,1),"# ##0;-# ##0"),",-"),FIXED(ROUND((C2178*(1-I2178)*(1-ADD.DISCOUNT)*(1+MAT.SURCHARGE)/EXC.RATE_1),CURRENCY.FORMAT_1),CURRENCY.FORMAT_1,0)),'DICTIONARY-5'!$A$2)</f>
        <v>19,-</v>
      </c>
      <c r="M2178" s="670" t="str">
        <f>IF(EXC.RATE_2=0,"",IFERROR(IF(CURRENCY.FORMAT_2=0,CONCATENATE(TEXT(FIXED(ROUND(IF(EXC.RATE.SWITCH=1,C2178*(1-I2178)*(1-ADD.DISCOUNT)*(1+MAT.SURCHARGE)/EXC.RATE_2,C2178*(1-I2178)*(1-ADD.DISCOUNT)*(1+MAT.SURCHARGE)*EXC.RATE_2),CURRENCY.FORMAT_2),CURRENCY.FORMAT_2,1),"# ##0;-# ##0"),",-"),FIXED(ROUND(IF(EXC.RATE.SWITCH=1,C2178*(1-I2178)*(1-ADD.DISCOUNT)*(1+MAT.SURCHARGE)/EXC.RATE_2,C2178*(1-I2178)*(1-ADD.DISCOUNT)*(1+MAT.SURCHARGE)*EXC.RATE_2),CURRENCY.FORMAT_2),CURRENCY.FORMAT_2,0)),'DICTIONARY-5'!$A$2))</f>
        <v/>
      </c>
      <c r="N2178" s="538">
        <v>10</v>
      </c>
      <c r="O2178" s="538"/>
      <c r="P2178" s="731" t="str">
        <f>'DICTIONARY-3'!$A$121</f>
        <v>FORTE</v>
      </c>
      <c r="Q2178" s="732" t="str">
        <f>'DICTIONARY-3'!$A$240</f>
        <v>Filtr</v>
      </c>
      <c r="R2178" s="732" t="str">
        <f>CONCATENATE('DICTIONARY-3'!$A$121," ",'DICTIONARY-3'!$A$212," ",'DICTIONARY-2'!$A$2,"80 91×137"," ",LOWER('DICTIONARY-5'!$A$160)," ","1,25",'DICTIONARY-2'!$A$17,)</f>
        <v>FORTE Wymienny wkład filtrujący DN80 91×137 wielkośc oczek sita 1,25mm</v>
      </c>
      <c r="S2178" s="733" t="s">
        <v>5569</v>
      </c>
      <c r="T2178" s="732" t="s">
        <v>5569</v>
      </c>
      <c r="U2178" s="734" t="s">
        <v>5760</v>
      </c>
      <c r="V2178" s="735"/>
      <c r="W2178" s="736"/>
      <c r="X2178" s="737"/>
      <c r="Y2178" s="738"/>
      <c r="Z2178" s="739"/>
      <c r="AA2178" s="739"/>
      <c r="AB2178" s="740">
        <v>16</v>
      </c>
      <c r="AC2178" s="741"/>
      <c r="AD2178" s="741" t="s">
        <v>5569</v>
      </c>
      <c r="AE2178" s="742">
        <v>200</v>
      </c>
      <c r="AF2178" s="743">
        <v>0.17399999999999999</v>
      </c>
      <c r="AG2178" s="741"/>
    </row>
    <row r="2179" spans="1:33" x14ac:dyDescent="0.25">
      <c r="A2179" s="872" t="s">
        <v>1998</v>
      </c>
      <c r="B2179" s="872" t="s">
        <v>2937</v>
      </c>
      <c r="C2179" s="836">
        <v>23</v>
      </c>
      <c r="D2179" s="836"/>
      <c r="E2179" s="836"/>
      <c r="F2179" s="836"/>
      <c r="G2179" s="862" t="s">
        <v>8193</v>
      </c>
      <c r="H2179" s="797" t="str">
        <f>VLOOKUP(G2179,SETTINGS!$B$7:$D$97,2,0)</f>
        <v>SPARE PARTS</v>
      </c>
      <c r="I2179" s="796">
        <f>VLOOKUP(G2179,SETTINGS!$B$7:$D$97,3,0)</f>
        <v>0</v>
      </c>
      <c r="J2179" s="670" t="str">
        <f>IFERROR(IF(CURRENCY.FORMAT_1=0,CONCATENATE(TEXT(FIXED(ROUND((C2179/EXC.RATE_1),CURRENCY.FORMAT_1),CURRENCY.FORMAT_1,1),"# ##0;-# ##0"),",-"),FIXED(ROUND((C2179/EXC.RATE_1),CURRENCY.FORMAT_1),CURRENCY.FORMAT_1,0)),'DICTIONARY-5'!$A$2)</f>
        <v>23,-</v>
      </c>
      <c r="K2179" s="670" t="str">
        <f>IF(EXC.RATE_2=0,"",IFERROR(IF(CURRENCY.FORMAT_2=0,CONCATENATE(TEXT(FIXED(ROUND(IF(EXC.RATE.SWITCH=1,C2179/EXC.RATE_2,C2179*EXC.RATE_2),CURRENCY.FORMAT_2),CURRENCY.FORMAT_2,1),"# ##0;-# ##0"),",-"),FIXED(ROUND(IF(EXC.RATE.SWITCH=1,C2179/EXC.RATE_2,C2179*EXC.RATE_2),CURRENCY.FORMAT_2),CURRENCY.FORMAT_2,0)),'DICTIONARY-5'!$A$2))</f>
        <v/>
      </c>
      <c r="L2179" s="670" t="str">
        <f>IFERROR(IF(CURRENCY.FORMAT_1=0,CONCATENATE(TEXT(FIXED(ROUND((C2179*(1-I2179)*(1-ADD.DISCOUNT)*(1+MAT.SURCHARGE)/EXC.RATE_1),CURRENCY.FORMAT_1),CURRENCY.FORMAT_1,1),"# ##0;-# ##0"),",-"),FIXED(ROUND((C2179*(1-I2179)*(1-ADD.DISCOUNT)*(1+MAT.SURCHARGE)/EXC.RATE_1),CURRENCY.FORMAT_1),CURRENCY.FORMAT_1,0)),'DICTIONARY-5'!$A$2)</f>
        <v>24,-</v>
      </c>
      <c r="M2179" s="670" t="str">
        <f>IF(EXC.RATE_2=0,"",IFERROR(IF(CURRENCY.FORMAT_2=0,CONCATENATE(TEXT(FIXED(ROUND(IF(EXC.RATE.SWITCH=1,C2179*(1-I2179)*(1-ADD.DISCOUNT)*(1+MAT.SURCHARGE)/EXC.RATE_2,C2179*(1-I2179)*(1-ADD.DISCOUNT)*(1+MAT.SURCHARGE)*EXC.RATE_2),CURRENCY.FORMAT_2),CURRENCY.FORMAT_2,1),"# ##0;-# ##0"),",-"),FIXED(ROUND(IF(EXC.RATE.SWITCH=1,C2179*(1-I2179)*(1-ADD.DISCOUNT)*(1+MAT.SURCHARGE)/EXC.RATE_2,C2179*(1-I2179)*(1-ADD.DISCOUNT)*(1+MAT.SURCHARGE)*EXC.RATE_2),CURRENCY.FORMAT_2),CURRENCY.FORMAT_2,0)),'DICTIONARY-5'!$A$2))</f>
        <v/>
      </c>
      <c r="N2179" s="538">
        <v>10</v>
      </c>
      <c r="O2179" s="538"/>
      <c r="P2179" s="731" t="str">
        <f>'DICTIONARY-3'!$A$121</f>
        <v>FORTE</v>
      </c>
      <c r="Q2179" s="732" t="str">
        <f>'DICTIONARY-3'!$A$240</f>
        <v>Filtr</v>
      </c>
      <c r="R2179" s="732" t="str">
        <f>CONCATENATE('DICTIONARY-3'!$A$121," ",'DICTIONARY-3'!$A$212," ",'DICTIONARY-2'!$A$2,"100 109×198"," ",LOWER('DICTIONARY-5'!$A$160)," ","1,25",'DICTIONARY-2'!$A$17,)</f>
        <v>FORTE Wymienny wkład filtrujący DN100 109×198 wielkośc oczek sita 1,25mm</v>
      </c>
      <c r="S2179" s="733" t="s">
        <v>5569</v>
      </c>
      <c r="T2179" s="732" t="s">
        <v>5569</v>
      </c>
      <c r="U2179" s="734" t="s">
        <v>5749</v>
      </c>
      <c r="V2179" s="735"/>
      <c r="W2179" s="736"/>
      <c r="X2179" s="737"/>
      <c r="Y2179" s="738"/>
      <c r="Z2179" s="739"/>
      <c r="AA2179" s="739"/>
      <c r="AB2179" s="740">
        <v>16</v>
      </c>
      <c r="AC2179" s="741"/>
      <c r="AD2179" s="741" t="s">
        <v>5569</v>
      </c>
      <c r="AE2179" s="742">
        <v>200</v>
      </c>
      <c r="AF2179" s="743">
        <v>0.38</v>
      </c>
      <c r="AG2179" s="741"/>
    </row>
    <row r="2180" spans="1:33" x14ac:dyDescent="0.25">
      <c r="A2180" s="872" t="s">
        <v>1999</v>
      </c>
      <c r="B2180" s="872" t="s">
        <v>2938</v>
      </c>
      <c r="C2180" s="836">
        <v>33</v>
      </c>
      <c r="D2180" s="836"/>
      <c r="E2180" s="836"/>
      <c r="F2180" s="836"/>
      <c r="G2180" s="862" t="s">
        <v>8193</v>
      </c>
      <c r="H2180" s="797" t="str">
        <f>VLOOKUP(G2180,SETTINGS!$B$7:$D$97,2,0)</f>
        <v>SPARE PARTS</v>
      </c>
      <c r="I2180" s="796">
        <f>VLOOKUP(G2180,SETTINGS!$B$7:$D$97,3,0)</f>
        <v>0</v>
      </c>
      <c r="J2180" s="670" t="str">
        <f>IFERROR(IF(CURRENCY.FORMAT_1=0,CONCATENATE(TEXT(FIXED(ROUND((C2180/EXC.RATE_1),CURRENCY.FORMAT_1),CURRENCY.FORMAT_1,1),"# ##0;-# ##0"),",-"),FIXED(ROUND((C2180/EXC.RATE_1),CURRENCY.FORMAT_1),CURRENCY.FORMAT_1,0)),'DICTIONARY-5'!$A$2)</f>
        <v>33,-</v>
      </c>
      <c r="K2180" s="670" t="str">
        <f>IF(EXC.RATE_2=0,"",IFERROR(IF(CURRENCY.FORMAT_2=0,CONCATENATE(TEXT(FIXED(ROUND(IF(EXC.RATE.SWITCH=1,C2180/EXC.RATE_2,C2180*EXC.RATE_2),CURRENCY.FORMAT_2),CURRENCY.FORMAT_2,1),"# ##0;-# ##0"),",-"),FIXED(ROUND(IF(EXC.RATE.SWITCH=1,C2180/EXC.RATE_2,C2180*EXC.RATE_2),CURRENCY.FORMAT_2),CURRENCY.FORMAT_2,0)),'DICTIONARY-5'!$A$2))</f>
        <v/>
      </c>
      <c r="L2180" s="670" t="str">
        <f>IFERROR(IF(CURRENCY.FORMAT_1=0,CONCATENATE(TEXT(FIXED(ROUND((C2180*(1-I2180)*(1-ADD.DISCOUNT)*(1+MAT.SURCHARGE)/EXC.RATE_1),CURRENCY.FORMAT_1),CURRENCY.FORMAT_1,1),"# ##0;-# ##0"),",-"),FIXED(ROUND((C2180*(1-I2180)*(1-ADD.DISCOUNT)*(1+MAT.SURCHARGE)/EXC.RATE_1),CURRENCY.FORMAT_1),CURRENCY.FORMAT_1,0)),'DICTIONARY-5'!$A$2)</f>
        <v>34,-</v>
      </c>
      <c r="M2180" s="670" t="str">
        <f>IF(EXC.RATE_2=0,"",IFERROR(IF(CURRENCY.FORMAT_2=0,CONCATENATE(TEXT(FIXED(ROUND(IF(EXC.RATE.SWITCH=1,C2180*(1-I2180)*(1-ADD.DISCOUNT)*(1+MAT.SURCHARGE)/EXC.RATE_2,C2180*(1-I2180)*(1-ADD.DISCOUNT)*(1+MAT.SURCHARGE)*EXC.RATE_2),CURRENCY.FORMAT_2),CURRENCY.FORMAT_2,1),"# ##0;-# ##0"),",-"),FIXED(ROUND(IF(EXC.RATE.SWITCH=1,C2180*(1-I2180)*(1-ADD.DISCOUNT)*(1+MAT.SURCHARGE)/EXC.RATE_2,C2180*(1-I2180)*(1-ADD.DISCOUNT)*(1+MAT.SURCHARGE)*EXC.RATE_2),CURRENCY.FORMAT_2),CURRENCY.FORMAT_2,0)),'DICTIONARY-5'!$A$2))</f>
        <v/>
      </c>
      <c r="N2180" s="538">
        <v>10</v>
      </c>
      <c r="O2180" s="538"/>
      <c r="P2180" s="731" t="str">
        <f>'DICTIONARY-3'!$A$121</f>
        <v>FORTE</v>
      </c>
      <c r="Q2180" s="732" t="str">
        <f>'DICTIONARY-3'!$A$240</f>
        <v>Filtr</v>
      </c>
      <c r="R2180" s="732" t="str">
        <f>CONCATENATE('DICTIONARY-3'!$A$121," ",'DICTIONARY-3'!$A$212," ",'DICTIONARY-2'!$A$2,"125 138×231"," ",LOWER('DICTIONARY-5'!$A$160)," ","1,25",'DICTIONARY-2'!$A$17,)</f>
        <v>FORTE Wymienny wkład filtrujący DN125 138×231 wielkośc oczek sita 1,25mm</v>
      </c>
      <c r="S2180" s="733" t="s">
        <v>5569</v>
      </c>
      <c r="T2180" s="732" t="s">
        <v>5569</v>
      </c>
      <c r="U2180" s="734" t="s">
        <v>5761</v>
      </c>
      <c r="V2180" s="735"/>
      <c r="W2180" s="736"/>
      <c r="X2180" s="737"/>
      <c r="Y2180" s="738"/>
      <c r="Z2180" s="739"/>
      <c r="AA2180" s="739"/>
      <c r="AB2180" s="740">
        <v>16</v>
      </c>
      <c r="AC2180" s="741"/>
      <c r="AD2180" s="741" t="s">
        <v>5569</v>
      </c>
      <c r="AE2180" s="742">
        <v>200</v>
      </c>
      <c r="AF2180" s="743">
        <v>0.65</v>
      </c>
      <c r="AG2180" s="741"/>
    </row>
    <row r="2181" spans="1:33" x14ac:dyDescent="0.25">
      <c r="A2181" s="872" t="s">
        <v>2000</v>
      </c>
      <c r="B2181" s="872" t="s">
        <v>2939</v>
      </c>
      <c r="C2181" s="836">
        <v>50</v>
      </c>
      <c r="D2181" s="836"/>
      <c r="E2181" s="836"/>
      <c r="F2181" s="836"/>
      <c r="G2181" s="862" t="s">
        <v>8193</v>
      </c>
      <c r="H2181" s="797" t="str">
        <f>VLOOKUP(G2181,SETTINGS!$B$7:$D$97,2,0)</f>
        <v>SPARE PARTS</v>
      </c>
      <c r="I2181" s="796">
        <f>VLOOKUP(G2181,SETTINGS!$B$7:$D$97,3,0)</f>
        <v>0</v>
      </c>
      <c r="J2181" s="670" t="str">
        <f>IFERROR(IF(CURRENCY.FORMAT_1=0,CONCATENATE(TEXT(FIXED(ROUND((C2181/EXC.RATE_1),CURRENCY.FORMAT_1),CURRENCY.FORMAT_1,1),"# ##0;-# ##0"),",-"),FIXED(ROUND((C2181/EXC.RATE_1),CURRENCY.FORMAT_1),CURRENCY.FORMAT_1,0)),'DICTIONARY-5'!$A$2)</f>
        <v>50,-</v>
      </c>
      <c r="K2181" s="670" t="str">
        <f>IF(EXC.RATE_2=0,"",IFERROR(IF(CURRENCY.FORMAT_2=0,CONCATENATE(TEXT(FIXED(ROUND(IF(EXC.RATE.SWITCH=1,C2181/EXC.RATE_2,C2181*EXC.RATE_2),CURRENCY.FORMAT_2),CURRENCY.FORMAT_2,1),"# ##0;-# ##0"),",-"),FIXED(ROUND(IF(EXC.RATE.SWITCH=1,C2181/EXC.RATE_2,C2181*EXC.RATE_2),CURRENCY.FORMAT_2),CURRENCY.FORMAT_2,0)),'DICTIONARY-5'!$A$2))</f>
        <v/>
      </c>
      <c r="L2181" s="670" t="str">
        <f>IFERROR(IF(CURRENCY.FORMAT_1=0,CONCATENATE(TEXT(FIXED(ROUND((C2181*(1-I2181)*(1-ADD.DISCOUNT)*(1+MAT.SURCHARGE)/EXC.RATE_1),CURRENCY.FORMAT_1),CURRENCY.FORMAT_1,1),"# ##0;-# ##0"),",-"),FIXED(ROUND((C2181*(1-I2181)*(1-ADD.DISCOUNT)*(1+MAT.SURCHARGE)/EXC.RATE_1),CURRENCY.FORMAT_1),CURRENCY.FORMAT_1,0)),'DICTIONARY-5'!$A$2)</f>
        <v>52,-</v>
      </c>
      <c r="M2181" s="670" t="str">
        <f>IF(EXC.RATE_2=0,"",IFERROR(IF(CURRENCY.FORMAT_2=0,CONCATENATE(TEXT(FIXED(ROUND(IF(EXC.RATE.SWITCH=1,C2181*(1-I2181)*(1-ADD.DISCOUNT)*(1+MAT.SURCHARGE)/EXC.RATE_2,C2181*(1-I2181)*(1-ADD.DISCOUNT)*(1+MAT.SURCHARGE)*EXC.RATE_2),CURRENCY.FORMAT_2),CURRENCY.FORMAT_2,1),"# ##0;-# ##0"),",-"),FIXED(ROUND(IF(EXC.RATE.SWITCH=1,C2181*(1-I2181)*(1-ADD.DISCOUNT)*(1+MAT.SURCHARGE)/EXC.RATE_2,C2181*(1-I2181)*(1-ADD.DISCOUNT)*(1+MAT.SURCHARGE)*EXC.RATE_2),CURRENCY.FORMAT_2),CURRENCY.FORMAT_2,0)),'DICTIONARY-5'!$A$2))</f>
        <v/>
      </c>
      <c r="N2181" s="538">
        <v>10</v>
      </c>
      <c r="O2181" s="538"/>
      <c r="P2181" s="731" t="str">
        <f>'DICTIONARY-3'!$A$121</f>
        <v>FORTE</v>
      </c>
      <c r="Q2181" s="732" t="str">
        <f>'DICTIONARY-3'!$A$240</f>
        <v>Filtr</v>
      </c>
      <c r="R2181" s="732" t="str">
        <f>CONCATENATE('DICTIONARY-3'!$A$121," ",'DICTIONARY-3'!$A$212," ",'DICTIONARY-2'!$A$2,"150 168×272"," ",LOWER('DICTIONARY-5'!$A$160)," ","1,25",'DICTIONARY-2'!$A$17,)</f>
        <v>FORTE Wymienny wkład filtrujący DN150 168×272 wielkośc oczek sita 1,25mm</v>
      </c>
      <c r="S2181" s="733" t="s">
        <v>5569</v>
      </c>
      <c r="T2181" s="732" t="s">
        <v>5569</v>
      </c>
      <c r="U2181" s="734" t="s">
        <v>5572</v>
      </c>
      <c r="V2181" s="735"/>
      <c r="W2181" s="736"/>
      <c r="X2181" s="737"/>
      <c r="Y2181" s="738"/>
      <c r="Z2181" s="739"/>
      <c r="AA2181" s="739"/>
      <c r="AB2181" s="740">
        <v>16</v>
      </c>
      <c r="AC2181" s="741"/>
      <c r="AD2181" s="741" t="s">
        <v>5569</v>
      </c>
      <c r="AE2181" s="742">
        <v>200</v>
      </c>
      <c r="AF2181" s="743">
        <v>0.9</v>
      </c>
      <c r="AG2181" s="741"/>
    </row>
    <row r="2182" spans="1:33" x14ac:dyDescent="0.25">
      <c r="A2182" s="872" t="s">
        <v>2001</v>
      </c>
      <c r="B2182" s="872" t="s">
        <v>2940</v>
      </c>
      <c r="C2182" s="836">
        <v>76</v>
      </c>
      <c r="D2182" s="836"/>
      <c r="E2182" s="836"/>
      <c r="F2182" s="836"/>
      <c r="G2182" s="862" t="s">
        <v>8193</v>
      </c>
      <c r="H2182" s="797" t="str">
        <f>VLOOKUP(G2182,SETTINGS!$B$7:$D$97,2,0)</f>
        <v>SPARE PARTS</v>
      </c>
      <c r="I2182" s="796">
        <f>VLOOKUP(G2182,SETTINGS!$B$7:$D$97,3,0)</f>
        <v>0</v>
      </c>
      <c r="J2182" s="670" t="str">
        <f>IFERROR(IF(CURRENCY.FORMAT_1=0,CONCATENATE(TEXT(FIXED(ROUND((C2182/EXC.RATE_1),CURRENCY.FORMAT_1),CURRENCY.FORMAT_1,1),"# ##0;-# ##0"),",-"),FIXED(ROUND((C2182/EXC.RATE_1),CURRENCY.FORMAT_1),CURRENCY.FORMAT_1,0)),'DICTIONARY-5'!$A$2)</f>
        <v>76,-</v>
      </c>
      <c r="K2182" s="670" t="str">
        <f>IF(EXC.RATE_2=0,"",IFERROR(IF(CURRENCY.FORMAT_2=0,CONCATENATE(TEXT(FIXED(ROUND(IF(EXC.RATE.SWITCH=1,C2182/EXC.RATE_2,C2182*EXC.RATE_2),CURRENCY.FORMAT_2),CURRENCY.FORMAT_2,1),"# ##0;-# ##0"),",-"),FIXED(ROUND(IF(EXC.RATE.SWITCH=1,C2182/EXC.RATE_2,C2182*EXC.RATE_2),CURRENCY.FORMAT_2),CURRENCY.FORMAT_2,0)),'DICTIONARY-5'!$A$2))</f>
        <v/>
      </c>
      <c r="L2182" s="670" t="str">
        <f>IFERROR(IF(CURRENCY.FORMAT_1=0,CONCATENATE(TEXT(FIXED(ROUND((C2182*(1-I2182)*(1-ADD.DISCOUNT)*(1+MAT.SURCHARGE)/EXC.RATE_1),CURRENCY.FORMAT_1),CURRENCY.FORMAT_1,1),"# ##0;-# ##0"),",-"),FIXED(ROUND((C2182*(1-I2182)*(1-ADD.DISCOUNT)*(1+MAT.SURCHARGE)/EXC.RATE_1),CURRENCY.FORMAT_1),CURRENCY.FORMAT_1,0)),'DICTIONARY-5'!$A$2)</f>
        <v>79,-</v>
      </c>
      <c r="M2182" s="670" t="str">
        <f>IF(EXC.RATE_2=0,"",IFERROR(IF(CURRENCY.FORMAT_2=0,CONCATENATE(TEXT(FIXED(ROUND(IF(EXC.RATE.SWITCH=1,C2182*(1-I2182)*(1-ADD.DISCOUNT)*(1+MAT.SURCHARGE)/EXC.RATE_2,C2182*(1-I2182)*(1-ADD.DISCOUNT)*(1+MAT.SURCHARGE)*EXC.RATE_2),CURRENCY.FORMAT_2),CURRENCY.FORMAT_2,1),"# ##0;-# ##0"),",-"),FIXED(ROUND(IF(EXC.RATE.SWITCH=1,C2182*(1-I2182)*(1-ADD.DISCOUNT)*(1+MAT.SURCHARGE)/EXC.RATE_2,C2182*(1-I2182)*(1-ADD.DISCOUNT)*(1+MAT.SURCHARGE)*EXC.RATE_2),CURRENCY.FORMAT_2),CURRENCY.FORMAT_2,0)),'DICTIONARY-5'!$A$2))</f>
        <v/>
      </c>
      <c r="N2182" s="538">
        <v>10</v>
      </c>
      <c r="O2182" s="538"/>
      <c r="P2182" s="731" t="str">
        <f>'DICTIONARY-3'!$A$121</f>
        <v>FORTE</v>
      </c>
      <c r="Q2182" s="732" t="str">
        <f>'DICTIONARY-3'!$A$240</f>
        <v>Filtr</v>
      </c>
      <c r="R2182" s="732" t="str">
        <f>CONCATENATE('DICTIONARY-3'!$A$121," ",'DICTIONARY-3'!$A$212," ",'DICTIONARY-2'!$A$2,"200 211×360"," ",LOWER('DICTIONARY-5'!$A$160)," ","1,6",'DICTIONARY-2'!$A$17,)</f>
        <v>FORTE Wymienny wkład filtrujący DN200 211×360 wielkośc oczek sita 1,6mm</v>
      </c>
      <c r="S2182" s="733" t="s">
        <v>5569</v>
      </c>
      <c r="T2182" s="732" t="s">
        <v>5569</v>
      </c>
      <c r="U2182" s="734" t="s">
        <v>5750</v>
      </c>
      <c r="V2182" s="735"/>
      <c r="W2182" s="736"/>
      <c r="X2182" s="737"/>
      <c r="Y2182" s="738"/>
      <c r="Z2182" s="739"/>
      <c r="AA2182" s="739"/>
      <c r="AB2182" s="740">
        <v>16</v>
      </c>
      <c r="AC2182" s="741"/>
      <c r="AD2182" s="741" t="s">
        <v>5569</v>
      </c>
      <c r="AE2182" s="742">
        <v>200</v>
      </c>
      <c r="AF2182" s="743">
        <v>1.65</v>
      </c>
      <c r="AG2182" s="741"/>
    </row>
    <row r="2183" spans="1:33" x14ac:dyDescent="0.25">
      <c r="A2183" s="872" t="s">
        <v>2002</v>
      </c>
      <c r="B2183" s="872" t="s">
        <v>2941</v>
      </c>
      <c r="C2183" s="836">
        <v>130</v>
      </c>
      <c r="D2183" s="836"/>
      <c r="E2183" s="836"/>
      <c r="F2183" s="836"/>
      <c r="G2183" s="862" t="s">
        <v>8193</v>
      </c>
      <c r="H2183" s="797" t="str">
        <f>VLOOKUP(G2183,SETTINGS!$B$7:$D$97,2,0)</f>
        <v>SPARE PARTS</v>
      </c>
      <c r="I2183" s="796">
        <f>VLOOKUP(G2183,SETTINGS!$B$7:$D$97,3,0)</f>
        <v>0</v>
      </c>
      <c r="J2183" s="670" t="str">
        <f>IFERROR(IF(CURRENCY.FORMAT_1=0,CONCATENATE(TEXT(FIXED(ROUND((C2183/EXC.RATE_1),CURRENCY.FORMAT_1),CURRENCY.FORMAT_1,1),"# ##0;-# ##0"),",-"),FIXED(ROUND((C2183/EXC.RATE_1),CURRENCY.FORMAT_1),CURRENCY.FORMAT_1,0)),'DICTIONARY-5'!$A$2)</f>
        <v>130,-</v>
      </c>
      <c r="K2183" s="670" t="str">
        <f>IF(EXC.RATE_2=0,"",IFERROR(IF(CURRENCY.FORMAT_2=0,CONCATENATE(TEXT(FIXED(ROUND(IF(EXC.RATE.SWITCH=1,C2183/EXC.RATE_2,C2183*EXC.RATE_2),CURRENCY.FORMAT_2),CURRENCY.FORMAT_2,1),"# ##0;-# ##0"),",-"),FIXED(ROUND(IF(EXC.RATE.SWITCH=1,C2183/EXC.RATE_2,C2183*EXC.RATE_2),CURRENCY.FORMAT_2),CURRENCY.FORMAT_2,0)),'DICTIONARY-5'!$A$2))</f>
        <v/>
      </c>
      <c r="L2183" s="670" t="str">
        <f>IFERROR(IF(CURRENCY.FORMAT_1=0,CONCATENATE(TEXT(FIXED(ROUND((C2183*(1-I2183)*(1-ADD.DISCOUNT)*(1+MAT.SURCHARGE)/EXC.RATE_1),CURRENCY.FORMAT_1),CURRENCY.FORMAT_1,1),"# ##0;-# ##0"),",-"),FIXED(ROUND((C2183*(1-I2183)*(1-ADD.DISCOUNT)*(1+MAT.SURCHARGE)/EXC.RATE_1),CURRENCY.FORMAT_1),CURRENCY.FORMAT_1,0)),'DICTIONARY-5'!$A$2)</f>
        <v>135,-</v>
      </c>
      <c r="M2183" s="670" t="str">
        <f>IF(EXC.RATE_2=0,"",IFERROR(IF(CURRENCY.FORMAT_2=0,CONCATENATE(TEXT(FIXED(ROUND(IF(EXC.RATE.SWITCH=1,C2183*(1-I2183)*(1-ADD.DISCOUNT)*(1+MAT.SURCHARGE)/EXC.RATE_2,C2183*(1-I2183)*(1-ADD.DISCOUNT)*(1+MAT.SURCHARGE)*EXC.RATE_2),CURRENCY.FORMAT_2),CURRENCY.FORMAT_2,1),"# ##0;-# ##0"),",-"),FIXED(ROUND(IF(EXC.RATE.SWITCH=1,C2183*(1-I2183)*(1-ADD.DISCOUNT)*(1+MAT.SURCHARGE)/EXC.RATE_2,C2183*(1-I2183)*(1-ADD.DISCOUNT)*(1+MAT.SURCHARGE)*EXC.RATE_2),CURRENCY.FORMAT_2),CURRENCY.FORMAT_2,0)),'DICTIONARY-5'!$A$2))</f>
        <v/>
      </c>
      <c r="N2183" s="538">
        <v>10</v>
      </c>
      <c r="O2183" s="538"/>
      <c r="P2183" s="731" t="str">
        <f>'DICTIONARY-3'!$A$121</f>
        <v>FORTE</v>
      </c>
      <c r="Q2183" s="732" t="str">
        <f>'DICTIONARY-3'!$A$240</f>
        <v>Filtr</v>
      </c>
      <c r="R2183" s="732" t="str">
        <f>CONCATENATE('DICTIONARY-3'!$A$121," ",'DICTIONARY-3'!$A$212," ",'DICTIONARY-2'!$A$2,"250 262×390"," ",LOWER('DICTIONARY-5'!$A$160)," ","1,6",'DICTIONARY-2'!$A$17,)</f>
        <v>FORTE Wymienny wkład filtrujący DN250 262×390 wielkośc oczek sita 1,6mm</v>
      </c>
      <c r="S2183" s="733" t="s">
        <v>5569</v>
      </c>
      <c r="T2183" s="732" t="s">
        <v>5569</v>
      </c>
      <c r="U2183" s="734" t="s">
        <v>5751</v>
      </c>
      <c r="V2183" s="735"/>
      <c r="W2183" s="736"/>
      <c r="X2183" s="737"/>
      <c r="Y2183" s="738"/>
      <c r="Z2183" s="739"/>
      <c r="AA2183" s="739"/>
      <c r="AB2183" s="740">
        <v>16</v>
      </c>
      <c r="AC2183" s="741"/>
      <c r="AD2183" s="741" t="s">
        <v>5569</v>
      </c>
      <c r="AE2183" s="742">
        <v>200</v>
      </c>
      <c r="AF2183" s="743">
        <v>2.7</v>
      </c>
      <c r="AG2183" s="741"/>
    </row>
    <row r="2184" spans="1:33" x14ac:dyDescent="0.25">
      <c r="A2184" s="872" t="s">
        <v>2013</v>
      </c>
      <c r="B2184" s="872" t="s">
        <v>4828</v>
      </c>
      <c r="C2184" s="836">
        <v>148</v>
      </c>
      <c r="D2184" s="836"/>
      <c r="E2184" s="836"/>
      <c r="F2184" s="836"/>
      <c r="G2184" s="496" t="s">
        <v>7842</v>
      </c>
      <c r="H2184" s="797" t="str">
        <f>VLOOKUP(G2184,SETTINGS!$B$7:$D$97,2,0)</f>
        <v>SAK</v>
      </c>
      <c r="I2184" s="796">
        <f>VLOOKUP(G2184,SETTINGS!$B$7:$D$97,3,0)</f>
        <v>0</v>
      </c>
      <c r="J2184" s="670" t="str">
        <f>IFERROR(IF(CURRENCY.FORMAT_1=0,CONCATENATE(TEXT(FIXED(ROUND((C2184/EXC.RATE_1),CURRENCY.FORMAT_1),CURRENCY.FORMAT_1,1),"# ##0;-# ##0"),",-"),FIXED(ROUND((C2184/EXC.RATE_1),CURRENCY.FORMAT_1),CURRENCY.FORMAT_1,0)),'DICTIONARY-5'!$A$2)</f>
        <v>148,-</v>
      </c>
      <c r="K2184" s="670" t="str">
        <f>IF(EXC.RATE_2=0,"",IFERROR(IF(CURRENCY.FORMAT_2=0,CONCATENATE(TEXT(FIXED(ROUND(IF(EXC.RATE.SWITCH=1,C2184/EXC.RATE_2,C2184*EXC.RATE_2),CURRENCY.FORMAT_2),CURRENCY.FORMAT_2,1),"# ##0;-# ##0"),",-"),FIXED(ROUND(IF(EXC.RATE.SWITCH=1,C2184/EXC.RATE_2,C2184*EXC.RATE_2),CURRENCY.FORMAT_2),CURRENCY.FORMAT_2,0)),'DICTIONARY-5'!$A$2))</f>
        <v/>
      </c>
      <c r="L2184" s="670" t="str">
        <f>IFERROR(IF(CURRENCY.FORMAT_1=0,CONCATENATE(TEXT(FIXED(ROUND((C2184*(1-I2184)*(1-ADD.DISCOUNT)*(1+MAT.SURCHARGE)/EXC.RATE_1),CURRENCY.FORMAT_1),CURRENCY.FORMAT_1,1),"# ##0;-# ##0"),",-"),FIXED(ROUND((C2184*(1-I2184)*(1-ADD.DISCOUNT)*(1+MAT.SURCHARGE)/EXC.RATE_1),CURRENCY.FORMAT_1),CURRENCY.FORMAT_1,0)),'DICTIONARY-5'!$A$2)</f>
        <v>154,-</v>
      </c>
      <c r="M2184" s="670" t="str">
        <f>IF(EXC.RATE_2=0,"",IFERROR(IF(CURRENCY.FORMAT_2=0,CONCATENATE(TEXT(FIXED(ROUND(IF(EXC.RATE.SWITCH=1,C2184*(1-I2184)*(1-ADD.DISCOUNT)*(1+MAT.SURCHARGE)/EXC.RATE_2,C2184*(1-I2184)*(1-ADD.DISCOUNT)*(1+MAT.SURCHARGE)*EXC.RATE_2),CURRENCY.FORMAT_2),CURRENCY.FORMAT_2,1),"# ##0;-# ##0"),",-"),FIXED(ROUND(IF(EXC.RATE.SWITCH=1,C2184*(1-I2184)*(1-ADD.DISCOUNT)*(1+MAT.SURCHARGE)/EXC.RATE_2,C2184*(1-I2184)*(1-ADD.DISCOUNT)*(1+MAT.SURCHARGE)*EXC.RATE_2),CURRENCY.FORMAT_2),CURRENCY.FORMAT_2,0)),'DICTIONARY-5'!$A$2))</f>
        <v/>
      </c>
      <c r="N2184" s="538">
        <v>10</v>
      </c>
      <c r="O2184" s="538"/>
      <c r="P2184" s="732" t="str">
        <f>'DICTIONARY-3'!$A$122</f>
        <v>SAK</v>
      </c>
      <c r="Q2184" s="732" t="str">
        <f>'DICTIONARY-3'!$A$213</f>
        <v>Kosz ssący</v>
      </c>
      <c r="R2184" s="732" t="str">
        <f>CONCATENATE('DICTIONARY-3'!$A$122," ",'DICTIONARY-6'!$A$16," ",'DICTIONARY-2'!$A$2,"50"," ",'DICTIONARY-2'!$A$3,"10"," ",'DICTIONARY-5'!$A$161," ",'DICTIONARY-5'!$A$33)</f>
        <v>SAK Kosz ssący DN50 PN10 sito st. nierdz.</v>
      </c>
      <c r="S2184" s="733" t="s">
        <v>5569</v>
      </c>
      <c r="T2184" s="732" t="s">
        <v>5569</v>
      </c>
      <c r="U2184" s="734" t="s">
        <v>5748</v>
      </c>
      <c r="V2184" s="735">
        <v>10</v>
      </c>
      <c r="W2184" s="736"/>
      <c r="X2184" s="737"/>
      <c r="Y2184" s="738"/>
      <c r="Z2184" s="739"/>
      <c r="AA2184" s="739"/>
      <c r="AB2184" s="740">
        <v>10</v>
      </c>
      <c r="AC2184" s="741" t="s">
        <v>5569</v>
      </c>
      <c r="AD2184" s="733" t="str">
        <f>'DICTIONARY-5'!$A$13</f>
        <v>woda pitna</v>
      </c>
      <c r="AE2184" s="742">
        <v>50</v>
      </c>
      <c r="AF2184" s="743">
        <v>10</v>
      </c>
      <c r="AG2184" s="741" t="str">
        <f>'DICTIONARY-5'!$A$23</f>
        <v>powłoka epoksydowa</v>
      </c>
    </row>
    <row r="2185" spans="1:33" x14ac:dyDescent="0.25">
      <c r="A2185" s="872" t="s">
        <v>2014</v>
      </c>
      <c r="B2185" s="872" t="s">
        <v>4829</v>
      </c>
      <c r="C2185" s="836">
        <v>171</v>
      </c>
      <c r="D2185" s="836"/>
      <c r="E2185" s="836"/>
      <c r="F2185" s="836"/>
      <c r="G2185" s="496" t="s">
        <v>7842</v>
      </c>
      <c r="H2185" s="797" t="str">
        <f>VLOOKUP(G2185,SETTINGS!$B$7:$D$97,2,0)</f>
        <v>SAK</v>
      </c>
      <c r="I2185" s="796">
        <f>VLOOKUP(G2185,SETTINGS!$B$7:$D$97,3,0)</f>
        <v>0</v>
      </c>
      <c r="J2185" s="670" t="str">
        <f>IFERROR(IF(CURRENCY.FORMAT_1=0,CONCATENATE(TEXT(FIXED(ROUND((C2185/EXC.RATE_1),CURRENCY.FORMAT_1),CURRENCY.FORMAT_1,1),"# ##0;-# ##0"),",-"),FIXED(ROUND((C2185/EXC.RATE_1),CURRENCY.FORMAT_1),CURRENCY.FORMAT_1,0)),'DICTIONARY-5'!$A$2)</f>
        <v>171,-</v>
      </c>
      <c r="K2185" s="670" t="str">
        <f>IF(EXC.RATE_2=0,"",IFERROR(IF(CURRENCY.FORMAT_2=0,CONCATENATE(TEXT(FIXED(ROUND(IF(EXC.RATE.SWITCH=1,C2185/EXC.RATE_2,C2185*EXC.RATE_2),CURRENCY.FORMAT_2),CURRENCY.FORMAT_2,1),"# ##0;-# ##0"),",-"),FIXED(ROUND(IF(EXC.RATE.SWITCH=1,C2185/EXC.RATE_2,C2185*EXC.RATE_2),CURRENCY.FORMAT_2),CURRENCY.FORMAT_2,0)),'DICTIONARY-5'!$A$2))</f>
        <v/>
      </c>
      <c r="L2185" s="670" t="str">
        <f>IFERROR(IF(CURRENCY.FORMAT_1=0,CONCATENATE(TEXT(FIXED(ROUND((C2185*(1-I2185)*(1-ADD.DISCOUNT)*(1+MAT.SURCHARGE)/EXC.RATE_1),CURRENCY.FORMAT_1),CURRENCY.FORMAT_1,1),"# ##0;-# ##0"),",-"),FIXED(ROUND((C2185*(1-I2185)*(1-ADD.DISCOUNT)*(1+MAT.SURCHARGE)/EXC.RATE_1),CURRENCY.FORMAT_1),CURRENCY.FORMAT_1,0)),'DICTIONARY-5'!$A$2)</f>
        <v>178,-</v>
      </c>
      <c r="M2185" s="670" t="str">
        <f>IF(EXC.RATE_2=0,"",IFERROR(IF(CURRENCY.FORMAT_2=0,CONCATENATE(TEXT(FIXED(ROUND(IF(EXC.RATE.SWITCH=1,C2185*(1-I2185)*(1-ADD.DISCOUNT)*(1+MAT.SURCHARGE)/EXC.RATE_2,C2185*(1-I2185)*(1-ADD.DISCOUNT)*(1+MAT.SURCHARGE)*EXC.RATE_2),CURRENCY.FORMAT_2),CURRENCY.FORMAT_2,1),"# ##0;-# ##0"),",-"),FIXED(ROUND(IF(EXC.RATE.SWITCH=1,C2185*(1-I2185)*(1-ADD.DISCOUNT)*(1+MAT.SURCHARGE)/EXC.RATE_2,C2185*(1-I2185)*(1-ADD.DISCOUNT)*(1+MAT.SURCHARGE)*EXC.RATE_2),CURRENCY.FORMAT_2),CURRENCY.FORMAT_2,0)),'DICTIONARY-5'!$A$2))</f>
        <v/>
      </c>
      <c r="N2185" s="538">
        <v>10</v>
      </c>
      <c r="O2185" s="538"/>
      <c r="P2185" s="732" t="str">
        <f>'DICTIONARY-3'!$A$122</f>
        <v>SAK</v>
      </c>
      <c r="Q2185" s="732" t="str">
        <f>'DICTIONARY-3'!$A$213</f>
        <v>Kosz ssący</v>
      </c>
      <c r="R2185" s="732" t="str">
        <f>CONCATENATE('DICTIONARY-3'!$A$122," ",'DICTIONARY-6'!$A$16," ",'DICTIONARY-2'!$A$2,"65"," ",'DICTIONARY-2'!$A$3,"10"," ",'DICTIONARY-5'!$A$161," ",'DICTIONARY-5'!$A$33)</f>
        <v>SAK Kosz ssący DN65 PN10 sito st. nierdz.</v>
      </c>
      <c r="S2185" s="733" t="s">
        <v>5569</v>
      </c>
      <c r="T2185" s="732" t="s">
        <v>5569</v>
      </c>
      <c r="U2185" s="734" t="s">
        <v>5759</v>
      </c>
      <c r="V2185" s="735">
        <v>10</v>
      </c>
      <c r="W2185" s="736"/>
      <c r="X2185" s="737"/>
      <c r="Y2185" s="738"/>
      <c r="Z2185" s="739"/>
      <c r="AA2185" s="739"/>
      <c r="AB2185" s="740">
        <v>10</v>
      </c>
      <c r="AC2185" s="741" t="s">
        <v>5569</v>
      </c>
      <c r="AD2185" s="733" t="str">
        <f>'DICTIONARY-5'!$A$13</f>
        <v>woda pitna</v>
      </c>
      <c r="AE2185" s="742">
        <v>50</v>
      </c>
      <c r="AF2185" s="743">
        <v>12.5</v>
      </c>
      <c r="AG2185" s="741" t="str">
        <f>'DICTIONARY-5'!$A$23</f>
        <v>powłoka epoksydowa</v>
      </c>
    </row>
    <row r="2186" spans="1:33" x14ac:dyDescent="0.25">
      <c r="A2186" s="872" t="s">
        <v>2015</v>
      </c>
      <c r="B2186" s="872" t="s">
        <v>4830</v>
      </c>
      <c r="C2186" s="836">
        <v>182</v>
      </c>
      <c r="D2186" s="836"/>
      <c r="E2186" s="836"/>
      <c r="F2186" s="836"/>
      <c r="G2186" s="496" t="s">
        <v>7842</v>
      </c>
      <c r="H2186" s="797" t="str">
        <f>VLOOKUP(G2186,SETTINGS!$B$7:$D$97,2,0)</f>
        <v>SAK</v>
      </c>
      <c r="I2186" s="796">
        <f>VLOOKUP(G2186,SETTINGS!$B$7:$D$97,3,0)</f>
        <v>0</v>
      </c>
      <c r="J2186" s="670" t="str">
        <f>IFERROR(IF(CURRENCY.FORMAT_1=0,CONCATENATE(TEXT(FIXED(ROUND((C2186/EXC.RATE_1),CURRENCY.FORMAT_1),CURRENCY.FORMAT_1,1),"# ##0;-# ##0"),",-"),FIXED(ROUND((C2186/EXC.RATE_1),CURRENCY.FORMAT_1),CURRENCY.FORMAT_1,0)),'DICTIONARY-5'!$A$2)</f>
        <v>182,-</v>
      </c>
      <c r="K2186" s="670" t="str">
        <f>IF(EXC.RATE_2=0,"",IFERROR(IF(CURRENCY.FORMAT_2=0,CONCATENATE(TEXT(FIXED(ROUND(IF(EXC.RATE.SWITCH=1,C2186/EXC.RATE_2,C2186*EXC.RATE_2),CURRENCY.FORMAT_2),CURRENCY.FORMAT_2,1),"# ##0;-# ##0"),",-"),FIXED(ROUND(IF(EXC.RATE.SWITCH=1,C2186/EXC.RATE_2,C2186*EXC.RATE_2),CURRENCY.FORMAT_2),CURRENCY.FORMAT_2,0)),'DICTIONARY-5'!$A$2))</f>
        <v/>
      </c>
      <c r="L2186" s="670" t="str">
        <f>IFERROR(IF(CURRENCY.FORMAT_1=0,CONCATENATE(TEXT(FIXED(ROUND((C2186*(1-I2186)*(1-ADD.DISCOUNT)*(1+MAT.SURCHARGE)/EXC.RATE_1),CURRENCY.FORMAT_1),CURRENCY.FORMAT_1,1),"# ##0;-# ##0"),",-"),FIXED(ROUND((C2186*(1-I2186)*(1-ADD.DISCOUNT)*(1+MAT.SURCHARGE)/EXC.RATE_1),CURRENCY.FORMAT_1),CURRENCY.FORMAT_1,0)),'DICTIONARY-5'!$A$2)</f>
        <v>189,-</v>
      </c>
      <c r="M2186" s="670" t="str">
        <f>IF(EXC.RATE_2=0,"",IFERROR(IF(CURRENCY.FORMAT_2=0,CONCATENATE(TEXT(FIXED(ROUND(IF(EXC.RATE.SWITCH=1,C2186*(1-I2186)*(1-ADD.DISCOUNT)*(1+MAT.SURCHARGE)/EXC.RATE_2,C2186*(1-I2186)*(1-ADD.DISCOUNT)*(1+MAT.SURCHARGE)*EXC.RATE_2),CURRENCY.FORMAT_2),CURRENCY.FORMAT_2,1),"# ##0;-# ##0"),",-"),FIXED(ROUND(IF(EXC.RATE.SWITCH=1,C2186*(1-I2186)*(1-ADD.DISCOUNT)*(1+MAT.SURCHARGE)/EXC.RATE_2,C2186*(1-I2186)*(1-ADD.DISCOUNT)*(1+MAT.SURCHARGE)*EXC.RATE_2),CURRENCY.FORMAT_2),CURRENCY.FORMAT_2,0)),'DICTIONARY-5'!$A$2))</f>
        <v/>
      </c>
      <c r="N2186" s="538">
        <v>10</v>
      </c>
      <c r="O2186" s="538"/>
      <c r="P2186" s="732" t="str">
        <f>'DICTIONARY-3'!$A$122</f>
        <v>SAK</v>
      </c>
      <c r="Q2186" s="732" t="str">
        <f>'DICTIONARY-3'!$A$213</f>
        <v>Kosz ssący</v>
      </c>
      <c r="R2186" s="732" t="str">
        <f>CONCATENATE('DICTIONARY-3'!$A$122," ",'DICTIONARY-6'!$A$16," ",'DICTIONARY-2'!$A$2,"80"," ",'DICTIONARY-2'!$A$3,"10"," ",'DICTIONARY-5'!$A$161," ",'DICTIONARY-5'!$A$33)</f>
        <v>SAK Kosz ssący DN80 PN10 sito st. nierdz.</v>
      </c>
      <c r="S2186" s="733" t="s">
        <v>5569</v>
      </c>
      <c r="T2186" s="732" t="s">
        <v>5569</v>
      </c>
      <c r="U2186" s="734" t="s">
        <v>5760</v>
      </c>
      <c r="V2186" s="735">
        <v>10</v>
      </c>
      <c r="W2186" s="736"/>
      <c r="X2186" s="737"/>
      <c r="Y2186" s="738"/>
      <c r="Z2186" s="739"/>
      <c r="AA2186" s="739"/>
      <c r="AB2186" s="740">
        <v>10</v>
      </c>
      <c r="AC2186" s="741" t="s">
        <v>5569</v>
      </c>
      <c r="AD2186" s="733" t="str">
        <f>'DICTIONARY-5'!$A$13</f>
        <v>woda pitna</v>
      </c>
      <c r="AE2186" s="742">
        <v>50</v>
      </c>
      <c r="AF2186" s="743">
        <v>17.5</v>
      </c>
      <c r="AG2186" s="741" t="str">
        <f>'DICTIONARY-5'!$A$23</f>
        <v>powłoka epoksydowa</v>
      </c>
    </row>
    <row r="2187" spans="1:33" x14ac:dyDescent="0.25">
      <c r="A2187" s="872" t="s">
        <v>2016</v>
      </c>
      <c r="B2187" s="872" t="s">
        <v>4831</v>
      </c>
      <c r="C2187" s="836">
        <v>228</v>
      </c>
      <c r="D2187" s="836"/>
      <c r="E2187" s="836"/>
      <c r="F2187" s="836"/>
      <c r="G2187" s="496" t="s">
        <v>7842</v>
      </c>
      <c r="H2187" s="797" t="str">
        <f>VLOOKUP(G2187,SETTINGS!$B$7:$D$97,2,0)</f>
        <v>SAK</v>
      </c>
      <c r="I2187" s="796">
        <f>VLOOKUP(G2187,SETTINGS!$B$7:$D$97,3,0)</f>
        <v>0</v>
      </c>
      <c r="J2187" s="670" t="str">
        <f>IFERROR(IF(CURRENCY.FORMAT_1=0,CONCATENATE(TEXT(FIXED(ROUND((C2187/EXC.RATE_1),CURRENCY.FORMAT_1),CURRENCY.FORMAT_1,1),"# ##0;-# ##0"),",-"),FIXED(ROUND((C2187/EXC.RATE_1),CURRENCY.FORMAT_1),CURRENCY.FORMAT_1,0)),'DICTIONARY-5'!$A$2)</f>
        <v>228,-</v>
      </c>
      <c r="K2187" s="670" t="str">
        <f>IF(EXC.RATE_2=0,"",IFERROR(IF(CURRENCY.FORMAT_2=0,CONCATENATE(TEXT(FIXED(ROUND(IF(EXC.RATE.SWITCH=1,C2187/EXC.RATE_2,C2187*EXC.RATE_2),CURRENCY.FORMAT_2),CURRENCY.FORMAT_2,1),"# ##0;-# ##0"),",-"),FIXED(ROUND(IF(EXC.RATE.SWITCH=1,C2187/EXC.RATE_2,C2187*EXC.RATE_2),CURRENCY.FORMAT_2),CURRENCY.FORMAT_2,0)),'DICTIONARY-5'!$A$2))</f>
        <v/>
      </c>
      <c r="L2187" s="670" t="str">
        <f>IFERROR(IF(CURRENCY.FORMAT_1=0,CONCATENATE(TEXT(FIXED(ROUND((C2187*(1-I2187)*(1-ADD.DISCOUNT)*(1+MAT.SURCHARGE)/EXC.RATE_1),CURRENCY.FORMAT_1),CURRENCY.FORMAT_1,1),"# ##0;-# ##0"),",-"),FIXED(ROUND((C2187*(1-I2187)*(1-ADD.DISCOUNT)*(1+MAT.SURCHARGE)/EXC.RATE_1),CURRENCY.FORMAT_1),CURRENCY.FORMAT_1,0)),'DICTIONARY-5'!$A$2)</f>
        <v>237,-</v>
      </c>
      <c r="M2187" s="670" t="str">
        <f>IF(EXC.RATE_2=0,"",IFERROR(IF(CURRENCY.FORMAT_2=0,CONCATENATE(TEXT(FIXED(ROUND(IF(EXC.RATE.SWITCH=1,C2187*(1-I2187)*(1-ADD.DISCOUNT)*(1+MAT.SURCHARGE)/EXC.RATE_2,C2187*(1-I2187)*(1-ADD.DISCOUNT)*(1+MAT.SURCHARGE)*EXC.RATE_2),CURRENCY.FORMAT_2),CURRENCY.FORMAT_2,1),"# ##0;-# ##0"),",-"),FIXED(ROUND(IF(EXC.RATE.SWITCH=1,C2187*(1-I2187)*(1-ADD.DISCOUNT)*(1+MAT.SURCHARGE)/EXC.RATE_2,C2187*(1-I2187)*(1-ADD.DISCOUNT)*(1+MAT.SURCHARGE)*EXC.RATE_2),CURRENCY.FORMAT_2),CURRENCY.FORMAT_2,0)),'DICTIONARY-5'!$A$2))</f>
        <v/>
      </c>
      <c r="N2187" s="538">
        <v>10</v>
      </c>
      <c r="O2187" s="538"/>
      <c r="P2187" s="732" t="str">
        <f>'DICTIONARY-3'!$A$122</f>
        <v>SAK</v>
      </c>
      <c r="Q2187" s="732" t="str">
        <f>'DICTIONARY-3'!$A$213</f>
        <v>Kosz ssący</v>
      </c>
      <c r="R2187" s="732" t="str">
        <f>CONCATENATE('DICTIONARY-3'!$A$122," ",'DICTIONARY-6'!$A$16," ",'DICTIONARY-2'!$A$2,"100"," ",'DICTIONARY-2'!$A$3,"10"," ",'DICTIONARY-5'!$A$161," ",'DICTIONARY-5'!$A$33)</f>
        <v>SAK Kosz ssący DN100 PN10 sito st. nierdz.</v>
      </c>
      <c r="S2187" s="733" t="s">
        <v>5569</v>
      </c>
      <c r="T2187" s="732" t="s">
        <v>5569</v>
      </c>
      <c r="U2187" s="734" t="s">
        <v>5749</v>
      </c>
      <c r="V2187" s="735">
        <v>10</v>
      </c>
      <c r="W2187" s="736"/>
      <c r="X2187" s="737"/>
      <c r="Y2187" s="738"/>
      <c r="Z2187" s="739"/>
      <c r="AA2187" s="739"/>
      <c r="AB2187" s="740">
        <v>10</v>
      </c>
      <c r="AC2187" s="741"/>
      <c r="AD2187" s="733" t="str">
        <f>'DICTIONARY-5'!$A$13</f>
        <v>woda pitna</v>
      </c>
      <c r="AE2187" s="742">
        <v>50</v>
      </c>
      <c r="AF2187" s="743">
        <v>23</v>
      </c>
      <c r="AG2187" s="741" t="str">
        <f>'DICTIONARY-5'!$A$23</f>
        <v>powłoka epoksydowa</v>
      </c>
    </row>
    <row r="2188" spans="1:33" x14ac:dyDescent="0.25">
      <c r="A2188" s="872" t="s">
        <v>2017</v>
      </c>
      <c r="B2188" s="872" t="s">
        <v>4832</v>
      </c>
      <c r="C2188" s="836">
        <v>303</v>
      </c>
      <c r="D2188" s="836"/>
      <c r="E2188" s="836"/>
      <c r="F2188" s="836"/>
      <c r="G2188" s="496" t="s">
        <v>7842</v>
      </c>
      <c r="H2188" s="797" t="str">
        <f>VLOOKUP(G2188,SETTINGS!$B$7:$D$97,2,0)</f>
        <v>SAK</v>
      </c>
      <c r="I2188" s="796">
        <f>VLOOKUP(G2188,SETTINGS!$B$7:$D$97,3,0)</f>
        <v>0</v>
      </c>
      <c r="J2188" s="670" t="str">
        <f>IFERROR(IF(CURRENCY.FORMAT_1=0,CONCATENATE(TEXT(FIXED(ROUND((C2188/EXC.RATE_1),CURRENCY.FORMAT_1),CURRENCY.FORMAT_1,1),"# ##0;-# ##0"),",-"),FIXED(ROUND((C2188/EXC.RATE_1),CURRENCY.FORMAT_1),CURRENCY.FORMAT_1,0)),'DICTIONARY-5'!$A$2)</f>
        <v>303,-</v>
      </c>
      <c r="K2188" s="670" t="str">
        <f>IF(EXC.RATE_2=0,"",IFERROR(IF(CURRENCY.FORMAT_2=0,CONCATENATE(TEXT(FIXED(ROUND(IF(EXC.RATE.SWITCH=1,C2188/EXC.RATE_2,C2188*EXC.RATE_2),CURRENCY.FORMAT_2),CURRENCY.FORMAT_2,1),"# ##0;-# ##0"),",-"),FIXED(ROUND(IF(EXC.RATE.SWITCH=1,C2188/EXC.RATE_2,C2188*EXC.RATE_2),CURRENCY.FORMAT_2),CURRENCY.FORMAT_2,0)),'DICTIONARY-5'!$A$2))</f>
        <v/>
      </c>
      <c r="L2188" s="670" t="str">
        <f>IFERROR(IF(CURRENCY.FORMAT_1=0,CONCATENATE(TEXT(FIXED(ROUND((C2188*(1-I2188)*(1-ADD.DISCOUNT)*(1+MAT.SURCHARGE)/EXC.RATE_1),CURRENCY.FORMAT_1),CURRENCY.FORMAT_1,1),"# ##0;-# ##0"),",-"),FIXED(ROUND((C2188*(1-I2188)*(1-ADD.DISCOUNT)*(1+MAT.SURCHARGE)/EXC.RATE_1),CURRENCY.FORMAT_1),CURRENCY.FORMAT_1,0)),'DICTIONARY-5'!$A$2)</f>
        <v>315,-</v>
      </c>
      <c r="M2188" s="670" t="str">
        <f>IF(EXC.RATE_2=0,"",IFERROR(IF(CURRENCY.FORMAT_2=0,CONCATENATE(TEXT(FIXED(ROUND(IF(EXC.RATE.SWITCH=1,C2188*(1-I2188)*(1-ADD.DISCOUNT)*(1+MAT.SURCHARGE)/EXC.RATE_2,C2188*(1-I2188)*(1-ADD.DISCOUNT)*(1+MAT.SURCHARGE)*EXC.RATE_2),CURRENCY.FORMAT_2),CURRENCY.FORMAT_2,1),"# ##0;-# ##0"),",-"),FIXED(ROUND(IF(EXC.RATE.SWITCH=1,C2188*(1-I2188)*(1-ADD.DISCOUNT)*(1+MAT.SURCHARGE)/EXC.RATE_2,C2188*(1-I2188)*(1-ADD.DISCOUNT)*(1+MAT.SURCHARGE)*EXC.RATE_2),CURRENCY.FORMAT_2),CURRENCY.FORMAT_2,0)),'DICTIONARY-5'!$A$2))</f>
        <v/>
      </c>
      <c r="N2188" s="538">
        <v>10</v>
      </c>
      <c r="O2188" s="538"/>
      <c r="P2188" s="732" t="str">
        <f>'DICTIONARY-3'!$A$122</f>
        <v>SAK</v>
      </c>
      <c r="Q2188" s="732" t="str">
        <f>'DICTIONARY-3'!$A$213</f>
        <v>Kosz ssący</v>
      </c>
      <c r="R2188" s="732" t="str">
        <f>CONCATENATE('DICTIONARY-3'!$A$122," ",'DICTIONARY-6'!$A$16," ",'DICTIONARY-2'!$A$2,"125"," ",'DICTIONARY-2'!$A$3,"10"," ",'DICTIONARY-5'!$A$161," ",'DICTIONARY-5'!$A$33)</f>
        <v>SAK Kosz ssący DN125 PN10 sito st. nierdz.</v>
      </c>
      <c r="S2188" s="733" t="s">
        <v>5569</v>
      </c>
      <c r="T2188" s="732" t="s">
        <v>5569</v>
      </c>
      <c r="U2188" s="734" t="s">
        <v>5761</v>
      </c>
      <c r="V2188" s="735">
        <v>10</v>
      </c>
      <c r="W2188" s="736"/>
      <c r="X2188" s="737"/>
      <c r="Y2188" s="738"/>
      <c r="Z2188" s="739"/>
      <c r="AA2188" s="739"/>
      <c r="AB2188" s="740">
        <v>10</v>
      </c>
      <c r="AC2188" s="741" t="s">
        <v>5569</v>
      </c>
      <c r="AD2188" s="733" t="str">
        <f>'DICTIONARY-5'!$A$13</f>
        <v>woda pitna</v>
      </c>
      <c r="AE2188" s="742">
        <v>50</v>
      </c>
      <c r="AF2188" s="743">
        <v>31</v>
      </c>
      <c r="AG2188" s="741" t="str">
        <f>'DICTIONARY-5'!$A$23</f>
        <v>powłoka epoksydowa</v>
      </c>
    </row>
    <row r="2189" spans="1:33" x14ac:dyDescent="0.25">
      <c r="A2189" s="872" t="s">
        <v>2018</v>
      </c>
      <c r="B2189" s="872" t="s">
        <v>4833</v>
      </c>
      <c r="C2189" s="836">
        <v>490</v>
      </c>
      <c r="D2189" s="836"/>
      <c r="E2189" s="836"/>
      <c r="F2189" s="836"/>
      <c r="G2189" s="496" t="s">
        <v>7842</v>
      </c>
      <c r="H2189" s="797" t="str">
        <f>VLOOKUP(G2189,SETTINGS!$B$7:$D$97,2,0)</f>
        <v>SAK</v>
      </c>
      <c r="I2189" s="796">
        <f>VLOOKUP(G2189,SETTINGS!$B$7:$D$97,3,0)</f>
        <v>0</v>
      </c>
      <c r="J2189" s="670" t="str">
        <f>IFERROR(IF(CURRENCY.FORMAT_1=0,CONCATENATE(TEXT(FIXED(ROUND((C2189/EXC.RATE_1),CURRENCY.FORMAT_1),CURRENCY.FORMAT_1,1),"# ##0;-# ##0"),",-"),FIXED(ROUND((C2189/EXC.RATE_1),CURRENCY.FORMAT_1),CURRENCY.FORMAT_1,0)),'DICTIONARY-5'!$A$2)</f>
        <v>490,-</v>
      </c>
      <c r="K2189" s="670" t="str">
        <f>IF(EXC.RATE_2=0,"",IFERROR(IF(CURRENCY.FORMAT_2=0,CONCATENATE(TEXT(FIXED(ROUND(IF(EXC.RATE.SWITCH=1,C2189/EXC.RATE_2,C2189*EXC.RATE_2),CURRENCY.FORMAT_2),CURRENCY.FORMAT_2,1),"# ##0;-# ##0"),",-"),FIXED(ROUND(IF(EXC.RATE.SWITCH=1,C2189/EXC.RATE_2,C2189*EXC.RATE_2),CURRENCY.FORMAT_2),CURRENCY.FORMAT_2,0)),'DICTIONARY-5'!$A$2))</f>
        <v/>
      </c>
      <c r="L2189" s="670" t="str">
        <f>IFERROR(IF(CURRENCY.FORMAT_1=0,CONCATENATE(TEXT(FIXED(ROUND((C2189*(1-I2189)*(1-ADD.DISCOUNT)*(1+MAT.SURCHARGE)/EXC.RATE_1),CURRENCY.FORMAT_1),CURRENCY.FORMAT_1,1),"# ##0;-# ##0"),",-"),FIXED(ROUND((C2189*(1-I2189)*(1-ADD.DISCOUNT)*(1+MAT.SURCHARGE)/EXC.RATE_1),CURRENCY.FORMAT_1),CURRENCY.FORMAT_1,0)),'DICTIONARY-5'!$A$2)</f>
        <v>509,-</v>
      </c>
      <c r="M2189" s="670" t="str">
        <f>IF(EXC.RATE_2=0,"",IFERROR(IF(CURRENCY.FORMAT_2=0,CONCATENATE(TEXT(FIXED(ROUND(IF(EXC.RATE.SWITCH=1,C2189*(1-I2189)*(1-ADD.DISCOUNT)*(1+MAT.SURCHARGE)/EXC.RATE_2,C2189*(1-I2189)*(1-ADD.DISCOUNT)*(1+MAT.SURCHARGE)*EXC.RATE_2),CURRENCY.FORMAT_2),CURRENCY.FORMAT_2,1),"# ##0;-# ##0"),",-"),FIXED(ROUND(IF(EXC.RATE.SWITCH=1,C2189*(1-I2189)*(1-ADD.DISCOUNT)*(1+MAT.SURCHARGE)/EXC.RATE_2,C2189*(1-I2189)*(1-ADD.DISCOUNT)*(1+MAT.SURCHARGE)*EXC.RATE_2),CURRENCY.FORMAT_2),CURRENCY.FORMAT_2,0)),'DICTIONARY-5'!$A$2))</f>
        <v/>
      </c>
      <c r="N2189" s="538">
        <v>10</v>
      </c>
      <c r="O2189" s="538"/>
      <c r="P2189" s="732" t="str">
        <f>'DICTIONARY-3'!$A$122</f>
        <v>SAK</v>
      </c>
      <c r="Q2189" s="732" t="str">
        <f>'DICTIONARY-3'!$A$213</f>
        <v>Kosz ssący</v>
      </c>
      <c r="R2189" s="732" t="str">
        <f>CONCATENATE('DICTIONARY-3'!$A$122," ",'DICTIONARY-6'!$A$16," ",'DICTIONARY-2'!$A$2,"150"," ",'DICTIONARY-2'!$A$3,"10"," ",'DICTIONARY-5'!$A$161," ",'DICTIONARY-5'!$A$33)</f>
        <v>SAK Kosz ssący DN150 PN10 sito st. nierdz.</v>
      </c>
      <c r="S2189" s="733" t="s">
        <v>5569</v>
      </c>
      <c r="T2189" s="732" t="s">
        <v>5569</v>
      </c>
      <c r="U2189" s="734" t="s">
        <v>5572</v>
      </c>
      <c r="V2189" s="735">
        <v>10</v>
      </c>
      <c r="W2189" s="736"/>
      <c r="X2189" s="737"/>
      <c r="Y2189" s="738"/>
      <c r="Z2189" s="739"/>
      <c r="AA2189" s="739"/>
      <c r="AB2189" s="740">
        <v>10</v>
      </c>
      <c r="AC2189" s="741" t="s">
        <v>5569</v>
      </c>
      <c r="AD2189" s="733" t="str">
        <f>'DICTIONARY-5'!$A$13</f>
        <v>woda pitna</v>
      </c>
      <c r="AE2189" s="742">
        <v>50</v>
      </c>
      <c r="AF2189" s="743">
        <v>42</v>
      </c>
      <c r="AG2189" s="741" t="str">
        <f>'DICTIONARY-5'!$A$23</f>
        <v>powłoka epoksydowa</v>
      </c>
    </row>
    <row r="2190" spans="1:33" x14ac:dyDescent="0.25">
      <c r="A2190" s="872" t="s">
        <v>2019</v>
      </c>
      <c r="B2190" s="872" t="s">
        <v>4834</v>
      </c>
      <c r="C2190" s="836">
        <v>675</v>
      </c>
      <c r="D2190" s="836"/>
      <c r="E2190" s="836"/>
      <c r="F2190" s="836"/>
      <c r="G2190" s="496" t="s">
        <v>7842</v>
      </c>
      <c r="H2190" s="797" t="str">
        <f>VLOOKUP(G2190,SETTINGS!$B$7:$D$97,2,0)</f>
        <v>SAK</v>
      </c>
      <c r="I2190" s="796">
        <f>VLOOKUP(G2190,SETTINGS!$B$7:$D$97,3,0)</f>
        <v>0</v>
      </c>
      <c r="J2190" s="670" t="str">
        <f>IFERROR(IF(CURRENCY.FORMAT_1=0,CONCATENATE(TEXT(FIXED(ROUND((C2190/EXC.RATE_1),CURRENCY.FORMAT_1),CURRENCY.FORMAT_1,1),"# ##0;-# ##0"),",-"),FIXED(ROUND((C2190/EXC.RATE_1),CURRENCY.FORMAT_1),CURRENCY.FORMAT_1,0)),'DICTIONARY-5'!$A$2)</f>
        <v>675,-</v>
      </c>
      <c r="K2190" s="670" t="str">
        <f>IF(EXC.RATE_2=0,"",IFERROR(IF(CURRENCY.FORMAT_2=0,CONCATENATE(TEXT(FIXED(ROUND(IF(EXC.RATE.SWITCH=1,C2190/EXC.RATE_2,C2190*EXC.RATE_2),CURRENCY.FORMAT_2),CURRENCY.FORMAT_2,1),"# ##0;-# ##0"),",-"),FIXED(ROUND(IF(EXC.RATE.SWITCH=1,C2190/EXC.RATE_2,C2190*EXC.RATE_2),CURRENCY.FORMAT_2),CURRENCY.FORMAT_2,0)),'DICTIONARY-5'!$A$2))</f>
        <v/>
      </c>
      <c r="L2190" s="670" t="str">
        <f>IFERROR(IF(CURRENCY.FORMAT_1=0,CONCATENATE(TEXT(FIXED(ROUND((C2190*(1-I2190)*(1-ADD.DISCOUNT)*(1+MAT.SURCHARGE)/EXC.RATE_1),CURRENCY.FORMAT_1),CURRENCY.FORMAT_1,1),"# ##0;-# ##0"),",-"),FIXED(ROUND((C2190*(1-I2190)*(1-ADD.DISCOUNT)*(1+MAT.SURCHARGE)/EXC.RATE_1),CURRENCY.FORMAT_1),CURRENCY.FORMAT_1,0)),'DICTIONARY-5'!$A$2)</f>
        <v>701,-</v>
      </c>
      <c r="M2190" s="670" t="str">
        <f>IF(EXC.RATE_2=0,"",IFERROR(IF(CURRENCY.FORMAT_2=0,CONCATENATE(TEXT(FIXED(ROUND(IF(EXC.RATE.SWITCH=1,C2190*(1-I2190)*(1-ADD.DISCOUNT)*(1+MAT.SURCHARGE)/EXC.RATE_2,C2190*(1-I2190)*(1-ADD.DISCOUNT)*(1+MAT.SURCHARGE)*EXC.RATE_2),CURRENCY.FORMAT_2),CURRENCY.FORMAT_2,1),"# ##0;-# ##0"),",-"),FIXED(ROUND(IF(EXC.RATE.SWITCH=1,C2190*(1-I2190)*(1-ADD.DISCOUNT)*(1+MAT.SURCHARGE)/EXC.RATE_2,C2190*(1-I2190)*(1-ADD.DISCOUNT)*(1+MAT.SURCHARGE)*EXC.RATE_2),CURRENCY.FORMAT_2),CURRENCY.FORMAT_2,0)),'DICTIONARY-5'!$A$2))</f>
        <v/>
      </c>
      <c r="N2190" s="538">
        <v>10</v>
      </c>
      <c r="O2190" s="538"/>
      <c r="P2190" s="732" t="str">
        <f>'DICTIONARY-3'!$A$122</f>
        <v>SAK</v>
      </c>
      <c r="Q2190" s="732" t="str">
        <f>'DICTIONARY-3'!$A$213</f>
        <v>Kosz ssący</v>
      </c>
      <c r="R2190" s="732" t="str">
        <f>CONCATENATE('DICTIONARY-3'!$A$122," ",'DICTIONARY-6'!$A$16," ",'DICTIONARY-2'!$A$2,"200"," ",'DICTIONARY-2'!$A$3,"10"," ",'DICTIONARY-5'!$A$161," ",'DICTIONARY-5'!$A$33)</f>
        <v>SAK Kosz ssący DN200 PN10 sito st. nierdz.</v>
      </c>
      <c r="S2190" s="733" t="s">
        <v>5569</v>
      </c>
      <c r="T2190" s="732" t="s">
        <v>5569</v>
      </c>
      <c r="U2190" s="734" t="s">
        <v>5750</v>
      </c>
      <c r="V2190" s="735">
        <v>10</v>
      </c>
      <c r="W2190" s="736"/>
      <c r="X2190" s="737"/>
      <c r="Y2190" s="738"/>
      <c r="Z2190" s="739"/>
      <c r="AA2190" s="739"/>
      <c r="AB2190" s="740">
        <v>10</v>
      </c>
      <c r="AC2190" s="741" t="s">
        <v>5569</v>
      </c>
      <c r="AD2190" s="733" t="str">
        <f>'DICTIONARY-5'!$A$13</f>
        <v>woda pitna</v>
      </c>
      <c r="AE2190" s="742">
        <v>50</v>
      </c>
      <c r="AF2190" s="743">
        <v>70</v>
      </c>
      <c r="AG2190" s="741" t="str">
        <f>'DICTIONARY-5'!$A$23</f>
        <v>powłoka epoksydowa</v>
      </c>
    </row>
    <row r="2191" spans="1:33" x14ac:dyDescent="0.25">
      <c r="A2191" s="872" t="s">
        <v>2020</v>
      </c>
      <c r="B2191" s="872" t="s">
        <v>4835</v>
      </c>
      <c r="C2191" s="836">
        <v>829</v>
      </c>
      <c r="D2191" s="836"/>
      <c r="E2191" s="836"/>
      <c r="F2191" s="836"/>
      <c r="G2191" s="496" t="s">
        <v>7842</v>
      </c>
      <c r="H2191" s="797" t="str">
        <f>VLOOKUP(G2191,SETTINGS!$B$7:$D$97,2,0)</f>
        <v>SAK</v>
      </c>
      <c r="I2191" s="796">
        <f>VLOOKUP(G2191,SETTINGS!$B$7:$D$97,3,0)</f>
        <v>0</v>
      </c>
      <c r="J2191" s="670" t="str">
        <f>IFERROR(IF(CURRENCY.FORMAT_1=0,CONCATENATE(TEXT(FIXED(ROUND((C2191/EXC.RATE_1),CURRENCY.FORMAT_1),CURRENCY.FORMAT_1,1),"# ##0;-# ##0"),",-"),FIXED(ROUND((C2191/EXC.RATE_1),CURRENCY.FORMAT_1),CURRENCY.FORMAT_1,0)),'DICTIONARY-5'!$A$2)</f>
        <v>829,-</v>
      </c>
      <c r="K2191" s="670" t="str">
        <f>IF(EXC.RATE_2=0,"",IFERROR(IF(CURRENCY.FORMAT_2=0,CONCATENATE(TEXT(FIXED(ROUND(IF(EXC.RATE.SWITCH=1,C2191/EXC.RATE_2,C2191*EXC.RATE_2),CURRENCY.FORMAT_2),CURRENCY.FORMAT_2,1),"# ##0;-# ##0"),",-"),FIXED(ROUND(IF(EXC.RATE.SWITCH=1,C2191/EXC.RATE_2,C2191*EXC.RATE_2),CURRENCY.FORMAT_2),CURRENCY.FORMAT_2,0)),'DICTIONARY-5'!$A$2))</f>
        <v/>
      </c>
      <c r="L2191" s="670" t="str">
        <f>IFERROR(IF(CURRENCY.FORMAT_1=0,CONCATENATE(TEXT(FIXED(ROUND((C2191*(1-I2191)*(1-ADD.DISCOUNT)*(1+MAT.SURCHARGE)/EXC.RATE_1),CURRENCY.FORMAT_1),CURRENCY.FORMAT_1,1),"# ##0;-# ##0"),",-"),FIXED(ROUND((C2191*(1-I2191)*(1-ADD.DISCOUNT)*(1+MAT.SURCHARGE)/EXC.RATE_1),CURRENCY.FORMAT_1),CURRENCY.FORMAT_1,0)),'DICTIONARY-5'!$A$2)</f>
        <v>861,-</v>
      </c>
      <c r="M2191" s="670" t="str">
        <f>IF(EXC.RATE_2=0,"",IFERROR(IF(CURRENCY.FORMAT_2=0,CONCATENATE(TEXT(FIXED(ROUND(IF(EXC.RATE.SWITCH=1,C2191*(1-I2191)*(1-ADD.DISCOUNT)*(1+MAT.SURCHARGE)/EXC.RATE_2,C2191*(1-I2191)*(1-ADD.DISCOUNT)*(1+MAT.SURCHARGE)*EXC.RATE_2),CURRENCY.FORMAT_2),CURRENCY.FORMAT_2,1),"# ##0;-# ##0"),",-"),FIXED(ROUND(IF(EXC.RATE.SWITCH=1,C2191*(1-I2191)*(1-ADD.DISCOUNT)*(1+MAT.SURCHARGE)/EXC.RATE_2,C2191*(1-I2191)*(1-ADD.DISCOUNT)*(1+MAT.SURCHARGE)*EXC.RATE_2),CURRENCY.FORMAT_2),CURRENCY.FORMAT_2,0)),'DICTIONARY-5'!$A$2))</f>
        <v/>
      </c>
      <c r="N2191" s="538">
        <v>10</v>
      </c>
      <c r="O2191" s="538"/>
      <c r="P2191" s="732" t="str">
        <f>'DICTIONARY-3'!$A$122</f>
        <v>SAK</v>
      </c>
      <c r="Q2191" s="732" t="str">
        <f>'DICTIONARY-3'!$A$213</f>
        <v>Kosz ssący</v>
      </c>
      <c r="R2191" s="732" t="str">
        <f>CONCATENATE('DICTIONARY-3'!$A$122," ",'DICTIONARY-6'!$A$16," ",'DICTIONARY-2'!$A$2,"250"," ",'DICTIONARY-2'!$A$3,"10"," ",'DICTIONARY-5'!$A$161," ",'DICTIONARY-5'!$A$33)</f>
        <v>SAK Kosz ssący DN250 PN10 sito st. nierdz.</v>
      </c>
      <c r="S2191" s="733" t="s">
        <v>5569</v>
      </c>
      <c r="T2191" s="732" t="s">
        <v>5569</v>
      </c>
      <c r="U2191" s="734" t="s">
        <v>5751</v>
      </c>
      <c r="V2191" s="735">
        <v>10</v>
      </c>
      <c r="W2191" s="736"/>
      <c r="X2191" s="737"/>
      <c r="Y2191" s="738"/>
      <c r="Z2191" s="739"/>
      <c r="AA2191" s="739"/>
      <c r="AB2191" s="740">
        <v>10</v>
      </c>
      <c r="AC2191" s="741" t="s">
        <v>5569</v>
      </c>
      <c r="AD2191" s="733" t="str">
        <f>'DICTIONARY-5'!$A$13</f>
        <v>woda pitna</v>
      </c>
      <c r="AE2191" s="742">
        <v>50</v>
      </c>
      <c r="AF2191" s="743">
        <v>99</v>
      </c>
      <c r="AG2191" s="741" t="str">
        <f>'DICTIONARY-5'!$A$23</f>
        <v>powłoka epoksydowa</v>
      </c>
    </row>
    <row r="2192" spans="1:33" x14ac:dyDescent="0.25">
      <c r="A2192" s="872" t="s">
        <v>2022</v>
      </c>
      <c r="B2192" s="872" t="s">
        <v>3595</v>
      </c>
      <c r="C2192" s="836">
        <v>171</v>
      </c>
      <c r="D2192" s="836"/>
      <c r="E2192" s="836"/>
      <c r="F2192" s="836"/>
      <c r="G2192" s="496" t="s">
        <v>7843</v>
      </c>
      <c r="H2192" s="797" t="str">
        <f>VLOOKUP(G2192,SETTINGS!$B$7:$D$97,2,0)</f>
        <v>VARIplus</v>
      </c>
      <c r="I2192" s="796">
        <f>VLOOKUP(G2192,SETTINGS!$B$7:$D$97,3,0)</f>
        <v>0</v>
      </c>
      <c r="J2192" s="670" t="str">
        <f>IFERROR(IF(CURRENCY.FORMAT_1=0,CONCATENATE(TEXT(FIXED(ROUND((C2192/EXC.RATE_1),CURRENCY.FORMAT_1),CURRENCY.FORMAT_1,1),"# ##0;-# ##0"),",-"),FIXED(ROUND((C2192/EXC.RATE_1),CURRENCY.FORMAT_1),CURRENCY.FORMAT_1,0)),'DICTIONARY-5'!$A$2)</f>
        <v>171,-</v>
      </c>
      <c r="K2192" s="670" t="str">
        <f>IF(EXC.RATE_2=0,"",IFERROR(IF(CURRENCY.FORMAT_2=0,CONCATENATE(TEXT(FIXED(ROUND(IF(EXC.RATE.SWITCH=1,C2192/EXC.RATE_2,C2192*EXC.RATE_2),CURRENCY.FORMAT_2),CURRENCY.FORMAT_2,1),"# ##0;-# ##0"),",-"),FIXED(ROUND(IF(EXC.RATE.SWITCH=1,C2192/EXC.RATE_2,C2192*EXC.RATE_2),CURRENCY.FORMAT_2),CURRENCY.FORMAT_2,0)),'DICTIONARY-5'!$A$2))</f>
        <v/>
      </c>
      <c r="L2192" s="670" t="str">
        <f>IFERROR(IF(CURRENCY.FORMAT_1=0,CONCATENATE(TEXT(FIXED(ROUND((C2192*(1-I2192)*(1-ADD.DISCOUNT)*(1+MAT.SURCHARGE)/EXC.RATE_1),CURRENCY.FORMAT_1),CURRENCY.FORMAT_1,1),"# ##0;-# ##0"),",-"),FIXED(ROUND((C2192*(1-I2192)*(1-ADD.DISCOUNT)*(1+MAT.SURCHARGE)/EXC.RATE_1),CURRENCY.FORMAT_1),CURRENCY.FORMAT_1,0)),'DICTIONARY-5'!$A$2)</f>
        <v>178,-</v>
      </c>
      <c r="M2192" s="670" t="str">
        <f>IF(EXC.RATE_2=0,"",IFERROR(IF(CURRENCY.FORMAT_2=0,CONCATENATE(TEXT(FIXED(ROUND(IF(EXC.RATE.SWITCH=1,C2192*(1-I2192)*(1-ADD.DISCOUNT)*(1+MAT.SURCHARGE)/EXC.RATE_2,C2192*(1-I2192)*(1-ADD.DISCOUNT)*(1+MAT.SURCHARGE)*EXC.RATE_2),CURRENCY.FORMAT_2),CURRENCY.FORMAT_2,1),"# ##0;-# ##0"),",-"),FIXED(ROUND(IF(EXC.RATE.SWITCH=1,C2192*(1-I2192)*(1-ADD.DISCOUNT)*(1+MAT.SURCHARGE)/EXC.RATE_2,C2192*(1-I2192)*(1-ADD.DISCOUNT)*(1+MAT.SURCHARGE)*EXC.RATE_2),CURRENCY.FORMAT_2),CURRENCY.FORMAT_2,0)),'DICTIONARY-5'!$A$2))</f>
        <v/>
      </c>
      <c r="N2192" s="538">
        <v>10</v>
      </c>
      <c r="O2192" s="538"/>
      <c r="P2192" s="731" t="str">
        <f>'DICTIONARY-3'!$A$124</f>
        <v>VARIplus-DJ</v>
      </c>
      <c r="Q2192" s="732" t="str">
        <f>'DICTIONARY-3'!$A$214</f>
        <v>Wstawka montażowa</v>
      </c>
      <c r="R2192" s="732" t="str">
        <f>CONCATENATE('DICTIONARY-3'!$A$124," ",'DICTIONARY-6'!$A$15," ",'DICTIONARY-2'!$A$2,"50"," ",'DICTIONARY-2'!$A$3,"10/16"," ",'DICTIONARY-2'!$A$24,"=","165-205",'DICTIONARY-2'!$A$17,," ",'DICTIONARY-6'!$A$34)</f>
        <v>VARIplus-DJ Wstawka mont. DN50 PN10/16 L=165-205mm śr.stal węglowa</v>
      </c>
      <c r="S2192" s="733" t="s">
        <v>5569</v>
      </c>
      <c r="T2192" s="732" t="s">
        <v>5569</v>
      </c>
      <c r="U2192" s="734" t="s">
        <v>5748</v>
      </c>
      <c r="V2192" s="735">
        <v>16</v>
      </c>
      <c r="W2192" s="736"/>
      <c r="X2192" s="737"/>
      <c r="Y2192" s="738"/>
      <c r="Z2192" s="739"/>
      <c r="AA2192" s="739"/>
      <c r="AB2192" s="740">
        <v>16</v>
      </c>
      <c r="AC2192" s="733" t="s">
        <v>5711</v>
      </c>
      <c r="AD2192" s="741" t="str">
        <f>'DICTIONARY-5'!$A$13</f>
        <v>woda pitna</v>
      </c>
      <c r="AE2192" s="742">
        <v>90</v>
      </c>
      <c r="AF2192" s="743">
        <v>9.4499999999999993</v>
      </c>
      <c r="AG2192" s="741" t="str">
        <f>'DICTIONARY-5'!$A$23</f>
        <v>powłoka epoksydowa</v>
      </c>
    </row>
    <row r="2193" spans="1:33" x14ac:dyDescent="0.25">
      <c r="A2193" s="872" t="s">
        <v>2023</v>
      </c>
      <c r="B2193" s="872" t="s">
        <v>3597</v>
      </c>
      <c r="C2193" s="836">
        <v>201</v>
      </c>
      <c r="D2193" s="836"/>
      <c r="E2193" s="836"/>
      <c r="F2193" s="836"/>
      <c r="G2193" s="496" t="s">
        <v>7843</v>
      </c>
      <c r="H2193" s="797" t="str">
        <f>VLOOKUP(G2193,SETTINGS!$B$7:$D$97,2,0)</f>
        <v>VARIplus</v>
      </c>
      <c r="I2193" s="796">
        <f>VLOOKUP(G2193,SETTINGS!$B$7:$D$97,3,0)</f>
        <v>0</v>
      </c>
      <c r="J2193" s="670" t="str">
        <f>IFERROR(IF(CURRENCY.FORMAT_1=0,CONCATENATE(TEXT(FIXED(ROUND((C2193/EXC.RATE_1),CURRENCY.FORMAT_1),CURRENCY.FORMAT_1,1),"# ##0;-# ##0"),",-"),FIXED(ROUND((C2193/EXC.RATE_1),CURRENCY.FORMAT_1),CURRENCY.FORMAT_1,0)),'DICTIONARY-5'!$A$2)</f>
        <v>201,-</v>
      </c>
      <c r="K2193" s="670" t="str">
        <f>IF(EXC.RATE_2=0,"",IFERROR(IF(CURRENCY.FORMAT_2=0,CONCATENATE(TEXT(FIXED(ROUND(IF(EXC.RATE.SWITCH=1,C2193/EXC.RATE_2,C2193*EXC.RATE_2),CURRENCY.FORMAT_2),CURRENCY.FORMAT_2,1),"# ##0;-# ##0"),",-"),FIXED(ROUND(IF(EXC.RATE.SWITCH=1,C2193/EXC.RATE_2,C2193*EXC.RATE_2),CURRENCY.FORMAT_2),CURRENCY.FORMAT_2,0)),'DICTIONARY-5'!$A$2))</f>
        <v/>
      </c>
      <c r="L2193" s="670" t="str">
        <f>IFERROR(IF(CURRENCY.FORMAT_1=0,CONCATENATE(TEXT(FIXED(ROUND((C2193*(1-I2193)*(1-ADD.DISCOUNT)*(1+MAT.SURCHARGE)/EXC.RATE_1),CURRENCY.FORMAT_1),CURRENCY.FORMAT_1,1),"# ##0;-# ##0"),",-"),FIXED(ROUND((C2193*(1-I2193)*(1-ADD.DISCOUNT)*(1+MAT.SURCHARGE)/EXC.RATE_1),CURRENCY.FORMAT_1),CURRENCY.FORMAT_1,0)),'DICTIONARY-5'!$A$2)</f>
        <v>209,-</v>
      </c>
      <c r="M2193" s="670" t="str">
        <f>IF(EXC.RATE_2=0,"",IFERROR(IF(CURRENCY.FORMAT_2=0,CONCATENATE(TEXT(FIXED(ROUND(IF(EXC.RATE.SWITCH=1,C2193*(1-I2193)*(1-ADD.DISCOUNT)*(1+MAT.SURCHARGE)/EXC.RATE_2,C2193*(1-I2193)*(1-ADD.DISCOUNT)*(1+MAT.SURCHARGE)*EXC.RATE_2),CURRENCY.FORMAT_2),CURRENCY.FORMAT_2,1),"# ##0;-# ##0"),",-"),FIXED(ROUND(IF(EXC.RATE.SWITCH=1,C2193*(1-I2193)*(1-ADD.DISCOUNT)*(1+MAT.SURCHARGE)/EXC.RATE_2,C2193*(1-I2193)*(1-ADD.DISCOUNT)*(1+MAT.SURCHARGE)*EXC.RATE_2),CURRENCY.FORMAT_2),CURRENCY.FORMAT_2,0)),'DICTIONARY-5'!$A$2))</f>
        <v/>
      </c>
      <c r="N2193" s="538">
        <v>10</v>
      </c>
      <c r="O2193" s="538"/>
      <c r="P2193" s="731" t="str">
        <f>'DICTIONARY-3'!$A$124</f>
        <v>VARIplus-DJ</v>
      </c>
      <c r="Q2193" s="732" t="str">
        <f>'DICTIONARY-3'!$A$214</f>
        <v>Wstawka montażowa</v>
      </c>
      <c r="R2193" s="732" t="str">
        <f>CONCATENATE('DICTIONARY-3'!$A$124," ",'DICTIONARY-6'!$A$15," ",'DICTIONARY-2'!$A$2,"65"," ",'DICTIONARY-2'!$A$3,"10/16"," ",'DICTIONARY-2'!$A$24,"=","165-205",'DICTIONARY-2'!$A$17,," ",'DICTIONARY-6'!$A$34)</f>
        <v>VARIplus-DJ Wstawka mont. DN65 PN10/16 L=165-205mm śr.stal węglowa</v>
      </c>
      <c r="S2193" s="733" t="s">
        <v>5569</v>
      </c>
      <c r="T2193" s="732" t="s">
        <v>5569</v>
      </c>
      <c r="U2193" s="734" t="s">
        <v>5759</v>
      </c>
      <c r="V2193" s="735">
        <v>16</v>
      </c>
      <c r="W2193" s="736"/>
      <c r="X2193" s="737"/>
      <c r="Y2193" s="738"/>
      <c r="Z2193" s="739"/>
      <c r="AA2193" s="739"/>
      <c r="AB2193" s="740">
        <v>16</v>
      </c>
      <c r="AC2193" s="741" t="s">
        <v>5711</v>
      </c>
      <c r="AD2193" s="741" t="str">
        <f>'DICTIONARY-5'!$A$13</f>
        <v>woda pitna</v>
      </c>
      <c r="AE2193" s="742">
        <v>90</v>
      </c>
      <c r="AF2193" s="743">
        <v>10.45</v>
      </c>
      <c r="AG2193" s="741" t="str">
        <f>'DICTIONARY-5'!$A$23</f>
        <v>powłoka epoksydowa</v>
      </c>
    </row>
    <row r="2194" spans="1:33" x14ac:dyDescent="0.25">
      <c r="A2194" s="872" t="s">
        <v>2024</v>
      </c>
      <c r="B2194" s="872" t="s">
        <v>3599</v>
      </c>
      <c r="C2194" s="836">
        <v>220</v>
      </c>
      <c r="D2194" s="836"/>
      <c r="E2194" s="836"/>
      <c r="F2194" s="836"/>
      <c r="G2194" s="496" t="s">
        <v>7843</v>
      </c>
      <c r="H2194" s="797" t="str">
        <f>VLOOKUP(G2194,SETTINGS!$B$7:$D$97,2,0)</f>
        <v>VARIplus</v>
      </c>
      <c r="I2194" s="796">
        <f>VLOOKUP(G2194,SETTINGS!$B$7:$D$97,3,0)</f>
        <v>0</v>
      </c>
      <c r="J2194" s="670" t="str">
        <f>IFERROR(IF(CURRENCY.FORMAT_1=0,CONCATENATE(TEXT(FIXED(ROUND((C2194/EXC.RATE_1),CURRENCY.FORMAT_1),CURRENCY.FORMAT_1,1),"# ##0;-# ##0"),",-"),FIXED(ROUND((C2194/EXC.RATE_1),CURRENCY.FORMAT_1),CURRENCY.FORMAT_1,0)),'DICTIONARY-5'!$A$2)</f>
        <v>220,-</v>
      </c>
      <c r="K2194" s="670" t="str">
        <f>IF(EXC.RATE_2=0,"",IFERROR(IF(CURRENCY.FORMAT_2=0,CONCATENATE(TEXT(FIXED(ROUND(IF(EXC.RATE.SWITCH=1,C2194/EXC.RATE_2,C2194*EXC.RATE_2),CURRENCY.FORMAT_2),CURRENCY.FORMAT_2,1),"# ##0;-# ##0"),",-"),FIXED(ROUND(IF(EXC.RATE.SWITCH=1,C2194/EXC.RATE_2,C2194*EXC.RATE_2),CURRENCY.FORMAT_2),CURRENCY.FORMAT_2,0)),'DICTIONARY-5'!$A$2))</f>
        <v/>
      </c>
      <c r="L2194" s="670" t="str">
        <f>IFERROR(IF(CURRENCY.FORMAT_1=0,CONCATENATE(TEXT(FIXED(ROUND((C2194*(1-I2194)*(1-ADD.DISCOUNT)*(1+MAT.SURCHARGE)/EXC.RATE_1),CURRENCY.FORMAT_1),CURRENCY.FORMAT_1,1),"# ##0;-# ##0"),",-"),FIXED(ROUND((C2194*(1-I2194)*(1-ADD.DISCOUNT)*(1+MAT.SURCHARGE)/EXC.RATE_1),CURRENCY.FORMAT_1),CURRENCY.FORMAT_1,0)),'DICTIONARY-5'!$A$2)</f>
        <v>229,-</v>
      </c>
      <c r="M2194" s="670" t="str">
        <f>IF(EXC.RATE_2=0,"",IFERROR(IF(CURRENCY.FORMAT_2=0,CONCATENATE(TEXT(FIXED(ROUND(IF(EXC.RATE.SWITCH=1,C2194*(1-I2194)*(1-ADD.DISCOUNT)*(1+MAT.SURCHARGE)/EXC.RATE_2,C2194*(1-I2194)*(1-ADD.DISCOUNT)*(1+MAT.SURCHARGE)*EXC.RATE_2),CURRENCY.FORMAT_2),CURRENCY.FORMAT_2,1),"# ##0;-# ##0"),",-"),FIXED(ROUND(IF(EXC.RATE.SWITCH=1,C2194*(1-I2194)*(1-ADD.DISCOUNT)*(1+MAT.SURCHARGE)/EXC.RATE_2,C2194*(1-I2194)*(1-ADD.DISCOUNT)*(1+MAT.SURCHARGE)*EXC.RATE_2),CURRENCY.FORMAT_2),CURRENCY.FORMAT_2,0)),'DICTIONARY-5'!$A$2))</f>
        <v/>
      </c>
      <c r="N2194" s="538">
        <v>10</v>
      </c>
      <c r="O2194" s="538"/>
      <c r="P2194" s="731" t="str">
        <f>'DICTIONARY-3'!$A$124</f>
        <v>VARIplus-DJ</v>
      </c>
      <c r="Q2194" s="732" t="str">
        <f>'DICTIONARY-3'!$A$214</f>
        <v>Wstawka montażowa</v>
      </c>
      <c r="R2194" s="732" t="str">
        <f>CONCATENATE('DICTIONARY-3'!$A$124," ",'DICTIONARY-6'!$A$15," ",'DICTIONARY-2'!$A$2,"80"," ",'DICTIONARY-2'!$A$3,"10/16"," ",'DICTIONARY-2'!$A$24,"=","165-205",'DICTIONARY-2'!$A$17,," ",'DICTIONARY-6'!$A$34)</f>
        <v>VARIplus-DJ Wstawka mont. DN80 PN10/16 L=165-205mm śr.stal węglowa</v>
      </c>
      <c r="S2194" s="733" t="s">
        <v>5569</v>
      </c>
      <c r="T2194" s="732" t="s">
        <v>5569</v>
      </c>
      <c r="U2194" s="734" t="s">
        <v>5760</v>
      </c>
      <c r="V2194" s="735">
        <v>16</v>
      </c>
      <c r="W2194" s="736"/>
      <c r="X2194" s="737"/>
      <c r="Y2194" s="738"/>
      <c r="Z2194" s="739"/>
      <c r="AA2194" s="739"/>
      <c r="AB2194" s="740">
        <v>16</v>
      </c>
      <c r="AC2194" s="741" t="s">
        <v>5711</v>
      </c>
      <c r="AD2194" s="741" t="str">
        <f>'DICTIONARY-5'!$A$13</f>
        <v>woda pitna</v>
      </c>
      <c r="AE2194" s="742">
        <v>90</v>
      </c>
      <c r="AF2194" s="743">
        <v>9</v>
      </c>
      <c r="AG2194" s="741" t="str">
        <f>'DICTIONARY-5'!$A$23</f>
        <v>powłoka epoksydowa</v>
      </c>
    </row>
    <row r="2195" spans="1:33" x14ac:dyDescent="0.25">
      <c r="A2195" s="872" t="s">
        <v>2025</v>
      </c>
      <c r="B2195" s="872" t="s">
        <v>3601</v>
      </c>
      <c r="C2195" s="836">
        <v>204</v>
      </c>
      <c r="D2195" s="836"/>
      <c r="E2195" s="836"/>
      <c r="F2195" s="836"/>
      <c r="G2195" s="496" t="s">
        <v>7843</v>
      </c>
      <c r="H2195" s="797" t="str">
        <f>VLOOKUP(G2195,SETTINGS!$B$7:$D$97,2,0)</f>
        <v>VARIplus</v>
      </c>
      <c r="I2195" s="796">
        <f>VLOOKUP(G2195,SETTINGS!$B$7:$D$97,3,0)</f>
        <v>0</v>
      </c>
      <c r="J2195" s="670" t="str">
        <f>IFERROR(IF(CURRENCY.FORMAT_1=0,CONCATENATE(TEXT(FIXED(ROUND((C2195/EXC.RATE_1),CURRENCY.FORMAT_1),CURRENCY.FORMAT_1,1),"# ##0;-# ##0"),",-"),FIXED(ROUND((C2195/EXC.RATE_1),CURRENCY.FORMAT_1),CURRENCY.FORMAT_1,0)),'DICTIONARY-5'!$A$2)</f>
        <v>204,-</v>
      </c>
      <c r="K2195" s="670" t="str">
        <f>IF(EXC.RATE_2=0,"",IFERROR(IF(CURRENCY.FORMAT_2=0,CONCATENATE(TEXT(FIXED(ROUND(IF(EXC.RATE.SWITCH=1,C2195/EXC.RATE_2,C2195*EXC.RATE_2),CURRENCY.FORMAT_2),CURRENCY.FORMAT_2,1),"# ##0;-# ##0"),",-"),FIXED(ROUND(IF(EXC.RATE.SWITCH=1,C2195/EXC.RATE_2,C2195*EXC.RATE_2),CURRENCY.FORMAT_2),CURRENCY.FORMAT_2,0)),'DICTIONARY-5'!$A$2))</f>
        <v/>
      </c>
      <c r="L2195" s="670" t="str">
        <f>IFERROR(IF(CURRENCY.FORMAT_1=0,CONCATENATE(TEXT(FIXED(ROUND((C2195*(1-I2195)*(1-ADD.DISCOUNT)*(1+MAT.SURCHARGE)/EXC.RATE_1),CURRENCY.FORMAT_1),CURRENCY.FORMAT_1,1),"# ##0;-# ##0"),",-"),FIXED(ROUND((C2195*(1-I2195)*(1-ADD.DISCOUNT)*(1+MAT.SURCHARGE)/EXC.RATE_1),CURRENCY.FORMAT_1),CURRENCY.FORMAT_1,0)),'DICTIONARY-5'!$A$2)</f>
        <v>212,-</v>
      </c>
      <c r="M2195" s="670" t="str">
        <f>IF(EXC.RATE_2=0,"",IFERROR(IF(CURRENCY.FORMAT_2=0,CONCATENATE(TEXT(FIXED(ROUND(IF(EXC.RATE.SWITCH=1,C2195*(1-I2195)*(1-ADD.DISCOUNT)*(1+MAT.SURCHARGE)/EXC.RATE_2,C2195*(1-I2195)*(1-ADD.DISCOUNT)*(1+MAT.SURCHARGE)*EXC.RATE_2),CURRENCY.FORMAT_2),CURRENCY.FORMAT_2,1),"# ##0;-# ##0"),",-"),FIXED(ROUND(IF(EXC.RATE.SWITCH=1,C2195*(1-I2195)*(1-ADD.DISCOUNT)*(1+MAT.SURCHARGE)/EXC.RATE_2,C2195*(1-I2195)*(1-ADD.DISCOUNT)*(1+MAT.SURCHARGE)*EXC.RATE_2),CURRENCY.FORMAT_2),CURRENCY.FORMAT_2,0)),'DICTIONARY-5'!$A$2))</f>
        <v/>
      </c>
      <c r="N2195" s="538">
        <v>10</v>
      </c>
      <c r="O2195" s="538"/>
      <c r="P2195" s="731" t="str">
        <f>'DICTIONARY-3'!$A$124</f>
        <v>VARIplus-DJ</v>
      </c>
      <c r="Q2195" s="732" t="str">
        <f>'DICTIONARY-3'!$A$214</f>
        <v>Wstawka montażowa</v>
      </c>
      <c r="R2195" s="732" t="str">
        <f>CONCATENATE('DICTIONARY-3'!$A$124," ",'DICTIONARY-6'!$A$15," ",'DICTIONARY-2'!$A$2,"100"," ",'DICTIONARY-2'!$A$3,"10/16"," ",'DICTIONARY-2'!$A$24,"=","165-205",'DICTIONARY-2'!$A$17,," ",'DICTIONARY-6'!$A$34)</f>
        <v>VARIplus-DJ Wstawka mont. DN100 PN10/16 L=165-205mm śr.stal węglowa</v>
      </c>
      <c r="S2195" s="733" t="s">
        <v>5569</v>
      </c>
      <c r="T2195" s="732" t="s">
        <v>5569</v>
      </c>
      <c r="U2195" s="734" t="s">
        <v>5749</v>
      </c>
      <c r="V2195" s="735">
        <v>16</v>
      </c>
      <c r="W2195" s="736"/>
      <c r="X2195" s="737"/>
      <c r="Y2195" s="738"/>
      <c r="Z2195" s="739"/>
      <c r="AA2195" s="739"/>
      <c r="AB2195" s="740">
        <v>16</v>
      </c>
      <c r="AC2195" s="741" t="s">
        <v>5711</v>
      </c>
      <c r="AD2195" s="741" t="str">
        <f>'DICTIONARY-5'!$A$13</f>
        <v>woda pitna</v>
      </c>
      <c r="AE2195" s="742">
        <v>90</v>
      </c>
      <c r="AF2195" s="743">
        <v>11.5</v>
      </c>
      <c r="AG2195" s="741" t="str">
        <f>'DICTIONARY-5'!$A$23</f>
        <v>powłoka epoksydowa</v>
      </c>
    </row>
    <row r="2196" spans="1:33" x14ac:dyDescent="0.25">
      <c r="A2196" s="872" t="s">
        <v>2026</v>
      </c>
      <c r="B2196" s="872" t="s">
        <v>3603</v>
      </c>
      <c r="C2196" s="836">
        <v>232</v>
      </c>
      <c r="D2196" s="836"/>
      <c r="E2196" s="836"/>
      <c r="F2196" s="836"/>
      <c r="G2196" s="496" t="s">
        <v>7843</v>
      </c>
      <c r="H2196" s="797" t="str">
        <f>VLOOKUP(G2196,SETTINGS!$B$7:$D$97,2,0)</f>
        <v>VARIplus</v>
      </c>
      <c r="I2196" s="796">
        <f>VLOOKUP(G2196,SETTINGS!$B$7:$D$97,3,0)</f>
        <v>0</v>
      </c>
      <c r="J2196" s="670" t="str">
        <f>IFERROR(IF(CURRENCY.FORMAT_1=0,CONCATENATE(TEXT(FIXED(ROUND((C2196/EXC.RATE_1),CURRENCY.FORMAT_1),CURRENCY.FORMAT_1,1),"# ##0;-# ##0"),",-"),FIXED(ROUND((C2196/EXC.RATE_1),CURRENCY.FORMAT_1),CURRENCY.FORMAT_1,0)),'DICTIONARY-5'!$A$2)</f>
        <v>232,-</v>
      </c>
      <c r="K2196" s="670" t="str">
        <f>IF(EXC.RATE_2=0,"",IFERROR(IF(CURRENCY.FORMAT_2=0,CONCATENATE(TEXT(FIXED(ROUND(IF(EXC.RATE.SWITCH=1,C2196/EXC.RATE_2,C2196*EXC.RATE_2),CURRENCY.FORMAT_2),CURRENCY.FORMAT_2,1),"# ##0;-# ##0"),",-"),FIXED(ROUND(IF(EXC.RATE.SWITCH=1,C2196/EXC.RATE_2,C2196*EXC.RATE_2),CURRENCY.FORMAT_2),CURRENCY.FORMAT_2,0)),'DICTIONARY-5'!$A$2))</f>
        <v/>
      </c>
      <c r="L2196" s="670" t="str">
        <f>IFERROR(IF(CURRENCY.FORMAT_1=0,CONCATENATE(TEXT(FIXED(ROUND((C2196*(1-I2196)*(1-ADD.DISCOUNT)*(1+MAT.SURCHARGE)/EXC.RATE_1),CURRENCY.FORMAT_1),CURRENCY.FORMAT_1,1),"# ##0;-# ##0"),",-"),FIXED(ROUND((C2196*(1-I2196)*(1-ADD.DISCOUNT)*(1+MAT.SURCHARGE)/EXC.RATE_1),CURRENCY.FORMAT_1),CURRENCY.FORMAT_1,0)),'DICTIONARY-5'!$A$2)</f>
        <v>241,-</v>
      </c>
      <c r="M2196" s="670" t="str">
        <f>IF(EXC.RATE_2=0,"",IFERROR(IF(CURRENCY.FORMAT_2=0,CONCATENATE(TEXT(FIXED(ROUND(IF(EXC.RATE.SWITCH=1,C2196*(1-I2196)*(1-ADD.DISCOUNT)*(1+MAT.SURCHARGE)/EXC.RATE_2,C2196*(1-I2196)*(1-ADD.DISCOUNT)*(1+MAT.SURCHARGE)*EXC.RATE_2),CURRENCY.FORMAT_2),CURRENCY.FORMAT_2,1),"# ##0;-# ##0"),",-"),FIXED(ROUND(IF(EXC.RATE.SWITCH=1,C2196*(1-I2196)*(1-ADD.DISCOUNT)*(1+MAT.SURCHARGE)/EXC.RATE_2,C2196*(1-I2196)*(1-ADD.DISCOUNT)*(1+MAT.SURCHARGE)*EXC.RATE_2),CURRENCY.FORMAT_2),CURRENCY.FORMAT_2,0)),'DICTIONARY-5'!$A$2))</f>
        <v/>
      </c>
      <c r="N2196" s="538">
        <v>10</v>
      </c>
      <c r="O2196" s="538"/>
      <c r="P2196" s="731" t="str">
        <f>'DICTIONARY-3'!$A$124</f>
        <v>VARIplus-DJ</v>
      </c>
      <c r="Q2196" s="732" t="str">
        <f>'DICTIONARY-3'!$A$214</f>
        <v>Wstawka montażowa</v>
      </c>
      <c r="R2196" s="732" t="str">
        <f>CONCATENATE('DICTIONARY-3'!$A$124," ",'DICTIONARY-6'!$A$15," ",'DICTIONARY-2'!$A$2,"125"," ",'DICTIONARY-2'!$A$3,"10/16"," ",'DICTIONARY-2'!$A$24,"=","165-205",'DICTIONARY-2'!$A$17,," ",'DICTIONARY-6'!$A$34)</f>
        <v>VARIplus-DJ Wstawka mont. DN125 PN10/16 L=165-205mm śr.stal węglowa</v>
      </c>
      <c r="S2196" s="733" t="s">
        <v>5569</v>
      </c>
      <c r="T2196" s="732" t="s">
        <v>5569</v>
      </c>
      <c r="U2196" s="734" t="s">
        <v>5761</v>
      </c>
      <c r="V2196" s="735">
        <v>16</v>
      </c>
      <c r="W2196" s="736"/>
      <c r="X2196" s="737"/>
      <c r="Y2196" s="738"/>
      <c r="Z2196" s="739"/>
      <c r="AA2196" s="739"/>
      <c r="AB2196" s="740">
        <v>16</v>
      </c>
      <c r="AC2196" s="741" t="s">
        <v>5711</v>
      </c>
      <c r="AD2196" s="741" t="str">
        <f>'DICTIONARY-5'!$A$13</f>
        <v>woda pitna</v>
      </c>
      <c r="AE2196" s="742">
        <v>90</v>
      </c>
      <c r="AF2196" s="743">
        <v>16.45</v>
      </c>
      <c r="AG2196" s="741" t="str">
        <f>'DICTIONARY-5'!$A$23</f>
        <v>powłoka epoksydowa</v>
      </c>
    </row>
    <row r="2197" spans="1:33" x14ac:dyDescent="0.25">
      <c r="A2197" s="872" t="s">
        <v>2027</v>
      </c>
      <c r="B2197" s="872" t="s">
        <v>3605</v>
      </c>
      <c r="C2197" s="836">
        <v>285</v>
      </c>
      <c r="D2197" s="836"/>
      <c r="E2197" s="836"/>
      <c r="F2197" s="836"/>
      <c r="G2197" s="496" t="s">
        <v>7843</v>
      </c>
      <c r="H2197" s="797" t="str">
        <f>VLOOKUP(G2197,SETTINGS!$B$7:$D$97,2,0)</f>
        <v>VARIplus</v>
      </c>
      <c r="I2197" s="796">
        <f>VLOOKUP(G2197,SETTINGS!$B$7:$D$97,3,0)</f>
        <v>0</v>
      </c>
      <c r="J2197" s="670" t="str">
        <f>IFERROR(IF(CURRENCY.FORMAT_1=0,CONCATENATE(TEXT(FIXED(ROUND((C2197/EXC.RATE_1),CURRENCY.FORMAT_1),CURRENCY.FORMAT_1,1),"# ##0;-# ##0"),",-"),FIXED(ROUND((C2197/EXC.RATE_1),CURRENCY.FORMAT_1),CURRENCY.FORMAT_1,0)),'DICTIONARY-5'!$A$2)</f>
        <v>285,-</v>
      </c>
      <c r="K2197" s="670" t="str">
        <f>IF(EXC.RATE_2=0,"",IFERROR(IF(CURRENCY.FORMAT_2=0,CONCATENATE(TEXT(FIXED(ROUND(IF(EXC.RATE.SWITCH=1,C2197/EXC.RATE_2,C2197*EXC.RATE_2),CURRENCY.FORMAT_2),CURRENCY.FORMAT_2,1),"# ##0;-# ##0"),",-"),FIXED(ROUND(IF(EXC.RATE.SWITCH=1,C2197/EXC.RATE_2,C2197*EXC.RATE_2),CURRENCY.FORMAT_2),CURRENCY.FORMAT_2,0)),'DICTIONARY-5'!$A$2))</f>
        <v/>
      </c>
      <c r="L2197" s="670" t="str">
        <f>IFERROR(IF(CURRENCY.FORMAT_1=0,CONCATENATE(TEXT(FIXED(ROUND((C2197*(1-I2197)*(1-ADD.DISCOUNT)*(1+MAT.SURCHARGE)/EXC.RATE_1),CURRENCY.FORMAT_1),CURRENCY.FORMAT_1,1),"# ##0;-# ##0"),",-"),FIXED(ROUND((C2197*(1-I2197)*(1-ADD.DISCOUNT)*(1+MAT.SURCHARGE)/EXC.RATE_1),CURRENCY.FORMAT_1),CURRENCY.FORMAT_1,0)),'DICTIONARY-5'!$A$2)</f>
        <v>296,-</v>
      </c>
      <c r="M2197" s="670" t="str">
        <f>IF(EXC.RATE_2=0,"",IFERROR(IF(CURRENCY.FORMAT_2=0,CONCATENATE(TEXT(FIXED(ROUND(IF(EXC.RATE.SWITCH=1,C2197*(1-I2197)*(1-ADD.DISCOUNT)*(1+MAT.SURCHARGE)/EXC.RATE_2,C2197*(1-I2197)*(1-ADD.DISCOUNT)*(1+MAT.SURCHARGE)*EXC.RATE_2),CURRENCY.FORMAT_2),CURRENCY.FORMAT_2,1),"# ##0;-# ##0"),",-"),FIXED(ROUND(IF(EXC.RATE.SWITCH=1,C2197*(1-I2197)*(1-ADD.DISCOUNT)*(1+MAT.SURCHARGE)/EXC.RATE_2,C2197*(1-I2197)*(1-ADD.DISCOUNT)*(1+MAT.SURCHARGE)*EXC.RATE_2),CURRENCY.FORMAT_2),CURRENCY.FORMAT_2,0)),'DICTIONARY-5'!$A$2))</f>
        <v/>
      </c>
      <c r="N2197" s="538">
        <v>10</v>
      </c>
      <c r="O2197" s="538"/>
      <c r="P2197" s="731" t="str">
        <f>'DICTIONARY-3'!$A$124</f>
        <v>VARIplus-DJ</v>
      </c>
      <c r="Q2197" s="732" t="str">
        <f>'DICTIONARY-3'!$A$214</f>
        <v>Wstawka montażowa</v>
      </c>
      <c r="R2197" s="732" t="str">
        <f>CONCATENATE('DICTIONARY-3'!$A$124," ",'DICTIONARY-6'!$A$15," ",'DICTIONARY-2'!$A$2,"150"," ",'DICTIONARY-2'!$A$3,"10/16"," ",'DICTIONARY-2'!$A$24,"=","165-205",'DICTIONARY-2'!$A$17,," ",'DICTIONARY-6'!$A$34)</f>
        <v>VARIplus-DJ Wstawka mont. DN150 PN10/16 L=165-205mm śr.stal węglowa</v>
      </c>
      <c r="S2197" s="733" t="s">
        <v>5569</v>
      </c>
      <c r="T2197" s="732" t="s">
        <v>5569</v>
      </c>
      <c r="U2197" s="734" t="s">
        <v>5572</v>
      </c>
      <c r="V2197" s="735">
        <v>16</v>
      </c>
      <c r="W2197" s="736"/>
      <c r="X2197" s="737"/>
      <c r="Y2197" s="738"/>
      <c r="Z2197" s="739"/>
      <c r="AA2197" s="739"/>
      <c r="AB2197" s="740">
        <v>16</v>
      </c>
      <c r="AC2197" s="741" t="s">
        <v>5711</v>
      </c>
      <c r="AD2197" s="741" t="str">
        <f>'DICTIONARY-5'!$A$13</f>
        <v>woda pitna</v>
      </c>
      <c r="AE2197" s="742">
        <v>90</v>
      </c>
      <c r="AF2197" s="743">
        <v>19</v>
      </c>
      <c r="AG2197" s="741" t="str">
        <f>'DICTIONARY-5'!$A$23</f>
        <v>powłoka epoksydowa</v>
      </c>
    </row>
    <row r="2198" spans="1:33" x14ac:dyDescent="0.25">
      <c r="A2198" s="872" t="s">
        <v>2028</v>
      </c>
      <c r="B2198" s="872" t="s">
        <v>3607</v>
      </c>
      <c r="C2198" s="836">
        <v>390</v>
      </c>
      <c r="D2198" s="836"/>
      <c r="E2198" s="836"/>
      <c r="F2198" s="836"/>
      <c r="G2198" s="496" t="s">
        <v>7843</v>
      </c>
      <c r="H2198" s="797" t="str">
        <f>VLOOKUP(G2198,SETTINGS!$B$7:$D$97,2,0)</f>
        <v>VARIplus</v>
      </c>
      <c r="I2198" s="796">
        <f>VLOOKUP(G2198,SETTINGS!$B$7:$D$97,3,0)</f>
        <v>0</v>
      </c>
      <c r="J2198" s="670" t="str">
        <f>IFERROR(IF(CURRENCY.FORMAT_1=0,CONCATENATE(TEXT(FIXED(ROUND((C2198/EXC.RATE_1),CURRENCY.FORMAT_1),CURRENCY.FORMAT_1,1),"# ##0;-# ##0"),",-"),FIXED(ROUND((C2198/EXC.RATE_1),CURRENCY.FORMAT_1),CURRENCY.FORMAT_1,0)),'DICTIONARY-5'!$A$2)</f>
        <v>390,-</v>
      </c>
      <c r="K2198" s="670" t="str">
        <f>IF(EXC.RATE_2=0,"",IFERROR(IF(CURRENCY.FORMAT_2=0,CONCATENATE(TEXT(FIXED(ROUND(IF(EXC.RATE.SWITCH=1,C2198/EXC.RATE_2,C2198*EXC.RATE_2),CURRENCY.FORMAT_2),CURRENCY.FORMAT_2,1),"# ##0;-# ##0"),",-"),FIXED(ROUND(IF(EXC.RATE.SWITCH=1,C2198/EXC.RATE_2,C2198*EXC.RATE_2),CURRENCY.FORMAT_2),CURRENCY.FORMAT_2,0)),'DICTIONARY-5'!$A$2))</f>
        <v/>
      </c>
      <c r="L2198" s="670" t="str">
        <f>IFERROR(IF(CURRENCY.FORMAT_1=0,CONCATENATE(TEXT(FIXED(ROUND((C2198*(1-I2198)*(1-ADD.DISCOUNT)*(1+MAT.SURCHARGE)/EXC.RATE_1),CURRENCY.FORMAT_1),CURRENCY.FORMAT_1,1),"# ##0;-# ##0"),",-"),FIXED(ROUND((C2198*(1-I2198)*(1-ADD.DISCOUNT)*(1+MAT.SURCHARGE)/EXC.RATE_1),CURRENCY.FORMAT_1),CURRENCY.FORMAT_1,0)),'DICTIONARY-5'!$A$2)</f>
        <v>405,-</v>
      </c>
      <c r="M2198" s="670" t="str">
        <f>IF(EXC.RATE_2=0,"",IFERROR(IF(CURRENCY.FORMAT_2=0,CONCATENATE(TEXT(FIXED(ROUND(IF(EXC.RATE.SWITCH=1,C2198*(1-I2198)*(1-ADD.DISCOUNT)*(1+MAT.SURCHARGE)/EXC.RATE_2,C2198*(1-I2198)*(1-ADD.DISCOUNT)*(1+MAT.SURCHARGE)*EXC.RATE_2),CURRENCY.FORMAT_2),CURRENCY.FORMAT_2,1),"# ##0;-# ##0"),",-"),FIXED(ROUND(IF(EXC.RATE.SWITCH=1,C2198*(1-I2198)*(1-ADD.DISCOUNT)*(1+MAT.SURCHARGE)/EXC.RATE_2,C2198*(1-I2198)*(1-ADD.DISCOUNT)*(1+MAT.SURCHARGE)*EXC.RATE_2),CURRENCY.FORMAT_2),CURRENCY.FORMAT_2,0)),'DICTIONARY-5'!$A$2))</f>
        <v/>
      </c>
      <c r="N2198" s="538">
        <v>10</v>
      </c>
      <c r="O2198" s="538"/>
      <c r="P2198" s="731" t="str">
        <f>'DICTIONARY-3'!$A$124</f>
        <v>VARIplus-DJ</v>
      </c>
      <c r="Q2198" s="732" t="str">
        <f>'DICTIONARY-3'!$A$214</f>
        <v>Wstawka montażowa</v>
      </c>
      <c r="R2198" s="732" t="str">
        <f>CONCATENATE('DICTIONARY-3'!$A$124," ",'DICTIONARY-6'!$A$15," ",'DICTIONARY-2'!$A$2,"200"," ",'DICTIONARY-2'!$A$3,"10"," ",'DICTIONARY-2'!$A$24,"=","165-205",'DICTIONARY-2'!$A$17,," ",'DICTIONARY-6'!$A$34)</f>
        <v>VARIplus-DJ Wstawka mont. DN200 PN10 L=165-205mm śr.stal węglowa</v>
      </c>
      <c r="S2198" s="733" t="s">
        <v>5569</v>
      </c>
      <c r="T2198" s="732" t="s">
        <v>5569</v>
      </c>
      <c r="U2198" s="734" t="s">
        <v>5750</v>
      </c>
      <c r="V2198" s="735">
        <v>10</v>
      </c>
      <c r="W2198" s="736"/>
      <c r="X2198" s="737"/>
      <c r="Y2198" s="738"/>
      <c r="Z2198" s="739"/>
      <c r="AA2198" s="739"/>
      <c r="AB2198" s="740">
        <v>10</v>
      </c>
      <c r="AC2198" s="741" t="s">
        <v>5711</v>
      </c>
      <c r="AD2198" s="741" t="str">
        <f>'DICTIONARY-5'!$A$13</f>
        <v>woda pitna</v>
      </c>
      <c r="AE2198" s="742">
        <v>90</v>
      </c>
      <c r="AF2198" s="743">
        <v>27</v>
      </c>
      <c r="AG2198" s="741" t="str">
        <f>'DICTIONARY-5'!$A$23</f>
        <v>powłoka epoksydowa</v>
      </c>
    </row>
    <row r="2199" spans="1:33" x14ac:dyDescent="0.25">
      <c r="A2199" s="872" t="s">
        <v>2031</v>
      </c>
      <c r="B2199" s="872" t="s">
        <v>3611</v>
      </c>
      <c r="C2199" s="836">
        <v>575</v>
      </c>
      <c r="D2199" s="836"/>
      <c r="E2199" s="836"/>
      <c r="F2199" s="836"/>
      <c r="G2199" s="496" t="s">
        <v>7843</v>
      </c>
      <c r="H2199" s="797" t="str">
        <f>VLOOKUP(G2199,SETTINGS!$B$7:$D$97,2,0)</f>
        <v>VARIplus</v>
      </c>
      <c r="I2199" s="796">
        <f>VLOOKUP(G2199,SETTINGS!$B$7:$D$97,3,0)</f>
        <v>0</v>
      </c>
      <c r="J2199" s="670" t="str">
        <f>IFERROR(IF(CURRENCY.FORMAT_1=0,CONCATENATE(TEXT(FIXED(ROUND((C2199/EXC.RATE_1),CURRENCY.FORMAT_1),CURRENCY.FORMAT_1,1),"# ##0;-# ##0"),",-"),FIXED(ROUND((C2199/EXC.RATE_1),CURRENCY.FORMAT_1),CURRENCY.FORMAT_1,0)),'DICTIONARY-5'!$A$2)</f>
        <v>575,-</v>
      </c>
      <c r="K2199" s="670" t="str">
        <f>IF(EXC.RATE_2=0,"",IFERROR(IF(CURRENCY.FORMAT_2=0,CONCATENATE(TEXT(FIXED(ROUND(IF(EXC.RATE.SWITCH=1,C2199/EXC.RATE_2,C2199*EXC.RATE_2),CURRENCY.FORMAT_2),CURRENCY.FORMAT_2,1),"# ##0;-# ##0"),",-"),FIXED(ROUND(IF(EXC.RATE.SWITCH=1,C2199/EXC.RATE_2,C2199*EXC.RATE_2),CURRENCY.FORMAT_2),CURRENCY.FORMAT_2,0)),'DICTIONARY-5'!$A$2))</f>
        <v/>
      </c>
      <c r="L2199" s="670" t="str">
        <f>IFERROR(IF(CURRENCY.FORMAT_1=0,CONCATENATE(TEXT(FIXED(ROUND((C2199*(1-I2199)*(1-ADD.DISCOUNT)*(1+MAT.SURCHARGE)/EXC.RATE_1),CURRENCY.FORMAT_1),CURRENCY.FORMAT_1,1),"# ##0;-# ##0"),",-"),FIXED(ROUND((C2199*(1-I2199)*(1-ADD.DISCOUNT)*(1+MAT.SURCHARGE)/EXC.RATE_1),CURRENCY.FORMAT_1),CURRENCY.FORMAT_1,0)),'DICTIONARY-5'!$A$2)</f>
        <v>597,-</v>
      </c>
      <c r="M2199" s="670" t="str">
        <f>IF(EXC.RATE_2=0,"",IFERROR(IF(CURRENCY.FORMAT_2=0,CONCATENATE(TEXT(FIXED(ROUND(IF(EXC.RATE.SWITCH=1,C2199*(1-I2199)*(1-ADD.DISCOUNT)*(1+MAT.SURCHARGE)/EXC.RATE_2,C2199*(1-I2199)*(1-ADD.DISCOUNT)*(1+MAT.SURCHARGE)*EXC.RATE_2),CURRENCY.FORMAT_2),CURRENCY.FORMAT_2,1),"# ##0;-# ##0"),",-"),FIXED(ROUND(IF(EXC.RATE.SWITCH=1,C2199*(1-I2199)*(1-ADD.DISCOUNT)*(1+MAT.SURCHARGE)/EXC.RATE_2,C2199*(1-I2199)*(1-ADD.DISCOUNT)*(1+MAT.SURCHARGE)*EXC.RATE_2),CURRENCY.FORMAT_2),CURRENCY.FORMAT_2,0)),'DICTIONARY-5'!$A$2))</f>
        <v/>
      </c>
      <c r="N2199" s="538">
        <v>10</v>
      </c>
      <c r="O2199" s="538"/>
      <c r="P2199" s="731" t="str">
        <f>'DICTIONARY-3'!$A$124</f>
        <v>VARIplus-DJ</v>
      </c>
      <c r="Q2199" s="732" t="str">
        <f>'DICTIONARY-3'!$A$214</f>
        <v>Wstawka montażowa</v>
      </c>
      <c r="R2199" s="732" t="str">
        <f>CONCATENATE('DICTIONARY-3'!$A$124," ",'DICTIONARY-6'!$A$15," ",'DICTIONARY-2'!$A$2,"250"," ",'DICTIONARY-2'!$A$3,"10"," ",'DICTIONARY-2'!$A$24,"=","175-215",'DICTIONARY-2'!$A$17,," ",'DICTIONARY-6'!$A$34)</f>
        <v>VARIplus-DJ Wstawka mont. DN250 PN10 L=175-215mm śr.stal węglowa</v>
      </c>
      <c r="S2199" s="733" t="s">
        <v>5569</v>
      </c>
      <c r="T2199" s="732" t="s">
        <v>5569</v>
      </c>
      <c r="U2199" s="734" t="s">
        <v>5751</v>
      </c>
      <c r="V2199" s="735">
        <v>10</v>
      </c>
      <c r="W2199" s="736"/>
      <c r="X2199" s="737"/>
      <c r="Y2199" s="738"/>
      <c r="Z2199" s="739"/>
      <c r="AA2199" s="739"/>
      <c r="AB2199" s="740">
        <v>10</v>
      </c>
      <c r="AC2199" s="741" t="s">
        <v>5712</v>
      </c>
      <c r="AD2199" s="741" t="str">
        <f>'DICTIONARY-5'!$A$13</f>
        <v>woda pitna</v>
      </c>
      <c r="AE2199" s="742">
        <v>90</v>
      </c>
      <c r="AF2199" s="743">
        <v>33.5</v>
      </c>
      <c r="AG2199" s="741" t="str">
        <f>'DICTIONARY-5'!$A$23</f>
        <v>powłoka epoksydowa</v>
      </c>
    </row>
    <row r="2200" spans="1:33" x14ac:dyDescent="0.25">
      <c r="A2200" s="872" t="s">
        <v>2033</v>
      </c>
      <c r="B2200" s="872" t="s">
        <v>3615</v>
      </c>
      <c r="C2200" s="836">
        <v>673</v>
      </c>
      <c r="D2200" s="836"/>
      <c r="E2200" s="836"/>
      <c r="F2200" s="836"/>
      <c r="G2200" s="496" t="s">
        <v>7843</v>
      </c>
      <c r="H2200" s="797" t="str">
        <f>VLOOKUP(G2200,SETTINGS!$B$7:$D$97,2,0)</f>
        <v>VARIplus</v>
      </c>
      <c r="I2200" s="796">
        <f>VLOOKUP(G2200,SETTINGS!$B$7:$D$97,3,0)</f>
        <v>0</v>
      </c>
      <c r="J2200" s="670" t="str">
        <f>IFERROR(IF(CURRENCY.FORMAT_1=0,CONCATENATE(TEXT(FIXED(ROUND((C2200/EXC.RATE_1),CURRENCY.FORMAT_1),CURRENCY.FORMAT_1,1),"# ##0;-# ##0"),",-"),FIXED(ROUND((C2200/EXC.RATE_1),CURRENCY.FORMAT_1),CURRENCY.FORMAT_1,0)),'DICTIONARY-5'!$A$2)</f>
        <v>673,-</v>
      </c>
      <c r="K2200" s="670" t="str">
        <f>IF(EXC.RATE_2=0,"",IFERROR(IF(CURRENCY.FORMAT_2=0,CONCATENATE(TEXT(FIXED(ROUND(IF(EXC.RATE.SWITCH=1,C2200/EXC.RATE_2,C2200*EXC.RATE_2),CURRENCY.FORMAT_2),CURRENCY.FORMAT_2,1),"# ##0;-# ##0"),",-"),FIXED(ROUND(IF(EXC.RATE.SWITCH=1,C2200/EXC.RATE_2,C2200*EXC.RATE_2),CURRENCY.FORMAT_2),CURRENCY.FORMAT_2,0)),'DICTIONARY-5'!$A$2))</f>
        <v/>
      </c>
      <c r="L2200" s="670" t="str">
        <f>IFERROR(IF(CURRENCY.FORMAT_1=0,CONCATENATE(TEXT(FIXED(ROUND((C2200*(1-I2200)*(1-ADD.DISCOUNT)*(1+MAT.SURCHARGE)/EXC.RATE_1),CURRENCY.FORMAT_1),CURRENCY.FORMAT_1,1),"# ##0;-# ##0"),",-"),FIXED(ROUND((C2200*(1-I2200)*(1-ADD.DISCOUNT)*(1+MAT.SURCHARGE)/EXC.RATE_1),CURRENCY.FORMAT_1),CURRENCY.FORMAT_1,0)),'DICTIONARY-5'!$A$2)</f>
        <v>699,-</v>
      </c>
      <c r="M2200" s="670" t="str">
        <f>IF(EXC.RATE_2=0,"",IFERROR(IF(CURRENCY.FORMAT_2=0,CONCATENATE(TEXT(FIXED(ROUND(IF(EXC.RATE.SWITCH=1,C2200*(1-I2200)*(1-ADD.DISCOUNT)*(1+MAT.SURCHARGE)/EXC.RATE_2,C2200*(1-I2200)*(1-ADD.DISCOUNT)*(1+MAT.SURCHARGE)*EXC.RATE_2),CURRENCY.FORMAT_2),CURRENCY.FORMAT_2,1),"# ##0;-# ##0"),",-"),FIXED(ROUND(IF(EXC.RATE.SWITCH=1,C2200*(1-I2200)*(1-ADD.DISCOUNT)*(1+MAT.SURCHARGE)/EXC.RATE_2,C2200*(1-I2200)*(1-ADD.DISCOUNT)*(1+MAT.SURCHARGE)*EXC.RATE_2),CURRENCY.FORMAT_2),CURRENCY.FORMAT_2,0)),'DICTIONARY-5'!$A$2))</f>
        <v/>
      </c>
      <c r="N2200" s="538">
        <v>10</v>
      </c>
      <c r="O2200" s="538"/>
      <c r="P2200" s="731" t="str">
        <f>'DICTIONARY-3'!$A$124</f>
        <v>VARIplus-DJ</v>
      </c>
      <c r="Q2200" s="732" t="str">
        <f>'DICTIONARY-3'!$A$214</f>
        <v>Wstawka montażowa</v>
      </c>
      <c r="R2200" s="732" t="str">
        <f>CONCATENATE('DICTIONARY-3'!$A$124," ",'DICTIONARY-6'!$A$15," ",'DICTIONARY-2'!$A$2,"300"," ",'DICTIONARY-2'!$A$3,"10"," ",'DICTIONARY-2'!$A$24,"=","175-215",'DICTIONARY-2'!$A$17,," ",'DICTIONARY-6'!$A$34)</f>
        <v>VARIplus-DJ Wstawka mont. DN300 PN10 L=175-215mm śr.stal węglowa</v>
      </c>
      <c r="S2200" s="733" t="s">
        <v>5569</v>
      </c>
      <c r="T2200" s="732" t="s">
        <v>5569</v>
      </c>
      <c r="U2200" s="734" t="s">
        <v>5752</v>
      </c>
      <c r="V2200" s="735">
        <v>10</v>
      </c>
      <c r="W2200" s="736"/>
      <c r="X2200" s="737"/>
      <c r="Y2200" s="738"/>
      <c r="Z2200" s="739"/>
      <c r="AA2200" s="739"/>
      <c r="AB2200" s="740">
        <v>10</v>
      </c>
      <c r="AC2200" s="741" t="s">
        <v>5712</v>
      </c>
      <c r="AD2200" s="741" t="str">
        <f>'DICTIONARY-5'!$A$13</f>
        <v>woda pitna</v>
      </c>
      <c r="AE2200" s="742">
        <v>90</v>
      </c>
      <c r="AF2200" s="743">
        <v>36.5</v>
      </c>
      <c r="AG2200" s="741" t="str">
        <f>'DICTIONARY-5'!$A$23</f>
        <v>powłoka epoksydowa</v>
      </c>
    </row>
    <row r="2201" spans="1:33" x14ac:dyDescent="0.25">
      <c r="A2201" s="872" t="s">
        <v>2036</v>
      </c>
      <c r="B2201" s="872" t="s">
        <v>3619</v>
      </c>
      <c r="C2201" s="836">
        <v>1003</v>
      </c>
      <c r="D2201" s="836"/>
      <c r="E2201" s="836"/>
      <c r="F2201" s="836"/>
      <c r="G2201" s="496" t="s">
        <v>7843</v>
      </c>
      <c r="H2201" s="797" t="str">
        <f>VLOOKUP(G2201,SETTINGS!$B$7:$D$97,2,0)</f>
        <v>VARIplus</v>
      </c>
      <c r="I2201" s="796">
        <f>VLOOKUP(G2201,SETTINGS!$B$7:$D$97,3,0)</f>
        <v>0</v>
      </c>
      <c r="J2201" s="670" t="str">
        <f>IFERROR(IF(CURRENCY.FORMAT_1=0,CONCATENATE(TEXT(FIXED(ROUND((C2201/EXC.RATE_1),CURRENCY.FORMAT_1),CURRENCY.FORMAT_1,1),"# ##0;-# ##0"),",-"),FIXED(ROUND((C2201/EXC.RATE_1),CURRENCY.FORMAT_1),CURRENCY.FORMAT_1,0)),'DICTIONARY-5'!$A$2)</f>
        <v>1 003,-</v>
      </c>
      <c r="K2201" s="670" t="str">
        <f>IF(EXC.RATE_2=0,"",IFERROR(IF(CURRENCY.FORMAT_2=0,CONCATENATE(TEXT(FIXED(ROUND(IF(EXC.RATE.SWITCH=1,C2201/EXC.RATE_2,C2201*EXC.RATE_2),CURRENCY.FORMAT_2),CURRENCY.FORMAT_2,1),"# ##0;-# ##0"),",-"),FIXED(ROUND(IF(EXC.RATE.SWITCH=1,C2201/EXC.RATE_2,C2201*EXC.RATE_2),CURRENCY.FORMAT_2),CURRENCY.FORMAT_2,0)),'DICTIONARY-5'!$A$2))</f>
        <v/>
      </c>
      <c r="L2201" s="670" t="str">
        <f>IFERROR(IF(CURRENCY.FORMAT_1=0,CONCATENATE(TEXT(FIXED(ROUND((C2201*(1-I2201)*(1-ADD.DISCOUNT)*(1+MAT.SURCHARGE)/EXC.RATE_1),CURRENCY.FORMAT_1),CURRENCY.FORMAT_1,1),"# ##0;-# ##0"),",-"),FIXED(ROUND((C2201*(1-I2201)*(1-ADD.DISCOUNT)*(1+MAT.SURCHARGE)/EXC.RATE_1),CURRENCY.FORMAT_1),CURRENCY.FORMAT_1,0)),'DICTIONARY-5'!$A$2)</f>
        <v>1 042,-</v>
      </c>
      <c r="M2201" s="670" t="str">
        <f>IF(EXC.RATE_2=0,"",IFERROR(IF(CURRENCY.FORMAT_2=0,CONCATENATE(TEXT(FIXED(ROUND(IF(EXC.RATE.SWITCH=1,C2201*(1-I2201)*(1-ADD.DISCOUNT)*(1+MAT.SURCHARGE)/EXC.RATE_2,C2201*(1-I2201)*(1-ADD.DISCOUNT)*(1+MAT.SURCHARGE)*EXC.RATE_2),CURRENCY.FORMAT_2),CURRENCY.FORMAT_2,1),"# ##0;-# ##0"),",-"),FIXED(ROUND(IF(EXC.RATE.SWITCH=1,C2201*(1-I2201)*(1-ADD.DISCOUNT)*(1+MAT.SURCHARGE)/EXC.RATE_2,C2201*(1-I2201)*(1-ADD.DISCOUNT)*(1+MAT.SURCHARGE)*EXC.RATE_2),CURRENCY.FORMAT_2),CURRENCY.FORMAT_2,0)),'DICTIONARY-5'!$A$2))</f>
        <v/>
      </c>
      <c r="N2201" s="538">
        <v>10</v>
      </c>
      <c r="O2201" s="538"/>
      <c r="P2201" s="731" t="str">
        <f>'DICTIONARY-3'!$A$124</f>
        <v>VARIplus-DJ</v>
      </c>
      <c r="Q2201" s="732" t="str">
        <f>'DICTIONARY-3'!$A$214</f>
        <v>Wstawka montażowa</v>
      </c>
      <c r="R2201" s="732" t="str">
        <f>CONCATENATE('DICTIONARY-3'!$A$124," ",'DICTIONARY-6'!$A$15," ",'DICTIONARY-2'!$A$2,"350"," ",'DICTIONARY-2'!$A$3,"10"," ",'DICTIONARY-2'!$A$24,"=","250-300",'DICTIONARY-2'!$A$17,," ",'DICTIONARY-6'!$A$34)</f>
        <v>VARIplus-DJ Wstawka mont. DN350 PN10 L=250-300mm śr.stal węglowa</v>
      </c>
      <c r="S2201" s="733" t="s">
        <v>5569</v>
      </c>
      <c r="T2201" s="732" t="s">
        <v>5569</v>
      </c>
      <c r="U2201" s="734" t="s">
        <v>5753</v>
      </c>
      <c r="V2201" s="735">
        <v>10</v>
      </c>
      <c r="W2201" s="736"/>
      <c r="X2201" s="737"/>
      <c r="Y2201" s="738"/>
      <c r="Z2201" s="739"/>
      <c r="AA2201" s="739"/>
      <c r="AB2201" s="740">
        <v>10</v>
      </c>
      <c r="AC2201" s="741" t="s">
        <v>5713</v>
      </c>
      <c r="AD2201" s="741" t="str">
        <f>'DICTIONARY-5'!$A$13</f>
        <v>woda pitna</v>
      </c>
      <c r="AE2201" s="742">
        <v>90</v>
      </c>
      <c r="AF2201" s="743">
        <v>67</v>
      </c>
      <c r="AG2201" s="741" t="str">
        <f>'DICTIONARY-5'!$A$23</f>
        <v>powłoka epoksydowa</v>
      </c>
    </row>
    <row r="2202" spans="1:33" x14ac:dyDescent="0.25">
      <c r="A2202" s="872" t="s">
        <v>2038</v>
      </c>
      <c r="B2202" s="872" t="s">
        <v>3623</v>
      </c>
      <c r="C2202" s="836">
        <v>1117</v>
      </c>
      <c r="D2202" s="836"/>
      <c r="E2202" s="836"/>
      <c r="F2202" s="836"/>
      <c r="G2202" s="496" t="s">
        <v>7843</v>
      </c>
      <c r="H2202" s="797" t="str">
        <f>VLOOKUP(G2202,SETTINGS!$B$7:$D$97,2,0)</f>
        <v>VARIplus</v>
      </c>
      <c r="I2202" s="796">
        <f>VLOOKUP(G2202,SETTINGS!$B$7:$D$97,3,0)</f>
        <v>0</v>
      </c>
      <c r="J2202" s="670" t="str">
        <f>IFERROR(IF(CURRENCY.FORMAT_1=0,CONCATENATE(TEXT(FIXED(ROUND((C2202/EXC.RATE_1),CURRENCY.FORMAT_1),CURRENCY.FORMAT_1,1),"# ##0;-# ##0"),",-"),FIXED(ROUND((C2202/EXC.RATE_1),CURRENCY.FORMAT_1),CURRENCY.FORMAT_1,0)),'DICTIONARY-5'!$A$2)</f>
        <v>1 117,-</v>
      </c>
      <c r="K2202" s="670" t="str">
        <f>IF(EXC.RATE_2=0,"",IFERROR(IF(CURRENCY.FORMAT_2=0,CONCATENATE(TEXT(FIXED(ROUND(IF(EXC.RATE.SWITCH=1,C2202/EXC.RATE_2,C2202*EXC.RATE_2),CURRENCY.FORMAT_2),CURRENCY.FORMAT_2,1),"# ##0;-# ##0"),",-"),FIXED(ROUND(IF(EXC.RATE.SWITCH=1,C2202/EXC.RATE_2,C2202*EXC.RATE_2),CURRENCY.FORMAT_2),CURRENCY.FORMAT_2,0)),'DICTIONARY-5'!$A$2))</f>
        <v/>
      </c>
      <c r="L2202" s="670" t="str">
        <f>IFERROR(IF(CURRENCY.FORMAT_1=0,CONCATENATE(TEXT(FIXED(ROUND((C2202*(1-I2202)*(1-ADD.DISCOUNT)*(1+MAT.SURCHARGE)/EXC.RATE_1),CURRENCY.FORMAT_1),CURRENCY.FORMAT_1,1),"# ##0;-# ##0"),",-"),FIXED(ROUND((C2202*(1-I2202)*(1-ADD.DISCOUNT)*(1+MAT.SURCHARGE)/EXC.RATE_1),CURRENCY.FORMAT_1),CURRENCY.FORMAT_1,0)),'DICTIONARY-5'!$A$2)</f>
        <v>1 161,-</v>
      </c>
      <c r="M2202" s="670" t="str">
        <f>IF(EXC.RATE_2=0,"",IFERROR(IF(CURRENCY.FORMAT_2=0,CONCATENATE(TEXT(FIXED(ROUND(IF(EXC.RATE.SWITCH=1,C2202*(1-I2202)*(1-ADD.DISCOUNT)*(1+MAT.SURCHARGE)/EXC.RATE_2,C2202*(1-I2202)*(1-ADD.DISCOUNT)*(1+MAT.SURCHARGE)*EXC.RATE_2),CURRENCY.FORMAT_2),CURRENCY.FORMAT_2,1),"# ##0;-# ##0"),",-"),FIXED(ROUND(IF(EXC.RATE.SWITCH=1,C2202*(1-I2202)*(1-ADD.DISCOUNT)*(1+MAT.SURCHARGE)/EXC.RATE_2,C2202*(1-I2202)*(1-ADD.DISCOUNT)*(1+MAT.SURCHARGE)*EXC.RATE_2),CURRENCY.FORMAT_2),CURRENCY.FORMAT_2,0)),'DICTIONARY-5'!$A$2))</f>
        <v/>
      </c>
      <c r="N2202" s="538">
        <v>10</v>
      </c>
      <c r="O2202" s="538"/>
      <c r="P2202" s="731" t="str">
        <f>'DICTIONARY-3'!$A$124</f>
        <v>VARIplus-DJ</v>
      </c>
      <c r="Q2202" s="732" t="str">
        <f>'DICTIONARY-3'!$A$214</f>
        <v>Wstawka montażowa</v>
      </c>
      <c r="R2202" s="732" t="str">
        <f>CONCATENATE('DICTIONARY-3'!$A$124," ",'DICTIONARY-6'!$A$15," ",'DICTIONARY-2'!$A$2,"400"," ",'DICTIONARY-2'!$A$3,"10"," ",'DICTIONARY-2'!$A$24,"=","250-300",'DICTIONARY-2'!$A$17,," ",'DICTIONARY-6'!$A$34)</f>
        <v>VARIplus-DJ Wstawka mont. DN400 PN10 L=250-300mm śr.stal węglowa</v>
      </c>
      <c r="S2202" s="733" t="s">
        <v>5569</v>
      </c>
      <c r="T2202" s="732" t="s">
        <v>5569</v>
      </c>
      <c r="U2202" s="734" t="s">
        <v>5754</v>
      </c>
      <c r="V2202" s="735">
        <v>10</v>
      </c>
      <c r="W2202" s="736"/>
      <c r="X2202" s="737"/>
      <c r="Y2202" s="738"/>
      <c r="Z2202" s="739"/>
      <c r="AA2202" s="739"/>
      <c r="AB2202" s="740">
        <v>10</v>
      </c>
      <c r="AC2202" s="741" t="s">
        <v>5713</v>
      </c>
      <c r="AD2202" s="741" t="str">
        <f>'DICTIONARY-5'!$A$13</f>
        <v>woda pitna</v>
      </c>
      <c r="AE2202" s="742">
        <v>90</v>
      </c>
      <c r="AF2202" s="743">
        <v>76</v>
      </c>
      <c r="AG2202" s="741" t="str">
        <f>'DICTIONARY-5'!$A$23</f>
        <v>powłoka epoksydowa</v>
      </c>
    </row>
    <row r="2203" spans="1:33" x14ac:dyDescent="0.25">
      <c r="A2203" s="872" t="s">
        <v>2040</v>
      </c>
      <c r="B2203" s="872" t="s">
        <v>3627</v>
      </c>
      <c r="C2203" s="836">
        <v>1006</v>
      </c>
      <c r="D2203" s="836"/>
      <c r="E2203" s="836"/>
      <c r="F2203" s="836"/>
      <c r="G2203" s="496" t="s">
        <v>7843</v>
      </c>
      <c r="H2203" s="797" t="str">
        <f>VLOOKUP(G2203,SETTINGS!$B$7:$D$97,2,0)</f>
        <v>VARIplus</v>
      </c>
      <c r="I2203" s="796">
        <f>VLOOKUP(G2203,SETTINGS!$B$7:$D$97,3,0)</f>
        <v>0</v>
      </c>
      <c r="J2203" s="670" t="str">
        <f>IFERROR(IF(CURRENCY.FORMAT_1=0,CONCATENATE(TEXT(FIXED(ROUND((C2203/EXC.RATE_1),CURRENCY.FORMAT_1),CURRENCY.FORMAT_1,1),"# ##0;-# ##0"),",-"),FIXED(ROUND((C2203/EXC.RATE_1),CURRENCY.FORMAT_1),CURRENCY.FORMAT_1,0)),'DICTIONARY-5'!$A$2)</f>
        <v>1 006,-</v>
      </c>
      <c r="K2203" s="670" t="str">
        <f>IF(EXC.RATE_2=0,"",IFERROR(IF(CURRENCY.FORMAT_2=0,CONCATENATE(TEXT(FIXED(ROUND(IF(EXC.RATE.SWITCH=1,C2203/EXC.RATE_2,C2203*EXC.RATE_2),CURRENCY.FORMAT_2),CURRENCY.FORMAT_2,1),"# ##0;-# ##0"),",-"),FIXED(ROUND(IF(EXC.RATE.SWITCH=1,C2203/EXC.RATE_2,C2203*EXC.RATE_2),CURRENCY.FORMAT_2),CURRENCY.FORMAT_2,0)),'DICTIONARY-5'!$A$2))</f>
        <v/>
      </c>
      <c r="L2203" s="670" t="str">
        <f>IFERROR(IF(CURRENCY.FORMAT_1=0,CONCATENATE(TEXT(FIXED(ROUND((C2203*(1-I2203)*(1-ADD.DISCOUNT)*(1+MAT.SURCHARGE)/EXC.RATE_1),CURRENCY.FORMAT_1),CURRENCY.FORMAT_1,1),"# ##0;-# ##0"),",-"),FIXED(ROUND((C2203*(1-I2203)*(1-ADD.DISCOUNT)*(1+MAT.SURCHARGE)/EXC.RATE_1),CURRENCY.FORMAT_1),CURRENCY.FORMAT_1,0)),'DICTIONARY-5'!$A$2)</f>
        <v>1 045,-</v>
      </c>
      <c r="M2203" s="670" t="str">
        <f>IF(EXC.RATE_2=0,"",IFERROR(IF(CURRENCY.FORMAT_2=0,CONCATENATE(TEXT(FIXED(ROUND(IF(EXC.RATE.SWITCH=1,C2203*(1-I2203)*(1-ADD.DISCOUNT)*(1+MAT.SURCHARGE)/EXC.RATE_2,C2203*(1-I2203)*(1-ADD.DISCOUNT)*(1+MAT.SURCHARGE)*EXC.RATE_2),CURRENCY.FORMAT_2),CURRENCY.FORMAT_2,1),"# ##0;-# ##0"),",-"),FIXED(ROUND(IF(EXC.RATE.SWITCH=1,C2203*(1-I2203)*(1-ADD.DISCOUNT)*(1+MAT.SURCHARGE)/EXC.RATE_2,C2203*(1-I2203)*(1-ADD.DISCOUNT)*(1+MAT.SURCHARGE)*EXC.RATE_2),CURRENCY.FORMAT_2),CURRENCY.FORMAT_2,0)),'DICTIONARY-5'!$A$2))</f>
        <v/>
      </c>
      <c r="N2203" s="538">
        <v>10</v>
      </c>
      <c r="O2203" s="538"/>
      <c r="P2203" s="731" t="str">
        <f>'DICTIONARY-3'!$A$124</f>
        <v>VARIplus-DJ</v>
      </c>
      <c r="Q2203" s="732" t="str">
        <f>'DICTIONARY-3'!$A$214</f>
        <v>Wstawka montażowa</v>
      </c>
      <c r="R2203" s="732" t="str">
        <f>CONCATENATE('DICTIONARY-3'!$A$124," ",'DICTIONARY-6'!$A$15," ",'DICTIONARY-2'!$A$2,"450"," ",'DICTIONARY-2'!$A$3,"10"," ",'DICTIONARY-2'!$A$24,"=","250-300",'DICTIONARY-2'!$A$17,," ",'DICTIONARY-6'!$A$34)</f>
        <v>VARIplus-DJ Wstawka mont. DN450 PN10 L=250-300mm śr.stal węglowa</v>
      </c>
      <c r="S2203" s="733" t="s">
        <v>5569</v>
      </c>
      <c r="T2203" s="732" t="s">
        <v>5569</v>
      </c>
      <c r="U2203" s="734" t="s">
        <v>5755</v>
      </c>
      <c r="V2203" s="735">
        <v>10</v>
      </c>
      <c r="W2203" s="736"/>
      <c r="X2203" s="737"/>
      <c r="Y2203" s="738"/>
      <c r="Z2203" s="739"/>
      <c r="AA2203" s="739"/>
      <c r="AB2203" s="740">
        <v>10</v>
      </c>
      <c r="AC2203" s="741" t="s">
        <v>5713</v>
      </c>
      <c r="AD2203" s="741" t="str">
        <f>'DICTIONARY-5'!$A$13</f>
        <v>woda pitna</v>
      </c>
      <c r="AE2203" s="742">
        <v>90</v>
      </c>
      <c r="AF2203" s="743">
        <v>100.9</v>
      </c>
      <c r="AG2203" s="741" t="str">
        <f>'DICTIONARY-5'!$A$23</f>
        <v>powłoka epoksydowa</v>
      </c>
    </row>
    <row r="2204" spans="1:33" x14ac:dyDescent="0.25">
      <c r="A2204" s="872" t="s">
        <v>2042</v>
      </c>
      <c r="B2204" s="872" t="s">
        <v>3631</v>
      </c>
      <c r="C2204" s="836">
        <v>1485</v>
      </c>
      <c r="D2204" s="836"/>
      <c r="E2204" s="836"/>
      <c r="F2204" s="836"/>
      <c r="G2204" s="496" t="s">
        <v>7843</v>
      </c>
      <c r="H2204" s="797" t="str">
        <f>VLOOKUP(G2204,SETTINGS!$B$7:$D$97,2,0)</f>
        <v>VARIplus</v>
      </c>
      <c r="I2204" s="796">
        <f>VLOOKUP(G2204,SETTINGS!$B$7:$D$97,3,0)</f>
        <v>0</v>
      </c>
      <c r="J2204" s="670" t="str">
        <f>IFERROR(IF(CURRENCY.FORMAT_1=0,CONCATENATE(TEXT(FIXED(ROUND((C2204/EXC.RATE_1),CURRENCY.FORMAT_1),CURRENCY.FORMAT_1,1),"# ##0;-# ##0"),",-"),FIXED(ROUND((C2204/EXC.RATE_1),CURRENCY.FORMAT_1),CURRENCY.FORMAT_1,0)),'DICTIONARY-5'!$A$2)</f>
        <v>1 485,-</v>
      </c>
      <c r="K2204" s="670" t="str">
        <f>IF(EXC.RATE_2=0,"",IFERROR(IF(CURRENCY.FORMAT_2=0,CONCATENATE(TEXT(FIXED(ROUND(IF(EXC.RATE.SWITCH=1,C2204/EXC.RATE_2,C2204*EXC.RATE_2),CURRENCY.FORMAT_2),CURRENCY.FORMAT_2,1),"# ##0;-# ##0"),",-"),FIXED(ROUND(IF(EXC.RATE.SWITCH=1,C2204/EXC.RATE_2,C2204*EXC.RATE_2),CURRENCY.FORMAT_2),CURRENCY.FORMAT_2,0)),'DICTIONARY-5'!$A$2))</f>
        <v/>
      </c>
      <c r="L2204" s="670" t="str">
        <f>IFERROR(IF(CURRENCY.FORMAT_1=0,CONCATENATE(TEXT(FIXED(ROUND((C2204*(1-I2204)*(1-ADD.DISCOUNT)*(1+MAT.SURCHARGE)/EXC.RATE_1),CURRENCY.FORMAT_1),CURRENCY.FORMAT_1,1),"# ##0;-# ##0"),",-"),FIXED(ROUND((C2204*(1-I2204)*(1-ADD.DISCOUNT)*(1+MAT.SURCHARGE)/EXC.RATE_1),CURRENCY.FORMAT_1),CURRENCY.FORMAT_1,0)),'DICTIONARY-5'!$A$2)</f>
        <v>1 543,-</v>
      </c>
      <c r="M2204" s="670" t="str">
        <f>IF(EXC.RATE_2=0,"",IFERROR(IF(CURRENCY.FORMAT_2=0,CONCATENATE(TEXT(FIXED(ROUND(IF(EXC.RATE.SWITCH=1,C2204*(1-I2204)*(1-ADD.DISCOUNT)*(1+MAT.SURCHARGE)/EXC.RATE_2,C2204*(1-I2204)*(1-ADD.DISCOUNT)*(1+MAT.SURCHARGE)*EXC.RATE_2),CURRENCY.FORMAT_2),CURRENCY.FORMAT_2,1),"# ##0;-# ##0"),",-"),FIXED(ROUND(IF(EXC.RATE.SWITCH=1,C2204*(1-I2204)*(1-ADD.DISCOUNT)*(1+MAT.SURCHARGE)/EXC.RATE_2,C2204*(1-I2204)*(1-ADD.DISCOUNT)*(1+MAT.SURCHARGE)*EXC.RATE_2),CURRENCY.FORMAT_2),CURRENCY.FORMAT_2,0)),'DICTIONARY-5'!$A$2))</f>
        <v/>
      </c>
      <c r="N2204" s="538">
        <v>10</v>
      </c>
      <c r="O2204" s="538"/>
      <c r="P2204" s="731" t="str">
        <f>'DICTIONARY-3'!$A$124</f>
        <v>VARIplus-DJ</v>
      </c>
      <c r="Q2204" s="732" t="str">
        <f>'DICTIONARY-3'!$A$214</f>
        <v>Wstawka montażowa</v>
      </c>
      <c r="R2204" s="732" t="str">
        <f>CONCATENATE('DICTIONARY-3'!$A$124," ",'DICTIONARY-6'!$A$15," ",'DICTIONARY-2'!$A$2,"500"," ",'DICTIONARY-2'!$A$3,"10"," ",'DICTIONARY-2'!$A$24,"=","250-300",'DICTIONARY-2'!$A$17,," ",'DICTIONARY-6'!$A$34)</f>
        <v>VARIplus-DJ Wstawka mont. DN500 PN10 L=250-300mm śr.stal węglowa</v>
      </c>
      <c r="S2204" s="733" t="s">
        <v>5569</v>
      </c>
      <c r="T2204" s="732" t="s">
        <v>5569</v>
      </c>
      <c r="U2204" s="734" t="s">
        <v>5756</v>
      </c>
      <c r="V2204" s="735">
        <v>10</v>
      </c>
      <c r="W2204" s="736"/>
      <c r="X2204" s="737"/>
      <c r="Y2204" s="738"/>
      <c r="Z2204" s="739"/>
      <c r="AA2204" s="739"/>
      <c r="AB2204" s="740">
        <v>10</v>
      </c>
      <c r="AC2204" s="741" t="s">
        <v>5713</v>
      </c>
      <c r="AD2204" s="741" t="str">
        <f>'DICTIONARY-5'!$A$13</f>
        <v>woda pitna</v>
      </c>
      <c r="AE2204" s="742">
        <v>90</v>
      </c>
      <c r="AF2204" s="743">
        <v>91.5</v>
      </c>
      <c r="AG2204" s="741" t="str">
        <f>'DICTIONARY-5'!$A$23</f>
        <v>powłoka epoksydowa</v>
      </c>
    </row>
    <row r="2205" spans="1:33" x14ac:dyDescent="0.25">
      <c r="A2205" s="872" t="s">
        <v>2044</v>
      </c>
      <c r="B2205" s="872" t="s">
        <v>3635</v>
      </c>
      <c r="C2205" s="836">
        <v>1791</v>
      </c>
      <c r="D2205" s="836"/>
      <c r="E2205" s="836"/>
      <c r="F2205" s="836"/>
      <c r="G2205" s="496" t="s">
        <v>7843</v>
      </c>
      <c r="H2205" s="797" t="str">
        <f>VLOOKUP(G2205,SETTINGS!$B$7:$D$97,2,0)</f>
        <v>VARIplus</v>
      </c>
      <c r="I2205" s="796">
        <f>VLOOKUP(G2205,SETTINGS!$B$7:$D$97,3,0)</f>
        <v>0</v>
      </c>
      <c r="J2205" s="670" t="str">
        <f>IFERROR(IF(CURRENCY.FORMAT_1=0,CONCATENATE(TEXT(FIXED(ROUND((C2205/EXC.RATE_1),CURRENCY.FORMAT_1),CURRENCY.FORMAT_1,1),"# ##0;-# ##0"),",-"),FIXED(ROUND((C2205/EXC.RATE_1),CURRENCY.FORMAT_1),CURRENCY.FORMAT_1,0)),'DICTIONARY-5'!$A$2)</f>
        <v>1 791,-</v>
      </c>
      <c r="K2205" s="670" t="str">
        <f>IF(EXC.RATE_2=0,"",IFERROR(IF(CURRENCY.FORMAT_2=0,CONCATENATE(TEXT(FIXED(ROUND(IF(EXC.RATE.SWITCH=1,C2205/EXC.RATE_2,C2205*EXC.RATE_2),CURRENCY.FORMAT_2),CURRENCY.FORMAT_2,1),"# ##0;-# ##0"),",-"),FIXED(ROUND(IF(EXC.RATE.SWITCH=1,C2205/EXC.RATE_2,C2205*EXC.RATE_2),CURRENCY.FORMAT_2),CURRENCY.FORMAT_2,0)),'DICTIONARY-5'!$A$2))</f>
        <v/>
      </c>
      <c r="L2205" s="670" t="str">
        <f>IFERROR(IF(CURRENCY.FORMAT_1=0,CONCATENATE(TEXT(FIXED(ROUND((C2205*(1-I2205)*(1-ADD.DISCOUNT)*(1+MAT.SURCHARGE)/EXC.RATE_1),CURRENCY.FORMAT_1),CURRENCY.FORMAT_1,1),"# ##0;-# ##0"),",-"),FIXED(ROUND((C2205*(1-I2205)*(1-ADD.DISCOUNT)*(1+MAT.SURCHARGE)/EXC.RATE_1),CURRENCY.FORMAT_1),CURRENCY.FORMAT_1,0)),'DICTIONARY-5'!$A$2)</f>
        <v>1 861,-</v>
      </c>
      <c r="M2205" s="670" t="str">
        <f>IF(EXC.RATE_2=0,"",IFERROR(IF(CURRENCY.FORMAT_2=0,CONCATENATE(TEXT(FIXED(ROUND(IF(EXC.RATE.SWITCH=1,C2205*(1-I2205)*(1-ADD.DISCOUNT)*(1+MAT.SURCHARGE)/EXC.RATE_2,C2205*(1-I2205)*(1-ADD.DISCOUNT)*(1+MAT.SURCHARGE)*EXC.RATE_2),CURRENCY.FORMAT_2),CURRENCY.FORMAT_2,1),"# ##0;-# ##0"),",-"),FIXED(ROUND(IF(EXC.RATE.SWITCH=1,C2205*(1-I2205)*(1-ADD.DISCOUNT)*(1+MAT.SURCHARGE)/EXC.RATE_2,C2205*(1-I2205)*(1-ADD.DISCOUNT)*(1+MAT.SURCHARGE)*EXC.RATE_2),CURRENCY.FORMAT_2),CURRENCY.FORMAT_2,0)),'DICTIONARY-5'!$A$2))</f>
        <v/>
      </c>
      <c r="N2205" s="538">
        <v>10</v>
      </c>
      <c r="O2205" s="538"/>
      <c r="P2205" s="731" t="str">
        <f>'DICTIONARY-3'!$A$124</f>
        <v>VARIplus-DJ</v>
      </c>
      <c r="Q2205" s="732" t="str">
        <f>'DICTIONARY-3'!$A$214</f>
        <v>Wstawka montażowa</v>
      </c>
      <c r="R2205" s="732" t="str">
        <f>CONCATENATE('DICTIONARY-3'!$A$124," ",'DICTIONARY-6'!$A$15," ",'DICTIONARY-2'!$A$2,"600"," ",'DICTIONARY-2'!$A$3,"10"," ",'DICTIONARY-2'!$A$24,"=","250-300",'DICTIONARY-2'!$A$17,," ",'DICTIONARY-6'!$A$34)</f>
        <v>VARIplus-DJ Wstawka mont. DN600 PN10 L=250-300mm śr.stal węglowa</v>
      </c>
      <c r="S2205" s="733" t="s">
        <v>5569</v>
      </c>
      <c r="T2205" s="732" t="s">
        <v>5569</v>
      </c>
      <c r="U2205" s="734" t="s">
        <v>5757</v>
      </c>
      <c r="V2205" s="735">
        <v>10</v>
      </c>
      <c r="W2205" s="736"/>
      <c r="X2205" s="737"/>
      <c r="Y2205" s="738"/>
      <c r="Z2205" s="739"/>
      <c r="AA2205" s="739"/>
      <c r="AB2205" s="740">
        <v>10</v>
      </c>
      <c r="AC2205" s="741" t="s">
        <v>5713</v>
      </c>
      <c r="AD2205" s="741" t="str">
        <f>'DICTIONARY-5'!$A$13</f>
        <v>woda pitna</v>
      </c>
      <c r="AE2205" s="742">
        <v>90</v>
      </c>
      <c r="AF2205" s="743">
        <v>114</v>
      </c>
      <c r="AG2205" s="741" t="str">
        <f>'DICTIONARY-5'!$A$23</f>
        <v>powłoka epoksydowa</v>
      </c>
    </row>
    <row r="2206" spans="1:33" x14ac:dyDescent="0.25">
      <c r="A2206" s="872" t="s">
        <v>2046</v>
      </c>
      <c r="B2206" s="872" t="s">
        <v>3639</v>
      </c>
      <c r="C2206" s="836">
        <v>2419</v>
      </c>
      <c r="D2206" s="836"/>
      <c r="E2206" s="836"/>
      <c r="F2206" s="836"/>
      <c r="G2206" s="496" t="s">
        <v>7843</v>
      </c>
      <c r="H2206" s="797" t="str">
        <f>VLOOKUP(G2206,SETTINGS!$B$7:$D$97,2,0)</f>
        <v>VARIplus</v>
      </c>
      <c r="I2206" s="796">
        <f>VLOOKUP(G2206,SETTINGS!$B$7:$D$97,3,0)</f>
        <v>0</v>
      </c>
      <c r="J2206" s="670" t="str">
        <f>IFERROR(IF(CURRENCY.FORMAT_1=0,CONCATENATE(TEXT(FIXED(ROUND((C2206/EXC.RATE_1),CURRENCY.FORMAT_1),CURRENCY.FORMAT_1,1),"# ##0;-# ##0"),",-"),FIXED(ROUND((C2206/EXC.RATE_1),CURRENCY.FORMAT_1),CURRENCY.FORMAT_1,0)),'DICTIONARY-5'!$A$2)</f>
        <v>2 419,-</v>
      </c>
      <c r="K2206" s="670" t="str">
        <f>IF(EXC.RATE_2=0,"",IFERROR(IF(CURRENCY.FORMAT_2=0,CONCATENATE(TEXT(FIXED(ROUND(IF(EXC.RATE.SWITCH=1,C2206/EXC.RATE_2,C2206*EXC.RATE_2),CURRENCY.FORMAT_2),CURRENCY.FORMAT_2,1),"# ##0;-# ##0"),",-"),FIXED(ROUND(IF(EXC.RATE.SWITCH=1,C2206/EXC.RATE_2,C2206*EXC.RATE_2),CURRENCY.FORMAT_2),CURRENCY.FORMAT_2,0)),'DICTIONARY-5'!$A$2))</f>
        <v/>
      </c>
      <c r="L2206" s="670" t="str">
        <f>IFERROR(IF(CURRENCY.FORMAT_1=0,CONCATENATE(TEXT(FIXED(ROUND((C2206*(1-I2206)*(1-ADD.DISCOUNT)*(1+MAT.SURCHARGE)/EXC.RATE_1),CURRENCY.FORMAT_1),CURRENCY.FORMAT_1,1),"# ##0;-# ##0"),",-"),FIXED(ROUND((C2206*(1-I2206)*(1-ADD.DISCOUNT)*(1+MAT.SURCHARGE)/EXC.RATE_1),CURRENCY.FORMAT_1),CURRENCY.FORMAT_1,0)),'DICTIONARY-5'!$A$2)</f>
        <v>2 513,-</v>
      </c>
      <c r="M2206" s="670" t="str">
        <f>IF(EXC.RATE_2=0,"",IFERROR(IF(CURRENCY.FORMAT_2=0,CONCATENATE(TEXT(FIXED(ROUND(IF(EXC.RATE.SWITCH=1,C2206*(1-I2206)*(1-ADD.DISCOUNT)*(1+MAT.SURCHARGE)/EXC.RATE_2,C2206*(1-I2206)*(1-ADD.DISCOUNT)*(1+MAT.SURCHARGE)*EXC.RATE_2),CURRENCY.FORMAT_2),CURRENCY.FORMAT_2,1),"# ##0;-# ##0"),",-"),FIXED(ROUND(IF(EXC.RATE.SWITCH=1,C2206*(1-I2206)*(1-ADD.DISCOUNT)*(1+MAT.SURCHARGE)/EXC.RATE_2,C2206*(1-I2206)*(1-ADD.DISCOUNT)*(1+MAT.SURCHARGE)*EXC.RATE_2),CURRENCY.FORMAT_2),CURRENCY.FORMAT_2,0)),'DICTIONARY-5'!$A$2))</f>
        <v/>
      </c>
      <c r="N2206" s="538">
        <v>10</v>
      </c>
      <c r="O2206" s="538"/>
      <c r="P2206" s="731" t="str">
        <f>'DICTIONARY-3'!$A$124</f>
        <v>VARIplus-DJ</v>
      </c>
      <c r="Q2206" s="732" t="str">
        <f>'DICTIONARY-3'!$A$214</f>
        <v>Wstawka montażowa</v>
      </c>
      <c r="R2206" s="732" t="str">
        <f>CONCATENATE('DICTIONARY-3'!$A$124," ",'DICTIONARY-6'!$A$15," ",'DICTIONARY-2'!$A$2,"700"," ",'DICTIONARY-2'!$A$3,"10"," ",'DICTIONARY-2'!$A$24,"=","250-300",'DICTIONARY-2'!$A$17,," ",'DICTIONARY-6'!$A$34)</f>
        <v>VARIplus-DJ Wstawka mont. DN700 PN10 L=250-300mm śr.stal węglowa</v>
      </c>
      <c r="S2206" s="733" t="s">
        <v>5569</v>
      </c>
      <c r="T2206" s="732" t="s">
        <v>5569</v>
      </c>
      <c r="U2206" s="734" t="s">
        <v>5834</v>
      </c>
      <c r="V2206" s="735">
        <v>10</v>
      </c>
      <c r="W2206" s="736"/>
      <c r="X2206" s="737"/>
      <c r="Y2206" s="738"/>
      <c r="Z2206" s="739"/>
      <c r="AA2206" s="739"/>
      <c r="AB2206" s="740">
        <v>10</v>
      </c>
      <c r="AC2206" s="741" t="s">
        <v>5713</v>
      </c>
      <c r="AD2206" s="741" t="str">
        <f>'DICTIONARY-5'!$A$13</f>
        <v>woda pitna</v>
      </c>
      <c r="AE2206" s="742">
        <v>90</v>
      </c>
      <c r="AF2206" s="743">
        <v>143</v>
      </c>
      <c r="AG2206" s="741" t="str">
        <f>'DICTIONARY-5'!$A$23</f>
        <v>powłoka epoksydowa</v>
      </c>
    </row>
    <row r="2207" spans="1:33" x14ac:dyDescent="0.25">
      <c r="A2207" s="872" t="s">
        <v>2048</v>
      </c>
      <c r="B2207" s="872" t="s">
        <v>3643</v>
      </c>
      <c r="C2207" s="836">
        <v>3091</v>
      </c>
      <c r="D2207" s="836"/>
      <c r="E2207" s="836"/>
      <c r="F2207" s="836"/>
      <c r="G2207" s="496" t="s">
        <v>7843</v>
      </c>
      <c r="H2207" s="797" t="str">
        <f>VLOOKUP(G2207,SETTINGS!$B$7:$D$97,2,0)</f>
        <v>VARIplus</v>
      </c>
      <c r="I2207" s="796">
        <f>VLOOKUP(G2207,SETTINGS!$B$7:$D$97,3,0)</f>
        <v>0</v>
      </c>
      <c r="J2207" s="670" t="str">
        <f>IFERROR(IF(CURRENCY.FORMAT_1=0,CONCATENATE(TEXT(FIXED(ROUND((C2207/EXC.RATE_1),CURRENCY.FORMAT_1),CURRENCY.FORMAT_1,1),"# ##0;-# ##0"),",-"),FIXED(ROUND((C2207/EXC.RATE_1),CURRENCY.FORMAT_1),CURRENCY.FORMAT_1,0)),'DICTIONARY-5'!$A$2)</f>
        <v>3 091,-</v>
      </c>
      <c r="K2207" s="670" t="str">
        <f>IF(EXC.RATE_2=0,"",IFERROR(IF(CURRENCY.FORMAT_2=0,CONCATENATE(TEXT(FIXED(ROUND(IF(EXC.RATE.SWITCH=1,C2207/EXC.RATE_2,C2207*EXC.RATE_2),CURRENCY.FORMAT_2),CURRENCY.FORMAT_2,1),"# ##0;-# ##0"),",-"),FIXED(ROUND(IF(EXC.RATE.SWITCH=1,C2207/EXC.RATE_2,C2207*EXC.RATE_2),CURRENCY.FORMAT_2),CURRENCY.FORMAT_2,0)),'DICTIONARY-5'!$A$2))</f>
        <v/>
      </c>
      <c r="L2207" s="670" t="str">
        <f>IFERROR(IF(CURRENCY.FORMAT_1=0,CONCATENATE(TEXT(FIXED(ROUND((C2207*(1-I2207)*(1-ADD.DISCOUNT)*(1+MAT.SURCHARGE)/EXC.RATE_1),CURRENCY.FORMAT_1),CURRENCY.FORMAT_1,1),"# ##0;-# ##0"),",-"),FIXED(ROUND((C2207*(1-I2207)*(1-ADD.DISCOUNT)*(1+MAT.SURCHARGE)/EXC.RATE_1),CURRENCY.FORMAT_1),CURRENCY.FORMAT_1,0)),'DICTIONARY-5'!$A$2)</f>
        <v>3 212,-</v>
      </c>
      <c r="M2207" s="670" t="str">
        <f>IF(EXC.RATE_2=0,"",IFERROR(IF(CURRENCY.FORMAT_2=0,CONCATENATE(TEXT(FIXED(ROUND(IF(EXC.RATE.SWITCH=1,C2207*(1-I2207)*(1-ADD.DISCOUNT)*(1+MAT.SURCHARGE)/EXC.RATE_2,C2207*(1-I2207)*(1-ADD.DISCOUNT)*(1+MAT.SURCHARGE)*EXC.RATE_2),CURRENCY.FORMAT_2),CURRENCY.FORMAT_2,1),"# ##0;-# ##0"),",-"),FIXED(ROUND(IF(EXC.RATE.SWITCH=1,C2207*(1-I2207)*(1-ADD.DISCOUNT)*(1+MAT.SURCHARGE)/EXC.RATE_2,C2207*(1-I2207)*(1-ADD.DISCOUNT)*(1+MAT.SURCHARGE)*EXC.RATE_2),CURRENCY.FORMAT_2),CURRENCY.FORMAT_2,0)),'DICTIONARY-5'!$A$2))</f>
        <v/>
      </c>
      <c r="N2207" s="538">
        <v>10</v>
      </c>
      <c r="O2207" s="538"/>
      <c r="P2207" s="731" t="str">
        <f>'DICTIONARY-3'!$A$124</f>
        <v>VARIplus-DJ</v>
      </c>
      <c r="Q2207" s="732" t="str">
        <f>'DICTIONARY-3'!$A$214</f>
        <v>Wstawka montażowa</v>
      </c>
      <c r="R2207" s="732" t="str">
        <f>CONCATENATE('DICTIONARY-3'!$A$124," ",'DICTIONARY-6'!$A$15," ",'DICTIONARY-2'!$A$2,"800"," ",'DICTIONARY-2'!$A$3,"10"," ",'DICTIONARY-2'!$A$24,"=","250-300",'DICTIONARY-2'!$A$17,," ",'DICTIONARY-6'!$A$34)</f>
        <v>VARIplus-DJ Wstawka mont. DN800 PN10 L=250-300mm śr.stal węglowa</v>
      </c>
      <c r="S2207" s="733" t="s">
        <v>5569</v>
      </c>
      <c r="T2207" s="732" t="s">
        <v>5569</v>
      </c>
      <c r="U2207" s="734" t="s">
        <v>5835</v>
      </c>
      <c r="V2207" s="735">
        <v>10</v>
      </c>
      <c r="W2207" s="736"/>
      <c r="X2207" s="737"/>
      <c r="Y2207" s="738"/>
      <c r="Z2207" s="739"/>
      <c r="AA2207" s="739"/>
      <c r="AB2207" s="740">
        <v>10</v>
      </c>
      <c r="AC2207" s="741" t="s">
        <v>5713</v>
      </c>
      <c r="AD2207" s="741" t="str">
        <f>'DICTIONARY-5'!$A$13</f>
        <v>woda pitna</v>
      </c>
      <c r="AE2207" s="742">
        <v>90</v>
      </c>
      <c r="AF2207" s="743">
        <v>178</v>
      </c>
      <c r="AG2207" s="741" t="str">
        <f>'DICTIONARY-5'!$A$23</f>
        <v>powłoka epoksydowa</v>
      </c>
    </row>
    <row r="2208" spans="1:33" x14ac:dyDescent="0.25">
      <c r="A2208" s="872" t="s">
        <v>2050</v>
      </c>
      <c r="B2208" s="872" t="s">
        <v>3647</v>
      </c>
      <c r="C2208" s="836">
        <v>3840</v>
      </c>
      <c r="D2208" s="836"/>
      <c r="E2208" s="836"/>
      <c r="F2208" s="836"/>
      <c r="G2208" s="496" t="s">
        <v>7843</v>
      </c>
      <c r="H2208" s="797" t="str">
        <f>VLOOKUP(G2208,SETTINGS!$B$7:$D$97,2,0)</f>
        <v>VARIplus</v>
      </c>
      <c r="I2208" s="796">
        <f>VLOOKUP(G2208,SETTINGS!$B$7:$D$97,3,0)</f>
        <v>0</v>
      </c>
      <c r="J2208" s="670" t="str">
        <f>IFERROR(IF(CURRENCY.FORMAT_1=0,CONCATENATE(TEXT(FIXED(ROUND((C2208/EXC.RATE_1),CURRENCY.FORMAT_1),CURRENCY.FORMAT_1,1),"# ##0;-# ##0"),",-"),FIXED(ROUND((C2208/EXC.RATE_1),CURRENCY.FORMAT_1),CURRENCY.FORMAT_1,0)),'DICTIONARY-5'!$A$2)</f>
        <v>3 840,-</v>
      </c>
      <c r="K2208" s="670" t="str">
        <f>IF(EXC.RATE_2=0,"",IFERROR(IF(CURRENCY.FORMAT_2=0,CONCATENATE(TEXT(FIXED(ROUND(IF(EXC.RATE.SWITCH=1,C2208/EXC.RATE_2,C2208*EXC.RATE_2),CURRENCY.FORMAT_2),CURRENCY.FORMAT_2,1),"# ##0;-# ##0"),",-"),FIXED(ROUND(IF(EXC.RATE.SWITCH=1,C2208/EXC.RATE_2,C2208*EXC.RATE_2),CURRENCY.FORMAT_2),CURRENCY.FORMAT_2,0)),'DICTIONARY-5'!$A$2))</f>
        <v/>
      </c>
      <c r="L2208" s="670" t="str">
        <f>IFERROR(IF(CURRENCY.FORMAT_1=0,CONCATENATE(TEXT(FIXED(ROUND((C2208*(1-I2208)*(1-ADD.DISCOUNT)*(1+MAT.SURCHARGE)/EXC.RATE_1),CURRENCY.FORMAT_1),CURRENCY.FORMAT_1,1),"# ##0;-# ##0"),",-"),FIXED(ROUND((C2208*(1-I2208)*(1-ADD.DISCOUNT)*(1+MAT.SURCHARGE)/EXC.RATE_1),CURRENCY.FORMAT_1),CURRENCY.FORMAT_1,0)),'DICTIONARY-5'!$A$2)</f>
        <v>3 990,-</v>
      </c>
      <c r="M2208" s="670" t="str">
        <f>IF(EXC.RATE_2=0,"",IFERROR(IF(CURRENCY.FORMAT_2=0,CONCATENATE(TEXT(FIXED(ROUND(IF(EXC.RATE.SWITCH=1,C2208*(1-I2208)*(1-ADD.DISCOUNT)*(1+MAT.SURCHARGE)/EXC.RATE_2,C2208*(1-I2208)*(1-ADD.DISCOUNT)*(1+MAT.SURCHARGE)*EXC.RATE_2),CURRENCY.FORMAT_2),CURRENCY.FORMAT_2,1),"# ##0;-# ##0"),",-"),FIXED(ROUND(IF(EXC.RATE.SWITCH=1,C2208*(1-I2208)*(1-ADD.DISCOUNT)*(1+MAT.SURCHARGE)/EXC.RATE_2,C2208*(1-I2208)*(1-ADD.DISCOUNT)*(1+MAT.SURCHARGE)*EXC.RATE_2),CURRENCY.FORMAT_2),CURRENCY.FORMAT_2,0)),'DICTIONARY-5'!$A$2))</f>
        <v/>
      </c>
      <c r="N2208" s="538">
        <v>10</v>
      </c>
      <c r="O2208" s="538"/>
      <c r="P2208" s="731" t="str">
        <f>'DICTIONARY-3'!$A$124</f>
        <v>VARIplus-DJ</v>
      </c>
      <c r="Q2208" s="732" t="str">
        <f>'DICTIONARY-3'!$A$214</f>
        <v>Wstawka montażowa</v>
      </c>
      <c r="R2208" s="732" t="str">
        <f>CONCATENATE('DICTIONARY-3'!$A$124," ",'DICTIONARY-6'!$A$15," ",'DICTIONARY-2'!$A$2,"900"," ",'DICTIONARY-2'!$A$3,"10"," ",'DICTIONARY-2'!$A$24,"=","250-300",'DICTIONARY-2'!$A$17,," ",'DICTIONARY-6'!$A$34)</f>
        <v>VARIplus-DJ Wstawka mont. DN900 PN10 L=250-300mm śr.stal węglowa</v>
      </c>
      <c r="S2208" s="733" t="s">
        <v>5569</v>
      </c>
      <c r="T2208" s="732" t="s">
        <v>5569</v>
      </c>
      <c r="U2208" s="734" t="s">
        <v>5837</v>
      </c>
      <c r="V2208" s="735">
        <v>10</v>
      </c>
      <c r="W2208" s="736"/>
      <c r="X2208" s="737"/>
      <c r="Y2208" s="738"/>
      <c r="Z2208" s="739"/>
      <c r="AA2208" s="739"/>
      <c r="AB2208" s="740">
        <v>10</v>
      </c>
      <c r="AC2208" s="741" t="s">
        <v>5713</v>
      </c>
      <c r="AD2208" s="741" t="str">
        <f>'DICTIONARY-5'!$A$13</f>
        <v>woda pitna</v>
      </c>
      <c r="AE2208" s="742">
        <v>90</v>
      </c>
      <c r="AF2208" s="743">
        <v>198</v>
      </c>
      <c r="AG2208" s="741" t="str">
        <f>'DICTIONARY-5'!$A$23</f>
        <v>powłoka epoksydowa</v>
      </c>
    </row>
    <row r="2209" spans="1:33" x14ac:dyDescent="0.25">
      <c r="A2209" s="872" t="s">
        <v>2053</v>
      </c>
      <c r="B2209" s="872" t="s">
        <v>3651</v>
      </c>
      <c r="C2209" s="836">
        <v>4462</v>
      </c>
      <c r="D2209" s="836"/>
      <c r="E2209" s="836"/>
      <c r="F2209" s="836"/>
      <c r="G2209" s="496" t="s">
        <v>7843</v>
      </c>
      <c r="H2209" s="797" t="str">
        <f>VLOOKUP(G2209,SETTINGS!$B$7:$D$97,2,0)</f>
        <v>VARIplus</v>
      </c>
      <c r="I2209" s="796">
        <f>VLOOKUP(G2209,SETTINGS!$B$7:$D$97,3,0)</f>
        <v>0</v>
      </c>
      <c r="J2209" s="670" t="str">
        <f>IFERROR(IF(CURRENCY.FORMAT_1=0,CONCATENATE(TEXT(FIXED(ROUND((C2209/EXC.RATE_1),CURRENCY.FORMAT_1),CURRENCY.FORMAT_1,1),"# ##0;-# ##0"),",-"),FIXED(ROUND((C2209/EXC.RATE_1),CURRENCY.FORMAT_1),CURRENCY.FORMAT_1,0)),'DICTIONARY-5'!$A$2)</f>
        <v>4 462,-</v>
      </c>
      <c r="K2209" s="670" t="str">
        <f>IF(EXC.RATE_2=0,"",IFERROR(IF(CURRENCY.FORMAT_2=0,CONCATENATE(TEXT(FIXED(ROUND(IF(EXC.RATE.SWITCH=1,C2209/EXC.RATE_2,C2209*EXC.RATE_2),CURRENCY.FORMAT_2),CURRENCY.FORMAT_2,1),"# ##0;-# ##0"),",-"),FIXED(ROUND(IF(EXC.RATE.SWITCH=1,C2209/EXC.RATE_2,C2209*EXC.RATE_2),CURRENCY.FORMAT_2),CURRENCY.FORMAT_2,0)),'DICTIONARY-5'!$A$2))</f>
        <v/>
      </c>
      <c r="L2209" s="670" t="str">
        <f>IFERROR(IF(CURRENCY.FORMAT_1=0,CONCATENATE(TEXT(FIXED(ROUND((C2209*(1-I2209)*(1-ADD.DISCOUNT)*(1+MAT.SURCHARGE)/EXC.RATE_1),CURRENCY.FORMAT_1),CURRENCY.FORMAT_1,1),"# ##0;-# ##0"),",-"),FIXED(ROUND((C2209*(1-I2209)*(1-ADD.DISCOUNT)*(1+MAT.SURCHARGE)/EXC.RATE_1),CURRENCY.FORMAT_1),CURRENCY.FORMAT_1,0)),'DICTIONARY-5'!$A$2)</f>
        <v>4 636,-</v>
      </c>
      <c r="M2209" s="670" t="str">
        <f>IF(EXC.RATE_2=0,"",IFERROR(IF(CURRENCY.FORMAT_2=0,CONCATENATE(TEXT(FIXED(ROUND(IF(EXC.RATE.SWITCH=1,C2209*(1-I2209)*(1-ADD.DISCOUNT)*(1+MAT.SURCHARGE)/EXC.RATE_2,C2209*(1-I2209)*(1-ADD.DISCOUNT)*(1+MAT.SURCHARGE)*EXC.RATE_2),CURRENCY.FORMAT_2),CURRENCY.FORMAT_2,1),"# ##0;-# ##0"),",-"),FIXED(ROUND(IF(EXC.RATE.SWITCH=1,C2209*(1-I2209)*(1-ADD.DISCOUNT)*(1+MAT.SURCHARGE)/EXC.RATE_2,C2209*(1-I2209)*(1-ADD.DISCOUNT)*(1+MAT.SURCHARGE)*EXC.RATE_2),CURRENCY.FORMAT_2),CURRENCY.FORMAT_2,0)),'DICTIONARY-5'!$A$2))</f>
        <v/>
      </c>
      <c r="N2209" s="538">
        <v>10</v>
      </c>
      <c r="O2209" s="538"/>
      <c r="P2209" s="731" t="str">
        <f>'DICTIONARY-3'!$A$124</f>
        <v>VARIplus-DJ</v>
      </c>
      <c r="Q2209" s="732" t="str">
        <f>'DICTIONARY-3'!$A$214</f>
        <v>Wstawka montażowa</v>
      </c>
      <c r="R2209" s="732" t="str">
        <f>CONCATENATE('DICTIONARY-3'!$A$124," ",'DICTIONARY-6'!$A$15," ",'DICTIONARY-2'!$A$2,"1000"," ",'DICTIONARY-2'!$A$3,"10"," ",'DICTIONARY-2'!$A$24,"=","260-320",'DICTIONARY-2'!$A$17,," ",'DICTIONARY-6'!$A$34)</f>
        <v>VARIplus-DJ Wstawka mont. DN1000 PN10 L=260-320mm śr.stal węglowa</v>
      </c>
      <c r="S2209" s="733" t="s">
        <v>5569</v>
      </c>
      <c r="T2209" s="732" t="s">
        <v>5569</v>
      </c>
      <c r="U2209" s="734" t="s">
        <v>5836</v>
      </c>
      <c r="V2209" s="735">
        <v>10</v>
      </c>
      <c r="W2209" s="736"/>
      <c r="X2209" s="737"/>
      <c r="Y2209" s="738"/>
      <c r="Z2209" s="739"/>
      <c r="AA2209" s="739"/>
      <c r="AB2209" s="740">
        <v>10</v>
      </c>
      <c r="AC2209" s="741" t="s">
        <v>5714</v>
      </c>
      <c r="AD2209" s="741" t="str">
        <f>'DICTIONARY-5'!$A$13</f>
        <v>woda pitna</v>
      </c>
      <c r="AE2209" s="742">
        <v>90</v>
      </c>
      <c r="AF2209" s="743">
        <v>240</v>
      </c>
      <c r="AG2209" s="741" t="str">
        <f>'DICTIONARY-5'!$A$23</f>
        <v>powłoka epoksydowa</v>
      </c>
    </row>
    <row r="2210" spans="1:33" x14ac:dyDescent="0.25">
      <c r="A2210" s="872" t="s">
        <v>2056</v>
      </c>
      <c r="B2210" s="872" t="s">
        <v>3655</v>
      </c>
      <c r="C2210" s="836">
        <v>7308</v>
      </c>
      <c r="D2210" s="836"/>
      <c r="E2210" s="836"/>
      <c r="F2210" s="836"/>
      <c r="G2210" s="496" t="s">
        <v>7843</v>
      </c>
      <c r="H2210" s="797" t="str">
        <f>VLOOKUP(G2210,SETTINGS!$B$7:$D$97,2,0)</f>
        <v>VARIplus</v>
      </c>
      <c r="I2210" s="796">
        <f>VLOOKUP(G2210,SETTINGS!$B$7:$D$97,3,0)</f>
        <v>0</v>
      </c>
      <c r="J2210" s="670" t="str">
        <f>IFERROR(IF(CURRENCY.FORMAT_1=0,CONCATENATE(TEXT(FIXED(ROUND((C2210/EXC.RATE_1),CURRENCY.FORMAT_1),CURRENCY.FORMAT_1,1),"# ##0;-# ##0"),",-"),FIXED(ROUND((C2210/EXC.RATE_1),CURRENCY.FORMAT_1),CURRENCY.FORMAT_1,0)),'DICTIONARY-5'!$A$2)</f>
        <v>7 308,-</v>
      </c>
      <c r="K2210" s="670" t="str">
        <f>IF(EXC.RATE_2=0,"",IFERROR(IF(CURRENCY.FORMAT_2=0,CONCATENATE(TEXT(FIXED(ROUND(IF(EXC.RATE.SWITCH=1,C2210/EXC.RATE_2,C2210*EXC.RATE_2),CURRENCY.FORMAT_2),CURRENCY.FORMAT_2,1),"# ##0;-# ##0"),",-"),FIXED(ROUND(IF(EXC.RATE.SWITCH=1,C2210/EXC.RATE_2,C2210*EXC.RATE_2),CURRENCY.FORMAT_2),CURRENCY.FORMAT_2,0)),'DICTIONARY-5'!$A$2))</f>
        <v/>
      </c>
      <c r="L2210" s="670" t="str">
        <f>IFERROR(IF(CURRENCY.FORMAT_1=0,CONCATENATE(TEXT(FIXED(ROUND((C2210*(1-I2210)*(1-ADD.DISCOUNT)*(1+MAT.SURCHARGE)/EXC.RATE_1),CURRENCY.FORMAT_1),CURRENCY.FORMAT_1,1),"# ##0;-# ##0"),",-"),FIXED(ROUND((C2210*(1-I2210)*(1-ADD.DISCOUNT)*(1+MAT.SURCHARGE)/EXC.RATE_1),CURRENCY.FORMAT_1),CURRENCY.FORMAT_1,0)),'DICTIONARY-5'!$A$2)</f>
        <v>7 593,-</v>
      </c>
      <c r="M2210" s="670" t="str">
        <f>IF(EXC.RATE_2=0,"",IFERROR(IF(CURRENCY.FORMAT_2=0,CONCATENATE(TEXT(FIXED(ROUND(IF(EXC.RATE.SWITCH=1,C2210*(1-I2210)*(1-ADD.DISCOUNT)*(1+MAT.SURCHARGE)/EXC.RATE_2,C2210*(1-I2210)*(1-ADD.DISCOUNT)*(1+MAT.SURCHARGE)*EXC.RATE_2),CURRENCY.FORMAT_2),CURRENCY.FORMAT_2,1),"# ##0;-# ##0"),",-"),FIXED(ROUND(IF(EXC.RATE.SWITCH=1,C2210*(1-I2210)*(1-ADD.DISCOUNT)*(1+MAT.SURCHARGE)/EXC.RATE_2,C2210*(1-I2210)*(1-ADD.DISCOUNT)*(1+MAT.SURCHARGE)*EXC.RATE_2),CURRENCY.FORMAT_2),CURRENCY.FORMAT_2,0)),'DICTIONARY-5'!$A$2))</f>
        <v/>
      </c>
      <c r="N2210" s="538">
        <v>10</v>
      </c>
      <c r="O2210" s="538"/>
      <c r="P2210" s="731" t="str">
        <f>'DICTIONARY-3'!$A$124</f>
        <v>VARIplus-DJ</v>
      </c>
      <c r="Q2210" s="732" t="str">
        <f>'DICTIONARY-3'!$A$214</f>
        <v>Wstawka montażowa</v>
      </c>
      <c r="R2210" s="732" t="str">
        <f>CONCATENATE('DICTIONARY-3'!$A$124," ",'DICTIONARY-6'!$A$15," ",'DICTIONARY-2'!$A$2,"1200"," ",'DICTIONARY-2'!$A$3,"10"," ",'DICTIONARY-2'!$A$24,"=","280-340",'DICTIONARY-2'!$A$17,," ",'DICTIONARY-6'!$A$34)</f>
        <v>VARIplus-DJ Wstawka mont. DN1200 PN10 L=280-340mm śr.stal węglowa</v>
      </c>
      <c r="S2210" s="733" t="s">
        <v>5569</v>
      </c>
      <c r="T2210" s="732" t="s">
        <v>5569</v>
      </c>
      <c r="U2210" s="734" t="s">
        <v>5838</v>
      </c>
      <c r="V2210" s="735">
        <v>10</v>
      </c>
      <c r="W2210" s="736"/>
      <c r="X2210" s="737"/>
      <c r="Y2210" s="738"/>
      <c r="Z2210" s="739"/>
      <c r="AA2210" s="739"/>
      <c r="AB2210" s="740">
        <v>10</v>
      </c>
      <c r="AC2210" s="741" t="s">
        <v>5715</v>
      </c>
      <c r="AD2210" s="741" t="str">
        <f>'DICTIONARY-5'!$A$13</f>
        <v>woda pitna</v>
      </c>
      <c r="AE2210" s="742">
        <v>90</v>
      </c>
      <c r="AF2210" s="743">
        <v>421</v>
      </c>
      <c r="AG2210" s="741" t="str">
        <f>'DICTIONARY-5'!$A$23</f>
        <v>powłoka epoksydowa</v>
      </c>
    </row>
    <row r="2211" spans="1:33" x14ac:dyDescent="0.25">
      <c r="A2211" s="872" t="s">
        <v>2059</v>
      </c>
      <c r="B2211" s="872" t="s">
        <v>3659</v>
      </c>
      <c r="C2211" s="836">
        <v>13644</v>
      </c>
      <c r="D2211" s="836"/>
      <c r="E2211" s="836"/>
      <c r="F2211" s="836"/>
      <c r="G2211" s="496" t="s">
        <v>7843</v>
      </c>
      <c r="H2211" s="797" t="str">
        <f>VLOOKUP(G2211,SETTINGS!$B$7:$D$97,2,0)</f>
        <v>VARIplus</v>
      </c>
      <c r="I2211" s="796">
        <f>VLOOKUP(G2211,SETTINGS!$B$7:$D$97,3,0)</f>
        <v>0</v>
      </c>
      <c r="J2211" s="670" t="str">
        <f>IFERROR(IF(CURRENCY.FORMAT_1=0,CONCATENATE(TEXT(FIXED(ROUND((C2211/EXC.RATE_1),CURRENCY.FORMAT_1),CURRENCY.FORMAT_1,1),"# ##0;-# ##0"),",-"),FIXED(ROUND((C2211/EXC.RATE_1),CURRENCY.FORMAT_1),CURRENCY.FORMAT_1,0)),'DICTIONARY-5'!$A$2)</f>
        <v>13 644,-</v>
      </c>
      <c r="K2211" s="670" t="str">
        <f>IF(EXC.RATE_2=0,"",IFERROR(IF(CURRENCY.FORMAT_2=0,CONCATENATE(TEXT(FIXED(ROUND(IF(EXC.RATE.SWITCH=1,C2211/EXC.RATE_2,C2211*EXC.RATE_2),CURRENCY.FORMAT_2),CURRENCY.FORMAT_2,1),"# ##0;-# ##0"),",-"),FIXED(ROUND(IF(EXC.RATE.SWITCH=1,C2211/EXC.RATE_2,C2211*EXC.RATE_2),CURRENCY.FORMAT_2),CURRENCY.FORMAT_2,0)),'DICTIONARY-5'!$A$2))</f>
        <v/>
      </c>
      <c r="L2211" s="670" t="str">
        <f>IFERROR(IF(CURRENCY.FORMAT_1=0,CONCATENATE(TEXT(FIXED(ROUND((C2211*(1-I2211)*(1-ADD.DISCOUNT)*(1+MAT.SURCHARGE)/EXC.RATE_1),CURRENCY.FORMAT_1),CURRENCY.FORMAT_1,1),"# ##0;-# ##0"),",-"),FIXED(ROUND((C2211*(1-I2211)*(1-ADD.DISCOUNT)*(1+MAT.SURCHARGE)/EXC.RATE_1),CURRENCY.FORMAT_1),CURRENCY.FORMAT_1,0)),'DICTIONARY-5'!$A$2)</f>
        <v>14 176,-</v>
      </c>
      <c r="M2211" s="670" t="str">
        <f>IF(EXC.RATE_2=0,"",IFERROR(IF(CURRENCY.FORMAT_2=0,CONCATENATE(TEXT(FIXED(ROUND(IF(EXC.RATE.SWITCH=1,C2211*(1-I2211)*(1-ADD.DISCOUNT)*(1+MAT.SURCHARGE)/EXC.RATE_2,C2211*(1-I2211)*(1-ADD.DISCOUNT)*(1+MAT.SURCHARGE)*EXC.RATE_2),CURRENCY.FORMAT_2),CURRENCY.FORMAT_2,1),"# ##0;-# ##0"),",-"),FIXED(ROUND(IF(EXC.RATE.SWITCH=1,C2211*(1-I2211)*(1-ADD.DISCOUNT)*(1+MAT.SURCHARGE)/EXC.RATE_2,C2211*(1-I2211)*(1-ADD.DISCOUNT)*(1+MAT.SURCHARGE)*EXC.RATE_2),CURRENCY.FORMAT_2),CURRENCY.FORMAT_2,0)),'DICTIONARY-5'!$A$2))</f>
        <v/>
      </c>
      <c r="N2211" s="538">
        <v>10</v>
      </c>
      <c r="O2211" s="538"/>
      <c r="P2211" s="731" t="str">
        <f>'DICTIONARY-3'!$A$124</f>
        <v>VARIplus-DJ</v>
      </c>
      <c r="Q2211" s="732" t="str">
        <f>'DICTIONARY-3'!$A$214</f>
        <v>Wstawka montażowa</v>
      </c>
      <c r="R2211" s="732" t="str">
        <f>CONCATENATE('DICTIONARY-3'!$A$124," ",'DICTIONARY-6'!$A$15," ",'DICTIONARY-2'!$A$2,"1400"," ",'DICTIONARY-2'!$A$3,"10"," ",'DICTIONARY-2'!$A$24,"=","310-370",'DICTIONARY-2'!$A$17,," ",'DICTIONARY-6'!$A$34)</f>
        <v>VARIplus-DJ Wstawka mont. DN1400 PN10 L=310-370mm śr.stal węglowa</v>
      </c>
      <c r="S2211" s="733" t="s">
        <v>5569</v>
      </c>
      <c r="T2211" s="732" t="s">
        <v>5569</v>
      </c>
      <c r="U2211" s="734" t="s">
        <v>5839</v>
      </c>
      <c r="V2211" s="735">
        <v>10</v>
      </c>
      <c r="W2211" s="736"/>
      <c r="X2211" s="737"/>
      <c r="Y2211" s="738"/>
      <c r="Z2211" s="739"/>
      <c r="AA2211" s="739"/>
      <c r="AB2211" s="740">
        <v>10</v>
      </c>
      <c r="AC2211" s="741" t="s">
        <v>5716</v>
      </c>
      <c r="AD2211" s="741" t="str">
        <f>'DICTIONARY-5'!$A$13</f>
        <v>woda pitna</v>
      </c>
      <c r="AE2211" s="742">
        <v>90</v>
      </c>
      <c r="AF2211" s="743">
        <v>601</v>
      </c>
      <c r="AG2211" s="741" t="str">
        <f>'DICTIONARY-5'!$A$23</f>
        <v>powłoka epoksydowa</v>
      </c>
    </row>
    <row r="2212" spans="1:33" x14ac:dyDescent="0.25">
      <c r="A2212" s="872" t="s">
        <v>2062</v>
      </c>
      <c r="B2212" s="872" t="s">
        <v>3663</v>
      </c>
      <c r="C2212" s="836">
        <v>23456</v>
      </c>
      <c r="D2212" s="836"/>
      <c r="E2212" s="836"/>
      <c r="F2212" s="836"/>
      <c r="G2212" s="496" t="s">
        <v>7843</v>
      </c>
      <c r="H2212" s="797" t="str">
        <f>VLOOKUP(G2212,SETTINGS!$B$7:$D$97,2,0)</f>
        <v>VARIplus</v>
      </c>
      <c r="I2212" s="796">
        <f>VLOOKUP(G2212,SETTINGS!$B$7:$D$97,3,0)</f>
        <v>0</v>
      </c>
      <c r="J2212" s="670" t="str">
        <f>IFERROR(IF(CURRENCY.FORMAT_1=0,CONCATENATE(TEXT(FIXED(ROUND((C2212/EXC.RATE_1),CURRENCY.FORMAT_1),CURRENCY.FORMAT_1,1),"# ##0;-# ##0"),",-"),FIXED(ROUND((C2212/EXC.RATE_1),CURRENCY.FORMAT_1),CURRENCY.FORMAT_1,0)),'DICTIONARY-5'!$A$2)</f>
        <v>23 456,-</v>
      </c>
      <c r="K2212" s="670" t="str">
        <f>IF(EXC.RATE_2=0,"",IFERROR(IF(CURRENCY.FORMAT_2=0,CONCATENATE(TEXT(FIXED(ROUND(IF(EXC.RATE.SWITCH=1,C2212/EXC.RATE_2,C2212*EXC.RATE_2),CURRENCY.FORMAT_2),CURRENCY.FORMAT_2,1),"# ##0;-# ##0"),",-"),FIXED(ROUND(IF(EXC.RATE.SWITCH=1,C2212/EXC.RATE_2,C2212*EXC.RATE_2),CURRENCY.FORMAT_2),CURRENCY.FORMAT_2,0)),'DICTIONARY-5'!$A$2))</f>
        <v/>
      </c>
      <c r="L2212" s="670" t="str">
        <f>IFERROR(IF(CURRENCY.FORMAT_1=0,CONCATENATE(TEXT(FIXED(ROUND((C2212*(1-I2212)*(1-ADD.DISCOUNT)*(1+MAT.SURCHARGE)/EXC.RATE_1),CURRENCY.FORMAT_1),CURRENCY.FORMAT_1,1),"# ##0;-# ##0"),",-"),FIXED(ROUND((C2212*(1-I2212)*(1-ADD.DISCOUNT)*(1+MAT.SURCHARGE)/EXC.RATE_1),CURRENCY.FORMAT_1),CURRENCY.FORMAT_1,0)),'DICTIONARY-5'!$A$2)</f>
        <v>24 371,-</v>
      </c>
      <c r="M2212" s="670" t="str">
        <f>IF(EXC.RATE_2=0,"",IFERROR(IF(CURRENCY.FORMAT_2=0,CONCATENATE(TEXT(FIXED(ROUND(IF(EXC.RATE.SWITCH=1,C2212*(1-I2212)*(1-ADD.DISCOUNT)*(1+MAT.SURCHARGE)/EXC.RATE_2,C2212*(1-I2212)*(1-ADD.DISCOUNT)*(1+MAT.SURCHARGE)*EXC.RATE_2),CURRENCY.FORMAT_2),CURRENCY.FORMAT_2,1),"# ##0;-# ##0"),",-"),FIXED(ROUND(IF(EXC.RATE.SWITCH=1,C2212*(1-I2212)*(1-ADD.DISCOUNT)*(1+MAT.SURCHARGE)/EXC.RATE_2,C2212*(1-I2212)*(1-ADD.DISCOUNT)*(1+MAT.SURCHARGE)*EXC.RATE_2),CURRENCY.FORMAT_2),CURRENCY.FORMAT_2,0)),'DICTIONARY-5'!$A$2))</f>
        <v/>
      </c>
      <c r="N2212" s="538">
        <v>10</v>
      </c>
      <c r="O2212" s="538"/>
      <c r="P2212" s="731" t="str">
        <f>'DICTIONARY-3'!$A$124</f>
        <v>VARIplus-DJ</v>
      </c>
      <c r="Q2212" s="732" t="str">
        <f>'DICTIONARY-3'!$A$214</f>
        <v>Wstawka montażowa</v>
      </c>
      <c r="R2212" s="732" t="str">
        <f>CONCATENATE('DICTIONARY-3'!$A$124," ",'DICTIONARY-6'!$A$15," ",'DICTIONARY-2'!$A$2,"1600"," ",'DICTIONARY-2'!$A$3,"10"," ",'DICTIONARY-2'!$A$24,"=","350-410",'DICTIONARY-2'!$A$17,," ",'DICTIONARY-6'!$A$34)</f>
        <v>VARIplus-DJ Wstawka mont. DN1600 PN10 L=350-410mm śr.stal węglowa</v>
      </c>
      <c r="S2212" s="733" t="s">
        <v>5569</v>
      </c>
      <c r="T2212" s="732" t="s">
        <v>5569</v>
      </c>
      <c r="U2212" s="734" t="s">
        <v>5840</v>
      </c>
      <c r="V2212" s="735">
        <v>10</v>
      </c>
      <c r="W2212" s="736"/>
      <c r="X2212" s="737"/>
      <c r="Y2212" s="738"/>
      <c r="Z2212" s="739"/>
      <c r="AA2212" s="739"/>
      <c r="AB2212" s="740">
        <v>10</v>
      </c>
      <c r="AC2212" s="741" t="s">
        <v>5717</v>
      </c>
      <c r="AD2212" s="741" t="str">
        <f>'DICTIONARY-5'!$A$13</f>
        <v>woda pitna</v>
      </c>
      <c r="AE2212" s="742">
        <v>90</v>
      </c>
      <c r="AF2212" s="743">
        <v>1328.58</v>
      </c>
      <c r="AG2212" s="741" t="str">
        <f>'DICTIONARY-5'!$A$23</f>
        <v>powłoka epoksydowa</v>
      </c>
    </row>
    <row r="2213" spans="1:33" x14ac:dyDescent="0.25">
      <c r="A2213" s="872" t="s">
        <v>2064</v>
      </c>
      <c r="B2213" s="872" t="s">
        <v>3667</v>
      </c>
      <c r="C2213" s="836">
        <v>34024</v>
      </c>
      <c r="D2213" s="836"/>
      <c r="E2213" s="836"/>
      <c r="F2213" s="836"/>
      <c r="G2213" s="496" t="s">
        <v>7843</v>
      </c>
      <c r="H2213" s="797" t="str">
        <f>VLOOKUP(G2213,SETTINGS!$B$7:$D$97,2,0)</f>
        <v>VARIplus</v>
      </c>
      <c r="I2213" s="796">
        <f>VLOOKUP(G2213,SETTINGS!$B$7:$D$97,3,0)</f>
        <v>0</v>
      </c>
      <c r="J2213" s="670" t="str">
        <f>IFERROR(IF(CURRENCY.FORMAT_1=0,CONCATENATE(TEXT(FIXED(ROUND((C2213/EXC.RATE_1),CURRENCY.FORMAT_1),CURRENCY.FORMAT_1,1),"# ##0;-# ##0"),",-"),FIXED(ROUND((C2213/EXC.RATE_1),CURRENCY.FORMAT_1),CURRENCY.FORMAT_1,0)),'DICTIONARY-5'!$A$2)</f>
        <v>34 024,-</v>
      </c>
      <c r="K2213" s="670" t="str">
        <f>IF(EXC.RATE_2=0,"",IFERROR(IF(CURRENCY.FORMAT_2=0,CONCATENATE(TEXT(FIXED(ROUND(IF(EXC.RATE.SWITCH=1,C2213/EXC.RATE_2,C2213*EXC.RATE_2),CURRENCY.FORMAT_2),CURRENCY.FORMAT_2,1),"# ##0;-# ##0"),",-"),FIXED(ROUND(IF(EXC.RATE.SWITCH=1,C2213/EXC.RATE_2,C2213*EXC.RATE_2),CURRENCY.FORMAT_2),CURRENCY.FORMAT_2,0)),'DICTIONARY-5'!$A$2))</f>
        <v/>
      </c>
      <c r="L2213" s="670" t="str">
        <f>IFERROR(IF(CURRENCY.FORMAT_1=0,CONCATENATE(TEXT(FIXED(ROUND((C2213*(1-I2213)*(1-ADD.DISCOUNT)*(1+MAT.SURCHARGE)/EXC.RATE_1),CURRENCY.FORMAT_1),CURRENCY.FORMAT_1,1),"# ##0;-# ##0"),",-"),FIXED(ROUND((C2213*(1-I2213)*(1-ADD.DISCOUNT)*(1+MAT.SURCHARGE)/EXC.RATE_1),CURRENCY.FORMAT_1),CURRENCY.FORMAT_1,0)),'DICTIONARY-5'!$A$2)</f>
        <v>35 351,-</v>
      </c>
      <c r="M2213" s="670" t="str">
        <f>IF(EXC.RATE_2=0,"",IFERROR(IF(CURRENCY.FORMAT_2=0,CONCATENATE(TEXT(FIXED(ROUND(IF(EXC.RATE.SWITCH=1,C2213*(1-I2213)*(1-ADD.DISCOUNT)*(1+MAT.SURCHARGE)/EXC.RATE_2,C2213*(1-I2213)*(1-ADD.DISCOUNT)*(1+MAT.SURCHARGE)*EXC.RATE_2),CURRENCY.FORMAT_2),CURRENCY.FORMAT_2,1),"# ##0;-# ##0"),",-"),FIXED(ROUND(IF(EXC.RATE.SWITCH=1,C2213*(1-I2213)*(1-ADD.DISCOUNT)*(1+MAT.SURCHARGE)/EXC.RATE_2,C2213*(1-I2213)*(1-ADD.DISCOUNT)*(1+MAT.SURCHARGE)*EXC.RATE_2),CURRENCY.FORMAT_2),CURRENCY.FORMAT_2,0)),'DICTIONARY-5'!$A$2))</f>
        <v/>
      </c>
      <c r="N2213" s="538">
        <v>10</v>
      </c>
      <c r="O2213" s="538"/>
      <c r="P2213" s="731" t="str">
        <f>'DICTIONARY-3'!$A$124</f>
        <v>VARIplus-DJ</v>
      </c>
      <c r="Q2213" s="732" t="str">
        <f>'DICTIONARY-3'!$A$214</f>
        <v>Wstawka montażowa</v>
      </c>
      <c r="R2213" s="732" t="str">
        <f>CONCATENATE('DICTIONARY-3'!$A$124," ",'DICTIONARY-6'!$A$15," ",'DICTIONARY-2'!$A$2,"1800"," ",'DICTIONARY-2'!$A$3,"10"," ",'DICTIONARY-2'!$A$24,"=","350-410",'DICTIONARY-2'!$A$17,," ",'DICTIONARY-6'!$A$34)</f>
        <v>VARIplus-DJ Wstawka mont. DN1800 PN10 L=350-410mm śr.stal węglowa</v>
      </c>
      <c r="S2213" s="733" t="s">
        <v>5569</v>
      </c>
      <c r="T2213" s="732" t="s">
        <v>5569</v>
      </c>
      <c r="U2213" s="734" t="s">
        <v>5841</v>
      </c>
      <c r="V2213" s="735">
        <v>10</v>
      </c>
      <c r="W2213" s="736"/>
      <c r="X2213" s="737"/>
      <c r="Y2213" s="738"/>
      <c r="Z2213" s="739"/>
      <c r="AA2213" s="739"/>
      <c r="AB2213" s="740">
        <v>10</v>
      </c>
      <c r="AC2213" s="741" t="s">
        <v>5717</v>
      </c>
      <c r="AD2213" s="741" t="str">
        <f>'DICTIONARY-5'!$A$13</f>
        <v>woda pitna</v>
      </c>
      <c r="AE2213" s="742">
        <v>90</v>
      </c>
      <c r="AF2213" s="743">
        <v>1405.8</v>
      </c>
      <c r="AG2213" s="741" t="str">
        <f>'DICTIONARY-5'!$A$23</f>
        <v>powłoka epoksydowa</v>
      </c>
    </row>
    <row r="2214" spans="1:33" x14ac:dyDescent="0.25">
      <c r="A2214" s="872" t="s">
        <v>2066</v>
      </c>
      <c r="B2214" s="872" t="s">
        <v>3671</v>
      </c>
      <c r="C2214" s="836">
        <v>40281</v>
      </c>
      <c r="D2214" s="836"/>
      <c r="E2214" s="836"/>
      <c r="F2214" s="836"/>
      <c r="G2214" s="496" t="s">
        <v>7843</v>
      </c>
      <c r="H2214" s="797" t="str">
        <f>VLOOKUP(G2214,SETTINGS!$B$7:$D$97,2,0)</f>
        <v>VARIplus</v>
      </c>
      <c r="I2214" s="796">
        <f>VLOOKUP(G2214,SETTINGS!$B$7:$D$97,3,0)</f>
        <v>0</v>
      </c>
      <c r="J2214" s="670" t="str">
        <f>IFERROR(IF(CURRENCY.FORMAT_1=0,CONCATENATE(TEXT(FIXED(ROUND((C2214/EXC.RATE_1),CURRENCY.FORMAT_1),CURRENCY.FORMAT_1,1),"# ##0;-# ##0"),",-"),FIXED(ROUND((C2214/EXC.RATE_1),CURRENCY.FORMAT_1),CURRENCY.FORMAT_1,0)),'DICTIONARY-5'!$A$2)</f>
        <v>40 281,-</v>
      </c>
      <c r="K2214" s="670" t="str">
        <f>IF(EXC.RATE_2=0,"",IFERROR(IF(CURRENCY.FORMAT_2=0,CONCATENATE(TEXT(FIXED(ROUND(IF(EXC.RATE.SWITCH=1,C2214/EXC.RATE_2,C2214*EXC.RATE_2),CURRENCY.FORMAT_2),CURRENCY.FORMAT_2,1),"# ##0;-# ##0"),",-"),FIXED(ROUND(IF(EXC.RATE.SWITCH=1,C2214/EXC.RATE_2,C2214*EXC.RATE_2),CURRENCY.FORMAT_2),CURRENCY.FORMAT_2,0)),'DICTIONARY-5'!$A$2))</f>
        <v/>
      </c>
      <c r="L2214" s="670" t="str">
        <f>IFERROR(IF(CURRENCY.FORMAT_1=0,CONCATENATE(TEXT(FIXED(ROUND((C2214*(1-I2214)*(1-ADD.DISCOUNT)*(1+MAT.SURCHARGE)/EXC.RATE_1),CURRENCY.FORMAT_1),CURRENCY.FORMAT_1,1),"# ##0;-# ##0"),",-"),FIXED(ROUND((C2214*(1-I2214)*(1-ADD.DISCOUNT)*(1+MAT.SURCHARGE)/EXC.RATE_1),CURRENCY.FORMAT_1),CURRENCY.FORMAT_1,0)),'DICTIONARY-5'!$A$2)</f>
        <v>41 852,-</v>
      </c>
      <c r="M2214" s="670" t="str">
        <f>IF(EXC.RATE_2=0,"",IFERROR(IF(CURRENCY.FORMAT_2=0,CONCATENATE(TEXT(FIXED(ROUND(IF(EXC.RATE.SWITCH=1,C2214*(1-I2214)*(1-ADD.DISCOUNT)*(1+MAT.SURCHARGE)/EXC.RATE_2,C2214*(1-I2214)*(1-ADD.DISCOUNT)*(1+MAT.SURCHARGE)*EXC.RATE_2),CURRENCY.FORMAT_2),CURRENCY.FORMAT_2,1),"# ##0;-# ##0"),",-"),FIXED(ROUND(IF(EXC.RATE.SWITCH=1,C2214*(1-I2214)*(1-ADD.DISCOUNT)*(1+MAT.SURCHARGE)/EXC.RATE_2,C2214*(1-I2214)*(1-ADD.DISCOUNT)*(1+MAT.SURCHARGE)*EXC.RATE_2),CURRENCY.FORMAT_2),CURRENCY.FORMAT_2,0)),'DICTIONARY-5'!$A$2))</f>
        <v/>
      </c>
      <c r="N2214" s="538">
        <v>10</v>
      </c>
      <c r="O2214" s="538"/>
      <c r="P2214" s="731" t="str">
        <f>'DICTIONARY-3'!$A$124</f>
        <v>VARIplus-DJ</v>
      </c>
      <c r="Q2214" s="732" t="str">
        <f>'DICTIONARY-3'!$A$214</f>
        <v>Wstawka montażowa</v>
      </c>
      <c r="R2214" s="732" t="str">
        <f>CONCATENATE('DICTIONARY-3'!$A$124," ",'DICTIONARY-6'!$A$15," ",'DICTIONARY-2'!$A$2,"2000"," ",'DICTIONARY-2'!$A$3,"10"," ",'DICTIONARY-2'!$A$24,"=","350-410",'DICTIONARY-2'!$A$17,," ",'DICTIONARY-6'!$A$34)</f>
        <v>VARIplus-DJ Wstawka mont. DN2000 PN10 L=350-410mm śr.stal węglowa</v>
      </c>
      <c r="S2214" s="733" t="s">
        <v>5569</v>
      </c>
      <c r="T2214" s="732" t="s">
        <v>5569</v>
      </c>
      <c r="U2214" s="734" t="s">
        <v>5842</v>
      </c>
      <c r="V2214" s="735">
        <v>10</v>
      </c>
      <c r="W2214" s="736"/>
      <c r="X2214" s="737"/>
      <c r="Y2214" s="738"/>
      <c r="Z2214" s="739"/>
      <c r="AA2214" s="739"/>
      <c r="AB2214" s="740">
        <v>10</v>
      </c>
      <c r="AC2214" s="741" t="s">
        <v>5717</v>
      </c>
      <c r="AD2214" s="741" t="str">
        <f>'DICTIONARY-5'!$A$13</f>
        <v>woda pitna</v>
      </c>
      <c r="AE2214" s="742">
        <v>90</v>
      </c>
      <c r="AF2214" s="743">
        <v>1634.82</v>
      </c>
      <c r="AG2214" s="741" t="str">
        <f>'DICTIONARY-5'!$A$23</f>
        <v>powłoka epoksydowa</v>
      </c>
    </row>
    <row r="2215" spans="1:33" x14ac:dyDescent="0.25">
      <c r="A2215" s="872" t="s">
        <v>2029</v>
      </c>
      <c r="B2215" s="872" t="s">
        <v>3609</v>
      </c>
      <c r="C2215" s="836">
        <v>343</v>
      </c>
      <c r="D2215" s="836"/>
      <c r="E2215" s="836"/>
      <c r="F2215" s="836"/>
      <c r="G2215" s="496" t="s">
        <v>7843</v>
      </c>
      <c r="H2215" s="797" t="str">
        <f>VLOOKUP(G2215,SETTINGS!$B$7:$D$97,2,0)</f>
        <v>VARIplus</v>
      </c>
      <c r="I2215" s="796">
        <f>VLOOKUP(G2215,SETTINGS!$B$7:$D$97,3,0)</f>
        <v>0</v>
      </c>
      <c r="J2215" s="670" t="str">
        <f>IFERROR(IF(CURRENCY.FORMAT_1=0,CONCATENATE(TEXT(FIXED(ROUND((C2215/EXC.RATE_1),CURRENCY.FORMAT_1),CURRENCY.FORMAT_1,1),"# ##0;-# ##0"),",-"),FIXED(ROUND((C2215/EXC.RATE_1),CURRENCY.FORMAT_1),CURRENCY.FORMAT_1,0)),'DICTIONARY-5'!$A$2)</f>
        <v>343,-</v>
      </c>
      <c r="K2215" s="670" t="str">
        <f>IF(EXC.RATE_2=0,"",IFERROR(IF(CURRENCY.FORMAT_2=0,CONCATENATE(TEXT(FIXED(ROUND(IF(EXC.RATE.SWITCH=1,C2215/EXC.RATE_2,C2215*EXC.RATE_2),CURRENCY.FORMAT_2),CURRENCY.FORMAT_2,1),"# ##0;-# ##0"),",-"),FIXED(ROUND(IF(EXC.RATE.SWITCH=1,C2215/EXC.RATE_2,C2215*EXC.RATE_2),CURRENCY.FORMAT_2),CURRENCY.FORMAT_2,0)),'DICTIONARY-5'!$A$2))</f>
        <v/>
      </c>
      <c r="L2215" s="670" t="str">
        <f>IFERROR(IF(CURRENCY.FORMAT_1=0,CONCATENATE(TEXT(FIXED(ROUND((C2215*(1-I2215)*(1-ADD.DISCOUNT)*(1+MAT.SURCHARGE)/EXC.RATE_1),CURRENCY.FORMAT_1),CURRENCY.FORMAT_1,1),"# ##0;-# ##0"),",-"),FIXED(ROUND((C2215*(1-I2215)*(1-ADD.DISCOUNT)*(1+MAT.SURCHARGE)/EXC.RATE_1),CURRENCY.FORMAT_1),CURRENCY.FORMAT_1,0)),'DICTIONARY-5'!$A$2)</f>
        <v>356,-</v>
      </c>
      <c r="M2215" s="670" t="str">
        <f>IF(EXC.RATE_2=0,"",IFERROR(IF(CURRENCY.FORMAT_2=0,CONCATENATE(TEXT(FIXED(ROUND(IF(EXC.RATE.SWITCH=1,C2215*(1-I2215)*(1-ADD.DISCOUNT)*(1+MAT.SURCHARGE)/EXC.RATE_2,C2215*(1-I2215)*(1-ADD.DISCOUNT)*(1+MAT.SURCHARGE)*EXC.RATE_2),CURRENCY.FORMAT_2),CURRENCY.FORMAT_2,1),"# ##0;-# ##0"),",-"),FIXED(ROUND(IF(EXC.RATE.SWITCH=1,C2215*(1-I2215)*(1-ADD.DISCOUNT)*(1+MAT.SURCHARGE)/EXC.RATE_2,C2215*(1-I2215)*(1-ADD.DISCOUNT)*(1+MAT.SURCHARGE)*EXC.RATE_2),CURRENCY.FORMAT_2),CURRENCY.FORMAT_2,0)),'DICTIONARY-5'!$A$2))</f>
        <v/>
      </c>
      <c r="N2215" s="538">
        <v>10</v>
      </c>
      <c r="O2215" s="538"/>
      <c r="P2215" s="731" t="str">
        <f>'DICTIONARY-3'!$A$124</f>
        <v>VARIplus-DJ</v>
      </c>
      <c r="Q2215" s="732" t="str">
        <f>'DICTIONARY-3'!$A$214</f>
        <v>Wstawka montażowa</v>
      </c>
      <c r="R2215" s="732" t="str">
        <f>CONCATENATE('DICTIONARY-3'!$A$124," ",'DICTIONARY-6'!$A$15," ",'DICTIONARY-2'!$A$2,"200"," ",'DICTIONARY-2'!$A$3,"16"," ",'DICTIONARY-2'!$A$24,"=","165-205",'DICTIONARY-2'!$A$17,," ",'DICTIONARY-6'!$A$34)</f>
        <v>VARIplus-DJ Wstawka mont. DN200 PN16 L=165-205mm śr.stal węglowa</v>
      </c>
      <c r="S2215" s="733" t="s">
        <v>5569</v>
      </c>
      <c r="T2215" s="732" t="s">
        <v>5569</v>
      </c>
      <c r="U2215" s="734" t="s">
        <v>5750</v>
      </c>
      <c r="V2215" s="735">
        <v>16</v>
      </c>
      <c r="W2215" s="736"/>
      <c r="X2215" s="737"/>
      <c r="Y2215" s="738"/>
      <c r="Z2215" s="739"/>
      <c r="AA2215" s="739"/>
      <c r="AB2215" s="740">
        <v>16</v>
      </c>
      <c r="AC2215" s="741" t="s">
        <v>5711</v>
      </c>
      <c r="AD2215" s="741" t="str">
        <f>'DICTIONARY-5'!$A$13</f>
        <v>woda pitna</v>
      </c>
      <c r="AE2215" s="742">
        <v>90</v>
      </c>
      <c r="AF2215" s="743">
        <v>25</v>
      </c>
      <c r="AG2215" s="741" t="str">
        <f>'DICTIONARY-5'!$A$23</f>
        <v>powłoka epoksydowa</v>
      </c>
    </row>
    <row r="2216" spans="1:33" x14ac:dyDescent="0.25">
      <c r="A2216" s="872" t="s">
        <v>2032</v>
      </c>
      <c r="B2216" s="872" t="s">
        <v>3613</v>
      </c>
      <c r="C2216" s="836">
        <v>553</v>
      </c>
      <c r="D2216" s="836"/>
      <c r="E2216" s="836"/>
      <c r="F2216" s="836"/>
      <c r="G2216" s="496" t="s">
        <v>7843</v>
      </c>
      <c r="H2216" s="797" t="str">
        <f>VLOOKUP(G2216,SETTINGS!$B$7:$D$97,2,0)</f>
        <v>VARIplus</v>
      </c>
      <c r="I2216" s="796">
        <f>VLOOKUP(G2216,SETTINGS!$B$7:$D$97,3,0)</f>
        <v>0</v>
      </c>
      <c r="J2216" s="670" t="str">
        <f>IFERROR(IF(CURRENCY.FORMAT_1=0,CONCATENATE(TEXT(FIXED(ROUND((C2216/EXC.RATE_1),CURRENCY.FORMAT_1),CURRENCY.FORMAT_1,1),"# ##0;-# ##0"),",-"),FIXED(ROUND((C2216/EXC.RATE_1),CURRENCY.FORMAT_1),CURRENCY.FORMAT_1,0)),'DICTIONARY-5'!$A$2)</f>
        <v>553,-</v>
      </c>
      <c r="K2216" s="670" t="str">
        <f>IF(EXC.RATE_2=0,"",IFERROR(IF(CURRENCY.FORMAT_2=0,CONCATENATE(TEXT(FIXED(ROUND(IF(EXC.RATE.SWITCH=1,C2216/EXC.RATE_2,C2216*EXC.RATE_2),CURRENCY.FORMAT_2),CURRENCY.FORMAT_2,1),"# ##0;-# ##0"),",-"),FIXED(ROUND(IF(EXC.RATE.SWITCH=1,C2216/EXC.RATE_2,C2216*EXC.RATE_2),CURRENCY.FORMAT_2),CURRENCY.FORMAT_2,0)),'DICTIONARY-5'!$A$2))</f>
        <v/>
      </c>
      <c r="L2216" s="670" t="str">
        <f>IFERROR(IF(CURRENCY.FORMAT_1=0,CONCATENATE(TEXT(FIXED(ROUND((C2216*(1-I2216)*(1-ADD.DISCOUNT)*(1+MAT.SURCHARGE)/EXC.RATE_1),CURRENCY.FORMAT_1),CURRENCY.FORMAT_1,1),"# ##0;-# ##0"),",-"),FIXED(ROUND((C2216*(1-I2216)*(1-ADD.DISCOUNT)*(1+MAT.SURCHARGE)/EXC.RATE_1),CURRENCY.FORMAT_1),CURRENCY.FORMAT_1,0)),'DICTIONARY-5'!$A$2)</f>
        <v>575,-</v>
      </c>
      <c r="M2216" s="670" t="str">
        <f>IF(EXC.RATE_2=0,"",IFERROR(IF(CURRENCY.FORMAT_2=0,CONCATENATE(TEXT(FIXED(ROUND(IF(EXC.RATE.SWITCH=1,C2216*(1-I2216)*(1-ADD.DISCOUNT)*(1+MAT.SURCHARGE)/EXC.RATE_2,C2216*(1-I2216)*(1-ADD.DISCOUNT)*(1+MAT.SURCHARGE)*EXC.RATE_2),CURRENCY.FORMAT_2),CURRENCY.FORMAT_2,1),"# ##0;-# ##0"),",-"),FIXED(ROUND(IF(EXC.RATE.SWITCH=1,C2216*(1-I2216)*(1-ADD.DISCOUNT)*(1+MAT.SURCHARGE)/EXC.RATE_2,C2216*(1-I2216)*(1-ADD.DISCOUNT)*(1+MAT.SURCHARGE)*EXC.RATE_2),CURRENCY.FORMAT_2),CURRENCY.FORMAT_2,0)),'DICTIONARY-5'!$A$2))</f>
        <v/>
      </c>
      <c r="N2216" s="538">
        <v>10</v>
      </c>
      <c r="O2216" s="538"/>
      <c r="P2216" s="731" t="str">
        <f>'DICTIONARY-3'!$A$124</f>
        <v>VARIplus-DJ</v>
      </c>
      <c r="Q2216" s="732" t="str">
        <f>'DICTIONARY-3'!$A$214</f>
        <v>Wstawka montażowa</v>
      </c>
      <c r="R2216" s="732" t="str">
        <f>CONCATENATE('DICTIONARY-3'!$A$124," ",'DICTIONARY-6'!$A$15," ",'DICTIONARY-2'!$A$2,"250"," ",'DICTIONARY-2'!$A$3,"16"," ",'DICTIONARY-2'!$A$24,"=","175-215",'DICTIONARY-2'!$A$17,," ",'DICTIONARY-6'!$A$34)</f>
        <v>VARIplus-DJ Wstawka mont. DN250 PN16 L=175-215mm śr.stal węglowa</v>
      </c>
      <c r="S2216" s="733" t="s">
        <v>5569</v>
      </c>
      <c r="T2216" s="732" t="s">
        <v>5569</v>
      </c>
      <c r="U2216" s="734" t="s">
        <v>5751</v>
      </c>
      <c r="V2216" s="735">
        <v>16</v>
      </c>
      <c r="W2216" s="736"/>
      <c r="X2216" s="737"/>
      <c r="Y2216" s="738"/>
      <c r="Z2216" s="739"/>
      <c r="AA2216" s="739"/>
      <c r="AB2216" s="740">
        <v>16</v>
      </c>
      <c r="AC2216" s="741" t="s">
        <v>5712</v>
      </c>
      <c r="AD2216" s="741" t="str">
        <f>'DICTIONARY-5'!$A$13</f>
        <v>woda pitna</v>
      </c>
      <c r="AE2216" s="742">
        <v>90</v>
      </c>
      <c r="AF2216" s="743">
        <v>38.83</v>
      </c>
      <c r="AG2216" s="741" t="str">
        <f>'DICTIONARY-5'!$A$23</f>
        <v>powłoka epoksydowa</v>
      </c>
    </row>
    <row r="2217" spans="1:33" x14ac:dyDescent="0.25">
      <c r="A2217" s="872" t="s">
        <v>2034</v>
      </c>
      <c r="B2217" s="872" t="s">
        <v>3617</v>
      </c>
      <c r="C2217" s="836">
        <v>631</v>
      </c>
      <c r="D2217" s="836"/>
      <c r="E2217" s="836"/>
      <c r="F2217" s="836"/>
      <c r="G2217" s="496" t="s">
        <v>7843</v>
      </c>
      <c r="H2217" s="797" t="str">
        <f>VLOOKUP(G2217,SETTINGS!$B$7:$D$97,2,0)</f>
        <v>VARIplus</v>
      </c>
      <c r="I2217" s="796">
        <f>VLOOKUP(G2217,SETTINGS!$B$7:$D$97,3,0)</f>
        <v>0</v>
      </c>
      <c r="J2217" s="670" t="str">
        <f>IFERROR(IF(CURRENCY.FORMAT_1=0,CONCATENATE(TEXT(FIXED(ROUND((C2217/EXC.RATE_1),CURRENCY.FORMAT_1),CURRENCY.FORMAT_1,1),"# ##0;-# ##0"),",-"),FIXED(ROUND((C2217/EXC.RATE_1),CURRENCY.FORMAT_1),CURRENCY.FORMAT_1,0)),'DICTIONARY-5'!$A$2)</f>
        <v>631,-</v>
      </c>
      <c r="K2217" s="670" t="str">
        <f>IF(EXC.RATE_2=0,"",IFERROR(IF(CURRENCY.FORMAT_2=0,CONCATENATE(TEXT(FIXED(ROUND(IF(EXC.RATE.SWITCH=1,C2217/EXC.RATE_2,C2217*EXC.RATE_2),CURRENCY.FORMAT_2),CURRENCY.FORMAT_2,1),"# ##0;-# ##0"),",-"),FIXED(ROUND(IF(EXC.RATE.SWITCH=1,C2217/EXC.RATE_2,C2217*EXC.RATE_2),CURRENCY.FORMAT_2),CURRENCY.FORMAT_2,0)),'DICTIONARY-5'!$A$2))</f>
        <v/>
      </c>
      <c r="L2217" s="670" t="str">
        <f>IFERROR(IF(CURRENCY.FORMAT_1=0,CONCATENATE(TEXT(FIXED(ROUND((C2217*(1-I2217)*(1-ADD.DISCOUNT)*(1+MAT.SURCHARGE)/EXC.RATE_1),CURRENCY.FORMAT_1),CURRENCY.FORMAT_1,1),"# ##0;-# ##0"),",-"),FIXED(ROUND((C2217*(1-I2217)*(1-ADD.DISCOUNT)*(1+MAT.SURCHARGE)/EXC.RATE_1),CURRENCY.FORMAT_1),CURRENCY.FORMAT_1,0)),'DICTIONARY-5'!$A$2)</f>
        <v>656,-</v>
      </c>
      <c r="M2217" s="670" t="str">
        <f>IF(EXC.RATE_2=0,"",IFERROR(IF(CURRENCY.FORMAT_2=0,CONCATENATE(TEXT(FIXED(ROUND(IF(EXC.RATE.SWITCH=1,C2217*(1-I2217)*(1-ADD.DISCOUNT)*(1+MAT.SURCHARGE)/EXC.RATE_2,C2217*(1-I2217)*(1-ADD.DISCOUNT)*(1+MAT.SURCHARGE)*EXC.RATE_2),CURRENCY.FORMAT_2),CURRENCY.FORMAT_2,1),"# ##0;-# ##0"),",-"),FIXED(ROUND(IF(EXC.RATE.SWITCH=1,C2217*(1-I2217)*(1-ADD.DISCOUNT)*(1+MAT.SURCHARGE)/EXC.RATE_2,C2217*(1-I2217)*(1-ADD.DISCOUNT)*(1+MAT.SURCHARGE)*EXC.RATE_2),CURRENCY.FORMAT_2),CURRENCY.FORMAT_2,0)),'DICTIONARY-5'!$A$2))</f>
        <v/>
      </c>
      <c r="N2217" s="538">
        <v>10</v>
      </c>
      <c r="O2217" s="538"/>
      <c r="P2217" s="731" t="str">
        <f>'DICTIONARY-3'!$A$124</f>
        <v>VARIplus-DJ</v>
      </c>
      <c r="Q2217" s="732" t="str">
        <f>'DICTIONARY-3'!$A$214</f>
        <v>Wstawka montażowa</v>
      </c>
      <c r="R2217" s="732" t="str">
        <f>CONCATENATE('DICTIONARY-3'!$A$124," ",'DICTIONARY-6'!$A$15," ",'DICTIONARY-2'!$A$2,"300"," ",'DICTIONARY-2'!$A$3,"16"," ",'DICTIONARY-2'!$A$24,"=","175-215",'DICTIONARY-2'!$A$17,," ",'DICTIONARY-6'!$A$34)</f>
        <v>VARIplus-DJ Wstawka mont. DN300 PN16 L=175-215mm śr.stal węglowa</v>
      </c>
      <c r="S2217" s="733" t="s">
        <v>5569</v>
      </c>
      <c r="T2217" s="732" t="s">
        <v>5569</v>
      </c>
      <c r="U2217" s="734" t="s">
        <v>5752</v>
      </c>
      <c r="V2217" s="735">
        <v>16</v>
      </c>
      <c r="W2217" s="736"/>
      <c r="X2217" s="737"/>
      <c r="Y2217" s="738"/>
      <c r="Z2217" s="739"/>
      <c r="AA2217" s="739"/>
      <c r="AB2217" s="740">
        <v>16</v>
      </c>
      <c r="AC2217" s="741" t="s">
        <v>5712</v>
      </c>
      <c r="AD2217" s="741" t="str">
        <f>'DICTIONARY-5'!$A$13</f>
        <v>woda pitna</v>
      </c>
      <c r="AE2217" s="742">
        <v>90</v>
      </c>
      <c r="AF2217" s="743">
        <v>40</v>
      </c>
      <c r="AG2217" s="741" t="str">
        <f>'DICTIONARY-5'!$A$23</f>
        <v>powłoka epoksydowa</v>
      </c>
    </row>
    <row r="2218" spans="1:33" x14ac:dyDescent="0.25">
      <c r="A2218" s="872" t="s">
        <v>2037</v>
      </c>
      <c r="B2218" s="872" t="s">
        <v>3621</v>
      </c>
      <c r="C2218" s="836">
        <v>834</v>
      </c>
      <c r="D2218" s="836"/>
      <c r="E2218" s="836"/>
      <c r="F2218" s="836"/>
      <c r="G2218" s="496" t="s">
        <v>7843</v>
      </c>
      <c r="H2218" s="797" t="str">
        <f>VLOOKUP(G2218,SETTINGS!$B$7:$D$97,2,0)</f>
        <v>VARIplus</v>
      </c>
      <c r="I2218" s="796">
        <f>VLOOKUP(G2218,SETTINGS!$B$7:$D$97,3,0)</f>
        <v>0</v>
      </c>
      <c r="J2218" s="670" t="str">
        <f>IFERROR(IF(CURRENCY.FORMAT_1=0,CONCATENATE(TEXT(FIXED(ROUND((C2218/EXC.RATE_1),CURRENCY.FORMAT_1),CURRENCY.FORMAT_1,1),"# ##0;-# ##0"),",-"),FIXED(ROUND((C2218/EXC.RATE_1),CURRENCY.FORMAT_1),CURRENCY.FORMAT_1,0)),'DICTIONARY-5'!$A$2)</f>
        <v>834,-</v>
      </c>
      <c r="K2218" s="670" t="str">
        <f>IF(EXC.RATE_2=0,"",IFERROR(IF(CURRENCY.FORMAT_2=0,CONCATENATE(TEXT(FIXED(ROUND(IF(EXC.RATE.SWITCH=1,C2218/EXC.RATE_2,C2218*EXC.RATE_2),CURRENCY.FORMAT_2),CURRENCY.FORMAT_2,1),"# ##0;-# ##0"),",-"),FIXED(ROUND(IF(EXC.RATE.SWITCH=1,C2218/EXC.RATE_2,C2218*EXC.RATE_2),CURRENCY.FORMAT_2),CURRENCY.FORMAT_2,0)),'DICTIONARY-5'!$A$2))</f>
        <v/>
      </c>
      <c r="L2218" s="670" t="str">
        <f>IFERROR(IF(CURRENCY.FORMAT_1=0,CONCATENATE(TEXT(FIXED(ROUND((C2218*(1-I2218)*(1-ADD.DISCOUNT)*(1+MAT.SURCHARGE)/EXC.RATE_1),CURRENCY.FORMAT_1),CURRENCY.FORMAT_1,1),"# ##0;-# ##0"),",-"),FIXED(ROUND((C2218*(1-I2218)*(1-ADD.DISCOUNT)*(1+MAT.SURCHARGE)/EXC.RATE_1),CURRENCY.FORMAT_1),CURRENCY.FORMAT_1,0)),'DICTIONARY-5'!$A$2)</f>
        <v>867,-</v>
      </c>
      <c r="M2218" s="670" t="str">
        <f>IF(EXC.RATE_2=0,"",IFERROR(IF(CURRENCY.FORMAT_2=0,CONCATENATE(TEXT(FIXED(ROUND(IF(EXC.RATE.SWITCH=1,C2218*(1-I2218)*(1-ADD.DISCOUNT)*(1+MAT.SURCHARGE)/EXC.RATE_2,C2218*(1-I2218)*(1-ADD.DISCOUNT)*(1+MAT.SURCHARGE)*EXC.RATE_2),CURRENCY.FORMAT_2),CURRENCY.FORMAT_2,1),"# ##0;-# ##0"),",-"),FIXED(ROUND(IF(EXC.RATE.SWITCH=1,C2218*(1-I2218)*(1-ADD.DISCOUNT)*(1+MAT.SURCHARGE)/EXC.RATE_2,C2218*(1-I2218)*(1-ADD.DISCOUNT)*(1+MAT.SURCHARGE)*EXC.RATE_2),CURRENCY.FORMAT_2),CURRENCY.FORMAT_2,0)),'DICTIONARY-5'!$A$2))</f>
        <v/>
      </c>
      <c r="N2218" s="538">
        <v>10</v>
      </c>
      <c r="O2218" s="538"/>
      <c r="P2218" s="731" t="str">
        <f>'DICTIONARY-3'!$A$124</f>
        <v>VARIplus-DJ</v>
      </c>
      <c r="Q2218" s="732" t="str">
        <f>'DICTIONARY-3'!$A$214</f>
        <v>Wstawka montażowa</v>
      </c>
      <c r="R2218" s="732" t="str">
        <f>CONCATENATE('DICTIONARY-3'!$A$124," ",'DICTIONARY-6'!$A$15," ",'DICTIONARY-2'!$A$2,"350"," ",'DICTIONARY-2'!$A$3,"16"," ",'DICTIONARY-2'!$A$24,"=","250-300",'DICTIONARY-2'!$A$17,," ",'DICTIONARY-6'!$A$34)</f>
        <v>VARIplus-DJ Wstawka mont. DN350 PN16 L=250-300mm śr.stal węglowa</v>
      </c>
      <c r="S2218" s="733" t="s">
        <v>5569</v>
      </c>
      <c r="T2218" s="732" t="s">
        <v>5569</v>
      </c>
      <c r="U2218" s="734" t="s">
        <v>5753</v>
      </c>
      <c r="V2218" s="735">
        <v>16</v>
      </c>
      <c r="W2218" s="736"/>
      <c r="X2218" s="737"/>
      <c r="Y2218" s="738"/>
      <c r="Z2218" s="739"/>
      <c r="AA2218" s="739"/>
      <c r="AB2218" s="740">
        <v>16</v>
      </c>
      <c r="AC2218" s="741" t="s">
        <v>5713</v>
      </c>
      <c r="AD2218" s="741" t="str">
        <f>'DICTIONARY-5'!$A$13</f>
        <v>woda pitna</v>
      </c>
      <c r="AE2218" s="742">
        <v>90</v>
      </c>
      <c r="AF2218" s="743">
        <v>53.5</v>
      </c>
      <c r="AG2218" s="741" t="str">
        <f>'DICTIONARY-5'!$A$23</f>
        <v>powłoka epoksydowa</v>
      </c>
    </row>
    <row r="2219" spans="1:33" x14ac:dyDescent="0.25">
      <c r="A2219" s="872" t="s">
        <v>2039</v>
      </c>
      <c r="B2219" s="872" t="s">
        <v>3625</v>
      </c>
      <c r="C2219" s="836">
        <v>1086</v>
      </c>
      <c r="D2219" s="836"/>
      <c r="E2219" s="836"/>
      <c r="F2219" s="836"/>
      <c r="G2219" s="496" t="s">
        <v>7843</v>
      </c>
      <c r="H2219" s="797" t="str">
        <f>VLOOKUP(G2219,SETTINGS!$B$7:$D$97,2,0)</f>
        <v>VARIplus</v>
      </c>
      <c r="I2219" s="796">
        <f>VLOOKUP(G2219,SETTINGS!$B$7:$D$97,3,0)</f>
        <v>0</v>
      </c>
      <c r="J2219" s="670" t="str">
        <f>IFERROR(IF(CURRENCY.FORMAT_1=0,CONCATENATE(TEXT(FIXED(ROUND((C2219/EXC.RATE_1),CURRENCY.FORMAT_1),CURRENCY.FORMAT_1,1),"# ##0;-# ##0"),",-"),FIXED(ROUND((C2219/EXC.RATE_1),CURRENCY.FORMAT_1),CURRENCY.FORMAT_1,0)),'DICTIONARY-5'!$A$2)</f>
        <v>1 086,-</v>
      </c>
      <c r="K2219" s="670" t="str">
        <f>IF(EXC.RATE_2=0,"",IFERROR(IF(CURRENCY.FORMAT_2=0,CONCATENATE(TEXT(FIXED(ROUND(IF(EXC.RATE.SWITCH=1,C2219/EXC.RATE_2,C2219*EXC.RATE_2),CURRENCY.FORMAT_2),CURRENCY.FORMAT_2,1),"# ##0;-# ##0"),",-"),FIXED(ROUND(IF(EXC.RATE.SWITCH=1,C2219/EXC.RATE_2,C2219*EXC.RATE_2),CURRENCY.FORMAT_2),CURRENCY.FORMAT_2,0)),'DICTIONARY-5'!$A$2))</f>
        <v/>
      </c>
      <c r="L2219" s="670" t="str">
        <f>IFERROR(IF(CURRENCY.FORMAT_1=0,CONCATENATE(TEXT(FIXED(ROUND((C2219*(1-I2219)*(1-ADD.DISCOUNT)*(1+MAT.SURCHARGE)/EXC.RATE_1),CURRENCY.FORMAT_1),CURRENCY.FORMAT_1,1),"# ##0;-# ##0"),",-"),FIXED(ROUND((C2219*(1-I2219)*(1-ADD.DISCOUNT)*(1+MAT.SURCHARGE)/EXC.RATE_1),CURRENCY.FORMAT_1),CURRENCY.FORMAT_1,0)),'DICTIONARY-5'!$A$2)</f>
        <v>1 128,-</v>
      </c>
      <c r="M2219" s="670" t="str">
        <f>IF(EXC.RATE_2=0,"",IFERROR(IF(CURRENCY.FORMAT_2=0,CONCATENATE(TEXT(FIXED(ROUND(IF(EXC.RATE.SWITCH=1,C2219*(1-I2219)*(1-ADD.DISCOUNT)*(1+MAT.SURCHARGE)/EXC.RATE_2,C2219*(1-I2219)*(1-ADD.DISCOUNT)*(1+MAT.SURCHARGE)*EXC.RATE_2),CURRENCY.FORMAT_2),CURRENCY.FORMAT_2,1),"# ##0;-# ##0"),",-"),FIXED(ROUND(IF(EXC.RATE.SWITCH=1,C2219*(1-I2219)*(1-ADD.DISCOUNT)*(1+MAT.SURCHARGE)/EXC.RATE_2,C2219*(1-I2219)*(1-ADD.DISCOUNT)*(1+MAT.SURCHARGE)*EXC.RATE_2),CURRENCY.FORMAT_2),CURRENCY.FORMAT_2,0)),'DICTIONARY-5'!$A$2))</f>
        <v/>
      </c>
      <c r="N2219" s="538">
        <v>10</v>
      </c>
      <c r="O2219" s="538"/>
      <c r="P2219" s="731" t="str">
        <f>'DICTIONARY-3'!$A$124</f>
        <v>VARIplus-DJ</v>
      </c>
      <c r="Q2219" s="732" t="str">
        <f>'DICTIONARY-3'!$A$214</f>
        <v>Wstawka montażowa</v>
      </c>
      <c r="R2219" s="732" t="str">
        <f>CONCATENATE('DICTIONARY-3'!$A$124," ",'DICTIONARY-6'!$A$15," ",'DICTIONARY-2'!$A$2,"400"," ",'DICTIONARY-2'!$A$3,"16"," ",'DICTIONARY-2'!$A$24,"=","250-300",'DICTIONARY-2'!$A$17,," ",'DICTIONARY-6'!$A$34)</f>
        <v>VARIplus-DJ Wstawka mont. DN400 PN16 L=250-300mm śr.stal węglowa</v>
      </c>
      <c r="S2219" s="733" t="s">
        <v>5569</v>
      </c>
      <c r="T2219" s="732" t="s">
        <v>5569</v>
      </c>
      <c r="U2219" s="734" t="s">
        <v>5754</v>
      </c>
      <c r="V2219" s="735">
        <v>16</v>
      </c>
      <c r="W2219" s="736"/>
      <c r="X2219" s="737"/>
      <c r="Y2219" s="738"/>
      <c r="Z2219" s="739"/>
      <c r="AA2219" s="739"/>
      <c r="AB2219" s="740">
        <v>16</v>
      </c>
      <c r="AC2219" s="741" t="s">
        <v>5713</v>
      </c>
      <c r="AD2219" s="741" t="str">
        <f>'DICTIONARY-5'!$A$13</f>
        <v>woda pitna</v>
      </c>
      <c r="AE2219" s="742">
        <v>90</v>
      </c>
      <c r="AF2219" s="743">
        <v>82.9</v>
      </c>
      <c r="AG2219" s="741" t="str">
        <f>'DICTIONARY-5'!$A$23</f>
        <v>powłoka epoksydowa</v>
      </c>
    </row>
    <row r="2220" spans="1:33" x14ac:dyDescent="0.25">
      <c r="A2220" s="872" t="s">
        <v>2041</v>
      </c>
      <c r="B2220" s="872" t="s">
        <v>3629</v>
      </c>
      <c r="C2220" s="836">
        <v>1325</v>
      </c>
      <c r="D2220" s="836"/>
      <c r="E2220" s="836"/>
      <c r="F2220" s="836"/>
      <c r="G2220" s="496" t="s">
        <v>7843</v>
      </c>
      <c r="H2220" s="797" t="str">
        <f>VLOOKUP(G2220,SETTINGS!$B$7:$D$97,2,0)</f>
        <v>VARIplus</v>
      </c>
      <c r="I2220" s="796">
        <f>VLOOKUP(G2220,SETTINGS!$B$7:$D$97,3,0)</f>
        <v>0</v>
      </c>
      <c r="J2220" s="670" t="str">
        <f>IFERROR(IF(CURRENCY.FORMAT_1=0,CONCATENATE(TEXT(FIXED(ROUND((C2220/EXC.RATE_1),CURRENCY.FORMAT_1),CURRENCY.FORMAT_1,1),"# ##0;-# ##0"),",-"),FIXED(ROUND((C2220/EXC.RATE_1),CURRENCY.FORMAT_1),CURRENCY.FORMAT_1,0)),'DICTIONARY-5'!$A$2)</f>
        <v>1 325,-</v>
      </c>
      <c r="K2220" s="670" t="str">
        <f>IF(EXC.RATE_2=0,"",IFERROR(IF(CURRENCY.FORMAT_2=0,CONCATENATE(TEXT(FIXED(ROUND(IF(EXC.RATE.SWITCH=1,C2220/EXC.RATE_2,C2220*EXC.RATE_2),CURRENCY.FORMAT_2),CURRENCY.FORMAT_2,1),"# ##0;-# ##0"),",-"),FIXED(ROUND(IF(EXC.RATE.SWITCH=1,C2220/EXC.RATE_2,C2220*EXC.RATE_2),CURRENCY.FORMAT_2),CURRENCY.FORMAT_2,0)),'DICTIONARY-5'!$A$2))</f>
        <v/>
      </c>
      <c r="L2220" s="670" t="str">
        <f>IFERROR(IF(CURRENCY.FORMAT_1=0,CONCATENATE(TEXT(FIXED(ROUND((C2220*(1-I2220)*(1-ADD.DISCOUNT)*(1+MAT.SURCHARGE)/EXC.RATE_1),CURRENCY.FORMAT_1),CURRENCY.FORMAT_1,1),"# ##0;-# ##0"),",-"),FIXED(ROUND((C2220*(1-I2220)*(1-ADD.DISCOUNT)*(1+MAT.SURCHARGE)/EXC.RATE_1),CURRENCY.FORMAT_1),CURRENCY.FORMAT_1,0)),'DICTIONARY-5'!$A$2)</f>
        <v>1 377,-</v>
      </c>
      <c r="M2220" s="670" t="str">
        <f>IF(EXC.RATE_2=0,"",IFERROR(IF(CURRENCY.FORMAT_2=0,CONCATENATE(TEXT(FIXED(ROUND(IF(EXC.RATE.SWITCH=1,C2220*(1-I2220)*(1-ADD.DISCOUNT)*(1+MAT.SURCHARGE)/EXC.RATE_2,C2220*(1-I2220)*(1-ADD.DISCOUNT)*(1+MAT.SURCHARGE)*EXC.RATE_2),CURRENCY.FORMAT_2),CURRENCY.FORMAT_2,1),"# ##0;-# ##0"),",-"),FIXED(ROUND(IF(EXC.RATE.SWITCH=1,C2220*(1-I2220)*(1-ADD.DISCOUNT)*(1+MAT.SURCHARGE)/EXC.RATE_2,C2220*(1-I2220)*(1-ADD.DISCOUNT)*(1+MAT.SURCHARGE)*EXC.RATE_2),CURRENCY.FORMAT_2),CURRENCY.FORMAT_2,0)),'DICTIONARY-5'!$A$2))</f>
        <v/>
      </c>
      <c r="N2220" s="538">
        <v>10</v>
      </c>
      <c r="O2220" s="538"/>
      <c r="P2220" s="731" t="str">
        <f>'DICTIONARY-3'!$A$124</f>
        <v>VARIplus-DJ</v>
      </c>
      <c r="Q2220" s="732" t="str">
        <f>'DICTIONARY-3'!$A$214</f>
        <v>Wstawka montażowa</v>
      </c>
      <c r="R2220" s="732" t="str">
        <f>CONCATENATE('DICTIONARY-3'!$A$124," ",'DICTIONARY-6'!$A$15," ",'DICTIONARY-2'!$A$2,"450"," ",'DICTIONARY-2'!$A$3,"16"," ",'DICTIONARY-2'!$A$24,"=","250-300",'DICTIONARY-2'!$A$17,," ",'DICTIONARY-6'!$A$34)</f>
        <v>VARIplus-DJ Wstawka mont. DN450 PN16 L=250-300mm śr.stal węglowa</v>
      </c>
      <c r="S2220" s="733" t="s">
        <v>5569</v>
      </c>
      <c r="T2220" s="732" t="s">
        <v>5569</v>
      </c>
      <c r="U2220" s="734" t="s">
        <v>5755</v>
      </c>
      <c r="V2220" s="735">
        <v>16</v>
      </c>
      <c r="W2220" s="736"/>
      <c r="X2220" s="737"/>
      <c r="Y2220" s="738"/>
      <c r="Z2220" s="739"/>
      <c r="AA2220" s="739"/>
      <c r="AB2220" s="740">
        <v>16</v>
      </c>
      <c r="AC2220" s="741" t="s">
        <v>5713</v>
      </c>
      <c r="AD2220" s="741" t="str">
        <f>'DICTIONARY-5'!$A$13</f>
        <v>woda pitna</v>
      </c>
      <c r="AE2220" s="742">
        <v>90</v>
      </c>
      <c r="AF2220" s="743">
        <v>100.9</v>
      </c>
      <c r="AG2220" s="741" t="str">
        <f>'DICTIONARY-5'!$A$23</f>
        <v>powłoka epoksydowa</v>
      </c>
    </row>
    <row r="2221" spans="1:33" x14ac:dyDescent="0.25">
      <c r="A2221" s="872" t="s">
        <v>2043</v>
      </c>
      <c r="B2221" s="872" t="s">
        <v>3633</v>
      </c>
      <c r="C2221" s="836">
        <v>1785</v>
      </c>
      <c r="D2221" s="836"/>
      <c r="E2221" s="836"/>
      <c r="F2221" s="836"/>
      <c r="G2221" s="496" t="s">
        <v>7843</v>
      </c>
      <c r="H2221" s="797" t="str">
        <f>VLOOKUP(G2221,SETTINGS!$B$7:$D$97,2,0)</f>
        <v>VARIplus</v>
      </c>
      <c r="I2221" s="796">
        <f>VLOOKUP(G2221,SETTINGS!$B$7:$D$97,3,0)</f>
        <v>0</v>
      </c>
      <c r="J2221" s="670" t="str">
        <f>IFERROR(IF(CURRENCY.FORMAT_1=0,CONCATENATE(TEXT(FIXED(ROUND((C2221/EXC.RATE_1),CURRENCY.FORMAT_1),CURRENCY.FORMAT_1,1),"# ##0;-# ##0"),",-"),FIXED(ROUND((C2221/EXC.RATE_1),CURRENCY.FORMAT_1),CURRENCY.FORMAT_1,0)),'DICTIONARY-5'!$A$2)</f>
        <v>1 785,-</v>
      </c>
      <c r="K2221" s="670" t="str">
        <f>IF(EXC.RATE_2=0,"",IFERROR(IF(CURRENCY.FORMAT_2=0,CONCATENATE(TEXT(FIXED(ROUND(IF(EXC.RATE.SWITCH=1,C2221/EXC.RATE_2,C2221*EXC.RATE_2),CURRENCY.FORMAT_2),CURRENCY.FORMAT_2,1),"# ##0;-# ##0"),",-"),FIXED(ROUND(IF(EXC.RATE.SWITCH=1,C2221/EXC.RATE_2,C2221*EXC.RATE_2),CURRENCY.FORMAT_2),CURRENCY.FORMAT_2,0)),'DICTIONARY-5'!$A$2))</f>
        <v/>
      </c>
      <c r="L2221" s="670" t="str">
        <f>IFERROR(IF(CURRENCY.FORMAT_1=0,CONCATENATE(TEXT(FIXED(ROUND((C2221*(1-I2221)*(1-ADD.DISCOUNT)*(1+MAT.SURCHARGE)/EXC.RATE_1),CURRENCY.FORMAT_1),CURRENCY.FORMAT_1,1),"# ##0;-# ##0"),",-"),FIXED(ROUND((C2221*(1-I2221)*(1-ADD.DISCOUNT)*(1+MAT.SURCHARGE)/EXC.RATE_1),CURRENCY.FORMAT_1),CURRENCY.FORMAT_1,0)),'DICTIONARY-5'!$A$2)</f>
        <v>1 855,-</v>
      </c>
      <c r="M2221" s="670" t="str">
        <f>IF(EXC.RATE_2=0,"",IFERROR(IF(CURRENCY.FORMAT_2=0,CONCATENATE(TEXT(FIXED(ROUND(IF(EXC.RATE.SWITCH=1,C2221*(1-I2221)*(1-ADD.DISCOUNT)*(1+MAT.SURCHARGE)/EXC.RATE_2,C2221*(1-I2221)*(1-ADD.DISCOUNT)*(1+MAT.SURCHARGE)*EXC.RATE_2),CURRENCY.FORMAT_2),CURRENCY.FORMAT_2,1),"# ##0;-# ##0"),",-"),FIXED(ROUND(IF(EXC.RATE.SWITCH=1,C2221*(1-I2221)*(1-ADD.DISCOUNT)*(1+MAT.SURCHARGE)/EXC.RATE_2,C2221*(1-I2221)*(1-ADD.DISCOUNT)*(1+MAT.SURCHARGE)*EXC.RATE_2),CURRENCY.FORMAT_2),CURRENCY.FORMAT_2,0)),'DICTIONARY-5'!$A$2))</f>
        <v/>
      </c>
      <c r="N2221" s="538">
        <v>10</v>
      </c>
      <c r="O2221" s="538"/>
      <c r="P2221" s="731" t="str">
        <f>'DICTIONARY-3'!$A$124</f>
        <v>VARIplus-DJ</v>
      </c>
      <c r="Q2221" s="732" t="str">
        <f>'DICTIONARY-3'!$A$214</f>
        <v>Wstawka montażowa</v>
      </c>
      <c r="R2221" s="732" t="str">
        <f>CONCATENATE('DICTIONARY-3'!$A$124," ",'DICTIONARY-6'!$A$15," ",'DICTIONARY-2'!$A$2,"500"," ",'DICTIONARY-2'!$A$3,"16"," ",'DICTIONARY-2'!$A$24,"=","250-300",'DICTIONARY-2'!$A$17,," ",'DICTIONARY-6'!$A$34)</f>
        <v>VARIplus-DJ Wstawka mont. DN500 PN16 L=250-300mm śr.stal węglowa</v>
      </c>
      <c r="S2221" s="733" t="s">
        <v>5569</v>
      </c>
      <c r="T2221" s="732" t="s">
        <v>5569</v>
      </c>
      <c r="U2221" s="734" t="s">
        <v>5756</v>
      </c>
      <c r="V2221" s="735">
        <v>16</v>
      </c>
      <c r="W2221" s="736"/>
      <c r="X2221" s="737"/>
      <c r="Y2221" s="738"/>
      <c r="Z2221" s="739"/>
      <c r="AA2221" s="739"/>
      <c r="AB2221" s="740">
        <v>16</v>
      </c>
      <c r="AC2221" s="741" t="s">
        <v>5713</v>
      </c>
      <c r="AD2221" s="741" t="str">
        <f>'DICTIONARY-5'!$A$13</f>
        <v>woda pitna</v>
      </c>
      <c r="AE2221" s="742">
        <v>90</v>
      </c>
      <c r="AF2221" s="743">
        <v>119.68</v>
      </c>
      <c r="AG2221" s="741" t="str">
        <f>'DICTIONARY-5'!$A$23</f>
        <v>powłoka epoksydowa</v>
      </c>
    </row>
    <row r="2222" spans="1:33" x14ac:dyDescent="0.25">
      <c r="A2222" s="872" t="s">
        <v>2045</v>
      </c>
      <c r="B2222" s="872" t="s">
        <v>3637</v>
      </c>
      <c r="C2222" s="836">
        <v>1699</v>
      </c>
      <c r="D2222" s="836"/>
      <c r="E2222" s="836"/>
      <c r="F2222" s="836"/>
      <c r="G2222" s="496" t="s">
        <v>7843</v>
      </c>
      <c r="H2222" s="797" t="str">
        <f>VLOOKUP(G2222,SETTINGS!$B$7:$D$97,2,0)</f>
        <v>VARIplus</v>
      </c>
      <c r="I2222" s="796">
        <f>VLOOKUP(G2222,SETTINGS!$B$7:$D$97,3,0)</f>
        <v>0</v>
      </c>
      <c r="J2222" s="670" t="str">
        <f>IFERROR(IF(CURRENCY.FORMAT_1=0,CONCATENATE(TEXT(FIXED(ROUND((C2222/EXC.RATE_1),CURRENCY.FORMAT_1),CURRENCY.FORMAT_1,1),"# ##0;-# ##0"),",-"),FIXED(ROUND((C2222/EXC.RATE_1),CURRENCY.FORMAT_1),CURRENCY.FORMAT_1,0)),'DICTIONARY-5'!$A$2)</f>
        <v>1 699,-</v>
      </c>
      <c r="K2222" s="670" t="str">
        <f>IF(EXC.RATE_2=0,"",IFERROR(IF(CURRENCY.FORMAT_2=0,CONCATENATE(TEXT(FIXED(ROUND(IF(EXC.RATE.SWITCH=1,C2222/EXC.RATE_2,C2222*EXC.RATE_2),CURRENCY.FORMAT_2),CURRENCY.FORMAT_2,1),"# ##0;-# ##0"),",-"),FIXED(ROUND(IF(EXC.RATE.SWITCH=1,C2222/EXC.RATE_2,C2222*EXC.RATE_2),CURRENCY.FORMAT_2),CURRENCY.FORMAT_2,0)),'DICTIONARY-5'!$A$2))</f>
        <v/>
      </c>
      <c r="L2222" s="670" t="str">
        <f>IFERROR(IF(CURRENCY.FORMAT_1=0,CONCATENATE(TEXT(FIXED(ROUND((C2222*(1-I2222)*(1-ADD.DISCOUNT)*(1+MAT.SURCHARGE)/EXC.RATE_1),CURRENCY.FORMAT_1),CURRENCY.FORMAT_1,1),"# ##0;-# ##0"),",-"),FIXED(ROUND((C2222*(1-I2222)*(1-ADD.DISCOUNT)*(1+MAT.SURCHARGE)/EXC.RATE_1),CURRENCY.FORMAT_1),CURRENCY.FORMAT_1,0)),'DICTIONARY-5'!$A$2)</f>
        <v>1 765,-</v>
      </c>
      <c r="M2222" s="670" t="str">
        <f>IF(EXC.RATE_2=0,"",IFERROR(IF(CURRENCY.FORMAT_2=0,CONCATENATE(TEXT(FIXED(ROUND(IF(EXC.RATE.SWITCH=1,C2222*(1-I2222)*(1-ADD.DISCOUNT)*(1+MAT.SURCHARGE)/EXC.RATE_2,C2222*(1-I2222)*(1-ADD.DISCOUNT)*(1+MAT.SURCHARGE)*EXC.RATE_2),CURRENCY.FORMAT_2),CURRENCY.FORMAT_2,1),"# ##0;-# ##0"),",-"),FIXED(ROUND(IF(EXC.RATE.SWITCH=1,C2222*(1-I2222)*(1-ADD.DISCOUNT)*(1+MAT.SURCHARGE)/EXC.RATE_2,C2222*(1-I2222)*(1-ADD.DISCOUNT)*(1+MAT.SURCHARGE)*EXC.RATE_2),CURRENCY.FORMAT_2),CURRENCY.FORMAT_2,0)),'DICTIONARY-5'!$A$2))</f>
        <v/>
      </c>
      <c r="N2222" s="538">
        <v>10</v>
      </c>
      <c r="O2222" s="538"/>
      <c r="P2222" s="731" t="str">
        <f>'DICTIONARY-3'!$A$124</f>
        <v>VARIplus-DJ</v>
      </c>
      <c r="Q2222" s="732" t="str">
        <f>'DICTIONARY-3'!$A$214</f>
        <v>Wstawka montażowa</v>
      </c>
      <c r="R2222" s="732" t="str">
        <f>CONCATENATE('DICTIONARY-3'!$A$124," ",'DICTIONARY-6'!$A$15," ",'DICTIONARY-2'!$A$2,"600"," ",'DICTIONARY-2'!$A$3,"16"," ",'DICTIONARY-2'!$A$24,"=","250-300",'DICTIONARY-2'!$A$17,," ",'DICTIONARY-6'!$A$34)</f>
        <v>VARIplus-DJ Wstawka mont. DN600 PN16 L=250-300mm śr.stal węglowa</v>
      </c>
      <c r="S2222" s="733" t="s">
        <v>5569</v>
      </c>
      <c r="T2222" s="732" t="s">
        <v>5569</v>
      </c>
      <c r="U2222" s="734" t="s">
        <v>5757</v>
      </c>
      <c r="V2222" s="735">
        <v>16</v>
      </c>
      <c r="W2222" s="736"/>
      <c r="X2222" s="737"/>
      <c r="Y2222" s="738"/>
      <c r="Z2222" s="739"/>
      <c r="AA2222" s="739"/>
      <c r="AB2222" s="740">
        <v>16</v>
      </c>
      <c r="AC2222" s="741" t="s">
        <v>5713</v>
      </c>
      <c r="AD2222" s="741" t="str">
        <f>'DICTIONARY-5'!$A$13</f>
        <v>woda pitna</v>
      </c>
      <c r="AE2222" s="742">
        <v>90</v>
      </c>
      <c r="AF2222" s="743">
        <v>147.08000000000001</v>
      </c>
      <c r="AG2222" s="741" t="str">
        <f>'DICTIONARY-5'!$A$23</f>
        <v>powłoka epoksydowa</v>
      </c>
    </row>
    <row r="2223" spans="1:33" x14ac:dyDescent="0.25">
      <c r="A2223" s="872" t="s">
        <v>2047</v>
      </c>
      <c r="B2223" s="872" t="s">
        <v>3641</v>
      </c>
      <c r="C2223" s="836">
        <v>2048</v>
      </c>
      <c r="D2223" s="836"/>
      <c r="E2223" s="836"/>
      <c r="F2223" s="836"/>
      <c r="G2223" s="496" t="s">
        <v>7843</v>
      </c>
      <c r="H2223" s="797" t="str">
        <f>VLOOKUP(G2223,SETTINGS!$B$7:$D$97,2,0)</f>
        <v>VARIplus</v>
      </c>
      <c r="I2223" s="796">
        <f>VLOOKUP(G2223,SETTINGS!$B$7:$D$97,3,0)</f>
        <v>0</v>
      </c>
      <c r="J2223" s="670" t="str">
        <f>IFERROR(IF(CURRENCY.FORMAT_1=0,CONCATENATE(TEXT(FIXED(ROUND((C2223/EXC.RATE_1),CURRENCY.FORMAT_1),CURRENCY.FORMAT_1,1),"# ##0;-# ##0"),",-"),FIXED(ROUND((C2223/EXC.RATE_1),CURRENCY.FORMAT_1),CURRENCY.FORMAT_1,0)),'DICTIONARY-5'!$A$2)</f>
        <v>2 048,-</v>
      </c>
      <c r="K2223" s="670" t="str">
        <f>IF(EXC.RATE_2=0,"",IFERROR(IF(CURRENCY.FORMAT_2=0,CONCATENATE(TEXT(FIXED(ROUND(IF(EXC.RATE.SWITCH=1,C2223/EXC.RATE_2,C2223*EXC.RATE_2),CURRENCY.FORMAT_2),CURRENCY.FORMAT_2,1),"# ##0;-# ##0"),",-"),FIXED(ROUND(IF(EXC.RATE.SWITCH=1,C2223/EXC.RATE_2,C2223*EXC.RATE_2),CURRENCY.FORMAT_2),CURRENCY.FORMAT_2,0)),'DICTIONARY-5'!$A$2))</f>
        <v/>
      </c>
      <c r="L2223" s="670" t="str">
        <f>IFERROR(IF(CURRENCY.FORMAT_1=0,CONCATENATE(TEXT(FIXED(ROUND((C2223*(1-I2223)*(1-ADD.DISCOUNT)*(1+MAT.SURCHARGE)/EXC.RATE_1),CURRENCY.FORMAT_1),CURRENCY.FORMAT_1,1),"# ##0;-# ##0"),",-"),FIXED(ROUND((C2223*(1-I2223)*(1-ADD.DISCOUNT)*(1+MAT.SURCHARGE)/EXC.RATE_1),CURRENCY.FORMAT_1),CURRENCY.FORMAT_1,0)),'DICTIONARY-5'!$A$2)</f>
        <v>2 128,-</v>
      </c>
      <c r="M2223" s="670" t="str">
        <f>IF(EXC.RATE_2=0,"",IFERROR(IF(CURRENCY.FORMAT_2=0,CONCATENATE(TEXT(FIXED(ROUND(IF(EXC.RATE.SWITCH=1,C2223*(1-I2223)*(1-ADD.DISCOUNT)*(1+MAT.SURCHARGE)/EXC.RATE_2,C2223*(1-I2223)*(1-ADD.DISCOUNT)*(1+MAT.SURCHARGE)*EXC.RATE_2),CURRENCY.FORMAT_2),CURRENCY.FORMAT_2,1),"# ##0;-# ##0"),",-"),FIXED(ROUND(IF(EXC.RATE.SWITCH=1,C2223*(1-I2223)*(1-ADD.DISCOUNT)*(1+MAT.SURCHARGE)/EXC.RATE_2,C2223*(1-I2223)*(1-ADD.DISCOUNT)*(1+MAT.SURCHARGE)*EXC.RATE_2),CURRENCY.FORMAT_2),CURRENCY.FORMAT_2,0)),'DICTIONARY-5'!$A$2))</f>
        <v/>
      </c>
      <c r="N2223" s="538">
        <v>10</v>
      </c>
      <c r="O2223" s="538"/>
      <c r="P2223" s="731" t="str">
        <f>'DICTIONARY-3'!$A$124</f>
        <v>VARIplus-DJ</v>
      </c>
      <c r="Q2223" s="732" t="str">
        <f>'DICTIONARY-3'!$A$214</f>
        <v>Wstawka montażowa</v>
      </c>
      <c r="R2223" s="732" t="str">
        <f>CONCATENATE('DICTIONARY-3'!$A$124," ",'DICTIONARY-6'!$A$15," ",'DICTIONARY-2'!$A$2,"700"," ",'DICTIONARY-2'!$A$3,"16"," ",'DICTIONARY-2'!$A$24,"=","250-300",'DICTIONARY-2'!$A$17,," ",'DICTIONARY-6'!$A$34)</f>
        <v>VARIplus-DJ Wstawka mont. DN700 PN16 L=250-300mm śr.stal węglowa</v>
      </c>
      <c r="S2223" s="733" t="s">
        <v>5569</v>
      </c>
      <c r="T2223" s="732" t="s">
        <v>5569</v>
      </c>
      <c r="U2223" s="734" t="s">
        <v>5834</v>
      </c>
      <c r="V2223" s="735">
        <v>16</v>
      </c>
      <c r="W2223" s="736"/>
      <c r="X2223" s="737"/>
      <c r="Y2223" s="738"/>
      <c r="Z2223" s="739"/>
      <c r="AA2223" s="739"/>
      <c r="AB2223" s="740">
        <v>16</v>
      </c>
      <c r="AC2223" s="741" t="s">
        <v>5713</v>
      </c>
      <c r="AD2223" s="741" t="str">
        <f>'DICTIONARY-5'!$A$13</f>
        <v>woda pitna</v>
      </c>
      <c r="AE2223" s="742">
        <v>90</v>
      </c>
      <c r="AF2223" s="743">
        <v>160.08000000000001</v>
      </c>
      <c r="AG2223" s="741" t="str">
        <f>'DICTIONARY-5'!$A$23</f>
        <v>powłoka epoksydowa</v>
      </c>
    </row>
    <row r="2224" spans="1:33" x14ac:dyDescent="0.25">
      <c r="A2224" s="872" t="s">
        <v>2049</v>
      </c>
      <c r="B2224" s="872" t="s">
        <v>3645</v>
      </c>
      <c r="C2224" s="836">
        <v>2641</v>
      </c>
      <c r="D2224" s="836"/>
      <c r="E2224" s="836"/>
      <c r="F2224" s="836"/>
      <c r="G2224" s="496" t="s">
        <v>7843</v>
      </c>
      <c r="H2224" s="797" t="str">
        <f>VLOOKUP(G2224,SETTINGS!$B$7:$D$97,2,0)</f>
        <v>VARIplus</v>
      </c>
      <c r="I2224" s="796">
        <f>VLOOKUP(G2224,SETTINGS!$B$7:$D$97,3,0)</f>
        <v>0</v>
      </c>
      <c r="J2224" s="670" t="str">
        <f>IFERROR(IF(CURRENCY.FORMAT_1=0,CONCATENATE(TEXT(FIXED(ROUND((C2224/EXC.RATE_1),CURRENCY.FORMAT_1),CURRENCY.FORMAT_1,1),"# ##0;-# ##0"),",-"),FIXED(ROUND((C2224/EXC.RATE_1),CURRENCY.FORMAT_1),CURRENCY.FORMAT_1,0)),'DICTIONARY-5'!$A$2)</f>
        <v>2 641,-</v>
      </c>
      <c r="K2224" s="670" t="str">
        <f>IF(EXC.RATE_2=0,"",IFERROR(IF(CURRENCY.FORMAT_2=0,CONCATENATE(TEXT(FIXED(ROUND(IF(EXC.RATE.SWITCH=1,C2224/EXC.RATE_2,C2224*EXC.RATE_2),CURRENCY.FORMAT_2),CURRENCY.FORMAT_2,1),"# ##0;-# ##0"),",-"),FIXED(ROUND(IF(EXC.RATE.SWITCH=1,C2224/EXC.RATE_2,C2224*EXC.RATE_2),CURRENCY.FORMAT_2),CURRENCY.FORMAT_2,0)),'DICTIONARY-5'!$A$2))</f>
        <v/>
      </c>
      <c r="L2224" s="670" t="str">
        <f>IFERROR(IF(CURRENCY.FORMAT_1=0,CONCATENATE(TEXT(FIXED(ROUND((C2224*(1-I2224)*(1-ADD.DISCOUNT)*(1+MAT.SURCHARGE)/EXC.RATE_1),CURRENCY.FORMAT_1),CURRENCY.FORMAT_1,1),"# ##0;-# ##0"),",-"),FIXED(ROUND((C2224*(1-I2224)*(1-ADD.DISCOUNT)*(1+MAT.SURCHARGE)/EXC.RATE_1),CURRENCY.FORMAT_1),CURRENCY.FORMAT_1,0)),'DICTIONARY-5'!$A$2)</f>
        <v>2 744,-</v>
      </c>
      <c r="M2224" s="670" t="str">
        <f>IF(EXC.RATE_2=0,"",IFERROR(IF(CURRENCY.FORMAT_2=0,CONCATENATE(TEXT(FIXED(ROUND(IF(EXC.RATE.SWITCH=1,C2224*(1-I2224)*(1-ADD.DISCOUNT)*(1+MAT.SURCHARGE)/EXC.RATE_2,C2224*(1-I2224)*(1-ADD.DISCOUNT)*(1+MAT.SURCHARGE)*EXC.RATE_2),CURRENCY.FORMAT_2),CURRENCY.FORMAT_2,1),"# ##0;-# ##0"),",-"),FIXED(ROUND(IF(EXC.RATE.SWITCH=1,C2224*(1-I2224)*(1-ADD.DISCOUNT)*(1+MAT.SURCHARGE)/EXC.RATE_2,C2224*(1-I2224)*(1-ADD.DISCOUNT)*(1+MAT.SURCHARGE)*EXC.RATE_2),CURRENCY.FORMAT_2),CURRENCY.FORMAT_2,0)),'DICTIONARY-5'!$A$2))</f>
        <v/>
      </c>
      <c r="N2224" s="538">
        <v>10</v>
      </c>
      <c r="O2224" s="538"/>
      <c r="P2224" s="731" t="str">
        <f>'DICTIONARY-3'!$A$124</f>
        <v>VARIplus-DJ</v>
      </c>
      <c r="Q2224" s="732" t="str">
        <f>'DICTIONARY-3'!$A$214</f>
        <v>Wstawka montażowa</v>
      </c>
      <c r="R2224" s="732" t="str">
        <f>CONCATENATE('DICTIONARY-3'!$A$124," ",'DICTIONARY-6'!$A$15," ",'DICTIONARY-2'!$A$2,"800"," ",'DICTIONARY-2'!$A$3,"16"," ",'DICTIONARY-2'!$A$24,"=","250-300",'DICTIONARY-2'!$A$17,," ",'DICTIONARY-6'!$A$34)</f>
        <v>VARIplus-DJ Wstawka mont. DN800 PN16 L=250-300mm śr.stal węglowa</v>
      </c>
      <c r="S2224" s="733" t="s">
        <v>5569</v>
      </c>
      <c r="T2224" s="732" t="s">
        <v>5569</v>
      </c>
      <c r="U2224" s="734" t="s">
        <v>5835</v>
      </c>
      <c r="V2224" s="735">
        <v>16</v>
      </c>
      <c r="W2224" s="736"/>
      <c r="X2224" s="737"/>
      <c r="Y2224" s="738"/>
      <c r="Z2224" s="739"/>
      <c r="AA2224" s="739"/>
      <c r="AB2224" s="740">
        <v>16</v>
      </c>
      <c r="AC2224" s="741" t="s">
        <v>5713</v>
      </c>
      <c r="AD2224" s="741" t="str">
        <f>'DICTIONARY-5'!$A$13</f>
        <v>woda pitna</v>
      </c>
      <c r="AE2224" s="742">
        <v>90</v>
      </c>
      <c r="AF2224" s="743">
        <v>205.7</v>
      </c>
      <c r="AG2224" s="741" t="str">
        <f>'DICTIONARY-5'!$A$23</f>
        <v>powłoka epoksydowa</v>
      </c>
    </row>
    <row r="2225" spans="1:33" x14ac:dyDescent="0.25">
      <c r="A2225" s="872" t="s">
        <v>2051</v>
      </c>
      <c r="B2225" s="872" t="s">
        <v>3649</v>
      </c>
      <c r="C2225" s="836">
        <v>3064</v>
      </c>
      <c r="D2225" s="836"/>
      <c r="E2225" s="836"/>
      <c r="F2225" s="836"/>
      <c r="G2225" s="496" t="s">
        <v>7843</v>
      </c>
      <c r="H2225" s="797" t="str">
        <f>VLOOKUP(G2225,SETTINGS!$B$7:$D$97,2,0)</f>
        <v>VARIplus</v>
      </c>
      <c r="I2225" s="796">
        <f>VLOOKUP(G2225,SETTINGS!$B$7:$D$97,3,0)</f>
        <v>0</v>
      </c>
      <c r="J2225" s="670" t="str">
        <f>IFERROR(IF(CURRENCY.FORMAT_1=0,CONCATENATE(TEXT(FIXED(ROUND((C2225/EXC.RATE_1),CURRENCY.FORMAT_1),CURRENCY.FORMAT_1,1),"# ##0;-# ##0"),",-"),FIXED(ROUND((C2225/EXC.RATE_1),CURRENCY.FORMAT_1),CURRENCY.FORMAT_1,0)),'DICTIONARY-5'!$A$2)</f>
        <v>3 064,-</v>
      </c>
      <c r="K2225" s="670" t="str">
        <f>IF(EXC.RATE_2=0,"",IFERROR(IF(CURRENCY.FORMAT_2=0,CONCATENATE(TEXT(FIXED(ROUND(IF(EXC.RATE.SWITCH=1,C2225/EXC.RATE_2,C2225*EXC.RATE_2),CURRENCY.FORMAT_2),CURRENCY.FORMAT_2,1),"# ##0;-# ##0"),",-"),FIXED(ROUND(IF(EXC.RATE.SWITCH=1,C2225/EXC.RATE_2,C2225*EXC.RATE_2),CURRENCY.FORMAT_2),CURRENCY.FORMAT_2,0)),'DICTIONARY-5'!$A$2))</f>
        <v/>
      </c>
      <c r="L2225" s="670" t="str">
        <f>IFERROR(IF(CURRENCY.FORMAT_1=0,CONCATENATE(TEXT(FIXED(ROUND((C2225*(1-I2225)*(1-ADD.DISCOUNT)*(1+MAT.SURCHARGE)/EXC.RATE_1),CURRENCY.FORMAT_1),CURRENCY.FORMAT_1,1),"# ##0;-# ##0"),",-"),FIXED(ROUND((C2225*(1-I2225)*(1-ADD.DISCOUNT)*(1+MAT.SURCHARGE)/EXC.RATE_1),CURRENCY.FORMAT_1),CURRENCY.FORMAT_1,0)),'DICTIONARY-5'!$A$2)</f>
        <v>3 183,-</v>
      </c>
      <c r="M2225" s="670" t="str">
        <f>IF(EXC.RATE_2=0,"",IFERROR(IF(CURRENCY.FORMAT_2=0,CONCATENATE(TEXT(FIXED(ROUND(IF(EXC.RATE.SWITCH=1,C2225*(1-I2225)*(1-ADD.DISCOUNT)*(1+MAT.SURCHARGE)/EXC.RATE_2,C2225*(1-I2225)*(1-ADD.DISCOUNT)*(1+MAT.SURCHARGE)*EXC.RATE_2),CURRENCY.FORMAT_2),CURRENCY.FORMAT_2,1),"# ##0;-# ##0"),",-"),FIXED(ROUND(IF(EXC.RATE.SWITCH=1,C2225*(1-I2225)*(1-ADD.DISCOUNT)*(1+MAT.SURCHARGE)/EXC.RATE_2,C2225*(1-I2225)*(1-ADD.DISCOUNT)*(1+MAT.SURCHARGE)*EXC.RATE_2),CURRENCY.FORMAT_2),CURRENCY.FORMAT_2,0)),'DICTIONARY-5'!$A$2))</f>
        <v/>
      </c>
      <c r="N2225" s="538">
        <v>10</v>
      </c>
      <c r="O2225" s="538"/>
      <c r="P2225" s="731" t="str">
        <f>'DICTIONARY-3'!$A$124</f>
        <v>VARIplus-DJ</v>
      </c>
      <c r="Q2225" s="732" t="str">
        <f>'DICTIONARY-3'!$A$214</f>
        <v>Wstawka montażowa</v>
      </c>
      <c r="R2225" s="732" t="str">
        <f>CONCATENATE('DICTIONARY-3'!$A$124," ",'DICTIONARY-6'!$A$15," ",'DICTIONARY-2'!$A$2,"900"," ",'DICTIONARY-2'!$A$3,"16"," ",'DICTIONARY-2'!$A$24,"=","250-300",'DICTIONARY-2'!$A$17,," ",'DICTIONARY-6'!$A$34)</f>
        <v>VARIplus-DJ Wstawka mont. DN900 PN16 L=250-300mm śr.stal węglowa</v>
      </c>
      <c r="S2225" s="733" t="s">
        <v>5569</v>
      </c>
      <c r="T2225" s="732" t="s">
        <v>5569</v>
      </c>
      <c r="U2225" s="734" t="s">
        <v>5837</v>
      </c>
      <c r="V2225" s="735">
        <v>16</v>
      </c>
      <c r="W2225" s="736"/>
      <c r="X2225" s="737"/>
      <c r="Y2225" s="738"/>
      <c r="Z2225" s="739"/>
      <c r="AA2225" s="739"/>
      <c r="AB2225" s="740">
        <v>16</v>
      </c>
      <c r="AC2225" s="741" t="s">
        <v>5713</v>
      </c>
      <c r="AD2225" s="741" t="str">
        <f>'DICTIONARY-5'!$A$13</f>
        <v>woda pitna</v>
      </c>
      <c r="AE2225" s="742">
        <v>90</v>
      </c>
      <c r="AF2225" s="743">
        <v>226.5</v>
      </c>
      <c r="AG2225" s="741" t="str">
        <f>'DICTIONARY-5'!$A$23</f>
        <v>powłoka epoksydowa</v>
      </c>
    </row>
    <row r="2226" spans="1:33" x14ac:dyDescent="0.25">
      <c r="A2226" s="872" t="s">
        <v>2054</v>
      </c>
      <c r="B2226" s="872" t="s">
        <v>3653</v>
      </c>
      <c r="C2226" s="836">
        <v>3466</v>
      </c>
      <c r="D2226" s="836"/>
      <c r="E2226" s="836"/>
      <c r="F2226" s="836"/>
      <c r="G2226" s="496" t="s">
        <v>7843</v>
      </c>
      <c r="H2226" s="797" t="str">
        <f>VLOOKUP(G2226,SETTINGS!$B$7:$D$97,2,0)</f>
        <v>VARIplus</v>
      </c>
      <c r="I2226" s="796">
        <f>VLOOKUP(G2226,SETTINGS!$B$7:$D$97,3,0)</f>
        <v>0</v>
      </c>
      <c r="J2226" s="670" t="str">
        <f>IFERROR(IF(CURRENCY.FORMAT_1=0,CONCATENATE(TEXT(FIXED(ROUND((C2226/EXC.RATE_1),CURRENCY.FORMAT_1),CURRENCY.FORMAT_1,1),"# ##0;-# ##0"),",-"),FIXED(ROUND((C2226/EXC.RATE_1),CURRENCY.FORMAT_1),CURRENCY.FORMAT_1,0)),'DICTIONARY-5'!$A$2)</f>
        <v>3 466,-</v>
      </c>
      <c r="K2226" s="670" t="str">
        <f>IF(EXC.RATE_2=0,"",IFERROR(IF(CURRENCY.FORMAT_2=0,CONCATENATE(TEXT(FIXED(ROUND(IF(EXC.RATE.SWITCH=1,C2226/EXC.RATE_2,C2226*EXC.RATE_2),CURRENCY.FORMAT_2),CURRENCY.FORMAT_2,1),"# ##0;-# ##0"),",-"),FIXED(ROUND(IF(EXC.RATE.SWITCH=1,C2226/EXC.RATE_2,C2226*EXC.RATE_2),CURRENCY.FORMAT_2),CURRENCY.FORMAT_2,0)),'DICTIONARY-5'!$A$2))</f>
        <v/>
      </c>
      <c r="L2226" s="670" t="str">
        <f>IFERROR(IF(CURRENCY.FORMAT_1=0,CONCATENATE(TEXT(FIXED(ROUND((C2226*(1-I2226)*(1-ADD.DISCOUNT)*(1+MAT.SURCHARGE)/EXC.RATE_1),CURRENCY.FORMAT_1),CURRENCY.FORMAT_1,1),"# ##0;-# ##0"),",-"),FIXED(ROUND((C2226*(1-I2226)*(1-ADD.DISCOUNT)*(1+MAT.SURCHARGE)/EXC.RATE_1),CURRENCY.FORMAT_1),CURRENCY.FORMAT_1,0)),'DICTIONARY-5'!$A$2)</f>
        <v>3 601,-</v>
      </c>
      <c r="M2226" s="670" t="str">
        <f>IF(EXC.RATE_2=0,"",IFERROR(IF(CURRENCY.FORMAT_2=0,CONCATENATE(TEXT(FIXED(ROUND(IF(EXC.RATE.SWITCH=1,C2226*(1-I2226)*(1-ADD.DISCOUNT)*(1+MAT.SURCHARGE)/EXC.RATE_2,C2226*(1-I2226)*(1-ADD.DISCOUNT)*(1+MAT.SURCHARGE)*EXC.RATE_2),CURRENCY.FORMAT_2),CURRENCY.FORMAT_2,1),"# ##0;-# ##0"),",-"),FIXED(ROUND(IF(EXC.RATE.SWITCH=1,C2226*(1-I2226)*(1-ADD.DISCOUNT)*(1+MAT.SURCHARGE)/EXC.RATE_2,C2226*(1-I2226)*(1-ADD.DISCOUNT)*(1+MAT.SURCHARGE)*EXC.RATE_2),CURRENCY.FORMAT_2),CURRENCY.FORMAT_2,0)),'DICTIONARY-5'!$A$2))</f>
        <v/>
      </c>
      <c r="N2226" s="538">
        <v>10</v>
      </c>
      <c r="O2226" s="538"/>
      <c r="P2226" s="731" t="str">
        <f>'DICTIONARY-3'!$A$124</f>
        <v>VARIplus-DJ</v>
      </c>
      <c r="Q2226" s="732" t="str">
        <f>'DICTIONARY-3'!$A$214</f>
        <v>Wstawka montażowa</v>
      </c>
      <c r="R2226" s="732" t="str">
        <f>CONCATENATE('DICTIONARY-3'!$A$124," ",'DICTIONARY-6'!$A$15," ",'DICTIONARY-2'!$A$2,"1000"," ",'DICTIONARY-2'!$A$3,"16"," ",'DICTIONARY-2'!$A$24,"=","260-320",'DICTIONARY-2'!$A$17,," ",'DICTIONARY-6'!$A$34)</f>
        <v>VARIplus-DJ Wstawka mont. DN1000 PN16 L=260-320mm śr.stal węglowa</v>
      </c>
      <c r="S2226" s="733" t="s">
        <v>5569</v>
      </c>
      <c r="T2226" s="732" t="s">
        <v>5569</v>
      </c>
      <c r="U2226" s="734" t="s">
        <v>5836</v>
      </c>
      <c r="V2226" s="735">
        <v>16</v>
      </c>
      <c r="W2226" s="736"/>
      <c r="X2226" s="737"/>
      <c r="Y2226" s="738"/>
      <c r="Z2226" s="739"/>
      <c r="AA2226" s="739"/>
      <c r="AB2226" s="740">
        <v>16</v>
      </c>
      <c r="AC2226" s="741" t="s">
        <v>5714</v>
      </c>
      <c r="AD2226" s="741" t="str">
        <f>'DICTIONARY-5'!$A$13</f>
        <v>woda pitna</v>
      </c>
      <c r="AE2226" s="742">
        <v>90</v>
      </c>
      <c r="AF2226" s="743">
        <v>327.52999999999997</v>
      </c>
      <c r="AG2226" s="741" t="str">
        <f>'DICTIONARY-5'!$A$23</f>
        <v>powłoka epoksydowa</v>
      </c>
    </row>
    <row r="2227" spans="1:33" x14ac:dyDescent="0.25">
      <c r="A2227" s="872" t="s">
        <v>2057</v>
      </c>
      <c r="B2227" s="872" t="s">
        <v>3657</v>
      </c>
      <c r="C2227" s="836">
        <v>5857</v>
      </c>
      <c r="D2227" s="836"/>
      <c r="E2227" s="836"/>
      <c r="F2227" s="836"/>
      <c r="G2227" s="496" t="s">
        <v>7843</v>
      </c>
      <c r="H2227" s="797" t="str">
        <f>VLOOKUP(G2227,SETTINGS!$B$7:$D$97,2,0)</f>
        <v>VARIplus</v>
      </c>
      <c r="I2227" s="796">
        <f>VLOOKUP(G2227,SETTINGS!$B$7:$D$97,3,0)</f>
        <v>0</v>
      </c>
      <c r="J2227" s="670" t="str">
        <f>IFERROR(IF(CURRENCY.FORMAT_1=0,CONCATENATE(TEXT(FIXED(ROUND((C2227/EXC.RATE_1),CURRENCY.FORMAT_1),CURRENCY.FORMAT_1,1),"# ##0;-# ##0"),",-"),FIXED(ROUND((C2227/EXC.RATE_1),CURRENCY.FORMAT_1),CURRENCY.FORMAT_1,0)),'DICTIONARY-5'!$A$2)</f>
        <v>5 857,-</v>
      </c>
      <c r="K2227" s="670" t="str">
        <f>IF(EXC.RATE_2=0,"",IFERROR(IF(CURRENCY.FORMAT_2=0,CONCATENATE(TEXT(FIXED(ROUND(IF(EXC.RATE.SWITCH=1,C2227/EXC.RATE_2,C2227*EXC.RATE_2),CURRENCY.FORMAT_2),CURRENCY.FORMAT_2,1),"# ##0;-# ##0"),",-"),FIXED(ROUND(IF(EXC.RATE.SWITCH=1,C2227/EXC.RATE_2,C2227*EXC.RATE_2),CURRENCY.FORMAT_2),CURRENCY.FORMAT_2,0)),'DICTIONARY-5'!$A$2))</f>
        <v/>
      </c>
      <c r="L2227" s="670" t="str">
        <f>IFERROR(IF(CURRENCY.FORMAT_1=0,CONCATENATE(TEXT(FIXED(ROUND((C2227*(1-I2227)*(1-ADD.DISCOUNT)*(1+MAT.SURCHARGE)/EXC.RATE_1),CURRENCY.FORMAT_1),CURRENCY.FORMAT_1,1),"# ##0;-# ##0"),",-"),FIXED(ROUND((C2227*(1-I2227)*(1-ADD.DISCOUNT)*(1+MAT.SURCHARGE)/EXC.RATE_1),CURRENCY.FORMAT_1),CURRENCY.FORMAT_1,0)),'DICTIONARY-5'!$A$2)</f>
        <v>6 085,-</v>
      </c>
      <c r="M2227" s="670" t="str">
        <f>IF(EXC.RATE_2=0,"",IFERROR(IF(CURRENCY.FORMAT_2=0,CONCATENATE(TEXT(FIXED(ROUND(IF(EXC.RATE.SWITCH=1,C2227*(1-I2227)*(1-ADD.DISCOUNT)*(1+MAT.SURCHARGE)/EXC.RATE_2,C2227*(1-I2227)*(1-ADD.DISCOUNT)*(1+MAT.SURCHARGE)*EXC.RATE_2),CURRENCY.FORMAT_2),CURRENCY.FORMAT_2,1),"# ##0;-# ##0"),",-"),FIXED(ROUND(IF(EXC.RATE.SWITCH=1,C2227*(1-I2227)*(1-ADD.DISCOUNT)*(1+MAT.SURCHARGE)/EXC.RATE_2,C2227*(1-I2227)*(1-ADD.DISCOUNT)*(1+MAT.SURCHARGE)*EXC.RATE_2),CURRENCY.FORMAT_2),CURRENCY.FORMAT_2,0)),'DICTIONARY-5'!$A$2))</f>
        <v/>
      </c>
      <c r="N2227" s="538">
        <v>10</v>
      </c>
      <c r="O2227" s="538"/>
      <c r="P2227" s="731" t="str">
        <f>'DICTIONARY-3'!$A$124</f>
        <v>VARIplus-DJ</v>
      </c>
      <c r="Q2227" s="732" t="str">
        <f>'DICTIONARY-3'!$A$214</f>
        <v>Wstawka montażowa</v>
      </c>
      <c r="R2227" s="732" t="str">
        <f>CONCATENATE('DICTIONARY-3'!$A$124," ",'DICTIONARY-6'!$A$15," ",'DICTIONARY-2'!$A$2,"1200"," ",'DICTIONARY-2'!$A$3,"16"," ",'DICTIONARY-2'!$A$24,"=","280-340",'DICTIONARY-2'!$A$17,," ",'DICTIONARY-6'!$A$34)</f>
        <v>VARIplus-DJ Wstawka mont. DN1200 PN16 L=280-340mm śr.stal węglowa</v>
      </c>
      <c r="S2227" s="733" t="s">
        <v>5569</v>
      </c>
      <c r="T2227" s="732" t="s">
        <v>5569</v>
      </c>
      <c r="U2227" s="734" t="s">
        <v>5838</v>
      </c>
      <c r="V2227" s="735">
        <v>16</v>
      </c>
      <c r="W2227" s="736"/>
      <c r="X2227" s="737"/>
      <c r="Y2227" s="738"/>
      <c r="Z2227" s="739"/>
      <c r="AA2227" s="739"/>
      <c r="AB2227" s="740">
        <v>16</v>
      </c>
      <c r="AC2227" s="741" t="s">
        <v>5715</v>
      </c>
      <c r="AD2227" s="741" t="str">
        <f>'DICTIONARY-5'!$A$13</f>
        <v>woda pitna</v>
      </c>
      <c r="AE2227" s="742">
        <v>90</v>
      </c>
      <c r="AF2227" s="743">
        <v>552</v>
      </c>
      <c r="AG2227" s="741" t="str">
        <f>'DICTIONARY-5'!$A$23</f>
        <v>powłoka epoksydowa</v>
      </c>
    </row>
    <row r="2228" spans="1:33" x14ac:dyDescent="0.25">
      <c r="A2228" s="872" t="s">
        <v>2060</v>
      </c>
      <c r="B2228" s="872" t="s">
        <v>3661</v>
      </c>
      <c r="C2228" s="836">
        <v>8804</v>
      </c>
      <c r="D2228" s="836"/>
      <c r="E2228" s="836"/>
      <c r="F2228" s="836"/>
      <c r="G2228" s="496" t="s">
        <v>7843</v>
      </c>
      <c r="H2228" s="797" t="str">
        <f>VLOOKUP(G2228,SETTINGS!$B$7:$D$97,2,0)</f>
        <v>VARIplus</v>
      </c>
      <c r="I2228" s="796">
        <f>VLOOKUP(G2228,SETTINGS!$B$7:$D$97,3,0)</f>
        <v>0</v>
      </c>
      <c r="J2228" s="670" t="str">
        <f>IFERROR(IF(CURRENCY.FORMAT_1=0,CONCATENATE(TEXT(FIXED(ROUND((C2228/EXC.RATE_1),CURRENCY.FORMAT_1),CURRENCY.FORMAT_1,1),"# ##0;-# ##0"),",-"),FIXED(ROUND((C2228/EXC.RATE_1),CURRENCY.FORMAT_1),CURRENCY.FORMAT_1,0)),'DICTIONARY-5'!$A$2)</f>
        <v>8 804,-</v>
      </c>
      <c r="K2228" s="670" t="str">
        <f>IF(EXC.RATE_2=0,"",IFERROR(IF(CURRENCY.FORMAT_2=0,CONCATENATE(TEXT(FIXED(ROUND(IF(EXC.RATE.SWITCH=1,C2228/EXC.RATE_2,C2228*EXC.RATE_2),CURRENCY.FORMAT_2),CURRENCY.FORMAT_2,1),"# ##0;-# ##0"),",-"),FIXED(ROUND(IF(EXC.RATE.SWITCH=1,C2228/EXC.RATE_2,C2228*EXC.RATE_2),CURRENCY.FORMAT_2),CURRENCY.FORMAT_2,0)),'DICTIONARY-5'!$A$2))</f>
        <v/>
      </c>
      <c r="L2228" s="670" t="str">
        <f>IFERROR(IF(CURRENCY.FORMAT_1=0,CONCATENATE(TEXT(FIXED(ROUND((C2228*(1-I2228)*(1-ADD.DISCOUNT)*(1+MAT.SURCHARGE)/EXC.RATE_1),CURRENCY.FORMAT_1),CURRENCY.FORMAT_1,1),"# ##0;-# ##0"),",-"),FIXED(ROUND((C2228*(1-I2228)*(1-ADD.DISCOUNT)*(1+MAT.SURCHARGE)/EXC.RATE_1),CURRENCY.FORMAT_1),CURRENCY.FORMAT_1,0)),'DICTIONARY-5'!$A$2)</f>
        <v>9 147,-</v>
      </c>
      <c r="M2228" s="670" t="str">
        <f>IF(EXC.RATE_2=0,"",IFERROR(IF(CURRENCY.FORMAT_2=0,CONCATENATE(TEXT(FIXED(ROUND(IF(EXC.RATE.SWITCH=1,C2228*(1-I2228)*(1-ADD.DISCOUNT)*(1+MAT.SURCHARGE)/EXC.RATE_2,C2228*(1-I2228)*(1-ADD.DISCOUNT)*(1+MAT.SURCHARGE)*EXC.RATE_2),CURRENCY.FORMAT_2),CURRENCY.FORMAT_2,1),"# ##0;-# ##0"),",-"),FIXED(ROUND(IF(EXC.RATE.SWITCH=1,C2228*(1-I2228)*(1-ADD.DISCOUNT)*(1+MAT.SURCHARGE)/EXC.RATE_2,C2228*(1-I2228)*(1-ADD.DISCOUNT)*(1+MAT.SURCHARGE)*EXC.RATE_2),CURRENCY.FORMAT_2),CURRENCY.FORMAT_2,0)),'DICTIONARY-5'!$A$2))</f>
        <v/>
      </c>
      <c r="N2228" s="538">
        <v>10</v>
      </c>
      <c r="O2228" s="538"/>
      <c r="P2228" s="731" t="str">
        <f>'DICTIONARY-3'!$A$124</f>
        <v>VARIplus-DJ</v>
      </c>
      <c r="Q2228" s="732" t="str">
        <f>'DICTIONARY-3'!$A$214</f>
        <v>Wstawka montażowa</v>
      </c>
      <c r="R2228" s="732" t="str">
        <f>CONCATENATE('DICTIONARY-3'!$A$124," ",'DICTIONARY-6'!$A$15," ",'DICTIONARY-2'!$A$2,"1400"," ",'DICTIONARY-2'!$A$3,"16"," ",'DICTIONARY-2'!$A$24,"=","310-370",'DICTIONARY-2'!$A$17,," ",'DICTIONARY-6'!$A$34)</f>
        <v>VARIplus-DJ Wstawka mont. DN1400 PN16 L=310-370mm śr.stal węglowa</v>
      </c>
      <c r="S2228" s="733" t="s">
        <v>5569</v>
      </c>
      <c r="T2228" s="732" t="s">
        <v>5569</v>
      </c>
      <c r="U2228" s="734" t="s">
        <v>5839</v>
      </c>
      <c r="V2228" s="735">
        <v>16</v>
      </c>
      <c r="W2228" s="736"/>
      <c r="X2228" s="737"/>
      <c r="Y2228" s="738"/>
      <c r="Z2228" s="739"/>
      <c r="AA2228" s="739"/>
      <c r="AB2228" s="740">
        <v>16</v>
      </c>
      <c r="AC2228" s="741" t="s">
        <v>5716</v>
      </c>
      <c r="AD2228" s="741" t="str">
        <f>'DICTIONARY-5'!$A$13</f>
        <v>woda pitna</v>
      </c>
      <c r="AE2228" s="742">
        <v>90</v>
      </c>
      <c r="AF2228" s="743">
        <v>665.14</v>
      </c>
      <c r="AG2228" s="741" t="str">
        <f>'DICTIONARY-5'!$A$23</f>
        <v>powłoka epoksydowa</v>
      </c>
    </row>
    <row r="2229" spans="1:33" x14ac:dyDescent="0.25">
      <c r="A2229" s="872" t="s">
        <v>2063</v>
      </c>
      <c r="B2229" s="872" t="s">
        <v>3665</v>
      </c>
      <c r="C2229" s="836">
        <v>24718</v>
      </c>
      <c r="D2229" s="836"/>
      <c r="E2229" s="836"/>
      <c r="F2229" s="836"/>
      <c r="G2229" s="496" t="s">
        <v>7843</v>
      </c>
      <c r="H2229" s="797" t="str">
        <f>VLOOKUP(G2229,SETTINGS!$B$7:$D$97,2,0)</f>
        <v>VARIplus</v>
      </c>
      <c r="I2229" s="796">
        <f>VLOOKUP(G2229,SETTINGS!$B$7:$D$97,3,0)</f>
        <v>0</v>
      </c>
      <c r="J2229" s="670" t="str">
        <f>IFERROR(IF(CURRENCY.FORMAT_1=0,CONCATENATE(TEXT(FIXED(ROUND((C2229/EXC.RATE_1),CURRENCY.FORMAT_1),CURRENCY.FORMAT_1,1),"# ##0;-# ##0"),",-"),FIXED(ROUND((C2229/EXC.RATE_1),CURRENCY.FORMAT_1),CURRENCY.FORMAT_1,0)),'DICTIONARY-5'!$A$2)</f>
        <v>24 718,-</v>
      </c>
      <c r="K2229" s="670" t="str">
        <f>IF(EXC.RATE_2=0,"",IFERROR(IF(CURRENCY.FORMAT_2=0,CONCATENATE(TEXT(FIXED(ROUND(IF(EXC.RATE.SWITCH=1,C2229/EXC.RATE_2,C2229*EXC.RATE_2),CURRENCY.FORMAT_2),CURRENCY.FORMAT_2,1),"# ##0;-# ##0"),",-"),FIXED(ROUND(IF(EXC.RATE.SWITCH=1,C2229/EXC.RATE_2,C2229*EXC.RATE_2),CURRENCY.FORMAT_2),CURRENCY.FORMAT_2,0)),'DICTIONARY-5'!$A$2))</f>
        <v/>
      </c>
      <c r="L2229" s="670" t="str">
        <f>IFERROR(IF(CURRENCY.FORMAT_1=0,CONCATENATE(TEXT(FIXED(ROUND((C2229*(1-I2229)*(1-ADD.DISCOUNT)*(1+MAT.SURCHARGE)/EXC.RATE_1),CURRENCY.FORMAT_1),CURRENCY.FORMAT_1,1),"# ##0;-# ##0"),",-"),FIXED(ROUND((C2229*(1-I2229)*(1-ADD.DISCOUNT)*(1+MAT.SURCHARGE)/EXC.RATE_1),CURRENCY.FORMAT_1),CURRENCY.FORMAT_1,0)),'DICTIONARY-5'!$A$2)</f>
        <v>25 682,-</v>
      </c>
      <c r="M2229" s="670" t="str">
        <f>IF(EXC.RATE_2=0,"",IFERROR(IF(CURRENCY.FORMAT_2=0,CONCATENATE(TEXT(FIXED(ROUND(IF(EXC.RATE.SWITCH=1,C2229*(1-I2229)*(1-ADD.DISCOUNT)*(1+MAT.SURCHARGE)/EXC.RATE_2,C2229*(1-I2229)*(1-ADD.DISCOUNT)*(1+MAT.SURCHARGE)*EXC.RATE_2),CURRENCY.FORMAT_2),CURRENCY.FORMAT_2,1),"# ##0;-# ##0"),",-"),FIXED(ROUND(IF(EXC.RATE.SWITCH=1,C2229*(1-I2229)*(1-ADD.DISCOUNT)*(1+MAT.SURCHARGE)/EXC.RATE_2,C2229*(1-I2229)*(1-ADD.DISCOUNT)*(1+MAT.SURCHARGE)*EXC.RATE_2),CURRENCY.FORMAT_2),CURRENCY.FORMAT_2,0)),'DICTIONARY-5'!$A$2))</f>
        <v/>
      </c>
      <c r="N2229" s="538">
        <v>10</v>
      </c>
      <c r="O2229" s="538"/>
      <c r="P2229" s="731" t="str">
        <f>'DICTIONARY-3'!$A$124</f>
        <v>VARIplus-DJ</v>
      </c>
      <c r="Q2229" s="732" t="str">
        <f>'DICTIONARY-3'!$A$214</f>
        <v>Wstawka montażowa</v>
      </c>
      <c r="R2229" s="732" t="str">
        <f>CONCATENATE('DICTIONARY-3'!$A$124," ",'DICTIONARY-6'!$A$15," ",'DICTIONARY-2'!$A$2,"1600"," ",'DICTIONARY-2'!$A$3,"16"," ",'DICTIONARY-2'!$A$24,"=","350-410",'DICTIONARY-2'!$A$17,," ",'DICTIONARY-6'!$A$34)</f>
        <v>VARIplus-DJ Wstawka mont. DN1600 PN16 L=350-410mm śr.stal węglowa</v>
      </c>
      <c r="S2229" s="733" t="s">
        <v>5569</v>
      </c>
      <c r="T2229" s="732" t="s">
        <v>5569</v>
      </c>
      <c r="U2229" s="734" t="s">
        <v>5840</v>
      </c>
      <c r="V2229" s="735">
        <v>16</v>
      </c>
      <c r="W2229" s="736"/>
      <c r="X2229" s="737"/>
      <c r="Y2229" s="738"/>
      <c r="Z2229" s="739"/>
      <c r="AA2229" s="739"/>
      <c r="AB2229" s="740">
        <v>16</v>
      </c>
      <c r="AC2229" s="741" t="s">
        <v>5717</v>
      </c>
      <c r="AD2229" s="741" t="str">
        <f>'DICTIONARY-5'!$A$13</f>
        <v>woda pitna</v>
      </c>
      <c r="AE2229" s="742">
        <v>90</v>
      </c>
      <c r="AF2229" s="743">
        <v>1328.58</v>
      </c>
      <c r="AG2229" s="741" t="str">
        <f>'DICTIONARY-5'!$A$23</f>
        <v>powłoka epoksydowa</v>
      </c>
    </row>
    <row r="2230" spans="1:33" x14ac:dyDescent="0.25">
      <c r="A2230" s="872" t="s">
        <v>2065</v>
      </c>
      <c r="B2230" s="872" t="s">
        <v>3669</v>
      </c>
      <c r="C2230" s="836">
        <v>35724</v>
      </c>
      <c r="D2230" s="836"/>
      <c r="E2230" s="836"/>
      <c r="F2230" s="836"/>
      <c r="G2230" s="496" t="s">
        <v>7843</v>
      </c>
      <c r="H2230" s="797" t="str">
        <f>VLOOKUP(G2230,SETTINGS!$B$7:$D$97,2,0)</f>
        <v>VARIplus</v>
      </c>
      <c r="I2230" s="796">
        <f>VLOOKUP(G2230,SETTINGS!$B$7:$D$97,3,0)</f>
        <v>0</v>
      </c>
      <c r="J2230" s="670" t="str">
        <f>IFERROR(IF(CURRENCY.FORMAT_1=0,CONCATENATE(TEXT(FIXED(ROUND((C2230/EXC.RATE_1),CURRENCY.FORMAT_1),CURRENCY.FORMAT_1,1),"# ##0;-# ##0"),",-"),FIXED(ROUND((C2230/EXC.RATE_1),CURRENCY.FORMAT_1),CURRENCY.FORMAT_1,0)),'DICTIONARY-5'!$A$2)</f>
        <v>35 724,-</v>
      </c>
      <c r="K2230" s="670" t="str">
        <f>IF(EXC.RATE_2=0,"",IFERROR(IF(CURRENCY.FORMAT_2=0,CONCATENATE(TEXT(FIXED(ROUND(IF(EXC.RATE.SWITCH=1,C2230/EXC.RATE_2,C2230*EXC.RATE_2),CURRENCY.FORMAT_2),CURRENCY.FORMAT_2,1),"# ##0;-# ##0"),",-"),FIXED(ROUND(IF(EXC.RATE.SWITCH=1,C2230/EXC.RATE_2,C2230*EXC.RATE_2),CURRENCY.FORMAT_2),CURRENCY.FORMAT_2,0)),'DICTIONARY-5'!$A$2))</f>
        <v/>
      </c>
      <c r="L2230" s="670" t="str">
        <f>IFERROR(IF(CURRENCY.FORMAT_1=0,CONCATENATE(TEXT(FIXED(ROUND((C2230*(1-I2230)*(1-ADD.DISCOUNT)*(1+MAT.SURCHARGE)/EXC.RATE_1),CURRENCY.FORMAT_1),CURRENCY.FORMAT_1,1),"# ##0;-# ##0"),",-"),FIXED(ROUND((C2230*(1-I2230)*(1-ADD.DISCOUNT)*(1+MAT.SURCHARGE)/EXC.RATE_1),CURRENCY.FORMAT_1),CURRENCY.FORMAT_1,0)),'DICTIONARY-5'!$A$2)</f>
        <v>37 117,-</v>
      </c>
      <c r="M2230" s="670" t="str">
        <f>IF(EXC.RATE_2=0,"",IFERROR(IF(CURRENCY.FORMAT_2=0,CONCATENATE(TEXT(FIXED(ROUND(IF(EXC.RATE.SWITCH=1,C2230*(1-I2230)*(1-ADD.DISCOUNT)*(1+MAT.SURCHARGE)/EXC.RATE_2,C2230*(1-I2230)*(1-ADD.DISCOUNT)*(1+MAT.SURCHARGE)*EXC.RATE_2),CURRENCY.FORMAT_2),CURRENCY.FORMAT_2,1),"# ##0;-# ##0"),",-"),FIXED(ROUND(IF(EXC.RATE.SWITCH=1,C2230*(1-I2230)*(1-ADD.DISCOUNT)*(1+MAT.SURCHARGE)/EXC.RATE_2,C2230*(1-I2230)*(1-ADD.DISCOUNT)*(1+MAT.SURCHARGE)*EXC.RATE_2),CURRENCY.FORMAT_2),CURRENCY.FORMAT_2,0)),'DICTIONARY-5'!$A$2))</f>
        <v/>
      </c>
      <c r="N2230" s="538">
        <v>10</v>
      </c>
      <c r="O2230" s="538"/>
      <c r="P2230" s="731" t="str">
        <f>'DICTIONARY-3'!$A$124</f>
        <v>VARIplus-DJ</v>
      </c>
      <c r="Q2230" s="732" t="str">
        <f>'DICTIONARY-3'!$A$214</f>
        <v>Wstawka montażowa</v>
      </c>
      <c r="R2230" s="732" t="str">
        <f>CONCATENATE('DICTIONARY-3'!$A$124," ",'DICTIONARY-6'!$A$15," ",'DICTIONARY-2'!$A$2,"1800"," ",'DICTIONARY-2'!$A$3,"16"," ",'DICTIONARY-2'!$A$24,"=","350-410",'DICTIONARY-2'!$A$17,," ",'DICTIONARY-6'!$A$34)</f>
        <v>VARIplus-DJ Wstawka mont. DN1800 PN16 L=350-410mm śr.stal węglowa</v>
      </c>
      <c r="S2230" s="733" t="s">
        <v>5569</v>
      </c>
      <c r="T2230" s="732" t="s">
        <v>5569</v>
      </c>
      <c r="U2230" s="734" t="s">
        <v>5841</v>
      </c>
      <c r="V2230" s="735">
        <v>16</v>
      </c>
      <c r="W2230" s="736"/>
      <c r="X2230" s="737"/>
      <c r="Y2230" s="738"/>
      <c r="Z2230" s="739"/>
      <c r="AA2230" s="739"/>
      <c r="AB2230" s="740">
        <v>16</v>
      </c>
      <c r="AC2230" s="741" t="s">
        <v>5717</v>
      </c>
      <c r="AD2230" s="741" t="str">
        <f>'DICTIONARY-5'!$A$13</f>
        <v>woda pitna</v>
      </c>
      <c r="AE2230" s="742">
        <v>90</v>
      </c>
      <c r="AF2230" s="743">
        <v>1405.8</v>
      </c>
      <c r="AG2230" s="741" t="str">
        <f>'DICTIONARY-5'!$A$23</f>
        <v>powłoka epoksydowa</v>
      </c>
    </row>
    <row r="2231" spans="1:33" x14ac:dyDescent="0.25">
      <c r="A2231" s="872" t="s">
        <v>2067</v>
      </c>
      <c r="B2231" s="872" t="s">
        <v>3673</v>
      </c>
      <c r="C2231" s="836">
        <v>42281</v>
      </c>
      <c r="D2231" s="836"/>
      <c r="E2231" s="836"/>
      <c r="F2231" s="836"/>
      <c r="G2231" s="496" t="s">
        <v>7843</v>
      </c>
      <c r="H2231" s="797" t="str">
        <f>VLOOKUP(G2231,SETTINGS!$B$7:$D$97,2,0)</f>
        <v>VARIplus</v>
      </c>
      <c r="I2231" s="796">
        <f>VLOOKUP(G2231,SETTINGS!$B$7:$D$97,3,0)</f>
        <v>0</v>
      </c>
      <c r="J2231" s="670" t="str">
        <f>IFERROR(IF(CURRENCY.FORMAT_1=0,CONCATENATE(TEXT(FIXED(ROUND((C2231/EXC.RATE_1),CURRENCY.FORMAT_1),CURRENCY.FORMAT_1,1),"# ##0;-# ##0"),",-"),FIXED(ROUND((C2231/EXC.RATE_1),CURRENCY.FORMAT_1),CURRENCY.FORMAT_1,0)),'DICTIONARY-5'!$A$2)</f>
        <v>42 281,-</v>
      </c>
      <c r="K2231" s="670" t="str">
        <f>IF(EXC.RATE_2=0,"",IFERROR(IF(CURRENCY.FORMAT_2=0,CONCATENATE(TEXT(FIXED(ROUND(IF(EXC.RATE.SWITCH=1,C2231/EXC.RATE_2,C2231*EXC.RATE_2),CURRENCY.FORMAT_2),CURRENCY.FORMAT_2,1),"# ##0;-# ##0"),",-"),FIXED(ROUND(IF(EXC.RATE.SWITCH=1,C2231/EXC.RATE_2,C2231*EXC.RATE_2),CURRENCY.FORMAT_2),CURRENCY.FORMAT_2,0)),'DICTIONARY-5'!$A$2))</f>
        <v/>
      </c>
      <c r="L2231" s="670" t="str">
        <f>IFERROR(IF(CURRENCY.FORMAT_1=0,CONCATENATE(TEXT(FIXED(ROUND((C2231*(1-I2231)*(1-ADD.DISCOUNT)*(1+MAT.SURCHARGE)/EXC.RATE_1),CURRENCY.FORMAT_1),CURRENCY.FORMAT_1,1),"# ##0;-# ##0"),",-"),FIXED(ROUND((C2231*(1-I2231)*(1-ADD.DISCOUNT)*(1+MAT.SURCHARGE)/EXC.RATE_1),CURRENCY.FORMAT_1),CURRENCY.FORMAT_1,0)),'DICTIONARY-5'!$A$2)</f>
        <v>43 930,-</v>
      </c>
      <c r="M2231" s="670" t="str">
        <f>IF(EXC.RATE_2=0,"",IFERROR(IF(CURRENCY.FORMAT_2=0,CONCATENATE(TEXT(FIXED(ROUND(IF(EXC.RATE.SWITCH=1,C2231*(1-I2231)*(1-ADD.DISCOUNT)*(1+MAT.SURCHARGE)/EXC.RATE_2,C2231*(1-I2231)*(1-ADD.DISCOUNT)*(1+MAT.SURCHARGE)*EXC.RATE_2),CURRENCY.FORMAT_2),CURRENCY.FORMAT_2,1),"# ##0;-# ##0"),",-"),FIXED(ROUND(IF(EXC.RATE.SWITCH=1,C2231*(1-I2231)*(1-ADD.DISCOUNT)*(1+MAT.SURCHARGE)/EXC.RATE_2,C2231*(1-I2231)*(1-ADD.DISCOUNT)*(1+MAT.SURCHARGE)*EXC.RATE_2),CURRENCY.FORMAT_2),CURRENCY.FORMAT_2,0)),'DICTIONARY-5'!$A$2))</f>
        <v/>
      </c>
      <c r="N2231" s="538">
        <v>10</v>
      </c>
      <c r="O2231" s="538"/>
      <c r="P2231" s="731" t="str">
        <f>'DICTIONARY-3'!$A$124</f>
        <v>VARIplus-DJ</v>
      </c>
      <c r="Q2231" s="732" t="str">
        <f>'DICTIONARY-3'!$A$214</f>
        <v>Wstawka montażowa</v>
      </c>
      <c r="R2231" s="732" t="str">
        <f>CONCATENATE('DICTIONARY-3'!$A$124," ",'DICTIONARY-6'!$A$15," ",'DICTIONARY-2'!$A$2,"2000"," ",'DICTIONARY-2'!$A$3,"16"," ",'DICTIONARY-2'!$A$24,"=","350-410",'DICTIONARY-2'!$A$17,," ",'DICTIONARY-6'!$A$34)</f>
        <v>VARIplus-DJ Wstawka mont. DN2000 PN16 L=350-410mm śr.stal węglowa</v>
      </c>
      <c r="S2231" s="733" t="s">
        <v>5569</v>
      </c>
      <c r="T2231" s="732" t="s">
        <v>5569</v>
      </c>
      <c r="U2231" s="734" t="s">
        <v>5842</v>
      </c>
      <c r="V2231" s="735">
        <v>16</v>
      </c>
      <c r="W2231" s="736"/>
      <c r="X2231" s="737"/>
      <c r="Y2231" s="738"/>
      <c r="Z2231" s="739"/>
      <c r="AA2231" s="739"/>
      <c r="AB2231" s="740">
        <v>16</v>
      </c>
      <c r="AC2231" s="733" t="s">
        <v>5717</v>
      </c>
      <c r="AD2231" s="741" t="str">
        <f>'DICTIONARY-5'!$A$13</f>
        <v>woda pitna</v>
      </c>
      <c r="AE2231" s="742">
        <v>90</v>
      </c>
      <c r="AF2231" s="743">
        <v>1634.82</v>
      </c>
      <c r="AG2231" s="741" t="str">
        <f>'DICTIONARY-5'!$A$23</f>
        <v>powłoka epoksydowa</v>
      </c>
    </row>
    <row r="2232" spans="1:33" x14ac:dyDescent="0.25">
      <c r="A2232" s="872" t="s">
        <v>2068</v>
      </c>
      <c r="B2232" s="872" t="s">
        <v>3594</v>
      </c>
      <c r="C2232" s="836">
        <v>196</v>
      </c>
      <c r="D2232" s="836"/>
      <c r="E2232" s="836"/>
      <c r="F2232" s="836"/>
      <c r="G2232" s="496" t="s">
        <v>7843</v>
      </c>
      <c r="H2232" s="797" t="str">
        <f>VLOOKUP(G2232,SETTINGS!$B$7:$D$97,2,0)</f>
        <v>VARIplus</v>
      </c>
      <c r="I2232" s="796">
        <f>VLOOKUP(G2232,SETTINGS!$B$7:$D$97,3,0)</f>
        <v>0</v>
      </c>
      <c r="J2232" s="670" t="str">
        <f>IFERROR(IF(CURRENCY.FORMAT_1=0,CONCATENATE(TEXT(FIXED(ROUND((C2232/EXC.RATE_1),CURRENCY.FORMAT_1),CURRENCY.FORMAT_1,1),"# ##0;-# ##0"),",-"),FIXED(ROUND((C2232/EXC.RATE_1),CURRENCY.FORMAT_1),CURRENCY.FORMAT_1,0)),'DICTIONARY-5'!$A$2)</f>
        <v>196,-</v>
      </c>
      <c r="K2232" s="670" t="str">
        <f>IF(EXC.RATE_2=0,"",IFERROR(IF(CURRENCY.FORMAT_2=0,CONCATENATE(TEXT(FIXED(ROUND(IF(EXC.RATE.SWITCH=1,C2232/EXC.RATE_2,C2232*EXC.RATE_2),CURRENCY.FORMAT_2),CURRENCY.FORMAT_2,1),"# ##0;-# ##0"),",-"),FIXED(ROUND(IF(EXC.RATE.SWITCH=1,C2232/EXC.RATE_2,C2232*EXC.RATE_2),CURRENCY.FORMAT_2),CURRENCY.FORMAT_2,0)),'DICTIONARY-5'!$A$2))</f>
        <v/>
      </c>
      <c r="L2232" s="670" t="str">
        <f>IFERROR(IF(CURRENCY.FORMAT_1=0,CONCATENATE(TEXT(FIXED(ROUND((C2232*(1-I2232)*(1-ADD.DISCOUNT)*(1+MAT.SURCHARGE)/EXC.RATE_1),CURRENCY.FORMAT_1),CURRENCY.FORMAT_1,1),"# ##0;-# ##0"),",-"),FIXED(ROUND((C2232*(1-I2232)*(1-ADD.DISCOUNT)*(1+MAT.SURCHARGE)/EXC.RATE_1),CURRENCY.FORMAT_1),CURRENCY.FORMAT_1,0)),'DICTIONARY-5'!$A$2)</f>
        <v>204,-</v>
      </c>
      <c r="M2232" s="670" t="str">
        <f>IF(EXC.RATE_2=0,"",IFERROR(IF(CURRENCY.FORMAT_2=0,CONCATENATE(TEXT(FIXED(ROUND(IF(EXC.RATE.SWITCH=1,C2232*(1-I2232)*(1-ADD.DISCOUNT)*(1+MAT.SURCHARGE)/EXC.RATE_2,C2232*(1-I2232)*(1-ADD.DISCOUNT)*(1+MAT.SURCHARGE)*EXC.RATE_2),CURRENCY.FORMAT_2),CURRENCY.FORMAT_2,1),"# ##0;-# ##0"),",-"),FIXED(ROUND(IF(EXC.RATE.SWITCH=1,C2232*(1-I2232)*(1-ADD.DISCOUNT)*(1+MAT.SURCHARGE)/EXC.RATE_2,C2232*(1-I2232)*(1-ADD.DISCOUNT)*(1+MAT.SURCHARGE)*EXC.RATE_2),CURRENCY.FORMAT_2),CURRENCY.FORMAT_2,0)),'DICTIONARY-5'!$A$2))</f>
        <v/>
      </c>
      <c r="N2232" s="538">
        <v>10</v>
      </c>
      <c r="O2232" s="538"/>
      <c r="P2232" s="731" t="str">
        <f>'DICTIONARY-3'!$A$124</f>
        <v>VARIplus-DJ</v>
      </c>
      <c r="Q2232" s="732" t="str">
        <f>'DICTIONARY-3'!$A$214</f>
        <v>Wstawka montażowa</v>
      </c>
      <c r="R2232" s="732" t="str">
        <f>CONCATENATE('DICTIONARY-3'!$A$124," ",'DICTIONARY-6'!$A$15," ",'DICTIONARY-2'!$A$2,"50"," ",'DICTIONARY-2'!$A$3,"10/16"," ",'DICTIONARY-2'!$A$24,"=","165-205",'DICTIONARY-2'!$A$17,," ",'DICTIONARY-6'!$A$35)</f>
        <v>VARIplus-DJ Wstawka mont. DN50 PN10/16 L=165-205mm śr.stal nierdzewna</v>
      </c>
      <c r="S2232" s="733" t="s">
        <v>5569</v>
      </c>
      <c r="T2232" s="732" t="s">
        <v>5569</v>
      </c>
      <c r="U2232" s="734" t="s">
        <v>5748</v>
      </c>
      <c r="V2232" s="735">
        <v>16</v>
      </c>
      <c r="W2232" s="736"/>
      <c r="X2232" s="737"/>
      <c r="Y2232" s="738"/>
      <c r="Z2232" s="739"/>
      <c r="AA2232" s="739"/>
      <c r="AB2232" s="740">
        <v>16</v>
      </c>
      <c r="AC2232" s="741" t="s">
        <v>5711</v>
      </c>
      <c r="AD2232" s="741" t="str">
        <f>'DICTIONARY-5'!$A$13</f>
        <v>woda pitna</v>
      </c>
      <c r="AE2232" s="742">
        <v>90</v>
      </c>
      <c r="AF2232" s="743">
        <v>9.4499999999999993</v>
      </c>
      <c r="AG2232" s="741" t="str">
        <f>'DICTIONARY-5'!$A$23</f>
        <v>powłoka epoksydowa</v>
      </c>
    </row>
    <row r="2233" spans="1:33" x14ac:dyDescent="0.25">
      <c r="A2233" s="872" t="s">
        <v>2069</v>
      </c>
      <c r="B2233" s="872" t="s">
        <v>3596</v>
      </c>
      <c r="C2233" s="836">
        <v>225</v>
      </c>
      <c r="D2233" s="836"/>
      <c r="E2233" s="836"/>
      <c r="F2233" s="836"/>
      <c r="G2233" s="496" t="s">
        <v>7843</v>
      </c>
      <c r="H2233" s="797" t="str">
        <f>VLOOKUP(G2233,SETTINGS!$B$7:$D$97,2,0)</f>
        <v>VARIplus</v>
      </c>
      <c r="I2233" s="796">
        <f>VLOOKUP(G2233,SETTINGS!$B$7:$D$97,3,0)</f>
        <v>0</v>
      </c>
      <c r="J2233" s="670" t="str">
        <f>IFERROR(IF(CURRENCY.FORMAT_1=0,CONCATENATE(TEXT(FIXED(ROUND((C2233/EXC.RATE_1),CURRENCY.FORMAT_1),CURRENCY.FORMAT_1,1),"# ##0;-# ##0"),",-"),FIXED(ROUND((C2233/EXC.RATE_1),CURRENCY.FORMAT_1),CURRENCY.FORMAT_1,0)),'DICTIONARY-5'!$A$2)</f>
        <v>225,-</v>
      </c>
      <c r="K2233" s="670" t="str">
        <f>IF(EXC.RATE_2=0,"",IFERROR(IF(CURRENCY.FORMAT_2=0,CONCATENATE(TEXT(FIXED(ROUND(IF(EXC.RATE.SWITCH=1,C2233/EXC.RATE_2,C2233*EXC.RATE_2),CURRENCY.FORMAT_2),CURRENCY.FORMAT_2,1),"# ##0;-# ##0"),",-"),FIXED(ROUND(IF(EXC.RATE.SWITCH=1,C2233/EXC.RATE_2,C2233*EXC.RATE_2),CURRENCY.FORMAT_2),CURRENCY.FORMAT_2,0)),'DICTIONARY-5'!$A$2))</f>
        <v/>
      </c>
      <c r="L2233" s="670" t="str">
        <f>IFERROR(IF(CURRENCY.FORMAT_1=0,CONCATENATE(TEXT(FIXED(ROUND((C2233*(1-I2233)*(1-ADD.DISCOUNT)*(1+MAT.SURCHARGE)/EXC.RATE_1),CURRENCY.FORMAT_1),CURRENCY.FORMAT_1,1),"# ##0;-# ##0"),",-"),FIXED(ROUND((C2233*(1-I2233)*(1-ADD.DISCOUNT)*(1+MAT.SURCHARGE)/EXC.RATE_1),CURRENCY.FORMAT_1),CURRENCY.FORMAT_1,0)),'DICTIONARY-5'!$A$2)</f>
        <v>234,-</v>
      </c>
      <c r="M2233" s="670" t="str">
        <f>IF(EXC.RATE_2=0,"",IFERROR(IF(CURRENCY.FORMAT_2=0,CONCATENATE(TEXT(FIXED(ROUND(IF(EXC.RATE.SWITCH=1,C2233*(1-I2233)*(1-ADD.DISCOUNT)*(1+MAT.SURCHARGE)/EXC.RATE_2,C2233*(1-I2233)*(1-ADD.DISCOUNT)*(1+MAT.SURCHARGE)*EXC.RATE_2),CURRENCY.FORMAT_2),CURRENCY.FORMAT_2,1),"# ##0;-# ##0"),",-"),FIXED(ROUND(IF(EXC.RATE.SWITCH=1,C2233*(1-I2233)*(1-ADD.DISCOUNT)*(1+MAT.SURCHARGE)/EXC.RATE_2,C2233*(1-I2233)*(1-ADD.DISCOUNT)*(1+MAT.SURCHARGE)*EXC.RATE_2),CURRENCY.FORMAT_2),CURRENCY.FORMAT_2,0)),'DICTIONARY-5'!$A$2))</f>
        <v/>
      </c>
      <c r="N2233" s="538">
        <v>10</v>
      </c>
      <c r="O2233" s="538"/>
      <c r="P2233" s="731" t="str">
        <f>'DICTIONARY-3'!$A$124</f>
        <v>VARIplus-DJ</v>
      </c>
      <c r="Q2233" s="732" t="str">
        <f>'DICTIONARY-3'!$A$214</f>
        <v>Wstawka montażowa</v>
      </c>
      <c r="R2233" s="732" t="str">
        <f>CONCATENATE('DICTIONARY-3'!$A$124," ",'DICTIONARY-6'!$A$15," ",'DICTIONARY-2'!$A$2,"65"," ",'DICTIONARY-2'!$A$3,"10/16"," ",'DICTIONARY-2'!$A$24,"=","165-205",'DICTIONARY-2'!$A$17,," ",'DICTIONARY-6'!$A$35)</f>
        <v>VARIplus-DJ Wstawka mont. DN65 PN10/16 L=165-205mm śr.stal nierdzewna</v>
      </c>
      <c r="S2233" s="733" t="s">
        <v>5569</v>
      </c>
      <c r="T2233" s="732" t="s">
        <v>5569</v>
      </c>
      <c r="U2233" s="734" t="s">
        <v>5759</v>
      </c>
      <c r="V2233" s="735">
        <v>16</v>
      </c>
      <c r="W2233" s="736"/>
      <c r="X2233" s="737"/>
      <c r="Y2233" s="738"/>
      <c r="Z2233" s="739"/>
      <c r="AA2233" s="739"/>
      <c r="AB2233" s="740">
        <v>16</v>
      </c>
      <c r="AC2233" s="741" t="s">
        <v>5711</v>
      </c>
      <c r="AD2233" s="741" t="str">
        <f>'DICTIONARY-5'!$A$13</f>
        <v>woda pitna</v>
      </c>
      <c r="AE2233" s="742">
        <v>90</v>
      </c>
      <c r="AF2233" s="743">
        <v>8</v>
      </c>
      <c r="AG2233" s="741" t="str">
        <f>'DICTIONARY-5'!$A$23</f>
        <v>powłoka epoksydowa</v>
      </c>
    </row>
    <row r="2234" spans="1:33" x14ac:dyDescent="0.25">
      <c r="A2234" s="872" t="s">
        <v>2070</v>
      </c>
      <c r="B2234" s="872" t="s">
        <v>3598</v>
      </c>
      <c r="C2234" s="836">
        <v>244</v>
      </c>
      <c r="D2234" s="836"/>
      <c r="E2234" s="836"/>
      <c r="F2234" s="836"/>
      <c r="G2234" s="496" t="s">
        <v>7843</v>
      </c>
      <c r="H2234" s="797" t="str">
        <f>VLOOKUP(G2234,SETTINGS!$B$7:$D$97,2,0)</f>
        <v>VARIplus</v>
      </c>
      <c r="I2234" s="796">
        <f>VLOOKUP(G2234,SETTINGS!$B$7:$D$97,3,0)</f>
        <v>0</v>
      </c>
      <c r="J2234" s="670" t="str">
        <f>IFERROR(IF(CURRENCY.FORMAT_1=0,CONCATENATE(TEXT(FIXED(ROUND((C2234/EXC.RATE_1),CURRENCY.FORMAT_1),CURRENCY.FORMAT_1,1),"# ##0;-# ##0"),",-"),FIXED(ROUND((C2234/EXC.RATE_1),CURRENCY.FORMAT_1),CURRENCY.FORMAT_1,0)),'DICTIONARY-5'!$A$2)</f>
        <v>244,-</v>
      </c>
      <c r="K2234" s="670" t="str">
        <f>IF(EXC.RATE_2=0,"",IFERROR(IF(CURRENCY.FORMAT_2=0,CONCATENATE(TEXT(FIXED(ROUND(IF(EXC.RATE.SWITCH=1,C2234/EXC.RATE_2,C2234*EXC.RATE_2),CURRENCY.FORMAT_2),CURRENCY.FORMAT_2,1),"# ##0;-# ##0"),",-"),FIXED(ROUND(IF(EXC.RATE.SWITCH=1,C2234/EXC.RATE_2,C2234*EXC.RATE_2),CURRENCY.FORMAT_2),CURRENCY.FORMAT_2,0)),'DICTIONARY-5'!$A$2))</f>
        <v/>
      </c>
      <c r="L2234" s="670" t="str">
        <f>IFERROR(IF(CURRENCY.FORMAT_1=0,CONCATENATE(TEXT(FIXED(ROUND((C2234*(1-I2234)*(1-ADD.DISCOUNT)*(1+MAT.SURCHARGE)/EXC.RATE_1),CURRENCY.FORMAT_1),CURRENCY.FORMAT_1,1),"# ##0;-# ##0"),",-"),FIXED(ROUND((C2234*(1-I2234)*(1-ADD.DISCOUNT)*(1+MAT.SURCHARGE)/EXC.RATE_1),CURRENCY.FORMAT_1),CURRENCY.FORMAT_1,0)),'DICTIONARY-5'!$A$2)</f>
        <v>254,-</v>
      </c>
      <c r="M2234" s="670" t="str">
        <f>IF(EXC.RATE_2=0,"",IFERROR(IF(CURRENCY.FORMAT_2=0,CONCATENATE(TEXT(FIXED(ROUND(IF(EXC.RATE.SWITCH=1,C2234*(1-I2234)*(1-ADD.DISCOUNT)*(1+MAT.SURCHARGE)/EXC.RATE_2,C2234*(1-I2234)*(1-ADD.DISCOUNT)*(1+MAT.SURCHARGE)*EXC.RATE_2),CURRENCY.FORMAT_2),CURRENCY.FORMAT_2,1),"# ##0;-# ##0"),",-"),FIXED(ROUND(IF(EXC.RATE.SWITCH=1,C2234*(1-I2234)*(1-ADD.DISCOUNT)*(1+MAT.SURCHARGE)/EXC.RATE_2,C2234*(1-I2234)*(1-ADD.DISCOUNT)*(1+MAT.SURCHARGE)*EXC.RATE_2),CURRENCY.FORMAT_2),CURRENCY.FORMAT_2,0)),'DICTIONARY-5'!$A$2))</f>
        <v/>
      </c>
      <c r="N2234" s="538">
        <v>10</v>
      </c>
      <c r="O2234" s="538"/>
      <c r="P2234" s="731" t="str">
        <f>'DICTIONARY-3'!$A$124</f>
        <v>VARIplus-DJ</v>
      </c>
      <c r="Q2234" s="732" t="str">
        <f>'DICTIONARY-3'!$A$214</f>
        <v>Wstawka montażowa</v>
      </c>
      <c r="R2234" s="732" t="str">
        <f>CONCATENATE('DICTIONARY-3'!$A$124," ",'DICTIONARY-6'!$A$15," ",'DICTIONARY-2'!$A$2,"80"," ",'DICTIONARY-2'!$A$3,"10/16"," ",'DICTIONARY-2'!$A$24,"=","165-205",'DICTIONARY-2'!$A$17,," ",'DICTIONARY-6'!$A$35)</f>
        <v>VARIplus-DJ Wstawka mont. DN80 PN10/16 L=165-205mm śr.stal nierdzewna</v>
      </c>
      <c r="S2234" s="733" t="s">
        <v>5569</v>
      </c>
      <c r="T2234" s="732" t="s">
        <v>5569</v>
      </c>
      <c r="U2234" s="734" t="s">
        <v>5760</v>
      </c>
      <c r="V2234" s="735">
        <v>16</v>
      </c>
      <c r="W2234" s="736"/>
      <c r="X2234" s="737"/>
      <c r="Y2234" s="738"/>
      <c r="Z2234" s="739"/>
      <c r="AA2234" s="739"/>
      <c r="AB2234" s="740">
        <v>16</v>
      </c>
      <c r="AC2234" s="741" t="s">
        <v>5711</v>
      </c>
      <c r="AD2234" s="741" t="str">
        <f>'DICTIONARY-5'!$A$13</f>
        <v>woda pitna</v>
      </c>
      <c r="AE2234" s="742">
        <v>90</v>
      </c>
      <c r="AF2234" s="743">
        <v>12.45</v>
      </c>
      <c r="AG2234" s="741" t="str">
        <f>'DICTIONARY-5'!$A$23</f>
        <v>powłoka epoksydowa</v>
      </c>
    </row>
    <row r="2235" spans="1:33" x14ac:dyDescent="0.25">
      <c r="A2235" s="872" t="s">
        <v>2071</v>
      </c>
      <c r="B2235" s="872" t="s">
        <v>3600</v>
      </c>
      <c r="C2235" s="836">
        <v>429</v>
      </c>
      <c r="D2235" s="836"/>
      <c r="E2235" s="836"/>
      <c r="F2235" s="836"/>
      <c r="G2235" s="496" t="s">
        <v>7843</v>
      </c>
      <c r="H2235" s="797" t="str">
        <f>VLOOKUP(G2235,SETTINGS!$B$7:$D$97,2,0)</f>
        <v>VARIplus</v>
      </c>
      <c r="I2235" s="796">
        <f>VLOOKUP(G2235,SETTINGS!$B$7:$D$97,3,0)</f>
        <v>0</v>
      </c>
      <c r="J2235" s="670" t="str">
        <f>IFERROR(IF(CURRENCY.FORMAT_1=0,CONCATENATE(TEXT(FIXED(ROUND((C2235/EXC.RATE_1),CURRENCY.FORMAT_1),CURRENCY.FORMAT_1,1),"# ##0;-# ##0"),",-"),FIXED(ROUND((C2235/EXC.RATE_1),CURRENCY.FORMAT_1),CURRENCY.FORMAT_1,0)),'DICTIONARY-5'!$A$2)</f>
        <v>429,-</v>
      </c>
      <c r="K2235" s="670" t="str">
        <f>IF(EXC.RATE_2=0,"",IFERROR(IF(CURRENCY.FORMAT_2=0,CONCATENATE(TEXT(FIXED(ROUND(IF(EXC.RATE.SWITCH=1,C2235/EXC.RATE_2,C2235*EXC.RATE_2),CURRENCY.FORMAT_2),CURRENCY.FORMAT_2,1),"# ##0;-# ##0"),",-"),FIXED(ROUND(IF(EXC.RATE.SWITCH=1,C2235/EXC.RATE_2,C2235*EXC.RATE_2),CURRENCY.FORMAT_2),CURRENCY.FORMAT_2,0)),'DICTIONARY-5'!$A$2))</f>
        <v/>
      </c>
      <c r="L2235" s="670" t="str">
        <f>IFERROR(IF(CURRENCY.FORMAT_1=0,CONCATENATE(TEXT(FIXED(ROUND((C2235*(1-I2235)*(1-ADD.DISCOUNT)*(1+MAT.SURCHARGE)/EXC.RATE_1),CURRENCY.FORMAT_1),CURRENCY.FORMAT_1,1),"# ##0;-# ##0"),",-"),FIXED(ROUND((C2235*(1-I2235)*(1-ADD.DISCOUNT)*(1+MAT.SURCHARGE)/EXC.RATE_1),CURRENCY.FORMAT_1),CURRENCY.FORMAT_1,0)),'DICTIONARY-5'!$A$2)</f>
        <v>446,-</v>
      </c>
      <c r="M2235" s="670" t="str">
        <f>IF(EXC.RATE_2=0,"",IFERROR(IF(CURRENCY.FORMAT_2=0,CONCATENATE(TEXT(FIXED(ROUND(IF(EXC.RATE.SWITCH=1,C2235*(1-I2235)*(1-ADD.DISCOUNT)*(1+MAT.SURCHARGE)/EXC.RATE_2,C2235*(1-I2235)*(1-ADD.DISCOUNT)*(1+MAT.SURCHARGE)*EXC.RATE_2),CURRENCY.FORMAT_2),CURRENCY.FORMAT_2,1),"# ##0;-# ##0"),",-"),FIXED(ROUND(IF(EXC.RATE.SWITCH=1,C2235*(1-I2235)*(1-ADD.DISCOUNT)*(1+MAT.SURCHARGE)/EXC.RATE_2,C2235*(1-I2235)*(1-ADD.DISCOUNT)*(1+MAT.SURCHARGE)*EXC.RATE_2),CURRENCY.FORMAT_2),CURRENCY.FORMAT_2,0)),'DICTIONARY-5'!$A$2))</f>
        <v/>
      </c>
      <c r="N2235" s="538">
        <v>10</v>
      </c>
      <c r="O2235" s="538"/>
      <c r="P2235" s="731" t="str">
        <f>'DICTIONARY-3'!$A$124</f>
        <v>VARIplus-DJ</v>
      </c>
      <c r="Q2235" s="732" t="str">
        <f>'DICTIONARY-3'!$A$214</f>
        <v>Wstawka montażowa</v>
      </c>
      <c r="R2235" s="732" t="str">
        <f>CONCATENATE('DICTIONARY-3'!$A$124," ",'DICTIONARY-6'!$A$15," ",'DICTIONARY-2'!$A$2,"100"," ",'DICTIONARY-2'!$A$3,"10/16"," ",'DICTIONARY-2'!$A$24,"=","165-205",'DICTIONARY-2'!$A$17,," ",'DICTIONARY-6'!$A$35)</f>
        <v>VARIplus-DJ Wstawka mont. DN100 PN10/16 L=165-205mm śr.stal nierdzewna</v>
      </c>
      <c r="S2235" s="733" t="s">
        <v>5569</v>
      </c>
      <c r="T2235" s="732" t="s">
        <v>5569</v>
      </c>
      <c r="U2235" s="734" t="s">
        <v>5749</v>
      </c>
      <c r="V2235" s="735">
        <v>16</v>
      </c>
      <c r="W2235" s="736"/>
      <c r="X2235" s="737"/>
      <c r="Y2235" s="738"/>
      <c r="Z2235" s="739"/>
      <c r="AA2235" s="739"/>
      <c r="AB2235" s="740">
        <v>16</v>
      </c>
      <c r="AC2235" s="741" t="s">
        <v>5711</v>
      </c>
      <c r="AD2235" s="741" t="str">
        <f>'DICTIONARY-5'!$A$13</f>
        <v>woda pitna</v>
      </c>
      <c r="AE2235" s="742">
        <v>90</v>
      </c>
      <c r="AF2235" s="743">
        <v>13.45</v>
      </c>
      <c r="AG2235" s="741" t="str">
        <f>'DICTIONARY-5'!$A$23</f>
        <v>powłoka epoksydowa</v>
      </c>
    </row>
    <row r="2236" spans="1:33" x14ac:dyDescent="0.25">
      <c r="A2236" s="872" t="s">
        <v>2072</v>
      </c>
      <c r="B2236" s="872" t="s">
        <v>3602</v>
      </c>
      <c r="C2236" s="836">
        <v>257</v>
      </c>
      <c r="D2236" s="836"/>
      <c r="E2236" s="836"/>
      <c r="F2236" s="836"/>
      <c r="G2236" s="496" t="s">
        <v>7843</v>
      </c>
      <c r="H2236" s="797" t="str">
        <f>VLOOKUP(G2236,SETTINGS!$B$7:$D$97,2,0)</f>
        <v>VARIplus</v>
      </c>
      <c r="I2236" s="796">
        <f>VLOOKUP(G2236,SETTINGS!$B$7:$D$97,3,0)</f>
        <v>0</v>
      </c>
      <c r="J2236" s="670" t="str">
        <f>IFERROR(IF(CURRENCY.FORMAT_1=0,CONCATENATE(TEXT(FIXED(ROUND((C2236/EXC.RATE_1),CURRENCY.FORMAT_1),CURRENCY.FORMAT_1,1),"# ##0;-# ##0"),",-"),FIXED(ROUND((C2236/EXC.RATE_1),CURRENCY.FORMAT_1),CURRENCY.FORMAT_1,0)),'DICTIONARY-5'!$A$2)</f>
        <v>257,-</v>
      </c>
      <c r="K2236" s="670" t="str">
        <f>IF(EXC.RATE_2=0,"",IFERROR(IF(CURRENCY.FORMAT_2=0,CONCATENATE(TEXT(FIXED(ROUND(IF(EXC.RATE.SWITCH=1,C2236/EXC.RATE_2,C2236*EXC.RATE_2),CURRENCY.FORMAT_2),CURRENCY.FORMAT_2,1),"# ##0;-# ##0"),",-"),FIXED(ROUND(IF(EXC.RATE.SWITCH=1,C2236/EXC.RATE_2,C2236*EXC.RATE_2),CURRENCY.FORMAT_2),CURRENCY.FORMAT_2,0)),'DICTIONARY-5'!$A$2))</f>
        <v/>
      </c>
      <c r="L2236" s="670" t="str">
        <f>IFERROR(IF(CURRENCY.FORMAT_1=0,CONCATENATE(TEXT(FIXED(ROUND((C2236*(1-I2236)*(1-ADD.DISCOUNT)*(1+MAT.SURCHARGE)/EXC.RATE_1),CURRENCY.FORMAT_1),CURRENCY.FORMAT_1,1),"# ##0;-# ##0"),",-"),FIXED(ROUND((C2236*(1-I2236)*(1-ADD.DISCOUNT)*(1+MAT.SURCHARGE)/EXC.RATE_1),CURRENCY.FORMAT_1),CURRENCY.FORMAT_1,0)),'DICTIONARY-5'!$A$2)</f>
        <v>267,-</v>
      </c>
      <c r="M2236" s="670" t="str">
        <f>IF(EXC.RATE_2=0,"",IFERROR(IF(CURRENCY.FORMAT_2=0,CONCATENATE(TEXT(FIXED(ROUND(IF(EXC.RATE.SWITCH=1,C2236*(1-I2236)*(1-ADD.DISCOUNT)*(1+MAT.SURCHARGE)/EXC.RATE_2,C2236*(1-I2236)*(1-ADD.DISCOUNT)*(1+MAT.SURCHARGE)*EXC.RATE_2),CURRENCY.FORMAT_2),CURRENCY.FORMAT_2,1),"# ##0;-# ##0"),",-"),FIXED(ROUND(IF(EXC.RATE.SWITCH=1,C2236*(1-I2236)*(1-ADD.DISCOUNT)*(1+MAT.SURCHARGE)/EXC.RATE_2,C2236*(1-I2236)*(1-ADD.DISCOUNT)*(1+MAT.SURCHARGE)*EXC.RATE_2),CURRENCY.FORMAT_2),CURRENCY.FORMAT_2,0)),'DICTIONARY-5'!$A$2))</f>
        <v/>
      </c>
      <c r="N2236" s="538">
        <v>10</v>
      </c>
      <c r="O2236" s="538"/>
      <c r="P2236" s="731" t="str">
        <f>'DICTIONARY-3'!$A$124</f>
        <v>VARIplus-DJ</v>
      </c>
      <c r="Q2236" s="732" t="str">
        <f>'DICTIONARY-3'!$A$214</f>
        <v>Wstawka montażowa</v>
      </c>
      <c r="R2236" s="732" t="str">
        <f>CONCATENATE('DICTIONARY-3'!$A$124," ",'DICTIONARY-6'!$A$15," ",'DICTIONARY-2'!$A$2,"125"," ",'DICTIONARY-2'!$A$3,"10/16"," ",'DICTIONARY-2'!$A$24,"=","165-205",'DICTIONARY-2'!$A$17,," ",'DICTIONARY-6'!$A$35)</f>
        <v>VARIplus-DJ Wstawka mont. DN125 PN10/16 L=165-205mm śr.stal nierdzewna</v>
      </c>
      <c r="S2236" s="733" t="s">
        <v>5569</v>
      </c>
      <c r="T2236" s="732" t="s">
        <v>5569</v>
      </c>
      <c r="U2236" s="734" t="s">
        <v>5761</v>
      </c>
      <c r="V2236" s="735">
        <v>16</v>
      </c>
      <c r="W2236" s="736"/>
      <c r="X2236" s="737"/>
      <c r="Y2236" s="738"/>
      <c r="Z2236" s="739"/>
      <c r="AA2236" s="739"/>
      <c r="AB2236" s="740">
        <v>16</v>
      </c>
      <c r="AC2236" s="741" t="s">
        <v>5711</v>
      </c>
      <c r="AD2236" s="741" t="str">
        <f>'DICTIONARY-5'!$A$13</f>
        <v>woda pitna</v>
      </c>
      <c r="AE2236" s="742">
        <v>90</v>
      </c>
      <c r="AF2236" s="743">
        <v>16.45</v>
      </c>
      <c r="AG2236" s="741" t="str">
        <f>'DICTIONARY-5'!$A$23</f>
        <v>powłoka epoksydowa</v>
      </c>
    </row>
    <row r="2237" spans="1:33" x14ac:dyDescent="0.25">
      <c r="A2237" s="872" t="s">
        <v>2073</v>
      </c>
      <c r="B2237" s="872" t="s">
        <v>3604</v>
      </c>
      <c r="C2237" s="836">
        <v>520</v>
      </c>
      <c r="D2237" s="836"/>
      <c r="E2237" s="836"/>
      <c r="F2237" s="836"/>
      <c r="G2237" s="496" t="s">
        <v>7843</v>
      </c>
      <c r="H2237" s="797" t="str">
        <f>VLOOKUP(G2237,SETTINGS!$B$7:$D$97,2,0)</f>
        <v>VARIplus</v>
      </c>
      <c r="I2237" s="796">
        <f>VLOOKUP(G2237,SETTINGS!$B$7:$D$97,3,0)</f>
        <v>0</v>
      </c>
      <c r="J2237" s="670" t="str">
        <f>IFERROR(IF(CURRENCY.FORMAT_1=0,CONCATENATE(TEXT(FIXED(ROUND((C2237/EXC.RATE_1),CURRENCY.FORMAT_1),CURRENCY.FORMAT_1,1),"# ##0;-# ##0"),",-"),FIXED(ROUND((C2237/EXC.RATE_1),CURRENCY.FORMAT_1),CURRENCY.FORMAT_1,0)),'DICTIONARY-5'!$A$2)</f>
        <v>520,-</v>
      </c>
      <c r="K2237" s="670" t="str">
        <f>IF(EXC.RATE_2=0,"",IFERROR(IF(CURRENCY.FORMAT_2=0,CONCATENATE(TEXT(FIXED(ROUND(IF(EXC.RATE.SWITCH=1,C2237/EXC.RATE_2,C2237*EXC.RATE_2),CURRENCY.FORMAT_2),CURRENCY.FORMAT_2,1),"# ##0;-# ##0"),",-"),FIXED(ROUND(IF(EXC.RATE.SWITCH=1,C2237/EXC.RATE_2,C2237*EXC.RATE_2),CURRENCY.FORMAT_2),CURRENCY.FORMAT_2,0)),'DICTIONARY-5'!$A$2))</f>
        <v/>
      </c>
      <c r="L2237" s="670" t="str">
        <f>IFERROR(IF(CURRENCY.FORMAT_1=0,CONCATENATE(TEXT(FIXED(ROUND((C2237*(1-I2237)*(1-ADD.DISCOUNT)*(1+MAT.SURCHARGE)/EXC.RATE_1),CURRENCY.FORMAT_1),CURRENCY.FORMAT_1,1),"# ##0;-# ##0"),",-"),FIXED(ROUND((C2237*(1-I2237)*(1-ADD.DISCOUNT)*(1+MAT.SURCHARGE)/EXC.RATE_1),CURRENCY.FORMAT_1),CURRENCY.FORMAT_1,0)),'DICTIONARY-5'!$A$2)</f>
        <v>540,-</v>
      </c>
      <c r="M2237" s="670" t="str">
        <f>IF(EXC.RATE_2=0,"",IFERROR(IF(CURRENCY.FORMAT_2=0,CONCATENATE(TEXT(FIXED(ROUND(IF(EXC.RATE.SWITCH=1,C2237*(1-I2237)*(1-ADD.DISCOUNT)*(1+MAT.SURCHARGE)/EXC.RATE_2,C2237*(1-I2237)*(1-ADD.DISCOUNT)*(1+MAT.SURCHARGE)*EXC.RATE_2),CURRENCY.FORMAT_2),CURRENCY.FORMAT_2,1),"# ##0;-# ##0"),",-"),FIXED(ROUND(IF(EXC.RATE.SWITCH=1,C2237*(1-I2237)*(1-ADD.DISCOUNT)*(1+MAT.SURCHARGE)/EXC.RATE_2,C2237*(1-I2237)*(1-ADD.DISCOUNT)*(1+MAT.SURCHARGE)*EXC.RATE_2),CURRENCY.FORMAT_2),CURRENCY.FORMAT_2,0)),'DICTIONARY-5'!$A$2))</f>
        <v/>
      </c>
      <c r="N2237" s="538">
        <v>10</v>
      </c>
      <c r="O2237" s="538"/>
      <c r="P2237" s="731" t="str">
        <f>'DICTIONARY-3'!$A$124</f>
        <v>VARIplus-DJ</v>
      </c>
      <c r="Q2237" s="732" t="str">
        <f>'DICTIONARY-3'!$A$214</f>
        <v>Wstawka montażowa</v>
      </c>
      <c r="R2237" s="732" t="str">
        <f>CONCATENATE('DICTIONARY-3'!$A$124," ",'DICTIONARY-6'!$A$15," ",'DICTIONARY-2'!$A$2,"150"," ",'DICTIONARY-2'!$A$3,"10/16"," ",'DICTIONARY-2'!$A$24,"=","165-205",'DICTIONARY-2'!$A$17,," ",'DICTIONARY-6'!$A$35)</f>
        <v>VARIplus-DJ Wstawka mont. DN150 PN10/16 L=165-205mm śr.stal nierdzewna</v>
      </c>
      <c r="S2237" s="733" t="s">
        <v>5569</v>
      </c>
      <c r="T2237" s="732" t="s">
        <v>5569</v>
      </c>
      <c r="U2237" s="734" t="s">
        <v>5572</v>
      </c>
      <c r="V2237" s="735">
        <v>16</v>
      </c>
      <c r="W2237" s="736"/>
      <c r="X2237" s="737"/>
      <c r="Y2237" s="738"/>
      <c r="Z2237" s="739"/>
      <c r="AA2237" s="739"/>
      <c r="AB2237" s="740">
        <v>16</v>
      </c>
      <c r="AC2237" s="741" t="s">
        <v>5711</v>
      </c>
      <c r="AD2237" s="741" t="str">
        <f>'DICTIONARY-5'!$A$13</f>
        <v>woda pitna</v>
      </c>
      <c r="AE2237" s="742">
        <v>90</v>
      </c>
      <c r="AF2237" s="743">
        <v>18.5</v>
      </c>
      <c r="AG2237" s="741" t="str">
        <f>'DICTIONARY-5'!$A$23</f>
        <v>powłoka epoksydowa</v>
      </c>
    </row>
    <row r="2238" spans="1:33" x14ac:dyDescent="0.25">
      <c r="A2238" s="872" t="s">
        <v>2074</v>
      </c>
      <c r="B2238" s="872" t="s">
        <v>3606</v>
      </c>
      <c r="C2238" s="836">
        <v>625</v>
      </c>
      <c r="D2238" s="836"/>
      <c r="E2238" s="836"/>
      <c r="F2238" s="836"/>
      <c r="G2238" s="496" t="s">
        <v>7843</v>
      </c>
      <c r="H2238" s="797" t="str">
        <f>VLOOKUP(G2238,SETTINGS!$B$7:$D$97,2,0)</f>
        <v>VARIplus</v>
      </c>
      <c r="I2238" s="796">
        <f>VLOOKUP(G2238,SETTINGS!$B$7:$D$97,3,0)</f>
        <v>0</v>
      </c>
      <c r="J2238" s="670" t="str">
        <f>IFERROR(IF(CURRENCY.FORMAT_1=0,CONCATENATE(TEXT(FIXED(ROUND((C2238/EXC.RATE_1),CURRENCY.FORMAT_1),CURRENCY.FORMAT_1,1),"# ##0;-# ##0"),",-"),FIXED(ROUND((C2238/EXC.RATE_1),CURRENCY.FORMAT_1),CURRENCY.FORMAT_1,0)),'DICTIONARY-5'!$A$2)</f>
        <v>625,-</v>
      </c>
      <c r="K2238" s="670" t="str">
        <f>IF(EXC.RATE_2=0,"",IFERROR(IF(CURRENCY.FORMAT_2=0,CONCATENATE(TEXT(FIXED(ROUND(IF(EXC.RATE.SWITCH=1,C2238/EXC.RATE_2,C2238*EXC.RATE_2),CURRENCY.FORMAT_2),CURRENCY.FORMAT_2,1),"# ##0;-# ##0"),",-"),FIXED(ROUND(IF(EXC.RATE.SWITCH=1,C2238/EXC.RATE_2,C2238*EXC.RATE_2),CURRENCY.FORMAT_2),CURRENCY.FORMAT_2,0)),'DICTIONARY-5'!$A$2))</f>
        <v/>
      </c>
      <c r="L2238" s="670" t="str">
        <f>IFERROR(IF(CURRENCY.FORMAT_1=0,CONCATENATE(TEXT(FIXED(ROUND((C2238*(1-I2238)*(1-ADD.DISCOUNT)*(1+MAT.SURCHARGE)/EXC.RATE_1),CURRENCY.FORMAT_1),CURRENCY.FORMAT_1,1),"# ##0;-# ##0"),",-"),FIXED(ROUND((C2238*(1-I2238)*(1-ADD.DISCOUNT)*(1+MAT.SURCHARGE)/EXC.RATE_1),CURRENCY.FORMAT_1),CURRENCY.FORMAT_1,0)),'DICTIONARY-5'!$A$2)</f>
        <v>649,-</v>
      </c>
      <c r="M2238" s="670" t="str">
        <f>IF(EXC.RATE_2=0,"",IFERROR(IF(CURRENCY.FORMAT_2=0,CONCATENATE(TEXT(FIXED(ROUND(IF(EXC.RATE.SWITCH=1,C2238*(1-I2238)*(1-ADD.DISCOUNT)*(1+MAT.SURCHARGE)/EXC.RATE_2,C2238*(1-I2238)*(1-ADD.DISCOUNT)*(1+MAT.SURCHARGE)*EXC.RATE_2),CURRENCY.FORMAT_2),CURRENCY.FORMAT_2,1),"# ##0;-# ##0"),",-"),FIXED(ROUND(IF(EXC.RATE.SWITCH=1,C2238*(1-I2238)*(1-ADD.DISCOUNT)*(1+MAT.SURCHARGE)/EXC.RATE_2,C2238*(1-I2238)*(1-ADD.DISCOUNT)*(1+MAT.SURCHARGE)*EXC.RATE_2),CURRENCY.FORMAT_2),CURRENCY.FORMAT_2,0)),'DICTIONARY-5'!$A$2))</f>
        <v/>
      </c>
      <c r="N2238" s="538">
        <v>10</v>
      </c>
      <c r="O2238" s="538"/>
      <c r="P2238" s="731" t="str">
        <f>'DICTIONARY-3'!$A$124</f>
        <v>VARIplus-DJ</v>
      </c>
      <c r="Q2238" s="732" t="str">
        <f>'DICTIONARY-3'!$A$214</f>
        <v>Wstawka montażowa</v>
      </c>
      <c r="R2238" s="732" t="str">
        <f>CONCATENATE('DICTIONARY-3'!$A$124," ",'DICTIONARY-6'!$A$15," ",'DICTIONARY-2'!$A$2,"200"," ",'DICTIONARY-2'!$A$3,"10"," ",'DICTIONARY-2'!$A$24,"=","165-205",'DICTIONARY-2'!$A$17,," ",'DICTIONARY-6'!$A$35)</f>
        <v>VARIplus-DJ Wstawka mont. DN200 PN10 L=165-205mm śr.stal nierdzewna</v>
      </c>
      <c r="S2238" s="733" t="s">
        <v>5569</v>
      </c>
      <c r="T2238" s="732" t="s">
        <v>5569</v>
      </c>
      <c r="U2238" s="734" t="s">
        <v>5750</v>
      </c>
      <c r="V2238" s="735">
        <v>10</v>
      </c>
      <c r="W2238" s="736"/>
      <c r="X2238" s="737"/>
      <c r="Y2238" s="738"/>
      <c r="Z2238" s="739"/>
      <c r="AA2238" s="739"/>
      <c r="AB2238" s="740">
        <v>10</v>
      </c>
      <c r="AC2238" s="741" t="s">
        <v>5711</v>
      </c>
      <c r="AD2238" s="741" t="str">
        <f>'DICTIONARY-5'!$A$13</f>
        <v>woda pitna</v>
      </c>
      <c r="AE2238" s="742">
        <v>90</v>
      </c>
      <c r="AF2238" s="743">
        <v>26</v>
      </c>
      <c r="AG2238" s="741" t="str">
        <f>'DICTIONARY-5'!$A$23</f>
        <v>powłoka epoksydowa</v>
      </c>
    </row>
    <row r="2239" spans="1:33" x14ac:dyDescent="0.25">
      <c r="A2239" s="872" t="s">
        <v>2076</v>
      </c>
      <c r="B2239" s="872" t="s">
        <v>3610</v>
      </c>
      <c r="C2239" s="836">
        <v>612</v>
      </c>
      <c r="D2239" s="836"/>
      <c r="E2239" s="836"/>
      <c r="F2239" s="836"/>
      <c r="G2239" s="496" t="s">
        <v>7843</v>
      </c>
      <c r="H2239" s="797" t="str">
        <f>VLOOKUP(G2239,SETTINGS!$B$7:$D$97,2,0)</f>
        <v>VARIplus</v>
      </c>
      <c r="I2239" s="796">
        <f>VLOOKUP(G2239,SETTINGS!$B$7:$D$97,3,0)</f>
        <v>0</v>
      </c>
      <c r="J2239" s="670" t="str">
        <f>IFERROR(IF(CURRENCY.FORMAT_1=0,CONCATENATE(TEXT(FIXED(ROUND((C2239/EXC.RATE_1),CURRENCY.FORMAT_1),CURRENCY.FORMAT_1,1),"# ##0;-# ##0"),",-"),FIXED(ROUND((C2239/EXC.RATE_1),CURRENCY.FORMAT_1),CURRENCY.FORMAT_1,0)),'DICTIONARY-5'!$A$2)</f>
        <v>612,-</v>
      </c>
      <c r="K2239" s="670" t="str">
        <f>IF(EXC.RATE_2=0,"",IFERROR(IF(CURRENCY.FORMAT_2=0,CONCATENATE(TEXT(FIXED(ROUND(IF(EXC.RATE.SWITCH=1,C2239/EXC.RATE_2,C2239*EXC.RATE_2),CURRENCY.FORMAT_2),CURRENCY.FORMAT_2,1),"# ##0;-# ##0"),",-"),FIXED(ROUND(IF(EXC.RATE.SWITCH=1,C2239/EXC.RATE_2,C2239*EXC.RATE_2),CURRENCY.FORMAT_2),CURRENCY.FORMAT_2,0)),'DICTIONARY-5'!$A$2))</f>
        <v/>
      </c>
      <c r="L2239" s="670" t="str">
        <f>IFERROR(IF(CURRENCY.FORMAT_1=0,CONCATENATE(TEXT(FIXED(ROUND((C2239*(1-I2239)*(1-ADD.DISCOUNT)*(1+MAT.SURCHARGE)/EXC.RATE_1),CURRENCY.FORMAT_1),CURRENCY.FORMAT_1,1),"# ##0;-# ##0"),",-"),FIXED(ROUND((C2239*(1-I2239)*(1-ADD.DISCOUNT)*(1+MAT.SURCHARGE)/EXC.RATE_1),CURRENCY.FORMAT_1),CURRENCY.FORMAT_1,0)),'DICTIONARY-5'!$A$2)</f>
        <v>636,-</v>
      </c>
      <c r="M2239" s="670" t="str">
        <f>IF(EXC.RATE_2=0,"",IFERROR(IF(CURRENCY.FORMAT_2=0,CONCATENATE(TEXT(FIXED(ROUND(IF(EXC.RATE.SWITCH=1,C2239*(1-I2239)*(1-ADD.DISCOUNT)*(1+MAT.SURCHARGE)/EXC.RATE_2,C2239*(1-I2239)*(1-ADD.DISCOUNT)*(1+MAT.SURCHARGE)*EXC.RATE_2),CURRENCY.FORMAT_2),CURRENCY.FORMAT_2,1),"# ##0;-# ##0"),",-"),FIXED(ROUND(IF(EXC.RATE.SWITCH=1,C2239*(1-I2239)*(1-ADD.DISCOUNT)*(1+MAT.SURCHARGE)/EXC.RATE_2,C2239*(1-I2239)*(1-ADD.DISCOUNT)*(1+MAT.SURCHARGE)*EXC.RATE_2),CURRENCY.FORMAT_2),CURRENCY.FORMAT_2,0)),'DICTIONARY-5'!$A$2))</f>
        <v/>
      </c>
      <c r="N2239" s="538">
        <v>10</v>
      </c>
      <c r="O2239" s="538"/>
      <c r="P2239" s="731" t="str">
        <f>'DICTIONARY-3'!$A$124</f>
        <v>VARIplus-DJ</v>
      </c>
      <c r="Q2239" s="732" t="str">
        <f>'DICTIONARY-3'!$A$214</f>
        <v>Wstawka montażowa</v>
      </c>
      <c r="R2239" s="732" t="str">
        <f>CONCATENATE('DICTIONARY-3'!$A$124," ",'DICTIONARY-6'!$A$15," ",'DICTIONARY-2'!$A$2,"250"," ",'DICTIONARY-2'!$A$3,"10"," ",'DICTIONARY-2'!$A$24,"=","175-215",'DICTIONARY-2'!$A$17,," ",'DICTIONARY-6'!$A$35)</f>
        <v>VARIplus-DJ Wstawka mont. DN250 PN10 L=175-215mm śr.stal nierdzewna</v>
      </c>
      <c r="S2239" s="733" t="s">
        <v>5569</v>
      </c>
      <c r="T2239" s="732" t="s">
        <v>5569</v>
      </c>
      <c r="U2239" s="734" t="s">
        <v>5751</v>
      </c>
      <c r="V2239" s="735">
        <v>10</v>
      </c>
      <c r="W2239" s="736"/>
      <c r="X2239" s="737"/>
      <c r="Y2239" s="738"/>
      <c r="Z2239" s="739"/>
      <c r="AA2239" s="739"/>
      <c r="AB2239" s="740">
        <v>10</v>
      </c>
      <c r="AC2239" s="741" t="s">
        <v>5712</v>
      </c>
      <c r="AD2239" s="741" t="str">
        <f>'DICTIONARY-5'!$A$13</f>
        <v>woda pitna</v>
      </c>
      <c r="AE2239" s="742">
        <v>90</v>
      </c>
      <c r="AF2239" s="743">
        <v>38.83</v>
      </c>
      <c r="AG2239" s="741" t="str">
        <f>'DICTIONARY-5'!$A$23</f>
        <v>powłoka epoksydowa</v>
      </c>
    </row>
    <row r="2240" spans="1:33" x14ac:dyDescent="0.25">
      <c r="A2240" s="872" t="s">
        <v>2078</v>
      </c>
      <c r="B2240" s="872" t="s">
        <v>3614</v>
      </c>
      <c r="C2240" s="836">
        <v>710</v>
      </c>
      <c r="D2240" s="836"/>
      <c r="E2240" s="836"/>
      <c r="F2240" s="836"/>
      <c r="G2240" s="496" t="s">
        <v>7843</v>
      </c>
      <c r="H2240" s="797" t="str">
        <f>VLOOKUP(G2240,SETTINGS!$B$7:$D$97,2,0)</f>
        <v>VARIplus</v>
      </c>
      <c r="I2240" s="796">
        <f>VLOOKUP(G2240,SETTINGS!$B$7:$D$97,3,0)</f>
        <v>0</v>
      </c>
      <c r="J2240" s="670" t="str">
        <f>IFERROR(IF(CURRENCY.FORMAT_1=0,CONCATENATE(TEXT(FIXED(ROUND((C2240/EXC.RATE_1),CURRENCY.FORMAT_1),CURRENCY.FORMAT_1,1),"# ##0;-# ##0"),",-"),FIXED(ROUND((C2240/EXC.RATE_1),CURRENCY.FORMAT_1),CURRENCY.FORMAT_1,0)),'DICTIONARY-5'!$A$2)</f>
        <v>710,-</v>
      </c>
      <c r="K2240" s="670" t="str">
        <f>IF(EXC.RATE_2=0,"",IFERROR(IF(CURRENCY.FORMAT_2=0,CONCATENATE(TEXT(FIXED(ROUND(IF(EXC.RATE.SWITCH=1,C2240/EXC.RATE_2,C2240*EXC.RATE_2),CURRENCY.FORMAT_2),CURRENCY.FORMAT_2,1),"# ##0;-# ##0"),",-"),FIXED(ROUND(IF(EXC.RATE.SWITCH=1,C2240/EXC.RATE_2,C2240*EXC.RATE_2),CURRENCY.FORMAT_2),CURRENCY.FORMAT_2,0)),'DICTIONARY-5'!$A$2))</f>
        <v/>
      </c>
      <c r="L2240" s="670" t="str">
        <f>IFERROR(IF(CURRENCY.FORMAT_1=0,CONCATENATE(TEXT(FIXED(ROUND((C2240*(1-I2240)*(1-ADD.DISCOUNT)*(1+MAT.SURCHARGE)/EXC.RATE_1),CURRENCY.FORMAT_1),CURRENCY.FORMAT_1,1),"# ##0;-# ##0"),",-"),FIXED(ROUND((C2240*(1-I2240)*(1-ADD.DISCOUNT)*(1+MAT.SURCHARGE)/EXC.RATE_1),CURRENCY.FORMAT_1),CURRENCY.FORMAT_1,0)),'DICTIONARY-5'!$A$2)</f>
        <v>738,-</v>
      </c>
      <c r="M2240" s="670" t="str">
        <f>IF(EXC.RATE_2=0,"",IFERROR(IF(CURRENCY.FORMAT_2=0,CONCATENATE(TEXT(FIXED(ROUND(IF(EXC.RATE.SWITCH=1,C2240*(1-I2240)*(1-ADD.DISCOUNT)*(1+MAT.SURCHARGE)/EXC.RATE_2,C2240*(1-I2240)*(1-ADD.DISCOUNT)*(1+MAT.SURCHARGE)*EXC.RATE_2),CURRENCY.FORMAT_2),CURRENCY.FORMAT_2,1),"# ##0;-# ##0"),",-"),FIXED(ROUND(IF(EXC.RATE.SWITCH=1,C2240*(1-I2240)*(1-ADD.DISCOUNT)*(1+MAT.SURCHARGE)/EXC.RATE_2,C2240*(1-I2240)*(1-ADD.DISCOUNT)*(1+MAT.SURCHARGE)*EXC.RATE_2),CURRENCY.FORMAT_2),CURRENCY.FORMAT_2,0)),'DICTIONARY-5'!$A$2))</f>
        <v/>
      </c>
      <c r="N2240" s="538">
        <v>10</v>
      </c>
      <c r="O2240" s="538"/>
      <c r="P2240" s="731" t="str">
        <f>'DICTIONARY-3'!$A$124</f>
        <v>VARIplus-DJ</v>
      </c>
      <c r="Q2240" s="732" t="str">
        <f>'DICTIONARY-3'!$A$214</f>
        <v>Wstawka montażowa</v>
      </c>
      <c r="R2240" s="732" t="str">
        <f>CONCATENATE('DICTIONARY-3'!$A$124," ",'DICTIONARY-6'!$A$15," ",'DICTIONARY-2'!$A$2,"300"," ",'DICTIONARY-2'!$A$3,"10"," ",'DICTIONARY-2'!$A$24,"=","175-215",'DICTIONARY-2'!$A$17,," ",'DICTIONARY-6'!$A$35)</f>
        <v>VARIplus-DJ Wstawka mont. DN300 PN10 L=175-215mm śr.stal nierdzewna</v>
      </c>
      <c r="S2240" s="733" t="s">
        <v>5569</v>
      </c>
      <c r="T2240" s="732" t="s">
        <v>5569</v>
      </c>
      <c r="U2240" s="734" t="s">
        <v>5752</v>
      </c>
      <c r="V2240" s="735">
        <v>10</v>
      </c>
      <c r="W2240" s="736"/>
      <c r="X2240" s="737"/>
      <c r="Y2240" s="738"/>
      <c r="Z2240" s="739"/>
      <c r="AA2240" s="739"/>
      <c r="AB2240" s="740">
        <v>10</v>
      </c>
      <c r="AC2240" s="741" t="s">
        <v>5712</v>
      </c>
      <c r="AD2240" s="741" t="str">
        <f>'DICTIONARY-5'!$A$13</f>
        <v>woda pitna</v>
      </c>
      <c r="AE2240" s="742">
        <v>90</v>
      </c>
      <c r="AF2240" s="743">
        <v>39</v>
      </c>
      <c r="AG2240" s="741" t="str">
        <f>'DICTIONARY-5'!$A$23</f>
        <v>powłoka epoksydowa</v>
      </c>
    </row>
    <row r="2241" spans="1:33" x14ac:dyDescent="0.25">
      <c r="A2241" s="872" t="s">
        <v>2080</v>
      </c>
      <c r="B2241" s="872" t="s">
        <v>3618</v>
      </c>
      <c r="C2241" s="836">
        <v>1052</v>
      </c>
      <c r="D2241" s="836"/>
      <c r="E2241" s="836"/>
      <c r="F2241" s="836"/>
      <c r="G2241" s="496" t="s">
        <v>7843</v>
      </c>
      <c r="H2241" s="797" t="str">
        <f>VLOOKUP(G2241,SETTINGS!$B$7:$D$97,2,0)</f>
        <v>VARIplus</v>
      </c>
      <c r="I2241" s="796">
        <f>VLOOKUP(G2241,SETTINGS!$B$7:$D$97,3,0)</f>
        <v>0</v>
      </c>
      <c r="J2241" s="670" t="str">
        <f>IFERROR(IF(CURRENCY.FORMAT_1=0,CONCATENATE(TEXT(FIXED(ROUND((C2241/EXC.RATE_1),CURRENCY.FORMAT_1),CURRENCY.FORMAT_1,1),"# ##0;-# ##0"),",-"),FIXED(ROUND((C2241/EXC.RATE_1),CURRENCY.FORMAT_1),CURRENCY.FORMAT_1,0)),'DICTIONARY-5'!$A$2)</f>
        <v>1 052,-</v>
      </c>
      <c r="K2241" s="670" t="str">
        <f>IF(EXC.RATE_2=0,"",IFERROR(IF(CURRENCY.FORMAT_2=0,CONCATENATE(TEXT(FIXED(ROUND(IF(EXC.RATE.SWITCH=1,C2241/EXC.RATE_2,C2241*EXC.RATE_2),CURRENCY.FORMAT_2),CURRENCY.FORMAT_2,1),"# ##0;-# ##0"),",-"),FIXED(ROUND(IF(EXC.RATE.SWITCH=1,C2241/EXC.RATE_2,C2241*EXC.RATE_2),CURRENCY.FORMAT_2),CURRENCY.FORMAT_2,0)),'DICTIONARY-5'!$A$2))</f>
        <v/>
      </c>
      <c r="L2241" s="670" t="str">
        <f>IFERROR(IF(CURRENCY.FORMAT_1=0,CONCATENATE(TEXT(FIXED(ROUND((C2241*(1-I2241)*(1-ADD.DISCOUNT)*(1+MAT.SURCHARGE)/EXC.RATE_1),CURRENCY.FORMAT_1),CURRENCY.FORMAT_1,1),"# ##0;-# ##0"),",-"),FIXED(ROUND((C2241*(1-I2241)*(1-ADD.DISCOUNT)*(1+MAT.SURCHARGE)/EXC.RATE_1),CURRENCY.FORMAT_1),CURRENCY.FORMAT_1,0)),'DICTIONARY-5'!$A$2)</f>
        <v>1 093,-</v>
      </c>
      <c r="M2241" s="670" t="str">
        <f>IF(EXC.RATE_2=0,"",IFERROR(IF(CURRENCY.FORMAT_2=0,CONCATENATE(TEXT(FIXED(ROUND(IF(EXC.RATE.SWITCH=1,C2241*(1-I2241)*(1-ADD.DISCOUNT)*(1+MAT.SURCHARGE)/EXC.RATE_2,C2241*(1-I2241)*(1-ADD.DISCOUNT)*(1+MAT.SURCHARGE)*EXC.RATE_2),CURRENCY.FORMAT_2),CURRENCY.FORMAT_2,1),"# ##0;-# ##0"),",-"),FIXED(ROUND(IF(EXC.RATE.SWITCH=1,C2241*(1-I2241)*(1-ADD.DISCOUNT)*(1+MAT.SURCHARGE)/EXC.RATE_2,C2241*(1-I2241)*(1-ADD.DISCOUNT)*(1+MAT.SURCHARGE)*EXC.RATE_2),CURRENCY.FORMAT_2),CURRENCY.FORMAT_2,0)),'DICTIONARY-5'!$A$2))</f>
        <v/>
      </c>
      <c r="N2241" s="538">
        <v>10</v>
      </c>
      <c r="O2241" s="538"/>
      <c r="P2241" s="731" t="str">
        <f>'DICTIONARY-3'!$A$124</f>
        <v>VARIplus-DJ</v>
      </c>
      <c r="Q2241" s="732" t="str">
        <f>'DICTIONARY-3'!$A$214</f>
        <v>Wstawka montażowa</v>
      </c>
      <c r="R2241" s="732" t="str">
        <f>CONCATENATE('DICTIONARY-3'!$A$124," ",'DICTIONARY-6'!$A$15," ",'DICTIONARY-2'!$A$2,"350"," ",'DICTIONARY-2'!$A$3,"10"," ",'DICTIONARY-2'!$A$24,"=","250-300",'DICTIONARY-2'!$A$17,," ",'DICTIONARY-6'!$A$35)</f>
        <v>VARIplus-DJ Wstawka mont. DN350 PN10 L=250-300mm śr.stal nierdzewna</v>
      </c>
      <c r="S2241" s="733" t="s">
        <v>5569</v>
      </c>
      <c r="T2241" s="732" t="s">
        <v>5569</v>
      </c>
      <c r="U2241" s="734" t="s">
        <v>5753</v>
      </c>
      <c r="V2241" s="735">
        <v>10</v>
      </c>
      <c r="W2241" s="736"/>
      <c r="X2241" s="737"/>
      <c r="Y2241" s="738"/>
      <c r="Z2241" s="739"/>
      <c r="AA2241" s="739"/>
      <c r="AB2241" s="740">
        <v>10</v>
      </c>
      <c r="AC2241" s="741" t="s">
        <v>5713</v>
      </c>
      <c r="AD2241" s="741" t="str">
        <f>'DICTIONARY-5'!$A$13</f>
        <v>woda pitna</v>
      </c>
      <c r="AE2241" s="742">
        <v>90</v>
      </c>
      <c r="AF2241" s="743">
        <v>53.63</v>
      </c>
      <c r="AG2241" s="741" t="str">
        <f>'DICTIONARY-5'!$A$23</f>
        <v>powłoka epoksydowa</v>
      </c>
    </row>
    <row r="2242" spans="1:33" x14ac:dyDescent="0.25">
      <c r="A2242" s="872" t="s">
        <v>2082</v>
      </c>
      <c r="B2242" s="872" t="s">
        <v>3622</v>
      </c>
      <c r="C2242" s="836">
        <v>1191</v>
      </c>
      <c r="D2242" s="836"/>
      <c r="E2242" s="836"/>
      <c r="F2242" s="836"/>
      <c r="G2242" s="496" t="s">
        <v>7843</v>
      </c>
      <c r="H2242" s="797" t="str">
        <f>VLOOKUP(G2242,SETTINGS!$B$7:$D$97,2,0)</f>
        <v>VARIplus</v>
      </c>
      <c r="I2242" s="796">
        <f>VLOOKUP(G2242,SETTINGS!$B$7:$D$97,3,0)</f>
        <v>0</v>
      </c>
      <c r="J2242" s="670" t="str">
        <f>IFERROR(IF(CURRENCY.FORMAT_1=0,CONCATENATE(TEXT(FIXED(ROUND((C2242/EXC.RATE_1),CURRENCY.FORMAT_1),CURRENCY.FORMAT_1,1),"# ##0;-# ##0"),",-"),FIXED(ROUND((C2242/EXC.RATE_1),CURRENCY.FORMAT_1),CURRENCY.FORMAT_1,0)),'DICTIONARY-5'!$A$2)</f>
        <v>1 191,-</v>
      </c>
      <c r="K2242" s="670" t="str">
        <f>IF(EXC.RATE_2=0,"",IFERROR(IF(CURRENCY.FORMAT_2=0,CONCATENATE(TEXT(FIXED(ROUND(IF(EXC.RATE.SWITCH=1,C2242/EXC.RATE_2,C2242*EXC.RATE_2),CURRENCY.FORMAT_2),CURRENCY.FORMAT_2,1),"# ##0;-# ##0"),",-"),FIXED(ROUND(IF(EXC.RATE.SWITCH=1,C2242/EXC.RATE_2,C2242*EXC.RATE_2),CURRENCY.FORMAT_2),CURRENCY.FORMAT_2,0)),'DICTIONARY-5'!$A$2))</f>
        <v/>
      </c>
      <c r="L2242" s="670" t="str">
        <f>IFERROR(IF(CURRENCY.FORMAT_1=0,CONCATENATE(TEXT(FIXED(ROUND((C2242*(1-I2242)*(1-ADD.DISCOUNT)*(1+MAT.SURCHARGE)/EXC.RATE_1),CURRENCY.FORMAT_1),CURRENCY.FORMAT_1,1),"# ##0;-# ##0"),",-"),FIXED(ROUND((C2242*(1-I2242)*(1-ADD.DISCOUNT)*(1+MAT.SURCHARGE)/EXC.RATE_1),CURRENCY.FORMAT_1),CURRENCY.FORMAT_1,0)),'DICTIONARY-5'!$A$2)</f>
        <v>1 237,-</v>
      </c>
      <c r="M2242" s="670" t="str">
        <f>IF(EXC.RATE_2=0,"",IFERROR(IF(CURRENCY.FORMAT_2=0,CONCATENATE(TEXT(FIXED(ROUND(IF(EXC.RATE.SWITCH=1,C2242*(1-I2242)*(1-ADD.DISCOUNT)*(1+MAT.SURCHARGE)/EXC.RATE_2,C2242*(1-I2242)*(1-ADD.DISCOUNT)*(1+MAT.SURCHARGE)*EXC.RATE_2),CURRENCY.FORMAT_2),CURRENCY.FORMAT_2,1),"# ##0;-# ##0"),",-"),FIXED(ROUND(IF(EXC.RATE.SWITCH=1,C2242*(1-I2242)*(1-ADD.DISCOUNT)*(1+MAT.SURCHARGE)/EXC.RATE_2,C2242*(1-I2242)*(1-ADD.DISCOUNT)*(1+MAT.SURCHARGE)*EXC.RATE_2),CURRENCY.FORMAT_2),CURRENCY.FORMAT_2,0)),'DICTIONARY-5'!$A$2))</f>
        <v/>
      </c>
      <c r="N2242" s="538">
        <v>10</v>
      </c>
      <c r="O2242" s="538"/>
      <c r="P2242" s="731" t="str">
        <f>'DICTIONARY-3'!$A$124</f>
        <v>VARIplus-DJ</v>
      </c>
      <c r="Q2242" s="732" t="str">
        <f>'DICTIONARY-3'!$A$214</f>
        <v>Wstawka montażowa</v>
      </c>
      <c r="R2242" s="732" t="str">
        <f>CONCATENATE('DICTIONARY-3'!$A$124," ",'DICTIONARY-6'!$A$15," ",'DICTIONARY-2'!$A$2,"400"," ",'DICTIONARY-2'!$A$3,"10"," ",'DICTIONARY-2'!$A$24,"=","250-300",'DICTIONARY-2'!$A$17,," ",'DICTIONARY-6'!$A$35)</f>
        <v>VARIplus-DJ Wstawka mont. DN400 PN10 L=250-300mm śr.stal nierdzewna</v>
      </c>
      <c r="S2242" s="733" t="s">
        <v>5569</v>
      </c>
      <c r="T2242" s="732" t="s">
        <v>5569</v>
      </c>
      <c r="U2242" s="734" t="s">
        <v>5754</v>
      </c>
      <c r="V2242" s="735">
        <v>10</v>
      </c>
      <c r="W2242" s="736"/>
      <c r="X2242" s="737"/>
      <c r="Y2242" s="738"/>
      <c r="Z2242" s="739"/>
      <c r="AA2242" s="739"/>
      <c r="AB2242" s="740">
        <v>10</v>
      </c>
      <c r="AC2242" s="741" t="s">
        <v>5713</v>
      </c>
      <c r="AD2242" s="741" t="str">
        <f>'DICTIONARY-5'!$A$13</f>
        <v>woda pitna</v>
      </c>
      <c r="AE2242" s="742">
        <v>90</v>
      </c>
      <c r="AF2242" s="743">
        <v>82</v>
      </c>
      <c r="AG2242" s="741" t="str">
        <f>'DICTIONARY-5'!$A$23</f>
        <v>powłoka epoksydowa</v>
      </c>
    </row>
    <row r="2243" spans="1:33" x14ac:dyDescent="0.25">
      <c r="A2243" s="872" t="s">
        <v>2084</v>
      </c>
      <c r="B2243" s="872" t="s">
        <v>3626</v>
      </c>
      <c r="C2243" s="836">
        <v>1081</v>
      </c>
      <c r="D2243" s="836"/>
      <c r="E2243" s="836"/>
      <c r="F2243" s="836"/>
      <c r="G2243" s="496" t="s">
        <v>7843</v>
      </c>
      <c r="H2243" s="797" t="str">
        <f>VLOOKUP(G2243,SETTINGS!$B$7:$D$97,2,0)</f>
        <v>VARIplus</v>
      </c>
      <c r="I2243" s="796">
        <f>VLOOKUP(G2243,SETTINGS!$B$7:$D$97,3,0)</f>
        <v>0</v>
      </c>
      <c r="J2243" s="670" t="str">
        <f>IFERROR(IF(CURRENCY.FORMAT_1=0,CONCATENATE(TEXT(FIXED(ROUND((C2243/EXC.RATE_1),CURRENCY.FORMAT_1),CURRENCY.FORMAT_1,1),"# ##0;-# ##0"),",-"),FIXED(ROUND((C2243/EXC.RATE_1),CURRENCY.FORMAT_1),CURRENCY.FORMAT_1,0)),'DICTIONARY-5'!$A$2)</f>
        <v>1 081,-</v>
      </c>
      <c r="K2243" s="670" t="str">
        <f>IF(EXC.RATE_2=0,"",IFERROR(IF(CURRENCY.FORMAT_2=0,CONCATENATE(TEXT(FIXED(ROUND(IF(EXC.RATE.SWITCH=1,C2243/EXC.RATE_2,C2243*EXC.RATE_2),CURRENCY.FORMAT_2),CURRENCY.FORMAT_2,1),"# ##0;-# ##0"),",-"),FIXED(ROUND(IF(EXC.RATE.SWITCH=1,C2243/EXC.RATE_2,C2243*EXC.RATE_2),CURRENCY.FORMAT_2),CURRENCY.FORMAT_2,0)),'DICTIONARY-5'!$A$2))</f>
        <v/>
      </c>
      <c r="L2243" s="670" t="str">
        <f>IFERROR(IF(CURRENCY.FORMAT_1=0,CONCATENATE(TEXT(FIXED(ROUND((C2243*(1-I2243)*(1-ADD.DISCOUNT)*(1+MAT.SURCHARGE)/EXC.RATE_1),CURRENCY.FORMAT_1),CURRENCY.FORMAT_1,1),"# ##0;-# ##0"),",-"),FIXED(ROUND((C2243*(1-I2243)*(1-ADD.DISCOUNT)*(1+MAT.SURCHARGE)/EXC.RATE_1),CURRENCY.FORMAT_1),CURRENCY.FORMAT_1,0)),'DICTIONARY-5'!$A$2)</f>
        <v>1 123,-</v>
      </c>
      <c r="M2243" s="670" t="str">
        <f>IF(EXC.RATE_2=0,"",IFERROR(IF(CURRENCY.FORMAT_2=0,CONCATENATE(TEXT(FIXED(ROUND(IF(EXC.RATE.SWITCH=1,C2243*(1-I2243)*(1-ADD.DISCOUNT)*(1+MAT.SURCHARGE)/EXC.RATE_2,C2243*(1-I2243)*(1-ADD.DISCOUNT)*(1+MAT.SURCHARGE)*EXC.RATE_2),CURRENCY.FORMAT_2),CURRENCY.FORMAT_2,1),"# ##0;-# ##0"),",-"),FIXED(ROUND(IF(EXC.RATE.SWITCH=1,C2243*(1-I2243)*(1-ADD.DISCOUNT)*(1+MAT.SURCHARGE)/EXC.RATE_2,C2243*(1-I2243)*(1-ADD.DISCOUNT)*(1+MAT.SURCHARGE)*EXC.RATE_2),CURRENCY.FORMAT_2),CURRENCY.FORMAT_2,0)),'DICTIONARY-5'!$A$2))</f>
        <v/>
      </c>
      <c r="N2243" s="538">
        <v>10</v>
      </c>
      <c r="O2243" s="538"/>
      <c r="P2243" s="731" t="str">
        <f>'DICTIONARY-3'!$A$124</f>
        <v>VARIplus-DJ</v>
      </c>
      <c r="Q2243" s="732" t="str">
        <f>'DICTIONARY-3'!$A$214</f>
        <v>Wstawka montażowa</v>
      </c>
      <c r="R2243" s="732" t="str">
        <f>CONCATENATE('DICTIONARY-3'!$A$124," ",'DICTIONARY-6'!$A$15," ",'DICTIONARY-2'!$A$2,"450"," ",'DICTIONARY-2'!$A$3,"10"," ",'DICTIONARY-2'!$A$24,"=","250-300",'DICTIONARY-2'!$A$17,," ",'DICTIONARY-6'!$A$35)</f>
        <v>VARIplus-DJ Wstawka mont. DN450 PN10 L=250-300mm śr.stal nierdzewna</v>
      </c>
      <c r="S2243" s="733" t="s">
        <v>5569</v>
      </c>
      <c r="T2243" s="732" t="s">
        <v>5569</v>
      </c>
      <c r="U2243" s="734" t="s">
        <v>5755</v>
      </c>
      <c r="V2243" s="735">
        <v>10</v>
      </c>
      <c r="W2243" s="736"/>
      <c r="X2243" s="737"/>
      <c r="Y2243" s="738"/>
      <c r="Z2243" s="739"/>
      <c r="AA2243" s="739"/>
      <c r="AB2243" s="740">
        <v>10</v>
      </c>
      <c r="AC2243" s="741" t="s">
        <v>5713</v>
      </c>
      <c r="AD2243" s="741" t="str">
        <f>'DICTIONARY-5'!$A$13</f>
        <v>woda pitna</v>
      </c>
      <c r="AE2243" s="742">
        <v>90</v>
      </c>
      <c r="AF2243" s="743">
        <v>100.9</v>
      </c>
      <c r="AG2243" s="741" t="str">
        <f>'DICTIONARY-5'!$A$23</f>
        <v>powłoka epoksydowa</v>
      </c>
    </row>
    <row r="2244" spans="1:33" x14ac:dyDescent="0.25">
      <c r="A2244" s="872" t="s">
        <v>2086</v>
      </c>
      <c r="B2244" s="872" t="s">
        <v>3630</v>
      </c>
      <c r="C2244" s="836">
        <v>1561</v>
      </c>
      <c r="D2244" s="836"/>
      <c r="E2244" s="836"/>
      <c r="F2244" s="836"/>
      <c r="G2244" s="496" t="s">
        <v>7843</v>
      </c>
      <c r="H2244" s="797" t="str">
        <f>VLOOKUP(G2244,SETTINGS!$B$7:$D$97,2,0)</f>
        <v>VARIplus</v>
      </c>
      <c r="I2244" s="796">
        <f>VLOOKUP(G2244,SETTINGS!$B$7:$D$97,3,0)</f>
        <v>0</v>
      </c>
      <c r="J2244" s="670" t="str">
        <f>IFERROR(IF(CURRENCY.FORMAT_1=0,CONCATENATE(TEXT(FIXED(ROUND((C2244/EXC.RATE_1),CURRENCY.FORMAT_1),CURRENCY.FORMAT_1,1),"# ##0;-# ##0"),",-"),FIXED(ROUND((C2244/EXC.RATE_1),CURRENCY.FORMAT_1),CURRENCY.FORMAT_1,0)),'DICTIONARY-5'!$A$2)</f>
        <v>1 561,-</v>
      </c>
      <c r="K2244" s="670" t="str">
        <f>IF(EXC.RATE_2=0,"",IFERROR(IF(CURRENCY.FORMAT_2=0,CONCATENATE(TEXT(FIXED(ROUND(IF(EXC.RATE.SWITCH=1,C2244/EXC.RATE_2,C2244*EXC.RATE_2),CURRENCY.FORMAT_2),CURRENCY.FORMAT_2,1),"# ##0;-# ##0"),",-"),FIXED(ROUND(IF(EXC.RATE.SWITCH=1,C2244/EXC.RATE_2,C2244*EXC.RATE_2),CURRENCY.FORMAT_2),CURRENCY.FORMAT_2,0)),'DICTIONARY-5'!$A$2))</f>
        <v/>
      </c>
      <c r="L2244" s="670" t="str">
        <f>IFERROR(IF(CURRENCY.FORMAT_1=0,CONCATENATE(TEXT(FIXED(ROUND((C2244*(1-I2244)*(1-ADD.DISCOUNT)*(1+MAT.SURCHARGE)/EXC.RATE_1),CURRENCY.FORMAT_1),CURRENCY.FORMAT_1,1),"# ##0;-# ##0"),",-"),FIXED(ROUND((C2244*(1-I2244)*(1-ADD.DISCOUNT)*(1+MAT.SURCHARGE)/EXC.RATE_1),CURRENCY.FORMAT_1),CURRENCY.FORMAT_1,0)),'DICTIONARY-5'!$A$2)</f>
        <v>1 622,-</v>
      </c>
      <c r="M2244" s="670" t="str">
        <f>IF(EXC.RATE_2=0,"",IFERROR(IF(CURRENCY.FORMAT_2=0,CONCATENATE(TEXT(FIXED(ROUND(IF(EXC.RATE.SWITCH=1,C2244*(1-I2244)*(1-ADD.DISCOUNT)*(1+MAT.SURCHARGE)/EXC.RATE_2,C2244*(1-I2244)*(1-ADD.DISCOUNT)*(1+MAT.SURCHARGE)*EXC.RATE_2),CURRENCY.FORMAT_2),CURRENCY.FORMAT_2,1),"# ##0;-# ##0"),",-"),FIXED(ROUND(IF(EXC.RATE.SWITCH=1,C2244*(1-I2244)*(1-ADD.DISCOUNT)*(1+MAT.SURCHARGE)/EXC.RATE_2,C2244*(1-I2244)*(1-ADD.DISCOUNT)*(1+MAT.SURCHARGE)*EXC.RATE_2),CURRENCY.FORMAT_2),CURRENCY.FORMAT_2,0)),'DICTIONARY-5'!$A$2))</f>
        <v/>
      </c>
      <c r="N2244" s="538">
        <v>10</v>
      </c>
      <c r="O2244" s="538"/>
      <c r="P2244" s="731" t="str">
        <f>'DICTIONARY-3'!$A$124</f>
        <v>VARIplus-DJ</v>
      </c>
      <c r="Q2244" s="732" t="str">
        <f>'DICTIONARY-3'!$A$214</f>
        <v>Wstawka montażowa</v>
      </c>
      <c r="R2244" s="732" t="str">
        <f>CONCATENATE('DICTIONARY-3'!$A$124," ",'DICTIONARY-6'!$A$15," ",'DICTIONARY-2'!$A$2,"500"," ",'DICTIONARY-2'!$A$3,"10"," ",'DICTIONARY-2'!$A$24,"=","250-300",'DICTIONARY-2'!$A$17,," ",'DICTIONARY-6'!$A$35)</f>
        <v>VARIplus-DJ Wstawka mont. DN500 PN10 L=250-300mm śr.stal nierdzewna</v>
      </c>
      <c r="S2244" s="733" t="s">
        <v>5569</v>
      </c>
      <c r="T2244" s="732" t="s">
        <v>5569</v>
      </c>
      <c r="U2244" s="734" t="s">
        <v>5756</v>
      </c>
      <c r="V2244" s="735">
        <v>10</v>
      </c>
      <c r="W2244" s="736"/>
      <c r="X2244" s="737"/>
      <c r="Y2244" s="738"/>
      <c r="Z2244" s="739"/>
      <c r="AA2244" s="739"/>
      <c r="AB2244" s="740">
        <v>10</v>
      </c>
      <c r="AC2244" s="741" t="s">
        <v>5713</v>
      </c>
      <c r="AD2244" s="741" t="str">
        <f>'DICTIONARY-5'!$A$13</f>
        <v>woda pitna</v>
      </c>
      <c r="AE2244" s="742">
        <v>90</v>
      </c>
      <c r="AF2244" s="743">
        <v>119.68</v>
      </c>
      <c r="AG2244" s="741" t="str">
        <f>'DICTIONARY-5'!$A$23</f>
        <v>powłoka epoksydowa</v>
      </c>
    </row>
    <row r="2245" spans="1:33" x14ac:dyDescent="0.25">
      <c r="A2245" s="872" t="s">
        <v>2088</v>
      </c>
      <c r="B2245" s="872" t="s">
        <v>3634</v>
      </c>
      <c r="C2245" s="836">
        <v>1898</v>
      </c>
      <c r="D2245" s="836"/>
      <c r="E2245" s="836"/>
      <c r="F2245" s="836"/>
      <c r="G2245" s="496" t="s">
        <v>7843</v>
      </c>
      <c r="H2245" s="797" t="str">
        <f>VLOOKUP(G2245,SETTINGS!$B$7:$D$97,2,0)</f>
        <v>VARIplus</v>
      </c>
      <c r="I2245" s="796">
        <f>VLOOKUP(G2245,SETTINGS!$B$7:$D$97,3,0)</f>
        <v>0</v>
      </c>
      <c r="J2245" s="670" t="str">
        <f>IFERROR(IF(CURRENCY.FORMAT_1=0,CONCATENATE(TEXT(FIXED(ROUND((C2245/EXC.RATE_1),CURRENCY.FORMAT_1),CURRENCY.FORMAT_1,1),"# ##0;-# ##0"),",-"),FIXED(ROUND((C2245/EXC.RATE_1),CURRENCY.FORMAT_1),CURRENCY.FORMAT_1,0)),'DICTIONARY-5'!$A$2)</f>
        <v>1 898,-</v>
      </c>
      <c r="K2245" s="670" t="str">
        <f>IF(EXC.RATE_2=0,"",IFERROR(IF(CURRENCY.FORMAT_2=0,CONCATENATE(TEXT(FIXED(ROUND(IF(EXC.RATE.SWITCH=1,C2245/EXC.RATE_2,C2245*EXC.RATE_2),CURRENCY.FORMAT_2),CURRENCY.FORMAT_2,1),"# ##0;-# ##0"),",-"),FIXED(ROUND(IF(EXC.RATE.SWITCH=1,C2245/EXC.RATE_2,C2245*EXC.RATE_2),CURRENCY.FORMAT_2),CURRENCY.FORMAT_2,0)),'DICTIONARY-5'!$A$2))</f>
        <v/>
      </c>
      <c r="L2245" s="670" t="str">
        <f>IFERROR(IF(CURRENCY.FORMAT_1=0,CONCATENATE(TEXT(FIXED(ROUND((C2245*(1-I2245)*(1-ADD.DISCOUNT)*(1+MAT.SURCHARGE)/EXC.RATE_1),CURRENCY.FORMAT_1),CURRENCY.FORMAT_1,1),"# ##0;-# ##0"),",-"),FIXED(ROUND((C2245*(1-I2245)*(1-ADD.DISCOUNT)*(1+MAT.SURCHARGE)/EXC.RATE_1),CURRENCY.FORMAT_1),CURRENCY.FORMAT_1,0)),'DICTIONARY-5'!$A$2)</f>
        <v>1 972,-</v>
      </c>
      <c r="M2245" s="670" t="str">
        <f>IF(EXC.RATE_2=0,"",IFERROR(IF(CURRENCY.FORMAT_2=0,CONCATENATE(TEXT(FIXED(ROUND(IF(EXC.RATE.SWITCH=1,C2245*(1-I2245)*(1-ADD.DISCOUNT)*(1+MAT.SURCHARGE)/EXC.RATE_2,C2245*(1-I2245)*(1-ADD.DISCOUNT)*(1+MAT.SURCHARGE)*EXC.RATE_2),CURRENCY.FORMAT_2),CURRENCY.FORMAT_2,1),"# ##0;-# ##0"),",-"),FIXED(ROUND(IF(EXC.RATE.SWITCH=1,C2245*(1-I2245)*(1-ADD.DISCOUNT)*(1+MAT.SURCHARGE)/EXC.RATE_2,C2245*(1-I2245)*(1-ADD.DISCOUNT)*(1+MAT.SURCHARGE)*EXC.RATE_2),CURRENCY.FORMAT_2),CURRENCY.FORMAT_2,0)),'DICTIONARY-5'!$A$2))</f>
        <v/>
      </c>
      <c r="N2245" s="538">
        <v>10</v>
      </c>
      <c r="O2245" s="538"/>
      <c r="P2245" s="731" t="str">
        <f>'DICTIONARY-3'!$A$124</f>
        <v>VARIplus-DJ</v>
      </c>
      <c r="Q2245" s="732" t="str">
        <f>'DICTIONARY-3'!$A$214</f>
        <v>Wstawka montażowa</v>
      </c>
      <c r="R2245" s="732" t="str">
        <f>CONCATENATE('DICTIONARY-3'!$A$124," ",'DICTIONARY-6'!$A$15," ",'DICTIONARY-2'!$A$2,"600"," ",'DICTIONARY-2'!$A$3,"10"," ",'DICTIONARY-2'!$A$24,"=","250-300",'DICTIONARY-2'!$A$17,," ",'DICTIONARY-6'!$A$35)</f>
        <v>VARIplus-DJ Wstawka mont. DN600 PN10 L=250-300mm śr.stal nierdzewna</v>
      </c>
      <c r="S2245" s="733" t="s">
        <v>5569</v>
      </c>
      <c r="T2245" s="732" t="s">
        <v>5569</v>
      </c>
      <c r="U2245" s="734" t="s">
        <v>5757</v>
      </c>
      <c r="V2245" s="735">
        <v>10</v>
      </c>
      <c r="W2245" s="736"/>
      <c r="X2245" s="737"/>
      <c r="Y2245" s="738"/>
      <c r="Z2245" s="739"/>
      <c r="AA2245" s="739"/>
      <c r="AB2245" s="740">
        <v>10</v>
      </c>
      <c r="AC2245" s="741" t="s">
        <v>5713</v>
      </c>
      <c r="AD2245" s="741" t="str">
        <f>'DICTIONARY-5'!$A$13</f>
        <v>woda pitna</v>
      </c>
      <c r="AE2245" s="742">
        <v>90</v>
      </c>
      <c r="AF2245" s="743">
        <v>120</v>
      </c>
      <c r="AG2245" s="741" t="str">
        <f>'DICTIONARY-5'!$A$23</f>
        <v>powłoka epoksydowa</v>
      </c>
    </row>
    <row r="2246" spans="1:33" x14ac:dyDescent="0.25">
      <c r="A2246" s="872" t="s">
        <v>2090</v>
      </c>
      <c r="B2246" s="872" t="s">
        <v>3638</v>
      </c>
      <c r="C2246" s="836">
        <v>2527</v>
      </c>
      <c r="D2246" s="836"/>
      <c r="E2246" s="836"/>
      <c r="F2246" s="836"/>
      <c r="G2246" s="496" t="s">
        <v>7843</v>
      </c>
      <c r="H2246" s="797" t="str">
        <f>VLOOKUP(G2246,SETTINGS!$B$7:$D$97,2,0)</f>
        <v>VARIplus</v>
      </c>
      <c r="I2246" s="796">
        <f>VLOOKUP(G2246,SETTINGS!$B$7:$D$97,3,0)</f>
        <v>0</v>
      </c>
      <c r="J2246" s="670" t="str">
        <f>IFERROR(IF(CURRENCY.FORMAT_1=0,CONCATENATE(TEXT(FIXED(ROUND((C2246/EXC.RATE_1),CURRENCY.FORMAT_1),CURRENCY.FORMAT_1,1),"# ##0;-# ##0"),",-"),FIXED(ROUND((C2246/EXC.RATE_1),CURRENCY.FORMAT_1),CURRENCY.FORMAT_1,0)),'DICTIONARY-5'!$A$2)</f>
        <v>2 527,-</v>
      </c>
      <c r="K2246" s="670" t="str">
        <f>IF(EXC.RATE_2=0,"",IFERROR(IF(CURRENCY.FORMAT_2=0,CONCATENATE(TEXT(FIXED(ROUND(IF(EXC.RATE.SWITCH=1,C2246/EXC.RATE_2,C2246*EXC.RATE_2),CURRENCY.FORMAT_2),CURRENCY.FORMAT_2,1),"# ##0;-# ##0"),",-"),FIXED(ROUND(IF(EXC.RATE.SWITCH=1,C2246/EXC.RATE_2,C2246*EXC.RATE_2),CURRENCY.FORMAT_2),CURRENCY.FORMAT_2,0)),'DICTIONARY-5'!$A$2))</f>
        <v/>
      </c>
      <c r="L2246" s="670" t="str">
        <f>IFERROR(IF(CURRENCY.FORMAT_1=0,CONCATENATE(TEXT(FIXED(ROUND((C2246*(1-I2246)*(1-ADD.DISCOUNT)*(1+MAT.SURCHARGE)/EXC.RATE_1),CURRENCY.FORMAT_1),CURRENCY.FORMAT_1,1),"# ##0;-# ##0"),",-"),FIXED(ROUND((C2246*(1-I2246)*(1-ADD.DISCOUNT)*(1+MAT.SURCHARGE)/EXC.RATE_1),CURRENCY.FORMAT_1),CURRENCY.FORMAT_1,0)),'DICTIONARY-5'!$A$2)</f>
        <v>2 626,-</v>
      </c>
      <c r="M2246" s="670" t="str">
        <f>IF(EXC.RATE_2=0,"",IFERROR(IF(CURRENCY.FORMAT_2=0,CONCATENATE(TEXT(FIXED(ROUND(IF(EXC.RATE.SWITCH=1,C2246*(1-I2246)*(1-ADD.DISCOUNT)*(1+MAT.SURCHARGE)/EXC.RATE_2,C2246*(1-I2246)*(1-ADD.DISCOUNT)*(1+MAT.SURCHARGE)*EXC.RATE_2),CURRENCY.FORMAT_2),CURRENCY.FORMAT_2,1),"# ##0;-# ##0"),",-"),FIXED(ROUND(IF(EXC.RATE.SWITCH=1,C2246*(1-I2246)*(1-ADD.DISCOUNT)*(1+MAT.SURCHARGE)/EXC.RATE_2,C2246*(1-I2246)*(1-ADD.DISCOUNT)*(1+MAT.SURCHARGE)*EXC.RATE_2),CURRENCY.FORMAT_2),CURRENCY.FORMAT_2,0)),'DICTIONARY-5'!$A$2))</f>
        <v/>
      </c>
      <c r="N2246" s="538">
        <v>10</v>
      </c>
      <c r="O2246" s="538"/>
      <c r="P2246" s="731" t="str">
        <f>'DICTIONARY-3'!$A$124</f>
        <v>VARIplus-DJ</v>
      </c>
      <c r="Q2246" s="732" t="str">
        <f>'DICTIONARY-3'!$A$214</f>
        <v>Wstawka montażowa</v>
      </c>
      <c r="R2246" s="732" t="str">
        <f>CONCATENATE('DICTIONARY-3'!$A$124," ",'DICTIONARY-6'!$A$15," ",'DICTIONARY-2'!$A$2,"700"," ",'DICTIONARY-2'!$A$3,"10"," ",'DICTIONARY-2'!$A$24,"=","250-300",'DICTIONARY-2'!$A$17,," ",'DICTIONARY-6'!$A$35)</f>
        <v>VARIplus-DJ Wstawka mont. DN700 PN10 L=250-300mm śr.stal nierdzewna</v>
      </c>
      <c r="S2246" s="733" t="s">
        <v>5569</v>
      </c>
      <c r="T2246" s="732" t="s">
        <v>5569</v>
      </c>
      <c r="U2246" s="734" t="s">
        <v>5834</v>
      </c>
      <c r="V2246" s="735">
        <v>10</v>
      </c>
      <c r="W2246" s="736"/>
      <c r="X2246" s="737"/>
      <c r="Y2246" s="738"/>
      <c r="Z2246" s="739"/>
      <c r="AA2246" s="739"/>
      <c r="AB2246" s="740">
        <v>10</v>
      </c>
      <c r="AC2246" s="741" t="s">
        <v>5713</v>
      </c>
      <c r="AD2246" s="741" t="str">
        <f>'DICTIONARY-5'!$A$13</f>
        <v>woda pitna</v>
      </c>
      <c r="AE2246" s="742">
        <v>90</v>
      </c>
      <c r="AF2246" s="743">
        <v>160.08000000000001</v>
      </c>
      <c r="AG2246" s="741" t="str">
        <f>'DICTIONARY-5'!$A$23</f>
        <v>powłoka epoksydowa</v>
      </c>
    </row>
    <row r="2247" spans="1:33" x14ac:dyDescent="0.25">
      <c r="A2247" s="872" t="s">
        <v>2092</v>
      </c>
      <c r="B2247" s="872" t="s">
        <v>3642</v>
      </c>
      <c r="C2247" s="836">
        <v>3243</v>
      </c>
      <c r="D2247" s="836"/>
      <c r="E2247" s="836"/>
      <c r="F2247" s="836"/>
      <c r="G2247" s="496" t="s">
        <v>7843</v>
      </c>
      <c r="H2247" s="797" t="str">
        <f>VLOOKUP(G2247,SETTINGS!$B$7:$D$97,2,0)</f>
        <v>VARIplus</v>
      </c>
      <c r="I2247" s="796">
        <f>VLOOKUP(G2247,SETTINGS!$B$7:$D$97,3,0)</f>
        <v>0</v>
      </c>
      <c r="J2247" s="670" t="str">
        <f>IFERROR(IF(CURRENCY.FORMAT_1=0,CONCATENATE(TEXT(FIXED(ROUND((C2247/EXC.RATE_1),CURRENCY.FORMAT_1),CURRENCY.FORMAT_1,1),"# ##0;-# ##0"),",-"),FIXED(ROUND((C2247/EXC.RATE_1),CURRENCY.FORMAT_1),CURRENCY.FORMAT_1,0)),'DICTIONARY-5'!$A$2)</f>
        <v>3 243,-</v>
      </c>
      <c r="K2247" s="670" t="str">
        <f>IF(EXC.RATE_2=0,"",IFERROR(IF(CURRENCY.FORMAT_2=0,CONCATENATE(TEXT(FIXED(ROUND(IF(EXC.RATE.SWITCH=1,C2247/EXC.RATE_2,C2247*EXC.RATE_2),CURRENCY.FORMAT_2),CURRENCY.FORMAT_2,1),"# ##0;-# ##0"),",-"),FIXED(ROUND(IF(EXC.RATE.SWITCH=1,C2247/EXC.RATE_2,C2247*EXC.RATE_2),CURRENCY.FORMAT_2),CURRENCY.FORMAT_2,0)),'DICTIONARY-5'!$A$2))</f>
        <v/>
      </c>
      <c r="L2247" s="670" t="str">
        <f>IFERROR(IF(CURRENCY.FORMAT_1=0,CONCATENATE(TEXT(FIXED(ROUND((C2247*(1-I2247)*(1-ADD.DISCOUNT)*(1+MAT.SURCHARGE)/EXC.RATE_1),CURRENCY.FORMAT_1),CURRENCY.FORMAT_1,1),"# ##0;-# ##0"),",-"),FIXED(ROUND((C2247*(1-I2247)*(1-ADD.DISCOUNT)*(1+MAT.SURCHARGE)/EXC.RATE_1),CURRENCY.FORMAT_1),CURRENCY.FORMAT_1,0)),'DICTIONARY-5'!$A$2)</f>
        <v>3 369,-</v>
      </c>
      <c r="M2247" s="670" t="str">
        <f>IF(EXC.RATE_2=0,"",IFERROR(IF(CURRENCY.FORMAT_2=0,CONCATENATE(TEXT(FIXED(ROUND(IF(EXC.RATE.SWITCH=1,C2247*(1-I2247)*(1-ADD.DISCOUNT)*(1+MAT.SURCHARGE)/EXC.RATE_2,C2247*(1-I2247)*(1-ADD.DISCOUNT)*(1+MAT.SURCHARGE)*EXC.RATE_2),CURRENCY.FORMAT_2),CURRENCY.FORMAT_2,1),"# ##0;-# ##0"),",-"),FIXED(ROUND(IF(EXC.RATE.SWITCH=1,C2247*(1-I2247)*(1-ADD.DISCOUNT)*(1+MAT.SURCHARGE)/EXC.RATE_2,C2247*(1-I2247)*(1-ADD.DISCOUNT)*(1+MAT.SURCHARGE)*EXC.RATE_2),CURRENCY.FORMAT_2),CURRENCY.FORMAT_2,0)),'DICTIONARY-5'!$A$2))</f>
        <v/>
      </c>
      <c r="N2247" s="538">
        <v>10</v>
      </c>
      <c r="O2247" s="538"/>
      <c r="P2247" s="731" t="str">
        <f>'DICTIONARY-3'!$A$124</f>
        <v>VARIplus-DJ</v>
      </c>
      <c r="Q2247" s="732" t="str">
        <f>'DICTIONARY-3'!$A$214</f>
        <v>Wstawka montażowa</v>
      </c>
      <c r="R2247" s="732" t="str">
        <f>CONCATENATE('DICTIONARY-3'!$A$124," ",'DICTIONARY-6'!$A$15," ",'DICTIONARY-2'!$A$2,"800"," ",'DICTIONARY-2'!$A$3,"10"," ",'DICTIONARY-2'!$A$24,"=","250-300",'DICTIONARY-2'!$A$17,," ",'DICTIONARY-6'!$A$35)</f>
        <v>VARIplus-DJ Wstawka mont. DN800 PN10 L=250-300mm śr.stal nierdzewna</v>
      </c>
      <c r="S2247" s="733" t="s">
        <v>5569</v>
      </c>
      <c r="T2247" s="732" t="s">
        <v>5569</v>
      </c>
      <c r="U2247" s="734" t="s">
        <v>5835</v>
      </c>
      <c r="V2247" s="735">
        <v>10</v>
      </c>
      <c r="W2247" s="736"/>
      <c r="X2247" s="737"/>
      <c r="Y2247" s="738"/>
      <c r="Z2247" s="739"/>
      <c r="AA2247" s="739"/>
      <c r="AB2247" s="740">
        <v>10</v>
      </c>
      <c r="AC2247" s="741" t="s">
        <v>5713</v>
      </c>
      <c r="AD2247" s="741" t="str">
        <f>'DICTIONARY-5'!$A$13</f>
        <v>woda pitna</v>
      </c>
      <c r="AE2247" s="742">
        <v>90</v>
      </c>
      <c r="AF2247" s="743">
        <v>206</v>
      </c>
      <c r="AG2247" s="741" t="str">
        <f>'DICTIONARY-5'!$A$23</f>
        <v>powłoka epoksydowa</v>
      </c>
    </row>
    <row r="2248" spans="1:33" x14ac:dyDescent="0.25">
      <c r="A2248" s="872" t="s">
        <v>2094</v>
      </c>
      <c r="B2248" s="872" t="s">
        <v>3646</v>
      </c>
      <c r="C2248" s="836">
        <v>4100</v>
      </c>
      <c r="D2248" s="836"/>
      <c r="E2248" s="836"/>
      <c r="F2248" s="836"/>
      <c r="G2248" s="496" t="s">
        <v>7843</v>
      </c>
      <c r="H2248" s="797" t="str">
        <f>VLOOKUP(G2248,SETTINGS!$B$7:$D$97,2,0)</f>
        <v>VARIplus</v>
      </c>
      <c r="I2248" s="796">
        <f>VLOOKUP(G2248,SETTINGS!$B$7:$D$97,3,0)</f>
        <v>0</v>
      </c>
      <c r="J2248" s="670" t="str">
        <f>IFERROR(IF(CURRENCY.FORMAT_1=0,CONCATENATE(TEXT(FIXED(ROUND((C2248/EXC.RATE_1),CURRENCY.FORMAT_1),CURRENCY.FORMAT_1,1),"# ##0;-# ##0"),",-"),FIXED(ROUND((C2248/EXC.RATE_1),CURRENCY.FORMAT_1),CURRENCY.FORMAT_1,0)),'DICTIONARY-5'!$A$2)</f>
        <v>4 100,-</v>
      </c>
      <c r="K2248" s="670" t="str">
        <f>IF(EXC.RATE_2=0,"",IFERROR(IF(CURRENCY.FORMAT_2=0,CONCATENATE(TEXT(FIXED(ROUND(IF(EXC.RATE.SWITCH=1,C2248/EXC.RATE_2,C2248*EXC.RATE_2),CURRENCY.FORMAT_2),CURRENCY.FORMAT_2,1),"# ##0;-# ##0"),",-"),FIXED(ROUND(IF(EXC.RATE.SWITCH=1,C2248/EXC.RATE_2,C2248*EXC.RATE_2),CURRENCY.FORMAT_2),CURRENCY.FORMAT_2,0)),'DICTIONARY-5'!$A$2))</f>
        <v/>
      </c>
      <c r="L2248" s="670" t="str">
        <f>IFERROR(IF(CURRENCY.FORMAT_1=0,CONCATENATE(TEXT(FIXED(ROUND((C2248*(1-I2248)*(1-ADD.DISCOUNT)*(1+MAT.SURCHARGE)/EXC.RATE_1),CURRENCY.FORMAT_1),CURRENCY.FORMAT_1,1),"# ##0;-# ##0"),",-"),FIXED(ROUND((C2248*(1-I2248)*(1-ADD.DISCOUNT)*(1+MAT.SURCHARGE)/EXC.RATE_1),CURRENCY.FORMAT_1),CURRENCY.FORMAT_1,0)),'DICTIONARY-5'!$A$2)</f>
        <v>4 260,-</v>
      </c>
      <c r="M2248" s="670" t="str">
        <f>IF(EXC.RATE_2=0,"",IFERROR(IF(CURRENCY.FORMAT_2=0,CONCATENATE(TEXT(FIXED(ROUND(IF(EXC.RATE.SWITCH=1,C2248*(1-I2248)*(1-ADD.DISCOUNT)*(1+MAT.SURCHARGE)/EXC.RATE_2,C2248*(1-I2248)*(1-ADD.DISCOUNT)*(1+MAT.SURCHARGE)*EXC.RATE_2),CURRENCY.FORMAT_2),CURRENCY.FORMAT_2,1),"# ##0;-# ##0"),",-"),FIXED(ROUND(IF(EXC.RATE.SWITCH=1,C2248*(1-I2248)*(1-ADD.DISCOUNT)*(1+MAT.SURCHARGE)/EXC.RATE_2,C2248*(1-I2248)*(1-ADD.DISCOUNT)*(1+MAT.SURCHARGE)*EXC.RATE_2),CURRENCY.FORMAT_2),CURRENCY.FORMAT_2,0)),'DICTIONARY-5'!$A$2))</f>
        <v/>
      </c>
      <c r="N2248" s="538">
        <v>10</v>
      </c>
      <c r="O2248" s="538"/>
      <c r="P2248" s="731" t="str">
        <f>'DICTIONARY-3'!$A$124</f>
        <v>VARIplus-DJ</v>
      </c>
      <c r="Q2248" s="732" t="str">
        <f>'DICTIONARY-3'!$A$214</f>
        <v>Wstawka montażowa</v>
      </c>
      <c r="R2248" s="732" t="str">
        <f>CONCATENATE('DICTIONARY-3'!$A$124," ",'DICTIONARY-6'!$A$15," ",'DICTIONARY-2'!$A$2,"900"," ",'DICTIONARY-2'!$A$3,"10"," ",'DICTIONARY-2'!$A$24,"=","250-300",'DICTIONARY-2'!$A$17,," ",'DICTIONARY-6'!$A$35)</f>
        <v>VARIplus-DJ Wstawka mont. DN900 PN10 L=250-300mm śr.stal nierdzewna</v>
      </c>
      <c r="S2248" s="733" t="s">
        <v>5569</v>
      </c>
      <c r="T2248" s="732" t="s">
        <v>5569</v>
      </c>
      <c r="U2248" s="734" t="s">
        <v>5837</v>
      </c>
      <c r="V2248" s="735">
        <v>10</v>
      </c>
      <c r="W2248" s="736"/>
      <c r="X2248" s="737"/>
      <c r="Y2248" s="738"/>
      <c r="Z2248" s="739"/>
      <c r="AA2248" s="739"/>
      <c r="AB2248" s="740">
        <v>10</v>
      </c>
      <c r="AC2248" s="741" t="s">
        <v>5713</v>
      </c>
      <c r="AD2248" s="741" t="str">
        <f>'DICTIONARY-5'!$A$13</f>
        <v>woda pitna</v>
      </c>
      <c r="AE2248" s="742">
        <v>90</v>
      </c>
      <c r="AF2248" s="743">
        <v>248.83</v>
      </c>
      <c r="AG2248" s="741" t="str">
        <f>'DICTIONARY-5'!$A$23</f>
        <v>powłoka epoksydowa</v>
      </c>
    </row>
    <row r="2249" spans="1:33" x14ac:dyDescent="0.25">
      <c r="A2249" s="872" t="s">
        <v>2096</v>
      </c>
      <c r="B2249" s="872" t="s">
        <v>3650</v>
      </c>
      <c r="C2249" s="836">
        <v>4845</v>
      </c>
      <c r="D2249" s="836"/>
      <c r="E2249" s="836"/>
      <c r="F2249" s="836"/>
      <c r="G2249" s="496" t="s">
        <v>7843</v>
      </c>
      <c r="H2249" s="797" t="str">
        <f>VLOOKUP(G2249,SETTINGS!$B$7:$D$97,2,0)</f>
        <v>VARIplus</v>
      </c>
      <c r="I2249" s="796">
        <f>VLOOKUP(G2249,SETTINGS!$B$7:$D$97,3,0)</f>
        <v>0</v>
      </c>
      <c r="J2249" s="670" t="str">
        <f>IFERROR(IF(CURRENCY.FORMAT_1=0,CONCATENATE(TEXT(FIXED(ROUND((C2249/EXC.RATE_1),CURRENCY.FORMAT_1),CURRENCY.FORMAT_1,1),"# ##0;-# ##0"),",-"),FIXED(ROUND((C2249/EXC.RATE_1),CURRENCY.FORMAT_1),CURRENCY.FORMAT_1,0)),'DICTIONARY-5'!$A$2)</f>
        <v>4 845,-</v>
      </c>
      <c r="K2249" s="670" t="str">
        <f>IF(EXC.RATE_2=0,"",IFERROR(IF(CURRENCY.FORMAT_2=0,CONCATENATE(TEXT(FIXED(ROUND(IF(EXC.RATE.SWITCH=1,C2249/EXC.RATE_2,C2249*EXC.RATE_2),CURRENCY.FORMAT_2),CURRENCY.FORMAT_2,1),"# ##0;-# ##0"),",-"),FIXED(ROUND(IF(EXC.RATE.SWITCH=1,C2249/EXC.RATE_2,C2249*EXC.RATE_2),CURRENCY.FORMAT_2),CURRENCY.FORMAT_2,0)),'DICTIONARY-5'!$A$2))</f>
        <v/>
      </c>
      <c r="L2249" s="670" t="str">
        <f>IFERROR(IF(CURRENCY.FORMAT_1=0,CONCATENATE(TEXT(FIXED(ROUND((C2249*(1-I2249)*(1-ADD.DISCOUNT)*(1+MAT.SURCHARGE)/EXC.RATE_1),CURRENCY.FORMAT_1),CURRENCY.FORMAT_1,1),"# ##0;-# ##0"),",-"),FIXED(ROUND((C2249*(1-I2249)*(1-ADD.DISCOUNT)*(1+MAT.SURCHARGE)/EXC.RATE_1),CURRENCY.FORMAT_1),CURRENCY.FORMAT_1,0)),'DICTIONARY-5'!$A$2)</f>
        <v>5 034,-</v>
      </c>
      <c r="M2249" s="670" t="str">
        <f>IF(EXC.RATE_2=0,"",IFERROR(IF(CURRENCY.FORMAT_2=0,CONCATENATE(TEXT(FIXED(ROUND(IF(EXC.RATE.SWITCH=1,C2249*(1-I2249)*(1-ADD.DISCOUNT)*(1+MAT.SURCHARGE)/EXC.RATE_2,C2249*(1-I2249)*(1-ADD.DISCOUNT)*(1+MAT.SURCHARGE)*EXC.RATE_2),CURRENCY.FORMAT_2),CURRENCY.FORMAT_2,1),"# ##0;-# ##0"),",-"),FIXED(ROUND(IF(EXC.RATE.SWITCH=1,C2249*(1-I2249)*(1-ADD.DISCOUNT)*(1+MAT.SURCHARGE)/EXC.RATE_2,C2249*(1-I2249)*(1-ADD.DISCOUNT)*(1+MAT.SURCHARGE)*EXC.RATE_2),CURRENCY.FORMAT_2),CURRENCY.FORMAT_2,0)),'DICTIONARY-5'!$A$2))</f>
        <v/>
      </c>
      <c r="N2249" s="538">
        <v>10</v>
      </c>
      <c r="O2249" s="538"/>
      <c r="P2249" s="731" t="str">
        <f>'DICTIONARY-3'!$A$124</f>
        <v>VARIplus-DJ</v>
      </c>
      <c r="Q2249" s="732" t="str">
        <f>'DICTIONARY-3'!$A$214</f>
        <v>Wstawka montażowa</v>
      </c>
      <c r="R2249" s="732" t="str">
        <f>CONCATENATE('DICTIONARY-3'!$A$124," ",'DICTIONARY-6'!$A$15," ",'DICTIONARY-2'!$A$2,"1000"," ",'DICTIONARY-2'!$A$3,"10"," ",'DICTIONARY-2'!$A$24,"=","260-320",'DICTIONARY-2'!$A$17,," ",'DICTIONARY-6'!$A$35)</f>
        <v>VARIplus-DJ Wstawka mont. DN1000 PN10 L=260-320mm śr.stal nierdzewna</v>
      </c>
      <c r="S2249" s="733" t="s">
        <v>5569</v>
      </c>
      <c r="T2249" s="732" t="s">
        <v>5569</v>
      </c>
      <c r="U2249" s="734" t="s">
        <v>5836</v>
      </c>
      <c r="V2249" s="735">
        <v>10</v>
      </c>
      <c r="W2249" s="736"/>
      <c r="X2249" s="737"/>
      <c r="Y2249" s="738"/>
      <c r="Z2249" s="739"/>
      <c r="AA2249" s="739"/>
      <c r="AB2249" s="740">
        <v>10</v>
      </c>
      <c r="AC2249" s="741" t="s">
        <v>5714</v>
      </c>
      <c r="AD2249" s="741" t="str">
        <f>'DICTIONARY-5'!$A$13</f>
        <v>woda pitna</v>
      </c>
      <c r="AE2249" s="742">
        <v>90</v>
      </c>
      <c r="AF2249" s="743">
        <v>327.52999999999997</v>
      </c>
      <c r="AG2249" s="741" t="str">
        <f>'DICTIONARY-5'!$A$23</f>
        <v>powłoka epoksydowa</v>
      </c>
    </row>
    <row r="2250" spans="1:33" x14ac:dyDescent="0.25">
      <c r="A2250" s="872" t="s">
        <v>2098</v>
      </c>
      <c r="B2250" s="872" t="s">
        <v>3654</v>
      </c>
      <c r="C2250" s="836">
        <v>8030</v>
      </c>
      <c r="D2250" s="836"/>
      <c r="E2250" s="836"/>
      <c r="F2250" s="836"/>
      <c r="G2250" s="496" t="s">
        <v>7843</v>
      </c>
      <c r="H2250" s="797" t="str">
        <f>VLOOKUP(G2250,SETTINGS!$B$7:$D$97,2,0)</f>
        <v>VARIplus</v>
      </c>
      <c r="I2250" s="796">
        <f>VLOOKUP(G2250,SETTINGS!$B$7:$D$97,3,0)</f>
        <v>0</v>
      </c>
      <c r="J2250" s="670" t="str">
        <f>IFERROR(IF(CURRENCY.FORMAT_1=0,CONCATENATE(TEXT(FIXED(ROUND((C2250/EXC.RATE_1),CURRENCY.FORMAT_1),CURRENCY.FORMAT_1,1),"# ##0;-# ##0"),",-"),FIXED(ROUND((C2250/EXC.RATE_1),CURRENCY.FORMAT_1),CURRENCY.FORMAT_1,0)),'DICTIONARY-5'!$A$2)</f>
        <v>8 030,-</v>
      </c>
      <c r="K2250" s="670" t="str">
        <f>IF(EXC.RATE_2=0,"",IFERROR(IF(CURRENCY.FORMAT_2=0,CONCATENATE(TEXT(FIXED(ROUND(IF(EXC.RATE.SWITCH=1,C2250/EXC.RATE_2,C2250*EXC.RATE_2),CURRENCY.FORMAT_2),CURRENCY.FORMAT_2,1),"# ##0;-# ##0"),",-"),FIXED(ROUND(IF(EXC.RATE.SWITCH=1,C2250/EXC.RATE_2,C2250*EXC.RATE_2),CURRENCY.FORMAT_2),CURRENCY.FORMAT_2,0)),'DICTIONARY-5'!$A$2))</f>
        <v/>
      </c>
      <c r="L2250" s="670" t="str">
        <f>IFERROR(IF(CURRENCY.FORMAT_1=0,CONCATENATE(TEXT(FIXED(ROUND((C2250*(1-I2250)*(1-ADD.DISCOUNT)*(1+MAT.SURCHARGE)/EXC.RATE_1),CURRENCY.FORMAT_1),CURRENCY.FORMAT_1,1),"# ##0;-# ##0"),",-"),FIXED(ROUND((C2250*(1-I2250)*(1-ADD.DISCOUNT)*(1+MAT.SURCHARGE)/EXC.RATE_1),CURRENCY.FORMAT_1),CURRENCY.FORMAT_1,0)),'DICTIONARY-5'!$A$2)</f>
        <v>8 343,-</v>
      </c>
      <c r="M2250" s="670" t="str">
        <f>IF(EXC.RATE_2=0,"",IFERROR(IF(CURRENCY.FORMAT_2=0,CONCATENATE(TEXT(FIXED(ROUND(IF(EXC.RATE.SWITCH=1,C2250*(1-I2250)*(1-ADD.DISCOUNT)*(1+MAT.SURCHARGE)/EXC.RATE_2,C2250*(1-I2250)*(1-ADD.DISCOUNT)*(1+MAT.SURCHARGE)*EXC.RATE_2),CURRENCY.FORMAT_2),CURRENCY.FORMAT_2,1),"# ##0;-# ##0"),",-"),FIXED(ROUND(IF(EXC.RATE.SWITCH=1,C2250*(1-I2250)*(1-ADD.DISCOUNT)*(1+MAT.SURCHARGE)/EXC.RATE_2,C2250*(1-I2250)*(1-ADD.DISCOUNT)*(1+MAT.SURCHARGE)*EXC.RATE_2),CURRENCY.FORMAT_2),CURRENCY.FORMAT_2,0)),'DICTIONARY-5'!$A$2))</f>
        <v/>
      </c>
      <c r="N2250" s="538">
        <v>10</v>
      </c>
      <c r="O2250" s="538"/>
      <c r="P2250" s="731" t="str">
        <f>'DICTIONARY-3'!$A$124</f>
        <v>VARIplus-DJ</v>
      </c>
      <c r="Q2250" s="732" t="str">
        <f>'DICTIONARY-3'!$A$214</f>
        <v>Wstawka montażowa</v>
      </c>
      <c r="R2250" s="732" t="str">
        <f>CONCATENATE('DICTIONARY-3'!$A$124," ",'DICTIONARY-6'!$A$15," ",'DICTIONARY-2'!$A$2,"1200"," ",'DICTIONARY-2'!$A$3,"10"," ",'DICTIONARY-2'!$A$24,"=","280-340",'DICTIONARY-2'!$A$17,," ",'DICTIONARY-6'!$A$35)</f>
        <v>VARIplus-DJ Wstawka mont. DN1200 PN10 L=280-340mm śr.stal nierdzewna</v>
      </c>
      <c r="S2250" s="733" t="s">
        <v>5569</v>
      </c>
      <c r="T2250" s="732" t="s">
        <v>5569</v>
      </c>
      <c r="U2250" s="734" t="s">
        <v>5838</v>
      </c>
      <c r="V2250" s="735">
        <v>10</v>
      </c>
      <c r="W2250" s="736"/>
      <c r="X2250" s="737"/>
      <c r="Y2250" s="738"/>
      <c r="Z2250" s="739"/>
      <c r="AA2250" s="739"/>
      <c r="AB2250" s="740">
        <v>10</v>
      </c>
      <c r="AC2250" s="741" t="s">
        <v>5715</v>
      </c>
      <c r="AD2250" s="741" t="str">
        <f>'DICTIONARY-5'!$A$13</f>
        <v>woda pitna</v>
      </c>
      <c r="AE2250" s="742">
        <v>90</v>
      </c>
      <c r="AF2250" s="743">
        <v>552</v>
      </c>
      <c r="AG2250" s="741" t="str">
        <f>'DICTIONARY-5'!$A$23</f>
        <v>powłoka epoksydowa</v>
      </c>
    </row>
    <row r="2251" spans="1:33" x14ac:dyDescent="0.25">
      <c r="A2251" s="872" t="s">
        <v>2100</v>
      </c>
      <c r="B2251" s="872" t="s">
        <v>3658</v>
      </c>
      <c r="C2251" s="836">
        <v>14666</v>
      </c>
      <c r="D2251" s="836"/>
      <c r="E2251" s="836"/>
      <c r="F2251" s="836"/>
      <c r="G2251" s="496" t="s">
        <v>7843</v>
      </c>
      <c r="H2251" s="797" t="str">
        <f>VLOOKUP(G2251,SETTINGS!$B$7:$D$97,2,0)</f>
        <v>VARIplus</v>
      </c>
      <c r="I2251" s="796">
        <f>VLOOKUP(G2251,SETTINGS!$B$7:$D$97,3,0)</f>
        <v>0</v>
      </c>
      <c r="J2251" s="670" t="str">
        <f>IFERROR(IF(CURRENCY.FORMAT_1=0,CONCATENATE(TEXT(FIXED(ROUND((C2251/EXC.RATE_1),CURRENCY.FORMAT_1),CURRENCY.FORMAT_1,1),"# ##0;-# ##0"),",-"),FIXED(ROUND((C2251/EXC.RATE_1),CURRENCY.FORMAT_1),CURRENCY.FORMAT_1,0)),'DICTIONARY-5'!$A$2)</f>
        <v>14 666,-</v>
      </c>
      <c r="K2251" s="670" t="str">
        <f>IF(EXC.RATE_2=0,"",IFERROR(IF(CURRENCY.FORMAT_2=0,CONCATENATE(TEXT(FIXED(ROUND(IF(EXC.RATE.SWITCH=1,C2251/EXC.RATE_2,C2251*EXC.RATE_2),CURRENCY.FORMAT_2),CURRENCY.FORMAT_2,1),"# ##0;-# ##0"),",-"),FIXED(ROUND(IF(EXC.RATE.SWITCH=1,C2251/EXC.RATE_2,C2251*EXC.RATE_2),CURRENCY.FORMAT_2),CURRENCY.FORMAT_2,0)),'DICTIONARY-5'!$A$2))</f>
        <v/>
      </c>
      <c r="L2251" s="670" t="str">
        <f>IFERROR(IF(CURRENCY.FORMAT_1=0,CONCATENATE(TEXT(FIXED(ROUND((C2251*(1-I2251)*(1-ADD.DISCOUNT)*(1+MAT.SURCHARGE)/EXC.RATE_1),CURRENCY.FORMAT_1),CURRENCY.FORMAT_1,1),"# ##0;-# ##0"),",-"),FIXED(ROUND((C2251*(1-I2251)*(1-ADD.DISCOUNT)*(1+MAT.SURCHARGE)/EXC.RATE_1),CURRENCY.FORMAT_1),CURRENCY.FORMAT_1,0)),'DICTIONARY-5'!$A$2)</f>
        <v>15 238,-</v>
      </c>
      <c r="M2251" s="670" t="str">
        <f>IF(EXC.RATE_2=0,"",IFERROR(IF(CURRENCY.FORMAT_2=0,CONCATENATE(TEXT(FIXED(ROUND(IF(EXC.RATE.SWITCH=1,C2251*(1-I2251)*(1-ADD.DISCOUNT)*(1+MAT.SURCHARGE)/EXC.RATE_2,C2251*(1-I2251)*(1-ADD.DISCOUNT)*(1+MAT.SURCHARGE)*EXC.RATE_2),CURRENCY.FORMAT_2),CURRENCY.FORMAT_2,1),"# ##0;-# ##0"),",-"),FIXED(ROUND(IF(EXC.RATE.SWITCH=1,C2251*(1-I2251)*(1-ADD.DISCOUNT)*(1+MAT.SURCHARGE)/EXC.RATE_2,C2251*(1-I2251)*(1-ADD.DISCOUNT)*(1+MAT.SURCHARGE)*EXC.RATE_2),CURRENCY.FORMAT_2),CURRENCY.FORMAT_2,0)),'DICTIONARY-5'!$A$2))</f>
        <v/>
      </c>
      <c r="N2251" s="538">
        <v>10</v>
      </c>
      <c r="O2251" s="538"/>
      <c r="P2251" s="731" t="str">
        <f>'DICTIONARY-3'!$A$124</f>
        <v>VARIplus-DJ</v>
      </c>
      <c r="Q2251" s="732" t="str">
        <f>'DICTIONARY-3'!$A$214</f>
        <v>Wstawka montażowa</v>
      </c>
      <c r="R2251" s="732" t="str">
        <f>CONCATENATE('DICTIONARY-3'!$A$124," ",'DICTIONARY-6'!$A$15," ",'DICTIONARY-2'!$A$2,"1400"," ",'DICTIONARY-2'!$A$3,"10"," ",'DICTIONARY-2'!$A$24,"=","310-370",'DICTIONARY-2'!$A$17,," ",'DICTIONARY-6'!$A$35)</f>
        <v>VARIplus-DJ Wstawka mont. DN1400 PN10 L=310-370mm śr.stal nierdzewna</v>
      </c>
      <c r="S2251" s="733" t="s">
        <v>5569</v>
      </c>
      <c r="T2251" s="732" t="s">
        <v>5569</v>
      </c>
      <c r="U2251" s="734" t="s">
        <v>5839</v>
      </c>
      <c r="V2251" s="735">
        <v>10</v>
      </c>
      <c r="W2251" s="736"/>
      <c r="X2251" s="737"/>
      <c r="Y2251" s="738"/>
      <c r="Z2251" s="739"/>
      <c r="AA2251" s="739"/>
      <c r="AB2251" s="740">
        <v>10</v>
      </c>
      <c r="AC2251" s="741" t="s">
        <v>5716</v>
      </c>
      <c r="AD2251" s="741" t="str">
        <f>'DICTIONARY-5'!$A$13</f>
        <v>woda pitna</v>
      </c>
      <c r="AE2251" s="742">
        <v>90</v>
      </c>
      <c r="AF2251" s="743">
        <v>665.14</v>
      </c>
      <c r="AG2251" s="741" t="str">
        <f>'DICTIONARY-5'!$A$23</f>
        <v>powłoka epoksydowa</v>
      </c>
    </row>
    <row r="2252" spans="1:33" x14ac:dyDescent="0.25">
      <c r="A2252" s="872" t="s">
        <v>2102</v>
      </c>
      <c r="B2252" s="872" t="s">
        <v>3662</v>
      </c>
      <c r="C2252" s="836">
        <v>24751</v>
      </c>
      <c r="D2252" s="836"/>
      <c r="E2252" s="836"/>
      <c r="F2252" s="836"/>
      <c r="G2252" s="496" t="s">
        <v>7843</v>
      </c>
      <c r="H2252" s="797" t="str">
        <f>VLOOKUP(G2252,SETTINGS!$B$7:$D$97,2,0)</f>
        <v>VARIplus</v>
      </c>
      <c r="I2252" s="796">
        <f>VLOOKUP(G2252,SETTINGS!$B$7:$D$97,3,0)</f>
        <v>0</v>
      </c>
      <c r="J2252" s="670" t="str">
        <f>IFERROR(IF(CURRENCY.FORMAT_1=0,CONCATENATE(TEXT(FIXED(ROUND((C2252/EXC.RATE_1),CURRENCY.FORMAT_1),CURRENCY.FORMAT_1,1),"# ##0;-# ##0"),",-"),FIXED(ROUND((C2252/EXC.RATE_1),CURRENCY.FORMAT_1),CURRENCY.FORMAT_1,0)),'DICTIONARY-5'!$A$2)</f>
        <v>24 751,-</v>
      </c>
      <c r="K2252" s="670" t="str">
        <f>IF(EXC.RATE_2=0,"",IFERROR(IF(CURRENCY.FORMAT_2=0,CONCATENATE(TEXT(FIXED(ROUND(IF(EXC.RATE.SWITCH=1,C2252/EXC.RATE_2,C2252*EXC.RATE_2),CURRENCY.FORMAT_2),CURRENCY.FORMAT_2,1),"# ##0;-# ##0"),",-"),FIXED(ROUND(IF(EXC.RATE.SWITCH=1,C2252/EXC.RATE_2,C2252*EXC.RATE_2),CURRENCY.FORMAT_2),CURRENCY.FORMAT_2,0)),'DICTIONARY-5'!$A$2))</f>
        <v/>
      </c>
      <c r="L2252" s="670" t="str">
        <f>IFERROR(IF(CURRENCY.FORMAT_1=0,CONCATENATE(TEXT(FIXED(ROUND((C2252*(1-I2252)*(1-ADD.DISCOUNT)*(1+MAT.SURCHARGE)/EXC.RATE_1),CURRENCY.FORMAT_1),CURRENCY.FORMAT_1,1),"# ##0;-# ##0"),",-"),FIXED(ROUND((C2252*(1-I2252)*(1-ADD.DISCOUNT)*(1+MAT.SURCHARGE)/EXC.RATE_1),CURRENCY.FORMAT_1),CURRENCY.FORMAT_1,0)),'DICTIONARY-5'!$A$2)</f>
        <v>25 716,-</v>
      </c>
      <c r="M2252" s="670" t="str">
        <f>IF(EXC.RATE_2=0,"",IFERROR(IF(CURRENCY.FORMAT_2=0,CONCATENATE(TEXT(FIXED(ROUND(IF(EXC.RATE.SWITCH=1,C2252*(1-I2252)*(1-ADD.DISCOUNT)*(1+MAT.SURCHARGE)/EXC.RATE_2,C2252*(1-I2252)*(1-ADD.DISCOUNT)*(1+MAT.SURCHARGE)*EXC.RATE_2),CURRENCY.FORMAT_2),CURRENCY.FORMAT_2,1),"# ##0;-# ##0"),",-"),FIXED(ROUND(IF(EXC.RATE.SWITCH=1,C2252*(1-I2252)*(1-ADD.DISCOUNT)*(1+MAT.SURCHARGE)/EXC.RATE_2,C2252*(1-I2252)*(1-ADD.DISCOUNT)*(1+MAT.SURCHARGE)*EXC.RATE_2),CURRENCY.FORMAT_2),CURRENCY.FORMAT_2,0)),'DICTIONARY-5'!$A$2))</f>
        <v/>
      </c>
      <c r="N2252" s="538">
        <v>10</v>
      </c>
      <c r="O2252" s="538"/>
      <c r="P2252" s="731" t="str">
        <f>'DICTIONARY-3'!$A$124</f>
        <v>VARIplus-DJ</v>
      </c>
      <c r="Q2252" s="732" t="str">
        <f>'DICTIONARY-3'!$A$214</f>
        <v>Wstawka montażowa</v>
      </c>
      <c r="R2252" s="732" t="str">
        <f>CONCATENATE('DICTIONARY-3'!$A$124," ",'DICTIONARY-6'!$A$15," ",'DICTIONARY-2'!$A$2,"1600"," ",'DICTIONARY-2'!$A$3,"10"," ",'DICTIONARY-2'!$A$24,"=","350-410",'DICTIONARY-2'!$A$17,," ",'DICTIONARY-6'!$A$35)</f>
        <v>VARIplus-DJ Wstawka mont. DN1600 PN10 L=350-410mm śr.stal nierdzewna</v>
      </c>
      <c r="S2252" s="733" t="s">
        <v>5569</v>
      </c>
      <c r="T2252" s="732" t="s">
        <v>5569</v>
      </c>
      <c r="U2252" s="734" t="s">
        <v>5840</v>
      </c>
      <c r="V2252" s="735">
        <v>10</v>
      </c>
      <c r="W2252" s="736"/>
      <c r="X2252" s="737"/>
      <c r="Y2252" s="738"/>
      <c r="Z2252" s="739"/>
      <c r="AA2252" s="739"/>
      <c r="AB2252" s="740">
        <v>10</v>
      </c>
      <c r="AC2252" s="741" t="s">
        <v>5717</v>
      </c>
      <c r="AD2252" s="741" t="str">
        <f>'DICTIONARY-5'!$A$13</f>
        <v>woda pitna</v>
      </c>
      <c r="AE2252" s="742">
        <v>90</v>
      </c>
      <c r="AF2252" s="743">
        <v>1328.58</v>
      </c>
      <c r="AG2252" s="741" t="str">
        <f>'DICTIONARY-5'!$A$23</f>
        <v>powłoka epoksydowa</v>
      </c>
    </row>
    <row r="2253" spans="1:33" x14ac:dyDescent="0.25">
      <c r="A2253" s="872" t="s">
        <v>2104</v>
      </c>
      <c r="B2253" s="872" t="s">
        <v>3666</v>
      </c>
      <c r="C2253" s="836">
        <v>35838</v>
      </c>
      <c r="D2253" s="836"/>
      <c r="E2253" s="836"/>
      <c r="F2253" s="836"/>
      <c r="G2253" s="496" t="s">
        <v>7843</v>
      </c>
      <c r="H2253" s="797" t="str">
        <f>VLOOKUP(G2253,SETTINGS!$B$7:$D$97,2,0)</f>
        <v>VARIplus</v>
      </c>
      <c r="I2253" s="796">
        <f>VLOOKUP(G2253,SETTINGS!$B$7:$D$97,3,0)</f>
        <v>0</v>
      </c>
      <c r="J2253" s="670" t="str">
        <f>IFERROR(IF(CURRENCY.FORMAT_1=0,CONCATENATE(TEXT(FIXED(ROUND((C2253/EXC.RATE_1),CURRENCY.FORMAT_1),CURRENCY.FORMAT_1,1),"# ##0;-# ##0"),",-"),FIXED(ROUND((C2253/EXC.RATE_1),CURRENCY.FORMAT_1),CURRENCY.FORMAT_1,0)),'DICTIONARY-5'!$A$2)</f>
        <v>35 838,-</v>
      </c>
      <c r="K2253" s="670" t="str">
        <f>IF(EXC.RATE_2=0,"",IFERROR(IF(CURRENCY.FORMAT_2=0,CONCATENATE(TEXT(FIXED(ROUND(IF(EXC.RATE.SWITCH=1,C2253/EXC.RATE_2,C2253*EXC.RATE_2),CURRENCY.FORMAT_2),CURRENCY.FORMAT_2,1),"# ##0;-# ##0"),",-"),FIXED(ROUND(IF(EXC.RATE.SWITCH=1,C2253/EXC.RATE_2,C2253*EXC.RATE_2),CURRENCY.FORMAT_2),CURRENCY.FORMAT_2,0)),'DICTIONARY-5'!$A$2))</f>
        <v/>
      </c>
      <c r="L2253" s="670" t="str">
        <f>IFERROR(IF(CURRENCY.FORMAT_1=0,CONCATENATE(TEXT(FIXED(ROUND((C2253*(1-I2253)*(1-ADD.DISCOUNT)*(1+MAT.SURCHARGE)/EXC.RATE_1),CURRENCY.FORMAT_1),CURRENCY.FORMAT_1,1),"# ##0;-# ##0"),",-"),FIXED(ROUND((C2253*(1-I2253)*(1-ADD.DISCOUNT)*(1+MAT.SURCHARGE)/EXC.RATE_1),CURRENCY.FORMAT_1),CURRENCY.FORMAT_1,0)),'DICTIONARY-5'!$A$2)</f>
        <v>37 236,-</v>
      </c>
      <c r="M2253" s="670" t="str">
        <f>IF(EXC.RATE_2=0,"",IFERROR(IF(CURRENCY.FORMAT_2=0,CONCATENATE(TEXT(FIXED(ROUND(IF(EXC.RATE.SWITCH=1,C2253*(1-I2253)*(1-ADD.DISCOUNT)*(1+MAT.SURCHARGE)/EXC.RATE_2,C2253*(1-I2253)*(1-ADD.DISCOUNT)*(1+MAT.SURCHARGE)*EXC.RATE_2),CURRENCY.FORMAT_2),CURRENCY.FORMAT_2,1),"# ##0;-# ##0"),",-"),FIXED(ROUND(IF(EXC.RATE.SWITCH=1,C2253*(1-I2253)*(1-ADD.DISCOUNT)*(1+MAT.SURCHARGE)/EXC.RATE_2,C2253*(1-I2253)*(1-ADD.DISCOUNT)*(1+MAT.SURCHARGE)*EXC.RATE_2),CURRENCY.FORMAT_2),CURRENCY.FORMAT_2,0)),'DICTIONARY-5'!$A$2))</f>
        <v/>
      </c>
      <c r="N2253" s="538">
        <v>10</v>
      </c>
      <c r="O2253" s="538"/>
      <c r="P2253" s="731" t="str">
        <f>'DICTIONARY-3'!$A$124</f>
        <v>VARIplus-DJ</v>
      </c>
      <c r="Q2253" s="732" t="str">
        <f>'DICTIONARY-3'!$A$214</f>
        <v>Wstawka montażowa</v>
      </c>
      <c r="R2253" s="732" t="str">
        <f>CONCATENATE('DICTIONARY-3'!$A$124," ",'DICTIONARY-6'!$A$15," ",'DICTIONARY-2'!$A$2,"1800"," ",'DICTIONARY-2'!$A$3,"10"," ",'DICTIONARY-2'!$A$24,"=","350-410",'DICTIONARY-2'!$A$17,," ",'DICTIONARY-6'!$A$35)</f>
        <v>VARIplus-DJ Wstawka mont. DN1800 PN10 L=350-410mm śr.stal nierdzewna</v>
      </c>
      <c r="S2253" s="733" t="s">
        <v>5569</v>
      </c>
      <c r="T2253" s="732" t="s">
        <v>5569</v>
      </c>
      <c r="U2253" s="734" t="s">
        <v>5841</v>
      </c>
      <c r="V2253" s="735">
        <v>10</v>
      </c>
      <c r="W2253" s="736"/>
      <c r="X2253" s="737"/>
      <c r="Y2253" s="738"/>
      <c r="Z2253" s="739"/>
      <c r="AA2253" s="739"/>
      <c r="AB2253" s="740">
        <v>10</v>
      </c>
      <c r="AC2253" s="741" t="s">
        <v>5717</v>
      </c>
      <c r="AD2253" s="741" t="str">
        <f>'DICTIONARY-5'!$A$13</f>
        <v>woda pitna</v>
      </c>
      <c r="AE2253" s="742">
        <v>90</v>
      </c>
      <c r="AF2253" s="743">
        <v>1405.8</v>
      </c>
      <c r="AG2253" s="741" t="str">
        <f>'DICTIONARY-5'!$A$23</f>
        <v>powłoka epoksydowa</v>
      </c>
    </row>
    <row r="2254" spans="1:33" x14ac:dyDescent="0.25">
      <c r="A2254" s="872" t="s">
        <v>2106</v>
      </c>
      <c r="B2254" s="872" t="s">
        <v>3670</v>
      </c>
      <c r="C2254" s="836">
        <v>42310</v>
      </c>
      <c r="D2254" s="836"/>
      <c r="E2254" s="836"/>
      <c r="F2254" s="836"/>
      <c r="G2254" s="496" t="s">
        <v>7843</v>
      </c>
      <c r="H2254" s="797" t="str">
        <f>VLOOKUP(G2254,SETTINGS!$B$7:$D$97,2,0)</f>
        <v>VARIplus</v>
      </c>
      <c r="I2254" s="796">
        <f>VLOOKUP(G2254,SETTINGS!$B$7:$D$97,3,0)</f>
        <v>0</v>
      </c>
      <c r="J2254" s="670" t="str">
        <f>IFERROR(IF(CURRENCY.FORMAT_1=0,CONCATENATE(TEXT(FIXED(ROUND((C2254/EXC.RATE_1),CURRENCY.FORMAT_1),CURRENCY.FORMAT_1,1),"# ##0;-# ##0"),",-"),FIXED(ROUND((C2254/EXC.RATE_1),CURRENCY.FORMAT_1),CURRENCY.FORMAT_1,0)),'DICTIONARY-5'!$A$2)</f>
        <v>42 310,-</v>
      </c>
      <c r="K2254" s="670" t="str">
        <f>IF(EXC.RATE_2=0,"",IFERROR(IF(CURRENCY.FORMAT_2=0,CONCATENATE(TEXT(FIXED(ROUND(IF(EXC.RATE.SWITCH=1,C2254/EXC.RATE_2,C2254*EXC.RATE_2),CURRENCY.FORMAT_2),CURRENCY.FORMAT_2,1),"# ##0;-# ##0"),",-"),FIXED(ROUND(IF(EXC.RATE.SWITCH=1,C2254/EXC.RATE_2,C2254*EXC.RATE_2),CURRENCY.FORMAT_2),CURRENCY.FORMAT_2,0)),'DICTIONARY-5'!$A$2))</f>
        <v/>
      </c>
      <c r="L2254" s="670" t="str">
        <f>IFERROR(IF(CURRENCY.FORMAT_1=0,CONCATENATE(TEXT(FIXED(ROUND((C2254*(1-I2254)*(1-ADD.DISCOUNT)*(1+MAT.SURCHARGE)/EXC.RATE_1),CURRENCY.FORMAT_1),CURRENCY.FORMAT_1,1),"# ##0;-# ##0"),",-"),FIXED(ROUND((C2254*(1-I2254)*(1-ADD.DISCOUNT)*(1+MAT.SURCHARGE)/EXC.RATE_1),CURRENCY.FORMAT_1),CURRENCY.FORMAT_1,0)),'DICTIONARY-5'!$A$2)</f>
        <v>43 960,-</v>
      </c>
      <c r="M2254" s="670" t="str">
        <f>IF(EXC.RATE_2=0,"",IFERROR(IF(CURRENCY.FORMAT_2=0,CONCATENATE(TEXT(FIXED(ROUND(IF(EXC.RATE.SWITCH=1,C2254*(1-I2254)*(1-ADD.DISCOUNT)*(1+MAT.SURCHARGE)/EXC.RATE_2,C2254*(1-I2254)*(1-ADD.DISCOUNT)*(1+MAT.SURCHARGE)*EXC.RATE_2),CURRENCY.FORMAT_2),CURRENCY.FORMAT_2,1),"# ##0;-# ##0"),",-"),FIXED(ROUND(IF(EXC.RATE.SWITCH=1,C2254*(1-I2254)*(1-ADD.DISCOUNT)*(1+MAT.SURCHARGE)/EXC.RATE_2,C2254*(1-I2254)*(1-ADD.DISCOUNT)*(1+MAT.SURCHARGE)*EXC.RATE_2),CURRENCY.FORMAT_2),CURRENCY.FORMAT_2,0)),'DICTIONARY-5'!$A$2))</f>
        <v/>
      </c>
      <c r="N2254" s="538">
        <v>10</v>
      </c>
      <c r="O2254" s="538"/>
      <c r="P2254" s="731" t="str">
        <f>'DICTIONARY-3'!$A$124</f>
        <v>VARIplus-DJ</v>
      </c>
      <c r="Q2254" s="732" t="str">
        <f>'DICTIONARY-3'!$A$214</f>
        <v>Wstawka montażowa</v>
      </c>
      <c r="R2254" s="732" t="str">
        <f>CONCATENATE('DICTIONARY-3'!$A$124," ",'DICTIONARY-6'!$A$15," ",'DICTIONARY-2'!$A$2,"2000"," ",'DICTIONARY-2'!$A$3,"10"," ",'DICTIONARY-2'!$A$24,"=","350-410",'DICTIONARY-2'!$A$17,," ",'DICTIONARY-6'!$A$35)</f>
        <v>VARIplus-DJ Wstawka mont. DN2000 PN10 L=350-410mm śr.stal nierdzewna</v>
      </c>
      <c r="S2254" s="733" t="s">
        <v>5569</v>
      </c>
      <c r="T2254" s="732" t="s">
        <v>5569</v>
      </c>
      <c r="U2254" s="734" t="s">
        <v>5842</v>
      </c>
      <c r="V2254" s="735">
        <v>10</v>
      </c>
      <c r="W2254" s="736"/>
      <c r="X2254" s="737"/>
      <c r="Y2254" s="738"/>
      <c r="Z2254" s="739"/>
      <c r="AA2254" s="739"/>
      <c r="AB2254" s="740">
        <v>10</v>
      </c>
      <c r="AC2254" s="741" t="s">
        <v>5717</v>
      </c>
      <c r="AD2254" s="741" t="str">
        <f>'DICTIONARY-5'!$A$13</f>
        <v>woda pitna</v>
      </c>
      <c r="AE2254" s="742">
        <v>90</v>
      </c>
      <c r="AF2254" s="743">
        <v>1634.82</v>
      </c>
      <c r="AG2254" s="741" t="str">
        <f>'DICTIONARY-5'!$A$23</f>
        <v>powłoka epoksydowa</v>
      </c>
    </row>
    <row r="2255" spans="1:33" x14ac:dyDescent="0.25">
      <c r="A2255" s="872" t="s">
        <v>2075</v>
      </c>
      <c r="B2255" s="872" t="s">
        <v>3608</v>
      </c>
      <c r="C2255" s="836">
        <v>578</v>
      </c>
      <c r="D2255" s="836"/>
      <c r="E2255" s="836"/>
      <c r="F2255" s="836"/>
      <c r="G2255" s="496" t="s">
        <v>7843</v>
      </c>
      <c r="H2255" s="797" t="str">
        <f>VLOOKUP(G2255,SETTINGS!$B$7:$D$97,2,0)</f>
        <v>VARIplus</v>
      </c>
      <c r="I2255" s="796">
        <f>VLOOKUP(G2255,SETTINGS!$B$7:$D$97,3,0)</f>
        <v>0</v>
      </c>
      <c r="J2255" s="670" t="str">
        <f>IFERROR(IF(CURRENCY.FORMAT_1=0,CONCATENATE(TEXT(FIXED(ROUND((C2255/EXC.RATE_1),CURRENCY.FORMAT_1),CURRENCY.FORMAT_1,1),"# ##0;-# ##0"),",-"),FIXED(ROUND((C2255/EXC.RATE_1),CURRENCY.FORMAT_1),CURRENCY.FORMAT_1,0)),'DICTIONARY-5'!$A$2)</f>
        <v>578,-</v>
      </c>
      <c r="K2255" s="670" t="str">
        <f>IF(EXC.RATE_2=0,"",IFERROR(IF(CURRENCY.FORMAT_2=0,CONCATENATE(TEXT(FIXED(ROUND(IF(EXC.RATE.SWITCH=1,C2255/EXC.RATE_2,C2255*EXC.RATE_2),CURRENCY.FORMAT_2),CURRENCY.FORMAT_2,1),"# ##0;-# ##0"),",-"),FIXED(ROUND(IF(EXC.RATE.SWITCH=1,C2255/EXC.RATE_2,C2255*EXC.RATE_2),CURRENCY.FORMAT_2),CURRENCY.FORMAT_2,0)),'DICTIONARY-5'!$A$2))</f>
        <v/>
      </c>
      <c r="L2255" s="670" t="str">
        <f>IFERROR(IF(CURRENCY.FORMAT_1=0,CONCATENATE(TEXT(FIXED(ROUND((C2255*(1-I2255)*(1-ADD.DISCOUNT)*(1+MAT.SURCHARGE)/EXC.RATE_1),CURRENCY.FORMAT_1),CURRENCY.FORMAT_1,1),"# ##0;-# ##0"),",-"),FIXED(ROUND((C2255*(1-I2255)*(1-ADD.DISCOUNT)*(1+MAT.SURCHARGE)/EXC.RATE_1),CURRENCY.FORMAT_1),CURRENCY.FORMAT_1,0)),'DICTIONARY-5'!$A$2)</f>
        <v>601,-</v>
      </c>
      <c r="M2255" s="670" t="str">
        <f>IF(EXC.RATE_2=0,"",IFERROR(IF(CURRENCY.FORMAT_2=0,CONCATENATE(TEXT(FIXED(ROUND(IF(EXC.RATE.SWITCH=1,C2255*(1-I2255)*(1-ADD.DISCOUNT)*(1+MAT.SURCHARGE)/EXC.RATE_2,C2255*(1-I2255)*(1-ADD.DISCOUNT)*(1+MAT.SURCHARGE)*EXC.RATE_2),CURRENCY.FORMAT_2),CURRENCY.FORMAT_2,1),"# ##0;-# ##0"),",-"),FIXED(ROUND(IF(EXC.RATE.SWITCH=1,C2255*(1-I2255)*(1-ADD.DISCOUNT)*(1+MAT.SURCHARGE)/EXC.RATE_2,C2255*(1-I2255)*(1-ADD.DISCOUNT)*(1+MAT.SURCHARGE)*EXC.RATE_2),CURRENCY.FORMAT_2),CURRENCY.FORMAT_2,0)),'DICTIONARY-5'!$A$2))</f>
        <v/>
      </c>
      <c r="N2255" s="538">
        <v>10</v>
      </c>
      <c r="O2255" s="538"/>
      <c r="P2255" s="731" t="str">
        <f>'DICTIONARY-3'!$A$124</f>
        <v>VARIplus-DJ</v>
      </c>
      <c r="Q2255" s="732" t="str">
        <f>'DICTIONARY-3'!$A$214</f>
        <v>Wstawka montażowa</v>
      </c>
      <c r="R2255" s="732" t="str">
        <f>CONCATENATE('DICTIONARY-3'!$A$124," ",'DICTIONARY-6'!$A$15," ",'DICTIONARY-2'!$A$2,"200"," ",'DICTIONARY-2'!$A$3,"16"," ",'DICTIONARY-2'!$A$24,"=","165-205",'DICTIONARY-2'!$A$17,," ",'DICTIONARY-6'!$A$35)</f>
        <v>VARIplus-DJ Wstawka mont. DN200 PN16 L=165-205mm śr.stal nierdzewna</v>
      </c>
      <c r="S2255" s="733" t="s">
        <v>5569</v>
      </c>
      <c r="T2255" s="732" t="s">
        <v>5569</v>
      </c>
      <c r="U2255" s="734" t="s">
        <v>5750</v>
      </c>
      <c r="V2255" s="735">
        <v>16</v>
      </c>
      <c r="W2255" s="736"/>
      <c r="X2255" s="737"/>
      <c r="Y2255" s="738"/>
      <c r="Z2255" s="739"/>
      <c r="AA2255" s="739"/>
      <c r="AB2255" s="740">
        <v>16</v>
      </c>
      <c r="AC2255" s="741" t="s">
        <v>5711</v>
      </c>
      <c r="AD2255" s="741" t="str">
        <f>'DICTIONARY-5'!$A$13</f>
        <v>woda pitna</v>
      </c>
      <c r="AE2255" s="742">
        <v>90</v>
      </c>
      <c r="AF2255" s="743">
        <v>34.42</v>
      </c>
      <c r="AG2255" s="741" t="str">
        <f>'DICTIONARY-5'!$A$23</f>
        <v>powłoka epoksydowa</v>
      </c>
    </row>
    <row r="2256" spans="1:33" x14ac:dyDescent="0.25">
      <c r="A2256" s="872" t="s">
        <v>2077</v>
      </c>
      <c r="B2256" s="872" t="s">
        <v>3612</v>
      </c>
      <c r="C2256" s="836">
        <v>625</v>
      </c>
      <c r="D2256" s="836"/>
      <c r="E2256" s="836"/>
      <c r="F2256" s="836"/>
      <c r="G2256" s="496" t="s">
        <v>7843</v>
      </c>
      <c r="H2256" s="797" t="str">
        <f>VLOOKUP(G2256,SETTINGS!$B$7:$D$97,2,0)</f>
        <v>VARIplus</v>
      </c>
      <c r="I2256" s="796">
        <f>VLOOKUP(G2256,SETTINGS!$B$7:$D$97,3,0)</f>
        <v>0</v>
      </c>
      <c r="J2256" s="670" t="str">
        <f>IFERROR(IF(CURRENCY.FORMAT_1=0,CONCATENATE(TEXT(FIXED(ROUND((C2256/EXC.RATE_1),CURRENCY.FORMAT_1),CURRENCY.FORMAT_1,1),"# ##0;-# ##0"),",-"),FIXED(ROUND((C2256/EXC.RATE_1),CURRENCY.FORMAT_1),CURRENCY.FORMAT_1,0)),'DICTIONARY-5'!$A$2)</f>
        <v>625,-</v>
      </c>
      <c r="K2256" s="670" t="str">
        <f>IF(EXC.RATE_2=0,"",IFERROR(IF(CURRENCY.FORMAT_2=0,CONCATENATE(TEXT(FIXED(ROUND(IF(EXC.RATE.SWITCH=1,C2256/EXC.RATE_2,C2256*EXC.RATE_2),CURRENCY.FORMAT_2),CURRENCY.FORMAT_2,1),"# ##0;-# ##0"),",-"),FIXED(ROUND(IF(EXC.RATE.SWITCH=1,C2256/EXC.RATE_2,C2256*EXC.RATE_2),CURRENCY.FORMAT_2),CURRENCY.FORMAT_2,0)),'DICTIONARY-5'!$A$2))</f>
        <v/>
      </c>
      <c r="L2256" s="670" t="str">
        <f>IFERROR(IF(CURRENCY.FORMAT_1=0,CONCATENATE(TEXT(FIXED(ROUND((C2256*(1-I2256)*(1-ADD.DISCOUNT)*(1+MAT.SURCHARGE)/EXC.RATE_1),CURRENCY.FORMAT_1),CURRENCY.FORMAT_1,1),"# ##0;-# ##0"),",-"),FIXED(ROUND((C2256*(1-I2256)*(1-ADD.DISCOUNT)*(1+MAT.SURCHARGE)/EXC.RATE_1),CURRENCY.FORMAT_1),CURRENCY.FORMAT_1,0)),'DICTIONARY-5'!$A$2)</f>
        <v>649,-</v>
      </c>
      <c r="M2256" s="670" t="str">
        <f>IF(EXC.RATE_2=0,"",IFERROR(IF(CURRENCY.FORMAT_2=0,CONCATENATE(TEXT(FIXED(ROUND(IF(EXC.RATE.SWITCH=1,C2256*(1-I2256)*(1-ADD.DISCOUNT)*(1+MAT.SURCHARGE)/EXC.RATE_2,C2256*(1-I2256)*(1-ADD.DISCOUNT)*(1+MAT.SURCHARGE)*EXC.RATE_2),CURRENCY.FORMAT_2),CURRENCY.FORMAT_2,1),"# ##0;-# ##0"),",-"),FIXED(ROUND(IF(EXC.RATE.SWITCH=1,C2256*(1-I2256)*(1-ADD.DISCOUNT)*(1+MAT.SURCHARGE)/EXC.RATE_2,C2256*(1-I2256)*(1-ADD.DISCOUNT)*(1+MAT.SURCHARGE)*EXC.RATE_2),CURRENCY.FORMAT_2),CURRENCY.FORMAT_2,0)),'DICTIONARY-5'!$A$2))</f>
        <v/>
      </c>
      <c r="N2256" s="538">
        <v>10</v>
      </c>
      <c r="O2256" s="538"/>
      <c r="P2256" s="731" t="str">
        <f>'DICTIONARY-3'!$A$124</f>
        <v>VARIplus-DJ</v>
      </c>
      <c r="Q2256" s="732" t="str">
        <f>'DICTIONARY-3'!$A$214</f>
        <v>Wstawka montażowa</v>
      </c>
      <c r="R2256" s="732" t="str">
        <f>CONCATENATE('DICTIONARY-3'!$A$124," ",'DICTIONARY-6'!$A$15," ",'DICTIONARY-2'!$A$2,"250"," ",'DICTIONARY-2'!$A$3,"16"," ",'DICTIONARY-2'!$A$24,"=","175-215",'DICTIONARY-2'!$A$17,," ",'DICTIONARY-6'!$A$35)</f>
        <v>VARIplus-DJ Wstawka mont. DN250 PN16 L=175-215mm śr.stal nierdzewna</v>
      </c>
      <c r="S2256" s="733" t="s">
        <v>5569</v>
      </c>
      <c r="T2256" s="732" t="s">
        <v>5569</v>
      </c>
      <c r="U2256" s="734" t="s">
        <v>5751</v>
      </c>
      <c r="V2256" s="735">
        <v>16</v>
      </c>
      <c r="W2256" s="736"/>
      <c r="X2256" s="737"/>
      <c r="Y2256" s="738"/>
      <c r="Z2256" s="739"/>
      <c r="AA2256" s="739"/>
      <c r="AB2256" s="740">
        <v>16</v>
      </c>
      <c r="AC2256" s="741" t="s">
        <v>5712</v>
      </c>
      <c r="AD2256" s="741" t="str">
        <f>'DICTIONARY-5'!$A$13</f>
        <v>woda pitna</v>
      </c>
      <c r="AE2256" s="742">
        <v>90</v>
      </c>
      <c r="AF2256" s="743">
        <v>41.83</v>
      </c>
      <c r="AG2256" s="741" t="str">
        <f>'DICTIONARY-5'!$A$23</f>
        <v>powłoka epoksydowa</v>
      </c>
    </row>
    <row r="2257" spans="1:33" x14ac:dyDescent="0.25">
      <c r="A2257" s="872" t="s">
        <v>2079</v>
      </c>
      <c r="B2257" s="872" t="s">
        <v>3616</v>
      </c>
      <c r="C2257" s="836">
        <v>705</v>
      </c>
      <c r="D2257" s="836"/>
      <c r="E2257" s="836"/>
      <c r="F2257" s="836"/>
      <c r="G2257" s="496" t="s">
        <v>7843</v>
      </c>
      <c r="H2257" s="797" t="str">
        <f>VLOOKUP(G2257,SETTINGS!$B$7:$D$97,2,0)</f>
        <v>VARIplus</v>
      </c>
      <c r="I2257" s="796">
        <f>VLOOKUP(G2257,SETTINGS!$B$7:$D$97,3,0)</f>
        <v>0</v>
      </c>
      <c r="J2257" s="670" t="str">
        <f>IFERROR(IF(CURRENCY.FORMAT_1=0,CONCATENATE(TEXT(FIXED(ROUND((C2257/EXC.RATE_1),CURRENCY.FORMAT_1),CURRENCY.FORMAT_1,1),"# ##0;-# ##0"),",-"),FIXED(ROUND((C2257/EXC.RATE_1),CURRENCY.FORMAT_1),CURRENCY.FORMAT_1,0)),'DICTIONARY-5'!$A$2)</f>
        <v>705,-</v>
      </c>
      <c r="K2257" s="670" t="str">
        <f>IF(EXC.RATE_2=0,"",IFERROR(IF(CURRENCY.FORMAT_2=0,CONCATENATE(TEXT(FIXED(ROUND(IF(EXC.RATE.SWITCH=1,C2257/EXC.RATE_2,C2257*EXC.RATE_2),CURRENCY.FORMAT_2),CURRENCY.FORMAT_2,1),"# ##0;-# ##0"),",-"),FIXED(ROUND(IF(EXC.RATE.SWITCH=1,C2257/EXC.RATE_2,C2257*EXC.RATE_2),CURRENCY.FORMAT_2),CURRENCY.FORMAT_2,0)),'DICTIONARY-5'!$A$2))</f>
        <v/>
      </c>
      <c r="L2257" s="670" t="str">
        <f>IFERROR(IF(CURRENCY.FORMAT_1=0,CONCATENATE(TEXT(FIXED(ROUND((C2257*(1-I2257)*(1-ADD.DISCOUNT)*(1+MAT.SURCHARGE)/EXC.RATE_1),CURRENCY.FORMAT_1),CURRENCY.FORMAT_1,1),"# ##0;-# ##0"),",-"),FIXED(ROUND((C2257*(1-I2257)*(1-ADD.DISCOUNT)*(1+MAT.SURCHARGE)/EXC.RATE_1),CURRENCY.FORMAT_1),CURRENCY.FORMAT_1,0)),'DICTIONARY-5'!$A$2)</f>
        <v>732,-</v>
      </c>
      <c r="M2257" s="670" t="str">
        <f>IF(EXC.RATE_2=0,"",IFERROR(IF(CURRENCY.FORMAT_2=0,CONCATENATE(TEXT(FIXED(ROUND(IF(EXC.RATE.SWITCH=1,C2257*(1-I2257)*(1-ADD.DISCOUNT)*(1+MAT.SURCHARGE)/EXC.RATE_2,C2257*(1-I2257)*(1-ADD.DISCOUNT)*(1+MAT.SURCHARGE)*EXC.RATE_2),CURRENCY.FORMAT_2),CURRENCY.FORMAT_2,1),"# ##0;-# ##0"),",-"),FIXED(ROUND(IF(EXC.RATE.SWITCH=1,C2257*(1-I2257)*(1-ADD.DISCOUNT)*(1+MAT.SURCHARGE)/EXC.RATE_2,C2257*(1-I2257)*(1-ADD.DISCOUNT)*(1+MAT.SURCHARGE)*EXC.RATE_2),CURRENCY.FORMAT_2),CURRENCY.FORMAT_2,0)),'DICTIONARY-5'!$A$2))</f>
        <v/>
      </c>
      <c r="N2257" s="538">
        <v>10</v>
      </c>
      <c r="O2257" s="538"/>
      <c r="P2257" s="731" t="str">
        <f>'DICTIONARY-3'!$A$124</f>
        <v>VARIplus-DJ</v>
      </c>
      <c r="Q2257" s="732" t="str">
        <f>'DICTIONARY-3'!$A$214</f>
        <v>Wstawka montażowa</v>
      </c>
      <c r="R2257" s="732" t="str">
        <f>CONCATENATE('DICTIONARY-3'!$A$124," ",'DICTIONARY-6'!$A$15," ",'DICTIONARY-2'!$A$2,"300"," ",'DICTIONARY-2'!$A$3,"16"," ",'DICTIONARY-2'!$A$24,"=","175-215",'DICTIONARY-2'!$A$17,," ",'DICTIONARY-6'!$A$35)</f>
        <v>VARIplus-DJ Wstawka mont. DN300 PN16 L=175-215mm śr.stal nierdzewna</v>
      </c>
      <c r="S2257" s="733" t="s">
        <v>5569</v>
      </c>
      <c r="T2257" s="732" t="s">
        <v>5569</v>
      </c>
      <c r="U2257" s="734" t="s">
        <v>5752</v>
      </c>
      <c r="V2257" s="735">
        <v>16</v>
      </c>
      <c r="W2257" s="736"/>
      <c r="X2257" s="737"/>
      <c r="Y2257" s="738"/>
      <c r="Z2257" s="739"/>
      <c r="AA2257" s="739"/>
      <c r="AB2257" s="740">
        <v>16</v>
      </c>
      <c r="AC2257" s="741" t="s">
        <v>5712</v>
      </c>
      <c r="AD2257" s="741" t="str">
        <f>'DICTIONARY-5'!$A$13</f>
        <v>woda pitna</v>
      </c>
      <c r="AE2257" s="742">
        <v>90</v>
      </c>
      <c r="AF2257" s="743">
        <v>51.83</v>
      </c>
      <c r="AG2257" s="741" t="str">
        <f>'DICTIONARY-5'!$A$23</f>
        <v>powłoka epoksydowa</v>
      </c>
    </row>
    <row r="2258" spans="1:33" x14ac:dyDescent="0.25">
      <c r="A2258" s="872" t="s">
        <v>2081</v>
      </c>
      <c r="B2258" s="872" t="s">
        <v>3620</v>
      </c>
      <c r="C2258" s="836">
        <v>908</v>
      </c>
      <c r="D2258" s="836"/>
      <c r="E2258" s="836"/>
      <c r="F2258" s="836"/>
      <c r="G2258" s="496" t="s">
        <v>7843</v>
      </c>
      <c r="H2258" s="797" t="str">
        <f>VLOOKUP(G2258,SETTINGS!$B$7:$D$97,2,0)</f>
        <v>VARIplus</v>
      </c>
      <c r="I2258" s="796">
        <f>VLOOKUP(G2258,SETTINGS!$B$7:$D$97,3,0)</f>
        <v>0</v>
      </c>
      <c r="J2258" s="670" t="str">
        <f>IFERROR(IF(CURRENCY.FORMAT_1=0,CONCATENATE(TEXT(FIXED(ROUND((C2258/EXC.RATE_1),CURRENCY.FORMAT_1),CURRENCY.FORMAT_1,1),"# ##0;-# ##0"),",-"),FIXED(ROUND((C2258/EXC.RATE_1),CURRENCY.FORMAT_1),CURRENCY.FORMAT_1,0)),'DICTIONARY-5'!$A$2)</f>
        <v>908,-</v>
      </c>
      <c r="K2258" s="670" t="str">
        <f>IF(EXC.RATE_2=0,"",IFERROR(IF(CURRENCY.FORMAT_2=0,CONCATENATE(TEXT(FIXED(ROUND(IF(EXC.RATE.SWITCH=1,C2258/EXC.RATE_2,C2258*EXC.RATE_2),CURRENCY.FORMAT_2),CURRENCY.FORMAT_2,1),"# ##0;-# ##0"),",-"),FIXED(ROUND(IF(EXC.RATE.SWITCH=1,C2258/EXC.RATE_2,C2258*EXC.RATE_2),CURRENCY.FORMAT_2),CURRENCY.FORMAT_2,0)),'DICTIONARY-5'!$A$2))</f>
        <v/>
      </c>
      <c r="L2258" s="670" t="str">
        <f>IFERROR(IF(CURRENCY.FORMAT_1=0,CONCATENATE(TEXT(FIXED(ROUND((C2258*(1-I2258)*(1-ADD.DISCOUNT)*(1+MAT.SURCHARGE)/EXC.RATE_1),CURRENCY.FORMAT_1),CURRENCY.FORMAT_1,1),"# ##0;-# ##0"),",-"),FIXED(ROUND((C2258*(1-I2258)*(1-ADD.DISCOUNT)*(1+MAT.SURCHARGE)/EXC.RATE_1),CURRENCY.FORMAT_1),CURRENCY.FORMAT_1,0)),'DICTIONARY-5'!$A$2)</f>
        <v>943,-</v>
      </c>
      <c r="M2258" s="670" t="str">
        <f>IF(EXC.RATE_2=0,"",IFERROR(IF(CURRENCY.FORMAT_2=0,CONCATENATE(TEXT(FIXED(ROUND(IF(EXC.RATE.SWITCH=1,C2258*(1-I2258)*(1-ADD.DISCOUNT)*(1+MAT.SURCHARGE)/EXC.RATE_2,C2258*(1-I2258)*(1-ADD.DISCOUNT)*(1+MAT.SURCHARGE)*EXC.RATE_2),CURRENCY.FORMAT_2),CURRENCY.FORMAT_2,1),"# ##0;-# ##0"),",-"),FIXED(ROUND(IF(EXC.RATE.SWITCH=1,C2258*(1-I2258)*(1-ADD.DISCOUNT)*(1+MAT.SURCHARGE)/EXC.RATE_2,C2258*(1-I2258)*(1-ADD.DISCOUNT)*(1+MAT.SURCHARGE)*EXC.RATE_2),CURRENCY.FORMAT_2),CURRENCY.FORMAT_2,0)),'DICTIONARY-5'!$A$2))</f>
        <v/>
      </c>
      <c r="N2258" s="538">
        <v>10</v>
      </c>
      <c r="O2258" s="538"/>
      <c r="P2258" s="731" t="str">
        <f>'DICTIONARY-3'!$A$124</f>
        <v>VARIplus-DJ</v>
      </c>
      <c r="Q2258" s="732" t="str">
        <f>'DICTIONARY-3'!$A$214</f>
        <v>Wstawka montażowa</v>
      </c>
      <c r="R2258" s="732" t="str">
        <f>CONCATENATE('DICTIONARY-3'!$A$124," ",'DICTIONARY-6'!$A$15," ",'DICTIONARY-2'!$A$2,"350"," ",'DICTIONARY-2'!$A$3,"16"," ",'DICTIONARY-2'!$A$24,"=","250-300",'DICTIONARY-2'!$A$17,," ",'DICTIONARY-6'!$A$35)</f>
        <v>VARIplus-DJ Wstawka mont. DN350 PN16 L=250-300mm śr.stal nierdzewna</v>
      </c>
      <c r="S2258" s="733" t="s">
        <v>5569</v>
      </c>
      <c r="T2258" s="732" t="s">
        <v>5569</v>
      </c>
      <c r="U2258" s="734" t="s">
        <v>5753</v>
      </c>
      <c r="V2258" s="735">
        <v>16</v>
      </c>
      <c r="W2258" s="736"/>
      <c r="X2258" s="737"/>
      <c r="Y2258" s="738"/>
      <c r="Z2258" s="739"/>
      <c r="AA2258" s="739"/>
      <c r="AB2258" s="740">
        <v>16</v>
      </c>
      <c r="AC2258" s="741" t="s">
        <v>5713</v>
      </c>
      <c r="AD2258" s="741" t="str">
        <f>'DICTIONARY-5'!$A$13</f>
        <v>woda pitna</v>
      </c>
      <c r="AE2258" s="742">
        <v>90</v>
      </c>
      <c r="AF2258" s="743">
        <v>73.63</v>
      </c>
      <c r="AG2258" s="741" t="str">
        <f>'DICTIONARY-5'!$A$23</f>
        <v>powłoka epoksydowa</v>
      </c>
    </row>
    <row r="2259" spans="1:33" x14ac:dyDescent="0.25">
      <c r="A2259" s="872" t="s">
        <v>2083</v>
      </c>
      <c r="B2259" s="872" t="s">
        <v>3624</v>
      </c>
      <c r="C2259" s="836">
        <v>1192</v>
      </c>
      <c r="D2259" s="836"/>
      <c r="E2259" s="836"/>
      <c r="F2259" s="836"/>
      <c r="G2259" s="496" t="s">
        <v>7843</v>
      </c>
      <c r="H2259" s="797" t="str">
        <f>VLOOKUP(G2259,SETTINGS!$B$7:$D$97,2,0)</f>
        <v>VARIplus</v>
      </c>
      <c r="I2259" s="796">
        <f>VLOOKUP(G2259,SETTINGS!$B$7:$D$97,3,0)</f>
        <v>0</v>
      </c>
      <c r="J2259" s="670" t="str">
        <f>IFERROR(IF(CURRENCY.FORMAT_1=0,CONCATENATE(TEXT(FIXED(ROUND((C2259/EXC.RATE_1),CURRENCY.FORMAT_1),CURRENCY.FORMAT_1,1),"# ##0;-# ##0"),",-"),FIXED(ROUND((C2259/EXC.RATE_1),CURRENCY.FORMAT_1),CURRENCY.FORMAT_1,0)),'DICTIONARY-5'!$A$2)</f>
        <v>1 192,-</v>
      </c>
      <c r="K2259" s="670" t="str">
        <f>IF(EXC.RATE_2=0,"",IFERROR(IF(CURRENCY.FORMAT_2=0,CONCATENATE(TEXT(FIXED(ROUND(IF(EXC.RATE.SWITCH=1,C2259/EXC.RATE_2,C2259*EXC.RATE_2),CURRENCY.FORMAT_2),CURRENCY.FORMAT_2,1),"# ##0;-# ##0"),",-"),FIXED(ROUND(IF(EXC.RATE.SWITCH=1,C2259/EXC.RATE_2,C2259*EXC.RATE_2),CURRENCY.FORMAT_2),CURRENCY.FORMAT_2,0)),'DICTIONARY-5'!$A$2))</f>
        <v/>
      </c>
      <c r="L2259" s="670" t="str">
        <f>IFERROR(IF(CURRENCY.FORMAT_1=0,CONCATENATE(TEXT(FIXED(ROUND((C2259*(1-I2259)*(1-ADD.DISCOUNT)*(1+MAT.SURCHARGE)/EXC.RATE_1),CURRENCY.FORMAT_1),CURRENCY.FORMAT_1,1),"# ##0;-# ##0"),",-"),FIXED(ROUND((C2259*(1-I2259)*(1-ADD.DISCOUNT)*(1+MAT.SURCHARGE)/EXC.RATE_1),CURRENCY.FORMAT_1),CURRENCY.FORMAT_1,0)),'DICTIONARY-5'!$A$2)</f>
        <v>1 238,-</v>
      </c>
      <c r="M2259" s="670" t="str">
        <f>IF(EXC.RATE_2=0,"",IFERROR(IF(CURRENCY.FORMAT_2=0,CONCATENATE(TEXT(FIXED(ROUND(IF(EXC.RATE.SWITCH=1,C2259*(1-I2259)*(1-ADD.DISCOUNT)*(1+MAT.SURCHARGE)/EXC.RATE_2,C2259*(1-I2259)*(1-ADD.DISCOUNT)*(1+MAT.SURCHARGE)*EXC.RATE_2),CURRENCY.FORMAT_2),CURRENCY.FORMAT_2,1),"# ##0;-# ##0"),",-"),FIXED(ROUND(IF(EXC.RATE.SWITCH=1,C2259*(1-I2259)*(1-ADD.DISCOUNT)*(1+MAT.SURCHARGE)/EXC.RATE_2,C2259*(1-I2259)*(1-ADD.DISCOUNT)*(1+MAT.SURCHARGE)*EXC.RATE_2),CURRENCY.FORMAT_2),CURRENCY.FORMAT_2,0)),'DICTIONARY-5'!$A$2))</f>
        <v/>
      </c>
      <c r="N2259" s="538">
        <v>10</v>
      </c>
      <c r="O2259" s="538"/>
      <c r="P2259" s="731" t="str">
        <f>'DICTIONARY-3'!$A$124</f>
        <v>VARIplus-DJ</v>
      </c>
      <c r="Q2259" s="732" t="str">
        <f>'DICTIONARY-3'!$A$214</f>
        <v>Wstawka montażowa</v>
      </c>
      <c r="R2259" s="732" t="str">
        <f>CONCATENATE('DICTIONARY-3'!$A$124," ",'DICTIONARY-6'!$A$15," ",'DICTIONARY-2'!$A$2,"400"," ",'DICTIONARY-2'!$A$3,"16"," ",'DICTIONARY-2'!$A$24,"=","250-300",'DICTIONARY-2'!$A$17,," ",'DICTIONARY-6'!$A$35)</f>
        <v>VARIplus-DJ Wstawka mont. DN400 PN16 L=250-300mm śr.stal nierdzewna</v>
      </c>
      <c r="S2259" s="733" t="s">
        <v>5569</v>
      </c>
      <c r="T2259" s="732" t="s">
        <v>5569</v>
      </c>
      <c r="U2259" s="734" t="s">
        <v>5754</v>
      </c>
      <c r="V2259" s="735">
        <v>16</v>
      </c>
      <c r="W2259" s="736"/>
      <c r="X2259" s="737"/>
      <c r="Y2259" s="738"/>
      <c r="Z2259" s="739"/>
      <c r="AA2259" s="739"/>
      <c r="AB2259" s="740">
        <v>16</v>
      </c>
      <c r="AC2259" s="741" t="s">
        <v>5713</v>
      </c>
      <c r="AD2259" s="741" t="str">
        <f>'DICTIONARY-5'!$A$13</f>
        <v>woda pitna</v>
      </c>
      <c r="AE2259" s="742">
        <v>90</v>
      </c>
      <c r="AF2259" s="743">
        <v>91.9</v>
      </c>
      <c r="AG2259" s="741" t="str">
        <f>'DICTIONARY-5'!$A$23</f>
        <v>powłoka epoksydowa</v>
      </c>
    </row>
    <row r="2260" spans="1:33" x14ac:dyDescent="0.25">
      <c r="A2260" s="872" t="s">
        <v>2085</v>
      </c>
      <c r="B2260" s="872" t="s">
        <v>3628</v>
      </c>
      <c r="C2260" s="836">
        <v>1431</v>
      </c>
      <c r="D2260" s="836"/>
      <c r="E2260" s="836"/>
      <c r="F2260" s="836"/>
      <c r="G2260" s="496" t="s">
        <v>7843</v>
      </c>
      <c r="H2260" s="797" t="str">
        <f>VLOOKUP(G2260,SETTINGS!$B$7:$D$97,2,0)</f>
        <v>VARIplus</v>
      </c>
      <c r="I2260" s="796">
        <f>VLOOKUP(G2260,SETTINGS!$B$7:$D$97,3,0)</f>
        <v>0</v>
      </c>
      <c r="J2260" s="670" t="str">
        <f>IFERROR(IF(CURRENCY.FORMAT_1=0,CONCATENATE(TEXT(FIXED(ROUND((C2260/EXC.RATE_1),CURRENCY.FORMAT_1),CURRENCY.FORMAT_1,1),"# ##0;-# ##0"),",-"),FIXED(ROUND((C2260/EXC.RATE_1),CURRENCY.FORMAT_1),CURRENCY.FORMAT_1,0)),'DICTIONARY-5'!$A$2)</f>
        <v>1 431,-</v>
      </c>
      <c r="K2260" s="670" t="str">
        <f>IF(EXC.RATE_2=0,"",IFERROR(IF(CURRENCY.FORMAT_2=0,CONCATENATE(TEXT(FIXED(ROUND(IF(EXC.RATE.SWITCH=1,C2260/EXC.RATE_2,C2260*EXC.RATE_2),CURRENCY.FORMAT_2),CURRENCY.FORMAT_2,1),"# ##0;-# ##0"),",-"),FIXED(ROUND(IF(EXC.RATE.SWITCH=1,C2260/EXC.RATE_2,C2260*EXC.RATE_2),CURRENCY.FORMAT_2),CURRENCY.FORMAT_2,0)),'DICTIONARY-5'!$A$2))</f>
        <v/>
      </c>
      <c r="L2260" s="670" t="str">
        <f>IFERROR(IF(CURRENCY.FORMAT_1=0,CONCATENATE(TEXT(FIXED(ROUND((C2260*(1-I2260)*(1-ADD.DISCOUNT)*(1+MAT.SURCHARGE)/EXC.RATE_1),CURRENCY.FORMAT_1),CURRENCY.FORMAT_1,1),"# ##0;-# ##0"),",-"),FIXED(ROUND((C2260*(1-I2260)*(1-ADD.DISCOUNT)*(1+MAT.SURCHARGE)/EXC.RATE_1),CURRENCY.FORMAT_1),CURRENCY.FORMAT_1,0)),'DICTIONARY-5'!$A$2)</f>
        <v>1 487,-</v>
      </c>
      <c r="M2260" s="670" t="str">
        <f>IF(EXC.RATE_2=0,"",IFERROR(IF(CURRENCY.FORMAT_2=0,CONCATENATE(TEXT(FIXED(ROUND(IF(EXC.RATE.SWITCH=1,C2260*(1-I2260)*(1-ADD.DISCOUNT)*(1+MAT.SURCHARGE)/EXC.RATE_2,C2260*(1-I2260)*(1-ADD.DISCOUNT)*(1+MAT.SURCHARGE)*EXC.RATE_2),CURRENCY.FORMAT_2),CURRENCY.FORMAT_2,1),"# ##0;-# ##0"),",-"),FIXED(ROUND(IF(EXC.RATE.SWITCH=1,C2260*(1-I2260)*(1-ADD.DISCOUNT)*(1+MAT.SURCHARGE)/EXC.RATE_2,C2260*(1-I2260)*(1-ADD.DISCOUNT)*(1+MAT.SURCHARGE)*EXC.RATE_2),CURRENCY.FORMAT_2),CURRENCY.FORMAT_2,0)),'DICTIONARY-5'!$A$2))</f>
        <v/>
      </c>
      <c r="N2260" s="538">
        <v>10</v>
      </c>
      <c r="O2260" s="538"/>
      <c r="P2260" s="731" t="str">
        <f>'DICTIONARY-3'!$A$124</f>
        <v>VARIplus-DJ</v>
      </c>
      <c r="Q2260" s="732" t="str">
        <f>'DICTIONARY-3'!$A$214</f>
        <v>Wstawka montażowa</v>
      </c>
      <c r="R2260" s="732" t="str">
        <f>CONCATENATE('DICTIONARY-3'!$A$124," ",'DICTIONARY-6'!$A$15," ",'DICTIONARY-2'!$A$2,"450"," ",'DICTIONARY-2'!$A$3,"16"," ",'DICTIONARY-2'!$A$24,"=","250-300",'DICTIONARY-2'!$A$17,," ",'DICTIONARY-6'!$A$35)</f>
        <v>VARIplus-DJ Wstawka mont. DN450 PN16 L=250-300mm śr.stal nierdzewna</v>
      </c>
      <c r="S2260" s="733" t="s">
        <v>5569</v>
      </c>
      <c r="T2260" s="732" t="s">
        <v>5569</v>
      </c>
      <c r="U2260" s="734" t="s">
        <v>5755</v>
      </c>
      <c r="V2260" s="735">
        <v>16</v>
      </c>
      <c r="W2260" s="736"/>
      <c r="X2260" s="737"/>
      <c r="Y2260" s="738"/>
      <c r="Z2260" s="739"/>
      <c r="AA2260" s="739"/>
      <c r="AB2260" s="740">
        <v>16</v>
      </c>
      <c r="AC2260" s="741" t="s">
        <v>5713</v>
      </c>
      <c r="AD2260" s="741" t="str">
        <f>'DICTIONARY-5'!$A$13</f>
        <v>woda pitna</v>
      </c>
      <c r="AE2260" s="742">
        <v>90</v>
      </c>
      <c r="AF2260" s="743">
        <v>102.9</v>
      </c>
      <c r="AG2260" s="741" t="str">
        <f>'DICTIONARY-5'!$A$23</f>
        <v>powłoka epoksydowa</v>
      </c>
    </row>
    <row r="2261" spans="1:33" x14ac:dyDescent="0.25">
      <c r="A2261" s="872" t="s">
        <v>2087</v>
      </c>
      <c r="B2261" s="872" t="s">
        <v>3632</v>
      </c>
      <c r="C2261" s="836">
        <v>1933</v>
      </c>
      <c r="D2261" s="836"/>
      <c r="E2261" s="836"/>
      <c r="F2261" s="836"/>
      <c r="G2261" s="496" t="s">
        <v>7843</v>
      </c>
      <c r="H2261" s="797" t="str">
        <f>VLOOKUP(G2261,SETTINGS!$B$7:$D$97,2,0)</f>
        <v>VARIplus</v>
      </c>
      <c r="I2261" s="796">
        <f>VLOOKUP(G2261,SETTINGS!$B$7:$D$97,3,0)</f>
        <v>0</v>
      </c>
      <c r="J2261" s="670" t="str">
        <f>IFERROR(IF(CURRENCY.FORMAT_1=0,CONCATENATE(TEXT(FIXED(ROUND((C2261/EXC.RATE_1),CURRENCY.FORMAT_1),CURRENCY.FORMAT_1,1),"# ##0;-# ##0"),",-"),FIXED(ROUND((C2261/EXC.RATE_1),CURRENCY.FORMAT_1),CURRENCY.FORMAT_1,0)),'DICTIONARY-5'!$A$2)</f>
        <v>1 933,-</v>
      </c>
      <c r="K2261" s="670" t="str">
        <f>IF(EXC.RATE_2=0,"",IFERROR(IF(CURRENCY.FORMAT_2=0,CONCATENATE(TEXT(FIXED(ROUND(IF(EXC.RATE.SWITCH=1,C2261/EXC.RATE_2,C2261*EXC.RATE_2),CURRENCY.FORMAT_2),CURRENCY.FORMAT_2,1),"# ##0;-# ##0"),",-"),FIXED(ROUND(IF(EXC.RATE.SWITCH=1,C2261/EXC.RATE_2,C2261*EXC.RATE_2),CURRENCY.FORMAT_2),CURRENCY.FORMAT_2,0)),'DICTIONARY-5'!$A$2))</f>
        <v/>
      </c>
      <c r="L2261" s="670" t="str">
        <f>IFERROR(IF(CURRENCY.FORMAT_1=0,CONCATENATE(TEXT(FIXED(ROUND((C2261*(1-I2261)*(1-ADD.DISCOUNT)*(1+MAT.SURCHARGE)/EXC.RATE_1),CURRENCY.FORMAT_1),CURRENCY.FORMAT_1,1),"# ##0;-# ##0"),",-"),FIXED(ROUND((C2261*(1-I2261)*(1-ADD.DISCOUNT)*(1+MAT.SURCHARGE)/EXC.RATE_1),CURRENCY.FORMAT_1),CURRENCY.FORMAT_1,0)),'DICTIONARY-5'!$A$2)</f>
        <v>2 008,-</v>
      </c>
      <c r="M2261" s="670" t="str">
        <f>IF(EXC.RATE_2=0,"",IFERROR(IF(CURRENCY.FORMAT_2=0,CONCATENATE(TEXT(FIXED(ROUND(IF(EXC.RATE.SWITCH=1,C2261*(1-I2261)*(1-ADD.DISCOUNT)*(1+MAT.SURCHARGE)/EXC.RATE_2,C2261*(1-I2261)*(1-ADD.DISCOUNT)*(1+MAT.SURCHARGE)*EXC.RATE_2),CURRENCY.FORMAT_2),CURRENCY.FORMAT_2,1),"# ##0;-# ##0"),",-"),FIXED(ROUND(IF(EXC.RATE.SWITCH=1,C2261*(1-I2261)*(1-ADD.DISCOUNT)*(1+MAT.SURCHARGE)/EXC.RATE_2,C2261*(1-I2261)*(1-ADD.DISCOUNT)*(1+MAT.SURCHARGE)*EXC.RATE_2),CURRENCY.FORMAT_2),CURRENCY.FORMAT_2,0)),'DICTIONARY-5'!$A$2))</f>
        <v/>
      </c>
      <c r="N2261" s="538">
        <v>10</v>
      </c>
      <c r="O2261" s="538"/>
      <c r="P2261" s="731" t="str">
        <f>'DICTIONARY-3'!$A$124</f>
        <v>VARIplus-DJ</v>
      </c>
      <c r="Q2261" s="732" t="str">
        <f>'DICTIONARY-3'!$A$214</f>
        <v>Wstawka montażowa</v>
      </c>
      <c r="R2261" s="732" t="str">
        <f>CONCATENATE('DICTIONARY-3'!$A$124," ",'DICTIONARY-6'!$A$15," ",'DICTIONARY-2'!$A$2,"500"," ",'DICTIONARY-2'!$A$3,"16"," ",'DICTIONARY-2'!$A$24,"=","250-300",'DICTIONARY-2'!$A$17,," ",'DICTIONARY-6'!$A$35)</f>
        <v>VARIplus-DJ Wstawka mont. DN500 PN16 L=250-300mm śr.stal nierdzewna</v>
      </c>
      <c r="S2261" s="733" t="s">
        <v>5569</v>
      </c>
      <c r="T2261" s="732" t="s">
        <v>5569</v>
      </c>
      <c r="U2261" s="734" t="s">
        <v>5756</v>
      </c>
      <c r="V2261" s="735">
        <v>16</v>
      </c>
      <c r="W2261" s="736"/>
      <c r="X2261" s="737"/>
      <c r="Y2261" s="738"/>
      <c r="Z2261" s="739"/>
      <c r="AA2261" s="739"/>
      <c r="AB2261" s="740">
        <v>16</v>
      </c>
      <c r="AC2261" s="741" t="s">
        <v>5713</v>
      </c>
      <c r="AD2261" s="741" t="str">
        <f>'DICTIONARY-5'!$A$13</f>
        <v>woda pitna</v>
      </c>
      <c r="AE2261" s="742">
        <v>90</v>
      </c>
      <c r="AF2261" s="743">
        <v>134.68</v>
      </c>
      <c r="AG2261" s="741" t="str">
        <f>'DICTIONARY-5'!$A$23</f>
        <v>powłoka epoksydowa</v>
      </c>
    </row>
    <row r="2262" spans="1:33" x14ac:dyDescent="0.25">
      <c r="A2262" s="872" t="s">
        <v>2089</v>
      </c>
      <c r="B2262" s="872" t="s">
        <v>3636</v>
      </c>
      <c r="C2262" s="836">
        <v>1921</v>
      </c>
      <c r="D2262" s="836"/>
      <c r="E2262" s="836"/>
      <c r="F2262" s="836"/>
      <c r="G2262" s="496" t="s">
        <v>7843</v>
      </c>
      <c r="H2262" s="797" t="str">
        <f>VLOOKUP(G2262,SETTINGS!$B$7:$D$97,2,0)</f>
        <v>VARIplus</v>
      </c>
      <c r="I2262" s="796">
        <f>VLOOKUP(G2262,SETTINGS!$B$7:$D$97,3,0)</f>
        <v>0</v>
      </c>
      <c r="J2262" s="670" t="str">
        <f>IFERROR(IF(CURRENCY.FORMAT_1=0,CONCATENATE(TEXT(FIXED(ROUND((C2262/EXC.RATE_1),CURRENCY.FORMAT_1),CURRENCY.FORMAT_1,1),"# ##0;-# ##0"),",-"),FIXED(ROUND((C2262/EXC.RATE_1),CURRENCY.FORMAT_1),CURRENCY.FORMAT_1,0)),'DICTIONARY-5'!$A$2)</f>
        <v>1 921,-</v>
      </c>
      <c r="K2262" s="670" t="str">
        <f>IF(EXC.RATE_2=0,"",IFERROR(IF(CURRENCY.FORMAT_2=0,CONCATENATE(TEXT(FIXED(ROUND(IF(EXC.RATE.SWITCH=1,C2262/EXC.RATE_2,C2262*EXC.RATE_2),CURRENCY.FORMAT_2),CURRENCY.FORMAT_2,1),"# ##0;-# ##0"),",-"),FIXED(ROUND(IF(EXC.RATE.SWITCH=1,C2262/EXC.RATE_2,C2262*EXC.RATE_2),CURRENCY.FORMAT_2),CURRENCY.FORMAT_2,0)),'DICTIONARY-5'!$A$2))</f>
        <v/>
      </c>
      <c r="L2262" s="670" t="str">
        <f>IFERROR(IF(CURRENCY.FORMAT_1=0,CONCATENATE(TEXT(FIXED(ROUND((C2262*(1-I2262)*(1-ADD.DISCOUNT)*(1+MAT.SURCHARGE)/EXC.RATE_1),CURRENCY.FORMAT_1),CURRENCY.FORMAT_1,1),"# ##0;-# ##0"),",-"),FIXED(ROUND((C2262*(1-I2262)*(1-ADD.DISCOUNT)*(1+MAT.SURCHARGE)/EXC.RATE_1),CURRENCY.FORMAT_1),CURRENCY.FORMAT_1,0)),'DICTIONARY-5'!$A$2)</f>
        <v>1 996,-</v>
      </c>
      <c r="M2262" s="670" t="str">
        <f>IF(EXC.RATE_2=0,"",IFERROR(IF(CURRENCY.FORMAT_2=0,CONCATENATE(TEXT(FIXED(ROUND(IF(EXC.RATE.SWITCH=1,C2262*(1-I2262)*(1-ADD.DISCOUNT)*(1+MAT.SURCHARGE)/EXC.RATE_2,C2262*(1-I2262)*(1-ADD.DISCOUNT)*(1+MAT.SURCHARGE)*EXC.RATE_2),CURRENCY.FORMAT_2),CURRENCY.FORMAT_2,1),"# ##0;-# ##0"),",-"),FIXED(ROUND(IF(EXC.RATE.SWITCH=1,C2262*(1-I2262)*(1-ADD.DISCOUNT)*(1+MAT.SURCHARGE)/EXC.RATE_2,C2262*(1-I2262)*(1-ADD.DISCOUNT)*(1+MAT.SURCHARGE)*EXC.RATE_2),CURRENCY.FORMAT_2),CURRENCY.FORMAT_2,0)),'DICTIONARY-5'!$A$2))</f>
        <v/>
      </c>
      <c r="N2262" s="538">
        <v>10</v>
      </c>
      <c r="O2262" s="538"/>
      <c r="P2262" s="731" t="str">
        <f>'DICTIONARY-3'!$A$124</f>
        <v>VARIplus-DJ</v>
      </c>
      <c r="Q2262" s="732" t="str">
        <f>'DICTIONARY-3'!$A$214</f>
        <v>Wstawka montażowa</v>
      </c>
      <c r="R2262" s="732" t="str">
        <f>CONCATENATE('DICTIONARY-3'!$A$124," ",'DICTIONARY-6'!$A$15," ",'DICTIONARY-2'!$A$2,"600"," ",'DICTIONARY-2'!$A$3,"16"," ",'DICTIONARY-2'!$A$24,"=","250-300",'DICTIONARY-2'!$A$17,," ",'DICTIONARY-6'!$A$35)</f>
        <v>VARIplus-DJ Wstawka mont. DN600 PN16 L=250-300mm śr.stal nierdzewna</v>
      </c>
      <c r="S2262" s="733" t="s">
        <v>5569</v>
      </c>
      <c r="T2262" s="732" t="s">
        <v>5569</v>
      </c>
      <c r="U2262" s="734" t="s">
        <v>5757</v>
      </c>
      <c r="V2262" s="735">
        <v>16</v>
      </c>
      <c r="W2262" s="736"/>
      <c r="X2262" s="737"/>
      <c r="Y2262" s="738"/>
      <c r="Z2262" s="739"/>
      <c r="AA2262" s="739"/>
      <c r="AB2262" s="740">
        <v>16</v>
      </c>
      <c r="AC2262" s="741" t="s">
        <v>5713</v>
      </c>
      <c r="AD2262" s="741" t="str">
        <f>'DICTIONARY-5'!$A$13</f>
        <v>woda pitna</v>
      </c>
      <c r="AE2262" s="742">
        <v>90</v>
      </c>
      <c r="AF2262" s="743">
        <v>181.08</v>
      </c>
      <c r="AG2262" s="741" t="str">
        <f>'DICTIONARY-5'!$A$23</f>
        <v>powłoka epoksydowa</v>
      </c>
    </row>
    <row r="2263" spans="1:33" x14ac:dyDescent="0.25">
      <c r="A2263" s="872" t="s">
        <v>2091</v>
      </c>
      <c r="B2263" s="872" t="s">
        <v>3640</v>
      </c>
      <c r="C2263" s="836">
        <v>2271</v>
      </c>
      <c r="D2263" s="836"/>
      <c r="E2263" s="836"/>
      <c r="F2263" s="836"/>
      <c r="G2263" s="496" t="s">
        <v>7843</v>
      </c>
      <c r="H2263" s="797" t="str">
        <f>VLOOKUP(G2263,SETTINGS!$B$7:$D$97,2,0)</f>
        <v>VARIplus</v>
      </c>
      <c r="I2263" s="796">
        <f>VLOOKUP(G2263,SETTINGS!$B$7:$D$97,3,0)</f>
        <v>0</v>
      </c>
      <c r="J2263" s="670" t="str">
        <f>IFERROR(IF(CURRENCY.FORMAT_1=0,CONCATENATE(TEXT(FIXED(ROUND((C2263/EXC.RATE_1),CURRENCY.FORMAT_1),CURRENCY.FORMAT_1,1),"# ##0;-# ##0"),",-"),FIXED(ROUND((C2263/EXC.RATE_1),CURRENCY.FORMAT_1),CURRENCY.FORMAT_1,0)),'DICTIONARY-5'!$A$2)</f>
        <v>2 271,-</v>
      </c>
      <c r="K2263" s="670" t="str">
        <f>IF(EXC.RATE_2=0,"",IFERROR(IF(CURRENCY.FORMAT_2=0,CONCATENATE(TEXT(FIXED(ROUND(IF(EXC.RATE.SWITCH=1,C2263/EXC.RATE_2,C2263*EXC.RATE_2),CURRENCY.FORMAT_2),CURRENCY.FORMAT_2,1),"# ##0;-# ##0"),",-"),FIXED(ROUND(IF(EXC.RATE.SWITCH=1,C2263/EXC.RATE_2,C2263*EXC.RATE_2),CURRENCY.FORMAT_2),CURRENCY.FORMAT_2,0)),'DICTIONARY-5'!$A$2))</f>
        <v/>
      </c>
      <c r="L2263" s="670" t="str">
        <f>IFERROR(IF(CURRENCY.FORMAT_1=0,CONCATENATE(TEXT(FIXED(ROUND((C2263*(1-I2263)*(1-ADD.DISCOUNT)*(1+MAT.SURCHARGE)/EXC.RATE_1),CURRENCY.FORMAT_1),CURRENCY.FORMAT_1,1),"# ##0;-# ##0"),",-"),FIXED(ROUND((C2263*(1-I2263)*(1-ADD.DISCOUNT)*(1+MAT.SURCHARGE)/EXC.RATE_1),CURRENCY.FORMAT_1),CURRENCY.FORMAT_1,0)),'DICTIONARY-5'!$A$2)</f>
        <v>2 360,-</v>
      </c>
      <c r="M2263" s="670" t="str">
        <f>IF(EXC.RATE_2=0,"",IFERROR(IF(CURRENCY.FORMAT_2=0,CONCATENATE(TEXT(FIXED(ROUND(IF(EXC.RATE.SWITCH=1,C2263*(1-I2263)*(1-ADD.DISCOUNT)*(1+MAT.SURCHARGE)/EXC.RATE_2,C2263*(1-I2263)*(1-ADD.DISCOUNT)*(1+MAT.SURCHARGE)*EXC.RATE_2),CURRENCY.FORMAT_2),CURRENCY.FORMAT_2,1),"# ##0;-# ##0"),",-"),FIXED(ROUND(IF(EXC.RATE.SWITCH=1,C2263*(1-I2263)*(1-ADD.DISCOUNT)*(1+MAT.SURCHARGE)/EXC.RATE_2,C2263*(1-I2263)*(1-ADD.DISCOUNT)*(1+MAT.SURCHARGE)*EXC.RATE_2),CURRENCY.FORMAT_2),CURRENCY.FORMAT_2,0)),'DICTIONARY-5'!$A$2))</f>
        <v/>
      </c>
      <c r="N2263" s="538">
        <v>10</v>
      </c>
      <c r="O2263" s="538"/>
      <c r="P2263" s="731" t="str">
        <f>'DICTIONARY-3'!$A$124</f>
        <v>VARIplus-DJ</v>
      </c>
      <c r="Q2263" s="732" t="str">
        <f>'DICTIONARY-3'!$A$214</f>
        <v>Wstawka montażowa</v>
      </c>
      <c r="R2263" s="732" t="str">
        <f>CONCATENATE('DICTIONARY-3'!$A$124," ",'DICTIONARY-6'!$A$15," ",'DICTIONARY-2'!$A$2,"700"," ",'DICTIONARY-2'!$A$3,"16"," ",'DICTIONARY-2'!$A$24,"=","250-300",'DICTIONARY-2'!$A$17,," ",'DICTIONARY-6'!$A$35)</f>
        <v>VARIplus-DJ Wstawka mont. DN700 PN16 L=250-300mm śr.stal nierdzewna</v>
      </c>
      <c r="S2263" s="733" t="s">
        <v>5569</v>
      </c>
      <c r="T2263" s="732" t="s">
        <v>5569</v>
      </c>
      <c r="U2263" s="734" t="s">
        <v>5834</v>
      </c>
      <c r="V2263" s="735">
        <v>16</v>
      </c>
      <c r="W2263" s="736"/>
      <c r="X2263" s="737"/>
      <c r="Y2263" s="738"/>
      <c r="Z2263" s="739"/>
      <c r="AA2263" s="739"/>
      <c r="AB2263" s="740">
        <v>16</v>
      </c>
      <c r="AC2263" s="741" t="s">
        <v>5713</v>
      </c>
      <c r="AD2263" s="741" t="str">
        <f>'DICTIONARY-5'!$A$13</f>
        <v>woda pitna</v>
      </c>
      <c r="AE2263" s="742">
        <v>90</v>
      </c>
      <c r="AF2263" s="743">
        <v>155</v>
      </c>
      <c r="AG2263" s="741" t="str">
        <f>'DICTIONARY-5'!$A$23</f>
        <v>powłoka epoksydowa</v>
      </c>
    </row>
    <row r="2264" spans="1:33" x14ac:dyDescent="0.25">
      <c r="A2264" s="872" t="s">
        <v>2093</v>
      </c>
      <c r="B2264" s="872" t="s">
        <v>3644</v>
      </c>
      <c r="C2264" s="836">
        <v>3204</v>
      </c>
      <c r="D2264" s="836"/>
      <c r="E2264" s="836"/>
      <c r="F2264" s="836"/>
      <c r="G2264" s="496" t="s">
        <v>7843</v>
      </c>
      <c r="H2264" s="797" t="str">
        <f>VLOOKUP(G2264,SETTINGS!$B$7:$D$97,2,0)</f>
        <v>VARIplus</v>
      </c>
      <c r="I2264" s="796">
        <f>VLOOKUP(G2264,SETTINGS!$B$7:$D$97,3,0)</f>
        <v>0</v>
      </c>
      <c r="J2264" s="670" t="str">
        <f>IFERROR(IF(CURRENCY.FORMAT_1=0,CONCATENATE(TEXT(FIXED(ROUND((C2264/EXC.RATE_1),CURRENCY.FORMAT_1),CURRENCY.FORMAT_1,1),"# ##0;-# ##0"),",-"),FIXED(ROUND((C2264/EXC.RATE_1),CURRENCY.FORMAT_1),CURRENCY.FORMAT_1,0)),'DICTIONARY-5'!$A$2)</f>
        <v>3 204,-</v>
      </c>
      <c r="K2264" s="670" t="str">
        <f>IF(EXC.RATE_2=0,"",IFERROR(IF(CURRENCY.FORMAT_2=0,CONCATENATE(TEXT(FIXED(ROUND(IF(EXC.RATE.SWITCH=1,C2264/EXC.RATE_2,C2264*EXC.RATE_2),CURRENCY.FORMAT_2),CURRENCY.FORMAT_2,1),"# ##0;-# ##0"),",-"),FIXED(ROUND(IF(EXC.RATE.SWITCH=1,C2264/EXC.RATE_2,C2264*EXC.RATE_2),CURRENCY.FORMAT_2),CURRENCY.FORMAT_2,0)),'DICTIONARY-5'!$A$2))</f>
        <v/>
      </c>
      <c r="L2264" s="670" t="str">
        <f>IFERROR(IF(CURRENCY.FORMAT_1=0,CONCATENATE(TEXT(FIXED(ROUND((C2264*(1-I2264)*(1-ADD.DISCOUNT)*(1+MAT.SURCHARGE)/EXC.RATE_1),CURRENCY.FORMAT_1),CURRENCY.FORMAT_1,1),"# ##0;-# ##0"),",-"),FIXED(ROUND((C2264*(1-I2264)*(1-ADD.DISCOUNT)*(1+MAT.SURCHARGE)/EXC.RATE_1),CURRENCY.FORMAT_1),CURRENCY.FORMAT_1,0)),'DICTIONARY-5'!$A$2)</f>
        <v>3 329,-</v>
      </c>
      <c r="M2264" s="670" t="str">
        <f>IF(EXC.RATE_2=0,"",IFERROR(IF(CURRENCY.FORMAT_2=0,CONCATENATE(TEXT(FIXED(ROUND(IF(EXC.RATE.SWITCH=1,C2264*(1-I2264)*(1-ADD.DISCOUNT)*(1+MAT.SURCHARGE)/EXC.RATE_2,C2264*(1-I2264)*(1-ADD.DISCOUNT)*(1+MAT.SURCHARGE)*EXC.RATE_2),CURRENCY.FORMAT_2),CURRENCY.FORMAT_2,1),"# ##0;-# ##0"),",-"),FIXED(ROUND(IF(EXC.RATE.SWITCH=1,C2264*(1-I2264)*(1-ADD.DISCOUNT)*(1+MAT.SURCHARGE)/EXC.RATE_2,C2264*(1-I2264)*(1-ADD.DISCOUNT)*(1+MAT.SURCHARGE)*EXC.RATE_2),CURRENCY.FORMAT_2),CURRENCY.FORMAT_2,0)),'DICTIONARY-5'!$A$2))</f>
        <v/>
      </c>
      <c r="N2264" s="538">
        <v>10</v>
      </c>
      <c r="O2264" s="538"/>
      <c r="P2264" s="731" t="str">
        <f>'DICTIONARY-3'!$A$124</f>
        <v>VARIplus-DJ</v>
      </c>
      <c r="Q2264" s="732" t="str">
        <f>'DICTIONARY-3'!$A$214</f>
        <v>Wstawka montażowa</v>
      </c>
      <c r="R2264" s="732" t="str">
        <f>CONCATENATE('DICTIONARY-3'!$A$124," ",'DICTIONARY-6'!$A$15," ",'DICTIONARY-2'!$A$2,"800"," ",'DICTIONARY-2'!$A$3,"16"," ",'DICTIONARY-2'!$A$24,"=","250-300",'DICTIONARY-2'!$A$17,," ",'DICTIONARY-6'!$A$35)</f>
        <v>VARIplus-DJ Wstawka mont. DN800 PN16 L=250-300mm śr.stal nierdzewna</v>
      </c>
      <c r="S2264" s="733" t="s">
        <v>5569</v>
      </c>
      <c r="T2264" s="732" t="s">
        <v>5569</v>
      </c>
      <c r="U2264" s="734" t="s">
        <v>5835</v>
      </c>
      <c r="V2264" s="735">
        <v>16</v>
      </c>
      <c r="W2264" s="736"/>
      <c r="X2264" s="737"/>
      <c r="Y2264" s="738"/>
      <c r="Z2264" s="739"/>
      <c r="AA2264" s="739"/>
      <c r="AB2264" s="740">
        <v>16</v>
      </c>
      <c r="AC2264" s="741" t="s">
        <v>5713</v>
      </c>
      <c r="AD2264" s="741" t="str">
        <f>'DICTIONARY-5'!$A$13</f>
        <v>woda pitna</v>
      </c>
      <c r="AE2264" s="742">
        <v>90</v>
      </c>
      <c r="AF2264" s="743">
        <v>230.61</v>
      </c>
      <c r="AG2264" s="741" t="str">
        <f>'DICTIONARY-5'!$A$23</f>
        <v>powłoka epoksydowa</v>
      </c>
    </row>
    <row r="2265" spans="1:33" x14ac:dyDescent="0.25">
      <c r="A2265" s="872" t="s">
        <v>2095</v>
      </c>
      <c r="B2265" s="872" t="s">
        <v>3648</v>
      </c>
      <c r="C2265" s="836">
        <v>3726</v>
      </c>
      <c r="D2265" s="836"/>
      <c r="E2265" s="836"/>
      <c r="F2265" s="836"/>
      <c r="G2265" s="496" t="s">
        <v>7843</v>
      </c>
      <c r="H2265" s="797" t="str">
        <f>VLOOKUP(G2265,SETTINGS!$B$7:$D$97,2,0)</f>
        <v>VARIplus</v>
      </c>
      <c r="I2265" s="796">
        <f>VLOOKUP(G2265,SETTINGS!$B$7:$D$97,3,0)</f>
        <v>0</v>
      </c>
      <c r="J2265" s="670" t="str">
        <f>IFERROR(IF(CURRENCY.FORMAT_1=0,CONCATENATE(TEXT(FIXED(ROUND((C2265/EXC.RATE_1),CURRENCY.FORMAT_1),CURRENCY.FORMAT_1,1),"# ##0;-# ##0"),",-"),FIXED(ROUND((C2265/EXC.RATE_1),CURRENCY.FORMAT_1),CURRENCY.FORMAT_1,0)),'DICTIONARY-5'!$A$2)</f>
        <v>3 726,-</v>
      </c>
      <c r="K2265" s="670" t="str">
        <f>IF(EXC.RATE_2=0,"",IFERROR(IF(CURRENCY.FORMAT_2=0,CONCATENATE(TEXT(FIXED(ROUND(IF(EXC.RATE.SWITCH=1,C2265/EXC.RATE_2,C2265*EXC.RATE_2),CURRENCY.FORMAT_2),CURRENCY.FORMAT_2,1),"# ##0;-# ##0"),",-"),FIXED(ROUND(IF(EXC.RATE.SWITCH=1,C2265/EXC.RATE_2,C2265*EXC.RATE_2),CURRENCY.FORMAT_2),CURRENCY.FORMAT_2,0)),'DICTIONARY-5'!$A$2))</f>
        <v/>
      </c>
      <c r="L2265" s="670" t="str">
        <f>IFERROR(IF(CURRENCY.FORMAT_1=0,CONCATENATE(TEXT(FIXED(ROUND((C2265*(1-I2265)*(1-ADD.DISCOUNT)*(1+MAT.SURCHARGE)/EXC.RATE_1),CURRENCY.FORMAT_1),CURRENCY.FORMAT_1,1),"# ##0;-# ##0"),",-"),FIXED(ROUND((C2265*(1-I2265)*(1-ADD.DISCOUNT)*(1+MAT.SURCHARGE)/EXC.RATE_1),CURRENCY.FORMAT_1),CURRENCY.FORMAT_1,0)),'DICTIONARY-5'!$A$2)</f>
        <v>3 871,-</v>
      </c>
      <c r="M2265" s="670" t="str">
        <f>IF(EXC.RATE_2=0,"",IFERROR(IF(CURRENCY.FORMAT_2=0,CONCATENATE(TEXT(FIXED(ROUND(IF(EXC.RATE.SWITCH=1,C2265*(1-I2265)*(1-ADD.DISCOUNT)*(1+MAT.SURCHARGE)/EXC.RATE_2,C2265*(1-I2265)*(1-ADD.DISCOUNT)*(1+MAT.SURCHARGE)*EXC.RATE_2),CURRENCY.FORMAT_2),CURRENCY.FORMAT_2,1),"# ##0;-# ##0"),",-"),FIXED(ROUND(IF(EXC.RATE.SWITCH=1,C2265*(1-I2265)*(1-ADD.DISCOUNT)*(1+MAT.SURCHARGE)/EXC.RATE_2,C2265*(1-I2265)*(1-ADD.DISCOUNT)*(1+MAT.SURCHARGE)*EXC.RATE_2),CURRENCY.FORMAT_2),CURRENCY.FORMAT_2,0)),'DICTIONARY-5'!$A$2))</f>
        <v/>
      </c>
      <c r="N2265" s="538">
        <v>10</v>
      </c>
      <c r="O2265" s="538"/>
      <c r="P2265" s="731" t="str">
        <f>'DICTIONARY-3'!$A$124</f>
        <v>VARIplus-DJ</v>
      </c>
      <c r="Q2265" s="732" t="str">
        <f>'DICTIONARY-3'!$A$214</f>
        <v>Wstawka montażowa</v>
      </c>
      <c r="R2265" s="732" t="str">
        <f>CONCATENATE('DICTIONARY-3'!$A$124," ",'DICTIONARY-6'!$A$15," ",'DICTIONARY-2'!$A$2,"900"," ",'DICTIONARY-2'!$A$3,"16"," ",'DICTIONARY-2'!$A$24,"=","250-300",'DICTIONARY-2'!$A$17,," ",'DICTIONARY-6'!$A$35)</f>
        <v>VARIplus-DJ Wstawka mont. DN900 PN16 L=250-300mm śr.stal nierdzewna</v>
      </c>
      <c r="S2265" s="733" t="s">
        <v>5569</v>
      </c>
      <c r="T2265" s="732" t="s">
        <v>5569</v>
      </c>
      <c r="U2265" s="734" t="s">
        <v>5837</v>
      </c>
      <c r="V2265" s="735">
        <v>16</v>
      </c>
      <c r="W2265" s="736"/>
      <c r="X2265" s="737"/>
      <c r="Y2265" s="738"/>
      <c r="Z2265" s="739"/>
      <c r="AA2265" s="739"/>
      <c r="AB2265" s="740">
        <v>16</v>
      </c>
      <c r="AC2265" s="741" t="s">
        <v>5713</v>
      </c>
      <c r="AD2265" s="741" t="str">
        <f>'DICTIONARY-5'!$A$13</f>
        <v>woda pitna</v>
      </c>
      <c r="AE2265" s="742">
        <v>90</v>
      </c>
      <c r="AF2265" s="743">
        <v>258.83</v>
      </c>
      <c r="AG2265" s="741" t="str">
        <f>'DICTIONARY-5'!$A$23</f>
        <v>powłoka epoksydowa</v>
      </c>
    </row>
    <row r="2266" spans="1:33" x14ac:dyDescent="0.25">
      <c r="A2266" s="872" t="s">
        <v>2097</v>
      </c>
      <c r="B2266" s="872" t="s">
        <v>3652</v>
      </c>
      <c r="C2266" s="836">
        <v>4190</v>
      </c>
      <c r="D2266" s="836"/>
      <c r="E2266" s="836"/>
      <c r="F2266" s="836"/>
      <c r="G2266" s="496" t="s">
        <v>7843</v>
      </c>
      <c r="H2266" s="797" t="str">
        <f>VLOOKUP(G2266,SETTINGS!$B$7:$D$97,2,0)</f>
        <v>VARIplus</v>
      </c>
      <c r="I2266" s="796">
        <f>VLOOKUP(G2266,SETTINGS!$B$7:$D$97,3,0)</f>
        <v>0</v>
      </c>
      <c r="J2266" s="670" t="str">
        <f>IFERROR(IF(CURRENCY.FORMAT_1=0,CONCATENATE(TEXT(FIXED(ROUND((C2266/EXC.RATE_1),CURRENCY.FORMAT_1),CURRENCY.FORMAT_1,1),"# ##0;-# ##0"),",-"),FIXED(ROUND((C2266/EXC.RATE_1),CURRENCY.FORMAT_1),CURRENCY.FORMAT_1,0)),'DICTIONARY-5'!$A$2)</f>
        <v>4 190,-</v>
      </c>
      <c r="K2266" s="670" t="str">
        <f>IF(EXC.RATE_2=0,"",IFERROR(IF(CURRENCY.FORMAT_2=0,CONCATENATE(TEXT(FIXED(ROUND(IF(EXC.RATE.SWITCH=1,C2266/EXC.RATE_2,C2266*EXC.RATE_2),CURRENCY.FORMAT_2),CURRENCY.FORMAT_2,1),"# ##0;-# ##0"),",-"),FIXED(ROUND(IF(EXC.RATE.SWITCH=1,C2266/EXC.RATE_2,C2266*EXC.RATE_2),CURRENCY.FORMAT_2),CURRENCY.FORMAT_2,0)),'DICTIONARY-5'!$A$2))</f>
        <v/>
      </c>
      <c r="L2266" s="670" t="str">
        <f>IFERROR(IF(CURRENCY.FORMAT_1=0,CONCATENATE(TEXT(FIXED(ROUND((C2266*(1-I2266)*(1-ADD.DISCOUNT)*(1+MAT.SURCHARGE)/EXC.RATE_1),CURRENCY.FORMAT_1),CURRENCY.FORMAT_1,1),"# ##0;-# ##0"),",-"),FIXED(ROUND((C2266*(1-I2266)*(1-ADD.DISCOUNT)*(1+MAT.SURCHARGE)/EXC.RATE_1),CURRENCY.FORMAT_1),CURRENCY.FORMAT_1,0)),'DICTIONARY-5'!$A$2)</f>
        <v>4 353,-</v>
      </c>
      <c r="M2266" s="670" t="str">
        <f>IF(EXC.RATE_2=0,"",IFERROR(IF(CURRENCY.FORMAT_2=0,CONCATENATE(TEXT(FIXED(ROUND(IF(EXC.RATE.SWITCH=1,C2266*(1-I2266)*(1-ADD.DISCOUNT)*(1+MAT.SURCHARGE)/EXC.RATE_2,C2266*(1-I2266)*(1-ADD.DISCOUNT)*(1+MAT.SURCHARGE)*EXC.RATE_2),CURRENCY.FORMAT_2),CURRENCY.FORMAT_2,1),"# ##0;-# ##0"),",-"),FIXED(ROUND(IF(EXC.RATE.SWITCH=1,C2266*(1-I2266)*(1-ADD.DISCOUNT)*(1+MAT.SURCHARGE)/EXC.RATE_2,C2266*(1-I2266)*(1-ADD.DISCOUNT)*(1+MAT.SURCHARGE)*EXC.RATE_2),CURRENCY.FORMAT_2),CURRENCY.FORMAT_2,0)),'DICTIONARY-5'!$A$2))</f>
        <v/>
      </c>
      <c r="N2266" s="538">
        <v>10</v>
      </c>
      <c r="O2266" s="538"/>
      <c r="P2266" s="731" t="str">
        <f>'DICTIONARY-3'!$A$124</f>
        <v>VARIplus-DJ</v>
      </c>
      <c r="Q2266" s="732" t="str">
        <f>'DICTIONARY-3'!$A$214</f>
        <v>Wstawka montażowa</v>
      </c>
      <c r="R2266" s="732" t="str">
        <f>CONCATENATE('DICTIONARY-3'!$A$124," ",'DICTIONARY-6'!$A$15," ",'DICTIONARY-2'!$A$2,"1000"," ",'DICTIONARY-2'!$A$3,"16"," ",'DICTIONARY-2'!$A$24,"=","260-320",'DICTIONARY-2'!$A$17,," ",'DICTIONARY-6'!$A$35)</f>
        <v>VARIplus-DJ Wstawka mont. DN1000 PN16 L=260-320mm śr.stal nierdzewna</v>
      </c>
      <c r="S2266" s="733" t="s">
        <v>5569</v>
      </c>
      <c r="T2266" s="732" t="s">
        <v>5569</v>
      </c>
      <c r="U2266" s="734" t="s">
        <v>5836</v>
      </c>
      <c r="V2266" s="735">
        <v>16</v>
      </c>
      <c r="W2266" s="736"/>
      <c r="X2266" s="737"/>
      <c r="Y2266" s="738"/>
      <c r="Z2266" s="739"/>
      <c r="AA2266" s="739"/>
      <c r="AB2266" s="740">
        <v>16</v>
      </c>
      <c r="AC2266" s="741" t="s">
        <v>5714</v>
      </c>
      <c r="AD2266" s="741" t="str">
        <f>'DICTIONARY-5'!$A$13</f>
        <v>woda pitna</v>
      </c>
      <c r="AE2266" s="742">
        <v>90</v>
      </c>
      <c r="AF2266" s="743">
        <v>346.53</v>
      </c>
      <c r="AG2266" s="741" t="str">
        <f>'DICTIONARY-5'!$A$23</f>
        <v>powłoka epoksydowa</v>
      </c>
    </row>
    <row r="2267" spans="1:33" x14ac:dyDescent="0.25">
      <c r="A2267" s="872" t="s">
        <v>2099</v>
      </c>
      <c r="B2267" s="872" t="s">
        <v>3656</v>
      </c>
      <c r="C2267" s="836">
        <v>7334</v>
      </c>
      <c r="D2267" s="836"/>
      <c r="E2267" s="836"/>
      <c r="F2267" s="836"/>
      <c r="G2267" s="496" t="s">
        <v>7843</v>
      </c>
      <c r="H2267" s="797" t="str">
        <f>VLOOKUP(G2267,SETTINGS!$B$7:$D$97,2,0)</f>
        <v>VARIplus</v>
      </c>
      <c r="I2267" s="796">
        <f>VLOOKUP(G2267,SETTINGS!$B$7:$D$97,3,0)</f>
        <v>0</v>
      </c>
      <c r="J2267" s="670" t="str">
        <f>IFERROR(IF(CURRENCY.FORMAT_1=0,CONCATENATE(TEXT(FIXED(ROUND((C2267/EXC.RATE_1),CURRENCY.FORMAT_1),CURRENCY.FORMAT_1,1),"# ##0;-# ##0"),",-"),FIXED(ROUND((C2267/EXC.RATE_1),CURRENCY.FORMAT_1),CURRENCY.FORMAT_1,0)),'DICTIONARY-5'!$A$2)</f>
        <v>7 334,-</v>
      </c>
      <c r="K2267" s="670" t="str">
        <f>IF(EXC.RATE_2=0,"",IFERROR(IF(CURRENCY.FORMAT_2=0,CONCATENATE(TEXT(FIXED(ROUND(IF(EXC.RATE.SWITCH=1,C2267/EXC.RATE_2,C2267*EXC.RATE_2),CURRENCY.FORMAT_2),CURRENCY.FORMAT_2,1),"# ##0;-# ##0"),",-"),FIXED(ROUND(IF(EXC.RATE.SWITCH=1,C2267/EXC.RATE_2,C2267*EXC.RATE_2),CURRENCY.FORMAT_2),CURRENCY.FORMAT_2,0)),'DICTIONARY-5'!$A$2))</f>
        <v/>
      </c>
      <c r="L2267" s="670" t="str">
        <f>IFERROR(IF(CURRENCY.FORMAT_1=0,CONCATENATE(TEXT(FIXED(ROUND((C2267*(1-I2267)*(1-ADD.DISCOUNT)*(1+MAT.SURCHARGE)/EXC.RATE_1),CURRENCY.FORMAT_1),CURRENCY.FORMAT_1,1),"# ##0;-# ##0"),",-"),FIXED(ROUND((C2267*(1-I2267)*(1-ADD.DISCOUNT)*(1+MAT.SURCHARGE)/EXC.RATE_1),CURRENCY.FORMAT_1),CURRENCY.FORMAT_1,0)),'DICTIONARY-5'!$A$2)</f>
        <v>7 620,-</v>
      </c>
      <c r="M2267" s="670" t="str">
        <f>IF(EXC.RATE_2=0,"",IFERROR(IF(CURRENCY.FORMAT_2=0,CONCATENATE(TEXT(FIXED(ROUND(IF(EXC.RATE.SWITCH=1,C2267*(1-I2267)*(1-ADD.DISCOUNT)*(1+MAT.SURCHARGE)/EXC.RATE_2,C2267*(1-I2267)*(1-ADD.DISCOUNT)*(1+MAT.SURCHARGE)*EXC.RATE_2),CURRENCY.FORMAT_2),CURRENCY.FORMAT_2,1),"# ##0;-# ##0"),",-"),FIXED(ROUND(IF(EXC.RATE.SWITCH=1,C2267*(1-I2267)*(1-ADD.DISCOUNT)*(1+MAT.SURCHARGE)/EXC.RATE_2,C2267*(1-I2267)*(1-ADD.DISCOUNT)*(1+MAT.SURCHARGE)*EXC.RATE_2),CURRENCY.FORMAT_2),CURRENCY.FORMAT_2,0)),'DICTIONARY-5'!$A$2))</f>
        <v/>
      </c>
      <c r="N2267" s="538">
        <v>10</v>
      </c>
      <c r="O2267" s="538"/>
      <c r="P2267" s="731" t="str">
        <f>'DICTIONARY-3'!$A$124</f>
        <v>VARIplus-DJ</v>
      </c>
      <c r="Q2267" s="732" t="str">
        <f>'DICTIONARY-3'!$A$214</f>
        <v>Wstawka montażowa</v>
      </c>
      <c r="R2267" s="732" t="str">
        <f>CONCATENATE('DICTIONARY-3'!$A$124," ",'DICTIONARY-6'!$A$15," ",'DICTIONARY-2'!$A$2,"1200"," ",'DICTIONARY-2'!$A$3,"16"," ",'DICTIONARY-2'!$A$24,"=","280-340",'DICTIONARY-2'!$A$17,," ",'DICTIONARY-6'!$A$35)</f>
        <v>VARIplus-DJ Wstawka mont. DN1200 PN16 L=280-340mm śr.stal nierdzewna</v>
      </c>
      <c r="S2267" s="733" t="s">
        <v>5569</v>
      </c>
      <c r="T2267" s="732" t="s">
        <v>5569</v>
      </c>
      <c r="U2267" s="734" t="s">
        <v>5838</v>
      </c>
      <c r="V2267" s="735">
        <v>16</v>
      </c>
      <c r="W2267" s="736"/>
      <c r="X2267" s="737"/>
      <c r="Y2267" s="738"/>
      <c r="Z2267" s="739"/>
      <c r="AA2267" s="739"/>
      <c r="AB2267" s="740">
        <v>16</v>
      </c>
      <c r="AC2267" s="741" t="s">
        <v>5715</v>
      </c>
      <c r="AD2267" s="741" t="str">
        <f>'DICTIONARY-5'!$A$13</f>
        <v>woda pitna</v>
      </c>
      <c r="AE2267" s="742">
        <v>90</v>
      </c>
      <c r="AF2267" s="743">
        <v>586</v>
      </c>
      <c r="AG2267" s="741" t="str">
        <f>'DICTIONARY-5'!$A$23</f>
        <v>powłoka epoksydowa</v>
      </c>
    </row>
    <row r="2268" spans="1:33" x14ac:dyDescent="0.25">
      <c r="A2268" s="872" t="s">
        <v>2101</v>
      </c>
      <c r="B2268" s="872" t="s">
        <v>3660</v>
      </c>
      <c r="C2268" s="836">
        <v>10237</v>
      </c>
      <c r="D2268" s="836"/>
      <c r="E2268" s="836"/>
      <c r="F2268" s="836"/>
      <c r="G2268" s="496" t="s">
        <v>7843</v>
      </c>
      <c r="H2268" s="797" t="str">
        <f>VLOOKUP(G2268,SETTINGS!$B$7:$D$97,2,0)</f>
        <v>VARIplus</v>
      </c>
      <c r="I2268" s="796">
        <f>VLOOKUP(G2268,SETTINGS!$B$7:$D$97,3,0)</f>
        <v>0</v>
      </c>
      <c r="J2268" s="670" t="str">
        <f>IFERROR(IF(CURRENCY.FORMAT_1=0,CONCATENATE(TEXT(FIXED(ROUND((C2268/EXC.RATE_1),CURRENCY.FORMAT_1),CURRENCY.FORMAT_1,1),"# ##0;-# ##0"),",-"),FIXED(ROUND((C2268/EXC.RATE_1),CURRENCY.FORMAT_1),CURRENCY.FORMAT_1,0)),'DICTIONARY-5'!$A$2)</f>
        <v>10 237,-</v>
      </c>
      <c r="K2268" s="670" t="str">
        <f>IF(EXC.RATE_2=0,"",IFERROR(IF(CURRENCY.FORMAT_2=0,CONCATENATE(TEXT(FIXED(ROUND(IF(EXC.RATE.SWITCH=1,C2268/EXC.RATE_2,C2268*EXC.RATE_2),CURRENCY.FORMAT_2),CURRENCY.FORMAT_2,1),"# ##0;-# ##0"),",-"),FIXED(ROUND(IF(EXC.RATE.SWITCH=1,C2268/EXC.RATE_2,C2268*EXC.RATE_2),CURRENCY.FORMAT_2),CURRENCY.FORMAT_2,0)),'DICTIONARY-5'!$A$2))</f>
        <v/>
      </c>
      <c r="L2268" s="670" t="str">
        <f>IFERROR(IF(CURRENCY.FORMAT_1=0,CONCATENATE(TEXT(FIXED(ROUND((C2268*(1-I2268)*(1-ADD.DISCOUNT)*(1+MAT.SURCHARGE)/EXC.RATE_1),CURRENCY.FORMAT_1),CURRENCY.FORMAT_1,1),"# ##0;-# ##0"),",-"),FIXED(ROUND((C2268*(1-I2268)*(1-ADD.DISCOUNT)*(1+MAT.SURCHARGE)/EXC.RATE_1),CURRENCY.FORMAT_1),CURRENCY.FORMAT_1,0)),'DICTIONARY-5'!$A$2)</f>
        <v>10 636,-</v>
      </c>
      <c r="M2268" s="670" t="str">
        <f>IF(EXC.RATE_2=0,"",IFERROR(IF(CURRENCY.FORMAT_2=0,CONCATENATE(TEXT(FIXED(ROUND(IF(EXC.RATE.SWITCH=1,C2268*(1-I2268)*(1-ADD.DISCOUNT)*(1+MAT.SURCHARGE)/EXC.RATE_2,C2268*(1-I2268)*(1-ADD.DISCOUNT)*(1+MAT.SURCHARGE)*EXC.RATE_2),CURRENCY.FORMAT_2),CURRENCY.FORMAT_2,1),"# ##0;-# ##0"),",-"),FIXED(ROUND(IF(EXC.RATE.SWITCH=1,C2268*(1-I2268)*(1-ADD.DISCOUNT)*(1+MAT.SURCHARGE)/EXC.RATE_2,C2268*(1-I2268)*(1-ADD.DISCOUNT)*(1+MAT.SURCHARGE)*EXC.RATE_2),CURRENCY.FORMAT_2),CURRENCY.FORMAT_2,0)),'DICTIONARY-5'!$A$2))</f>
        <v/>
      </c>
      <c r="N2268" s="538">
        <v>10</v>
      </c>
      <c r="O2268" s="538"/>
      <c r="P2268" s="731" t="str">
        <f>'DICTIONARY-3'!$A$124</f>
        <v>VARIplus-DJ</v>
      </c>
      <c r="Q2268" s="732" t="str">
        <f>'DICTIONARY-3'!$A$214</f>
        <v>Wstawka montażowa</v>
      </c>
      <c r="R2268" s="732" t="str">
        <f>CONCATENATE('DICTIONARY-3'!$A$124," ",'DICTIONARY-6'!$A$15," ",'DICTIONARY-2'!$A$2,"1400"," ",'DICTIONARY-2'!$A$3,"16"," ",'DICTIONARY-2'!$A$24,"=","310-370",'DICTIONARY-2'!$A$17,," ",'DICTIONARY-6'!$A$35)</f>
        <v>VARIplus-DJ Wstawka mont. DN1400 PN16 L=310-370mm śr.stal nierdzewna</v>
      </c>
      <c r="S2268" s="733" t="s">
        <v>5569</v>
      </c>
      <c r="T2268" s="732" t="s">
        <v>5569</v>
      </c>
      <c r="U2268" s="734" t="s">
        <v>5839</v>
      </c>
      <c r="V2268" s="735">
        <v>16</v>
      </c>
      <c r="W2268" s="736"/>
      <c r="X2268" s="737"/>
      <c r="Y2268" s="738"/>
      <c r="Z2268" s="739"/>
      <c r="AA2268" s="739"/>
      <c r="AB2268" s="740">
        <v>16</v>
      </c>
      <c r="AC2268" s="741" t="s">
        <v>5716</v>
      </c>
      <c r="AD2268" s="741" t="str">
        <f>'DICTIONARY-5'!$A$13</f>
        <v>woda pitna</v>
      </c>
      <c r="AE2268" s="742">
        <v>90</v>
      </c>
      <c r="AF2268" s="743">
        <v>695.14</v>
      </c>
      <c r="AG2268" s="741" t="str">
        <f>'DICTIONARY-5'!$A$23</f>
        <v>powłoka epoksydowa</v>
      </c>
    </row>
    <row r="2269" spans="1:33" x14ac:dyDescent="0.25">
      <c r="A2269" s="872" t="s">
        <v>2103</v>
      </c>
      <c r="B2269" s="872" t="s">
        <v>3664</v>
      </c>
      <c r="C2269" s="836">
        <v>26685</v>
      </c>
      <c r="D2269" s="836"/>
      <c r="E2269" s="836"/>
      <c r="F2269" s="836"/>
      <c r="G2269" s="496" t="s">
        <v>7843</v>
      </c>
      <c r="H2269" s="797" t="str">
        <f>VLOOKUP(G2269,SETTINGS!$B$7:$D$97,2,0)</f>
        <v>VARIplus</v>
      </c>
      <c r="I2269" s="796">
        <f>VLOOKUP(G2269,SETTINGS!$B$7:$D$97,3,0)</f>
        <v>0</v>
      </c>
      <c r="J2269" s="670" t="str">
        <f>IFERROR(IF(CURRENCY.FORMAT_1=0,CONCATENATE(TEXT(FIXED(ROUND((C2269/EXC.RATE_1),CURRENCY.FORMAT_1),CURRENCY.FORMAT_1,1),"# ##0;-# ##0"),",-"),FIXED(ROUND((C2269/EXC.RATE_1),CURRENCY.FORMAT_1),CURRENCY.FORMAT_1,0)),'DICTIONARY-5'!$A$2)</f>
        <v>26 685,-</v>
      </c>
      <c r="K2269" s="670" t="str">
        <f>IF(EXC.RATE_2=0,"",IFERROR(IF(CURRENCY.FORMAT_2=0,CONCATENATE(TEXT(FIXED(ROUND(IF(EXC.RATE.SWITCH=1,C2269/EXC.RATE_2,C2269*EXC.RATE_2),CURRENCY.FORMAT_2),CURRENCY.FORMAT_2,1),"# ##0;-# ##0"),",-"),FIXED(ROUND(IF(EXC.RATE.SWITCH=1,C2269/EXC.RATE_2,C2269*EXC.RATE_2),CURRENCY.FORMAT_2),CURRENCY.FORMAT_2,0)),'DICTIONARY-5'!$A$2))</f>
        <v/>
      </c>
      <c r="L2269" s="670" t="str">
        <f>IFERROR(IF(CURRENCY.FORMAT_1=0,CONCATENATE(TEXT(FIXED(ROUND((C2269*(1-I2269)*(1-ADD.DISCOUNT)*(1+MAT.SURCHARGE)/EXC.RATE_1),CURRENCY.FORMAT_1),CURRENCY.FORMAT_1,1),"# ##0;-# ##0"),",-"),FIXED(ROUND((C2269*(1-I2269)*(1-ADD.DISCOUNT)*(1+MAT.SURCHARGE)/EXC.RATE_1),CURRENCY.FORMAT_1),CURRENCY.FORMAT_1,0)),'DICTIONARY-5'!$A$2)</f>
        <v>27 726,-</v>
      </c>
      <c r="M2269" s="670" t="str">
        <f>IF(EXC.RATE_2=0,"",IFERROR(IF(CURRENCY.FORMAT_2=0,CONCATENATE(TEXT(FIXED(ROUND(IF(EXC.RATE.SWITCH=1,C2269*(1-I2269)*(1-ADD.DISCOUNT)*(1+MAT.SURCHARGE)/EXC.RATE_2,C2269*(1-I2269)*(1-ADD.DISCOUNT)*(1+MAT.SURCHARGE)*EXC.RATE_2),CURRENCY.FORMAT_2),CURRENCY.FORMAT_2,1),"# ##0;-# ##0"),",-"),FIXED(ROUND(IF(EXC.RATE.SWITCH=1,C2269*(1-I2269)*(1-ADD.DISCOUNT)*(1+MAT.SURCHARGE)/EXC.RATE_2,C2269*(1-I2269)*(1-ADD.DISCOUNT)*(1+MAT.SURCHARGE)*EXC.RATE_2),CURRENCY.FORMAT_2),CURRENCY.FORMAT_2,0)),'DICTIONARY-5'!$A$2))</f>
        <v/>
      </c>
      <c r="N2269" s="538">
        <v>10</v>
      </c>
      <c r="O2269" s="538"/>
      <c r="P2269" s="731" t="str">
        <f>'DICTIONARY-3'!$A$124</f>
        <v>VARIplus-DJ</v>
      </c>
      <c r="Q2269" s="732" t="str">
        <f>'DICTIONARY-3'!$A$214</f>
        <v>Wstawka montażowa</v>
      </c>
      <c r="R2269" s="732" t="str">
        <f>CONCATENATE('DICTIONARY-3'!$A$124," ",'DICTIONARY-6'!$A$15," ",'DICTIONARY-2'!$A$2,"1600"," ",'DICTIONARY-2'!$A$3,"16"," ",'DICTIONARY-2'!$A$24,"=","350-410",'DICTIONARY-2'!$A$17,," ",'DICTIONARY-6'!$A$35)</f>
        <v>VARIplus-DJ Wstawka mont. DN1600 PN16 L=350-410mm śr.stal nierdzewna</v>
      </c>
      <c r="S2269" s="733" t="s">
        <v>5569</v>
      </c>
      <c r="T2269" s="732" t="s">
        <v>5569</v>
      </c>
      <c r="U2269" s="734" t="s">
        <v>5840</v>
      </c>
      <c r="V2269" s="735">
        <v>16</v>
      </c>
      <c r="W2269" s="736"/>
      <c r="X2269" s="737"/>
      <c r="Y2269" s="738"/>
      <c r="Z2269" s="739"/>
      <c r="AA2269" s="739"/>
      <c r="AB2269" s="740">
        <v>16</v>
      </c>
      <c r="AC2269" s="741" t="s">
        <v>5717</v>
      </c>
      <c r="AD2269" s="741" t="str">
        <f>'DICTIONARY-5'!$A$13</f>
        <v>woda pitna</v>
      </c>
      <c r="AE2269" s="742">
        <v>90</v>
      </c>
      <c r="AF2269" s="743">
        <v>1360.58</v>
      </c>
      <c r="AG2269" s="741" t="str">
        <f>'DICTIONARY-5'!$A$23</f>
        <v>powłoka epoksydowa</v>
      </c>
    </row>
    <row r="2270" spans="1:33" x14ac:dyDescent="0.25">
      <c r="A2270" s="872" t="s">
        <v>2105</v>
      </c>
      <c r="B2270" s="872" t="s">
        <v>3668</v>
      </c>
      <c r="C2270" s="836">
        <v>38425</v>
      </c>
      <c r="D2270" s="836"/>
      <c r="E2270" s="836"/>
      <c r="F2270" s="836"/>
      <c r="G2270" s="496" t="s">
        <v>7843</v>
      </c>
      <c r="H2270" s="797" t="str">
        <f>VLOOKUP(G2270,SETTINGS!$B$7:$D$97,2,0)</f>
        <v>VARIplus</v>
      </c>
      <c r="I2270" s="796">
        <f>VLOOKUP(G2270,SETTINGS!$B$7:$D$97,3,0)</f>
        <v>0</v>
      </c>
      <c r="J2270" s="670" t="str">
        <f>IFERROR(IF(CURRENCY.FORMAT_1=0,CONCATENATE(TEXT(FIXED(ROUND((C2270/EXC.RATE_1),CURRENCY.FORMAT_1),CURRENCY.FORMAT_1,1),"# ##0;-# ##0"),",-"),FIXED(ROUND((C2270/EXC.RATE_1),CURRENCY.FORMAT_1),CURRENCY.FORMAT_1,0)),'DICTIONARY-5'!$A$2)</f>
        <v>38 425,-</v>
      </c>
      <c r="K2270" s="670" t="str">
        <f>IF(EXC.RATE_2=0,"",IFERROR(IF(CURRENCY.FORMAT_2=0,CONCATENATE(TEXT(FIXED(ROUND(IF(EXC.RATE.SWITCH=1,C2270/EXC.RATE_2,C2270*EXC.RATE_2),CURRENCY.FORMAT_2),CURRENCY.FORMAT_2,1),"# ##0;-# ##0"),",-"),FIXED(ROUND(IF(EXC.RATE.SWITCH=1,C2270/EXC.RATE_2,C2270*EXC.RATE_2),CURRENCY.FORMAT_2),CURRENCY.FORMAT_2,0)),'DICTIONARY-5'!$A$2))</f>
        <v/>
      </c>
      <c r="L2270" s="670" t="str">
        <f>IFERROR(IF(CURRENCY.FORMAT_1=0,CONCATENATE(TEXT(FIXED(ROUND((C2270*(1-I2270)*(1-ADD.DISCOUNT)*(1+MAT.SURCHARGE)/EXC.RATE_1),CURRENCY.FORMAT_1),CURRENCY.FORMAT_1,1),"# ##0;-# ##0"),",-"),FIXED(ROUND((C2270*(1-I2270)*(1-ADD.DISCOUNT)*(1+MAT.SURCHARGE)/EXC.RATE_1),CURRENCY.FORMAT_1),CURRENCY.FORMAT_1,0)),'DICTIONARY-5'!$A$2)</f>
        <v>39 924,-</v>
      </c>
      <c r="M2270" s="670" t="str">
        <f>IF(EXC.RATE_2=0,"",IFERROR(IF(CURRENCY.FORMAT_2=0,CONCATENATE(TEXT(FIXED(ROUND(IF(EXC.RATE.SWITCH=1,C2270*(1-I2270)*(1-ADD.DISCOUNT)*(1+MAT.SURCHARGE)/EXC.RATE_2,C2270*(1-I2270)*(1-ADD.DISCOUNT)*(1+MAT.SURCHARGE)*EXC.RATE_2),CURRENCY.FORMAT_2),CURRENCY.FORMAT_2,1),"# ##0;-# ##0"),",-"),FIXED(ROUND(IF(EXC.RATE.SWITCH=1,C2270*(1-I2270)*(1-ADD.DISCOUNT)*(1+MAT.SURCHARGE)/EXC.RATE_2,C2270*(1-I2270)*(1-ADD.DISCOUNT)*(1+MAT.SURCHARGE)*EXC.RATE_2),CURRENCY.FORMAT_2),CURRENCY.FORMAT_2,0)),'DICTIONARY-5'!$A$2))</f>
        <v/>
      </c>
      <c r="N2270" s="538">
        <v>10</v>
      </c>
      <c r="O2270" s="538"/>
      <c r="P2270" s="731" t="str">
        <f>'DICTIONARY-3'!$A$124</f>
        <v>VARIplus-DJ</v>
      </c>
      <c r="Q2270" s="732" t="str">
        <f>'DICTIONARY-3'!$A$214</f>
        <v>Wstawka montażowa</v>
      </c>
      <c r="R2270" s="732" t="str">
        <f>CONCATENATE('DICTIONARY-3'!$A$124," ",'DICTIONARY-6'!$A$15," ",'DICTIONARY-2'!$A$2,"1800"," ",'DICTIONARY-2'!$A$3,"16"," ",'DICTIONARY-2'!$A$24,"=","350-410",'DICTIONARY-2'!$A$17,," ",'DICTIONARY-6'!$A$35)</f>
        <v>VARIplus-DJ Wstawka mont. DN1800 PN16 L=350-410mm śr.stal nierdzewna</v>
      </c>
      <c r="S2270" s="733" t="s">
        <v>5569</v>
      </c>
      <c r="T2270" s="732" t="s">
        <v>5569</v>
      </c>
      <c r="U2270" s="734" t="s">
        <v>5841</v>
      </c>
      <c r="V2270" s="735">
        <v>16</v>
      </c>
      <c r="W2270" s="736"/>
      <c r="X2270" s="737"/>
      <c r="Y2270" s="738"/>
      <c r="Z2270" s="739"/>
      <c r="AA2270" s="739"/>
      <c r="AB2270" s="740">
        <v>16</v>
      </c>
      <c r="AC2270" s="741" t="s">
        <v>5717</v>
      </c>
      <c r="AD2270" s="741" t="str">
        <f>'DICTIONARY-5'!$A$13</f>
        <v>woda pitna</v>
      </c>
      <c r="AE2270" s="742">
        <v>90</v>
      </c>
      <c r="AF2270" s="743">
        <v>1555.8</v>
      </c>
      <c r="AG2270" s="741" t="str">
        <f>'DICTIONARY-5'!$A$23</f>
        <v>powłoka epoksydowa</v>
      </c>
    </row>
    <row r="2271" spans="1:33" x14ac:dyDescent="0.25">
      <c r="A2271" s="872" t="s">
        <v>2107</v>
      </c>
      <c r="B2271" s="872" t="s">
        <v>3672</v>
      </c>
      <c r="C2271" s="836">
        <v>43929</v>
      </c>
      <c r="D2271" s="836"/>
      <c r="E2271" s="836"/>
      <c r="F2271" s="836"/>
      <c r="G2271" s="496" t="s">
        <v>7843</v>
      </c>
      <c r="H2271" s="797" t="str">
        <f>VLOOKUP(G2271,SETTINGS!$B$7:$D$97,2,0)</f>
        <v>VARIplus</v>
      </c>
      <c r="I2271" s="796">
        <f>VLOOKUP(G2271,SETTINGS!$B$7:$D$97,3,0)</f>
        <v>0</v>
      </c>
      <c r="J2271" s="670" t="str">
        <f>IFERROR(IF(CURRENCY.FORMAT_1=0,CONCATENATE(TEXT(FIXED(ROUND((C2271/EXC.RATE_1),CURRENCY.FORMAT_1),CURRENCY.FORMAT_1,1),"# ##0;-# ##0"),",-"),FIXED(ROUND((C2271/EXC.RATE_1),CURRENCY.FORMAT_1),CURRENCY.FORMAT_1,0)),'DICTIONARY-5'!$A$2)</f>
        <v>43 929,-</v>
      </c>
      <c r="K2271" s="670" t="str">
        <f>IF(EXC.RATE_2=0,"",IFERROR(IF(CURRENCY.FORMAT_2=0,CONCATENATE(TEXT(FIXED(ROUND(IF(EXC.RATE.SWITCH=1,C2271/EXC.RATE_2,C2271*EXC.RATE_2),CURRENCY.FORMAT_2),CURRENCY.FORMAT_2,1),"# ##0;-# ##0"),",-"),FIXED(ROUND(IF(EXC.RATE.SWITCH=1,C2271/EXC.RATE_2,C2271*EXC.RATE_2),CURRENCY.FORMAT_2),CURRENCY.FORMAT_2,0)),'DICTIONARY-5'!$A$2))</f>
        <v/>
      </c>
      <c r="L2271" s="670" t="str">
        <f>IFERROR(IF(CURRENCY.FORMAT_1=0,CONCATENATE(TEXT(FIXED(ROUND((C2271*(1-I2271)*(1-ADD.DISCOUNT)*(1+MAT.SURCHARGE)/EXC.RATE_1),CURRENCY.FORMAT_1),CURRENCY.FORMAT_1,1),"# ##0;-# ##0"),",-"),FIXED(ROUND((C2271*(1-I2271)*(1-ADD.DISCOUNT)*(1+MAT.SURCHARGE)/EXC.RATE_1),CURRENCY.FORMAT_1),CURRENCY.FORMAT_1,0)),'DICTIONARY-5'!$A$2)</f>
        <v>45 642,-</v>
      </c>
      <c r="M2271" s="670" t="str">
        <f>IF(EXC.RATE_2=0,"",IFERROR(IF(CURRENCY.FORMAT_2=0,CONCATENATE(TEXT(FIXED(ROUND(IF(EXC.RATE.SWITCH=1,C2271*(1-I2271)*(1-ADD.DISCOUNT)*(1+MAT.SURCHARGE)/EXC.RATE_2,C2271*(1-I2271)*(1-ADD.DISCOUNT)*(1+MAT.SURCHARGE)*EXC.RATE_2),CURRENCY.FORMAT_2),CURRENCY.FORMAT_2,1),"# ##0;-# ##0"),",-"),FIXED(ROUND(IF(EXC.RATE.SWITCH=1,C2271*(1-I2271)*(1-ADD.DISCOUNT)*(1+MAT.SURCHARGE)/EXC.RATE_2,C2271*(1-I2271)*(1-ADD.DISCOUNT)*(1+MAT.SURCHARGE)*EXC.RATE_2),CURRENCY.FORMAT_2),CURRENCY.FORMAT_2,0)),'DICTIONARY-5'!$A$2))</f>
        <v/>
      </c>
      <c r="N2271" s="538">
        <v>10</v>
      </c>
      <c r="O2271" s="538"/>
      <c r="P2271" s="731" t="str">
        <f>'DICTIONARY-3'!$A$124</f>
        <v>VARIplus-DJ</v>
      </c>
      <c r="Q2271" s="732" t="str">
        <f>'DICTIONARY-3'!$A$214</f>
        <v>Wstawka montażowa</v>
      </c>
      <c r="R2271" s="732" t="str">
        <f>CONCATENATE('DICTIONARY-3'!$A$124," ",'DICTIONARY-6'!$A$15," ",'DICTIONARY-2'!$A$2,"2000"," ",'DICTIONARY-2'!$A$3,"16"," ",'DICTIONARY-2'!$A$24,"=","350-410",'DICTIONARY-2'!$A$17,," ",'DICTIONARY-6'!$A$35)</f>
        <v>VARIplus-DJ Wstawka mont. DN2000 PN16 L=350-410mm śr.stal nierdzewna</v>
      </c>
      <c r="S2271" s="733" t="s">
        <v>5569</v>
      </c>
      <c r="T2271" s="732" t="s">
        <v>5569</v>
      </c>
      <c r="U2271" s="734" t="s">
        <v>5842</v>
      </c>
      <c r="V2271" s="735">
        <v>16</v>
      </c>
      <c r="W2271" s="736"/>
      <c r="X2271" s="737"/>
      <c r="Y2271" s="738"/>
      <c r="Z2271" s="739"/>
      <c r="AA2271" s="739"/>
      <c r="AB2271" s="740">
        <v>16</v>
      </c>
      <c r="AC2271" s="741" t="s">
        <v>5717</v>
      </c>
      <c r="AD2271" s="741" t="str">
        <f>'DICTIONARY-5'!$A$13</f>
        <v>woda pitna</v>
      </c>
      <c r="AE2271" s="742">
        <v>90</v>
      </c>
      <c r="AF2271" s="743">
        <v>1818.82</v>
      </c>
      <c r="AG2271" s="741" t="str">
        <f>'DICTIONARY-5'!$A$23</f>
        <v>powłoka epoksydowa</v>
      </c>
    </row>
    <row r="2272" spans="1:33" x14ac:dyDescent="0.25">
      <c r="A2272" s="872" t="s">
        <v>2108</v>
      </c>
      <c r="B2272" s="872" t="s">
        <v>3573</v>
      </c>
      <c r="C2272" s="836">
        <v>318</v>
      </c>
      <c r="D2272" s="836"/>
      <c r="E2272" s="836"/>
      <c r="F2272" s="836"/>
      <c r="G2272" s="871" t="s">
        <v>7856</v>
      </c>
      <c r="H2272" s="797" t="str">
        <f>VLOOKUP(G2272,SETTINGS!$B$7:$D$97,2,0)</f>
        <v>MONTY</v>
      </c>
      <c r="I2272" s="796">
        <f>VLOOKUP(G2272,SETTINGS!$B$7:$D$97,3,0)</f>
        <v>0</v>
      </c>
      <c r="J2272" s="670" t="str">
        <f>IFERROR(IF(CURRENCY.FORMAT_1=0,CONCATENATE(TEXT(FIXED(ROUND((C2272/EXC.RATE_1),CURRENCY.FORMAT_1),CURRENCY.FORMAT_1,1),"# ##0;-# ##0"),",-"),FIXED(ROUND((C2272/EXC.RATE_1),CURRENCY.FORMAT_1),CURRENCY.FORMAT_1,0)),'DICTIONARY-5'!$A$2)</f>
        <v>318,-</v>
      </c>
      <c r="K2272" s="670" t="str">
        <f>IF(EXC.RATE_2=0,"",IFERROR(IF(CURRENCY.FORMAT_2=0,CONCATENATE(TEXT(FIXED(ROUND(IF(EXC.RATE.SWITCH=1,C2272/EXC.RATE_2,C2272*EXC.RATE_2),CURRENCY.FORMAT_2),CURRENCY.FORMAT_2,1),"# ##0;-# ##0"),",-"),FIXED(ROUND(IF(EXC.RATE.SWITCH=1,C2272/EXC.RATE_2,C2272*EXC.RATE_2),CURRENCY.FORMAT_2),CURRENCY.FORMAT_2,0)),'DICTIONARY-5'!$A$2))</f>
        <v/>
      </c>
      <c r="L2272" s="670" t="str">
        <f>IFERROR(IF(CURRENCY.FORMAT_1=0,CONCATENATE(TEXT(FIXED(ROUND((C2272*(1-I2272)*(1-ADD.DISCOUNT)*(1+MAT.SURCHARGE)/EXC.RATE_1),CURRENCY.FORMAT_1),CURRENCY.FORMAT_1,1),"# ##0;-# ##0"),",-"),FIXED(ROUND((C2272*(1-I2272)*(1-ADD.DISCOUNT)*(1+MAT.SURCHARGE)/EXC.RATE_1),CURRENCY.FORMAT_1),CURRENCY.FORMAT_1,0)),'DICTIONARY-5'!$A$2)</f>
        <v>330,-</v>
      </c>
      <c r="M2272" s="670" t="str">
        <f>IF(EXC.RATE_2=0,"",IFERROR(IF(CURRENCY.FORMAT_2=0,CONCATENATE(TEXT(FIXED(ROUND(IF(EXC.RATE.SWITCH=1,C2272*(1-I2272)*(1-ADD.DISCOUNT)*(1+MAT.SURCHARGE)/EXC.RATE_2,C2272*(1-I2272)*(1-ADD.DISCOUNT)*(1+MAT.SURCHARGE)*EXC.RATE_2),CURRENCY.FORMAT_2),CURRENCY.FORMAT_2,1),"# ##0;-# ##0"),",-"),FIXED(ROUND(IF(EXC.RATE.SWITCH=1,C2272*(1-I2272)*(1-ADD.DISCOUNT)*(1+MAT.SURCHARGE)/EXC.RATE_2,C2272*(1-I2272)*(1-ADD.DISCOUNT)*(1+MAT.SURCHARGE)*EXC.RATE_2),CURRENCY.FORMAT_2),CURRENCY.FORMAT_2,0)),'DICTIONARY-5'!$A$2))</f>
        <v/>
      </c>
      <c r="N2272" s="538">
        <v>10</v>
      </c>
      <c r="O2272" s="538"/>
      <c r="P2272" s="731" t="str">
        <f>'DICTIONARY-3'!$A$127</f>
        <v>MONTY</v>
      </c>
      <c r="Q2272" s="732" t="str">
        <f>'DICTIONARY-3'!$A$214</f>
        <v>Wstawka montażowa</v>
      </c>
      <c r="R2272" s="732" t="str">
        <f>CONCATENATE('DICTIONARY-3'!$A$127," ",'DICTIONARY-6'!$A$15," ",'DICTIONARY-2'!$A$2,"40"," ",'DICTIONARY-2'!$A$3,"10/16"," ",'DICTIONARY-2'!$A$24,"=","155-165",'DICTIONARY-2'!$A$17,)</f>
        <v>MONTY Wstawka mont. DN40 PN10/16 L=155-165mm</v>
      </c>
      <c r="S2272" s="733" t="s">
        <v>5569</v>
      </c>
      <c r="T2272" s="732" t="s">
        <v>5569</v>
      </c>
      <c r="U2272" s="734" t="s">
        <v>5758</v>
      </c>
      <c r="V2272" s="735">
        <v>16</v>
      </c>
      <c r="W2272" s="736"/>
      <c r="X2272" s="737"/>
      <c r="Y2272" s="738"/>
      <c r="Z2272" s="739"/>
      <c r="AA2272" s="739"/>
      <c r="AB2272" s="740">
        <v>16</v>
      </c>
      <c r="AC2272" s="741" t="s">
        <v>5702</v>
      </c>
      <c r="AD2272" s="741" t="str">
        <f>'DICTIONARY-5'!$A$13</f>
        <v>woda pitna</v>
      </c>
      <c r="AE2272" s="742">
        <v>50</v>
      </c>
      <c r="AF2272" s="743">
        <v>13</v>
      </c>
      <c r="AG2272" s="733" t="str">
        <f>'DICTIONARY-5'!$A$23</f>
        <v>powłoka epoksydowa</v>
      </c>
    </row>
    <row r="2273" spans="1:33" x14ac:dyDescent="0.25">
      <c r="A2273" s="872" t="s">
        <v>2110</v>
      </c>
      <c r="B2273" s="872" t="s">
        <v>3575</v>
      </c>
      <c r="C2273" s="836">
        <v>183</v>
      </c>
      <c r="D2273" s="836"/>
      <c r="E2273" s="836"/>
      <c r="F2273" s="836"/>
      <c r="G2273" s="871" t="s">
        <v>7856</v>
      </c>
      <c r="H2273" s="797" t="str">
        <f>VLOOKUP(G2273,SETTINGS!$B$7:$D$97,2,0)</f>
        <v>MONTY</v>
      </c>
      <c r="I2273" s="796">
        <f>VLOOKUP(G2273,SETTINGS!$B$7:$D$97,3,0)</f>
        <v>0</v>
      </c>
      <c r="J2273" s="670" t="str">
        <f>IFERROR(IF(CURRENCY.FORMAT_1=0,CONCATENATE(TEXT(FIXED(ROUND((C2273/EXC.RATE_1),CURRENCY.FORMAT_1),CURRENCY.FORMAT_1,1),"# ##0;-# ##0"),",-"),FIXED(ROUND((C2273/EXC.RATE_1),CURRENCY.FORMAT_1),CURRENCY.FORMAT_1,0)),'DICTIONARY-5'!$A$2)</f>
        <v>183,-</v>
      </c>
      <c r="K2273" s="670" t="str">
        <f>IF(EXC.RATE_2=0,"",IFERROR(IF(CURRENCY.FORMAT_2=0,CONCATENATE(TEXT(FIXED(ROUND(IF(EXC.RATE.SWITCH=1,C2273/EXC.RATE_2,C2273*EXC.RATE_2),CURRENCY.FORMAT_2),CURRENCY.FORMAT_2,1),"# ##0;-# ##0"),",-"),FIXED(ROUND(IF(EXC.RATE.SWITCH=1,C2273/EXC.RATE_2,C2273*EXC.RATE_2),CURRENCY.FORMAT_2),CURRENCY.FORMAT_2,0)),'DICTIONARY-5'!$A$2))</f>
        <v/>
      </c>
      <c r="L2273" s="670" t="str">
        <f>IFERROR(IF(CURRENCY.FORMAT_1=0,CONCATENATE(TEXT(FIXED(ROUND((C2273*(1-I2273)*(1-ADD.DISCOUNT)*(1+MAT.SURCHARGE)/EXC.RATE_1),CURRENCY.FORMAT_1),CURRENCY.FORMAT_1,1),"# ##0;-# ##0"),",-"),FIXED(ROUND((C2273*(1-I2273)*(1-ADD.DISCOUNT)*(1+MAT.SURCHARGE)/EXC.RATE_1),CURRENCY.FORMAT_1),CURRENCY.FORMAT_1,0)),'DICTIONARY-5'!$A$2)</f>
        <v>190,-</v>
      </c>
      <c r="M2273" s="670" t="str">
        <f>IF(EXC.RATE_2=0,"",IFERROR(IF(CURRENCY.FORMAT_2=0,CONCATENATE(TEXT(FIXED(ROUND(IF(EXC.RATE.SWITCH=1,C2273*(1-I2273)*(1-ADD.DISCOUNT)*(1+MAT.SURCHARGE)/EXC.RATE_2,C2273*(1-I2273)*(1-ADD.DISCOUNT)*(1+MAT.SURCHARGE)*EXC.RATE_2),CURRENCY.FORMAT_2),CURRENCY.FORMAT_2,1),"# ##0;-# ##0"),",-"),FIXED(ROUND(IF(EXC.RATE.SWITCH=1,C2273*(1-I2273)*(1-ADD.DISCOUNT)*(1+MAT.SURCHARGE)/EXC.RATE_2,C2273*(1-I2273)*(1-ADD.DISCOUNT)*(1+MAT.SURCHARGE)*EXC.RATE_2),CURRENCY.FORMAT_2),CURRENCY.FORMAT_2,0)),'DICTIONARY-5'!$A$2))</f>
        <v/>
      </c>
      <c r="N2273" s="538">
        <v>10</v>
      </c>
      <c r="O2273" s="538"/>
      <c r="P2273" s="731" t="str">
        <f>'DICTIONARY-3'!$A$127</f>
        <v>MONTY</v>
      </c>
      <c r="Q2273" s="732" t="str">
        <f>'DICTIONARY-3'!$A$214</f>
        <v>Wstawka montażowa</v>
      </c>
      <c r="R2273" s="732" t="str">
        <f>CONCATENATE('DICTIONARY-3'!$A$127," ",'DICTIONARY-6'!$A$15," ",'DICTIONARY-2'!$A$2,"50"," ",'DICTIONARY-2'!$A$3,"10/16"," ",'DICTIONARY-2'!$A$24,"=","160-170",'DICTIONARY-2'!$A$17,)</f>
        <v>MONTY Wstawka mont. DN50 PN10/16 L=160-170mm</v>
      </c>
      <c r="S2273" s="733" t="s">
        <v>5569</v>
      </c>
      <c r="T2273" s="732" t="s">
        <v>5569</v>
      </c>
      <c r="U2273" s="734" t="s">
        <v>5748</v>
      </c>
      <c r="V2273" s="735">
        <v>16</v>
      </c>
      <c r="W2273" s="736"/>
      <c r="X2273" s="737"/>
      <c r="Y2273" s="738"/>
      <c r="Z2273" s="739"/>
      <c r="AA2273" s="739"/>
      <c r="AB2273" s="740">
        <v>16</v>
      </c>
      <c r="AC2273" s="741" t="s">
        <v>5703</v>
      </c>
      <c r="AD2273" s="741" t="str">
        <f>'DICTIONARY-5'!$A$13</f>
        <v>woda pitna</v>
      </c>
      <c r="AE2273" s="742">
        <v>50</v>
      </c>
      <c r="AF2273" s="743">
        <v>13</v>
      </c>
      <c r="AG2273" s="741" t="str">
        <f>'DICTIONARY-5'!$A$23</f>
        <v>powłoka epoksydowa</v>
      </c>
    </row>
    <row r="2274" spans="1:33" x14ac:dyDescent="0.25">
      <c r="A2274" s="872" t="s">
        <v>2112</v>
      </c>
      <c r="B2274" s="872" t="s">
        <v>3577</v>
      </c>
      <c r="C2274" s="836">
        <v>285</v>
      </c>
      <c r="D2274" s="836"/>
      <c r="E2274" s="836"/>
      <c r="F2274" s="836"/>
      <c r="G2274" s="871" t="s">
        <v>7856</v>
      </c>
      <c r="H2274" s="797" t="str">
        <f>VLOOKUP(G2274,SETTINGS!$B$7:$D$97,2,0)</f>
        <v>MONTY</v>
      </c>
      <c r="I2274" s="796">
        <f>VLOOKUP(G2274,SETTINGS!$B$7:$D$97,3,0)</f>
        <v>0</v>
      </c>
      <c r="J2274" s="670" t="str">
        <f>IFERROR(IF(CURRENCY.FORMAT_1=0,CONCATENATE(TEXT(FIXED(ROUND((C2274/EXC.RATE_1),CURRENCY.FORMAT_1),CURRENCY.FORMAT_1,1),"# ##0;-# ##0"),",-"),FIXED(ROUND((C2274/EXC.RATE_1),CURRENCY.FORMAT_1),CURRENCY.FORMAT_1,0)),'DICTIONARY-5'!$A$2)</f>
        <v>285,-</v>
      </c>
      <c r="K2274" s="670" t="str">
        <f>IF(EXC.RATE_2=0,"",IFERROR(IF(CURRENCY.FORMAT_2=0,CONCATENATE(TEXT(FIXED(ROUND(IF(EXC.RATE.SWITCH=1,C2274/EXC.RATE_2,C2274*EXC.RATE_2),CURRENCY.FORMAT_2),CURRENCY.FORMAT_2,1),"# ##0;-# ##0"),",-"),FIXED(ROUND(IF(EXC.RATE.SWITCH=1,C2274/EXC.RATE_2,C2274*EXC.RATE_2),CURRENCY.FORMAT_2),CURRENCY.FORMAT_2,0)),'DICTIONARY-5'!$A$2))</f>
        <v/>
      </c>
      <c r="L2274" s="670" t="str">
        <f>IFERROR(IF(CURRENCY.FORMAT_1=0,CONCATENATE(TEXT(FIXED(ROUND((C2274*(1-I2274)*(1-ADD.DISCOUNT)*(1+MAT.SURCHARGE)/EXC.RATE_1),CURRENCY.FORMAT_1),CURRENCY.FORMAT_1,1),"# ##0;-# ##0"),",-"),FIXED(ROUND((C2274*(1-I2274)*(1-ADD.DISCOUNT)*(1+MAT.SURCHARGE)/EXC.RATE_1),CURRENCY.FORMAT_1),CURRENCY.FORMAT_1,0)),'DICTIONARY-5'!$A$2)</f>
        <v>296,-</v>
      </c>
      <c r="M2274" s="670" t="str">
        <f>IF(EXC.RATE_2=0,"",IFERROR(IF(CURRENCY.FORMAT_2=0,CONCATENATE(TEXT(FIXED(ROUND(IF(EXC.RATE.SWITCH=1,C2274*(1-I2274)*(1-ADD.DISCOUNT)*(1+MAT.SURCHARGE)/EXC.RATE_2,C2274*(1-I2274)*(1-ADD.DISCOUNT)*(1+MAT.SURCHARGE)*EXC.RATE_2),CURRENCY.FORMAT_2),CURRENCY.FORMAT_2,1),"# ##0;-# ##0"),",-"),FIXED(ROUND(IF(EXC.RATE.SWITCH=1,C2274*(1-I2274)*(1-ADD.DISCOUNT)*(1+MAT.SURCHARGE)/EXC.RATE_2,C2274*(1-I2274)*(1-ADD.DISCOUNT)*(1+MAT.SURCHARGE)*EXC.RATE_2),CURRENCY.FORMAT_2),CURRENCY.FORMAT_2,0)),'DICTIONARY-5'!$A$2))</f>
        <v/>
      </c>
      <c r="N2274" s="538">
        <v>10</v>
      </c>
      <c r="O2274" s="538"/>
      <c r="P2274" s="731" t="str">
        <f>'DICTIONARY-3'!$A$127</f>
        <v>MONTY</v>
      </c>
      <c r="Q2274" s="732" t="str">
        <f>'DICTIONARY-3'!$A$214</f>
        <v>Wstawka montażowa</v>
      </c>
      <c r="R2274" s="732" t="str">
        <f>CONCATENATE('DICTIONARY-3'!$A$127," ",'DICTIONARY-6'!$A$15," ",'DICTIONARY-2'!$A$2,"65"," ",'DICTIONARY-2'!$A$3,"10/16"," ",'DICTIONARY-2'!$A$24,"=","168-182",'DICTIONARY-2'!$A$17,)</f>
        <v>MONTY Wstawka mont. DN65 PN10/16 L=168-182mm</v>
      </c>
      <c r="S2274" s="733" t="s">
        <v>5569</v>
      </c>
      <c r="T2274" s="732" t="s">
        <v>5569</v>
      </c>
      <c r="U2274" s="734" t="s">
        <v>5759</v>
      </c>
      <c r="V2274" s="735">
        <v>16</v>
      </c>
      <c r="W2274" s="736"/>
      <c r="X2274" s="737"/>
      <c r="Y2274" s="738"/>
      <c r="Z2274" s="739"/>
      <c r="AA2274" s="739"/>
      <c r="AB2274" s="740">
        <v>16</v>
      </c>
      <c r="AC2274" s="741" t="s">
        <v>5704</v>
      </c>
      <c r="AD2274" s="741" t="str">
        <f>'DICTIONARY-5'!$A$13</f>
        <v>woda pitna</v>
      </c>
      <c r="AE2274" s="742">
        <v>50</v>
      </c>
      <c r="AF2274" s="743">
        <v>18.5</v>
      </c>
      <c r="AG2274" s="741" t="str">
        <f>'DICTIONARY-5'!$A$23</f>
        <v>powłoka epoksydowa</v>
      </c>
    </row>
    <row r="2275" spans="1:33" x14ac:dyDescent="0.25">
      <c r="A2275" s="872" t="s">
        <v>2114</v>
      </c>
      <c r="B2275" s="872" t="s">
        <v>3579</v>
      </c>
      <c r="C2275" s="836">
        <v>223</v>
      </c>
      <c r="D2275" s="836"/>
      <c r="E2275" s="836"/>
      <c r="F2275" s="836"/>
      <c r="G2275" s="871" t="s">
        <v>7856</v>
      </c>
      <c r="H2275" s="797" t="str">
        <f>VLOOKUP(G2275,SETTINGS!$B$7:$D$97,2,0)</f>
        <v>MONTY</v>
      </c>
      <c r="I2275" s="796">
        <f>VLOOKUP(G2275,SETTINGS!$B$7:$D$97,3,0)</f>
        <v>0</v>
      </c>
      <c r="J2275" s="670" t="str">
        <f>IFERROR(IF(CURRENCY.FORMAT_1=0,CONCATENATE(TEXT(FIXED(ROUND((C2275/EXC.RATE_1),CURRENCY.FORMAT_1),CURRENCY.FORMAT_1,1),"# ##0;-# ##0"),",-"),FIXED(ROUND((C2275/EXC.RATE_1),CURRENCY.FORMAT_1),CURRENCY.FORMAT_1,0)),'DICTIONARY-5'!$A$2)</f>
        <v>223,-</v>
      </c>
      <c r="K2275" s="670" t="str">
        <f>IF(EXC.RATE_2=0,"",IFERROR(IF(CURRENCY.FORMAT_2=0,CONCATENATE(TEXT(FIXED(ROUND(IF(EXC.RATE.SWITCH=1,C2275/EXC.RATE_2,C2275*EXC.RATE_2),CURRENCY.FORMAT_2),CURRENCY.FORMAT_2,1),"# ##0;-# ##0"),",-"),FIXED(ROUND(IF(EXC.RATE.SWITCH=1,C2275/EXC.RATE_2,C2275*EXC.RATE_2),CURRENCY.FORMAT_2),CURRENCY.FORMAT_2,0)),'DICTIONARY-5'!$A$2))</f>
        <v/>
      </c>
      <c r="L2275" s="670" t="str">
        <f>IFERROR(IF(CURRENCY.FORMAT_1=0,CONCATENATE(TEXT(FIXED(ROUND((C2275*(1-I2275)*(1-ADD.DISCOUNT)*(1+MAT.SURCHARGE)/EXC.RATE_1),CURRENCY.FORMAT_1),CURRENCY.FORMAT_1,1),"# ##0;-# ##0"),",-"),FIXED(ROUND((C2275*(1-I2275)*(1-ADD.DISCOUNT)*(1+MAT.SURCHARGE)/EXC.RATE_1),CURRENCY.FORMAT_1),CURRENCY.FORMAT_1,0)),'DICTIONARY-5'!$A$2)</f>
        <v>232,-</v>
      </c>
      <c r="M2275" s="670" t="str">
        <f>IF(EXC.RATE_2=0,"",IFERROR(IF(CURRENCY.FORMAT_2=0,CONCATENATE(TEXT(FIXED(ROUND(IF(EXC.RATE.SWITCH=1,C2275*(1-I2275)*(1-ADD.DISCOUNT)*(1+MAT.SURCHARGE)/EXC.RATE_2,C2275*(1-I2275)*(1-ADD.DISCOUNT)*(1+MAT.SURCHARGE)*EXC.RATE_2),CURRENCY.FORMAT_2),CURRENCY.FORMAT_2,1),"# ##0;-# ##0"),",-"),FIXED(ROUND(IF(EXC.RATE.SWITCH=1,C2275*(1-I2275)*(1-ADD.DISCOUNT)*(1+MAT.SURCHARGE)/EXC.RATE_2,C2275*(1-I2275)*(1-ADD.DISCOUNT)*(1+MAT.SURCHARGE)*EXC.RATE_2),CURRENCY.FORMAT_2),CURRENCY.FORMAT_2,0)),'DICTIONARY-5'!$A$2))</f>
        <v/>
      </c>
      <c r="N2275" s="538">
        <v>10</v>
      </c>
      <c r="O2275" s="538"/>
      <c r="P2275" s="731" t="str">
        <f>'DICTIONARY-3'!$A$127</f>
        <v>MONTY</v>
      </c>
      <c r="Q2275" s="732" t="str">
        <f>'DICTIONARY-3'!$A$214</f>
        <v>Wstawka montażowa</v>
      </c>
      <c r="R2275" s="732" t="str">
        <f>CONCATENATE('DICTIONARY-3'!$A$127," ",'DICTIONARY-6'!$A$15," ",'DICTIONARY-2'!$A$2,"80"," ",'DICTIONARY-2'!$A$3,"10/16"," ",'DICTIONARY-2'!$A$24,"=","172-188",'DICTIONARY-2'!$A$17,)</f>
        <v>MONTY Wstawka mont. DN80 PN10/16 L=172-188mm</v>
      </c>
      <c r="S2275" s="733" t="s">
        <v>5569</v>
      </c>
      <c r="T2275" s="732" t="s">
        <v>5569</v>
      </c>
      <c r="U2275" s="734" t="s">
        <v>5760</v>
      </c>
      <c r="V2275" s="735">
        <v>16</v>
      </c>
      <c r="W2275" s="736"/>
      <c r="X2275" s="737"/>
      <c r="Y2275" s="738"/>
      <c r="Z2275" s="739"/>
      <c r="AA2275" s="739"/>
      <c r="AB2275" s="740">
        <v>16</v>
      </c>
      <c r="AC2275" s="741" t="s">
        <v>5705</v>
      </c>
      <c r="AD2275" s="741" t="str">
        <f>'DICTIONARY-5'!$A$13</f>
        <v>woda pitna</v>
      </c>
      <c r="AE2275" s="742">
        <v>50</v>
      </c>
      <c r="AF2275" s="743">
        <v>18.5</v>
      </c>
      <c r="AG2275" s="741" t="str">
        <f>'DICTIONARY-5'!$A$23</f>
        <v>powłoka epoksydowa</v>
      </c>
    </row>
    <row r="2276" spans="1:33" x14ac:dyDescent="0.25">
      <c r="A2276" s="872" t="s">
        <v>2116</v>
      </c>
      <c r="B2276" s="872" t="s">
        <v>3581</v>
      </c>
      <c r="C2276" s="836">
        <v>267</v>
      </c>
      <c r="D2276" s="836"/>
      <c r="E2276" s="836"/>
      <c r="F2276" s="836"/>
      <c r="G2276" s="871" t="s">
        <v>7856</v>
      </c>
      <c r="H2276" s="797" t="str">
        <f>VLOOKUP(G2276,SETTINGS!$B$7:$D$97,2,0)</f>
        <v>MONTY</v>
      </c>
      <c r="I2276" s="796">
        <f>VLOOKUP(G2276,SETTINGS!$B$7:$D$97,3,0)</f>
        <v>0</v>
      </c>
      <c r="J2276" s="670" t="str">
        <f>IFERROR(IF(CURRENCY.FORMAT_1=0,CONCATENATE(TEXT(FIXED(ROUND((C2276/EXC.RATE_1),CURRENCY.FORMAT_1),CURRENCY.FORMAT_1,1),"# ##0;-# ##0"),",-"),FIXED(ROUND((C2276/EXC.RATE_1),CURRENCY.FORMAT_1),CURRENCY.FORMAT_1,0)),'DICTIONARY-5'!$A$2)</f>
        <v>267,-</v>
      </c>
      <c r="K2276" s="670" t="str">
        <f>IF(EXC.RATE_2=0,"",IFERROR(IF(CURRENCY.FORMAT_2=0,CONCATENATE(TEXT(FIXED(ROUND(IF(EXC.RATE.SWITCH=1,C2276/EXC.RATE_2,C2276*EXC.RATE_2),CURRENCY.FORMAT_2),CURRENCY.FORMAT_2,1),"# ##0;-# ##0"),",-"),FIXED(ROUND(IF(EXC.RATE.SWITCH=1,C2276/EXC.RATE_2,C2276*EXC.RATE_2),CURRENCY.FORMAT_2),CURRENCY.FORMAT_2,0)),'DICTIONARY-5'!$A$2))</f>
        <v/>
      </c>
      <c r="L2276" s="670" t="str">
        <f>IFERROR(IF(CURRENCY.FORMAT_1=0,CONCATENATE(TEXT(FIXED(ROUND((C2276*(1-I2276)*(1-ADD.DISCOUNT)*(1+MAT.SURCHARGE)/EXC.RATE_1),CURRENCY.FORMAT_1),CURRENCY.FORMAT_1,1),"# ##0;-# ##0"),",-"),FIXED(ROUND((C2276*(1-I2276)*(1-ADD.DISCOUNT)*(1+MAT.SURCHARGE)/EXC.RATE_1),CURRENCY.FORMAT_1),CURRENCY.FORMAT_1,0)),'DICTIONARY-5'!$A$2)</f>
        <v>277,-</v>
      </c>
      <c r="M2276" s="670" t="str">
        <f>IF(EXC.RATE_2=0,"",IFERROR(IF(CURRENCY.FORMAT_2=0,CONCATENATE(TEXT(FIXED(ROUND(IF(EXC.RATE.SWITCH=1,C2276*(1-I2276)*(1-ADD.DISCOUNT)*(1+MAT.SURCHARGE)/EXC.RATE_2,C2276*(1-I2276)*(1-ADD.DISCOUNT)*(1+MAT.SURCHARGE)*EXC.RATE_2),CURRENCY.FORMAT_2),CURRENCY.FORMAT_2,1),"# ##0;-# ##0"),",-"),FIXED(ROUND(IF(EXC.RATE.SWITCH=1,C2276*(1-I2276)*(1-ADD.DISCOUNT)*(1+MAT.SURCHARGE)/EXC.RATE_2,C2276*(1-I2276)*(1-ADD.DISCOUNT)*(1+MAT.SURCHARGE)*EXC.RATE_2),CURRENCY.FORMAT_2),CURRENCY.FORMAT_2,0)),'DICTIONARY-5'!$A$2))</f>
        <v/>
      </c>
      <c r="N2276" s="538">
        <v>10</v>
      </c>
      <c r="O2276" s="538"/>
      <c r="P2276" s="731" t="str">
        <f>'DICTIONARY-3'!$A$127</f>
        <v>MONTY</v>
      </c>
      <c r="Q2276" s="732" t="str">
        <f>'DICTIONARY-3'!$A$214</f>
        <v>Wstawka montażowa</v>
      </c>
      <c r="R2276" s="732" t="str">
        <f>CONCATENATE('DICTIONARY-3'!$A$127," ",'DICTIONARY-6'!$A$15," ",'DICTIONARY-2'!$A$2,"100"," ",'DICTIONARY-2'!$A$3,"10/16"," ",'DICTIONARY-2'!$A$24,"=","190-210",'DICTIONARY-2'!$A$17,)</f>
        <v>MONTY Wstawka mont. DN100 PN10/16 L=190-210mm</v>
      </c>
      <c r="S2276" s="733" t="s">
        <v>5569</v>
      </c>
      <c r="T2276" s="732" t="s">
        <v>5569</v>
      </c>
      <c r="U2276" s="734" t="s">
        <v>5749</v>
      </c>
      <c r="V2276" s="735">
        <v>16</v>
      </c>
      <c r="W2276" s="736"/>
      <c r="X2276" s="737"/>
      <c r="Y2276" s="738"/>
      <c r="Z2276" s="739"/>
      <c r="AA2276" s="739"/>
      <c r="AB2276" s="740">
        <v>16</v>
      </c>
      <c r="AC2276" s="741" t="s">
        <v>5706</v>
      </c>
      <c r="AD2276" s="741" t="str">
        <f>'DICTIONARY-5'!$A$13</f>
        <v>woda pitna</v>
      </c>
      <c r="AE2276" s="742">
        <v>50</v>
      </c>
      <c r="AF2276" s="743">
        <v>34.5</v>
      </c>
      <c r="AG2276" s="741" t="str">
        <f>'DICTIONARY-5'!$A$23</f>
        <v>powłoka epoksydowa</v>
      </c>
    </row>
    <row r="2277" spans="1:33" x14ac:dyDescent="0.25">
      <c r="A2277" s="872" t="s">
        <v>2118</v>
      </c>
      <c r="B2277" s="872" t="s">
        <v>3583</v>
      </c>
      <c r="C2277" s="836">
        <v>430</v>
      </c>
      <c r="D2277" s="836"/>
      <c r="E2277" s="836"/>
      <c r="F2277" s="836"/>
      <c r="G2277" s="871" t="s">
        <v>7856</v>
      </c>
      <c r="H2277" s="797" t="str">
        <f>VLOOKUP(G2277,SETTINGS!$B$7:$D$97,2,0)</f>
        <v>MONTY</v>
      </c>
      <c r="I2277" s="796">
        <f>VLOOKUP(G2277,SETTINGS!$B$7:$D$97,3,0)</f>
        <v>0</v>
      </c>
      <c r="J2277" s="670" t="str">
        <f>IFERROR(IF(CURRENCY.FORMAT_1=0,CONCATENATE(TEXT(FIXED(ROUND((C2277/EXC.RATE_1),CURRENCY.FORMAT_1),CURRENCY.FORMAT_1,1),"# ##0;-# ##0"),",-"),FIXED(ROUND((C2277/EXC.RATE_1),CURRENCY.FORMAT_1),CURRENCY.FORMAT_1,0)),'DICTIONARY-5'!$A$2)</f>
        <v>430,-</v>
      </c>
      <c r="K2277" s="670" t="str">
        <f>IF(EXC.RATE_2=0,"",IFERROR(IF(CURRENCY.FORMAT_2=0,CONCATENATE(TEXT(FIXED(ROUND(IF(EXC.RATE.SWITCH=1,C2277/EXC.RATE_2,C2277*EXC.RATE_2),CURRENCY.FORMAT_2),CURRENCY.FORMAT_2,1),"# ##0;-# ##0"),",-"),FIXED(ROUND(IF(EXC.RATE.SWITCH=1,C2277/EXC.RATE_2,C2277*EXC.RATE_2),CURRENCY.FORMAT_2),CURRENCY.FORMAT_2,0)),'DICTIONARY-5'!$A$2))</f>
        <v/>
      </c>
      <c r="L2277" s="670" t="str">
        <f>IFERROR(IF(CURRENCY.FORMAT_1=0,CONCATENATE(TEXT(FIXED(ROUND((C2277*(1-I2277)*(1-ADD.DISCOUNT)*(1+MAT.SURCHARGE)/EXC.RATE_1),CURRENCY.FORMAT_1),CURRENCY.FORMAT_1,1),"# ##0;-# ##0"),",-"),FIXED(ROUND((C2277*(1-I2277)*(1-ADD.DISCOUNT)*(1+MAT.SURCHARGE)/EXC.RATE_1),CURRENCY.FORMAT_1),CURRENCY.FORMAT_1,0)),'DICTIONARY-5'!$A$2)</f>
        <v>447,-</v>
      </c>
      <c r="M2277" s="670" t="str">
        <f>IF(EXC.RATE_2=0,"",IFERROR(IF(CURRENCY.FORMAT_2=0,CONCATENATE(TEXT(FIXED(ROUND(IF(EXC.RATE.SWITCH=1,C2277*(1-I2277)*(1-ADD.DISCOUNT)*(1+MAT.SURCHARGE)/EXC.RATE_2,C2277*(1-I2277)*(1-ADD.DISCOUNT)*(1+MAT.SURCHARGE)*EXC.RATE_2),CURRENCY.FORMAT_2),CURRENCY.FORMAT_2,1),"# ##0;-# ##0"),",-"),FIXED(ROUND(IF(EXC.RATE.SWITCH=1,C2277*(1-I2277)*(1-ADD.DISCOUNT)*(1+MAT.SURCHARGE)/EXC.RATE_2,C2277*(1-I2277)*(1-ADD.DISCOUNT)*(1+MAT.SURCHARGE)*EXC.RATE_2),CURRENCY.FORMAT_2),CURRENCY.FORMAT_2,0)),'DICTIONARY-5'!$A$2))</f>
        <v/>
      </c>
      <c r="N2277" s="538">
        <v>10</v>
      </c>
      <c r="O2277" s="538"/>
      <c r="P2277" s="731" t="str">
        <f>'DICTIONARY-3'!$A$127</f>
        <v>MONTY</v>
      </c>
      <c r="Q2277" s="732" t="str">
        <f>'DICTIONARY-3'!$A$214</f>
        <v>Wstawka montażowa</v>
      </c>
      <c r="R2277" s="732" t="str">
        <f>CONCATENATE('DICTIONARY-3'!$A$127," ",'DICTIONARY-6'!$A$15," ",'DICTIONARY-2'!$A$2,"125"," ",'DICTIONARY-2'!$A$3,"10/16"," ",'DICTIONARY-2'!$A$24,"=","195-215",'DICTIONARY-2'!$A$17,)</f>
        <v>MONTY Wstawka mont. DN125 PN10/16 L=195-215mm</v>
      </c>
      <c r="S2277" s="733" t="s">
        <v>5569</v>
      </c>
      <c r="T2277" s="732" t="s">
        <v>5569</v>
      </c>
      <c r="U2277" s="734" t="s">
        <v>5761</v>
      </c>
      <c r="V2277" s="735">
        <v>16</v>
      </c>
      <c r="W2277" s="736"/>
      <c r="X2277" s="737"/>
      <c r="Y2277" s="738"/>
      <c r="Z2277" s="739"/>
      <c r="AA2277" s="739"/>
      <c r="AB2277" s="740">
        <v>16</v>
      </c>
      <c r="AC2277" s="741" t="s">
        <v>5707</v>
      </c>
      <c r="AD2277" s="741" t="str">
        <f>'DICTIONARY-5'!$A$13</f>
        <v>woda pitna</v>
      </c>
      <c r="AE2277" s="742">
        <v>50</v>
      </c>
      <c r="AF2277" s="743">
        <v>32</v>
      </c>
      <c r="AG2277" s="741" t="str">
        <f>'DICTIONARY-5'!$A$23</f>
        <v>powłoka epoksydowa</v>
      </c>
    </row>
    <row r="2278" spans="1:33" x14ac:dyDescent="0.25">
      <c r="A2278" s="872" t="s">
        <v>2120</v>
      </c>
      <c r="B2278" s="872" t="s">
        <v>3585</v>
      </c>
      <c r="C2278" s="836">
        <v>414</v>
      </c>
      <c r="D2278" s="836"/>
      <c r="E2278" s="836"/>
      <c r="F2278" s="836"/>
      <c r="G2278" s="871" t="s">
        <v>7856</v>
      </c>
      <c r="H2278" s="797" t="str">
        <f>VLOOKUP(G2278,SETTINGS!$B$7:$D$97,2,0)</f>
        <v>MONTY</v>
      </c>
      <c r="I2278" s="796">
        <f>VLOOKUP(G2278,SETTINGS!$B$7:$D$97,3,0)</f>
        <v>0</v>
      </c>
      <c r="J2278" s="670" t="str">
        <f>IFERROR(IF(CURRENCY.FORMAT_1=0,CONCATENATE(TEXT(FIXED(ROUND((C2278/EXC.RATE_1),CURRENCY.FORMAT_1),CURRENCY.FORMAT_1,1),"# ##0;-# ##0"),",-"),FIXED(ROUND((C2278/EXC.RATE_1),CURRENCY.FORMAT_1),CURRENCY.FORMAT_1,0)),'DICTIONARY-5'!$A$2)</f>
        <v>414,-</v>
      </c>
      <c r="K2278" s="670" t="str">
        <f>IF(EXC.RATE_2=0,"",IFERROR(IF(CURRENCY.FORMAT_2=0,CONCATENATE(TEXT(FIXED(ROUND(IF(EXC.RATE.SWITCH=1,C2278/EXC.RATE_2,C2278*EXC.RATE_2),CURRENCY.FORMAT_2),CURRENCY.FORMAT_2,1),"# ##0;-# ##0"),",-"),FIXED(ROUND(IF(EXC.RATE.SWITCH=1,C2278/EXC.RATE_2,C2278*EXC.RATE_2),CURRENCY.FORMAT_2),CURRENCY.FORMAT_2,0)),'DICTIONARY-5'!$A$2))</f>
        <v/>
      </c>
      <c r="L2278" s="670" t="str">
        <f>IFERROR(IF(CURRENCY.FORMAT_1=0,CONCATENATE(TEXT(FIXED(ROUND((C2278*(1-I2278)*(1-ADD.DISCOUNT)*(1+MAT.SURCHARGE)/EXC.RATE_1),CURRENCY.FORMAT_1),CURRENCY.FORMAT_1,1),"# ##0;-# ##0"),",-"),FIXED(ROUND((C2278*(1-I2278)*(1-ADD.DISCOUNT)*(1+MAT.SURCHARGE)/EXC.RATE_1),CURRENCY.FORMAT_1),CURRENCY.FORMAT_1,0)),'DICTIONARY-5'!$A$2)</f>
        <v>430,-</v>
      </c>
      <c r="M2278" s="670" t="str">
        <f>IF(EXC.RATE_2=0,"",IFERROR(IF(CURRENCY.FORMAT_2=0,CONCATENATE(TEXT(FIXED(ROUND(IF(EXC.RATE.SWITCH=1,C2278*(1-I2278)*(1-ADD.DISCOUNT)*(1+MAT.SURCHARGE)/EXC.RATE_2,C2278*(1-I2278)*(1-ADD.DISCOUNT)*(1+MAT.SURCHARGE)*EXC.RATE_2),CURRENCY.FORMAT_2),CURRENCY.FORMAT_2,1),"# ##0;-# ##0"),",-"),FIXED(ROUND(IF(EXC.RATE.SWITCH=1,C2278*(1-I2278)*(1-ADD.DISCOUNT)*(1+MAT.SURCHARGE)/EXC.RATE_2,C2278*(1-I2278)*(1-ADD.DISCOUNT)*(1+MAT.SURCHARGE)*EXC.RATE_2),CURRENCY.FORMAT_2),CURRENCY.FORMAT_2,0)),'DICTIONARY-5'!$A$2))</f>
        <v/>
      </c>
      <c r="N2278" s="538">
        <v>10</v>
      </c>
      <c r="O2278" s="538"/>
      <c r="P2278" s="731" t="str">
        <f>'DICTIONARY-3'!$A$127</f>
        <v>MONTY</v>
      </c>
      <c r="Q2278" s="732" t="str">
        <f>'DICTIONARY-3'!$A$214</f>
        <v>Wstawka montażowa</v>
      </c>
      <c r="R2278" s="732" t="str">
        <f>CONCATENATE('DICTIONARY-3'!$A$127," ",'DICTIONARY-6'!$A$15," ",'DICTIONARY-2'!$A$2,"150"," ",'DICTIONARY-2'!$A$3,"10/16"," ",'DICTIONARY-2'!$A$24,"=","200-220",'DICTIONARY-2'!$A$17,)</f>
        <v>MONTY Wstawka mont. DN150 PN10/16 L=200-220mm</v>
      </c>
      <c r="S2278" s="733" t="s">
        <v>5569</v>
      </c>
      <c r="T2278" s="732" t="s">
        <v>5569</v>
      </c>
      <c r="U2278" s="734" t="s">
        <v>5572</v>
      </c>
      <c r="V2278" s="735">
        <v>16</v>
      </c>
      <c r="W2278" s="736"/>
      <c r="X2278" s="737"/>
      <c r="Y2278" s="738"/>
      <c r="Z2278" s="739"/>
      <c r="AA2278" s="739"/>
      <c r="AB2278" s="740">
        <v>16</v>
      </c>
      <c r="AC2278" s="741" t="s">
        <v>5708</v>
      </c>
      <c r="AD2278" s="741" t="str">
        <f>'DICTIONARY-5'!$A$13</f>
        <v>woda pitna</v>
      </c>
      <c r="AE2278" s="742">
        <v>50</v>
      </c>
      <c r="AF2278" s="743">
        <v>39</v>
      </c>
      <c r="AG2278" s="741" t="str">
        <f>'DICTIONARY-5'!$A$23</f>
        <v>powłoka epoksydowa</v>
      </c>
    </row>
    <row r="2279" spans="1:33" x14ac:dyDescent="0.25">
      <c r="A2279" s="872" t="s">
        <v>2122</v>
      </c>
      <c r="B2279" s="872" t="s">
        <v>3588</v>
      </c>
      <c r="C2279" s="836">
        <v>735</v>
      </c>
      <c r="D2279" s="836"/>
      <c r="E2279" s="836"/>
      <c r="F2279" s="836"/>
      <c r="G2279" s="871" t="s">
        <v>7856</v>
      </c>
      <c r="H2279" s="797" t="str">
        <f>VLOOKUP(G2279,SETTINGS!$B$7:$D$97,2,0)</f>
        <v>MONTY</v>
      </c>
      <c r="I2279" s="796">
        <f>VLOOKUP(G2279,SETTINGS!$B$7:$D$97,3,0)</f>
        <v>0</v>
      </c>
      <c r="J2279" s="670" t="str">
        <f>IFERROR(IF(CURRENCY.FORMAT_1=0,CONCATENATE(TEXT(FIXED(ROUND((C2279/EXC.RATE_1),CURRENCY.FORMAT_1),CURRENCY.FORMAT_1,1),"# ##0;-# ##0"),",-"),FIXED(ROUND((C2279/EXC.RATE_1),CURRENCY.FORMAT_1),CURRENCY.FORMAT_1,0)),'DICTIONARY-5'!$A$2)</f>
        <v>735,-</v>
      </c>
      <c r="K2279" s="670" t="str">
        <f>IF(EXC.RATE_2=0,"",IFERROR(IF(CURRENCY.FORMAT_2=0,CONCATENATE(TEXT(FIXED(ROUND(IF(EXC.RATE.SWITCH=1,C2279/EXC.RATE_2,C2279*EXC.RATE_2),CURRENCY.FORMAT_2),CURRENCY.FORMAT_2,1),"# ##0;-# ##0"),",-"),FIXED(ROUND(IF(EXC.RATE.SWITCH=1,C2279/EXC.RATE_2,C2279*EXC.RATE_2),CURRENCY.FORMAT_2),CURRENCY.FORMAT_2,0)),'DICTIONARY-5'!$A$2))</f>
        <v/>
      </c>
      <c r="L2279" s="670" t="str">
        <f>IFERROR(IF(CURRENCY.FORMAT_1=0,CONCATENATE(TEXT(FIXED(ROUND((C2279*(1-I2279)*(1-ADD.DISCOUNT)*(1+MAT.SURCHARGE)/EXC.RATE_1),CURRENCY.FORMAT_1),CURRENCY.FORMAT_1,1),"# ##0;-# ##0"),",-"),FIXED(ROUND((C2279*(1-I2279)*(1-ADD.DISCOUNT)*(1+MAT.SURCHARGE)/EXC.RATE_1),CURRENCY.FORMAT_1),CURRENCY.FORMAT_1,0)),'DICTIONARY-5'!$A$2)</f>
        <v>764,-</v>
      </c>
      <c r="M2279" s="670" t="str">
        <f>IF(EXC.RATE_2=0,"",IFERROR(IF(CURRENCY.FORMAT_2=0,CONCATENATE(TEXT(FIXED(ROUND(IF(EXC.RATE.SWITCH=1,C2279*(1-I2279)*(1-ADD.DISCOUNT)*(1+MAT.SURCHARGE)/EXC.RATE_2,C2279*(1-I2279)*(1-ADD.DISCOUNT)*(1+MAT.SURCHARGE)*EXC.RATE_2),CURRENCY.FORMAT_2),CURRENCY.FORMAT_2,1),"# ##0;-# ##0"),",-"),FIXED(ROUND(IF(EXC.RATE.SWITCH=1,C2279*(1-I2279)*(1-ADD.DISCOUNT)*(1+MAT.SURCHARGE)/EXC.RATE_2,C2279*(1-I2279)*(1-ADD.DISCOUNT)*(1+MAT.SURCHARGE)*EXC.RATE_2),CURRENCY.FORMAT_2),CURRENCY.FORMAT_2,0)),'DICTIONARY-5'!$A$2))</f>
        <v/>
      </c>
      <c r="N2279" s="538">
        <v>10</v>
      </c>
      <c r="O2279" s="538"/>
      <c r="P2279" s="731" t="str">
        <f>'DICTIONARY-3'!$A$127</f>
        <v>MONTY</v>
      </c>
      <c r="Q2279" s="732" t="str">
        <f>'DICTIONARY-3'!$A$214</f>
        <v>Wstawka montażowa</v>
      </c>
      <c r="R2279" s="732" t="str">
        <f>CONCATENATE('DICTIONARY-3'!$A$127," ",'DICTIONARY-6'!$A$15," ",'DICTIONARY-2'!$A$2,"200"," ",'DICTIONARY-2'!$A$3,"10"," ",'DICTIONARY-2'!$A$24,"=","215-235",'DICTIONARY-2'!$A$17,)</f>
        <v>MONTY Wstawka mont. DN200 PN10 L=215-235mm</v>
      </c>
      <c r="S2279" s="733" t="s">
        <v>5569</v>
      </c>
      <c r="T2279" s="732" t="s">
        <v>5569</v>
      </c>
      <c r="U2279" s="734" t="s">
        <v>5750</v>
      </c>
      <c r="V2279" s="735">
        <v>10</v>
      </c>
      <c r="W2279" s="736"/>
      <c r="X2279" s="737"/>
      <c r="Y2279" s="738"/>
      <c r="Z2279" s="739"/>
      <c r="AA2279" s="739"/>
      <c r="AB2279" s="740">
        <v>10</v>
      </c>
      <c r="AC2279" s="741" t="s">
        <v>5709</v>
      </c>
      <c r="AD2279" s="741" t="str">
        <f>'DICTIONARY-5'!$A$13</f>
        <v>woda pitna</v>
      </c>
      <c r="AE2279" s="742">
        <v>50</v>
      </c>
      <c r="AF2279" s="743">
        <v>62.5</v>
      </c>
      <c r="AG2279" s="741" t="str">
        <f>'DICTIONARY-5'!$A$23</f>
        <v>powłoka epoksydowa</v>
      </c>
    </row>
    <row r="2280" spans="1:33" x14ac:dyDescent="0.25">
      <c r="A2280" s="872" t="s">
        <v>2124</v>
      </c>
      <c r="B2280" s="872" t="s">
        <v>3587</v>
      </c>
      <c r="C2280" s="836">
        <v>761</v>
      </c>
      <c r="D2280" s="836"/>
      <c r="E2280" s="836"/>
      <c r="F2280" s="836"/>
      <c r="G2280" s="871" t="s">
        <v>7856</v>
      </c>
      <c r="H2280" s="797" t="str">
        <f>VLOOKUP(G2280,SETTINGS!$B$7:$D$97,2,0)</f>
        <v>MONTY</v>
      </c>
      <c r="I2280" s="796">
        <f>VLOOKUP(G2280,SETTINGS!$B$7:$D$97,3,0)</f>
        <v>0</v>
      </c>
      <c r="J2280" s="670" t="str">
        <f>IFERROR(IF(CURRENCY.FORMAT_1=0,CONCATENATE(TEXT(FIXED(ROUND((C2280/EXC.RATE_1),CURRENCY.FORMAT_1),CURRENCY.FORMAT_1,1),"# ##0;-# ##0"),",-"),FIXED(ROUND((C2280/EXC.RATE_1),CURRENCY.FORMAT_1),CURRENCY.FORMAT_1,0)),'DICTIONARY-5'!$A$2)</f>
        <v>761,-</v>
      </c>
      <c r="K2280" s="670" t="str">
        <f>IF(EXC.RATE_2=0,"",IFERROR(IF(CURRENCY.FORMAT_2=0,CONCATENATE(TEXT(FIXED(ROUND(IF(EXC.RATE.SWITCH=1,C2280/EXC.RATE_2,C2280*EXC.RATE_2),CURRENCY.FORMAT_2),CURRENCY.FORMAT_2,1),"# ##0;-# ##0"),",-"),FIXED(ROUND(IF(EXC.RATE.SWITCH=1,C2280/EXC.RATE_2,C2280*EXC.RATE_2),CURRENCY.FORMAT_2),CURRENCY.FORMAT_2,0)),'DICTIONARY-5'!$A$2))</f>
        <v/>
      </c>
      <c r="L2280" s="670" t="str">
        <f>IFERROR(IF(CURRENCY.FORMAT_1=0,CONCATENATE(TEXT(FIXED(ROUND((C2280*(1-I2280)*(1-ADD.DISCOUNT)*(1+MAT.SURCHARGE)/EXC.RATE_1),CURRENCY.FORMAT_1),CURRENCY.FORMAT_1,1),"# ##0;-# ##0"),",-"),FIXED(ROUND((C2280*(1-I2280)*(1-ADD.DISCOUNT)*(1+MAT.SURCHARGE)/EXC.RATE_1),CURRENCY.FORMAT_1),CURRENCY.FORMAT_1,0)),'DICTIONARY-5'!$A$2)</f>
        <v>791,-</v>
      </c>
      <c r="M2280" s="670" t="str">
        <f>IF(EXC.RATE_2=0,"",IFERROR(IF(CURRENCY.FORMAT_2=0,CONCATENATE(TEXT(FIXED(ROUND(IF(EXC.RATE.SWITCH=1,C2280*(1-I2280)*(1-ADD.DISCOUNT)*(1+MAT.SURCHARGE)/EXC.RATE_2,C2280*(1-I2280)*(1-ADD.DISCOUNT)*(1+MAT.SURCHARGE)*EXC.RATE_2),CURRENCY.FORMAT_2),CURRENCY.FORMAT_2,1),"# ##0;-# ##0"),",-"),FIXED(ROUND(IF(EXC.RATE.SWITCH=1,C2280*(1-I2280)*(1-ADD.DISCOUNT)*(1+MAT.SURCHARGE)/EXC.RATE_2,C2280*(1-I2280)*(1-ADD.DISCOUNT)*(1+MAT.SURCHARGE)*EXC.RATE_2),CURRENCY.FORMAT_2),CURRENCY.FORMAT_2,0)),'DICTIONARY-5'!$A$2))</f>
        <v/>
      </c>
      <c r="N2280" s="538">
        <v>10</v>
      </c>
      <c r="O2280" s="538"/>
      <c r="P2280" s="731" t="str">
        <f>'DICTIONARY-3'!$A$127</f>
        <v>MONTY</v>
      </c>
      <c r="Q2280" s="732" t="str">
        <f>'DICTIONARY-3'!$A$214</f>
        <v>Wstawka montażowa</v>
      </c>
      <c r="R2280" s="732" t="str">
        <f>CONCATENATE('DICTIONARY-3'!$A$127," ",'DICTIONARY-6'!$A$15," ",'DICTIONARY-2'!$A$2,"200"," ",'DICTIONARY-2'!$A$3,"16"," ",'DICTIONARY-2'!$A$24,"=","215-235",'DICTIONARY-2'!$A$17,)</f>
        <v>MONTY Wstawka mont. DN200 PN16 L=215-235mm</v>
      </c>
      <c r="S2280" s="733" t="s">
        <v>5569</v>
      </c>
      <c r="T2280" s="732" t="s">
        <v>5569</v>
      </c>
      <c r="U2280" s="734" t="s">
        <v>5750</v>
      </c>
      <c r="V2280" s="735">
        <v>16</v>
      </c>
      <c r="W2280" s="736"/>
      <c r="X2280" s="737"/>
      <c r="Y2280" s="738"/>
      <c r="Z2280" s="739"/>
      <c r="AA2280" s="739"/>
      <c r="AB2280" s="740">
        <v>16</v>
      </c>
      <c r="AC2280" s="741" t="s">
        <v>5709</v>
      </c>
      <c r="AD2280" s="741" t="str">
        <f>'DICTIONARY-5'!$A$13</f>
        <v>woda pitna</v>
      </c>
      <c r="AE2280" s="742">
        <v>50</v>
      </c>
      <c r="AF2280" s="743">
        <v>59.5</v>
      </c>
      <c r="AG2280" s="741" t="str">
        <f>'DICTIONARY-5'!$A$23</f>
        <v>powłoka epoksydowa</v>
      </c>
    </row>
    <row r="2281" spans="1:33" x14ac:dyDescent="0.25">
      <c r="A2281" s="872" t="s">
        <v>2126</v>
      </c>
      <c r="B2281" s="872" t="s">
        <v>3592</v>
      </c>
      <c r="C2281" s="836">
        <v>968</v>
      </c>
      <c r="D2281" s="836"/>
      <c r="E2281" s="836"/>
      <c r="F2281" s="836"/>
      <c r="G2281" s="871" t="s">
        <v>7856</v>
      </c>
      <c r="H2281" s="797" t="str">
        <f>VLOOKUP(G2281,SETTINGS!$B$7:$D$97,2,0)</f>
        <v>MONTY</v>
      </c>
      <c r="I2281" s="796">
        <f>VLOOKUP(G2281,SETTINGS!$B$7:$D$97,3,0)</f>
        <v>0</v>
      </c>
      <c r="J2281" s="670" t="str">
        <f>IFERROR(IF(CURRENCY.FORMAT_1=0,CONCATENATE(TEXT(FIXED(ROUND((C2281/EXC.RATE_1),CURRENCY.FORMAT_1),CURRENCY.FORMAT_1,1),"# ##0;-# ##0"),",-"),FIXED(ROUND((C2281/EXC.RATE_1),CURRENCY.FORMAT_1),CURRENCY.FORMAT_1,0)),'DICTIONARY-5'!$A$2)</f>
        <v>968,-</v>
      </c>
      <c r="K2281" s="670" t="str">
        <f>IF(EXC.RATE_2=0,"",IFERROR(IF(CURRENCY.FORMAT_2=0,CONCATENATE(TEXT(FIXED(ROUND(IF(EXC.RATE.SWITCH=1,C2281/EXC.RATE_2,C2281*EXC.RATE_2),CURRENCY.FORMAT_2),CURRENCY.FORMAT_2,1),"# ##0;-# ##0"),",-"),FIXED(ROUND(IF(EXC.RATE.SWITCH=1,C2281/EXC.RATE_2,C2281*EXC.RATE_2),CURRENCY.FORMAT_2),CURRENCY.FORMAT_2,0)),'DICTIONARY-5'!$A$2))</f>
        <v/>
      </c>
      <c r="L2281" s="670" t="str">
        <f>IFERROR(IF(CURRENCY.FORMAT_1=0,CONCATENATE(TEXT(FIXED(ROUND((C2281*(1-I2281)*(1-ADD.DISCOUNT)*(1+MAT.SURCHARGE)/EXC.RATE_1),CURRENCY.FORMAT_1),CURRENCY.FORMAT_1,1),"# ##0;-# ##0"),",-"),FIXED(ROUND((C2281*(1-I2281)*(1-ADD.DISCOUNT)*(1+MAT.SURCHARGE)/EXC.RATE_1),CURRENCY.FORMAT_1),CURRENCY.FORMAT_1,0)),'DICTIONARY-5'!$A$2)</f>
        <v>1 006,-</v>
      </c>
      <c r="M2281" s="670" t="str">
        <f>IF(EXC.RATE_2=0,"",IFERROR(IF(CURRENCY.FORMAT_2=0,CONCATENATE(TEXT(FIXED(ROUND(IF(EXC.RATE.SWITCH=1,C2281*(1-I2281)*(1-ADD.DISCOUNT)*(1+MAT.SURCHARGE)/EXC.RATE_2,C2281*(1-I2281)*(1-ADD.DISCOUNT)*(1+MAT.SURCHARGE)*EXC.RATE_2),CURRENCY.FORMAT_2),CURRENCY.FORMAT_2,1),"# ##0;-# ##0"),",-"),FIXED(ROUND(IF(EXC.RATE.SWITCH=1,C2281*(1-I2281)*(1-ADD.DISCOUNT)*(1+MAT.SURCHARGE)/EXC.RATE_2,C2281*(1-I2281)*(1-ADD.DISCOUNT)*(1+MAT.SURCHARGE)*EXC.RATE_2),CURRENCY.FORMAT_2),CURRENCY.FORMAT_2,0)),'DICTIONARY-5'!$A$2))</f>
        <v/>
      </c>
      <c r="N2281" s="538">
        <v>10</v>
      </c>
      <c r="O2281" s="538"/>
      <c r="P2281" s="731" t="str">
        <f>'DICTIONARY-3'!$A$127</f>
        <v>MONTY</v>
      </c>
      <c r="Q2281" s="732" t="str">
        <f>'DICTIONARY-3'!$A$214</f>
        <v>Wstawka montażowa</v>
      </c>
      <c r="R2281" s="732" t="str">
        <f>CONCATENATE('DICTIONARY-3'!$A$127," ",'DICTIONARY-6'!$A$15," ",'DICTIONARY-2'!$A$2,"250"," ",'DICTIONARY-2'!$A$3,"10"," ",'DICTIONARY-2'!$A$24,"=","235-265",'DICTIONARY-2'!$A$17,)</f>
        <v>MONTY Wstawka mont. DN250 PN10 L=235-265mm</v>
      </c>
      <c r="S2281" s="733" t="s">
        <v>5569</v>
      </c>
      <c r="T2281" s="732" t="s">
        <v>5569</v>
      </c>
      <c r="U2281" s="734" t="s">
        <v>5751</v>
      </c>
      <c r="V2281" s="735">
        <v>10</v>
      </c>
      <c r="W2281" s="736"/>
      <c r="X2281" s="737"/>
      <c r="Y2281" s="738"/>
      <c r="Z2281" s="739"/>
      <c r="AA2281" s="739"/>
      <c r="AB2281" s="740">
        <v>10</v>
      </c>
      <c r="AC2281" s="741" t="s">
        <v>5710</v>
      </c>
      <c r="AD2281" s="741" t="str">
        <f>'DICTIONARY-5'!$A$13</f>
        <v>woda pitna</v>
      </c>
      <c r="AE2281" s="742">
        <v>50</v>
      </c>
      <c r="AF2281" s="743">
        <v>93</v>
      </c>
      <c r="AG2281" s="741" t="str">
        <f>'DICTIONARY-5'!$A$23</f>
        <v>powłoka epoksydowa</v>
      </c>
    </row>
    <row r="2282" spans="1:33" x14ac:dyDescent="0.25">
      <c r="A2282" s="872" t="s">
        <v>2128</v>
      </c>
      <c r="B2282" s="872" t="s">
        <v>3591</v>
      </c>
      <c r="C2282" s="836">
        <v>966</v>
      </c>
      <c r="D2282" s="836"/>
      <c r="E2282" s="836"/>
      <c r="F2282" s="836"/>
      <c r="G2282" s="871" t="s">
        <v>7856</v>
      </c>
      <c r="H2282" s="797" t="str">
        <f>VLOOKUP(G2282,SETTINGS!$B$7:$D$97,2,0)</f>
        <v>MONTY</v>
      </c>
      <c r="I2282" s="796">
        <f>VLOOKUP(G2282,SETTINGS!$B$7:$D$97,3,0)</f>
        <v>0</v>
      </c>
      <c r="J2282" s="670" t="str">
        <f>IFERROR(IF(CURRENCY.FORMAT_1=0,CONCATENATE(TEXT(FIXED(ROUND((C2282/EXC.RATE_1),CURRENCY.FORMAT_1),CURRENCY.FORMAT_1,1),"# ##0;-# ##0"),",-"),FIXED(ROUND((C2282/EXC.RATE_1),CURRENCY.FORMAT_1),CURRENCY.FORMAT_1,0)),'DICTIONARY-5'!$A$2)</f>
        <v>966,-</v>
      </c>
      <c r="K2282" s="670" t="str">
        <f>IF(EXC.RATE_2=0,"",IFERROR(IF(CURRENCY.FORMAT_2=0,CONCATENATE(TEXT(FIXED(ROUND(IF(EXC.RATE.SWITCH=1,C2282/EXC.RATE_2,C2282*EXC.RATE_2),CURRENCY.FORMAT_2),CURRENCY.FORMAT_2,1),"# ##0;-# ##0"),",-"),FIXED(ROUND(IF(EXC.RATE.SWITCH=1,C2282/EXC.RATE_2,C2282*EXC.RATE_2),CURRENCY.FORMAT_2),CURRENCY.FORMAT_2,0)),'DICTIONARY-5'!$A$2))</f>
        <v/>
      </c>
      <c r="L2282" s="670" t="str">
        <f>IFERROR(IF(CURRENCY.FORMAT_1=0,CONCATENATE(TEXT(FIXED(ROUND((C2282*(1-I2282)*(1-ADD.DISCOUNT)*(1+MAT.SURCHARGE)/EXC.RATE_1),CURRENCY.FORMAT_1),CURRENCY.FORMAT_1,1),"# ##0;-# ##0"),",-"),FIXED(ROUND((C2282*(1-I2282)*(1-ADD.DISCOUNT)*(1+MAT.SURCHARGE)/EXC.RATE_1),CURRENCY.FORMAT_1),CURRENCY.FORMAT_1,0)),'DICTIONARY-5'!$A$2)</f>
        <v>1 004,-</v>
      </c>
      <c r="M2282" s="670" t="str">
        <f>IF(EXC.RATE_2=0,"",IFERROR(IF(CURRENCY.FORMAT_2=0,CONCATENATE(TEXT(FIXED(ROUND(IF(EXC.RATE.SWITCH=1,C2282*(1-I2282)*(1-ADD.DISCOUNT)*(1+MAT.SURCHARGE)/EXC.RATE_2,C2282*(1-I2282)*(1-ADD.DISCOUNT)*(1+MAT.SURCHARGE)*EXC.RATE_2),CURRENCY.FORMAT_2),CURRENCY.FORMAT_2,1),"# ##0;-# ##0"),",-"),FIXED(ROUND(IF(EXC.RATE.SWITCH=1,C2282*(1-I2282)*(1-ADD.DISCOUNT)*(1+MAT.SURCHARGE)/EXC.RATE_2,C2282*(1-I2282)*(1-ADD.DISCOUNT)*(1+MAT.SURCHARGE)*EXC.RATE_2),CURRENCY.FORMAT_2),CURRENCY.FORMAT_2,0)),'DICTIONARY-5'!$A$2))</f>
        <v/>
      </c>
      <c r="N2282" s="538">
        <v>10</v>
      </c>
      <c r="O2282" s="538"/>
      <c r="P2282" s="731" t="str">
        <f>'DICTIONARY-3'!$A$127</f>
        <v>MONTY</v>
      </c>
      <c r="Q2282" s="732" t="str">
        <f>'DICTIONARY-3'!$A$214</f>
        <v>Wstawka montażowa</v>
      </c>
      <c r="R2282" s="732" t="str">
        <f>CONCATENATE('DICTIONARY-3'!$A$127," ",'DICTIONARY-6'!$A$15," ",'DICTIONARY-2'!$A$2,"250"," ",'DICTIONARY-2'!$A$3,"16"," ",'DICTIONARY-2'!$A$24,"=","235-265",'DICTIONARY-2'!$A$17,)</f>
        <v>MONTY Wstawka mont. DN250 PN16 L=235-265mm</v>
      </c>
      <c r="S2282" s="733" t="s">
        <v>5569</v>
      </c>
      <c r="T2282" s="732" t="s">
        <v>5569</v>
      </c>
      <c r="U2282" s="734" t="s">
        <v>5751</v>
      </c>
      <c r="V2282" s="735">
        <v>16</v>
      </c>
      <c r="W2282" s="736"/>
      <c r="X2282" s="737"/>
      <c r="Y2282" s="738"/>
      <c r="Z2282" s="739"/>
      <c r="AA2282" s="739"/>
      <c r="AB2282" s="740">
        <v>16</v>
      </c>
      <c r="AC2282" s="741" t="s">
        <v>5710</v>
      </c>
      <c r="AD2282" s="741" t="str">
        <f>'DICTIONARY-5'!$A$13</f>
        <v>woda pitna</v>
      </c>
      <c r="AE2282" s="742">
        <v>50</v>
      </c>
      <c r="AF2282" s="743">
        <v>92</v>
      </c>
      <c r="AG2282" s="741" t="str">
        <f>'DICTIONARY-5'!$A$23</f>
        <v>powłoka epoksydowa</v>
      </c>
    </row>
    <row r="2283" spans="1:33" x14ac:dyDescent="0.25">
      <c r="A2283" s="872" t="s">
        <v>2109</v>
      </c>
      <c r="B2283" s="872" t="s">
        <v>3572</v>
      </c>
      <c r="C2283" s="836">
        <v>322</v>
      </c>
      <c r="D2283" s="836"/>
      <c r="E2283" s="836"/>
      <c r="F2283" s="836"/>
      <c r="G2283" s="871" t="s">
        <v>7856</v>
      </c>
      <c r="H2283" s="797" t="str">
        <f>VLOOKUP(G2283,SETTINGS!$B$7:$D$97,2,0)</f>
        <v>MONTY</v>
      </c>
      <c r="I2283" s="796">
        <f>VLOOKUP(G2283,SETTINGS!$B$7:$D$97,3,0)</f>
        <v>0</v>
      </c>
      <c r="J2283" s="670" t="str">
        <f>IFERROR(IF(CURRENCY.FORMAT_1=0,CONCATENATE(TEXT(FIXED(ROUND((C2283/EXC.RATE_1),CURRENCY.FORMAT_1),CURRENCY.FORMAT_1,1),"# ##0;-# ##0"),",-"),FIXED(ROUND((C2283/EXC.RATE_1),CURRENCY.FORMAT_1),CURRENCY.FORMAT_1,0)),'DICTIONARY-5'!$A$2)</f>
        <v>322,-</v>
      </c>
      <c r="K2283" s="670" t="str">
        <f>IF(EXC.RATE_2=0,"",IFERROR(IF(CURRENCY.FORMAT_2=0,CONCATENATE(TEXT(FIXED(ROUND(IF(EXC.RATE.SWITCH=1,C2283/EXC.RATE_2,C2283*EXC.RATE_2),CURRENCY.FORMAT_2),CURRENCY.FORMAT_2,1),"# ##0;-# ##0"),",-"),FIXED(ROUND(IF(EXC.RATE.SWITCH=1,C2283/EXC.RATE_2,C2283*EXC.RATE_2),CURRENCY.FORMAT_2),CURRENCY.FORMAT_2,0)),'DICTIONARY-5'!$A$2))</f>
        <v/>
      </c>
      <c r="L2283" s="670" t="str">
        <f>IFERROR(IF(CURRENCY.FORMAT_1=0,CONCATENATE(TEXT(FIXED(ROUND((C2283*(1-I2283)*(1-ADD.DISCOUNT)*(1+MAT.SURCHARGE)/EXC.RATE_1),CURRENCY.FORMAT_1),CURRENCY.FORMAT_1,1),"# ##0;-# ##0"),",-"),FIXED(ROUND((C2283*(1-I2283)*(1-ADD.DISCOUNT)*(1+MAT.SURCHARGE)/EXC.RATE_1),CURRENCY.FORMAT_1),CURRENCY.FORMAT_1,0)),'DICTIONARY-5'!$A$2)</f>
        <v>335,-</v>
      </c>
      <c r="M2283" s="670" t="str">
        <f>IF(EXC.RATE_2=0,"",IFERROR(IF(CURRENCY.FORMAT_2=0,CONCATENATE(TEXT(FIXED(ROUND(IF(EXC.RATE.SWITCH=1,C2283*(1-I2283)*(1-ADD.DISCOUNT)*(1+MAT.SURCHARGE)/EXC.RATE_2,C2283*(1-I2283)*(1-ADD.DISCOUNT)*(1+MAT.SURCHARGE)*EXC.RATE_2),CURRENCY.FORMAT_2),CURRENCY.FORMAT_2,1),"# ##0;-# ##0"),",-"),FIXED(ROUND(IF(EXC.RATE.SWITCH=1,C2283*(1-I2283)*(1-ADD.DISCOUNT)*(1+MAT.SURCHARGE)/EXC.RATE_2,C2283*(1-I2283)*(1-ADD.DISCOUNT)*(1+MAT.SURCHARGE)*EXC.RATE_2),CURRENCY.FORMAT_2),CURRENCY.FORMAT_2,0)),'DICTIONARY-5'!$A$2))</f>
        <v/>
      </c>
      <c r="N2283" s="538">
        <v>10</v>
      </c>
      <c r="O2283" s="538"/>
      <c r="P2283" s="731" t="str">
        <f>'DICTIONARY-3'!$A$127</f>
        <v>MONTY</v>
      </c>
      <c r="Q2283" s="732" t="str">
        <f>'DICTIONARY-3'!$A$214</f>
        <v>Wstawka montażowa</v>
      </c>
      <c r="R2283" s="732" t="str">
        <f>CONCATENATE('DICTIONARY-3'!$A$127," ",'DICTIONARY-6'!$A$15," ",'DICTIONARY-2'!$A$2,"40"," ",'DICTIONARY-2'!$A$3,"10/16"," ",'DICTIONARY-2'!$A$24,"=","155-165",'DICTIONARY-2'!$A$17,," ",'DICTIONARY-6'!$A$36)</f>
        <v>MONTY Wstawka mont. DN40 PN10/16 L=155-165mm SYNT.</v>
      </c>
      <c r="S2283" s="733" t="s">
        <v>5569</v>
      </c>
      <c r="T2283" s="732" t="s">
        <v>5569</v>
      </c>
      <c r="U2283" s="734" t="s">
        <v>5758</v>
      </c>
      <c r="V2283" s="735">
        <v>16</v>
      </c>
      <c r="W2283" s="736"/>
      <c r="X2283" s="737"/>
      <c r="Y2283" s="738"/>
      <c r="Z2283" s="739"/>
      <c r="AA2283" s="739"/>
      <c r="AB2283" s="740">
        <v>16</v>
      </c>
      <c r="AC2283" s="741" t="s">
        <v>5702</v>
      </c>
      <c r="AD2283" s="741" t="str">
        <f>'DICTIONARY-5'!$A$17</f>
        <v>woda przemysłowa</v>
      </c>
      <c r="AE2283" s="742">
        <v>200</v>
      </c>
      <c r="AF2283" s="743">
        <v>11</v>
      </c>
      <c r="AG2283" s="733" t="str">
        <f>'DICTIONARY-5'!$A$24</f>
        <v>powłoka syntetyczna</v>
      </c>
    </row>
    <row r="2284" spans="1:33" x14ac:dyDescent="0.25">
      <c r="A2284" s="872" t="s">
        <v>2111</v>
      </c>
      <c r="B2284" s="872" t="s">
        <v>3574</v>
      </c>
      <c r="C2284" s="836">
        <v>210</v>
      </c>
      <c r="D2284" s="836"/>
      <c r="E2284" s="836"/>
      <c r="F2284" s="836"/>
      <c r="G2284" s="871" t="s">
        <v>7856</v>
      </c>
      <c r="H2284" s="797" t="str">
        <f>VLOOKUP(G2284,SETTINGS!$B$7:$D$97,2,0)</f>
        <v>MONTY</v>
      </c>
      <c r="I2284" s="796">
        <f>VLOOKUP(G2284,SETTINGS!$B$7:$D$97,3,0)</f>
        <v>0</v>
      </c>
      <c r="J2284" s="670" t="str">
        <f>IFERROR(IF(CURRENCY.FORMAT_1=0,CONCATENATE(TEXT(FIXED(ROUND((C2284/EXC.RATE_1),CURRENCY.FORMAT_1),CURRENCY.FORMAT_1,1),"# ##0;-# ##0"),",-"),FIXED(ROUND((C2284/EXC.RATE_1),CURRENCY.FORMAT_1),CURRENCY.FORMAT_1,0)),'DICTIONARY-5'!$A$2)</f>
        <v>210,-</v>
      </c>
      <c r="K2284" s="670" t="str">
        <f>IF(EXC.RATE_2=0,"",IFERROR(IF(CURRENCY.FORMAT_2=0,CONCATENATE(TEXT(FIXED(ROUND(IF(EXC.RATE.SWITCH=1,C2284/EXC.RATE_2,C2284*EXC.RATE_2),CURRENCY.FORMAT_2),CURRENCY.FORMAT_2,1),"# ##0;-# ##0"),",-"),FIXED(ROUND(IF(EXC.RATE.SWITCH=1,C2284/EXC.RATE_2,C2284*EXC.RATE_2),CURRENCY.FORMAT_2),CURRENCY.FORMAT_2,0)),'DICTIONARY-5'!$A$2))</f>
        <v/>
      </c>
      <c r="L2284" s="670" t="str">
        <f>IFERROR(IF(CURRENCY.FORMAT_1=0,CONCATENATE(TEXT(FIXED(ROUND((C2284*(1-I2284)*(1-ADD.DISCOUNT)*(1+MAT.SURCHARGE)/EXC.RATE_1),CURRENCY.FORMAT_1),CURRENCY.FORMAT_1,1),"# ##0;-# ##0"),",-"),FIXED(ROUND((C2284*(1-I2284)*(1-ADD.DISCOUNT)*(1+MAT.SURCHARGE)/EXC.RATE_1),CURRENCY.FORMAT_1),CURRENCY.FORMAT_1,0)),'DICTIONARY-5'!$A$2)</f>
        <v>218,-</v>
      </c>
      <c r="M2284" s="670" t="str">
        <f>IF(EXC.RATE_2=0,"",IFERROR(IF(CURRENCY.FORMAT_2=0,CONCATENATE(TEXT(FIXED(ROUND(IF(EXC.RATE.SWITCH=1,C2284*(1-I2284)*(1-ADD.DISCOUNT)*(1+MAT.SURCHARGE)/EXC.RATE_2,C2284*(1-I2284)*(1-ADD.DISCOUNT)*(1+MAT.SURCHARGE)*EXC.RATE_2),CURRENCY.FORMAT_2),CURRENCY.FORMAT_2,1),"# ##0;-# ##0"),",-"),FIXED(ROUND(IF(EXC.RATE.SWITCH=1,C2284*(1-I2284)*(1-ADD.DISCOUNT)*(1+MAT.SURCHARGE)/EXC.RATE_2,C2284*(1-I2284)*(1-ADD.DISCOUNT)*(1+MAT.SURCHARGE)*EXC.RATE_2),CURRENCY.FORMAT_2),CURRENCY.FORMAT_2,0)),'DICTIONARY-5'!$A$2))</f>
        <v/>
      </c>
      <c r="N2284" s="538">
        <v>10</v>
      </c>
      <c r="O2284" s="538"/>
      <c r="P2284" s="731" t="str">
        <f>'DICTIONARY-3'!$A$127</f>
        <v>MONTY</v>
      </c>
      <c r="Q2284" s="732" t="str">
        <f>'DICTIONARY-3'!$A$214</f>
        <v>Wstawka montażowa</v>
      </c>
      <c r="R2284" s="732" t="str">
        <f>CONCATENATE('DICTIONARY-3'!$A$127," ",'DICTIONARY-6'!$A$15," ",'DICTIONARY-2'!$A$2,"50"," ",'DICTIONARY-2'!$A$3,"10/16"," ",'DICTIONARY-2'!$A$24,"=","160-170",'DICTIONARY-2'!$A$17,," ",'DICTIONARY-6'!$A$36)</f>
        <v>MONTY Wstawka mont. DN50 PN10/16 L=160-170mm SYNT.</v>
      </c>
      <c r="S2284" s="733" t="s">
        <v>5569</v>
      </c>
      <c r="T2284" s="732" t="s">
        <v>5569</v>
      </c>
      <c r="U2284" s="734" t="s">
        <v>5748</v>
      </c>
      <c r="V2284" s="735">
        <v>16</v>
      </c>
      <c r="W2284" s="736"/>
      <c r="X2284" s="737"/>
      <c r="Y2284" s="738"/>
      <c r="Z2284" s="739"/>
      <c r="AA2284" s="739"/>
      <c r="AB2284" s="740">
        <v>16</v>
      </c>
      <c r="AC2284" s="741" t="s">
        <v>5703</v>
      </c>
      <c r="AD2284" s="741" t="str">
        <f>'DICTIONARY-5'!$A$17</f>
        <v>woda przemysłowa</v>
      </c>
      <c r="AE2284" s="742">
        <v>200</v>
      </c>
      <c r="AF2284" s="743">
        <v>12.5</v>
      </c>
      <c r="AG2284" s="733" t="str">
        <f>'DICTIONARY-5'!$A$24</f>
        <v>powłoka syntetyczna</v>
      </c>
    </row>
    <row r="2285" spans="1:33" x14ac:dyDescent="0.25">
      <c r="A2285" s="872" t="s">
        <v>2113</v>
      </c>
      <c r="B2285" s="872" t="s">
        <v>3576</v>
      </c>
      <c r="C2285" s="836">
        <v>288</v>
      </c>
      <c r="D2285" s="836"/>
      <c r="E2285" s="836"/>
      <c r="F2285" s="836"/>
      <c r="G2285" s="871" t="s">
        <v>7856</v>
      </c>
      <c r="H2285" s="797" t="str">
        <f>VLOOKUP(G2285,SETTINGS!$B$7:$D$97,2,0)</f>
        <v>MONTY</v>
      </c>
      <c r="I2285" s="796">
        <f>VLOOKUP(G2285,SETTINGS!$B$7:$D$97,3,0)</f>
        <v>0</v>
      </c>
      <c r="J2285" s="670" t="str">
        <f>IFERROR(IF(CURRENCY.FORMAT_1=0,CONCATENATE(TEXT(FIXED(ROUND((C2285/EXC.RATE_1),CURRENCY.FORMAT_1),CURRENCY.FORMAT_1,1),"# ##0;-# ##0"),",-"),FIXED(ROUND((C2285/EXC.RATE_1),CURRENCY.FORMAT_1),CURRENCY.FORMAT_1,0)),'DICTIONARY-5'!$A$2)</f>
        <v>288,-</v>
      </c>
      <c r="K2285" s="670" t="str">
        <f>IF(EXC.RATE_2=0,"",IFERROR(IF(CURRENCY.FORMAT_2=0,CONCATENATE(TEXT(FIXED(ROUND(IF(EXC.RATE.SWITCH=1,C2285/EXC.RATE_2,C2285*EXC.RATE_2),CURRENCY.FORMAT_2),CURRENCY.FORMAT_2,1),"# ##0;-# ##0"),",-"),FIXED(ROUND(IF(EXC.RATE.SWITCH=1,C2285/EXC.RATE_2,C2285*EXC.RATE_2),CURRENCY.FORMAT_2),CURRENCY.FORMAT_2,0)),'DICTIONARY-5'!$A$2))</f>
        <v/>
      </c>
      <c r="L2285" s="670" t="str">
        <f>IFERROR(IF(CURRENCY.FORMAT_1=0,CONCATENATE(TEXT(FIXED(ROUND((C2285*(1-I2285)*(1-ADD.DISCOUNT)*(1+MAT.SURCHARGE)/EXC.RATE_1),CURRENCY.FORMAT_1),CURRENCY.FORMAT_1,1),"# ##0;-# ##0"),",-"),FIXED(ROUND((C2285*(1-I2285)*(1-ADD.DISCOUNT)*(1+MAT.SURCHARGE)/EXC.RATE_1),CURRENCY.FORMAT_1),CURRENCY.FORMAT_1,0)),'DICTIONARY-5'!$A$2)</f>
        <v>299,-</v>
      </c>
      <c r="M2285" s="670" t="str">
        <f>IF(EXC.RATE_2=0,"",IFERROR(IF(CURRENCY.FORMAT_2=0,CONCATENATE(TEXT(FIXED(ROUND(IF(EXC.RATE.SWITCH=1,C2285*(1-I2285)*(1-ADD.DISCOUNT)*(1+MAT.SURCHARGE)/EXC.RATE_2,C2285*(1-I2285)*(1-ADD.DISCOUNT)*(1+MAT.SURCHARGE)*EXC.RATE_2),CURRENCY.FORMAT_2),CURRENCY.FORMAT_2,1),"# ##0;-# ##0"),",-"),FIXED(ROUND(IF(EXC.RATE.SWITCH=1,C2285*(1-I2285)*(1-ADD.DISCOUNT)*(1+MAT.SURCHARGE)/EXC.RATE_2,C2285*(1-I2285)*(1-ADD.DISCOUNT)*(1+MAT.SURCHARGE)*EXC.RATE_2),CURRENCY.FORMAT_2),CURRENCY.FORMAT_2,0)),'DICTIONARY-5'!$A$2))</f>
        <v/>
      </c>
      <c r="N2285" s="538">
        <v>10</v>
      </c>
      <c r="O2285" s="538"/>
      <c r="P2285" s="731" t="str">
        <f>'DICTIONARY-3'!$A$127</f>
        <v>MONTY</v>
      </c>
      <c r="Q2285" s="732" t="str">
        <f>'DICTIONARY-3'!$A$214</f>
        <v>Wstawka montażowa</v>
      </c>
      <c r="R2285" s="732" t="str">
        <f>CONCATENATE('DICTIONARY-3'!$A$127," ",'DICTIONARY-6'!$A$15," ",'DICTIONARY-2'!$A$2,"65"," ",'DICTIONARY-2'!$A$3,"10/16"," ",'DICTIONARY-2'!$A$24,"=","168-182",'DICTIONARY-2'!$A$17,," ",'DICTIONARY-6'!$A$36)</f>
        <v>MONTY Wstawka mont. DN65 PN10/16 L=168-182mm SYNT.</v>
      </c>
      <c r="S2285" s="733" t="s">
        <v>5569</v>
      </c>
      <c r="T2285" s="732" t="s">
        <v>5569</v>
      </c>
      <c r="U2285" s="734" t="s">
        <v>5759</v>
      </c>
      <c r="V2285" s="735">
        <v>16</v>
      </c>
      <c r="W2285" s="736"/>
      <c r="X2285" s="737"/>
      <c r="Y2285" s="738"/>
      <c r="Z2285" s="739"/>
      <c r="AA2285" s="739"/>
      <c r="AB2285" s="740">
        <v>16</v>
      </c>
      <c r="AC2285" s="741" t="s">
        <v>5704</v>
      </c>
      <c r="AD2285" s="741" t="str">
        <f>'DICTIONARY-5'!$A$17</f>
        <v>woda przemysłowa</v>
      </c>
      <c r="AE2285" s="742">
        <v>200</v>
      </c>
      <c r="AF2285" s="743">
        <v>19</v>
      </c>
      <c r="AG2285" s="733" t="str">
        <f>'DICTIONARY-5'!$A$24</f>
        <v>powłoka syntetyczna</v>
      </c>
    </row>
    <row r="2286" spans="1:33" x14ac:dyDescent="0.25">
      <c r="A2286" s="872" t="s">
        <v>2115</v>
      </c>
      <c r="B2286" s="872" t="s">
        <v>3578</v>
      </c>
      <c r="C2286" s="836">
        <v>225</v>
      </c>
      <c r="D2286" s="836"/>
      <c r="E2286" s="836"/>
      <c r="F2286" s="836"/>
      <c r="G2286" s="871" t="s">
        <v>7856</v>
      </c>
      <c r="H2286" s="797" t="str">
        <f>VLOOKUP(G2286,SETTINGS!$B$7:$D$97,2,0)</f>
        <v>MONTY</v>
      </c>
      <c r="I2286" s="796">
        <f>VLOOKUP(G2286,SETTINGS!$B$7:$D$97,3,0)</f>
        <v>0</v>
      </c>
      <c r="J2286" s="670" t="str">
        <f>IFERROR(IF(CURRENCY.FORMAT_1=0,CONCATENATE(TEXT(FIXED(ROUND((C2286/EXC.RATE_1),CURRENCY.FORMAT_1),CURRENCY.FORMAT_1,1),"# ##0;-# ##0"),",-"),FIXED(ROUND((C2286/EXC.RATE_1),CURRENCY.FORMAT_1),CURRENCY.FORMAT_1,0)),'DICTIONARY-5'!$A$2)</f>
        <v>225,-</v>
      </c>
      <c r="K2286" s="670" t="str">
        <f>IF(EXC.RATE_2=0,"",IFERROR(IF(CURRENCY.FORMAT_2=0,CONCATENATE(TEXT(FIXED(ROUND(IF(EXC.RATE.SWITCH=1,C2286/EXC.RATE_2,C2286*EXC.RATE_2),CURRENCY.FORMAT_2),CURRENCY.FORMAT_2,1),"# ##0;-# ##0"),",-"),FIXED(ROUND(IF(EXC.RATE.SWITCH=1,C2286/EXC.RATE_2,C2286*EXC.RATE_2),CURRENCY.FORMAT_2),CURRENCY.FORMAT_2,0)),'DICTIONARY-5'!$A$2))</f>
        <v/>
      </c>
      <c r="L2286" s="670" t="str">
        <f>IFERROR(IF(CURRENCY.FORMAT_1=0,CONCATENATE(TEXT(FIXED(ROUND((C2286*(1-I2286)*(1-ADD.DISCOUNT)*(1+MAT.SURCHARGE)/EXC.RATE_1),CURRENCY.FORMAT_1),CURRENCY.FORMAT_1,1),"# ##0;-# ##0"),",-"),FIXED(ROUND((C2286*(1-I2286)*(1-ADD.DISCOUNT)*(1+MAT.SURCHARGE)/EXC.RATE_1),CURRENCY.FORMAT_1),CURRENCY.FORMAT_1,0)),'DICTIONARY-5'!$A$2)</f>
        <v>234,-</v>
      </c>
      <c r="M2286" s="670" t="str">
        <f>IF(EXC.RATE_2=0,"",IFERROR(IF(CURRENCY.FORMAT_2=0,CONCATENATE(TEXT(FIXED(ROUND(IF(EXC.RATE.SWITCH=1,C2286*(1-I2286)*(1-ADD.DISCOUNT)*(1+MAT.SURCHARGE)/EXC.RATE_2,C2286*(1-I2286)*(1-ADD.DISCOUNT)*(1+MAT.SURCHARGE)*EXC.RATE_2),CURRENCY.FORMAT_2),CURRENCY.FORMAT_2,1),"# ##0;-# ##0"),",-"),FIXED(ROUND(IF(EXC.RATE.SWITCH=1,C2286*(1-I2286)*(1-ADD.DISCOUNT)*(1+MAT.SURCHARGE)/EXC.RATE_2,C2286*(1-I2286)*(1-ADD.DISCOUNT)*(1+MAT.SURCHARGE)*EXC.RATE_2),CURRENCY.FORMAT_2),CURRENCY.FORMAT_2,0)),'DICTIONARY-5'!$A$2))</f>
        <v/>
      </c>
      <c r="N2286" s="538">
        <v>10</v>
      </c>
      <c r="O2286" s="538"/>
      <c r="P2286" s="731" t="str">
        <f>'DICTIONARY-3'!$A$127</f>
        <v>MONTY</v>
      </c>
      <c r="Q2286" s="732" t="str">
        <f>'DICTIONARY-3'!$A$214</f>
        <v>Wstawka montażowa</v>
      </c>
      <c r="R2286" s="732" t="str">
        <f>CONCATENATE('DICTIONARY-3'!$A$127," ",'DICTIONARY-6'!$A$15," ",'DICTIONARY-2'!$A$2,"80"," ",'DICTIONARY-2'!$A$3,"10/16"," ",'DICTIONARY-2'!$A$24,"=","172-188",'DICTIONARY-2'!$A$17,," ",'DICTIONARY-6'!$A$36)</f>
        <v>MONTY Wstawka mont. DN80 PN10/16 L=172-188mm SYNT.</v>
      </c>
      <c r="S2286" s="733" t="s">
        <v>5569</v>
      </c>
      <c r="T2286" s="732" t="s">
        <v>5569</v>
      </c>
      <c r="U2286" s="734" t="s">
        <v>5760</v>
      </c>
      <c r="V2286" s="735">
        <v>16</v>
      </c>
      <c r="W2286" s="736"/>
      <c r="X2286" s="737"/>
      <c r="Y2286" s="738"/>
      <c r="Z2286" s="739"/>
      <c r="AA2286" s="739"/>
      <c r="AB2286" s="740">
        <v>16</v>
      </c>
      <c r="AC2286" s="741" t="s">
        <v>5705</v>
      </c>
      <c r="AD2286" s="741" t="str">
        <f>'DICTIONARY-5'!$A$17</f>
        <v>woda przemysłowa</v>
      </c>
      <c r="AE2286" s="742">
        <v>200</v>
      </c>
      <c r="AF2286" s="743">
        <v>18.5</v>
      </c>
      <c r="AG2286" s="733" t="str">
        <f>'DICTIONARY-5'!$A$24</f>
        <v>powłoka syntetyczna</v>
      </c>
    </row>
    <row r="2287" spans="1:33" x14ac:dyDescent="0.25">
      <c r="A2287" s="872" t="s">
        <v>2117</v>
      </c>
      <c r="B2287" s="872" t="s">
        <v>3580</v>
      </c>
      <c r="C2287" s="836">
        <v>268</v>
      </c>
      <c r="D2287" s="836"/>
      <c r="E2287" s="836"/>
      <c r="F2287" s="836"/>
      <c r="G2287" s="871" t="s">
        <v>7856</v>
      </c>
      <c r="H2287" s="797" t="str">
        <f>VLOOKUP(G2287,SETTINGS!$B$7:$D$97,2,0)</f>
        <v>MONTY</v>
      </c>
      <c r="I2287" s="796">
        <f>VLOOKUP(G2287,SETTINGS!$B$7:$D$97,3,0)</f>
        <v>0</v>
      </c>
      <c r="J2287" s="670" t="str">
        <f>IFERROR(IF(CURRENCY.FORMAT_1=0,CONCATENATE(TEXT(FIXED(ROUND((C2287/EXC.RATE_1),CURRENCY.FORMAT_1),CURRENCY.FORMAT_1,1),"# ##0;-# ##0"),",-"),FIXED(ROUND((C2287/EXC.RATE_1),CURRENCY.FORMAT_1),CURRENCY.FORMAT_1,0)),'DICTIONARY-5'!$A$2)</f>
        <v>268,-</v>
      </c>
      <c r="K2287" s="670" t="str">
        <f>IF(EXC.RATE_2=0,"",IFERROR(IF(CURRENCY.FORMAT_2=0,CONCATENATE(TEXT(FIXED(ROUND(IF(EXC.RATE.SWITCH=1,C2287/EXC.RATE_2,C2287*EXC.RATE_2),CURRENCY.FORMAT_2),CURRENCY.FORMAT_2,1),"# ##0;-# ##0"),",-"),FIXED(ROUND(IF(EXC.RATE.SWITCH=1,C2287/EXC.RATE_2,C2287*EXC.RATE_2),CURRENCY.FORMAT_2),CURRENCY.FORMAT_2,0)),'DICTIONARY-5'!$A$2))</f>
        <v/>
      </c>
      <c r="L2287" s="670" t="str">
        <f>IFERROR(IF(CURRENCY.FORMAT_1=0,CONCATENATE(TEXT(FIXED(ROUND((C2287*(1-I2287)*(1-ADD.DISCOUNT)*(1+MAT.SURCHARGE)/EXC.RATE_1),CURRENCY.FORMAT_1),CURRENCY.FORMAT_1,1),"# ##0;-# ##0"),",-"),FIXED(ROUND((C2287*(1-I2287)*(1-ADD.DISCOUNT)*(1+MAT.SURCHARGE)/EXC.RATE_1),CURRENCY.FORMAT_1),CURRENCY.FORMAT_1,0)),'DICTIONARY-5'!$A$2)</f>
        <v>278,-</v>
      </c>
      <c r="M2287" s="670" t="str">
        <f>IF(EXC.RATE_2=0,"",IFERROR(IF(CURRENCY.FORMAT_2=0,CONCATENATE(TEXT(FIXED(ROUND(IF(EXC.RATE.SWITCH=1,C2287*(1-I2287)*(1-ADD.DISCOUNT)*(1+MAT.SURCHARGE)/EXC.RATE_2,C2287*(1-I2287)*(1-ADD.DISCOUNT)*(1+MAT.SURCHARGE)*EXC.RATE_2),CURRENCY.FORMAT_2),CURRENCY.FORMAT_2,1),"# ##0;-# ##0"),",-"),FIXED(ROUND(IF(EXC.RATE.SWITCH=1,C2287*(1-I2287)*(1-ADD.DISCOUNT)*(1+MAT.SURCHARGE)/EXC.RATE_2,C2287*(1-I2287)*(1-ADD.DISCOUNT)*(1+MAT.SURCHARGE)*EXC.RATE_2),CURRENCY.FORMAT_2),CURRENCY.FORMAT_2,0)),'DICTIONARY-5'!$A$2))</f>
        <v/>
      </c>
      <c r="N2287" s="538">
        <v>10</v>
      </c>
      <c r="O2287" s="538"/>
      <c r="P2287" s="731" t="str">
        <f>'DICTIONARY-3'!$A$127</f>
        <v>MONTY</v>
      </c>
      <c r="Q2287" s="732" t="str">
        <f>'DICTIONARY-3'!$A$214</f>
        <v>Wstawka montażowa</v>
      </c>
      <c r="R2287" s="732" t="str">
        <f>CONCATENATE('DICTIONARY-3'!$A$127," ",'DICTIONARY-6'!$A$15," ",'DICTIONARY-2'!$A$2,"100"," ",'DICTIONARY-2'!$A$3,"10/16"," ",'DICTIONARY-2'!$A$24,"=","190-210",'DICTIONARY-2'!$A$17,," ",'DICTIONARY-6'!$A$36)</f>
        <v>MONTY Wstawka mont. DN100 PN10/16 L=190-210mm SYNT.</v>
      </c>
      <c r="S2287" s="733" t="s">
        <v>5569</v>
      </c>
      <c r="T2287" s="732" t="s">
        <v>5569</v>
      </c>
      <c r="U2287" s="734" t="s">
        <v>5749</v>
      </c>
      <c r="V2287" s="735">
        <v>16</v>
      </c>
      <c r="W2287" s="736"/>
      <c r="X2287" s="737"/>
      <c r="Y2287" s="738"/>
      <c r="Z2287" s="739"/>
      <c r="AA2287" s="739"/>
      <c r="AB2287" s="740">
        <v>16</v>
      </c>
      <c r="AC2287" s="741" t="s">
        <v>5706</v>
      </c>
      <c r="AD2287" s="741" t="str">
        <f>'DICTIONARY-5'!$A$17</f>
        <v>woda przemysłowa</v>
      </c>
      <c r="AE2287" s="742">
        <v>200</v>
      </c>
      <c r="AF2287" s="743">
        <v>24</v>
      </c>
      <c r="AG2287" s="733" t="str">
        <f>'DICTIONARY-5'!$A$24</f>
        <v>powłoka syntetyczna</v>
      </c>
    </row>
    <row r="2288" spans="1:33" x14ac:dyDescent="0.25">
      <c r="A2288" s="872" t="s">
        <v>2119</v>
      </c>
      <c r="B2288" s="872" t="s">
        <v>3582</v>
      </c>
      <c r="C2288" s="836">
        <v>430</v>
      </c>
      <c r="D2288" s="836"/>
      <c r="E2288" s="836"/>
      <c r="F2288" s="836"/>
      <c r="G2288" s="871" t="s">
        <v>7856</v>
      </c>
      <c r="H2288" s="797" t="str">
        <f>VLOOKUP(G2288,SETTINGS!$B$7:$D$97,2,0)</f>
        <v>MONTY</v>
      </c>
      <c r="I2288" s="796">
        <f>VLOOKUP(G2288,SETTINGS!$B$7:$D$97,3,0)</f>
        <v>0</v>
      </c>
      <c r="J2288" s="670" t="str">
        <f>IFERROR(IF(CURRENCY.FORMAT_1=0,CONCATENATE(TEXT(FIXED(ROUND((C2288/EXC.RATE_1),CURRENCY.FORMAT_1),CURRENCY.FORMAT_1,1),"# ##0;-# ##0"),",-"),FIXED(ROUND((C2288/EXC.RATE_1),CURRENCY.FORMAT_1),CURRENCY.FORMAT_1,0)),'DICTIONARY-5'!$A$2)</f>
        <v>430,-</v>
      </c>
      <c r="K2288" s="670" t="str">
        <f>IF(EXC.RATE_2=0,"",IFERROR(IF(CURRENCY.FORMAT_2=0,CONCATENATE(TEXT(FIXED(ROUND(IF(EXC.RATE.SWITCH=1,C2288/EXC.RATE_2,C2288*EXC.RATE_2),CURRENCY.FORMAT_2),CURRENCY.FORMAT_2,1),"# ##0;-# ##0"),",-"),FIXED(ROUND(IF(EXC.RATE.SWITCH=1,C2288/EXC.RATE_2,C2288*EXC.RATE_2),CURRENCY.FORMAT_2),CURRENCY.FORMAT_2,0)),'DICTIONARY-5'!$A$2))</f>
        <v/>
      </c>
      <c r="L2288" s="670" t="str">
        <f>IFERROR(IF(CURRENCY.FORMAT_1=0,CONCATENATE(TEXT(FIXED(ROUND((C2288*(1-I2288)*(1-ADD.DISCOUNT)*(1+MAT.SURCHARGE)/EXC.RATE_1),CURRENCY.FORMAT_1),CURRENCY.FORMAT_1,1),"# ##0;-# ##0"),",-"),FIXED(ROUND((C2288*(1-I2288)*(1-ADD.DISCOUNT)*(1+MAT.SURCHARGE)/EXC.RATE_1),CURRENCY.FORMAT_1),CURRENCY.FORMAT_1,0)),'DICTIONARY-5'!$A$2)</f>
        <v>447,-</v>
      </c>
      <c r="M2288" s="670" t="str">
        <f>IF(EXC.RATE_2=0,"",IFERROR(IF(CURRENCY.FORMAT_2=0,CONCATENATE(TEXT(FIXED(ROUND(IF(EXC.RATE.SWITCH=1,C2288*(1-I2288)*(1-ADD.DISCOUNT)*(1+MAT.SURCHARGE)/EXC.RATE_2,C2288*(1-I2288)*(1-ADD.DISCOUNT)*(1+MAT.SURCHARGE)*EXC.RATE_2),CURRENCY.FORMAT_2),CURRENCY.FORMAT_2,1),"# ##0;-# ##0"),",-"),FIXED(ROUND(IF(EXC.RATE.SWITCH=1,C2288*(1-I2288)*(1-ADD.DISCOUNT)*(1+MAT.SURCHARGE)/EXC.RATE_2,C2288*(1-I2288)*(1-ADD.DISCOUNT)*(1+MAT.SURCHARGE)*EXC.RATE_2),CURRENCY.FORMAT_2),CURRENCY.FORMAT_2,0)),'DICTIONARY-5'!$A$2))</f>
        <v/>
      </c>
      <c r="N2288" s="538">
        <v>10</v>
      </c>
      <c r="O2288" s="538"/>
      <c r="P2288" s="731" t="str">
        <f>'DICTIONARY-3'!$A$127</f>
        <v>MONTY</v>
      </c>
      <c r="Q2288" s="732" t="str">
        <f>'DICTIONARY-3'!$A$214</f>
        <v>Wstawka montażowa</v>
      </c>
      <c r="R2288" s="732" t="str">
        <f>CONCATENATE('DICTIONARY-3'!$A$127," ",'DICTIONARY-6'!$A$15," ",'DICTIONARY-2'!$A$2,"125"," ",'DICTIONARY-2'!$A$3,"10/16"," ",'DICTIONARY-2'!$A$24,"=","195-215",'DICTIONARY-2'!$A$17,," ",'DICTIONARY-6'!$A$36)</f>
        <v>MONTY Wstawka mont. DN125 PN10/16 L=195-215mm SYNT.</v>
      </c>
      <c r="S2288" s="733" t="s">
        <v>5569</v>
      </c>
      <c r="T2288" s="732" t="s">
        <v>5569</v>
      </c>
      <c r="U2288" s="734" t="s">
        <v>5761</v>
      </c>
      <c r="V2288" s="735">
        <v>16</v>
      </c>
      <c r="W2288" s="736"/>
      <c r="X2288" s="737"/>
      <c r="Y2288" s="738"/>
      <c r="Z2288" s="739"/>
      <c r="AA2288" s="739"/>
      <c r="AB2288" s="740">
        <v>16</v>
      </c>
      <c r="AC2288" s="741" t="s">
        <v>5707</v>
      </c>
      <c r="AD2288" s="741" t="str">
        <f>'DICTIONARY-5'!$A$17</f>
        <v>woda przemysłowa</v>
      </c>
      <c r="AE2288" s="742">
        <v>200</v>
      </c>
      <c r="AF2288" s="743">
        <v>31</v>
      </c>
      <c r="AG2288" s="733" t="str">
        <f>'DICTIONARY-5'!$A$24</f>
        <v>powłoka syntetyczna</v>
      </c>
    </row>
    <row r="2289" spans="1:33" x14ac:dyDescent="0.25">
      <c r="A2289" s="872" t="s">
        <v>2121</v>
      </c>
      <c r="B2289" s="872" t="s">
        <v>3584</v>
      </c>
      <c r="C2289" s="836">
        <v>397</v>
      </c>
      <c r="D2289" s="836"/>
      <c r="E2289" s="836"/>
      <c r="F2289" s="836"/>
      <c r="G2289" s="871" t="s">
        <v>7856</v>
      </c>
      <c r="H2289" s="797" t="str">
        <f>VLOOKUP(G2289,SETTINGS!$B$7:$D$97,2,0)</f>
        <v>MONTY</v>
      </c>
      <c r="I2289" s="796">
        <f>VLOOKUP(G2289,SETTINGS!$B$7:$D$97,3,0)</f>
        <v>0</v>
      </c>
      <c r="J2289" s="670" t="str">
        <f>IFERROR(IF(CURRENCY.FORMAT_1=0,CONCATENATE(TEXT(FIXED(ROUND((C2289/EXC.RATE_1),CURRENCY.FORMAT_1),CURRENCY.FORMAT_1,1),"# ##0;-# ##0"),",-"),FIXED(ROUND((C2289/EXC.RATE_1),CURRENCY.FORMAT_1),CURRENCY.FORMAT_1,0)),'DICTIONARY-5'!$A$2)</f>
        <v>397,-</v>
      </c>
      <c r="K2289" s="670" t="str">
        <f>IF(EXC.RATE_2=0,"",IFERROR(IF(CURRENCY.FORMAT_2=0,CONCATENATE(TEXT(FIXED(ROUND(IF(EXC.RATE.SWITCH=1,C2289/EXC.RATE_2,C2289*EXC.RATE_2),CURRENCY.FORMAT_2),CURRENCY.FORMAT_2,1),"# ##0;-# ##0"),",-"),FIXED(ROUND(IF(EXC.RATE.SWITCH=1,C2289/EXC.RATE_2,C2289*EXC.RATE_2),CURRENCY.FORMAT_2),CURRENCY.FORMAT_2,0)),'DICTIONARY-5'!$A$2))</f>
        <v/>
      </c>
      <c r="L2289" s="670" t="str">
        <f>IFERROR(IF(CURRENCY.FORMAT_1=0,CONCATENATE(TEXT(FIXED(ROUND((C2289*(1-I2289)*(1-ADD.DISCOUNT)*(1+MAT.SURCHARGE)/EXC.RATE_1),CURRENCY.FORMAT_1),CURRENCY.FORMAT_1,1),"# ##0;-# ##0"),",-"),FIXED(ROUND((C2289*(1-I2289)*(1-ADD.DISCOUNT)*(1+MAT.SURCHARGE)/EXC.RATE_1),CURRENCY.FORMAT_1),CURRENCY.FORMAT_1,0)),'DICTIONARY-5'!$A$2)</f>
        <v>412,-</v>
      </c>
      <c r="M2289" s="670" t="str">
        <f>IF(EXC.RATE_2=0,"",IFERROR(IF(CURRENCY.FORMAT_2=0,CONCATENATE(TEXT(FIXED(ROUND(IF(EXC.RATE.SWITCH=1,C2289*(1-I2289)*(1-ADD.DISCOUNT)*(1+MAT.SURCHARGE)/EXC.RATE_2,C2289*(1-I2289)*(1-ADD.DISCOUNT)*(1+MAT.SURCHARGE)*EXC.RATE_2),CURRENCY.FORMAT_2),CURRENCY.FORMAT_2,1),"# ##0;-# ##0"),",-"),FIXED(ROUND(IF(EXC.RATE.SWITCH=1,C2289*(1-I2289)*(1-ADD.DISCOUNT)*(1+MAT.SURCHARGE)/EXC.RATE_2,C2289*(1-I2289)*(1-ADD.DISCOUNT)*(1+MAT.SURCHARGE)*EXC.RATE_2),CURRENCY.FORMAT_2),CURRENCY.FORMAT_2,0)),'DICTIONARY-5'!$A$2))</f>
        <v/>
      </c>
      <c r="N2289" s="538">
        <v>10</v>
      </c>
      <c r="O2289" s="538"/>
      <c r="P2289" s="731" t="str">
        <f>'DICTIONARY-3'!$A$127</f>
        <v>MONTY</v>
      </c>
      <c r="Q2289" s="732" t="str">
        <f>'DICTIONARY-3'!$A$214</f>
        <v>Wstawka montażowa</v>
      </c>
      <c r="R2289" s="732" t="str">
        <f>CONCATENATE('DICTIONARY-3'!$A$127," ",'DICTIONARY-6'!$A$15," ",'DICTIONARY-2'!$A$2,"150"," ",'DICTIONARY-2'!$A$3,"10/16"," ",'DICTIONARY-2'!$A$24,"=","200-220",'DICTIONARY-2'!$A$17,," ",'DICTIONARY-6'!$A$36)</f>
        <v>MONTY Wstawka mont. DN150 PN10/16 L=200-220mm SYNT.</v>
      </c>
      <c r="S2289" s="733" t="s">
        <v>5569</v>
      </c>
      <c r="T2289" s="732" t="s">
        <v>5569</v>
      </c>
      <c r="U2289" s="734" t="s">
        <v>5572</v>
      </c>
      <c r="V2289" s="735">
        <v>16</v>
      </c>
      <c r="W2289" s="736"/>
      <c r="X2289" s="737"/>
      <c r="Y2289" s="738"/>
      <c r="Z2289" s="739"/>
      <c r="AA2289" s="739"/>
      <c r="AB2289" s="740">
        <v>16</v>
      </c>
      <c r="AC2289" s="741" t="s">
        <v>5708</v>
      </c>
      <c r="AD2289" s="741" t="str">
        <f>'DICTIONARY-5'!$A$17</f>
        <v>woda przemysłowa</v>
      </c>
      <c r="AE2289" s="742">
        <v>200</v>
      </c>
      <c r="AF2289" s="743">
        <v>38.5</v>
      </c>
      <c r="AG2289" s="733" t="str">
        <f>'DICTIONARY-5'!$A$24</f>
        <v>powłoka syntetyczna</v>
      </c>
    </row>
    <row r="2290" spans="1:33" x14ac:dyDescent="0.25">
      <c r="A2290" s="872" t="s">
        <v>2123</v>
      </c>
      <c r="B2290" s="872" t="s">
        <v>3589</v>
      </c>
      <c r="C2290" s="836">
        <v>759</v>
      </c>
      <c r="D2290" s="836"/>
      <c r="E2290" s="836"/>
      <c r="F2290" s="836"/>
      <c r="G2290" s="871" t="s">
        <v>7856</v>
      </c>
      <c r="H2290" s="797" t="str">
        <f>VLOOKUP(G2290,SETTINGS!$B$7:$D$97,2,0)</f>
        <v>MONTY</v>
      </c>
      <c r="I2290" s="796">
        <f>VLOOKUP(G2290,SETTINGS!$B$7:$D$97,3,0)</f>
        <v>0</v>
      </c>
      <c r="J2290" s="670" t="str">
        <f>IFERROR(IF(CURRENCY.FORMAT_1=0,CONCATENATE(TEXT(FIXED(ROUND((C2290/EXC.RATE_1),CURRENCY.FORMAT_1),CURRENCY.FORMAT_1,1),"# ##0;-# ##0"),",-"),FIXED(ROUND((C2290/EXC.RATE_1),CURRENCY.FORMAT_1),CURRENCY.FORMAT_1,0)),'DICTIONARY-5'!$A$2)</f>
        <v>759,-</v>
      </c>
      <c r="K2290" s="670" t="str">
        <f>IF(EXC.RATE_2=0,"",IFERROR(IF(CURRENCY.FORMAT_2=0,CONCATENATE(TEXT(FIXED(ROUND(IF(EXC.RATE.SWITCH=1,C2290/EXC.RATE_2,C2290*EXC.RATE_2),CURRENCY.FORMAT_2),CURRENCY.FORMAT_2,1),"# ##0;-# ##0"),",-"),FIXED(ROUND(IF(EXC.RATE.SWITCH=1,C2290/EXC.RATE_2,C2290*EXC.RATE_2),CURRENCY.FORMAT_2),CURRENCY.FORMAT_2,0)),'DICTIONARY-5'!$A$2))</f>
        <v/>
      </c>
      <c r="L2290" s="670" t="str">
        <f>IFERROR(IF(CURRENCY.FORMAT_1=0,CONCATENATE(TEXT(FIXED(ROUND((C2290*(1-I2290)*(1-ADD.DISCOUNT)*(1+MAT.SURCHARGE)/EXC.RATE_1),CURRENCY.FORMAT_1),CURRENCY.FORMAT_1,1),"# ##0;-# ##0"),",-"),FIXED(ROUND((C2290*(1-I2290)*(1-ADD.DISCOUNT)*(1+MAT.SURCHARGE)/EXC.RATE_1),CURRENCY.FORMAT_1),CURRENCY.FORMAT_1,0)),'DICTIONARY-5'!$A$2)</f>
        <v>789,-</v>
      </c>
      <c r="M2290" s="670" t="str">
        <f>IF(EXC.RATE_2=0,"",IFERROR(IF(CURRENCY.FORMAT_2=0,CONCATENATE(TEXT(FIXED(ROUND(IF(EXC.RATE.SWITCH=1,C2290*(1-I2290)*(1-ADD.DISCOUNT)*(1+MAT.SURCHARGE)/EXC.RATE_2,C2290*(1-I2290)*(1-ADD.DISCOUNT)*(1+MAT.SURCHARGE)*EXC.RATE_2),CURRENCY.FORMAT_2),CURRENCY.FORMAT_2,1),"# ##0;-# ##0"),",-"),FIXED(ROUND(IF(EXC.RATE.SWITCH=1,C2290*(1-I2290)*(1-ADD.DISCOUNT)*(1+MAT.SURCHARGE)/EXC.RATE_2,C2290*(1-I2290)*(1-ADD.DISCOUNT)*(1+MAT.SURCHARGE)*EXC.RATE_2),CURRENCY.FORMAT_2),CURRENCY.FORMAT_2,0)),'DICTIONARY-5'!$A$2))</f>
        <v/>
      </c>
      <c r="N2290" s="538">
        <v>10</v>
      </c>
      <c r="O2290" s="538"/>
      <c r="P2290" s="731" t="str">
        <f>'DICTIONARY-3'!$A$127</f>
        <v>MONTY</v>
      </c>
      <c r="Q2290" s="732" t="str">
        <f>'DICTIONARY-3'!$A$214</f>
        <v>Wstawka montażowa</v>
      </c>
      <c r="R2290" s="732" t="str">
        <f>CONCATENATE('DICTIONARY-3'!$A$127," ",'DICTIONARY-6'!$A$15," ",'DICTIONARY-2'!$A$2,"200"," ",'DICTIONARY-2'!$A$3,"10"," ",'DICTIONARY-2'!$A$24,"=","215-235",'DICTIONARY-2'!$A$17,," ",'DICTIONARY-6'!$A$36)</f>
        <v>MONTY Wstawka mont. DN200 PN10 L=215-235mm SYNT.</v>
      </c>
      <c r="S2290" s="733" t="s">
        <v>5569</v>
      </c>
      <c r="T2290" s="732" t="s">
        <v>5569</v>
      </c>
      <c r="U2290" s="734" t="s">
        <v>5750</v>
      </c>
      <c r="V2290" s="735">
        <v>10</v>
      </c>
      <c r="W2290" s="736"/>
      <c r="X2290" s="737"/>
      <c r="Y2290" s="738"/>
      <c r="Z2290" s="739"/>
      <c r="AA2290" s="739"/>
      <c r="AB2290" s="740">
        <v>10</v>
      </c>
      <c r="AC2290" s="741" t="s">
        <v>5709</v>
      </c>
      <c r="AD2290" s="741" t="str">
        <f>'DICTIONARY-5'!$A$17</f>
        <v>woda przemysłowa</v>
      </c>
      <c r="AE2290" s="742">
        <v>200</v>
      </c>
      <c r="AF2290" s="743">
        <v>62</v>
      </c>
      <c r="AG2290" s="733" t="str">
        <f>'DICTIONARY-5'!$A$24</f>
        <v>powłoka syntetyczna</v>
      </c>
    </row>
    <row r="2291" spans="1:33" x14ac:dyDescent="0.25">
      <c r="A2291" s="872" t="s">
        <v>2125</v>
      </c>
      <c r="B2291" s="872" t="s">
        <v>3586</v>
      </c>
      <c r="C2291" s="836">
        <v>749</v>
      </c>
      <c r="D2291" s="836"/>
      <c r="E2291" s="836"/>
      <c r="F2291" s="836"/>
      <c r="G2291" s="871" t="s">
        <v>7856</v>
      </c>
      <c r="H2291" s="797" t="str">
        <f>VLOOKUP(G2291,SETTINGS!$B$7:$D$97,2,0)</f>
        <v>MONTY</v>
      </c>
      <c r="I2291" s="796">
        <f>VLOOKUP(G2291,SETTINGS!$B$7:$D$97,3,0)</f>
        <v>0</v>
      </c>
      <c r="J2291" s="670" t="str">
        <f>IFERROR(IF(CURRENCY.FORMAT_1=0,CONCATENATE(TEXT(FIXED(ROUND((C2291/EXC.RATE_1),CURRENCY.FORMAT_1),CURRENCY.FORMAT_1,1),"# ##0;-# ##0"),",-"),FIXED(ROUND((C2291/EXC.RATE_1),CURRENCY.FORMAT_1),CURRENCY.FORMAT_1,0)),'DICTIONARY-5'!$A$2)</f>
        <v>749,-</v>
      </c>
      <c r="K2291" s="670" t="str">
        <f>IF(EXC.RATE_2=0,"",IFERROR(IF(CURRENCY.FORMAT_2=0,CONCATENATE(TEXT(FIXED(ROUND(IF(EXC.RATE.SWITCH=1,C2291/EXC.RATE_2,C2291*EXC.RATE_2),CURRENCY.FORMAT_2),CURRENCY.FORMAT_2,1),"# ##0;-# ##0"),",-"),FIXED(ROUND(IF(EXC.RATE.SWITCH=1,C2291/EXC.RATE_2,C2291*EXC.RATE_2),CURRENCY.FORMAT_2),CURRENCY.FORMAT_2,0)),'DICTIONARY-5'!$A$2))</f>
        <v/>
      </c>
      <c r="L2291" s="670" t="str">
        <f>IFERROR(IF(CURRENCY.FORMAT_1=0,CONCATENATE(TEXT(FIXED(ROUND((C2291*(1-I2291)*(1-ADD.DISCOUNT)*(1+MAT.SURCHARGE)/EXC.RATE_1),CURRENCY.FORMAT_1),CURRENCY.FORMAT_1,1),"# ##0;-# ##0"),",-"),FIXED(ROUND((C2291*(1-I2291)*(1-ADD.DISCOUNT)*(1+MAT.SURCHARGE)/EXC.RATE_1),CURRENCY.FORMAT_1),CURRENCY.FORMAT_1,0)),'DICTIONARY-5'!$A$2)</f>
        <v>778,-</v>
      </c>
      <c r="M2291" s="670" t="str">
        <f>IF(EXC.RATE_2=0,"",IFERROR(IF(CURRENCY.FORMAT_2=0,CONCATENATE(TEXT(FIXED(ROUND(IF(EXC.RATE.SWITCH=1,C2291*(1-I2291)*(1-ADD.DISCOUNT)*(1+MAT.SURCHARGE)/EXC.RATE_2,C2291*(1-I2291)*(1-ADD.DISCOUNT)*(1+MAT.SURCHARGE)*EXC.RATE_2),CURRENCY.FORMAT_2),CURRENCY.FORMAT_2,1),"# ##0;-# ##0"),",-"),FIXED(ROUND(IF(EXC.RATE.SWITCH=1,C2291*(1-I2291)*(1-ADD.DISCOUNT)*(1+MAT.SURCHARGE)/EXC.RATE_2,C2291*(1-I2291)*(1-ADD.DISCOUNT)*(1+MAT.SURCHARGE)*EXC.RATE_2),CURRENCY.FORMAT_2),CURRENCY.FORMAT_2,0)),'DICTIONARY-5'!$A$2))</f>
        <v/>
      </c>
      <c r="N2291" s="538">
        <v>10</v>
      </c>
      <c r="O2291" s="538"/>
      <c r="P2291" s="731" t="str">
        <f>'DICTIONARY-3'!$A$127</f>
        <v>MONTY</v>
      </c>
      <c r="Q2291" s="732" t="str">
        <f>'DICTIONARY-3'!$A$214</f>
        <v>Wstawka montażowa</v>
      </c>
      <c r="R2291" s="732" t="str">
        <f>CONCATENATE('DICTIONARY-3'!$A$127," ",'DICTIONARY-6'!$A$15," ",'DICTIONARY-2'!$A$2,"200"," ",'DICTIONARY-2'!$A$3,"16"," ",'DICTIONARY-2'!$A$24,"=","215-235",'DICTIONARY-2'!$A$17,," ",'DICTIONARY-6'!$A$36)</f>
        <v>MONTY Wstawka mont. DN200 PN16 L=215-235mm SYNT.</v>
      </c>
      <c r="S2291" s="733" t="s">
        <v>5569</v>
      </c>
      <c r="T2291" s="732" t="s">
        <v>5569</v>
      </c>
      <c r="U2291" s="734" t="s">
        <v>5750</v>
      </c>
      <c r="V2291" s="735">
        <v>16</v>
      </c>
      <c r="W2291" s="736"/>
      <c r="X2291" s="737"/>
      <c r="Y2291" s="738"/>
      <c r="Z2291" s="739"/>
      <c r="AA2291" s="739"/>
      <c r="AB2291" s="740">
        <v>16</v>
      </c>
      <c r="AC2291" s="741" t="s">
        <v>5709</v>
      </c>
      <c r="AD2291" s="741" t="str">
        <f>'DICTIONARY-5'!$A$17</f>
        <v>woda przemysłowa</v>
      </c>
      <c r="AE2291" s="742">
        <v>200</v>
      </c>
      <c r="AF2291" s="743">
        <v>60</v>
      </c>
      <c r="AG2291" s="733" t="str">
        <f>'DICTIONARY-5'!$A$24</f>
        <v>powłoka syntetyczna</v>
      </c>
    </row>
    <row r="2292" spans="1:33" x14ac:dyDescent="0.25">
      <c r="A2292" s="872" t="s">
        <v>2127</v>
      </c>
      <c r="B2292" s="872" t="s">
        <v>3593</v>
      </c>
      <c r="C2292" s="836">
        <v>946</v>
      </c>
      <c r="D2292" s="836"/>
      <c r="E2292" s="836"/>
      <c r="F2292" s="836"/>
      <c r="G2292" s="871" t="s">
        <v>7856</v>
      </c>
      <c r="H2292" s="797" t="str">
        <f>VLOOKUP(G2292,SETTINGS!$B$7:$D$97,2,0)</f>
        <v>MONTY</v>
      </c>
      <c r="I2292" s="796">
        <f>VLOOKUP(G2292,SETTINGS!$B$7:$D$97,3,0)</f>
        <v>0</v>
      </c>
      <c r="J2292" s="670" t="str">
        <f>IFERROR(IF(CURRENCY.FORMAT_1=0,CONCATENATE(TEXT(FIXED(ROUND((C2292/EXC.RATE_1),CURRENCY.FORMAT_1),CURRENCY.FORMAT_1,1),"# ##0;-# ##0"),",-"),FIXED(ROUND((C2292/EXC.RATE_1),CURRENCY.FORMAT_1),CURRENCY.FORMAT_1,0)),'DICTIONARY-5'!$A$2)</f>
        <v>946,-</v>
      </c>
      <c r="K2292" s="670" t="str">
        <f>IF(EXC.RATE_2=0,"",IFERROR(IF(CURRENCY.FORMAT_2=0,CONCATENATE(TEXT(FIXED(ROUND(IF(EXC.RATE.SWITCH=1,C2292/EXC.RATE_2,C2292*EXC.RATE_2),CURRENCY.FORMAT_2),CURRENCY.FORMAT_2,1),"# ##0;-# ##0"),",-"),FIXED(ROUND(IF(EXC.RATE.SWITCH=1,C2292/EXC.RATE_2,C2292*EXC.RATE_2),CURRENCY.FORMAT_2),CURRENCY.FORMAT_2,0)),'DICTIONARY-5'!$A$2))</f>
        <v/>
      </c>
      <c r="L2292" s="670" t="str">
        <f>IFERROR(IF(CURRENCY.FORMAT_1=0,CONCATENATE(TEXT(FIXED(ROUND((C2292*(1-I2292)*(1-ADD.DISCOUNT)*(1+MAT.SURCHARGE)/EXC.RATE_1),CURRENCY.FORMAT_1),CURRENCY.FORMAT_1,1),"# ##0;-# ##0"),",-"),FIXED(ROUND((C2292*(1-I2292)*(1-ADD.DISCOUNT)*(1+MAT.SURCHARGE)/EXC.RATE_1),CURRENCY.FORMAT_1),CURRENCY.FORMAT_1,0)),'DICTIONARY-5'!$A$2)</f>
        <v>983,-</v>
      </c>
      <c r="M2292" s="670" t="str">
        <f>IF(EXC.RATE_2=0,"",IFERROR(IF(CURRENCY.FORMAT_2=0,CONCATENATE(TEXT(FIXED(ROUND(IF(EXC.RATE.SWITCH=1,C2292*(1-I2292)*(1-ADD.DISCOUNT)*(1+MAT.SURCHARGE)/EXC.RATE_2,C2292*(1-I2292)*(1-ADD.DISCOUNT)*(1+MAT.SURCHARGE)*EXC.RATE_2),CURRENCY.FORMAT_2),CURRENCY.FORMAT_2,1),"# ##0;-# ##0"),",-"),FIXED(ROUND(IF(EXC.RATE.SWITCH=1,C2292*(1-I2292)*(1-ADD.DISCOUNT)*(1+MAT.SURCHARGE)/EXC.RATE_2,C2292*(1-I2292)*(1-ADD.DISCOUNT)*(1+MAT.SURCHARGE)*EXC.RATE_2),CURRENCY.FORMAT_2),CURRENCY.FORMAT_2,0)),'DICTIONARY-5'!$A$2))</f>
        <v/>
      </c>
      <c r="N2292" s="538">
        <v>10</v>
      </c>
      <c r="O2292" s="538"/>
      <c r="P2292" s="731" t="str">
        <f>'DICTIONARY-3'!$A$127</f>
        <v>MONTY</v>
      </c>
      <c r="Q2292" s="732" t="str">
        <f>'DICTIONARY-3'!$A$214</f>
        <v>Wstawka montażowa</v>
      </c>
      <c r="R2292" s="732" t="str">
        <f>CONCATENATE('DICTIONARY-3'!$A$127," ",'DICTIONARY-6'!$A$15," ",'DICTIONARY-2'!$A$2,"250"," ",'DICTIONARY-2'!$A$3,"10"," ",'DICTIONARY-2'!$A$24,"=","235-265",'DICTIONARY-2'!$A$17,," ",'DICTIONARY-6'!$A$36)</f>
        <v>MONTY Wstawka mont. DN250 PN10 L=235-265mm SYNT.</v>
      </c>
      <c r="S2292" s="733" t="s">
        <v>5569</v>
      </c>
      <c r="T2292" s="732" t="s">
        <v>5569</v>
      </c>
      <c r="U2292" s="734" t="s">
        <v>5751</v>
      </c>
      <c r="V2292" s="735">
        <v>10</v>
      </c>
      <c r="W2292" s="736"/>
      <c r="X2292" s="737"/>
      <c r="Y2292" s="738"/>
      <c r="Z2292" s="739"/>
      <c r="AA2292" s="739"/>
      <c r="AB2292" s="740">
        <v>10</v>
      </c>
      <c r="AC2292" s="741" t="s">
        <v>5710</v>
      </c>
      <c r="AD2292" s="741" t="str">
        <f>'DICTIONARY-5'!$A$17</f>
        <v>woda przemysłowa</v>
      </c>
      <c r="AE2292" s="742">
        <v>200</v>
      </c>
      <c r="AF2292" s="743">
        <v>90.5</v>
      </c>
      <c r="AG2292" s="733" t="str">
        <f>'DICTIONARY-5'!$A$24</f>
        <v>powłoka syntetyczna</v>
      </c>
    </row>
    <row r="2293" spans="1:33" x14ac:dyDescent="0.25">
      <c r="A2293" s="872" t="s">
        <v>2129</v>
      </c>
      <c r="B2293" s="872" t="s">
        <v>3590</v>
      </c>
      <c r="C2293" s="836">
        <v>946</v>
      </c>
      <c r="D2293" s="836"/>
      <c r="E2293" s="836"/>
      <c r="F2293" s="836"/>
      <c r="G2293" s="871" t="s">
        <v>7856</v>
      </c>
      <c r="H2293" s="797" t="str">
        <f>VLOOKUP(G2293,SETTINGS!$B$7:$D$97,2,0)</f>
        <v>MONTY</v>
      </c>
      <c r="I2293" s="796">
        <f>VLOOKUP(G2293,SETTINGS!$B$7:$D$97,3,0)</f>
        <v>0</v>
      </c>
      <c r="J2293" s="670" t="str">
        <f>IFERROR(IF(CURRENCY.FORMAT_1=0,CONCATENATE(TEXT(FIXED(ROUND((C2293/EXC.RATE_1),CURRENCY.FORMAT_1),CURRENCY.FORMAT_1,1),"# ##0;-# ##0"),",-"),FIXED(ROUND((C2293/EXC.RATE_1),CURRENCY.FORMAT_1),CURRENCY.FORMAT_1,0)),'DICTIONARY-5'!$A$2)</f>
        <v>946,-</v>
      </c>
      <c r="K2293" s="670" t="str">
        <f>IF(EXC.RATE_2=0,"",IFERROR(IF(CURRENCY.FORMAT_2=0,CONCATENATE(TEXT(FIXED(ROUND(IF(EXC.RATE.SWITCH=1,C2293/EXC.RATE_2,C2293*EXC.RATE_2),CURRENCY.FORMAT_2),CURRENCY.FORMAT_2,1),"# ##0;-# ##0"),",-"),FIXED(ROUND(IF(EXC.RATE.SWITCH=1,C2293/EXC.RATE_2,C2293*EXC.RATE_2),CURRENCY.FORMAT_2),CURRENCY.FORMAT_2,0)),'DICTIONARY-5'!$A$2))</f>
        <v/>
      </c>
      <c r="L2293" s="670" t="str">
        <f>IFERROR(IF(CURRENCY.FORMAT_1=0,CONCATENATE(TEXT(FIXED(ROUND((C2293*(1-I2293)*(1-ADD.DISCOUNT)*(1+MAT.SURCHARGE)/EXC.RATE_1),CURRENCY.FORMAT_1),CURRENCY.FORMAT_1,1),"# ##0;-# ##0"),",-"),FIXED(ROUND((C2293*(1-I2293)*(1-ADD.DISCOUNT)*(1+MAT.SURCHARGE)/EXC.RATE_1),CURRENCY.FORMAT_1),CURRENCY.FORMAT_1,0)),'DICTIONARY-5'!$A$2)</f>
        <v>983,-</v>
      </c>
      <c r="M2293" s="670" t="str">
        <f>IF(EXC.RATE_2=0,"",IFERROR(IF(CURRENCY.FORMAT_2=0,CONCATENATE(TEXT(FIXED(ROUND(IF(EXC.RATE.SWITCH=1,C2293*(1-I2293)*(1-ADD.DISCOUNT)*(1+MAT.SURCHARGE)/EXC.RATE_2,C2293*(1-I2293)*(1-ADD.DISCOUNT)*(1+MAT.SURCHARGE)*EXC.RATE_2),CURRENCY.FORMAT_2),CURRENCY.FORMAT_2,1),"# ##0;-# ##0"),",-"),FIXED(ROUND(IF(EXC.RATE.SWITCH=1,C2293*(1-I2293)*(1-ADD.DISCOUNT)*(1+MAT.SURCHARGE)/EXC.RATE_2,C2293*(1-I2293)*(1-ADD.DISCOUNT)*(1+MAT.SURCHARGE)*EXC.RATE_2),CURRENCY.FORMAT_2),CURRENCY.FORMAT_2,0)),'DICTIONARY-5'!$A$2))</f>
        <v/>
      </c>
      <c r="N2293" s="538">
        <v>10</v>
      </c>
      <c r="O2293" s="538"/>
      <c r="P2293" s="731" t="str">
        <f>'DICTIONARY-3'!$A$127</f>
        <v>MONTY</v>
      </c>
      <c r="Q2293" s="732" t="str">
        <f>'DICTIONARY-3'!$A$214</f>
        <v>Wstawka montażowa</v>
      </c>
      <c r="R2293" s="732" t="str">
        <f>CONCATENATE('DICTIONARY-3'!$A$127," ",'DICTIONARY-6'!$A$15," ",'DICTIONARY-2'!$A$2,"250"," ",'DICTIONARY-2'!$A$3,"16"," ",'DICTIONARY-2'!$A$24,"=","235-265",'DICTIONARY-2'!$A$17,," ",'DICTIONARY-6'!$A$36)</f>
        <v>MONTY Wstawka mont. DN250 PN16 L=235-265mm SYNT.</v>
      </c>
      <c r="S2293" s="733" t="s">
        <v>5569</v>
      </c>
      <c r="T2293" s="732" t="s">
        <v>5569</v>
      </c>
      <c r="U2293" s="734" t="s">
        <v>5751</v>
      </c>
      <c r="V2293" s="735">
        <v>16</v>
      </c>
      <c r="W2293" s="736"/>
      <c r="X2293" s="737"/>
      <c r="Y2293" s="738"/>
      <c r="Z2293" s="739"/>
      <c r="AA2293" s="739"/>
      <c r="AB2293" s="740">
        <v>16</v>
      </c>
      <c r="AC2293" s="741" t="s">
        <v>5710</v>
      </c>
      <c r="AD2293" s="741" t="str">
        <f>'DICTIONARY-5'!$A$17</f>
        <v>woda przemysłowa</v>
      </c>
      <c r="AE2293" s="742">
        <v>200</v>
      </c>
      <c r="AF2293" s="743">
        <v>91</v>
      </c>
      <c r="AG2293" s="733" t="str">
        <f>'DICTIONARY-5'!$A$24</f>
        <v>powłoka syntetyczna</v>
      </c>
    </row>
    <row r="2294" spans="1:33" x14ac:dyDescent="0.25">
      <c r="A2294" s="872" t="s">
        <v>2132</v>
      </c>
      <c r="B2294" s="872" t="s">
        <v>4699</v>
      </c>
      <c r="C2294" s="836">
        <v>1516</v>
      </c>
      <c r="D2294" s="836"/>
      <c r="E2294" s="836"/>
      <c r="F2294" s="836"/>
      <c r="G2294" s="496" t="s">
        <v>7844</v>
      </c>
      <c r="H2294" s="797" t="str">
        <f>VLOOKUP(G2294,SETTINGS!$B$7:$D$97,2,0)</f>
        <v>VAF</v>
      </c>
      <c r="I2294" s="796">
        <f>VLOOKUP(G2294,SETTINGS!$B$7:$D$97,3,0)</f>
        <v>0</v>
      </c>
      <c r="J2294" s="670" t="str">
        <f>IFERROR(IF(CURRENCY.FORMAT_1=0,CONCATENATE(TEXT(FIXED(ROUND((C2294/EXC.RATE_1),CURRENCY.FORMAT_1),CURRENCY.FORMAT_1,1),"# ##0;-# ##0"),",-"),FIXED(ROUND((C2294/EXC.RATE_1),CURRENCY.FORMAT_1),CURRENCY.FORMAT_1,0)),'DICTIONARY-5'!$A$2)</f>
        <v>1 516,-</v>
      </c>
      <c r="K2294" s="670" t="str">
        <f>IF(EXC.RATE_2=0,"",IFERROR(IF(CURRENCY.FORMAT_2=0,CONCATENATE(TEXT(FIXED(ROUND(IF(EXC.RATE.SWITCH=1,C2294/EXC.RATE_2,C2294*EXC.RATE_2),CURRENCY.FORMAT_2),CURRENCY.FORMAT_2,1),"# ##0;-# ##0"),",-"),FIXED(ROUND(IF(EXC.RATE.SWITCH=1,C2294/EXC.RATE_2,C2294*EXC.RATE_2),CURRENCY.FORMAT_2),CURRENCY.FORMAT_2,0)),'DICTIONARY-5'!$A$2))</f>
        <v/>
      </c>
      <c r="L2294" s="670" t="str">
        <f>IFERROR(IF(CURRENCY.FORMAT_1=0,CONCATENATE(TEXT(FIXED(ROUND((C2294*(1-I2294)*(1-ADD.DISCOUNT)*(1+MAT.SURCHARGE)/EXC.RATE_1),CURRENCY.FORMAT_1),CURRENCY.FORMAT_1,1),"# ##0;-# ##0"),",-"),FIXED(ROUND((C2294*(1-I2294)*(1-ADD.DISCOUNT)*(1+MAT.SURCHARGE)/EXC.RATE_1),CURRENCY.FORMAT_1),CURRENCY.FORMAT_1,0)),'DICTIONARY-5'!$A$2)</f>
        <v>1 575,-</v>
      </c>
      <c r="M2294" s="670" t="str">
        <f>IF(EXC.RATE_2=0,"",IFERROR(IF(CURRENCY.FORMAT_2=0,CONCATENATE(TEXT(FIXED(ROUND(IF(EXC.RATE.SWITCH=1,C2294*(1-I2294)*(1-ADD.DISCOUNT)*(1+MAT.SURCHARGE)/EXC.RATE_2,C2294*(1-I2294)*(1-ADD.DISCOUNT)*(1+MAT.SURCHARGE)*EXC.RATE_2),CURRENCY.FORMAT_2),CURRENCY.FORMAT_2,1),"# ##0;-# ##0"),",-"),FIXED(ROUND(IF(EXC.RATE.SWITCH=1,C2294*(1-I2294)*(1-ADD.DISCOUNT)*(1+MAT.SURCHARGE)/EXC.RATE_2,C2294*(1-I2294)*(1-ADD.DISCOUNT)*(1+MAT.SURCHARGE)*EXC.RATE_2),CURRENCY.FORMAT_2),CURRENCY.FORMAT_2,0)),'DICTIONARY-5'!$A$2))</f>
        <v/>
      </c>
      <c r="N2294" s="538">
        <v>10</v>
      </c>
      <c r="O2294" s="538"/>
      <c r="P2294" s="732" t="str">
        <f>'DICTIONARY-3'!$A$128</f>
        <v>VAF</v>
      </c>
      <c r="Q2294" s="732" t="str">
        <f>'DICTIONARY-3'!$A$214</f>
        <v>Wstawka montażowa</v>
      </c>
      <c r="R2294" s="732" t="str">
        <f>CONCATENATE('DICTIONARY-3'!$A$128," ",'DICTIONARY-6'!$A$15," ",'DICTIONARY-2'!$A$2,"300"," ",'DICTIONARY-2'!$A$3,"10"," ",'DICTIONARY-2'!$A$24,"=","325-375",'DICTIONARY-2'!$A$17,)</f>
        <v>VAF Wstawka mont. DN300 PN10 L=325-375mm</v>
      </c>
      <c r="S2294" s="733" t="s">
        <v>5569</v>
      </c>
      <c r="T2294" s="732" t="s">
        <v>5569</v>
      </c>
      <c r="U2294" s="734" t="s">
        <v>5752</v>
      </c>
      <c r="V2294" s="735">
        <v>10</v>
      </c>
      <c r="W2294" s="736"/>
      <c r="X2294" s="737"/>
      <c r="Y2294" s="738"/>
      <c r="Z2294" s="739"/>
      <c r="AA2294" s="739"/>
      <c r="AB2294" s="740">
        <v>10</v>
      </c>
      <c r="AC2294" s="672" t="s">
        <v>5694</v>
      </c>
      <c r="AD2294" s="741" t="str">
        <f>'DICTIONARY-5'!$A$13</f>
        <v>woda pitna</v>
      </c>
      <c r="AE2294" s="742">
        <v>50</v>
      </c>
      <c r="AF2294" s="743">
        <v>102</v>
      </c>
      <c r="AG2294" s="733" t="str">
        <f>'DICTIONARY-5'!$A$23</f>
        <v>powłoka epoksydowa</v>
      </c>
    </row>
    <row r="2295" spans="1:33" x14ac:dyDescent="0.25">
      <c r="A2295" s="872" t="s">
        <v>2134</v>
      </c>
      <c r="B2295" s="872" t="s">
        <v>4701</v>
      </c>
      <c r="C2295" s="836">
        <v>1841</v>
      </c>
      <c r="D2295" s="836"/>
      <c r="E2295" s="836"/>
      <c r="F2295" s="836"/>
      <c r="G2295" s="496" t="s">
        <v>7844</v>
      </c>
      <c r="H2295" s="797" t="str">
        <f>VLOOKUP(G2295,SETTINGS!$B$7:$D$97,2,0)</f>
        <v>VAF</v>
      </c>
      <c r="I2295" s="796">
        <f>VLOOKUP(G2295,SETTINGS!$B$7:$D$97,3,0)</f>
        <v>0</v>
      </c>
      <c r="J2295" s="670" t="str">
        <f>IFERROR(IF(CURRENCY.FORMAT_1=0,CONCATENATE(TEXT(FIXED(ROUND((C2295/EXC.RATE_1),CURRENCY.FORMAT_1),CURRENCY.FORMAT_1,1),"# ##0;-# ##0"),",-"),FIXED(ROUND((C2295/EXC.RATE_1),CURRENCY.FORMAT_1),CURRENCY.FORMAT_1,0)),'DICTIONARY-5'!$A$2)</f>
        <v>1 841,-</v>
      </c>
      <c r="K2295" s="670" t="str">
        <f>IF(EXC.RATE_2=0,"",IFERROR(IF(CURRENCY.FORMAT_2=0,CONCATENATE(TEXT(FIXED(ROUND(IF(EXC.RATE.SWITCH=1,C2295/EXC.RATE_2,C2295*EXC.RATE_2),CURRENCY.FORMAT_2),CURRENCY.FORMAT_2,1),"# ##0;-# ##0"),",-"),FIXED(ROUND(IF(EXC.RATE.SWITCH=1,C2295/EXC.RATE_2,C2295*EXC.RATE_2),CURRENCY.FORMAT_2),CURRENCY.FORMAT_2,0)),'DICTIONARY-5'!$A$2))</f>
        <v/>
      </c>
      <c r="L2295" s="670" t="str">
        <f>IFERROR(IF(CURRENCY.FORMAT_1=0,CONCATENATE(TEXT(FIXED(ROUND((C2295*(1-I2295)*(1-ADD.DISCOUNT)*(1+MAT.SURCHARGE)/EXC.RATE_1),CURRENCY.FORMAT_1),CURRENCY.FORMAT_1,1),"# ##0;-# ##0"),",-"),FIXED(ROUND((C2295*(1-I2295)*(1-ADD.DISCOUNT)*(1+MAT.SURCHARGE)/EXC.RATE_1),CURRENCY.FORMAT_1),CURRENCY.FORMAT_1,0)),'DICTIONARY-5'!$A$2)</f>
        <v>1 913,-</v>
      </c>
      <c r="M2295" s="670" t="str">
        <f>IF(EXC.RATE_2=0,"",IFERROR(IF(CURRENCY.FORMAT_2=0,CONCATENATE(TEXT(FIXED(ROUND(IF(EXC.RATE.SWITCH=1,C2295*(1-I2295)*(1-ADD.DISCOUNT)*(1+MAT.SURCHARGE)/EXC.RATE_2,C2295*(1-I2295)*(1-ADD.DISCOUNT)*(1+MAT.SURCHARGE)*EXC.RATE_2),CURRENCY.FORMAT_2),CURRENCY.FORMAT_2,1),"# ##0;-# ##0"),",-"),FIXED(ROUND(IF(EXC.RATE.SWITCH=1,C2295*(1-I2295)*(1-ADD.DISCOUNT)*(1+MAT.SURCHARGE)/EXC.RATE_2,C2295*(1-I2295)*(1-ADD.DISCOUNT)*(1+MAT.SURCHARGE)*EXC.RATE_2),CURRENCY.FORMAT_2),CURRENCY.FORMAT_2,0)),'DICTIONARY-5'!$A$2))</f>
        <v/>
      </c>
      <c r="N2295" s="538">
        <v>10</v>
      </c>
      <c r="O2295" s="538"/>
      <c r="P2295" s="732" t="str">
        <f>'DICTIONARY-3'!$A$128</f>
        <v>VAF</v>
      </c>
      <c r="Q2295" s="732" t="str">
        <f>'DICTIONARY-3'!$A$214</f>
        <v>Wstawka montażowa</v>
      </c>
      <c r="R2295" s="732" t="str">
        <f>CONCATENATE('DICTIONARY-3'!$A$128," ",'DICTIONARY-6'!$A$15," ",'DICTIONARY-2'!$A$2,"350"," ",'DICTIONARY-2'!$A$3,"10"," ",'DICTIONARY-2'!$A$24,"=","325-375",'DICTIONARY-2'!$A$17,)</f>
        <v>VAF Wstawka mont. DN350 PN10 L=325-375mm</v>
      </c>
      <c r="S2295" s="733" t="s">
        <v>5569</v>
      </c>
      <c r="T2295" s="732" t="s">
        <v>5569</v>
      </c>
      <c r="U2295" s="734" t="s">
        <v>5753</v>
      </c>
      <c r="V2295" s="735">
        <v>10</v>
      </c>
      <c r="W2295" s="736"/>
      <c r="X2295" s="737"/>
      <c r="Y2295" s="738"/>
      <c r="Z2295" s="739"/>
      <c r="AA2295" s="739"/>
      <c r="AB2295" s="740">
        <v>10</v>
      </c>
      <c r="AC2295" s="207" t="s">
        <v>5694</v>
      </c>
      <c r="AD2295" s="741" t="str">
        <f>'DICTIONARY-5'!$A$13</f>
        <v>woda pitna</v>
      </c>
      <c r="AE2295" s="742">
        <v>50</v>
      </c>
      <c r="AF2295" s="743">
        <v>126</v>
      </c>
      <c r="AG2295" s="733" t="str">
        <f>'DICTIONARY-5'!$A$23</f>
        <v>powłoka epoksydowa</v>
      </c>
    </row>
    <row r="2296" spans="1:33" x14ac:dyDescent="0.25">
      <c r="A2296" s="872" t="s">
        <v>2136</v>
      </c>
      <c r="B2296" s="872" t="s">
        <v>4703</v>
      </c>
      <c r="C2296" s="836">
        <v>2424</v>
      </c>
      <c r="D2296" s="836"/>
      <c r="E2296" s="836"/>
      <c r="F2296" s="836"/>
      <c r="G2296" s="496" t="s">
        <v>7844</v>
      </c>
      <c r="H2296" s="797" t="str">
        <f>VLOOKUP(G2296,SETTINGS!$B$7:$D$97,2,0)</f>
        <v>VAF</v>
      </c>
      <c r="I2296" s="796">
        <f>VLOOKUP(G2296,SETTINGS!$B$7:$D$97,3,0)</f>
        <v>0</v>
      </c>
      <c r="J2296" s="670" t="str">
        <f>IFERROR(IF(CURRENCY.FORMAT_1=0,CONCATENATE(TEXT(FIXED(ROUND((C2296/EXC.RATE_1),CURRENCY.FORMAT_1),CURRENCY.FORMAT_1,1),"# ##0;-# ##0"),",-"),FIXED(ROUND((C2296/EXC.RATE_1),CURRENCY.FORMAT_1),CURRENCY.FORMAT_1,0)),'DICTIONARY-5'!$A$2)</f>
        <v>2 424,-</v>
      </c>
      <c r="K2296" s="670" t="str">
        <f>IF(EXC.RATE_2=0,"",IFERROR(IF(CURRENCY.FORMAT_2=0,CONCATENATE(TEXT(FIXED(ROUND(IF(EXC.RATE.SWITCH=1,C2296/EXC.RATE_2,C2296*EXC.RATE_2),CURRENCY.FORMAT_2),CURRENCY.FORMAT_2,1),"# ##0;-# ##0"),",-"),FIXED(ROUND(IF(EXC.RATE.SWITCH=1,C2296/EXC.RATE_2,C2296*EXC.RATE_2),CURRENCY.FORMAT_2),CURRENCY.FORMAT_2,0)),'DICTIONARY-5'!$A$2))</f>
        <v/>
      </c>
      <c r="L2296" s="670" t="str">
        <f>IFERROR(IF(CURRENCY.FORMAT_1=0,CONCATENATE(TEXT(FIXED(ROUND((C2296*(1-I2296)*(1-ADD.DISCOUNT)*(1+MAT.SURCHARGE)/EXC.RATE_1),CURRENCY.FORMAT_1),CURRENCY.FORMAT_1,1),"# ##0;-# ##0"),",-"),FIXED(ROUND((C2296*(1-I2296)*(1-ADD.DISCOUNT)*(1+MAT.SURCHARGE)/EXC.RATE_1),CURRENCY.FORMAT_1),CURRENCY.FORMAT_1,0)),'DICTIONARY-5'!$A$2)</f>
        <v>2 519,-</v>
      </c>
      <c r="M2296" s="670" t="str">
        <f>IF(EXC.RATE_2=0,"",IFERROR(IF(CURRENCY.FORMAT_2=0,CONCATENATE(TEXT(FIXED(ROUND(IF(EXC.RATE.SWITCH=1,C2296*(1-I2296)*(1-ADD.DISCOUNT)*(1+MAT.SURCHARGE)/EXC.RATE_2,C2296*(1-I2296)*(1-ADD.DISCOUNT)*(1+MAT.SURCHARGE)*EXC.RATE_2),CURRENCY.FORMAT_2),CURRENCY.FORMAT_2,1),"# ##0;-# ##0"),",-"),FIXED(ROUND(IF(EXC.RATE.SWITCH=1,C2296*(1-I2296)*(1-ADD.DISCOUNT)*(1+MAT.SURCHARGE)/EXC.RATE_2,C2296*(1-I2296)*(1-ADD.DISCOUNT)*(1+MAT.SURCHARGE)*EXC.RATE_2),CURRENCY.FORMAT_2),CURRENCY.FORMAT_2,0)),'DICTIONARY-5'!$A$2))</f>
        <v/>
      </c>
      <c r="N2296" s="538">
        <v>10</v>
      </c>
      <c r="O2296" s="538"/>
      <c r="P2296" s="732" t="str">
        <f>'DICTIONARY-3'!$A$128</f>
        <v>VAF</v>
      </c>
      <c r="Q2296" s="732" t="str">
        <f>'DICTIONARY-3'!$A$214</f>
        <v>Wstawka montażowa</v>
      </c>
      <c r="R2296" s="732" t="str">
        <f>CONCATENATE('DICTIONARY-3'!$A$128," ",'DICTIONARY-6'!$A$15," ",'DICTIONARY-2'!$A$2,"400"," ",'DICTIONARY-2'!$A$3,"10"," ",'DICTIONARY-2'!$A$24,"=","350-400",'DICTIONARY-2'!$A$17,)</f>
        <v>VAF Wstawka mont. DN400 PN10 L=350-400mm</v>
      </c>
      <c r="S2296" s="733" t="s">
        <v>5569</v>
      </c>
      <c r="T2296" s="732" t="s">
        <v>5569</v>
      </c>
      <c r="U2296" s="734" t="s">
        <v>5754</v>
      </c>
      <c r="V2296" s="735">
        <v>10</v>
      </c>
      <c r="W2296" s="736"/>
      <c r="X2296" s="737"/>
      <c r="Y2296" s="738"/>
      <c r="Z2296" s="739"/>
      <c r="AA2296" s="739"/>
      <c r="AB2296" s="740">
        <v>10</v>
      </c>
      <c r="AC2296" s="207" t="s">
        <v>5695</v>
      </c>
      <c r="AD2296" s="741" t="str">
        <f>'DICTIONARY-5'!$A$13</f>
        <v>woda pitna</v>
      </c>
      <c r="AE2296" s="742">
        <v>50</v>
      </c>
      <c r="AF2296" s="743">
        <v>162</v>
      </c>
      <c r="AG2296" s="733" t="str">
        <f>'DICTIONARY-5'!$A$23</f>
        <v>powłoka epoksydowa</v>
      </c>
    </row>
    <row r="2297" spans="1:33" x14ac:dyDescent="0.25">
      <c r="A2297" s="872" t="s">
        <v>2138</v>
      </c>
      <c r="B2297" s="872" t="s">
        <v>4705</v>
      </c>
      <c r="C2297" s="836">
        <v>2867</v>
      </c>
      <c r="D2297" s="836"/>
      <c r="E2297" s="836"/>
      <c r="F2297" s="836"/>
      <c r="G2297" s="496" t="s">
        <v>7844</v>
      </c>
      <c r="H2297" s="797" t="str">
        <f>VLOOKUP(G2297,SETTINGS!$B$7:$D$97,2,0)</f>
        <v>VAF</v>
      </c>
      <c r="I2297" s="796">
        <f>VLOOKUP(G2297,SETTINGS!$B$7:$D$97,3,0)</f>
        <v>0</v>
      </c>
      <c r="J2297" s="670" t="str">
        <f>IFERROR(IF(CURRENCY.FORMAT_1=0,CONCATENATE(TEXT(FIXED(ROUND((C2297/EXC.RATE_1),CURRENCY.FORMAT_1),CURRENCY.FORMAT_1,1),"# ##0;-# ##0"),",-"),FIXED(ROUND((C2297/EXC.RATE_1),CURRENCY.FORMAT_1),CURRENCY.FORMAT_1,0)),'DICTIONARY-5'!$A$2)</f>
        <v>2 867,-</v>
      </c>
      <c r="K2297" s="670" t="str">
        <f>IF(EXC.RATE_2=0,"",IFERROR(IF(CURRENCY.FORMAT_2=0,CONCATENATE(TEXT(FIXED(ROUND(IF(EXC.RATE.SWITCH=1,C2297/EXC.RATE_2,C2297*EXC.RATE_2),CURRENCY.FORMAT_2),CURRENCY.FORMAT_2,1),"# ##0;-# ##0"),",-"),FIXED(ROUND(IF(EXC.RATE.SWITCH=1,C2297/EXC.RATE_2,C2297*EXC.RATE_2),CURRENCY.FORMAT_2),CURRENCY.FORMAT_2,0)),'DICTIONARY-5'!$A$2))</f>
        <v/>
      </c>
      <c r="L2297" s="670" t="str">
        <f>IFERROR(IF(CURRENCY.FORMAT_1=0,CONCATENATE(TEXT(FIXED(ROUND((C2297*(1-I2297)*(1-ADD.DISCOUNT)*(1+MAT.SURCHARGE)/EXC.RATE_1),CURRENCY.FORMAT_1),CURRENCY.FORMAT_1,1),"# ##0;-# ##0"),",-"),FIXED(ROUND((C2297*(1-I2297)*(1-ADD.DISCOUNT)*(1+MAT.SURCHARGE)/EXC.RATE_1),CURRENCY.FORMAT_1),CURRENCY.FORMAT_1,0)),'DICTIONARY-5'!$A$2)</f>
        <v>2 979,-</v>
      </c>
      <c r="M2297" s="670" t="str">
        <f>IF(EXC.RATE_2=0,"",IFERROR(IF(CURRENCY.FORMAT_2=0,CONCATENATE(TEXT(FIXED(ROUND(IF(EXC.RATE.SWITCH=1,C2297*(1-I2297)*(1-ADD.DISCOUNT)*(1+MAT.SURCHARGE)/EXC.RATE_2,C2297*(1-I2297)*(1-ADD.DISCOUNT)*(1+MAT.SURCHARGE)*EXC.RATE_2),CURRENCY.FORMAT_2),CURRENCY.FORMAT_2,1),"# ##0;-# ##0"),",-"),FIXED(ROUND(IF(EXC.RATE.SWITCH=1,C2297*(1-I2297)*(1-ADD.DISCOUNT)*(1+MAT.SURCHARGE)/EXC.RATE_2,C2297*(1-I2297)*(1-ADD.DISCOUNT)*(1+MAT.SURCHARGE)*EXC.RATE_2),CURRENCY.FORMAT_2),CURRENCY.FORMAT_2,0)),'DICTIONARY-5'!$A$2))</f>
        <v/>
      </c>
      <c r="N2297" s="538">
        <v>10</v>
      </c>
      <c r="O2297" s="538"/>
      <c r="P2297" s="732" t="str">
        <f>'DICTIONARY-3'!$A$128</f>
        <v>VAF</v>
      </c>
      <c r="Q2297" s="732" t="str">
        <f>'DICTIONARY-3'!$A$214</f>
        <v>Wstawka montażowa</v>
      </c>
      <c r="R2297" s="732" t="str">
        <f>CONCATENATE('DICTIONARY-3'!$A$128," ",'DICTIONARY-6'!$A$15," ",'DICTIONARY-2'!$A$2,"500"," ",'DICTIONARY-2'!$A$3,"10"," ",'DICTIONARY-2'!$A$24,"=","350-400",'DICTIONARY-2'!$A$17,)</f>
        <v>VAF Wstawka mont. DN500 PN10 L=350-400mm</v>
      </c>
      <c r="S2297" s="733" t="s">
        <v>5569</v>
      </c>
      <c r="T2297" s="732" t="s">
        <v>5569</v>
      </c>
      <c r="U2297" s="734" t="s">
        <v>5756</v>
      </c>
      <c r="V2297" s="735">
        <v>10</v>
      </c>
      <c r="W2297" s="736"/>
      <c r="X2297" s="737"/>
      <c r="Y2297" s="738"/>
      <c r="Z2297" s="739"/>
      <c r="AA2297" s="739"/>
      <c r="AB2297" s="740">
        <v>10</v>
      </c>
      <c r="AC2297" s="207" t="s">
        <v>5695</v>
      </c>
      <c r="AD2297" s="741" t="str">
        <f>'DICTIONARY-5'!$A$13</f>
        <v>woda pitna</v>
      </c>
      <c r="AE2297" s="742">
        <v>50</v>
      </c>
      <c r="AF2297" s="743">
        <v>200</v>
      </c>
      <c r="AG2297" s="733" t="str">
        <f>'DICTIONARY-5'!$A$23</f>
        <v>powłoka epoksydowa</v>
      </c>
    </row>
    <row r="2298" spans="1:33" x14ac:dyDescent="0.25">
      <c r="A2298" s="872" t="s">
        <v>2140</v>
      </c>
      <c r="B2298" s="872" t="s">
        <v>4707</v>
      </c>
      <c r="C2298" s="836">
        <v>3611</v>
      </c>
      <c r="D2298" s="836"/>
      <c r="E2298" s="836"/>
      <c r="F2298" s="836"/>
      <c r="G2298" s="496" t="s">
        <v>7844</v>
      </c>
      <c r="H2298" s="797" t="str">
        <f>VLOOKUP(G2298,SETTINGS!$B$7:$D$97,2,0)</f>
        <v>VAF</v>
      </c>
      <c r="I2298" s="796">
        <f>VLOOKUP(G2298,SETTINGS!$B$7:$D$97,3,0)</f>
        <v>0</v>
      </c>
      <c r="J2298" s="670" t="str">
        <f>IFERROR(IF(CURRENCY.FORMAT_1=0,CONCATENATE(TEXT(FIXED(ROUND((C2298/EXC.RATE_1),CURRENCY.FORMAT_1),CURRENCY.FORMAT_1,1),"# ##0;-# ##0"),",-"),FIXED(ROUND((C2298/EXC.RATE_1),CURRENCY.FORMAT_1),CURRENCY.FORMAT_1,0)),'DICTIONARY-5'!$A$2)</f>
        <v>3 611,-</v>
      </c>
      <c r="K2298" s="670" t="str">
        <f>IF(EXC.RATE_2=0,"",IFERROR(IF(CURRENCY.FORMAT_2=0,CONCATENATE(TEXT(FIXED(ROUND(IF(EXC.RATE.SWITCH=1,C2298/EXC.RATE_2,C2298*EXC.RATE_2),CURRENCY.FORMAT_2),CURRENCY.FORMAT_2,1),"# ##0;-# ##0"),",-"),FIXED(ROUND(IF(EXC.RATE.SWITCH=1,C2298/EXC.RATE_2,C2298*EXC.RATE_2),CURRENCY.FORMAT_2),CURRENCY.FORMAT_2,0)),'DICTIONARY-5'!$A$2))</f>
        <v/>
      </c>
      <c r="L2298" s="670" t="str">
        <f>IFERROR(IF(CURRENCY.FORMAT_1=0,CONCATENATE(TEXT(FIXED(ROUND((C2298*(1-I2298)*(1-ADD.DISCOUNT)*(1+MAT.SURCHARGE)/EXC.RATE_1),CURRENCY.FORMAT_1),CURRENCY.FORMAT_1,1),"# ##0;-# ##0"),",-"),FIXED(ROUND((C2298*(1-I2298)*(1-ADD.DISCOUNT)*(1+MAT.SURCHARGE)/EXC.RATE_1),CURRENCY.FORMAT_1),CURRENCY.FORMAT_1,0)),'DICTIONARY-5'!$A$2)</f>
        <v>3 752,-</v>
      </c>
      <c r="M2298" s="670" t="str">
        <f>IF(EXC.RATE_2=0,"",IFERROR(IF(CURRENCY.FORMAT_2=0,CONCATENATE(TEXT(FIXED(ROUND(IF(EXC.RATE.SWITCH=1,C2298*(1-I2298)*(1-ADD.DISCOUNT)*(1+MAT.SURCHARGE)/EXC.RATE_2,C2298*(1-I2298)*(1-ADD.DISCOUNT)*(1+MAT.SURCHARGE)*EXC.RATE_2),CURRENCY.FORMAT_2),CURRENCY.FORMAT_2,1),"# ##0;-# ##0"),",-"),FIXED(ROUND(IF(EXC.RATE.SWITCH=1,C2298*(1-I2298)*(1-ADD.DISCOUNT)*(1+MAT.SURCHARGE)/EXC.RATE_2,C2298*(1-I2298)*(1-ADD.DISCOUNT)*(1+MAT.SURCHARGE)*EXC.RATE_2),CURRENCY.FORMAT_2),CURRENCY.FORMAT_2,0)),'DICTIONARY-5'!$A$2))</f>
        <v/>
      </c>
      <c r="N2298" s="538">
        <v>10</v>
      </c>
      <c r="O2298" s="538"/>
      <c r="P2298" s="732" t="str">
        <f>'DICTIONARY-3'!$A$128</f>
        <v>VAF</v>
      </c>
      <c r="Q2298" s="732" t="str">
        <f>'DICTIONARY-3'!$A$214</f>
        <v>Wstawka montażowa</v>
      </c>
      <c r="R2298" s="732" t="str">
        <f>CONCATENATE('DICTIONARY-3'!$A$128," ",'DICTIONARY-6'!$A$15," ",'DICTIONARY-2'!$A$2,"600"," ",'DICTIONARY-2'!$A$3,"10"," ",'DICTIONARY-2'!$A$24,"=","375-425",'DICTIONARY-2'!$A$17,)</f>
        <v>VAF Wstawka mont. DN600 PN10 L=375-425mm</v>
      </c>
      <c r="S2298" s="733" t="s">
        <v>5569</v>
      </c>
      <c r="T2298" s="732" t="s">
        <v>5569</v>
      </c>
      <c r="U2298" s="734" t="s">
        <v>5757</v>
      </c>
      <c r="V2298" s="735">
        <v>10</v>
      </c>
      <c r="W2298" s="736"/>
      <c r="X2298" s="737"/>
      <c r="Y2298" s="738"/>
      <c r="Z2298" s="739"/>
      <c r="AA2298" s="739"/>
      <c r="AB2298" s="740">
        <v>10</v>
      </c>
      <c r="AC2298" s="207" t="s">
        <v>5696</v>
      </c>
      <c r="AD2298" s="741" t="str">
        <f>'DICTIONARY-5'!$A$13</f>
        <v>woda pitna</v>
      </c>
      <c r="AE2298" s="742">
        <v>50</v>
      </c>
      <c r="AF2298" s="743">
        <v>269</v>
      </c>
      <c r="AG2298" s="733" t="str">
        <f>'DICTIONARY-5'!$A$23</f>
        <v>powłoka epoksydowa</v>
      </c>
    </row>
    <row r="2299" spans="1:33" x14ac:dyDescent="0.25">
      <c r="A2299" s="872" t="s">
        <v>2142</v>
      </c>
      <c r="B2299" s="872" t="s">
        <v>4709</v>
      </c>
      <c r="C2299" s="836">
        <v>4210</v>
      </c>
      <c r="D2299" s="836"/>
      <c r="E2299" s="836"/>
      <c r="F2299" s="836"/>
      <c r="G2299" s="496" t="s">
        <v>7844</v>
      </c>
      <c r="H2299" s="797" t="str">
        <f>VLOOKUP(G2299,SETTINGS!$B$7:$D$97,2,0)</f>
        <v>VAF</v>
      </c>
      <c r="I2299" s="796">
        <f>VLOOKUP(G2299,SETTINGS!$B$7:$D$97,3,0)</f>
        <v>0</v>
      </c>
      <c r="J2299" s="670" t="str">
        <f>IFERROR(IF(CURRENCY.FORMAT_1=0,CONCATENATE(TEXT(FIXED(ROUND((C2299/EXC.RATE_1),CURRENCY.FORMAT_1),CURRENCY.FORMAT_1,1),"# ##0;-# ##0"),",-"),FIXED(ROUND((C2299/EXC.RATE_1),CURRENCY.FORMAT_1),CURRENCY.FORMAT_1,0)),'DICTIONARY-5'!$A$2)</f>
        <v>4 210,-</v>
      </c>
      <c r="K2299" s="670" t="str">
        <f>IF(EXC.RATE_2=0,"",IFERROR(IF(CURRENCY.FORMAT_2=0,CONCATENATE(TEXT(FIXED(ROUND(IF(EXC.RATE.SWITCH=1,C2299/EXC.RATE_2,C2299*EXC.RATE_2),CURRENCY.FORMAT_2),CURRENCY.FORMAT_2,1),"# ##0;-# ##0"),",-"),FIXED(ROUND(IF(EXC.RATE.SWITCH=1,C2299/EXC.RATE_2,C2299*EXC.RATE_2),CURRENCY.FORMAT_2),CURRENCY.FORMAT_2,0)),'DICTIONARY-5'!$A$2))</f>
        <v/>
      </c>
      <c r="L2299" s="670" t="str">
        <f>IFERROR(IF(CURRENCY.FORMAT_1=0,CONCATENATE(TEXT(FIXED(ROUND((C2299*(1-I2299)*(1-ADD.DISCOUNT)*(1+MAT.SURCHARGE)/EXC.RATE_1),CURRENCY.FORMAT_1),CURRENCY.FORMAT_1,1),"# ##0;-# ##0"),",-"),FIXED(ROUND((C2299*(1-I2299)*(1-ADD.DISCOUNT)*(1+MAT.SURCHARGE)/EXC.RATE_1),CURRENCY.FORMAT_1),CURRENCY.FORMAT_1,0)),'DICTIONARY-5'!$A$2)</f>
        <v>4 374,-</v>
      </c>
      <c r="M2299" s="670" t="str">
        <f>IF(EXC.RATE_2=0,"",IFERROR(IF(CURRENCY.FORMAT_2=0,CONCATENATE(TEXT(FIXED(ROUND(IF(EXC.RATE.SWITCH=1,C2299*(1-I2299)*(1-ADD.DISCOUNT)*(1+MAT.SURCHARGE)/EXC.RATE_2,C2299*(1-I2299)*(1-ADD.DISCOUNT)*(1+MAT.SURCHARGE)*EXC.RATE_2),CURRENCY.FORMAT_2),CURRENCY.FORMAT_2,1),"# ##0;-# ##0"),",-"),FIXED(ROUND(IF(EXC.RATE.SWITCH=1,C2299*(1-I2299)*(1-ADD.DISCOUNT)*(1+MAT.SURCHARGE)/EXC.RATE_2,C2299*(1-I2299)*(1-ADD.DISCOUNT)*(1+MAT.SURCHARGE)*EXC.RATE_2),CURRENCY.FORMAT_2),CURRENCY.FORMAT_2,0)),'DICTIONARY-5'!$A$2))</f>
        <v/>
      </c>
      <c r="N2299" s="538">
        <v>10</v>
      </c>
      <c r="O2299" s="538"/>
      <c r="P2299" s="732" t="str">
        <f>'DICTIONARY-3'!$A$128</f>
        <v>VAF</v>
      </c>
      <c r="Q2299" s="732" t="str">
        <f>'DICTIONARY-3'!$A$214</f>
        <v>Wstawka montażowa</v>
      </c>
      <c r="R2299" s="732" t="str">
        <f>CONCATENATE('DICTIONARY-3'!$A$128," ",'DICTIONARY-6'!$A$15," ",'DICTIONARY-2'!$A$2,"700"," ",'DICTIONARY-2'!$A$3,"10"," ",'DICTIONARY-2'!$A$24,"=","375-425",'DICTIONARY-2'!$A$17,)</f>
        <v>VAF Wstawka mont. DN700 PN10 L=375-425mm</v>
      </c>
      <c r="S2299" s="733" t="s">
        <v>5569</v>
      </c>
      <c r="T2299" s="732" t="s">
        <v>5569</v>
      </c>
      <c r="U2299" s="734" t="s">
        <v>5834</v>
      </c>
      <c r="V2299" s="735">
        <v>10</v>
      </c>
      <c r="W2299" s="736"/>
      <c r="X2299" s="737"/>
      <c r="Y2299" s="738"/>
      <c r="Z2299" s="739"/>
      <c r="AA2299" s="739"/>
      <c r="AB2299" s="740">
        <v>10</v>
      </c>
      <c r="AC2299" s="207" t="s">
        <v>5696</v>
      </c>
      <c r="AD2299" s="741" t="str">
        <f>'DICTIONARY-5'!$A$13</f>
        <v>woda pitna</v>
      </c>
      <c r="AE2299" s="742">
        <v>50</v>
      </c>
      <c r="AF2299" s="743">
        <v>334</v>
      </c>
      <c r="AG2299" s="733" t="str">
        <f>'DICTIONARY-5'!$A$23</f>
        <v>powłoka epoksydowa</v>
      </c>
    </row>
    <row r="2300" spans="1:33" x14ac:dyDescent="0.25">
      <c r="A2300" s="872" t="s">
        <v>2144</v>
      </c>
      <c r="B2300" s="872" t="s">
        <v>4711</v>
      </c>
      <c r="C2300" s="836">
        <v>4676</v>
      </c>
      <c r="D2300" s="836"/>
      <c r="E2300" s="836"/>
      <c r="F2300" s="836"/>
      <c r="G2300" s="496" t="s">
        <v>7844</v>
      </c>
      <c r="H2300" s="797" t="str">
        <f>VLOOKUP(G2300,SETTINGS!$B$7:$D$97,2,0)</f>
        <v>VAF</v>
      </c>
      <c r="I2300" s="796">
        <f>VLOOKUP(G2300,SETTINGS!$B$7:$D$97,3,0)</f>
        <v>0</v>
      </c>
      <c r="J2300" s="670" t="str">
        <f>IFERROR(IF(CURRENCY.FORMAT_1=0,CONCATENATE(TEXT(FIXED(ROUND((C2300/EXC.RATE_1),CURRENCY.FORMAT_1),CURRENCY.FORMAT_1,1),"# ##0;-# ##0"),",-"),FIXED(ROUND((C2300/EXC.RATE_1),CURRENCY.FORMAT_1),CURRENCY.FORMAT_1,0)),'DICTIONARY-5'!$A$2)</f>
        <v>4 676,-</v>
      </c>
      <c r="K2300" s="670" t="str">
        <f>IF(EXC.RATE_2=0,"",IFERROR(IF(CURRENCY.FORMAT_2=0,CONCATENATE(TEXT(FIXED(ROUND(IF(EXC.RATE.SWITCH=1,C2300/EXC.RATE_2,C2300*EXC.RATE_2),CURRENCY.FORMAT_2),CURRENCY.FORMAT_2,1),"# ##0;-# ##0"),",-"),FIXED(ROUND(IF(EXC.RATE.SWITCH=1,C2300/EXC.RATE_2,C2300*EXC.RATE_2),CURRENCY.FORMAT_2),CURRENCY.FORMAT_2,0)),'DICTIONARY-5'!$A$2))</f>
        <v/>
      </c>
      <c r="L2300" s="670" t="str">
        <f>IFERROR(IF(CURRENCY.FORMAT_1=0,CONCATENATE(TEXT(FIXED(ROUND((C2300*(1-I2300)*(1-ADD.DISCOUNT)*(1+MAT.SURCHARGE)/EXC.RATE_1),CURRENCY.FORMAT_1),CURRENCY.FORMAT_1,1),"# ##0;-# ##0"),",-"),FIXED(ROUND((C2300*(1-I2300)*(1-ADD.DISCOUNT)*(1+MAT.SURCHARGE)/EXC.RATE_1),CURRENCY.FORMAT_1),CURRENCY.FORMAT_1,0)),'DICTIONARY-5'!$A$2)</f>
        <v>4 858,-</v>
      </c>
      <c r="M2300" s="670" t="str">
        <f>IF(EXC.RATE_2=0,"",IFERROR(IF(CURRENCY.FORMAT_2=0,CONCATENATE(TEXT(FIXED(ROUND(IF(EXC.RATE.SWITCH=1,C2300*(1-I2300)*(1-ADD.DISCOUNT)*(1+MAT.SURCHARGE)/EXC.RATE_2,C2300*(1-I2300)*(1-ADD.DISCOUNT)*(1+MAT.SURCHARGE)*EXC.RATE_2),CURRENCY.FORMAT_2),CURRENCY.FORMAT_2,1),"# ##0;-# ##0"),",-"),FIXED(ROUND(IF(EXC.RATE.SWITCH=1,C2300*(1-I2300)*(1-ADD.DISCOUNT)*(1+MAT.SURCHARGE)/EXC.RATE_2,C2300*(1-I2300)*(1-ADD.DISCOUNT)*(1+MAT.SURCHARGE)*EXC.RATE_2),CURRENCY.FORMAT_2),CURRENCY.FORMAT_2,0)),'DICTIONARY-5'!$A$2))</f>
        <v/>
      </c>
      <c r="N2300" s="538">
        <v>10</v>
      </c>
      <c r="O2300" s="538"/>
      <c r="P2300" s="732" t="str">
        <f>'DICTIONARY-3'!$A$128</f>
        <v>VAF</v>
      </c>
      <c r="Q2300" s="732" t="str">
        <f>'DICTIONARY-3'!$A$214</f>
        <v>Wstawka montażowa</v>
      </c>
      <c r="R2300" s="732" t="str">
        <f>CONCATENATE('DICTIONARY-3'!$A$128," ",'DICTIONARY-6'!$A$15," ",'DICTIONARY-2'!$A$2,"800"," ",'DICTIONARY-2'!$A$3,"10"," ",'DICTIONARY-2'!$A$24,"=","425-475",'DICTIONARY-2'!$A$17,)</f>
        <v>VAF Wstawka mont. DN800 PN10 L=425-475mm</v>
      </c>
      <c r="S2300" s="733" t="s">
        <v>5569</v>
      </c>
      <c r="T2300" s="732" t="s">
        <v>5569</v>
      </c>
      <c r="U2300" s="734" t="s">
        <v>5835</v>
      </c>
      <c r="V2300" s="735">
        <v>10</v>
      </c>
      <c r="W2300" s="736"/>
      <c r="X2300" s="737"/>
      <c r="Y2300" s="738"/>
      <c r="Z2300" s="739"/>
      <c r="AA2300" s="739"/>
      <c r="AB2300" s="740">
        <v>10</v>
      </c>
      <c r="AC2300" s="207" t="s">
        <v>5697</v>
      </c>
      <c r="AD2300" s="741" t="str">
        <f>'DICTIONARY-5'!$A$13</f>
        <v>woda pitna</v>
      </c>
      <c r="AE2300" s="742">
        <v>50</v>
      </c>
      <c r="AF2300" s="743">
        <v>457</v>
      </c>
      <c r="AG2300" s="733" t="str">
        <f>'DICTIONARY-5'!$A$23</f>
        <v>powłoka epoksydowa</v>
      </c>
    </row>
    <row r="2301" spans="1:33" x14ac:dyDescent="0.25">
      <c r="A2301" s="872" t="s">
        <v>2146</v>
      </c>
      <c r="B2301" s="872" t="s">
        <v>4713</v>
      </c>
      <c r="C2301" s="836">
        <v>7178</v>
      </c>
      <c r="D2301" s="836"/>
      <c r="E2301" s="836"/>
      <c r="F2301" s="836"/>
      <c r="G2301" s="496" t="s">
        <v>7844</v>
      </c>
      <c r="H2301" s="797" t="str">
        <f>VLOOKUP(G2301,SETTINGS!$B$7:$D$97,2,0)</f>
        <v>VAF</v>
      </c>
      <c r="I2301" s="796">
        <f>VLOOKUP(G2301,SETTINGS!$B$7:$D$97,3,0)</f>
        <v>0</v>
      </c>
      <c r="J2301" s="670" t="str">
        <f>IFERROR(IF(CURRENCY.FORMAT_1=0,CONCATENATE(TEXT(FIXED(ROUND((C2301/EXC.RATE_1),CURRENCY.FORMAT_1),CURRENCY.FORMAT_1,1),"# ##0;-# ##0"),",-"),FIXED(ROUND((C2301/EXC.RATE_1),CURRENCY.FORMAT_1),CURRENCY.FORMAT_1,0)),'DICTIONARY-5'!$A$2)</f>
        <v>7 178,-</v>
      </c>
      <c r="K2301" s="670" t="str">
        <f>IF(EXC.RATE_2=0,"",IFERROR(IF(CURRENCY.FORMAT_2=0,CONCATENATE(TEXT(FIXED(ROUND(IF(EXC.RATE.SWITCH=1,C2301/EXC.RATE_2,C2301*EXC.RATE_2),CURRENCY.FORMAT_2),CURRENCY.FORMAT_2,1),"# ##0;-# ##0"),",-"),FIXED(ROUND(IF(EXC.RATE.SWITCH=1,C2301/EXC.RATE_2,C2301*EXC.RATE_2),CURRENCY.FORMAT_2),CURRENCY.FORMAT_2,0)),'DICTIONARY-5'!$A$2))</f>
        <v/>
      </c>
      <c r="L2301" s="670" t="str">
        <f>IFERROR(IF(CURRENCY.FORMAT_1=0,CONCATENATE(TEXT(FIXED(ROUND((C2301*(1-I2301)*(1-ADD.DISCOUNT)*(1+MAT.SURCHARGE)/EXC.RATE_1),CURRENCY.FORMAT_1),CURRENCY.FORMAT_1,1),"# ##0;-# ##0"),",-"),FIXED(ROUND((C2301*(1-I2301)*(1-ADD.DISCOUNT)*(1+MAT.SURCHARGE)/EXC.RATE_1),CURRENCY.FORMAT_1),CURRENCY.FORMAT_1,0)),'DICTIONARY-5'!$A$2)</f>
        <v>7 458,-</v>
      </c>
      <c r="M2301" s="670" t="str">
        <f>IF(EXC.RATE_2=0,"",IFERROR(IF(CURRENCY.FORMAT_2=0,CONCATENATE(TEXT(FIXED(ROUND(IF(EXC.RATE.SWITCH=1,C2301*(1-I2301)*(1-ADD.DISCOUNT)*(1+MAT.SURCHARGE)/EXC.RATE_2,C2301*(1-I2301)*(1-ADD.DISCOUNT)*(1+MAT.SURCHARGE)*EXC.RATE_2),CURRENCY.FORMAT_2),CURRENCY.FORMAT_2,1),"# ##0;-# ##0"),",-"),FIXED(ROUND(IF(EXC.RATE.SWITCH=1,C2301*(1-I2301)*(1-ADD.DISCOUNT)*(1+MAT.SURCHARGE)/EXC.RATE_2,C2301*(1-I2301)*(1-ADD.DISCOUNT)*(1+MAT.SURCHARGE)*EXC.RATE_2),CURRENCY.FORMAT_2),CURRENCY.FORMAT_2,0)),'DICTIONARY-5'!$A$2))</f>
        <v/>
      </c>
      <c r="N2301" s="538">
        <v>10</v>
      </c>
      <c r="O2301" s="538"/>
      <c r="P2301" s="732" t="str">
        <f>'DICTIONARY-3'!$A$128</f>
        <v>VAF</v>
      </c>
      <c r="Q2301" s="732" t="str">
        <f>'DICTIONARY-3'!$A$214</f>
        <v>Wstawka montażowa</v>
      </c>
      <c r="R2301" s="732" t="str">
        <f>CONCATENATE('DICTIONARY-3'!$A$128," ",'DICTIONARY-6'!$A$15," ",'DICTIONARY-2'!$A$2,"1000"," ",'DICTIONARY-2'!$A$3,"10"," ",'DICTIONARY-2'!$A$24,"=","450-500",'DICTIONARY-2'!$A$17,)</f>
        <v>VAF Wstawka mont. DN1000 PN10 L=450-500mm</v>
      </c>
      <c r="S2301" s="733" t="s">
        <v>5569</v>
      </c>
      <c r="T2301" s="732" t="s">
        <v>5569</v>
      </c>
      <c r="U2301" s="734" t="s">
        <v>5836</v>
      </c>
      <c r="V2301" s="735">
        <v>10</v>
      </c>
      <c r="W2301" s="736"/>
      <c r="X2301" s="737"/>
      <c r="Y2301" s="738"/>
      <c r="Z2301" s="739"/>
      <c r="AA2301" s="739"/>
      <c r="AB2301" s="740">
        <v>10</v>
      </c>
      <c r="AC2301" s="207" t="s">
        <v>5698</v>
      </c>
      <c r="AD2301" s="741" t="str">
        <f>'DICTIONARY-5'!$A$13</f>
        <v>woda pitna</v>
      </c>
      <c r="AE2301" s="742">
        <v>50</v>
      </c>
      <c r="AF2301" s="743">
        <v>636</v>
      </c>
      <c r="AG2301" s="733" t="str">
        <f>'DICTIONARY-5'!$A$23</f>
        <v>powłoka epoksydowa</v>
      </c>
    </row>
    <row r="2302" spans="1:33" x14ac:dyDescent="0.25">
      <c r="A2302" s="872" t="s">
        <v>2133</v>
      </c>
      <c r="B2302" s="872" t="s">
        <v>4700</v>
      </c>
      <c r="C2302" s="836">
        <v>1644</v>
      </c>
      <c r="D2302" s="836"/>
      <c r="E2302" s="836"/>
      <c r="F2302" s="836"/>
      <c r="G2302" s="496" t="s">
        <v>7844</v>
      </c>
      <c r="H2302" s="797" t="str">
        <f>VLOOKUP(G2302,SETTINGS!$B$7:$D$97,2,0)</f>
        <v>VAF</v>
      </c>
      <c r="I2302" s="796">
        <f>VLOOKUP(G2302,SETTINGS!$B$7:$D$97,3,0)</f>
        <v>0</v>
      </c>
      <c r="J2302" s="670" t="str">
        <f>IFERROR(IF(CURRENCY.FORMAT_1=0,CONCATENATE(TEXT(FIXED(ROUND((C2302/EXC.RATE_1),CURRENCY.FORMAT_1),CURRENCY.FORMAT_1,1),"# ##0;-# ##0"),",-"),FIXED(ROUND((C2302/EXC.RATE_1),CURRENCY.FORMAT_1),CURRENCY.FORMAT_1,0)),'DICTIONARY-5'!$A$2)</f>
        <v>1 644,-</v>
      </c>
      <c r="K2302" s="670" t="str">
        <f>IF(EXC.RATE_2=0,"",IFERROR(IF(CURRENCY.FORMAT_2=0,CONCATENATE(TEXT(FIXED(ROUND(IF(EXC.RATE.SWITCH=1,C2302/EXC.RATE_2,C2302*EXC.RATE_2),CURRENCY.FORMAT_2),CURRENCY.FORMAT_2,1),"# ##0;-# ##0"),",-"),FIXED(ROUND(IF(EXC.RATE.SWITCH=1,C2302/EXC.RATE_2,C2302*EXC.RATE_2),CURRENCY.FORMAT_2),CURRENCY.FORMAT_2,0)),'DICTIONARY-5'!$A$2))</f>
        <v/>
      </c>
      <c r="L2302" s="670" t="str">
        <f>IFERROR(IF(CURRENCY.FORMAT_1=0,CONCATENATE(TEXT(FIXED(ROUND((C2302*(1-I2302)*(1-ADD.DISCOUNT)*(1+MAT.SURCHARGE)/EXC.RATE_1),CURRENCY.FORMAT_1),CURRENCY.FORMAT_1,1),"# ##0;-# ##0"),",-"),FIXED(ROUND((C2302*(1-I2302)*(1-ADD.DISCOUNT)*(1+MAT.SURCHARGE)/EXC.RATE_1),CURRENCY.FORMAT_1),CURRENCY.FORMAT_1,0)),'DICTIONARY-5'!$A$2)</f>
        <v>1 708,-</v>
      </c>
      <c r="M2302" s="670" t="str">
        <f>IF(EXC.RATE_2=0,"",IFERROR(IF(CURRENCY.FORMAT_2=0,CONCATENATE(TEXT(FIXED(ROUND(IF(EXC.RATE.SWITCH=1,C2302*(1-I2302)*(1-ADD.DISCOUNT)*(1+MAT.SURCHARGE)/EXC.RATE_2,C2302*(1-I2302)*(1-ADD.DISCOUNT)*(1+MAT.SURCHARGE)*EXC.RATE_2),CURRENCY.FORMAT_2),CURRENCY.FORMAT_2,1),"# ##0;-# ##0"),",-"),FIXED(ROUND(IF(EXC.RATE.SWITCH=1,C2302*(1-I2302)*(1-ADD.DISCOUNT)*(1+MAT.SURCHARGE)/EXC.RATE_2,C2302*(1-I2302)*(1-ADD.DISCOUNT)*(1+MAT.SURCHARGE)*EXC.RATE_2),CURRENCY.FORMAT_2),CURRENCY.FORMAT_2,0)),'DICTIONARY-5'!$A$2))</f>
        <v/>
      </c>
      <c r="N2302" s="538">
        <v>10</v>
      </c>
      <c r="O2302" s="538"/>
      <c r="P2302" s="732" t="str">
        <f>'DICTIONARY-3'!$A$128</f>
        <v>VAF</v>
      </c>
      <c r="Q2302" s="732" t="str">
        <f>'DICTIONARY-3'!$A$214</f>
        <v>Wstawka montażowa</v>
      </c>
      <c r="R2302" s="732" t="str">
        <f>CONCATENATE('DICTIONARY-3'!$A$128," ",'DICTIONARY-6'!$A$15," ",'DICTIONARY-2'!$A$2,"300"," ",'DICTIONARY-2'!$A$3,"16"," ",'DICTIONARY-2'!$A$24,"=","350-400",'DICTIONARY-2'!$A$17,)</f>
        <v>VAF Wstawka mont. DN300 PN16 L=350-400mm</v>
      </c>
      <c r="S2302" s="733" t="s">
        <v>5569</v>
      </c>
      <c r="T2302" s="732" t="s">
        <v>5569</v>
      </c>
      <c r="U2302" s="734" t="s">
        <v>5752</v>
      </c>
      <c r="V2302" s="735">
        <v>16</v>
      </c>
      <c r="W2302" s="736"/>
      <c r="X2302" s="737"/>
      <c r="Y2302" s="738"/>
      <c r="Z2302" s="739"/>
      <c r="AA2302" s="739"/>
      <c r="AB2302" s="740">
        <v>16</v>
      </c>
      <c r="AC2302" s="741" t="s">
        <v>5695</v>
      </c>
      <c r="AD2302" s="741" t="str">
        <f>'DICTIONARY-5'!$A$13</f>
        <v>woda pitna</v>
      </c>
      <c r="AE2302" s="742">
        <v>50</v>
      </c>
      <c r="AF2302" s="743">
        <v>116</v>
      </c>
      <c r="AG2302" s="733" t="str">
        <f>'DICTIONARY-5'!$A$23</f>
        <v>powłoka epoksydowa</v>
      </c>
    </row>
    <row r="2303" spans="1:33" x14ac:dyDescent="0.25">
      <c r="A2303" s="872" t="s">
        <v>2135</v>
      </c>
      <c r="B2303" s="872" t="s">
        <v>4702</v>
      </c>
      <c r="C2303" s="836">
        <v>2069</v>
      </c>
      <c r="D2303" s="836"/>
      <c r="E2303" s="836"/>
      <c r="F2303" s="836"/>
      <c r="G2303" s="496" t="s">
        <v>7844</v>
      </c>
      <c r="H2303" s="797" t="str">
        <f>VLOOKUP(G2303,SETTINGS!$B$7:$D$97,2,0)</f>
        <v>VAF</v>
      </c>
      <c r="I2303" s="796">
        <f>VLOOKUP(G2303,SETTINGS!$B$7:$D$97,3,0)</f>
        <v>0</v>
      </c>
      <c r="J2303" s="670" t="str">
        <f>IFERROR(IF(CURRENCY.FORMAT_1=0,CONCATENATE(TEXT(FIXED(ROUND((C2303/EXC.RATE_1),CURRENCY.FORMAT_1),CURRENCY.FORMAT_1,1),"# ##0;-# ##0"),",-"),FIXED(ROUND((C2303/EXC.RATE_1),CURRENCY.FORMAT_1),CURRENCY.FORMAT_1,0)),'DICTIONARY-5'!$A$2)</f>
        <v>2 069,-</v>
      </c>
      <c r="K2303" s="670" t="str">
        <f>IF(EXC.RATE_2=0,"",IFERROR(IF(CURRENCY.FORMAT_2=0,CONCATENATE(TEXT(FIXED(ROUND(IF(EXC.RATE.SWITCH=1,C2303/EXC.RATE_2,C2303*EXC.RATE_2),CURRENCY.FORMAT_2),CURRENCY.FORMAT_2,1),"# ##0;-# ##0"),",-"),FIXED(ROUND(IF(EXC.RATE.SWITCH=1,C2303/EXC.RATE_2,C2303*EXC.RATE_2),CURRENCY.FORMAT_2),CURRENCY.FORMAT_2,0)),'DICTIONARY-5'!$A$2))</f>
        <v/>
      </c>
      <c r="L2303" s="670" t="str">
        <f>IFERROR(IF(CURRENCY.FORMAT_1=0,CONCATENATE(TEXT(FIXED(ROUND((C2303*(1-I2303)*(1-ADD.DISCOUNT)*(1+MAT.SURCHARGE)/EXC.RATE_1),CURRENCY.FORMAT_1),CURRENCY.FORMAT_1,1),"# ##0;-# ##0"),",-"),FIXED(ROUND((C2303*(1-I2303)*(1-ADD.DISCOUNT)*(1+MAT.SURCHARGE)/EXC.RATE_1),CURRENCY.FORMAT_1),CURRENCY.FORMAT_1,0)),'DICTIONARY-5'!$A$2)</f>
        <v>2 150,-</v>
      </c>
      <c r="M2303" s="670" t="str">
        <f>IF(EXC.RATE_2=0,"",IFERROR(IF(CURRENCY.FORMAT_2=0,CONCATENATE(TEXT(FIXED(ROUND(IF(EXC.RATE.SWITCH=1,C2303*(1-I2303)*(1-ADD.DISCOUNT)*(1+MAT.SURCHARGE)/EXC.RATE_2,C2303*(1-I2303)*(1-ADD.DISCOUNT)*(1+MAT.SURCHARGE)*EXC.RATE_2),CURRENCY.FORMAT_2),CURRENCY.FORMAT_2,1),"# ##0;-# ##0"),",-"),FIXED(ROUND(IF(EXC.RATE.SWITCH=1,C2303*(1-I2303)*(1-ADD.DISCOUNT)*(1+MAT.SURCHARGE)/EXC.RATE_2,C2303*(1-I2303)*(1-ADD.DISCOUNT)*(1+MAT.SURCHARGE)*EXC.RATE_2),CURRENCY.FORMAT_2),CURRENCY.FORMAT_2,0)),'DICTIONARY-5'!$A$2))</f>
        <v/>
      </c>
      <c r="N2303" s="538">
        <v>10</v>
      </c>
      <c r="O2303" s="538"/>
      <c r="P2303" s="732" t="str">
        <f>'DICTIONARY-3'!$A$128</f>
        <v>VAF</v>
      </c>
      <c r="Q2303" s="732" t="str">
        <f>'DICTIONARY-3'!$A$214</f>
        <v>Wstawka montażowa</v>
      </c>
      <c r="R2303" s="732" t="str">
        <f>CONCATENATE('DICTIONARY-3'!$A$128," ",'DICTIONARY-6'!$A$15," ",'DICTIONARY-2'!$A$2,"350"," ",'DICTIONARY-2'!$A$3,"16"," ",'DICTIONARY-2'!$A$24,"=","400-450",'DICTIONARY-2'!$A$17,)</f>
        <v>VAF Wstawka mont. DN350 PN16 L=400-450mm</v>
      </c>
      <c r="S2303" s="733" t="s">
        <v>5569</v>
      </c>
      <c r="T2303" s="732" t="s">
        <v>5569</v>
      </c>
      <c r="U2303" s="734" t="s">
        <v>5753</v>
      </c>
      <c r="V2303" s="735">
        <v>16</v>
      </c>
      <c r="W2303" s="736"/>
      <c r="X2303" s="737"/>
      <c r="Y2303" s="738"/>
      <c r="Z2303" s="739"/>
      <c r="AA2303" s="739"/>
      <c r="AB2303" s="740">
        <v>16</v>
      </c>
      <c r="AC2303" s="741" t="s">
        <v>5699</v>
      </c>
      <c r="AD2303" s="741" t="str">
        <f>'DICTIONARY-5'!$A$13</f>
        <v>woda pitna</v>
      </c>
      <c r="AE2303" s="742">
        <v>50</v>
      </c>
      <c r="AF2303" s="743">
        <v>166</v>
      </c>
      <c r="AG2303" s="733" t="str">
        <f>'DICTIONARY-5'!$A$23</f>
        <v>powłoka epoksydowa</v>
      </c>
    </row>
    <row r="2304" spans="1:33" x14ac:dyDescent="0.25">
      <c r="A2304" s="872" t="s">
        <v>2137</v>
      </c>
      <c r="B2304" s="872" t="s">
        <v>4704</v>
      </c>
      <c r="C2304" s="836">
        <v>2574</v>
      </c>
      <c r="D2304" s="836"/>
      <c r="E2304" s="836"/>
      <c r="F2304" s="836"/>
      <c r="G2304" s="496" t="s">
        <v>7844</v>
      </c>
      <c r="H2304" s="797" t="str">
        <f>VLOOKUP(G2304,SETTINGS!$B$7:$D$97,2,0)</f>
        <v>VAF</v>
      </c>
      <c r="I2304" s="796">
        <f>VLOOKUP(G2304,SETTINGS!$B$7:$D$97,3,0)</f>
        <v>0</v>
      </c>
      <c r="J2304" s="670" t="str">
        <f>IFERROR(IF(CURRENCY.FORMAT_1=0,CONCATENATE(TEXT(FIXED(ROUND((C2304/EXC.RATE_1),CURRENCY.FORMAT_1),CURRENCY.FORMAT_1,1),"# ##0;-# ##0"),",-"),FIXED(ROUND((C2304/EXC.RATE_1),CURRENCY.FORMAT_1),CURRENCY.FORMAT_1,0)),'DICTIONARY-5'!$A$2)</f>
        <v>2 574,-</v>
      </c>
      <c r="K2304" s="670" t="str">
        <f>IF(EXC.RATE_2=0,"",IFERROR(IF(CURRENCY.FORMAT_2=0,CONCATENATE(TEXT(FIXED(ROUND(IF(EXC.RATE.SWITCH=1,C2304/EXC.RATE_2,C2304*EXC.RATE_2),CURRENCY.FORMAT_2),CURRENCY.FORMAT_2,1),"# ##0;-# ##0"),",-"),FIXED(ROUND(IF(EXC.RATE.SWITCH=1,C2304/EXC.RATE_2,C2304*EXC.RATE_2),CURRENCY.FORMAT_2),CURRENCY.FORMAT_2,0)),'DICTIONARY-5'!$A$2))</f>
        <v/>
      </c>
      <c r="L2304" s="670" t="str">
        <f>IFERROR(IF(CURRENCY.FORMAT_1=0,CONCATENATE(TEXT(FIXED(ROUND((C2304*(1-I2304)*(1-ADD.DISCOUNT)*(1+MAT.SURCHARGE)/EXC.RATE_1),CURRENCY.FORMAT_1),CURRENCY.FORMAT_1,1),"# ##0;-# ##0"),",-"),FIXED(ROUND((C2304*(1-I2304)*(1-ADD.DISCOUNT)*(1+MAT.SURCHARGE)/EXC.RATE_1),CURRENCY.FORMAT_1),CURRENCY.FORMAT_1,0)),'DICTIONARY-5'!$A$2)</f>
        <v>2 674,-</v>
      </c>
      <c r="M2304" s="670" t="str">
        <f>IF(EXC.RATE_2=0,"",IFERROR(IF(CURRENCY.FORMAT_2=0,CONCATENATE(TEXT(FIXED(ROUND(IF(EXC.RATE.SWITCH=1,C2304*(1-I2304)*(1-ADD.DISCOUNT)*(1+MAT.SURCHARGE)/EXC.RATE_2,C2304*(1-I2304)*(1-ADD.DISCOUNT)*(1+MAT.SURCHARGE)*EXC.RATE_2),CURRENCY.FORMAT_2),CURRENCY.FORMAT_2,1),"# ##0;-# ##0"),",-"),FIXED(ROUND(IF(EXC.RATE.SWITCH=1,C2304*(1-I2304)*(1-ADD.DISCOUNT)*(1+MAT.SURCHARGE)/EXC.RATE_2,C2304*(1-I2304)*(1-ADD.DISCOUNT)*(1+MAT.SURCHARGE)*EXC.RATE_2),CURRENCY.FORMAT_2),CURRENCY.FORMAT_2,0)),'DICTIONARY-5'!$A$2))</f>
        <v/>
      </c>
      <c r="N2304" s="538">
        <v>10</v>
      </c>
      <c r="O2304" s="538"/>
      <c r="P2304" s="732" t="str">
        <f>'DICTIONARY-3'!$A$128</f>
        <v>VAF</v>
      </c>
      <c r="Q2304" s="732" t="str">
        <f>'DICTIONARY-3'!$A$214</f>
        <v>Wstawka montażowa</v>
      </c>
      <c r="R2304" s="732" t="str">
        <f>CONCATENATE('DICTIONARY-3'!$A$128," ",'DICTIONARY-6'!$A$15," ",'DICTIONARY-2'!$A$2,"400"," ",'DICTIONARY-2'!$A$3,"16"," ",'DICTIONARY-2'!$A$24,"=","400-450",'DICTIONARY-2'!$A$17,)</f>
        <v>VAF Wstawka mont. DN400 PN16 L=400-450mm</v>
      </c>
      <c r="S2304" s="733" t="s">
        <v>5569</v>
      </c>
      <c r="T2304" s="732" t="s">
        <v>5569</v>
      </c>
      <c r="U2304" s="734" t="s">
        <v>5754</v>
      </c>
      <c r="V2304" s="735">
        <v>16</v>
      </c>
      <c r="W2304" s="736"/>
      <c r="X2304" s="737"/>
      <c r="Y2304" s="738"/>
      <c r="Z2304" s="739"/>
      <c r="AA2304" s="739"/>
      <c r="AB2304" s="740">
        <v>16</v>
      </c>
      <c r="AC2304" s="741" t="s">
        <v>5699</v>
      </c>
      <c r="AD2304" s="741" t="str">
        <f>'DICTIONARY-5'!$A$13</f>
        <v>woda pitna</v>
      </c>
      <c r="AE2304" s="742">
        <v>50</v>
      </c>
      <c r="AF2304" s="743">
        <v>207</v>
      </c>
      <c r="AG2304" s="733" t="str">
        <f>'DICTIONARY-5'!$A$23</f>
        <v>powłoka epoksydowa</v>
      </c>
    </row>
    <row r="2305" spans="1:33" x14ac:dyDescent="0.25">
      <c r="A2305" s="872" t="s">
        <v>2139</v>
      </c>
      <c r="B2305" s="872" t="s">
        <v>4706</v>
      </c>
      <c r="C2305" s="836">
        <v>3878</v>
      </c>
      <c r="D2305" s="836"/>
      <c r="E2305" s="836"/>
      <c r="F2305" s="836"/>
      <c r="G2305" s="496" t="s">
        <v>7844</v>
      </c>
      <c r="H2305" s="797" t="str">
        <f>VLOOKUP(G2305,SETTINGS!$B$7:$D$97,2,0)</f>
        <v>VAF</v>
      </c>
      <c r="I2305" s="796">
        <f>VLOOKUP(G2305,SETTINGS!$B$7:$D$97,3,0)</f>
        <v>0</v>
      </c>
      <c r="J2305" s="670" t="str">
        <f>IFERROR(IF(CURRENCY.FORMAT_1=0,CONCATENATE(TEXT(FIXED(ROUND((C2305/EXC.RATE_1),CURRENCY.FORMAT_1),CURRENCY.FORMAT_1,1),"# ##0;-# ##0"),",-"),FIXED(ROUND((C2305/EXC.RATE_1),CURRENCY.FORMAT_1),CURRENCY.FORMAT_1,0)),'DICTIONARY-5'!$A$2)</f>
        <v>3 878,-</v>
      </c>
      <c r="K2305" s="670" t="str">
        <f>IF(EXC.RATE_2=0,"",IFERROR(IF(CURRENCY.FORMAT_2=0,CONCATENATE(TEXT(FIXED(ROUND(IF(EXC.RATE.SWITCH=1,C2305/EXC.RATE_2,C2305*EXC.RATE_2),CURRENCY.FORMAT_2),CURRENCY.FORMAT_2,1),"# ##0;-# ##0"),",-"),FIXED(ROUND(IF(EXC.RATE.SWITCH=1,C2305/EXC.RATE_2,C2305*EXC.RATE_2),CURRENCY.FORMAT_2),CURRENCY.FORMAT_2,0)),'DICTIONARY-5'!$A$2))</f>
        <v/>
      </c>
      <c r="L2305" s="670" t="str">
        <f>IFERROR(IF(CURRENCY.FORMAT_1=0,CONCATENATE(TEXT(FIXED(ROUND((C2305*(1-I2305)*(1-ADD.DISCOUNT)*(1+MAT.SURCHARGE)/EXC.RATE_1),CURRENCY.FORMAT_1),CURRENCY.FORMAT_1,1),"# ##0;-# ##0"),",-"),FIXED(ROUND((C2305*(1-I2305)*(1-ADD.DISCOUNT)*(1+MAT.SURCHARGE)/EXC.RATE_1),CURRENCY.FORMAT_1),CURRENCY.FORMAT_1,0)),'DICTIONARY-5'!$A$2)</f>
        <v>4 029,-</v>
      </c>
      <c r="M2305" s="670" t="str">
        <f>IF(EXC.RATE_2=0,"",IFERROR(IF(CURRENCY.FORMAT_2=0,CONCATENATE(TEXT(FIXED(ROUND(IF(EXC.RATE.SWITCH=1,C2305*(1-I2305)*(1-ADD.DISCOUNT)*(1+MAT.SURCHARGE)/EXC.RATE_2,C2305*(1-I2305)*(1-ADD.DISCOUNT)*(1+MAT.SURCHARGE)*EXC.RATE_2),CURRENCY.FORMAT_2),CURRENCY.FORMAT_2,1),"# ##0;-# ##0"),",-"),FIXED(ROUND(IF(EXC.RATE.SWITCH=1,C2305*(1-I2305)*(1-ADD.DISCOUNT)*(1+MAT.SURCHARGE)/EXC.RATE_2,C2305*(1-I2305)*(1-ADD.DISCOUNT)*(1+MAT.SURCHARGE)*EXC.RATE_2),CURRENCY.FORMAT_2),CURRENCY.FORMAT_2,0)),'DICTIONARY-5'!$A$2))</f>
        <v/>
      </c>
      <c r="N2305" s="538">
        <v>10</v>
      </c>
      <c r="O2305" s="538"/>
      <c r="P2305" s="732" t="str">
        <f>'DICTIONARY-3'!$A$128</f>
        <v>VAF</v>
      </c>
      <c r="Q2305" s="732" t="str">
        <f>'DICTIONARY-3'!$A$214</f>
        <v>Wstawka montażowa</v>
      </c>
      <c r="R2305" s="732" t="str">
        <f>CONCATENATE('DICTIONARY-3'!$A$128," ",'DICTIONARY-6'!$A$15," ",'DICTIONARY-2'!$A$2,"500"," ",'DICTIONARY-2'!$A$3,"16"," ",'DICTIONARY-2'!$A$24,"=","425-475",'DICTIONARY-2'!$A$17,)</f>
        <v>VAF Wstawka mont. DN500 PN16 L=425-475mm</v>
      </c>
      <c r="S2305" s="733" t="s">
        <v>5569</v>
      </c>
      <c r="T2305" s="732" t="s">
        <v>5569</v>
      </c>
      <c r="U2305" s="734" t="s">
        <v>5756</v>
      </c>
      <c r="V2305" s="735">
        <v>16</v>
      </c>
      <c r="W2305" s="736"/>
      <c r="X2305" s="737"/>
      <c r="Y2305" s="738"/>
      <c r="Z2305" s="739"/>
      <c r="AA2305" s="739"/>
      <c r="AB2305" s="740">
        <v>16</v>
      </c>
      <c r="AC2305" s="741" t="s">
        <v>5697</v>
      </c>
      <c r="AD2305" s="741" t="str">
        <f>'DICTIONARY-5'!$A$13</f>
        <v>woda pitna</v>
      </c>
      <c r="AE2305" s="742">
        <v>50</v>
      </c>
      <c r="AF2305" s="743">
        <v>310</v>
      </c>
      <c r="AG2305" s="733" t="str">
        <f>'DICTIONARY-5'!$A$23</f>
        <v>powłoka epoksydowa</v>
      </c>
    </row>
    <row r="2306" spans="1:33" x14ac:dyDescent="0.25">
      <c r="A2306" s="872" t="s">
        <v>2141</v>
      </c>
      <c r="B2306" s="872" t="s">
        <v>4708</v>
      </c>
      <c r="C2306" s="836">
        <v>5650</v>
      </c>
      <c r="D2306" s="836"/>
      <c r="E2306" s="836"/>
      <c r="F2306" s="836"/>
      <c r="G2306" s="496" t="s">
        <v>7844</v>
      </c>
      <c r="H2306" s="797" t="str">
        <f>VLOOKUP(G2306,SETTINGS!$B$7:$D$97,2,0)</f>
        <v>VAF</v>
      </c>
      <c r="I2306" s="796">
        <f>VLOOKUP(G2306,SETTINGS!$B$7:$D$97,3,0)</f>
        <v>0</v>
      </c>
      <c r="J2306" s="670" t="str">
        <f>IFERROR(IF(CURRENCY.FORMAT_1=0,CONCATENATE(TEXT(FIXED(ROUND((C2306/EXC.RATE_1),CURRENCY.FORMAT_1),CURRENCY.FORMAT_1,1),"# ##0;-# ##0"),",-"),FIXED(ROUND((C2306/EXC.RATE_1),CURRENCY.FORMAT_1),CURRENCY.FORMAT_1,0)),'DICTIONARY-5'!$A$2)</f>
        <v>5 650,-</v>
      </c>
      <c r="K2306" s="670" t="str">
        <f>IF(EXC.RATE_2=0,"",IFERROR(IF(CURRENCY.FORMAT_2=0,CONCATENATE(TEXT(FIXED(ROUND(IF(EXC.RATE.SWITCH=1,C2306/EXC.RATE_2,C2306*EXC.RATE_2),CURRENCY.FORMAT_2),CURRENCY.FORMAT_2,1),"# ##0;-# ##0"),",-"),FIXED(ROUND(IF(EXC.RATE.SWITCH=1,C2306/EXC.RATE_2,C2306*EXC.RATE_2),CURRENCY.FORMAT_2),CURRENCY.FORMAT_2,0)),'DICTIONARY-5'!$A$2))</f>
        <v/>
      </c>
      <c r="L2306" s="670" t="str">
        <f>IFERROR(IF(CURRENCY.FORMAT_1=0,CONCATENATE(TEXT(FIXED(ROUND((C2306*(1-I2306)*(1-ADD.DISCOUNT)*(1+MAT.SURCHARGE)/EXC.RATE_1),CURRENCY.FORMAT_1),CURRENCY.FORMAT_1,1),"# ##0;-# ##0"),",-"),FIXED(ROUND((C2306*(1-I2306)*(1-ADD.DISCOUNT)*(1+MAT.SURCHARGE)/EXC.RATE_1),CURRENCY.FORMAT_1),CURRENCY.FORMAT_1,0)),'DICTIONARY-5'!$A$2)</f>
        <v>5 870,-</v>
      </c>
      <c r="M2306" s="670" t="str">
        <f>IF(EXC.RATE_2=0,"",IFERROR(IF(CURRENCY.FORMAT_2=0,CONCATENATE(TEXT(FIXED(ROUND(IF(EXC.RATE.SWITCH=1,C2306*(1-I2306)*(1-ADD.DISCOUNT)*(1+MAT.SURCHARGE)/EXC.RATE_2,C2306*(1-I2306)*(1-ADD.DISCOUNT)*(1+MAT.SURCHARGE)*EXC.RATE_2),CURRENCY.FORMAT_2),CURRENCY.FORMAT_2,1),"# ##0;-# ##0"),",-"),FIXED(ROUND(IF(EXC.RATE.SWITCH=1,C2306*(1-I2306)*(1-ADD.DISCOUNT)*(1+MAT.SURCHARGE)/EXC.RATE_2,C2306*(1-I2306)*(1-ADD.DISCOUNT)*(1+MAT.SURCHARGE)*EXC.RATE_2),CURRENCY.FORMAT_2),CURRENCY.FORMAT_2,0)),'DICTIONARY-5'!$A$2))</f>
        <v/>
      </c>
      <c r="N2306" s="538">
        <v>10</v>
      </c>
      <c r="O2306" s="538"/>
      <c r="P2306" s="732" t="str">
        <f>'DICTIONARY-3'!$A$128</f>
        <v>VAF</v>
      </c>
      <c r="Q2306" s="732" t="str">
        <f>'DICTIONARY-3'!$A$214</f>
        <v>Wstawka montażowa</v>
      </c>
      <c r="R2306" s="732" t="str">
        <f>CONCATENATE('DICTIONARY-3'!$A$128," ",'DICTIONARY-6'!$A$15," ",'DICTIONARY-2'!$A$2,"600"," ",'DICTIONARY-2'!$A$3,"16"," ",'DICTIONARY-2'!$A$24,"=","450-500",'DICTIONARY-2'!$A$17,)</f>
        <v>VAF Wstawka mont. DN600 PN16 L=450-500mm</v>
      </c>
      <c r="S2306" s="733" t="s">
        <v>5569</v>
      </c>
      <c r="T2306" s="732" t="s">
        <v>5569</v>
      </c>
      <c r="U2306" s="734" t="s">
        <v>5757</v>
      </c>
      <c r="V2306" s="735">
        <v>16</v>
      </c>
      <c r="W2306" s="736"/>
      <c r="X2306" s="737"/>
      <c r="Y2306" s="738"/>
      <c r="Z2306" s="739"/>
      <c r="AA2306" s="739"/>
      <c r="AB2306" s="740">
        <v>16</v>
      </c>
      <c r="AC2306" s="741" t="s">
        <v>5698</v>
      </c>
      <c r="AD2306" s="741" t="str">
        <f>'DICTIONARY-5'!$A$13</f>
        <v>woda pitna</v>
      </c>
      <c r="AE2306" s="742">
        <v>50</v>
      </c>
      <c r="AF2306" s="743">
        <v>419</v>
      </c>
      <c r="AG2306" s="733" t="str">
        <f>'DICTIONARY-5'!$A$23</f>
        <v>powłoka epoksydowa</v>
      </c>
    </row>
    <row r="2307" spans="1:33" x14ac:dyDescent="0.25">
      <c r="A2307" s="872" t="s">
        <v>2143</v>
      </c>
      <c r="B2307" s="872" t="s">
        <v>4710</v>
      </c>
      <c r="C2307" s="836">
        <v>6298</v>
      </c>
      <c r="D2307" s="836"/>
      <c r="E2307" s="836"/>
      <c r="F2307" s="836"/>
      <c r="G2307" s="496" t="s">
        <v>7844</v>
      </c>
      <c r="H2307" s="797" t="str">
        <f>VLOOKUP(G2307,SETTINGS!$B$7:$D$97,2,0)</f>
        <v>VAF</v>
      </c>
      <c r="I2307" s="796">
        <f>VLOOKUP(G2307,SETTINGS!$B$7:$D$97,3,0)</f>
        <v>0</v>
      </c>
      <c r="J2307" s="670" t="str">
        <f>IFERROR(IF(CURRENCY.FORMAT_1=0,CONCATENATE(TEXT(FIXED(ROUND((C2307/EXC.RATE_1),CURRENCY.FORMAT_1),CURRENCY.FORMAT_1,1),"# ##0;-# ##0"),",-"),FIXED(ROUND((C2307/EXC.RATE_1),CURRENCY.FORMAT_1),CURRENCY.FORMAT_1,0)),'DICTIONARY-5'!$A$2)</f>
        <v>6 298,-</v>
      </c>
      <c r="K2307" s="670" t="str">
        <f>IF(EXC.RATE_2=0,"",IFERROR(IF(CURRENCY.FORMAT_2=0,CONCATENATE(TEXT(FIXED(ROUND(IF(EXC.RATE.SWITCH=1,C2307/EXC.RATE_2,C2307*EXC.RATE_2),CURRENCY.FORMAT_2),CURRENCY.FORMAT_2,1),"# ##0;-# ##0"),",-"),FIXED(ROUND(IF(EXC.RATE.SWITCH=1,C2307/EXC.RATE_2,C2307*EXC.RATE_2),CURRENCY.FORMAT_2),CURRENCY.FORMAT_2,0)),'DICTIONARY-5'!$A$2))</f>
        <v/>
      </c>
      <c r="L2307" s="670" t="str">
        <f>IFERROR(IF(CURRENCY.FORMAT_1=0,CONCATENATE(TEXT(FIXED(ROUND((C2307*(1-I2307)*(1-ADD.DISCOUNT)*(1+MAT.SURCHARGE)/EXC.RATE_1),CURRENCY.FORMAT_1),CURRENCY.FORMAT_1,1),"# ##0;-# ##0"),",-"),FIXED(ROUND((C2307*(1-I2307)*(1-ADD.DISCOUNT)*(1+MAT.SURCHARGE)/EXC.RATE_1),CURRENCY.FORMAT_1),CURRENCY.FORMAT_1,0)),'DICTIONARY-5'!$A$2)</f>
        <v>6 544,-</v>
      </c>
      <c r="M2307" s="670" t="str">
        <f>IF(EXC.RATE_2=0,"",IFERROR(IF(CURRENCY.FORMAT_2=0,CONCATENATE(TEXT(FIXED(ROUND(IF(EXC.RATE.SWITCH=1,C2307*(1-I2307)*(1-ADD.DISCOUNT)*(1+MAT.SURCHARGE)/EXC.RATE_2,C2307*(1-I2307)*(1-ADD.DISCOUNT)*(1+MAT.SURCHARGE)*EXC.RATE_2),CURRENCY.FORMAT_2),CURRENCY.FORMAT_2,1),"# ##0;-# ##0"),",-"),FIXED(ROUND(IF(EXC.RATE.SWITCH=1,C2307*(1-I2307)*(1-ADD.DISCOUNT)*(1+MAT.SURCHARGE)/EXC.RATE_2,C2307*(1-I2307)*(1-ADD.DISCOUNT)*(1+MAT.SURCHARGE)*EXC.RATE_2),CURRENCY.FORMAT_2),CURRENCY.FORMAT_2,0)),'DICTIONARY-5'!$A$2))</f>
        <v/>
      </c>
      <c r="N2307" s="538">
        <v>10</v>
      </c>
      <c r="O2307" s="538"/>
      <c r="P2307" s="732" t="str">
        <f>'DICTIONARY-3'!$A$128</f>
        <v>VAF</v>
      </c>
      <c r="Q2307" s="732" t="str">
        <f>'DICTIONARY-3'!$A$214</f>
        <v>Wstawka montażowa</v>
      </c>
      <c r="R2307" s="732" t="str">
        <f>CONCATENATE('DICTIONARY-3'!$A$128," ",'DICTIONARY-6'!$A$15," ",'DICTIONARY-2'!$A$2,"700"," ",'DICTIONARY-2'!$A$3,"16"," ",'DICTIONARY-2'!$A$24,"=","450-500",'DICTIONARY-2'!$A$17,)</f>
        <v>VAF Wstawka mont. DN700 PN16 L=450-500mm</v>
      </c>
      <c r="S2307" s="733" t="s">
        <v>5569</v>
      </c>
      <c r="T2307" s="732" t="s">
        <v>5569</v>
      </c>
      <c r="U2307" s="734" t="s">
        <v>5834</v>
      </c>
      <c r="V2307" s="735">
        <v>16</v>
      </c>
      <c r="W2307" s="736"/>
      <c r="X2307" s="737"/>
      <c r="Y2307" s="738"/>
      <c r="Z2307" s="739"/>
      <c r="AA2307" s="739"/>
      <c r="AB2307" s="740">
        <v>16</v>
      </c>
      <c r="AC2307" s="741" t="s">
        <v>5698</v>
      </c>
      <c r="AD2307" s="741" t="str">
        <f>'DICTIONARY-5'!$A$13</f>
        <v>woda pitna</v>
      </c>
      <c r="AE2307" s="742">
        <v>50</v>
      </c>
      <c r="AF2307" s="743">
        <v>449</v>
      </c>
      <c r="AG2307" s="733" t="str">
        <f>'DICTIONARY-5'!$A$23</f>
        <v>powłoka epoksydowa</v>
      </c>
    </row>
    <row r="2308" spans="1:33" x14ac:dyDescent="0.25">
      <c r="A2308" s="872" t="s">
        <v>2145</v>
      </c>
      <c r="B2308" s="872" t="s">
        <v>4712</v>
      </c>
      <c r="C2308" s="836">
        <v>7925</v>
      </c>
      <c r="D2308" s="836"/>
      <c r="E2308" s="836"/>
      <c r="F2308" s="836"/>
      <c r="G2308" s="496" t="s">
        <v>7844</v>
      </c>
      <c r="H2308" s="797" t="str">
        <f>VLOOKUP(G2308,SETTINGS!$B$7:$D$97,2,0)</f>
        <v>VAF</v>
      </c>
      <c r="I2308" s="796">
        <f>VLOOKUP(G2308,SETTINGS!$B$7:$D$97,3,0)</f>
        <v>0</v>
      </c>
      <c r="J2308" s="670" t="str">
        <f>IFERROR(IF(CURRENCY.FORMAT_1=0,CONCATENATE(TEXT(FIXED(ROUND((C2308/EXC.RATE_1),CURRENCY.FORMAT_1),CURRENCY.FORMAT_1,1),"# ##0;-# ##0"),",-"),FIXED(ROUND((C2308/EXC.RATE_1),CURRENCY.FORMAT_1),CURRENCY.FORMAT_1,0)),'DICTIONARY-5'!$A$2)</f>
        <v>7 925,-</v>
      </c>
      <c r="K2308" s="670" t="str">
        <f>IF(EXC.RATE_2=0,"",IFERROR(IF(CURRENCY.FORMAT_2=0,CONCATENATE(TEXT(FIXED(ROUND(IF(EXC.RATE.SWITCH=1,C2308/EXC.RATE_2,C2308*EXC.RATE_2),CURRENCY.FORMAT_2),CURRENCY.FORMAT_2,1),"# ##0;-# ##0"),",-"),FIXED(ROUND(IF(EXC.RATE.SWITCH=1,C2308/EXC.RATE_2,C2308*EXC.RATE_2),CURRENCY.FORMAT_2),CURRENCY.FORMAT_2,0)),'DICTIONARY-5'!$A$2))</f>
        <v/>
      </c>
      <c r="L2308" s="670" t="str">
        <f>IFERROR(IF(CURRENCY.FORMAT_1=0,CONCATENATE(TEXT(FIXED(ROUND((C2308*(1-I2308)*(1-ADD.DISCOUNT)*(1+MAT.SURCHARGE)/EXC.RATE_1),CURRENCY.FORMAT_1),CURRENCY.FORMAT_1,1),"# ##0;-# ##0"),",-"),FIXED(ROUND((C2308*(1-I2308)*(1-ADD.DISCOUNT)*(1+MAT.SURCHARGE)/EXC.RATE_1),CURRENCY.FORMAT_1),CURRENCY.FORMAT_1,0)),'DICTIONARY-5'!$A$2)</f>
        <v>8 234,-</v>
      </c>
      <c r="M2308" s="670" t="str">
        <f>IF(EXC.RATE_2=0,"",IFERROR(IF(CURRENCY.FORMAT_2=0,CONCATENATE(TEXT(FIXED(ROUND(IF(EXC.RATE.SWITCH=1,C2308*(1-I2308)*(1-ADD.DISCOUNT)*(1+MAT.SURCHARGE)/EXC.RATE_2,C2308*(1-I2308)*(1-ADD.DISCOUNT)*(1+MAT.SURCHARGE)*EXC.RATE_2),CURRENCY.FORMAT_2),CURRENCY.FORMAT_2,1),"# ##0;-# ##0"),",-"),FIXED(ROUND(IF(EXC.RATE.SWITCH=1,C2308*(1-I2308)*(1-ADD.DISCOUNT)*(1+MAT.SURCHARGE)/EXC.RATE_2,C2308*(1-I2308)*(1-ADD.DISCOUNT)*(1+MAT.SURCHARGE)*EXC.RATE_2),CURRENCY.FORMAT_2),CURRENCY.FORMAT_2,0)),'DICTIONARY-5'!$A$2))</f>
        <v/>
      </c>
      <c r="N2308" s="538">
        <v>10</v>
      </c>
      <c r="O2308" s="538"/>
      <c r="P2308" s="732" t="str">
        <f>'DICTIONARY-3'!$A$128</f>
        <v>VAF</v>
      </c>
      <c r="Q2308" s="732" t="str">
        <f>'DICTIONARY-3'!$A$214</f>
        <v>Wstawka montażowa</v>
      </c>
      <c r="R2308" s="732" t="str">
        <f>CONCATENATE('DICTIONARY-3'!$A$128," ",'DICTIONARY-6'!$A$15," ",'DICTIONARY-2'!$A$2,"800"," ",'DICTIONARY-2'!$A$3,"16"," ",'DICTIONARY-2'!$A$24,"=","500-550",'DICTIONARY-2'!$A$17,)</f>
        <v>VAF Wstawka mont. DN800 PN16 L=500-550mm</v>
      </c>
      <c r="S2308" s="733" t="s">
        <v>5569</v>
      </c>
      <c r="T2308" s="732" t="s">
        <v>5569</v>
      </c>
      <c r="U2308" s="734" t="s">
        <v>5835</v>
      </c>
      <c r="V2308" s="735">
        <v>16</v>
      </c>
      <c r="W2308" s="736"/>
      <c r="X2308" s="737"/>
      <c r="Y2308" s="738"/>
      <c r="Z2308" s="739"/>
      <c r="AA2308" s="739"/>
      <c r="AB2308" s="740">
        <v>16</v>
      </c>
      <c r="AC2308" s="741" t="s">
        <v>5700</v>
      </c>
      <c r="AD2308" s="741" t="str">
        <f>'DICTIONARY-5'!$A$13</f>
        <v>woda pitna</v>
      </c>
      <c r="AE2308" s="742">
        <v>50</v>
      </c>
      <c r="AF2308" s="743">
        <v>614</v>
      </c>
      <c r="AG2308" s="733" t="str">
        <f>'DICTIONARY-5'!$A$23</f>
        <v>powłoka epoksydowa</v>
      </c>
    </row>
    <row r="2309" spans="1:33" x14ac:dyDescent="0.25">
      <c r="A2309" s="872" t="s">
        <v>2147</v>
      </c>
      <c r="B2309" s="872" t="s">
        <v>4714</v>
      </c>
      <c r="C2309" s="836">
        <v>10438</v>
      </c>
      <c r="D2309" s="836"/>
      <c r="E2309" s="836"/>
      <c r="F2309" s="836"/>
      <c r="G2309" s="496" t="s">
        <v>7844</v>
      </c>
      <c r="H2309" s="797" t="str">
        <f>VLOOKUP(G2309,SETTINGS!$B$7:$D$97,2,0)</f>
        <v>VAF</v>
      </c>
      <c r="I2309" s="796">
        <f>VLOOKUP(G2309,SETTINGS!$B$7:$D$97,3,0)</f>
        <v>0</v>
      </c>
      <c r="J2309" s="670" t="str">
        <f>IFERROR(IF(CURRENCY.FORMAT_1=0,CONCATENATE(TEXT(FIXED(ROUND((C2309/EXC.RATE_1),CURRENCY.FORMAT_1),CURRENCY.FORMAT_1,1),"# ##0;-# ##0"),",-"),FIXED(ROUND((C2309/EXC.RATE_1),CURRENCY.FORMAT_1),CURRENCY.FORMAT_1,0)),'DICTIONARY-5'!$A$2)</f>
        <v>10 438,-</v>
      </c>
      <c r="K2309" s="670" t="str">
        <f>IF(EXC.RATE_2=0,"",IFERROR(IF(CURRENCY.FORMAT_2=0,CONCATENATE(TEXT(FIXED(ROUND(IF(EXC.RATE.SWITCH=1,C2309/EXC.RATE_2,C2309*EXC.RATE_2),CURRENCY.FORMAT_2),CURRENCY.FORMAT_2,1),"# ##0;-# ##0"),",-"),FIXED(ROUND(IF(EXC.RATE.SWITCH=1,C2309/EXC.RATE_2,C2309*EXC.RATE_2),CURRENCY.FORMAT_2),CURRENCY.FORMAT_2,0)),'DICTIONARY-5'!$A$2))</f>
        <v/>
      </c>
      <c r="L2309" s="670" t="str">
        <f>IFERROR(IF(CURRENCY.FORMAT_1=0,CONCATENATE(TEXT(FIXED(ROUND((C2309*(1-I2309)*(1-ADD.DISCOUNT)*(1+MAT.SURCHARGE)/EXC.RATE_1),CURRENCY.FORMAT_1),CURRENCY.FORMAT_1,1),"# ##0;-# ##0"),",-"),FIXED(ROUND((C2309*(1-I2309)*(1-ADD.DISCOUNT)*(1+MAT.SURCHARGE)/EXC.RATE_1),CURRENCY.FORMAT_1),CURRENCY.FORMAT_1,0)),'DICTIONARY-5'!$A$2)</f>
        <v>10 845,-</v>
      </c>
      <c r="M2309" s="670" t="str">
        <f>IF(EXC.RATE_2=0,"",IFERROR(IF(CURRENCY.FORMAT_2=0,CONCATENATE(TEXT(FIXED(ROUND(IF(EXC.RATE.SWITCH=1,C2309*(1-I2309)*(1-ADD.DISCOUNT)*(1+MAT.SURCHARGE)/EXC.RATE_2,C2309*(1-I2309)*(1-ADD.DISCOUNT)*(1+MAT.SURCHARGE)*EXC.RATE_2),CURRENCY.FORMAT_2),CURRENCY.FORMAT_2,1),"# ##0;-# ##0"),",-"),FIXED(ROUND(IF(EXC.RATE.SWITCH=1,C2309*(1-I2309)*(1-ADD.DISCOUNT)*(1+MAT.SURCHARGE)/EXC.RATE_2,C2309*(1-I2309)*(1-ADD.DISCOUNT)*(1+MAT.SURCHARGE)*EXC.RATE_2),CURRENCY.FORMAT_2),CURRENCY.FORMAT_2,0)),'DICTIONARY-5'!$A$2))</f>
        <v/>
      </c>
      <c r="N2309" s="538">
        <v>10</v>
      </c>
      <c r="O2309" s="538"/>
      <c r="P2309" s="732" t="str">
        <f>'DICTIONARY-3'!$A$128</f>
        <v>VAF</v>
      </c>
      <c r="Q2309" s="732" t="str">
        <f>'DICTIONARY-3'!$A$214</f>
        <v>Wstawka montażowa</v>
      </c>
      <c r="R2309" s="732" t="str">
        <f>CONCATENATE('DICTIONARY-3'!$A$128," ",'DICTIONARY-6'!$A$15," ",'DICTIONARY-2'!$A$2,"1000"," ",'DICTIONARY-2'!$A$3,"16"," ",'DICTIONARY-2'!$A$24,"=","525-575",'DICTIONARY-2'!$A$17,)</f>
        <v>VAF Wstawka mont. DN1000 PN16 L=525-575mm</v>
      </c>
      <c r="S2309" s="733" t="s">
        <v>5569</v>
      </c>
      <c r="T2309" s="732" t="s">
        <v>5569</v>
      </c>
      <c r="U2309" s="734" t="s">
        <v>5836</v>
      </c>
      <c r="V2309" s="735">
        <v>16</v>
      </c>
      <c r="W2309" s="736"/>
      <c r="X2309" s="737"/>
      <c r="Y2309" s="738"/>
      <c r="Z2309" s="739"/>
      <c r="AA2309" s="739"/>
      <c r="AB2309" s="740">
        <v>16</v>
      </c>
      <c r="AC2309" s="741" t="s">
        <v>5701</v>
      </c>
      <c r="AD2309" s="741" t="str">
        <f>'DICTIONARY-5'!$A$13</f>
        <v>woda pitna</v>
      </c>
      <c r="AE2309" s="742">
        <v>50</v>
      </c>
      <c r="AF2309" s="743">
        <v>893</v>
      </c>
      <c r="AG2309" s="733" t="str">
        <f>'DICTIONARY-5'!$A$23</f>
        <v>powłoka epoksydowa</v>
      </c>
    </row>
    <row r="2310" spans="1:33" x14ac:dyDescent="0.25">
      <c r="A2310" s="872" t="s">
        <v>2150</v>
      </c>
      <c r="B2310" s="872" t="s">
        <v>4718</v>
      </c>
      <c r="C2310" s="836">
        <v>48</v>
      </c>
      <c r="D2310" s="836"/>
      <c r="E2310" s="836"/>
      <c r="F2310" s="836"/>
      <c r="G2310" s="496" t="s">
        <v>7843</v>
      </c>
      <c r="H2310" s="797" t="str">
        <f>VLOOKUP(G2310,SETTINGS!$B$7:$D$97,2,0)</f>
        <v>VARIplus</v>
      </c>
      <c r="I2310" s="796">
        <f>VLOOKUP(G2310,SETTINGS!$B$7:$D$97,3,0)</f>
        <v>0</v>
      </c>
      <c r="J2310" s="670" t="str">
        <f>IFERROR(IF(CURRENCY.FORMAT_1=0,CONCATENATE(TEXT(FIXED(ROUND((C2310/EXC.RATE_1),CURRENCY.FORMAT_1),CURRENCY.FORMAT_1,1),"# ##0;-# ##0"),",-"),FIXED(ROUND((C2310/EXC.RATE_1),CURRENCY.FORMAT_1),CURRENCY.FORMAT_1,0)),'DICTIONARY-5'!$A$2)</f>
        <v>48,-</v>
      </c>
      <c r="K2310" s="670" t="str">
        <f>IF(EXC.RATE_2=0,"",IFERROR(IF(CURRENCY.FORMAT_2=0,CONCATENATE(TEXT(FIXED(ROUND(IF(EXC.RATE.SWITCH=1,C2310/EXC.RATE_2,C2310*EXC.RATE_2),CURRENCY.FORMAT_2),CURRENCY.FORMAT_2,1),"# ##0;-# ##0"),",-"),FIXED(ROUND(IF(EXC.RATE.SWITCH=1,C2310/EXC.RATE_2,C2310*EXC.RATE_2),CURRENCY.FORMAT_2),CURRENCY.FORMAT_2,0)),'DICTIONARY-5'!$A$2))</f>
        <v/>
      </c>
      <c r="L2310" s="670" t="str">
        <f>IFERROR(IF(CURRENCY.FORMAT_1=0,CONCATENATE(TEXT(FIXED(ROUND((C2310*(1-I2310)*(1-ADD.DISCOUNT)*(1+MAT.SURCHARGE)/EXC.RATE_1),CURRENCY.FORMAT_1),CURRENCY.FORMAT_1,1),"# ##0;-# ##0"),",-"),FIXED(ROUND((C2310*(1-I2310)*(1-ADD.DISCOUNT)*(1+MAT.SURCHARGE)/EXC.RATE_1),CURRENCY.FORMAT_1),CURRENCY.FORMAT_1,0)),'DICTIONARY-5'!$A$2)</f>
        <v>50,-</v>
      </c>
      <c r="M2310" s="670" t="str">
        <f>IF(EXC.RATE_2=0,"",IFERROR(IF(CURRENCY.FORMAT_2=0,CONCATENATE(TEXT(FIXED(ROUND(IF(EXC.RATE.SWITCH=1,C2310*(1-I2310)*(1-ADD.DISCOUNT)*(1+MAT.SURCHARGE)/EXC.RATE_2,C2310*(1-I2310)*(1-ADD.DISCOUNT)*(1+MAT.SURCHARGE)*EXC.RATE_2),CURRENCY.FORMAT_2),CURRENCY.FORMAT_2,1),"# ##0;-# ##0"),",-"),FIXED(ROUND(IF(EXC.RATE.SWITCH=1,C2310*(1-I2310)*(1-ADD.DISCOUNT)*(1+MAT.SURCHARGE)/EXC.RATE_2,C2310*(1-I2310)*(1-ADD.DISCOUNT)*(1+MAT.SURCHARGE)*EXC.RATE_2),CURRENCY.FORMAT_2),CURRENCY.FORMAT_2,0)),'DICTIONARY-5'!$A$2))</f>
        <v/>
      </c>
      <c r="N2310" s="538">
        <v>10</v>
      </c>
      <c r="O2310" s="538"/>
      <c r="P2310" s="731" t="str">
        <f>'DICTIONARY-3'!$A$125</f>
        <v>VARIplus-RFA</v>
      </c>
      <c r="Q2310" s="732" t="str">
        <f>'DICTIONARY-3'!$A$215</f>
        <v>Adapter kołnierzowy</v>
      </c>
      <c r="R2310" s="732" t="str">
        <f>CONCATENATE('DICTIONARY-3'!$A$125," ",'DICTIONARY-6'!$A$14," ",'DICTIONARY-2'!$A$2,"50"," ",'DICTIONARY-2'!$A$3,"10/16"," ",'DICTIONARY-2'!$A$5,"59-72")</f>
        <v>VARIplus-RFA Adapt. kołnierz. DN50 PN10/16 Da59-72</v>
      </c>
      <c r="S2310" s="733" t="s">
        <v>5569</v>
      </c>
      <c r="T2310" s="732" t="s">
        <v>5569</v>
      </c>
      <c r="U2310" s="734" t="s">
        <v>5748</v>
      </c>
      <c r="V2310" s="735">
        <v>16</v>
      </c>
      <c r="W2310" s="736" t="s">
        <v>5670</v>
      </c>
      <c r="X2310" s="737"/>
      <c r="Y2310" s="738"/>
      <c r="Z2310" s="739"/>
      <c r="AA2310" s="739"/>
      <c r="AB2310" s="740">
        <v>16</v>
      </c>
      <c r="AC2310" s="741" t="s">
        <v>5569</v>
      </c>
      <c r="AD2310" s="733" t="str">
        <f>'DICTIONARY-5'!$A$13</f>
        <v>woda pitna</v>
      </c>
      <c r="AE2310" s="742">
        <v>90</v>
      </c>
      <c r="AF2310" s="743">
        <v>3.5</v>
      </c>
      <c r="AG2310" s="733" t="str">
        <f>'DICTIONARY-5'!$A$23</f>
        <v>powłoka epoksydowa</v>
      </c>
    </row>
    <row r="2311" spans="1:33" x14ac:dyDescent="0.25">
      <c r="A2311" s="872" t="s">
        <v>2152</v>
      </c>
      <c r="B2311" s="872" t="s">
        <v>4720</v>
      </c>
      <c r="C2311" s="836">
        <v>56</v>
      </c>
      <c r="D2311" s="836"/>
      <c r="E2311" s="836"/>
      <c r="F2311" s="836"/>
      <c r="G2311" s="496" t="s">
        <v>7843</v>
      </c>
      <c r="H2311" s="797" t="str">
        <f>VLOOKUP(G2311,SETTINGS!$B$7:$D$97,2,0)</f>
        <v>VARIplus</v>
      </c>
      <c r="I2311" s="796">
        <f>VLOOKUP(G2311,SETTINGS!$B$7:$D$97,3,0)</f>
        <v>0</v>
      </c>
      <c r="J2311" s="670" t="str">
        <f>IFERROR(IF(CURRENCY.FORMAT_1=0,CONCATENATE(TEXT(FIXED(ROUND((C2311/EXC.RATE_1),CURRENCY.FORMAT_1),CURRENCY.FORMAT_1,1),"# ##0;-# ##0"),",-"),FIXED(ROUND((C2311/EXC.RATE_1),CURRENCY.FORMAT_1),CURRENCY.FORMAT_1,0)),'DICTIONARY-5'!$A$2)</f>
        <v>56,-</v>
      </c>
      <c r="K2311" s="670" t="str">
        <f>IF(EXC.RATE_2=0,"",IFERROR(IF(CURRENCY.FORMAT_2=0,CONCATENATE(TEXT(FIXED(ROUND(IF(EXC.RATE.SWITCH=1,C2311/EXC.RATE_2,C2311*EXC.RATE_2),CURRENCY.FORMAT_2),CURRENCY.FORMAT_2,1),"# ##0;-# ##0"),",-"),FIXED(ROUND(IF(EXC.RATE.SWITCH=1,C2311/EXC.RATE_2,C2311*EXC.RATE_2),CURRENCY.FORMAT_2),CURRENCY.FORMAT_2,0)),'DICTIONARY-5'!$A$2))</f>
        <v/>
      </c>
      <c r="L2311" s="670" t="str">
        <f>IFERROR(IF(CURRENCY.FORMAT_1=0,CONCATENATE(TEXT(FIXED(ROUND((C2311*(1-I2311)*(1-ADD.DISCOUNT)*(1+MAT.SURCHARGE)/EXC.RATE_1),CURRENCY.FORMAT_1),CURRENCY.FORMAT_1,1),"# ##0;-# ##0"),",-"),FIXED(ROUND((C2311*(1-I2311)*(1-ADD.DISCOUNT)*(1+MAT.SURCHARGE)/EXC.RATE_1),CURRENCY.FORMAT_1),CURRENCY.FORMAT_1,0)),'DICTIONARY-5'!$A$2)</f>
        <v>58,-</v>
      </c>
      <c r="M2311" s="670" t="str">
        <f>IF(EXC.RATE_2=0,"",IFERROR(IF(CURRENCY.FORMAT_2=0,CONCATENATE(TEXT(FIXED(ROUND(IF(EXC.RATE.SWITCH=1,C2311*(1-I2311)*(1-ADD.DISCOUNT)*(1+MAT.SURCHARGE)/EXC.RATE_2,C2311*(1-I2311)*(1-ADD.DISCOUNT)*(1+MAT.SURCHARGE)*EXC.RATE_2),CURRENCY.FORMAT_2),CURRENCY.FORMAT_2,1),"# ##0;-# ##0"),",-"),FIXED(ROUND(IF(EXC.RATE.SWITCH=1,C2311*(1-I2311)*(1-ADD.DISCOUNT)*(1+MAT.SURCHARGE)/EXC.RATE_2,C2311*(1-I2311)*(1-ADD.DISCOUNT)*(1+MAT.SURCHARGE)*EXC.RATE_2),CURRENCY.FORMAT_2),CURRENCY.FORMAT_2,0)),'DICTIONARY-5'!$A$2))</f>
        <v/>
      </c>
      <c r="N2311" s="538">
        <v>10</v>
      </c>
      <c r="O2311" s="538"/>
      <c r="P2311" s="731" t="str">
        <f>'DICTIONARY-3'!$A$125</f>
        <v>VARIplus-RFA</v>
      </c>
      <c r="Q2311" s="732" t="str">
        <f>'DICTIONARY-3'!$A$215</f>
        <v>Adapter kołnierzowy</v>
      </c>
      <c r="R2311" s="732" t="str">
        <f>CONCATENATE('DICTIONARY-3'!$A$125," ",'DICTIONARY-6'!$A$14," ",'DICTIONARY-2'!$A$2,"65"," ",'DICTIONARY-2'!$A$3,"10/16"," ",'DICTIONARY-2'!$A$5,"72-85")</f>
        <v>VARIplus-RFA Adapt. kołnierz. DN65 PN10/16 Da72-85</v>
      </c>
      <c r="S2311" s="733" t="s">
        <v>5569</v>
      </c>
      <c r="T2311" s="732" t="s">
        <v>5569</v>
      </c>
      <c r="U2311" s="734" t="s">
        <v>5759</v>
      </c>
      <c r="V2311" s="735">
        <v>16</v>
      </c>
      <c r="W2311" s="736" t="s">
        <v>5671</v>
      </c>
      <c r="X2311" s="737"/>
      <c r="Y2311" s="738"/>
      <c r="Z2311" s="739"/>
      <c r="AA2311" s="739"/>
      <c r="AB2311" s="740">
        <v>16</v>
      </c>
      <c r="AC2311" s="741" t="s">
        <v>5569</v>
      </c>
      <c r="AD2311" s="733" t="str">
        <f>'DICTIONARY-5'!$A$13</f>
        <v>woda pitna</v>
      </c>
      <c r="AE2311" s="742">
        <v>90</v>
      </c>
      <c r="AF2311" s="743">
        <v>4</v>
      </c>
      <c r="AG2311" s="733" t="str">
        <f>'DICTIONARY-5'!$A$23</f>
        <v>powłoka epoksydowa</v>
      </c>
    </row>
    <row r="2312" spans="1:33" x14ac:dyDescent="0.25">
      <c r="A2312" s="872" t="s">
        <v>2154</v>
      </c>
      <c r="B2312" s="872" t="s">
        <v>4722</v>
      </c>
      <c r="C2312" s="836">
        <v>75</v>
      </c>
      <c r="D2312" s="836"/>
      <c r="E2312" s="836"/>
      <c r="F2312" s="836"/>
      <c r="G2312" s="496" t="s">
        <v>7843</v>
      </c>
      <c r="H2312" s="797" t="str">
        <f>VLOOKUP(G2312,SETTINGS!$B$7:$D$97,2,0)</f>
        <v>VARIplus</v>
      </c>
      <c r="I2312" s="796">
        <f>VLOOKUP(G2312,SETTINGS!$B$7:$D$97,3,0)</f>
        <v>0</v>
      </c>
      <c r="J2312" s="670" t="str">
        <f>IFERROR(IF(CURRENCY.FORMAT_1=0,CONCATENATE(TEXT(FIXED(ROUND((C2312/EXC.RATE_1),CURRENCY.FORMAT_1),CURRENCY.FORMAT_1,1),"# ##0;-# ##0"),",-"),FIXED(ROUND((C2312/EXC.RATE_1),CURRENCY.FORMAT_1),CURRENCY.FORMAT_1,0)),'DICTIONARY-5'!$A$2)</f>
        <v>75,-</v>
      </c>
      <c r="K2312" s="670" t="str">
        <f>IF(EXC.RATE_2=0,"",IFERROR(IF(CURRENCY.FORMAT_2=0,CONCATENATE(TEXT(FIXED(ROUND(IF(EXC.RATE.SWITCH=1,C2312/EXC.RATE_2,C2312*EXC.RATE_2),CURRENCY.FORMAT_2),CURRENCY.FORMAT_2,1),"# ##0;-# ##0"),",-"),FIXED(ROUND(IF(EXC.RATE.SWITCH=1,C2312/EXC.RATE_2,C2312*EXC.RATE_2),CURRENCY.FORMAT_2),CURRENCY.FORMAT_2,0)),'DICTIONARY-5'!$A$2))</f>
        <v/>
      </c>
      <c r="L2312" s="670" t="str">
        <f>IFERROR(IF(CURRENCY.FORMAT_1=0,CONCATENATE(TEXT(FIXED(ROUND((C2312*(1-I2312)*(1-ADD.DISCOUNT)*(1+MAT.SURCHARGE)/EXC.RATE_1),CURRENCY.FORMAT_1),CURRENCY.FORMAT_1,1),"# ##0;-# ##0"),",-"),FIXED(ROUND((C2312*(1-I2312)*(1-ADD.DISCOUNT)*(1+MAT.SURCHARGE)/EXC.RATE_1),CURRENCY.FORMAT_1),CURRENCY.FORMAT_1,0)),'DICTIONARY-5'!$A$2)</f>
        <v>78,-</v>
      </c>
      <c r="M2312" s="670" t="str">
        <f>IF(EXC.RATE_2=0,"",IFERROR(IF(CURRENCY.FORMAT_2=0,CONCATENATE(TEXT(FIXED(ROUND(IF(EXC.RATE.SWITCH=1,C2312*(1-I2312)*(1-ADD.DISCOUNT)*(1+MAT.SURCHARGE)/EXC.RATE_2,C2312*(1-I2312)*(1-ADD.DISCOUNT)*(1+MAT.SURCHARGE)*EXC.RATE_2),CURRENCY.FORMAT_2),CURRENCY.FORMAT_2,1),"# ##0;-# ##0"),",-"),FIXED(ROUND(IF(EXC.RATE.SWITCH=1,C2312*(1-I2312)*(1-ADD.DISCOUNT)*(1+MAT.SURCHARGE)/EXC.RATE_2,C2312*(1-I2312)*(1-ADD.DISCOUNT)*(1+MAT.SURCHARGE)*EXC.RATE_2),CURRENCY.FORMAT_2),CURRENCY.FORMAT_2,0)),'DICTIONARY-5'!$A$2))</f>
        <v/>
      </c>
      <c r="N2312" s="538">
        <v>10</v>
      </c>
      <c r="O2312" s="538"/>
      <c r="P2312" s="731" t="str">
        <f>'DICTIONARY-3'!$A$125</f>
        <v>VARIplus-RFA</v>
      </c>
      <c r="Q2312" s="732" t="str">
        <f>'DICTIONARY-3'!$A$215</f>
        <v>Adapter kołnierzowy</v>
      </c>
      <c r="R2312" s="732" t="str">
        <f>CONCATENATE('DICTIONARY-3'!$A$125," ",'DICTIONARY-6'!$A$14," ",'DICTIONARY-2'!$A$2,"80"," ",'DICTIONARY-2'!$A$3,"10/16"," ",'DICTIONARY-2'!$A$5,"88-103")</f>
        <v>VARIplus-RFA Adapt. kołnierz. DN80 PN10/16 Da88-103</v>
      </c>
      <c r="S2312" s="733" t="s">
        <v>5569</v>
      </c>
      <c r="T2312" s="732" t="s">
        <v>5569</v>
      </c>
      <c r="U2312" s="734" t="s">
        <v>5760</v>
      </c>
      <c r="V2312" s="735">
        <v>16</v>
      </c>
      <c r="W2312" s="736" t="s">
        <v>5672</v>
      </c>
      <c r="X2312" s="737"/>
      <c r="Y2312" s="738"/>
      <c r="Z2312" s="739"/>
      <c r="AA2312" s="739"/>
      <c r="AB2312" s="740">
        <v>16</v>
      </c>
      <c r="AC2312" s="741" t="s">
        <v>5569</v>
      </c>
      <c r="AD2312" s="733" t="str">
        <f>'DICTIONARY-5'!$A$13</f>
        <v>woda pitna</v>
      </c>
      <c r="AE2312" s="742">
        <v>90</v>
      </c>
      <c r="AF2312" s="743">
        <v>5.5</v>
      </c>
      <c r="AG2312" s="733" t="str">
        <f>'DICTIONARY-5'!$A$23</f>
        <v>powłoka epoksydowa</v>
      </c>
    </row>
    <row r="2313" spans="1:33" x14ac:dyDescent="0.25">
      <c r="A2313" s="872" t="s">
        <v>2156</v>
      </c>
      <c r="B2313" s="872" t="s">
        <v>4724</v>
      </c>
      <c r="C2313" s="836">
        <v>76</v>
      </c>
      <c r="D2313" s="836"/>
      <c r="E2313" s="836"/>
      <c r="F2313" s="836"/>
      <c r="G2313" s="496" t="s">
        <v>7843</v>
      </c>
      <c r="H2313" s="797" t="str">
        <f>VLOOKUP(G2313,SETTINGS!$B$7:$D$97,2,0)</f>
        <v>VARIplus</v>
      </c>
      <c r="I2313" s="796">
        <f>VLOOKUP(G2313,SETTINGS!$B$7:$D$97,3,0)</f>
        <v>0</v>
      </c>
      <c r="J2313" s="670" t="str">
        <f>IFERROR(IF(CURRENCY.FORMAT_1=0,CONCATENATE(TEXT(FIXED(ROUND((C2313/EXC.RATE_1),CURRENCY.FORMAT_1),CURRENCY.FORMAT_1,1),"# ##0;-# ##0"),",-"),FIXED(ROUND((C2313/EXC.RATE_1),CURRENCY.FORMAT_1),CURRENCY.FORMAT_1,0)),'DICTIONARY-5'!$A$2)</f>
        <v>76,-</v>
      </c>
      <c r="K2313" s="670" t="str">
        <f>IF(EXC.RATE_2=0,"",IFERROR(IF(CURRENCY.FORMAT_2=0,CONCATENATE(TEXT(FIXED(ROUND(IF(EXC.RATE.SWITCH=1,C2313/EXC.RATE_2,C2313*EXC.RATE_2),CURRENCY.FORMAT_2),CURRENCY.FORMAT_2,1),"# ##0;-# ##0"),",-"),FIXED(ROUND(IF(EXC.RATE.SWITCH=1,C2313/EXC.RATE_2,C2313*EXC.RATE_2),CURRENCY.FORMAT_2),CURRENCY.FORMAT_2,0)),'DICTIONARY-5'!$A$2))</f>
        <v/>
      </c>
      <c r="L2313" s="670" t="str">
        <f>IFERROR(IF(CURRENCY.FORMAT_1=0,CONCATENATE(TEXT(FIXED(ROUND((C2313*(1-I2313)*(1-ADD.DISCOUNT)*(1+MAT.SURCHARGE)/EXC.RATE_1),CURRENCY.FORMAT_1),CURRENCY.FORMAT_1,1),"# ##0;-# ##0"),",-"),FIXED(ROUND((C2313*(1-I2313)*(1-ADD.DISCOUNT)*(1+MAT.SURCHARGE)/EXC.RATE_1),CURRENCY.FORMAT_1),CURRENCY.FORMAT_1,0)),'DICTIONARY-5'!$A$2)</f>
        <v>79,-</v>
      </c>
      <c r="M2313" s="670" t="str">
        <f>IF(EXC.RATE_2=0,"",IFERROR(IF(CURRENCY.FORMAT_2=0,CONCATENATE(TEXT(FIXED(ROUND(IF(EXC.RATE.SWITCH=1,C2313*(1-I2313)*(1-ADD.DISCOUNT)*(1+MAT.SURCHARGE)/EXC.RATE_2,C2313*(1-I2313)*(1-ADD.DISCOUNT)*(1+MAT.SURCHARGE)*EXC.RATE_2),CURRENCY.FORMAT_2),CURRENCY.FORMAT_2,1),"# ##0;-# ##0"),",-"),FIXED(ROUND(IF(EXC.RATE.SWITCH=1,C2313*(1-I2313)*(1-ADD.DISCOUNT)*(1+MAT.SURCHARGE)/EXC.RATE_2,C2313*(1-I2313)*(1-ADD.DISCOUNT)*(1+MAT.SURCHARGE)*EXC.RATE_2),CURRENCY.FORMAT_2),CURRENCY.FORMAT_2,0)),'DICTIONARY-5'!$A$2))</f>
        <v/>
      </c>
      <c r="N2313" s="538">
        <v>10</v>
      </c>
      <c r="O2313" s="538"/>
      <c r="P2313" s="731" t="str">
        <f>'DICTIONARY-3'!$A$125</f>
        <v>VARIplus-RFA</v>
      </c>
      <c r="Q2313" s="732" t="str">
        <f>'DICTIONARY-3'!$A$215</f>
        <v>Adapter kołnierzowy</v>
      </c>
      <c r="R2313" s="732" t="str">
        <f>CONCATENATE('DICTIONARY-3'!$A$125," ",'DICTIONARY-6'!$A$14," ",'DICTIONARY-2'!$A$2,"100"," ",'DICTIONARY-2'!$A$3,"10/16"," ",'DICTIONARY-2'!$A$5,"109-128")</f>
        <v>VARIplus-RFA Adapt. kołnierz. DN100 PN10/16 Da109-128</v>
      </c>
      <c r="S2313" s="733" t="s">
        <v>5569</v>
      </c>
      <c r="T2313" s="732" t="s">
        <v>5569</v>
      </c>
      <c r="U2313" s="734" t="s">
        <v>5749</v>
      </c>
      <c r="V2313" s="735">
        <v>16</v>
      </c>
      <c r="W2313" s="736" t="s">
        <v>5673</v>
      </c>
      <c r="X2313" s="737"/>
      <c r="Y2313" s="738"/>
      <c r="Z2313" s="739"/>
      <c r="AA2313" s="739"/>
      <c r="AB2313" s="740">
        <v>16</v>
      </c>
      <c r="AC2313" s="741" t="s">
        <v>5569</v>
      </c>
      <c r="AD2313" s="733" t="str">
        <f>'DICTIONARY-5'!$A$13</f>
        <v>woda pitna</v>
      </c>
      <c r="AE2313" s="742">
        <v>90</v>
      </c>
      <c r="AF2313" s="743">
        <v>5</v>
      </c>
      <c r="AG2313" s="733" t="str">
        <f>'DICTIONARY-5'!$A$23</f>
        <v>powłoka epoksydowa</v>
      </c>
    </row>
    <row r="2314" spans="1:33" x14ac:dyDescent="0.25">
      <c r="A2314" s="872" t="s">
        <v>2158</v>
      </c>
      <c r="B2314" s="872" t="s">
        <v>4726</v>
      </c>
      <c r="C2314" s="836">
        <v>117</v>
      </c>
      <c r="D2314" s="836"/>
      <c r="E2314" s="836"/>
      <c r="F2314" s="836"/>
      <c r="G2314" s="496" t="s">
        <v>7843</v>
      </c>
      <c r="H2314" s="797" t="str">
        <f>VLOOKUP(G2314,SETTINGS!$B$7:$D$97,2,0)</f>
        <v>VARIplus</v>
      </c>
      <c r="I2314" s="796">
        <f>VLOOKUP(G2314,SETTINGS!$B$7:$D$97,3,0)</f>
        <v>0</v>
      </c>
      <c r="J2314" s="670" t="str">
        <f>IFERROR(IF(CURRENCY.FORMAT_1=0,CONCATENATE(TEXT(FIXED(ROUND((C2314/EXC.RATE_1),CURRENCY.FORMAT_1),CURRENCY.FORMAT_1,1),"# ##0;-# ##0"),",-"),FIXED(ROUND((C2314/EXC.RATE_1),CURRENCY.FORMAT_1),CURRENCY.FORMAT_1,0)),'DICTIONARY-5'!$A$2)</f>
        <v>117,-</v>
      </c>
      <c r="K2314" s="670" t="str">
        <f>IF(EXC.RATE_2=0,"",IFERROR(IF(CURRENCY.FORMAT_2=0,CONCATENATE(TEXT(FIXED(ROUND(IF(EXC.RATE.SWITCH=1,C2314/EXC.RATE_2,C2314*EXC.RATE_2),CURRENCY.FORMAT_2),CURRENCY.FORMAT_2,1),"# ##0;-# ##0"),",-"),FIXED(ROUND(IF(EXC.RATE.SWITCH=1,C2314/EXC.RATE_2,C2314*EXC.RATE_2),CURRENCY.FORMAT_2),CURRENCY.FORMAT_2,0)),'DICTIONARY-5'!$A$2))</f>
        <v/>
      </c>
      <c r="L2314" s="670" t="str">
        <f>IFERROR(IF(CURRENCY.FORMAT_1=0,CONCATENATE(TEXT(FIXED(ROUND((C2314*(1-I2314)*(1-ADD.DISCOUNT)*(1+MAT.SURCHARGE)/EXC.RATE_1),CURRENCY.FORMAT_1),CURRENCY.FORMAT_1,1),"# ##0;-# ##0"),",-"),FIXED(ROUND((C2314*(1-I2314)*(1-ADD.DISCOUNT)*(1+MAT.SURCHARGE)/EXC.RATE_1),CURRENCY.FORMAT_1),CURRENCY.FORMAT_1,0)),'DICTIONARY-5'!$A$2)</f>
        <v>122,-</v>
      </c>
      <c r="M2314" s="670" t="str">
        <f>IF(EXC.RATE_2=0,"",IFERROR(IF(CURRENCY.FORMAT_2=0,CONCATENATE(TEXT(FIXED(ROUND(IF(EXC.RATE.SWITCH=1,C2314*(1-I2314)*(1-ADD.DISCOUNT)*(1+MAT.SURCHARGE)/EXC.RATE_2,C2314*(1-I2314)*(1-ADD.DISCOUNT)*(1+MAT.SURCHARGE)*EXC.RATE_2),CURRENCY.FORMAT_2),CURRENCY.FORMAT_2,1),"# ##0;-# ##0"),",-"),FIXED(ROUND(IF(EXC.RATE.SWITCH=1,C2314*(1-I2314)*(1-ADD.DISCOUNT)*(1+MAT.SURCHARGE)/EXC.RATE_2,C2314*(1-I2314)*(1-ADD.DISCOUNT)*(1+MAT.SURCHARGE)*EXC.RATE_2),CURRENCY.FORMAT_2),CURRENCY.FORMAT_2,0)),'DICTIONARY-5'!$A$2))</f>
        <v/>
      </c>
      <c r="N2314" s="538">
        <v>10</v>
      </c>
      <c r="O2314" s="538"/>
      <c r="P2314" s="731" t="str">
        <f>'DICTIONARY-3'!$A$125</f>
        <v>VARIplus-RFA</v>
      </c>
      <c r="Q2314" s="732" t="str">
        <f>'DICTIONARY-3'!$A$215</f>
        <v>Adapter kołnierzowy</v>
      </c>
      <c r="R2314" s="732" t="str">
        <f>CONCATENATE('DICTIONARY-3'!$A$125," ",'DICTIONARY-6'!$A$14," ",'DICTIONARY-2'!$A$2,"125"," ",'DICTIONARY-2'!$A$3,"10/16"," ",'DICTIONARY-2'!$A$5,"138-153")</f>
        <v>VARIplus-RFA Adapt. kołnierz. DN125 PN10/16 Da138-153</v>
      </c>
      <c r="S2314" s="733" t="s">
        <v>5569</v>
      </c>
      <c r="T2314" s="732" t="s">
        <v>5569</v>
      </c>
      <c r="U2314" s="734" t="s">
        <v>5761</v>
      </c>
      <c r="V2314" s="735">
        <v>16</v>
      </c>
      <c r="W2314" s="736" t="s">
        <v>5674</v>
      </c>
      <c r="X2314" s="737"/>
      <c r="Y2314" s="738"/>
      <c r="Z2314" s="739"/>
      <c r="AA2314" s="739"/>
      <c r="AB2314" s="740">
        <v>16</v>
      </c>
      <c r="AC2314" s="741" t="s">
        <v>5569</v>
      </c>
      <c r="AD2314" s="733" t="str">
        <f>'DICTIONARY-5'!$A$13</f>
        <v>woda pitna</v>
      </c>
      <c r="AE2314" s="742">
        <v>90</v>
      </c>
      <c r="AF2314" s="743">
        <v>7</v>
      </c>
      <c r="AG2314" s="733" t="str">
        <f>'DICTIONARY-5'!$A$23</f>
        <v>powłoka epoksydowa</v>
      </c>
    </row>
    <row r="2315" spans="1:33" x14ac:dyDescent="0.25">
      <c r="A2315" s="872" t="s">
        <v>2160</v>
      </c>
      <c r="B2315" s="872" t="s">
        <v>4727</v>
      </c>
      <c r="C2315" s="836">
        <v>106</v>
      </c>
      <c r="D2315" s="836"/>
      <c r="E2315" s="836"/>
      <c r="F2315" s="836"/>
      <c r="G2315" s="496" t="s">
        <v>7843</v>
      </c>
      <c r="H2315" s="797" t="str">
        <f>VLOOKUP(G2315,SETTINGS!$B$7:$D$97,2,0)</f>
        <v>VARIplus</v>
      </c>
      <c r="I2315" s="796">
        <f>VLOOKUP(G2315,SETTINGS!$B$7:$D$97,3,0)</f>
        <v>0</v>
      </c>
      <c r="J2315" s="670" t="str">
        <f>IFERROR(IF(CURRENCY.FORMAT_1=0,CONCATENATE(TEXT(FIXED(ROUND((C2315/EXC.RATE_1),CURRENCY.FORMAT_1),CURRENCY.FORMAT_1,1),"# ##0;-# ##0"),",-"),FIXED(ROUND((C2315/EXC.RATE_1),CURRENCY.FORMAT_1),CURRENCY.FORMAT_1,0)),'DICTIONARY-5'!$A$2)</f>
        <v>106,-</v>
      </c>
      <c r="K2315" s="670" t="str">
        <f>IF(EXC.RATE_2=0,"",IFERROR(IF(CURRENCY.FORMAT_2=0,CONCATENATE(TEXT(FIXED(ROUND(IF(EXC.RATE.SWITCH=1,C2315/EXC.RATE_2,C2315*EXC.RATE_2),CURRENCY.FORMAT_2),CURRENCY.FORMAT_2,1),"# ##0;-# ##0"),",-"),FIXED(ROUND(IF(EXC.RATE.SWITCH=1,C2315/EXC.RATE_2,C2315*EXC.RATE_2),CURRENCY.FORMAT_2),CURRENCY.FORMAT_2,0)),'DICTIONARY-5'!$A$2))</f>
        <v/>
      </c>
      <c r="L2315" s="670" t="str">
        <f>IFERROR(IF(CURRENCY.FORMAT_1=0,CONCATENATE(TEXT(FIXED(ROUND((C2315*(1-I2315)*(1-ADD.DISCOUNT)*(1+MAT.SURCHARGE)/EXC.RATE_1),CURRENCY.FORMAT_1),CURRENCY.FORMAT_1,1),"# ##0;-# ##0"),",-"),FIXED(ROUND((C2315*(1-I2315)*(1-ADD.DISCOUNT)*(1+MAT.SURCHARGE)/EXC.RATE_1),CURRENCY.FORMAT_1),CURRENCY.FORMAT_1,0)),'DICTIONARY-5'!$A$2)</f>
        <v>110,-</v>
      </c>
      <c r="M2315" s="670" t="str">
        <f>IF(EXC.RATE_2=0,"",IFERROR(IF(CURRENCY.FORMAT_2=0,CONCATENATE(TEXT(FIXED(ROUND(IF(EXC.RATE.SWITCH=1,C2315*(1-I2315)*(1-ADD.DISCOUNT)*(1+MAT.SURCHARGE)/EXC.RATE_2,C2315*(1-I2315)*(1-ADD.DISCOUNT)*(1+MAT.SURCHARGE)*EXC.RATE_2),CURRENCY.FORMAT_2),CURRENCY.FORMAT_2,1),"# ##0;-# ##0"),",-"),FIXED(ROUND(IF(EXC.RATE.SWITCH=1,C2315*(1-I2315)*(1-ADD.DISCOUNT)*(1+MAT.SURCHARGE)/EXC.RATE_2,C2315*(1-I2315)*(1-ADD.DISCOUNT)*(1+MAT.SURCHARGE)*EXC.RATE_2),CURRENCY.FORMAT_2),CURRENCY.FORMAT_2,0)),'DICTIONARY-5'!$A$2))</f>
        <v/>
      </c>
      <c r="N2315" s="538">
        <v>10</v>
      </c>
      <c r="O2315" s="538"/>
      <c r="P2315" s="731" t="str">
        <f>'DICTIONARY-3'!$A$125</f>
        <v>VARIplus-RFA</v>
      </c>
      <c r="Q2315" s="732" t="str">
        <f>'DICTIONARY-3'!$A$215</f>
        <v>Adapter kołnierzowy</v>
      </c>
      <c r="R2315" s="732" t="str">
        <f>CONCATENATE('DICTIONARY-3'!$A$125," ",'DICTIONARY-6'!$A$14," ",'DICTIONARY-2'!$A$2,"150"," ",'DICTIONARY-2'!$A$3,"10/16"," ",'DICTIONARY-2'!$A$5,"159-182")</f>
        <v>VARIplus-RFA Adapt. kołnierz. DN150 PN10/16 Da159-182</v>
      </c>
      <c r="S2315" s="733" t="s">
        <v>5569</v>
      </c>
      <c r="T2315" s="732" t="s">
        <v>5569</v>
      </c>
      <c r="U2315" s="734" t="s">
        <v>5572</v>
      </c>
      <c r="V2315" s="735">
        <v>16</v>
      </c>
      <c r="W2315" s="736" t="s">
        <v>5675</v>
      </c>
      <c r="X2315" s="737"/>
      <c r="Y2315" s="738"/>
      <c r="Z2315" s="739"/>
      <c r="AA2315" s="739"/>
      <c r="AB2315" s="740">
        <v>16</v>
      </c>
      <c r="AC2315" s="741" t="s">
        <v>5569</v>
      </c>
      <c r="AD2315" s="733" t="str">
        <f>'DICTIONARY-5'!$A$13</f>
        <v>woda pitna</v>
      </c>
      <c r="AE2315" s="742">
        <v>90</v>
      </c>
      <c r="AF2315" s="743">
        <v>8.5</v>
      </c>
      <c r="AG2315" s="733" t="str">
        <f>'DICTIONARY-5'!$A$23</f>
        <v>powłoka epoksydowa</v>
      </c>
    </row>
    <row r="2316" spans="1:33" x14ac:dyDescent="0.25">
      <c r="A2316" s="872" t="s">
        <v>2162</v>
      </c>
      <c r="B2316" s="872" t="s">
        <v>4730</v>
      </c>
      <c r="C2316" s="836">
        <v>86</v>
      </c>
      <c r="D2316" s="836"/>
      <c r="E2316" s="836"/>
      <c r="F2316" s="836"/>
      <c r="G2316" s="496" t="s">
        <v>7843</v>
      </c>
      <c r="H2316" s="797" t="str">
        <f>VLOOKUP(G2316,SETTINGS!$B$7:$D$97,2,0)</f>
        <v>VARIplus</v>
      </c>
      <c r="I2316" s="796">
        <f>VLOOKUP(G2316,SETTINGS!$B$7:$D$97,3,0)</f>
        <v>0</v>
      </c>
      <c r="J2316" s="670" t="str">
        <f>IFERROR(IF(CURRENCY.FORMAT_1=0,CONCATENATE(TEXT(FIXED(ROUND((C2316/EXC.RATE_1),CURRENCY.FORMAT_1),CURRENCY.FORMAT_1,1),"# ##0;-# ##0"),",-"),FIXED(ROUND((C2316/EXC.RATE_1),CURRENCY.FORMAT_1),CURRENCY.FORMAT_1,0)),'DICTIONARY-5'!$A$2)</f>
        <v>86,-</v>
      </c>
      <c r="K2316" s="670" t="str">
        <f>IF(EXC.RATE_2=0,"",IFERROR(IF(CURRENCY.FORMAT_2=0,CONCATENATE(TEXT(FIXED(ROUND(IF(EXC.RATE.SWITCH=1,C2316/EXC.RATE_2,C2316*EXC.RATE_2),CURRENCY.FORMAT_2),CURRENCY.FORMAT_2,1),"# ##0;-# ##0"),",-"),FIXED(ROUND(IF(EXC.RATE.SWITCH=1,C2316/EXC.RATE_2,C2316*EXC.RATE_2),CURRENCY.FORMAT_2),CURRENCY.FORMAT_2,0)),'DICTIONARY-5'!$A$2))</f>
        <v/>
      </c>
      <c r="L2316" s="670" t="str">
        <f>IFERROR(IF(CURRENCY.FORMAT_1=0,CONCATENATE(TEXT(FIXED(ROUND((C2316*(1-I2316)*(1-ADD.DISCOUNT)*(1+MAT.SURCHARGE)/EXC.RATE_1),CURRENCY.FORMAT_1),CURRENCY.FORMAT_1,1),"# ##0;-# ##0"),",-"),FIXED(ROUND((C2316*(1-I2316)*(1-ADD.DISCOUNT)*(1+MAT.SURCHARGE)/EXC.RATE_1),CURRENCY.FORMAT_1),CURRENCY.FORMAT_1,0)),'DICTIONARY-5'!$A$2)</f>
        <v>89,-</v>
      </c>
      <c r="M2316" s="670" t="str">
        <f>IF(EXC.RATE_2=0,"",IFERROR(IF(CURRENCY.FORMAT_2=0,CONCATENATE(TEXT(FIXED(ROUND(IF(EXC.RATE.SWITCH=1,C2316*(1-I2316)*(1-ADD.DISCOUNT)*(1+MAT.SURCHARGE)/EXC.RATE_2,C2316*(1-I2316)*(1-ADD.DISCOUNT)*(1+MAT.SURCHARGE)*EXC.RATE_2),CURRENCY.FORMAT_2),CURRENCY.FORMAT_2,1),"# ##0;-# ##0"),",-"),FIXED(ROUND(IF(EXC.RATE.SWITCH=1,C2316*(1-I2316)*(1-ADD.DISCOUNT)*(1+MAT.SURCHARGE)/EXC.RATE_2,C2316*(1-I2316)*(1-ADD.DISCOUNT)*(1+MAT.SURCHARGE)*EXC.RATE_2),CURRENCY.FORMAT_2),CURRENCY.FORMAT_2,0)),'DICTIONARY-5'!$A$2))</f>
        <v/>
      </c>
      <c r="N2316" s="538">
        <v>10</v>
      </c>
      <c r="O2316" s="538"/>
      <c r="P2316" s="731" t="str">
        <f>'DICTIONARY-3'!$A$125</f>
        <v>VARIplus-RFA</v>
      </c>
      <c r="Q2316" s="732" t="str">
        <f>'DICTIONARY-3'!$A$215</f>
        <v>Adapter kołnierzowy</v>
      </c>
      <c r="R2316" s="732" t="str">
        <f>CONCATENATE('DICTIONARY-3'!$A$125," ",'DICTIONARY-6'!$A$14," ",'DICTIONARY-2'!$A$2,"175"," ",'DICTIONARY-2'!$A$3,"10/16"," ",'DICTIONARY-2'!$A$5,"192-210")</f>
        <v>VARIplus-RFA Adapt. kołnierz. DN175 PN10/16 Da192-210</v>
      </c>
      <c r="S2316" s="733" t="s">
        <v>5569</v>
      </c>
      <c r="T2316" s="732" t="s">
        <v>5569</v>
      </c>
      <c r="U2316" s="734" t="s">
        <v>5832</v>
      </c>
      <c r="V2316" s="735">
        <v>16</v>
      </c>
      <c r="W2316" s="736" t="s">
        <v>5676</v>
      </c>
      <c r="X2316" s="737"/>
      <c r="Y2316" s="738"/>
      <c r="Z2316" s="739"/>
      <c r="AA2316" s="739"/>
      <c r="AB2316" s="740">
        <v>16</v>
      </c>
      <c r="AC2316" s="741" t="s">
        <v>5569</v>
      </c>
      <c r="AD2316" s="733" t="str">
        <f>'DICTIONARY-5'!$A$13</f>
        <v>woda pitna</v>
      </c>
      <c r="AE2316" s="742">
        <v>90</v>
      </c>
      <c r="AF2316" s="743">
        <v>10</v>
      </c>
      <c r="AG2316" s="733" t="str">
        <f>'DICTIONARY-5'!$A$23</f>
        <v>powłoka epoksydowa</v>
      </c>
    </row>
    <row r="2317" spans="1:33" x14ac:dyDescent="0.25">
      <c r="A2317" s="872" t="s">
        <v>2164</v>
      </c>
      <c r="B2317" s="872" t="s">
        <v>4731</v>
      </c>
      <c r="C2317" s="836">
        <v>130</v>
      </c>
      <c r="D2317" s="836"/>
      <c r="E2317" s="836"/>
      <c r="F2317" s="836"/>
      <c r="G2317" s="496" t="s">
        <v>7843</v>
      </c>
      <c r="H2317" s="797" t="str">
        <f>VLOOKUP(G2317,SETTINGS!$B$7:$D$97,2,0)</f>
        <v>VARIplus</v>
      </c>
      <c r="I2317" s="796">
        <f>VLOOKUP(G2317,SETTINGS!$B$7:$D$97,3,0)</f>
        <v>0</v>
      </c>
      <c r="J2317" s="670" t="str">
        <f>IFERROR(IF(CURRENCY.FORMAT_1=0,CONCATENATE(TEXT(FIXED(ROUND((C2317/EXC.RATE_1),CURRENCY.FORMAT_1),CURRENCY.FORMAT_1,1),"# ##0;-# ##0"),",-"),FIXED(ROUND((C2317/EXC.RATE_1),CURRENCY.FORMAT_1),CURRENCY.FORMAT_1,0)),'DICTIONARY-5'!$A$2)</f>
        <v>130,-</v>
      </c>
      <c r="K2317" s="670" t="str">
        <f>IF(EXC.RATE_2=0,"",IFERROR(IF(CURRENCY.FORMAT_2=0,CONCATENATE(TEXT(FIXED(ROUND(IF(EXC.RATE.SWITCH=1,C2317/EXC.RATE_2,C2317*EXC.RATE_2),CURRENCY.FORMAT_2),CURRENCY.FORMAT_2,1),"# ##0;-# ##0"),",-"),FIXED(ROUND(IF(EXC.RATE.SWITCH=1,C2317/EXC.RATE_2,C2317*EXC.RATE_2),CURRENCY.FORMAT_2),CURRENCY.FORMAT_2,0)),'DICTIONARY-5'!$A$2))</f>
        <v/>
      </c>
      <c r="L2317" s="670" t="str">
        <f>IFERROR(IF(CURRENCY.FORMAT_1=0,CONCATENATE(TEXT(FIXED(ROUND((C2317*(1-I2317)*(1-ADD.DISCOUNT)*(1+MAT.SURCHARGE)/EXC.RATE_1),CURRENCY.FORMAT_1),CURRENCY.FORMAT_1,1),"# ##0;-# ##0"),",-"),FIXED(ROUND((C2317*(1-I2317)*(1-ADD.DISCOUNT)*(1+MAT.SURCHARGE)/EXC.RATE_1),CURRENCY.FORMAT_1),CURRENCY.FORMAT_1,0)),'DICTIONARY-5'!$A$2)</f>
        <v>135,-</v>
      </c>
      <c r="M2317" s="670" t="str">
        <f>IF(EXC.RATE_2=0,"",IFERROR(IF(CURRENCY.FORMAT_2=0,CONCATENATE(TEXT(FIXED(ROUND(IF(EXC.RATE.SWITCH=1,C2317*(1-I2317)*(1-ADD.DISCOUNT)*(1+MAT.SURCHARGE)/EXC.RATE_2,C2317*(1-I2317)*(1-ADD.DISCOUNT)*(1+MAT.SURCHARGE)*EXC.RATE_2),CURRENCY.FORMAT_2),CURRENCY.FORMAT_2,1),"# ##0;-# ##0"),",-"),FIXED(ROUND(IF(EXC.RATE.SWITCH=1,C2317*(1-I2317)*(1-ADD.DISCOUNT)*(1+MAT.SURCHARGE)/EXC.RATE_2,C2317*(1-I2317)*(1-ADD.DISCOUNT)*(1+MAT.SURCHARGE)*EXC.RATE_2),CURRENCY.FORMAT_2),CURRENCY.FORMAT_2,0)),'DICTIONARY-5'!$A$2))</f>
        <v/>
      </c>
      <c r="N2317" s="538">
        <v>10</v>
      </c>
      <c r="O2317" s="538"/>
      <c r="P2317" s="731" t="str">
        <f>'DICTIONARY-3'!$A$125</f>
        <v>VARIplus-RFA</v>
      </c>
      <c r="Q2317" s="732" t="str">
        <f>'DICTIONARY-3'!$A$215</f>
        <v>Adapter kołnierzowy</v>
      </c>
      <c r="R2317" s="732" t="str">
        <f>CONCATENATE('DICTIONARY-3'!$A$125," ",'DICTIONARY-6'!$A$14," ",'DICTIONARY-2'!$A$2,"200"," ",'DICTIONARY-2'!$A$3,"10/16"," ",'DICTIONARY-2'!$A$5,"218-235")</f>
        <v>VARIplus-RFA Adapt. kołnierz. DN200 PN10/16 Da218-235</v>
      </c>
      <c r="S2317" s="733" t="s">
        <v>5569</v>
      </c>
      <c r="T2317" s="732" t="s">
        <v>5569</v>
      </c>
      <c r="U2317" s="734" t="s">
        <v>5750</v>
      </c>
      <c r="V2317" s="735">
        <v>16</v>
      </c>
      <c r="W2317" s="736" t="s">
        <v>5677</v>
      </c>
      <c r="X2317" s="737"/>
      <c r="Y2317" s="738"/>
      <c r="Z2317" s="739"/>
      <c r="AA2317" s="739"/>
      <c r="AB2317" s="740">
        <v>16</v>
      </c>
      <c r="AC2317" s="741" t="s">
        <v>5569</v>
      </c>
      <c r="AD2317" s="733" t="str">
        <f>'DICTIONARY-5'!$A$13</f>
        <v>woda pitna</v>
      </c>
      <c r="AE2317" s="742">
        <v>90</v>
      </c>
      <c r="AF2317" s="743">
        <v>9.5</v>
      </c>
      <c r="AG2317" s="733" t="str">
        <f>'DICTIONARY-5'!$A$23</f>
        <v>powłoka epoksydowa</v>
      </c>
    </row>
    <row r="2318" spans="1:33" x14ac:dyDescent="0.25">
      <c r="A2318" s="872" t="s">
        <v>2166</v>
      </c>
      <c r="B2318" s="872" t="s">
        <v>4732</v>
      </c>
      <c r="C2318" s="836">
        <v>153</v>
      </c>
      <c r="D2318" s="836"/>
      <c r="E2318" s="836"/>
      <c r="F2318" s="836"/>
      <c r="G2318" s="496" t="s">
        <v>7843</v>
      </c>
      <c r="H2318" s="797" t="str">
        <f>VLOOKUP(G2318,SETTINGS!$B$7:$D$97,2,0)</f>
        <v>VARIplus</v>
      </c>
      <c r="I2318" s="796">
        <f>VLOOKUP(G2318,SETTINGS!$B$7:$D$97,3,0)</f>
        <v>0</v>
      </c>
      <c r="J2318" s="670" t="str">
        <f>IFERROR(IF(CURRENCY.FORMAT_1=0,CONCATENATE(TEXT(FIXED(ROUND((C2318/EXC.RATE_1),CURRENCY.FORMAT_1),CURRENCY.FORMAT_1,1),"# ##0;-# ##0"),",-"),FIXED(ROUND((C2318/EXC.RATE_1),CURRENCY.FORMAT_1),CURRENCY.FORMAT_1,0)),'DICTIONARY-5'!$A$2)</f>
        <v>153,-</v>
      </c>
      <c r="K2318" s="670" t="str">
        <f>IF(EXC.RATE_2=0,"",IFERROR(IF(CURRENCY.FORMAT_2=0,CONCATENATE(TEXT(FIXED(ROUND(IF(EXC.RATE.SWITCH=1,C2318/EXC.RATE_2,C2318*EXC.RATE_2),CURRENCY.FORMAT_2),CURRENCY.FORMAT_2,1),"# ##0;-# ##0"),",-"),FIXED(ROUND(IF(EXC.RATE.SWITCH=1,C2318/EXC.RATE_2,C2318*EXC.RATE_2),CURRENCY.FORMAT_2),CURRENCY.FORMAT_2,0)),'DICTIONARY-5'!$A$2))</f>
        <v/>
      </c>
      <c r="L2318" s="670" t="str">
        <f>IFERROR(IF(CURRENCY.FORMAT_1=0,CONCATENATE(TEXT(FIXED(ROUND((C2318*(1-I2318)*(1-ADD.DISCOUNT)*(1+MAT.SURCHARGE)/EXC.RATE_1),CURRENCY.FORMAT_1),CURRENCY.FORMAT_1,1),"# ##0;-# ##0"),",-"),FIXED(ROUND((C2318*(1-I2318)*(1-ADD.DISCOUNT)*(1+MAT.SURCHARGE)/EXC.RATE_1),CURRENCY.FORMAT_1),CURRENCY.FORMAT_1,0)),'DICTIONARY-5'!$A$2)</f>
        <v>159,-</v>
      </c>
      <c r="M2318" s="670" t="str">
        <f>IF(EXC.RATE_2=0,"",IFERROR(IF(CURRENCY.FORMAT_2=0,CONCATENATE(TEXT(FIXED(ROUND(IF(EXC.RATE.SWITCH=1,C2318*(1-I2318)*(1-ADD.DISCOUNT)*(1+MAT.SURCHARGE)/EXC.RATE_2,C2318*(1-I2318)*(1-ADD.DISCOUNT)*(1+MAT.SURCHARGE)*EXC.RATE_2),CURRENCY.FORMAT_2),CURRENCY.FORMAT_2,1),"# ##0;-# ##0"),",-"),FIXED(ROUND(IF(EXC.RATE.SWITCH=1,C2318*(1-I2318)*(1-ADD.DISCOUNT)*(1+MAT.SURCHARGE)/EXC.RATE_2,C2318*(1-I2318)*(1-ADD.DISCOUNT)*(1+MAT.SURCHARGE)*EXC.RATE_2),CURRENCY.FORMAT_2),CURRENCY.FORMAT_2,0)),'DICTIONARY-5'!$A$2))</f>
        <v/>
      </c>
      <c r="N2318" s="538">
        <v>10</v>
      </c>
      <c r="O2318" s="538"/>
      <c r="P2318" s="731" t="str">
        <f>'DICTIONARY-3'!$A$125</f>
        <v>VARIplus-RFA</v>
      </c>
      <c r="Q2318" s="732" t="str">
        <f>'DICTIONARY-3'!$A$215</f>
        <v>Adapter kołnierzowy</v>
      </c>
      <c r="R2318" s="732" t="str">
        <f>CONCATENATE('DICTIONARY-3'!$A$125," ",'DICTIONARY-6'!$A$14," ",'DICTIONARY-2'!$A$2,"225"," ",'DICTIONARY-2'!$A$3,"10/16"," ",'DICTIONARY-2'!$A$5,"242-262")</f>
        <v>VARIplus-RFA Adapt. kołnierz. DN225 PN10/16 Da242-262</v>
      </c>
      <c r="S2318" s="733" t="s">
        <v>5569</v>
      </c>
      <c r="T2318" s="732" t="s">
        <v>5569</v>
      </c>
      <c r="U2318" s="734" t="s">
        <v>5833</v>
      </c>
      <c r="V2318" s="735">
        <v>16</v>
      </c>
      <c r="W2318" s="736" t="s">
        <v>5678</v>
      </c>
      <c r="X2318" s="737"/>
      <c r="Y2318" s="738"/>
      <c r="Z2318" s="739"/>
      <c r="AA2318" s="739"/>
      <c r="AB2318" s="740">
        <v>16</v>
      </c>
      <c r="AC2318" s="741" t="s">
        <v>5569</v>
      </c>
      <c r="AD2318" s="733" t="str">
        <f>'DICTIONARY-5'!$A$13</f>
        <v>woda pitna</v>
      </c>
      <c r="AE2318" s="742">
        <v>90</v>
      </c>
      <c r="AF2318" s="743">
        <v>14</v>
      </c>
      <c r="AG2318" s="733" t="str">
        <f>'DICTIONARY-5'!$A$23</f>
        <v>powłoka epoksydowa</v>
      </c>
    </row>
    <row r="2319" spans="1:33" x14ac:dyDescent="0.25">
      <c r="A2319" s="872" t="s">
        <v>2168</v>
      </c>
      <c r="B2319" s="872" t="s">
        <v>4735</v>
      </c>
      <c r="C2319" s="836">
        <v>167</v>
      </c>
      <c r="D2319" s="836"/>
      <c r="E2319" s="836"/>
      <c r="F2319" s="836"/>
      <c r="G2319" s="496" t="s">
        <v>7843</v>
      </c>
      <c r="H2319" s="797" t="str">
        <f>VLOOKUP(G2319,SETTINGS!$B$7:$D$97,2,0)</f>
        <v>VARIplus</v>
      </c>
      <c r="I2319" s="796">
        <f>VLOOKUP(G2319,SETTINGS!$B$7:$D$97,3,0)</f>
        <v>0</v>
      </c>
      <c r="J2319" s="670" t="str">
        <f>IFERROR(IF(CURRENCY.FORMAT_1=0,CONCATENATE(TEXT(FIXED(ROUND((C2319/EXC.RATE_1),CURRENCY.FORMAT_1),CURRENCY.FORMAT_1,1),"# ##0;-# ##0"),",-"),FIXED(ROUND((C2319/EXC.RATE_1),CURRENCY.FORMAT_1),CURRENCY.FORMAT_1,0)),'DICTIONARY-5'!$A$2)</f>
        <v>167,-</v>
      </c>
      <c r="K2319" s="670" t="str">
        <f>IF(EXC.RATE_2=0,"",IFERROR(IF(CURRENCY.FORMAT_2=0,CONCATENATE(TEXT(FIXED(ROUND(IF(EXC.RATE.SWITCH=1,C2319/EXC.RATE_2,C2319*EXC.RATE_2),CURRENCY.FORMAT_2),CURRENCY.FORMAT_2,1),"# ##0;-# ##0"),",-"),FIXED(ROUND(IF(EXC.RATE.SWITCH=1,C2319/EXC.RATE_2,C2319*EXC.RATE_2),CURRENCY.FORMAT_2),CURRENCY.FORMAT_2,0)),'DICTIONARY-5'!$A$2))</f>
        <v/>
      </c>
      <c r="L2319" s="670" t="str">
        <f>IFERROR(IF(CURRENCY.FORMAT_1=0,CONCATENATE(TEXT(FIXED(ROUND((C2319*(1-I2319)*(1-ADD.DISCOUNT)*(1+MAT.SURCHARGE)/EXC.RATE_1),CURRENCY.FORMAT_1),CURRENCY.FORMAT_1,1),"# ##0;-# ##0"),",-"),FIXED(ROUND((C2319*(1-I2319)*(1-ADD.DISCOUNT)*(1+MAT.SURCHARGE)/EXC.RATE_1),CURRENCY.FORMAT_1),CURRENCY.FORMAT_1,0)),'DICTIONARY-5'!$A$2)</f>
        <v>174,-</v>
      </c>
      <c r="M2319" s="670" t="str">
        <f>IF(EXC.RATE_2=0,"",IFERROR(IF(CURRENCY.FORMAT_2=0,CONCATENATE(TEXT(FIXED(ROUND(IF(EXC.RATE.SWITCH=1,C2319*(1-I2319)*(1-ADD.DISCOUNT)*(1+MAT.SURCHARGE)/EXC.RATE_2,C2319*(1-I2319)*(1-ADD.DISCOUNT)*(1+MAT.SURCHARGE)*EXC.RATE_2),CURRENCY.FORMAT_2),CURRENCY.FORMAT_2,1),"# ##0;-# ##0"),",-"),FIXED(ROUND(IF(EXC.RATE.SWITCH=1,C2319*(1-I2319)*(1-ADD.DISCOUNT)*(1+MAT.SURCHARGE)/EXC.RATE_2,C2319*(1-I2319)*(1-ADD.DISCOUNT)*(1+MAT.SURCHARGE)*EXC.RATE_2),CURRENCY.FORMAT_2),CURRENCY.FORMAT_2,0)),'DICTIONARY-5'!$A$2))</f>
        <v/>
      </c>
      <c r="N2319" s="538">
        <v>10</v>
      </c>
      <c r="O2319" s="538"/>
      <c r="P2319" s="731" t="str">
        <f>'DICTIONARY-3'!$A$125</f>
        <v>VARIplus-RFA</v>
      </c>
      <c r="Q2319" s="732" t="str">
        <f>'DICTIONARY-3'!$A$215</f>
        <v>Adapter kołnierzowy</v>
      </c>
      <c r="R2319" s="732" t="str">
        <f>CONCATENATE('DICTIONARY-3'!$A$125," ",'DICTIONARY-6'!$A$14," ",'DICTIONARY-2'!$A$2,"250"," ",'DICTIONARY-2'!$A$3,"10/16"," ",'DICTIONARY-2'!$A$5,"250-267")</f>
        <v>VARIplus-RFA Adapt. kołnierz. DN250 PN10/16 Da250-267</v>
      </c>
      <c r="S2319" s="733" t="s">
        <v>5569</v>
      </c>
      <c r="T2319" s="732" t="s">
        <v>5569</v>
      </c>
      <c r="U2319" s="734" t="s">
        <v>5751</v>
      </c>
      <c r="V2319" s="735">
        <v>16</v>
      </c>
      <c r="W2319" s="736" t="s">
        <v>5679</v>
      </c>
      <c r="X2319" s="737"/>
      <c r="Y2319" s="738"/>
      <c r="Z2319" s="739"/>
      <c r="AA2319" s="739"/>
      <c r="AB2319" s="740">
        <v>16</v>
      </c>
      <c r="AC2319" s="741" t="s">
        <v>5569</v>
      </c>
      <c r="AD2319" s="733" t="str">
        <f>'DICTIONARY-5'!$A$13</f>
        <v>woda pitna</v>
      </c>
      <c r="AE2319" s="742">
        <v>90</v>
      </c>
      <c r="AF2319" s="743">
        <v>16</v>
      </c>
      <c r="AG2319" s="733" t="str">
        <f>'DICTIONARY-5'!$A$23</f>
        <v>powłoka epoksydowa</v>
      </c>
    </row>
    <row r="2320" spans="1:33" x14ac:dyDescent="0.25">
      <c r="A2320" s="872" t="s">
        <v>2170</v>
      </c>
      <c r="B2320" s="872" t="s">
        <v>4737</v>
      </c>
      <c r="C2320" s="836">
        <v>190</v>
      </c>
      <c r="D2320" s="836"/>
      <c r="E2320" s="836"/>
      <c r="F2320" s="836"/>
      <c r="G2320" s="496" t="s">
        <v>7843</v>
      </c>
      <c r="H2320" s="797" t="str">
        <f>VLOOKUP(G2320,SETTINGS!$B$7:$D$97,2,0)</f>
        <v>VARIplus</v>
      </c>
      <c r="I2320" s="796">
        <f>VLOOKUP(G2320,SETTINGS!$B$7:$D$97,3,0)</f>
        <v>0</v>
      </c>
      <c r="J2320" s="670" t="str">
        <f>IFERROR(IF(CURRENCY.FORMAT_1=0,CONCATENATE(TEXT(FIXED(ROUND((C2320/EXC.RATE_1),CURRENCY.FORMAT_1),CURRENCY.FORMAT_1,1),"# ##0;-# ##0"),",-"),FIXED(ROUND((C2320/EXC.RATE_1),CURRENCY.FORMAT_1),CURRENCY.FORMAT_1,0)),'DICTIONARY-5'!$A$2)</f>
        <v>190,-</v>
      </c>
      <c r="K2320" s="670" t="str">
        <f>IF(EXC.RATE_2=0,"",IFERROR(IF(CURRENCY.FORMAT_2=0,CONCATENATE(TEXT(FIXED(ROUND(IF(EXC.RATE.SWITCH=1,C2320/EXC.RATE_2,C2320*EXC.RATE_2),CURRENCY.FORMAT_2),CURRENCY.FORMAT_2,1),"# ##0;-# ##0"),",-"),FIXED(ROUND(IF(EXC.RATE.SWITCH=1,C2320/EXC.RATE_2,C2320*EXC.RATE_2),CURRENCY.FORMAT_2),CURRENCY.FORMAT_2,0)),'DICTIONARY-5'!$A$2))</f>
        <v/>
      </c>
      <c r="L2320" s="670" t="str">
        <f>IFERROR(IF(CURRENCY.FORMAT_1=0,CONCATENATE(TEXT(FIXED(ROUND((C2320*(1-I2320)*(1-ADD.DISCOUNT)*(1+MAT.SURCHARGE)/EXC.RATE_1),CURRENCY.FORMAT_1),CURRENCY.FORMAT_1,1),"# ##0;-# ##0"),",-"),FIXED(ROUND((C2320*(1-I2320)*(1-ADD.DISCOUNT)*(1+MAT.SURCHARGE)/EXC.RATE_1),CURRENCY.FORMAT_1),CURRENCY.FORMAT_1,0)),'DICTIONARY-5'!$A$2)</f>
        <v>197,-</v>
      </c>
      <c r="M2320" s="670" t="str">
        <f>IF(EXC.RATE_2=0,"",IFERROR(IF(CURRENCY.FORMAT_2=0,CONCATENATE(TEXT(FIXED(ROUND(IF(EXC.RATE.SWITCH=1,C2320*(1-I2320)*(1-ADD.DISCOUNT)*(1+MAT.SURCHARGE)/EXC.RATE_2,C2320*(1-I2320)*(1-ADD.DISCOUNT)*(1+MAT.SURCHARGE)*EXC.RATE_2),CURRENCY.FORMAT_2),CURRENCY.FORMAT_2,1),"# ##0;-# ##0"),",-"),FIXED(ROUND(IF(EXC.RATE.SWITCH=1,C2320*(1-I2320)*(1-ADD.DISCOUNT)*(1+MAT.SURCHARGE)/EXC.RATE_2,C2320*(1-I2320)*(1-ADD.DISCOUNT)*(1+MAT.SURCHARGE)*EXC.RATE_2),CURRENCY.FORMAT_2),CURRENCY.FORMAT_2,0)),'DICTIONARY-5'!$A$2))</f>
        <v/>
      </c>
      <c r="N2320" s="538">
        <v>10</v>
      </c>
      <c r="O2320" s="538"/>
      <c r="P2320" s="731" t="str">
        <f>'DICTIONARY-3'!$A$125</f>
        <v>VARIplus-RFA</v>
      </c>
      <c r="Q2320" s="732" t="str">
        <f>'DICTIONARY-3'!$A$215</f>
        <v>Adapter kołnierzowy</v>
      </c>
      <c r="R2320" s="732" t="str">
        <f>CONCATENATE('DICTIONARY-3'!$A$125," ",'DICTIONARY-6'!$A$14," ",'DICTIONARY-2'!$A$2,"250"," ",'DICTIONARY-2'!$A$3,"10/16"," ",'DICTIONARY-2'!$A$5,"272-289")</f>
        <v>VARIplus-RFA Adapt. kołnierz. DN250 PN10/16 Da272-289</v>
      </c>
      <c r="S2320" s="733" t="s">
        <v>5569</v>
      </c>
      <c r="T2320" s="732" t="s">
        <v>5569</v>
      </c>
      <c r="U2320" s="734" t="s">
        <v>5751</v>
      </c>
      <c r="V2320" s="735">
        <v>16</v>
      </c>
      <c r="W2320" s="736" t="s">
        <v>5680</v>
      </c>
      <c r="X2320" s="737"/>
      <c r="Y2320" s="738"/>
      <c r="Z2320" s="739"/>
      <c r="AA2320" s="739"/>
      <c r="AB2320" s="740">
        <v>16</v>
      </c>
      <c r="AC2320" s="741"/>
      <c r="AD2320" s="733" t="str">
        <f>'DICTIONARY-5'!$A$13</f>
        <v>woda pitna</v>
      </c>
      <c r="AE2320" s="742">
        <v>90</v>
      </c>
      <c r="AF2320" s="743">
        <v>14.5</v>
      </c>
      <c r="AG2320" s="733" t="str">
        <f>'DICTIONARY-5'!$A$23</f>
        <v>powłoka epoksydowa</v>
      </c>
    </row>
    <row r="2321" spans="1:33" x14ac:dyDescent="0.25">
      <c r="A2321" s="872" t="s">
        <v>2172</v>
      </c>
      <c r="B2321" s="872" t="s">
        <v>4738</v>
      </c>
      <c r="C2321" s="836">
        <v>238</v>
      </c>
      <c r="D2321" s="836"/>
      <c r="E2321" s="836"/>
      <c r="F2321" s="836"/>
      <c r="G2321" s="496" t="s">
        <v>7843</v>
      </c>
      <c r="H2321" s="797" t="str">
        <f>VLOOKUP(G2321,SETTINGS!$B$7:$D$97,2,0)</f>
        <v>VARIplus</v>
      </c>
      <c r="I2321" s="796">
        <f>VLOOKUP(G2321,SETTINGS!$B$7:$D$97,3,0)</f>
        <v>0</v>
      </c>
      <c r="J2321" s="670" t="str">
        <f>IFERROR(IF(CURRENCY.FORMAT_1=0,CONCATENATE(TEXT(FIXED(ROUND((C2321/EXC.RATE_1),CURRENCY.FORMAT_1),CURRENCY.FORMAT_1,1),"# ##0;-# ##0"),",-"),FIXED(ROUND((C2321/EXC.RATE_1),CURRENCY.FORMAT_1),CURRENCY.FORMAT_1,0)),'DICTIONARY-5'!$A$2)</f>
        <v>238,-</v>
      </c>
      <c r="K2321" s="670" t="str">
        <f>IF(EXC.RATE_2=0,"",IFERROR(IF(CURRENCY.FORMAT_2=0,CONCATENATE(TEXT(FIXED(ROUND(IF(EXC.RATE.SWITCH=1,C2321/EXC.RATE_2,C2321*EXC.RATE_2),CURRENCY.FORMAT_2),CURRENCY.FORMAT_2,1),"# ##0;-# ##0"),",-"),FIXED(ROUND(IF(EXC.RATE.SWITCH=1,C2321/EXC.RATE_2,C2321*EXC.RATE_2),CURRENCY.FORMAT_2),CURRENCY.FORMAT_2,0)),'DICTIONARY-5'!$A$2))</f>
        <v/>
      </c>
      <c r="L2321" s="670" t="str">
        <f>IFERROR(IF(CURRENCY.FORMAT_1=0,CONCATENATE(TEXT(FIXED(ROUND((C2321*(1-I2321)*(1-ADD.DISCOUNT)*(1+MAT.SURCHARGE)/EXC.RATE_1),CURRENCY.FORMAT_1),CURRENCY.FORMAT_1,1),"# ##0;-# ##0"),",-"),FIXED(ROUND((C2321*(1-I2321)*(1-ADD.DISCOUNT)*(1+MAT.SURCHARGE)/EXC.RATE_1),CURRENCY.FORMAT_1),CURRENCY.FORMAT_1,0)),'DICTIONARY-5'!$A$2)</f>
        <v>247,-</v>
      </c>
      <c r="M2321" s="670" t="str">
        <f>IF(EXC.RATE_2=0,"",IFERROR(IF(CURRENCY.FORMAT_2=0,CONCATENATE(TEXT(FIXED(ROUND(IF(EXC.RATE.SWITCH=1,C2321*(1-I2321)*(1-ADD.DISCOUNT)*(1+MAT.SURCHARGE)/EXC.RATE_2,C2321*(1-I2321)*(1-ADD.DISCOUNT)*(1+MAT.SURCHARGE)*EXC.RATE_2),CURRENCY.FORMAT_2),CURRENCY.FORMAT_2,1),"# ##0;-# ##0"),",-"),FIXED(ROUND(IF(EXC.RATE.SWITCH=1,C2321*(1-I2321)*(1-ADD.DISCOUNT)*(1+MAT.SURCHARGE)/EXC.RATE_2,C2321*(1-I2321)*(1-ADD.DISCOUNT)*(1+MAT.SURCHARGE)*EXC.RATE_2),CURRENCY.FORMAT_2),CURRENCY.FORMAT_2,0)),'DICTIONARY-5'!$A$2))</f>
        <v/>
      </c>
      <c r="N2321" s="538">
        <v>10</v>
      </c>
      <c r="O2321" s="538"/>
      <c r="P2321" s="731" t="str">
        <f>'DICTIONARY-3'!$A$125</f>
        <v>VARIplus-RFA</v>
      </c>
      <c r="Q2321" s="732" t="str">
        <f>'DICTIONARY-3'!$A$215</f>
        <v>Adapter kołnierzowy</v>
      </c>
      <c r="R2321" s="732" t="str">
        <f>CONCATENATE('DICTIONARY-3'!$A$125," ",'DICTIONARY-6'!$A$14," ",'DICTIONARY-2'!$A$2,"300"," ",'DICTIONARY-2'!$A$3,"10/16"," ",'DICTIONARY-2'!$A$5,"315-332")</f>
        <v>VARIplus-RFA Adapt. kołnierz. DN300 PN10/16 Da315-332</v>
      </c>
      <c r="S2321" s="733" t="s">
        <v>5569</v>
      </c>
      <c r="T2321" s="732" t="s">
        <v>5569</v>
      </c>
      <c r="U2321" s="734" t="s">
        <v>5752</v>
      </c>
      <c r="V2321" s="735">
        <v>16</v>
      </c>
      <c r="W2321" s="736" t="s">
        <v>5681</v>
      </c>
      <c r="X2321" s="737"/>
      <c r="Y2321" s="738"/>
      <c r="Z2321" s="739"/>
      <c r="AA2321" s="739"/>
      <c r="AB2321" s="740">
        <v>16</v>
      </c>
      <c r="AC2321" s="741"/>
      <c r="AD2321" s="733" t="str">
        <f>'DICTIONARY-5'!$A$13</f>
        <v>woda pitna</v>
      </c>
      <c r="AE2321" s="742">
        <v>90</v>
      </c>
      <c r="AF2321" s="743">
        <v>20.5</v>
      </c>
      <c r="AG2321" s="733" t="str">
        <f>'DICTIONARY-5'!$A$23</f>
        <v>powłoka epoksydowa</v>
      </c>
    </row>
    <row r="2322" spans="1:33" x14ac:dyDescent="0.25">
      <c r="A2322" s="872" t="s">
        <v>2174</v>
      </c>
      <c r="B2322" s="872" t="s">
        <v>4740</v>
      </c>
      <c r="C2322" s="836">
        <v>241</v>
      </c>
      <c r="D2322" s="836"/>
      <c r="E2322" s="836"/>
      <c r="F2322" s="836"/>
      <c r="G2322" s="496" t="s">
        <v>7843</v>
      </c>
      <c r="H2322" s="797" t="str">
        <f>VLOOKUP(G2322,SETTINGS!$B$7:$D$97,2,0)</f>
        <v>VARIplus</v>
      </c>
      <c r="I2322" s="796">
        <f>VLOOKUP(G2322,SETTINGS!$B$7:$D$97,3,0)</f>
        <v>0</v>
      </c>
      <c r="J2322" s="670" t="str">
        <f>IFERROR(IF(CURRENCY.FORMAT_1=0,CONCATENATE(TEXT(FIXED(ROUND((C2322/EXC.RATE_1),CURRENCY.FORMAT_1),CURRENCY.FORMAT_1,1),"# ##0;-# ##0"),",-"),FIXED(ROUND((C2322/EXC.RATE_1),CURRENCY.FORMAT_1),CURRENCY.FORMAT_1,0)),'DICTIONARY-5'!$A$2)</f>
        <v>241,-</v>
      </c>
      <c r="K2322" s="670" t="str">
        <f>IF(EXC.RATE_2=0,"",IFERROR(IF(CURRENCY.FORMAT_2=0,CONCATENATE(TEXT(FIXED(ROUND(IF(EXC.RATE.SWITCH=1,C2322/EXC.RATE_2,C2322*EXC.RATE_2),CURRENCY.FORMAT_2),CURRENCY.FORMAT_2,1),"# ##0;-# ##0"),",-"),FIXED(ROUND(IF(EXC.RATE.SWITCH=1,C2322/EXC.RATE_2,C2322*EXC.RATE_2),CURRENCY.FORMAT_2),CURRENCY.FORMAT_2,0)),'DICTIONARY-5'!$A$2))</f>
        <v/>
      </c>
      <c r="L2322" s="670" t="str">
        <f>IFERROR(IF(CURRENCY.FORMAT_1=0,CONCATENATE(TEXT(FIXED(ROUND((C2322*(1-I2322)*(1-ADD.DISCOUNT)*(1+MAT.SURCHARGE)/EXC.RATE_1),CURRENCY.FORMAT_1),CURRENCY.FORMAT_1,1),"# ##0;-# ##0"),",-"),FIXED(ROUND((C2322*(1-I2322)*(1-ADD.DISCOUNT)*(1+MAT.SURCHARGE)/EXC.RATE_1),CURRENCY.FORMAT_1),CURRENCY.FORMAT_1,0)),'DICTIONARY-5'!$A$2)</f>
        <v>250,-</v>
      </c>
      <c r="M2322" s="670" t="str">
        <f>IF(EXC.RATE_2=0,"",IFERROR(IF(CURRENCY.FORMAT_2=0,CONCATENATE(TEXT(FIXED(ROUND(IF(EXC.RATE.SWITCH=1,C2322*(1-I2322)*(1-ADD.DISCOUNT)*(1+MAT.SURCHARGE)/EXC.RATE_2,C2322*(1-I2322)*(1-ADD.DISCOUNT)*(1+MAT.SURCHARGE)*EXC.RATE_2),CURRENCY.FORMAT_2),CURRENCY.FORMAT_2,1),"# ##0;-# ##0"),",-"),FIXED(ROUND(IF(EXC.RATE.SWITCH=1,C2322*(1-I2322)*(1-ADD.DISCOUNT)*(1+MAT.SURCHARGE)/EXC.RATE_2,C2322*(1-I2322)*(1-ADD.DISCOUNT)*(1+MAT.SURCHARGE)*EXC.RATE_2),CURRENCY.FORMAT_2),CURRENCY.FORMAT_2,0)),'DICTIONARY-5'!$A$2))</f>
        <v/>
      </c>
      <c r="N2322" s="538">
        <v>10</v>
      </c>
      <c r="O2322" s="538"/>
      <c r="P2322" s="731" t="str">
        <f>'DICTIONARY-3'!$A$125</f>
        <v>VARIplus-RFA</v>
      </c>
      <c r="Q2322" s="732" t="str">
        <f>'DICTIONARY-3'!$A$215</f>
        <v>Adapter kołnierzowy</v>
      </c>
      <c r="R2322" s="732" t="str">
        <f>CONCATENATE('DICTIONARY-3'!$A$125," ",'DICTIONARY-6'!$A$14," ",'DICTIONARY-2'!$A$2,"300"," ",'DICTIONARY-2'!$A$3,"10/16"," ",'DICTIONARY-2'!$A$5,"322-340")</f>
        <v>VARIplus-RFA Adapt. kołnierz. DN300 PN10/16 Da322-340</v>
      </c>
      <c r="S2322" s="733" t="s">
        <v>5569</v>
      </c>
      <c r="T2322" s="732" t="s">
        <v>5569</v>
      </c>
      <c r="U2322" s="734" t="s">
        <v>5752</v>
      </c>
      <c r="V2322" s="735">
        <v>16</v>
      </c>
      <c r="W2322" s="736" t="s">
        <v>5682</v>
      </c>
      <c r="X2322" s="737"/>
      <c r="Y2322" s="738"/>
      <c r="Z2322" s="739"/>
      <c r="AA2322" s="739"/>
      <c r="AB2322" s="740">
        <v>16</v>
      </c>
      <c r="AC2322" s="741"/>
      <c r="AD2322" s="733" t="str">
        <f>'DICTIONARY-5'!$A$13</f>
        <v>woda pitna</v>
      </c>
      <c r="AE2322" s="742">
        <v>90</v>
      </c>
      <c r="AF2322" s="743">
        <v>21</v>
      </c>
      <c r="AG2322" s="733" t="str">
        <f>'DICTIONARY-5'!$A$23</f>
        <v>powłoka epoksydowa</v>
      </c>
    </row>
    <row r="2323" spans="1:33" x14ac:dyDescent="0.25">
      <c r="A2323" s="872" t="s">
        <v>2176</v>
      </c>
      <c r="B2323" s="872" t="str">
        <f>'DICTIONARY-5'!$A$2</f>
        <v>na zapytanie</v>
      </c>
      <c r="C2323" s="836" t="s">
        <v>5967</v>
      </c>
      <c r="D2323" s="836"/>
      <c r="E2323" s="836"/>
      <c r="F2323" s="836"/>
      <c r="G2323" s="496" t="s">
        <v>7843</v>
      </c>
      <c r="H2323" s="797" t="str">
        <f>VLOOKUP(G2323,SETTINGS!$B$7:$D$97,2,0)</f>
        <v>VARIplus</v>
      </c>
      <c r="I2323" s="796">
        <f>VLOOKUP(G2323,SETTINGS!$B$7:$D$97,3,0)</f>
        <v>0</v>
      </c>
      <c r="J2323" s="670" t="str">
        <f>IFERROR(IF(CURRENCY.FORMAT_1=0,CONCATENATE(TEXT(FIXED(ROUND((C2323/EXC.RATE_1),CURRENCY.FORMAT_1),CURRENCY.FORMAT_1,1),"# ##0;-# ##0"),",-"),FIXED(ROUND((C2323/EXC.RATE_1),CURRENCY.FORMAT_1),CURRENCY.FORMAT_1,0)),'DICTIONARY-5'!$A$2)</f>
        <v>na zapytanie</v>
      </c>
      <c r="K2323" s="670" t="str">
        <f>IF(EXC.RATE_2=0,"",IFERROR(IF(CURRENCY.FORMAT_2=0,CONCATENATE(TEXT(FIXED(ROUND(IF(EXC.RATE.SWITCH=1,C2323/EXC.RATE_2,C2323*EXC.RATE_2),CURRENCY.FORMAT_2),CURRENCY.FORMAT_2,1),"# ##0;-# ##0"),",-"),FIXED(ROUND(IF(EXC.RATE.SWITCH=1,C2323/EXC.RATE_2,C2323*EXC.RATE_2),CURRENCY.FORMAT_2),CURRENCY.FORMAT_2,0)),'DICTIONARY-5'!$A$2))</f>
        <v/>
      </c>
      <c r="L2323" s="670" t="str">
        <f>IFERROR(IF(CURRENCY.FORMAT_1=0,CONCATENATE(TEXT(FIXED(ROUND((C2323*(1-I2323)*(1-ADD.DISCOUNT)*(1+MAT.SURCHARGE)/EXC.RATE_1),CURRENCY.FORMAT_1),CURRENCY.FORMAT_1,1),"# ##0;-# ##0"),",-"),FIXED(ROUND((C2323*(1-I2323)*(1-ADD.DISCOUNT)*(1+MAT.SURCHARGE)/EXC.RATE_1),CURRENCY.FORMAT_1),CURRENCY.FORMAT_1,0)),'DICTIONARY-5'!$A$2)</f>
        <v>na zapytanie</v>
      </c>
      <c r="M2323" s="670" t="str">
        <f>IF(EXC.RATE_2=0,"",IFERROR(IF(CURRENCY.FORMAT_2=0,CONCATENATE(TEXT(FIXED(ROUND(IF(EXC.RATE.SWITCH=1,C2323*(1-I2323)*(1-ADD.DISCOUNT)*(1+MAT.SURCHARGE)/EXC.RATE_2,C2323*(1-I2323)*(1-ADD.DISCOUNT)*(1+MAT.SURCHARGE)*EXC.RATE_2),CURRENCY.FORMAT_2),CURRENCY.FORMAT_2,1),"# ##0;-# ##0"),",-"),FIXED(ROUND(IF(EXC.RATE.SWITCH=1,C2323*(1-I2323)*(1-ADD.DISCOUNT)*(1+MAT.SURCHARGE)/EXC.RATE_2,C2323*(1-I2323)*(1-ADD.DISCOUNT)*(1+MAT.SURCHARGE)*EXC.RATE_2),CURRENCY.FORMAT_2),CURRENCY.FORMAT_2,0)),'DICTIONARY-5'!$A$2))</f>
        <v/>
      </c>
      <c r="N2323" s="538">
        <v>10</v>
      </c>
      <c r="O2323" s="538"/>
      <c r="P2323" s="731" t="str">
        <f>'DICTIONARY-3'!$A$125</f>
        <v>VARIplus-RFA</v>
      </c>
      <c r="Q2323" s="732" t="str">
        <f>'DICTIONARY-3'!$A$215</f>
        <v>Adapter kołnierzowy</v>
      </c>
      <c r="R2323" s="732" t="str">
        <f>CONCATENATE('DICTIONARY-3'!$A$125," ",'DICTIONARY-6'!$A$14," ",'DICTIONARY-2'!$A$2,"350"," ",'DICTIONARY-2'!$A$3,"10/16"," ",'DICTIONARY-2'!$A$5,"351-378")</f>
        <v>VARIplus-RFA Adapt. kołnierz. DN350 PN10/16 Da351-378</v>
      </c>
      <c r="S2323" s="733" t="s">
        <v>5569</v>
      </c>
      <c r="T2323" s="732" t="s">
        <v>5569</v>
      </c>
      <c r="U2323" s="734" t="s">
        <v>5753</v>
      </c>
      <c r="V2323" s="735">
        <v>16</v>
      </c>
      <c r="W2323" s="736" t="s">
        <v>5683</v>
      </c>
      <c r="X2323" s="737"/>
      <c r="Y2323" s="738"/>
      <c r="Z2323" s="739"/>
      <c r="AA2323" s="739"/>
      <c r="AB2323" s="740">
        <v>16</v>
      </c>
      <c r="AC2323" s="741"/>
      <c r="AD2323" s="733" t="str">
        <f>'DICTIONARY-5'!$A$13</f>
        <v>woda pitna</v>
      </c>
      <c r="AE2323" s="742">
        <v>90</v>
      </c>
      <c r="AF2323" s="743"/>
      <c r="AG2323" s="733" t="str">
        <f>'DICTIONARY-5'!$A$23</f>
        <v>powłoka epoksydowa</v>
      </c>
    </row>
    <row r="2324" spans="1:33" x14ac:dyDescent="0.25">
      <c r="A2324" s="872" t="s">
        <v>2178</v>
      </c>
      <c r="B2324" s="872" t="s">
        <v>4742</v>
      </c>
      <c r="C2324" s="836">
        <v>382</v>
      </c>
      <c r="D2324" s="836"/>
      <c r="E2324" s="836"/>
      <c r="F2324" s="836"/>
      <c r="G2324" s="496" t="s">
        <v>7843</v>
      </c>
      <c r="H2324" s="797" t="str">
        <f>VLOOKUP(G2324,SETTINGS!$B$7:$D$97,2,0)</f>
        <v>VARIplus</v>
      </c>
      <c r="I2324" s="796">
        <f>VLOOKUP(G2324,SETTINGS!$B$7:$D$97,3,0)</f>
        <v>0</v>
      </c>
      <c r="J2324" s="670" t="str">
        <f>IFERROR(IF(CURRENCY.FORMAT_1=0,CONCATENATE(TEXT(FIXED(ROUND((C2324/EXC.RATE_1),CURRENCY.FORMAT_1),CURRENCY.FORMAT_1,1),"# ##0;-# ##0"),",-"),FIXED(ROUND((C2324/EXC.RATE_1),CURRENCY.FORMAT_1),CURRENCY.FORMAT_1,0)),'DICTIONARY-5'!$A$2)</f>
        <v>382,-</v>
      </c>
      <c r="K2324" s="670" t="str">
        <f>IF(EXC.RATE_2=0,"",IFERROR(IF(CURRENCY.FORMAT_2=0,CONCATENATE(TEXT(FIXED(ROUND(IF(EXC.RATE.SWITCH=1,C2324/EXC.RATE_2,C2324*EXC.RATE_2),CURRENCY.FORMAT_2),CURRENCY.FORMAT_2,1),"# ##0;-# ##0"),",-"),FIXED(ROUND(IF(EXC.RATE.SWITCH=1,C2324/EXC.RATE_2,C2324*EXC.RATE_2),CURRENCY.FORMAT_2),CURRENCY.FORMAT_2,0)),'DICTIONARY-5'!$A$2))</f>
        <v/>
      </c>
      <c r="L2324" s="670" t="str">
        <f>IFERROR(IF(CURRENCY.FORMAT_1=0,CONCATENATE(TEXT(FIXED(ROUND((C2324*(1-I2324)*(1-ADD.DISCOUNT)*(1+MAT.SURCHARGE)/EXC.RATE_1),CURRENCY.FORMAT_1),CURRENCY.FORMAT_1,1),"# ##0;-# ##0"),",-"),FIXED(ROUND((C2324*(1-I2324)*(1-ADD.DISCOUNT)*(1+MAT.SURCHARGE)/EXC.RATE_1),CURRENCY.FORMAT_1),CURRENCY.FORMAT_1,0)),'DICTIONARY-5'!$A$2)</f>
        <v>397,-</v>
      </c>
      <c r="M2324" s="670" t="str">
        <f>IF(EXC.RATE_2=0,"",IFERROR(IF(CURRENCY.FORMAT_2=0,CONCATENATE(TEXT(FIXED(ROUND(IF(EXC.RATE.SWITCH=1,C2324*(1-I2324)*(1-ADD.DISCOUNT)*(1+MAT.SURCHARGE)/EXC.RATE_2,C2324*(1-I2324)*(1-ADD.DISCOUNT)*(1+MAT.SURCHARGE)*EXC.RATE_2),CURRENCY.FORMAT_2),CURRENCY.FORMAT_2,1),"# ##0;-# ##0"),",-"),FIXED(ROUND(IF(EXC.RATE.SWITCH=1,C2324*(1-I2324)*(1-ADD.DISCOUNT)*(1+MAT.SURCHARGE)/EXC.RATE_2,C2324*(1-I2324)*(1-ADD.DISCOUNT)*(1+MAT.SURCHARGE)*EXC.RATE_2),CURRENCY.FORMAT_2),CURRENCY.FORMAT_2,0)),'DICTIONARY-5'!$A$2))</f>
        <v/>
      </c>
      <c r="N2324" s="538">
        <v>10</v>
      </c>
      <c r="O2324" s="538"/>
      <c r="P2324" s="731" t="str">
        <f>'DICTIONARY-3'!$A$125</f>
        <v>VARIplus-RFA</v>
      </c>
      <c r="Q2324" s="732" t="str">
        <f>'DICTIONARY-3'!$A$215</f>
        <v>Adapter kołnierzowy</v>
      </c>
      <c r="R2324" s="732" t="str">
        <f>CONCATENATE('DICTIONARY-3'!$A$125," ",'DICTIONARY-6'!$A$14," ",'DICTIONARY-2'!$A$2,"350"," ",'DICTIONARY-2'!$A$3,"10/16"," ",'DICTIONARY-2'!$A$5,"374-391")</f>
        <v>VARIplus-RFA Adapt. kołnierz. DN350 PN10/16 Da374-391</v>
      </c>
      <c r="S2324" s="733" t="s">
        <v>5569</v>
      </c>
      <c r="T2324" s="732" t="s">
        <v>5569</v>
      </c>
      <c r="U2324" s="734" t="s">
        <v>5753</v>
      </c>
      <c r="V2324" s="735">
        <v>16</v>
      </c>
      <c r="W2324" s="736" t="s">
        <v>5684</v>
      </c>
      <c r="X2324" s="737"/>
      <c r="Y2324" s="738"/>
      <c r="Z2324" s="739"/>
      <c r="AA2324" s="739"/>
      <c r="AB2324" s="740">
        <v>16</v>
      </c>
      <c r="AC2324" s="741"/>
      <c r="AD2324" s="733" t="str">
        <f>'DICTIONARY-5'!$A$13</f>
        <v>woda pitna</v>
      </c>
      <c r="AE2324" s="742">
        <v>90</v>
      </c>
      <c r="AF2324" s="743">
        <v>31</v>
      </c>
      <c r="AG2324" s="733" t="str">
        <f>'DICTIONARY-5'!$A$23</f>
        <v>powłoka epoksydowa</v>
      </c>
    </row>
    <row r="2325" spans="1:33" x14ac:dyDescent="0.25">
      <c r="A2325" s="872" t="s">
        <v>2180</v>
      </c>
      <c r="B2325" s="872" t="s">
        <v>4745</v>
      </c>
      <c r="C2325" s="836">
        <v>500</v>
      </c>
      <c r="D2325" s="836"/>
      <c r="E2325" s="836"/>
      <c r="F2325" s="836"/>
      <c r="G2325" s="496" t="s">
        <v>7843</v>
      </c>
      <c r="H2325" s="797" t="str">
        <f>VLOOKUP(G2325,SETTINGS!$B$7:$D$97,2,0)</f>
        <v>VARIplus</v>
      </c>
      <c r="I2325" s="796">
        <f>VLOOKUP(G2325,SETTINGS!$B$7:$D$97,3,0)</f>
        <v>0</v>
      </c>
      <c r="J2325" s="670" t="str">
        <f>IFERROR(IF(CURRENCY.FORMAT_1=0,CONCATENATE(TEXT(FIXED(ROUND((C2325/EXC.RATE_1),CURRENCY.FORMAT_1),CURRENCY.FORMAT_1,1),"# ##0;-# ##0"),",-"),FIXED(ROUND((C2325/EXC.RATE_1),CURRENCY.FORMAT_1),CURRENCY.FORMAT_1,0)),'DICTIONARY-5'!$A$2)</f>
        <v>500,-</v>
      </c>
      <c r="K2325" s="670" t="str">
        <f>IF(EXC.RATE_2=0,"",IFERROR(IF(CURRENCY.FORMAT_2=0,CONCATENATE(TEXT(FIXED(ROUND(IF(EXC.RATE.SWITCH=1,C2325/EXC.RATE_2,C2325*EXC.RATE_2),CURRENCY.FORMAT_2),CURRENCY.FORMAT_2,1),"# ##0;-# ##0"),",-"),FIXED(ROUND(IF(EXC.RATE.SWITCH=1,C2325/EXC.RATE_2,C2325*EXC.RATE_2),CURRENCY.FORMAT_2),CURRENCY.FORMAT_2,0)),'DICTIONARY-5'!$A$2))</f>
        <v/>
      </c>
      <c r="L2325" s="670" t="str">
        <f>IFERROR(IF(CURRENCY.FORMAT_1=0,CONCATENATE(TEXT(FIXED(ROUND((C2325*(1-I2325)*(1-ADD.DISCOUNT)*(1+MAT.SURCHARGE)/EXC.RATE_1),CURRENCY.FORMAT_1),CURRENCY.FORMAT_1,1),"# ##0;-# ##0"),",-"),FIXED(ROUND((C2325*(1-I2325)*(1-ADD.DISCOUNT)*(1+MAT.SURCHARGE)/EXC.RATE_1),CURRENCY.FORMAT_1),CURRENCY.FORMAT_1,0)),'DICTIONARY-5'!$A$2)</f>
        <v>520,-</v>
      </c>
      <c r="M2325" s="670" t="str">
        <f>IF(EXC.RATE_2=0,"",IFERROR(IF(CURRENCY.FORMAT_2=0,CONCATENATE(TEXT(FIXED(ROUND(IF(EXC.RATE.SWITCH=1,C2325*(1-I2325)*(1-ADD.DISCOUNT)*(1+MAT.SURCHARGE)/EXC.RATE_2,C2325*(1-I2325)*(1-ADD.DISCOUNT)*(1+MAT.SURCHARGE)*EXC.RATE_2),CURRENCY.FORMAT_2),CURRENCY.FORMAT_2,1),"# ##0;-# ##0"),",-"),FIXED(ROUND(IF(EXC.RATE.SWITCH=1,C2325*(1-I2325)*(1-ADD.DISCOUNT)*(1+MAT.SURCHARGE)/EXC.RATE_2,C2325*(1-I2325)*(1-ADD.DISCOUNT)*(1+MAT.SURCHARGE)*EXC.RATE_2),CURRENCY.FORMAT_2),CURRENCY.FORMAT_2,0)),'DICTIONARY-5'!$A$2))</f>
        <v/>
      </c>
      <c r="N2325" s="538">
        <v>10</v>
      </c>
      <c r="O2325" s="538"/>
      <c r="P2325" s="731" t="str">
        <f>'DICTIONARY-3'!$A$125</f>
        <v>VARIplus-RFA</v>
      </c>
      <c r="Q2325" s="732" t="str">
        <f>'DICTIONARY-3'!$A$215</f>
        <v>Adapter kołnierzowy</v>
      </c>
      <c r="R2325" s="732" t="str">
        <f>CONCATENATE('DICTIONARY-3'!$A$125," ",'DICTIONARY-6'!$A$14," ",'DICTIONARY-2'!$A$2,"400"," ",'DICTIONARY-2'!$A$3,"10/16"," ",'DICTIONARY-2'!$A$5,"417-437")</f>
        <v>VARIplus-RFA Adapt. kołnierz. DN400 PN10/16 Da417-437</v>
      </c>
      <c r="S2325" s="733" t="s">
        <v>5569</v>
      </c>
      <c r="T2325" s="732" t="s">
        <v>5569</v>
      </c>
      <c r="U2325" s="734" t="s">
        <v>5754</v>
      </c>
      <c r="V2325" s="735">
        <v>16</v>
      </c>
      <c r="W2325" s="736" t="s">
        <v>5686</v>
      </c>
      <c r="X2325" s="737"/>
      <c r="Y2325" s="738"/>
      <c r="Z2325" s="739"/>
      <c r="AA2325" s="739"/>
      <c r="AB2325" s="740">
        <v>16</v>
      </c>
      <c r="AC2325" s="741"/>
      <c r="AD2325" s="733" t="str">
        <f>'DICTIONARY-5'!$A$13</f>
        <v>woda pitna</v>
      </c>
      <c r="AE2325" s="742">
        <v>90</v>
      </c>
      <c r="AF2325" s="743">
        <v>35.5</v>
      </c>
      <c r="AG2325" s="733" t="str">
        <f>'DICTIONARY-5'!$A$23</f>
        <v>powłoka epoksydowa</v>
      </c>
    </row>
    <row r="2326" spans="1:33" x14ac:dyDescent="0.25">
      <c r="A2326" s="872" t="s">
        <v>2182</v>
      </c>
      <c r="B2326" s="872" t="s">
        <v>4747</v>
      </c>
      <c r="C2326" s="836">
        <v>385</v>
      </c>
      <c r="D2326" s="836"/>
      <c r="E2326" s="836"/>
      <c r="F2326" s="836"/>
      <c r="G2326" s="496" t="s">
        <v>7843</v>
      </c>
      <c r="H2326" s="797" t="str">
        <f>VLOOKUP(G2326,SETTINGS!$B$7:$D$97,2,0)</f>
        <v>VARIplus</v>
      </c>
      <c r="I2326" s="796">
        <f>VLOOKUP(G2326,SETTINGS!$B$7:$D$97,3,0)</f>
        <v>0</v>
      </c>
      <c r="J2326" s="670" t="str">
        <f>IFERROR(IF(CURRENCY.FORMAT_1=0,CONCATENATE(TEXT(FIXED(ROUND((C2326/EXC.RATE_1),CURRENCY.FORMAT_1),CURRENCY.FORMAT_1,1),"# ##0;-# ##0"),",-"),FIXED(ROUND((C2326/EXC.RATE_1),CURRENCY.FORMAT_1),CURRENCY.FORMAT_1,0)),'DICTIONARY-5'!$A$2)</f>
        <v>385,-</v>
      </c>
      <c r="K2326" s="670" t="str">
        <f>IF(EXC.RATE_2=0,"",IFERROR(IF(CURRENCY.FORMAT_2=0,CONCATENATE(TEXT(FIXED(ROUND(IF(EXC.RATE.SWITCH=1,C2326/EXC.RATE_2,C2326*EXC.RATE_2),CURRENCY.FORMAT_2),CURRENCY.FORMAT_2,1),"# ##0;-# ##0"),",-"),FIXED(ROUND(IF(EXC.RATE.SWITCH=1,C2326/EXC.RATE_2,C2326*EXC.RATE_2),CURRENCY.FORMAT_2),CURRENCY.FORMAT_2,0)),'DICTIONARY-5'!$A$2))</f>
        <v/>
      </c>
      <c r="L2326" s="670" t="str">
        <f>IFERROR(IF(CURRENCY.FORMAT_1=0,CONCATENATE(TEXT(FIXED(ROUND((C2326*(1-I2326)*(1-ADD.DISCOUNT)*(1+MAT.SURCHARGE)/EXC.RATE_1),CURRENCY.FORMAT_1),CURRENCY.FORMAT_1,1),"# ##0;-# ##0"),",-"),FIXED(ROUND((C2326*(1-I2326)*(1-ADD.DISCOUNT)*(1+MAT.SURCHARGE)/EXC.RATE_1),CURRENCY.FORMAT_1),CURRENCY.FORMAT_1,0)),'DICTIONARY-5'!$A$2)</f>
        <v>400,-</v>
      </c>
      <c r="M2326" s="670" t="str">
        <f>IF(EXC.RATE_2=0,"",IFERROR(IF(CURRENCY.FORMAT_2=0,CONCATENATE(TEXT(FIXED(ROUND(IF(EXC.RATE.SWITCH=1,C2326*(1-I2326)*(1-ADD.DISCOUNT)*(1+MAT.SURCHARGE)/EXC.RATE_2,C2326*(1-I2326)*(1-ADD.DISCOUNT)*(1+MAT.SURCHARGE)*EXC.RATE_2),CURRENCY.FORMAT_2),CURRENCY.FORMAT_2,1),"# ##0;-# ##0"),",-"),FIXED(ROUND(IF(EXC.RATE.SWITCH=1,C2326*(1-I2326)*(1-ADD.DISCOUNT)*(1+MAT.SURCHARGE)/EXC.RATE_2,C2326*(1-I2326)*(1-ADD.DISCOUNT)*(1+MAT.SURCHARGE)*EXC.RATE_2),CURRENCY.FORMAT_2),CURRENCY.FORMAT_2,0)),'DICTIONARY-5'!$A$2))</f>
        <v/>
      </c>
      <c r="N2326" s="538">
        <v>10</v>
      </c>
      <c r="O2326" s="538"/>
      <c r="P2326" s="731" t="str">
        <f>'DICTIONARY-3'!$A$125</f>
        <v>VARIplus-RFA</v>
      </c>
      <c r="Q2326" s="732" t="str">
        <f>'DICTIONARY-3'!$A$215</f>
        <v>Adapter kołnierzowy</v>
      </c>
      <c r="R2326" s="732" t="str">
        <f>CONCATENATE('DICTIONARY-3'!$A$125," ",'DICTIONARY-6'!$A$14," ",'DICTIONARY-2'!$A$2,"400"," ",'DICTIONARY-2'!$A$3,"10/16"," ",'DICTIONARY-2'!$A$5,"425-442")</f>
        <v>VARIplus-RFA Adapt. kołnierz. DN400 PN10/16 Da425-442</v>
      </c>
      <c r="S2326" s="733" t="s">
        <v>5569</v>
      </c>
      <c r="T2326" s="732" t="s">
        <v>5569</v>
      </c>
      <c r="U2326" s="734" t="s">
        <v>5754</v>
      </c>
      <c r="V2326" s="735">
        <v>16</v>
      </c>
      <c r="W2326" s="736" t="s">
        <v>5692</v>
      </c>
      <c r="X2326" s="737"/>
      <c r="Y2326" s="738"/>
      <c r="Z2326" s="739"/>
      <c r="AA2326" s="739"/>
      <c r="AB2326" s="740">
        <v>16</v>
      </c>
      <c r="AC2326" s="741"/>
      <c r="AD2326" s="733" t="str">
        <f>'DICTIONARY-5'!$A$13</f>
        <v>woda pitna</v>
      </c>
      <c r="AE2326" s="742">
        <v>90</v>
      </c>
      <c r="AF2326" s="743">
        <v>32.5</v>
      </c>
      <c r="AG2326" s="733" t="str">
        <f>'DICTIONARY-5'!$A$23</f>
        <v>powłoka epoksydowa</v>
      </c>
    </row>
    <row r="2327" spans="1:33" x14ac:dyDescent="0.25">
      <c r="A2327" s="872" t="s">
        <v>2184</v>
      </c>
      <c r="B2327" s="872" t="s">
        <v>4748</v>
      </c>
      <c r="C2327" s="836">
        <v>391</v>
      </c>
      <c r="D2327" s="836"/>
      <c r="E2327" s="836"/>
      <c r="F2327" s="836"/>
      <c r="G2327" s="496" t="s">
        <v>7843</v>
      </c>
      <c r="H2327" s="797" t="str">
        <f>VLOOKUP(G2327,SETTINGS!$B$7:$D$97,2,0)</f>
        <v>VARIplus</v>
      </c>
      <c r="I2327" s="796">
        <f>VLOOKUP(G2327,SETTINGS!$B$7:$D$97,3,0)</f>
        <v>0</v>
      </c>
      <c r="J2327" s="670" t="str">
        <f>IFERROR(IF(CURRENCY.FORMAT_1=0,CONCATENATE(TEXT(FIXED(ROUND((C2327/EXC.RATE_1),CURRENCY.FORMAT_1),CURRENCY.FORMAT_1,1),"# ##0;-# ##0"),",-"),FIXED(ROUND((C2327/EXC.RATE_1),CURRENCY.FORMAT_1),CURRENCY.FORMAT_1,0)),'DICTIONARY-5'!$A$2)</f>
        <v>391,-</v>
      </c>
      <c r="K2327" s="670" t="str">
        <f>IF(EXC.RATE_2=0,"",IFERROR(IF(CURRENCY.FORMAT_2=0,CONCATENATE(TEXT(FIXED(ROUND(IF(EXC.RATE.SWITCH=1,C2327/EXC.RATE_2,C2327*EXC.RATE_2),CURRENCY.FORMAT_2),CURRENCY.FORMAT_2,1),"# ##0;-# ##0"),",-"),FIXED(ROUND(IF(EXC.RATE.SWITCH=1,C2327/EXC.RATE_2,C2327*EXC.RATE_2),CURRENCY.FORMAT_2),CURRENCY.FORMAT_2,0)),'DICTIONARY-5'!$A$2))</f>
        <v/>
      </c>
      <c r="L2327" s="670" t="str">
        <f>IFERROR(IF(CURRENCY.FORMAT_1=0,CONCATENATE(TEXT(FIXED(ROUND((C2327*(1-I2327)*(1-ADD.DISCOUNT)*(1+MAT.SURCHARGE)/EXC.RATE_1),CURRENCY.FORMAT_1),CURRENCY.FORMAT_1,1),"# ##0;-# ##0"),",-"),FIXED(ROUND((C2327*(1-I2327)*(1-ADD.DISCOUNT)*(1+MAT.SURCHARGE)/EXC.RATE_1),CURRENCY.FORMAT_1),CURRENCY.FORMAT_1,0)),'DICTIONARY-5'!$A$2)</f>
        <v>406,-</v>
      </c>
      <c r="M2327" s="670" t="str">
        <f>IF(EXC.RATE_2=0,"",IFERROR(IF(CURRENCY.FORMAT_2=0,CONCATENATE(TEXT(FIXED(ROUND(IF(EXC.RATE.SWITCH=1,C2327*(1-I2327)*(1-ADD.DISCOUNT)*(1+MAT.SURCHARGE)/EXC.RATE_2,C2327*(1-I2327)*(1-ADD.DISCOUNT)*(1+MAT.SURCHARGE)*EXC.RATE_2),CURRENCY.FORMAT_2),CURRENCY.FORMAT_2,1),"# ##0;-# ##0"),",-"),FIXED(ROUND(IF(EXC.RATE.SWITCH=1,C2327*(1-I2327)*(1-ADD.DISCOUNT)*(1+MAT.SURCHARGE)/EXC.RATE_2,C2327*(1-I2327)*(1-ADD.DISCOUNT)*(1+MAT.SURCHARGE)*EXC.RATE_2),CURRENCY.FORMAT_2),CURRENCY.FORMAT_2,0)),'DICTIONARY-5'!$A$2))</f>
        <v/>
      </c>
      <c r="N2327" s="538">
        <v>10</v>
      </c>
      <c r="O2327" s="538"/>
      <c r="P2327" s="731" t="str">
        <f>'DICTIONARY-3'!$A$125</f>
        <v>VARIplus-RFA</v>
      </c>
      <c r="Q2327" s="732" t="str">
        <f>'DICTIONARY-3'!$A$215</f>
        <v>Adapter kołnierzowy</v>
      </c>
      <c r="R2327" s="732" t="str">
        <f>CONCATENATE('DICTIONARY-3'!$A$125," ",'DICTIONARY-6'!$A$14," ",'DICTIONARY-2'!$A$2,"450"," ",'DICTIONARY-2'!$A$3,"10/16"," ",'DICTIONARY-2'!$A$5,"480-500")</f>
        <v>VARIplus-RFA Adapt. kołnierz. DN450 PN10/16 Da480-500</v>
      </c>
      <c r="S2327" s="733" t="s">
        <v>5569</v>
      </c>
      <c r="T2327" s="732" t="s">
        <v>5569</v>
      </c>
      <c r="U2327" s="734" t="s">
        <v>5755</v>
      </c>
      <c r="V2327" s="735">
        <v>16</v>
      </c>
      <c r="W2327" s="736" t="s">
        <v>5687</v>
      </c>
      <c r="X2327" s="737"/>
      <c r="Y2327" s="738"/>
      <c r="Z2327" s="739"/>
      <c r="AA2327" s="739"/>
      <c r="AB2327" s="740">
        <v>16</v>
      </c>
      <c r="AC2327" s="741" t="s">
        <v>5569</v>
      </c>
      <c r="AD2327" s="733" t="str">
        <f>'DICTIONARY-5'!$A$13</f>
        <v>woda pitna</v>
      </c>
      <c r="AE2327" s="742">
        <v>90</v>
      </c>
      <c r="AF2327" s="743">
        <v>33</v>
      </c>
      <c r="AG2327" s="733" t="str">
        <f>'DICTIONARY-5'!$A$23</f>
        <v>powłoka epoksydowa</v>
      </c>
    </row>
    <row r="2328" spans="1:33" x14ac:dyDescent="0.25">
      <c r="A2328" s="872" t="s">
        <v>2186</v>
      </c>
      <c r="B2328" s="872" t="s">
        <v>4751</v>
      </c>
      <c r="C2328" s="836">
        <v>560</v>
      </c>
      <c r="D2328" s="836"/>
      <c r="E2328" s="836"/>
      <c r="F2328" s="836"/>
      <c r="G2328" s="496" t="s">
        <v>7843</v>
      </c>
      <c r="H2328" s="797" t="str">
        <f>VLOOKUP(G2328,SETTINGS!$B$7:$D$97,2,0)</f>
        <v>VARIplus</v>
      </c>
      <c r="I2328" s="796">
        <f>VLOOKUP(G2328,SETTINGS!$B$7:$D$97,3,0)</f>
        <v>0</v>
      </c>
      <c r="J2328" s="670" t="str">
        <f>IFERROR(IF(CURRENCY.FORMAT_1=0,CONCATENATE(TEXT(FIXED(ROUND((C2328/EXC.RATE_1),CURRENCY.FORMAT_1),CURRENCY.FORMAT_1,1),"# ##0;-# ##0"),",-"),FIXED(ROUND((C2328/EXC.RATE_1),CURRENCY.FORMAT_1),CURRENCY.FORMAT_1,0)),'DICTIONARY-5'!$A$2)</f>
        <v>560,-</v>
      </c>
      <c r="K2328" s="670" t="str">
        <f>IF(EXC.RATE_2=0,"",IFERROR(IF(CURRENCY.FORMAT_2=0,CONCATENATE(TEXT(FIXED(ROUND(IF(EXC.RATE.SWITCH=1,C2328/EXC.RATE_2,C2328*EXC.RATE_2),CURRENCY.FORMAT_2),CURRENCY.FORMAT_2,1),"# ##0;-# ##0"),",-"),FIXED(ROUND(IF(EXC.RATE.SWITCH=1,C2328/EXC.RATE_2,C2328*EXC.RATE_2),CURRENCY.FORMAT_2),CURRENCY.FORMAT_2,0)),'DICTIONARY-5'!$A$2))</f>
        <v/>
      </c>
      <c r="L2328" s="670" t="str">
        <f>IFERROR(IF(CURRENCY.FORMAT_1=0,CONCATENATE(TEXT(FIXED(ROUND((C2328*(1-I2328)*(1-ADD.DISCOUNT)*(1+MAT.SURCHARGE)/EXC.RATE_1),CURRENCY.FORMAT_1),CURRENCY.FORMAT_1,1),"# ##0;-# ##0"),",-"),FIXED(ROUND((C2328*(1-I2328)*(1-ADD.DISCOUNT)*(1+MAT.SURCHARGE)/EXC.RATE_1),CURRENCY.FORMAT_1),CURRENCY.FORMAT_1,0)),'DICTIONARY-5'!$A$2)</f>
        <v>582,-</v>
      </c>
      <c r="M2328" s="670" t="str">
        <f>IF(EXC.RATE_2=0,"",IFERROR(IF(CURRENCY.FORMAT_2=0,CONCATENATE(TEXT(FIXED(ROUND(IF(EXC.RATE.SWITCH=1,C2328*(1-I2328)*(1-ADD.DISCOUNT)*(1+MAT.SURCHARGE)/EXC.RATE_2,C2328*(1-I2328)*(1-ADD.DISCOUNT)*(1+MAT.SURCHARGE)*EXC.RATE_2),CURRENCY.FORMAT_2),CURRENCY.FORMAT_2,1),"# ##0;-# ##0"),",-"),FIXED(ROUND(IF(EXC.RATE.SWITCH=1,C2328*(1-I2328)*(1-ADD.DISCOUNT)*(1+MAT.SURCHARGE)/EXC.RATE_2,C2328*(1-I2328)*(1-ADD.DISCOUNT)*(1+MAT.SURCHARGE)*EXC.RATE_2),CURRENCY.FORMAT_2),CURRENCY.FORMAT_2,0)),'DICTIONARY-5'!$A$2))</f>
        <v/>
      </c>
      <c r="N2328" s="538">
        <v>10</v>
      </c>
      <c r="O2328" s="538"/>
      <c r="P2328" s="731" t="str">
        <f>'DICTIONARY-3'!$A$125</f>
        <v>VARIplus-RFA</v>
      </c>
      <c r="Q2328" s="732" t="str">
        <f>'DICTIONARY-3'!$A$215</f>
        <v>Adapter kołnierzowy</v>
      </c>
      <c r="R2328" s="732" t="str">
        <f>CONCATENATE('DICTIONARY-3'!$A$125," ",'DICTIONARY-6'!$A$14," ",'DICTIONARY-2'!$A$2,"500"," ",'DICTIONARY-2'!$A$3,"10/16"," ",'DICTIONARY-2'!$A$5,"526-546")</f>
        <v>VARIplus-RFA Adapt. kołnierz. DN500 PN10/16 Da526-546</v>
      </c>
      <c r="S2328" s="733" t="s">
        <v>5569</v>
      </c>
      <c r="T2328" s="732" t="s">
        <v>5569</v>
      </c>
      <c r="U2328" s="734" t="s">
        <v>5756</v>
      </c>
      <c r="V2328" s="735">
        <v>16</v>
      </c>
      <c r="W2328" s="736" t="s">
        <v>5688</v>
      </c>
      <c r="X2328" s="737"/>
      <c r="Y2328" s="738"/>
      <c r="Z2328" s="739"/>
      <c r="AA2328" s="739"/>
      <c r="AB2328" s="740">
        <v>16</v>
      </c>
      <c r="AC2328" s="741" t="s">
        <v>5569</v>
      </c>
      <c r="AD2328" s="733" t="str">
        <f>'DICTIONARY-5'!$A$13</f>
        <v>woda pitna</v>
      </c>
      <c r="AE2328" s="742">
        <v>90</v>
      </c>
      <c r="AF2328" s="743">
        <v>50</v>
      </c>
      <c r="AG2328" s="733" t="str">
        <f>'DICTIONARY-5'!$A$23</f>
        <v>powłoka epoksydowa</v>
      </c>
    </row>
    <row r="2329" spans="1:33" x14ac:dyDescent="0.25">
      <c r="A2329" s="872" t="s">
        <v>2188</v>
      </c>
      <c r="B2329" s="872" t="s">
        <v>4752</v>
      </c>
      <c r="C2329" s="836">
        <v>580</v>
      </c>
      <c r="D2329" s="836"/>
      <c r="E2329" s="836"/>
      <c r="F2329" s="836"/>
      <c r="G2329" s="496" t="s">
        <v>7843</v>
      </c>
      <c r="H2329" s="797" t="str">
        <f>VLOOKUP(G2329,SETTINGS!$B$7:$D$97,2,0)</f>
        <v>VARIplus</v>
      </c>
      <c r="I2329" s="796">
        <f>VLOOKUP(G2329,SETTINGS!$B$7:$D$97,3,0)</f>
        <v>0</v>
      </c>
      <c r="J2329" s="670" t="str">
        <f>IFERROR(IF(CURRENCY.FORMAT_1=0,CONCATENATE(TEXT(FIXED(ROUND((C2329/EXC.RATE_1),CURRENCY.FORMAT_1),CURRENCY.FORMAT_1,1),"# ##0;-# ##0"),",-"),FIXED(ROUND((C2329/EXC.RATE_1),CURRENCY.FORMAT_1),CURRENCY.FORMAT_1,0)),'DICTIONARY-5'!$A$2)</f>
        <v>580,-</v>
      </c>
      <c r="K2329" s="670" t="str">
        <f>IF(EXC.RATE_2=0,"",IFERROR(IF(CURRENCY.FORMAT_2=0,CONCATENATE(TEXT(FIXED(ROUND(IF(EXC.RATE.SWITCH=1,C2329/EXC.RATE_2,C2329*EXC.RATE_2),CURRENCY.FORMAT_2),CURRENCY.FORMAT_2,1),"# ##0;-# ##0"),",-"),FIXED(ROUND(IF(EXC.RATE.SWITCH=1,C2329/EXC.RATE_2,C2329*EXC.RATE_2),CURRENCY.FORMAT_2),CURRENCY.FORMAT_2,0)),'DICTIONARY-5'!$A$2))</f>
        <v/>
      </c>
      <c r="L2329" s="670" t="str">
        <f>IFERROR(IF(CURRENCY.FORMAT_1=0,CONCATENATE(TEXT(FIXED(ROUND((C2329*(1-I2329)*(1-ADD.DISCOUNT)*(1+MAT.SURCHARGE)/EXC.RATE_1),CURRENCY.FORMAT_1),CURRENCY.FORMAT_1,1),"# ##0;-# ##0"),",-"),FIXED(ROUND((C2329*(1-I2329)*(1-ADD.DISCOUNT)*(1+MAT.SURCHARGE)/EXC.RATE_1),CURRENCY.FORMAT_1),CURRENCY.FORMAT_1,0)),'DICTIONARY-5'!$A$2)</f>
        <v>603,-</v>
      </c>
      <c r="M2329" s="670" t="str">
        <f>IF(EXC.RATE_2=0,"",IFERROR(IF(CURRENCY.FORMAT_2=0,CONCATENATE(TEXT(FIXED(ROUND(IF(EXC.RATE.SWITCH=1,C2329*(1-I2329)*(1-ADD.DISCOUNT)*(1+MAT.SURCHARGE)/EXC.RATE_2,C2329*(1-I2329)*(1-ADD.DISCOUNT)*(1+MAT.SURCHARGE)*EXC.RATE_2),CURRENCY.FORMAT_2),CURRENCY.FORMAT_2,1),"# ##0;-# ##0"),",-"),FIXED(ROUND(IF(EXC.RATE.SWITCH=1,C2329*(1-I2329)*(1-ADD.DISCOUNT)*(1+MAT.SURCHARGE)/EXC.RATE_2,C2329*(1-I2329)*(1-ADD.DISCOUNT)*(1+MAT.SURCHARGE)*EXC.RATE_2),CURRENCY.FORMAT_2),CURRENCY.FORMAT_2,0)),'DICTIONARY-5'!$A$2))</f>
        <v/>
      </c>
      <c r="N2329" s="538">
        <v>10</v>
      </c>
      <c r="O2329" s="538"/>
      <c r="P2329" s="731" t="str">
        <f>'DICTIONARY-3'!$A$125</f>
        <v>VARIplus-RFA</v>
      </c>
      <c r="Q2329" s="732" t="str">
        <f>'DICTIONARY-3'!$A$215</f>
        <v>Adapter kołnierzowy</v>
      </c>
      <c r="R2329" s="732" t="str">
        <f>CONCATENATE('DICTIONARY-3'!$A$125," ",'DICTIONARY-6'!$A$14," ",'DICTIONARY-2'!$A$2,"600"," ",'DICTIONARY-2'!$A$3,"10/16"," ",'DICTIONARY-2'!$A$5,"630-650")</f>
        <v>VARIplus-RFA Adapt. kołnierz. DN600 PN10/16 Da630-650</v>
      </c>
      <c r="S2329" s="733" t="s">
        <v>5569</v>
      </c>
      <c r="T2329" s="732" t="s">
        <v>5569</v>
      </c>
      <c r="U2329" s="734" t="s">
        <v>5757</v>
      </c>
      <c r="V2329" s="735">
        <v>16</v>
      </c>
      <c r="W2329" s="736" t="s">
        <v>5689</v>
      </c>
      <c r="X2329" s="737"/>
      <c r="Y2329" s="738"/>
      <c r="Z2329" s="739"/>
      <c r="AA2329" s="739"/>
      <c r="AB2329" s="740">
        <v>16</v>
      </c>
      <c r="AC2329" s="741" t="s">
        <v>5569</v>
      </c>
      <c r="AD2329" s="733" t="str">
        <f>'DICTIONARY-5'!$A$13</f>
        <v>woda pitna</v>
      </c>
      <c r="AE2329" s="742">
        <v>90</v>
      </c>
      <c r="AF2329" s="743">
        <v>72.5</v>
      </c>
      <c r="AG2329" s="733" t="str">
        <f>'DICTIONARY-5'!$A$23</f>
        <v>powłoka epoksydowa</v>
      </c>
    </row>
    <row r="2330" spans="1:33" x14ac:dyDescent="0.25">
      <c r="A2330" s="872" t="s">
        <v>2189</v>
      </c>
      <c r="B2330" s="872" t="s">
        <v>4717</v>
      </c>
      <c r="C2330" s="836">
        <v>40</v>
      </c>
      <c r="D2330" s="836"/>
      <c r="E2330" s="836"/>
      <c r="F2330" s="836"/>
      <c r="G2330" s="496" t="s">
        <v>7843</v>
      </c>
      <c r="H2330" s="797" t="str">
        <f>VLOOKUP(G2330,SETTINGS!$B$7:$D$97,2,0)</f>
        <v>VARIplus</v>
      </c>
      <c r="I2330" s="796">
        <f>VLOOKUP(G2330,SETTINGS!$B$7:$D$97,3,0)</f>
        <v>0</v>
      </c>
      <c r="J2330" s="670" t="str">
        <f>IFERROR(IF(CURRENCY.FORMAT_1=0,CONCATENATE(TEXT(FIXED(ROUND((C2330/EXC.RATE_1),CURRENCY.FORMAT_1),CURRENCY.FORMAT_1,1),"# ##0;-# ##0"),",-"),FIXED(ROUND((C2330/EXC.RATE_1),CURRENCY.FORMAT_1),CURRENCY.FORMAT_1,0)),'DICTIONARY-5'!$A$2)</f>
        <v>40,-</v>
      </c>
      <c r="K2330" s="670" t="str">
        <f>IF(EXC.RATE_2=0,"",IFERROR(IF(CURRENCY.FORMAT_2=0,CONCATENATE(TEXT(FIXED(ROUND(IF(EXC.RATE.SWITCH=1,C2330/EXC.RATE_2,C2330*EXC.RATE_2),CURRENCY.FORMAT_2),CURRENCY.FORMAT_2,1),"# ##0;-# ##0"),",-"),FIXED(ROUND(IF(EXC.RATE.SWITCH=1,C2330/EXC.RATE_2,C2330*EXC.RATE_2),CURRENCY.FORMAT_2),CURRENCY.FORMAT_2,0)),'DICTIONARY-5'!$A$2))</f>
        <v/>
      </c>
      <c r="L2330" s="670" t="str">
        <f>IFERROR(IF(CURRENCY.FORMAT_1=0,CONCATENATE(TEXT(FIXED(ROUND((C2330*(1-I2330)*(1-ADD.DISCOUNT)*(1+MAT.SURCHARGE)/EXC.RATE_1),CURRENCY.FORMAT_1),CURRENCY.FORMAT_1,1),"# ##0;-# ##0"),",-"),FIXED(ROUND((C2330*(1-I2330)*(1-ADD.DISCOUNT)*(1+MAT.SURCHARGE)/EXC.RATE_1),CURRENCY.FORMAT_1),CURRENCY.FORMAT_1,0)),'DICTIONARY-5'!$A$2)</f>
        <v>42,-</v>
      </c>
      <c r="M2330" s="670" t="str">
        <f>IF(EXC.RATE_2=0,"",IFERROR(IF(CURRENCY.FORMAT_2=0,CONCATENATE(TEXT(FIXED(ROUND(IF(EXC.RATE.SWITCH=1,C2330*(1-I2330)*(1-ADD.DISCOUNT)*(1+MAT.SURCHARGE)/EXC.RATE_2,C2330*(1-I2330)*(1-ADD.DISCOUNT)*(1+MAT.SURCHARGE)*EXC.RATE_2),CURRENCY.FORMAT_2),CURRENCY.FORMAT_2,1),"# ##0;-# ##0"),",-"),FIXED(ROUND(IF(EXC.RATE.SWITCH=1,C2330*(1-I2330)*(1-ADD.DISCOUNT)*(1+MAT.SURCHARGE)/EXC.RATE_2,C2330*(1-I2330)*(1-ADD.DISCOUNT)*(1+MAT.SURCHARGE)*EXC.RATE_2),CURRENCY.FORMAT_2),CURRENCY.FORMAT_2,0)),'DICTIONARY-5'!$A$2))</f>
        <v/>
      </c>
      <c r="N2330" s="538">
        <v>10</v>
      </c>
      <c r="O2330" s="538"/>
      <c r="P2330" s="731" t="str">
        <f>'DICTIONARY-3'!$A$126</f>
        <v>VARIplus-RC</v>
      </c>
      <c r="Q2330" s="732" t="str">
        <f>'DICTIONARY-3'!$A$216</f>
        <v xml:space="preserve">Łącznik </v>
      </c>
      <c r="R2330" s="732" t="str">
        <f>CONCATENATE('DICTIONARY-3'!$A$126," ",'DICTIONARY-6'!$A$13," ",'DICTIONARY-2'!$A$2,"50"," ",'DICTIONARY-2'!$A$10,"16",'DICTIONARY-2'!$A$20," ",'DICTIONARY-2'!$A$5,"59-72")</f>
        <v>VARIplus-RC Łącznik DN50 PS16bar Da59-72</v>
      </c>
      <c r="S2330" s="733" t="s">
        <v>5569</v>
      </c>
      <c r="T2330" s="732" t="s">
        <v>5569</v>
      </c>
      <c r="U2330" s="734" t="s">
        <v>5748</v>
      </c>
      <c r="V2330" s="735"/>
      <c r="W2330" s="673" t="s">
        <v>5670</v>
      </c>
      <c r="X2330" s="737"/>
      <c r="Y2330" s="738"/>
      <c r="Z2330" s="739"/>
      <c r="AA2330" s="739"/>
      <c r="AB2330" s="740">
        <v>16</v>
      </c>
      <c r="AC2330" s="741" t="s">
        <v>5569</v>
      </c>
      <c r="AD2330" s="733" t="str">
        <f>'DICTIONARY-5'!$A$13</f>
        <v>woda pitna</v>
      </c>
      <c r="AE2330" s="742">
        <v>90</v>
      </c>
      <c r="AF2330" s="743">
        <v>3</v>
      </c>
      <c r="AG2330" s="733" t="str">
        <f>'DICTIONARY-5'!$A$23</f>
        <v>powłoka epoksydowa</v>
      </c>
    </row>
    <row r="2331" spans="1:33" x14ac:dyDescent="0.25">
      <c r="A2331" s="872" t="s">
        <v>2190</v>
      </c>
      <c r="B2331" s="872" t="s">
        <v>4719</v>
      </c>
      <c r="C2331" s="836">
        <v>52</v>
      </c>
      <c r="D2331" s="836"/>
      <c r="E2331" s="836"/>
      <c r="F2331" s="836"/>
      <c r="G2331" s="496" t="s">
        <v>7843</v>
      </c>
      <c r="H2331" s="797" t="str">
        <f>VLOOKUP(G2331,SETTINGS!$B$7:$D$97,2,0)</f>
        <v>VARIplus</v>
      </c>
      <c r="I2331" s="796">
        <f>VLOOKUP(G2331,SETTINGS!$B$7:$D$97,3,0)</f>
        <v>0</v>
      </c>
      <c r="J2331" s="670" t="str">
        <f>IFERROR(IF(CURRENCY.FORMAT_1=0,CONCATENATE(TEXT(FIXED(ROUND((C2331/EXC.RATE_1),CURRENCY.FORMAT_1),CURRENCY.FORMAT_1,1),"# ##0;-# ##0"),",-"),FIXED(ROUND((C2331/EXC.RATE_1),CURRENCY.FORMAT_1),CURRENCY.FORMAT_1,0)),'DICTIONARY-5'!$A$2)</f>
        <v>52,-</v>
      </c>
      <c r="K2331" s="670" t="str">
        <f>IF(EXC.RATE_2=0,"",IFERROR(IF(CURRENCY.FORMAT_2=0,CONCATENATE(TEXT(FIXED(ROUND(IF(EXC.RATE.SWITCH=1,C2331/EXC.RATE_2,C2331*EXC.RATE_2),CURRENCY.FORMAT_2),CURRENCY.FORMAT_2,1),"# ##0;-# ##0"),",-"),FIXED(ROUND(IF(EXC.RATE.SWITCH=1,C2331/EXC.RATE_2,C2331*EXC.RATE_2),CURRENCY.FORMAT_2),CURRENCY.FORMAT_2,0)),'DICTIONARY-5'!$A$2))</f>
        <v/>
      </c>
      <c r="L2331" s="670" t="str">
        <f>IFERROR(IF(CURRENCY.FORMAT_1=0,CONCATENATE(TEXT(FIXED(ROUND((C2331*(1-I2331)*(1-ADD.DISCOUNT)*(1+MAT.SURCHARGE)/EXC.RATE_1),CURRENCY.FORMAT_1),CURRENCY.FORMAT_1,1),"# ##0;-# ##0"),",-"),FIXED(ROUND((C2331*(1-I2331)*(1-ADD.DISCOUNT)*(1+MAT.SURCHARGE)/EXC.RATE_1),CURRENCY.FORMAT_1),CURRENCY.FORMAT_1,0)),'DICTIONARY-5'!$A$2)</f>
        <v>54,-</v>
      </c>
      <c r="M2331" s="670" t="str">
        <f>IF(EXC.RATE_2=0,"",IFERROR(IF(CURRENCY.FORMAT_2=0,CONCATENATE(TEXT(FIXED(ROUND(IF(EXC.RATE.SWITCH=1,C2331*(1-I2331)*(1-ADD.DISCOUNT)*(1+MAT.SURCHARGE)/EXC.RATE_2,C2331*(1-I2331)*(1-ADD.DISCOUNT)*(1+MAT.SURCHARGE)*EXC.RATE_2),CURRENCY.FORMAT_2),CURRENCY.FORMAT_2,1),"# ##0;-# ##0"),",-"),FIXED(ROUND(IF(EXC.RATE.SWITCH=1,C2331*(1-I2331)*(1-ADD.DISCOUNT)*(1+MAT.SURCHARGE)/EXC.RATE_2,C2331*(1-I2331)*(1-ADD.DISCOUNT)*(1+MAT.SURCHARGE)*EXC.RATE_2),CURRENCY.FORMAT_2),CURRENCY.FORMAT_2,0)),'DICTIONARY-5'!$A$2))</f>
        <v/>
      </c>
      <c r="N2331" s="538">
        <v>10</v>
      </c>
      <c r="O2331" s="538"/>
      <c r="P2331" s="731" t="str">
        <f>'DICTIONARY-3'!$A$126</f>
        <v>VARIplus-RC</v>
      </c>
      <c r="Q2331" s="732" t="str">
        <f>'DICTIONARY-3'!$A$216</f>
        <v xml:space="preserve">Łącznik </v>
      </c>
      <c r="R2331" s="732" t="str">
        <f>CONCATENATE('DICTIONARY-3'!$A$126," ",'DICTIONARY-6'!$A$13," ",'DICTIONARY-2'!$A$2,"65"," ",'DICTIONARY-2'!$A$10,"16",'DICTIONARY-2'!$A$20," ",'DICTIONARY-2'!$A$5,"72-85")</f>
        <v>VARIplus-RC Łącznik DN65 PS16bar Da72-85</v>
      </c>
      <c r="S2331" s="733" t="s">
        <v>5569</v>
      </c>
      <c r="T2331" s="732" t="s">
        <v>5569</v>
      </c>
      <c r="U2331" s="734" t="s">
        <v>5759</v>
      </c>
      <c r="V2331" s="735"/>
      <c r="W2331" s="652" t="s">
        <v>5671</v>
      </c>
      <c r="X2331" s="737"/>
      <c r="Y2331" s="738"/>
      <c r="Z2331" s="739"/>
      <c r="AA2331" s="739"/>
      <c r="AB2331" s="740">
        <v>16</v>
      </c>
      <c r="AC2331" s="741" t="s">
        <v>5569</v>
      </c>
      <c r="AD2331" s="733" t="str">
        <f>'DICTIONARY-5'!$A$13</f>
        <v>woda pitna</v>
      </c>
      <c r="AE2331" s="742">
        <v>90</v>
      </c>
      <c r="AF2331" s="743">
        <v>3</v>
      </c>
      <c r="AG2331" s="733" t="str">
        <f>'DICTIONARY-5'!$A$23</f>
        <v>powłoka epoksydowa</v>
      </c>
    </row>
    <row r="2332" spans="1:33" x14ac:dyDescent="0.25">
      <c r="A2332" s="872" t="s">
        <v>2191</v>
      </c>
      <c r="B2332" s="872" t="s">
        <v>4721</v>
      </c>
      <c r="C2332" s="836">
        <v>59</v>
      </c>
      <c r="D2332" s="836"/>
      <c r="E2332" s="836"/>
      <c r="F2332" s="836"/>
      <c r="G2332" s="496" t="s">
        <v>7843</v>
      </c>
      <c r="H2332" s="797" t="str">
        <f>VLOOKUP(G2332,SETTINGS!$B$7:$D$97,2,0)</f>
        <v>VARIplus</v>
      </c>
      <c r="I2332" s="796">
        <f>VLOOKUP(G2332,SETTINGS!$B$7:$D$97,3,0)</f>
        <v>0</v>
      </c>
      <c r="J2332" s="670" t="str">
        <f>IFERROR(IF(CURRENCY.FORMAT_1=0,CONCATENATE(TEXT(FIXED(ROUND((C2332/EXC.RATE_1),CURRENCY.FORMAT_1),CURRENCY.FORMAT_1,1),"# ##0;-# ##0"),",-"),FIXED(ROUND((C2332/EXC.RATE_1),CURRENCY.FORMAT_1),CURRENCY.FORMAT_1,0)),'DICTIONARY-5'!$A$2)</f>
        <v>59,-</v>
      </c>
      <c r="K2332" s="670" t="str">
        <f>IF(EXC.RATE_2=0,"",IFERROR(IF(CURRENCY.FORMAT_2=0,CONCATENATE(TEXT(FIXED(ROUND(IF(EXC.RATE.SWITCH=1,C2332/EXC.RATE_2,C2332*EXC.RATE_2),CURRENCY.FORMAT_2),CURRENCY.FORMAT_2,1),"# ##0;-# ##0"),",-"),FIXED(ROUND(IF(EXC.RATE.SWITCH=1,C2332/EXC.RATE_2,C2332*EXC.RATE_2),CURRENCY.FORMAT_2),CURRENCY.FORMAT_2,0)),'DICTIONARY-5'!$A$2))</f>
        <v/>
      </c>
      <c r="L2332" s="670" t="str">
        <f>IFERROR(IF(CURRENCY.FORMAT_1=0,CONCATENATE(TEXT(FIXED(ROUND((C2332*(1-I2332)*(1-ADD.DISCOUNT)*(1+MAT.SURCHARGE)/EXC.RATE_1),CURRENCY.FORMAT_1),CURRENCY.FORMAT_1,1),"# ##0;-# ##0"),",-"),FIXED(ROUND((C2332*(1-I2332)*(1-ADD.DISCOUNT)*(1+MAT.SURCHARGE)/EXC.RATE_1),CURRENCY.FORMAT_1),CURRENCY.FORMAT_1,0)),'DICTIONARY-5'!$A$2)</f>
        <v>61,-</v>
      </c>
      <c r="M2332" s="670" t="str">
        <f>IF(EXC.RATE_2=0,"",IFERROR(IF(CURRENCY.FORMAT_2=0,CONCATENATE(TEXT(FIXED(ROUND(IF(EXC.RATE.SWITCH=1,C2332*(1-I2332)*(1-ADD.DISCOUNT)*(1+MAT.SURCHARGE)/EXC.RATE_2,C2332*(1-I2332)*(1-ADD.DISCOUNT)*(1+MAT.SURCHARGE)*EXC.RATE_2),CURRENCY.FORMAT_2),CURRENCY.FORMAT_2,1),"# ##0;-# ##0"),",-"),FIXED(ROUND(IF(EXC.RATE.SWITCH=1,C2332*(1-I2332)*(1-ADD.DISCOUNT)*(1+MAT.SURCHARGE)/EXC.RATE_2,C2332*(1-I2332)*(1-ADD.DISCOUNT)*(1+MAT.SURCHARGE)*EXC.RATE_2),CURRENCY.FORMAT_2),CURRENCY.FORMAT_2,0)),'DICTIONARY-5'!$A$2))</f>
        <v/>
      </c>
      <c r="N2332" s="538">
        <v>10</v>
      </c>
      <c r="O2332" s="538"/>
      <c r="P2332" s="731" t="str">
        <f>'DICTIONARY-3'!$A$126</f>
        <v>VARIplus-RC</v>
      </c>
      <c r="Q2332" s="732" t="str">
        <f>'DICTIONARY-3'!$A$216</f>
        <v xml:space="preserve">Łącznik </v>
      </c>
      <c r="R2332" s="732" t="str">
        <f>CONCATENATE('DICTIONARY-3'!$A$126," ",'DICTIONARY-6'!$A$13," ",'DICTIONARY-2'!$A$2,"80"," ",'DICTIONARY-2'!$A$10,"16",'DICTIONARY-2'!$A$20," ",'DICTIONARY-2'!$A$5,"88-103")</f>
        <v>VARIplus-RC Łącznik DN80 PS16bar Da88-103</v>
      </c>
      <c r="S2332" s="733" t="s">
        <v>5569</v>
      </c>
      <c r="T2332" s="732" t="s">
        <v>5569</v>
      </c>
      <c r="U2332" s="734" t="s">
        <v>5760</v>
      </c>
      <c r="V2332" s="735"/>
      <c r="W2332" s="652" t="s">
        <v>5672</v>
      </c>
      <c r="X2332" s="737"/>
      <c r="Y2332" s="738"/>
      <c r="Z2332" s="739"/>
      <c r="AA2332" s="739"/>
      <c r="AB2332" s="740">
        <v>16</v>
      </c>
      <c r="AC2332" s="741" t="s">
        <v>5569</v>
      </c>
      <c r="AD2332" s="733" t="str">
        <f>'DICTIONARY-5'!$A$13</f>
        <v>woda pitna</v>
      </c>
      <c r="AE2332" s="742">
        <v>90</v>
      </c>
      <c r="AF2332" s="743">
        <v>4</v>
      </c>
      <c r="AG2332" s="733" t="str">
        <f>'DICTIONARY-5'!$A$23</f>
        <v>powłoka epoksydowa</v>
      </c>
    </row>
    <row r="2333" spans="1:33" x14ac:dyDescent="0.25">
      <c r="A2333" s="872" t="s">
        <v>2192</v>
      </c>
      <c r="B2333" s="872" t="s">
        <v>4723</v>
      </c>
      <c r="C2333" s="836">
        <v>65</v>
      </c>
      <c r="D2333" s="836"/>
      <c r="E2333" s="836"/>
      <c r="F2333" s="836"/>
      <c r="G2333" s="496" t="s">
        <v>7843</v>
      </c>
      <c r="H2333" s="797" t="str">
        <f>VLOOKUP(G2333,SETTINGS!$B$7:$D$97,2,0)</f>
        <v>VARIplus</v>
      </c>
      <c r="I2333" s="796">
        <f>VLOOKUP(G2333,SETTINGS!$B$7:$D$97,3,0)</f>
        <v>0</v>
      </c>
      <c r="J2333" s="670" t="str">
        <f>IFERROR(IF(CURRENCY.FORMAT_1=0,CONCATENATE(TEXT(FIXED(ROUND((C2333/EXC.RATE_1),CURRENCY.FORMAT_1),CURRENCY.FORMAT_1,1),"# ##0;-# ##0"),",-"),FIXED(ROUND((C2333/EXC.RATE_1),CURRENCY.FORMAT_1),CURRENCY.FORMAT_1,0)),'DICTIONARY-5'!$A$2)</f>
        <v>65,-</v>
      </c>
      <c r="K2333" s="670" t="str">
        <f>IF(EXC.RATE_2=0,"",IFERROR(IF(CURRENCY.FORMAT_2=0,CONCATENATE(TEXT(FIXED(ROUND(IF(EXC.RATE.SWITCH=1,C2333/EXC.RATE_2,C2333*EXC.RATE_2),CURRENCY.FORMAT_2),CURRENCY.FORMAT_2,1),"# ##0;-# ##0"),",-"),FIXED(ROUND(IF(EXC.RATE.SWITCH=1,C2333/EXC.RATE_2,C2333*EXC.RATE_2),CURRENCY.FORMAT_2),CURRENCY.FORMAT_2,0)),'DICTIONARY-5'!$A$2))</f>
        <v/>
      </c>
      <c r="L2333" s="670" t="str">
        <f>IFERROR(IF(CURRENCY.FORMAT_1=0,CONCATENATE(TEXT(FIXED(ROUND((C2333*(1-I2333)*(1-ADD.DISCOUNT)*(1+MAT.SURCHARGE)/EXC.RATE_1),CURRENCY.FORMAT_1),CURRENCY.FORMAT_1,1),"# ##0;-# ##0"),",-"),FIXED(ROUND((C2333*(1-I2333)*(1-ADD.DISCOUNT)*(1+MAT.SURCHARGE)/EXC.RATE_1),CURRENCY.FORMAT_1),CURRENCY.FORMAT_1,0)),'DICTIONARY-5'!$A$2)</f>
        <v>68,-</v>
      </c>
      <c r="M2333" s="670" t="str">
        <f>IF(EXC.RATE_2=0,"",IFERROR(IF(CURRENCY.FORMAT_2=0,CONCATENATE(TEXT(FIXED(ROUND(IF(EXC.RATE.SWITCH=1,C2333*(1-I2333)*(1-ADD.DISCOUNT)*(1+MAT.SURCHARGE)/EXC.RATE_2,C2333*(1-I2333)*(1-ADD.DISCOUNT)*(1+MAT.SURCHARGE)*EXC.RATE_2),CURRENCY.FORMAT_2),CURRENCY.FORMAT_2,1),"# ##0;-# ##0"),",-"),FIXED(ROUND(IF(EXC.RATE.SWITCH=1,C2333*(1-I2333)*(1-ADD.DISCOUNT)*(1+MAT.SURCHARGE)/EXC.RATE_2,C2333*(1-I2333)*(1-ADD.DISCOUNT)*(1+MAT.SURCHARGE)*EXC.RATE_2),CURRENCY.FORMAT_2),CURRENCY.FORMAT_2,0)),'DICTIONARY-5'!$A$2))</f>
        <v/>
      </c>
      <c r="N2333" s="538">
        <v>10</v>
      </c>
      <c r="O2333" s="538"/>
      <c r="P2333" s="731" t="str">
        <f>'DICTIONARY-3'!$A$126</f>
        <v>VARIplus-RC</v>
      </c>
      <c r="Q2333" s="732" t="str">
        <f>'DICTIONARY-3'!$A$216</f>
        <v xml:space="preserve">Łącznik </v>
      </c>
      <c r="R2333" s="732" t="str">
        <f>CONCATENATE('DICTIONARY-3'!$A$126," ",'DICTIONARY-6'!$A$13," ",'DICTIONARY-2'!$A$2,"100"," ",'DICTIONARY-2'!$A$10,"16",'DICTIONARY-2'!$A$20," ",'DICTIONARY-2'!$A$5,"109-128")</f>
        <v>VARIplus-RC Łącznik DN100 PS16bar Da109-128</v>
      </c>
      <c r="S2333" s="733" t="s">
        <v>5569</v>
      </c>
      <c r="T2333" s="732" t="s">
        <v>5569</v>
      </c>
      <c r="U2333" s="734" t="s">
        <v>5749</v>
      </c>
      <c r="V2333" s="735"/>
      <c r="W2333" s="652" t="s">
        <v>5673</v>
      </c>
      <c r="X2333" s="737"/>
      <c r="Y2333" s="738"/>
      <c r="Z2333" s="739"/>
      <c r="AA2333" s="739"/>
      <c r="AB2333" s="740">
        <v>16</v>
      </c>
      <c r="AC2333" s="741" t="s">
        <v>5569</v>
      </c>
      <c r="AD2333" s="733" t="str">
        <f>'DICTIONARY-5'!$A$13</f>
        <v>woda pitna</v>
      </c>
      <c r="AE2333" s="742">
        <v>90</v>
      </c>
      <c r="AF2333" s="743">
        <v>4.5</v>
      </c>
      <c r="AG2333" s="733" t="str">
        <f>'DICTIONARY-5'!$A$23</f>
        <v>powłoka epoksydowa</v>
      </c>
    </row>
    <row r="2334" spans="1:33" x14ac:dyDescent="0.25">
      <c r="A2334" s="872" t="s">
        <v>2193</v>
      </c>
      <c r="B2334" s="872" t="s">
        <v>4725</v>
      </c>
      <c r="C2334" s="836">
        <v>72</v>
      </c>
      <c r="D2334" s="836"/>
      <c r="E2334" s="836"/>
      <c r="F2334" s="836"/>
      <c r="G2334" s="496" t="s">
        <v>7843</v>
      </c>
      <c r="H2334" s="797" t="str">
        <f>VLOOKUP(G2334,SETTINGS!$B$7:$D$97,2,0)</f>
        <v>VARIplus</v>
      </c>
      <c r="I2334" s="796">
        <f>VLOOKUP(G2334,SETTINGS!$B$7:$D$97,3,0)</f>
        <v>0</v>
      </c>
      <c r="J2334" s="670" t="str">
        <f>IFERROR(IF(CURRENCY.FORMAT_1=0,CONCATENATE(TEXT(FIXED(ROUND((C2334/EXC.RATE_1),CURRENCY.FORMAT_1),CURRENCY.FORMAT_1,1),"# ##0;-# ##0"),",-"),FIXED(ROUND((C2334/EXC.RATE_1),CURRENCY.FORMAT_1),CURRENCY.FORMAT_1,0)),'DICTIONARY-5'!$A$2)</f>
        <v>72,-</v>
      </c>
      <c r="K2334" s="670" t="str">
        <f>IF(EXC.RATE_2=0,"",IFERROR(IF(CURRENCY.FORMAT_2=0,CONCATENATE(TEXT(FIXED(ROUND(IF(EXC.RATE.SWITCH=1,C2334/EXC.RATE_2,C2334*EXC.RATE_2),CURRENCY.FORMAT_2),CURRENCY.FORMAT_2,1),"# ##0;-# ##0"),",-"),FIXED(ROUND(IF(EXC.RATE.SWITCH=1,C2334/EXC.RATE_2,C2334*EXC.RATE_2),CURRENCY.FORMAT_2),CURRENCY.FORMAT_2,0)),'DICTIONARY-5'!$A$2))</f>
        <v/>
      </c>
      <c r="L2334" s="670" t="str">
        <f>IFERROR(IF(CURRENCY.FORMAT_1=0,CONCATENATE(TEXT(FIXED(ROUND((C2334*(1-I2334)*(1-ADD.DISCOUNT)*(1+MAT.SURCHARGE)/EXC.RATE_1),CURRENCY.FORMAT_1),CURRENCY.FORMAT_1,1),"# ##0;-# ##0"),",-"),FIXED(ROUND((C2334*(1-I2334)*(1-ADD.DISCOUNT)*(1+MAT.SURCHARGE)/EXC.RATE_1),CURRENCY.FORMAT_1),CURRENCY.FORMAT_1,0)),'DICTIONARY-5'!$A$2)</f>
        <v>75,-</v>
      </c>
      <c r="M2334" s="670" t="str">
        <f>IF(EXC.RATE_2=0,"",IFERROR(IF(CURRENCY.FORMAT_2=0,CONCATENATE(TEXT(FIXED(ROUND(IF(EXC.RATE.SWITCH=1,C2334*(1-I2334)*(1-ADD.DISCOUNT)*(1+MAT.SURCHARGE)/EXC.RATE_2,C2334*(1-I2334)*(1-ADD.DISCOUNT)*(1+MAT.SURCHARGE)*EXC.RATE_2),CURRENCY.FORMAT_2),CURRENCY.FORMAT_2,1),"# ##0;-# ##0"),",-"),FIXED(ROUND(IF(EXC.RATE.SWITCH=1,C2334*(1-I2334)*(1-ADD.DISCOUNT)*(1+MAT.SURCHARGE)/EXC.RATE_2,C2334*(1-I2334)*(1-ADD.DISCOUNT)*(1+MAT.SURCHARGE)*EXC.RATE_2),CURRENCY.FORMAT_2),CURRENCY.FORMAT_2,0)),'DICTIONARY-5'!$A$2))</f>
        <v/>
      </c>
      <c r="N2334" s="538">
        <v>10</v>
      </c>
      <c r="O2334" s="538"/>
      <c r="P2334" s="731" t="str">
        <f>'DICTIONARY-3'!$A$126</f>
        <v>VARIplus-RC</v>
      </c>
      <c r="Q2334" s="732" t="str">
        <f>'DICTIONARY-3'!$A$216</f>
        <v xml:space="preserve">Łącznik </v>
      </c>
      <c r="R2334" s="732" t="str">
        <f>CONCATENATE('DICTIONARY-3'!$A$126," ",'DICTIONARY-6'!$A$13," ",'DICTIONARY-2'!$A$2,"125"," ",'DICTIONARY-2'!$A$10,"16",'DICTIONARY-2'!$A$20," ",'DICTIONARY-2'!$A$5,"138-153")</f>
        <v>VARIplus-RC Łącznik DN125 PS16bar Da138-153</v>
      </c>
      <c r="S2334" s="733" t="s">
        <v>5569</v>
      </c>
      <c r="T2334" s="732" t="s">
        <v>5569</v>
      </c>
      <c r="U2334" s="734" t="s">
        <v>5761</v>
      </c>
      <c r="V2334" s="735"/>
      <c r="W2334" s="652" t="s">
        <v>5674</v>
      </c>
      <c r="X2334" s="737"/>
      <c r="Y2334" s="738"/>
      <c r="Z2334" s="739"/>
      <c r="AA2334" s="739"/>
      <c r="AB2334" s="740">
        <v>16</v>
      </c>
      <c r="AC2334" s="741" t="s">
        <v>5569</v>
      </c>
      <c r="AD2334" s="733" t="str">
        <f>'DICTIONARY-5'!$A$13</f>
        <v>woda pitna</v>
      </c>
      <c r="AE2334" s="742">
        <v>90</v>
      </c>
      <c r="AF2334" s="743">
        <v>5</v>
      </c>
      <c r="AG2334" s="733" t="str">
        <f>'DICTIONARY-5'!$A$23</f>
        <v>powłoka epoksydowa</v>
      </c>
    </row>
    <row r="2335" spans="1:33" x14ac:dyDescent="0.25">
      <c r="A2335" s="872" t="s">
        <v>2194</v>
      </c>
      <c r="B2335" s="872" t="s">
        <v>4728</v>
      </c>
      <c r="C2335" s="836">
        <v>112</v>
      </c>
      <c r="D2335" s="836"/>
      <c r="E2335" s="836"/>
      <c r="F2335" s="836"/>
      <c r="G2335" s="496" t="s">
        <v>7843</v>
      </c>
      <c r="H2335" s="797" t="str">
        <f>VLOOKUP(G2335,SETTINGS!$B$7:$D$97,2,0)</f>
        <v>VARIplus</v>
      </c>
      <c r="I2335" s="796">
        <f>VLOOKUP(G2335,SETTINGS!$B$7:$D$97,3,0)</f>
        <v>0</v>
      </c>
      <c r="J2335" s="670" t="str">
        <f>IFERROR(IF(CURRENCY.FORMAT_1=0,CONCATENATE(TEXT(FIXED(ROUND((C2335/EXC.RATE_1),CURRENCY.FORMAT_1),CURRENCY.FORMAT_1,1),"# ##0;-# ##0"),",-"),FIXED(ROUND((C2335/EXC.RATE_1),CURRENCY.FORMAT_1),CURRENCY.FORMAT_1,0)),'DICTIONARY-5'!$A$2)</f>
        <v>112,-</v>
      </c>
      <c r="K2335" s="670" t="str">
        <f>IF(EXC.RATE_2=0,"",IFERROR(IF(CURRENCY.FORMAT_2=0,CONCATENATE(TEXT(FIXED(ROUND(IF(EXC.RATE.SWITCH=1,C2335/EXC.RATE_2,C2335*EXC.RATE_2),CURRENCY.FORMAT_2),CURRENCY.FORMAT_2,1),"# ##0;-# ##0"),",-"),FIXED(ROUND(IF(EXC.RATE.SWITCH=1,C2335/EXC.RATE_2,C2335*EXC.RATE_2),CURRENCY.FORMAT_2),CURRENCY.FORMAT_2,0)),'DICTIONARY-5'!$A$2))</f>
        <v/>
      </c>
      <c r="L2335" s="670" t="str">
        <f>IFERROR(IF(CURRENCY.FORMAT_1=0,CONCATENATE(TEXT(FIXED(ROUND((C2335*(1-I2335)*(1-ADD.DISCOUNT)*(1+MAT.SURCHARGE)/EXC.RATE_1),CURRENCY.FORMAT_1),CURRENCY.FORMAT_1,1),"# ##0;-# ##0"),",-"),FIXED(ROUND((C2335*(1-I2335)*(1-ADD.DISCOUNT)*(1+MAT.SURCHARGE)/EXC.RATE_1),CURRENCY.FORMAT_1),CURRENCY.FORMAT_1,0)),'DICTIONARY-5'!$A$2)</f>
        <v>116,-</v>
      </c>
      <c r="M2335" s="670" t="str">
        <f>IF(EXC.RATE_2=0,"",IFERROR(IF(CURRENCY.FORMAT_2=0,CONCATENATE(TEXT(FIXED(ROUND(IF(EXC.RATE.SWITCH=1,C2335*(1-I2335)*(1-ADD.DISCOUNT)*(1+MAT.SURCHARGE)/EXC.RATE_2,C2335*(1-I2335)*(1-ADD.DISCOUNT)*(1+MAT.SURCHARGE)*EXC.RATE_2),CURRENCY.FORMAT_2),CURRENCY.FORMAT_2,1),"# ##0;-# ##0"),",-"),FIXED(ROUND(IF(EXC.RATE.SWITCH=1,C2335*(1-I2335)*(1-ADD.DISCOUNT)*(1+MAT.SURCHARGE)/EXC.RATE_2,C2335*(1-I2335)*(1-ADD.DISCOUNT)*(1+MAT.SURCHARGE)*EXC.RATE_2),CURRENCY.FORMAT_2),CURRENCY.FORMAT_2,0)),'DICTIONARY-5'!$A$2))</f>
        <v/>
      </c>
      <c r="N2335" s="538">
        <v>10</v>
      </c>
      <c r="O2335" s="538"/>
      <c r="P2335" s="731" t="str">
        <f>'DICTIONARY-3'!$A$126</f>
        <v>VARIplus-RC</v>
      </c>
      <c r="Q2335" s="732" t="str">
        <f>'DICTIONARY-3'!$A$216</f>
        <v xml:space="preserve">Łącznik </v>
      </c>
      <c r="R2335" s="732" t="str">
        <f>CONCATENATE('DICTIONARY-3'!$A$126," ",'DICTIONARY-6'!$A$13," ",'DICTIONARY-2'!$A$2,"150"," ",'DICTIONARY-2'!$A$10,"16",'DICTIONARY-2'!$A$20," ",'DICTIONARY-2'!$A$5,"159-182")</f>
        <v>VARIplus-RC Łącznik DN150 PS16bar Da159-182</v>
      </c>
      <c r="S2335" s="733" t="s">
        <v>5569</v>
      </c>
      <c r="T2335" s="732" t="s">
        <v>5569</v>
      </c>
      <c r="U2335" s="734" t="s">
        <v>5572</v>
      </c>
      <c r="V2335" s="735"/>
      <c r="W2335" s="652" t="s">
        <v>5675</v>
      </c>
      <c r="X2335" s="737"/>
      <c r="Y2335" s="738"/>
      <c r="Z2335" s="739"/>
      <c r="AA2335" s="739"/>
      <c r="AB2335" s="740">
        <v>16</v>
      </c>
      <c r="AC2335" s="741"/>
      <c r="AD2335" s="733" t="str">
        <f>'DICTIONARY-5'!$A$13</f>
        <v>woda pitna</v>
      </c>
      <c r="AE2335" s="742">
        <v>90</v>
      </c>
      <c r="AF2335" s="743">
        <v>7</v>
      </c>
      <c r="AG2335" s="733" t="str">
        <f>'DICTIONARY-5'!$A$23</f>
        <v>powłoka epoksydowa</v>
      </c>
    </row>
    <row r="2336" spans="1:33" x14ac:dyDescent="0.25">
      <c r="A2336" s="872" t="s">
        <v>2195</v>
      </c>
      <c r="B2336" s="872" t="s">
        <v>4729</v>
      </c>
      <c r="C2336" s="836">
        <v>103</v>
      </c>
      <c r="D2336" s="836"/>
      <c r="E2336" s="836"/>
      <c r="F2336" s="836"/>
      <c r="G2336" s="496" t="s">
        <v>7843</v>
      </c>
      <c r="H2336" s="797" t="str">
        <f>VLOOKUP(G2336,SETTINGS!$B$7:$D$97,2,0)</f>
        <v>VARIplus</v>
      </c>
      <c r="I2336" s="796">
        <f>VLOOKUP(G2336,SETTINGS!$B$7:$D$97,3,0)</f>
        <v>0</v>
      </c>
      <c r="J2336" s="670" t="str">
        <f>IFERROR(IF(CURRENCY.FORMAT_1=0,CONCATENATE(TEXT(FIXED(ROUND((C2336/EXC.RATE_1),CURRENCY.FORMAT_1),CURRENCY.FORMAT_1,1),"# ##0;-# ##0"),",-"),FIXED(ROUND((C2336/EXC.RATE_1),CURRENCY.FORMAT_1),CURRENCY.FORMAT_1,0)),'DICTIONARY-5'!$A$2)</f>
        <v>103,-</v>
      </c>
      <c r="K2336" s="670" t="str">
        <f>IF(EXC.RATE_2=0,"",IFERROR(IF(CURRENCY.FORMAT_2=0,CONCATENATE(TEXT(FIXED(ROUND(IF(EXC.RATE.SWITCH=1,C2336/EXC.RATE_2,C2336*EXC.RATE_2),CURRENCY.FORMAT_2),CURRENCY.FORMAT_2,1),"# ##0;-# ##0"),",-"),FIXED(ROUND(IF(EXC.RATE.SWITCH=1,C2336/EXC.RATE_2,C2336*EXC.RATE_2),CURRENCY.FORMAT_2),CURRENCY.FORMAT_2,0)),'DICTIONARY-5'!$A$2))</f>
        <v/>
      </c>
      <c r="L2336" s="670" t="str">
        <f>IFERROR(IF(CURRENCY.FORMAT_1=0,CONCATENATE(TEXT(FIXED(ROUND((C2336*(1-I2336)*(1-ADD.DISCOUNT)*(1+MAT.SURCHARGE)/EXC.RATE_1),CURRENCY.FORMAT_1),CURRENCY.FORMAT_1,1),"# ##0;-# ##0"),",-"),FIXED(ROUND((C2336*(1-I2336)*(1-ADD.DISCOUNT)*(1+MAT.SURCHARGE)/EXC.RATE_1),CURRENCY.FORMAT_1),CURRENCY.FORMAT_1,0)),'DICTIONARY-5'!$A$2)</f>
        <v>107,-</v>
      </c>
      <c r="M2336" s="670" t="str">
        <f>IF(EXC.RATE_2=0,"",IFERROR(IF(CURRENCY.FORMAT_2=0,CONCATENATE(TEXT(FIXED(ROUND(IF(EXC.RATE.SWITCH=1,C2336*(1-I2336)*(1-ADD.DISCOUNT)*(1+MAT.SURCHARGE)/EXC.RATE_2,C2336*(1-I2336)*(1-ADD.DISCOUNT)*(1+MAT.SURCHARGE)*EXC.RATE_2),CURRENCY.FORMAT_2),CURRENCY.FORMAT_2,1),"# ##0;-# ##0"),",-"),FIXED(ROUND(IF(EXC.RATE.SWITCH=1,C2336*(1-I2336)*(1-ADD.DISCOUNT)*(1+MAT.SURCHARGE)/EXC.RATE_2,C2336*(1-I2336)*(1-ADD.DISCOUNT)*(1+MAT.SURCHARGE)*EXC.RATE_2),CURRENCY.FORMAT_2),CURRENCY.FORMAT_2,0)),'DICTIONARY-5'!$A$2))</f>
        <v/>
      </c>
      <c r="N2336" s="538">
        <v>10</v>
      </c>
      <c r="O2336" s="538"/>
      <c r="P2336" s="731" t="str">
        <f>'DICTIONARY-3'!$A$126</f>
        <v>VARIplus-RC</v>
      </c>
      <c r="Q2336" s="732" t="str">
        <f>'DICTIONARY-3'!$A$216</f>
        <v xml:space="preserve">Łącznik </v>
      </c>
      <c r="R2336" s="732" t="str">
        <f>CONCATENATE('DICTIONARY-3'!$A$126," ",'DICTIONARY-6'!$A$13," ",'DICTIONARY-2'!$A$2,"175"," ",'DICTIONARY-2'!$A$10,"16",'DICTIONARY-2'!$A$20," ",'DICTIONARY-2'!$A$5,"192-210")</f>
        <v>VARIplus-RC Łącznik DN175 PS16bar Da192-210</v>
      </c>
      <c r="S2336" s="733" t="s">
        <v>5569</v>
      </c>
      <c r="T2336" s="732" t="s">
        <v>5569</v>
      </c>
      <c r="U2336" s="734" t="s">
        <v>5832</v>
      </c>
      <c r="V2336" s="735"/>
      <c r="W2336" s="652" t="s">
        <v>5676</v>
      </c>
      <c r="X2336" s="737"/>
      <c r="Y2336" s="738"/>
      <c r="Z2336" s="739"/>
      <c r="AA2336" s="739"/>
      <c r="AB2336" s="740">
        <v>16</v>
      </c>
      <c r="AC2336" s="741"/>
      <c r="AD2336" s="733" t="str">
        <f>'DICTIONARY-5'!$A$13</f>
        <v>woda pitna</v>
      </c>
      <c r="AE2336" s="742">
        <v>90</v>
      </c>
      <c r="AF2336" s="743">
        <v>9</v>
      </c>
      <c r="AG2336" s="733" t="str">
        <f>'DICTIONARY-5'!$A$23</f>
        <v>powłoka epoksydowa</v>
      </c>
    </row>
    <row r="2337" spans="1:33" x14ac:dyDescent="0.25">
      <c r="A2337" s="872" t="s">
        <v>2196</v>
      </c>
      <c r="B2337" s="872" t="str">
        <f>'DICTIONARY-5'!$A$2</f>
        <v>na zapytanie</v>
      </c>
      <c r="C2337" s="836" t="s">
        <v>5967</v>
      </c>
      <c r="D2337" s="836"/>
      <c r="E2337" s="836"/>
      <c r="F2337" s="836"/>
      <c r="G2337" s="496" t="s">
        <v>7843</v>
      </c>
      <c r="H2337" s="797" t="str">
        <f>VLOOKUP(G2337,SETTINGS!$B$7:$D$97,2,0)</f>
        <v>VARIplus</v>
      </c>
      <c r="I2337" s="796">
        <f>VLOOKUP(G2337,SETTINGS!$B$7:$D$97,3,0)</f>
        <v>0</v>
      </c>
      <c r="J2337" s="670" t="str">
        <f>IFERROR(IF(CURRENCY.FORMAT_1=0,CONCATENATE(TEXT(FIXED(ROUND((C2337/EXC.RATE_1),CURRENCY.FORMAT_1),CURRENCY.FORMAT_1,1),"# ##0;-# ##0"),",-"),FIXED(ROUND((C2337/EXC.RATE_1),CURRENCY.FORMAT_1),CURRENCY.FORMAT_1,0)),'DICTIONARY-5'!$A$2)</f>
        <v>na zapytanie</v>
      </c>
      <c r="K2337" s="670" t="str">
        <f>IF(EXC.RATE_2=0,"",IFERROR(IF(CURRENCY.FORMAT_2=0,CONCATENATE(TEXT(FIXED(ROUND(IF(EXC.RATE.SWITCH=1,C2337/EXC.RATE_2,C2337*EXC.RATE_2),CURRENCY.FORMAT_2),CURRENCY.FORMAT_2,1),"# ##0;-# ##0"),",-"),FIXED(ROUND(IF(EXC.RATE.SWITCH=1,C2337/EXC.RATE_2,C2337*EXC.RATE_2),CURRENCY.FORMAT_2),CURRENCY.FORMAT_2,0)),'DICTIONARY-5'!$A$2))</f>
        <v/>
      </c>
      <c r="L2337" s="670" t="str">
        <f>IFERROR(IF(CURRENCY.FORMAT_1=0,CONCATENATE(TEXT(FIXED(ROUND((C2337*(1-I2337)*(1-ADD.DISCOUNT)*(1+MAT.SURCHARGE)/EXC.RATE_1),CURRENCY.FORMAT_1),CURRENCY.FORMAT_1,1),"# ##0;-# ##0"),",-"),FIXED(ROUND((C2337*(1-I2337)*(1-ADD.DISCOUNT)*(1+MAT.SURCHARGE)/EXC.RATE_1),CURRENCY.FORMAT_1),CURRENCY.FORMAT_1,0)),'DICTIONARY-5'!$A$2)</f>
        <v>na zapytanie</v>
      </c>
      <c r="M2337" s="670" t="str">
        <f>IF(EXC.RATE_2=0,"",IFERROR(IF(CURRENCY.FORMAT_2=0,CONCATENATE(TEXT(FIXED(ROUND(IF(EXC.RATE.SWITCH=1,C2337*(1-I2337)*(1-ADD.DISCOUNT)*(1+MAT.SURCHARGE)/EXC.RATE_2,C2337*(1-I2337)*(1-ADD.DISCOUNT)*(1+MAT.SURCHARGE)*EXC.RATE_2),CURRENCY.FORMAT_2),CURRENCY.FORMAT_2,1),"# ##0;-# ##0"),",-"),FIXED(ROUND(IF(EXC.RATE.SWITCH=1,C2337*(1-I2337)*(1-ADD.DISCOUNT)*(1+MAT.SURCHARGE)/EXC.RATE_2,C2337*(1-I2337)*(1-ADD.DISCOUNT)*(1+MAT.SURCHARGE)*EXC.RATE_2),CURRENCY.FORMAT_2),CURRENCY.FORMAT_2,0)),'DICTIONARY-5'!$A$2))</f>
        <v/>
      </c>
      <c r="N2337" s="538">
        <v>10</v>
      </c>
      <c r="O2337" s="538"/>
      <c r="P2337" s="731" t="str">
        <f>'DICTIONARY-3'!$A$126</f>
        <v>VARIplus-RC</v>
      </c>
      <c r="Q2337" s="732" t="str">
        <f>'DICTIONARY-3'!$A$216</f>
        <v xml:space="preserve">Łącznik </v>
      </c>
      <c r="R2337" s="732" t="str">
        <f>CONCATENATE('DICTIONARY-3'!$A$126," ",'DICTIONARY-6'!$A$13," ",'DICTIONARY-2'!$A$2,"200"," ",'DICTIONARY-2'!$A$10,"16",'DICTIONARY-2'!$A$20," ",'DICTIONARY-2'!$A$5,"218-235")</f>
        <v>VARIplus-RC Łącznik DN200 PS16bar Da218-235</v>
      </c>
      <c r="S2337" s="733" t="s">
        <v>5569</v>
      </c>
      <c r="T2337" s="732" t="s">
        <v>5569</v>
      </c>
      <c r="U2337" s="734" t="s">
        <v>5750</v>
      </c>
      <c r="V2337" s="735"/>
      <c r="W2337" s="652" t="s">
        <v>5677</v>
      </c>
      <c r="X2337" s="737"/>
      <c r="Y2337" s="738"/>
      <c r="Z2337" s="739"/>
      <c r="AA2337" s="739"/>
      <c r="AB2337" s="740">
        <v>16</v>
      </c>
      <c r="AC2337" s="741"/>
      <c r="AD2337" s="733" t="str">
        <f>'DICTIONARY-5'!$A$13</f>
        <v>woda pitna</v>
      </c>
      <c r="AE2337" s="742">
        <v>90</v>
      </c>
      <c r="AF2337" s="743"/>
      <c r="AG2337" s="733" t="str">
        <f>'DICTIONARY-5'!$A$23</f>
        <v>powłoka epoksydowa</v>
      </c>
    </row>
    <row r="2338" spans="1:33" x14ac:dyDescent="0.25">
      <c r="A2338" s="872" t="s">
        <v>2197</v>
      </c>
      <c r="B2338" s="872" t="s">
        <v>4733</v>
      </c>
      <c r="C2338" s="836">
        <v>113</v>
      </c>
      <c r="D2338" s="836"/>
      <c r="E2338" s="836"/>
      <c r="F2338" s="836"/>
      <c r="G2338" s="496" t="s">
        <v>7843</v>
      </c>
      <c r="H2338" s="797" t="str">
        <f>VLOOKUP(G2338,SETTINGS!$B$7:$D$97,2,0)</f>
        <v>VARIplus</v>
      </c>
      <c r="I2338" s="796">
        <f>VLOOKUP(G2338,SETTINGS!$B$7:$D$97,3,0)</f>
        <v>0</v>
      </c>
      <c r="J2338" s="670" t="str">
        <f>IFERROR(IF(CURRENCY.FORMAT_1=0,CONCATENATE(TEXT(FIXED(ROUND((C2338/EXC.RATE_1),CURRENCY.FORMAT_1),CURRENCY.FORMAT_1,1),"# ##0;-# ##0"),",-"),FIXED(ROUND((C2338/EXC.RATE_1),CURRENCY.FORMAT_1),CURRENCY.FORMAT_1,0)),'DICTIONARY-5'!$A$2)</f>
        <v>113,-</v>
      </c>
      <c r="K2338" s="670" t="str">
        <f>IF(EXC.RATE_2=0,"",IFERROR(IF(CURRENCY.FORMAT_2=0,CONCATENATE(TEXT(FIXED(ROUND(IF(EXC.RATE.SWITCH=1,C2338/EXC.RATE_2,C2338*EXC.RATE_2),CURRENCY.FORMAT_2),CURRENCY.FORMAT_2,1),"# ##0;-# ##0"),",-"),FIXED(ROUND(IF(EXC.RATE.SWITCH=1,C2338/EXC.RATE_2,C2338*EXC.RATE_2),CURRENCY.FORMAT_2),CURRENCY.FORMAT_2,0)),'DICTIONARY-5'!$A$2))</f>
        <v/>
      </c>
      <c r="L2338" s="670" t="str">
        <f>IFERROR(IF(CURRENCY.FORMAT_1=0,CONCATENATE(TEXT(FIXED(ROUND((C2338*(1-I2338)*(1-ADD.DISCOUNT)*(1+MAT.SURCHARGE)/EXC.RATE_1),CURRENCY.FORMAT_1),CURRENCY.FORMAT_1,1),"# ##0;-# ##0"),",-"),FIXED(ROUND((C2338*(1-I2338)*(1-ADD.DISCOUNT)*(1+MAT.SURCHARGE)/EXC.RATE_1),CURRENCY.FORMAT_1),CURRENCY.FORMAT_1,0)),'DICTIONARY-5'!$A$2)</f>
        <v>117,-</v>
      </c>
      <c r="M2338" s="670" t="str">
        <f>IF(EXC.RATE_2=0,"",IFERROR(IF(CURRENCY.FORMAT_2=0,CONCATENATE(TEXT(FIXED(ROUND(IF(EXC.RATE.SWITCH=1,C2338*(1-I2338)*(1-ADD.DISCOUNT)*(1+MAT.SURCHARGE)/EXC.RATE_2,C2338*(1-I2338)*(1-ADD.DISCOUNT)*(1+MAT.SURCHARGE)*EXC.RATE_2),CURRENCY.FORMAT_2),CURRENCY.FORMAT_2,1),"# ##0;-# ##0"),",-"),FIXED(ROUND(IF(EXC.RATE.SWITCH=1,C2338*(1-I2338)*(1-ADD.DISCOUNT)*(1+MAT.SURCHARGE)/EXC.RATE_2,C2338*(1-I2338)*(1-ADD.DISCOUNT)*(1+MAT.SURCHARGE)*EXC.RATE_2),CURRENCY.FORMAT_2),CURRENCY.FORMAT_2,0)),'DICTIONARY-5'!$A$2))</f>
        <v/>
      </c>
      <c r="N2338" s="538">
        <v>10</v>
      </c>
      <c r="O2338" s="538"/>
      <c r="P2338" s="731" t="str">
        <f>'DICTIONARY-3'!$A$126</f>
        <v>VARIplus-RC</v>
      </c>
      <c r="Q2338" s="732" t="str">
        <f>'DICTIONARY-3'!$A$216</f>
        <v xml:space="preserve">Łącznik </v>
      </c>
      <c r="R2338" s="732" t="str">
        <f>CONCATENATE('DICTIONARY-3'!$A$126," ",'DICTIONARY-6'!$A$13," ",'DICTIONARY-2'!$A$2,"225"," ",'DICTIONARY-2'!$A$10,"16",'DICTIONARY-2'!$A$20," ",'DICTIONARY-2'!$A$5,"242-262")</f>
        <v>VARIplus-RC Łącznik DN225 PS16bar Da242-262</v>
      </c>
      <c r="S2338" s="733" t="s">
        <v>5569</v>
      </c>
      <c r="T2338" s="732" t="s">
        <v>5569</v>
      </c>
      <c r="U2338" s="734" t="s">
        <v>5833</v>
      </c>
      <c r="V2338" s="735"/>
      <c r="W2338" s="652" t="s">
        <v>5678</v>
      </c>
      <c r="X2338" s="737"/>
      <c r="Y2338" s="738"/>
      <c r="Z2338" s="739"/>
      <c r="AA2338" s="739"/>
      <c r="AB2338" s="740">
        <v>16</v>
      </c>
      <c r="AC2338" s="741"/>
      <c r="AD2338" s="733" t="str">
        <f>'DICTIONARY-5'!$A$13</f>
        <v>woda pitna</v>
      </c>
      <c r="AE2338" s="742">
        <v>90</v>
      </c>
      <c r="AF2338" s="743">
        <v>11.5</v>
      </c>
      <c r="AG2338" s="733" t="str">
        <f>'DICTIONARY-5'!$A$23</f>
        <v>powłoka epoksydowa</v>
      </c>
    </row>
    <row r="2339" spans="1:33" x14ac:dyDescent="0.25">
      <c r="A2339" s="872" t="s">
        <v>2198</v>
      </c>
      <c r="B2339" s="872" t="s">
        <v>4734</v>
      </c>
      <c r="C2339" s="836">
        <v>163</v>
      </c>
      <c r="D2339" s="836"/>
      <c r="E2339" s="836"/>
      <c r="F2339" s="836"/>
      <c r="G2339" s="496" t="s">
        <v>7843</v>
      </c>
      <c r="H2339" s="797" t="str">
        <f>VLOOKUP(G2339,SETTINGS!$B$7:$D$97,2,0)</f>
        <v>VARIplus</v>
      </c>
      <c r="I2339" s="796">
        <f>VLOOKUP(G2339,SETTINGS!$B$7:$D$97,3,0)</f>
        <v>0</v>
      </c>
      <c r="J2339" s="670" t="str">
        <f>IFERROR(IF(CURRENCY.FORMAT_1=0,CONCATENATE(TEXT(FIXED(ROUND((C2339/EXC.RATE_1),CURRENCY.FORMAT_1),CURRENCY.FORMAT_1,1),"# ##0;-# ##0"),",-"),FIXED(ROUND((C2339/EXC.RATE_1),CURRENCY.FORMAT_1),CURRENCY.FORMAT_1,0)),'DICTIONARY-5'!$A$2)</f>
        <v>163,-</v>
      </c>
      <c r="K2339" s="670" t="str">
        <f>IF(EXC.RATE_2=0,"",IFERROR(IF(CURRENCY.FORMAT_2=0,CONCATENATE(TEXT(FIXED(ROUND(IF(EXC.RATE.SWITCH=1,C2339/EXC.RATE_2,C2339*EXC.RATE_2),CURRENCY.FORMAT_2),CURRENCY.FORMAT_2,1),"# ##0;-# ##0"),",-"),FIXED(ROUND(IF(EXC.RATE.SWITCH=1,C2339/EXC.RATE_2,C2339*EXC.RATE_2),CURRENCY.FORMAT_2),CURRENCY.FORMAT_2,0)),'DICTIONARY-5'!$A$2))</f>
        <v/>
      </c>
      <c r="L2339" s="670" t="str">
        <f>IFERROR(IF(CURRENCY.FORMAT_1=0,CONCATENATE(TEXT(FIXED(ROUND((C2339*(1-I2339)*(1-ADD.DISCOUNT)*(1+MAT.SURCHARGE)/EXC.RATE_1),CURRENCY.FORMAT_1),CURRENCY.FORMAT_1,1),"# ##0;-# ##0"),",-"),FIXED(ROUND((C2339*(1-I2339)*(1-ADD.DISCOUNT)*(1+MAT.SURCHARGE)/EXC.RATE_1),CURRENCY.FORMAT_1),CURRENCY.FORMAT_1,0)),'DICTIONARY-5'!$A$2)</f>
        <v>169,-</v>
      </c>
      <c r="M2339" s="670" t="str">
        <f>IF(EXC.RATE_2=0,"",IFERROR(IF(CURRENCY.FORMAT_2=0,CONCATENATE(TEXT(FIXED(ROUND(IF(EXC.RATE.SWITCH=1,C2339*(1-I2339)*(1-ADD.DISCOUNT)*(1+MAT.SURCHARGE)/EXC.RATE_2,C2339*(1-I2339)*(1-ADD.DISCOUNT)*(1+MAT.SURCHARGE)*EXC.RATE_2),CURRENCY.FORMAT_2),CURRENCY.FORMAT_2,1),"# ##0;-# ##0"),",-"),FIXED(ROUND(IF(EXC.RATE.SWITCH=1,C2339*(1-I2339)*(1-ADD.DISCOUNT)*(1+MAT.SURCHARGE)/EXC.RATE_2,C2339*(1-I2339)*(1-ADD.DISCOUNT)*(1+MAT.SURCHARGE)*EXC.RATE_2),CURRENCY.FORMAT_2),CURRENCY.FORMAT_2,0)),'DICTIONARY-5'!$A$2))</f>
        <v/>
      </c>
      <c r="N2339" s="538">
        <v>10</v>
      </c>
      <c r="O2339" s="538"/>
      <c r="P2339" s="731" t="str">
        <f>'DICTIONARY-3'!$A$126</f>
        <v>VARIplus-RC</v>
      </c>
      <c r="Q2339" s="732" t="str">
        <f>'DICTIONARY-3'!$A$216</f>
        <v xml:space="preserve">Łącznik </v>
      </c>
      <c r="R2339" s="732" t="str">
        <f>CONCATENATE('DICTIONARY-3'!$A$126," ",'DICTIONARY-6'!$A$13," ",'DICTIONARY-2'!$A$2,"250"," ",'DICTIONARY-2'!$A$10,"16",'DICTIONARY-2'!$A$20," ",'DICTIONARY-2'!$A$5,"250-267")</f>
        <v>VARIplus-RC Łącznik DN250 PS16bar Da250-267</v>
      </c>
      <c r="S2339" s="733" t="s">
        <v>5569</v>
      </c>
      <c r="T2339" s="732" t="s">
        <v>5569</v>
      </c>
      <c r="U2339" s="734" t="s">
        <v>5751</v>
      </c>
      <c r="V2339" s="735"/>
      <c r="W2339" s="652" t="s">
        <v>5679</v>
      </c>
      <c r="X2339" s="737"/>
      <c r="Y2339" s="738"/>
      <c r="Z2339" s="739"/>
      <c r="AA2339" s="739"/>
      <c r="AB2339" s="740">
        <v>16</v>
      </c>
      <c r="AC2339" s="741"/>
      <c r="AD2339" s="733" t="str">
        <f>'DICTIONARY-5'!$A$13</f>
        <v>woda pitna</v>
      </c>
      <c r="AE2339" s="742">
        <v>90</v>
      </c>
      <c r="AF2339" s="743">
        <v>19.5</v>
      </c>
      <c r="AG2339" s="733" t="str">
        <f>'DICTIONARY-5'!$A$23</f>
        <v>powłoka epoksydowa</v>
      </c>
    </row>
    <row r="2340" spans="1:33" x14ac:dyDescent="0.25">
      <c r="A2340" s="872" t="s">
        <v>2199</v>
      </c>
      <c r="B2340" s="872" t="s">
        <v>4736</v>
      </c>
      <c r="C2340" s="836">
        <v>191</v>
      </c>
      <c r="D2340" s="836"/>
      <c r="E2340" s="836"/>
      <c r="F2340" s="836"/>
      <c r="G2340" s="496" t="s">
        <v>7843</v>
      </c>
      <c r="H2340" s="797" t="str">
        <f>VLOOKUP(G2340,SETTINGS!$B$7:$D$97,2,0)</f>
        <v>VARIplus</v>
      </c>
      <c r="I2340" s="796">
        <f>VLOOKUP(G2340,SETTINGS!$B$7:$D$97,3,0)</f>
        <v>0</v>
      </c>
      <c r="J2340" s="670" t="str">
        <f>IFERROR(IF(CURRENCY.FORMAT_1=0,CONCATENATE(TEXT(FIXED(ROUND((C2340/EXC.RATE_1),CURRENCY.FORMAT_1),CURRENCY.FORMAT_1,1),"# ##0;-# ##0"),",-"),FIXED(ROUND((C2340/EXC.RATE_1),CURRENCY.FORMAT_1),CURRENCY.FORMAT_1,0)),'DICTIONARY-5'!$A$2)</f>
        <v>191,-</v>
      </c>
      <c r="K2340" s="670" t="str">
        <f>IF(EXC.RATE_2=0,"",IFERROR(IF(CURRENCY.FORMAT_2=0,CONCATENATE(TEXT(FIXED(ROUND(IF(EXC.RATE.SWITCH=1,C2340/EXC.RATE_2,C2340*EXC.RATE_2),CURRENCY.FORMAT_2),CURRENCY.FORMAT_2,1),"# ##0;-# ##0"),",-"),FIXED(ROUND(IF(EXC.RATE.SWITCH=1,C2340/EXC.RATE_2,C2340*EXC.RATE_2),CURRENCY.FORMAT_2),CURRENCY.FORMAT_2,0)),'DICTIONARY-5'!$A$2))</f>
        <v/>
      </c>
      <c r="L2340" s="670" t="str">
        <f>IFERROR(IF(CURRENCY.FORMAT_1=0,CONCATENATE(TEXT(FIXED(ROUND((C2340*(1-I2340)*(1-ADD.DISCOUNT)*(1+MAT.SURCHARGE)/EXC.RATE_1),CURRENCY.FORMAT_1),CURRENCY.FORMAT_1,1),"# ##0;-# ##0"),",-"),FIXED(ROUND((C2340*(1-I2340)*(1-ADD.DISCOUNT)*(1+MAT.SURCHARGE)/EXC.RATE_1),CURRENCY.FORMAT_1),CURRENCY.FORMAT_1,0)),'DICTIONARY-5'!$A$2)</f>
        <v>198,-</v>
      </c>
      <c r="M2340" s="670" t="str">
        <f>IF(EXC.RATE_2=0,"",IFERROR(IF(CURRENCY.FORMAT_2=0,CONCATENATE(TEXT(FIXED(ROUND(IF(EXC.RATE.SWITCH=1,C2340*(1-I2340)*(1-ADD.DISCOUNT)*(1+MAT.SURCHARGE)/EXC.RATE_2,C2340*(1-I2340)*(1-ADD.DISCOUNT)*(1+MAT.SURCHARGE)*EXC.RATE_2),CURRENCY.FORMAT_2),CURRENCY.FORMAT_2,1),"# ##0;-# ##0"),",-"),FIXED(ROUND(IF(EXC.RATE.SWITCH=1,C2340*(1-I2340)*(1-ADD.DISCOUNT)*(1+MAT.SURCHARGE)/EXC.RATE_2,C2340*(1-I2340)*(1-ADD.DISCOUNT)*(1+MAT.SURCHARGE)*EXC.RATE_2),CURRENCY.FORMAT_2),CURRENCY.FORMAT_2,0)),'DICTIONARY-5'!$A$2))</f>
        <v/>
      </c>
      <c r="N2340" s="538">
        <v>10</v>
      </c>
      <c r="O2340" s="538"/>
      <c r="P2340" s="731" t="str">
        <f>'DICTIONARY-3'!$A$126</f>
        <v>VARIplus-RC</v>
      </c>
      <c r="Q2340" s="732" t="str">
        <f>'DICTIONARY-3'!$A$216</f>
        <v xml:space="preserve">Łącznik </v>
      </c>
      <c r="R2340" s="732" t="str">
        <f>CONCATENATE('DICTIONARY-3'!$A$126," ",'DICTIONARY-6'!$A$13," ",'DICTIONARY-2'!$A$2,"250"," ",'DICTIONARY-2'!$A$10,"16",'DICTIONARY-2'!$A$20," ",'DICTIONARY-2'!$A$5,"272-289")</f>
        <v>VARIplus-RC Łącznik DN250 PS16bar Da272-289</v>
      </c>
      <c r="S2340" s="733" t="s">
        <v>5569</v>
      </c>
      <c r="T2340" s="732" t="s">
        <v>5569</v>
      </c>
      <c r="U2340" s="734" t="s">
        <v>5751</v>
      </c>
      <c r="V2340" s="735"/>
      <c r="W2340" s="652" t="s">
        <v>5680</v>
      </c>
      <c r="X2340" s="737"/>
      <c r="Y2340" s="738"/>
      <c r="Z2340" s="739"/>
      <c r="AA2340" s="739"/>
      <c r="AB2340" s="740">
        <v>16</v>
      </c>
      <c r="AC2340" s="741"/>
      <c r="AD2340" s="733" t="str">
        <f>'DICTIONARY-5'!$A$13</f>
        <v>woda pitna</v>
      </c>
      <c r="AE2340" s="742">
        <v>90</v>
      </c>
      <c r="AF2340" s="743">
        <v>17.5</v>
      </c>
      <c r="AG2340" s="733" t="str">
        <f>'DICTIONARY-5'!$A$23</f>
        <v>powłoka epoksydowa</v>
      </c>
    </row>
    <row r="2341" spans="1:33" x14ac:dyDescent="0.25">
      <c r="A2341" s="872" t="s">
        <v>2200</v>
      </c>
      <c r="B2341" s="872" t="str">
        <f>'DICTIONARY-5'!$A$2</f>
        <v>na zapytanie</v>
      </c>
      <c r="C2341" s="836" t="s">
        <v>5967</v>
      </c>
      <c r="D2341" s="836"/>
      <c r="E2341" s="836"/>
      <c r="F2341" s="836"/>
      <c r="G2341" s="496" t="s">
        <v>7843</v>
      </c>
      <c r="H2341" s="797" t="str">
        <f>VLOOKUP(G2341,SETTINGS!$B$7:$D$97,2,0)</f>
        <v>VARIplus</v>
      </c>
      <c r="I2341" s="796">
        <f>VLOOKUP(G2341,SETTINGS!$B$7:$D$97,3,0)</f>
        <v>0</v>
      </c>
      <c r="J2341" s="670" t="str">
        <f>IFERROR(IF(CURRENCY.FORMAT_1=0,CONCATENATE(TEXT(FIXED(ROUND((C2341/EXC.RATE_1),CURRENCY.FORMAT_1),CURRENCY.FORMAT_1,1),"# ##0;-# ##0"),",-"),FIXED(ROUND((C2341/EXC.RATE_1),CURRENCY.FORMAT_1),CURRENCY.FORMAT_1,0)),'DICTIONARY-5'!$A$2)</f>
        <v>na zapytanie</v>
      </c>
      <c r="K2341" s="670" t="str">
        <f>IF(EXC.RATE_2=0,"",IFERROR(IF(CURRENCY.FORMAT_2=0,CONCATENATE(TEXT(FIXED(ROUND(IF(EXC.RATE.SWITCH=1,C2341/EXC.RATE_2,C2341*EXC.RATE_2),CURRENCY.FORMAT_2),CURRENCY.FORMAT_2,1),"# ##0;-# ##0"),",-"),FIXED(ROUND(IF(EXC.RATE.SWITCH=1,C2341/EXC.RATE_2,C2341*EXC.RATE_2),CURRENCY.FORMAT_2),CURRENCY.FORMAT_2,0)),'DICTIONARY-5'!$A$2))</f>
        <v/>
      </c>
      <c r="L2341" s="670" t="str">
        <f>IFERROR(IF(CURRENCY.FORMAT_1=0,CONCATENATE(TEXT(FIXED(ROUND((C2341*(1-I2341)*(1-ADD.DISCOUNT)*(1+MAT.SURCHARGE)/EXC.RATE_1),CURRENCY.FORMAT_1),CURRENCY.FORMAT_1,1),"# ##0;-# ##0"),",-"),FIXED(ROUND((C2341*(1-I2341)*(1-ADD.DISCOUNT)*(1+MAT.SURCHARGE)/EXC.RATE_1),CURRENCY.FORMAT_1),CURRENCY.FORMAT_1,0)),'DICTIONARY-5'!$A$2)</f>
        <v>na zapytanie</v>
      </c>
      <c r="M2341" s="670" t="str">
        <f>IF(EXC.RATE_2=0,"",IFERROR(IF(CURRENCY.FORMAT_2=0,CONCATENATE(TEXT(FIXED(ROUND(IF(EXC.RATE.SWITCH=1,C2341*(1-I2341)*(1-ADD.DISCOUNT)*(1+MAT.SURCHARGE)/EXC.RATE_2,C2341*(1-I2341)*(1-ADD.DISCOUNT)*(1+MAT.SURCHARGE)*EXC.RATE_2),CURRENCY.FORMAT_2),CURRENCY.FORMAT_2,1),"# ##0;-# ##0"),",-"),FIXED(ROUND(IF(EXC.RATE.SWITCH=1,C2341*(1-I2341)*(1-ADD.DISCOUNT)*(1+MAT.SURCHARGE)/EXC.RATE_2,C2341*(1-I2341)*(1-ADD.DISCOUNT)*(1+MAT.SURCHARGE)*EXC.RATE_2),CURRENCY.FORMAT_2),CURRENCY.FORMAT_2,0)),'DICTIONARY-5'!$A$2))</f>
        <v/>
      </c>
      <c r="N2341" s="538">
        <v>10</v>
      </c>
      <c r="O2341" s="538"/>
      <c r="P2341" s="731" t="str">
        <f>'DICTIONARY-3'!$A$126</f>
        <v>VARIplus-RC</v>
      </c>
      <c r="Q2341" s="732" t="str">
        <f>'DICTIONARY-3'!$A$216</f>
        <v xml:space="preserve">Łącznik </v>
      </c>
      <c r="R2341" s="732" t="str">
        <f>CONCATENATE('DICTIONARY-3'!$A$126," ",'DICTIONARY-6'!$A$13," ",'DICTIONARY-2'!$A$2,"300"," ",'DICTIONARY-2'!$A$10,"16",'DICTIONARY-2'!$A$20," ",'DICTIONARY-2'!$A$5,"315-332")</f>
        <v>VARIplus-RC Łącznik DN300 PS16bar Da315-332</v>
      </c>
      <c r="S2341" s="733" t="s">
        <v>5569</v>
      </c>
      <c r="T2341" s="732" t="s">
        <v>5569</v>
      </c>
      <c r="U2341" s="734" t="s">
        <v>5752</v>
      </c>
      <c r="V2341" s="735"/>
      <c r="W2341" s="652" t="s">
        <v>5681</v>
      </c>
      <c r="X2341" s="737"/>
      <c r="Y2341" s="738"/>
      <c r="Z2341" s="739"/>
      <c r="AA2341" s="739"/>
      <c r="AB2341" s="740">
        <v>16</v>
      </c>
      <c r="AC2341" s="741"/>
      <c r="AD2341" s="733" t="str">
        <f>'DICTIONARY-5'!$A$13</f>
        <v>woda pitna</v>
      </c>
      <c r="AE2341" s="742">
        <v>90</v>
      </c>
      <c r="AF2341" s="743"/>
      <c r="AG2341" s="733" t="str">
        <f>'DICTIONARY-5'!$A$23</f>
        <v>powłoka epoksydowa</v>
      </c>
    </row>
    <row r="2342" spans="1:33" x14ac:dyDescent="0.25">
      <c r="A2342" s="872" t="s">
        <v>2201</v>
      </c>
      <c r="B2342" s="872" t="s">
        <v>4739</v>
      </c>
      <c r="C2342" s="836">
        <v>256</v>
      </c>
      <c r="D2342" s="836"/>
      <c r="E2342" s="836"/>
      <c r="F2342" s="836"/>
      <c r="G2342" s="496" t="s">
        <v>7843</v>
      </c>
      <c r="H2342" s="797" t="str">
        <f>VLOOKUP(G2342,SETTINGS!$B$7:$D$97,2,0)</f>
        <v>VARIplus</v>
      </c>
      <c r="I2342" s="796">
        <f>VLOOKUP(G2342,SETTINGS!$B$7:$D$97,3,0)</f>
        <v>0</v>
      </c>
      <c r="J2342" s="670" t="str">
        <f>IFERROR(IF(CURRENCY.FORMAT_1=0,CONCATENATE(TEXT(FIXED(ROUND((C2342/EXC.RATE_1),CURRENCY.FORMAT_1),CURRENCY.FORMAT_1,1),"# ##0;-# ##0"),",-"),FIXED(ROUND((C2342/EXC.RATE_1),CURRENCY.FORMAT_1),CURRENCY.FORMAT_1,0)),'DICTIONARY-5'!$A$2)</f>
        <v>256,-</v>
      </c>
      <c r="K2342" s="670" t="str">
        <f>IF(EXC.RATE_2=0,"",IFERROR(IF(CURRENCY.FORMAT_2=0,CONCATENATE(TEXT(FIXED(ROUND(IF(EXC.RATE.SWITCH=1,C2342/EXC.RATE_2,C2342*EXC.RATE_2),CURRENCY.FORMAT_2),CURRENCY.FORMAT_2,1),"# ##0;-# ##0"),",-"),FIXED(ROUND(IF(EXC.RATE.SWITCH=1,C2342/EXC.RATE_2,C2342*EXC.RATE_2),CURRENCY.FORMAT_2),CURRENCY.FORMAT_2,0)),'DICTIONARY-5'!$A$2))</f>
        <v/>
      </c>
      <c r="L2342" s="670" t="str">
        <f>IFERROR(IF(CURRENCY.FORMAT_1=0,CONCATENATE(TEXT(FIXED(ROUND((C2342*(1-I2342)*(1-ADD.DISCOUNT)*(1+MAT.SURCHARGE)/EXC.RATE_1),CURRENCY.FORMAT_1),CURRENCY.FORMAT_1,1),"# ##0;-# ##0"),",-"),FIXED(ROUND((C2342*(1-I2342)*(1-ADD.DISCOUNT)*(1+MAT.SURCHARGE)/EXC.RATE_1),CURRENCY.FORMAT_1),CURRENCY.FORMAT_1,0)),'DICTIONARY-5'!$A$2)</f>
        <v>266,-</v>
      </c>
      <c r="M2342" s="670" t="str">
        <f>IF(EXC.RATE_2=0,"",IFERROR(IF(CURRENCY.FORMAT_2=0,CONCATENATE(TEXT(FIXED(ROUND(IF(EXC.RATE.SWITCH=1,C2342*(1-I2342)*(1-ADD.DISCOUNT)*(1+MAT.SURCHARGE)/EXC.RATE_2,C2342*(1-I2342)*(1-ADD.DISCOUNT)*(1+MAT.SURCHARGE)*EXC.RATE_2),CURRENCY.FORMAT_2),CURRENCY.FORMAT_2,1),"# ##0;-# ##0"),",-"),FIXED(ROUND(IF(EXC.RATE.SWITCH=1,C2342*(1-I2342)*(1-ADD.DISCOUNT)*(1+MAT.SURCHARGE)/EXC.RATE_2,C2342*(1-I2342)*(1-ADD.DISCOUNT)*(1+MAT.SURCHARGE)*EXC.RATE_2),CURRENCY.FORMAT_2),CURRENCY.FORMAT_2,0)),'DICTIONARY-5'!$A$2))</f>
        <v/>
      </c>
      <c r="N2342" s="538">
        <v>10</v>
      </c>
      <c r="O2342" s="538"/>
      <c r="P2342" s="731" t="str">
        <f>'DICTIONARY-3'!$A$126</f>
        <v>VARIplus-RC</v>
      </c>
      <c r="Q2342" s="732" t="str">
        <f>'DICTIONARY-3'!$A$216</f>
        <v xml:space="preserve">Łącznik </v>
      </c>
      <c r="R2342" s="732" t="str">
        <f>CONCATENATE('DICTIONARY-3'!$A$126," ",'DICTIONARY-6'!$A$13," ",'DICTIONARY-2'!$A$2,"300"," ",'DICTIONARY-2'!$A$10,"16",'DICTIONARY-2'!$A$20," ",'DICTIONARY-2'!$A$5,"322-340")</f>
        <v>VARIplus-RC Łącznik DN300 PS16bar Da322-340</v>
      </c>
      <c r="S2342" s="733" t="s">
        <v>5569</v>
      </c>
      <c r="T2342" s="732" t="s">
        <v>5569</v>
      </c>
      <c r="U2342" s="734" t="s">
        <v>5752</v>
      </c>
      <c r="V2342" s="735"/>
      <c r="W2342" s="652" t="s">
        <v>5682</v>
      </c>
      <c r="X2342" s="737"/>
      <c r="Y2342" s="738"/>
      <c r="Z2342" s="739"/>
      <c r="AA2342" s="739"/>
      <c r="AB2342" s="740">
        <v>16</v>
      </c>
      <c r="AC2342" s="741"/>
      <c r="AD2342" s="733" t="str">
        <f>'DICTIONARY-5'!$A$13</f>
        <v>woda pitna</v>
      </c>
      <c r="AE2342" s="742">
        <v>90</v>
      </c>
      <c r="AF2342" s="743">
        <v>17.5</v>
      </c>
      <c r="AG2342" s="733" t="str">
        <f>'DICTIONARY-5'!$A$23</f>
        <v>powłoka epoksydowa</v>
      </c>
    </row>
    <row r="2343" spans="1:33" x14ac:dyDescent="0.25">
      <c r="A2343" s="872" t="s">
        <v>2202</v>
      </c>
      <c r="B2343" s="872" t="s">
        <v>4741</v>
      </c>
      <c r="C2343" s="836">
        <v>263</v>
      </c>
      <c r="D2343" s="836"/>
      <c r="E2343" s="836"/>
      <c r="F2343" s="836"/>
      <c r="G2343" s="496" t="s">
        <v>7843</v>
      </c>
      <c r="H2343" s="797" t="str">
        <f>VLOOKUP(G2343,SETTINGS!$B$7:$D$97,2,0)</f>
        <v>VARIplus</v>
      </c>
      <c r="I2343" s="796">
        <f>VLOOKUP(G2343,SETTINGS!$B$7:$D$97,3,0)</f>
        <v>0</v>
      </c>
      <c r="J2343" s="670" t="str">
        <f>IFERROR(IF(CURRENCY.FORMAT_1=0,CONCATENATE(TEXT(FIXED(ROUND((C2343/EXC.RATE_1),CURRENCY.FORMAT_1),CURRENCY.FORMAT_1,1),"# ##0;-# ##0"),",-"),FIXED(ROUND((C2343/EXC.RATE_1),CURRENCY.FORMAT_1),CURRENCY.FORMAT_1,0)),'DICTIONARY-5'!$A$2)</f>
        <v>263,-</v>
      </c>
      <c r="K2343" s="670" t="str">
        <f>IF(EXC.RATE_2=0,"",IFERROR(IF(CURRENCY.FORMAT_2=0,CONCATENATE(TEXT(FIXED(ROUND(IF(EXC.RATE.SWITCH=1,C2343/EXC.RATE_2,C2343*EXC.RATE_2),CURRENCY.FORMAT_2),CURRENCY.FORMAT_2,1),"# ##0;-# ##0"),",-"),FIXED(ROUND(IF(EXC.RATE.SWITCH=1,C2343/EXC.RATE_2,C2343*EXC.RATE_2),CURRENCY.FORMAT_2),CURRENCY.FORMAT_2,0)),'DICTIONARY-5'!$A$2))</f>
        <v/>
      </c>
      <c r="L2343" s="670" t="str">
        <f>IFERROR(IF(CURRENCY.FORMAT_1=0,CONCATENATE(TEXT(FIXED(ROUND((C2343*(1-I2343)*(1-ADD.DISCOUNT)*(1+MAT.SURCHARGE)/EXC.RATE_1),CURRENCY.FORMAT_1),CURRENCY.FORMAT_1,1),"# ##0;-# ##0"),",-"),FIXED(ROUND((C2343*(1-I2343)*(1-ADD.DISCOUNT)*(1+MAT.SURCHARGE)/EXC.RATE_1),CURRENCY.FORMAT_1),CURRENCY.FORMAT_1,0)),'DICTIONARY-5'!$A$2)</f>
        <v>273,-</v>
      </c>
      <c r="M2343" s="670" t="str">
        <f>IF(EXC.RATE_2=0,"",IFERROR(IF(CURRENCY.FORMAT_2=0,CONCATENATE(TEXT(FIXED(ROUND(IF(EXC.RATE.SWITCH=1,C2343*(1-I2343)*(1-ADD.DISCOUNT)*(1+MAT.SURCHARGE)/EXC.RATE_2,C2343*(1-I2343)*(1-ADD.DISCOUNT)*(1+MAT.SURCHARGE)*EXC.RATE_2),CURRENCY.FORMAT_2),CURRENCY.FORMAT_2,1),"# ##0;-# ##0"),",-"),FIXED(ROUND(IF(EXC.RATE.SWITCH=1,C2343*(1-I2343)*(1-ADD.DISCOUNT)*(1+MAT.SURCHARGE)/EXC.RATE_2,C2343*(1-I2343)*(1-ADD.DISCOUNT)*(1+MAT.SURCHARGE)*EXC.RATE_2),CURRENCY.FORMAT_2),CURRENCY.FORMAT_2,0)),'DICTIONARY-5'!$A$2))</f>
        <v/>
      </c>
      <c r="N2343" s="538">
        <v>10</v>
      </c>
      <c r="O2343" s="538"/>
      <c r="P2343" s="731" t="str">
        <f>'DICTIONARY-3'!$A$126</f>
        <v>VARIplus-RC</v>
      </c>
      <c r="Q2343" s="732" t="str">
        <f>'DICTIONARY-3'!$A$216</f>
        <v xml:space="preserve">Łącznik </v>
      </c>
      <c r="R2343" s="732" t="str">
        <f>CONCATENATE('DICTIONARY-3'!$A$126," ",'DICTIONARY-6'!$A$13," ",'DICTIONARY-2'!$A$2,"350"," ",'DICTIONARY-2'!$A$10,"16",'DICTIONARY-2'!$A$20," ",'DICTIONARY-2'!$A$5,"351-378")</f>
        <v>VARIplus-RC Łącznik DN350 PS16bar Da351-378</v>
      </c>
      <c r="S2343" s="733" t="s">
        <v>5569</v>
      </c>
      <c r="T2343" s="732" t="s">
        <v>5569</v>
      </c>
      <c r="U2343" s="734" t="s">
        <v>5753</v>
      </c>
      <c r="V2343" s="735"/>
      <c r="W2343" s="652" t="s">
        <v>5683</v>
      </c>
      <c r="X2343" s="737"/>
      <c r="Y2343" s="738"/>
      <c r="Z2343" s="739"/>
      <c r="AA2343" s="739"/>
      <c r="AB2343" s="740">
        <v>16</v>
      </c>
      <c r="AC2343" s="741"/>
      <c r="AD2343" s="733" t="str">
        <f>'DICTIONARY-5'!$A$13</f>
        <v>woda pitna</v>
      </c>
      <c r="AE2343" s="742">
        <v>90</v>
      </c>
      <c r="AF2343" s="743">
        <v>20.5</v>
      </c>
      <c r="AG2343" s="733" t="str">
        <f>'DICTIONARY-5'!$A$23</f>
        <v>powłoka epoksydowa</v>
      </c>
    </row>
    <row r="2344" spans="1:33" x14ac:dyDescent="0.25">
      <c r="A2344" s="872" t="s">
        <v>2203</v>
      </c>
      <c r="B2344" s="872" t="s">
        <v>4743</v>
      </c>
      <c r="C2344" s="836">
        <v>218</v>
      </c>
      <c r="D2344" s="836"/>
      <c r="E2344" s="836"/>
      <c r="F2344" s="836"/>
      <c r="G2344" s="496" t="s">
        <v>7843</v>
      </c>
      <c r="H2344" s="797" t="str">
        <f>VLOOKUP(G2344,SETTINGS!$B$7:$D$97,2,0)</f>
        <v>VARIplus</v>
      </c>
      <c r="I2344" s="796">
        <f>VLOOKUP(G2344,SETTINGS!$B$7:$D$97,3,0)</f>
        <v>0</v>
      </c>
      <c r="J2344" s="670" t="str">
        <f>IFERROR(IF(CURRENCY.FORMAT_1=0,CONCATENATE(TEXT(FIXED(ROUND((C2344/EXC.RATE_1),CURRENCY.FORMAT_1),CURRENCY.FORMAT_1,1),"# ##0;-# ##0"),",-"),FIXED(ROUND((C2344/EXC.RATE_1),CURRENCY.FORMAT_1),CURRENCY.FORMAT_1,0)),'DICTIONARY-5'!$A$2)</f>
        <v>218,-</v>
      </c>
      <c r="K2344" s="670" t="str">
        <f>IF(EXC.RATE_2=0,"",IFERROR(IF(CURRENCY.FORMAT_2=0,CONCATENATE(TEXT(FIXED(ROUND(IF(EXC.RATE.SWITCH=1,C2344/EXC.RATE_2,C2344*EXC.RATE_2),CURRENCY.FORMAT_2),CURRENCY.FORMAT_2,1),"# ##0;-# ##0"),",-"),FIXED(ROUND(IF(EXC.RATE.SWITCH=1,C2344/EXC.RATE_2,C2344*EXC.RATE_2),CURRENCY.FORMAT_2),CURRENCY.FORMAT_2,0)),'DICTIONARY-5'!$A$2))</f>
        <v/>
      </c>
      <c r="L2344" s="670" t="str">
        <f>IFERROR(IF(CURRENCY.FORMAT_1=0,CONCATENATE(TEXT(FIXED(ROUND((C2344*(1-I2344)*(1-ADD.DISCOUNT)*(1+MAT.SURCHARGE)/EXC.RATE_1),CURRENCY.FORMAT_1),CURRENCY.FORMAT_1,1),"# ##0;-# ##0"),",-"),FIXED(ROUND((C2344*(1-I2344)*(1-ADD.DISCOUNT)*(1+MAT.SURCHARGE)/EXC.RATE_1),CURRENCY.FORMAT_1),CURRENCY.FORMAT_1,0)),'DICTIONARY-5'!$A$2)</f>
        <v>227,-</v>
      </c>
      <c r="M2344" s="670" t="str">
        <f>IF(EXC.RATE_2=0,"",IFERROR(IF(CURRENCY.FORMAT_2=0,CONCATENATE(TEXT(FIXED(ROUND(IF(EXC.RATE.SWITCH=1,C2344*(1-I2344)*(1-ADD.DISCOUNT)*(1+MAT.SURCHARGE)/EXC.RATE_2,C2344*(1-I2344)*(1-ADD.DISCOUNT)*(1+MAT.SURCHARGE)*EXC.RATE_2),CURRENCY.FORMAT_2),CURRENCY.FORMAT_2,1),"# ##0;-# ##0"),",-"),FIXED(ROUND(IF(EXC.RATE.SWITCH=1,C2344*(1-I2344)*(1-ADD.DISCOUNT)*(1+MAT.SURCHARGE)/EXC.RATE_2,C2344*(1-I2344)*(1-ADD.DISCOUNT)*(1+MAT.SURCHARGE)*EXC.RATE_2),CURRENCY.FORMAT_2),CURRENCY.FORMAT_2,0)),'DICTIONARY-5'!$A$2))</f>
        <v/>
      </c>
      <c r="N2344" s="538">
        <v>10</v>
      </c>
      <c r="O2344" s="538"/>
      <c r="P2344" s="731" t="str">
        <f>'DICTIONARY-3'!$A$126</f>
        <v>VARIplus-RC</v>
      </c>
      <c r="Q2344" s="732" t="str">
        <f>'DICTIONARY-3'!$A$216</f>
        <v xml:space="preserve">Łącznik </v>
      </c>
      <c r="R2344" s="732" t="str">
        <f>CONCATENATE('DICTIONARY-3'!$A$126," ",'DICTIONARY-6'!$A$13," ",'DICTIONARY-2'!$A$2,"350"," ",'DICTIONARY-2'!$A$10,"16",'DICTIONARY-2'!$A$20," ",'DICTIONARY-2'!$A$5,"374-391")</f>
        <v>VARIplus-RC Łącznik DN350 PS16bar Da374-391</v>
      </c>
      <c r="S2344" s="733" t="s">
        <v>5569</v>
      </c>
      <c r="T2344" s="732" t="s">
        <v>5569</v>
      </c>
      <c r="U2344" s="734" t="s">
        <v>5753</v>
      </c>
      <c r="V2344" s="735"/>
      <c r="W2344" s="652" t="s">
        <v>5684</v>
      </c>
      <c r="X2344" s="737"/>
      <c r="Y2344" s="738"/>
      <c r="Z2344" s="739"/>
      <c r="AA2344" s="739"/>
      <c r="AB2344" s="740">
        <v>16</v>
      </c>
      <c r="AC2344" s="741"/>
      <c r="AD2344" s="733" t="str">
        <f>'DICTIONARY-5'!$A$13</f>
        <v>woda pitna</v>
      </c>
      <c r="AE2344" s="742">
        <v>90</v>
      </c>
      <c r="AF2344" s="743">
        <v>22.5</v>
      </c>
      <c r="AG2344" s="733" t="str">
        <f>'DICTIONARY-5'!$A$23</f>
        <v>powłoka epoksydowa</v>
      </c>
    </row>
    <row r="2345" spans="1:33" x14ac:dyDescent="0.25">
      <c r="A2345" s="872" t="s">
        <v>2205</v>
      </c>
      <c r="B2345" s="872" t="s">
        <v>4744</v>
      </c>
      <c r="C2345" s="836">
        <v>349</v>
      </c>
      <c r="D2345" s="836"/>
      <c r="E2345" s="836"/>
      <c r="F2345" s="836"/>
      <c r="G2345" s="496" t="s">
        <v>7843</v>
      </c>
      <c r="H2345" s="797" t="str">
        <f>VLOOKUP(G2345,SETTINGS!$B$7:$D$97,2,0)</f>
        <v>VARIplus</v>
      </c>
      <c r="I2345" s="796">
        <f>VLOOKUP(G2345,SETTINGS!$B$7:$D$97,3,0)</f>
        <v>0</v>
      </c>
      <c r="J2345" s="670" t="str">
        <f>IFERROR(IF(CURRENCY.FORMAT_1=0,CONCATENATE(TEXT(FIXED(ROUND((C2345/EXC.RATE_1),CURRENCY.FORMAT_1),CURRENCY.FORMAT_1,1),"# ##0;-# ##0"),",-"),FIXED(ROUND((C2345/EXC.RATE_1),CURRENCY.FORMAT_1),CURRENCY.FORMAT_1,0)),'DICTIONARY-5'!$A$2)</f>
        <v>349,-</v>
      </c>
      <c r="K2345" s="670" t="str">
        <f>IF(EXC.RATE_2=0,"",IFERROR(IF(CURRENCY.FORMAT_2=0,CONCATENATE(TEXT(FIXED(ROUND(IF(EXC.RATE.SWITCH=1,C2345/EXC.RATE_2,C2345*EXC.RATE_2),CURRENCY.FORMAT_2),CURRENCY.FORMAT_2,1),"# ##0;-# ##0"),",-"),FIXED(ROUND(IF(EXC.RATE.SWITCH=1,C2345/EXC.RATE_2,C2345*EXC.RATE_2),CURRENCY.FORMAT_2),CURRENCY.FORMAT_2,0)),'DICTIONARY-5'!$A$2))</f>
        <v/>
      </c>
      <c r="L2345" s="670" t="str">
        <f>IFERROR(IF(CURRENCY.FORMAT_1=0,CONCATENATE(TEXT(FIXED(ROUND((C2345*(1-I2345)*(1-ADD.DISCOUNT)*(1+MAT.SURCHARGE)/EXC.RATE_1),CURRENCY.FORMAT_1),CURRENCY.FORMAT_1,1),"# ##0;-# ##0"),",-"),FIXED(ROUND((C2345*(1-I2345)*(1-ADD.DISCOUNT)*(1+MAT.SURCHARGE)/EXC.RATE_1),CURRENCY.FORMAT_1),CURRENCY.FORMAT_1,0)),'DICTIONARY-5'!$A$2)</f>
        <v>363,-</v>
      </c>
      <c r="M2345" s="670" t="str">
        <f>IF(EXC.RATE_2=0,"",IFERROR(IF(CURRENCY.FORMAT_2=0,CONCATENATE(TEXT(FIXED(ROUND(IF(EXC.RATE.SWITCH=1,C2345*(1-I2345)*(1-ADD.DISCOUNT)*(1+MAT.SURCHARGE)/EXC.RATE_2,C2345*(1-I2345)*(1-ADD.DISCOUNT)*(1+MAT.SURCHARGE)*EXC.RATE_2),CURRENCY.FORMAT_2),CURRENCY.FORMAT_2,1),"# ##0;-# ##0"),",-"),FIXED(ROUND(IF(EXC.RATE.SWITCH=1,C2345*(1-I2345)*(1-ADD.DISCOUNT)*(1+MAT.SURCHARGE)/EXC.RATE_2,C2345*(1-I2345)*(1-ADD.DISCOUNT)*(1+MAT.SURCHARGE)*EXC.RATE_2),CURRENCY.FORMAT_2),CURRENCY.FORMAT_2,0)),'DICTIONARY-5'!$A$2))</f>
        <v/>
      </c>
      <c r="N2345" s="538">
        <v>10</v>
      </c>
      <c r="O2345" s="538"/>
      <c r="P2345" s="731" t="str">
        <f>'DICTIONARY-3'!$A$126</f>
        <v>VARIplus-RC</v>
      </c>
      <c r="Q2345" s="732" t="str">
        <f>'DICTIONARY-3'!$A$216</f>
        <v xml:space="preserve">Łącznik </v>
      </c>
      <c r="R2345" s="732" t="str">
        <f>CONCATENATE('DICTIONARY-3'!$A$126," ",'DICTIONARY-6'!$A$13," ",'DICTIONARY-2'!$A$2,"400"," ",'DICTIONARY-2'!$A$10,"16",'DICTIONARY-2'!$A$20," ",'DICTIONARY-2'!$A$5,"390-410")</f>
        <v>VARIplus-RC Łącznik DN400 PS16bar Da390-410</v>
      </c>
      <c r="S2345" s="733" t="s">
        <v>5569</v>
      </c>
      <c r="T2345" s="732" t="s">
        <v>5569</v>
      </c>
      <c r="U2345" s="734" t="s">
        <v>5754</v>
      </c>
      <c r="V2345" s="735"/>
      <c r="W2345" s="652" t="s">
        <v>5685</v>
      </c>
      <c r="X2345" s="737"/>
      <c r="Y2345" s="738"/>
      <c r="Z2345" s="739"/>
      <c r="AA2345" s="739"/>
      <c r="AB2345" s="740">
        <v>16</v>
      </c>
      <c r="AC2345" s="741"/>
      <c r="AD2345" s="733" t="str">
        <f>'DICTIONARY-5'!$A$13</f>
        <v>woda pitna</v>
      </c>
      <c r="AE2345" s="742">
        <v>90</v>
      </c>
      <c r="AF2345" s="743">
        <v>24</v>
      </c>
      <c r="AG2345" s="733" t="str">
        <f>'DICTIONARY-5'!$A$23</f>
        <v>powłoka epoksydowa</v>
      </c>
    </row>
    <row r="2346" spans="1:33" x14ac:dyDescent="0.25">
      <c r="A2346" s="872" t="s">
        <v>2206</v>
      </c>
      <c r="B2346" s="872" t="s">
        <v>4746</v>
      </c>
      <c r="C2346" s="836">
        <v>294</v>
      </c>
      <c r="D2346" s="836"/>
      <c r="E2346" s="836"/>
      <c r="F2346" s="836"/>
      <c r="G2346" s="496" t="s">
        <v>7843</v>
      </c>
      <c r="H2346" s="797" t="str">
        <f>VLOOKUP(G2346,SETTINGS!$B$7:$D$97,2,0)</f>
        <v>VARIplus</v>
      </c>
      <c r="I2346" s="796">
        <f>VLOOKUP(G2346,SETTINGS!$B$7:$D$97,3,0)</f>
        <v>0</v>
      </c>
      <c r="J2346" s="670" t="str">
        <f>IFERROR(IF(CURRENCY.FORMAT_1=0,CONCATENATE(TEXT(FIXED(ROUND((C2346/EXC.RATE_1),CURRENCY.FORMAT_1),CURRENCY.FORMAT_1,1),"# ##0;-# ##0"),",-"),FIXED(ROUND((C2346/EXC.RATE_1),CURRENCY.FORMAT_1),CURRENCY.FORMAT_1,0)),'DICTIONARY-5'!$A$2)</f>
        <v>294,-</v>
      </c>
      <c r="K2346" s="670" t="str">
        <f>IF(EXC.RATE_2=0,"",IFERROR(IF(CURRENCY.FORMAT_2=0,CONCATENATE(TEXT(FIXED(ROUND(IF(EXC.RATE.SWITCH=1,C2346/EXC.RATE_2,C2346*EXC.RATE_2),CURRENCY.FORMAT_2),CURRENCY.FORMAT_2,1),"# ##0;-# ##0"),",-"),FIXED(ROUND(IF(EXC.RATE.SWITCH=1,C2346/EXC.RATE_2,C2346*EXC.RATE_2),CURRENCY.FORMAT_2),CURRENCY.FORMAT_2,0)),'DICTIONARY-5'!$A$2))</f>
        <v/>
      </c>
      <c r="L2346" s="670" t="str">
        <f>IFERROR(IF(CURRENCY.FORMAT_1=0,CONCATENATE(TEXT(FIXED(ROUND((C2346*(1-I2346)*(1-ADD.DISCOUNT)*(1+MAT.SURCHARGE)/EXC.RATE_1),CURRENCY.FORMAT_1),CURRENCY.FORMAT_1,1),"# ##0;-# ##0"),",-"),FIXED(ROUND((C2346*(1-I2346)*(1-ADD.DISCOUNT)*(1+MAT.SURCHARGE)/EXC.RATE_1),CURRENCY.FORMAT_1),CURRENCY.FORMAT_1,0)),'DICTIONARY-5'!$A$2)</f>
        <v>305,-</v>
      </c>
      <c r="M2346" s="670" t="str">
        <f>IF(EXC.RATE_2=0,"",IFERROR(IF(CURRENCY.FORMAT_2=0,CONCATENATE(TEXT(FIXED(ROUND(IF(EXC.RATE.SWITCH=1,C2346*(1-I2346)*(1-ADD.DISCOUNT)*(1+MAT.SURCHARGE)/EXC.RATE_2,C2346*(1-I2346)*(1-ADD.DISCOUNT)*(1+MAT.SURCHARGE)*EXC.RATE_2),CURRENCY.FORMAT_2),CURRENCY.FORMAT_2,1),"# ##0;-# ##0"),",-"),FIXED(ROUND(IF(EXC.RATE.SWITCH=1,C2346*(1-I2346)*(1-ADD.DISCOUNT)*(1+MAT.SURCHARGE)/EXC.RATE_2,C2346*(1-I2346)*(1-ADD.DISCOUNT)*(1+MAT.SURCHARGE)*EXC.RATE_2),CURRENCY.FORMAT_2),CURRENCY.FORMAT_2,0)),'DICTIONARY-5'!$A$2))</f>
        <v/>
      </c>
      <c r="N2346" s="538">
        <v>10</v>
      </c>
      <c r="O2346" s="538"/>
      <c r="P2346" s="731" t="str">
        <f>'DICTIONARY-3'!$A$126</f>
        <v>VARIplus-RC</v>
      </c>
      <c r="Q2346" s="732" t="str">
        <f>'DICTIONARY-3'!$A$216</f>
        <v xml:space="preserve">Łącznik </v>
      </c>
      <c r="R2346" s="732" t="str">
        <f>CONCATENATE('DICTIONARY-3'!$A$126," ",'DICTIONARY-6'!$A$13," ",'DICTIONARY-2'!$A$2,"400"," ",'DICTIONARY-2'!$A$10,"16",'DICTIONARY-2'!$A$20," ",'DICTIONARY-2'!$A$5,"417-437")</f>
        <v>VARIplus-RC Łącznik DN400 PS16bar Da417-437</v>
      </c>
      <c r="S2346" s="733" t="s">
        <v>5569</v>
      </c>
      <c r="T2346" s="732" t="s">
        <v>5569</v>
      </c>
      <c r="U2346" s="734" t="s">
        <v>5754</v>
      </c>
      <c r="V2346" s="735"/>
      <c r="W2346" s="652" t="s">
        <v>5686</v>
      </c>
      <c r="X2346" s="737"/>
      <c r="Y2346" s="738"/>
      <c r="Z2346" s="739"/>
      <c r="AA2346" s="739"/>
      <c r="AB2346" s="740">
        <v>16</v>
      </c>
      <c r="AC2346" s="741" t="s">
        <v>5569</v>
      </c>
      <c r="AD2346" s="733" t="str">
        <f>'DICTIONARY-5'!$A$13</f>
        <v>woda pitna</v>
      </c>
      <c r="AE2346" s="742">
        <v>90</v>
      </c>
      <c r="AF2346" s="743">
        <v>27</v>
      </c>
      <c r="AG2346" s="733" t="str">
        <f>'DICTIONARY-5'!$A$23</f>
        <v>powłoka epoksydowa</v>
      </c>
    </row>
    <row r="2347" spans="1:33" x14ac:dyDescent="0.25">
      <c r="A2347" s="872" t="s">
        <v>2207</v>
      </c>
      <c r="B2347" s="872" t="s">
        <v>4749</v>
      </c>
      <c r="C2347" s="836">
        <v>329</v>
      </c>
      <c r="D2347" s="836"/>
      <c r="E2347" s="836"/>
      <c r="F2347" s="836"/>
      <c r="G2347" s="496" t="s">
        <v>7843</v>
      </c>
      <c r="H2347" s="797" t="str">
        <f>VLOOKUP(G2347,SETTINGS!$B$7:$D$97,2,0)</f>
        <v>VARIplus</v>
      </c>
      <c r="I2347" s="796">
        <f>VLOOKUP(G2347,SETTINGS!$B$7:$D$97,3,0)</f>
        <v>0</v>
      </c>
      <c r="J2347" s="670" t="str">
        <f>IFERROR(IF(CURRENCY.FORMAT_1=0,CONCATENATE(TEXT(FIXED(ROUND((C2347/EXC.RATE_1),CURRENCY.FORMAT_1),CURRENCY.FORMAT_1,1),"# ##0;-# ##0"),",-"),FIXED(ROUND((C2347/EXC.RATE_1),CURRENCY.FORMAT_1),CURRENCY.FORMAT_1,0)),'DICTIONARY-5'!$A$2)</f>
        <v>329,-</v>
      </c>
      <c r="K2347" s="670" t="str">
        <f>IF(EXC.RATE_2=0,"",IFERROR(IF(CURRENCY.FORMAT_2=0,CONCATENATE(TEXT(FIXED(ROUND(IF(EXC.RATE.SWITCH=1,C2347/EXC.RATE_2,C2347*EXC.RATE_2),CURRENCY.FORMAT_2),CURRENCY.FORMAT_2,1),"# ##0;-# ##0"),",-"),FIXED(ROUND(IF(EXC.RATE.SWITCH=1,C2347/EXC.RATE_2,C2347*EXC.RATE_2),CURRENCY.FORMAT_2),CURRENCY.FORMAT_2,0)),'DICTIONARY-5'!$A$2))</f>
        <v/>
      </c>
      <c r="L2347" s="670" t="str">
        <f>IFERROR(IF(CURRENCY.FORMAT_1=0,CONCATENATE(TEXT(FIXED(ROUND((C2347*(1-I2347)*(1-ADD.DISCOUNT)*(1+MAT.SURCHARGE)/EXC.RATE_1),CURRENCY.FORMAT_1),CURRENCY.FORMAT_1,1),"# ##0;-# ##0"),",-"),FIXED(ROUND((C2347*(1-I2347)*(1-ADD.DISCOUNT)*(1+MAT.SURCHARGE)/EXC.RATE_1),CURRENCY.FORMAT_1),CURRENCY.FORMAT_1,0)),'DICTIONARY-5'!$A$2)</f>
        <v>342,-</v>
      </c>
      <c r="M2347" s="670" t="str">
        <f>IF(EXC.RATE_2=0,"",IFERROR(IF(CURRENCY.FORMAT_2=0,CONCATENATE(TEXT(FIXED(ROUND(IF(EXC.RATE.SWITCH=1,C2347*(1-I2347)*(1-ADD.DISCOUNT)*(1+MAT.SURCHARGE)/EXC.RATE_2,C2347*(1-I2347)*(1-ADD.DISCOUNT)*(1+MAT.SURCHARGE)*EXC.RATE_2),CURRENCY.FORMAT_2),CURRENCY.FORMAT_2,1),"# ##0;-# ##0"),",-"),FIXED(ROUND(IF(EXC.RATE.SWITCH=1,C2347*(1-I2347)*(1-ADD.DISCOUNT)*(1+MAT.SURCHARGE)/EXC.RATE_2,C2347*(1-I2347)*(1-ADD.DISCOUNT)*(1+MAT.SURCHARGE)*EXC.RATE_2),CURRENCY.FORMAT_2),CURRENCY.FORMAT_2,0)),'DICTIONARY-5'!$A$2))</f>
        <v/>
      </c>
      <c r="N2347" s="538">
        <v>10</v>
      </c>
      <c r="O2347" s="538"/>
      <c r="P2347" s="731" t="str">
        <f>'DICTIONARY-3'!$A$126</f>
        <v>VARIplus-RC</v>
      </c>
      <c r="Q2347" s="732" t="str">
        <f>'DICTIONARY-3'!$A$216</f>
        <v xml:space="preserve">Łącznik </v>
      </c>
      <c r="R2347" s="732" t="str">
        <f>CONCATENATE('DICTIONARY-3'!$A$126," ",'DICTIONARY-6'!$A$13," ",'DICTIONARY-2'!$A$2,"450"," ",'DICTIONARY-2'!$A$10,"16",'DICTIONARY-2'!$A$20," ",'DICTIONARY-2'!$A$5,"480-500")</f>
        <v>VARIplus-RC Łącznik DN450 PS16bar Da480-500</v>
      </c>
      <c r="S2347" s="733" t="s">
        <v>5569</v>
      </c>
      <c r="T2347" s="732" t="s">
        <v>5569</v>
      </c>
      <c r="U2347" s="734" t="s">
        <v>5755</v>
      </c>
      <c r="V2347" s="735"/>
      <c r="W2347" s="652" t="s">
        <v>5687</v>
      </c>
      <c r="X2347" s="737"/>
      <c r="Y2347" s="738"/>
      <c r="Z2347" s="739"/>
      <c r="AA2347" s="739"/>
      <c r="AB2347" s="740">
        <v>16</v>
      </c>
      <c r="AC2347" s="741" t="s">
        <v>5569</v>
      </c>
      <c r="AD2347" s="733" t="str">
        <f>'DICTIONARY-5'!$A$13</f>
        <v>woda pitna</v>
      </c>
      <c r="AE2347" s="742">
        <v>90</v>
      </c>
      <c r="AF2347" s="743">
        <v>36</v>
      </c>
      <c r="AG2347" s="733" t="str">
        <f>'DICTIONARY-5'!$A$23</f>
        <v>powłoka epoksydowa</v>
      </c>
    </row>
    <row r="2348" spans="1:33" x14ac:dyDescent="0.25">
      <c r="A2348" s="872" t="s">
        <v>2208</v>
      </c>
      <c r="B2348" s="872" t="s">
        <v>4750</v>
      </c>
      <c r="C2348" s="836">
        <v>409</v>
      </c>
      <c r="D2348" s="836"/>
      <c r="E2348" s="836"/>
      <c r="F2348" s="836"/>
      <c r="G2348" s="496" t="s">
        <v>7843</v>
      </c>
      <c r="H2348" s="797" t="str">
        <f>VLOOKUP(G2348,SETTINGS!$B$7:$D$97,2,0)</f>
        <v>VARIplus</v>
      </c>
      <c r="I2348" s="796">
        <f>VLOOKUP(G2348,SETTINGS!$B$7:$D$97,3,0)</f>
        <v>0</v>
      </c>
      <c r="J2348" s="670" t="str">
        <f>IFERROR(IF(CURRENCY.FORMAT_1=0,CONCATENATE(TEXT(FIXED(ROUND((C2348/EXC.RATE_1),CURRENCY.FORMAT_1),CURRENCY.FORMAT_1,1),"# ##0;-# ##0"),",-"),FIXED(ROUND((C2348/EXC.RATE_1),CURRENCY.FORMAT_1),CURRENCY.FORMAT_1,0)),'DICTIONARY-5'!$A$2)</f>
        <v>409,-</v>
      </c>
      <c r="K2348" s="670" t="str">
        <f>IF(EXC.RATE_2=0,"",IFERROR(IF(CURRENCY.FORMAT_2=0,CONCATENATE(TEXT(FIXED(ROUND(IF(EXC.RATE.SWITCH=1,C2348/EXC.RATE_2,C2348*EXC.RATE_2),CURRENCY.FORMAT_2),CURRENCY.FORMAT_2,1),"# ##0;-# ##0"),",-"),FIXED(ROUND(IF(EXC.RATE.SWITCH=1,C2348/EXC.RATE_2,C2348*EXC.RATE_2),CURRENCY.FORMAT_2),CURRENCY.FORMAT_2,0)),'DICTIONARY-5'!$A$2))</f>
        <v/>
      </c>
      <c r="L2348" s="670" t="str">
        <f>IFERROR(IF(CURRENCY.FORMAT_1=0,CONCATENATE(TEXT(FIXED(ROUND((C2348*(1-I2348)*(1-ADD.DISCOUNT)*(1+MAT.SURCHARGE)/EXC.RATE_1),CURRENCY.FORMAT_1),CURRENCY.FORMAT_1,1),"# ##0;-# ##0"),",-"),FIXED(ROUND((C2348*(1-I2348)*(1-ADD.DISCOUNT)*(1+MAT.SURCHARGE)/EXC.RATE_1),CURRENCY.FORMAT_1),CURRENCY.FORMAT_1,0)),'DICTIONARY-5'!$A$2)</f>
        <v>425,-</v>
      </c>
      <c r="M2348" s="670" t="str">
        <f>IF(EXC.RATE_2=0,"",IFERROR(IF(CURRENCY.FORMAT_2=0,CONCATENATE(TEXT(FIXED(ROUND(IF(EXC.RATE.SWITCH=1,C2348*(1-I2348)*(1-ADD.DISCOUNT)*(1+MAT.SURCHARGE)/EXC.RATE_2,C2348*(1-I2348)*(1-ADD.DISCOUNT)*(1+MAT.SURCHARGE)*EXC.RATE_2),CURRENCY.FORMAT_2),CURRENCY.FORMAT_2,1),"# ##0;-# ##0"),",-"),FIXED(ROUND(IF(EXC.RATE.SWITCH=1,C2348*(1-I2348)*(1-ADD.DISCOUNT)*(1+MAT.SURCHARGE)/EXC.RATE_2,C2348*(1-I2348)*(1-ADD.DISCOUNT)*(1+MAT.SURCHARGE)*EXC.RATE_2),CURRENCY.FORMAT_2),CURRENCY.FORMAT_2,0)),'DICTIONARY-5'!$A$2))</f>
        <v/>
      </c>
      <c r="N2348" s="538">
        <v>10</v>
      </c>
      <c r="O2348" s="538"/>
      <c r="P2348" s="731" t="str">
        <f>'DICTIONARY-3'!$A$126</f>
        <v>VARIplus-RC</v>
      </c>
      <c r="Q2348" s="732" t="str">
        <f>'DICTIONARY-3'!$A$216</f>
        <v xml:space="preserve">Łącznik </v>
      </c>
      <c r="R2348" s="732" t="str">
        <f>CONCATENATE('DICTIONARY-3'!$A$126," ",'DICTIONARY-6'!$A$13," ",'DICTIONARY-2'!$A$2,"500"," ",'DICTIONARY-2'!$A$10,"16",'DICTIONARY-2'!$A$20," ",'DICTIONARY-2'!$A$5,"526-546")</f>
        <v>VARIplus-RC Łącznik DN500 PS16bar Da526-546</v>
      </c>
      <c r="S2348" s="733" t="s">
        <v>5569</v>
      </c>
      <c r="T2348" s="732" t="s">
        <v>5569</v>
      </c>
      <c r="U2348" s="734" t="s">
        <v>5756</v>
      </c>
      <c r="V2348" s="735"/>
      <c r="W2348" s="652" t="s">
        <v>5688</v>
      </c>
      <c r="X2348" s="737"/>
      <c r="Y2348" s="738"/>
      <c r="Z2348" s="739"/>
      <c r="AA2348" s="739"/>
      <c r="AB2348" s="740">
        <v>16</v>
      </c>
      <c r="AC2348" s="741" t="s">
        <v>5569</v>
      </c>
      <c r="AD2348" s="733" t="str">
        <f>'DICTIONARY-5'!$A$13</f>
        <v>woda pitna</v>
      </c>
      <c r="AE2348" s="742">
        <v>90</v>
      </c>
      <c r="AF2348" s="743">
        <v>25</v>
      </c>
      <c r="AG2348" s="733" t="str">
        <f>'DICTIONARY-5'!$A$23</f>
        <v>powłoka epoksydowa</v>
      </c>
    </row>
    <row r="2349" spans="1:33" x14ac:dyDescent="0.25">
      <c r="A2349" s="872" t="s">
        <v>2209</v>
      </c>
      <c r="B2349" s="872" t="s">
        <v>4753</v>
      </c>
      <c r="C2349" s="836">
        <v>451</v>
      </c>
      <c r="D2349" s="836"/>
      <c r="E2349" s="836"/>
      <c r="F2349" s="836"/>
      <c r="G2349" s="496" t="s">
        <v>7843</v>
      </c>
      <c r="H2349" s="797" t="str">
        <f>VLOOKUP(G2349,SETTINGS!$B$7:$D$97,2,0)</f>
        <v>VARIplus</v>
      </c>
      <c r="I2349" s="796">
        <f>VLOOKUP(G2349,SETTINGS!$B$7:$D$97,3,0)</f>
        <v>0</v>
      </c>
      <c r="J2349" s="670" t="str">
        <f>IFERROR(IF(CURRENCY.FORMAT_1=0,CONCATENATE(TEXT(FIXED(ROUND((C2349/EXC.RATE_1),CURRENCY.FORMAT_1),CURRENCY.FORMAT_1,1),"# ##0;-# ##0"),",-"),FIXED(ROUND((C2349/EXC.RATE_1),CURRENCY.FORMAT_1),CURRENCY.FORMAT_1,0)),'DICTIONARY-5'!$A$2)</f>
        <v>451,-</v>
      </c>
      <c r="K2349" s="670" t="str">
        <f>IF(EXC.RATE_2=0,"",IFERROR(IF(CURRENCY.FORMAT_2=0,CONCATENATE(TEXT(FIXED(ROUND(IF(EXC.RATE.SWITCH=1,C2349/EXC.RATE_2,C2349*EXC.RATE_2),CURRENCY.FORMAT_2),CURRENCY.FORMAT_2,1),"# ##0;-# ##0"),",-"),FIXED(ROUND(IF(EXC.RATE.SWITCH=1,C2349/EXC.RATE_2,C2349*EXC.RATE_2),CURRENCY.FORMAT_2),CURRENCY.FORMAT_2,0)),'DICTIONARY-5'!$A$2))</f>
        <v/>
      </c>
      <c r="L2349" s="670" t="str">
        <f>IFERROR(IF(CURRENCY.FORMAT_1=0,CONCATENATE(TEXT(FIXED(ROUND((C2349*(1-I2349)*(1-ADD.DISCOUNT)*(1+MAT.SURCHARGE)/EXC.RATE_1),CURRENCY.FORMAT_1),CURRENCY.FORMAT_1,1),"# ##0;-# ##0"),",-"),FIXED(ROUND((C2349*(1-I2349)*(1-ADD.DISCOUNT)*(1+MAT.SURCHARGE)/EXC.RATE_1),CURRENCY.FORMAT_1),CURRENCY.FORMAT_1,0)),'DICTIONARY-5'!$A$2)</f>
        <v>469,-</v>
      </c>
      <c r="M2349" s="670" t="str">
        <f>IF(EXC.RATE_2=0,"",IFERROR(IF(CURRENCY.FORMAT_2=0,CONCATENATE(TEXT(FIXED(ROUND(IF(EXC.RATE.SWITCH=1,C2349*(1-I2349)*(1-ADD.DISCOUNT)*(1+MAT.SURCHARGE)/EXC.RATE_2,C2349*(1-I2349)*(1-ADD.DISCOUNT)*(1+MAT.SURCHARGE)*EXC.RATE_2),CURRENCY.FORMAT_2),CURRENCY.FORMAT_2,1),"# ##0;-# ##0"),",-"),FIXED(ROUND(IF(EXC.RATE.SWITCH=1,C2349*(1-I2349)*(1-ADD.DISCOUNT)*(1+MAT.SURCHARGE)/EXC.RATE_2,C2349*(1-I2349)*(1-ADD.DISCOUNT)*(1+MAT.SURCHARGE)*EXC.RATE_2),CURRENCY.FORMAT_2),CURRENCY.FORMAT_2,0)),'DICTIONARY-5'!$A$2))</f>
        <v/>
      </c>
      <c r="N2349" s="538">
        <v>10</v>
      </c>
      <c r="O2349" s="538"/>
      <c r="P2349" s="731" t="str">
        <f>'DICTIONARY-3'!$A$126</f>
        <v>VARIplus-RC</v>
      </c>
      <c r="Q2349" s="732" t="str">
        <f>'DICTIONARY-3'!$A$216</f>
        <v xml:space="preserve">Łącznik </v>
      </c>
      <c r="R2349" s="732" t="str">
        <f>CONCATENATE('DICTIONARY-3'!$A$126," ",'DICTIONARY-6'!$A$13," ",'DICTIONARY-2'!$A$2,"600"," ",'DICTIONARY-2'!$A$10,"16",'DICTIONARY-2'!$A$20," ",'DICTIONARY-2'!$A$5,"630-650")</f>
        <v>VARIplus-RC Łącznik DN600 PS16bar Da630-650</v>
      </c>
      <c r="S2349" s="733" t="s">
        <v>5569</v>
      </c>
      <c r="T2349" s="732" t="s">
        <v>5569</v>
      </c>
      <c r="U2349" s="734" t="s">
        <v>5757</v>
      </c>
      <c r="V2349" s="735"/>
      <c r="W2349" s="652" t="s">
        <v>5689</v>
      </c>
      <c r="X2349" s="737"/>
      <c r="Y2349" s="738"/>
      <c r="Z2349" s="739"/>
      <c r="AA2349" s="739"/>
      <c r="AB2349" s="740">
        <v>16</v>
      </c>
      <c r="AC2349" s="741" t="s">
        <v>5569</v>
      </c>
      <c r="AD2349" s="733" t="str">
        <f>'DICTIONARY-5'!$A$13</f>
        <v>woda pitna</v>
      </c>
      <c r="AE2349" s="742">
        <v>90</v>
      </c>
      <c r="AF2349" s="743">
        <v>41</v>
      </c>
      <c r="AG2349" s="733" t="str">
        <f>'DICTIONARY-5'!$A$23</f>
        <v>powłoka epoksydowa</v>
      </c>
    </row>
    <row r="2350" spans="1:33" x14ac:dyDescent="0.25">
      <c r="A2350" s="854" t="s">
        <v>2211</v>
      </c>
      <c r="B2350" s="854" t="s">
        <v>4842</v>
      </c>
      <c r="C2350" s="836">
        <v>25</v>
      </c>
      <c r="D2350" s="836"/>
      <c r="E2350" s="836"/>
      <c r="F2350" s="836"/>
      <c r="G2350" s="496" t="s">
        <v>7845</v>
      </c>
      <c r="H2350" s="797" t="str">
        <f>VLOOKUP(G2350,SETTINGS!$B$7:$D$97,2,0)</f>
        <v>LADA</v>
      </c>
      <c r="I2350" s="796">
        <f>VLOOKUP(G2350,SETTINGS!$B$7:$D$97,3,0)</f>
        <v>0</v>
      </c>
      <c r="J2350" s="670" t="str">
        <f>IFERROR(IF(CURRENCY.FORMAT_1=0,CONCATENATE(TEXT(FIXED(ROUND((C2350/EXC.RATE_1),CURRENCY.FORMAT_1),CURRENCY.FORMAT_1,1),"# ##0;-# ##0"),",-"),FIXED(ROUND((C2350/EXC.RATE_1),CURRENCY.FORMAT_1),CURRENCY.FORMAT_1,0)),'DICTIONARY-5'!$A$2)</f>
        <v>25,-</v>
      </c>
      <c r="K2350" s="670" t="str">
        <f>IF(EXC.RATE_2=0,"",IFERROR(IF(CURRENCY.FORMAT_2=0,CONCATENATE(TEXT(FIXED(ROUND(IF(EXC.RATE.SWITCH=1,C2350/EXC.RATE_2,C2350*EXC.RATE_2),CURRENCY.FORMAT_2),CURRENCY.FORMAT_2,1),"# ##0;-# ##0"),",-"),FIXED(ROUND(IF(EXC.RATE.SWITCH=1,C2350/EXC.RATE_2,C2350*EXC.RATE_2),CURRENCY.FORMAT_2),CURRENCY.FORMAT_2,0)),'DICTIONARY-5'!$A$2))</f>
        <v/>
      </c>
      <c r="L2350" s="670" t="str">
        <f>IFERROR(IF(CURRENCY.FORMAT_1=0,CONCATENATE(TEXT(FIXED(ROUND((C2350*(1-I2350)*(1-ADD.DISCOUNT)*(1+MAT.SURCHARGE)/EXC.RATE_1),CURRENCY.FORMAT_1),CURRENCY.FORMAT_1,1),"# ##0;-# ##0"),",-"),FIXED(ROUND((C2350*(1-I2350)*(1-ADD.DISCOUNT)*(1+MAT.SURCHARGE)/EXC.RATE_1),CURRENCY.FORMAT_1),CURRENCY.FORMAT_1,0)),'DICTIONARY-5'!$A$2)</f>
        <v>26,-</v>
      </c>
      <c r="M2350" s="670" t="str">
        <f>IF(EXC.RATE_2=0,"",IFERROR(IF(CURRENCY.FORMAT_2=0,CONCATENATE(TEXT(FIXED(ROUND(IF(EXC.RATE.SWITCH=1,C2350*(1-I2350)*(1-ADD.DISCOUNT)*(1+MAT.SURCHARGE)/EXC.RATE_2,C2350*(1-I2350)*(1-ADD.DISCOUNT)*(1+MAT.SURCHARGE)*EXC.RATE_2),CURRENCY.FORMAT_2),CURRENCY.FORMAT_2,1),"# ##0;-# ##0"),",-"),FIXED(ROUND(IF(EXC.RATE.SWITCH=1,C2350*(1-I2350)*(1-ADD.DISCOUNT)*(1+MAT.SURCHARGE)/EXC.RATE_2,C2350*(1-I2350)*(1-ADD.DISCOUNT)*(1+MAT.SURCHARGE)*EXC.RATE_2),CURRENCY.FORMAT_2),CURRENCY.FORMAT_2,0)),'DICTIONARY-5'!$A$2))</f>
        <v/>
      </c>
      <c r="N2350" s="537">
        <v>11</v>
      </c>
      <c r="O2350" s="537"/>
      <c r="P2350" s="731" t="str">
        <f>'DICTIONARY-3'!$A$130</f>
        <v>LADA</v>
      </c>
      <c r="Q2350" s="732" t="str">
        <f>'DICTIONARY-3'!$A$219</f>
        <v>Obudowa ziemna</v>
      </c>
      <c r="R2350" s="732" t="str">
        <f>CONCATENATE('DICTIONARY-3'!$A$131," ",'DICTIONARY-6'!$A$12," ",'DICTIONARY-2'!$A$7,"1,0m ",'DICTIONARY-5'!$A$7," ",LOWER('DICTIONARY-6'!$A$3)," ",'DICTIONARY-2'!$A$2,"40-50")</f>
        <v>LADA-A Obud. ziemn Rd1,0m dla zasuwa DN40-50</v>
      </c>
      <c r="S2350" s="733" t="s">
        <v>5569</v>
      </c>
      <c r="T2350" s="732" t="s">
        <v>5569</v>
      </c>
      <c r="U2350" s="734" t="s">
        <v>6024</v>
      </c>
      <c r="V2350" s="735"/>
      <c r="W2350" s="736"/>
      <c r="X2350" s="737"/>
      <c r="Y2350" s="745" t="s">
        <v>5652</v>
      </c>
      <c r="Z2350" s="747"/>
      <c r="AA2350" s="747"/>
      <c r="AB2350" s="740"/>
      <c r="AC2350" s="741"/>
      <c r="AD2350" s="741" t="s">
        <v>5569</v>
      </c>
      <c r="AE2350" s="742" t="s">
        <v>5569</v>
      </c>
      <c r="AF2350" s="743">
        <v>3</v>
      </c>
      <c r="AG2350" s="733" t="str">
        <f>'DICTIONARY-5'!$A$23</f>
        <v>powłoka epoksydowa</v>
      </c>
    </row>
    <row r="2351" spans="1:33" x14ac:dyDescent="0.25">
      <c r="A2351" s="854" t="s">
        <v>2214</v>
      </c>
      <c r="B2351" s="854" t="s">
        <v>4850</v>
      </c>
      <c r="C2351" s="836">
        <v>27</v>
      </c>
      <c r="D2351" s="836"/>
      <c r="E2351" s="836"/>
      <c r="F2351" s="836"/>
      <c r="G2351" s="496" t="s">
        <v>7845</v>
      </c>
      <c r="H2351" s="797" t="str">
        <f>VLOOKUP(G2351,SETTINGS!$B$7:$D$97,2,0)</f>
        <v>LADA</v>
      </c>
      <c r="I2351" s="796">
        <f>VLOOKUP(G2351,SETTINGS!$B$7:$D$97,3,0)</f>
        <v>0</v>
      </c>
      <c r="J2351" s="670" t="str">
        <f>IFERROR(IF(CURRENCY.FORMAT_1=0,CONCATENATE(TEXT(FIXED(ROUND((C2351/EXC.RATE_1),CURRENCY.FORMAT_1),CURRENCY.FORMAT_1,1),"# ##0;-# ##0"),",-"),FIXED(ROUND((C2351/EXC.RATE_1),CURRENCY.FORMAT_1),CURRENCY.FORMAT_1,0)),'DICTIONARY-5'!$A$2)</f>
        <v>27,-</v>
      </c>
      <c r="K2351" s="670" t="str">
        <f>IF(EXC.RATE_2=0,"",IFERROR(IF(CURRENCY.FORMAT_2=0,CONCATENATE(TEXT(FIXED(ROUND(IF(EXC.RATE.SWITCH=1,C2351/EXC.RATE_2,C2351*EXC.RATE_2),CURRENCY.FORMAT_2),CURRENCY.FORMAT_2,1),"# ##0;-# ##0"),",-"),FIXED(ROUND(IF(EXC.RATE.SWITCH=1,C2351/EXC.RATE_2,C2351*EXC.RATE_2),CURRENCY.FORMAT_2),CURRENCY.FORMAT_2,0)),'DICTIONARY-5'!$A$2))</f>
        <v/>
      </c>
      <c r="L2351" s="670" t="str">
        <f>IFERROR(IF(CURRENCY.FORMAT_1=0,CONCATENATE(TEXT(FIXED(ROUND((C2351*(1-I2351)*(1-ADD.DISCOUNT)*(1+MAT.SURCHARGE)/EXC.RATE_1),CURRENCY.FORMAT_1),CURRENCY.FORMAT_1,1),"# ##0;-# ##0"),",-"),FIXED(ROUND((C2351*(1-I2351)*(1-ADD.DISCOUNT)*(1+MAT.SURCHARGE)/EXC.RATE_1),CURRENCY.FORMAT_1),CURRENCY.FORMAT_1,0)),'DICTIONARY-5'!$A$2)</f>
        <v>28,-</v>
      </c>
      <c r="M2351" s="670" t="str">
        <f>IF(EXC.RATE_2=0,"",IFERROR(IF(CURRENCY.FORMAT_2=0,CONCATENATE(TEXT(FIXED(ROUND(IF(EXC.RATE.SWITCH=1,C2351*(1-I2351)*(1-ADD.DISCOUNT)*(1+MAT.SURCHARGE)/EXC.RATE_2,C2351*(1-I2351)*(1-ADD.DISCOUNT)*(1+MAT.SURCHARGE)*EXC.RATE_2),CURRENCY.FORMAT_2),CURRENCY.FORMAT_2,1),"# ##0;-# ##0"),",-"),FIXED(ROUND(IF(EXC.RATE.SWITCH=1,C2351*(1-I2351)*(1-ADD.DISCOUNT)*(1+MAT.SURCHARGE)/EXC.RATE_2,C2351*(1-I2351)*(1-ADD.DISCOUNT)*(1+MAT.SURCHARGE)*EXC.RATE_2),CURRENCY.FORMAT_2),CURRENCY.FORMAT_2,0)),'DICTIONARY-5'!$A$2))</f>
        <v/>
      </c>
      <c r="N2351" s="537">
        <v>11</v>
      </c>
      <c r="O2351" s="537"/>
      <c r="P2351" s="731" t="str">
        <f>'DICTIONARY-3'!$A$130</f>
        <v>LADA</v>
      </c>
      <c r="Q2351" s="732" t="str">
        <f>'DICTIONARY-3'!$A$219</f>
        <v>Obudowa ziemna</v>
      </c>
      <c r="R2351" s="732" t="str">
        <f>CONCATENATE('DICTIONARY-3'!$A$131," ",'DICTIONARY-6'!$A$12," ",'DICTIONARY-2'!$A$7,"1,0m ",'DICTIONARY-5'!$A$7," ",LOWER('DICTIONARY-6'!$A$3)," ",'DICTIONARY-2'!$A$2,"65-80")</f>
        <v>LADA-A Obud. ziemn Rd1,0m dla zasuwa DN65-80</v>
      </c>
      <c r="S2351" s="733" t="s">
        <v>5569</v>
      </c>
      <c r="T2351" s="732" t="s">
        <v>5569</v>
      </c>
      <c r="U2351" s="734" t="s">
        <v>6025</v>
      </c>
      <c r="V2351" s="735"/>
      <c r="W2351" s="736"/>
      <c r="X2351" s="737"/>
      <c r="Y2351" s="745" t="s">
        <v>5652</v>
      </c>
      <c r="Z2351" s="747"/>
      <c r="AA2351" s="747"/>
      <c r="AB2351" s="740"/>
      <c r="AC2351" s="741"/>
      <c r="AD2351" s="741" t="s">
        <v>5569</v>
      </c>
      <c r="AE2351" s="742" t="s">
        <v>5569</v>
      </c>
      <c r="AF2351" s="743">
        <v>2.5</v>
      </c>
      <c r="AG2351" s="733" t="str">
        <f>'DICTIONARY-5'!$A$23</f>
        <v>powłoka epoksydowa</v>
      </c>
    </row>
    <row r="2352" spans="1:33" x14ac:dyDescent="0.25">
      <c r="A2352" s="854" t="s">
        <v>2217</v>
      </c>
      <c r="B2352" s="854" t="s">
        <v>4854</v>
      </c>
      <c r="C2352" s="836">
        <v>25</v>
      </c>
      <c r="D2352" s="836"/>
      <c r="E2352" s="836"/>
      <c r="F2352" s="836"/>
      <c r="G2352" s="496" t="s">
        <v>7845</v>
      </c>
      <c r="H2352" s="797" t="str">
        <f>VLOOKUP(G2352,SETTINGS!$B$7:$D$97,2,0)</f>
        <v>LADA</v>
      </c>
      <c r="I2352" s="796">
        <f>VLOOKUP(G2352,SETTINGS!$B$7:$D$97,3,0)</f>
        <v>0</v>
      </c>
      <c r="J2352" s="670" t="str">
        <f>IFERROR(IF(CURRENCY.FORMAT_1=0,CONCATENATE(TEXT(FIXED(ROUND((C2352/EXC.RATE_1),CURRENCY.FORMAT_1),CURRENCY.FORMAT_1,1),"# ##0;-# ##0"),",-"),FIXED(ROUND((C2352/EXC.RATE_1),CURRENCY.FORMAT_1),CURRENCY.FORMAT_1,0)),'DICTIONARY-5'!$A$2)</f>
        <v>25,-</v>
      </c>
      <c r="K2352" s="670" t="str">
        <f>IF(EXC.RATE_2=0,"",IFERROR(IF(CURRENCY.FORMAT_2=0,CONCATENATE(TEXT(FIXED(ROUND(IF(EXC.RATE.SWITCH=1,C2352/EXC.RATE_2,C2352*EXC.RATE_2),CURRENCY.FORMAT_2),CURRENCY.FORMAT_2,1),"# ##0;-# ##0"),",-"),FIXED(ROUND(IF(EXC.RATE.SWITCH=1,C2352/EXC.RATE_2,C2352*EXC.RATE_2),CURRENCY.FORMAT_2),CURRENCY.FORMAT_2,0)),'DICTIONARY-5'!$A$2))</f>
        <v/>
      </c>
      <c r="L2352" s="670" t="str">
        <f>IFERROR(IF(CURRENCY.FORMAT_1=0,CONCATENATE(TEXT(FIXED(ROUND((C2352*(1-I2352)*(1-ADD.DISCOUNT)*(1+MAT.SURCHARGE)/EXC.RATE_1),CURRENCY.FORMAT_1),CURRENCY.FORMAT_1,1),"# ##0;-# ##0"),",-"),FIXED(ROUND((C2352*(1-I2352)*(1-ADD.DISCOUNT)*(1+MAT.SURCHARGE)/EXC.RATE_1),CURRENCY.FORMAT_1),CURRENCY.FORMAT_1,0)),'DICTIONARY-5'!$A$2)</f>
        <v>26,-</v>
      </c>
      <c r="M2352" s="670" t="str">
        <f>IF(EXC.RATE_2=0,"",IFERROR(IF(CURRENCY.FORMAT_2=0,CONCATENATE(TEXT(FIXED(ROUND(IF(EXC.RATE.SWITCH=1,C2352*(1-I2352)*(1-ADD.DISCOUNT)*(1+MAT.SURCHARGE)/EXC.RATE_2,C2352*(1-I2352)*(1-ADD.DISCOUNT)*(1+MAT.SURCHARGE)*EXC.RATE_2),CURRENCY.FORMAT_2),CURRENCY.FORMAT_2,1),"# ##0;-# ##0"),",-"),FIXED(ROUND(IF(EXC.RATE.SWITCH=1,C2352*(1-I2352)*(1-ADD.DISCOUNT)*(1+MAT.SURCHARGE)/EXC.RATE_2,C2352*(1-I2352)*(1-ADD.DISCOUNT)*(1+MAT.SURCHARGE)*EXC.RATE_2),CURRENCY.FORMAT_2),CURRENCY.FORMAT_2,0)),'DICTIONARY-5'!$A$2))</f>
        <v/>
      </c>
      <c r="N2352" s="537">
        <v>11</v>
      </c>
      <c r="O2352" s="537"/>
      <c r="P2352" s="731" t="str">
        <f>'DICTIONARY-3'!$A$130</f>
        <v>LADA</v>
      </c>
      <c r="Q2352" s="732" t="str">
        <f>'DICTIONARY-3'!$A$219</f>
        <v>Obudowa ziemna</v>
      </c>
      <c r="R2352" s="732" t="str">
        <f>CONCATENATE('DICTIONARY-3'!$A$131," ",'DICTIONARY-6'!$A$12," ",'DICTIONARY-2'!$A$7,"1,0m ",'DICTIONARY-5'!$A$7," ",LOWER('DICTIONARY-6'!$A$3)," ",'DICTIONARY-2'!$A$2,"100-150")</f>
        <v>LADA-A Obud. ziemn Rd1,0m dla zasuwa DN100-150</v>
      </c>
      <c r="S2352" s="733" t="s">
        <v>5569</v>
      </c>
      <c r="T2352" s="732" t="s">
        <v>5569</v>
      </c>
      <c r="U2352" s="734" t="s">
        <v>6026</v>
      </c>
      <c r="V2352" s="735"/>
      <c r="W2352" s="736"/>
      <c r="X2352" s="737"/>
      <c r="Y2352" s="745" t="s">
        <v>5652</v>
      </c>
      <c r="Z2352" s="747"/>
      <c r="AA2352" s="747"/>
      <c r="AB2352" s="740"/>
      <c r="AC2352" s="741"/>
      <c r="AD2352" s="741" t="s">
        <v>5569</v>
      </c>
      <c r="AE2352" s="742" t="s">
        <v>5569</v>
      </c>
      <c r="AF2352" s="743">
        <v>2.5099999999999998</v>
      </c>
      <c r="AG2352" s="733" t="str">
        <f>'DICTIONARY-5'!$A$23</f>
        <v>powłoka epoksydowa</v>
      </c>
    </row>
    <row r="2353" spans="1:33" x14ac:dyDescent="0.25">
      <c r="A2353" s="854" t="s">
        <v>2219</v>
      </c>
      <c r="B2353" s="854" t="s">
        <v>4858</v>
      </c>
      <c r="C2353" s="836">
        <v>33</v>
      </c>
      <c r="D2353" s="836"/>
      <c r="E2353" s="836"/>
      <c r="F2353" s="836"/>
      <c r="G2353" s="496" t="s">
        <v>7845</v>
      </c>
      <c r="H2353" s="797" t="str">
        <f>VLOOKUP(G2353,SETTINGS!$B$7:$D$97,2,0)</f>
        <v>LADA</v>
      </c>
      <c r="I2353" s="796">
        <f>VLOOKUP(G2353,SETTINGS!$B$7:$D$97,3,0)</f>
        <v>0</v>
      </c>
      <c r="J2353" s="670" t="str">
        <f>IFERROR(IF(CURRENCY.FORMAT_1=0,CONCATENATE(TEXT(FIXED(ROUND((C2353/EXC.RATE_1),CURRENCY.FORMAT_1),CURRENCY.FORMAT_1,1),"# ##0;-# ##0"),",-"),FIXED(ROUND((C2353/EXC.RATE_1),CURRENCY.FORMAT_1),CURRENCY.FORMAT_1,0)),'DICTIONARY-5'!$A$2)</f>
        <v>33,-</v>
      </c>
      <c r="K2353" s="670" t="str">
        <f>IF(EXC.RATE_2=0,"",IFERROR(IF(CURRENCY.FORMAT_2=0,CONCATENATE(TEXT(FIXED(ROUND(IF(EXC.RATE.SWITCH=1,C2353/EXC.RATE_2,C2353*EXC.RATE_2),CURRENCY.FORMAT_2),CURRENCY.FORMAT_2,1),"# ##0;-# ##0"),",-"),FIXED(ROUND(IF(EXC.RATE.SWITCH=1,C2353/EXC.RATE_2,C2353*EXC.RATE_2),CURRENCY.FORMAT_2),CURRENCY.FORMAT_2,0)),'DICTIONARY-5'!$A$2))</f>
        <v/>
      </c>
      <c r="L2353" s="670" t="str">
        <f>IFERROR(IF(CURRENCY.FORMAT_1=0,CONCATENATE(TEXT(FIXED(ROUND((C2353*(1-I2353)*(1-ADD.DISCOUNT)*(1+MAT.SURCHARGE)/EXC.RATE_1),CURRENCY.FORMAT_1),CURRENCY.FORMAT_1,1),"# ##0;-# ##0"),",-"),FIXED(ROUND((C2353*(1-I2353)*(1-ADD.DISCOUNT)*(1+MAT.SURCHARGE)/EXC.RATE_1),CURRENCY.FORMAT_1),CURRENCY.FORMAT_1,0)),'DICTIONARY-5'!$A$2)</f>
        <v>34,-</v>
      </c>
      <c r="M2353" s="670" t="str">
        <f>IF(EXC.RATE_2=0,"",IFERROR(IF(CURRENCY.FORMAT_2=0,CONCATENATE(TEXT(FIXED(ROUND(IF(EXC.RATE.SWITCH=1,C2353*(1-I2353)*(1-ADD.DISCOUNT)*(1+MAT.SURCHARGE)/EXC.RATE_2,C2353*(1-I2353)*(1-ADD.DISCOUNT)*(1+MAT.SURCHARGE)*EXC.RATE_2),CURRENCY.FORMAT_2),CURRENCY.FORMAT_2,1),"# ##0;-# ##0"),",-"),FIXED(ROUND(IF(EXC.RATE.SWITCH=1,C2353*(1-I2353)*(1-ADD.DISCOUNT)*(1+MAT.SURCHARGE)/EXC.RATE_2,C2353*(1-I2353)*(1-ADD.DISCOUNT)*(1+MAT.SURCHARGE)*EXC.RATE_2),CURRENCY.FORMAT_2),CURRENCY.FORMAT_2,0)),'DICTIONARY-5'!$A$2))</f>
        <v/>
      </c>
      <c r="N2353" s="537">
        <v>11</v>
      </c>
      <c r="O2353" s="537"/>
      <c r="P2353" s="731" t="str">
        <f>'DICTIONARY-3'!$A$130</f>
        <v>LADA</v>
      </c>
      <c r="Q2353" s="732" t="str">
        <f>'DICTIONARY-3'!$A$219</f>
        <v>Obudowa ziemna</v>
      </c>
      <c r="R2353" s="732" t="str">
        <f>CONCATENATE('DICTIONARY-3'!$A$131," ",'DICTIONARY-6'!$A$12," ",'DICTIONARY-2'!$A$7,"1,0m ",'DICTIONARY-5'!$A$7," ",LOWER('DICTIONARY-6'!$A$3)," ",'DICTIONARY-2'!$A$2,"200")</f>
        <v>LADA-A Obud. ziemn Rd1,0m dla zasuwa DN200</v>
      </c>
      <c r="S2353" s="733" t="s">
        <v>5569</v>
      </c>
      <c r="T2353" s="732" t="s">
        <v>5569</v>
      </c>
      <c r="U2353" s="734" t="s">
        <v>5750</v>
      </c>
      <c r="V2353" s="735"/>
      <c r="W2353" s="736"/>
      <c r="X2353" s="737"/>
      <c r="Y2353" s="745" t="s">
        <v>5652</v>
      </c>
      <c r="Z2353" s="747"/>
      <c r="AA2353" s="747"/>
      <c r="AB2353" s="740"/>
      <c r="AC2353" s="741"/>
      <c r="AD2353" s="741" t="s">
        <v>5569</v>
      </c>
      <c r="AE2353" s="742" t="s">
        <v>5569</v>
      </c>
      <c r="AF2353" s="743">
        <v>3.5</v>
      </c>
      <c r="AG2353" s="733" t="str">
        <f>'DICTIONARY-5'!$A$23</f>
        <v>powłoka epoksydowa</v>
      </c>
    </row>
    <row r="2354" spans="1:33" x14ac:dyDescent="0.25">
      <c r="A2354" s="854" t="s">
        <v>2222</v>
      </c>
      <c r="B2354" s="854" t="s">
        <v>4862</v>
      </c>
      <c r="C2354" s="836">
        <v>32</v>
      </c>
      <c r="D2354" s="836"/>
      <c r="E2354" s="836"/>
      <c r="F2354" s="836"/>
      <c r="G2354" s="496" t="s">
        <v>7845</v>
      </c>
      <c r="H2354" s="797" t="str">
        <f>VLOOKUP(G2354,SETTINGS!$B$7:$D$97,2,0)</f>
        <v>LADA</v>
      </c>
      <c r="I2354" s="796">
        <f>VLOOKUP(G2354,SETTINGS!$B$7:$D$97,3,0)</f>
        <v>0</v>
      </c>
      <c r="J2354" s="670" t="str">
        <f>IFERROR(IF(CURRENCY.FORMAT_1=0,CONCATENATE(TEXT(FIXED(ROUND((C2354/EXC.RATE_1),CURRENCY.FORMAT_1),CURRENCY.FORMAT_1,1),"# ##0;-# ##0"),",-"),FIXED(ROUND((C2354/EXC.RATE_1),CURRENCY.FORMAT_1),CURRENCY.FORMAT_1,0)),'DICTIONARY-5'!$A$2)</f>
        <v>32,-</v>
      </c>
      <c r="K2354" s="670" t="str">
        <f>IF(EXC.RATE_2=0,"",IFERROR(IF(CURRENCY.FORMAT_2=0,CONCATENATE(TEXT(FIXED(ROUND(IF(EXC.RATE.SWITCH=1,C2354/EXC.RATE_2,C2354*EXC.RATE_2),CURRENCY.FORMAT_2),CURRENCY.FORMAT_2,1),"# ##0;-# ##0"),",-"),FIXED(ROUND(IF(EXC.RATE.SWITCH=1,C2354/EXC.RATE_2,C2354*EXC.RATE_2),CURRENCY.FORMAT_2),CURRENCY.FORMAT_2,0)),'DICTIONARY-5'!$A$2))</f>
        <v/>
      </c>
      <c r="L2354" s="670" t="str">
        <f>IFERROR(IF(CURRENCY.FORMAT_1=0,CONCATENATE(TEXT(FIXED(ROUND((C2354*(1-I2354)*(1-ADD.DISCOUNT)*(1+MAT.SURCHARGE)/EXC.RATE_1),CURRENCY.FORMAT_1),CURRENCY.FORMAT_1,1),"# ##0;-# ##0"),",-"),FIXED(ROUND((C2354*(1-I2354)*(1-ADD.DISCOUNT)*(1+MAT.SURCHARGE)/EXC.RATE_1),CURRENCY.FORMAT_1),CURRENCY.FORMAT_1,0)),'DICTIONARY-5'!$A$2)</f>
        <v>33,-</v>
      </c>
      <c r="M2354" s="670" t="str">
        <f>IF(EXC.RATE_2=0,"",IFERROR(IF(CURRENCY.FORMAT_2=0,CONCATENATE(TEXT(FIXED(ROUND(IF(EXC.RATE.SWITCH=1,C2354*(1-I2354)*(1-ADD.DISCOUNT)*(1+MAT.SURCHARGE)/EXC.RATE_2,C2354*(1-I2354)*(1-ADD.DISCOUNT)*(1+MAT.SURCHARGE)*EXC.RATE_2),CURRENCY.FORMAT_2),CURRENCY.FORMAT_2,1),"# ##0;-# ##0"),",-"),FIXED(ROUND(IF(EXC.RATE.SWITCH=1,C2354*(1-I2354)*(1-ADD.DISCOUNT)*(1+MAT.SURCHARGE)/EXC.RATE_2,C2354*(1-I2354)*(1-ADD.DISCOUNT)*(1+MAT.SURCHARGE)*EXC.RATE_2),CURRENCY.FORMAT_2),CURRENCY.FORMAT_2,0)),'DICTIONARY-5'!$A$2))</f>
        <v/>
      </c>
      <c r="N2354" s="537">
        <v>11</v>
      </c>
      <c r="O2354" s="537"/>
      <c r="P2354" s="731" t="str">
        <f>'DICTIONARY-3'!$A$130</f>
        <v>LADA</v>
      </c>
      <c r="Q2354" s="732" t="str">
        <f>'DICTIONARY-3'!$A$219</f>
        <v>Obudowa ziemna</v>
      </c>
      <c r="R2354" s="732" t="str">
        <f>CONCATENATE('DICTIONARY-3'!$A$131," ",'DICTIONARY-6'!$A$12," ",'DICTIONARY-2'!$A$7,"1,0m ",'DICTIONARY-5'!$A$7," ",LOWER('DICTIONARY-6'!$A$3)," ",'DICTIONARY-2'!$A$2,"250-300")</f>
        <v>LADA-A Obud. ziemn Rd1,0m dla zasuwa DN250-300</v>
      </c>
      <c r="S2354" s="733" t="s">
        <v>5569</v>
      </c>
      <c r="T2354" s="732" t="s">
        <v>5569</v>
      </c>
      <c r="U2354" s="734" t="s">
        <v>5713</v>
      </c>
      <c r="V2354" s="735"/>
      <c r="W2354" s="736"/>
      <c r="X2354" s="737"/>
      <c r="Y2354" s="745" t="s">
        <v>5652</v>
      </c>
      <c r="Z2354" s="747"/>
      <c r="AA2354" s="747"/>
      <c r="AB2354" s="740"/>
      <c r="AC2354" s="741"/>
      <c r="AD2354" s="741" t="s">
        <v>5569</v>
      </c>
      <c r="AE2354" s="742" t="s">
        <v>5569</v>
      </c>
      <c r="AF2354" s="743">
        <v>2.5</v>
      </c>
      <c r="AG2354" s="733" t="str">
        <f>'DICTIONARY-5'!$A$23</f>
        <v>powłoka epoksydowa</v>
      </c>
    </row>
    <row r="2355" spans="1:33" x14ac:dyDescent="0.25">
      <c r="A2355" s="854" t="s">
        <v>2212</v>
      </c>
      <c r="B2355" s="854" t="s">
        <v>4843</v>
      </c>
      <c r="C2355" s="836">
        <v>32</v>
      </c>
      <c r="D2355" s="836"/>
      <c r="E2355" s="836"/>
      <c r="F2355" s="836"/>
      <c r="G2355" s="496" t="s">
        <v>7845</v>
      </c>
      <c r="H2355" s="797" t="str">
        <f>VLOOKUP(G2355,SETTINGS!$B$7:$D$97,2,0)</f>
        <v>LADA</v>
      </c>
      <c r="I2355" s="796">
        <f>VLOOKUP(G2355,SETTINGS!$B$7:$D$97,3,0)</f>
        <v>0</v>
      </c>
      <c r="J2355" s="670" t="str">
        <f>IFERROR(IF(CURRENCY.FORMAT_1=0,CONCATENATE(TEXT(FIXED(ROUND((C2355/EXC.RATE_1),CURRENCY.FORMAT_1),CURRENCY.FORMAT_1,1),"# ##0;-# ##0"),",-"),FIXED(ROUND((C2355/EXC.RATE_1),CURRENCY.FORMAT_1),CURRENCY.FORMAT_1,0)),'DICTIONARY-5'!$A$2)</f>
        <v>32,-</v>
      </c>
      <c r="K2355" s="670" t="str">
        <f>IF(EXC.RATE_2=0,"",IFERROR(IF(CURRENCY.FORMAT_2=0,CONCATENATE(TEXT(FIXED(ROUND(IF(EXC.RATE.SWITCH=1,C2355/EXC.RATE_2,C2355*EXC.RATE_2),CURRENCY.FORMAT_2),CURRENCY.FORMAT_2,1),"# ##0;-# ##0"),",-"),FIXED(ROUND(IF(EXC.RATE.SWITCH=1,C2355/EXC.RATE_2,C2355*EXC.RATE_2),CURRENCY.FORMAT_2),CURRENCY.FORMAT_2,0)),'DICTIONARY-5'!$A$2))</f>
        <v/>
      </c>
      <c r="L2355" s="670" t="str">
        <f>IFERROR(IF(CURRENCY.FORMAT_1=0,CONCATENATE(TEXT(FIXED(ROUND((C2355*(1-I2355)*(1-ADD.DISCOUNT)*(1+MAT.SURCHARGE)/EXC.RATE_1),CURRENCY.FORMAT_1),CURRENCY.FORMAT_1,1),"# ##0;-# ##0"),",-"),FIXED(ROUND((C2355*(1-I2355)*(1-ADD.DISCOUNT)*(1+MAT.SURCHARGE)/EXC.RATE_1),CURRENCY.FORMAT_1),CURRENCY.FORMAT_1,0)),'DICTIONARY-5'!$A$2)</f>
        <v>33,-</v>
      </c>
      <c r="M2355" s="670" t="str">
        <f>IF(EXC.RATE_2=0,"",IFERROR(IF(CURRENCY.FORMAT_2=0,CONCATENATE(TEXT(FIXED(ROUND(IF(EXC.RATE.SWITCH=1,C2355*(1-I2355)*(1-ADD.DISCOUNT)*(1+MAT.SURCHARGE)/EXC.RATE_2,C2355*(1-I2355)*(1-ADD.DISCOUNT)*(1+MAT.SURCHARGE)*EXC.RATE_2),CURRENCY.FORMAT_2),CURRENCY.FORMAT_2,1),"# ##0;-# ##0"),",-"),FIXED(ROUND(IF(EXC.RATE.SWITCH=1,C2355*(1-I2355)*(1-ADD.DISCOUNT)*(1+MAT.SURCHARGE)/EXC.RATE_2,C2355*(1-I2355)*(1-ADD.DISCOUNT)*(1+MAT.SURCHARGE)*EXC.RATE_2),CURRENCY.FORMAT_2),CURRENCY.FORMAT_2,0)),'DICTIONARY-5'!$A$2))</f>
        <v/>
      </c>
      <c r="N2355" s="537">
        <v>11</v>
      </c>
      <c r="O2355" s="537"/>
      <c r="P2355" s="731" t="str">
        <f>'DICTIONARY-3'!$A$130</f>
        <v>LADA</v>
      </c>
      <c r="Q2355" s="732" t="str">
        <f>'DICTIONARY-3'!$A$219</f>
        <v>Obudowa ziemna</v>
      </c>
      <c r="R2355" s="732" t="str">
        <f>CONCATENATE('DICTIONARY-3'!$A$131," ",'DICTIONARY-6'!$A$12," ",'DICTIONARY-2'!$A$7,"1,25m ",'DICTIONARY-5'!$A$7," ",LOWER('DICTIONARY-6'!$A$3)," ",'DICTIONARY-2'!$A$2,"40-50")</f>
        <v>LADA-A Obud. ziemn Rd1,25m dla zasuwa DN40-50</v>
      </c>
      <c r="S2355" s="733" t="s">
        <v>5569</v>
      </c>
      <c r="T2355" s="732" t="s">
        <v>5569</v>
      </c>
      <c r="U2355" s="734" t="s">
        <v>6024</v>
      </c>
      <c r="V2355" s="735"/>
      <c r="W2355" s="736"/>
      <c r="X2355" s="737"/>
      <c r="Y2355" s="745" t="s">
        <v>5653</v>
      </c>
      <c r="Z2355" s="747"/>
      <c r="AA2355" s="747"/>
      <c r="AB2355" s="740"/>
      <c r="AC2355" s="741"/>
      <c r="AD2355" s="741" t="s">
        <v>5569</v>
      </c>
      <c r="AE2355" s="742" t="s">
        <v>5569</v>
      </c>
      <c r="AF2355" s="743">
        <v>3.8</v>
      </c>
      <c r="AG2355" s="733" t="str">
        <f>'DICTIONARY-5'!$A$23</f>
        <v>powłoka epoksydowa</v>
      </c>
    </row>
    <row r="2356" spans="1:33" x14ac:dyDescent="0.25">
      <c r="A2356" s="854" t="s">
        <v>2215</v>
      </c>
      <c r="B2356" s="854" t="s">
        <v>4851</v>
      </c>
      <c r="C2356" s="836">
        <v>29</v>
      </c>
      <c r="D2356" s="836"/>
      <c r="E2356" s="836"/>
      <c r="F2356" s="836"/>
      <c r="G2356" s="496" t="s">
        <v>7845</v>
      </c>
      <c r="H2356" s="797" t="str">
        <f>VLOOKUP(G2356,SETTINGS!$B$7:$D$97,2,0)</f>
        <v>LADA</v>
      </c>
      <c r="I2356" s="796">
        <f>VLOOKUP(G2356,SETTINGS!$B$7:$D$97,3,0)</f>
        <v>0</v>
      </c>
      <c r="J2356" s="670" t="str">
        <f>IFERROR(IF(CURRENCY.FORMAT_1=0,CONCATENATE(TEXT(FIXED(ROUND((C2356/EXC.RATE_1),CURRENCY.FORMAT_1),CURRENCY.FORMAT_1,1),"# ##0;-# ##0"),",-"),FIXED(ROUND((C2356/EXC.RATE_1),CURRENCY.FORMAT_1),CURRENCY.FORMAT_1,0)),'DICTIONARY-5'!$A$2)</f>
        <v>29,-</v>
      </c>
      <c r="K2356" s="670" t="str">
        <f>IF(EXC.RATE_2=0,"",IFERROR(IF(CURRENCY.FORMAT_2=0,CONCATENATE(TEXT(FIXED(ROUND(IF(EXC.RATE.SWITCH=1,C2356/EXC.RATE_2,C2356*EXC.RATE_2),CURRENCY.FORMAT_2),CURRENCY.FORMAT_2,1),"# ##0;-# ##0"),",-"),FIXED(ROUND(IF(EXC.RATE.SWITCH=1,C2356/EXC.RATE_2,C2356*EXC.RATE_2),CURRENCY.FORMAT_2),CURRENCY.FORMAT_2,0)),'DICTIONARY-5'!$A$2))</f>
        <v/>
      </c>
      <c r="L2356" s="670" t="str">
        <f>IFERROR(IF(CURRENCY.FORMAT_1=0,CONCATENATE(TEXT(FIXED(ROUND((C2356*(1-I2356)*(1-ADD.DISCOUNT)*(1+MAT.SURCHARGE)/EXC.RATE_1),CURRENCY.FORMAT_1),CURRENCY.FORMAT_1,1),"# ##0;-# ##0"),",-"),FIXED(ROUND((C2356*(1-I2356)*(1-ADD.DISCOUNT)*(1+MAT.SURCHARGE)/EXC.RATE_1),CURRENCY.FORMAT_1),CURRENCY.FORMAT_1,0)),'DICTIONARY-5'!$A$2)</f>
        <v>30,-</v>
      </c>
      <c r="M2356" s="670" t="str">
        <f>IF(EXC.RATE_2=0,"",IFERROR(IF(CURRENCY.FORMAT_2=0,CONCATENATE(TEXT(FIXED(ROUND(IF(EXC.RATE.SWITCH=1,C2356*(1-I2356)*(1-ADD.DISCOUNT)*(1+MAT.SURCHARGE)/EXC.RATE_2,C2356*(1-I2356)*(1-ADD.DISCOUNT)*(1+MAT.SURCHARGE)*EXC.RATE_2),CURRENCY.FORMAT_2),CURRENCY.FORMAT_2,1),"# ##0;-# ##0"),",-"),FIXED(ROUND(IF(EXC.RATE.SWITCH=1,C2356*(1-I2356)*(1-ADD.DISCOUNT)*(1+MAT.SURCHARGE)/EXC.RATE_2,C2356*(1-I2356)*(1-ADD.DISCOUNT)*(1+MAT.SURCHARGE)*EXC.RATE_2),CURRENCY.FORMAT_2),CURRENCY.FORMAT_2,0)),'DICTIONARY-5'!$A$2))</f>
        <v/>
      </c>
      <c r="N2356" s="537">
        <v>11</v>
      </c>
      <c r="O2356" s="537"/>
      <c r="P2356" s="731" t="str">
        <f>'DICTIONARY-3'!$A$130</f>
        <v>LADA</v>
      </c>
      <c r="Q2356" s="732" t="str">
        <f>'DICTIONARY-3'!$A$219</f>
        <v>Obudowa ziemna</v>
      </c>
      <c r="R2356" s="732" t="str">
        <f>CONCATENATE('DICTIONARY-3'!$A$131," ",'DICTIONARY-6'!$A$12," ",'DICTIONARY-2'!$A$7,"1,25m ",'DICTIONARY-5'!$A$7," ",LOWER('DICTIONARY-6'!$A$3)," ",'DICTIONARY-2'!$A$2,"65-80")</f>
        <v>LADA-A Obud. ziemn Rd1,25m dla zasuwa DN65-80</v>
      </c>
      <c r="S2356" s="733" t="s">
        <v>5569</v>
      </c>
      <c r="T2356" s="732" t="s">
        <v>5569</v>
      </c>
      <c r="U2356" s="734" t="s">
        <v>6025</v>
      </c>
      <c r="V2356" s="735"/>
      <c r="W2356" s="736"/>
      <c r="X2356" s="737"/>
      <c r="Y2356" s="745" t="s">
        <v>5653</v>
      </c>
      <c r="Z2356" s="747"/>
      <c r="AA2356" s="747"/>
      <c r="AB2356" s="740"/>
      <c r="AC2356" s="741"/>
      <c r="AD2356" s="741" t="s">
        <v>5569</v>
      </c>
      <c r="AE2356" s="742" t="s">
        <v>5569</v>
      </c>
      <c r="AF2356" s="743">
        <v>3.1</v>
      </c>
      <c r="AG2356" s="733" t="str">
        <f>'DICTIONARY-5'!$A$23</f>
        <v>powłoka epoksydowa</v>
      </c>
    </row>
    <row r="2357" spans="1:33" x14ac:dyDescent="0.25">
      <c r="A2357" s="854" t="s">
        <v>2218</v>
      </c>
      <c r="B2357" s="854" t="s">
        <v>4855</v>
      </c>
      <c r="C2357" s="836">
        <v>31</v>
      </c>
      <c r="D2357" s="836"/>
      <c r="E2357" s="836"/>
      <c r="F2357" s="836"/>
      <c r="G2357" s="496" t="s">
        <v>7845</v>
      </c>
      <c r="H2357" s="797" t="str">
        <f>VLOOKUP(G2357,SETTINGS!$B$7:$D$97,2,0)</f>
        <v>LADA</v>
      </c>
      <c r="I2357" s="796">
        <f>VLOOKUP(G2357,SETTINGS!$B$7:$D$97,3,0)</f>
        <v>0</v>
      </c>
      <c r="J2357" s="670" t="str">
        <f>IFERROR(IF(CURRENCY.FORMAT_1=0,CONCATENATE(TEXT(FIXED(ROUND((C2357/EXC.RATE_1),CURRENCY.FORMAT_1),CURRENCY.FORMAT_1,1),"# ##0;-# ##0"),",-"),FIXED(ROUND((C2357/EXC.RATE_1),CURRENCY.FORMAT_1),CURRENCY.FORMAT_1,0)),'DICTIONARY-5'!$A$2)</f>
        <v>31,-</v>
      </c>
      <c r="K2357" s="670" t="str">
        <f>IF(EXC.RATE_2=0,"",IFERROR(IF(CURRENCY.FORMAT_2=0,CONCATENATE(TEXT(FIXED(ROUND(IF(EXC.RATE.SWITCH=1,C2357/EXC.RATE_2,C2357*EXC.RATE_2),CURRENCY.FORMAT_2),CURRENCY.FORMAT_2,1),"# ##0;-# ##0"),",-"),FIXED(ROUND(IF(EXC.RATE.SWITCH=1,C2357/EXC.RATE_2,C2357*EXC.RATE_2),CURRENCY.FORMAT_2),CURRENCY.FORMAT_2,0)),'DICTIONARY-5'!$A$2))</f>
        <v/>
      </c>
      <c r="L2357" s="670" t="str">
        <f>IFERROR(IF(CURRENCY.FORMAT_1=0,CONCATENATE(TEXT(FIXED(ROUND((C2357*(1-I2357)*(1-ADD.DISCOUNT)*(1+MAT.SURCHARGE)/EXC.RATE_1),CURRENCY.FORMAT_1),CURRENCY.FORMAT_1,1),"# ##0;-# ##0"),",-"),FIXED(ROUND((C2357*(1-I2357)*(1-ADD.DISCOUNT)*(1+MAT.SURCHARGE)/EXC.RATE_1),CURRENCY.FORMAT_1),CURRENCY.FORMAT_1,0)),'DICTIONARY-5'!$A$2)</f>
        <v>32,-</v>
      </c>
      <c r="M2357" s="670" t="str">
        <f>IF(EXC.RATE_2=0,"",IFERROR(IF(CURRENCY.FORMAT_2=0,CONCATENATE(TEXT(FIXED(ROUND(IF(EXC.RATE.SWITCH=1,C2357*(1-I2357)*(1-ADD.DISCOUNT)*(1+MAT.SURCHARGE)/EXC.RATE_2,C2357*(1-I2357)*(1-ADD.DISCOUNT)*(1+MAT.SURCHARGE)*EXC.RATE_2),CURRENCY.FORMAT_2),CURRENCY.FORMAT_2,1),"# ##0;-# ##0"),",-"),FIXED(ROUND(IF(EXC.RATE.SWITCH=1,C2357*(1-I2357)*(1-ADD.DISCOUNT)*(1+MAT.SURCHARGE)/EXC.RATE_2,C2357*(1-I2357)*(1-ADD.DISCOUNT)*(1+MAT.SURCHARGE)*EXC.RATE_2),CURRENCY.FORMAT_2),CURRENCY.FORMAT_2,0)),'DICTIONARY-5'!$A$2))</f>
        <v/>
      </c>
      <c r="N2357" s="537">
        <v>11</v>
      </c>
      <c r="O2357" s="537"/>
      <c r="P2357" s="731" t="str">
        <f>'DICTIONARY-3'!$A$130</f>
        <v>LADA</v>
      </c>
      <c r="Q2357" s="732" t="str">
        <f>'DICTIONARY-3'!$A$219</f>
        <v>Obudowa ziemna</v>
      </c>
      <c r="R2357" s="732" t="str">
        <f>CONCATENATE('DICTIONARY-3'!$A$131," ",'DICTIONARY-6'!$A$12," ",'DICTIONARY-2'!$A$7,"1,25m ",'DICTIONARY-5'!$A$7," ",LOWER('DICTIONARY-6'!$A$3)," ",'DICTIONARY-2'!$A$2,"100-150")</f>
        <v>LADA-A Obud. ziemn Rd1,25m dla zasuwa DN100-150</v>
      </c>
      <c r="S2357" s="733" t="s">
        <v>5569</v>
      </c>
      <c r="T2357" s="732" t="s">
        <v>5569</v>
      </c>
      <c r="U2357" s="734" t="s">
        <v>6026</v>
      </c>
      <c r="V2357" s="735"/>
      <c r="W2357" s="736"/>
      <c r="X2357" s="737"/>
      <c r="Y2357" s="745" t="s">
        <v>5653</v>
      </c>
      <c r="Z2357" s="747"/>
      <c r="AA2357" s="747"/>
      <c r="AB2357" s="740"/>
      <c r="AC2357" s="741"/>
      <c r="AD2357" s="741" t="s">
        <v>5569</v>
      </c>
      <c r="AE2357" s="742" t="s">
        <v>5569</v>
      </c>
      <c r="AF2357" s="743">
        <v>3</v>
      </c>
      <c r="AG2357" s="733" t="str">
        <f>'DICTIONARY-5'!$A$23</f>
        <v>powłoka epoksydowa</v>
      </c>
    </row>
    <row r="2358" spans="1:33" x14ac:dyDescent="0.25">
      <c r="A2358" s="854" t="s">
        <v>2220</v>
      </c>
      <c r="B2358" s="854" t="s">
        <v>4859</v>
      </c>
      <c r="C2358" s="836">
        <v>36</v>
      </c>
      <c r="D2358" s="836"/>
      <c r="E2358" s="836"/>
      <c r="F2358" s="836"/>
      <c r="G2358" s="496" t="s">
        <v>7845</v>
      </c>
      <c r="H2358" s="797" t="str">
        <f>VLOOKUP(G2358,SETTINGS!$B$7:$D$97,2,0)</f>
        <v>LADA</v>
      </c>
      <c r="I2358" s="796">
        <f>VLOOKUP(G2358,SETTINGS!$B$7:$D$97,3,0)</f>
        <v>0</v>
      </c>
      <c r="J2358" s="670" t="str">
        <f>IFERROR(IF(CURRENCY.FORMAT_1=0,CONCATENATE(TEXT(FIXED(ROUND((C2358/EXC.RATE_1),CURRENCY.FORMAT_1),CURRENCY.FORMAT_1,1),"# ##0;-# ##0"),",-"),FIXED(ROUND((C2358/EXC.RATE_1),CURRENCY.FORMAT_1),CURRENCY.FORMAT_1,0)),'DICTIONARY-5'!$A$2)</f>
        <v>36,-</v>
      </c>
      <c r="K2358" s="670" t="str">
        <f>IF(EXC.RATE_2=0,"",IFERROR(IF(CURRENCY.FORMAT_2=0,CONCATENATE(TEXT(FIXED(ROUND(IF(EXC.RATE.SWITCH=1,C2358/EXC.RATE_2,C2358*EXC.RATE_2),CURRENCY.FORMAT_2),CURRENCY.FORMAT_2,1),"# ##0;-# ##0"),",-"),FIXED(ROUND(IF(EXC.RATE.SWITCH=1,C2358/EXC.RATE_2,C2358*EXC.RATE_2),CURRENCY.FORMAT_2),CURRENCY.FORMAT_2,0)),'DICTIONARY-5'!$A$2))</f>
        <v/>
      </c>
      <c r="L2358" s="670" t="str">
        <f>IFERROR(IF(CURRENCY.FORMAT_1=0,CONCATENATE(TEXT(FIXED(ROUND((C2358*(1-I2358)*(1-ADD.DISCOUNT)*(1+MAT.SURCHARGE)/EXC.RATE_1),CURRENCY.FORMAT_1),CURRENCY.FORMAT_1,1),"# ##0;-# ##0"),",-"),FIXED(ROUND((C2358*(1-I2358)*(1-ADD.DISCOUNT)*(1+MAT.SURCHARGE)/EXC.RATE_1),CURRENCY.FORMAT_1),CURRENCY.FORMAT_1,0)),'DICTIONARY-5'!$A$2)</f>
        <v>37,-</v>
      </c>
      <c r="M2358" s="670" t="str">
        <f>IF(EXC.RATE_2=0,"",IFERROR(IF(CURRENCY.FORMAT_2=0,CONCATENATE(TEXT(FIXED(ROUND(IF(EXC.RATE.SWITCH=1,C2358*(1-I2358)*(1-ADD.DISCOUNT)*(1+MAT.SURCHARGE)/EXC.RATE_2,C2358*(1-I2358)*(1-ADD.DISCOUNT)*(1+MAT.SURCHARGE)*EXC.RATE_2),CURRENCY.FORMAT_2),CURRENCY.FORMAT_2,1),"# ##0;-# ##0"),",-"),FIXED(ROUND(IF(EXC.RATE.SWITCH=1,C2358*(1-I2358)*(1-ADD.DISCOUNT)*(1+MAT.SURCHARGE)/EXC.RATE_2,C2358*(1-I2358)*(1-ADD.DISCOUNT)*(1+MAT.SURCHARGE)*EXC.RATE_2),CURRENCY.FORMAT_2),CURRENCY.FORMAT_2,0)),'DICTIONARY-5'!$A$2))</f>
        <v/>
      </c>
      <c r="N2358" s="537">
        <v>11</v>
      </c>
      <c r="O2358" s="537"/>
      <c r="P2358" s="731" t="str">
        <f>'DICTIONARY-3'!$A$130</f>
        <v>LADA</v>
      </c>
      <c r="Q2358" s="732" t="str">
        <f>'DICTIONARY-3'!$A$219</f>
        <v>Obudowa ziemna</v>
      </c>
      <c r="R2358" s="732" t="str">
        <f>CONCATENATE('DICTIONARY-3'!$A$131," ",'DICTIONARY-6'!$A$12," ",'DICTIONARY-2'!$A$7,"1,25m ",'DICTIONARY-5'!$A$7," ",LOWER('DICTIONARY-6'!$A$3)," ",'DICTIONARY-2'!$A$2,"200")</f>
        <v>LADA-A Obud. ziemn Rd1,25m dla zasuwa DN200</v>
      </c>
      <c r="S2358" s="733" t="s">
        <v>5569</v>
      </c>
      <c r="T2358" s="732" t="s">
        <v>5569</v>
      </c>
      <c r="U2358" s="734" t="s">
        <v>5750</v>
      </c>
      <c r="V2358" s="735"/>
      <c r="W2358" s="736"/>
      <c r="X2358" s="737"/>
      <c r="Y2358" s="745" t="s">
        <v>5653</v>
      </c>
      <c r="Z2358" s="747"/>
      <c r="AA2358" s="747"/>
      <c r="AB2358" s="740"/>
      <c r="AC2358" s="741"/>
      <c r="AD2358" s="741" t="s">
        <v>5569</v>
      </c>
      <c r="AE2358" s="742" t="s">
        <v>5569</v>
      </c>
      <c r="AF2358" s="743">
        <v>5</v>
      </c>
      <c r="AG2358" s="733" t="str">
        <f>'DICTIONARY-5'!$A$23</f>
        <v>powłoka epoksydowa</v>
      </c>
    </row>
    <row r="2359" spans="1:33" x14ac:dyDescent="0.25">
      <c r="A2359" s="854" t="s">
        <v>2223</v>
      </c>
      <c r="B2359" s="854" t="s">
        <v>4863</v>
      </c>
      <c r="C2359" s="836">
        <v>35</v>
      </c>
      <c r="D2359" s="836"/>
      <c r="E2359" s="836"/>
      <c r="F2359" s="836"/>
      <c r="G2359" s="496" t="s">
        <v>7845</v>
      </c>
      <c r="H2359" s="797" t="str">
        <f>VLOOKUP(G2359,SETTINGS!$B$7:$D$97,2,0)</f>
        <v>LADA</v>
      </c>
      <c r="I2359" s="796">
        <f>VLOOKUP(G2359,SETTINGS!$B$7:$D$97,3,0)</f>
        <v>0</v>
      </c>
      <c r="J2359" s="670" t="str">
        <f>IFERROR(IF(CURRENCY.FORMAT_1=0,CONCATENATE(TEXT(FIXED(ROUND((C2359/EXC.RATE_1),CURRENCY.FORMAT_1),CURRENCY.FORMAT_1,1),"# ##0;-# ##0"),",-"),FIXED(ROUND((C2359/EXC.RATE_1),CURRENCY.FORMAT_1),CURRENCY.FORMAT_1,0)),'DICTIONARY-5'!$A$2)</f>
        <v>35,-</v>
      </c>
      <c r="K2359" s="670" t="str">
        <f>IF(EXC.RATE_2=0,"",IFERROR(IF(CURRENCY.FORMAT_2=0,CONCATENATE(TEXT(FIXED(ROUND(IF(EXC.RATE.SWITCH=1,C2359/EXC.RATE_2,C2359*EXC.RATE_2),CURRENCY.FORMAT_2),CURRENCY.FORMAT_2,1),"# ##0;-# ##0"),",-"),FIXED(ROUND(IF(EXC.RATE.SWITCH=1,C2359/EXC.RATE_2,C2359*EXC.RATE_2),CURRENCY.FORMAT_2),CURRENCY.FORMAT_2,0)),'DICTIONARY-5'!$A$2))</f>
        <v/>
      </c>
      <c r="L2359" s="670" t="str">
        <f>IFERROR(IF(CURRENCY.FORMAT_1=0,CONCATENATE(TEXT(FIXED(ROUND((C2359*(1-I2359)*(1-ADD.DISCOUNT)*(1+MAT.SURCHARGE)/EXC.RATE_1),CURRENCY.FORMAT_1),CURRENCY.FORMAT_1,1),"# ##0;-# ##0"),",-"),FIXED(ROUND((C2359*(1-I2359)*(1-ADD.DISCOUNT)*(1+MAT.SURCHARGE)/EXC.RATE_1),CURRENCY.FORMAT_1),CURRENCY.FORMAT_1,0)),'DICTIONARY-5'!$A$2)</f>
        <v>36,-</v>
      </c>
      <c r="M2359" s="670" t="str">
        <f>IF(EXC.RATE_2=0,"",IFERROR(IF(CURRENCY.FORMAT_2=0,CONCATENATE(TEXT(FIXED(ROUND(IF(EXC.RATE.SWITCH=1,C2359*(1-I2359)*(1-ADD.DISCOUNT)*(1+MAT.SURCHARGE)/EXC.RATE_2,C2359*(1-I2359)*(1-ADD.DISCOUNT)*(1+MAT.SURCHARGE)*EXC.RATE_2),CURRENCY.FORMAT_2),CURRENCY.FORMAT_2,1),"# ##0;-# ##0"),",-"),FIXED(ROUND(IF(EXC.RATE.SWITCH=1,C2359*(1-I2359)*(1-ADD.DISCOUNT)*(1+MAT.SURCHARGE)/EXC.RATE_2,C2359*(1-I2359)*(1-ADD.DISCOUNT)*(1+MAT.SURCHARGE)*EXC.RATE_2),CURRENCY.FORMAT_2),CURRENCY.FORMAT_2,0)),'DICTIONARY-5'!$A$2))</f>
        <v/>
      </c>
      <c r="N2359" s="537">
        <v>11</v>
      </c>
      <c r="O2359" s="537"/>
      <c r="P2359" s="731" t="str">
        <f>'DICTIONARY-3'!$A$130</f>
        <v>LADA</v>
      </c>
      <c r="Q2359" s="732" t="str">
        <f>'DICTIONARY-3'!$A$219</f>
        <v>Obudowa ziemna</v>
      </c>
      <c r="R2359" s="732" t="str">
        <f>CONCATENATE('DICTIONARY-3'!$A$131," ",'DICTIONARY-6'!$A$12," ",'DICTIONARY-2'!$A$7,"1,25m ",'DICTIONARY-5'!$A$7," ",LOWER('DICTIONARY-6'!$A$3)," ",'DICTIONARY-2'!$A$2,"250-300")</f>
        <v>LADA-A Obud. ziemn Rd1,25m dla zasuwa DN250-300</v>
      </c>
      <c r="S2359" s="733" t="s">
        <v>5569</v>
      </c>
      <c r="T2359" s="732" t="s">
        <v>5569</v>
      </c>
      <c r="U2359" s="734" t="s">
        <v>5713</v>
      </c>
      <c r="V2359" s="735"/>
      <c r="W2359" s="736"/>
      <c r="X2359" s="737"/>
      <c r="Y2359" s="745" t="s">
        <v>5653</v>
      </c>
      <c r="Z2359" s="747"/>
      <c r="AA2359" s="747"/>
      <c r="AB2359" s="740"/>
      <c r="AC2359" s="741"/>
      <c r="AD2359" s="741" t="s">
        <v>5569</v>
      </c>
      <c r="AE2359" s="742" t="s">
        <v>5569</v>
      </c>
      <c r="AF2359" s="743">
        <v>4</v>
      </c>
      <c r="AG2359" s="733" t="str">
        <f>'DICTIONARY-5'!$A$23</f>
        <v>powłoka epoksydowa</v>
      </c>
    </row>
    <row r="2360" spans="1:33" x14ac:dyDescent="0.25">
      <c r="A2360" s="854" t="s">
        <v>2224</v>
      </c>
      <c r="B2360" s="854" t="s">
        <v>4866</v>
      </c>
      <c r="C2360" s="836">
        <v>27</v>
      </c>
      <c r="D2360" s="836"/>
      <c r="E2360" s="836"/>
      <c r="F2360" s="836"/>
      <c r="G2360" s="496" t="s">
        <v>7845</v>
      </c>
      <c r="H2360" s="797" t="str">
        <f>VLOOKUP(G2360,SETTINGS!$B$7:$D$97,2,0)</f>
        <v>LADA</v>
      </c>
      <c r="I2360" s="796">
        <f>VLOOKUP(G2360,SETTINGS!$B$7:$D$97,3,0)</f>
        <v>0</v>
      </c>
      <c r="J2360" s="670" t="str">
        <f>IFERROR(IF(CURRENCY.FORMAT_1=0,CONCATENATE(TEXT(FIXED(ROUND((C2360/EXC.RATE_1),CURRENCY.FORMAT_1),CURRENCY.FORMAT_1,1),"# ##0;-# ##0"),",-"),FIXED(ROUND((C2360/EXC.RATE_1),CURRENCY.FORMAT_1),CURRENCY.FORMAT_1,0)),'DICTIONARY-5'!$A$2)</f>
        <v>27,-</v>
      </c>
      <c r="K2360" s="670" t="str">
        <f>IF(EXC.RATE_2=0,"",IFERROR(IF(CURRENCY.FORMAT_2=0,CONCATENATE(TEXT(FIXED(ROUND(IF(EXC.RATE.SWITCH=1,C2360/EXC.RATE_2,C2360*EXC.RATE_2),CURRENCY.FORMAT_2),CURRENCY.FORMAT_2,1),"# ##0;-# ##0"),",-"),FIXED(ROUND(IF(EXC.RATE.SWITCH=1,C2360/EXC.RATE_2,C2360*EXC.RATE_2),CURRENCY.FORMAT_2),CURRENCY.FORMAT_2,0)),'DICTIONARY-5'!$A$2))</f>
        <v/>
      </c>
      <c r="L2360" s="670" t="str">
        <f>IFERROR(IF(CURRENCY.FORMAT_1=0,CONCATENATE(TEXT(FIXED(ROUND((C2360*(1-I2360)*(1-ADD.DISCOUNT)*(1+MAT.SURCHARGE)/EXC.RATE_1),CURRENCY.FORMAT_1),CURRENCY.FORMAT_1,1),"# ##0;-# ##0"),",-"),FIXED(ROUND((C2360*(1-I2360)*(1-ADD.DISCOUNT)*(1+MAT.SURCHARGE)/EXC.RATE_1),CURRENCY.FORMAT_1),CURRENCY.FORMAT_1,0)),'DICTIONARY-5'!$A$2)</f>
        <v>28,-</v>
      </c>
      <c r="M2360" s="670" t="str">
        <f>IF(EXC.RATE_2=0,"",IFERROR(IF(CURRENCY.FORMAT_2=0,CONCATENATE(TEXT(FIXED(ROUND(IF(EXC.RATE.SWITCH=1,C2360*(1-I2360)*(1-ADD.DISCOUNT)*(1+MAT.SURCHARGE)/EXC.RATE_2,C2360*(1-I2360)*(1-ADD.DISCOUNT)*(1+MAT.SURCHARGE)*EXC.RATE_2),CURRENCY.FORMAT_2),CURRENCY.FORMAT_2,1),"# ##0;-# ##0"),",-"),FIXED(ROUND(IF(EXC.RATE.SWITCH=1,C2360*(1-I2360)*(1-ADD.DISCOUNT)*(1+MAT.SURCHARGE)/EXC.RATE_2,C2360*(1-I2360)*(1-ADD.DISCOUNT)*(1+MAT.SURCHARGE)*EXC.RATE_2),CURRENCY.FORMAT_2),CURRENCY.FORMAT_2,0)),'DICTIONARY-5'!$A$2))</f>
        <v/>
      </c>
      <c r="N2360" s="537">
        <v>11</v>
      </c>
      <c r="O2360" s="537"/>
      <c r="P2360" s="731" t="str">
        <f>'DICTIONARY-3'!$A$130</f>
        <v>LADA</v>
      </c>
      <c r="Q2360" s="732" t="str">
        <f>'DICTIONARY-3'!$A$219</f>
        <v>Obudowa ziemna</v>
      </c>
      <c r="R2360" s="732" t="str">
        <f>CONCATENATE('DICTIONARY-3'!$A$131," ",'DICTIONARY-6'!$A$12," ",'DICTIONARY-2'!$A$7,"1,25m ",'DICTIONARY-5'!$A$7," ",LOWER('DICTIONARY-6'!$A$3)," ",'DICTIONARY-2'!$A$2,"350")</f>
        <v>LADA-A Obud. ziemn Rd1,25m dla zasuwa DN350</v>
      </c>
      <c r="S2360" s="733" t="s">
        <v>5569</v>
      </c>
      <c r="T2360" s="732" t="s">
        <v>5569</v>
      </c>
      <c r="U2360" s="734" t="s">
        <v>5753</v>
      </c>
      <c r="V2360" s="735"/>
      <c r="W2360" s="736"/>
      <c r="X2360" s="737"/>
      <c r="Y2360" s="745" t="s">
        <v>5653</v>
      </c>
      <c r="Z2360" s="747"/>
      <c r="AA2360" s="747"/>
      <c r="AB2360" s="740"/>
      <c r="AC2360" s="741"/>
      <c r="AD2360" s="741" t="s">
        <v>5569</v>
      </c>
      <c r="AE2360" s="742" t="s">
        <v>5569</v>
      </c>
      <c r="AF2360" s="743">
        <v>3.5</v>
      </c>
      <c r="AG2360" s="733" t="str">
        <f>'DICTIONARY-5'!$A$23</f>
        <v>powłoka epoksydowa</v>
      </c>
    </row>
    <row r="2361" spans="1:33" x14ac:dyDescent="0.25">
      <c r="A2361" s="854" t="s">
        <v>2225</v>
      </c>
      <c r="B2361" s="854" t="s">
        <v>4844</v>
      </c>
      <c r="C2361" s="836">
        <v>34</v>
      </c>
      <c r="D2361" s="836"/>
      <c r="E2361" s="836"/>
      <c r="F2361" s="836"/>
      <c r="G2361" s="496" t="s">
        <v>7845</v>
      </c>
      <c r="H2361" s="797" t="str">
        <f>VLOOKUP(G2361,SETTINGS!$B$7:$D$97,2,0)</f>
        <v>LADA</v>
      </c>
      <c r="I2361" s="796">
        <f>VLOOKUP(G2361,SETTINGS!$B$7:$D$97,3,0)</f>
        <v>0</v>
      </c>
      <c r="J2361" s="670" t="str">
        <f>IFERROR(IF(CURRENCY.FORMAT_1=0,CONCATENATE(TEXT(FIXED(ROUND((C2361/EXC.RATE_1),CURRENCY.FORMAT_1),CURRENCY.FORMAT_1,1),"# ##0;-# ##0"),",-"),FIXED(ROUND((C2361/EXC.RATE_1),CURRENCY.FORMAT_1),CURRENCY.FORMAT_1,0)),'DICTIONARY-5'!$A$2)</f>
        <v>34,-</v>
      </c>
      <c r="K2361" s="670" t="str">
        <f>IF(EXC.RATE_2=0,"",IFERROR(IF(CURRENCY.FORMAT_2=0,CONCATENATE(TEXT(FIXED(ROUND(IF(EXC.RATE.SWITCH=1,C2361/EXC.RATE_2,C2361*EXC.RATE_2),CURRENCY.FORMAT_2),CURRENCY.FORMAT_2,1),"# ##0;-# ##0"),",-"),FIXED(ROUND(IF(EXC.RATE.SWITCH=1,C2361/EXC.RATE_2,C2361*EXC.RATE_2),CURRENCY.FORMAT_2),CURRENCY.FORMAT_2,0)),'DICTIONARY-5'!$A$2))</f>
        <v/>
      </c>
      <c r="L2361" s="670" t="str">
        <f>IFERROR(IF(CURRENCY.FORMAT_1=0,CONCATENATE(TEXT(FIXED(ROUND((C2361*(1-I2361)*(1-ADD.DISCOUNT)*(1+MAT.SURCHARGE)/EXC.RATE_1),CURRENCY.FORMAT_1),CURRENCY.FORMAT_1,1),"# ##0;-# ##0"),",-"),FIXED(ROUND((C2361*(1-I2361)*(1-ADD.DISCOUNT)*(1+MAT.SURCHARGE)/EXC.RATE_1),CURRENCY.FORMAT_1),CURRENCY.FORMAT_1,0)),'DICTIONARY-5'!$A$2)</f>
        <v>35,-</v>
      </c>
      <c r="M2361" s="670" t="str">
        <f>IF(EXC.RATE_2=0,"",IFERROR(IF(CURRENCY.FORMAT_2=0,CONCATENATE(TEXT(FIXED(ROUND(IF(EXC.RATE.SWITCH=1,C2361*(1-I2361)*(1-ADD.DISCOUNT)*(1+MAT.SURCHARGE)/EXC.RATE_2,C2361*(1-I2361)*(1-ADD.DISCOUNT)*(1+MAT.SURCHARGE)*EXC.RATE_2),CURRENCY.FORMAT_2),CURRENCY.FORMAT_2,1),"# ##0;-# ##0"),",-"),FIXED(ROUND(IF(EXC.RATE.SWITCH=1,C2361*(1-I2361)*(1-ADD.DISCOUNT)*(1+MAT.SURCHARGE)/EXC.RATE_2,C2361*(1-I2361)*(1-ADD.DISCOUNT)*(1+MAT.SURCHARGE)*EXC.RATE_2),CURRENCY.FORMAT_2),CURRENCY.FORMAT_2,0)),'DICTIONARY-5'!$A$2))</f>
        <v/>
      </c>
      <c r="N2361" s="537">
        <v>11</v>
      </c>
      <c r="O2361" s="537"/>
      <c r="P2361" s="731" t="str">
        <f>'DICTIONARY-3'!$A$130</f>
        <v>LADA</v>
      </c>
      <c r="Q2361" s="732" t="str">
        <f>'DICTIONARY-3'!$A$219</f>
        <v>Obudowa ziemna</v>
      </c>
      <c r="R2361" s="732" t="str">
        <f>CONCATENATE('DICTIONARY-3'!$A$131," ",'DICTIONARY-6'!$A$12," ",'DICTIONARY-2'!$A$7,"1,5m ",'DICTIONARY-5'!$A$7," ",LOWER('DICTIONARY-6'!$A$3)," ",'DICTIONARY-2'!$A$2,"40-50")</f>
        <v>LADA-A Obud. ziemn Rd1,5m dla zasuwa DN40-50</v>
      </c>
      <c r="S2361" s="733" t="s">
        <v>5569</v>
      </c>
      <c r="T2361" s="732" t="s">
        <v>5569</v>
      </c>
      <c r="U2361" s="734" t="s">
        <v>6024</v>
      </c>
      <c r="V2361" s="735"/>
      <c r="W2361" s="736"/>
      <c r="X2361" s="737"/>
      <c r="Y2361" s="745" t="s">
        <v>5654</v>
      </c>
      <c r="Z2361" s="747"/>
      <c r="AA2361" s="747"/>
      <c r="AB2361" s="740"/>
      <c r="AC2361" s="741"/>
      <c r="AD2361" s="741" t="s">
        <v>5569</v>
      </c>
      <c r="AE2361" s="742" t="s">
        <v>5569</v>
      </c>
      <c r="AF2361" s="743">
        <v>4</v>
      </c>
      <c r="AG2361" s="733" t="str">
        <f>'DICTIONARY-5'!$A$23</f>
        <v>powłoka epoksydowa</v>
      </c>
    </row>
    <row r="2362" spans="1:33" x14ac:dyDescent="0.25">
      <c r="A2362" s="854" t="s">
        <v>2227</v>
      </c>
      <c r="B2362" s="854" t="s">
        <v>4852</v>
      </c>
      <c r="C2362" s="836">
        <v>33</v>
      </c>
      <c r="D2362" s="836"/>
      <c r="E2362" s="836"/>
      <c r="F2362" s="836"/>
      <c r="G2362" s="496" t="s">
        <v>7845</v>
      </c>
      <c r="H2362" s="797" t="str">
        <f>VLOOKUP(G2362,SETTINGS!$B$7:$D$97,2,0)</f>
        <v>LADA</v>
      </c>
      <c r="I2362" s="796">
        <f>VLOOKUP(G2362,SETTINGS!$B$7:$D$97,3,0)</f>
        <v>0</v>
      </c>
      <c r="J2362" s="670" t="str">
        <f>IFERROR(IF(CURRENCY.FORMAT_1=0,CONCATENATE(TEXT(FIXED(ROUND((C2362/EXC.RATE_1),CURRENCY.FORMAT_1),CURRENCY.FORMAT_1,1),"# ##0;-# ##0"),",-"),FIXED(ROUND((C2362/EXC.RATE_1),CURRENCY.FORMAT_1),CURRENCY.FORMAT_1,0)),'DICTIONARY-5'!$A$2)</f>
        <v>33,-</v>
      </c>
      <c r="K2362" s="670" t="str">
        <f>IF(EXC.RATE_2=0,"",IFERROR(IF(CURRENCY.FORMAT_2=0,CONCATENATE(TEXT(FIXED(ROUND(IF(EXC.RATE.SWITCH=1,C2362/EXC.RATE_2,C2362*EXC.RATE_2),CURRENCY.FORMAT_2),CURRENCY.FORMAT_2,1),"# ##0;-# ##0"),",-"),FIXED(ROUND(IF(EXC.RATE.SWITCH=1,C2362/EXC.RATE_2,C2362*EXC.RATE_2),CURRENCY.FORMAT_2),CURRENCY.FORMAT_2,0)),'DICTIONARY-5'!$A$2))</f>
        <v/>
      </c>
      <c r="L2362" s="670" t="str">
        <f>IFERROR(IF(CURRENCY.FORMAT_1=0,CONCATENATE(TEXT(FIXED(ROUND((C2362*(1-I2362)*(1-ADD.DISCOUNT)*(1+MAT.SURCHARGE)/EXC.RATE_1),CURRENCY.FORMAT_1),CURRENCY.FORMAT_1,1),"# ##0;-# ##0"),",-"),FIXED(ROUND((C2362*(1-I2362)*(1-ADD.DISCOUNT)*(1+MAT.SURCHARGE)/EXC.RATE_1),CURRENCY.FORMAT_1),CURRENCY.FORMAT_1,0)),'DICTIONARY-5'!$A$2)</f>
        <v>34,-</v>
      </c>
      <c r="M2362" s="670" t="str">
        <f>IF(EXC.RATE_2=0,"",IFERROR(IF(CURRENCY.FORMAT_2=0,CONCATENATE(TEXT(FIXED(ROUND(IF(EXC.RATE.SWITCH=1,C2362*(1-I2362)*(1-ADD.DISCOUNT)*(1+MAT.SURCHARGE)/EXC.RATE_2,C2362*(1-I2362)*(1-ADD.DISCOUNT)*(1+MAT.SURCHARGE)*EXC.RATE_2),CURRENCY.FORMAT_2),CURRENCY.FORMAT_2,1),"# ##0;-# ##0"),",-"),FIXED(ROUND(IF(EXC.RATE.SWITCH=1,C2362*(1-I2362)*(1-ADD.DISCOUNT)*(1+MAT.SURCHARGE)/EXC.RATE_2,C2362*(1-I2362)*(1-ADD.DISCOUNT)*(1+MAT.SURCHARGE)*EXC.RATE_2),CURRENCY.FORMAT_2),CURRENCY.FORMAT_2,0)),'DICTIONARY-5'!$A$2))</f>
        <v/>
      </c>
      <c r="N2362" s="537">
        <v>11</v>
      </c>
      <c r="O2362" s="537"/>
      <c r="P2362" s="731" t="str">
        <f>'DICTIONARY-3'!$A$130</f>
        <v>LADA</v>
      </c>
      <c r="Q2362" s="732" t="str">
        <f>'DICTIONARY-3'!$A$219</f>
        <v>Obudowa ziemna</v>
      </c>
      <c r="R2362" s="732" t="str">
        <f>CONCATENATE('DICTIONARY-3'!$A$131," ",'DICTIONARY-6'!$A$12," ",'DICTIONARY-2'!$A$7,"1,5m ",'DICTIONARY-5'!$A$7," ",LOWER('DICTIONARY-6'!$A$3)," ",'DICTIONARY-2'!$A$2,"65-80")</f>
        <v>LADA-A Obud. ziemn Rd1,5m dla zasuwa DN65-80</v>
      </c>
      <c r="S2362" s="733" t="s">
        <v>5569</v>
      </c>
      <c r="T2362" s="732" t="s">
        <v>5569</v>
      </c>
      <c r="U2362" s="734" t="s">
        <v>6025</v>
      </c>
      <c r="V2362" s="735"/>
      <c r="W2362" s="736"/>
      <c r="X2362" s="737"/>
      <c r="Y2362" s="745" t="s">
        <v>5654</v>
      </c>
      <c r="Z2362" s="747"/>
      <c r="AA2362" s="747"/>
      <c r="AB2362" s="740"/>
      <c r="AC2362" s="741"/>
      <c r="AD2362" s="741" t="s">
        <v>5569</v>
      </c>
      <c r="AE2362" s="742" t="s">
        <v>5569</v>
      </c>
      <c r="AF2362" s="743">
        <v>4.0999999999999996</v>
      </c>
      <c r="AG2362" s="733" t="str">
        <f>'DICTIONARY-5'!$A$23</f>
        <v>powłoka epoksydowa</v>
      </c>
    </row>
    <row r="2363" spans="1:33" x14ac:dyDescent="0.25">
      <c r="A2363" s="854" t="s">
        <v>2229</v>
      </c>
      <c r="B2363" s="854" t="s">
        <v>4856</v>
      </c>
      <c r="C2363" s="836">
        <v>32</v>
      </c>
      <c r="D2363" s="836"/>
      <c r="E2363" s="836"/>
      <c r="F2363" s="836"/>
      <c r="G2363" s="496" t="s">
        <v>7845</v>
      </c>
      <c r="H2363" s="797" t="str">
        <f>VLOOKUP(G2363,SETTINGS!$B$7:$D$97,2,0)</f>
        <v>LADA</v>
      </c>
      <c r="I2363" s="796">
        <f>VLOOKUP(G2363,SETTINGS!$B$7:$D$97,3,0)</f>
        <v>0</v>
      </c>
      <c r="J2363" s="670" t="str">
        <f>IFERROR(IF(CURRENCY.FORMAT_1=0,CONCATENATE(TEXT(FIXED(ROUND((C2363/EXC.RATE_1),CURRENCY.FORMAT_1),CURRENCY.FORMAT_1,1),"# ##0;-# ##0"),",-"),FIXED(ROUND((C2363/EXC.RATE_1),CURRENCY.FORMAT_1),CURRENCY.FORMAT_1,0)),'DICTIONARY-5'!$A$2)</f>
        <v>32,-</v>
      </c>
      <c r="K2363" s="670" t="str">
        <f>IF(EXC.RATE_2=0,"",IFERROR(IF(CURRENCY.FORMAT_2=0,CONCATENATE(TEXT(FIXED(ROUND(IF(EXC.RATE.SWITCH=1,C2363/EXC.RATE_2,C2363*EXC.RATE_2),CURRENCY.FORMAT_2),CURRENCY.FORMAT_2,1),"# ##0;-# ##0"),",-"),FIXED(ROUND(IF(EXC.RATE.SWITCH=1,C2363/EXC.RATE_2,C2363*EXC.RATE_2),CURRENCY.FORMAT_2),CURRENCY.FORMAT_2,0)),'DICTIONARY-5'!$A$2))</f>
        <v/>
      </c>
      <c r="L2363" s="670" t="str">
        <f>IFERROR(IF(CURRENCY.FORMAT_1=0,CONCATENATE(TEXT(FIXED(ROUND((C2363*(1-I2363)*(1-ADD.DISCOUNT)*(1+MAT.SURCHARGE)/EXC.RATE_1),CURRENCY.FORMAT_1),CURRENCY.FORMAT_1,1),"# ##0;-# ##0"),",-"),FIXED(ROUND((C2363*(1-I2363)*(1-ADD.DISCOUNT)*(1+MAT.SURCHARGE)/EXC.RATE_1),CURRENCY.FORMAT_1),CURRENCY.FORMAT_1,0)),'DICTIONARY-5'!$A$2)</f>
        <v>33,-</v>
      </c>
      <c r="M2363" s="670" t="str">
        <f>IF(EXC.RATE_2=0,"",IFERROR(IF(CURRENCY.FORMAT_2=0,CONCATENATE(TEXT(FIXED(ROUND(IF(EXC.RATE.SWITCH=1,C2363*(1-I2363)*(1-ADD.DISCOUNT)*(1+MAT.SURCHARGE)/EXC.RATE_2,C2363*(1-I2363)*(1-ADD.DISCOUNT)*(1+MAT.SURCHARGE)*EXC.RATE_2),CURRENCY.FORMAT_2),CURRENCY.FORMAT_2,1),"# ##0;-# ##0"),",-"),FIXED(ROUND(IF(EXC.RATE.SWITCH=1,C2363*(1-I2363)*(1-ADD.DISCOUNT)*(1+MAT.SURCHARGE)/EXC.RATE_2,C2363*(1-I2363)*(1-ADD.DISCOUNT)*(1+MAT.SURCHARGE)*EXC.RATE_2),CURRENCY.FORMAT_2),CURRENCY.FORMAT_2,0)),'DICTIONARY-5'!$A$2))</f>
        <v/>
      </c>
      <c r="N2363" s="537">
        <v>11</v>
      </c>
      <c r="O2363" s="537"/>
      <c r="P2363" s="731" t="str">
        <f>'DICTIONARY-3'!$A$130</f>
        <v>LADA</v>
      </c>
      <c r="Q2363" s="732" t="str">
        <f>'DICTIONARY-3'!$A$219</f>
        <v>Obudowa ziemna</v>
      </c>
      <c r="R2363" s="732" t="str">
        <f>CONCATENATE('DICTIONARY-3'!$A$131," ",'DICTIONARY-6'!$A$12," ",'DICTIONARY-2'!$A$7,"1,5m ",'DICTIONARY-5'!$A$7," ",LOWER('DICTIONARY-6'!$A$3)," ",'DICTIONARY-2'!$A$2,"100-150")</f>
        <v>LADA-A Obud. ziemn Rd1,5m dla zasuwa DN100-150</v>
      </c>
      <c r="S2363" s="733" t="s">
        <v>5569</v>
      </c>
      <c r="T2363" s="732" t="s">
        <v>5569</v>
      </c>
      <c r="U2363" s="734" t="s">
        <v>6026</v>
      </c>
      <c r="V2363" s="735"/>
      <c r="W2363" s="736"/>
      <c r="X2363" s="737"/>
      <c r="Y2363" s="745" t="s">
        <v>5654</v>
      </c>
      <c r="Z2363" s="747"/>
      <c r="AA2363" s="747"/>
      <c r="AB2363" s="740"/>
      <c r="AC2363" s="741"/>
      <c r="AD2363" s="741" t="s">
        <v>5569</v>
      </c>
      <c r="AE2363" s="742" t="s">
        <v>5569</v>
      </c>
      <c r="AF2363" s="743">
        <v>4.3</v>
      </c>
      <c r="AG2363" s="733" t="str">
        <f>'DICTIONARY-5'!$A$23</f>
        <v>powłoka epoksydowa</v>
      </c>
    </row>
    <row r="2364" spans="1:33" x14ac:dyDescent="0.25">
      <c r="A2364" s="854" t="s">
        <v>2231</v>
      </c>
      <c r="B2364" s="854" t="s">
        <v>4860</v>
      </c>
      <c r="C2364" s="836">
        <v>42</v>
      </c>
      <c r="D2364" s="836"/>
      <c r="E2364" s="836"/>
      <c r="F2364" s="836"/>
      <c r="G2364" s="496" t="s">
        <v>7845</v>
      </c>
      <c r="H2364" s="797" t="str">
        <f>VLOOKUP(G2364,SETTINGS!$B$7:$D$97,2,0)</f>
        <v>LADA</v>
      </c>
      <c r="I2364" s="796">
        <f>VLOOKUP(G2364,SETTINGS!$B$7:$D$97,3,0)</f>
        <v>0</v>
      </c>
      <c r="J2364" s="670" t="str">
        <f>IFERROR(IF(CURRENCY.FORMAT_1=0,CONCATENATE(TEXT(FIXED(ROUND((C2364/EXC.RATE_1),CURRENCY.FORMAT_1),CURRENCY.FORMAT_1,1),"# ##0;-# ##0"),",-"),FIXED(ROUND((C2364/EXC.RATE_1),CURRENCY.FORMAT_1),CURRENCY.FORMAT_1,0)),'DICTIONARY-5'!$A$2)</f>
        <v>42,-</v>
      </c>
      <c r="K2364" s="670" t="str">
        <f>IF(EXC.RATE_2=0,"",IFERROR(IF(CURRENCY.FORMAT_2=0,CONCATENATE(TEXT(FIXED(ROUND(IF(EXC.RATE.SWITCH=1,C2364/EXC.RATE_2,C2364*EXC.RATE_2),CURRENCY.FORMAT_2),CURRENCY.FORMAT_2,1),"# ##0;-# ##0"),",-"),FIXED(ROUND(IF(EXC.RATE.SWITCH=1,C2364/EXC.RATE_2,C2364*EXC.RATE_2),CURRENCY.FORMAT_2),CURRENCY.FORMAT_2,0)),'DICTIONARY-5'!$A$2))</f>
        <v/>
      </c>
      <c r="L2364" s="670" t="str">
        <f>IFERROR(IF(CURRENCY.FORMAT_1=0,CONCATENATE(TEXT(FIXED(ROUND((C2364*(1-I2364)*(1-ADD.DISCOUNT)*(1+MAT.SURCHARGE)/EXC.RATE_1),CURRENCY.FORMAT_1),CURRENCY.FORMAT_1,1),"# ##0;-# ##0"),",-"),FIXED(ROUND((C2364*(1-I2364)*(1-ADD.DISCOUNT)*(1+MAT.SURCHARGE)/EXC.RATE_1),CURRENCY.FORMAT_1),CURRENCY.FORMAT_1,0)),'DICTIONARY-5'!$A$2)</f>
        <v>44,-</v>
      </c>
      <c r="M2364" s="670" t="str">
        <f>IF(EXC.RATE_2=0,"",IFERROR(IF(CURRENCY.FORMAT_2=0,CONCATENATE(TEXT(FIXED(ROUND(IF(EXC.RATE.SWITCH=1,C2364*(1-I2364)*(1-ADD.DISCOUNT)*(1+MAT.SURCHARGE)/EXC.RATE_2,C2364*(1-I2364)*(1-ADD.DISCOUNT)*(1+MAT.SURCHARGE)*EXC.RATE_2),CURRENCY.FORMAT_2),CURRENCY.FORMAT_2,1),"# ##0;-# ##0"),",-"),FIXED(ROUND(IF(EXC.RATE.SWITCH=1,C2364*(1-I2364)*(1-ADD.DISCOUNT)*(1+MAT.SURCHARGE)/EXC.RATE_2,C2364*(1-I2364)*(1-ADD.DISCOUNT)*(1+MAT.SURCHARGE)*EXC.RATE_2),CURRENCY.FORMAT_2),CURRENCY.FORMAT_2,0)),'DICTIONARY-5'!$A$2))</f>
        <v/>
      </c>
      <c r="N2364" s="537">
        <v>11</v>
      </c>
      <c r="O2364" s="537"/>
      <c r="P2364" s="731" t="str">
        <f>'DICTIONARY-3'!$A$130</f>
        <v>LADA</v>
      </c>
      <c r="Q2364" s="732" t="str">
        <f>'DICTIONARY-3'!$A$219</f>
        <v>Obudowa ziemna</v>
      </c>
      <c r="R2364" s="732" t="str">
        <f>CONCATENATE('DICTIONARY-3'!$A$131," ",'DICTIONARY-6'!$A$12," ",'DICTIONARY-2'!$A$7,"1,5m ",'DICTIONARY-5'!$A$7," ",LOWER('DICTIONARY-6'!$A$3)," ",'DICTIONARY-2'!$A$2,"200")</f>
        <v>LADA-A Obud. ziemn Rd1,5m dla zasuwa DN200</v>
      </c>
      <c r="S2364" s="733" t="s">
        <v>5569</v>
      </c>
      <c r="T2364" s="732" t="s">
        <v>5569</v>
      </c>
      <c r="U2364" s="734" t="s">
        <v>5750</v>
      </c>
      <c r="V2364" s="735"/>
      <c r="W2364" s="736"/>
      <c r="X2364" s="737"/>
      <c r="Y2364" s="745" t="s">
        <v>5654</v>
      </c>
      <c r="Z2364" s="747"/>
      <c r="AA2364" s="747"/>
      <c r="AB2364" s="740"/>
      <c r="AC2364" s="741"/>
      <c r="AD2364" s="741" t="s">
        <v>5569</v>
      </c>
      <c r="AE2364" s="742" t="s">
        <v>5569</v>
      </c>
      <c r="AF2364" s="743">
        <v>6</v>
      </c>
      <c r="AG2364" s="733" t="str">
        <f>'DICTIONARY-5'!$A$23</f>
        <v>powłoka epoksydowa</v>
      </c>
    </row>
    <row r="2365" spans="1:33" x14ac:dyDescent="0.25">
      <c r="A2365" s="854" t="s">
        <v>2233</v>
      </c>
      <c r="B2365" s="854" t="s">
        <v>4864</v>
      </c>
      <c r="C2365" s="836">
        <v>38</v>
      </c>
      <c r="D2365" s="836"/>
      <c r="E2365" s="836"/>
      <c r="F2365" s="836"/>
      <c r="G2365" s="496" t="s">
        <v>7845</v>
      </c>
      <c r="H2365" s="797" t="str">
        <f>VLOOKUP(G2365,SETTINGS!$B$7:$D$97,2,0)</f>
        <v>LADA</v>
      </c>
      <c r="I2365" s="796">
        <f>VLOOKUP(G2365,SETTINGS!$B$7:$D$97,3,0)</f>
        <v>0</v>
      </c>
      <c r="J2365" s="670" t="str">
        <f>IFERROR(IF(CURRENCY.FORMAT_1=0,CONCATENATE(TEXT(FIXED(ROUND((C2365/EXC.RATE_1),CURRENCY.FORMAT_1),CURRENCY.FORMAT_1,1),"# ##0;-# ##0"),",-"),FIXED(ROUND((C2365/EXC.RATE_1),CURRENCY.FORMAT_1),CURRENCY.FORMAT_1,0)),'DICTIONARY-5'!$A$2)</f>
        <v>38,-</v>
      </c>
      <c r="K2365" s="670" t="str">
        <f>IF(EXC.RATE_2=0,"",IFERROR(IF(CURRENCY.FORMAT_2=0,CONCATENATE(TEXT(FIXED(ROUND(IF(EXC.RATE.SWITCH=1,C2365/EXC.RATE_2,C2365*EXC.RATE_2),CURRENCY.FORMAT_2),CURRENCY.FORMAT_2,1),"# ##0;-# ##0"),",-"),FIXED(ROUND(IF(EXC.RATE.SWITCH=1,C2365/EXC.RATE_2,C2365*EXC.RATE_2),CURRENCY.FORMAT_2),CURRENCY.FORMAT_2,0)),'DICTIONARY-5'!$A$2))</f>
        <v/>
      </c>
      <c r="L2365" s="670" t="str">
        <f>IFERROR(IF(CURRENCY.FORMAT_1=0,CONCATENATE(TEXT(FIXED(ROUND((C2365*(1-I2365)*(1-ADD.DISCOUNT)*(1+MAT.SURCHARGE)/EXC.RATE_1),CURRENCY.FORMAT_1),CURRENCY.FORMAT_1,1),"# ##0;-# ##0"),",-"),FIXED(ROUND((C2365*(1-I2365)*(1-ADD.DISCOUNT)*(1+MAT.SURCHARGE)/EXC.RATE_1),CURRENCY.FORMAT_1),CURRENCY.FORMAT_1,0)),'DICTIONARY-5'!$A$2)</f>
        <v>39,-</v>
      </c>
      <c r="M2365" s="670" t="str">
        <f>IF(EXC.RATE_2=0,"",IFERROR(IF(CURRENCY.FORMAT_2=0,CONCATENATE(TEXT(FIXED(ROUND(IF(EXC.RATE.SWITCH=1,C2365*(1-I2365)*(1-ADD.DISCOUNT)*(1+MAT.SURCHARGE)/EXC.RATE_2,C2365*(1-I2365)*(1-ADD.DISCOUNT)*(1+MAT.SURCHARGE)*EXC.RATE_2),CURRENCY.FORMAT_2),CURRENCY.FORMAT_2,1),"# ##0;-# ##0"),",-"),FIXED(ROUND(IF(EXC.RATE.SWITCH=1,C2365*(1-I2365)*(1-ADD.DISCOUNT)*(1+MAT.SURCHARGE)/EXC.RATE_2,C2365*(1-I2365)*(1-ADD.DISCOUNT)*(1+MAT.SURCHARGE)*EXC.RATE_2),CURRENCY.FORMAT_2),CURRENCY.FORMAT_2,0)),'DICTIONARY-5'!$A$2))</f>
        <v/>
      </c>
      <c r="N2365" s="537">
        <v>11</v>
      </c>
      <c r="O2365" s="537"/>
      <c r="P2365" s="731" t="str">
        <f>'DICTIONARY-3'!$A$130</f>
        <v>LADA</v>
      </c>
      <c r="Q2365" s="732" t="str">
        <f>'DICTIONARY-3'!$A$219</f>
        <v>Obudowa ziemna</v>
      </c>
      <c r="R2365" s="732" t="str">
        <f>CONCATENATE('DICTIONARY-3'!$A$131," ",'DICTIONARY-6'!$A$12," ",'DICTIONARY-2'!$A$7,"1,5m ",'DICTIONARY-5'!$A$7," ",LOWER('DICTIONARY-6'!$A$3)," ",'DICTIONARY-2'!$A$2,"250-300")</f>
        <v>LADA-A Obud. ziemn Rd1,5m dla zasuwa DN250-300</v>
      </c>
      <c r="S2365" s="733" t="s">
        <v>5569</v>
      </c>
      <c r="T2365" s="732" t="s">
        <v>5569</v>
      </c>
      <c r="U2365" s="734" t="s">
        <v>5713</v>
      </c>
      <c r="V2365" s="735"/>
      <c r="W2365" s="736"/>
      <c r="X2365" s="737"/>
      <c r="Y2365" s="745" t="s">
        <v>5654</v>
      </c>
      <c r="Z2365" s="747"/>
      <c r="AA2365" s="747"/>
      <c r="AB2365" s="740"/>
      <c r="AC2365" s="741"/>
      <c r="AD2365" s="741" t="s">
        <v>5569</v>
      </c>
      <c r="AE2365" s="742" t="s">
        <v>5569</v>
      </c>
      <c r="AF2365" s="743">
        <v>5.5</v>
      </c>
      <c r="AG2365" s="733" t="str">
        <f>'DICTIONARY-5'!$A$23</f>
        <v>powłoka epoksydowa</v>
      </c>
    </row>
    <row r="2366" spans="1:33" x14ac:dyDescent="0.25">
      <c r="A2366" s="854" t="s">
        <v>2235</v>
      </c>
      <c r="B2366" s="854" t="s">
        <v>4867</v>
      </c>
      <c r="C2366" s="836">
        <v>46</v>
      </c>
      <c r="D2366" s="836"/>
      <c r="E2366" s="836"/>
      <c r="F2366" s="836"/>
      <c r="G2366" s="496" t="s">
        <v>7845</v>
      </c>
      <c r="H2366" s="797" t="str">
        <f>VLOOKUP(G2366,SETTINGS!$B$7:$D$97,2,0)</f>
        <v>LADA</v>
      </c>
      <c r="I2366" s="796">
        <f>VLOOKUP(G2366,SETTINGS!$B$7:$D$97,3,0)</f>
        <v>0</v>
      </c>
      <c r="J2366" s="670" t="str">
        <f>IFERROR(IF(CURRENCY.FORMAT_1=0,CONCATENATE(TEXT(FIXED(ROUND((C2366/EXC.RATE_1),CURRENCY.FORMAT_1),CURRENCY.FORMAT_1,1),"# ##0;-# ##0"),",-"),FIXED(ROUND((C2366/EXC.RATE_1),CURRENCY.FORMAT_1),CURRENCY.FORMAT_1,0)),'DICTIONARY-5'!$A$2)</f>
        <v>46,-</v>
      </c>
      <c r="K2366" s="670" t="str">
        <f>IF(EXC.RATE_2=0,"",IFERROR(IF(CURRENCY.FORMAT_2=0,CONCATENATE(TEXT(FIXED(ROUND(IF(EXC.RATE.SWITCH=1,C2366/EXC.RATE_2,C2366*EXC.RATE_2),CURRENCY.FORMAT_2),CURRENCY.FORMAT_2,1),"# ##0;-# ##0"),",-"),FIXED(ROUND(IF(EXC.RATE.SWITCH=1,C2366/EXC.RATE_2,C2366*EXC.RATE_2),CURRENCY.FORMAT_2),CURRENCY.FORMAT_2,0)),'DICTIONARY-5'!$A$2))</f>
        <v/>
      </c>
      <c r="L2366" s="670" t="str">
        <f>IFERROR(IF(CURRENCY.FORMAT_1=0,CONCATENATE(TEXT(FIXED(ROUND((C2366*(1-I2366)*(1-ADD.DISCOUNT)*(1+MAT.SURCHARGE)/EXC.RATE_1),CURRENCY.FORMAT_1),CURRENCY.FORMAT_1,1),"# ##0;-# ##0"),",-"),FIXED(ROUND((C2366*(1-I2366)*(1-ADD.DISCOUNT)*(1+MAT.SURCHARGE)/EXC.RATE_1),CURRENCY.FORMAT_1),CURRENCY.FORMAT_1,0)),'DICTIONARY-5'!$A$2)</f>
        <v>48,-</v>
      </c>
      <c r="M2366" s="670" t="str">
        <f>IF(EXC.RATE_2=0,"",IFERROR(IF(CURRENCY.FORMAT_2=0,CONCATENATE(TEXT(FIXED(ROUND(IF(EXC.RATE.SWITCH=1,C2366*(1-I2366)*(1-ADD.DISCOUNT)*(1+MAT.SURCHARGE)/EXC.RATE_2,C2366*(1-I2366)*(1-ADD.DISCOUNT)*(1+MAT.SURCHARGE)*EXC.RATE_2),CURRENCY.FORMAT_2),CURRENCY.FORMAT_2,1),"# ##0;-# ##0"),",-"),FIXED(ROUND(IF(EXC.RATE.SWITCH=1,C2366*(1-I2366)*(1-ADD.DISCOUNT)*(1+MAT.SURCHARGE)/EXC.RATE_2,C2366*(1-I2366)*(1-ADD.DISCOUNT)*(1+MAT.SURCHARGE)*EXC.RATE_2),CURRENCY.FORMAT_2),CURRENCY.FORMAT_2,0)),'DICTIONARY-5'!$A$2))</f>
        <v/>
      </c>
      <c r="N2366" s="537">
        <v>11</v>
      </c>
      <c r="O2366" s="537"/>
      <c r="P2366" s="731" t="str">
        <f>'DICTIONARY-3'!$A$130</f>
        <v>LADA</v>
      </c>
      <c r="Q2366" s="732" t="str">
        <f>'DICTIONARY-3'!$A$219</f>
        <v>Obudowa ziemna</v>
      </c>
      <c r="R2366" s="732" t="str">
        <f>CONCATENATE('DICTIONARY-3'!$A$131," ",'DICTIONARY-6'!$A$12," ",'DICTIONARY-2'!$A$7,"1,5m ",'DICTIONARY-5'!$A$7," ",LOWER('DICTIONARY-6'!$A$3)," ",'DICTIONARY-2'!$A$2,"350")</f>
        <v>LADA-A Obud. ziemn Rd1,5m dla zasuwa DN350</v>
      </c>
      <c r="S2366" s="733" t="s">
        <v>5569</v>
      </c>
      <c r="T2366" s="732" t="s">
        <v>5569</v>
      </c>
      <c r="U2366" s="734" t="s">
        <v>5753</v>
      </c>
      <c r="V2366" s="735"/>
      <c r="W2366" s="736"/>
      <c r="X2366" s="737"/>
      <c r="Y2366" s="745" t="s">
        <v>5654</v>
      </c>
      <c r="Z2366" s="747"/>
      <c r="AA2366" s="747"/>
      <c r="AB2366" s="740"/>
      <c r="AC2366" s="741"/>
      <c r="AD2366" s="741" t="s">
        <v>5569</v>
      </c>
      <c r="AE2366" s="742" t="s">
        <v>5569</v>
      </c>
      <c r="AF2366" s="743">
        <v>11</v>
      </c>
      <c r="AG2366" s="733" t="str">
        <f>'DICTIONARY-5'!$A$23</f>
        <v>powłoka epoksydowa</v>
      </c>
    </row>
    <row r="2367" spans="1:33" x14ac:dyDescent="0.25">
      <c r="A2367" s="854" t="s">
        <v>2238</v>
      </c>
      <c r="B2367" s="854" t="s">
        <v>4663</v>
      </c>
      <c r="C2367" s="836">
        <v>121</v>
      </c>
      <c r="D2367" s="836"/>
      <c r="E2367" s="836"/>
      <c r="F2367" s="836"/>
      <c r="G2367" s="496" t="s">
        <v>7845</v>
      </c>
      <c r="H2367" s="797" t="str">
        <f>VLOOKUP(G2367,SETTINGS!$B$7:$D$97,2,0)</f>
        <v>LADA</v>
      </c>
      <c r="I2367" s="796">
        <f>VLOOKUP(G2367,SETTINGS!$B$7:$D$97,3,0)</f>
        <v>0</v>
      </c>
      <c r="J2367" s="670" t="str">
        <f>IFERROR(IF(CURRENCY.FORMAT_1=0,CONCATENATE(TEXT(FIXED(ROUND((C2367/EXC.RATE_1),CURRENCY.FORMAT_1),CURRENCY.FORMAT_1,1),"# ##0;-# ##0"),",-"),FIXED(ROUND((C2367/EXC.RATE_1),CURRENCY.FORMAT_1),CURRENCY.FORMAT_1,0)),'DICTIONARY-5'!$A$2)</f>
        <v>121,-</v>
      </c>
      <c r="K2367" s="670" t="str">
        <f>IF(EXC.RATE_2=0,"",IFERROR(IF(CURRENCY.FORMAT_2=0,CONCATENATE(TEXT(FIXED(ROUND(IF(EXC.RATE.SWITCH=1,C2367/EXC.RATE_2,C2367*EXC.RATE_2),CURRENCY.FORMAT_2),CURRENCY.FORMAT_2,1),"# ##0;-# ##0"),",-"),FIXED(ROUND(IF(EXC.RATE.SWITCH=1,C2367/EXC.RATE_2,C2367*EXC.RATE_2),CURRENCY.FORMAT_2),CURRENCY.FORMAT_2,0)),'DICTIONARY-5'!$A$2))</f>
        <v/>
      </c>
      <c r="L2367" s="670" t="str">
        <f>IFERROR(IF(CURRENCY.FORMAT_1=0,CONCATENATE(TEXT(FIXED(ROUND((C2367*(1-I2367)*(1-ADD.DISCOUNT)*(1+MAT.SURCHARGE)/EXC.RATE_1),CURRENCY.FORMAT_1),CURRENCY.FORMAT_1,1),"# ##0;-# ##0"),",-"),FIXED(ROUND((C2367*(1-I2367)*(1-ADD.DISCOUNT)*(1+MAT.SURCHARGE)/EXC.RATE_1),CURRENCY.FORMAT_1),CURRENCY.FORMAT_1,0)),'DICTIONARY-5'!$A$2)</f>
        <v>126,-</v>
      </c>
      <c r="M2367" s="670" t="str">
        <f>IF(EXC.RATE_2=0,"",IFERROR(IF(CURRENCY.FORMAT_2=0,CONCATENATE(TEXT(FIXED(ROUND(IF(EXC.RATE.SWITCH=1,C2367*(1-I2367)*(1-ADD.DISCOUNT)*(1+MAT.SURCHARGE)/EXC.RATE_2,C2367*(1-I2367)*(1-ADD.DISCOUNT)*(1+MAT.SURCHARGE)*EXC.RATE_2),CURRENCY.FORMAT_2),CURRENCY.FORMAT_2,1),"# ##0;-# ##0"),",-"),FIXED(ROUND(IF(EXC.RATE.SWITCH=1,C2367*(1-I2367)*(1-ADD.DISCOUNT)*(1+MAT.SURCHARGE)/EXC.RATE_2,C2367*(1-I2367)*(1-ADD.DISCOUNT)*(1+MAT.SURCHARGE)*EXC.RATE_2),CURRENCY.FORMAT_2),CURRENCY.FORMAT_2,0)),'DICTIONARY-5'!$A$2))</f>
        <v/>
      </c>
      <c r="N2367" s="537">
        <v>11</v>
      </c>
      <c r="O2367" s="537"/>
      <c r="P2367" s="731" t="str">
        <f>'DICTIONARY-3'!$A$130</f>
        <v>LADA</v>
      </c>
      <c r="Q2367" s="732" t="str">
        <f>'DICTIONARY-3'!$A$219</f>
        <v>Obudowa ziemna</v>
      </c>
      <c r="R2367" s="732" t="str">
        <f>CONCATENATE('DICTIONARY-3'!$A$131," ",'DICTIONARY-6'!$A$12," ",'DICTIONARY-2'!$A$7,"1,5m ",'DICTIONARY-5'!$A$7," ",LOWER('DICTIONARY-6'!$A$3)," ",'DICTIONARY-2'!$A$2,"400-500")</f>
        <v>LADA-A Obud. ziemn Rd1,5m dla zasuwa DN400-500</v>
      </c>
      <c r="S2367" s="733" t="s">
        <v>5569</v>
      </c>
      <c r="T2367" s="732" t="s">
        <v>5569</v>
      </c>
      <c r="U2367" s="734" t="s">
        <v>6028</v>
      </c>
      <c r="V2367" s="735"/>
      <c r="W2367" s="736"/>
      <c r="X2367" s="737"/>
      <c r="Y2367" s="745" t="s">
        <v>5654</v>
      </c>
      <c r="Z2367" s="747"/>
      <c r="AA2367" s="747"/>
      <c r="AB2367" s="740"/>
      <c r="AC2367" s="741"/>
      <c r="AD2367" s="741" t="s">
        <v>5569</v>
      </c>
      <c r="AE2367" s="742" t="s">
        <v>5569</v>
      </c>
      <c r="AF2367" s="743">
        <v>5.2</v>
      </c>
      <c r="AG2367" s="733" t="str">
        <f>'DICTIONARY-5'!$A$23</f>
        <v>powłoka epoksydowa</v>
      </c>
    </row>
    <row r="2368" spans="1:33" x14ac:dyDescent="0.25">
      <c r="A2368" s="854" t="s">
        <v>2226</v>
      </c>
      <c r="B2368" s="854" t="s">
        <v>4845</v>
      </c>
      <c r="C2368" s="836">
        <v>40</v>
      </c>
      <c r="D2368" s="836"/>
      <c r="E2368" s="836"/>
      <c r="F2368" s="836"/>
      <c r="G2368" s="496" t="s">
        <v>7845</v>
      </c>
      <c r="H2368" s="797" t="str">
        <f>VLOOKUP(G2368,SETTINGS!$B$7:$D$97,2,0)</f>
        <v>LADA</v>
      </c>
      <c r="I2368" s="796">
        <f>VLOOKUP(G2368,SETTINGS!$B$7:$D$97,3,0)</f>
        <v>0</v>
      </c>
      <c r="J2368" s="670" t="str">
        <f>IFERROR(IF(CURRENCY.FORMAT_1=0,CONCATENATE(TEXT(FIXED(ROUND((C2368/EXC.RATE_1),CURRENCY.FORMAT_1),CURRENCY.FORMAT_1,1),"# ##0;-# ##0"),",-"),FIXED(ROUND((C2368/EXC.RATE_1),CURRENCY.FORMAT_1),CURRENCY.FORMAT_1,0)),'DICTIONARY-5'!$A$2)</f>
        <v>40,-</v>
      </c>
      <c r="K2368" s="670" t="str">
        <f>IF(EXC.RATE_2=0,"",IFERROR(IF(CURRENCY.FORMAT_2=0,CONCATENATE(TEXT(FIXED(ROUND(IF(EXC.RATE.SWITCH=1,C2368/EXC.RATE_2,C2368*EXC.RATE_2),CURRENCY.FORMAT_2),CURRENCY.FORMAT_2,1),"# ##0;-# ##0"),",-"),FIXED(ROUND(IF(EXC.RATE.SWITCH=1,C2368/EXC.RATE_2,C2368*EXC.RATE_2),CURRENCY.FORMAT_2),CURRENCY.FORMAT_2,0)),'DICTIONARY-5'!$A$2))</f>
        <v/>
      </c>
      <c r="L2368" s="670" t="str">
        <f>IFERROR(IF(CURRENCY.FORMAT_1=0,CONCATENATE(TEXT(FIXED(ROUND((C2368*(1-I2368)*(1-ADD.DISCOUNT)*(1+MAT.SURCHARGE)/EXC.RATE_1),CURRENCY.FORMAT_1),CURRENCY.FORMAT_1,1),"# ##0;-# ##0"),",-"),FIXED(ROUND((C2368*(1-I2368)*(1-ADD.DISCOUNT)*(1+MAT.SURCHARGE)/EXC.RATE_1),CURRENCY.FORMAT_1),CURRENCY.FORMAT_1,0)),'DICTIONARY-5'!$A$2)</f>
        <v>42,-</v>
      </c>
      <c r="M2368" s="670" t="str">
        <f>IF(EXC.RATE_2=0,"",IFERROR(IF(CURRENCY.FORMAT_2=0,CONCATENATE(TEXT(FIXED(ROUND(IF(EXC.RATE.SWITCH=1,C2368*(1-I2368)*(1-ADD.DISCOUNT)*(1+MAT.SURCHARGE)/EXC.RATE_2,C2368*(1-I2368)*(1-ADD.DISCOUNT)*(1+MAT.SURCHARGE)*EXC.RATE_2),CURRENCY.FORMAT_2),CURRENCY.FORMAT_2,1),"# ##0;-# ##0"),",-"),FIXED(ROUND(IF(EXC.RATE.SWITCH=1,C2368*(1-I2368)*(1-ADD.DISCOUNT)*(1+MAT.SURCHARGE)/EXC.RATE_2,C2368*(1-I2368)*(1-ADD.DISCOUNT)*(1+MAT.SURCHARGE)*EXC.RATE_2),CURRENCY.FORMAT_2),CURRENCY.FORMAT_2,0)),'DICTIONARY-5'!$A$2))</f>
        <v/>
      </c>
      <c r="N2368" s="537">
        <v>11</v>
      </c>
      <c r="O2368" s="537"/>
      <c r="P2368" s="731" t="str">
        <f>'DICTIONARY-3'!$A$130</f>
        <v>LADA</v>
      </c>
      <c r="Q2368" s="732" t="str">
        <f>'DICTIONARY-3'!$A$219</f>
        <v>Obudowa ziemna</v>
      </c>
      <c r="R2368" s="732" t="str">
        <f>CONCATENATE('DICTIONARY-3'!$A$131," ",'DICTIONARY-6'!$A$12," ",'DICTIONARY-2'!$A$7,"2,0m ",'DICTIONARY-5'!$A$7," ",LOWER('DICTIONARY-6'!$A$3)," ",'DICTIONARY-2'!$A$2,"40-50")</f>
        <v>LADA-A Obud. ziemn Rd2,0m dla zasuwa DN40-50</v>
      </c>
      <c r="S2368" s="733" t="s">
        <v>5569</v>
      </c>
      <c r="T2368" s="732" t="s">
        <v>5569</v>
      </c>
      <c r="U2368" s="734" t="s">
        <v>6024</v>
      </c>
      <c r="V2368" s="735"/>
      <c r="W2368" s="736"/>
      <c r="X2368" s="737"/>
      <c r="Y2368" s="745" t="s">
        <v>5669</v>
      </c>
      <c r="Z2368" s="747"/>
      <c r="AA2368" s="747"/>
      <c r="AB2368" s="740"/>
      <c r="AC2368" s="741"/>
      <c r="AD2368" s="741" t="s">
        <v>5569</v>
      </c>
      <c r="AE2368" s="742" t="s">
        <v>5569</v>
      </c>
      <c r="AF2368" s="743">
        <v>5.5</v>
      </c>
      <c r="AG2368" s="733" t="str">
        <f>'DICTIONARY-5'!$A$23</f>
        <v>powłoka epoksydowa</v>
      </c>
    </row>
    <row r="2369" spans="1:33" x14ac:dyDescent="0.25">
      <c r="A2369" s="854" t="s">
        <v>2228</v>
      </c>
      <c r="B2369" s="854" t="s">
        <v>4853</v>
      </c>
      <c r="C2369" s="836">
        <v>39</v>
      </c>
      <c r="D2369" s="836"/>
      <c r="E2369" s="836"/>
      <c r="F2369" s="836"/>
      <c r="G2369" s="496" t="s">
        <v>7845</v>
      </c>
      <c r="H2369" s="797" t="str">
        <f>VLOOKUP(G2369,SETTINGS!$B$7:$D$97,2,0)</f>
        <v>LADA</v>
      </c>
      <c r="I2369" s="796">
        <f>VLOOKUP(G2369,SETTINGS!$B$7:$D$97,3,0)</f>
        <v>0</v>
      </c>
      <c r="J2369" s="670" t="str">
        <f>IFERROR(IF(CURRENCY.FORMAT_1=0,CONCATENATE(TEXT(FIXED(ROUND((C2369/EXC.RATE_1),CURRENCY.FORMAT_1),CURRENCY.FORMAT_1,1),"# ##0;-# ##0"),",-"),FIXED(ROUND((C2369/EXC.RATE_1),CURRENCY.FORMAT_1),CURRENCY.FORMAT_1,0)),'DICTIONARY-5'!$A$2)</f>
        <v>39,-</v>
      </c>
      <c r="K2369" s="670" t="str">
        <f>IF(EXC.RATE_2=0,"",IFERROR(IF(CURRENCY.FORMAT_2=0,CONCATENATE(TEXT(FIXED(ROUND(IF(EXC.RATE.SWITCH=1,C2369/EXC.RATE_2,C2369*EXC.RATE_2),CURRENCY.FORMAT_2),CURRENCY.FORMAT_2,1),"# ##0;-# ##0"),",-"),FIXED(ROUND(IF(EXC.RATE.SWITCH=1,C2369/EXC.RATE_2,C2369*EXC.RATE_2),CURRENCY.FORMAT_2),CURRENCY.FORMAT_2,0)),'DICTIONARY-5'!$A$2))</f>
        <v/>
      </c>
      <c r="L2369" s="670" t="str">
        <f>IFERROR(IF(CURRENCY.FORMAT_1=0,CONCATENATE(TEXT(FIXED(ROUND((C2369*(1-I2369)*(1-ADD.DISCOUNT)*(1+MAT.SURCHARGE)/EXC.RATE_1),CURRENCY.FORMAT_1),CURRENCY.FORMAT_1,1),"# ##0;-# ##0"),",-"),FIXED(ROUND((C2369*(1-I2369)*(1-ADD.DISCOUNT)*(1+MAT.SURCHARGE)/EXC.RATE_1),CURRENCY.FORMAT_1),CURRENCY.FORMAT_1,0)),'DICTIONARY-5'!$A$2)</f>
        <v>41,-</v>
      </c>
      <c r="M2369" s="670" t="str">
        <f>IF(EXC.RATE_2=0,"",IFERROR(IF(CURRENCY.FORMAT_2=0,CONCATENATE(TEXT(FIXED(ROUND(IF(EXC.RATE.SWITCH=1,C2369*(1-I2369)*(1-ADD.DISCOUNT)*(1+MAT.SURCHARGE)/EXC.RATE_2,C2369*(1-I2369)*(1-ADD.DISCOUNT)*(1+MAT.SURCHARGE)*EXC.RATE_2),CURRENCY.FORMAT_2),CURRENCY.FORMAT_2,1),"# ##0;-# ##0"),",-"),FIXED(ROUND(IF(EXC.RATE.SWITCH=1,C2369*(1-I2369)*(1-ADD.DISCOUNT)*(1+MAT.SURCHARGE)/EXC.RATE_2,C2369*(1-I2369)*(1-ADD.DISCOUNT)*(1+MAT.SURCHARGE)*EXC.RATE_2),CURRENCY.FORMAT_2),CURRENCY.FORMAT_2,0)),'DICTIONARY-5'!$A$2))</f>
        <v/>
      </c>
      <c r="N2369" s="537">
        <v>11</v>
      </c>
      <c r="O2369" s="537"/>
      <c r="P2369" s="731" t="str">
        <f>'DICTIONARY-3'!$A$130</f>
        <v>LADA</v>
      </c>
      <c r="Q2369" s="732" t="str">
        <f>'DICTIONARY-3'!$A$219</f>
        <v>Obudowa ziemna</v>
      </c>
      <c r="R2369" s="732" t="str">
        <f>CONCATENATE('DICTIONARY-3'!$A$131," ",'DICTIONARY-6'!$A$12," ",'DICTIONARY-2'!$A$7,"2,0m ",'DICTIONARY-5'!$A$7," ",LOWER('DICTIONARY-6'!$A$3)," ",'DICTIONARY-2'!$A$2,"65-80")</f>
        <v>LADA-A Obud. ziemn Rd2,0m dla zasuwa DN65-80</v>
      </c>
      <c r="S2369" s="733" t="s">
        <v>5569</v>
      </c>
      <c r="T2369" s="732" t="s">
        <v>5569</v>
      </c>
      <c r="U2369" s="734" t="s">
        <v>6025</v>
      </c>
      <c r="V2369" s="735"/>
      <c r="W2369" s="736"/>
      <c r="X2369" s="737"/>
      <c r="Y2369" s="745" t="s">
        <v>5669</v>
      </c>
      <c r="Z2369" s="747"/>
      <c r="AA2369" s="747"/>
      <c r="AB2369" s="740"/>
      <c r="AC2369" s="741"/>
      <c r="AD2369" s="741" t="s">
        <v>5569</v>
      </c>
      <c r="AE2369" s="742" t="s">
        <v>5569</v>
      </c>
      <c r="AF2369" s="743">
        <v>5.5</v>
      </c>
      <c r="AG2369" s="733" t="str">
        <f>'DICTIONARY-5'!$A$23</f>
        <v>powłoka epoksydowa</v>
      </c>
    </row>
    <row r="2370" spans="1:33" x14ac:dyDescent="0.25">
      <c r="A2370" s="854" t="s">
        <v>2230</v>
      </c>
      <c r="B2370" s="854" t="s">
        <v>4857</v>
      </c>
      <c r="C2370" s="836">
        <v>39</v>
      </c>
      <c r="D2370" s="836"/>
      <c r="E2370" s="836"/>
      <c r="F2370" s="836"/>
      <c r="G2370" s="496" t="s">
        <v>7845</v>
      </c>
      <c r="H2370" s="797" t="str">
        <f>VLOOKUP(G2370,SETTINGS!$B$7:$D$97,2,0)</f>
        <v>LADA</v>
      </c>
      <c r="I2370" s="796">
        <f>VLOOKUP(G2370,SETTINGS!$B$7:$D$97,3,0)</f>
        <v>0</v>
      </c>
      <c r="J2370" s="670" t="str">
        <f>IFERROR(IF(CURRENCY.FORMAT_1=0,CONCATENATE(TEXT(FIXED(ROUND((C2370/EXC.RATE_1),CURRENCY.FORMAT_1),CURRENCY.FORMAT_1,1),"# ##0;-# ##0"),",-"),FIXED(ROUND((C2370/EXC.RATE_1),CURRENCY.FORMAT_1),CURRENCY.FORMAT_1,0)),'DICTIONARY-5'!$A$2)</f>
        <v>39,-</v>
      </c>
      <c r="K2370" s="670" t="str">
        <f>IF(EXC.RATE_2=0,"",IFERROR(IF(CURRENCY.FORMAT_2=0,CONCATENATE(TEXT(FIXED(ROUND(IF(EXC.RATE.SWITCH=1,C2370/EXC.RATE_2,C2370*EXC.RATE_2),CURRENCY.FORMAT_2),CURRENCY.FORMAT_2,1),"# ##0;-# ##0"),",-"),FIXED(ROUND(IF(EXC.RATE.SWITCH=1,C2370/EXC.RATE_2,C2370*EXC.RATE_2),CURRENCY.FORMAT_2),CURRENCY.FORMAT_2,0)),'DICTIONARY-5'!$A$2))</f>
        <v/>
      </c>
      <c r="L2370" s="670" t="str">
        <f>IFERROR(IF(CURRENCY.FORMAT_1=0,CONCATENATE(TEXT(FIXED(ROUND((C2370*(1-I2370)*(1-ADD.DISCOUNT)*(1+MAT.SURCHARGE)/EXC.RATE_1),CURRENCY.FORMAT_1),CURRENCY.FORMAT_1,1),"# ##0;-# ##0"),",-"),FIXED(ROUND((C2370*(1-I2370)*(1-ADD.DISCOUNT)*(1+MAT.SURCHARGE)/EXC.RATE_1),CURRENCY.FORMAT_1),CURRENCY.FORMAT_1,0)),'DICTIONARY-5'!$A$2)</f>
        <v>41,-</v>
      </c>
      <c r="M2370" s="670" t="str">
        <f>IF(EXC.RATE_2=0,"",IFERROR(IF(CURRENCY.FORMAT_2=0,CONCATENATE(TEXT(FIXED(ROUND(IF(EXC.RATE.SWITCH=1,C2370*(1-I2370)*(1-ADD.DISCOUNT)*(1+MAT.SURCHARGE)/EXC.RATE_2,C2370*(1-I2370)*(1-ADD.DISCOUNT)*(1+MAT.SURCHARGE)*EXC.RATE_2),CURRENCY.FORMAT_2),CURRENCY.FORMAT_2,1),"# ##0;-# ##0"),",-"),FIXED(ROUND(IF(EXC.RATE.SWITCH=1,C2370*(1-I2370)*(1-ADD.DISCOUNT)*(1+MAT.SURCHARGE)/EXC.RATE_2,C2370*(1-I2370)*(1-ADD.DISCOUNT)*(1+MAT.SURCHARGE)*EXC.RATE_2),CURRENCY.FORMAT_2),CURRENCY.FORMAT_2,0)),'DICTIONARY-5'!$A$2))</f>
        <v/>
      </c>
      <c r="N2370" s="537">
        <v>11</v>
      </c>
      <c r="O2370" s="537"/>
      <c r="P2370" s="731" t="str">
        <f>'DICTIONARY-3'!$A$130</f>
        <v>LADA</v>
      </c>
      <c r="Q2370" s="732" t="str">
        <f>'DICTIONARY-3'!$A$219</f>
        <v>Obudowa ziemna</v>
      </c>
      <c r="R2370" s="732" t="str">
        <f>CONCATENATE('DICTIONARY-3'!$A$131," ",'DICTIONARY-6'!$A$12," ",'DICTIONARY-2'!$A$7,"2,0m ",'DICTIONARY-5'!$A$7," ",LOWER('DICTIONARY-6'!$A$3)," ",'DICTIONARY-2'!$A$2,"100-150")</f>
        <v>LADA-A Obud. ziemn Rd2,0m dla zasuwa DN100-150</v>
      </c>
      <c r="S2370" s="733" t="s">
        <v>5569</v>
      </c>
      <c r="T2370" s="732" t="s">
        <v>5569</v>
      </c>
      <c r="U2370" s="734" t="s">
        <v>6026</v>
      </c>
      <c r="V2370" s="735"/>
      <c r="W2370" s="736"/>
      <c r="X2370" s="737"/>
      <c r="Y2370" s="745" t="s">
        <v>5669</v>
      </c>
      <c r="Z2370" s="747"/>
      <c r="AA2370" s="747"/>
      <c r="AB2370" s="740"/>
      <c r="AC2370" s="741"/>
      <c r="AD2370" s="741" t="s">
        <v>5569</v>
      </c>
      <c r="AE2370" s="742" t="s">
        <v>5569</v>
      </c>
      <c r="AF2370" s="743">
        <v>5</v>
      </c>
      <c r="AG2370" s="733" t="str">
        <f>'DICTIONARY-5'!$A$23</f>
        <v>powłoka epoksydowa</v>
      </c>
    </row>
    <row r="2371" spans="1:33" x14ac:dyDescent="0.25">
      <c r="A2371" s="854" t="s">
        <v>2232</v>
      </c>
      <c r="B2371" s="854" t="s">
        <v>4861</v>
      </c>
      <c r="C2371" s="836">
        <v>53</v>
      </c>
      <c r="D2371" s="836"/>
      <c r="E2371" s="836"/>
      <c r="F2371" s="836"/>
      <c r="G2371" s="496" t="s">
        <v>7845</v>
      </c>
      <c r="H2371" s="797" t="str">
        <f>VLOOKUP(G2371,SETTINGS!$B$7:$D$97,2,0)</f>
        <v>LADA</v>
      </c>
      <c r="I2371" s="796">
        <f>VLOOKUP(G2371,SETTINGS!$B$7:$D$97,3,0)</f>
        <v>0</v>
      </c>
      <c r="J2371" s="670" t="str">
        <f>IFERROR(IF(CURRENCY.FORMAT_1=0,CONCATENATE(TEXT(FIXED(ROUND((C2371/EXC.RATE_1),CURRENCY.FORMAT_1),CURRENCY.FORMAT_1,1),"# ##0;-# ##0"),",-"),FIXED(ROUND((C2371/EXC.RATE_1),CURRENCY.FORMAT_1),CURRENCY.FORMAT_1,0)),'DICTIONARY-5'!$A$2)</f>
        <v>53,-</v>
      </c>
      <c r="K2371" s="670" t="str">
        <f>IF(EXC.RATE_2=0,"",IFERROR(IF(CURRENCY.FORMAT_2=0,CONCATENATE(TEXT(FIXED(ROUND(IF(EXC.RATE.SWITCH=1,C2371/EXC.RATE_2,C2371*EXC.RATE_2),CURRENCY.FORMAT_2),CURRENCY.FORMAT_2,1),"# ##0;-# ##0"),",-"),FIXED(ROUND(IF(EXC.RATE.SWITCH=1,C2371/EXC.RATE_2,C2371*EXC.RATE_2),CURRENCY.FORMAT_2),CURRENCY.FORMAT_2,0)),'DICTIONARY-5'!$A$2))</f>
        <v/>
      </c>
      <c r="L2371" s="670" t="str">
        <f>IFERROR(IF(CURRENCY.FORMAT_1=0,CONCATENATE(TEXT(FIXED(ROUND((C2371*(1-I2371)*(1-ADD.DISCOUNT)*(1+MAT.SURCHARGE)/EXC.RATE_1),CURRENCY.FORMAT_1),CURRENCY.FORMAT_1,1),"# ##0;-# ##0"),",-"),FIXED(ROUND((C2371*(1-I2371)*(1-ADD.DISCOUNT)*(1+MAT.SURCHARGE)/EXC.RATE_1),CURRENCY.FORMAT_1),CURRENCY.FORMAT_1,0)),'DICTIONARY-5'!$A$2)</f>
        <v>55,-</v>
      </c>
      <c r="M2371" s="670" t="str">
        <f>IF(EXC.RATE_2=0,"",IFERROR(IF(CURRENCY.FORMAT_2=0,CONCATENATE(TEXT(FIXED(ROUND(IF(EXC.RATE.SWITCH=1,C2371*(1-I2371)*(1-ADD.DISCOUNT)*(1+MAT.SURCHARGE)/EXC.RATE_2,C2371*(1-I2371)*(1-ADD.DISCOUNT)*(1+MAT.SURCHARGE)*EXC.RATE_2),CURRENCY.FORMAT_2),CURRENCY.FORMAT_2,1),"# ##0;-# ##0"),",-"),FIXED(ROUND(IF(EXC.RATE.SWITCH=1,C2371*(1-I2371)*(1-ADD.DISCOUNT)*(1+MAT.SURCHARGE)/EXC.RATE_2,C2371*(1-I2371)*(1-ADD.DISCOUNT)*(1+MAT.SURCHARGE)*EXC.RATE_2),CURRENCY.FORMAT_2),CURRENCY.FORMAT_2,0)),'DICTIONARY-5'!$A$2))</f>
        <v/>
      </c>
      <c r="N2371" s="537">
        <v>11</v>
      </c>
      <c r="O2371" s="537"/>
      <c r="P2371" s="731" t="str">
        <f>'DICTIONARY-3'!$A$130</f>
        <v>LADA</v>
      </c>
      <c r="Q2371" s="732" t="str">
        <f>'DICTIONARY-3'!$A$219</f>
        <v>Obudowa ziemna</v>
      </c>
      <c r="R2371" s="732" t="str">
        <f>CONCATENATE('DICTIONARY-3'!$A$131," ",'DICTIONARY-6'!$A$12," ",'DICTIONARY-2'!$A$7,"2,0m ",'DICTIONARY-5'!$A$7," ",LOWER('DICTIONARY-6'!$A$3)," ",'DICTIONARY-2'!$A$2,"200")</f>
        <v>LADA-A Obud. ziemn Rd2,0m dla zasuwa DN200</v>
      </c>
      <c r="S2371" s="733" t="s">
        <v>5569</v>
      </c>
      <c r="T2371" s="732" t="s">
        <v>5569</v>
      </c>
      <c r="U2371" s="734" t="s">
        <v>5750</v>
      </c>
      <c r="V2371" s="735"/>
      <c r="W2371" s="736"/>
      <c r="X2371" s="737"/>
      <c r="Y2371" s="745" t="s">
        <v>5669</v>
      </c>
      <c r="Z2371" s="747"/>
      <c r="AA2371" s="747"/>
      <c r="AB2371" s="740"/>
      <c r="AC2371" s="741"/>
      <c r="AD2371" s="741" t="s">
        <v>5569</v>
      </c>
      <c r="AE2371" s="742" t="s">
        <v>5569</v>
      </c>
      <c r="AF2371" s="743">
        <v>9</v>
      </c>
      <c r="AG2371" s="733" t="str">
        <f>'DICTIONARY-5'!$A$23</f>
        <v>powłoka epoksydowa</v>
      </c>
    </row>
    <row r="2372" spans="1:33" x14ac:dyDescent="0.25">
      <c r="A2372" s="854" t="s">
        <v>2234</v>
      </c>
      <c r="B2372" s="854" t="s">
        <v>4865</v>
      </c>
      <c r="C2372" s="836">
        <v>49</v>
      </c>
      <c r="D2372" s="836"/>
      <c r="E2372" s="836"/>
      <c r="F2372" s="836"/>
      <c r="G2372" s="496" t="s">
        <v>7845</v>
      </c>
      <c r="H2372" s="797" t="str">
        <f>VLOOKUP(G2372,SETTINGS!$B$7:$D$97,2,0)</f>
        <v>LADA</v>
      </c>
      <c r="I2372" s="796">
        <f>VLOOKUP(G2372,SETTINGS!$B$7:$D$97,3,0)</f>
        <v>0</v>
      </c>
      <c r="J2372" s="670" t="str">
        <f>IFERROR(IF(CURRENCY.FORMAT_1=0,CONCATENATE(TEXT(FIXED(ROUND((C2372/EXC.RATE_1),CURRENCY.FORMAT_1),CURRENCY.FORMAT_1,1),"# ##0;-# ##0"),",-"),FIXED(ROUND((C2372/EXC.RATE_1),CURRENCY.FORMAT_1),CURRENCY.FORMAT_1,0)),'DICTIONARY-5'!$A$2)</f>
        <v>49,-</v>
      </c>
      <c r="K2372" s="670" t="str">
        <f>IF(EXC.RATE_2=0,"",IFERROR(IF(CURRENCY.FORMAT_2=0,CONCATENATE(TEXT(FIXED(ROUND(IF(EXC.RATE.SWITCH=1,C2372/EXC.RATE_2,C2372*EXC.RATE_2),CURRENCY.FORMAT_2),CURRENCY.FORMAT_2,1),"# ##0;-# ##0"),",-"),FIXED(ROUND(IF(EXC.RATE.SWITCH=1,C2372/EXC.RATE_2,C2372*EXC.RATE_2),CURRENCY.FORMAT_2),CURRENCY.FORMAT_2,0)),'DICTIONARY-5'!$A$2))</f>
        <v/>
      </c>
      <c r="L2372" s="670" t="str">
        <f>IFERROR(IF(CURRENCY.FORMAT_1=0,CONCATENATE(TEXT(FIXED(ROUND((C2372*(1-I2372)*(1-ADD.DISCOUNT)*(1+MAT.SURCHARGE)/EXC.RATE_1),CURRENCY.FORMAT_1),CURRENCY.FORMAT_1,1),"# ##0;-# ##0"),",-"),FIXED(ROUND((C2372*(1-I2372)*(1-ADD.DISCOUNT)*(1+MAT.SURCHARGE)/EXC.RATE_1),CURRENCY.FORMAT_1),CURRENCY.FORMAT_1,0)),'DICTIONARY-5'!$A$2)</f>
        <v>51,-</v>
      </c>
      <c r="M2372" s="670" t="str">
        <f>IF(EXC.RATE_2=0,"",IFERROR(IF(CURRENCY.FORMAT_2=0,CONCATENATE(TEXT(FIXED(ROUND(IF(EXC.RATE.SWITCH=1,C2372*(1-I2372)*(1-ADD.DISCOUNT)*(1+MAT.SURCHARGE)/EXC.RATE_2,C2372*(1-I2372)*(1-ADD.DISCOUNT)*(1+MAT.SURCHARGE)*EXC.RATE_2),CURRENCY.FORMAT_2),CURRENCY.FORMAT_2,1),"# ##0;-# ##0"),",-"),FIXED(ROUND(IF(EXC.RATE.SWITCH=1,C2372*(1-I2372)*(1-ADD.DISCOUNT)*(1+MAT.SURCHARGE)/EXC.RATE_2,C2372*(1-I2372)*(1-ADD.DISCOUNT)*(1+MAT.SURCHARGE)*EXC.RATE_2),CURRENCY.FORMAT_2),CURRENCY.FORMAT_2,0)),'DICTIONARY-5'!$A$2))</f>
        <v/>
      </c>
      <c r="N2372" s="537">
        <v>11</v>
      </c>
      <c r="O2372" s="537"/>
      <c r="P2372" s="731" t="str">
        <f>'DICTIONARY-3'!$A$130</f>
        <v>LADA</v>
      </c>
      <c r="Q2372" s="732" t="str">
        <f>'DICTIONARY-3'!$A$219</f>
        <v>Obudowa ziemna</v>
      </c>
      <c r="R2372" s="732" t="str">
        <f>CONCATENATE('DICTIONARY-3'!$A$131," ",'DICTIONARY-6'!$A$12," ",'DICTIONARY-2'!$A$7,"2,0m ",'DICTIONARY-5'!$A$7," ",LOWER('DICTIONARY-6'!$A$3)," ",'DICTIONARY-2'!$A$2,"250-300")</f>
        <v>LADA-A Obud. ziemn Rd2,0m dla zasuwa DN250-300</v>
      </c>
      <c r="S2372" s="733" t="s">
        <v>5569</v>
      </c>
      <c r="T2372" s="732" t="s">
        <v>5569</v>
      </c>
      <c r="U2372" s="734" t="s">
        <v>5713</v>
      </c>
      <c r="V2372" s="735"/>
      <c r="W2372" s="736"/>
      <c r="X2372" s="737"/>
      <c r="Y2372" s="745" t="s">
        <v>5669</v>
      </c>
      <c r="Z2372" s="747"/>
      <c r="AA2372" s="747"/>
      <c r="AB2372" s="740"/>
      <c r="AC2372" s="741"/>
      <c r="AD2372" s="741" t="s">
        <v>5569</v>
      </c>
      <c r="AE2372" s="742" t="s">
        <v>5569</v>
      </c>
      <c r="AF2372" s="743">
        <v>7.5</v>
      </c>
      <c r="AG2372" s="733" t="str">
        <f>'DICTIONARY-5'!$A$23</f>
        <v>powłoka epoksydowa</v>
      </c>
    </row>
    <row r="2373" spans="1:33" x14ac:dyDescent="0.25">
      <c r="A2373" s="854" t="s">
        <v>2236</v>
      </c>
      <c r="B2373" s="854" t="s">
        <v>4868</v>
      </c>
      <c r="C2373" s="836">
        <v>42</v>
      </c>
      <c r="D2373" s="836"/>
      <c r="E2373" s="836"/>
      <c r="F2373" s="836"/>
      <c r="G2373" s="496" t="s">
        <v>7845</v>
      </c>
      <c r="H2373" s="797" t="str">
        <f>VLOOKUP(G2373,SETTINGS!$B$7:$D$97,2,0)</f>
        <v>LADA</v>
      </c>
      <c r="I2373" s="796">
        <f>VLOOKUP(G2373,SETTINGS!$B$7:$D$97,3,0)</f>
        <v>0</v>
      </c>
      <c r="J2373" s="670" t="str">
        <f>IFERROR(IF(CURRENCY.FORMAT_1=0,CONCATENATE(TEXT(FIXED(ROUND((C2373/EXC.RATE_1),CURRENCY.FORMAT_1),CURRENCY.FORMAT_1,1),"# ##0;-# ##0"),",-"),FIXED(ROUND((C2373/EXC.RATE_1),CURRENCY.FORMAT_1),CURRENCY.FORMAT_1,0)),'DICTIONARY-5'!$A$2)</f>
        <v>42,-</v>
      </c>
      <c r="K2373" s="670" t="str">
        <f>IF(EXC.RATE_2=0,"",IFERROR(IF(CURRENCY.FORMAT_2=0,CONCATENATE(TEXT(FIXED(ROUND(IF(EXC.RATE.SWITCH=1,C2373/EXC.RATE_2,C2373*EXC.RATE_2),CURRENCY.FORMAT_2),CURRENCY.FORMAT_2,1),"# ##0;-# ##0"),",-"),FIXED(ROUND(IF(EXC.RATE.SWITCH=1,C2373/EXC.RATE_2,C2373*EXC.RATE_2),CURRENCY.FORMAT_2),CURRENCY.FORMAT_2,0)),'DICTIONARY-5'!$A$2))</f>
        <v/>
      </c>
      <c r="L2373" s="670" t="str">
        <f>IFERROR(IF(CURRENCY.FORMAT_1=0,CONCATENATE(TEXT(FIXED(ROUND((C2373*(1-I2373)*(1-ADD.DISCOUNT)*(1+MAT.SURCHARGE)/EXC.RATE_1),CURRENCY.FORMAT_1),CURRENCY.FORMAT_1,1),"# ##0;-# ##0"),",-"),FIXED(ROUND((C2373*(1-I2373)*(1-ADD.DISCOUNT)*(1+MAT.SURCHARGE)/EXC.RATE_1),CURRENCY.FORMAT_1),CURRENCY.FORMAT_1,0)),'DICTIONARY-5'!$A$2)</f>
        <v>44,-</v>
      </c>
      <c r="M2373" s="670" t="str">
        <f>IF(EXC.RATE_2=0,"",IFERROR(IF(CURRENCY.FORMAT_2=0,CONCATENATE(TEXT(FIXED(ROUND(IF(EXC.RATE.SWITCH=1,C2373*(1-I2373)*(1-ADD.DISCOUNT)*(1+MAT.SURCHARGE)/EXC.RATE_2,C2373*(1-I2373)*(1-ADD.DISCOUNT)*(1+MAT.SURCHARGE)*EXC.RATE_2),CURRENCY.FORMAT_2),CURRENCY.FORMAT_2,1),"# ##0;-# ##0"),",-"),FIXED(ROUND(IF(EXC.RATE.SWITCH=1,C2373*(1-I2373)*(1-ADD.DISCOUNT)*(1+MAT.SURCHARGE)/EXC.RATE_2,C2373*(1-I2373)*(1-ADD.DISCOUNT)*(1+MAT.SURCHARGE)*EXC.RATE_2),CURRENCY.FORMAT_2),CURRENCY.FORMAT_2,0)),'DICTIONARY-5'!$A$2))</f>
        <v/>
      </c>
      <c r="N2373" s="537">
        <v>11</v>
      </c>
      <c r="O2373" s="537"/>
      <c r="P2373" s="731" t="str">
        <f>'DICTIONARY-3'!$A$130</f>
        <v>LADA</v>
      </c>
      <c r="Q2373" s="732" t="str">
        <f>'DICTIONARY-3'!$A$219</f>
        <v>Obudowa ziemna</v>
      </c>
      <c r="R2373" s="732" t="str">
        <f>CONCATENATE('DICTIONARY-3'!$A$131," ",'DICTIONARY-6'!$A$12," ",'DICTIONARY-2'!$A$7,"2,0m ",'DICTIONARY-5'!$A$7," ",LOWER('DICTIONARY-6'!$A$3)," ",'DICTIONARY-2'!$A$2,"350")</f>
        <v>LADA-A Obud. ziemn Rd2,0m dla zasuwa DN350</v>
      </c>
      <c r="S2373" s="733" t="s">
        <v>5569</v>
      </c>
      <c r="T2373" s="732" t="s">
        <v>5569</v>
      </c>
      <c r="U2373" s="734" t="s">
        <v>5753</v>
      </c>
      <c r="V2373" s="735"/>
      <c r="W2373" s="736"/>
      <c r="X2373" s="737"/>
      <c r="Y2373" s="745" t="s">
        <v>5669</v>
      </c>
      <c r="Z2373" s="747"/>
      <c r="AA2373" s="747"/>
      <c r="AB2373" s="740"/>
      <c r="AC2373" s="741"/>
      <c r="AD2373" s="741" t="s">
        <v>5569</v>
      </c>
      <c r="AE2373" s="742" t="s">
        <v>5569</v>
      </c>
      <c r="AF2373" s="743">
        <v>8</v>
      </c>
      <c r="AG2373" s="733" t="str">
        <f>'DICTIONARY-5'!$A$23</f>
        <v>powłoka epoksydowa</v>
      </c>
    </row>
    <row r="2374" spans="1:33" x14ac:dyDescent="0.25">
      <c r="A2374" s="854" t="s">
        <v>2239</v>
      </c>
      <c r="B2374" s="854" t="s">
        <v>4869</v>
      </c>
      <c r="C2374" s="836">
        <v>194</v>
      </c>
      <c r="D2374" s="836"/>
      <c r="E2374" s="836"/>
      <c r="F2374" s="836"/>
      <c r="G2374" s="496" t="s">
        <v>7845</v>
      </c>
      <c r="H2374" s="797" t="str">
        <f>VLOOKUP(G2374,SETTINGS!$B$7:$D$97,2,0)</f>
        <v>LADA</v>
      </c>
      <c r="I2374" s="796">
        <f>VLOOKUP(G2374,SETTINGS!$B$7:$D$97,3,0)</f>
        <v>0</v>
      </c>
      <c r="J2374" s="670" t="str">
        <f>IFERROR(IF(CURRENCY.FORMAT_1=0,CONCATENATE(TEXT(FIXED(ROUND((C2374/EXC.RATE_1),CURRENCY.FORMAT_1),CURRENCY.FORMAT_1,1),"# ##0;-# ##0"),",-"),FIXED(ROUND((C2374/EXC.RATE_1),CURRENCY.FORMAT_1),CURRENCY.FORMAT_1,0)),'DICTIONARY-5'!$A$2)</f>
        <v>194,-</v>
      </c>
      <c r="K2374" s="670" t="str">
        <f>IF(EXC.RATE_2=0,"",IFERROR(IF(CURRENCY.FORMAT_2=0,CONCATENATE(TEXT(FIXED(ROUND(IF(EXC.RATE.SWITCH=1,C2374/EXC.RATE_2,C2374*EXC.RATE_2),CURRENCY.FORMAT_2),CURRENCY.FORMAT_2,1),"# ##0;-# ##0"),",-"),FIXED(ROUND(IF(EXC.RATE.SWITCH=1,C2374/EXC.RATE_2,C2374*EXC.RATE_2),CURRENCY.FORMAT_2),CURRENCY.FORMAT_2,0)),'DICTIONARY-5'!$A$2))</f>
        <v/>
      </c>
      <c r="L2374" s="670" t="str">
        <f>IFERROR(IF(CURRENCY.FORMAT_1=0,CONCATENATE(TEXT(FIXED(ROUND((C2374*(1-I2374)*(1-ADD.DISCOUNT)*(1+MAT.SURCHARGE)/EXC.RATE_1),CURRENCY.FORMAT_1),CURRENCY.FORMAT_1,1),"# ##0;-# ##0"),",-"),FIXED(ROUND((C2374*(1-I2374)*(1-ADD.DISCOUNT)*(1+MAT.SURCHARGE)/EXC.RATE_1),CURRENCY.FORMAT_1),CURRENCY.FORMAT_1,0)),'DICTIONARY-5'!$A$2)</f>
        <v>202,-</v>
      </c>
      <c r="M2374" s="670" t="str">
        <f>IF(EXC.RATE_2=0,"",IFERROR(IF(CURRENCY.FORMAT_2=0,CONCATENATE(TEXT(FIXED(ROUND(IF(EXC.RATE.SWITCH=1,C2374*(1-I2374)*(1-ADD.DISCOUNT)*(1+MAT.SURCHARGE)/EXC.RATE_2,C2374*(1-I2374)*(1-ADD.DISCOUNT)*(1+MAT.SURCHARGE)*EXC.RATE_2),CURRENCY.FORMAT_2),CURRENCY.FORMAT_2,1),"# ##0;-# ##0"),",-"),FIXED(ROUND(IF(EXC.RATE.SWITCH=1,C2374*(1-I2374)*(1-ADD.DISCOUNT)*(1+MAT.SURCHARGE)/EXC.RATE_2,C2374*(1-I2374)*(1-ADD.DISCOUNT)*(1+MAT.SURCHARGE)*EXC.RATE_2),CURRENCY.FORMAT_2),CURRENCY.FORMAT_2,0)),'DICTIONARY-5'!$A$2))</f>
        <v/>
      </c>
      <c r="N2374" s="537">
        <v>11</v>
      </c>
      <c r="O2374" s="537"/>
      <c r="P2374" s="731" t="str">
        <f>'DICTIONARY-3'!$A$130</f>
        <v>LADA</v>
      </c>
      <c r="Q2374" s="732" t="str">
        <f>'DICTIONARY-3'!$A$219</f>
        <v>Obudowa ziemna</v>
      </c>
      <c r="R2374" s="732" t="str">
        <f>CONCATENATE('DICTIONARY-3'!$A$131," ",'DICTIONARY-6'!$A$12," ",'DICTIONARY-2'!$A$7,"2,0m ",'DICTIONARY-5'!$A$7," ",LOWER('DICTIONARY-6'!$A$3)," ",'DICTIONARY-2'!$A$2,"400-500")</f>
        <v>LADA-A Obud. ziemn Rd2,0m dla zasuwa DN400-500</v>
      </c>
      <c r="S2374" s="733" t="s">
        <v>5569</v>
      </c>
      <c r="T2374" s="732" t="s">
        <v>5569</v>
      </c>
      <c r="U2374" s="734" t="s">
        <v>6028</v>
      </c>
      <c r="V2374" s="735"/>
      <c r="W2374" s="736"/>
      <c r="X2374" s="737"/>
      <c r="Y2374" s="745" t="s">
        <v>5669</v>
      </c>
      <c r="Z2374" s="747"/>
      <c r="AA2374" s="747"/>
      <c r="AB2374" s="740"/>
      <c r="AC2374" s="741"/>
      <c r="AD2374" s="741" t="s">
        <v>5569</v>
      </c>
      <c r="AE2374" s="742" t="s">
        <v>5569</v>
      </c>
      <c r="AF2374" s="743">
        <v>14</v>
      </c>
      <c r="AG2374" s="733" t="str">
        <f>'DICTIONARY-5'!$A$23</f>
        <v>powłoka epoksydowa</v>
      </c>
    </row>
    <row r="2375" spans="1:33" x14ac:dyDescent="0.25">
      <c r="A2375" s="854" t="s">
        <v>2240</v>
      </c>
      <c r="B2375" s="854" t="s">
        <v>4870</v>
      </c>
      <c r="C2375" s="836">
        <v>241</v>
      </c>
      <c r="D2375" s="836"/>
      <c r="E2375" s="836"/>
      <c r="F2375" s="836"/>
      <c r="G2375" s="496" t="s">
        <v>7845</v>
      </c>
      <c r="H2375" s="797" t="str">
        <f>VLOOKUP(G2375,SETTINGS!$B$7:$D$97,2,0)</f>
        <v>LADA</v>
      </c>
      <c r="I2375" s="796">
        <f>VLOOKUP(G2375,SETTINGS!$B$7:$D$97,3,0)</f>
        <v>0</v>
      </c>
      <c r="J2375" s="670" t="str">
        <f>IFERROR(IF(CURRENCY.FORMAT_1=0,CONCATENATE(TEXT(FIXED(ROUND((C2375/EXC.RATE_1),CURRENCY.FORMAT_1),CURRENCY.FORMAT_1,1),"# ##0;-# ##0"),",-"),FIXED(ROUND((C2375/EXC.RATE_1),CURRENCY.FORMAT_1),CURRENCY.FORMAT_1,0)),'DICTIONARY-5'!$A$2)</f>
        <v>241,-</v>
      </c>
      <c r="K2375" s="670" t="str">
        <f>IF(EXC.RATE_2=0,"",IFERROR(IF(CURRENCY.FORMAT_2=0,CONCATENATE(TEXT(FIXED(ROUND(IF(EXC.RATE.SWITCH=1,C2375/EXC.RATE_2,C2375*EXC.RATE_2),CURRENCY.FORMAT_2),CURRENCY.FORMAT_2,1),"# ##0;-# ##0"),",-"),FIXED(ROUND(IF(EXC.RATE.SWITCH=1,C2375/EXC.RATE_2,C2375*EXC.RATE_2),CURRENCY.FORMAT_2),CURRENCY.FORMAT_2,0)),'DICTIONARY-5'!$A$2))</f>
        <v/>
      </c>
      <c r="L2375" s="670" t="str">
        <f>IFERROR(IF(CURRENCY.FORMAT_1=0,CONCATENATE(TEXT(FIXED(ROUND((C2375*(1-I2375)*(1-ADD.DISCOUNT)*(1+MAT.SURCHARGE)/EXC.RATE_1),CURRENCY.FORMAT_1),CURRENCY.FORMAT_1,1),"# ##0;-# ##0"),",-"),FIXED(ROUND((C2375*(1-I2375)*(1-ADD.DISCOUNT)*(1+MAT.SURCHARGE)/EXC.RATE_1),CURRENCY.FORMAT_1),CURRENCY.FORMAT_1,0)),'DICTIONARY-5'!$A$2)</f>
        <v>250,-</v>
      </c>
      <c r="M2375" s="670" t="str">
        <f>IF(EXC.RATE_2=0,"",IFERROR(IF(CURRENCY.FORMAT_2=0,CONCATENATE(TEXT(FIXED(ROUND(IF(EXC.RATE.SWITCH=1,C2375*(1-I2375)*(1-ADD.DISCOUNT)*(1+MAT.SURCHARGE)/EXC.RATE_2,C2375*(1-I2375)*(1-ADD.DISCOUNT)*(1+MAT.SURCHARGE)*EXC.RATE_2),CURRENCY.FORMAT_2),CURRENCY.FORMAT_2,1),"# ##0;-# ##0"),",-"),FIXED(ROUND(IF(EXC.RATE.SWITCH=1,C2375*(1-I2375)*(1-ADD.DISCOUNT)*(1+MAT.SURCHARGE)/EXC.RATE_2,C2375*(1-I2375)*(1-ADD.DISCOUNT)*(1+MAT.SURCHARGE)*EXC.RATE_2),CURRENCY.FORMAT_2),CURRENCY.FORMAT_2,0)),'DICTIONARY-5'!$A$2))</f>
        <v/>
      </c>
      <c r="N2375" s="537">
        <v>11</v>
      </c>
      <c r="O2375" s="537"/>
      <c r="P2375" s="731" t="str">
        <f>'DICTIONARY-3'!$A$130</f>
        <v>LADA</v>
      </c>
      <c r="Q2375" s="732" t="str">
        <f>'DICTIONARY-3'!$A$219</f>
        <v>Obudowa ziemna</v>
      </c>
      <c r="R2375" s="732" t="str">
        <f>CONCATENATE('DICTIONARY-3'!$A$131," ",'DICTIONARY-6'!$A$12," ",'DICTIONARY-2'!$A$7,"2,0m ",'DICTIONARY-5'!$A$7," ",LOWER('DICTIONARY-6'!$A$3)," ",'DICTIONARY-2'!$A$2,"600")</f>
        <v>LADA-A Obud. ziemn Rd2,0m dla zasuwa DN600</v>
      </c>
      <c r="S2375" s="733" t="s">
        <v>5569</v>
      </c>
      <c r="T2375" s="732" t="s">
        <v>5569</v>
      </c>
      <c r="U2375" s="734" t="s">
        <v>5757</v>
      </c>
      <c r="V2375" s="735"/>
      <c r="W2375" s="736"/>
      <c r="X2375" s="737"/>
      <c r="Y2375" s="745" t="s">
        <v>5669</v>
      </c>
      <c r="Z2375" s="747"/>
      <c r="AA2375" s="747"/>
      <c r="AB2375" s="740"/>
      <c r="AC2375" s="741"/>
      <c r="AD2375" s="741" t="s">
        <v>5569</v>
      </c>
      <c r="AE2375" s="742" t="s">
        <v>5569</v>
      </c>
      <c r="AF2375" s="743">
        <v>17</v>
      </c>
      <c r="AG2375" s="733" t="str">
        <f>'DICTIONARY-5'!$A$23</f>
        <v>powłoka epoksydowa</v>
      </c>
    </row>
    <row r="2376" spans="1:33" x14ac:dyDescent="0.25">
      <c r="A2376" s="854" t="s">
        <v>2241</v>
      </c>
      <c r="B2376" s="854" t="s">
        <v>4846</v>
      </c>
      <c r="C2376" s="836">
        <v>23</v>
      </c>
      <c r="D2376" s="836"/>
      <c r="E2376" s="836"/>
      <c r="F2376" s="836"/>
      <c r="G2376" s="496" t="s">
        <v>7845</v>
      </c>
      <c r="H2376" s="797" t="str">
        <f>VLOOKUP(G2376,SETTINGS!$B$7:$D$97,2,0)</f>
        <v>LADA</v>
      </c>
      <c r="I2376" s="796">
        <f>VLOOKUP(G2376,SETTINGS!$B$7:$D$97,3,0)</f>
        <v>0</v>
      </c>
      <c r="J2376" s="670" t="str">
        <f>IFERROR(IF(CURRENCY.FORMAT_1=0,CONCATENATE(TEXT(FIXED(ROUND((C2376/EXC.RATE_1),CURRENCY.FORMAT_1),CURRENCY.FORMAT_1,1),"# ##0;-# ##0"),",-"),FIXED(ROUND((C2376/EXC.RATE_1),CURRENCY.FORMAT_1),CURRENCY.FORMAT_1,0)),'DICTIONARY-5'!$A$2)</f>
        <v>23,-</v>
      </c>
      <c r="K2376" s="670" t="str">
        <f>IF(EXC.RATE_2=0,"",IFERROR(IF(CURRENCY.FORMAT_2=0,CONCATENATE(TEXT(FIXED(ROUND(IF(EXC.RATE.SWITCH=1,C2376/EXC.RATE_2,C2376*EXC.RATE_2),CURRENCY.FORMAT_2),CURRENCY.FORMAT_2,1),"# ##0;-# ##0"),",-"),FIXED(ROUND(IF(EXC.RATE.SWITCH=1,C2376/EXC.RATE_2,C2376*EXC.RATE_2),CURRENCY.FORMAT_2),CURRENCY.FORMAT_2,0)),'DICTIONARY-5'!$A$2))</f>
        <v/>
      </c>
      <c r="L2376" s="670" t="str">
        <f>IFERROR(IF(CURRENCY.FORMAT_1=0,CONCATENATE(TEXT(FIXED(ROUND((C2376*(1-I2376)*(1-ADD.DISCOUNT)*(1+MAT.SURCHARGE)/EXC.RATE_1),CURRENCY.FORMAT_1),CURRENCY.FORMAT_1,1),"# ##0;-# ##0"),",-"),FIXED(ROUND((C2376*(1-I2376)*(1-ADD.DISCOUNT)*(1+MAT.SURCHARGE)/EXC.RATE_1),CURRENCY.FORMAT_1),CURRENCY.FORMAT_1,0)),'DICTIONARY-5'!$A$2)</f>
        <v>24,-</v>
      </c>
      <c r="M2376" s="670" t="str">
        <f>IF(EXC.RATE_2=0,"",IFERROR(IF(CURRENCY.FORMAT_2=0,CONCATENATE(TEXT(FIXED(ROUND(IF(EXC.RATE.SWITCH=1,C2376*(1-I2376)*(1-ADD.DISCOUNT)*(1+MAT.SURCHARGE)/EXC.RATE_2,C2376*(1-I2376)*(1-ADD.DISCOUNT)*(1+MAT.SURCHARGE)*EXC.RATE_2),CURRENCY.FORMAT_2),CURRENCY.FORMAT_2,1),"# ##0;-# ##0"),",-"),FIXED(ROUND(IF(EXC.RATE.SWITCH=1,C2376*(1-I2376)*(1-ADD.DISCOUNT)*(1+MAT.SURCHARGE)/EXC.RATE_2,C2376*(1-I2376)*(1-ADD.DISCOUNT)*(1+MAT.SURCHARGE)*EXC.RATE_2),CURRENCY.FORMAT_2),CURRENCY.FORMAT_2,0)),'DICTIONARY-5'!$A$2))</f>
        <v/>
      </c>
      <c r="N2376" s="537">
        <v>11</v>
      </c>
      <c r="O2376" s="537"/>
      <c r="P2376" s="731" t="str">
        <f>'DICTIONARY-3'!$A$130</f>
        <v>LADA</v>
      </c>
      <c r="Q2376" s="732" t="str">
        <f>'DICTIONARY-3'!$A$219</f>
        <v>Obudowa ziemna</v>
      </c>
      <c r="R2376" s="732" t="str">
        <f>CONCATENATE('DICTIONARY-3'!$A$132," ",'DICTIONARY-6'!$A$12," ",'DICTIONARY-2'!$A$7,"1,0m ",'DICTIONARY-6'!$A$22," ",'DICTIONARY-6'!$A$23)</f>
        <v>LADA-B Obud. ziemn Rd1,0m do mostków nawiert. z zasuwa</v>
      </c>
      <c r="S2376" s="733" t="s">
        <v>5569</v>
      </c>
      <c r="T2376" s="732" t="s">
        <v>5569</v>
      </c>
      <c r="U2376" s="734"/>
      <c r="V2376" s="735"/>
      <c r="W2376" s="736"/>
      <c r="X2376" s="737"/>
      <c r="Y2376" s="745" t="s">
        <v>5652</v>
      </c>
      <c r="Z2376" s="747"/>
      <c r="AA2376" s="747"/>
      <c r="AB2376" s="740"/>
      <c r="AC2376" s="741"/>
      <c r="AD2376" s="741" t="s">
        <v>5569</v>
      </c>
      <c r="AE2376" s="742" t="s">
        <v>5569</v>
      </c>
      <c r="AF2376" s="743">
        <v>2</v>
      </c>
      <c r="AG2376" s="733" t="str">
        <f>'DICTIONARY-5'!$A$23</f>
        <v>powłoka epoksydowa</v>
      </c>
    </row>
    <row r="2377" spans="1:33" x14ac:dyDescent="0.25">
      <c r="A2377" s="854" t="s">
        <v>2242</v>
      </c>
      <c r="B2377" s="854" t="s">
        <v>4847</v>
      </c>
      <c r="C2377" s="836">
        <v>25</v>
      </c>
      <c r="D2377" s="836"/>
      <c r="E2377" s="836"/>
      <c r="F2377" s="836"/>
      <c r="G2377" s="496" t="s">
        <v>7845</v>
      </c>
      <c r="H2377" s="797" t="str">
        <f>VLOOKUP(G2377,SETTINGS!$B$7:$D$97,2,0)</f>
        <v>LADA</v>
      </c>
      <c r="I2377" s="796">
        <f>VLOOKUP(G2377,SETTINGS!$B$7:$D$97,3,0)</f>
        <v>0</v>
      </c>
      <c r="J2377" s="670" t="str">
        <f>IFERROR(IF(CURRENCY.FORMAT_1=0,CONCATENATE(TEXT(FIXED(ROUND((C2377/EXC.RATE_1),CURRENCY.FORMAT_1),CURRENCY.FORMAT_1,1),"# ##0;-# ##0"),",-"),FIXED(ROUND((C2377/EXC.RATE_1),CURRENCY.FORMAT_1),CURRENCY.FORMAT_1,0)),'DICTIONARY-5'!$A$2)</f>
        <v>25,-</v>
      </c>
      <c r="K2377" s="670" t="str">
        <f>IF(EXC.RATE_2=0,"",IFERROR(IF(CURRENCY.FORMAT_2=0,CONCATENATE(TEXT(FIXED(ROUND(IF(EXC.RATE.SWITCH=1,C2377/EXC.RATE_2,C2377*EXC.RATE_2),CURRENCY.FORMAT_2),CURRENCY.FORMAT_2,1),"# ##0;-# ##0"),",-"),FIXED(ROUND(IF(EXC.RATE.SWITCH=1,C2377/EXC.RATE_2,C2377*EXC.RATE_2),CURRENCY.FORMAT_2),CURRENCY.FORMAT_2,0)),'DICTIONARY-5'!$A$2))</f>
        <v/>
      </c>
      <c r="L2377" s="670" t="str">
        <f>IFERROR(IF(CURRENCY.FORMAT_1=0,CONCATENATE(TEXT(FIXED(ROUND((C2377*(1-I2377)*(1-ADD.DISCOUNT)*(1+MAT.SURCHARGE)/EXC.RATE_1),CURRENCY.FORMAT_1),CURRENCY.FORMAT_1,1),"# ##0;-# ##0"),",-"),FIXED(ROUND((C2377*(1-I2377)*(1-ADD.DISCOUNT)*(1+MAT.SURCHARGE)/EXC.RATE_1),CURRENCY.FORMAT_1),CURRENCY.FORMAT_1,0)),'DICTIONARY-5'!$A$2)</f>
        <v>26,-</v>
      </c>
      <c r="M2377" s="670" t="str">
        <f>IF(EXC.RATE_2=0,"",IFERROR(IF(CURRENCY.FORMAT_2=0,CONCATENATE(TEXT(FIXED(ROUND(IF(EXC.RATE.SWITCH=1,C2377*(1-I2377)*(1-ADD.DISCOUNT)*(1+MAT.SURCHARGE)/EXC.RATE_2,C2377*(1-I2377)*(1-ADD.DISCOUNT)*(1+MAT.SURCHARGE)*EXC.RATE_2),CURRENCY.FORMAT_2),CURRENCY.FORMAT_2,1),"# ##0;-# ##0"),",-"),FIXED(ROUND(IF(EXC.RATE.SWITCH=1,C2377*(1-I2377)*(1-ADD.DISCOUNT)*(1+MAT.SURCHARGE)/EXC.RATE_2,C2377*(1-I2377)*(1-ADD.DISCOUNT)*(1+MAT.SURCHARGE)*EXC.RATE_2),CURRENCY.FORMAT_2),CURRENCY.FORMAT_2,0)),'DICTIONARY-5'!$A$2))</f>
        <v/>
      </c>
      <c r="N2377" s="537">
        <v>11</v>
      </c>
      <c r="O2377" s="537"/>
      <c r="P2377" s="731" t="str">
        <f>'DICTIONARY-3'!$A$130</f>
        <v>LADA</v>
      </c>
      <c r="Q2377" s="732" t="str">
        <f>'DICTIONARY-3'!$A$219</f>
        <v>Obudowa ziemna</v>
      </c>
      <c r="R2377" s="732" t="str">
        <f>CONCATENATE('DICTIONARY-3'!$A$132," ",'DICTIONARY-6'!$A$12," ",'DICTIONARY-2'!$A$7,"1,25m ",'DICTIONARY-6'!$A$22," ",'DICTIONARY-6'!$A$23)</f>
        <v>LADA-B Obud. ziemn Rd1,25m do mostków nawiert. z zasuwa</v>
      </c>
      <c r="S2377" s="733" t="s">
        <v>5569</v>
      </c>
      <c r="T2377" s="732" t="s">
        <v>5569</v>
      </c>
      <c r="U2377" s="734"/>
      <c r="V2377" s="735"/>
      <c r="W2377" s="736"/>
      <c r="X2377" s="737"/>
      <c r="Y2377" s="745" t="s">
        <v>5653</v>
      </c>
      <c r="Z2377" s="747"/>
      <c r="AA2377" s="747"/>
      <c r="AB2377" s="740"/>
      <c r="AC2377" s="741"/>
      <c r="AD2377" s="741" t="s">
        <v>5569</v>
      </c>
      <c r="AE2377" s="742" t="s">
        <v>5569</v>
      </c>
      <c r="AF2377" s="743">
        <v>2.5</v>
      </c>
      <c r="AG2377" s="733" t="str">
        <f>'DICTIONARY-5'!$A$23</f>
        <v>powłoka epoksydowa</v>
      </c>
    </row>
    <row r="2378" spans="1:33" x14ac:dyDescent="0.25">
      <c r="A2378" s="854" t="s">
        <v>2243</v>
      </c>
      <c r="B2378" s="854" t="s">
        <v>4848</v>
      </c>
      <c r="C2378" s="836">
        <v>31</v>
      </c>
      <c r="D2378" s="836"/>
      <c r="E2378" s="836"/>
      <c r="F2378" s="836"/>
      <c r="G2378" s="496" t="s">
        <v>7845</v>
      </c>
      <c r="H2378" s="797" t="str">
        <f>VLOOKUP(G2378,SETTINGS!$B$7:$D$97,2,0)</f>
        <v>LADA</v>
      </c>
      <c r="I2378" s="796">
        <f>VLOOKUP(G2378,SETTINGS!$B$7:$D$97,3,0)</f>
        <v>0</v>
      </c>
      <c r="J2378" s="670" t="str">
        <f>IFERROR(IF(CURRENCY.FORMAT_1=0,CONCATENATE(TEXT(FIXED(ROUND((C2378/EXC.RATE_1),CURRENCY.FORMAT_1),CURRENCY.FORMAT_1,1),"# ##0;-# ##0"),",-"),FIXED(ROUND((C2378/EXC.RATE_1),CURRENCY.FORMAT_1),CURRENCY.FORMAT_1,0)),'DICTIONARY-5'!$A$2)</f>
        <v>31,-</v>
      </c>
      <c r="K2378" s="670" t="str">
        <f>IF(EXC.RATE_2=0,"",IFERROR(IF(CURRENCY.FORMAT_2=0,CONCATENATE(TEXT(FIXED(ROUND(IF(EXC.RATE.SWITCH=1,C2378/EXC.RATE_2,C2378*EXC.RATE_2),CURRENCY.FORMAT_2),CURRENCY.FORMAT_2,1),"# ##0;-# ##0"),",-"),FIXED(ROUND(IF(EXC.RATE.SWITCH=1,C2378/EXC.RATE_2,C2378*EXC.RATE_2),CURRENCY.FORMAT_2),CURRENCY.FORMAT_2,0)),'DICTIONARY-5'!$A$2))</f>
        <v/>
      </c>
      <c r="L2378" s="670" t="str">
        <f>IFERROR(IF(CURRENCY.FORMAT_1=0,CONCATENATE(TEXT(FIXED(ROUND((C2378*(1-I2378)*(1-ADD.DISCOUNT)*(1+MAT.SURCHARGE)/EXC.RATE_1),CURRENCY.FORMAT_1),CURRENCY.FORMAT_1,1),"# ##0;-# ##0"),",-"),FIXED(ROUND((C2378*(1-I2378)*(1-ADD.DISCOUNT)*(1+MAT.SURCHARGE)/EXC.RATE_1),CURRENCY.FORMAT_1),CURRENCY.FORMAT_1,0)),'DICTIONARY-5'!$A$2)</f>
        <v>32,-</v>
      </c>
      <c r="M2378" s="670" t="str">
        <f>IF(EXC.RATE_2=0,"",IFERROR(IF(CURRENCY.FORMAT_2=0,CONCATENATE(TEXT(FIXED(ROUND(IF(EXC.RATE.SWITCH=1,C2378*(1-I2378)*(1-ADD.DISCOUNT)*(1+MAT.SURCHARGE)/EXC.RATE_2,C2378*(1-I2378)*(1-ADD.DISCOUNT)*(1+MAT.SURCHARGE)*EXC.RATE_2),CURRENCY.FORMAT_2),CURRENCY.FORMAT_2,1),"# ##0;-# ##0"),",-"),FIXED(ROUND(IF(EXC.RATE.SWITCH=1,C2378*(1-I2378)*(1-ADD.DISCOUNT)*(1+MAT.SURCHARGE)/EXC.RATE_2,C2378*(1-I2378)*(1-ADD.DISCOUNT)*(1+MAT.SURCHARGE)*EXC.RATE_2),CURRENCY.FORMAT_2),CURRENCY.FORMAT_2,0)),'DICTIONARY-5'!$A$2))</f>
        <v/>
      </c>
      <c r="N2378" s="537">
        <v>11</v>
      </c>
      <c r="O2378" s="537"/>
      <c r="P2378" s="731" t="str">
        <f>'DICTIONARY-3'!$A$130</f>
        <v>LADA</v>
      </c>
      <c r="Q2378" s="732" t="str">
        <f>'DICTIONARY-3'!$A$219</f>
        <v>Obudowa ziemna</v>
      </c>
      <c r="R2378" s="732" t="str">
        <f>CONCATENATE('DICTIONARY-3'!$A$132," ",'DICTIONARY-6'!$A$12," ",'DICTIONARY-2'!$A$7,"1,5m ",'DICTIONARY-6'!$A$22," ",'DICTIONARY-6'!$A$23)</f>
        <v>LADA-B Obud. ziemn Rd1,5m do mostków nawiert. z zasuwa</v>
      </c>
      <c r="S2378" s="733" t="s">
        <v>5569</v>
      </c>
      <c r="T2378" s="732" t="s">
        <v>5569</v>
      </c>
      <c r="U2378" s="734"/>
      <c r="V2378" s="735"/>
      <c r="W2378" s="736"/>
      <c r="X2378" s="737"/>
      <c r="Y2378" s="745" t="s">
        <v>5654</v>
      </c>
      <c r="Z2378" s="747"/>
      <c r="AA2378" s="747"/>
      <c r="AB2378" s="740"/>
      <c r="AC2378" s="741"/>
      <c r="AD2378" s="741" t="s">
        <v>5569</v>
      </c>
      <c r="AE2378" s="742" t="s">
        <v>5569</v>
      </c>
      <c r="AF2378" s="743">
        <v>3</v>
      </c>
      <c r="AG2378" s="733" t="str">
        <f>'DICTIONARY-5'!$A$23</f>
        <v>powłoka epoksydowa</v>
      </c>
    </row>
    <row r="2379" spans="1:33" x14ac:dyDescent="0.25">
      <c r="A2379" s="854" t="s">
        <v>2244</v>
      </c>
      <c r="B2379" s="854" t="s">
        <v>4849</v>
      </c>
      <c r="C2379" s="836">
        <v>39</v>
      </c>
      <c r="D2379" s="836"/>
      <c r="E2379" s="836"/>
      <c r="F2379" s="836"/>
      <c r="G2379" s="496" t="s">
        <v>7845</v>
      </c>
      <c r="H2379" s="797" t="str">
        <f>VLOOKUP(G2379,SETTINGS!$B$7:$D$97,2,0)</f>
        <v>LADA</v>
      </c>
      <c r="I2379" s="796">
        <f>VLOOKUP(G2379,SETTINGS!$B$7:$D$97,3,0)</f>
        <v>0</v>
      </c>
      <c r="J2379" s="670" t="str">
        <f>IFERROR(IF(CURRENCY.FORMAT_1=0,CONCATENATE(TEXT(FIXED(ROUND((C2379/EXC.RATE_1),CURRENCY.FORMAT_1),CURRENCY.FORMAT_1,1),"# ##0;-# ##0"),",-"),FIXED(ROUND((C2379/EXC.RATE_1),CURRENCY.FORMAT_1),CURRENCY.FORMAT_1,0)),'DICTIONARY-5'!$A$2)</f>
        <v>39,-</v>
      </c>
      <c r="K2379" s="670" t="str">
        <f>IF(EXC.RATE_2=0,"",IFERROR(IF(CURRENCY.FORMAT_2=0,CONCATENATE(TEXT(FIXED(ROUND(IF(EXC.RATE.SWITCH=1,C2379/EXC.RATE_2,C2379*EXC.RATE_2),CURRENCY.FORMAT_2),CURRENCY.FORMAT_2,1),"# ##0;-# ##0"),",-"),FIXED(ROUND(IF(EXC.RATE.SWITCH=1,C2379/EXC.RATE_2,C2379*EXC.RATE_2),CURRENCY.FORMAT_2),CURRENCY.FORMAT_2,0)),'DICTIONARY-5'!$A$2))</f>
        <v/>
      </c>
      <c r="L2379" s="670" t="str">
        <f>IFERROR(IF(CURRENCY.FORMAT_1=0,CONCATENATE(TEXT(FIXED(ROUND((C2379*(1-I2379)*(1-ADD.DISCOUNT)*(1+MAT.SURCHARGE)/EXC.RATE_1),CURRENCY.FORMAT_1),CURRENCY.FORMAT_1,1),"# ##0;-# ##0"),",-"),FIXED(ROUND((C2379*(1-I2379)*(1-ADD.DISCOUNT)*(1+MAT.SURCHARGE)/EXC.RATE_1),CURRENCY.FORMAT_1),CURRENCY.FORMAT_1,0)),'DICTIONARY-5'!$A$2)</f>
        <v>41,-</v>
      </c>
      <c r="M2379" s="670" t="str">
        <f>IF(EXC.RATE_2=0,"",IFERROR(IF(CURRENCY.FORMAT_2=0,CONCATENATE(TEXT(FIXED(ROUND(IF(EXC.RATE.SWITCH=1,C2379*(1-I2379)*(1-ADD.DISCOUNT)*(1+MAT.SURCHARGE)/EXC.RATE_2,C2379*(1-I2379)*(1-ADD.DISCOUNT)*(1+MAT.SURCHARGE)*EXC.RATE_2),CURRENCY.FORMAT_2),CURRENCY.FORMAT_2,1),"# ##0;-# ##0"),",-"),FIXED(ROUND(IF(EXC.RATE.SWITCH=1,C2379*(1-I2379)*(1-ADD.DISCOUNT)*(1+MAT.SURCHARGE)/EXC.RATE_2,C2379*(1-I2379)*(1-ADD.DISCOUNT)*(1+MAT.SURCHARGE)*EXC.RATE_2),CURRENCY.FORMAT_2),CURRENCY.FORMAT_2,0)),'DICTIONARY-5'!$A$2))</f>
        <v/>
      </c>
      <c r="N2379" s="537">
        <v>11</v>
      </c>
      <c r="O2379" s="537"/>
      <c r="P2379" s="731" t="str">
        <f>'DICTIONARY-3'!$A$130</f>
        <v>LADA</v>
      </c>
      <c r="Q2379" s="732" t="str">
        <f>'DICTIONARY-3'!$A$219</f>
        <v>Obudowa ziemna</v>
      </c>
      <c r="R2379" s="732" t="str">
        <f>CONCATENATE('DICTIONARY-3'!$A$132," ",'DICTIONARY-6'!$A$12," ",'DICTIONARY-2'!$A$7,"2,0m ",'DICTIONARY-6'!$A$22," ",'DICTIONARY-6'!$A$23)</f>
        <v>LADA-B Obud. ziemn Rd2,0m do mostków nawiert. z zasuwa</v>
      </c>
      <c r="S2379" s="733" t="s">
        <v>5569</v>
      </c>
      <c r="T2379" s="732" t="s">
        <v>5569</v>
      </c>
      <c r="U2379" s="734"/>
      <c r="V2379" s="735"/>
      <c r="W2379" s="736"/>
      <c r="X2379" s="737"/>
      <c r="Y2379" s="745" t="s">
        <v>5669</v>
      </c>
      <c r="Z2379" s="747"/>
      <c r="AA2379" s="747"/>
      <c r="AB2379" s="740"/>
      <c r="AC2379" s="741"/>
      <c r="AD2379" s="741" t="s">
        <v>5569</v>
      </c>
      <c r="AE2379" s="742" t="s">
        <v>5569</v>
      </c>
      <c r="AF2379" s="743">
        <v>3.5</v>
      </c>
      <c r="AG2379" s="733" t="str">
        <f>'DICTIONARY-5'!$A$23</f>
        <v>powłoka epoksydowa</v>
      </c>
    </row>
    <row r="2380" spans="1:33" x14ac:dyDescent="0.25">
      <c r="A2380" s="854" t="s">
        <v>2245</v>
      </c>
      <c r="B2380" s="854" t="s">
        <v>4838</v>
      </c>
      <c r="C2380" s="836">
        <v>19</v>
      </c>
      <c r="D2380" s="836"/>
      <c r="E2380" s="836"/>
      <c r="F2380" s="836"/>
      <c r="G2380" s="496" t="s">
        <v>7845</v>
      </c>
      <c r="H2380" s="797" t="str">
        <f>VLOOKUP(G2380,SETTINGS!$B$7:$D$97,2,0)</f>
        <v>LADA</v>
      </c>
      <c r="I2380" s="796">
        <f>VLOOKUP(G2380,SETTINGS!$B$7:$D$97,3,0)</f>
        <v>0</v>
      </c>
      <c r="J2380" s="670" t="str">
        <f>IFERROR(IF(CURRENCY.FORMAT_1=0,CONCATENATE(TEXT(FIXED(ROUND((C2380/EXC.RATE_1),CURRENCY.FORMAT_1),CURRENCY.FORMAT_1,1),"# ##0;-# ##0"),",-"),FIXED(ROUND((C2380/EXC.RATE_1),CURRENCY.FORMAT_1),CURRENCY.FORMAT_1,0)),'DICTIONARY-5'!$A$2)</f>
        <v>19,-</v>
      </c>
      <c r="K2380" s="670" t="str">
        <f>IF(EXC.RATE_2=0,"",IFERROR(IF(CURRENCY.FORMAT_2=0,CONCATENATE(TEXT(FIXED(ROUND(IF(EXC.RATE.SWITCH=1,C2380/EXC.RATE_2,C2380*EXC.RATE_2),CURRENCY.FORMAT_2),CURRENCY.FORMAT_2,1),"# ##0;-# ##0"),",-"),FIXED(ROUND(IF(EXC.RATE.SWITCH=1,C2380/EXC.RATE_2,C2380*EXC.RATE_2),CURRENCY.FORMAT_2),CURRENCY.FORMAT_2,0)),'DICTIONARY-5'!$A$2))</f>
        <v/>
      </c>
      <c r="L2380" s="670" t="str">
        <f>IFERROR(IF(CURRENCY.FORMAT_1=0,CONCATENATE(TEXT(FIXED(ROUND((C2380*(1-I2380)*(1-ADD.DISCOUNT)*(1+MAT.SURCHARGE)/EXC.RATE_1),CURRENCY.FORMAT_1),CURRENCY.FORMAT_1,1),"# ##0;-# ##0"),",-"),FIXED(ROUND((C2380*(1-I2380)*(1-ADD.DISCOUNT)*(1+MAT.SURCHARGE)/EXC.RATE_1),CURRENCY.FORMAT_1),CURRENCY.FORMAT_1,0)),'DICTIONARY-5'!$A$2)</f>
        <v>20,-</v>
      </c>
      <c r="M2380" s="670" t="str">
        <f>IF(EXC.RATE_2=0,"",IFERROR(IF(CURRENCY.FORMAT_2=0,CONCATENATE(TEXT(FIXED(ROUND(IF(EXC.RATE.SWITCH=1,C2380*(1-I2380)*(1-ADD.DISCOUNT)*(1+MAT.SURCHARGE)/EXC.RATE_2,C2380*(1-I2380)*(1-ADD.DISCOUNT)*(1+MAT.SURCHARGE)*EXC.RATE_2),CURRENCY.FORMAT_2),CURRENCY.FORMAT_2,1),"# ##0;-# ##0"),",-"),FIXED(ROUND(IF(EXC.RATE.SWITCH=1,C2380*(1-I2380)*(1-ADD.DISCOUNT)*(1+MAT.SURCHARGE)/EXC.RATE_2,C2380*(1-I2380)*(1-ADD.DISCOUNT)*(1+MAT.SURCHARGE)*EXC.RATE_2),CURRENCY.FORMAT_2),CURRENCY.FORMAT_2,0)),'DICTIONARY-5'!$A$2))</f>
        <v/>
      </c>
      <c r="N2380" s="537">
        <v>11</v>
      </c>
      <c r="O2380" s="537"/>
      <c r="P2380" s="731" t="str">
        <f>'DICTIONARY-3'!$A$130</f>
        <v>LADA</v>
      </c>
      <c r="Q2380" s="732" t="str">
        <f>'DICTIONARY-3'!$A$219</f>
        <v>Obudowa ziemna</v>
      </c>
      <c r="R2380" s="732" t="str">
        <f>CONCATENATE('DICTIONARY-3'!$A$133," ",'DICTIONARY-6'!$A$12," ",'DICTIONARY-2'!$A$7,"1,0m ",'DICTIONARY-6'!$A$22," ",'DICTIONARY-6'!$A$62)</f>
        <v>LADA-C Obud. ziemn Rd1,0m do mostków nawiert. z zaw. kul.</v>
      </c>
      <c r="S2380" s="733" t="s">
        <v>5569</v>
      </c>
      <c r="T2380" s="732" t="s">
        <v>5569</v>
      </c>
      <c r="U2380" s="734"/>
      <c r="V2380" s="735"/>
      <c r="W2380" s="736"/>
      <c r="X2380" s="737"/>
      <c r="Y2380" s="745" t="s">
        <v>5652</v>
      </c>
      <c r="Z2380" s="747"/>
      <c r="AA2380" s="747"/>
      <c r="AB2380" s="740"/>
      <c r="AC2380" s="741"/>
      <c r="AD2380" s="741" t="s">
        <v>5569</v>
      </c>
      <c r="AE2380" s="742" t="s">
        <v>5569</v>
      </c>
      <c r="AF2380" s="743">
        <v>2</v>
      </c>
      <c r="AG2380" s="733" t="str">
        <f>'DICTIONARY-5'!$A$23</f>
        <v>powłoka epoksydowa</v>
      </c>
    </row>
    <row r="2381" spans="1:33" x14ac:dyDescent="0.25">
      <c r="A2381" s="854" t="s">
        <v>2246</v>
      </c>
      <c r="B2381" s="854" t="s">
        <v>4839</v>
      </c>
      <c r="C2381" s="836">
        <v>22</v>
      </c>
      <c r="D2381" s="836"/>
      <c r="E2381" s="836"/>
      <c r="F2381" s="836"/>
      <c r="G2381" s="496" t="s">
        <v>7845</v>
      </c>
      <c r="H2381" s="797" t="str">
        <f>VLOOKUP(G2381,SETTINGS!$B$7:$D$97,2,0)</f>
        <v>LADA</v>
      </c>
      <c r="I2381" s="796">
        <f>VLOOKUP(G2381,SETTINGS!$B$7:$D$97,3,0)</f>
        <v>0</v>
      </c>
      <c r="J2381" s="670" t="str">
        <f>IFERROR(IF(CURRENCY.FORMAT_1=0,CONCATENATE(TEXT(FIXED(ROUND((C2381/EXC.RATE_1),CURRENCY.FORMAT_1),CURRENCY.FORMAT_1,1),"# ##0;-# ##0"),",-"),FIXED(ROUND((C2381/EXC.RATE_1),CURRENCY.FORMAT_1),CURRENCY.FORMAT_1,0)),'DICTIONARY-5'!$A$2)</f>
        <v>22,-</v>
      </c>
      <c r="K2381" s="670" t="str">
        <f>IF(EXC.RATE_2=0,"",IFERROR(IF(CURRENCY.FORMAT_2=0,CONCATENATE(TEXT(FIXED(ROUND(IF(EXC.RATE.SWITCH=1,C2381/EXC.RATE_2,C2381*EXC.RATE_2),CURRENCY.FORMAT_2),CURRENCY.FORMAT_2,1),"# ##0;-# ##0"),",-"),FIXED(ROUND(IF(EXC.RATE.SWITCH=1,C2381/EXC.RATE_2,C2381*EXC.RATE_2),CURRENCY.FORMAT_2),CURRENCY.FORMAT_2,0)),'DICTIONARY-5'!$A$2))</f>
        <v/>
      </c>
      <c r="L2381" s="670" t="str">
        <f>IFERROR(IF(CURRENCY.FORMAT_1=0,CONCATENATE(TEXT(FIXED(ROUND((C2381*(1-I2381)*(1-ADD.DISCOUNT)*(1+MAT.SURCHARGE)/EXC.RATE_1),CURRENCY.FORMAT_1),CURRENCY.FORMAT_1,1),"# ##0;-# ##0"),",-"),FIXED(ROUND((C2381*(1-I2381)*(1-ADD.DISCOUNT)*(1+MAT.SURCHARGE)/EXC.RATE_1),CURRENCY.FORMAT_1),CURRENCY.FORMAT_1,0)),'DICTIONARY-5'!$A$2)</f>
        <v>23,-</v>
      </c>
      <c r="M2381" s="670" t="str">
        <f>IF(EXC.RATE_2=0,"",IFERROR(IF(CURRENCY.FORMAT_2=0,CONCATENATE(TEXT(FIXED(ROUND(IF(EXC.RATE.SWITCH=1,C2381*(1-I2381)*(1-ADD.DISCOUNT)*(1+MAT.SURCHARGE)/EXC.RATE_2,C2381*(1-I2381)*(1-ADD.DISCOUNT)*(1+MAT.SURCHARGE)*EXC.RATE_2),CURRENCY.FORMAT_2),CURRENCY.FORMAT_2,1),"# ##0;-# ##0"),",-"),FIXED(ROUND(IF(EXC.RATE.SWITCH=1,C2381*(1-I2381)*(1-ADD.DISCOUNT)*(1+MAT.SURCHARGE)/EXC.RATE_2,C2381*(1-I2381)*(1-ADD.DISCOUNT)*(1+MAT.SURCHARGE)*EXC.RATE_2),CURRENCY.FORMAT_2),CURRENCY.FORMAT_2,0)),'DICTIONARY-5'!$A$2))</f>
        <v/>
      </c>
      <c r="N2381" s="537">
        <v>11</v>
      </c>
      <c r="O2381" s="537"/>
      <c r="P2381" s="731" t="str">
        <f>'DICTIONARY-3'!$A$130</f>
        <v>LADA</v>
      </c>
      <c r="Q2381" s="732" t="str">
        <f>'DICTIONARY-3'!$A$219</f>
        <v>Obudowa ziemna</v>
      </c>
      <c r="R2381" s="732" t="str">
        <f>CONCATENATE('DICTIONARY-3'!$A$133," ",'DICTIONARY-6'!$A$12," ",'DICTIONARY-2'!$A$7,"1,25m ",'DICTIONARY-6'!$A$22," ",'DICTIONARY-6'!$A$62)</f>
        <v>LADA-C Obud. ziemn Rd1,25m do mostków nawiert. z zaw. kul.</v>
      </c>
      <c r="S2381" s="733" t="s">
        <v>5569</v>
      </c>
      <c r="T2381" s="732" t="s">
        <v>5569</v>
      </c>
      <c r="U2381" s="734"/>
      <c r="V2381" s="735"/>
      <c r="W2381" s="736"/>
      <c r="X2381" s="737"/>
      <c r="Y2381" s="745" t="s">
        <v>5653</v>
      </c>
      <c r="Z2381" s="747"/>
      <c r="AA2381" s="747"/>
      <c r="AB2381" s="740"/>
      <c r="AC2381" s="741"/>
      <c r="AD2381" s="741" t="s">
        <v>5569</v>
      </c>
      <c r="AE2381" s="742" t="s">
        <v>5569</v>
      </c>
      <c r="AF2381" s="743">
        <v>2.5</v>
      </c>
      <c r="AG2381" s="733" t="str">
        <f>'DICTIONARY-5'!$A$23</f>
        <v>powłoka epoksydowa</v>
      </c>
    </row>
    <row r="2382" spans="1:33" x14ac:dyDescent="0.25">
      <c r="A2382" s="854" t="s">
        <v>2247</v>
      </c>
      <c r="B2382" s="854" t="s">
        <v>4840</v>
      </c>
      <c r="C2382" s="836">
        <v>22</v>
      </c>
      <c r="D2382" s="836"/>
      <c r="E2382" s="836"/>
      <c r="F2382" s="836"/>
      <c r="G2382" s="496" t="s">
        <v>7845</v>
      </c>
      <c r="H2382" s="797" t="str">
        <f>VLOOKUP(G2382,SETTINGS!$B$7:$D$97,2,0)</f>
        <v>LADA</v>
      </c>
      <c r="I2382" s="796">
        <f>VLOOKUP(G2382,SETTINGS!$B$7:$D$97,3,0)</f>
        <v>0</v>
      </c>
      <c r="J2382" s="670" t="str">
        <f>IFERROR(IF(CURRENCY.FORMAT_1=0,CONCATENATE(TEXT(FIXED(ROUND((C2382/EXC.RATE_1),CURRENCY.FORMAT_1),CURRENCY.FORMAT_1,1),"# ##0;-# ##0"),",-"),FIXED(ROUND((C2382/EXC.RATE_1),CURRENCY.FORMAT_1),CURRENCY.FORMAT_1,0)),'DICTIONARY-5'!$A$2)</f>
        <v>22,-</v>
      </c>
      <c r="K2382" s="670" t="str">
        <f>IF(EXC.RATE_2=0,"",IFERROR(IF(CURRENCY.FORMAT_2=0,CONCATENATE(TEXT(FIXED(ROUND(IF(EXC.RATE.SWITCH=1,C2382/EXC.RATE_2,C2382*EXC.RATE_2),CURRENCY.FORMAT_2),CURRENCY.FORMAT_2,1),"# ##0;-# ##0"),",-"),FIXED(ROUND(IF(EXC.RATE.SWITCH=1,C2382/EXC.RATE_2,C2382*EXC.RATE_2),CURRENCY.FORMAT_2),CURRENCY.FORMAT_2,0)),'DICTIONARY-5'!$A$2))</f>
        <v/>
      </c>
      <c r="L2382" s="670" t="str">
        <f>IFERROR(IF(CURRENCY.FORMAT_1=0,CONCATENATE(TEXT(FIXED(ROUND((C2382*(1-I2382)*(1-ADD.DISCOUNT)*(1+MAT.SURCHARGE)/EXC.RATE_1),CURRENCY.FORMAT_1),CURRENCY.FORMAT_1,1),"# ##0;-# ##0"),",-"),FIXED(ROUND((C2382*(1-I2382)*(1-ADD.DISCOUNT)*(1+MAT.SURCHARGE)/EXC.RATE_1),CURRENCY.FORMAT_1),CURRENCY.FORMAT_1,0)),'DICTIONARY-5'!$A$2)</f>
        <v>23,-</v>
      </c>
      <c r="M2382" s="670" t="str">
        <f>IF(EXC.RATE_2=0,"",IFERROR(IF(CURRENCY.FORMAT_2=0,CONCATENATE(TEXT(FIXED(ROUND(IF(EXC.RATE.SWITCH=1,C2382*(1-I2382)*(1-ADD.DISCOUNT)*(1+MAT.SURCHARGE)/EXC.RATE_2,C2382*(1-I2382)*(1-ADD.DISCOUNT)*(1+MAT.SURCHARGE)*EXC.RATE_2),CURRENCY.FORMAT_2),CURRENCY.FORMAT_2,1),"# ##0;-# ##0"),",-"),FIXED(ROUND(IF(EXC.RATE.SWITCH=1,C2382*(1-I2382)*(1-ADD.DISCOUNT)*(1+MAT.SURCHARGE)/EXC.RATE_2,C2382*(1-I2382)*(1-ADD.DISCOUNT)*(1+MAT.SURCHARGE)*EXC.RATE_2),CURRENCY.FORMAT_2),CURRENCY.FORMAT_2,0)),'DICTIONARY-5'!$A$2))</f>
        <v/>
      </c>
      <c r="N2382" s="537">
        <v>11</v>
      </c>
      <c r="O2382" s="537"/>
      <c r="P2382" s="731" t="str">
        <f>'DICTIONARY-3'!$A$130</f>
        <v>LADA</v>
      </c>
      <c r="Q2382" s="732" t="str">
        <f>'DICTIONARY-3'!$A$219</f>
        <v>Obudowa ziemna</v>
      </c>
      <c r="R2382" s="732" t="str">
        <f>CONCATENATE('DICTIONARY-3'!$A$133," ",'DICTIONARY-6'!$A$12," ",'DICTIONARY-2'!$A$7,"1,5m ",'DICTIONARY-6'!$A$22," ",'DICTIONARY-6'!$A$62)</f>
        <v>LADA-C Obud. ziemn Rd1,5m do mostków nawiert. z zaw. kul.</v>
      </c>
      <c r="S2382" s="733" t="s">
        <v>5569</v>
      </c>
      <c r="T2382" s="732" t="s">
        <v>5569</v>
      </c>
      <c r="U2382" s="734"/>
      <c r="V2382" s="735"/>
      <c r="W2382" s="736"/>
      <c r="X2382" s="737"/>
      <c r="Y2382" s="745" t="s">
        <v>5654</v>
      </c>
      <c r="Z2382" s="747"/>
      <c r="AA2382" s="747"/>
      <c r="AB2382" s="740"/>
      <c r="AC2382" s="741"/>
      <c r="AD2382" s="741" t="s">
        <v>5569</v>
      </c>
      <c r="AE2382" s="742" t="s">
        <v>5569</v>
      </c>
      <c r="AF2382" s="743">
        <v>2.5</v>
      </c>
      <c r="AG2382" s="733" t="str">
        <f>'DICTIONARY-5'!$A$23</f>
        <v>powłoka epoksydowa</v>
      </c>
    </row>
    <row r="2383" spans="1:33" x14ac:dyDescent="0.25">
      <c r="A2383" s="854" t="s">
        <v>2248</v>
      </c>
      <c r="B2383" s="854" t="s">
        <v>4841</v>
      </c>
      <c r="C2383" s="836">
        <v>34</v>
      </c>
      <c r="D2383" s="836"/>
      <c r="E2383" s="836"/>
      <c r="F2383" s="836"/>
      <c r="G2383" s="496" t="s">
        <v>7845</v>
      </c>
      <c r="H2383" s="797" t="str">
        <f>VLOOKUP(G2383,SETTINGS!$B$7:$D$97,2,0)</f>
        <v>LADA</v>
      </c>
      <c r="I2383" s="796">
        <f>VLOOKUP(G2383,SETTINGS!$B$7:$D$97,3,0)</f>
        <v>0</v>
      </c>
      <c r="J2383" s="670" t="str">
        <f>IFERROR(IF(CURRENCY.FORMAT_1=0,CONCATENATE(TEXT(FIXED(ROUND((C2383/EXC.RATE_1),CURRENCY.FORMAT_1),CURRENCY.FORMAT_1,1),"# ##0;-# ##0"),",-"),FIXED(ROUND((C2383/EXC.RATE_1),CURRENCY.FORMAT_1),CURRENCY.FORMAT_1,0)),'DICTIONARY-5'!$A$2)</f>
        <v>34,-</v>
      </c>
      <c r="K2383" s="670" t="str">
        <f>IF(EXC.RATE_2=0,"",IFERROR(IF(CURRENCY.FORMAT_2=0,CONCATENATE(TEXT(FIXED(ROUND(IF(EXC.RATE.SWITCH=1,C2383/EXC.RATE_2,C2383*EXC.RATE_2),CURRENCY.FORMAT_2),CURRENCY.FORMAT_2,1),"# ##0;-# ##0"),",-"),FIXED(ROUND(IF(EXC.RATE.SWITCH=1,C2383/EXC.RATE_2,C2383*EXC.RATE_2),CURRENCY.FORMAT_2),CURRENCY.FORMAT_2,0)),'DICTIONARY-5'!$A$2))</f>
        <v/>
      </c>
      <c r="L2383" s="670" t="str">
        <f>IFERROR(IF(CURRENCY.FORMAT_1=0,CONCATENATE(TEXT(FIXED(ROUND((C2383*(1-I2383)*(1-ADD.DISCOUNT)*(1+MAT.SURCHARGE)/EXC.RATE_1),CURRENCY.FORMAT_1),CURRENCY.FORMAT_1,1),"# ##0;-# ##0"),",-"),FIXED(ROUND((C2383*(1-I2383)*(1-ADD.DISCOUNT)*(1+MAT.SURCHARGE)/EXC.RATE_1),CURRENCY.FORMAT_1),CURRENCY.FORMAT_1,0)),'DICTIONARY-5'!$A$2)</f>
        <v>35,-</v>
      </c>
      <c r="M2383" s="670" t="str">
        <f>IF(EXC.RATE_2=0,"",IFERROR(IF(CURRENCY.FORMAT_2=0,CONCATENATE(TEXT(FIXED(ROUND(IF(EXC.RATE.SWITCH=1,C2383*(1-I2383)*(1-ADD.DISCOUNT)*(1+MAT.SURCHARGE)/EXC.RATE_2,C2383*(1-I2383)*(1-ADD.DISCOUNT)*(1+MAT.SURCHARGE)*EXC.RATE_2),CURRENCY.FORMAT_2),CURRENCY.FORMAT_2,1),"# ##0;-# ##0"),",-"),FIXED(ROUND(IF(EXC.RATE.SWITCH=1,C2383*(1-I2383)*(1-ADD.DISCOUNT)*(1+MAT.SURCHARGE)/EXC.RATE_2,C2383*(1-I2383)*(1-ADD.DISCOUNT)*(1+MAT.SURCHARGE)*EXC.RATE_2),CURRENCY.FORMAT_2),CURRENCY.FORMAT_2,0)),'DICTIONARY-5'!$A$2))</f>
        <v/>
      </c>
      <c r="N2383" s="537">
        <v>11</v>
      </c>
      <c r="O2383" s="537"/>
      <c r="P2383" s="731" t="str">
        <f>'DICTIONARY-3'!$A$130</f>
        <v>LADA</v>
      </c>
      <c r="Q2383" s="732" t="str">
        <f>'DICTIONARY-3'!$A$219</f>
        <v>Obudowa ziemna</v>
      </c>
      <c r="R2383" s="732" t="str">
        <f>CONCATENATE('DICTIONARY-3'!$A$133," ",'DICTIONARY-6'!$A$12," ",'DICTIONARY-2'!$A$7,"2,0m ",'DICTIONARY-6'!$A$22," ",'DICTIONARY-6'!$A$62)</f>
        <v>LADA-C Obud. ziemn Rd2,0m do mostków nawiert. z zaw. kul.</v>
      </c>
      <c r="S2383" s="733" t="s">
        <v>5569</v>
      </c>
      <c r="T2383" s="732" t="s">
        <v>5569</v>
      </c>
      <c r="U2383" s="734"/>
      <c r="V2383" s="735"/>
      <c r="W2383" s="736"/>
      <c r="X2383" s="737"/>
      <c r="Y2383" s="745" t="s">
        <v>5669</v>
      </c>
      <c r="Z2383" s="747"/>
      <c r="AA2383" s="747"/>
      <c r="AB2383" s="740"/>
      <c r="AC2383" s="741"/>
      <c r="AD2383" s="741" t="s">
        <v>5569</v>
      </c>
      <c r="AE2383" s="742" t="s">
        <v>5569</v>
      </c>
      <c r="AF2383" s="743">
        <v>3.5</v>
      </c>
      <c r="AG2383" s="733" t="str">
        <f>'DICTIONARY-5'!$A$23</f>
        <v>powłoka epoksydowa</v>
      </c>
    </row>
    <row r="2384" spans="1:33" x14ac:dyDescent="0.25">
      <c r="A2384" s="854" t="s">
        <v>2250</v>
      </c>
      <c r="B2384" s="854" t="s">
        <v>4758</v>
      </c>
      <c r="C2384" s="836">
        <v>60</v>
      </c>
      <c r="D2384" s="836"/>
      <c r="E2384" s="836"/>
      <c r="F2384" s="836"/>
      <c r="G2384" s="496" t="s">
        <v>7846</v>
      </c>
      <c r="H2384" s="797" t="str">
        <f>VLOOKUP(G2384,SETTINGS!$B$7:$D$97,2,0)</f>
        <v>Telemax Niro/PATENTplus/VA-TELESKOP</v>
      </c>
      <c r="I2384" s="796">
        <f>VLOOKUP(G2384,SETTINGS!$B$7:$D$97,3,0)</f>
        <v>0</v>
      </c>
      <c r="J2384" s="670" t="str">
        <f>IFERROR(IF(CURRENCY.FORMAT_1=0,CONCATENATE(TEXT(FIXED(ROUND((C2384/EXC.RATE_1),CURRENCY.FORMAT_1),CURRENCY.FORMAT_1,1),"# ##0;-# ##0"),",-"),FIXED(ROUND((C2384/EXC.RATE_1),CURRENCY.FORMAT_1),CURRENCY.FORMAT_1,0)),'DICTIONARY-5'!$A$2)</f>
        <v>60,-</v>
      </c>
      <c r="K2384" s="670" t="str">
        <f>IF(EXC.RATE_2=0,"",IFERROR(IF(CURRENCY.FORMAT_2=0,CONCATENATE(TEXT(FIXED(ROUND(IF(EXC.RATE.SWITCH=1,C2384/EXC.RATE_2,C2384*EXC.RATE_2),CURRENCY.FORMAT_2),CURRENCY.FORMAT_2,1),"# ##0;-# ##0"),",-"),FIXED(ROUND(IF(EXC.RATE.SWITCH=1,C2384/EXC.RATE_2,C2384*EXC.RATE_2),CURRENCY.FORMAT_2),CURRENCY.FORMAT_2,0)),'DICTIONARY-5'!$A$2))</f>
        <v/>
      </c>
      <c r="L2384" s="670" t="str">
        <f>IFERROR(IF(CURRENCY.FORMAT_1=0,CONCATENATE(TEXT(FIXED(ROUND((C2384*(1-I2384)*(1-ADD.DISCOUNT)*(1+MAT.SURCHARGE)/EXC.RATE_1),CURRENCY.FORMAT_1),CURRENCY.FORMAT_1,1),"# ##0;-# ##0"),",-"),FIXED(ROUND((C2384*(1-I2384)*(1-ADD.DISCOUNT)*(1+MAT.SURCHARGE)/EXC.RATE_1),CURRENCY.FORMAT_1),CURRENCY.FORMAT_1,0)),'DICTIONARY-5'!$A$2)</f>
        <v>62,-</v>
      </c>
      <c r="M2384" s="670" t="str">
        <f>IF(EXC.RATE_2=0,"",IFERROR(IF(CURRENCY.FORMAT_2=0,CONCATENATE(TEXT(FIXED(ROUND(IF(EXC.RATE.SWITCH=1,C2384*(1-I2384)*(1-ADD.DISCOUNT)*(1+MAT.SURCHARGE)/EXC.RATE_2,C2384*(1-I2384)*(1-ADD.DISCOUNT)*(1+MAT.SURCHARGE)*EXC.RATE_2),CURRENCY.FORMAT_2),CURRENCY.FORMAT_2,1),"# ##0;-# ##0"),",-"),FIXED(ROUND(IF(EXC.RATE.SWITCH=1,C2384*(1-I2384)*(1-ADD.DISCOUNT)*(1+MAT.SURCHARGE)/EXC.RATE_2,C2384*(1-I2384)*(1-ADD.DISCOUNT)*(1+MAT.SURCHARGE)*EXC.RATE_2),CURRENCY.FORMAT_2),CURRENCY.FORMAT_2,0)),'DICTIONARY-5'!$A$2))</f>
        <v/>
      </c>
      <c r="N2384" s="537">
        <v>11</v>
      </c>
      <c r="O2384" s="537"/>
      <c r="P2384" s="732" t="str">
        <f>'DICTIONARY-3'!$A$134</f>
        <v>PATENTplus</v>
      </c>
      <c r="Q2384" s="732" t="str">
        <f>'DICTIONARY-3'!$A$219</f>
        <v>Obudowa ziemna</v>
      </c>
      <c r="R2384" s="732" t="str">
        <f>CONCATENATE('DICTIONARY-3'!$A$135," ",'DICTIONARY-6'!$A$12," ",'DICTIONARY-2'!$A$7,"0,75-1,0m ",'DICTIONARY-5'!$A$7," ",LOWER('DICTIONARY-6'!$A$3)," ",'DICTIONARY-2'!$A$2,"40-50")</f>
        <v>PATENTplus-AT Obud. ziemn Rd0,75-1,0m dla zasuwa DN40-50</v>
      </c>
      <c r="S2384" s="733" t="s">
        <v>5569</v>
      </c>
      <c r="T2384" s="732" t="s">
        <v>5569</v>
      </c>
      <c r="U2384" s="734" t="s">
        <v>6024</v>
      </c>
      <c r="V2384" s="735" t="s">
        <v>5569</v>
      </c>
      <c r="W2384" s="736"/>
      <c r="X2384" s="737"/>
      <c r="Y2384" s="745" t="s">
        <v>5668</v>
      </c>
      <c r="Z2384" s="747"/>
      <c r="AA2384" s="747"/>
      <c r="AB2384" s="740"/>
      <c r="AC2384" s="741" t="s">
        <v>5569</v>
      </c>
      <c r="AD2384" s="741" t="s">
        <v>5569</v>
      </c>
      <c r="AE2384" s="742" t="s">
        <v>5569</v>
      </c>
      <c r="AF2384" s="743">
        <v>2.5</v>
      </c>
      <c r="AG2384" s="741" t="s">
        <v>5569</v>
      </c>
    </row>
    <row r="2385" spans="1:33" x14ac:dyDescent="0.25">
      <c r="A2385" s="854" t="s">
        <v>2253</v>
      </c>
      <c r="B2385" s="854" t="s">
        <v>4759</v>
      </c>
      <c r="C2385" s="836">
        <v>66</v>
      </c>
      <c r="D2385" s="836"/>
      <c r="E2385" s="836"/>
      <c r="F2385" s="836"/>
      <c r="G2385" s="496" t="s">
        <v>7846</v>
      </c>
      <c r="H2385" s="797" t="str">
        <f>VLOOKUP(G2385,SETTINGS!$B$7:$D$97,2,0)</f>
        <v>Telemax Niro/PATENTplus/VA-TELESKOP</v>
      </c>
      <c r="I2385" s="796">
        <f>VLOOKUP(G2385,SETTINGS!$B$7:$D$97,3,0)</f>
        <v>0</v>
      </c>
      <c r="J2385" s="670" t="str">
        <f>IFERROR(IF(CURRENCY.FORMAT_1=0,CONCATENATE(TEXT(FIXED(ROUND((C2385/EXC.RATE_1),CURRENCY.FORMAT_1),CURRENCY.FORMAT_1,1),"# ##0;-# ##0"),",-"),FIXED(ROUND((C2385/EXC.RATE_1),CURRENCY.FORMAT_1),CURRENCY.FORMAT_1,0)),'DICTIONARY-5'!$A$2)</f>
        <v>66,-</v>
      </c>
      <c r="K2385" s="670" t="str">
        <f>IF(EXC.RATE_2=0,"",IFERROR(IF(CURRENCY.FORMAT_2=0,CONCATENATE(TEXT(FIXED(ROUND(IF(EXC.RATE.SWITCH=1,C2385/EXC.RATE_2,C2385*EXC.RATE_2),CURRENCY.FORMAT_2),CURRENCY.FORMAT_2,1),"# ##0;-# ##0"),",-"),FIXED(ROUND(IF(EXC.RATE.SWITCH=1,C2385/EXC.RATE_2,C2385*EXC.RATE_2),CURRENCY.FORMAT_2),CURRENCY.FORMAT_2,0)),'DICTIONARY-5'!$A$2))</f>
        <v/>
      </c>
      <c r="L2385" s="670" t="str">
        <f>IFERROR(IF(CURRENCY.FORMAT_1=0,CONCATENATE(TEXT(FIXED(ROUND((C2385*(1-I2385)*(1-ADD.DISCOUNT)*(1+MAT.SURCHARGE)/EXC.RATE_1),CURRENCY.FORMAT_1),CURRENCY.FORMAT_1,1),"# ##0;-# ##0"),",-"),FIXED(ROUND((C2385*(1-I2385)*(1-ADD.DISCOUNT)*(1+MAT.SURCHARGE)/EXC.RATE_1),CURRENCY.FORMAT_1),CURRENCY.FORMAT_1,0)),'DICTIONARY-5'!$A$2)</f>
        <v>69,-</v>
      </c>
      <c r="M2385" s="670" t="str">
        <f>IF(EXC.RATE_2=0,"",IFERROR(IF(CURRENCY.FORMAT_2=0,CONCATENATE(TEXT(FIXED(ROUND(IF(EXC.RATE.SWITCH=1,C2385*(1-I2385)*(1-ADD.DISCOUNT)*(1+MAT.SURCHARGE)/EXC.RATE_2,C2385*(1-I2385)*(1-ADD.DISCOUNT)*(1+MAT.SURCHARGE)*EXC.RATE_2),CURRENCY.FORMAT_2),CURRENCY.FORMAT_2,1),"# ##0;-# ##0"),",-"),FIXED(ROUND(IF(EXC.RATE.SWITCH=1,C2385*(1-I2385)*(1-ADD.DISCOUNT)*(1+MAT.SURCHARGE)/EXC.RATE_2,C2385*(1-I2385)*(1-ADD.DISCOUNT)*(1+MAT.SURCHARGE)*EXC.RATE_2),CURRENCY.FORMAT_2),CURRENCY.FORMAT_2,0)),'DICTIONARY-5'!$A$2))</f>
        <v/>
      </c>
      <c r="N2385" s="537">
        <v>11</v>
      </c>
      <c r="O2385" s="537"/>
      <c r="P2385" s="732" t="str">
        <f>'DICTIONARY-3'!$A$134</f>
        <v>PATENTplus</v>
      </c>
      <c r="Q2385" s="732" t="str">
        <f>'DICTIONARY-3'!$A$219</f>
        <v>Obudowa ziemna</v>
      </c>
      <c r="R2385" s="732" t="str">
        <f>CONCATENATE('DICTIONARY-3'!$A$135," ",'DICTIONARY-6'!$A$12," ",'DICTIONARY-2'!$A$7,"0,75-1,0m ",'DICTIONARY-5'!$A$7," ",LOWER('DICTIONARY-6'!$A$3)," ",'DICTIONARY-2'!$A$2,"65-80")</f>
        <v>PATENTplus-AT Obud. ziemn Rd0,75-1,0m dla zasuwa DN65-80</v>
      </c>
      <c r="S2385" s="733" t="s">
        <v>5569</v>
      </c>
      <c r="T2385" s="732" t="s">
        <v>5569</v>
      </c>
      <c r="U2385" s="734" t="s">
        <v>6025</v>
      </c>
      <c r="V2385" s="735" t="s">
        <v>5569</v>
      </c>
      <c r="W2385" s="736"/>
      <c r="X2385" s="737"/>
      <c r="Y2385" s="745" t="s">
        <v>5668</v>
      </c>
      <c r="Z2385" s="747"/>
      <c r="AA2385" s="747"/>
      <c r="AB2385" s="740"/>
      <c r="AC2385" s="741" t="s">
        <v>5569</v>
      </c>
      <c r="AD2385" s="741" t="s">
        <v>5569</v>
      </c>
      <c r="AE2385" s="742" t="s">
        <v>5569</v>
      </c>
      <c r="AF2385" s="743">
        <v>2.5</v>
      </c>
      <c r="AG2385" s="741" t="s">
        <v>5569</v>
      </c>
    </row>
    <row r="2386" spans="1:33" x14ac:dyDescent="0.25">
      <c r="A2386" s="854" t="s">
        <v>2256</v>
      </c>
      <c r="B2386" s="854" t="s">
        <v>4760</v>
      </c>
      <c r="C2386" s="836">
        <v>68</v>
      </c>
      <c r="D2386" s="836"/>
      <c r="E2386" s="836"/>
      <c r="F2386" s="836"/>
      <c r="G2386" s="496" t="s">
        <v>7846</v>
      </c>
      <c r="H2386" s="797" t="str">
        <f>VLOOKUP(G2386,SETTINGS!$B$7:$D$97,2,0)</f>
        <v>Telemax Niro/PATENTplus/VA-TELESKOP</v>
      </c>
      <c r="I2386" s="796">
        <f>VLOOKUP(G2386,SETTINGS!$B$7:$D$97,3,0)</f>
        <v>0</v>
      </c>
      <c r="J2386" s="670" t="str">
        <f>IFERROR(IF(CURRENCY.FORMAT_1=0,CONCATENATE(TEXT(FIXED(ROUND((C2386/EXC.RATE_1),CURRENCY.FORMAT_1),CURRENCY.FORMAT_1,1),"# ##0;-# ##0"),",-"),FIXED(ROUND((C2386/EXC.RATE_1),CURRENCY.FORMAT_1),CURRENCY.FORMAT_1,0)),'DICTIONARY-5'!$A$2)</f>
        <v>68,-</v>
      </c>
      <c r="K2386" s="670" t="str">
        <f>IF(EXC.RATE_2=0,"",IFERROR(IF(CURRENCY.FORMAT_2=0,CONCATENATE(TEXT(FIXED(ROUND(IF(EXC.RATE.SWITCH=1,C2386/EXC.RATE_2,C2386*EXC.RATE_2),CURRENCY.FORMAT_2),CURRENCY.FORMAT_2,1),"# ##0;-# ##0"),",-"),FIXED(ROUND(IF(EXC.RATE.SWITCH=1,C2386/EXC.RATE_2,C2386*EXC.RATE_2),CURRENCY.FORMAT_2),CURRENCY.FORMAT_2,0)),'DICTIONARY-5'!$A$2))</f>
        <v/>
      </c>
      <c r="L2386" s="670" t="str">
        <f>IFERROR(IF(CURRENCY.FORMAT_1=0,CONCATENATE(TEXT(FIXED(ROUND((C2386*(1-I2386)*(1-ADD.DISCOUNT)*(1+MAT.SURCHARGE)/EXC.RATE_1),CURRENCY.FORMAT_1),CURRENCY.FORMAT_1,1),"# ##0;-# ##0"),",-"),FIXED(ROUND((C2386*(1-I2386)*(1-ADD.DISCOUNT)*(1+MAT.SURCHARGE)/EXC.RATE_1),CURRENCY.FORMAT_1),CURRENCY.FORMAT_1,0)),'DICTIONARY-5'!$A$2)</f>
        <v>71,-</v>
      </c>
      <c r="M2386" s="670" t="str">
        <f>IF(EXC.RATE_2=0,"",IFERROR(IF(CURRENCY.FORMAT_2=0,CONCATENATE(TEXT(FIXED(ROUND(IF(EXC.RATE.SWITCH=1,C2386*(1-I2386)*(1-ADD.DISCOUNT)*(1+MAT.SURCHARGE)/EXC.RATE_2,C2386*(1-I2386)*(1-ADD.DISCOUNT)*(1+MAT.SURCHARGE)*EXC.RATE_2),CURRENCY.FORMAT_2),CURRENCY.FORMAT_2,1),"# ##0;-# ##0"),",-"),FIXED(ROUND(IF(EXC.RATE.SWITCH=1,C2386*(1-I2386)*(1-ADD.DISCOUNT)*(1+MAT.SURCHARGE)/EXC.RATE_2,C2386*(1-I2386)*(1-ADD.DISCOUNT)*(1+MAT.SURCHARGE)*EXC.RATE_2),CURRENCY.FORMAT_2),CURRENCY.FORMAT_2,0)),'DICTIONARY-5'!$A$2))</f>
        <v/>
      </c>
      <c r="N2386" s="537">
        <v>11</v>
      </c>
      <c r="O2386" s="537"/>
      <c r="P2386" s="732" t="str">
        <f>'DICTIONARY-3'!$A$134</f>
        <v>PATENTplus</v>
      </c>
      <c r="Q2386" s="732" t="str">
        <f>'DICTIONARY-3'!$A$219</f>
        <v>Obudowa ziemna</v>
      </c>
      <c r="R2386" s="732" t="str">
        <f>CONCATENATE('DICTIONARY-3'!$A$135," ",'DICTIONARY-6'!$A$12," ",'DICTIONARY-2'!$A$7,"0,75-1,0m ",'DICTIONARY-5'!$A$7," ",LOWER('DICTIONARY-6'!$A$3)," ",'DICTIONARY-2'!$A$2,"100-150")</f>
        <v>PATENTplus-AT Obud. ziemn Rd0,75-1,0m dla zasuwa DN100-150</v>
      </c>
      <c r="S2386" s="733" t="s">
        <v>5569</v>
      </c>
      <c r="T2386" s="732" t="s">
        <v>5569</v>
      </c>
      <c r="U2386" s="734" t="s">
        <v>6026</v>
      </c>
      <c r="V2386" s="735" t="s">
        <v>5569</v>
      </c>
      <c r="W2386" s="736"/>
      <c r="X2386" s="737"/>
      <c r="Y2386" s="745" t="s">
        <v>5668</v>
      </c>
      <c r="Z2386" s="747"/>
      <c r="AA2386" s="747"/>
      <c r="AB2386" s="740"/>
      <c r="AC2386" s="741" t="s">
        <v>5569</v>
      </c>
      <c r="AD2386" s="741" t="s">
        <v>5569</v>
      </c>
      <c r="AE2386" s="742" t="s">
        <v>5569</v>
      </c>
      <c r="AF2386" s="743">
        <v>2.5</v>
      </c>
      <c r="AG2386" s="741" t="s">
        <v>5569</v>
      </c>
    </row>
    <row r="2387" spans="1:33" x14ac:dyDescent="0.25">
      <c r="A2387" s="854" t="s">
        <v>2258</v>
      </c>
      <c r="B2387" s="854" t="s">
        <v>4761</v>
      </c>
      <c r="C2387" s="836">
        <v>76</v>
      </c>
      <c r="D2387" s="836"/>
      <c r="E2387" s="836"/>
      <c r="F2387" s="836"/>
      <c r="G2387" s="496" t="s">
        <v>7846</v>
      </c>
      <c r="H2387" s="797" t="str">
        <f>VLOOKUP(G2387,SETTINGS!$B$7:$D$97,2,0)</f>
        <v>Telemax Niro/PATENTplus/VA-TELESKOP</v>
      </c>
      <c r="I2387" s="796">
        <f>VLOOKUP(G2387,SETTINGS!$B$7:$D$97,3,0)</f>
        <v>0</v>
      </c>
      <c r="J2387" s="670" t="str">
        <f>IFERROR(IF(CURRENCY.FORMAT_1=0,CONCATENATE(TEXT(FIXED(ROUND((C2387/EXC.RATE_1),CURRENCY.FORMAT_1),CURRENCY.FORMAT_1,1),"# ##0;-# ##0"),",-"),FIXED(ROUND((C2387/EXC.RATE_1),CURRENCY.FORMAT_1),CURRENCY.FORMAT_1,0)),'DICTIONARY-5'!$A$2)</f>
        <v>76,-</v>
      </c>
      <c r="K2387" s="670" t="str">
        <f>IF(EXC.RATE_2=0,"",IFERROR(IF(CURRENCY.FORMAT_2=0,CONCATENATE(TEXT(FIXED(ROUND(IF(EXC.RATE.SWITCH=1,C2387/EXC.RATE_2,C2387*EXC.RATE_2),CURRENCY.FORMAT_2),CURRENCY.FORMAT_2,1),"# ##0;-# ##0"),",-"),FIXED(ROUND(IF(EXC.RATE.SWITCH=1,C2387/EXC.RATE_2,C2387*EXC.RATE_2),CURRENCY.FORMAT_2),CURRENCY.FORMAT_2,0)),'DICTIONARY-5'!$A$2))</f>
        <v/>
      </c>
      <c r="L2387" s="670" t="str">
        <f>IFERROR(IF(CURRENCY.FORMAT_1=0,CONCATENATE(TEXT(FIXED(ROUND((C2387*(1-I2387)*(1-ADD.DISCOUNT)*(1+MAT.SURCHARGE)/EXC.RATE_1),CURRENCY.FORMAT_1),CURRENCY.FORMAT_1,1),"# ##0;-# ##0"),",-"),FIXED(ROUND((C2387*(1-I2387)*(1-ADD.DISCOUNT)*(1+MAT.SURCHARGE)/EXC.RATE_1),CURRENCY.FORMAT_1),CURRENCY.FORMAT_1,0)),'DICTIONARY-5'!$A$2)</f>
        <v>79,-</v>
      </c>
      <c r="M2387" s="670" t="str">
        <f>IF(EXC.RATE_2=0,"",IFERROR(IF(CURRENCY.FORMAT_2=0,CONCATENATE(TEXT(FIXED(ROUND(IF(EXC.RATE.SWITCH=1,C2387*(1-I2387)*(1-ADD.DISCOUNT)*(1+MAT.SURCHARGE)/EXC.RATE_2,C2387*(1-I2387)*(1-ADD.DISCOUNT)*(1+MAT.SURCHARGE)*EXC.RATE_2),CURRENCY.FORMAT_2),CURRENCY.FORMAT_2,1),"# ##0;-# ##0"),",-"),FIXED(ROUND(IF(EXC.RATE.SWITCH=1,C2387*(1-I2387)*(1-ADD.DISCOUNT)*(1+MAT.SURCHARGE)/EXC.RATE_2,C2387*(1-I2387)*(1-ADD.DISCOUNT)*(1+MAT.SURCHARGE)*EXC.RATE_2),CURRENCY.FORMAT_2),CURRENCY.FORMAT_2,0)),'DICTIONARY-5'!$A$2))</f>
        <v/>
      </c>
      <c r="N2387" s="537">
        <v>11</v>
      </c>
      <c r="O2387" s="537"/>
      <c r="P2387" s="732" t="str">
        <f>'DICTIONARY-3'!$A$134</f>
        <v>PATENTplus</v>
      </c>
      <c r="Q2387" s="732" t="str">
        <f>'DICTIONARY-3'!$A$219</f>
        <v>Obudowa ziemna</v>
      </c>
      <c r="R2387" s="732" t="str">
        <f>CONCATENATE('DICTIONARY-3'!$A$135," ",'DICTIONARY-6'!$A$12," ",'DICTIONARY-2'!$A$7,"0,75-1,0m ",'DICTIONARY-5'!$A$7," ",LOWER('DICTIONARY-6'!$A$3)," ",'DICTIONARY-2'!$A$2,"200")</f>
        <v>PATENTplus-AT Obud. ziemn Rd0,75-1,0m dla zasuwa DN200</v>
      </c>
      <c r="S2387" s="733" t="s">
        <v>5569</v>
      </c>
      <c r="T2387" s="732" t="s">
        <v>5569</v>
      </c>
      <c r="U2387" s="734" t="s">
        <v>5750</v>
      </c>
      <c r="V2387" s="735" t="s">
        <v>5569</v>
      </c>
      <c r="W2387" s="736"/>
      <c r="X2387" s="737"/>
      <c r="Y2387" s="745" t="s">
        <v>5668</v>
      </c>
      <c r="Z2387" s="747"/>
      <c r="AA2387" s="747"/>
      <c r="AB2387" s="740"/>
      <c r="AC2387" s="741" t="s">
        <v>5569</v>
      </c>
      <c r="AD2387" s="741" t="s">
        <v>5569</v>
      </c>
      <c r="AE2387" s="742" t="s">
        <v>5569</v>
      </c>
      <c r="AF2387" s="743">
        <v>2.5</v>
      </c>
      <c r="AG2387" s="741" t="s">
        <v>5569</v>
      </c>
    </row>
    <row r="2388" spans="1:33" x14ac:dyDescent="0.25">
      <c r="A2388" s="854" t="s">
        <v>2261</v>
      </c>
      <c r="B2388" s="854" t="s">
        <v>4762</v>
      </c>
      <c r="C2388" s="836">
        <v>77</v>
      </c>
      <c r="D2388" s="836"/>
      <c r="E2388" s="836"/>
      <c r="F2388" s="836"/>
      <c r="G2388" s="496" t="s">
        <v>7846</v>
      </c>
      <c r="H2388" s="797" t="str">
        <f>VLOOKUP(G2388,SETTINGS!$B$7:$D$97,2,0)</f>
        <v>Telemax Niro/PATENTplus/VA-TELESKOP</v>
      </c>
      <c r="I2388" s="796">
        <f>VLOOKUP(G2388,SETTINGS!$B$7:$D$97,3,0)</f>
        <v>0</v>
      </c>
      <c r="J2388" s="670" t="str">
        <f>IFERROR(IF(CURRENCY.FORMAT_1=0,CONCATENATE(TEXT(FIXED(ROUND((C2388/EXC.RATE_1),CURRENCY.FORMAT_1),CURRENCY.FORMAT_1,1),"# ##0;-# ##0"),",-"),FIXED(ROUND((C2388/EXC.RATE_1),CURRENCY.FORMAT_1),CURRENCY.FORMAT_1,0)),'DICTIONARY-5'!$A$2)</f>
        <v>77,-</v>
      </c>
      <c r="K2388" s="670" t="str">
        <f>IF(EXC.RATE_2=0,"",IFERROR(IF(CURRENCY.FORMAT_2=0,CONCATENATE(TEXT(FIXED(ROUND(IF(EXC.RATE.SWITCH=1,C2388/EXC.RATE_2,C2388*EXC.RATE_2),CURRENCY.FORMAT_2),CURRENCY.FORMAT_2,1),"# ##0;-# ##0"),",-"),FIXED(ROUND(IF(EXC.RATE.SWITCH=1,C2388/EXC.RATE_2,C2388*EXC.RATE_2),CURRENCY.FORMAT_2),CURRENCY.FORMAT_2,0)),'DICTIONARY-5'!$A$2))</f>
        <v/>
      </c>
      <c r="L2388" s="670" t="str">
        <f>IFERROR(IF(CURRENCY.FORMAT_1=0,CONCATENATE(TEXT(FIXED(ROUND((C2388*(1-I2388)*(1-ADD.DISCOUNT)*(1+MAT.SURCHARGE)/EXC.RATE_1),CURRENCY.FORMAT_1),CURRENCY.FORMAT_1,1),"# ##0;-# ##0"),",-"),FIXED(ROUND((C2388*(1-I2388)*(1-ADD.DISCOUNT)*(1+MAT.SURCHARGE)/EXC.RATE_1),CURRENCY.FORMAT_1),CURRENCY.FORMAT_1,0)),'DICTIONARY-5'!$A$2)</f>
        <v>80,-</v>
      </c>
      <c r="M2388" s="670" t="str">
        <f>IF(EXC.RATE_2=0,"",IFERROR(IF(CURRENCY.FORMAT_2=0,CONCATENATE(TEXT(FIXED(ROUND(IF(EXC.RATE.SWITCH=1,C2388*(1-I2388)*(1-ADD.DISCOUNT)*(1+MAT.SURCHARGE)/EXC.RATE_2,C2388*(1-I2388)*(1-ADD.DISCOUNT)*(1+MAT.SURCHARGE)*EXC.RATE_2),CURRENCY.FORMAT_2),CURRENCY.FORMAT_2,1),"# ##0;-# ##0"),",-"),FIXED(ROUND(IF(EXC.RATE.SWITCH=1,C2388*(1-I2388)*(1-ADD.DISCOUNT)*(1+MAT.SURCHARGE)/EXC.RATE_2,C2388*(1-I2388)*(1-ADD.DISCOUNT)*(1+MAT.SURCHARGE)*EXC.RATE_2),CURRENCY.FORMAT_2),CURRENCY.FORMAT_2,0)),'DICTIONARY-5'!$A$2))</f>
        <v/>
      </c>
      <c r="N2388" s="537">
        <v>11</v>
      </c>
      <c r="O2388" s="537"/>
      <c r="P2388" s="732" t="str">
        <f>'DICTIONARY-3'!$A$134</f>
        <v>PATENTplus</v>
      </c>
      <c r="Q2388" s="732" t="str">
        <f>'DICTIONARY-3'!$A$219</f>
        <v>Obudowa ziemna</v>
      </c>
      <c r="R2388" s="732" t="str">
        <f>CONCATENATE('DICTIONARY-3'!$A$135," ",'DICTIONARY-6'!$A$12," ",'DICTIONARY-2'!$A$7,"0,75-1,0m ",'DICTIONARY-5'!$A$7," ",LOWER('DICTIONARY-6'!$A$3)," ",'DICTIONARY-2'!$A$2,"250-350")</f>
        <v>PATENTplus-AT Obud. ziemn Rd0,75-1,0m dla zasuwa DN250-350</v>
      </c>
      <c r="S2388" s="733" t="s">
        <v>5569</v>
      </c>
      <c r="T2388" s="732" t="s">
        <v>5569</v>
      </c>
      <c r="U2388" s="734" t="s">
        <v>6027</v>
      </c>
      <c r="V2388" s="735" t="s">
        <v>5569</v>
      </c>
      <c r="W2388" s="736"/>
      <c r="X2388" s="737"/>
      <c r="Y2388" s="745" t="s">
        <v>5668</v>
      </c>
      <c r="Z2388" s="747"/>
      <c r="AA2388" s="747"/>
      <c r="AB2388" s="740"/>
      <c r="AC2388" s="741" t="s">
        <v>5569</v>
      </c>
      <c r="AD2388" s="741" t="s">
        <v>5569</v>
      </c>
      <c r="AE2388" s="742" t="s">
        <v>5569</v>
      </c>
      <c r="AF2388" s="743">
        <v>2.5</v>
      </c>
      <c r="AG2388" s="741" t="s">
        <v>5569</v>
      </c>
    </row>
    <row r="2389" spans="1:33" x14ac:dyDescent="0.25">
      <c r="A2389" s="854" t="s">
        <v>2252</v>
      </c>
      <c r="B2389" s="854" t="s">
        <v>4763</v>
      </c>
      <c r="C2389" s="836">
        <v>63</v>
      </c>
      <c r="D2389" s="836"/>
      <c r="E2389" s="836"/>
      <c r="F2389" s="836"/>
      <c r="G2389" s="496" t="s">
        <v>7846</v>
      </c>
      <c r="H2389" s="797" t="str">
        <f>VLOOKUP(G2389,SETTINGS!$B$7:$D$97,2,0)</f>
        <v>Telemax Niro/PATENTplus/VA-TELESKOP</v>
      </c>
      <c r="I2389" s="796">
        <f>VLOOKUP(G2389,SETTINGS!$B$7:$D$97,3,0)</f>
        <v>0</v>
      </c>
      <c r="J2389" s="670" t="str">
        <f>IFERROR(IF(CURRENCY.FORMAT_1=0,CONCATENATE(TEXT(FIXED(ROUND((C2389/EXC.RATE_1),CURRENCY.FORMAT_1),CURRENCY.FORMAT_1,1),"# ##0;-# ##0"),",-"),FIXED(ROUND((C2389/EXC.RATE_1),CURRENCY.FORMAT_1),CURRENCY.FORMAT_1,0)),'DICTIONARY-5'!$A$2)</f>
        <v>63,-</v>
      </c>
      <c r="K2389" s="670" t="str">
        <f>IF(EXC.RATE_2=0,"",IFERROR(IF(CURRENCY.FORMAT_2=0,CONCATENATE(TEXT(FIXED(ROUND(IF(EXC.RATE.SWITCH=1,C2389/EXC.RATE_2,C2389*EXC.RATE_2),CURRENCY.FORMAT_2),CURRENCY.FORMAT_2,1),"# ##0;-# ##0"),",-"),FIXED(ROUND(IF(EXC.RATE.SWITCH=1,C2389/EXC.RATE_2,C2389*EXC.RATE_2),CURRENCY.FORMAT_2),CURRENCY.FORMAT_2,0)),'DICTIONARY-5'!$A$2))</f>
        <v/>
      </c>
      <c r="L2389" s="670" t="str">
        <f>IFERROR(IF(CURRENCY.FORMAT_1=0,CONCATENATE(TEXT(FIXED(ROUND((C2389*(1-I2389)*(1-ADD.DISCOUNT)*(1+MAT.SURCHARGE)/EXC.RATE_1),CURRENCY.FORMAT_1),CURRENCY.FORMAT_1,1),"# ##0;-# ##0"),",-"),FIXED(ROUND((C2389*(1-I2389)*(1-ADD.DISCOUNT)*(1+MAT.SURCHARGE)/EXC.RATE_1),CURRENCY.FORMAT_1),CURRENCY.FORMAT_1,0)),'DICTIONARY-5'!$A$2)</f>
        <v>65,-</v>
      </c>
      <c r="M2389" s="670" t="str">
        <f>IF(EXC.RATE_2=0,"",IFERROR(IF(CURRENCY.FORMAT_2=0,CONCATENATE(TEXT(FIXED(ROUND(IF(EXC.RATE.SWITCH=1,C2389*(1-I2389)*(1-ADD.DISCOUNT)*(1+MAT.SURCHARGE)/EXC.RATE_2,C2389*(1-I2389)*(1-ADD.DISCOUNT)*(1+MAT.SURCHARGE)*EXC.RATE_2),CURRENCY.FORMAT_2),CURRENCY.FORMAT_2,1),"# ##0;-# ##0"),",-"),FIXED(ROUND(IF(EXC.RATE.SWITCH=1,C2389*(1-I2389)*(1-ADD.DISCOUNT)*(1+MAT.SURCHARGE)/EXC.RATE_2,C2389*(1-I2389)*(1-ADD.DISCOUNT)*(1+MAT.SURCHARGE)*EXC.RATE_2),CURRENCY.FORMAT_2),CURRENCY.FORMAT_2,0)),'DICTIONARY-5'!$A$2))</f>
        <v/>
      </c>
      <c r="N2389" s="537">
        <v>11</v>
      </c>
      <c r="O2389" s="537"/>
      <c r="P2389" s="732" t="str">
        <f>'DICTIONARY-3'!$A$134</f>
        <v>PATENTplus</v>
      </c>
      <c r="Q2389" s="732" t="str">
        <f>'DICTIONARY-3'!$A$219</f>
        <v>Obudowa ziemna</v>
      </c>
      <c r="R2389" s="732" t="str">
        <f>CONCATENATE('DICTIONARY-3'!$A$135," ",'DICTIONARY-6'!$A$12," ",'DICTIONARY-2'!$A$7,"0,9-1,3m ",'DICTIONARY-5'!$A$7," ",LOWER('DICTIONARY-6'!$A$3)," ",'DICTIONARY-2'!$A$2,"40-50")</f>
        <v>PATENTplus-AT Obud. ziemn Rd0,9-1,3m dla zasuwa DN40-50</v>
      </c>
      <c r="S2389" s="733" t="s">
        <v>5569</v>
      </c>
      <c r="T2389" s="732" t="s">
        <v>5569</v>
      </c>
      <c r="U2389" s="734" t="s">
        <v>6024</v>
      </c>
      <c r="V2389" s="735" t="s">
        <v>5569</v>
      </c>
      <c r="W2389" s="736"/>
      <c r="X2389" s="737"/>
      <c r="Y2389" s="745" t="s">
        <v>5657</v>
      </c>
      <c r="Z2389" s="747"/>
      <c r="AA2389" s="747"/>
      <c r="AB2389" s="740"/>
      <c r="AC2389" s="741" t="s">
        <v>5569</v>
      </c>
      <c r="AD2389" s="741" t="s">
        <v>5569</v>
      </c>
      <c r="AE2389" s="742" t="s">
        <v>5569</v>
      </c>
      <c r="AF2389" s="743">
        <v>3</v>
      </c>
      <c r="AG2389" s="741" t="s">
        <v>5569</v>
      </c>
    </row>
    <row r="2390" spans="1:33" x14ac:dyDescent="0.25">
      <c r="A2390" s="854" t="s">
        <v>2254</v>
      </c>
      <c r="B2390" s="854" t="s">
        <v>4764</v>
      </c>
      <c r="C2390" s="836">
        <v>66</v>
      </c>
      <c r="D2390" s="836"/>
      <c r="E2390" s="836"/>
      <c r="F2390" s="836"/>
      <c r="G2390" s="496" t="s">
        <v>7846</v>
      </c>
      <c r="H2390" s="797" t="str">
        <f>VLOOKUP(G2390,SETTINGS!$B$7:$D$97,2,0)</f>
        <v>Telemax Niro/PATENTplus/VA-TELESKOP</v>
      </c>
      <c r="I2390" s="796">
        <f>VLOOKUP(G2390,SETTINGS!$B$7:$D$97,3,0)</f>
        <v>0</v>
      </c>
      <c r="J2390" s="670" t="str">
        <f>IFERROR(IF(CURRENCY.FORMAT_1=0,CONCATENATE(TEXT(FIXED(ROUND((C2390/EXC.RATE_1),CURRENCY.FORMAT_1),CURRENCY.FORMAT_1,1),"# ##0;-# ##0"),",-"),FIXED(ROUND((C2390/EXC.RATE_1),CURRENCY.FORMAT_1),CURRENCY.FORMAT_1,0)),'DICTIONARY-5'!$A$2)</f>
        <v>66,-</v>
      </c>
      <c r="K2390" s="670" t="str">
        <f>IF(EXC.RATE_2=0,"",IFERROR(IF(CURRENCY.FORMAT_2=0,CONCATENATE(TEXT(FIXED(ROUND(IF(EXC.RATE.SWITCH=1,C2390/EXC.RATE_2,C2390*EXC.RATE_2),CURRENCY.FORMAT_2),CURRENCY.FORMAT_2,1),"# ##0;-# ##0"),",-"),FIXED(ROUND(IF(EXC.RATE.SWITCH=1,C2390/EXC.RATE_2,C2390*EXC.RATE_2),CURRENCY.FORMAT_2),CURRENCY.FORMAT_2,0)),'DICTIONARY-5'!$A$2))</f>
        <v/>
      </c>
      <c r="L2390" s="670" t="str">
        <f>IFERROR(IF(CURRENCY.FORMAT_1=0,CONCATENATE(TEXT(FIXED(ROUND((C2390*(1-I2390)*(1-ADD.DISCOUNT)*(1+MAT.SURCHARGE)/EXC.RATE_1),CURRENCY.FORMAT_1),CURRENCY.FORMAT_1,1),"# ##0;-# ##0"),",-"),FIXED(ROUND((C2390*(1-I2390)*(1-ADD.DISCOUNT)*(1+MAT.SURCHARGE)/EXC.RATE_1),CURRENCY.FORMAT_1),CURRENCY.FORMAT_1,0)),'DICTIONARY-5'!$A$2)</f>
        <v>69,-</v>
      </c>
      <c r="M2390" s="670" t="str">
        <f>IF(EXC.RATE_2=0,"",IFERROR(IF(CURRENCY.FORMAT_2=0,CONCATENATE(TEXT(FIXED(ROUND(IF(EXC.RATE.SWITCH=1,C2390*(1-I2390)*(1-ADD.DISCOUNT)*(1+MAT.SURCHARGE)/EXC.RATE_2,C2390*(1-I2390)*(1-ADD.DISCOUNT)*(1+MAT.SURCHARGE)*EXC.RATE_2),CURRENCY.FORMAT_2),CURRENCY.FORMAT_2,1),"# ##0;-# ##0"),",-"),FIXED(ROUND(IF(EXC.RATE.SWITCH=1,C2390*(1-I2390)*(1-ADD.DISCOUNT)*(1+MAT.SURCHARGE)/EXC.RATE_2,C2390*(1-I2390)*(1-ADD.DISCOUNT)*(1+MAT.SURCHARGE)*EXC.RATE_2),CURRENCY.FORMAT_2),CURRENCY.FORMAT_2,0)),'DICTIONARY-5'!$A$2))</f>
        <v/>
      </c>
      <c r="N2390" s="537">
        <v>11</v>
      </c>
      <c r="O2390" s="537"/>
      <c r="P2390" s="732" t="str">
        <f>'DICTIONARY-3'!$A$134</f>
        <v>PATENTplus</v>
      </c>
      <c r="Q2390" s="732" t="str">
        <f>'DICTIONARY-3'!$A$219</f>
        <v>Obudowa ziemna</v>
      </c>
      <c r="R2390" s="732" t="str">
        <f>CONCATENATE('DICTIONARY-3'!$A$135," ",'DICTIONARY-6'!$A$12," ",'DICTIONARY-2'!$A$7,"0,9-1,3m ",'DICTIONARY-5'!$A$7," ",LOWER('DICTIONARY-6'!$A$3)," ",'DICTIONARY-2'!$A$2,"65-80")</f>
        <v>PATENTplus-AT Obud. ziemn Rd0,9-1,3m dla zasuwa DN65-80</v>
      </c>
      <c r="S2390" s="733" t="s">
        <v>5569</v>
      </c>
      <c r="T2390" s="732" t="s">
        <v>5569</v>
      </c>
      <c r="U2390" s="734" t="s">
        <v>6025</v>
      </c>
      <c r="V2390" s="735" t="s">
        <v>5569</v>
      </c>
      <c r="W2390" s="736"/>
      <c r="X2390" s="737"/>
      <c r="Y2390" s="745" t="s">
        <v>5657</v>
      </c>
      <c r="Z2390" s="747"/>
      <c r="AA2390" s="747"/>
      <c r="AB2390" s="740"/>
      <c r="AC2390" s="741" t="s">
        <v>5569</v>
      </c>
      <c r="AD2390" s="741" t="s">
        <v>5569</v>
      </c>
      <c r="AE2390" s="742" t="s">
        <v>5569</v>
      </c>
      <c r="AF2390" s="743">
        <v>3</v>
      </c>
      <c r="AG2390" s="741" t="s">
        <v>5569</v>
      </c>
    </row>
    <row r="2391" spans="1:33" x14ac:dyDescent="0.25">
      <c r="A2391" s="854" t="s">
        <v>2257</v>
      </c>
      <c r="B2391" s="854" t="s">
        <v>4765</v>
      </c>
      <c r="C2391" s="836">
        <v>69</v>
      </c>
      <c r="D2391" s="836"/>
      <c r="E2391" s="836"/>
      <c r="F2391" s="836"/>
      <c r="G2391" s="496" t="s">
        <v>7846</v>
      </c>
      <c r="H2391" s="797" t="str">
        <f>VLOOKUP(G2391,SETTINGS!$B$7:$D$97,2,0)</f>
        <v>Telemax Niro/PATENTplus/VA-TELESKOP</v>
      </c>
      <c r="I2391" s="796">
        <f>VLOOKUP(G2391,SETTINGS!$B$7:$D$97,3,0)</f>
        <v>0</v>
      </c>
      <c r="J2391" s="670" t="str">
        <f>IFERROR(IF(CURRENCY.FORMAT_1=0,CONCATENATE(TEXT(FIXED(ROUND((C2391/EXC.RATE_1),CURRENCY.FORMAT_1),CURRENCY.FORMAT_1,1),"# ##0;-# ##0"),",-"),FIXED(ROUND((C2391/EXC.RATE_1),CURRENCY.FORMAT_1),CURRENCY.FORMAT_1,0)),'DICTIONARY-5'!$A$2)</f>
        <v>69,-</v>
      </c>
      <c r="K2391" s="670" t="str">
        <f>IF(EXC.RATE_2=0,"",IFERROR(IF(CURRENCY.FORMAT_2=0,CONCATENATE(TEXT(FIXED(ROUND(IF(EXC.RATE.SWITCH=1,C2391/EXC.RATE_2,C2391*EXC.RATE_2),CURRENCY.FORMAT_2),CURRENCY.FORMAT_2,1),"# ##0;-# ##0"),",-"),FIXED(ROUND(IF(EXC.RATE.SWITCH=1,C2391/EXC.RATE_2,C2391*EXC.RATE_2),CURRENCY.FORMAT_2),CURRENCY.FORMAT_2,0)),'DICTIONARY-5'!$A$2))</f>
        <v/>
      </c>
      <c r="L2391" s="670" t="str">
        <f>IFERROR(IF(CURRENCY.FORMAT_1=0,CONCATENATE(TEXT(FIXED(ROUND((C2391*(1-I2391)*(1-ADD.DISCOUNT)*(1+MAT.SURCHARGE)/EXC.RATE_1),CURRENCY.FORMAT_1),CURRENCY.FORMAT_1,1),"# ##0;-# ##0"),",-"),FIXED(ROUND((C2391*(1-I2391)*(1-ADD.DISCOUNT)*(1+MAT.SURCHARGE)/EXC.RATE_1),CURRENCY.FORMAT_1),CURRENCY.FORMAT_1,0)),'DICTIONARY-5'!$A$2)</f>
        <v>72,-</v>
      </c>
      <c r="M2391" s="670" t="str">
        <f>IF(EXC.RATE_2=0,"",IFERROR(IF(CURRENCY.FORMAT_2=0,CONCATENATE(TEXT(FIXED(ROUND(IF(EXC.RATE.SWITCH=1,C2391*(1-I2391)*(1-ADD.DISCOUNT)*(1+MAT.SURCHARGE)/EXC.RATE_2,C2391*(1-I2391)*(1-ADD.DISCOUNT)*(1+MAT.SURCHARGE)*EXC.RATE_2),CURRENCY.FORMAT_2),CURRENCY.FORMAT_2,1),"# ##0;-# ##0"),",-"),FIXED(ROUND(IF(EXC.RATE.SWITCH=1,C2391*(1-I2391)*(1-ADD.DISCOUNT)*(1+MAT.SURCHARGE)/EXC.RATE_2,C2391*(1-I2391)*(1-ADD.DISCOUNT)*(1+MAT.SURCHARGE)*EXC.RATE_2),CURRENCY.FORMAT_2),CURRENCY.FORMAT_2,0)),'DICTIONARY-5'!$A$2))</f>
        <v/>
      </c>
      <c r="N2391" s="537">
        <v>11</v>
      </c>
      <c r="O2391" s="537"/>
      <c r="P2391" s="732" t="str">
        <f>'DICTIONARY-3'!$A$134</f>
        <v>PATENTplus</v>
      </c>
      <c r="Q2391" s="732" t="str">
        <f>'DICTIONARY-3'!$A$219</f>
        <v>Obudowa ziemna</v>
      </c>
      <c r="R2391" s="732" t="str">
        <f>CONCATENATE('DICTIONARY-3'!$A$135," ",'DICTIONARY-6'!$A$12," ",'DICTIONARY-2'!$A$7,"0,9-1,3m ",'DICTIONARY-5'!$A$7," ",LOWER('DICTIONARY-6'!$A$3)," ",'DICTIONARY-2'!$A$2,"100-150")</f>
        <v>PATENTplus-AT Obud. ziemn Rd0,9-1,3m dla zasuwa DN100-150</v>
      </c>
      <c r="S2391" s="733" t="s">
        <v>5569</v>
      </c>
      <c r="T2391" s="732" t="s">
        <v>5569</v>
      </c>
      <c r="U2391" s="734" t="s">
        <v>6026</v>
      </c>
      <c r="V2391" s="735" t="s">
        <v>5569</v>
      </c>
      <c r="W2391" s="736"/>
      <c r="X2391" s="737"/>
      <c r="Y2391" s="745" t="s">
        <v>5657</v>
      </c>
      <c r="Z2391" s="747"/>
      <c r="AA2391" s="747"/>
      <c r="AB2391" s="740"/>
      <c r="AC2391" s="741" t="s">
        <v>5569</v>
      </c>
      <c r="AD2391" s="741" t="s">
        <v>5569</v>
      </c>
      <c r="AE2391" s="742" t="s">
        <v>5569</v>
      </c>
      <c r="AF2391" s="743">
        <v>3</v>
      </c>
      <c r="AG2391" s="741" t="s">
        <v>5569</v>
      </c>
    </row>
    <row r="2392" spans="1:33" x14ac:dyDescent="0.25">
      <c r="A2392" s="854" t="s">
        <v>2259</v>
      </c>
      <c r="B2392" s="854" t="s">
        <v>4766</v>
      </c>
      <c r="C2392" s="836">
        <v>79</v>
      </c>
      <c r="D2392" s="836"/>
      <c r="E2392" s="836"/>
      <c r="F2392" s="836"/>
      <c r="G2392" s="496" t="s">
        <v>7846</v>
      </c>
      <c r="H2392" s="797" t="str">
        <f>VLOOKUP(G2392,SETTINGS!$B$7:$D$97,2,0)</f>
        <v>Telemax Niro/PATENTplus/VA-TELESKOP</v>
      </c>
      <c r="I2392" s="796">
        <f>VLOOKUP(G2392,SETTINGS!$B$7:$D$97,3,0)</f>
        <v>0</v>
      </c>
      <c r="J2392" s="670" t="str">
        <f>IFERROR(IF(CURRENCY.FORMAT_1=0,CONCATENATE(TEXT(FIXED(ROUND((C2392/EXC.RATE_1),CURRENCY.FORMAT_1),CURRENCY.FORMAT_1,1),"# ##0;-# ##0"),",-"),FIXED(ROUND((C2392/EXC.RATE_1),CURRENCY.FORMAT_1),CURRENCY.FORMAT_1,0)),'DICTIONARY-5'!$A$2)</f>
        <v>79,-</v>
      </c>
      <c r="K2392" s="670" t="str">
        <f>IF(EXC.RATE_2=0,"",IFERROR(IF(CURRENCY.FORMAT_2=0,CONCATENATE(TEXT(FIXED(ROUND(IF(EXC.RATE.SWITCH=1,C2392/EXC.RATE_2,C2392*EXC.RATE_2),CURRENCY.FORMAT_2),CURRENCY.FORMAT_2,1),"# ##0;-# ##0"),",-"),FIXED(ROUND(IF(EXC.RATE.SWITCH=1,C2392/EXC.RATE_2,C2392*EXC.RATE_2),CURRENCY.FORMAT_2),CURRENCY.FORMAT_2,0)),'DICTIONARY-5'!$A$2))</f>
        <v/>
      </c>
      <c r="L2392" s="670" t="str">
        <f>IFERROR(IF(CURRENCY.FORMAT_1=0,CONCATENATE(TEXT(FIXED(ROUND((C2392*(1-I2392)*(1-ADD.DISCOUNT)*(1+MAT.SURCHARGE)/EXC.RATE_1),CURRENCY.FORMAT_1),CURRENCY.FORMAT_1,1),"# ##0;-# ##0"),",-"),FIXED(ROUND((C2392*(1-I2392)*(1-ADD.DISCOUNT)*(1+MAT.SURCHARGE)/EXC.RATE_1),CURRENCY.FORMAT_1),CURRENCY.FORMAT_1,0)),'DICTIONARY-5'!$A$2)</f>
        <v>82,-</v>
      </c>
      <c r="M2392" s="670" t="str">
        <f>IF(EXC.RATE_2=0,"",IFERROR(IF(CURRENCY.FORMAT_2=0,CONCATENATE(TEXT(FIXED(ROUND(IF(EXC.RATE.SWITCH=1,C2392*(1-I2392)*(1-ADD.DISCOUNT)*(1+MAT.SURCHARGE)/EXC.RATE_2,C2392*(1-I2392)*(1-ADD.DISCOUNT)*(1+MAT.SURCHARGE)*EXC.RATE_2),CURRENCY.FORMAT_2),CURRENCY.FORMAT_2,1),"# ##0;-# ##0"),",-"),FIXED(ROUND(IF(EXC.RATE.SWITCH=1,C2392*(1-I2392)*(1-ADD.DISCOUNT)*(1+MAT.SURCHARGE)/EXC.RATE_2,C2392*(1-I2392)*(1-ADD.DISCOUNT)*(1+MAT.SURCHARGE)*EXC.RATE_2),CURRENCY.FORMAT_2),CURRENCY.FORMAT_2,0)),'DICTIONARY-5'!$A$2))</f>
        <v/>
      </c>
      <c r="N2392" s="537">
        <v>11</v>
      </c>
      <c r="O2392" s="537"/>
      <c r="P2392" s="732" t="str">
        <f>'DICTIONARY-3'!$A$134</f>
        <v>PATENTplus</v>
      </c>
      <c r="Q2392" s="732" t="str">
        <f>'DICTIONARY-3'!$A$219</f>
        <v>Obudowa ziemna</v>
      </c>
      <c r="R2392" s="732" t="str">
        <f>CONCATENATE('DICTIONARY-3'!$A$135," ",'DICTIONARY-6'!$A$12," ",'DICTIONARY-2'!$A$7,"0,9-1,3m ",'DICTIONARY-5'!$A$7," ",LOWER('DICTIONARY-6'!$A$3)," ",'DICTIONARY-2'!$A$2,"200")</f>
        <v>PATENTplus-AT Obud. ziemn Rd0,9-1,3m dla zasuwa DN200</v>
      </c>
      <c r="S2392" s="733" t="s">
        <v>5569</v>
      </c>
      <c r="T2392" s="732" t="s">
        <v>5569</v>
      </c>
      <c r="U2392" s="734" t="s">
        <v>5750</v>
      </c>
      <c r="V2392" s="735" t="s">
        <v>5569</v>
      </c>
      <c r="W2392" s="736"/>
      <c r="X2392" s="737"/>
      <c r="Y2392" s="745" t="s">
        <v>5657</v>
      </c>
      <c r="Z2392" s="747"/>
      <c r="AA2392" s="747"/>
      <c r="AB2392" s="740"/>
      <c r="AC2392" s="741" t="s">
        <v>5569</v>
      </c>
      <c r="AD2392" s="741" t="s">
        <v>5569</v>
      </c>
      <c r="AE2392" s="742" t="s">
        <v>5569</v>
      </c>
      <c r="AF2392" s="743">
        <v>4</v>
      </c>
      <c r="AG2392" s="741" t="s">
        <v>5569</v>
      </c>
    </row>
    <row r="2393" spans="1:33" x14ac:dyDescent="0.25">
      <c r="A2393" s="854" t="s">
        <v>2262</v>
      </c>
      <c r="B2393" s="854" t="s">
        <v>4767</v>
      </c>
      <c r="C2393" s="836">
        <v>83</v>
      </c>
      <c r="D2393" s="836"/>
      <c r="E2393" s="836"/>
      <c r="F2393" s="836"/>
      <c r="G2393" s="496" t="s">
        <v>7846</v>
      </c>
      <c r="H2393" s="797" t="str">
        <f>VLOOKUP(G2393,SETTINGS!$B$7:$D$97,2,0)</f>
        <v>Telemax Niro/PATENTplus/VA-TELESKOP</v>
      </c>
      <c r="I2393" s="796">
        <f>VLOOKUP(G2393,SETTINGS!$B$7:$D$97,3,0)</f>
        <v>0</v>
      </c>
      <c r="J2393" s="670" t="str">
        <f>IFERROR(IF(CURRENCY.FORMAT_1=0,CONCATENATE(TEXT(FIXED(ROUND((C2393/EXC.RATE_1),CURRENCY.FORMAT_1),CURRENCY.FORMAT_1,1),"# ##0;-# ##0"),",-"),FIXED(ROUND((C2393/EXC.RATE_1),CURRENCY.FORMAT_1),CURRENCY.FORMAT_1,0)),'DICTIONARY-5'!$A$2)</f>
        <v>83,-</v>
      </c>
      <c r="K2393" s="670" t="str">
        <f>IF(EXC.RATE_2=0,"",IFERROR(IF(CURRENCY.FORMAT_2=0,CONCATENATE(TEXT(FIXED(ROUND(IF(EXC.RATE.SWITCH=1,C2393/EXC.RATE_2,C2393*EXC.RATE_2),CURRENCY.FORMAT_2),CURRENCY.FORMAT_2,1),"# ##0;-# ##0"),",-"),FIXED(ROUND(IF(EXC.RATE.SWITCH=1,C2393/EXC.RATE_2,C2393*EXC.RATE_2),CURRENCY.FORMAT_2),CURRENCY.FORMAT_2,0)),'DICTIONARY-5'!$A$2))</f>
        <v/>
      </c>
      <c r="L2393" s="670" t="str">
        <f>IFERROR(IF(CURRENCY.FORMAT_1=0,CONCATENATE(TEXT(FIXED(ROUND((C2393*(1-I2393)*(1-ADD.DISCOUNT)*(1+MAT.SURCHARGE)/EXC.RATE_1),CURRENCY.FORMAT_1),CURRENCY.FORMAT_1,1),"# ##0;-# ##0"),",-"),FIXED(ROUND((C2393*(1-I2393)*(1-ADD.DISCOUNT)*(1+MAT.SURCHARGE)/EXC.RATE_1),CURRENCY.FORMAT_1),CURRENCY.FORMAT_1,0)),'DICTIONARY-5'!$A$2)</f>
        <v>86,-</v>
      </c>
      <c r="M2393" s="670" t="str">
        <f>IF(EXC.RATE_2=0,"",IFERROR(IF(CURRENCY.FORMAT_2=0,CONCATENATE(TEXT(FIXED(ROUND(IF(EXC.RATE.SWITCH=1,C2393*(1-I2393)*(1-ADD.DISCOUNT)*(1+MAT.SURCHARGE)/EXC.RATE_2,C2393*(1-I2393)*(1-ADD.DISCOUNT)*(1+MAT.SURCHARGE)*EXC.RATE_2),CURRENCY.FORMAT_2),CURRENCY.FORMAT_2,1),"# ##0;-# ##0"),",-"),FIXED(ROUND(IF(EXC.RATE.SWITCH=1,C2393*(1-I2393)*(1-ADD.DISCOUNT)*(1+MAT.SURCHARGE)/EXC.RATE_2,C2393*(1-I2393)*(1-ADD.DISCOUNT)*(1+MAT.SURCHARGE)*EXC.RATE_2),CURRENCY.FORMAT_2),CURRENCY.FORMAT_2,0)),'DICTIONARY-5'!$A$2))</f>
        <v/>
      </c>
      <c r="N2393" s="537">
        <v>11</v>
      </c>
      <c r="O2393" s="537"/>
      <c r="P2393" s="732" t="str">
        <f>'DICTIONARY-3'!$A$134</f>
        <v>PATENTplus</v>
      </c>
      <c r="Q2393" s="732" t="str">
        <f>'DICTIONARY-3'!$A$219</f>
        <v>Obudowa ziemna</v>
      </c>
      <c r="R2393" s="732" t="str">
        <f>CONCATENATE('DICTIONARY-3'!$A$135," ",'DICTIONARY-6'!$A$12," ",'DICTIONARY-2'!$A$7,"0,9-1,3m ",'DICTIONARY-5'!$A$7," ",LOWER('DICTIONARY-6'!$A$3)," ",'DICTIONARY-2'!$A$2,"250-350")</f>
        <v>PATENTplus-AT Obud. ziemn Rd0,9-1,3m dla zasuwa DN250-350</v>
      </c>
      <c r="S2393" s="733" t="s">
        <v>5569</v>
      </c>
      <c r="T2393" s="732" t="s">
        <v>5569</v>
      </c>
      <c r="U2393" s="734" t="s">
        <v>6027</v>
      </c>
      <c r="V2393" s="735" t="s">
        <v>5569</v>
      </c>
      <c r="W2393" s="736"/>
      <c r="X2393" s="737"/>
      <c r="Y2393" s="745" t="s">
        <v>5657</v>
      </c>
      <c r="Z2393" s="747"/>
      <c r="AA2393" s="747"/>
      <c r="AB2393" s="740"/>
      <c r="AC2393" s="741" t="s">
        <v>5569</v>
      </c>
      <c r="AD2393" s="741" t="s">
        <v>5569</v>
      </c>
      <c r="AE2393" s="742" t="s">
        <v>5569</v>
      </c>
      <c r="AF2393" s="743">
        <v>3.5</v>
      </c>
      <c r="AG2393" s="741" t="s">
        <v>5569</v>
      </c>
    </row>
    <row r="2394" spans="1:33" x14ac:dyDescent="0.25">
      <c r="A2394" s="854" t="s">
        <v>2264</v>
      </c>
      <c r="B2394" s="854" t="s">
        <v>4768</v>
      </c>
      <c r="C2394" s="836">
        <v>69</v>
      </c>
      <c r="D2394" s="836"/>
      <c r="E2394" s="836"/>
      <c r="F2394" s="836"/>
      <c r="G2394" s="496" t="s">
        <v>7846</v>
      </c>
      <c r="H2394" s="797" t="str">
        <f>VLOOKUP(G2394,SETTINGS!$B$7:$D$97,2,0)</f>
        <v>Telemax Niro/PATENTplus/VA-TELESKOP</v>
      </c>
      <c r="I2394" s="796">
        <f>VLOOKUP(G2394,SETTINGS!$B$7:$D$97,3,0)</f>
        <v>0</v>
      </c>
      <c r="J2394" s="670" t="str">
        <f>IFERROR(IF(CURRENCY.FORMAT_1=0,CONCATENATE(TEXT(FIXED(ROUND((C2394/EXC.RATE_1),CURRENCY.FORMAT_1),CURRENCY.FORMAT_1,1),"# ##0;-# ##0"),",-"),FIXED(ROUND((C2394/EXC.RATE_1),CURRENCY.FORMAT_1),CURRENCY.FORMAT_1,0)),'DICTIONARY-5'!$A$2)</f>
        <v>69,-</v>
      </c>
      <c r="K2394" s="670" t="str">
        <f>IF(EXC.RATE_2=0,"",IFERROR(IF(CURRENCY.FORMAT_2=0,CONCATENATE(TEXT(FIXED(ROUND(IF(EXC.RATE.SWITCH=1,C2394/EXC.RATE_2,C2394*EXC.RATE_2),CURRENCY.FORMAT_2),CURRENCY.FORMAT_2,1),"# ##0;-# ##0"),",-"),FIXED(ROUND(IF(EXC.RATE.SWITCH=1,C2394/EXC.RATE_2,C2394*EXC.RATE_2),CURRENCY.FORMAT_2),CURRENCY.FORMAT_2,0)),'DICTIONARY-5'!$A$2))</f>
        <v/>
      </c>
      <c r="L2394" s="670" t="str">
        <f>IFERROR(IF(CURRENCY.FORMAT_1=0,CONCATENATE(TEXT(FIXED(ROUND((C2394*(1-I2394)*(1-ADD.DISCOUNT)*(1+MAT.SURCHARGE)/EXC.RATE_1),CURRENCY.FORMAT_1),CURRENCY.FORMAT_1,1),"# ##0;-# ##0"),",-"),FIXED(ROUND((C2394*(1-I2394)*(1-ADD.DISCOUNT)*(1+MAT.SURCHARGE)/EXC.RATE_1),CURRENCY.FORMAT_1),CURRENCY.FORMAT_1,0)),'DICTIONARY-5'!$A$2)</f>
        <v>72,-</v>
      </c>
      <c r="M2394" s="670" t="str">
        <f>IF(EXC.RATE_2=0,"",IFERROR(IF(CURRENCY.FORMAT_2=0,CONCATENATE(TEXT(FIXED(ROUND(IF(EXC.RATE.SWITCH=1,C2394*(1-I2394)*(1-ADD.DISCOUNT)*(1+MAT.SURCHARGE)/EXC.RATE_2,C2394*(1-I2394)*(1-ADD.DISCOUNT)*(1+MAT.SURCHARGE)*EXC.RATE_2),CURRENCY.FORMAT_2),CURRENCY.FORMAT_2,1),"# ##0;-# ##0"),",-"),FIXED(ROUND(IF(EXC.RATE.SWITCH=1,C2394*(1-I2394)*(1-ADD.DISCOUNT)*(1+MAT.SURCHARGE)/EXC.RATE_2,C2394*(1-I2394)*(1-ADD.DISCOUNT)*(1+MAT.SURCHARGE)*EXC.RATE_2),CURRENCY.FORMAT_2),CURRENCY.FORMAT_2,0)),'DICTIONARY-5'!$A$2))</f>
        <v/>
      </c>
      <c r="N2394" s="537">
        <v>11</v>
      </c>
      <c r="O2394" s="537"/>
      <c r="P2394" s="732" t="str">
        <f>'DICTIONARY-3'!$A$134</f>
        <v>PATENTplus</v>
      </c>
      <c r="Q2394" s="732" t="str">
        <f>'DICTIONARY-3'!$A$219</f>
        <v>Obudowa ziemna</v>
      </c>
      <c r="R2394" s="732" t="str">
        <f>CONCATENATE('DICTIONARY-3'!$A$135," ",'DICTIONARY-6'!$A$12," ",'DICTIONARY-2'!$A$7,"1,2-1,8m ",'DICTIONARY-5'!$A$7," ",LOWER('DICTIONARY-6'!$A$3)," ",'DICTIONARY-2'!$A$2,"40-50")</f>
        <v>PATENTplus-AT Obud. ziemn Rd1,2-1,8m dla zasuwa DN40-50</v>
      </c>
      <c r="S2394" s="733" t="s">
        <v>5569</v>
      </c>
      <c r="T2394" s="732" t="s">
        <v>5569</v>
      </c>
      <c r="U2394" s="734" t="s">
        <v>6024</v>
      </c>
      <c r="V2394" s="735" t="s">
        <v>5569</v>
      </c>
      <c r="W2394" s="736"/>
      <c r="X2394" s="737"/>
      <c r="Y2394" s="745" t="s">
        <v>5658</v>
      </c>
      <c r="Z2394" s="747"/>
      <c r="AA2394" s="747"/>
      <c r="AB2394" s="740"/>
      <c r="AC2394" s="741" t="s">
        <v>5569</v>
      </c>
      <c r="AD2394" s="741" t="s">
        <v>5569</v>
      </c>
      <c r="AE2394" s="742" t="s">
        <v>5569</v>
      </c>
      <c r="AF2394" s="743">
        <v>4.5</v>
      </c>
      <c r="AG2394" s="741" t="s">
        <v>5569</v>
      </c>
    </row>
    <row r="2395" spans="1:33" x14ac:dyDescent="0.25">
      <c r="A2395" s="854" t="s">
        <v>2267</v>
      </c>
      <c r="B2395" s="854" t="s">
        <v>4769</v>
      </c>
      <c r="C2395" s="836">
        <v>69</v>
      </c>
      <c r="D2395" s="836"/>
      <c r="E2395" s="836"/>
      <c r="F2395" s="836"/>
      <c r="G2395" s="496" t="s">
        <v>7846</v>
      </c>
      <c r="H2395" s="797" t="str">
        <f>VLOOKUP(G2395,SETTINGS!$B$7:$D$97,2,0)</f>
        <v>Telemax Niro/PATENTplus/VA-TELESKOP</v>
      </c>
      <c r="I2395" s="796">
        <f>VLOOKUP(G2395,SETTINGS!$B$7:$D$97,3,0)</f>
        <v>0</v>
      </c>
      <c r="J2395" s="670" t="str">
        <f>IFERROR(IF(CURRENCY.FORMAT_1=0,CONCATENATE(TEXT(FIXED(ROUND((C2395/EXC.RATE_1),CURRENCY.FORMAT_1),CURRENCY.FORMAT_1,1),"# ##0;-# ##0"),",-"),FIXED(ROUND((C2395/EXC.RATE_1),CURRENCY.FORMAT_1),CURRENCY.FORMAT_1,0)),'DICTIONARY-5'!$A$2)</f>
        <v>69,-</v>
      </c>
      <c r="K2395" s="670" t="str">
        <f>IF(EXC.RATE_2=0,"",IFERROR(IF(CURRENCY.FORMAT_2=0,CONCATENATE(TEXT(FIXED(ROUND(IF(EXC.RATE.SWITCH=1,C2395/EXC.RATE_2,C2395*EXC.RATE_2),CURRENCY.FORMAT_2),CURRENCY.FORMAT_2,1),"# ##0;-# ##0"),",-"),FIXED(ROUND(IF(EXC.RATE.SWITCH=1,C2395/EXC.RATE_2,C2395*EXC.RATE_2),CURRENCY.FORMAT_2),CURRENCY.FORMAT_2,0)),'DICTIONARY-5'!$A$2))</f>
        <v/>
      </c>
      <c r="L2395" s="670" t="str">
        <f>IFERROR(IF(CURRENCY.FORMAT_1=0,CONCATENATE(TEXT(FIXED(ROUND((C2395*(1-I2395)*(1-ADD.DISCOUNT)*(1+MAT.SURCHARGE)/EXC.RATE_1),CURRENCY.FORMAT_1),CURRENCY.FORMAT_1,1),"# ##0;-# ##0"),",-"),FIXED(ROUND((C2395*(1-I2395)*(1-ADD.DISCOUNT)*(1+MAT.SURCHARGE)/EXC.RATE_1),CURRENCY.FORMAT_1),CURRENCY.FORMAT_1,0)),'DICTIONARY-5'!$A$2)</f>
        <v>72,-</v>
      </c>
      <c r="M2395" s="670" t="str">
        <f>IF(EXC.RATE_2=0,"",IFERROR(IF(CURRENCY.FORMAT_2=0,CONCATENATE(TEXT(FIXED(ROUND(IF(EXC.RATE.SWITCH=1,C2395*(1-I2395)*(1-ADD.DISCOUNT)*(1+MAT.SURCHARGE)/EXC.RATE_2,C2395*(1-I2395)*(1-ADD.DISCOUNT)*(1+MAT.SURCHARGE)*EXC.RATE_2),CURRENCY.FORMAT_2),CURRENCY.FORMAT_2,1),"# ##0;-# ##0"),",-"),FIXED(ROUND(IF(EXC.RATE.SWITCH=1,C2395*(1-I2395)*(1-ADD.DISCOUNT)*(1+MAT.SURCHARGE)/EXC.RATE_2,C2395*(1-I2395)*(1-ADD.DISCOUNT)*(1+MAT.SURCHARGE)*EXC.RATE_2),CURRENCY.FORMAT_2),CURRENCY.FORMAT_2,0)),'DICTIONARY-5'!$A$2))</f>
        <v/>
      </c>
      <c r="N2395" s="537">
        <v>11</v>
      </c>
      <c r="O2395" s="537"/>
      <c r="P2395" s="732" t="str">
        <f>'DICTIONARY-3'!$A$134</f>
        <v>PATENTplus</v>
      </c>
      <c r="Q2395" s="732" t="str">
        <f>'DICTIONARY-3'!$A$219</f>
        <v>Obudowa ziemna</v>
      </c>
      <c r="R2395" s="732" t="str">
        <f>CONCATENATE('DICTIONARY-3'!$A$135," ",'DICTIONARY-6'!$A$12," ",'DICTIONARY-2'!$A$7,"1,2-1,8m ",'DICTIONARY-5'!$A$7," ",LOWER('DICTIONARY-6'!$A$3)," ",'DICTIONARY-2'!$A$2,"65-80")</f>
        <v>PATENTplus-AT Obud. ziemn Rd1,2-1,8m dla zasuwa DN65-80</v>
      </c>
      <c r="S2395" s="733" t="s">
        <v>5569</v>
      </c>
      <c r="T2395" s="732" t="s">
        <v>5569</v>
      </c>
      <c r="U2395" s="734" t="s">
        <v>6025</v>
      </c>
      <c r="V2395" s="735" t="s">
        <v>5569</v>
      </c>
      <c r="W2395" s="736"/>
      <c r="X2395" s="737"/>
      <c r="Y2395" s="745" t="s">
        <v>5658</v>
      </c>
      <c r="Z2395" s="747"/>
      <c r="AA2395" s="747"/>
      <c r="AB2395" s="740"/>
      <c r="AC2395" s="741" t="s">
        <v>5569</v>
      </c>
      <c r="AD2395" s="741" t="s">
        <v>5569</v>
      </c>
      <c r="AE2395" s="742" t="s">
        <v>5569</v>
      </c>
      <c r="AF2395" s="743">
        <v>3.5</v>
      </c>
      <c r="AG2395" s="741" t="s">
        <v>5569</v>
      </c>
    </row>
    <row r="2396" spans="1:33" x14ac:dyDescent="0.25">
      <c r="A2396" s="854" t="s">
        <v>2269</v>
      </c>
      <c r="B2396" s="854" t="s">
        <v>4770</v>
      </c>
      <c r="C2396" s="836">
        <v>73</v>
      </c>
      <c r="D2396" s="836"/>
      <c r="E2396" s="836"/>
      <c r="F2396" s="836"/>
      <c r="G2396" s="496" t="s">
        <v>7846</v>
      </c>
      <c r="H2396" s="797" t="str">
        <f>VLOOKUP(G2396,SETTINGS!$B$7:$D$97,2,0)</f>
        <v>Telemax Niro/PATENTplus/VA-TELESKOP</v>
      </c>
      <c r="I2396" s="796">
        <f>VLOOKUP(G2396,SETTINGS!$B$7:$D$97,3,0)</f>
        <v>0</v>
      </c>
      <c r="J2396" s="670" t="str">
        <f>IFERROR(IF(CURRENCY.FORMAT_1=0,CONCATENATE(TEXT(FIXED(ROUND((C2396/EXC.RATE_1),CURRENCY.FORMAT_1),CURRENCY.FORMAT_1,1),"# ##0;-# ##0"),",-"),FIXED(ROUND((C2396/EXC.RATE_1),CURRENCY.FORMAT_1),CURRENCY.FORMAT_1,0)),'DICTIONARY-5'!$A$2)</f>
        <v>73,-</v>
      </c>
      <c r="K2396" s="670" t="str">
        <f>IF(EXC.RATE_2=0,"",IFERROR(IF(CURRENCY.FORMAT_2=0,CONCATENATE(TEXT(FIXED(ROUND(IF(EXC.RATE.SWITCH=1,C2396/EXC.RATE_2,C2396*EXC.RATE_2),CURRENCY.FORMAT_2),CURRENCY.FORMAT_2,1),"# ##0;-# ##0"),",-"),FIXED(ROUND(IF(EXC.RATE.SWITCH=1,C2396/EXC.RATE_2,C2396*EXC.RATE_2),CURRENCY.FORMAT_2),CURRENCY.FORMAT_2,0)),'DICTIONARY-5'!$A$2))</f>
        <v/>
      </c>
      <c r="L2396" s="670" t="str">
        <f>IFERROR(IF(CURRENCY.FORMAT_1=0,CONCATENATE(TEXT(FIXED(ROUND((C2396*(1-I2396)*(1-ADD.DISCOUNT)*(1+MAT.SURCHARGE)/EXC.RATE_1),CURRENCY.FORMAT_1),CURRENCY.FORMAT_1,1),"# ##0;-# ##0"),",-"),FIXED(ROUND((C2396*(1-I2396)*(1-ADD.DISCOUNT)*(1+MAT.SURCHARGE)/EXC.RATE_1),CURRENCY.FORMAT_1),CURRENCY.FORMAT_1,0)),'DICTIONARY-5'!$A$2)</f>
        <v>76,-</v>
      </c>
      <c r="M2396" s="670" t="str">
        <f>IF(EXC.RATE_2=0,"",IFERROR(IF(CURRENCY.FORMAT_2=0,CONCATENATE(TEXT(FIXED(ROUND(IF(EXC.RATE.SWITCH=1,C2396*(1-I2396)*(1-ADD.DISCOUNT)*(1+MAT.SURCHARGE)/EXC.RATE_2,C2396*(1-I2396)*(1-ADD.DISCOUNT)*(1+MAT.SURCHARGE)*EXC.RATE_2),CURRENCY.FORMAT_2),CURRENCY.FORMAT_2,1),"# ##0;-# ##0"),",-"),FIXED(ROUND(IF(EXC.RATE.SWITCH=1,C2396*(1-I2396)*(1-ADD.DISCOUNT)*(1+MAT.SURCHARGE)/EXC.RATE_2,C2396*(1-I2396)*(1-ADD.DISCOUNT)*(1+MAT.SURCHARGE)*EXC.RATE_2),CURRENCY.FORMAT_2),CURRENCY.FORMAT_2,0)),'DICTIONARY-5'!$A$2))</f>
        <v/>
      </c>
      <c r="N2396" s="537">
        <v>11</v>
      </c>
      <c r="O2396" s="537"/>
      <c r="P2396" s="732" t="str">
        <f>'DICTIONARY-3'!$A$134</f>
        <v>PATENTplus</v>
      </c>
      <c r="Q2396" s="732" t="str">
        <f>'DICTIONARY-3'!$A$219</f>
        <v>Obudowa ziemna</v>
      </c>
      <c r="R2396" s="732" t="str">
        <f>CONCATENATE('DICTIONARY-3'!$A$135," ",'DICTIONARY-6'!$A$12," ",'DICTIONARY-2'!$A$7,"1,2-1,8m ",'DICTIONARY-5'!$A$7," ",LOWER('DICTIONARY-6'!$A$3)," ",'DICTIONARY-2'!$A$2,"100-150")</f>
        <v>PATENTplus-AT Obud. ziemn Rd1,2-1,8m dla zasuwa DN100-150</v>
      </c>
      <c r="S2396" s="733" t="s">
        <v>5569</v>
      </c>
      <c r="T2396" s="732" t="s">
        <v>5569</v>
      </c>
      <c r="U2396" s="734" t="s">
        <v>6026</v>
      </c>
      <c r="V2396" s="735" t="s">
        <v>5569</v>
      </c>
      <c r="W2396" s="736"/>
      <c r="X2396" s="737"/>
      <c r="Y2396" s="745" t="s">
        <v>5658</v>
      </c>
      <c r="Z2396" s="747"/>
      <c r="AA2396" s="747"/>
      <c r="AB2396" s="740"/>
      <c r="AC2396" s="741" t="s">
        <v>5569</v>
      </c>
      <c r="AD2396" s="741" t="s">
        <v>5569</v>
      </c>
      <c r="AE2396" s="742" t="s">
        <v>5569</v>
      </c>
      <c r="AF2396" s="743">
        <v>4.25</v>
      </c>
      <c r="AG2396" s="741" t="s">
        <v>5569</v>
      </c>
    </row>
    <row r="2397" spans="1:33" x14ac:dyDescent="0.25">
      <c r="A2397" s="854" t="s">
        <v>2271</v>
      </c>
      <c r="B2397" s="854" t="s">
        <v>4771</v>
      </c>
      <c r="C2397" s="836">
        <v>86</v>
      </c>
      <c r="D2397" s="836"/>
      <c r="E2397" s="836"/>
      <c r="F2397" s="836"/>
      <c r="G2397" s="496" t="s">
        <v>7846</v>
      </c>
      <c r="H2397" s="797" t="str">
        <f>VLOOKUP(G2397,SETTINGS!$B$7:$D$97,2,0)</f>
        <v>Telemax Niro/PATENTplus/VA-TELESKOP</v>
      </c>
      <c r="I2397" s="796">
        <f>VLOOKUP(G2397,SETTINGS!$B$7:$D$97,3,0)</f>
        <v>0</v>
      </c>
      <c r="J2397" s="670" t="str">
        <f>IFERROR(IF(CURRENCY.FORMAT_1=0,CONCATENATE(TEXT(FIXED(ROUND((C2397/EXC.RATE_1),CURRENCY.FORMAT_1),CURRENCY.FORMAT_1,1),"# ##0;-# ##0"),",-"),FIXED(ROUND((C2397/EXC.RATE_1),CURRENCY.FORMAT_1),CURRENCY.FORMAT_1,0)),'DICTIONARY-5'!$A$2)</f>
        <v>86,-</v>
      </c>
      <c r="K2397" s="670" t="str">
        <f>IF(EXC.RATE_2=0,"",IFERROR(IF(CURRENCY.FORMAT_2=0,CONCATENATE(TEXT(FIXED(ROUND(IF(EXC.RATE.SWITCH=1,C2397/EXC.RATE_2,C2397*EXC.RATE_2),CURRENCY.FORMAT_2),CURRENCY.FORMAT_2,1),"# ##0;-# ##0"),",-"),FIXED(ROUND(IF(EXC.RATE.SWITCH=1,C2397/EXC.RATE_2,C2397*EXC.RATE_2),CURRENCY.FORMAT_2),CURRENCY.FORMAT_2,0)),'DICTIONARY-5'!$A$2))</f>
        <v/>
      </c>
      <c r="L2397" s="670" t="str">
        <f>IFERROR(IF(CURRENCY.FORMAT_1=0,CONCATENATE(TEXT(FIXED(ROUND((C2397*(1-I2397)*(1-ADD.DISCOUNT)*(1+MAT.SURCHARGE)/EXC.RATE_1),CURRENCY.FORMAT_1),CURRENCY.FORMAT_1,1),"# ##0;-# ##0"),",-"),FIXED(ROUND((C2397*(1-I2397)*(1-ADD.DISCOUNT)*(1+MAT.SURCHARGE)/EXC.RATE_1),CURRENCY.FORMAT_1),CURRENCY.FORMAT_1,0)),'DICTIONARY-5'!$A$2)</f>
        <v>89,-</v>
      </c>
      <c r="M2397" s="670" t="str">
        <f>IF(EXC.RATE_2=0,"",IFERROR(IF(CURRENCY.FORMAT_2=0,CONCATENATE(TEXT(FIXED(ROUND(IF(EXC.RATE.SWITCH=1,C2397*(1-I2397)*(1-ADD.DISCOUNT)*(1+MAT.SURCHARGE)/EXC.RATE_2,C2397*(1-I2397)*(1-ADD.DISCOUNT)*(1+MAT.SURCHARGE)*EXC.RATE_2),CURRENCY.FORMAT_2),CURRENCY.FORMAT_2,1),"# ##0;-# ##0"),",-"),FIXED(ROUND(IF(EXC.RATE.SWITCH=1,C2397*(1-I2397)*(1-ADD.DISCOUNT)*(1+MAT.SURCHARGE)/EXC.RATE_2,C2397*(1-I2397)*(1-ADD.DISCOUNT)*(1+MAT.SURCHARGE)*EXC.RATE_2),CURRENCY.FORMAT_2),CURRENCY.FORMAT_2,0)),'DICTIONARY-5'!$A$2))</f>
        <v/>
      </c>
      <c r="N2397" s="537">
        <v>11</v>
      </c>
      <c r="O2397" s="537"/>
      <c r="P2397" s="732" t="str">
        <f>'DICTIONARY-3'!$A$134</f>
        <v>PATENTplus</v>
      </c>
      <c r="Q2397" s="732" t="str">
        <f>'DICTIONARY-3'!$A$219</f>
        <v>Obudowa ziemna</v>
      </c>
      <c r="R2397" s="732" t="str">
        <f>CONCATENATE('DICTIONARY-3'!$A$135," ",'DICTIONARY-6'!$A$12," ",'DICTIONARY-2'!$A$7,"1,2-1,8m ",'DICTIONARY-5'!$A$7," ",LOWER('DICTIONARY-6'!$A$3)," ",'DICTIONARY-2'!$A$2,"200")</f>
        <v>PATENTplus-AT Obud. ziemn Rd1,2-1,8m dla zasuwa DN200</v>
      </c>
      <c r="S2397" s="733" t="s">
        <v>5569</v>
      </c>
      <c r="T2397" s="732" t="s">
        <v>5569</v>
      </c>
      <c r="U2397" s="734" t="s">
        <v>5750</v>
      </c>
      <c r="V2397" s="735" t="s">
        <v>5569</v>
      </c>
      <c r="W2397" s="736"/>
      <c r="X2397" s="737"/>
      <c r="Y2397" s="745" t="s">
        <v>5658</v>
      </c>
      <c r="Z2397" s="747"/>
      <c r="AA2397" s="747"/>
      <c r="AB2397" s="740"/>
      <c r="AC2397" s="741" t="s">
        <v>5569</v>
      </c>
      <c r="AD2397" s="741" t="s">
        <v>5569</v>
      </c>
      <c r="AE2397" s="742" t="s">
        <v>5569</v>
      </c>
      <c r="AF2397" s="743">
        <v>5.5</v>
      </c>
      <c r="AG2397" s="741" t="s">
        <v>5569</v>
      </c>
    </row>
    <row r="2398" spans="1:33" x14ac:dyDescent="0.25">
      <c r="A2398" s="854" t="s">
        <v>2273</v>
      </c>
      <c r="B2398" s="854" t="s">
        <v>4772</v>
      </c>
      <c r="C2398" s="836">
        <v>89</v>
      </c>
      <c r="D2398" s="836"/>
      <c r="E2398" s="836"/>
      <c r="F2398" s="836"/>
      <c r="G2398" s="496" t="s">
        <v>7846</v>
      </c>
      <c r="H2398" s="797" t="str">
        <f>VLOOKUP(G2398,SETTINGS!$B$7:$D$97,2,0)</f>
        <v>Telemax Niro/PATENTplus/VA-TELESKOP</v>
      </c>
      <c r="I2398" s="796">
        <f>VLOOKUP(G2398,SETTINGS!$B$7:$D$97,3,0)</f>
        <v>0</v>
      </c>
      <c r="J2398" s="670" t="str">
        <f>IFERROR(IF(CURRENCY.FORMAT_1=0,CONCATENATE(TEXT(FIXED(ROUND((C2398/EXC.RATE_1),CURRENCY.FORMAT_1),CURRENCY.FORMAT_1,1),"# ##0;-# ##0"),",-"),FIXED(ROUND((C2398/EXC.RATE_1),CURRENCY.FORMAT_1),CURRENCY.FORMAT_1,0)),'DICTIONARY-5'!$A$2)</f>
        <v>89,-</v>
      </c>
      <c r="K2398" s="670" t="str">
        <f>IF(EXC.RATE_2=0,"",IFERROR(IF(CURRENCY.FORMAT_2=0,CONCATENATE(TEXT(FIXED(ROUND(IF(EXC.RATE.SWITCH=1,C2398/EXC.RATE_2,C2398*EXC.RATE_2),CURRENCY.FORMAT_2),CURRENCY.FORMAT_2,1),"# ##0;-# ##0"),",-"),FIXED(ROUND(IF(EXC.RATE.SWITCH=1,C2398/EXC.RATE_2,C2398*EXC.RATE_2),CURRENCY.FORMAT_2),CURRENCY.FORMAT_2,0)),'DICTIONARY-5'!$A$2))</f>
        <v/>
      </c>
      <c r="L2398" s="670" t="str">
        <f>IFERROR(IF(CURRENCY.FORMAT_1=0,CONCATENATE(TEXT(FIXED(ROUND((C2398*(1-I2398)*(1-ADD.DISCOUNT)*(1+MAT.SURCHARGE)/EXC.RATE_1),CURRENCY.FORMAT_1),CURRENCY.FORMAT_1,1),"# ##0;-# ##0"),",-"),FIXED(ROUND((C2398*(1-I2398)*(1-ADD.DISCOUNT)*(1+MAT.SURCHARGE)/EXC.RATE_1),CURRENCY.FORMAT_1),CURRENCY.FORMAT_1,0)),'DICTIONARY-5'!$A$2)</f>
        <v>92,-</v>
      </c>
      <c r="M2398" s="670" t="str">
        <f>IF(EXC.RATE_2=0,"",IFERROR(IF(CURRENCY.FORMAT_2=0,CONCATENATE(TEXT(FIXED(ROUND(IF(EXC.RATE.SWITCH=1,C2398*(1-I2398)*(1-ADD.DISCOUNT)*(1+MAT.SURCHARGE)/EXC.RATE_2,C2398*(1-I2398)*(1-ADD.DISCOUNT)*(1+MAT.SURCHARGE)*EXC.RATE_2),CURRENCY.FORMAT_2),CURRENCY.FORMAT_2,1),"# ##0;-# ##0"),",-"),FIXED(ROUND(IF(EXC.RATE.SWITCH=1,C2398*(1-I2398)*(1-ADD.DISCOUNT)*(1+MAT.SURCHARGE)/EXC.RATE_2,C2398*(1-I2398)*(1-ADD.DISCOUNT)*(1+MAT.SURCHARGE)*EXC.RATE_2),CURRENCY.FORMAT_2),CURRENCY.FORMAT_2,0)),'DICTIONARY-5'!$A$2))</f>
        <v/>
      </c>
      <c r="N2398" s="537">
        <v>11</v>
      </c>
      <c r="O2398" s="537"/>
      <c r="P2398" s="732" t="str">
        <f>'DICTIONARY-3'!$A$134</f>
        <v>PATENTplus</v>
      </c>
      <c r="Q2398" s="732" t="str">
        <f>'DICTIONARY-3'!$A$219</f>
        <v>Obudowa ziemna</v>
      </c>
      <c r="R2398" s="732" t="str">
        <f>CONCATENATE('DICTIONARY-3'!$A$135," ",'DICTIONARY-6'!$A$12," ",'DICTIONARY-2'!$A$7,"1,2-1,8m ",'DICTIONARY-5'!$A$7," ",LOWER('DICTIONARY-6'!$A$3)," ",'DICTIONARY-2'!$A$2,"250-350")</f>
        <v>PATENTplus-AT Obud. ziemn Rd1,2-1,8m dla zasuwa DN250-350</v>
      </c>
      <c r="S2398" s="733" t="s">
        <v>5569</v>
      </c>
      <c r="T2398" s="732" t="s">
        <v>5569</v>
      </c>
      <c r="U2398" s="734" t="s">
        <v>6027</v>
      </c>
      <c r="V2398" s="735" t="s">
        <v>5569</v>
      </c>
      <c r="W2398" s="736"/>
      <c r="X2398" s="737"/>
      <c r="Y2398" s="745" t="s">
        <v>5658</v>
      </c>
      <c r="Z2398" s="747"/>
      <c r="AA2398" s="747"/>
      <c r="AB2398" s="740"/>
      <c r="AC2398" s="741" t="s">
        <v>5569</v>
      </c>
      <c r="AD2398" s="741" t="s">
        <v>5569</v>
      </c>
      <c r="AE2398" s="742" t="s">
        <v>5569</v>
      </c>
      <c r="AF2398" s="743">
        <v>5.5</v>
      </c>
      <c r="AG2398" s="741" t="s">
        <v>5569</v>
      </c>
    </row>
    <row r="2399" spans="1:33" x14ac:dyDescent="0.25">
      <c r="A2399" s="854" t="s">
        <v>2266</v>
      </c>
      <c r="B2399" s="854" t="s">
        <v>4773</v>
      </c>
      <c r="C2399" s="836">
        <v>97</v>
      </c>
      <c r="D2399" s="836"/>
      <c r="E2399" s="836"/>
      <c r="F2399" s="836"/>
      <c r="G2399" s="496" t="s">
        <v>7846</v>
      </c>
      <c r="H2399" s="797" t="str">
        <f>VLOOKUP(G2399,SETTINGS!$B$7:$D$97,2,0)</f>
        <v>Telemax Niro/PATENTplus/VA-TELESKOP</v>
      </c>
      <c r="I2399" s="796">
        <f>VLOOKUP(G2399,SETTINGS!$B$7:$D$97,3,0)</f>
        <v>0</v>
      </c>
      <c r="J2399" s="670" t="str">
        <f>IFERROR(IF(CURRENCY.FORMAT_1=0,CONCATENATE(TEXT(FIXED(ROUND((C2399/EXC.RATE_1),CURRENCY.FORMAT_1),CURRENCY.FORMAT_1,1),"# ##0;-# ##0"),",-"),FIXED(ROUND((C2399/EXC.RATE_1),CURRENCY.FORMAT_1),CURRENCY.FORMAT_1,0)),'DICTIONARY-5'!$A$2)</f>
        <v>97,-</v>
      </c>
      <c r="K2399" s="670" t="str">
        <f>IF(EXC.RATE_2=0,"",IFERROR(IF(CURRENCY.FORMAT_2=0,CONCATENATE(TEXT(FIXED(ROUND(IF(EXC.RATE.SWITCH=1,C2399/EXC.RATE_2,C2399*EXC.RATE_2),CURRENCY.FORMAT_2),CURRENCY.FORMAT_2,1),"# ##0;-# ##0"),",-"),FIXED(ROUND(IF(EXC.RATE.SWITCH=1,C2399/EXC.RATE_2,C2399*EXC.RATE_2),CURRENCY.FORMAT_2),CURRENCY.FORMAT_2,0)),'DICTIONARY-5'!$A$2))</f>
        <v/>
      </c>
      <c r="L2399" s="670" t="str">
        <f>IFERROR(IF(CURRENCY.FORMAT_1=0,CONCATENATE(TEXT(FIXED(ROUND((C2399*(1-I2399)*(1-ADD.DISCOUNT)*(1+MAT.SURCHARGE)/EXC.RATE_1),CURRENCY.FORMAT_1),CURRENCY.FORMAT_1,1),"# ##0;-# ##0"),",-"),FIXED(ROUND((C2399*(1-I2399)*(1-ADD.DISCOUNT)*(1+MAT.SURCHARGE)/EXC.RATE_1),CURRENCY.FORMAT_1),CURRENCY.FORMAT_1,0)),'DICTIONARY-5'!$A$2)</f>
        <v>101,-</v>
      </c>
      <c r="M2399" s="670" t="str">
        <f>IF(EXC.RATE_2=0,"",IFERROR(IF(CURRENCY.FORMAT_2=0,CONCATENATE(TEXT(FIXED(ROUND(IF(EXC.RATE.SWITCH=1,C2399*(1-I2399)*(1-ADD.DISCOUNT)*(1+MAT.SURCHARGE)/EXC.RATE_2,C2399*(1-I2399)*(1-ADD.DISCOUNT)*(1+MAT.SURCHARGE)*EXC.RATE_2),CURRENCY.FORMAT_2),CURRENCY.FORMAT_2,1),"# ##0;-# ##0"),",-"),FIXED(ROUND(IF(EXC.RATE.SWITCH=1,C2399*(1-I2399)*(1-ADD.DISCOUNT)*(1+MAT.SURCHARGE)/EXC.RATE_2,C2399*(1-I2399)*(1-ADD.DISCOUNT)*(1+MAT.SURCHARGE)*EXC.RATE_2),CURRENCY.FORMAT_2),CURRENCY.FORMAT_2,0)),'DICTIONARY-5'!$A$2))</f>
        <v/>
      </c>
      <c r="N2399" s="537">
        <v>11</v>
      </c>
      <c r="O2399" s="537"/>
      <c r="P2399" s="732" t="str">
        <f>'DICTIONARY-3'!$A$134</f>
        <v>PATENTplus</v>
      </c>
      <c r="Q2399" s="732" t="str">
        <f>'DICTIONARY-3'!$A$219</f>
        <v>Obudowa ziemna</v>
      </c>
      <c r="R2399" s="732" t="str">
        <f>CONCATENATE('DICTIONARY-3'!$A$135," ",'DICTIONARY-6'!$A$12," ",'DICTIONARY-2'!$A$7,"1,7-2,7m ",'DICTIONARY-5'!$A$7," ",LOWER('DICTIONARY-6'!$A$3)," ",'DICTIONARY-2'!$A$2,"40-50")</f>
        <v>PATENTplus-AT Obud. ziemn Rd1,7-2,7m dla zasuwa DN40-50</v>
      </c>
      <c r="S2399" s="733" t="s">
        <v>5569</v>
      </c>
      <c r="T2399" s="732" t="s">
        <v>5569</v>
      </c>
      <c r="U2399" s="734" t="s">
        <v>6024</v>
      </c>
      <c r="V2399" s="735" t="s">
        <v>5569</v>
      </c>
      <c r="W2399" s="736"/>
      <c r="X2399" s="737"/>
      <c r="Y2399" s="745" t="s">
        <v>5659</v>
      </c>
      <c r="Z2399" s="747"/>
      <c r="AA2399" s="747"/>
      <c r="AB2399" s="740"/>
      <c r="AC2399" s="741" t="s">
        <v>5569</v>
      </c>
      <c r="AD2399" s="741" t="s">
        <v>5569</v>
      </c>
      <c r="AE2399" s="742" t="s">
        <v>5569</v>
      </c>
      <c r="AF2399" s="743">
        <v>6.72</v>
      </c>
      <c r="AG2399" s="741" t="s">
        <v>5569</v>
      </c>
    </row>
    <row r="2400" spans="1:33" x14ac:dyDescent="0.25">
      <c r="A2400" s="854" t="s">
        <v>2268</v>
      </c>
      <c r="B2400" s="854" t="s">
        <v>4774</v>
      </c>
      <c r="C2400" s="836">
        <v>95</v>
      </c>
      <c r="D2400" s="836"/>
      <c r="E2400" s="836"/>
      <c r="F2400" s="836"/>
      <c r="G2400" s="496" t="s">
        <v>7846</v>
      </c>
      <c r="H2400" s="797" t="str">
        <f>VLOOKUP(G2400,SETTINGS!$B$7:$D$97,2,0)</f>
        <v>Telemax Niro/PATENTplus/VA-TELESKOP</v>
      </c>
      <c r="I2400" s="796">
        <f>VLOOKUP(G2400,SETTINGS!$B$7:$D$97,3,0)</f>
        <v>0</v>
      </c>
      <c r="J2400" s="670" t="str">
        <f>IFERROR(IF(CURRENCY.FORMAT_1=0,CONCATENATE(TEXT(FIXED(ROUND((C2400/EXC.RATE_1),CURRENCY.FORMAT_1),CURRENCY.FORMAT_1,1),"# ##0;-# ##0"),",-"),FIXED(ROUND((C2400/EXC.RATE_1),CURRENCY.FORMAT_1),CURRENCY.FORMAT_1,0)),'DICTIONARY-5'!$A$2)</f>
        <v>95,-</v>
      </c>
      <c r="K2400" s="670" t="str">
        <f>IF(EXC.RATE_2=0,"",IFERROR(IF(CURRENCY.FORMAT_2=0,CONCATENATE(TEXT(FIXED(ROUND(IF(EXC.RATE.SWITCH=1,C2400/EXC.RATE_2,C2400*EXC.RATE_2),CURRENCY.FORMAT_2),CURRENCY.FORMAT_2,1),"# ##0;-# ##0"),",-"),FIXED(ROUND(IF(EXC.RATE.SWITCH=1,C2400/EXC.RATE_2,C2400*EXC.RATE_2),CURRENCY.FORMAT_2),CURRENCY.FORMAT_2,0)),'DICTIONARY-5'!$A$2))</f>
        <v/>
      </c>
      <c r="L2400" s="670" t="str">
        <f>IFERROR(IF(CURRENCY.FORMAT_1=0,CONCATENATE(TEXT(FIXED(ROUND((C2400*(1-I2400)*(1-ADD.DISCOUNT)*(1+MAT.SURCHARGE)/EXC.RATE_1),CURRENCY.FORMAT_1),CURRENCY.FORMAT_1,1),"# ##0;-# ##0"),",-"),FIXED(ROUND((C2400*(1-I2400)*(1-ADD.DISCOUNT)*(1+MAT.SURCHARGE)/EXC.RATE_1),CURRENCY.FORMAT_1),CURRENCY.FORMAT_1,0)),'DICTIONARY-5'!$A$2)</f>
        <v>99,-</v>
      </c>
      <c r="M2400" s="670" t="str">
        <f>IF(EXC.RATE_2=0,"",IFERROR(IF(CURRENCY.FORMAT_2=0,CONCATENATE(TEXT(FIXED(ROUND(IF(EXC.RATE.SWITCH=1,C2400*(1-I2400)*(1-ADD.DISCOUNT)*(1+MAT.SURCHARGE)/EXC.RATE_2,C2400*(1-I2400)*(1-ADD.DISCOUNT)*(1+MAT.SURCHARGE)*EXC.RATE_2),CURRENCY.FORMAT_2),CURRENCY.FORMAT_2,1),"# ##0;-# ##0"),",-"),FIXED(ROUND(IF(EXC.RATE.SWITCH=1,C2400*(1-I2400)*(1-ADD.DISCOUNT)*(1+MAT.SURCHARGE)/EXC.RATE_2,C2400*(1-I2400)*(1-ADD.DISCOUNT)*(1+MAT.SURCHARGE)*EXC.RATE_2),CURRENCY.FORMAT_2),CURRENCY.FORMAT_2,0)),'DICTIONARY-5'!$A$2))</f>
        <v/>
      </c>
      <c r="N2400" s="537">
        <v>11</v>
      </c>
      <c r="O2400" s="537"/>
      <c r="P2400" s="732" t="str">
        <f>'DICTIONARY-3'!$A$134</f>
        <v>PATENTplus</v>
      </c>
      <c r="Q2400" s="732" t="str">
        <f>'DICTIONARY-3'!$A$219</f>
        <v>Obudowa ziemna</v>
      </c>
      <c r="R2400" s="732" t="str">
        <f>CONCATENATE('DICTIONARY-3'!$A$135," ",'DICTIONARY-6'!$A$12," ",'DICTIONARY-2'!$A$7,"1,7-2,7m ",'DICTIONARY-5'!$A$7," ",LOWER('DICTIONARY-6'!$A$3)," ",'DICTIONARY-2'!$A$2,"65-80")</f>
        <v>PATENTplus-AT Obud. ziemn Rd1,7-2,7m dla zasuwa DN65-80</v>
      </c>
      <c r="S2400" s="733" t="s">
        <v>5569</v>
      </c>
      <c r="T2400" s="732" t="s">
        <v>5569</v>
      </c>
      <c r="U2400" s="734" t="s">
        <v>6025</v>
      </c>
      <c r="V2400" s="735" t="s">
        <v>5569</v>
      </c>
      <c r="W2400" s="736"/>
      <c r="X2400" s="737"/>
      <c r="Y2400" s="745" t="s">
        <v>5659</v>
      </c>
      <c r="Z2400" s="747"/>
      <c r="AA2400" s="747"/>
      <c r="AB2400" s="740"/>
      <c r="AC2400" s="741" t="s">
        <v>5569</v>
      </c>
      <c r="AD2400" s="741" t="s">
        <v>5569</v>
      </c>
      <c r="AE2400" s="742" t="s">
        <v>5569</v>
      </c>
      <c r="AF2400" s="743">
        <v>6.5</v>
      </c>
      <c r="AG2400" s="741" t="s">
        <v>5569</v>
      </c>
    </row>
    <row r="2401" spans="1:33" x14ac:dyDescent="0.25">
      <c r="A2401" s="854" t="s">
        <v>2270</v>
      </c>
      <c r="B2401" s="854" t="s">
        <v>4775</v>
      </c>
      <c r="C2401" s="836">
        <v>102</v>
      </c>
      <c r="D2401" s="836"/>
      <c r="E2401" s="836"/>
      <c r="F2401" s="836"/>
      <c r="G2401" s="496" t="s">
        <v>7846</v>
      </c>
      <c r="H2401" s="797" t="str">
        <f>VLOOKUP(G2401,SETTINGS!$B$7:$D$97,2,0)</f>
        <v>Telemax Niro/PATENTplus/VA-TELESKOP</v>
      </c>
      <c r="I2401" s="796">
        <f>VLOOKUP(G2401,SETTINGS!$B$7:$D$97,3,0)</f>
        <v>0</v>
      </c>
      <c r="J2401" s="670" t="str">
        <f>IFERROR(IF(CURRENCY.FORMAT_1=0,CONCATENATE(TEXT(FIXED(ROUND((C2401/EXC.RATE_1),CURRENCY.FORMAT_1),CURRENCY.FORMAT_1,1),"# ##0;-# ##0"),",-"),FIXED(ROUND((C2401/EXC.RATE_1),CURRENCY.FORMAT_1),CURRENCY.FORMAT_1,0)),'DICTIONARY-5'!$A$2)</f>
        <v>102,-</v>
      </c>
      <c r="K2401" s="670" t="str">
        <f>IF(EXC.RATE_2=0,"",IFERROR(IF(CURRENCY.FORMAT_2=0,CONCATENATE(TEXT(FIXED(ROUND(IF(EXC.RATE.SWITCH=1,C2401/EXC.RATE_2,C2401*EXC.RATE_2),CURRENCY.FORMAT_2),CURRENCY.FORMAT_2,1),"# ##0;-# ##0"),",-"),FIXED(ROUND(IF(EXC.RATE.SWITCH=1,C2401/EXC.RATE_2,C2401*EXC.RATE_2),CURRENCY.FORMAT_2),CURRENCY.FORMAT_2,0)),'DICTIONARY-5'!$A$2))</f>
        <v/>
      </c>
      <c r="L2401" s="670" t="str">
        <f>IFERROR(IF(CURRENCY.FORMAT_1=0,CONCATENATE(TEXT(FIXED(ROUND((C2401*(1-I2401)*(1-ADD.DISCOUNT)*(1+MAT.SURCHARGE)/EXC.RATE_1),CURRENCY.FORMAT_1),CURRENCY.FORMAT_1,1),"# ##0;-# ##0"),",-"),FIXED(ROUND((C2401*(1-I2401)*(1-ADD.DISCOUNT)*(1+MAT.SURCHARGE)/EXC.RATE_1),CURRENCY.FORMAT_1),CURRENCY.FORMAT_1,0)),'DICTIONARY-5'!$A$2)</f>
        <v>106,-</v>
      </c>
      <c r="M2401" s="670" t="str">
        <f>IF(EXC.RATE_2=0,"",IFERROR(IF(CURRENCY.FORMAT_2=0,CONCATENATE(TEXT(FIXED(ROUND(IF(EXC.RATE.SWITCH=1,C2401*(1-I2401)*(1-ADD.DISCOUNT)*(1+MAT.SURCHARGE)/EXC.RATE_2,C2401*(1-I2401)*(1-ADD.DISCOUNT)*(1+MAT.SURCHARGE)*EXC.RATE_2),CURRENCY.FORMAT_2),CURRENCY.FORMAT_2,1),"# ##0;-# ##0"),",-"),FIXED(ROUND(IF(EXC.RATE.SWITCH=1,C2401*(1-I2401)*(1-ADD.DISCOUNT)*(1+MAT.SURCHARGE)/EXC.RATE_2,C2401*(1-I2401)*(1-ADD.DISCOUNT)*(1+MAT.SURCHARGE)*EXC.RATE_2),CURRENCY.FORMAT_2),CURRENCY.FORMAT_2,0)),'DICTIONARY-5'!$A$2))</f>
        <v/>
      </c>
      <c r="N2401" s="537">
        <v>11</v>
      </c>
      <c r="O2401" s="537"/>
      <c r="P2401" s="732" t="str">
        <f>'DICTIONARY-3'!$A$134</f>
        <v>PATENTplus</v>
      </c>
      <c r="Q2401" s="732" t="str">
        <f>'DICTIONARY-3'!$A$219</f>
        <v>Obudowa ziemna</v>
      </c>
      <c r="R2401" s="732" t="str">
        <f>CONCATENATE('DICTIONARY-3'!$A$135," ",'DICTIONARY-6'!$A$12," ",'DICTIONARY-2'!$A$7,"1,7-2,7m ",'DICTIONARY-5'!$A$7," ",LOWER('DICTIONARY-6'!$A$3)," ",'DICTIONARY-2'!$A$2,"100-150")</f>
        <v>PATENTplus-AT Obud. ziemn Rd1,7-2,7m dla zasuwa DN100-150</v>
      </c>
      <c r="S2401" s="733" t="s">
        <v>5569</v>
      </c>
      <c r="T2401" s="732" t="s">
        <v>5569</v>
      </c>
      <c r="U2401" s="734" t="s">
        <v>6026</v>
      </c>
      <c r="V2401" s="735" t="s">
        <v>5569</v>
      </c>
      <c r="W2401" s="736"/>
      <c r="X2401" s="737"/>
      <c r="Y2401" s="745" t="s">
        <v>5659</v>
      </c>
      <c r="Z2401" s="747"/>
      <c r="AA2401" s="747"/>
      <c r="AB2401" s="740"/>
      <c r="AC2401" s="741" t="s">
        <v>5569</v>
      </c>
      <c r="AD2401" s="741" t="s">
        <v>5569</v>
      </c>
      <c r="AE2401" s="742" t="s">
        <v>5569</v>
      </c>
      <c r="AF2401" s="743">
        <v>6.5</v>
      </c>
      <c r="AG2401" s="741" t="s">
        <v>5569</v>
      </c>
    </row>
    <row r="2402" spans="1:33" x14ac:dyDescent="0.25">
      <c r="A2402" s="854" t="s">
        <v>2272</v>
      </c>
      <c r="B2402" s="854" t="s">
        <v>4776</v>
      </c>
      <c r="C2402" s="836">
        <v>116</v>
      </c>
      <c r="D2402" s="836"/>
      <c r="E2402" s="836"/>
      <c r="F2402" s="836"/>
      <c r="G2402" s="496" t="s">
        <v>7846</v>
      </c>
      <c r="H2402" s="797" t="str">
        <f>VLOOKUP(G2402,SETTINGS!$B$7:$D$97,2,0)</f>
        <v>Telemax Niro/PATENTplus/VA-TELESKOP</v>
      </c>
      <c r="I2402" s="796">
        <f>VLOOKUP(G2402,SETTINGS!$B$7:$D$97,3,0)</f>
        <v>0</v>
      </c>
      <c r="J2402" s="670" t="str">
        <f>IFERROR(IF(CURRENCY.FORMAT_1=0,CONCATENATE(TEXT(FIXED(ROUND((C2402/EXC.RATE_1),CURRENCY.FORMAT_1),CURRENCY.FORMAT_1,1),"# ##0;-# ##0"),",-"),FIXED(ROUND((C2402/EXC.RATE_1),CURRENCY.FORMAT_1),CURRENCY.FORMAT_1,0)),'DICTIONARY-5'!$A$2)</f>
        <v>116,-</v>
      </c>
      <c r="K2402" s="670" t="str">
        <f>IF(EXC.RATE_2=0,"",IFERROR(IF(CURRENCY.FORMAT_2=0,CONCATENATE(TEXT(FIXED(ROUND(IF(EXC.RATE.SWITCH=1,C2402/EXC.RATE_2,C2402*EXC.RATE_2),CURRENCY.FORMAT_2),CURRENCY.FORMAT_2,1),"# ##0;-# ##0"),",-"),FIXED(ROUND(IF(EXC.RATE.SWITCH=1,C2402/EXC.RATE_2,C2402*EXC.RATE_2),CURRENCY.FORMAT_2),CURRENCY.FORMAT_2,0)),'DICTIONARY-5'!$A$2))</f>
        <v/>
      </c>
      <c r="L2402" s="670" t="str">
        <f>IFERROR(IF(CURRENCY.FORMAT_1=0,CONCATENATE(TEXT(FIXED(ROUND((C2402*(1-I2402)*(1-ADD.DISCOUNT)*(1+MAT.SURCHARGE)/EXC.RATE_1),CURRENCY.FORMAT_1),CURRENCY.FORMAT_1,1),"# ##0;-# ##0"),",-"),FIXED(ROUND((C2402*(1-I2402)*(1-ADD.DISCOUNT)*(1+MAT.SURCHARGE)/EXC.RATE_1),CURRENCY.FORMAT_1),CURRENCY.FORMAT_1,0)),'DICTIONARY-5'!$A$2)</f>
        <v>121,-</v>
      </c>
      <c r="M2402" s="670" t="str">
        <f>IF(EXC.RATE_2=0,"",IFERROR(IF(CURRENCY.FORMAT_2=0,CONCATENATE(TEXT(FIXED(ROUND(IF(EXC.RATE.SWITCH=1,C2402*(1-I2402)*(1-ADD.DISCOUNT)*(1+MAT.SURCHARGE)/EXC.RATE_2,C2402*(1-I2402)*(1-ADD.DISCOUNT)*(1+MAT.SURCHARGE)*EXC.RATE_2),CURRENCY.FORMAT_2),CURRENCY.FORMAT_2,1),"# ##0;-# ##0"),",-"),FIXED(ROUND(IF(EXC.RATE.SWITCH=1,C2402*(1-I2402)*(1-ADD.DISCOUNT)*(1+MAT.SURCHARGE)/EXC.RATE_2,C2402*(1-I2402)*(1-ADD.DISCOUNT)*(1+MAT.SURCHARGE)*EXC.RATE_2),CURRENCY.FORMAT_2),CURRENCY.FORMAT_2,0)),'DICTIONARY-5'!$A$2))</f>
        <v/>
      </c>
      <c r="N2402" s="537">
        <v>11</v>
      </c>
      <c r="O2402" s="537"/>
      <c r="P2402" s="732" t="str">
        <f>'DICTIONARY-3'!$A$134</f>
        <v>PATENTplus</v>
      </c>
      <c r="Q2402" s="732" t="str">
        <f>'DICTIONARY-3'!$A$219</f>
        <v>Obudowa ziemna</v>
      </c>
      <c r="R2402" s="732" t="str">
        <f>CONCATENATE('DICTIONARY-3'!$A$135," ",'DICTIONARY-6'!$A$12," ",'DICTIONARY-2'!$A$7,"1,7-2,7m ",'DICTIONARY-5'!$A$7," ",LOWER('DICTIONARY-6'!$A$3)," ",'DICTIONARY-2'!$A$2,"200")</f>
        <v>PATENTplus-AT Obud. ziemn Rd1,7-2,7m dla zasuwa DN200</v>
      </c>
      <c r="S2402" s="733" t="s">
        <v>5569</v>
      </c>
      <c r="T2402" s="732" t="s">
        <v>5569</v>
      </c>
      <c r="U2402" s="734" t="s">
        <v>5750</v>
      </c>
      <c r="V2402" s="735"/>
      <c r="W2402" s="736"/>
      <c r="X2402" s="737"/>
      <c r="Y2402" s="745" t="s">
        <v>5659</v>
      </c>
      <c r="Z2402" s="747"/>
      <c r="AA2402" s="747"/>
      <c r="AB2402" s="740"/>
      <c r="AC2402" s="741" t="s">
        <v>5569</v>
      </c>
      <c r="AD2402" s="741" t="s">
        <v>5569</v>
      </c>
      <c r="AE2402" s="742" t="s">
        <v>5569</v>
      </c>
      <c r="AF2402" s="743">
        <v>9.4499999999999993</v>
      </c>
      <c r="AG2402" s="741" t="s">
        <v>5569</v>
      </c>
    </row>
    <row r="2403" spans="1:33" x14ac:dyDescent="0.25">
      <c r="A2403" s="854" t="s">
        <v>2274</v>
      </c>
      <c r="B2403" s="854" t="s">
        <v>4777</v>
      </c>
      <c r="C2403" s="836">
        <v>116</v>
      </c>
      <c r="D2403" s="836"/>
      <c r="E2403" s="836"/>
      <c r="F2403" s="836"/>
      <c r="G2403" s="496" t="s">
        <v>7846</v>
      </c>
      <c r="H2403" s="797" t="str">
        <f>VLOOKUP(G2403,SETTINGS!$B$7:$D$97,2,0)</f>
        <v>Telemax Niro/PATENTplus/VA-TELESKOP</v>
      </c>
      <c r="I2403" s="796">
        <f>VLOOKUP(G2403,SETTINGS!$B$7:$D$97,3,0)</f>
        <v>0</v>
      </c>
      <c r="J2403" s="670" t="str">
        <f>IFERROR(IF(CURRENCY.FORMAT_1=0,CONCATENATE(TEXT(FIXED(ROUND((C2403/EXC.RATE_1),CURRENCY.FORMAT_1),CURRENCY.FORMAT_1,1),"# ##0;-# ##0"),",-"),FIXED(ROUND((C2403/EXC.RATE_1),CURRENCY.FORMAT_1),CURRENCY.FORMAT_1,0)),'DICTIONARY-5'!$A$2)</f>
        <v>116,-</v>
      </c>
      <c r="K2403" s="670" t="str">
        <f>IF(EXC.RATE_2=0,"",IFERROR(IF(CURRENCY.FORMAT_2=0,CONCATENATE(TEXT(FIXED(ROUND(IF(EXC.RATE.SWITCH=1,C2403/EXC.RATE_2,C2403*EXC.RATE_2),CURRENCY.FORMAT_2),CURRENCY.FORMAT_2,1),"# ##0;-# ##0"),",-"),FIXED(ROUND(IF(EXC.RATE.SWITCH=1,C2403/EXC.RATE_2,C2403*EXC.RATE_2),CURRENCY.FORMAT_2),CURRENCY.FORMAT_2,0)),'DICTIONARY-5'!$A$2))</f>
        <v/>
      </c>
      <c r="L2403" s="670" t="str">
        <f>IFERROR(IF(CURRENCY.FORMAT_1=0,CONCATENATE(TEXT(FIXED(ROUND((C2403*(1-I2403)*(1-ADD.DISCOUNT)*(1+MAT.SURCHARGE)/EXC.RATE_1),CURRENCY.FORMAT_1),CURRENCY.FORMAT_1,1),"# ##0;-# ##0"),",-"),FIXED(ROUND((C2403*(1-I2403)*(1-ADD.DISCOUNT)*(1+MAT.SURCHARGE)/EXC.RATE_1),CURRENCY.FORMAT_1),CURRENCY.FORMAT_1,0)),'DICTIONARY-5'!$A$2)</f>
        <v>121,-</v>
      </c>
      <c r="M2403" s="670" t="str">
        <f>IF(EXC.RATE_2=0,"",IFERROR(IF(CURRENCY.FORMAT_2=0,CONCATENATE(TEXT(FIXED(ROUND(IF(EXC.RATE.SWITCH=1,C2403*(1-I2403)*(1-ADD.DISCOUNT)*(1+MAT.SURCHARGE)/EXC.RATE_2,C2403*(1-I2403)*(1-ADD.DISCOUNT)*(1+MAT.SURCHARGE)*EXC.RATE_2),CURRENCY.FORMAT_2),CURRENCY.FORMAT_2,1),"# ##0;-# ##0"),",-"),FIXED(ROUND(IF(EXC.RATE.SWITCH=1,C2403*(1-I2403)*(1-ADD.DISCOUNT)*(1+MAT.SURCHARGE)/EXC.RATE_2,C2403*(1-I2403)*(1-ADD.DISCOUNT)*(1+MAT.SURCHARGE)*EXC.RATE_2),CURRENCY.FORMAT_2),CURRENCY.FORMAT_2,0)),'DICTIONARY-5'!$A$2))</f>
        <v/>
      </c>
      <c r="N2403" s="537">
        <v>11</v>
      </c>
      <c r="O2403" s="537"/>
      <c r="P2403" s="732" t="str">
        <f>'DICTIONARY-3'!$A$134</f>
        <v>PATENTplus</v>
      </c>
      <c r="Q2403" s="732" t="str">
        <f>'DICTIONARY-3'!$A$219</f>
        <v>Obudowa ziemna</v>
      </c>
      <c r="R2403" s="732" t="str">
        <f>CONCATENATE('DICTIONARY-3'!$A$135," ",'DICTIONARY-6'!$A$12," ",'DICTIONARY-2'!$A$7,"1,7-2,7m ",'DICTIONARY-5'!$A$7," ",LOWER('DICTIONARY-6'!$A$3)," ",'DICTIONARY-2'!$A$2,"250-350")</f>
        <v>PATENTplus-AT Obud. ziemn Rd1,7-2,7m dla zasuwa DN250-350</v>
      </c>
      <c r="S2403" s="733" t="s">
        <v>5569</v>
      </c>
      <c r="T2403" s="732" t="s">
        <v>5569</v>
      </c>
      <c r="U2403" s="734" t="s">
        <v>6027</v>
      </c>
      <c r="V2403" s="735"/>
      <c r="W2403" s="736"/>
      <c r="X2403" s="737"/>
      <c r="Y2403" s="745" t="s">
        <v>5659</v>
      </c>
      <c r="Z2403" s="747"/>
      <c r="AA2403" s="747"/>
      <c r="AB2403" s="740"/>
      <c r="AC2403" s="741"/>
      <c r="AD2403" s="741" t="s">
        <v>5569</v>
      </c>
      <c r="AE2403" s="742" t="s">
        <v>5569</v>
      </c>
      <c r="AF2403" s="743">
        <v>9</v>
      </c>
      <c r="AG2403" s="741" t="s">
        <v>5569</v>
      </c>
    </row>
    <row r="2404" spans="1:33" x14ac:dyDescent="0.25">
      <c r="A2404" s="854" t="s">
        <v>2276</v>
      </c>
      <c r="B2404" s="854" t="s">
        <v>4715</v>
      </c>
      <c r="C2404" s="836">
        <v>176</v>
      </c>
      <c r="D2404" s="836"/>
      <c r="E2404" s="836"/>
      <c r="F2404" s="836"/>
      <c r="G2404" s="496" t="s">
        <v>7846</v>
      </c>
      <c r="H2404" s="797" t="str">
        <f>VLOOKUP(G2404,SETTINGS!$B$7:$D$97,2,0)</f>
        <v>Telemax Niro/PATENTplus/VA-TELESKOP</v>
      </c>
      <c r="I2404" s="796">
        <f>VLOOKUP(G2404,SETTINGS!$B$7:$D$97,3,0)</f>
        <v>0</v>
      </c>
      <c r="J2404" s="670" t="str">
        <f>IFERROR(IF(CURRENCY.FORMAT_1=0,CONCATENATE(TEXT(FIXED(ROUND((C2404/EXC.RATE_1),CURRENCY.FORMAT_1),CURRENCY.FORMAT_1,1),"# ##0;-# ##0"),",-"),FIXED(ROUND((C2404/EXC.RATE_1),CURRENCY.FORMAT_1),CURRENCY.FORMAT_1,0)),'DICTIONARY-5'!$A$2)</f>
        <v>176,-</v>
      </c>
      <c r="K2404" s="670" t="str">
        <f>IF(EXC.RATE_2=0,"",IFERROR(IF(CURRENCY.FORMAT_2=0,CONCATENATE(TEXT(FIXED(ROUND(IF(EXC.RATE.SWITCH=1,C2404/EXC.RATE_2,C2404*EXC.RATE_2),CURRENCY.FORMAT_2),CURRENCY.FORMAT_2,1),"# ##0;-# ##0"),",-"),FIXED(ROUND(IF(EXC.RATE.SWITCH=1,C2404/EXC.RATE_2,C2404*EXC.RATE_2),CURRENCY.FORMAT_2),CURRENCY.FORMAT_2,0)),'DICTIONARY-5'!$A$2))</f>
        <v/>
      </c>
      <c r="L2404" s="670" t="str">
        <f>IFERROR(IF(CURRENCY.FORMAT_1=0,CONCATENATE(TEXT(FIXED(ROUND((C2404*(1-I2404)*(1-ADD.DISCOUNT)*(1+MAT.SURCHARGE)/EXC.RATE_1),CURRENCY.FORMAT_1),CURRENCY.FORMAT_1,1),"# ##0;-# ##0"),",-"),FIXED(ROUND((C2404*(1-I2404)*(1-ADD.DISCOUNT)*(1+MAT.SURCHARGE)/EXC.RATE_1),CURRENCY.FORMAT_1),CURRENCY.FORMAT_1,0)),'DICTIONARY-5'!$A$2)</f>
        <v>183,-</v>
      </c>
      <c r="M2404" s="670" t="str">
        <f>IF(EXC.RATE_2=0,"",IFERROR(IF(CURRENCY.FORMAT_2=0,CONCATENATE(TEXT(FIXED(ROUND(IF(EXC.RATE.SWITCH=1,C2404*(1-I2404)*(1-ADD.DISCOUNT)*(1+MAT.SURCHARGE)/EXC.RATE_2,C2404*(1-I2404)*(1-ADD.DISCOUNT)*(1+MAT.SURCHARGE)*EXC.RATE_2),CURRENCY.FORMAT_2),CURRENCY.FORMAT_2,1),"# ##0;-# ##0"),",-"),FIXED(ROUND(IF(EXC.RATE.SWITCH=1,C2404*(1-I2404)*(1-ADD.DISCOUNT)*(1+MAT.SURCHARGE)/EXC.RATE_2,C2404*(1-I2404)*(1-ADD.DISCOUNT)*(1+MAT.SURCHARGE)*EXC.RATE_2),CURRENCY.FORMAT_2),CURRENCY.FORMAT_2,0)),'DICTIONARY-5'!$A$2))</f>
        <v/>
      </c>
      <c r="N2404" s="537">
        <v>11</v>
      </c>
      <c r="O2404" s="537"/>
      <c r="P2404" s="732" t="str">
        <f>'DICTIONARY-3'!$A$134</f>
        <v>PATENTplus</v>
      </c>
      <c r="Q2404" s="732" t="str">
        <f>'DICTIONARY-3'!$A$219</f>
        <v>Obudowa ziemna</v>
      </c>
      <c r="R2404" s="732" t="str">
        <f>CONCATENATE('DICTIONARY-3'!$A$135," ",'DICTIONARY-6'!$A$12," ",'DICTIONARY-2'!$A$7,"1,5-1,8m ",'DICTIONARY-5'!$A$7," ",LOWER('DICTIONARY-6'!$A$3)," ",'DICTIONARY-2'!$A$2,"400-500")</f>
        <v>PATENTplus-AT Obud. ziemn Rd1,5-1,8m dla zasuwa DN400-500</v>
      </c>
      <c r="S2404" s="733" t="s">
        <v>5569</v>
      </c>
      <c r="T2404" s="732" t="s">
        <v>5569</v>
      </c>
      <c r="U2404" s="734" t="s">
        <v>6028</v>
      </c>
      <c r="V2404" s="735"/>
      <c r="W2404" s="736"/>
      <c r="X2404" s="737"/>
      <c r="Y2404" s="745" t="s">
        <v>5660</v>
      </c>
      <c r="Z2404" s="747"/>
      <c r="AA2404" s="747"/>
      <c r="AB2404" s="740"/>
      <c r="AC2404" s="741"/>
      <c r="AD2404" s="741" t="s">
        <v>5569</v>
      </c>
      <c r="AE2404" s="742" t="s">
        <v>5569</v>
      </c>
      <c r="AF2404" s="743">
        <v>4.5</v>
      </c>
      <c r="AG2404" s="741" t="s">
        <v>5569</v>
      </c>
    </row>
    <row r="2405" spans="1:33" x14ac:dyDescent="0.25">
      <c r="A2405" s="854" t="s">
        <v>2278</v>
      </c>
      <c r="B2405" s="854" t="s">
        <v>4778</v>
      </c>
      <c r="C2405" s="836">
        <v>204</v>
      </c>
      <c r="D2405" s="836"/>
      <c r="E2405" s="836"/>
      <c r="F2405" s="836"/>
      <c r="G2405" s="496" t="s">
        <v>7846</v>
      </c>
      <c r="H2405" s="797" t="str">
        <f>VLOOKUP(G2405,SETTINGS!$B$7:$D$97,2,0)</f>
        <v>Telemax Niro/PATENTplus/VA-TELESKOP</v>
      </c>
      <c r="I2405" s="796">
        <f>VLOOKUP(G2405,SETTINGS!$B$7:$D$97,3,0)</f>
        <v>0</v>
      </c>
      <c r="J2405" s="670" t="str">
        <f>IFERROR(IF(CURRENCY.FORMAT_1=0,CONCATENATE(TEXT(FIXED(ROUND((C2405/EXC.RATE_1),CURRENCY.FORMAT_1),CURRENCY.FORMAT_1,1),"# ##0;-# ##0"),",-"),FIXED(ROUND((C2405/EXC.RATE_1),CURRENCY.FORMAT_1),CURRENCY.FORMAT_1,0)),'DICTIONARY-5'!$A$2)</f>
        <v>204,-</v>
      </c>
      <c r="K2405" s="670" t="str">
        <f>IF(EXC.RATE_2=0,"",IFERROR(IF(CURRENCY.FORMAT_2=0,CONCATENATE(TEXT(FIXED(ROUND(IF(EXC.RATE.SWITCH=1,C2405/EXC.RATE_2,C2405*EXC.RATE_2),CURRENCY.FORMAT_2),CURRENCY.FORMAT_2,1),"# ##0;-# ##0"),",-"),FIXED(ROUND(IF(EXC.RATE.SWITCH=1,C2405/EXC.RATE_2,C2405*EXC.RATE_2),CURRENCY.FORMAT_2),CURRENCY.FORMAT_2,0)),'DICTIONARY-5'!$A$2))</f>
        <v/>
      </c>
      <c r="L2405" s="670" t="str">
        <f>IFERROR(IF(CURRENCY.FORMAT_1=0,CONCATENATE(TEXT(FIXED(ROUND((C2405*(1-I2405)*(1-ADD.DISCOUNT)*(1+MAT.SURCHARGE)/EXC.RATE_1),CURRENCY.FORMAT_1),CURRENCY.FORMAT_1,1),"# ##0;-# ##0"),",-"),FIXED(ROUND((C2405*(1-I2405)*(1-ADD.DISCOUNT)*(1+MAT.SURCHARGE)/EXC.RATE_1),CURRENCY.FORMAT_1),CURRENCY.FORMAT_1,0)),'DICTIONARY-5'!$A$2)</f>
        <v>212,-</v>
      </c>
      <c r="M2405" s="670" t="str">
        <f>IF(EXC.RATE_2=0,"",IFERROR(IF(CURRENCY.FORMAT_2=0,CONCATENATE(TEXT(FIXED(ROUND(IF(EXC.RATE.SWITCH=1,C2405*(1-I2405)*(1-ADD.DISCOUNT)*(1+MAT.SURCHARGE)/EXC.RATE_2,C2405*(1-I2405)*(1-ADD.DISCOUNT)*(1+MAT.SURCHARGE)*EXC.RATE_2),CURRENCY.FORMAT_2),CURRENCY.FORMAT_2,1),"# ##0;-# ##0"),",-"),FIXED(ROUND(IF(EXC.RATE.SWITCH=1,C2405*(1-I2405)*(1-ADD.DISCOUNT)*(1+MAT.SURCHARGE)/EXC.RATE_2,C2405*(1-I2405)*(1-ADD.DISCOUNT)*(1+MAT.SURCHARGE)*EXC.RATE_2),CURRENCY.FORMAT_2),CURRENCY.FORMAT_2,0)),'DICTIONARY-5'!$A$2))</f>
        <v/>
      </c>
      <c r="N2405" s="537">
        <v>11</v>
      </c>
      <c r="O2405" s="537"/>
      <c r="P2405" s="732" t="str">
        <f>'DICTIONARY-3'!$A$134</f>
        <v>PATENTplus</v>
      </c>
      <c r="Q2405" s="732" t="str">
        <f>'DICTIONARY-3'!$A$219</f>
        <v>Obudowa ziemna</v>
      </c>
      <c r="R2405" s="732" t="str">
        <f>CONCATENATE('DICTIONARY-3'!$A$135," ",'DICTIONARY-6'!$A$12," ",'DICTIONARY-2'!$A$7,"1,8-2,5m ",'DICTIONARY-5'!$A$7," ",LOWER('DICTIONARY-6'!$A$3)," ",'DICTIONARY-2'!$A$2,"400-500")</f>
        <v>PATENTplus-AT Obud. ziemn Rd1,8-2,5m dla zasuwa DN400-500</v>
      </c>
      <c r="S2405" s="733" t="s">
        <v>5569</v>
      </c>
      <c r="T2405" s="732" t="s">
        <v>5569</v>
      </c>
      <c r="U2405" s="734" t="s">
        <v>6028</v>
      </c>
      <c r="V2405" s="735"/>
      <c r="W2405" s="736"/>
      <c r="X2405" s="737"/>
      <c r="Y2405" s="745" t="s">
        <v>5667</v>
      </c>
      <c r="Z2405" s="747"/>
      <c r="AA2405" s="747"/>
      <c r="AB2405" s="740"/>
      <c r="AC2405" s="741"/>
      <c r="AD2405" s="741" t="s">
        <v>5569</v>
      </c>
      <c r="AE2405" s="742" t="s">
        <v>5569</v>
      </c>
      <c r="AF2405" s="743">
        <v>6.33</v>
      </c>
      <c r="AG2405" s="741" t="s">
        <v>5569</v>
      </c>
    </row>
    <row r="2406" spans="1:33" x14ac:dyDescent="0.25">
      <c r="A2406" s="854" t="s">
        <v>2279</v>
      </c>
      <c r="B2406" s="854" t="s">
        <v>4754</v>
      </c>
      <c r="C2406" s="836">
        <v>40</v>
      </c>
      <c r="D2406" s="836"/>
      <c r="E2406" s="836"/>
      <c r="F2406" s="836"/>
      <c r="G2406" s="496" t="s">
        <v>7846</v>
      </c>
      <c r="H2406" s="797" t="str">
        <f>VLOOKUP(G2406,SETTINGS!$B$7:$D$97,2,0)</f>
        <v>Telemax Niro/PATENTplus/VA-TELESKOP</v>
      </c>
      <c r="I2406" s="796">
        <f>VLOOKUP(G2406,SETTINGS!$B$7:$D$97,3,0)</f>
        <v>0</v>
      </c>
      <c r="J2406" s="670" t="str">
        <f>IFERROR(IF(CURRENCY.FORMAT_1=0,CONCATENATE(TEXT(FIXED(ROUND((C2406/EXC.RATE_1),CURRENCY.FORMAT_1),CURRENCY.FORMAT_1,1),"# ##0;-# ##0"),",-"),FIXED(ROUND((C2406/EXC.RATE_1),CURRENCY.FORMAT_1),CURRENCY.FORMAT_1,0)),'DICTIONARY-5'!$A$2)</f>
        <v>40,-</v>
      </c>
      <c r="K2406" s="670" t="str">
        <f>IF(EXC.RATE_2=0,"",IFERROR(IF(CURRENCY.FORMAT_2=0,CONCATENATE(TEXT(FIXED(ROUND(IF(EXC.RATE.SWITCH=1,C2406/EXC.RATE_2,C2406*EXC.RATE_2),CURRENCY.FORMAT_2),CURRENCY.FORMAT_2,1),"# ##0;-# ##0"),",-"),FIXED(ROUND(IF(EXC.RATE.SWITCH=1,C2406/EXC.RATE_2,C2406*EXC.RATE_2),CURRENCY.FORMAT_2),CURRENCY.FORMAT_2,0)),'DICTIONARY-5'!$A$2))</f>
        <v/>
      </c>
      <c r="L2406" s="670" t="str">
        <f>IFERROR(IF(CURRENCY.FORMAT_1=0,CONCATENATE(TEXT(FIXED(ROUND((C2406*(1-I2406)*(1-ADD.DISCOUNT)*(1+MAT.SURCHARGE)/EXC.RATE_1),CURRENCY.FORMAT_1),CURRENCY.FORMAT_1,1),"# ##0;-# ##0"),",-"),FIXED(ROUND((C2406*(1-I2406)*(1-ADD.DISCOUNT)*(1+MAT.SURCHARGE)/EXC.RATE_1),CURRENCY.FORMAT_1),CURRENCY.FORMAT_1,0)),'DICTIONARY-5'!$A$2)</f>
        <v>42,-</v>
      </c>
      <c r="M2406" s="670" t="str">
        <f>IF(EXC.RATE_2=0,"",IFERROR(IF(CURRENCY.FORMAT_2=0,CONCATENATE(TEXT(FIXED(ROUND(IF(EXC.RATE.SWITCH=1,C2406*(1-I2406)*(1-ADD.DISCOUNT)*(1+MAT.SURCHARGE)/EXC.RATE_2,C2406*(1-I2406)*(1-ADD.DISCOUNT)*(1+MAT.SURCHARGE)*EXC.RATE_2),CURRENCY.FORMAT_2),CURRENCY.FORMAT_2,1),"# ##0;-# ##0"),",-"),FIXED(ROUND(IF(EXC.RATE.SWITCH=1,C2406*(1-I2406)*(1-ADD.DISCOUNT)*(1+MAT.SURCHARGE)/EXC.RATE_2,C2406*(1-I2406)*(1-ADD.DISCOUNT)*(1+MAT.SURCHARGE)*EXC.RATE_2),CURRENCY.FORMAT_2),CURRENCY.FORMAT_2,0)),'DICTIONARY-5'!$A$2))</f>
        <v/>
      </c>
      <c r="N2406" s="537">
        <v>11</v>
      </c>
      <c r="O2406" s="537"/>
      <c r="P2406" s="732" t="str">
        <f>'DICTIONARY-3'!$A$134</f>
        <v>PATENTplus</v>
      </c>
      <c r="Q2406" s="732" t="str">
        <f>'DICTIONARY-3'!$A$219</f>
        <v>Obudowa ziemna</v>
      </c>
      <c r="R2406" s="732" t="str">
        <f>CONCATENATE('DICTIONARY-3'!$A$136," ",'DICTIONARY-6'!$A$12," ",'DICTIONARY-2'!$A$7,"0,75-1,0m ",'DICTIONARY-6'!$A$22)</f>
        <v>PATENTplus-BT Obud. ziemn Rd0,75-1,0m do mostków nawiert.</v>
      </c>
      <c r="S2406" s="733" t="s">
        <v>5569</v>
      </c>
      <c r="T2406" s="732" t="s">
        <v>5569</v>
      </c>
      <c r="U2406" s="734"/>
      <c r="V2406" s="735"/>
      <c r="W2406" s="736"/>
      <c r="X2406" s="737"/>
      <c r="Y2406" s="745" t="s">
        <v>5668</v>
      </c>
      <c r="Z2406" s="747"/>
      <c r="AA2406" s="747"/>
      <c r="AB2406" s="740"/>
      <c r="AC2406" s="741"/>
      <c r="AD2406" s="741" t="s">
        <v>5569</v>
      </c>
      <c r="AE2406" s="742" t="s">
        <v>5569</v>
      </c>
      <c r="AF2406" s="743">
        <v>1.1000000000000001</v>
      </c>
      <c r="AG2406" s="741" t="s">
        <v>5569</v>
      </c>
    </row>
    <row r="2407" spans="1:33" x14ac:dyDescent="0.25">
      <c r="A2407" s="854" t="s">
        <v>2280</v>
      </c>
      <c r="B2407" s="854" t="s">
        <v>4755</v>
      </c>
      <c r="C2407" s="836">
        <v>49</v>
      </c>
      <c r="D2407" s="836"/>
      <c r="E2407" s="836"/>
      <c r="F2407" s="836"/>
      <c r="G2407" s="496" t="s">
        <v>7846</v>
      </c>
      <c r="H2407" s="797" t="str">
        <f>VLOOKUP(G2407,SETTINGS!$B$7:$D$97,2,0)</f>
        <v>Telemax Niro/PATENTplus/VA-TELESKOP</v>
      </c>
      <c r="I2407" s="796">
        <f>VLOOKUP(G2407,SETTINGS!$B$7:$D$97,3,0)</f>
        <v>0</v>
      </c>
      <c r="J2407" s="670" t="str">
        <f>IFERROR(IF(CURRENCY.FORMAT_1=0,CONCATENATE(TEXT(FIXED(ROUND((C2407/EXC.RATE_1),CURRENCY.FORMAT_1),CURRENCY.FORMAT_1,1),"# ##0;-# ##0"),",-"),FIXED(ROUND((C2407/EXC.RATE_1),CURRENCY.FORMAT_1),CURRENCY.FORMAT_1,0)),'DICTIONARY-5'!$A$2)</f>
        <v>49,-</v>
      </c>
      <c r="K2407" s="670" t="str">
        <f>IF(EXC.RATE_2=0,"",IFERROR(IF(CURRENCY.FORMAT_2=0,CONCATENATE(TEXT(FIXED(ROUND(IF(EXC.RATE.SWITCH=1,C2407/EXC.RATE_2,C2407*EXC.RATE_2),CURRENCY.FORMAT_2),CURRENCY.FORMAT_2,1),"# ##0;-# ##0"),",-"),FIXED(ROUND(IF(EXC.RATE.SWITCH=1,C2407/EXC.RATE_2,C2407*EXC.RATE_2),CURRENCY.FORMAT_2),CURRENCY.FORMAT_2,0)),'DICTIONARY-5'!$A$2))</f>
        <v/>
      </c>
      <c r="L2407" s="670" t="str">
        <f>IFERROR(IF(CURRENCY.FORMAT_1=0,CONCATENATE(TEXT(FIXED(ROUND((C2407*(1-I2407)*(1-ADD.DISCOUNT)*(1+MAT.SURCHARGE)/EXC.RATE_1),CURRENCY.FORMAT_1),CURRENCY.FORMAT_1,1),"# ##0;-# ##0"),",-"),FIXED(ROUND((C2407*(1-I2407)*(1-ADD.DISCOUNT)*(1+MAT.SURCHARGE)/EXC.RATE_1),CURRENCY.FORMAT_1),CURRENCY.FORMAT_1,0)),'DICTIONARY-5'!$A$2)</f>
        <v>51,-</v>
      </c>
      <c r="M2407" s="670" t="str">
        <f>IF(EXC.RATE_2=0,"",IFERROR(IF(CURRENCY.FORMAT_2=0,CONCATENATE(TEXT(FIXED(ROUND(IF(EXC.RATE.SWITCH=1,C2407*(1-I2407)*(1-ADD.DISCOUNT)*(1+MAT.SURCHARGE)/EXC.RATE_2,C2407*(1-I2407)*(1-ADD.DISCOUNT)*(1+MAT.SURCHARGE)*EXC.RATE_2),CURRENCY.FORMAT_2),CURRENCY.FORMAT_2,1),"# ##0;-# ##0"),",-"),FIXED(ROUND(IF(EXC.RATE.SWITCH=1,C2407*(1-I2407)*(1-ADD.DISCOUNT)*(1+MAT.SURCHARGE)/EXC.RATE_2,C2407*(1-I2407)*(1-ADD.DISCOUNT)*(1+MAT.SURCHARGE)*EXC.RATE_2),CURRENCY.FORMAT_2),CURRENCY.FORMAT_2,0)),'DICTIONARY-5'!$A$2))</f>
        <v/>
      </c>
      <c r="N2407" s="537">
        <v>11</v>
      </c>
      <c r="O2407" s="537"/>
      <c r="P2407" s="732" t="str">
        <f>'DICTIONARY-3'!$A$134</f>
        <v>PATENTplus</v>
      </c>
      <c r="Q2407" s="732" t="str">
        <f>'DICTIONARY-3'!$A$219</f>
        <v>Obudowa ziemna</v>
      </c>
      <c r="R2407" s="732" t="str">
        <f>CONCATENATE('DICTIONARY-3'!$A$136," ",'DICTIONARY-6'!$A$12," ",'DICTIONARY-2'!$A$7,"0,9-1,3m ",'DICTIONARY-6'!$A$22)</f>
        <v>PATENTplus-BT Obud. ziemn Rd0,9-1,3m do mostków nawiert.</v>
      </c>
      <c r="S2407" s="733" t="s">
        <v>5569</v>
      </c>
      <c r="T2407" s="732" t="s">
        <v>5569</v>
      </c>
      <c r="U2407" s="734"/>
      <c r="V2407" s="735"/>
      <c r="W2407" s="736"/>
      <c r="X2407" s="737"/>
      <c r="Y2407" s="745" t="s">
        <v>5657</v>
      </c>
      <c r="Z2407" s="747"/>
      <c r="AA2407" s="747"/>
      <c r="AB2407" s="740"/>
      <c r="AC2407" s="741"/>
      <c r="AD2407" s="741" t="s">
        <v>5569</v>
      </c>
      <c r="AE2407" s="742" t="s">
        <v>5569</v>
      </c>
      <c r="AF2407" s="743">
        <v>2</v>
      </c>
      <c r="AG2407" s="741" t="s">
        <v>5569</v>
      </c>
    </row>
    <row r="2408" spans="1:33" x14ac:dyDescent="0.25">
      <c r="A2408" s="854" t="s">
        <v>2281</v>
      </c>
      <c r="B2408" s="854" t="s">
        <v>4756</v>
      </c>
      <c r="C2408" s="836">
        <v>48</v>
      </c>
      <c r="D2408" s="836"/>
      <c r="E2408" s="836"/>
      <c r="F2408" s="836"/>
      <c r="G2408" s="496" t="s">
        <v>7846</v>
      </c>
      <c r="H2408" s="797" t="str">
        <f>VLOOKUP(G2408,SETTINGS!$B$7:$D$97,2,0)</f>
        <v>Telemax Niro/PATENTplus/VA-TELESKOP</v>
      </c>
      <c r="I2408" s="796">
        <f>VLOOKUP(G2408,SETTINGS!$B$7:$D$97,3,0)</f>
        <v>0</v>
      </c>
      <c r="J2408" s="670" t="str">
        <f>IFERROR(IF(CURRENCY.FORMAT_1=0,CONCATENATE(TEXT(FIXED(ROUND((C2408/EXC.RATE_1),CURRENCY.FORMAT_1),CURRENCY.FORMAT_1,1),"# ##0;-# ##0"),",-"),FIXED(ROUND((C2408/EXC.RATE_1),CURRENCY.FORMAT_1),CURRENCY.FORMAT_1,0)),'DICTIONARY-5'!$A$2)</f>
        <v>48,-</v>
      </c>
      <c r="K2408" s="670" t="str">
        <f>IF(EXC.RATE_2=0,"",IFERROR(IF(CURRENCY.FORMAT_2=0,CONCATENATE(TEXT(FIXED(ROUND(IF(EXC.RATE.SWITCH=1,C2408/EXC.RATE_2,C2408*EXC.RATE_2),CURRENCY.FORMAT_2),CURRENCY.FORMAT_2,1),"# ##0;-# ##0"),",-"),FIXED(ROUND(IF(EXC.RATE.SWITCH=1,C2408/EXC.RATE_2,C2408*EXC.RATE_2),CURRENCY.FORMAT_2),CURRENCY.FORMAT_2,0)),'DICTIONARY-5'!$A$2))</f>
        <v/>
      </c>
      <c r="L2408" s="670" t="str">
        <f>IFERROR(IF(CURRENCY.FORMAT_1=0,CONCATENATE(TEXT(FIXED(ROUND((C2408*(1-I2408)*(1-ADD.DISCOUNT)*(1+MAT.SURCHARGE)/EXC.RATE_1),CURRENCY.FORMAT_1),CURRENCY.FORMAT_1,1),"# ##0;-# ##0"),",-"),FIXED(ROUND((C2408*(1-I2408)*(1-ADD.DISCOUNT)*(1+MAT.SURCHARGE)/EXC.RATE_1),CURRENCY.FORMAT_1),CURRENCY.FORMAT_1,0)),'DICTIONARY-5'!$A$2)</f>
        <v>50,-</v>
      </c>
      <c r="M2408" s="670" t="str">
        <f>IF(EXC.RATE_2=0,"",IFERROR(IF(CURRENCY.FORMAT_2=0,CONCATENATE(TEXT(FIXED(ROUND(IF(EXC.RATE.SWITCH=1,C2408*(1-I2408)*(1-ADD.DISCOUNT)*(1+MAT.SURCHARGE)/EXC.RATE_2,C2408*(1-I2408)*(1-ADD.DISCOUNT)*(1+MAT.SURCHARGE)*EXC.RATE_2),CURRENCY.FORMAT_2),CURRENCY.FORMAT_2,1),"# ##0;-# ##0"),",-"),FIXED(ROUND(IF(EXC.RATE.SWITCH=1,C2408*(1-I2408)*(1-ADD.DISCOUNT)*(1+MAT.SURCHARGE)/EXC.RATE_2,C2408*(1-I2408)*(1-ADD.DISCOUNT)*(1+MAT.SURCHARGE)*EXC.RATE_2),CURRENCY.FORMAT_2),CURRENCY.FORMAT_2,0)),'DICTIONARY-5'!$A$2))</f>
        <v/>
      </c>
      <c r="N2408" s="537">
        <v>11</v>
      </c>
      <c r="O2408" s="537"/>
      <c r="P2408" s="732" t="str">
        <f>'DICTIONARY-3'!$A$134</f>
        <v>PATENTplus</v>
      </c>
      <c r="Q2408" s="732" t="str">
        <f>'DICTIONARY-3'!$A$219</f>
        <v>Obudowa ziemna</v>
      </c>
      <c r="R2408" s="732" t="str">
        <f>CONCATENATE('DICTIONARY-3'!$A$136," ",'DICTIONARY-6'!$A$12," ",'DICTIONARY-2'!$A$7,"1,2-1,8m ",'DICTIONARY-6'!$A$22)</f>
        <v>PATENTplus-BT Obud. ziemn Rd1,2-1,8m do mostków nawiert.</v>
      </c>
      <c r="S2408" s="733" t="s">
        <v>5569</v>
      </c>
      <c r="T2408" s="732" t="s">
        <v>5569</v>
      </c>
      <c r="U2408" s="734"/>
      <c r="V2408" s="735"/>
      <c r="W2408" s="736"/>
      <c r="X2408" s="737"/>
      <c r="Y2408" s="745" t="s">
        <v>5658</v>
      </c>
      <c r="Z2408" s="747"/>
      <c r="AA2408" s="747"/>
      <c r="AB2408" s="740"/>
      <c r="AC2408" s="741"/>
      <c r="AD2408" s="741" t="s">
        <v>5569</v>
      </c>
      <c r="AE2408" s="742" t="s">
        <v>5569</v>
      </c>
      <c r="AF2408" s="743">
        <v>2.5</v>
      </c>
      <c r="AG2408" s="741" t="s">
        <v>5569</v>
      </c>
    </row>
    <row r="2409" spans="1:33" x14ac:dyDescent="0.25">
      <c r="A2409" s="854" t="s">
        <v>2282</v>
      </c>
      <c r="B2409" s="854" t="s">
        <v>4757</v>
      </c>
      <c r="C2409" s="836">
        <v>75</v>
      </c>
      <c r="D2409" s="836"/>
      <c r="E2409" s="836"/>
      <c r="F2409" s="836"/>
      <c r="G2409" s="496" t="s">
        <v>7846</v>
      </c>
      <c r="H2409" s="797" t="str">
        <f>VLOOKUP(G2409,SETTINGS!$B$7:$D$97,2,0)</f>
        <v>Telemax Niro/PATENTplus/VA-TELESKOP</v>
      </c>
      <c r="I2409" s="796">
        <f>VLOOKUP(G2409,SETTINGS!$B$7:$D$97,3,0)</f>
        <v>0</v>
      </c>
      <c r="J2409" s="670" t="str">
        <f>IFERROR(IF(CURRENCY.FORMAT_1=0,CONCATENATE(TEXT(FIXED(ROUND((C2409/EXC.RATE_1),CURRENCY.FORMAT_1),CURRENCY.FORMAT_1,1),"# ##0;-# ##0"),",-"),FIXED(ROUND((C2409/EXC.RATE_1),CURRENCY.FORMAT_1),CURRENCY.FORMAT_1,0)),'DICTIONARY-5'!$A$2)</f>
        <v>75,-</v>
      </c>
      <c r="K2409" s="670" t="str">
        <f>IF(EXC.RATE_2=0,"",IFERROR(IF(CURRENCY.FORMAT_2=0,CONCATENATE(TEXT(FIXED(ROUND(IF(EXC.RATE.SWITCH=1,C2409/EXC.RATE_2,C2409*EXC.RATE_2),CURRENCY.FORMAT_2),CURRENCY.FORMAT_2,1),"# ##0;-# ##0"),",-"),FIXED(ROUND(IF(EXC.RATE.SWITCH=1,C2409/EXC.RATE_2,C2409*EXC.RATE_2),CURRENCY.FORMAT_2),CURRENCY.FORMAT_2,0)),'DICTIONARY-5'!$A$2))</f>
        <v/>
      </c>
      <c r="L2409" s="670" t="str">
        <f>IFERROR(IF(CURRENCY.FORMAT_1=0,CONCATENATE(TEXT(FIXED(ROUND((C2409*(1-I2409)*(1-ADD.DISCOUNT)*(1+MAT.SURCHARGE)/EXC.RATE_1),CURRENCY.FORMAT_1),CURRENCY.FORMAT_1,1),"# ##0;-# ##0"),",-"),FIXED(ROUND((C2409*(1-I2409)*(1-ADD.DISCOUNT)*(1+MAT.SURCHARGE)/EXC.RATE_1),CURRENCY.FORMAT_1),CURRENCY.FORMAT_1,0)),'DICTIONARY-5'!$A$2)</f>
        <v>78,-</v>
      </c>
      <c r="M2409" s="670" t="str">
        <f>IF(EXC.RATE_2=0,"",IFERROR(IF(CURRENCY.FORMAT_2=0,CONCATENATE(TEXT(FIXED(ROUND(IF(EXC.RATE.SWITCH=1,C2409*(1-I2409)*(1-ADD.DISCOUNT)*(1+MAT.SURCHARGE)/EXC.RATE_2,C2409*(1-I2409)*(1-ADD.DISCOUNT)*(1+MAT.SURCHARGE)*EXC.RATE_2),CURRENCY.FORMAT_2),CURRENCY.FORMAT_2,1),"# ##0;-# ##0"),",-"),FIXED(ROUND(IF(EXC.RATE.SWITCH=1,C2409*(1-I2409)*(1-ADD.DISCOUNT)*(1+MAT.SURCHARGE)/EXC.RATE_2,C2409*(1-I2409)*(1-ADD.DISCOUNT)*(1+MAT.SURCHARGE)*EXC.RATE_2),CURRENCY.FORMAT_2),CURRENCY.FORMAT_2,0)),'DICTIONARY-5'!$A$2))</f>
        <v/>
      </c>
      <c r="N2409" s="537">
        <v>11</v>
      </c>
      <c r="O2409" s="537"/>
      <c r="P2409" s="732" t="str">
        <f>'DICTIONARY-3'!$A$134</f>
        <v>PATENTplus</v>
      </c>
      <c r="Q2409" s="732" t="str">
        <f>'DICTIONARY-3'!$A$219</f>
        <v>Obudowa ziemna</v>
      </c>
      <c r="R2409" s="732" t="str">
        <f>CONCATENATE('DICTIONARY-3'!$A$136," ",'DICTIONARY-6'!$A$12," ",'DICTIONARY-2'!$A$7,"1,7-2,7m ",'DICTIONARY-6'!$A$22)</f>
        <v>PATENTplus-BT Obud. ziemn Rd1,7-2,7m do mostków nawiert.</v>
      </c>
      <c r="S2409" s="733" t="s">
        <v>5569</v>
      </c>
      <c r="T2409" s="732" t="s">
        <v>5569</v>
      </c>
      <c r="U2409" s="734"/>
      <c r="V2409" s="735"/>
      <c r="W2409" s="736"/>
      <c r="X2409" s="737"/>
      <c r="Y2409" s="745" t="s">
        <v>5659</v>
      </c>
      <c r="Z2409" s="747"/>
      <c r="AA2409" s="747"/>
      <c r="AB2409" s="740"/>
      <c r="AC2409" s="741"/>
      <c r="AD2409" s="741" t="s">
        <v>5569</v>
      </c>
      <c r="AE2409" s="742" t="s">
        <v>5569</v>
      </c>
      <c r="AF2409" s="743">
        <v>4.4050000000000002</v>
      </c>
      <c r="AG2409" s="741" t="s">
        <v>5569</v>
      </c>
    </row>
    <row r="2410" spans="1:33" x14ac:dyDescent="0.25">
      <c r="A2410" s="877" t="s">
        <v>4912</v>
      </c>
      <c r="B2410" s="877" t="s">
        <v>2335</v>
      </c>
      <c r="C2410" s="836">
        <v>491</v>
      </c>
      <c r="D2410" s="836"/>
      <c r="E2410" s="836"/>
      <c r="F2410" s="836"/>
      <c r="G2410" s="496" t="s">
        <v>7846</v>
      </c>
      <c r="H2410" s="797" t="str">
        <f>VLOOKUP(G2410,SETTINGS!$B$7:$D$97,2,0)</f>
        <v>Telemax Niro/PATENTplus/VA-TELESKOP</v>
      </c>
      <c r="I2410" s="796">
        <f>VLOOKUP(G2410,SETTINGS!$B$7:$D$97,3,0)</f>
        <v>0</v>
      </c>
      <c r="J2410" s="670" t="str">
        <f>IFERROR(IF(CURRENCY.FORMAT_1=0,CONCATENATE(TEXT(FIXED(ROUND((C2410/EXC.RATE_1),CURRENCY.FORMAT_1),CURRENCY.FORMAT_1,1),"# ##0;-# ##0"),",-"),FIXED(ROUND((C2410/EXC.RATE_1),CURRENCY.FORMAT_1),CURRENCY.FORMAT_1,0)),'DICTIONARY-5'!$A$2)</f>
        <v>491,-</v>
      </c>
      <c r="K2410" s="670" t="str">
        <f>IF(EXC.RATE_2=0,"",IFERROR(IF(CURRENCY.FORMAT_2=0,CONCATENATE(TEXT(FIXED(ROUND(IF(EXC.RATE.SWITCH=1,C2410/EXC.RATE_2,C2410*EXC.RATE_2),CURRENCY.FORMAT_2),CURRENCY.FORMAT_2,1),"# ##0;-# ##0"),",-"),FIXED(ROUND(IF(EXC.RATE.SWITCH=1,C2410/EXC.RATE_2,C2410*EXC.RATE_2),CURRENCY.FORMAT_2),CURRENCY.FORMAT_2,0)),'DICTIONARY-5'!$A$2))</f>
        <v/>
      </c>
      <c r="L2410" s="670" t="str">
        <f>IFERROR(IF(CURRENCY.FORMAT_1=0,CONCATENATE(TEXT(FIXED(ROUND((C2410*(1-I2410)*(1-ADD.DISCOUNT)*(1+MAT.SURCHARGE)/EXC.RATE_1),CURRENCY.FORMAT_1),CURRENCY.FORMAT_1,1),"# ##0;-# ##0"),",-"),FIXED(ROUND((C2410*(1-I2410)*(1-ADD.DISCOUNT)*(1+MAT.SURCHARGE)/EXC.RATE_1),CURRENCY.FORMAT_1),CURRENCY.FORMAT_1,0)),'DICTIONARY-5'!$A$2)</f>
        <v>510,-</v>
      </c>
      <c r="M2410" s="670" t="str">
        <f>IF(EXC.RATE_2=0,"",IFERROR(IF(CURRENCY.FORMAT_2=0,CONCATENATE(TEXT(FIXED(ROUND(IF(EXC.RATE.SWITCH=1,C2410*(1-I2410)*(1-ADD.DISCOUNT)*(1+MAT.SURCHARGE)/EXC.RATE_2,C2410*(1-I2410)*(1-ADD.DISCOUNT)*(1+MAT.SURCHARGE)*EXC.RATE_2),CURRENCY.FORMAT_2),CURRENCY.FORMAT_2,1),"# ##0;-# ##0"),",-"),FIXED(ROUND(IF(EXC.RATE.SWITCH=1,C2410*(1-I2410)*(1-ADD.DISCOUNT)*(1+MAT.SURCHARGE)/EXC.RATE_2,C2410*(1-I2410)*(1-ADD.DISCOUNT)*(1+MAT.SURCHARGE)*EXC.RATE_2),CURRENCY.FORMAT_2),CURRENCY.FORMAT_2,0)),'DICTIONARY-5'!$A$2))</f>
        <v/>
      </c>
      <c r="N2410" s="537">
        <v>11</v>
      </c>
      <c r="O2410" s="537"/>
      <c r="P2410" s="732" t="str">
        <f>'DICTIONARY-3'!$A$137</f>
        <v>TELEMAX EG</v>
      </c>
      <c r="Q2410" s="732" t="str">
        <f>'DICTIONARY-3'!$A$219</f>
        <v>Obudowa ziemna</v>
      </c>
      <c r="R2410" s="732" t="str">
        <f>CONCATENATE('DICTIONARY-3'!$A$137," ",'DICTIONARY-6'!$A$12," ",'DICTIONARY-2'!$A$7,"1,5-1,8m ",'DICTIONARY-5'!$A$7," ",LOWER('DICTIONARY-6'!$A$3)," ",'DICTIONARY-2'!$A$2,"400")</f>
        <v>TELEMAX EG Obud. ziemn Rd1,5-1,8m dla zasuwa DN400</v>
      </c>
      <c r="S2410" s="733" t="s">
        <v>5569</v>
      </c>
      <c r="T2410" s="732" t="s">
        <v>5569</v>
      </c>
      <c r="U2410" s="734" t="s">
        <v>5754</v>
      </c>
      <c r="V2410" s="735"/>
      <c r="W2410" s="736"/>
      <c r="X2410" s="737"/>
      <c r="Y2410" s="745" t="s">
        <v>5660</v>
      </c>
      <c r="Z2410" s="747"/>
      <c r="AA2410" s="747"/>
      <c r="AB2410" s="740"/>
      <c r="AC2410" s="741"/>
      <c r="AD2410" s="741"/>
      <c r="AE2410" s="742"/>
      <c r="AF2410" s="743">
        <v>3.5</v>
      </c>
      <c r="AG2410" s="741" t="s">
        <v>5569</v>
      </c>
    </row>
    <row r="2411" spans="1:33" x14ac:dyDescent="0.25">
      <c r="A2411" s="877" t="s">
        <v>4913</v>
      </c>
      <c r="B2411" s="877" t="s">
        <v>2337</v>
      </c>
      <c r="C2411" s="836">
        <v>645</v>
      </c>
      <c r="D2411" s="836"/>
      <c r="E2411" s="836"/>
      <c r="F2411" s="836"/>
      <c r="G2411" s="496" t="s">
        <v>7846</v>
      </c>
      <c r="H2411" s="797" t="str">
        <f>VLOOKUP(G2411,SETTINGS!$B$7:$D$97,2,0)</f>
        <v>Telemax Niro/PATENTplus/VA-TELESKOP</v>
      </c>
      <c r="I2411" s="796">
        <f>VLOOKUP(G2411,SETTINGS!$B$7:$D$97,3,0)</f>
        <v>0</v>
      </c>
      <c r="J2411" s="670" t="str">
        <f>IFERROR(IF(CURRENCY.FORMAT_1=0,CONCATENATE(TEXT(FIXED(ROUND((C2411/EXC.RATE_1),CURRENCY.FORMAT_1),CURRENCY.FORMAT_1,1),"# ##0;-# ##0"),",-"),FIXED(ROUND((C2411/EXC.RATE_1),CURRENCY.FORMAT_1),CURRENCY.FORMAT_1,0)),'DICTIONARY-5'!$A$2)</f>
        <v>645,-</v>
      </c>
      <c r="K2411" s="670" t="str">
        <f>IF(EXC.RATE_2=0,"",IFERROR(IF(CURRENCY.FORMAT_2=0,CONCATENATE(TEXT(FIXED(ROUND(IF(EXC.RATE.SWITCH=1,C2411/EXC.RATE_2,C2411*EXC.RATE_2),CURRENCY.FORMAT_2),CURRENCY.FORMAT_2,1),"# ##0;-# ##0"),",-"),FIXED(ROUND(IF(EXC.RATE.SWITCH=1,C2411/EXC.RATE_2,C2411*EXC.RATE_2),CURRENCY.FORMAT_2),CURRENCY.FORMAT_2,0)),'DICTIONARY-5'!$A$2))</f>
        <v/>
      </c>
      <c r="L2411" s="670" t="str">
        <f>IFERROR(IF(CURRENCY.FORMAT_1=0,CONCATENATE(TEXT(FIXED(ROUND((C2411*(1-I2411)*(1-ADD.DISCOUNT)*(1+MAT.SURCHARGE)/EXC.RATE_1),CURRENCY.FORMAT_1),CURRENCY.FORMAT_1,1),"# ##0;-# ##0"),",-"),FIXED(ROUND((C2411*(1-I2411)*(1-ADD.DISCOUNT)*(1+MAT.SURCHARGE)/EXC.RATE_1),CURRENCY.FORMAT_1),CURRENCY.FORMAT_1,0)),'DICTIONARY-5'!$A$2)</f>
        <v>670,-</v>
      </c>
      <c r="M2411" s="670" t="str">
        <f>IF(EXC.RATE_2=0,"",IFERROR(IF(CURRENCY.FORMAT_2=0,CONCATENATE(TEXT(FIXED(ROUND(IF(EXC.RATE.SWITCH=1,C2411*(1-I2411)*(1-ADD.DISCOUNT)*(1+MAT.SURCHARGE)/EXC.RATE_2,C2411*(1-I2411)*(1-ADD.DISCOUNT)*(1+MAT.SURCHARGE)*EXC.RATE_2),CURRENCY.FORMAT_2),CURRENCY.FORMAT_2,1),"# ##0;-# ##0"),",-"),FIXED(ROUND(IF(EXC.RATE.SWITCH=1,C2411*(1-I2411)*(1-ADD.DISCOUNT)*(1+MAT.SURCHARGE)/EXC.RATE_2,C2411*(1-I2411)*(1-ADD.DISCOUNT)*(1+MAT.SURCHARGE)*EXC.RATE_2),CURRENCY.FORMAT_2),CURRENCY.FORMAT_2,0)),'DICTIONARY-5'!$A$2))</f>
        <v/>
      </c>
      <c r="N2411" s="537">
        <v>11</v>
      </c>
      <c r="O2411" s="537"/>
      <c r="P2411" s="732" t="str">
        <f>'DICTIONARY-3'!$A$137</f>
        <v>TELEMAX EG</v>
      </c>
      <c r="Q2411" s="732" t="str">
        <f>'DICTIONARY-3'!$A$219</f>
        <v>Obudowa ziemna</v>
      </c>
      <c r="R2411" s="732" t="str">
        <f>CONCATENATE('DICTIONARY-3'!$A$137," ",'DICTIONARY-6'!$A$12," ",'DICTIONARY-2'!$A$7,"1,8-2,6m ",'DICTIONARY-5'!$A$7," ",LOWER('DICTIONARY-6'!$A$3)," ",'DICTIONARY-2'!$A$2,"400")</f>
        <v>TELEMAX EG Obud. ziemn Rd1,8-2,6m dla zasuwa DN400</v>
      </c>
      <c r="S2411" s="733" t="s">
        <v>5569</v>
      </c>
      <c r="T2411" s="732" t="s">
        <v>5569</v>
      </c>
      <c r="U2411" s="734" t="s">
        <v>5754</v>
      </c>
      <c r="V2411" s="735"/>
      <c r="W2411" s="736"/>
      <c r="X2411" s="737"/>
      <c r="Y2411" s="745" t="s">
        <v>5661</v>
      </c>
      <c r="Z2411" s="747"/>
      <c r="AA2411" s="747"/>
      <c r="AB2411" s="740"/>
      <c r="AC2411" s="741"/>
      <c r="AD2411" s="741"/>
      <c r="AE2411" s="742"/>
      <c r="AF2411" s="743">
        <v>5</v>
      </c>
      <c r="AG2411" s="741" t="s">
        <v>5569</v>
      </c>
    </row>
    <row r="2412" spans="1:33" x14ac:dyDescent="0.25">
      <c r="A2412" s="877" t="s">
        <v>4914</v>
      </c>
      <c r="B2412" s="877" t="s">
        <v>2339</v>
      </c>
      <c r="C2412" s="836">
        <v>720</v>
      </c>
      <c r="D2412" s="836"/>
      <c r="E2412" s="836"/>
      <c r="F2412" s="836"/>
      <c r="G2412" s="496" t="s">
        <v>7846</v>
      </c>
      <c r="H2412" s="797" t="str">
        <f>VLOOKUP(G2412,SETTINGS!$B$7:$D$97,2,0)</f>
        <v>Telemax Niro/PATENTplus/VA-TELESKOP</v>
      </c>
      <c r="I2412" s="796">
        <f>VLOOKUP(G2412,SETTINGS!$B$7:$D$97,3,0)</f>
        <v>0</v>
      </c>
      <c r="J2412" s="670" t="str">
        <f>IFERROR(IF(CURRENCY.FORMAT_1=0,CONCATENATE(TEXT(FIXED(ROUND((C2412/EXC.RATE_1),CURRENCY.FORMAT_1),CURRENCY.FORMAT_1,1),"# ##0;-# ##0"),",-"),FIXED(ROUND((C2412/EXC.RATE_1),CURRENCY.FORMAT_1),CURRENCY.FORMAT_1,0)),'DICTIONARY-5'!$A$2)</f>
        <v>720,-</v>
      </c>
      <c r="K2412" s="670" t="str">
        <f>IF(EXC.RATE_2=0,"",IFERROR(IF(CURRENCY.FORMAT_2=0,CONCATENATE(TEXT(FIXED(ROUND(IF(EXC.RATE.SWITCH=1,C2412/EXC.RATE_2,C2412*EXC.RATE_2),CURRENCY.FORMAT_2),CURRENCY.FORMAT_2,1),"# ##0;-# ##0"),",-"),FIXED(ROUND(IF(EXC.RATE.SWITCH=1,C2412/EXC.RATE_2,C2412*EXC.RATE_2),CURRENCY.FORMAT_2),CURRENCY.FORMAT_2,0)),'DICTIONARY-5'!$A$2))</f>
        <v/>
      </c>
      <c r="L2412" s="670" t="str">
        <f>IFERROR(IF(CURRENCY.FORMAT_1=0,CONCATENATE(TEXT(FIXED(ROUND((C2412*(1-I2412)*(1-ADD.DISCOUNT)*(1+MAT.SURCHARGE)/EXC.RATE_1),CURRENCY.FORMAT_1),CURRENCY.FORMAT_1,1),"# ##0;-# ##0"),",-"),FIXED(ROUND((C2412*(1-I2412)*(1-ADD.DISCOUNT)*(1+MAT.SURCHARGE)/EXC.RATE_1),CURRENCY.FORMAT_1),CURRENCY.FORMAT_1,0)),'DICTIONARY-5'!$A$2)</f>
        <v>748,-</v>
      </c>
      <c r="M2412" s="670" t="str">
        <f>IF(EXC.RATE_2=0,"",IFERROR(IF(CURRENCY.FORMAT_2=0,CONCATENATE(TEXT(FIXED(ROUND(IF(EXC.RATE.SWITCH=1,C2412*(1-I2412)*(1-ADD.DISCOUNT)*(1+MAT.SURCHARGE)/EXC.RATE_2,C2412*(1-I2412)*(1-ADD.DISCOUNT)*(1+MAT.SURCHARGE)*EXC.RATE_2),CURRENCY.FORMAT_2),CURRENCY.FORMAT_2,1),"# ##0;-# ##0"),",-"),FIXED(ROUND(IF(EXC.RATE.SWITCH=1,C2412*(1-I2412)*(1-ADD.DISCOUNT)*(1+MAT.SURCHARGE)/EXC.RATE_2,C2412*(1-I2412)*(1-ADD.DISCOUNT)*(1+MAT.SURCHARGE)*EXC.RATE_2),CURRENCY.FORMAT_2),CURRENCY.FORMAT_2,0)),'DICTIONARY-5'!$A$2))</f>
        <v/>
      </c>
      <c r="N2412" s="537">
        <v>11</v>
      </c>
      <c r="O2412" s="537"/>
      <c r="P2412" s="732" t="str">
        <f>'DICTIONARY-3'!$A$137</f>
        <v>TELEMAX EG</v>
      </c>
      <c r="Q2412" s="732" t="str">
        <f>'DICTIONARY-3'!$A$219</f>
        <v>Obudowa ziemna</v>
      </c>
      <c r="R2412" s="732" t="str">
        <f>CONCATENATE('DICTIONARY-3'!$A$137," ",'DICTIONARY-6'!$A$12," ",'DICTIONARY-2'!$A$7,"2,5-3,7m ",'DICTIONARY-5'!$A$7," ",LOWER('DICTIONARY-6'!$A$3)," ",'DICTIONARY-2'!$A$2,"400")</f>
        <v>TELEMAX EG Obud. ziemn Rd2,5-3,7m dla zasuwa DN400</v>
      </c>
      <c r="S2412" s="733" t="s">
        <v>5569</v>
      </c>
      <c r="T2412" s="732" t="s">
        <v>5569</v>
      </c>
      <c r="U2412" s="734" t="s">
        <v>5754</v>
      </c>
      <c r="V2412" s="735"/>
      <c r="W2412" s="736"/>
      <c r="X2412" s="737"/>
      <c r="Y2412" s="745" t="s">
        <v>5662</v>
      </c>
      <c r="Z2412" s="747"/>
      <c r="AA2412" s="747"/>
      <c r="AB2412" s="740"/>
      <c r="AC2412" s="741"/>
      <c r="AD2412" s="741"/>
      <c r="AE2412" s="742"/>
      <c r="AF2412" s="743">
        <v>10.7</v>
      </c>
      <c r="AG2412" s="741" t="s">
        <v>5569</v>
      </c>
    </row>
    <row r="2413" spans="1:33" x14ac:dyDescent="0.25">
      <c r="A2413" s="877" t="s">
        <v>4915</v>
      </c>
      <c r="B2413" s="877" t="s">
        <v>2341</v>
      </c>
      <c r="C2413" s="836">
        <v>814</v>
      </c>
      <c r="D2413" s="836"/>
      <c r="E2413" s="836"/>
      <c r="F2413" s="836"/>
      <c r="G2413" s="496" t="s">
        <v>7846</v>
      </c>
      <c r="H2413" s="797" t="str">
        <f>VLOOKUP(G2413,SETTINGS!$B$7:$D$97,2,0)</f>
        <v>Telemax Niro/PATENTplus/VA-TELESKOP</v>
      </c>
      <c r="I2413" s="796">
        <f>VLOOKUP(G2413,SETTINGS!$B$7:$D$97,3,0)</f>
        <v>0</v>
      </c>
      <c r="J2413" s="670" t="str">
        <f>IFERROR(IF(CURRENCY.FORMAT_1=0,CONCATENATE(TEXT(FIXED(ROUND((C2413/EXC.RATE_1),CURRENCY.FORMAT_1),CURRENCY.FORMAT_1,1),"# ##0;-# ##0"),",-"),FIXED(ROUND((C2413/EXC.RATE_1),CURRENCY.FORMAT_1),CURRENCY.FORMAT_1,0)),'DICTIONARY-5'!$A$2)</f>
        <v>814,-</v>
      </c>
      <c r="K2413" s="670" t="str">
        <f>IF(EXC.RATE_2=0,"",IFERROR(IF(CURRENCY.FORMAT_2=0,CONCATENATE(TEXT(FIXED(ROUND(IF(EXC.RATE.SWITCH=1,C2413/EXC.RATE_2,C2413*EXC.RATE_2),CURRENCY.FORMAT_2),CURRENCY.FORMAT_2,1),"# ##0;-# ##0"),",-"),FIXED(ROUND(IF(EXC.RATE.SWITCH=1,C2413/EXC.RATE_2,C2413*EXC.RATE_2),CURRENCY.FORMAT_2),CURRENCY.FORMAT_2,0)),'DICTIONARY-5'!$A$2))</f>
        <v/>
      </c>
      <c r="L2413" s="670" t="str">
        <f>IFERROR(IF(CURRENCY.FORMAT_1=0,CONCATENATE(TEXT(FIXED(ROUND((C2413*(1-I2413)*(1-ADD.DISCOUNT)*(1+MAT.SURCHARGE)/EXC.RATE_1),CURRENCY.FORMAT_1),CURRENCY.FORMAT_1,1),"# ##0;-# ##0"),",-"),FIXED(ROUND((C2413*(1-I2413)*(1-ADD.DISCOUNT)*(1+MAT.SURCHARGE)/EXC.RATE_1),CURRENCY.FORMAT_1),CURRENCY.FORMAT_1,0)),'DICTIONARY-5'!$A$2)</f>
        <v>846,-</v>
      </c>
      <c r="M2413" s="670" t="str">
        <f>IF(EXC.RATE_2=0,"",IFERROR(IF(CURRENCY.FORMAT_2=0,CONCATENATE(TEXT(FIXED(ROUND(IF(EXC.RATE.SWITCH=1,C2413*(1-I2413)*(1-ADD.DISCOUNT)*(1+MAT.SURCHARGE)/EXC.RATE_2,C2413*(1-I2413)*(1-ADD.DISCOUNT)*(1+MAT.SURCHARGE)*EXC.RATE_2),CURRENCY.FORMAT_2),CURRENCY.FORMAT_2,1),"# ##0;-# ##0"),",-"),FIXED(ROUND(IF(EXC.RATE.SWITCH=1,C2413*(1-I2413)*(1-ADD.DISCOUNT)*(1+MAT.SURCHARGE)/EXC.RATE_2,C2413*(1-I2413)*(1-ADD.DISCOUNT)*(1+MAT.SURCHARGE)*EXC.RATE_2),CURRENCY.FORMAT_2),CURRENCY.FORMAT_2,0)),'DICTIONARY-5'!$A$2))</f>
        <v/>
      </c>
      <c r="N2413" s="537">
        <v>11</v>
      </c>
      <c r="O2413" s="537"/>
      <c r="P2413" s="732" t="str">
        <f>'DICTIONARY-3'!$A$137</f>
        <v>TELEMAX EG</v>
      </c>
      <c r="Q2413" s="732" t="str">
        <f>'DICTIONARY-3'!$A$219</f>
        <v>Obudowa ziemna</v>
      </c>
      <c r="R2413" s="732" t="str">
        <f>CONCATENATE('DICTIONARY-3'!$A$137," ",'DICTIONARY-6'!$A$12," ",'DICTIONARY-2'!$A$7,"3,5-4,7m ",'DICTIONARY-5'!$A$7," ",LOWER('DICTIONARY-6'!$A$3)," ",'DICTIONARY-2'!$A$2,"400")</f>
        <v>TELEMAX EG Obud. ziemn Rd3,5-4,7m dla zasuwa DN400</v>
      </c>
      <c r="S2413" s="733" t="s">
        <v>5569</v>
      </c>
      <c r="T2413" s="732" t="s">
        <v>5569</v>
      </c>
      <c r="U2413" s="734" t="s">
        <v>5754</v>
      </c>
      <c r="V2413" s="735"/>
      <c r="W2413" s="736"/>
      <c r="X2413" s="737"/>
      <c r="Y2413" s="745" t="s">
        <v>5663</v>
      </c>
      <c r="Z2413" s="747"/>
      <c r="AA2413" s="747"/>
      <c r="AB2413" s="740"/>
      <c r="AC2413" s="741"/>
      <c r="AD2413" s="741"/>
      <c r="AE2413" s="742"/>
      <c r="AF2413" s="743">
        <v>11.9</v>
      </c>
      <c r="AG2413" s="741" t="s">
        <v>5569</v>
      </c>
    </row>
    <row r="2414" spans="1:33" x14ac:dyDescent="0.25">
      <c r="A2414" s="877" t="s">
        <v>4916</v>
      </c>
      <c r="B2414" s="877" t="s">
        <v>2343</v>
      </c>
      <c r="C2414" s="836">
        <v>943</v>
      </c>
      <c r="D2414" s="836"/>
      <c r="E2414" s="836"/>
      <c r="F2414" s="836"/>
      <c r="G2414" s="496" t="s">
        <v>7846</v>
      </c>
      <c r="H2414" s="797" t="str">
        <f>VLOOKUP(G2414,SETTINGS!$B$7:$D$97,2,0)</f>
        <v>Telemax Niro/PATENTplus/VA-TELESKOP</v>
      </c>
      <c r="I2414" s="796">
        <f>VLOOKUP(G2414,SETTINGS!$B$7:$D$97,3,0)</f>
        <v>0</v>
      </c>
      <c r="J2414" s="670" t="str">
        <f>IFERROR(IF(CURRENCY.FORMAT_1=0,CONCATENATE(TEXT(FIXED(ROUND((C2414/EXC.RATE_1),CURRENCY.FORMAT_1),CURRENCY.FORMAT_1,1),"# ##0;-# ##0"),",-"),FIXED(ROUND((C2414/EXC.RATE_1),CURRENCY.FORMAT_1),CURRENCY.FORMAT_1,0)),'DICTIONARY-5'!$A$2)</f>
        <v>943,-</v>
      </c>
      <c r="K2414" s="670" t="str">
        <f>IF(EXC.RATE_2=0,"",IFERROR(IF(CURRENCY.FORMAT_2=0,CONCATENATE(TEXT(FIXED(ROUND(IF(EXC.RATE.SWITCH=1,C2414/EXC.RATE_2,C2414*EXC.RATE_2),CURRENCY.FORMAT_2),CURRENCY.FORMAT_2,1),"# ##0;-# ##0"),",-"),FIXED(ROUND(IF(EXC.RATE.SWITCH=1,C2414/EXC.RATE_2,C2414*EXC.RATE_2),CURRENCY.FORMAT_2),CURRENCY.FORMAT_2,0)),'DICTIONARY-5'!$A$2))</f>
        <v/>
      </c>
      <c r="L2414" s="670" t="str">
        <f>IFERROR(IF(CURRENCY.FORMAT_1=0,CONCATENATE(TEXT(FIXED(ROUND((C2414*(1-I2414)*(1-ADD.DISCOUNT)*(1+MAT.SURCHARGE)/EXC.RATE_1),CURRENCY.FORMAT_1),CURRENCY.FORMAT_1,1),"# ##0;-# ##0"),",-"),FIXED(ROUND((C2414*(1-I2414)*(1-ADD.DISCOUNT)*(1+MAT.SURCHARGE)/EXC.RATE_1),CURRENCY.FORMAT_1),CURRENCY.FORMAT_1,0)),'DICTIONARY-5'!$A$2)</f>
        <v>980,-</v>
      </c>
      <c r="M2414" s="670" t="str">
        <f>IF(EXC.RATE_2=0,"",IFERROR(IF(CURRENCY.FORMAT_2=0,CONCATENATE(TEXT(FIXED(ROUND(IF(EXC.RATE.SWITCH=1,C2414*(1-I2414)*(1-ADD.DISCOUNT)*(1+MAT.SURCHARGE)/EXC.RATE_2,C2414*(1-I2414)*(1-ADD.DISCOUNT)*(1+MAT.SURCHARGE)*EXC.RATE_2),CURRENCY.FORMAT_2),CURRENCY.FORMAT_2,1),"# ##0;-# ##0"),",-"),FIXED(ROUND(IF(EXC.RATE.SWITCH=1,C2414*(1-I2414)*(1-ADD.DISCOUNT)*(1+MAT.SURCHARGE)/EXC.RATE_2,C2414*(1-I2414)*(1-ADD.DISCOUNT)*(1+MAT.SURCHARGE)*EXC.RATE_2),CURRENCY.FORMAT_2),CURRENCY.FORMAT_2,0)),'DICTIONARY-5'!$A$2))</f>
        <v/>
      </c>
      <c r="N2414" s="537">
        <v>11</v>
      </c>
      <c r="O2414" s="537"/>
      <c r="P2414" s="732" t="str">
        <f>'DICTIONARY-3'!$A$137</f>
        <v>TELEMAX EG</v>
      </c>
      <c r="Q2414" s="732" t="str">
        <f>'DICTIONARY-3'!$A$219</f>
        <v>Obudowa ziemna</v>
      </c>
      <c r="R2414" s="732" t="str">
        <f>CONCATENATE('DICTIONARY-3'!$A$137," ",'DICTIONARY-6'!$A$12," ",'DICTIONARY-2'!$A$7,"4,5-5,7m ",'DICTIONARY-5'!$A$7," ",LOWER('DICTIONARY-6'!$A$3)," ",'DICTIONARY-2'!$A$2,"400")</f>
        <v>TELEMAX EG Obud. ziemn Rd4,5-5,7m dla zasuwa DN400</v>
      </c>
      <c r="S2414" s="733" t="s">
        <v>5569</v>
      </c>
      <c r="T2414" s="732" t="s">
        <v>5569</v>
      </c>
      <c r="U2414" s="734" t="s">
        <v>5754</v>
      </c>
      <c r="V2414" s="735"/>
      <c r="W2414" s="736"/>
      <c r="X2414" s="737"/>
      <c r="Y2414" s="745" t="s">
        <v>5664</v>
      </c>
      <c r="Z2414" s="747"/>
      <c r="AA2414" s="747"/>
      <c r="AB2414" s="740"/>
      <c r="AC2414" s="741"/>
      <c r="AD2414" s="741"/>
      <c r="AE2414" s="742"/>
      <c r="AF2414" s="743">
        <v>14.1</v>
      </c>
      <c r="AG2414" s="741" t="s">
        <v>5569</v>
      </c>
    </row>
    <row r="2415" spans="1:33" x14ac:dyDescent="0.25">
      <c r="A2415" s="877" t="s">
        <v>4919</v>
      </c>
      <c r="B2415" s="877" t="s">
        <v>2345</v>
      </c>
      <c r="C2415" s="836">
        <v>652</v>
      </c>
      <c r="D2415" s="836"/>
      <c r="E2415" s="836"/>
      <c r="F2415" s="836"/>
      <c r="G2415" s="496" t="s">
        <v>7846</v>
      </c>
      <c r="H2415" s="797" t="str">
        <f>VLOOKUP(G2415,SETTINGS!$B$7:$D$97,2,0)</f>
        <v>Telemax Niro/PATENTplus/VA-TELESKOP</v>
      </c>
      <c r="I2415" s="796">
        <f>VLOOKUP(G2415,SETTINGS!$B$7:$D$97,3,0)</f>
        <v>0</v>
      </c>
      <c r="J2415" s="670" t="str">
        <f>IFERROR(IF(CURRENCY.FORMAT_1=0,CONCATENATE(TEXT(FIXED(ROUND((C2415/EXC.RATE_1),CURRENCY.FORMAT_1),CURRENCY.FORMAT_1,1),"# ##0;-# ##0"),",-"),FIXED(ROUND((C2415/EXC.RATE_1),CURRENCY.FORMAT_1),CURRENCY.FORMAT_1,0)),'DICTIONARY-5'!$A$2)</f>
        <v>652,-</v>
      </c>
      <c r="K2415" s="670" t="str">
        <f>IF(EXC.RATE_2=0,"",IFERROR(IF(CURRENCY.FORMAT_2=0,CONCATENATE(TEXT(FIXED(ROUND(IF(EXC.RATE.SWITCH=1,C2415/EXC.RATE_2,C2415*EXC.RATE_2),CURRENCY.FORMAT_2),CURRENCY.FORMAT_2,1),"# ##0;-# ##0"),",-"),FIXED(ROUND(IF(EXC.RATE.SWITCH=1,C2415/EXC.RATE_2,C2415*EXC.RATE_2),CURRENCY.FORMAT_2),CURRENCY.FORMAT_2,0)),'DICTIONARY-5'!$A$2))</f>
        <v/>
      </c>
      <c r="L2415" s="670" t="str">
        <f>IFERROR(IF(CURRENCY.FORMAT_1=0,CONCATENATE(TEXT(FIXED(ROUND((C2415*(1-I2415)*(1-ADD.DISCOUNT)*(1+MAT.SURCHARGE)/EXC.RATE_1),CURRENCY.FORMAT_1),CURRENCY.FORMAT_1,1),"# ##0;-# ##0"),",-"),FIXED(ROUND((C2415*(1-I2415)*(1-ADD.DISCOUNT)*(1+MAT.SURCHARGE)/EXC.RATE_1),CURRENCY.FORMAT_1),CURRENCY.FORMAT_1,0)),'DICTIONARY-5'!$A$2)</f>
        <v>677,-</v>
      </c>
      <c r="M2415" s="670" t="str">
        <f>IF(EXC.RATE_2=0,"",IFERROR(IF(CURRENCY.FORMAT_2=0,CONCATENATE(TEXT(FIXED(ROUND(IF(EXC.RATE.SWITCH=1,C2415*(1-I2415)*(1-ADD.DISCOUNT)*(1+MAT.SURCHARGE)/EXC.RATE_2,C2415*(1-I2415)*(1-ADD.DISCOUNT)*(1+MAT.SURCHARGE)*EXC.RATE_2),CURRENCY.FORMAT_2),CURRENCY.FORMAT_2,1),"# ##0;-# ##0"),",-"),FIXED(ROUND(IF(EXC.RATE.SWITCH=1,C2415*(1-I2415)*(1-ADD.DISCOUNT)*(1+MAT.SURCHARGE)/EXC.RATE_2,C2415*(1-I2415)*(1-ADD.DISCOUNT)*(1+MAT.SURCHARGE)*EXC.RATE_2),CURRENCY.FORMAT_2),CURRENCY.FORMAT_2,0)),'DICTIONARY-5'!$A$2))</f>
        <v/>
      </c>
      <c r="N2415" s="537">
        <v>11</v>
      </c>
      <c r="O2415" s="537"/>
      <c r="P2415" s="732" t="str">
        <f>'DICTIONARY-3'!$A$137</f>
        <v>TELEMAX EG</v>
      </c>
      <c r="Q2415" s="732" t="str">
        <f>'DICTIONARY-3'!$A$219</f>
        <v>Obudowa ziemna</v>
      </c>
      <c r="R2415" s="732" t="str">
        <f>CONCATENATE('DICTIONARY-3'!$A$137," ",'DICTIONARY-6'!$A$12," ",'DICTIONARY-2'!$A$7,"1,6-1,9m ",'DICTIONARY-5'!$A$7," ",LOWER('DICTIONARY-6'!$A$3)," ",'DICTIONARY-2'!$A$2,"500")</f>
        <v>TELEMAX EG Obud. ziemn Rd1,6-1,9m dla zasuwa DN500</v>
      </c>
      <c r="S2415" s="733" t="s">
        <v>5569</v>
      </c>
      <c r="T2415" s="732" t="s">
        <v>5569</v>
      </c>
      <c r="U2415" s="734" t="s">
        <v>5756</v>
      </c>
      <c r="V2415" s="735"/>
      <c r="W2415" s="736"/>
      <c r="X2415" s="737"/>
      <c r="Y2415" s="745" t="s">
        <v>5665</v>
      </c>
      <c r="Z2415" s="747"/>
      <c r="AA2415" s="747"/>
      <c r="AB2415" s="740"/>
      <c r="AC2415" s="741"/>
      <c r="AD2415" s="741"/>
      <c r="AE2415" s="742"/>
      <c r="AF2415" s="743">
        <v>3.5</v>
      </c>
      <c r="AG2415" s="741" t="s">
        <v>5569</v>
      </c>
    </row>
    <row r="2416" spans="1:33" x14ac:dyDescent="0.25">
      <c r="A2416" s="877" t="s">
        <v>4920</v>
      </c>
      <c r="B2416" s="877" t="s">
        <v>2347</v>
      </c>
      <c r="C2416" s="836">
        <v>588</v>
      </c>
      <c r="D2416" s="836"/>
      <c r="E2416" s="836"/>
      <c r="F2416" s="836"/>
      <c r="G2416" s="496" t="s">
        <v>7846</v>
      </c>
      <c r="H2416" s="797" t="str">
        <f>VLOOKUP(G2416,SETTINGS!$B$7:$D$97,2,0)</f>
        <v>Telemax Niro/PATENTplus/VA-TELESKOP</v>
      </c>
      <c r="I2416" s="796">
        <f>VLOOKUP(G2416,SETTINGS!$B$7:$D$97,3,0)</f>
        <v>0</v>
      </c>
      <c r="J2416" s="670" t="str">
        <f>IFERROR(IF(CURRENCY.FORMAT_1=0,CONCATENATE(TEXT(FIXED(ROUND((C2416/EXC.RATE_1),CURRENCY.FORMAT_1),CURRENCY.FORMAT_1,1),"# ##0;-# ##0"),",-"),FIXED(ROUND((C2416/EXC.RATE_1),CURRENCY.FORMAT_1),CURRENCY.FORMAT_1,0)),'DICTIONARY-5'!$A$2)</f>
        <v>588,-</v>
      </c>
      <c r="K2416" s="670" t="str">
        <f>IF(EXC.RATE_2=0,"",IFERROR(IF(CURRENCY.FORMAT_2=0,CONCATENATE(TEXT(FIXED(ROUND(IF(EXC.RATE.SWITCH=1,C2416/EXC.RATE_2,C2416*EXC.RATE_2),CURRENCY.FORMAT_2),CURRENCY.FORMAT_2,1),"# ##0;-# ##0"),",-"),FIXED(ROUND(IF(EXC.RATE.SWITCH=1,C2416/EXC.RATE_2,C2416*EXC.RATE_2),CURRENCY.FORMAT_2),CURRENCY.FORMAT_2,0)),'DICTIONARY-5'!$A$2))</f>
        <v/>
      </c>
      <c r="L2416" s="670" t="str">
        <f>IFERROR(IF(CURRENCY.FORMAT_1=0,CONCATENATE(TEXT(FIXED(ROUND((C2416*(1-I2416)*(1-ADD.DISCOUNT)*(1+MAT.SURCHARGE)/EXC.RATE_1),CURRENCY.FORMAT_1),CURRENCY.FORMAT_1,1),"# ##0;-# ##0"),",-"),FIXED(ROUND((C2416*(1-I2416)*(1-ADD.DISCOUNT)*(1+MAT.SURCHARGE)/EXC.RATE_1),CURRENCY.FORMAT_1),CURRENCY.FORMAT_1,0)),'DICTIONARY-5'!$A$2)</f>
        <v>611,-</v>
      </c>
      <c r="M2416" s="670" t="str">
        <f>IF(EXC.RATE_2=0,"",IFERROR(IF(CURRENCY.FORMAT_2=0,CONCATENATE(TEXT(FIXED(ROUND(IF(EXC.RATE.SWITCH=1,C2416*(1-I2416)*(1-ADD.DISCOUNT)*(1+MAT.SURCHARGE)/EXC.RATE_2,C2416*(1-I2416)*(1-ADD.DISCOUNT)*(1+MAT.SURCHARGE)*EXC.RATE_2),CURRENCY.FORMAT_2),CURRENCY.FORMAT_2,1),"# ##0;-# ##0"),",-"),FIXED(ROUND(IF(EXC.RATE.SWITCH=1,C2416*(1-I2416)*(1-ADD.DISCOUNT)*(1+MAT.SURCHARGE)/EXC.RATE_2,C2416*(1-I2416)*(1-ADD.DISCOUNT)*(1+MAT.SURCHARGE)*EXC.RATE_2),CURRENCY.FORMAT_2),CURRENCY.FORMAT_2,0)),'DICTIONARY-5'!$A$2))</f>
        <v/>
      </c>
      <c r="N2416" s="537">
        <v>11</v>
      </c>
      <c r="O2416" s="537"/>
      <c r="P2416" s="732" t="str">
        <f>'DICTIONARY-3'!$A$137</f>
        <v>TELEMAX EG</v>
      </c>
      <c r="Q2416" s="732" t="str">
        <f>'DICTIONARY-3'!$A$219</f>
        <v>Obudowa ziemna</v>
      </c>
      <c r="R2416" s="732" t="str">
        <f>CONCATENATE('DICTIONARY-3'!$A$137," ",'DICTIONARY-6'!$A$12," ",'DICTIONARY-2'!$A$7,"1,9-2,7m ",'DICTIONARY-5'!$A$7," ",LOWER('DICTIONARY-6'!$A$3)," ",'DICTIONARY-2'!$A$2,"500")</f>
        <v>TELEMAX EG Obud. ziemn Rd1,9-2,7m dla zasuwa DN500</v>
      </c>
      <c r="S2416" s="733" t="s">
        <v>5569</v>
      </c>
      <c r="T2416" s="732" t="s">
        <v>5569</v>
      </c>
      <c r="U2416" s="734" t="s">
        <v>5756</v>
      </c>
      <c r="V2416" s="735"/>
      <c r="W2416" s="736"/>
      <c r="X2416" s="737"/>
      <c r="Y2416" s="745" t="s">
        <v>5666</v>
      </c>
      <c r="Z2416" s="747"/>
      <c r="AA2416" s="747"/>
      <c r="AB2416" s="740"/>
      <c r="AC2416" s="741"/>
      <c r="AD2416" s="741"/>
      <c r="AE2416" s="742"/>
      <c r="AF2416" s="743">
        <v>5.5</v>
      </c>
      <c r="AG2416" s="741" t="s">
        <v>5569</v>
      </c>
    </row>
    <row r="2417" spans="1:33" x14ac:dyDescent="0.25">
      <c r="A2417" s="877" t="s">
        <v>4917</v>
      </c>
      <c r="B2417" s="877" t="s">
        <v>2348</v>
      </c>
      <c r="C2417" s="836" t="s">
        <v>5967</v>
      </c>
      <c r="D2417" s="836"/>
      <c r="E2417" s="836"/>
      <c r="F2417" s="836"/>
      <c r="G2417" s="496" t="s">
        <v>7846</v>
      </c>
      <c r="H2417" s="797" t="str">
        <f>VLOOKUP(G2417,SETTINGS!$B$7:$D$97,2,0)</f>
        <v>Telemax Niro/PATENTplus/VA-TELESKOP</v>
      </c>
      <c r="I2417" s="796">
        <f>VLOOKUP(G2417,SETTINGS!$B$7:$D$97,3,0)</f>
        <v>0</v>
      </c>
      <c r="J2417" s="670" t="str">
        <f>IFERROR(IF(CURRENCY.FORMAT_1=0,CONCATENATE(TEXT(FIXED(ROUND((C2417/EXC.RATE_1),CURRENCY.FORMAT_1),CURRENCY.FORMAT_1,1),"# ##0;-# ##0"),",-"),FIXED(ROUND((C2417/EXC.RATE_1),CURRENCY.FORMAT_1),CURRENCY.FORMAT_1,0)),'DICTIONARY-5'!$A$2)</f>
        <v>na zapytanie</v>
      </c>
      <c r="K2417" s="670" t="str">
        <f>IF(EXC.RATE_2=0,"",IFERROR(IF(CURRENCY.FORMAT_2=0,CONCATENATE(TEXT(FIXED(ROUND(IF(EXC.RATE.SWITCH=1,C2417/EXC.RATE_2,C2417*EXC.RATE_2),CURRENCY.FORMAT_2),CURRENCY.FORMAT_2,1),"# ##0;-# ##0"),",-"),FIXED(ROUND(IF(EXC.RATE.SWITCH=1,C2417/EXC.RATE_2,C2417*EXC.RATE_2),CURRENCY.FORMAT_2),CURRENCY.FORMAT_2,0)),'DICTIONARY-5'!$A$2))</f>
        <v/>
      </c>
      <c r="L2417" s="670" t="str">
        <f>IFERROR(IF(CURRENCY.FORMAT_1=0,CONCATENATE(TEXT(FIXED(ROUND((C2417*(1-I2417)*(1-ADD.DISCOUNT)*(1+MAT.SURCHARGE)/EXC.RATE_1),CURRENCY.FORMAT_1),CURRENCY.FORMAT_1,1),"# ##0;-# ##0"),",-"),FIXED(ROUND((C2417*(1-I2417)*(1-ADD.DISCOUNT)*(1+MAT.SURCHARGE)/EXC.RATE_1),CURRENCY.FORMAT_1),CURRENCY.FORMAT_1,0)),'DICTIONARY-5'!$A$2)</f>
        <v>na zapytanie</v>
      </c>
      <c r="M2417" s="670" t="str">
        <f>IF(EXC.RATE_2=0,"",IFERROR(IF(CURRENCY.FORMAT_2=0,CONCATENATE(TEXT(FIXED(ROUND(IF(EXC.RATE.SWITCH=1,C2417*(1-I2417)*(1-ADD.DISCOUNT)*(1+MAT.SURCHARGE)/EXC.RATE_2,C2417*(1-I2417)*(1-ADD.DISCOUNT)*(1+MAT.SURCHARGE)*EXC.RATE_2),CURRENCY.FORMAT_2),CURRENCY.FORMAT_2,1),"# ##0;-# ##0"),",-"),FIXED(ROUND(IF(EXC.RATE.SWITCH=1,C2417*(1-I2417)*(1-ADD.DISCOUNT)*(1+MAT.SURCHARGE)/EXC.RATE_2,C2417*(1-I2417)*(1-ADD.DISCOUNT)*(1+MAT.SURCHARGE)*EXC.RATE_2),CURRENCY.FORMAT_2),CURRENCY.FORMAT_2,0)),'DICTIONARY-5'!$A$2))</f>
        <v/>
      </c>
      <c r="N2417" s="537">
        <v>11</v>
      </c>
      <c r="O2417" s="537"/>
      <c r="P2417" s="732" t="str">
        <f>'DICTIONARY-3'!$A$137</f>
        <v>TELEMAX EG</v>
      </c>
      <c r="Q2417" s="732" t="str">
        <f>'DICTIONARY-3'!$A$219</f>
        <v>Obudowa ziemna</v>
      </c>
      <c r="R2417" s="732" t="str">
        <f>CONCATENATE('DICTIONARY-3'!$A$137," ",'DICTIONARY-6'!$A$12," ",'DICTIONARY-2'!$A$7,"1,5-1,8m ",'DICTIONARY-5'!$A$7," ",LOWER('DICTIONARY-6'!$A$3)," ",'DICTIONARY-2'!$A$2,"600")</f>
        <v>TELEMAX EG Obud. ziemn Rd1,5-1,8m dla zasuwa DN600</v>
      </c>
      <c r="S2417" s="733" t="s">
        <v>5569</v>
      </c>
      <c r="T2417" s="732" t="s">
        <v>5569</v>
      </c>
      <c r="U2417" s="734" t="s">
        <v>5757</v>
      </c>
      <c r="V2417" s="735"/>
      <c r="W2417" s="736"/>
      <c r="X2417" s="737"/>
      <c r="Y2417" s="745" t="s">
        <v>5660</v>
      </c>
      <c r="Z2417" s="747"/>
      <c r="AA2417" s="747"/>
      <c r="AB2417" s="740"/>
      <c r="AC2417" s="741"/>
      <c r="AD2417" s="741"/>
      <c r="AE2417" s="742"/>
      <c r="AF2417" s="743">
        <v>10.7</v>
      </c>
      <c r="AG2417" s="741" t="s">
        <v>5569</v>
      </c>
    </row>
    <row r="2418" spans="1:33" x14ac:dyDescent="0.25">
      <c r="A2418" s="877" t="s">
        <v>4918</v>
      </c>
      <c r="B2418" s="877" t="s">
        <v>2349</v>
      </c>
      <c r="C2418" s="836" t="s">
        <v>5967</v>
      </c>
      <c r="D2418" s="836"/>
      <c r="E2418" s="836"/>
      <c r="F2418" s="836"/>
      <c r="G2418" s="496" t="s">
        <v>7846</v>
      </c>
      <c r="H2418" s="797" t="str">
        <f>VLOOKUP(G2418,SETTINGS!$B$7:$D$97,2,0)</f>
        <v>Telemax Niro/PATENTplus/VA-TELESKOP</v>
      </c>
      <c r="I2418" s="796">
        <f>VLOOKUP(G2418,SETTINGS!$B$7:$D$97,3,0)</f>
        <v>0</v>
      </c>
      <c r="J2418" s="670" t="str">
        <f>IFERROR(IF(CURRENCY.FORMAT_1=0,CONCATENATE(TEXT(FIXED(ROUND((C2418/EXC.RATE_1),CURRENCY.FORMAT_1),CURRENCY.FORMAT_1,1),"# ##0;-# ##0"),",-"),FIXED(ROUND((C2418/EXC.RATE_1),CURRENCY.FORMAT_1),CURRENCY.FORMAT_1,0)),'DICTIONARY-5'!$A$2)</f>
        <v>na zapytanie</v>
      </c>
      <c r="K2418" s="670" t="str">
        <f>IF(EXC.RATE_2=0,"",IFERROR(IF(CURRENCY.FORMAT_2=0,CONCATENATE(TEXT(FIXED(ROUND(IF(EXC.RATE.SWITCH=1,C2418/EXC.RATE_2,C2418*EXC.RATE_2),CURRENCY.FORMAT_2),CURRENCY.FORMAT_2,1),"# ##0;-# ##0"),",-"),FIXED(ROUND(IF(EXC.RATE.SWITCH=1,C2418/EXC.RATE_2,C2418*EXC.RATE_2),CURRENCY.FORMAT_2),CURRENCY.FORMAT_2,0)),'DICTIONARY-5'!$A$2))</f>
        <v/>
      </c>
      <c r="L2418" s="670" t="str">
        <f>IFERROR(IF(CURRENCY.FORMAT_1=0,CONCATENATE(TEXT(FIXED(ROUND((C2418*(1-I2418)*(1-ADD.DISCOUNT)*(1+MAT.SURCHARGE)/EXC.RATE_1),CURRENCY.FORMAT_1),CURRENCY.FORMAT_1,1),"# ##0;-# ##0"),",-"),FIXED(ROUND((C2418*(1-I2418)*(1-ADD.DISCOUNT)*(1+MAT.SURCHARGE)/EXC.RATE_1),CURRENCY.FORMAT_1),CURRENCY.FORMAT_1,0)),'DICTIONARY-5'!$A$2)</f>
        <v>na zapytanie</v>
      </c>
      <c r="M2418" s="670" t="str">
        <f>IF(EXC.RATE_2=0,"",IFERROR(IF(CURRENCY.FORMAT_2=0,CONCATENATE(TEXT(FIXED(ROUND(IF(EXC.RATE.SWITCH=1,C2418*(1-I2418)*(1-ADD.DISCOUNT)*(1+MAT.SURCHARGE)/EXC.RATE_2,C2418*(1-I2418)*(1-ADD.DISCOUNT)*(1+MAT.SURCHARGE)*EXC.RATE_2),CURRENCY.FORMAT_2),CURRENCY.FORMAT_2,1),"# ##0;-# ##0"),",-"),FIXED(ROUND(IF(EXC.RATE.SWITCH=1,C2418*(1-I2418)*(1-ADD.DISCOUNT)*(1+MAT.SURCHARGE)/EXC.RATE_2,C2418*(1-I2418)*(1-ADD.DISCOUNT)*(1+MAT.SURCHARGE)*EXC.RATE_2),CURRENCY.FORMAT_2),CURRENCY.FORMAT_2,0)),'DICTIONARY-5'!$A$2))</f>
        <v/>
      </c>
      <c r="N2418" s="537">
        <v>11</v>
      </c>
      <c r="O2418" s="537"/>
      <c r="P2418" s="732" t="str">
        <f>'DICTIONARY-3'!$A$137</f>
        <v>TELEMAX EG</v>
      </c>
      <c r="Q2418" s="732" t="str">
        <f>'DICTIONARY-3'!$A$219</f>
        <v>Obudowa ziemna</v>
      </c>
      <c r="R2418" s="732" t="str">
        <f>CONCATENATE('DICTIONARY-3'!$A$137," ",'DICTIONARY-6'!$A$12," ",'DICTIONARY-2'!$A$7,"1,8-2,5m ",'DICTIONARY-5'!$A$7," ",LOWER('DICTIONARY-6'!$A$3)," ",'DICTIONARY-2'!$A$2,"600")</f>
        <v>TELEMAX EG Obud. ziemn Rd1,8-2,5m dla zasuwa DN600</v>
      </c>
      <c r="S2418" s="733" t="s">
        <v>5569</v>
      </c>
      <c r="T2418" s="732" t="s">
        <v>5569</v>
      </c>
      <c r="U2418" s="734" t="s">
        <v>5757</v>
      </c>
      <c r="V2418" s="735"/>
      <c r="W2418" s="736"/>
      <c r="X2418" s="737"/>
      <c r="Y2418" s="745" t="s">
        <v>5667</v>
      </c>
      <c r="Z2418" s="747"/>
      <c r="AA2418" s="747"/>
      <c r="AB2418" s="740"/>
      <c r="AC2418" s="741"/>
      <c r="AD2418" s="741"/>
      <c r="AE2418" s="742"/>
      <c r="AF2418" s="743">
        <v>10.7</v>
      </c>
      <c r="AG2418" s="741" t="s">
        <v>5569</v>
      </c>
    </row>
    <row r="2419" spans="1:33" x14ac:dyDescent="0.25">
      <c r="A2419" s="854" t="s">
        <v>2283</v>
      </c>
      <c r="B2419" s="854" t="s">
        <v>4651</v>
      </c>
      <c r="C2419" s="836">
        <v>136</v>
      </c>
      <c r="D2419" s="836"/>
      <c r="E2419" s="836"/>
      <c r="F2419" s="836"/>
      <c r="G2419" s="496" t="s">
        <v>7846</v>
      </c>
      <c r="H2419" s="797" t="str">
        <f>VLOOKUP(G2419,SETTINGS!$B$7:$D$97,2,0)</f>
        <v>Telemax Niro/PATENTplus/VA-TELESKOP</v>
      </c>
      <c r="I2419" s="796">
        <f>VLOOKUP(G2419,SETTINGS!$B$7:$D$97,3,0)</f>
        <v>0</v>
      </c>
      <c r="J2419" s="670" t="str">
        <f>IFERROR(IF(CURRENCY.FORMAT_1=0,CONCATENATE(TEXT(FIXED(ROUND((C2419/EXC.RATE_1),CURRENCY.FORMAT_1),CURRENCY.FORMAT_1,1),"# ##0;-# ##0"),",-"),FIXED(ROUND((C2419/EXC.RATE_1),CURRENCY.FORMAT_1),CURRENCY.FORMAT_1,0)),'DICTIONARY-5'!$A$2)</f>
        <v>136,-</v>
      </c>
      <c r="K2419" s="670" t="str">
        <f>IF(EXC.RATE_2=0,"",IFERROR(IF(CURRENCY.FORMAT_2=0,CONCATENATE(TEXT(FIXED(ROUND(IF(EXC.RATE.SWITCH=1,C2419/EXC.RATE_2,C2419*EXC.RATE_2),CURRENCY.FORMAT_2),CURRENCY.FORMAT_2,1),"# ##0;-# ##0"),",-"),FIXED(ROUND(IF(EXC.RATE.SWITCH=1,C2419/EXC.RATE_2,C2419*EXC.RATE_2),CURRENCY.FORMAT_2),CURRENCY.FORMAT_2,0)),'DICTIONARY-5'!$A$2))</f>
        <v/>
      </c>
      <c r="L2419" s="670" t="str">
        <f>IFERROR(IF(CURRENCY.FORMAT_1=0,CONCATENATE(TEXT(FIXED(ROUND((C2419*(1-I2419)*(1-ADD.DISCOUNT)*(1+MAT.SURCHARGE)/EXC.RATE_1),CURRENCY.FORMAT_1),CURRENCY.FORMAT_1,1),"# ##0;-# ##0"),",-"),FIXED(ROUND((C2419*(1-I2419)*(1-ADD.DISCOUNT)*(1+MAT.SURCHARGE)/EXC.RATE_1),CURRENCY.FORMAT_1),CURRENCY.FORMAT_1,0)),'DICTIONARY-5'!$A$2)</f>
        <v>141,-</v>
      </c>
      <c r="M2419" s="670" t="str">
        <f>IF(EXC.RATE_2=0,"",IFERROR(IF(CURRENCY.FORMAT_2=0,CONCATENATE(TEXT(FIXED(ROUND(IF(EXC.RATE.SWITCH=1,C2419*(1-I2419)*(1-ADD.DISCOUNT)*(1+MAT.SURCHARGE)/EXC.RATE_2,C2419*(1-I2419)*(1-ADD.DISCOUNT)*(1+MAT.SURCHARGE)*EXC.RATE_2),CURRENCY.FORMAT_2),CURRENCY.FORMAT_2,1),"# ##0;-# ##0"),",-"),FIXED(ROUND(IF(EXC.RATE.SWITCH=1,C2419*(1-I2419)*(1-ADD.DISCOUNT)*(1+MAT.SURCHARGE)/EXC.RATE_2,C2419*(1-I2419)*(1-ADD.DISCOUNT)*(1+MAT.SURCHARGE)*EXC.RATE_2),CURRENCY.FORMAT_2),CURRENCY.FORMAT_2,0)),'DICTIONARY-5'!$A$2))</f>
        <v/>
      </c>
      <c r="N2419" s="537">
        <v>11</v>
      </c>
      <c r="O2419" s="537"/>
      <c r="P2419" s="732" t="str">
        <f>'DICTIONARY-3'!$A$138</f>
        <v>VA-TELESKOP</v>
      </c>
      <c r="Q2419" s="732" t="str">
        <f>'DICTIONARY-3'!$A$219</f>
        <v>Obudowa ziemna</v>
      </c>
      <c r="R2419" s="732" t="str">
        <f>CONCATENATE('DICTIONARY-3'!$A$138," ",'DICTIONARY-6'!$A$12," ",'DICTIONARY-2'!$A$7,"0,9-1,3m ",'DICTIONARY-5'!$A$7," ",'DICTIONARY-3'!$A$144," ",'DICTIONARY-2'!$A$2,"150-350"," + ","AUMA GS 50.3, d16")</f>
        <v>VA-TELESKOP Obud. ziemn Rd0,9-1,3m dla EKN DN150-350 + AUMA GS 50.3, d16</v>
      </c>
      <c r="S2419" s="733" t="s">
        <v>5569</v>
      </c>
      <c r="T2419" s="732" t="s">
        <v>5569</v>
      </c>
      <c r="U2419" s="734" t="s">
        <v>6020</v>
      </c>
      <c r="V2419" s="735"/>
      <c r="W2419" s="736"/>
      <c r="X2419" s="737"/>
      <c r="Y2419" s="745" t="s">
        <v>5657</v>
      </c>
      <c r="Z2419" s="747"/>
      <c r="AA2419" s="747"/>
      <c r="AB2419" s="740"/>
      <c r="AC2419" s="741"/>
      <c r="AD2419" s="741"/>
      <c r="AE2419" s="742"/>
      <c r="AF2419" s="743">
        <v>2</v>
      </c>
      <c r="AG2419" s="741" t="s">
        <v>5569</v>
      </c>
    </row>
    <row r="2420" spans="1:33" x14ac:dyDescent="0.25">
      <c r="A2420" s="854" t="s">
        <v>2289</v>
      </c>
      <c r="B2420" s="854" t="s">
        <v>4652</v>
      </c>
      <c r="C2420" s="836">
        <v>173</v>
      </c>
      <c r="D2420" s="836"/>
      <c r="E2420" s="836"/>
      <c r="F2420" s="836"/>
      <c r="G2420" s="496" t="s">
        <v>7846</v>
      </c>
      <c r="H2420" s="797" t="str">
        <f>VLOOKUP(G2420,SETTINGS!$B$7:$D$97,2,0)</f>
        <v>Telemax Niro/PATENTplus/VA-TELESKOP</v>
      </c>
      <c r="I2420" s="796">
        <f>VLOOKUP(G2420,SETTINGS!$B$7:$D$97,3,0)</f>
        <v>0</v>
      </c>
      <c r="J2420" s="670" t="str">
        <f>IFERROR(IF(CURRENCY.FORMAT_1=0,CONCATENATE(TEXT(FIXED(ROUND((C2420/EXC.RATE_1),CURRENCY.FORMAT_1),CURRENCY.FORMAT_1,1),"# ##0;-# ##0"),",-"),FIXED(ROUND((C2420/EXC.RATE_1),CURRENCY.FORMAT_1),CURRENCY.FORMAT_1,0)),'DICTIONARY-5'!$A$2)</f>
        <v>173,-</v>
      </c>
      <c r="K2420" s="670" t="str">
        <f>IF(EXC.RATE_2=0,"",IFERROR(IF(CURRENCY.FORMAT_2=0,CONCATENATE(TEXT(FIXED(ROUND(IF(EXC.RATE.SWITCH=1,C2420/EXC.RATE_2,C2420*EXC.RATE_2),CURRENCY.FORMAT_2),CURRENCY.FORMAT_2,1),"# ##0;-# ##0"),",-"),FIXED(ROUND(IF(EXC.RATE.SWITCH=1,C2420/EXC.RATE_2,C2420*EXC.RATE_2),CURRENCY.FORMAT_2),CURRENCY.FORMAT_2,0)),'DICTIONARY-5'!$A$2))</f>
        <v/>
      </c>
      <c r="L2420" s="670" t="str">
        <f>IFERROR(IF(CURRENCY.FORMAT_1=0,CONCATENATE(TEXT(FIXED(ROUND((C2420*(1-I2420)*(1-ADD.DISCOUNT)*(1+MAT.SURCHARGE)/EXC.RATE_1),CURRENCY.FORMAT_1),CURRENCY.FORMAT_1,1),"# ##0;-# ##0"),",-"),FIXED(ROUND((C2420*(1-I2420)*(1-ADD.DISCOUNT)*(1+MAT.SURCHARGE)/EXC.RATE_1),CURRENCY.FORMAT_1),CURRENCY.FORMAT_1,0)),'DICTIONARY-5'!$A$2)</f>
        <v>180,-</v>
      </c>
      <c r="M2420" s="670" t="str">
        <f>IF(EXC.RATE_2=0,"",IFERROR(IF(CURRENCY.FORMAT_2=0,CONCATENATE(TEXT(FIXED(ROUND(IF(EXC.RATE.SWITCH=1,C2420*(1-I2420)*(1-ADD.DISCOUNT)*(1+MAT.SURCHARGE)/EXC.RATE_2,C2420*(1-I2420)*(1-ADD.DISCOUNT)*(1+MAT.SURCHARGE)*EXC.RATE_2),CURRENCY.FORMAT_2),CURRENCY.FORMAT_2,1),"# ##0;-# ##0"),",-"),FIXED(ROUND(IF(EXC.RATE.SWITCH=1,C2420*(1-I2420)*(1-ADD.DISCOUNT)*(1+MAT.SURCHARGE)/EXC.RATE_2,C2420*(1-I2420)*(1-ADD.DISCOUNT)*(1+MAT.SURCHARGE)*EXC.RATE_2),CURRENCY.FORMAT_2),CURRENCY.FORMAT_2,0)),'DICTIONARY-5'!$A$2))</f>
        <v/>
      </c>
      <c r="N2420" s="537">
        <v>11</v>
      </c>
      <c r="O2420" s="537"/>
      <c r="P2420" s="732" t="str">
        <f>'DICTIONARY-3'!$A$138</f>
        <v>VA-TELESKOP</v>
      </c>
      <c r="Q2420" s="732" t="str">
        <f>'DICTIONARY-3'!$A$219</f>
        <v>Obudowa ziemna</v>
      </c>
      <c r="R2420" s="732" t="str">
        <f>CONCATENATE('DICTIONARY-3'!$A$138," ",'DICTIONARY-6'!$A$12," ",'DICTIONARY-2'!$A$7,"0,9-1,3m ",'DICTIONARY-5'!$A$7," ",'DICTIONARY-3'!$A$144," ",'DICTIONARY-2'!$A$2,"300-500"," + ","AUMA GS 100.3 / 125.3, d30")</f>
        <v>VA-TELESKOP Obud. ziemn Rd0,9-1,3m dla EKN DN300-500 + AUMA GS 100.3 / 125.3, d30</v>
      </c>
      <c r="S2420" s="733" t="s">
        <v>5569</v>
      </c>
      <c r="T2420" s="732" t="s">
        <v>5569</v>
      </c>
      <c r="U2420" s="734" t="s">
        <v>6021</v>
      </c>
      <c r="V2420" s="735"/>
      <c r="W2420" s="736"/>
      <c r="X2420" s="737"/>
      <c r="Y2420" s="745" t="s">
        <v>5657</v>
      </c>
      <c r="Z2420" s="747"/>
      <c r="AA2420" s="747"/>
      <c r="AB2420" s="740"/>
      <c r="AC2420" s="741"/>
      <c r="AD2420" s="741"/>
      <c r="AE2420" s="742"/>
      <c r="AF2420" s="743">
        <v>4</v>
      </c>
      <c r="AG2420" s="741" t="s">
        <v>5569</v>
      </c>
    </row>
    <row r="2421" spans="1:33" x14ac:dyDescent="0.25">
      <c r="A2421" s="854" t="s">
        <v>2292</v>
      </c>
      <c r="B2421" s="854" t="s">
        <v>4653</v>
      </c>
      <c r="C2421" s="836">
        <v>153</v>
      </c>
      <c r="D2421" s="836"/>
      <c r="E2421" s="836"/>
      <c r="F2421" s="836"/>
      <c r="G2421" s="496" t="s">
        <v>7846</v>
      </c>
      <c r="H2421" s="797" t="str">
        <f>VLOOKUP(G2421,SETTINGS!$B$7:$D$97,2,0)</f>
        <v>Telemax Niro/PATENTplus/VA-TELESKOP</v>
      </c>
      <c r="I2421" s="796">
        <f>VLOOKUP(G2421,SETTINGS!$B$7:$D$97,3,0)</f>
        <v>0</v>
      </c>
      <c r="J2421" s="670" t="str">
        <f>IFERROR(IF(CURRENCY.FORMAT_1=0,CONCATENATE(TEXT(FIXED(ROUND((C2421/EXC.RATE_1),CURRENCY.FORMAT_1),CURRENCY.FORMAT_1,1),"# ##0;-# ##0"),",-"),FIXED(ROUND((C2421/EXC.RATE_1),CURRENCY.FORMAT_1),CURRENCY.FORMAT_1,0)),'DICTIONARY-5'!$A$2)</f>
        <v>153,-</v>
      </c>
      <c r="K2421" s="670" t="str">
        <f>IF(EXC.RATE_2=0,"",IFERROR(IF(CURRENCY.FORMAT_2=0,CONCATENATE(TEXT(FIXED(ROUND(IF(EXC.RATE.SWITCH=1,C2421/EXC.RATE_2,C2421*EXC.RATE_2),CURRENCY.FORMAT_2),CURRENCY.FORMAT_2,1),"# ##0;-# ##0"),",-"),FIXED(ROUND(IF(EXC.RATE.SWITCH=1,C2421/EXC.RATE_2,C2421*EXC.RATE_2),CURRENCY.FORMAT_2),CURRENCY.FORMAT_2,0)),'DICTIONARY-5'!$A$2))</f>
        <v/>
      </c>
      <c r="L2421" s="670" t="str">
        <f>IFERROR(IF(CURRENCY.FORMAT_1=0,CONCATENATE(TEXT(FIXED(ROUND((C2421*(1-I2421)*(1-ADD.DISCOUNT)*(1+MAT.SURCHARGE)/EXC.RATE_1),CURRENCY.FORMAT_1),CURRENCY.FORMAT_1,1),"# ##0;-# ##0"),",-"),FIXED(ROUND((C2421*(1-I2421)*(1-ADD.DISCOUNT)*(1+MAT.SURCHARGE)/EXC.RATE_1),CURRENCY.FORMAT_1),CURRENCY.FORMAT_1,0)),'DICTIONARY-5'!$A$2)</f>
        <v>159,-</v>
      </c>
      <c r="M2421" s="670" t="str">
        <f>IF(EXC.RATE_2=0,"",IFERROR(IF(CURRENCY.FORMAT_2=0,CONCATENATE(TEXT(FIXED(ROUND(IF(EXC.RATE.SWITCH=1,C2421*(1-I2421)*(1-ADD.DISCOUNT)*(1+MAT.SURCHARGE)/EXC.RATE_2,C2421*(1-I2421)*(1-ADD.DISCOUNT)*(1+MAT.SURCHARGE)*EXC.RATE_2),CURRENCY.FORMAT_2),CURRENCY.FORMAT_2,1),"# ##0;-# ##0"),",-"),FIXED(ROUND(IF(EXC.RATE.SWITCH=1,C2421*(1-I2421)*(1-ADD.DISCOUNT)*(1+MAT.SURCHARGE)/EXC.RATE_2,C2421*(1-I2421)*(1-ADD.DISCOUNT)*(1+MAT.SURCHARGE)*EXC.RATE_2),CURRENCY.FORMAT_2),CURRENCY.FORMAT_2,0)),'DICTIONARY-5'!$A$2))</f>
        <v/>
      </c>
      <c r="N2421" s="537">
        <v>11</v>
      </c>
      <c r="O2421" s="537"/>
      <c r="P2421" s="732" t="str">
        <f>'DICTIONARY-3'!$A$138</f>
        <v>VA-TELESKOP</v>
      </c>
      <c r="Q2421" s="732" t="str">
        <f>'DICTIONARY-3'!$A$219</f>
        <v>Obudowa ziemna</v>
      </c>
      <c r="R2421" s="732" t="str">
        <f>CONCATENATE('DICTIONARY-3'!$A$138," ",'DICTIONARY-6'!$A$12," ",'DICTIONARY-2'!$A$7,"0,9-1-3m ",'DICTIONARY-5'!$A$7," ",'DICTIONARY-3'!$A$144," ",'DICTIONARY-2'!$A$2,"450-700"," + ","AUMA GS 100.3 VZ4 / 250.3 VZ4, d20")</f>
        <v>VA-TELESKOP Obud. ziemn Rd0,9-1-3m dla EKN DN450-700 + AUMA GS 100.3 VZ4 / 250.3 VZ4, d20</v>
      </c>
      <c r="S2421" s="733" t="s">
        <v>5569</v>
      </c>
      <c r="T2421" s="732" t="s">
        <v>5569</v>
      </c>
      <c r="U2421" s="734" t="s">
        <v>6022</v>
      </c>
      <c r="V2421" s="735"/>
      <c r="W2421" s="736"/>
      <c r="X2421" s="737"/>
      <c r="Y2421" s="745" t="s">
        <v>5657</v>
      </c>
      <c r="Z2421" s="747"/>
      <c r="AA2421" s="747"/>
      <c r="AB2421" s="740"/>
      <c r="AC2421" s="741"/>
      <c r="AD2421" s="741"/>
      <c r="AE2421" s="742"/>
      <c r="AF2421" s="743">
        <v>5</v>
      </c>
      <c r="AG2421" s="741" t="s">
        <v>5569</v>
      </c>
    </row>
    <row r="2422" spans="1:33" x14ac:dyDescent="0.25">
      <c r="A2422" s="854" t="s">
        <v>2286</v>
      </c>
      <c r="B2422" s="854" t="s">
        <v>4654</v>
      </c>
      <c r="C2422" s="836">
        <v>154</v>
      </c>
      <c r="D2422" s="836"/>
      <c r="E2422" s="836"/>
      <c r="F2422" s="836"/>
      <c r="G2422" s="496" t="s">
        <v>7846</v>
      </c>
      <c r="H2422" s="797" t="str">
        <f>VLOOKUP(G2422,SETTINGS!$B$7:$D$97,2,0)</f>
        <v>Telemax Niro/PATENTplus/VA-TELESKOP</v>
      </c>
      <c r="I2422" s="796">
        <f>VLOOKUP(G2422,SETTINGS!$B$7:$D$97,3,0)</f>
        <v>0</v>
      </c>
      <c r="J2422" s="670" t="str">
        <f>IFERROR(IF(CURRENCY.FORMAT_1=0,CONCATENATE(TEXT(FIXED(ROUND((C2422/EXC.RATE_1),CURRENCY.FORMAT_1),CURRENCY.FORMAT_1,1),"# ##0;-# ##0"),",-"),FIXED(ROUND((C2422/EXC.RATE_1),CURRENCY.FORMAT_1),CURRENCY.FORMAT_1,0)),'DICTIONARY-5'!$A$2)</f>
        <v>154,-</v>
      </c>
      <c r="K2422" s="670" t="str">
        <f>IF(EXC.RATE_2=0,"",IFERROR(IF(CURRENCY.FORMAT_2=0,CONCATENATE(TEXT(FIXED(ROUND(IF(EXC.RATE.SWITCH=1,C2422/EXC.RATE_2,C2422*EXC.RATE_2),CURRENCY.FORMAT_2),CURRENCY.FORMAT_2,1),"# ##0;-# ##0"),",-"),FIXED(ROUND(IF(EXC.RATE.SWITCH=1,C2422/EXC.RATE_2,C2422*EXC.RATE_2),CURRENCY.FORMAT_2),CURRENCY.FORMAT_2,0)),'DICTIONARY-5'!$A$2))</f>
        <v/>
      </c>
      <c r="L2422" s="670" t="str">
        <f>IFERROR(IF(CURRENCY.FORMAT_1=0,CONCATENATE(TEXT(FIXED(ROUND((C2422*(1-I2422)*(1-ADD.DISCOUNT)*(1+MAT.SURCHARGE)/EXC.RATE_1),CURRENCY.FORMAT_1),CURRENCY.FORMAT_1,1),"# ##0;-# ##0"),",-"),FIXED(ROUND((C2422*(1-I2422)*(1-ADD.DISCOUNT)*(1+MAT.SURCHARGE)/EXC.RATE_1),CURRENCY.FORMAT_1),CURRENCY.FORMAT_1,0)),'DICTIONARY-5'!$A$2)</f>
        <v>160,-</v>
      </c>
      <c r="M2422" s="670" t="str">
        <f>IF(EXC.RATE_2=0,"",IFERROR(IF(CURRENCY.FORMAT_2=0,CONCATENATE(TEXT(FIXED(ROUND(IF(EXC.RATE.SWITCH=1,C2422*(1-I2422)*(1-ADD.DISCOUNT)*(1+MAT.SURCHARGE)/EXC.RATE_2,C2422*(1-I2422)*(1-ADD.DISCOUNT)*(1+MAT.SURCHARGE)*EXC.RATE_2),CURRENCY.FORMAT_2),CURRENCY.FORMAT_2,1),"# ##0;-# ##0"),",-"),FIXED(ROUND(IF(EXC.RATE.SWITCH=1,C2422*(1-I2422)*(1-ADD.DISCOUNT)*(1+MAT.SURCHARGE)/EXC.RATE_2,C2422*(1-I2422)*(1-ADD.DISCOUNT)*(1+MAT.SURCHARGE)*EXC.RATE_2),CURRENCY.FORMAT_2),CURRENCY.FORMAT_2,0)),'DICTIONARY-5'!$A$2))</f>
        <v/>
      </c>
      <c r="N2422" s="537">
        <v>11</v>
      </c>
      <c r="O2422" s="537"/>
      <c r="P2422" s="732" t="str">
        <f>'DICTIONARY-3'!$A$138</f>
        <v>VA-TELESKOP</v>
      </c>
      <c r="Q2422" s="732" t="str">
        <f>'DICTIONARY-3'!$A$219</f>
        <v>Obudowa ziemna</v>
      </c>
      <c r="R2422" s="732" t="str">
        <f>CONCATENATE('DICTIONARY-3'!$A$138," ",'DICTIONARY-6'!$A$12," ",'DICTIONARY-2'!$A$7,"0,9-1,3m ",'DICTIONARY-5'!$A$7," ",'DICTIONARY-3'!$A$144," ",'DICTIONARY-2'!$A$2,"450-1800"," + ","AUMA GS 63.3 / 80.3, d20")</f>
        <v>VA-TELESKOP Obud. ziemn Rd0,9-1,3m dla EKN DN450-1800 + AUMA GS 63.3 / 80.3, d20</v>
      </c>
      <c r="S2422" s="733" t="s">
        <v>5569</v>
      </c>
      <c r="T2422" s="732" t="s">
        <v>5569</v>
      </c>
      <c r="U2422" s="734" t="s">
        <v>6023</v>
      </c>
      <c r="V2422" s="735"/>
      <c r="W2422" s="736"/>
      <c r="X2422" s="737"/>
      <c r="Y2422" s="745" t="s">
        <v>5657</v>
      </c>
      <c r="Z2422" s="747"/>
      <c r="AA2422" s="747"/>
      <c r="AB2422" s="740"/>
      <c r="AC2422" s="741"/>
      <c r="AD2422" s="741"/>
      <c r="AE2422" s="742"/>
      <c r="AF2422" s="743">
        <v>2.5</v>
      </c>
      <c r="AG2422" s="741" t="s">
        <v>5569</v>
      </c>
    </row>
    <row r="2423" spans="1:33" x14ac:dyDescent="0.25">
      <c r="A2423" s="854" t="s">
        <v>2290</v>
      </c>
      <c r="B2423" s="854" t="s">
        <v>4655</v>
      </c>
      <c r="C2423" s="836">
        <v>210</v>
      </c>
      <c r="D2423" s="836"/>
      <c r="E2423" s="836"/>
      <c r="F2423" s="836"/>
      <c r="G2423" s="496" t="s">
        <v>7846</v>
      </c>
      <c r="H2423" s="797" t="str">
        <f>VLOOKUP(G2423,SETTINGS!$B$7:$D$97,2,0)</f>
        <v>Telemax Niro/PATENTplus/VA-TELESKOP</v>
      </c>
      <c r="I2423" s="796">
        <f>VLOOKUP(G2423,SETTINGS!$B$7:$D$97,3,0)</f>
        <v>0</v>
      </c>
      <c r="J2423" s="670" t="str">
        <f>IFERROR(IF(CURRENCY.FORMAT_1=0,CONCATENATE(TEXT(FIXED(ROUND((C2423/EXC.RATE_1),CURRENCY.FORMAT_1),CURRENCY.FORMAT_1,1),"# ##0;-# ##0"),",-"),FIXED(ROUND((C2423/EXC.RATE_1),CURRENCY.FORMAT_1),CURRENCY.FORMAT_1,0)),'DICTIONARY-5'!$A$2)</f>
        <v>210,-</v>
      </c>
      <c r="K2423" s="670" t="str">
        <f>IF(EXC.RATE_2=0,"",IFERROR(IF(CURRENCY.FORMAT_2=0,CONCATENATE(TEXT(FIXED(ROUND(IF(EXC.RATE.SWITCH=1,C2423/EXC.RATE_2,C2423*EXC.RATE_2),CURRENCY.FORMAT_2),CURRENCY.FORMAT_2,1),"# ##0;-# ##0"),",-"),FIXED(ROUND(IF(EXC.RATE.SWITCH=1,C2423/EXC.RATE_2,C2423*EXC.RATE_2),CURRENCY.FORMAT_2),CURRENCY.FORMAT_2,0)),'DICTIONARY-5'!$A$2))</f>
        <v/>
      </c>
      <c r="L2423" s="670" t="str">
        <f>IFERROR(IF(CURRENCY.FORMAT_1=0,CONCATENATE(TEXT(FIXED(ROUND((C2423*(1-I2423)*(1-ADD.DISCOUNT)*(1+MAT.SURCHARGE)/EXC.RATE_1),CURRENCY.FORMAT_1),CURRENCY.FORMAT_1,1),"# ##0;-# ##0"),",-"),FIXED(ROUND((C2423*(1-I2423)*(1-ADD.DISCOUNT)*(1+MAT.SURCHARGE)/EXC.RATE_1),CURRENCY.FORMAT_1),CURRENCY.FORMAT_1,0)),'DICTIONARY-5'!$A$2)</f>
        <v>218,-</v>
      </c>
      <c r="M2423" s="670" t="str">
        <f>IF(EXC.RATE_2=0,"",IFERROR(IF(CURRENCY.FORMAT_2=0,CONCATENATE(TEXT(FIXED(ROUND(IF(EXC.RATE.SWITCH=1,C2423*(1-I2423)*(1-ADD.DISCOUNT)*(1+MAT.SURCHARGE)/EXC.RATE_2,C2423*(1-I2423)*(1-ADD.DISCOUNT)*(1+MAT.SURCHARGE)*EXC.RATE_2),CURRENCY.FORMAT_2),CURRENCY.FORMAT_2,1),"# ##0;-# ##0"),",-"),FIXED(ROUND(IF(EXC.RATE.SWITCH=1,C2423*(1-I2423)*(1-ADD.DISCOUNT)*(1+MAT.SURCHARGE)/EXC.RATE_2,C2423*(1-I2423)*(1-ADD.DISCOUNT)*(1+MAT.SURCHARGE)*EXC.RATE_2),CURRENCY.FORMAT_2),CURRENCY.FORMAT_2,0)),'DICTIONARY-5'!$A$2))</f>
        <v/>
      </c>
      <c r="N2423" s="537">
        <v>11</v>
      </c>
      <c r="O2423" s="537"/>
      <c r="P2423" s="732" t="str">
        <f>'DICTIONARY-3'!$A$138</f>
        <v>VA-TELESKOP</v>
      </c>
      <c r="Q2423" s="732" t="str">
        <f>'DICTIONARY-3'!$A$219</f>
        <v>Obudowa ziemna</v>
      </c>
      <c r="R2423" s="732" t="str">
        <f>CONCATENATE('DICTIONARY-3'!$A$138," ",'DICTIONARY-6'!$A$12," ",'DICTIONARY-2'!$A$7,"1,2-1,8m ",'DICTIONARY-5'!$A$7," ",'DICTIONARY-3'!$A$144," ",'DICTIONARY-2'!$A$2,"150-350"," + ","AUMA GS 100.3 / 125.3, d30")</f>
        <v>VA-TELESKOP Obud. ziemn Rd1,2-1,8m dla EKN DN150-350 + AUMA GS 100.3 / 125.3, d30</v>
      </c>
      <c r="S2423" s="733" t="s">
        <v>5569</v>
      </c>
      <c r="T2423" s="732" t="s">
        <v>5569</v>
      </c>
      <c r="U2423" s="734" t="s">
        <v>6020</v>
      </c>
      <c r="V2423" s="735"/>
      <c r="W2423" s="736"/>
      <c r="X2423" s="737"/>
      <c r="Y2423" s="745" t="s">
        <v>5658</v>
      </c>
      <c r="Z2423" s="747"/>
      <c r="AA2423" s="747"/>
      <c r="AB2423" s="740"/>
      <c r="AC2423" s="741"/>
      <c r="AD2423" s="741"/>
      <c r="AE2423" s="742"/>
      <c r="AF2423" s="743">
        <v>4.5</v>
      </c>
      <c r="AG2423" s="741" t="s">
        <v>5569</v>
      </c>
    </row>
    <row r="2424" spans="1:33" x14ac:dyDescent="0.25">
      <c r="A2424" s="854" t="s">
        <v>2284</v>
      </c>
      <c r="B2424" s="854" t="s">
        <v>4656</v>
      </c>
      <c r="C2424" s="836">
        <v>144</v>
      </c>
      <c r="D2424" s="836"/>
      <c r="E2424" s="836"/>
      <c r="F2424" s="836"/>
      <c r="G2424" s="496" t="s">
        <v>7846</v>
      </c>
      <c r="H2424" s="797" t="str">
        <f>VLOOKUP(G2424,SETTINGS!$B$7:$D$97,2,0)</f>
        <v>Telemax Niro/PATENTplus/VA-TELESKOP</v>
      </c>
      <c r="I2424" s="796">
        <f>VLOOKUP(G2424,SETTINGS!$B$7:$D$97,3,0)</f>
        <v>0</v>
      </c>
      <c r="J2424" s="670" t="str">
        <f>IFERROR(IF(CURRENCY.FORMAT_1=0,CONCATENATE(TEXT(FIXED(ROUND((C2424/EXC.RATE_1),CURRENCY.FORMAT_1),CURRENCY.FORMAT_1,1),"# ##0;-# ##0"),",-"),FIXED(ROUND((C2424/EXC.RATE_1),CURRENCY.FORMAT_1),CURRENCY.FORMAT_1,0)),'DICTIONARY-5'!$A$2)</f>
        <v>144,-</v>
      </c>
      <c r="K2424" s="670" t="str">
        <f>IF(EXC.RATE_2=0,"",IFERROR(IF(CURRENCY.FORMAT_2=0,CONCATENATE(TEXT(FIXED(ROUND(IF(EXC.RATE.SWITCH=1,C2424/EXC.RATE_2,C2424*EXC.RATE_2),CURRENCY.FORMAT_2),CURRENCY.FORMAT_2,1),"# ##0;-# ##0"),",-"),FIXED(ROUND(IF(EXC.RATE.SWITCH=1,C2424/EXC.RATE_2,C2424*EXC.RATE_2),CURRENCY.FORMAT_2),CURRENCY.FORMAT_2,0)),'DICTIONARY-5'!$A$2))</f>
        <v/>
      </c>
      <c r="L2424" s="670" t="str">
        <f>IFERROR(IF(CURRENCY.FORMAT_1=0,CONCATENATE(TEXT(FIXED(ROUND((C2424*(1-I2424)*(1-ADD.DISCOUNT)*(1+MAT.SURCHARGE)/EXC.RATE_1),CURRENCY.FORMAT_1),CURRENCY.FORMAT_1,1),"# ##0;-# ##0"),",-"),FIXED(ROUND((C2424*(1-I2424)*(1-ADD.DISCOUNT)*(1+MAT.SURCHARGE)/EXC.RATE_1),CURRENCY.FORMAT_1),CURRENCY.FORMAT_1,0)),'DICTIONARY-5'!$A$2)</f>
        <v>150,-</v>
      </c>
      <c r="M2424" s="670" t="str">
        <f>IF(EXC.RATE_2=0,"",IFERROR(IF(CURRENCY.FORMAT_2=0,CONCATENATE(TEXT(FIXED(ROUND(IF(EXC.RATE.SWITCH=1,C2424*(1-I2424)*(1-ADD.DISCOUNT)*(1+MAT.SURCHARGE)/EXC.RATE_2,C2424*(1-I2424)*(1-ADD.DISCOUNT)*(1+MAT.SURCHARGE)*EXC.RATE_2),CURRENCY.FORMAT_2),CURRENCY.FORMAT_2,1),"# ##0;-# ##0"),",-"),FIXED(ROUND(IF(EXC.RATE.SWITCH=1,C2424*(1-I2424)*(1-ADD.DISCOUNT)*(1+MAT.SURCHARGE)/EXC.RATE_2,C2424*(1-I2424)*(1-ADD.DISCOUNT)*(1+MAT.SURCHARGE)*EXC.RATE_2),CURRENCY.FORMAT_2),CURRENCY.FORMAT_2,0)),'DICTIONARY-5'!$A$2))</f>
        <v/>
      </c>
      <c r="N2424" s="537">
        <v>11</v>
      </c>
      <c r="O2424" s="537"/>
      <c r="P2424" s="732" t="str">
        <f>'DICTIONARY-3'!$A$138</f>
        <v>VA-TELESKOP</v>
      </c>
      <c r="Q2424" s="732" t="str">
        <f>'DICTIONARY-3'!$A$219</f>
        <v>Obudowa ziemna</v>
      </c>
      <c r="R2424" s="732" t="str">
        <f>CONCATENATE('DICTIONARY-3'!$A$138," ",'DICTIONARY-6'!$A$12," ",'DICTIONARY-2'!$A$7,"1,2-1,8m ",'DICTIONARY-5'!$A$7," ",'DICTIONARY-3'!$A$144," ",'DICTIONARY-2'!$A$2,"300-500"," + ","AUMA GS 50.3, d16")</f>
        <v>VA-TELESKOP Obud. ziemn Rd1,2-1,8m dla EKN DN300-500 + AUMA GS 50.3, d16</v>
      </c>
      <c r="S2424" s="733" t="s">
        <v>5569</v>
      </c>
      <c r="T2424" s="732" t="s">
        <v>5569</v>
      </c>
      <c r="U2424" s="734" t="s">
        <v>6021</v>
      </c>
      <c r="V2424" s="735"/>
      <c r="W2424" s="736"/>
      <c r="X2424" s="737"/>
      <c r="Y2424" s="745" t="s">
        <v>5658</v>
      </c>
      <c r="Z2424" s="747"/>
      <c r="AA2424" s="747"/>
      <c r="AB2424" s="740"/>
      <c r="AC2424" s="741"/>
      <c r="AD2424" s="741"/>
      <c r="AE2424" s="742"/>
      <c r="AF2424" s="743">
        <v>3</v>
      </c>
      <c r="AG2424" s="741" t="s">
        <v>5569</v>
      </c>
    </row>
    <row r="2425" spans="1:33" x14ac:dyDescent="0.25">
      <c r="A2425" s="854" t="s">
        <v>2293</v>
      </c>
      <c r="B2425" s="854" t="s">
        <v>4657</v>
      </c>
      <c r="C2425" s="836">
        <v>178</v>
      </c>
      <c r="D2425" s="836"/>
      <c r="E2425" s="836"/>
      <c r="F2425" s="836"/>
      <c r="G2425" s="496" t="s">
        <v>7846</v>
      </c>
      <c r="H2425" s="797" t="str">
        <f>VLOOKUP(G2425,SETTINGS!$B$7:$D$97,2,0)</f>
        <v>Telemax Niro/PATENTplus/VA-TELESKOP</v>
      </c>
      <c r="I2425" s="796">
        <f>VLOOKUP(G2425,SETTINGS!$B$7:$D$97,3,0)</f>
        <v>0</v>
      </c>
      <c r="J2425" s="670" t="str">
        <f>IFERROR(IF(CURRENCY.FORMAT_1=0,CONCATENATE(TEXT(FIXED(ROUND((C2425/EXC.RATE_1),CURRENCY.FORMAT_1),CURRENCY.FORMAT_1,1),"# ##0;-# ##0"),",-"),FIXED(ROUND((C2425/EXC.RATE_1),CURRENCY.FORMAT_1),CURRENCY.FORMAT_1,0)),'DICTIONARY-5'!$A$2)</f>
        <v>178,-</v>
      </c>
      <c r="K2425" s="670" t="str">
        <f>IF(EXC.RATE_2=0,"",IFERROR(IF(CURRENCY.FORMAT_2=0,CONCATENATE(TEXT(FIXED(ROUND(IF(EXC.RATE.SWITCH=1,C2425/EXC.RATE_2,C2425*EXC.RATE_2),CURRENCY.FORMAT_2),CURRENCY.FORMAT_2,1),"# ##0;-# ##0"),",-"),FIXED(ROUND(IF(EXC.RATE.SWITCH=1,C2425/EXC.RATE_2,C2425*EXC.RATE_2),CURRENCY.FORMAT_2),CURRENCY.FORMAT_2,0)),'DICTIONARY-5'!$A$2))</f>
        <v/>
      </c>
      <c r="L2425" s="670" t="str">
        <f>IFERROR(IF(CURRENCY.FORMAT_1=0,CONCATENATE(TEXT(FIXED(ROUND((C2425*(1-I2425)*(1-ADD.DISCOUNT)*(1+MAT.SURCHARGE)/EXC.RATE_1),CURRENCY.FORMAT_1),CURRENCY.FORMAT_1,1),"# ##0;-# ##0"),",-"),FIXED(ROUND((C2425*(1-I2425)*(1-ADD.DISCOUNT)*(1+MAT.SURCHARGE)/EXC.RATE_1),CURRENCY.FORMAT_1),CURRENCY.FORMAT_1,0)),'DICTIONARY-5'!$A$2)</f>
        <v>185,-</v>
      </c>
      <c r="M2425" s="670" t="str">
        <f>IF(EXC.RATE_2=0,"",IFERROR(IF(CURRENCY.FORMAT_2=0,CONCATENATE(TEXT(FIXED(ROUND(IF(EXC.RATE.SWITCH=1,C2425*(1-I2425)*(1-ADD.DISCOUNT)*(1+MAT.SURCHARGE)/EXC.RATE_2,C2425*(1-I2425)*(1-ADD.DISCOUNT)*(1+MAT.SURCHARGE)*EXC.RATE_2),CURRENCY.FORMAT_2),CURRENCY.FORMAT_2,1),"# ##0;-# ##0"),",-"),FIXED(ROUND(IF(EXC.RATE.SWITCH=1,C2425*(1-I2425)*(1-ADD.DISCOUNT)*(1+MAT.SURCHARGE)/EXC.RATE_2,C2425*(1-I2425)*(1-ADD.DISCOUNT)*(1+MAT.SURCHARGE)*EXC.RATE_2),CURRENCY.FORMAT_2),CURRENCY.FORMAT_2,0)),'DICTIONARY-5'!$A$2))</f>
        <v/>
      </c>
      <c r="N2425" s="537">
        <v>11</v>
      </c>
      <c r="O2425" s="537"/>
      <c r="P2425" s="732" t="str">
        <f>'DICTIONARY-3'!$A$138</f>
        <v>VA-TELESKOP</v>
      </c>
      <c r="Q2425" s="732" t="str">
        <f>'DICTIONARY-3'!$A$219</f>
        <v>Obudowa ziemna</v>
      </c>
      <c r="R2425" s="732" t="str">
        <f>CONCATENATE('DICTIONARY-3'!$A$138," ",'DICTIONARY-6'!$A$12," ",'DICTIONARY-2'!$A$7,"1,2-1,8m ",'DICTIONARY-5'!$A$7," ",'DICTIONARY-3'!$A$144," ",'DICTIONARY-2'!$A$2,"450-700"," + ","AUMA GS 100.3 VZ4 / 250.3 VZ4, d20")</f>
        <v>VA-TELESKOP Obud. ziemn Rd1,2-1,8m dla EKN DN450-700 + AUMA GS 100.3 VZ4 / 250.3 VZ4, d20</v>
      </c>
      <c r="S2425" s="733" t="s">
        <v>5569</v>
      </c>
      <c r="T2425" s="732" t="s">
        <v>5569</v>
      </c>
      <c r="U2425" s="734" t="s">
        <v>6022</v>
      </c>
      <c r="V2425" s="735"/>
      <c r="W2425" s="736"/>
      <c r="X2425" s="737"/>
      <c r="Y2425" s="745" t="s">
        <v>5658</v>
      </c>
      <c r="Z2425" s="747"/>
      <c r="AA2425" s="747"/>
      <c r="AB2425" s="740"/>
      <c r="AC2425" s="741"/>
      <c r="AD2425" s="741"/>
      <c r="AE2425" s="742"/>
      <c r="AF2425" s="743">
        <v>5</v>
      </c>
      <c r="AG2425" s="741" t="s">
        <v>5569</v>
      </c>
    </row>
    <row r="2426" spans="1:33" x14ac:dyDescent="0.25">
      <c r="A2426" s="854" t="s">
        <v>2287</v>
      </c>
      <c r="B2426" s="854" t="s">
        <v>4658</v>
      </c>
      <c r="C2426" s="836">
        <v>166</v>
      </c>
      <c r="D2426" s="836"/>
      <c r="E2426" s="836"/>
      <c r="F2426" s="836"/>
      <c r="G2426" s="496" t="s">
        <v>7846</v>
      </c>
      <c r="H2426" s="797" t="str">
        <f>VLOOKUP(G2426,SETTINGS!$B$7:$D$97,2,0)</f>
        <v>Telemax Niro/PATENTplus/VA-TELESKOP</v>
      </c>
      <c r="I2426" s="796">
        <f>VLOOKUP(G2426,SETTINGS!$B$7:$D$97,3,0)</f>
        <v>0</v>
      </c>
      <c r="J2426" s="670" t="str">
        <f>IFERROR(IF(CURRENCY.FORMAT_1=0,CONCATENATE(TEXT(FIXED(ROUND((C2426/EXC.RATE_1),CURRENCY.FORMAT_1),CURRENCY.FORMAT_1,1),"# ##0;-# ##0"),",-"),FIXED(ROUND((C2426/EXC.RATE_1),CURRENCY.FORMAT_1),CURRENCY.FORMAT_1,0)),'DICTIONARY-5'!$A$2)</f>
        <v>166,-</v>
      </c>
      <c r="K2426" s="670" t="str">
        <f>IF(EXC.RATE_2=0,"",IFERROR(IF(CURRENCY.FORMAT_2=0,CONCATENATE(TEXT(FIXED(ROUND(IF(EXC.RATE.SWITCH=1,C2426/EXC.RATE_2,C2426*EXC.RATE_2),CURRENCY.FORMAT_2),CURRENCY.FORMAT_2,1),"# ##0;-# ##0"),",-"),FIXED(ROUND(IF(EXC.RATE.SWITCH=1,C2426/EXC.RATE_2,C2426*EXC.RATE_2),CURRENCY.FORMAT_2),CURRENCY.FORMAT_2,0)),'DICTIONARY-5'!$A$2))</f>
        <v/>
      </c>
      <c r="L2426" s="670" t="str">
        <f>IFERROR(IF(CURRENCY.FORMAT_1=0,CONCATENATE(TEXT(FIXED(ROUND((C2426*(1-I2426)*(1-ADD.DISCOUNT)*(1+MAT.SURCHARGE)/EXC.RATE_1),CURRENCY.FORMAT_1),CURRENCY.FORMAT_1,1),"# ##0;-# ##0"),",-"),FIXED(ROUND((C2426*(1-I2426)*(1-ADD.DISCOUNT)*(1+MAT.SURCHARGE)/EXC.RATE_1),CURRENCY.FORMAT_1),CURRENCY.FORMAT_1,0)),'DICTIONARY-5'!$A$2)</f>
        <v>172,-</v>
      </c>
      <c r="M2426" s="670" t="str">
        <f>IF(EXC.RATE_2=0,"",IFERROR(IF(CURRENCY.FORMAT_2=0,CONCATENATE(TEXT(FIXED(ROUND(IF(EXC.RATE.SWITCH=1,C2426*(1-I2426)*(1-ADD.DISCOUNT)*(1+MAT.SURCHARGE)/EXC.RATE_2,C2426*(1-I2426)*(1-ADD.DISCOUNT)*(1+MAT.SURCHARGE)*EXC.RATE_2),CURRENCY.FORMAT_2),CURRENCY.FORMAT_2,1),"# ##0;-# ##0"),",-"),FIXED(ROUND(IF(EXC.RATE.SWITCH=1,C2426*(1-I2426)*(1-ADD.DISCOUNT)*(1+MAT.SURCHARGE)/EXC.RATE_2,C2426*(1-I2426)*(1-ADD.DISCOUNT)*(1+MAT.SURCHARGE)*EXC.RATE_2),CURRENCY.FORMAT_2),CURRENCY.FORMAT_2,0)),'DICTIONARY-5'!$A$2))</f>
        <v/>
      </c>
      <c r="N2426" s="537">
        <v>11</v>
      </c>
      <c r="O2426" s="537"/>
      <c r="P2426" s="732" t="str">
        <f>'DICTIONARY-3'!$A$138</f>
        <v>VA-TELESKOP</v>
      </c>
      <c r="Q2426" s="732" t="str">
        <f>'DICTIONARY-3'!$A$219</f>
        <v>Obudowa ziemna</v>
      </c>
      <c r="R2426" s="732" t="str">
        <f>CONCATENATE('DICTIONARY-3'!$A$138," ",'DICTIONARY-6'!$A$12," ",'DICTIONARY-2'!$A$7,"1,2-1,8m ",'DICTIONARY-5'!$A$7," ",'DICTIONARY-3'!$A$144," ",'DICTIONARY-2'!$A$2,"450-1800"," + ","AUMA GS 63.3 / 80.3, d20")</f>
        <v>VA-TELESKOP Obud. ziemn Rd1,2-1,8m dla EKN DN450-1800 + AUMA GS 63.3 / 80.3, d20</v>
      </c>
      <c r="S2426" s="733" t="s">
        <v>5569</v>
      </c>
      <c r="T2426" s="732" t="s">
        <v>5569</v>
      </c>
      <c r="U2426" s="734" t="s">
        <v>6023</v>
      </c>
      <c r="V2426" s="735"/>
      <c r="W2426" s="736"/>
      <c r="X2426" s="737"/>
      <c r="Y2426" s="745" t="s">
        <v>5658</v>
      </c>
      <c r="Z2426" s="747"/>
      <c r="AA2426" s="747"/>
      <c r="AB2426" s="740"/>
      <c r="AC2426" s="741"/>
      <c r="AD2426" s="741"/>
      <c r="AE2426" s="742"/>
      <c r="AF2426" s="743">
        <v>3.5</v>
      </c>
      <c r="AG2426" s="741" t="s">
        <v>5569</v>
      </c>
    </row>
    <row r="2427" spans="1:33" x14ac:dyDescent="0.25">
      <c r="A2427" s="854" t="s">
        <v>2288</v>
      </c>
      <c r="B2427" s="854" t="s">
        <v>4659</v>
      </c>
      <c r="C2427" s="836">
        <v>234</v>
      </c>
      <c r="D2427" s="836"/>
      <c r="E2427" s="836"/>
      <c r="F2427" s="836"/>
      <c r="G2427" s="496" t="s">
        <v>7846</v>
      </c>
      <c r="H2427" s="797" t="str">
        <f>VLOOKUP(G2427,SETTINGS!$B$7:$D$97,2,0)</f>
        <v>Telemax Niro/PATENTplus/VA-TELESKOP</v>
      </c>
      <c r="I2427" s="796">
        <f>VLOOKUP(G2427,SETTINGS!$B$7:$D$97,3,0)</f>
        <v>0</v>
      </c>
      <c r="J2427" s="670" t="str">
        <f>IFERROR(IF(CURRENCY.FORMAT_1=0,CONCATENATE(TEXT(FIXED(ROUND((C2427/EXC.RATE_1),CURRENCY.FORMAT_1),CURRENCY.FORMAT_1,1),"# ##0;-# ##0"),",-"),FIXED(ROUND((C2427/EXC.RATE_1),CURRENCY.FORMAT_1),CURRENCY.FORMAT_1,0)),'DICTIONARY-5'!$A$2)</f>
        <v>234,-</v>
      </c>
      <c r="K2427" s="670" t="str">
        <f>IF(EXC.RATE_2=0,"",IFERROR(IF(CURRENCY.FORMAT_2=0,CONCATENATE(TEXT(FIXED(ROUND(IF(EXC.RATE.SWITCH=1,C2427/EXC.RATE_2,C2427*EXC.RATE_2),CURRENCY.FORMAT_2),CURRENCY.FORMAT_2,1),"# ##0;-# ##0"),",-"),FIXED(ROUND(IF(EXC.RATE.SWITCH=1,C2427/EXC.RATE_2,C2427*EXC.RATE_2),CURRENCY.FORMAT_2),CURRENCY.FORMAT_2,0)),'DICTIONARY-5'!$A$2))</f>
        <v/>
      </c>
      <c r="L2427" s="670" t="str">
        <f>IFERROR(IF(CURRENCY.FORMAT_1=0,CONCATENATE(TEXT(FIXED(ROUND((C2427*(1-I2427)*(1-ADD.DISCOUNT)*(1+MAT.SURCHARGE)/EXC.RATE_1),CURRENCY.FORMAT_1),CURRENCY.FORMAT_1,1),"# ##0;-# ##0"),",-"),FIXED(ROUND((C2427*(1-I2427)*(1-ADD.DISCOUNT)*(1+MAT.SURCHARGE)/EXC.RATE_1),CURRENCY.FORMAT_1),CURRENCY.FORMAT_1,0)),'DICTIONARY-5'!$A$2)</f>
        <v>243,-</v>
      </c>
      <c r="M2427" s="670" t="str">
        <f>IF(EXC.RATE_2=0,"",IFERROR(IF(CURRENCY.FORMAT_2=0,CONCATENATE(TEXT(FIXED(ROUND(IF(EXC.RATE.SWITCH=1,C2427*(1-I2427)*(1-ADD.DISCOUNT)*(1+MAT.SURCHARGE)/EXC.RATE_2,C2427*(1-I2427)*(1-ADD.DISCOUNT)*(1+MAT.SURCHARGE)*EXC.RATE_2),CURRENCY.FORMAT_2),CURRENCY.FORMAT_2,1),"# ##0;-# ##0"),",-"),FIXED(ROUND(IF(EXC.RATE.SWITCH=1,C2427*(1-I2427)*(1-ADD.DISCOUNT)*(1+MAT.SURCHARGE)/EXC.RATE_2,C2427*(1-I2427)*(1-ADD.DISCOUNT)*(1+MAT.SURCHARGE)*EXC.RATE_2),CURRENCY.FORMAT_2),CURRENCY.FORMAT_2,0)),'DICTIONARY-5'!$A$2))</f>
        <v/>
      </c>
      <c r="N2427" s="537">
        <v>11</v>
      </c>
      <c r="O2427" s="537"/>
      <c r="P2427" s="732" t="str">
        <f>'DICTIONARY-3'!$A$138</f>
        <v>VA-TELESKOP</v>
      </c>
      <c r="Q2427" s="732" t="str">
        <f>'DICTIONARY-3'!$A$219</f>
        <v>Obudowa ziemna</v>
      </c>
      <c r="R2427" s="732" t="str">
        <f>CONCATENATE('DICTIONARY-3'!$A$138," ",'DICTIONARY-6'!$A$12," ",'DICTIONARY-2'!$A$7,"1,7-2,7m ",'DICTIONARY-5'!$A$7," ",'DICTIONARY-3'!$A$144," ",'DICTIONARY-2'!$A$2,"150-350"," + ","AUMA GS 63.3 / 80.3, d20")</f>
        <v>VA-TELESKOP Obud. ziemn Rd1,7-2,7m dla EKN DN150-350 + AUMA GS 63.3 / 80.3, d20</v>
      </c>
      <c r="S2427" s="733" t="s">
        <v>5569</v>
      </c>
      <c r="T2427" s="732" t="s">
        <v>5569</v>
      </c>
      <c r="U2427" s="734" t="s">
        <v>6020</v>
      </c>
      <c r="V2427" s="735"/>
      <c r="W2427" s="736"/>
      <c r="X2427" s="737"/>
      <c r="Y2427" s="745" t="s">
        <v>5659</v>
      </c>
      <c r="Z2427" s="747"/>
      <c r="AA2427" s="747"/>
      <c r="AB2427" s="740"/>
      <c r="AC2427" s="741"/>
      <c r="AD2427" s="741"/>
      <c r="AE2427" s="742"/>
      <c r="AF2427" s="743">
        <v>5</v>
      </c>
      <c r="AG2427" s="741" t="s">
        <v>5569</v>
      </c>
    </row>
    <row r="2428" spans="1:33" x14ac:dyDescent="0.25">
      <c r="A2428" s="854" t="s">
        <v>2285</v>
      </c>
      <c r="B2428" s="854" t="s">
        <v>4660</v>
      </c>
      <c r="C2428" s="836">
        <v>216</v>
      </c>
      <c r="D2428" s="836"/>
      <c r="E2428" s="836"/>
      <c r="F2428" s="836"/>
      <c r="G2428" s="496" t="s">
        <v>7846</v>
      </c>
      <c r="H2428" s="797" t="str">
        <f>VLOOKUP(G2428,SETTINGS!$B$7:$D$97,2,0)</f>
        <v>Telemax Niro/PATENTplus/VA-TELESKOP</v>
      </c>
      <c r="I2428" s="796">
        <f>VLOOKUP(G2428,SETTINGS!$B$7:$D$97,3,0)</f>
        <v>0</v>
      </c>
      <c r="J2428" s="670" t="str">
        <f>IFERROR(IF(CURRENCY.FORMAT_1=0,CONCATENATE(TEXT(FIXED(ROUND((C2428/EXC.RATE_1),CURRENCY.FORMAT_1),CURRENCY.FORMAT_1,1),"# ##0;-# ##0"),",-"),FIXED(ROUND((C2428/EXC.RATE_1),CURRENCY.FORMAT_1),CURRENCY.FORMAT_1,0)),'DICTIONARY-5'!$A$2)</f>
        <v>216,-</v>
      </c>
      <c r="K2428" s="670" t="str">
        <f>IF(EXC.RATE_2=0,"",IFERROR(IF(CURRENCY.FORMAT_2=0,CONCATENATE(TEXT(FIXED(ROUND(IF(EXC.RATE.SWITCH=1,C2428/EXC.RATE_2,C2428*EXC.RATE_2),CURRENCY.FORMAT_2),CURRENCY.FORMAT_2,1),"# ##0;-# ##0"),",-"),FIXED(ROUND(IF(EXC.RATE.SWITCH=1,C2428/EXC.RATE_2,C2428*EXC.RATE_2),CURRENCY.FORMAT_2),CURRENCY.FORMAT_2,0)),'DICTIONARY-5'!$A$2))</f>
        <v/>
      </c>
      <c r="L2428" s="670" t="str">
        <f>IFERROR(IF(CURRENCY.FORMAT_1=0,CONCATENATE(TEXT(FIXED(ROUND((C2428*(1-I2428)*(1-ADD.DISCOUNT)*(1+MAT.SURCHARGE)/EXC.RATE_1),CURRENCY.FORMAT_1),CURRENCY.FORMAT_1,1),"# ##0;-# ##0"),",-"),FIXED(ROUND((C2428*(1-I2428)*(1-ADD.DISCOUNT)*(1+MAT.SURCHARGE)/EXC.RATE_1),CURRENCY.FORMAT_1),CURRENCY.FORMAT_1,0)),'DICTIONARY-5'!$A$2)</f>
        <v>224,-</v>
      </c>
      <c r="M2428" s="670" t="str">
        <f>IF(EXC.RATE_2=0,"",IFERROR(IF(CURRENCY.FORMAT_2=0,CONCATENATE(TEXT(FIXED(ROUND(IF(EXC.RATE.SWITCH=1,C2428*(1-I2428)*(1-ADD.DISCOUNT)*(1+MAT.SURCHARGE)/EXC.RATE_2,C2428*(1-I2428)*(1-ADD.DISCOUNT)*(1+MAT.SURCHARGE)*EXC.RATE_2),CURRENCY.FORMAT_2),CURRENCY.FORMAT_2,1),"# ##0;-# ##0"),",-"),FIXED(ROUND(IF(EXC.RATE.SWITCH=1,C2428*(1-I2428)*(1-ADD.DISCOUNT)*(1+MAT.SURCHARGE)/EXC.RATE_2,C2428*(1-I2428)*(1-ADD.DISCOUNT)*(1+MAT.SURCHARGE)*EXC.RATE_2),CURRENCY.FORMAT_2),CURRENCY.FORMAT_2,0)),'DICTIONARY-5'!$A$2))</f>
        <v/>
      </c>
      <c r="N2428" s="537">
        <v>11</v>
      </c>
      <c r="O2428" s="537"/>
      <c r="P2428" s="732" t="str">
        <f>'DICTIONARY-3'!$A$138</f>
        <v>VA-TELESKOP</v>
      </c>
      <c r="Q2428" s="732" t="str">
        <f>'DICTIONARY-3'!$A$219</f>
        <v>Obudowa ziemna</v>
      </c>
      <c r="R2428" s="732" t="str">
        <f>CONCATENATE('DICTIONARY-3'!$A$138," ",'DICTIONARY-6'!$A$12," ",'DICTIONARY-2'!$A$7,"1,7-2,7m ",'DICTIONARY-5'!$A$7," ",'DICTIONARY-3'!$A$144," ",'DICTIONARY-2'!$A$2,"300-500"," + ","AUMA GS 50.3, d16")</f>
        <v>VA-TELESKOP Obud. ziemn Rd1,7-2,7m dla EKN DN300-500 + AUMA GS 50.3, d16</v>
      </c>
      <c r="S2428" s="733" t="s">
        <v>5569</v>
      </c>
      <c r="T2428" s="732" t="s">
        <v>5569</v>
      </c>
      <c r="U2428" s="734" t="s">
        <v>6021</v>
      </c>
      <c r="V2428" s="735"/>
      <c r="W2428" s="736"/>
      <c r="X2428" s="737"/>
      <c r="Y2428" s="745" t="s">
        <v>5659</v>
      </c>
      <c r="Z2428" s="747"/>
      <c r="AA2428" s="747"/>
      <c r="AB2428" s="740"/>
      <c r="AC2428" s="741"/>
      <c r="AD2428" s="741"/>
      <c r="AE2428" s="742"/>
      <c r="AF2428" s="743">
        <v>5</v>
      </c>
      <c r="AG2428" s="741" t="s">
        <v>5569</v>
      </c>
    </row>
    <row r="2429" spans="1:33" x14ac:dyDescent="0.25">
      <c r="A2429" s="854" t="s">
        <v>2294</v>
      </c>
      <c r="B2429" s="854" t="s">
        <v>4661</v>
      </c>
      <c r="C2429" s="836">
        <v>242</v>
      </c>
      <c r="D2429" s="836"/>
      <c r="E2429" s="836"/>
      <c r="F2429" s="836"/>
      <c r="G2429" s="496" t="s">
        <v>7846</v>
      </c>
      <c r="H2429" s="797" t="str">
        <f>VLOOKUP(G2429,SETTINGS!$B$7:$D$97,2,0)</f>
        <v>Telemax Niro/PATENTplus/VA-TELESKOP</v>
      </c>
      <c r="I2429" s="796">
        <f>VLOOKUP(G2429,SETTINGS!$B$7:$D$97,3,0)</f>
        <v>0</v>
      </c>
      <c r="J2429" s="670" t="str">
        <f>IFERROR(IF(CURRENCY.FORMAT_1=0,CONCATENATE(TEXT(FIXED(ROUND((C2429/EXC.RATE_1),CURRENCY.FORMAT_1),CURRENCY.FORMAT_1,1),"# ##0;-# ##0"),",-"),FIXED(ROUND((C2429/EXC.RATE_1),CURRENCY.FORMAT_1),CURRENCY.FORMAT_1,0)),'DICTIONARY-5'!$A$2)</f>
        <v>242,-</v>
      </c>
      <c r="K2429" s="670" t="str">
        <f>IF(EXC.RATE_2=0,"",IFERROR(IF(CURRENCY.FORMAT_2=0,CONCATENATE(TEXT(FIXED(ROUND(IF(EXC.RATE.SWITCH=1,C2429/EXC.RATE_2,C2429*EXC.RATE_2),CURRENCY.FORMAT_2),CURRENCY.FORMAT_2,1),"# ##0;-# ##0"),",-"),FIXED(ROUND(IF(EXC.RATE.SWITCH=1,C2429/EXC.RATE_2,C2429*EXC.RATE_2),CURRENCY.FORMAT_2),CURRENCY.FORMAT_2,0)),'DICTIONARY-5'!$A$2))</f>
        <v/>
      </c>
      <c r="L2429" s="670" t="str">
        <f>IFERROR(IF(CURRENCY.FORMAT_1=0,CONCATENATE(TEXT(FIXED(ROUND((C2429*(1-I2429)*(1-ADD.DISCOUNT)*(1+MAT.SURCHARGE)/EXC.RATE_1),CURRENCY.FORMAT_1),CURRENCY.FORMAT_1,1),"# ##0;-# ##0"),",-"),FIXED(ROUND((C2429*(1-I2429)*(1-ADD.DISCOUNT)*(1+MAT.SURCHARGE)/EXC.RATE_1),CURRENCY.FORMAT_1),CURRENCY.FORMAT_1,0)),'DICTIONARY-5'!$A$2)</f>
        <v>251,-</v>
      </c>
      <c r="M2429" s="670" t="str">
        <f>IF(EXC.RATE_2=0,"",IFERROR(IF(CURRENCY.FORMAT_2=0,CONCATENATE(TEXT(FIXED(ROUND(IF(EXC.RATE.SWITCH=1,C2429*(1-I2429)*(1-ADD.DISCOUNT)*(1+MAT.SURCHARGE)/EXC.RATE_2,C2429*(1-I2429)*(1-ADD.DISCOUNT)*(1+MAT.SURCHARGE)*EXC.RATE_2),CURRENCY.FORMAT_2),CURRENCY.FORMAT_2,1),"# ##0;-# ##0"),",-"),FIXED(ROUND(IF(EXC.RATE.SWITCH=1,C2429*(1-I2429)*(1-ADD.DISCOUNT)*(1+MAT.SURCHARGE)/EXC.RATE_2,C2429*(1-I2429)*(1-ADD.DISCOUNT)*(1+MAT.SURCHARGE)*EXC.RATE_2),CURRENCY.FORMAT_2),CURRENCY.FORMAT_2,0)),'DICTIONARY-5'!$A$2))</f>
        <v/>
      </c>
      <c r="N2429" s="537">
        <v>11</v>
      </c>
      <c r="O2429" s="537"/>
      <c r="P2429" s="732" t="str">
        <f>'DICTIONARY-3'!$A$138</f>
        <v>VA-TELESKOP</v>
      </c>
      <c r="Q2429" s="732" t="str">
        <f>'DICTIONARY-3'!$A$219</f>
        <v>Obudowa ziemna</v>
      </c>
      <c r="R2429" s="732" t="str">
        <f>CONCATENATE('DICTIONARY-3'!$A$138," ",'DICTIONARY-6'!$A$12," ",'DICTIONARY-2'!$A$7,"1,7-2,7m ",'DICTIONARY-5'!$A$7," ",'DICTIONARY-3'!$A$144," ",'DICTIONARY-2'!$A$2,"450-700"," + ","AUMA GS 100.3 VZ4 / 250.3 VZ4, d20")</f>
        <v>VA-TELESKOP Obud. ziemn Rd1,7-2,7m dla EKN DN450-700 + AUMA GS 100.3 VZ4 / 250.3 VZ4, d20</v>
      </c>
      <c r="S2429" s="733" t="s">
        <v>5569</v>
      </c>
      <c r="T2429" s="732" t="s">
        <v>5569</v>
      </c>
      <c r="U2429" s="734" t="s">
        <v>6022</v>
      </c>
      <c r="V2429" s="735"/>
      <c r="W2429" s="736"/>
      <c r="X2429" s="737"/>
      <c r="Y2429" s="745" t="s">
        <v>5659</v>
      </c>
      <c r="Z2429" s="747"/>
      <c r="AA2429" s="747"/>
      <c r="AB2429" s="740"/>
      <c r="AC2429" s="741"/>
      <c r="AD2429" s="741"/>
      <c r="AE2429" s="742"/>
      <c r="AF2429" s="743">
        <v>4.8</v>
      </c>
      <c r="AG2429" s="741" t="s">
        <v>5569</v>
      </c>
    </row>
    <row r="2430" spans="1:33" x14ac:dyDescent="0.25">
      <c r="A2430" s="854" t="s">
        <v>2291</v>
      </c>
      <c r="B2430" s="854" t="s">
        <v>4662</v>
      </c>
      <c r="C2430" s="836">
        <v>271</v>
      </c>
      <c r="D2430" s="836"/>
      <c r="E2430" s="836"/>
      <c r="F2430" s="836"/>
      <c r="G2430" s="496" t="s">
        <v>7846</v>
      </c>
      <c r="H2430" s="797" t="str">
        <f>VLOOKUP(G2430,SETTINGS!$B$7:$D$97,2,0)</f>
        <v>Telemax Niro/PATENTplus/VA-TELESKOP</v>
      </c>
      <c r="I2430" s="796">
        <f>VLOOKUP(G2430,SETTINGS!$B$7:$D$97,3,0)</f>
        <v>0</v>
      </c>
      <c r="J2430" s="670" t="str">
        <f>IFERROR(IF(CURRENCY.FORMAT_1=0,CONCATENATE(TEXT(FIXED(ROUND((C2430/EXC.RATE_1),CURRENCY.FORMAT_1),CURRENCY.FORMAT_1,1),"# ##0;-# ##0"),",-"),FIXED(ROUND((C2430/EXC.RATE_1),CURRENCY.FORMAT_1),CURRENCY.FORMAT_1,0)),'DICTIONARY-5'!$A$2)</f>
        <v>271,-</v>
      </c>
      <c r="K2430" s="670" t="str">
        <f>IF(EXC.RATE_2=0,"",IFERROR(IF(CURRENCY.FORMAT_2=0,CONCATENATE(TEXT(FIXED(ROUND(IF(EXC.RATE.SWITCH=1,C2430/EXC.RATE_2,C2430*EXC.RATE_2),CURRENCY.FORMAT_2),CURRENCY.FORMAT_2,1),"# ##0;-# ##0"),",-"),FIXED(ROUND(IF(EXC.RATE.SWITCH=1,C2430/EXC.RATE_2,C2430*EXC.RATE_2),CURRENCY.FORMAT_2),CURRENCY.FORMAT_2,0)),'DICTIONARY-5'!$A$2))</f>
        <v/>
      </c>
      <c r="L2430" s="670" t="str">
        <f>IFERROR(IF(CURRENCY.FORMAT_1=0,CONCATENATE(TEXT(FIXED(ROUND((C2430*(1-I2430)*(1-ADD.DISCOUNT)*(1+MAT.SURCHARGE)/EXC.RATE_1),CURRENCY.FORMAT_1),CURRENCY.FORMAT_1,1),"# ##0;-# ##0"),",-"),FIXED(ROUND((C2430*(1-I2430)*(1-ADD.DISCOUNT)*(1+MAT.SURCHARGE)/EXC.RATE_1),CURRENCY.FORMAT_1),CURRENCY.FORMAT_1,0)),'DICTIONARY-5'!$A$2)</f>
        <v>282,-</v>
      </c>
      <c r="M2430" s="670" t="str">
        <f>IF(EXC.RATE_2=0,"",IFERROR(IF(CURRENCY.FORMAT_2=0,CONCATENATE(TEXT(FIXED(ROUND(IF(EXC.RATE.SWITCH=1,C2430*(1-I2430)*(1-ADD.DISCOUNT)*(1+MAT.SURCHARGE)/EXC.RATE_2,C2430*(1-I2430)*(1-ADD.DISCOUNT)*(1+MAT.SURCHARGE)*EXC.RATE_2),CURRENCY.FORMAT_2),CURRENCY.FORMAT_2,1),"# ##0;-# ##0"),",-"),FIXED(ROUND(IF(EXC.RATE.SWITCH=1,C2430*(1-I2430)*(1-ADD.DISCOUNT)*(1+MAT.SURCHARGE)/EXC.RATE_2,C2430*(1-I2430)*(1-ADD.DISCOUNT)*(1+MAT.SURCHARGE)*EXC.RATE_2),CURRENCY.FORMAT_2),CURRENCY.FORMAT_2,0)),'DICTIONARY-5'!$A$2))</f>
        <v/>
      </c>
      <c r="N2430" s="537">
        <v>11</v>
      </c>
      <c r="O2430" s="537"/>
      <c r="P2430" s="732" t="str">
        <f>'DICTIONARY-3'!$A$138</f>
        <v>VA-TELESKOP</v>
      </c>
      <c r="Q2430" s="732" t="str">
        <f>'DICTIONARY-3'!$A$219</f>
        <v>Obudowa ziemna</v>
      </c>
      <c r="R2430" s="732" t="str">
        <f>CONCATENATE('DICTIONARY-3'!$A$138," ",'DICTIONARY-6'!$A$12," ",'DICTIONARY-2'!$A$7,"1,7-2,7m ",'DICTIONARY-5'!$A$7," ",'DICTIONARY-3'!$A$144," ",'DICTIONARY-2'!$A$2,"450-1800"," + ","AUMA GS 100.3 / 125.3, d30")</f>
        <v>VA-TELESKOP Obud. ziemn Rd1,7-2,7m dla EKN DN450-1800 + AUMA GS 100.3 / 125.3, d30</v>
      </c>
      <c r="S2430" s="733" t="s">
        <v>5569</v>
      </c>
      <c r="T2430" s="732" t="s">
        <v>5569</v>
      </c>
      <c r="U2430" s="734" t="s">
        <v>6023</v>
      </c>
      <c r="V2430" s="735"/>
      <c r="W2430" s="736"/>
      <c r="X2430" s="737"/>
      <c r="Y2430" s="745" t="s">
        <v>5659</v>
      </c>
      <c r="Z2430" s="747"/>
      <c r="AA2430" s="747"/>
      <c r="AB2430" s="740"/>
      <c r="AC2430" s="741"/>
      <c r="AD2430" s="741"/>
      <c r="AE2430" s="742"/>
      <c r="AF2430" s="743">
        <v>6.5</v>
      </c>
      <c r="AG2430" s="741" t="s">
        <v>5569</v>
      </c>
    </row>
    <row r="2431" spans="1:33" x14ac:dyDescent="0.25">
      <c r="A2431" s="854" t="s">
        <v>2297</v>
      </c>
      <c r="B2431" s="854" t="s">
        <v>4871</v>
      </c>
      <c r="C2431" s="836">
        <v>59</v>
      </c>
      <c r="D2431" s="836"/>
      <c r="E2431" s="836"/>
      <c r="F2431" s="836"/>
      <c r="G2431" s="496" t="s">
        <v>7849</v>
      </c>
      <c r="H2431" s="797" t="str">
        <f>VLOOKUP(G2431,SETTINGS!$B$7:$D$97,2,0)</f>
        <v>STREET CAPS</v>
      </c>
      <c r="I2431" s="796">
        <f>VLOOKUP(G2431,SETTINGS!$B$7:$D$97,3,0)</f>
        <v>0</v>
      </c>
      <c r="J2431" s="670" t="str">
        <f>IFERROR(IF(CURRENCY.FORMAT_1=0,CONCATENATE(TEXT(FIXED(ROUND((C2431/EXC.RATE_1),CURRENCY.FORMAT_1),CURRENCY.FORMAT_1,1),"# ##0;-# ##0"),",-"),FIXED(ROUND((C2431/EXC.RATE_1),CURRENCY.FORMAT_1),CURRENCY.FORMAT_1,0)),'DICTIONARY-5'!$A$2)</f>
        <v>59,-</v>
      </c>
      <c r="K2431" s="670" t="str">
        <f>IF(EXC.RATE_2=0,"",IFERROR(IF(CURRENCY.FORMAT_2=0,CONCATENATE(TEXT(FIXED(ROUND(IF(EXC.RATE.SWITCH=1,C2431/EXC.RATE_2,C2431*EXC.RATE_2),CURRENCY.FORMAT_2),CURRENCY.FORMAT_2,1),"# ##0;-# ##0"),",-"),FIXED(ROUND(IF(EXC.RATE.SWITCH=1,C2431/EXC.RATE_2,C2431*EXC.RATE_2),CURRENCY.FORMAT_2),CURRENCY.FORMAT_2,0)),'DICTIONARY-5'!$A$2))</f>
        <v/>
      </c>
      <c r="L2431" s="670" t="str">
        <f>IFERROR(IF(CURRENCY.FORMAT_1=0,CONCATENATE(TEXT(FIXED(ROUND((C2431*(1-I2431)*(1-ADD.DISCOUNT)*(1+MAT.SURCHARGE)/EXC.RATE_1),CURRENCY.FORMAT_1),CURRENCY.FORMAT_1,1),"# ##0;-# ##0"),",-"),FIXED(ROUND((C2431*(1-I2431)*(1-ADD.DISCOUNT)*(1+MAT.SURCHARGE)/EXC.RATE_1),CURRENCY.FORMAT_1),CURRENCY.FORMAT_1,0)),'DICTIONARY-5'!$A$2)</f>
        <v>61,-</v>
      </c>
      <c r="M2431" s="670" t="str">
        <f>IF(EXC.RATE_2=0,"",IFERROR(IF(CURRENCY.FORMAT_2=0,CONCATENATE(TEXT(FIXED(ROUND(IF(EXC.RATE.SWITCH=1,C2431*(1-I2431)*(1-ADD.DISCOUNT)*(1+MAT.SURCHARGE)/EXC.RATE_2,C2431*(1-I2431)*(1-ADD.DISCOUNT)*(1+MAT.SURCHARGE)*EXC.RATE_2),CURRENCY.FORMAT_2),CURRENCY.FORMAT_2,1),"# ##0;-# ##0"),",-"),FIXED(ROUND(IF(EXC.RATE.SWITCH=1,C2431*(1-I2431)*(1-ADD.DISCOUNT)*(1+MAT.SURCHARGE)/EXC.RATE_2,C2431*(1-I2431)*(1-ADD.DISCOUNT)*(1+MAT.SURCHARGE)*EXC.RATE_2),CURRENCY.FORMAT_2),CURRENCY.FORMAT_2,0)),'DICTIONARY-5'!$A$2))</f>
        <v/>
      </c>
      <c r="N2431" s="537">
        <v>11</v>
      </c>
      <c r="O2431" s="537"/>
      <c r="P2431" s="732" t="str">
        <f>'DICTIONARY-3'!$A$129</f>
        <v>RAMBO</v>
      </c>
      <c r="Q2431" s="732" t="str">
        <f>'DICTIONARY-3'!$A$220</f>
        <v>Skrzynka</v>
      </c>
      <c r="R2431" s="732" t="str">
        <f>CONCATENATE('DICTIONARY-3'!$A$129," ",'DICTIONARY-3'!$A$220," ",LOWER('DICTIONARY-5'!$A$165)," ",UPPER('DICTIONARY-5'!$A$12))</f>
        <v>RAMBO Skrzynka zasuwowa WODA</v>
      </c>
      <c r="S2431" s="733" t="s">
        <v>5569</v>
      </c>
      <c r="T2431" s="732" t="s">
        <v>5569</v>
      </c>
      <c r="U2431" s="734"/>
      <c r="V2431" s="735"/>
      <c r="W2431" s="736"/>
      <c r="X2431" s="737"/>
      <c r="Y2431" s="738"/>
      <c r="Z2431" s="739"/>
      <c r="AA2431" s="739"/>
      <c r="AB2431" s="740"/>
      <c r="AC2431" s="741"/>
      <c r="AD2431" s="741"/>
      <c r="AE2431" s="742"/>
      <c r="AF2431" s="743">
        <v>8.5</v>
      </c>
      <c r="AG2431" s="741" t="s">
        <v>5569</v>
      </c>
    </row>
    <row r="2432" spans="1:33" x14ac:dyDescent="0.25">
      <c r="A2432" s="854" t="s">
        <v>2299</v>
      </c>
      <c r="B2432" s="854" t="s">
        <v>4872</v>
      </c>
      <c r="C2432" s="836">
        <v>32</v>
      </c>
      <c r="D2432" s="836"/>
      <c r="E2432" s="836"/>
      <c r="F2432" s="836"/>
      <c r="G2432" s="496" t="s">
        <v>7849</v>
      </c>
      <c r="H2432" s="797" t="str">
        <f>VLOOKUP(G2432,SETTINGS!$B$7:$D$97,2,0)</f>
        <v>STREET CAPS</v>
      </c>
      <c r="I2432" s="796">
        <f>VLOOKUP(G2432,SETTINGS!$B$7:$D$97,3,0)</f>
        <v>0</v>
      </c>
      <c r="J2432" s="670" t="str">
        <f>IFERROR(IF(CURRENCY.FORMAT_1=0,CONCATENATE(TEXT(FIXED(ROUND((C2432/EXC.RATE_1),CURRENCY.FORMAT_1),CURRENCY.FORMAT_1,1),"# ##0;-# ##0"),",-"),FIXED(ROUND((C2432/EXC.RATE_1),CURRENCY.FORMAT_1),CURRENCY.FORMAT_1,0)),'DICTIONARY-5'!$A$2)</f>
        <v>32,-</v>
      </c>
      <c r="K2432" s="670" t="str">
        <f>IF(EXC.RATE_2=0,"",IFERROR(IF(CURRENCY.FORMAT_2=0,CONCATENATE(TEXT(FIXED(ROUND(IF(EXC.RATE.SWITCH=1,C2432/EXC.RATE_2,C2432*EXC.RATE_2),CURRENCY.FORMAT_2),CURRENCY.FORMAT_2,1),"# ##0;-# ##0"),",-"),FIXED(ROUND(IF(EXC.RATE.SWITCH=1,C2432/EXC.RATE_2,C2432*EXC.RATE_2),CURRENCY.FORMAT_2),CURRENCY.FORMAT_2,0)),'DICTIONARY-5'!$A$2))</f>
        <v/>
      </c>
      <c r="L2432" s="670" t="str">
        <f>IFERROR(IF(CURRENCY.FORMAT_1=0,CONCATENATE(TEXT(FIXED(ROUND((C2432*(1-I2432)*(1-ADD.DISCOUNT)*(1+MAT.SURCHARGE)/EXC.RATE_1),CURRENCY.FORMAT_1),CURRENCY.FORMAT_1,1),"# ##0;-# ##0"),",-"),FIXED(ROUND((C2432*(1-I2432)*(1-ADD.DISCOUNT)*(1+MAT.SURCHARGE)/EXC.RATE_1),CURRENCY.FORMAT_1),CURRENCY.FORMAT_1,0)),'DICTIONARY-5'!$A$2)</f>
        <v>33,-</v>
      </c>
      <c r="M2432" s="670" t="str">
        <f>IF(EXC.RATE_2=0,"",IFERROR(IF(CURRENCY.FORMAT_2=0,CONCATENATE(TEXT(FIXED(ROUND(IF(EXC.RATE.SWITCH=1,C2432*(1-I2432)*(1-ADD.DISCOUNT)*(1+MAT.SURCHARGE)/EXC.RATE_2,C2432*(1-I2432)*(1-ADD.DISCOUNT)*(1+MAT.SURCHARGE)*EXC.RATE_2),CURRENCY.FORMAT_2),CURRENCY.FORMAT_2,1),"# ##0;-# ##0"),",-"),FIXED(ROUND(IF(EXC.RATE.SWITCH=1,C2432*(1-I2432)*(1-ADD.DISCOUNT)*(1+MAT.SURCHARGE)/EXC.RATE_2,C2432*(1-I2432)*(1-ADD.DISCOUNT)*(1+MAT.SURCHARGE)*EXC.RATE_2),CURRENCY.FORMAT_2),CURRENCY.FORMAT_2,0)),'DICTIONARY-5'!$A$2))</f>
        <v/>
      </c>
      <c r="N2432" s="537">
        <v>11</v>
      </c>
      <c r="O2432" s="537"/>
      <c r="P2432" s="732" t="str">
        <f>'DICTIONARY-3'!$A$129</f>
        <v>RAMBO</v>
      </c>
      <c r="Q2432" s="732" t="str">
        <f>'DICTIONARY-3'!$A$220</f>
        <v>Skrzynka</v>
      </c>
      <c r="R2432" s="732" t="str">
        <f>CONCATENATE('DICTIONARY-3'!$A$129," ",'DICTIONARY-3'!$A$220," ",LOWER('DICTIONARY-5'!$A$166)," ",UPPER('DICTIONARY-5'!$A$12))</f>
        <v>RAMBO Skrzynka zaworowa WODA</v>
      </c>
      <c r="S2432" s="733" t="s">
        <v>5569</v>
      </c>
      <c r="T2432" s="732" t="s">
        <v>5569</v>
      </c>
      <c r="U2432" s="734"/>
      <c r="V2432" s="735"/>
      <c r="W2432" s="736"/>
      <c r="X2432" s="737"/>
      <c r="Y2432" s="738"/>
      <c r="Z2432" s="739"/>
      <c r="AA2432" s="739"/>
      <c r="AB2432" s="740"/>
      <c r="AC2432" s="741"/>
      <c r="AD2432" s="741"/>
      <c r="AE2432" s="742"/>
      <c r="AF2432" s="743">
        <v>5.5</v>
      </c>
      <c r="AG2432" s="741" t="s">
        <v>5569</v>
      </c>
    </row>
    <row r="2433" spans="1:33" x14ac:dyDescent="0.25">
      <c r="A2433" s="854" t="s">
        <v>2300</v>
      </c>
      <c r="B2433" s="854" t="s">
        <v>4873</v>
      </c>
      <c r="C2433" s="836">
        <v>93</v>
      </c>
      <c r="D2433" s="836"/>
      <c r="E2433" s="836"/>
      <c r="F2433" s="836"/>
      <c r="G2433" s="496" t="s">
        <v>7849</v>
      </c>
      <c r="H2433" s="797" t="str">
        <f>VLOOKUP(G2433,SETTINGS!$B$7:$D$97,2,0)</f>
        <v>STREET CAPS</v>
      </c>
      <c r="I2433" s="796">
        <f>VLOOKUP(G2433,SETTINGS!$B$7:$D$97,3,0)</f>
        <v>0</v>
      </c>
      <c r="J2433" s="670" t="str">
        <f>IFERROR(IF(CURRENCY.FORMAT_1=0,CONCATENATE(TEXT(FIXED(ROUND((C2433/EXC.RATE_1),CURRENCY.FORMAT_1),CURRENCY.FORMAT_1,1),"# ##0;-# ##0"),",-"),FIXED(ROUND((C2433/EXC.RATE_1),CURRENCY.FORMAT_1),CURRENCY.FORMAT_1,0)),'DICTIONARY-5'!$A$2)</f>
        <v>93,-</v>
      </c>
      <c r="K2433" s="670" t="str">
        <f>IF(EXC.RATE_2=0,"",IFERROR(IF(CURRENCY.FORMAT_2=0,CONCATENATE(TEXT(FIXED(ROUND(IF(EXC.RATE.SWITCH=1,C2433/EXC.RATE_2,C2433*EXC.RATE_2),CURRENCY.FORMAT_2),CURRENCY.FORMAT_2,1),"# ##0;-# ##0"),",-"),FIXED(ROUND(IF(EXC.RATE.SWITCH=1,C2433/EXC.RATE_2,C2433*EXC.RATE_2),CURRENCY.FORMAT_2),CURRENCY.FORMAT_2,0)),'DICTIONARY-5'!$A$2))</f>
        <v/>
      </c>
      <c r="L2433" s="670" t="str">
        <f>IFERROR(IF(CURRENCY.FORMAT_1=0,CONCATENATE(TEXT(FIXED(ROUND((C2433*(1-I2433)*(1-ADD.DISCOUNT)*(1+MAT.SURCHARGE)/EXC.RATE_1),CURRENCY.FORMAT_1),CURRENCY.FORMAT_1,1),"# ##0;-# ##0"),",-"),FIXED(ROUND((C2433*(1-I2433)*(1-ADD.DISCOUNT)*(1+MAT.SURCHARGE)/EXC.RATE_1),CURRENCY.FORMAT_1),CURRENCY.FORMAT_1,0)),'DICTIONARY-5'!$A$2)</f>
        <v>97,-</v>
      </c>
      <c r="M2433" s="670" t="str">
        <f>IF(EXC.RATE_2=0,"",IFERROR(IF(CURRENCY.FORMAT_2=0,CONCATENATE(TEXT(FIXED(ROUND(IF(EXC.RATE.SWITCH=1,C2433*(1-I2433)*(1-ADD.DISCOUNT)*(1+MAT.SURCHARGE)/EXC.RATE_2,C2433*(1-I2433)*(1-ADD.DISCOUNT)*(1+MAT.SURCHARGE)*EXC.RATE_2),CURRENCY.FORMAT_2),CURRENCY.FORMAT_2,1),"# ##0;-# ##0"),",-"),FIXED(ROUND(IF(EXC.RATE.SWITCH=1,C2433*(1-I2433)*(1-ADD.DISCOUNT)*(1+MAT.SURCHARGE)/EXC.RATE_2,C2433*(1-I2433)*(1-ADD.DISCOUNT)*(1+MAT.SURCHARGE)*EXC.RATE_2),CURRENCY.FORMAT_2),CURRENCY.FORMAT_2,0)),'DICTIONARY-5'!$A$2))</f>
        <v/>
      </c>
      <c r="N2433" s="537">
        <v>11</v>
      </c>
      <c r="O2433" s="537"/>
      <c r="P2433" s="732" t="str">
        <f>'DICTIONARY-3'!$A$129</f>
        <v>RAMBO</v>
      </c>
      <c r="Q2433" s="732" t="str">
        <f>'DICTIONARY-3'!$A$220</f>
        <v>Skrzynka</v>
      </c>
      <c r="R2433" s="732" t="str">
        <f>CONCATENATE('DICTIONARY-3'!$A$129," ",'DICTIONARY-3'!$A$220," "," ",LOWER('DICTIONARY-5'!$A$167)," ",'DICTIONARY-2'!$A$2,"80"," ",UPPER('DICTIONARY-5'!$A$12))</f>
        <v>RAMBO Skrzynka  hydrantowa DN80 WODA</v>
      </c>
      <c r="S2433" s="733" t="s">
        <v>5569</v>
      </c>
      <c r="T2433" s="732" t="s">
        <v>5569</v>
      </c>
      <c r="U2433" s="748" t="s">
        <v>5760</v>
      </c>
      <c r="V2433" s="735" t="s">
        <v>5569</v>
      </c>
      <c r="W2433" s="736"/>
      <c r="X2433" s="737"/>
      <c r="Y2433" s="738"/>
      <c r="Z2433" s="739"/>
      <c r="AA2433" s="739"/>
      <c r="AB2433" s="740" t="s">
        <v>5569</v>
      </c>
      <c r="AC2433" s="741" t="s">
        <v>5569</v>
      </c>
      <c r="AD2433" s="741" t="s">
        <v>5569</v>
      </c>
      <c r="AE2433" s="742" t="s">
        <v>5569</v>
      </c>
      <c r="AF2433" s="743">
        <v>21</v>
      </c>
      <c r="AG2433" s="741" t="s">
        <v>5569</v>
      </c>
    </row>
    <row r="2434" spans="1:33" x14ac:dyDescent="0.25">
      <c r="A2434" s="854" t="s">
        <v>2302</v>
      </c>
      <c r="B2434" s="854" t="s">
        <v>4783</v>
      </c>
      <c r="C2434" s="836">
        <v>511</v>
      </c>
      <c r="D2434" s="836"/>
      <c r="E2434" s="836"/>
      <c r="F2434" s="836"/>
      <c r="G2434" s="496" t="s">
        <v>7849</v>
      </c>
      <c r="H2434" s="797" t="str">
        <f>VLOOKUP(G2434,SETTINGS!$B$7:$D$97,2,0)</f>
        <v>STREET CAPS</v>
      </c>
      <c r="I2434" s="796">
        <f>VLOOKUP(G2434,SETTINGS!$B$7:$D$97,3,0)</f>
        <v>0</v>
      </c>
      <c r="J2434" s="670" t="str">
        <f>IFERROR(IF(CURRENCY.FORMAT_1=0,CONCATENATE(TEXT(FIXED(ROUND((C2434/EXC.RATE_1),CURRENCY.FORMAT_1),CURRENCY.FORMAT_1,1),"# ##0;-# ##0"),",-"),FIXED(ROUND((C2434/EXC.RATE_1),CURRENCY.FORMAT_1),CURRENCY.FORMAT_1,0)),'DICTIONARY-5'!$A$2)</f>
        <v>511,-</v>
      </c>
      <c r="K2434" s="670" t="str">
        <f>IF(EXC.RATE_2=0,"",IFERROR(IF(CURRENCY.FORMAT_2=0,CONCATENATE(TEXT(FIXED(ROUND(IF(EXC.RATE.SWITCH=1,C2434/EXC.RATE_2,C2434*EXC.RATE_2),CURRENCY.FORMAT_2),CURRENCY.FORMAT_2,1),"# ##0;-# ##0"),",-"),FIXED(ROUND(IF(EXC.RATE.SWITCH=1,C2434/EXC.RATE_2,C2434*EXC.RATE_2),CURRENCY.FORMAT_2),CURRENCY.FORMAT_2,0)),'DICTIONARY-5'!$A$2))</f>
        <v/>
      </c>
      <c r="L2434" s="670" t="str">
        <f>IFERROR(IF(CURRENCY.FORMAT_1=0,CONCATENATE(TEXT(FIXED(ROUND((C2434*(1-I2434)*(1-ADD.DISCOUNT)*(1+MAT.SURCHARGE)/EXC.RATE_1),CURRENCY.FORMAT_1),CURRENCY.FORMAT_1,1),"# ##0;-# ##0"),",-"),FIXED(ROUND((C2434*(1-I2434)*(1-ADD.DISCOUNT)*(1+MAT.SURCHARGE)/EXC.RATE_1),CURRENCY.FORMAT_1),CURRENCY.FORMAT_1,0)),'DICTIONARY-5'!$A$2)</f>
        <v>531,-</v>
      </c>
      <c r="M2434" s="670" t="str">
        <f>IF(EXC.RATE_2=0,"",IFERROR(IF(CURRENCY.FORMAT_2=0,CONCATENATE(TEXT(FIXED(ROUND(IF(EXC.RATE.SWITCH=1,C2434*(1-I2434)*(1-ADD.DISCOUNT)*(1+MAT.SURCHARGE)/EXC.RATE_2,C2434*(1-I2434)*(1-ADD.DISCOUNT)*(1+MAT.SURCHARGE)*EXC.RATE_2),CURRENCY.FORMAT_2),CURRENCY.FORMAT_2,1),"# ##0;-# ##0"),",-"),FIXED(ROUND(IF(EXC.RATE.SWITCH=1,C2434*(1-I2434)*(1-ADD.DISCOUNT)*(1+MAT.SURCHARGE)/EXC.RATE_2,C2434*(1-I2434)*(1-ADD.DISCOUNT)*(1+MAT.SURCHARGE)*EXC.RATE_2),CURRENCY.FORMAT_2),CURRENCY.FORMAT_2,0)),'DICTIONARY-5'!$A$2))</f>
        <v/>
      </c>
      <c r="N2434" s="537">
        <v>11</v>
      </c>
      <c r="O2434" s="537"/>
      <c r="P2434" s="732" t="str">
        <f>'DICTIONARY-3'!$A$129</f>
        <v>RAMBO</v>
      </c>
      <c r="Q2434" s="732" t="str">
        <f>'DICTIONARY-3'!$A$220</f>
        <v>Skrzynka</v>
      </c>
      <c r="R2434" s="732" t="str">
        <f>CONCATENATE('DICTIONARY-3'!$A$129," ",'DICTIONARY-3'!$A$220," "," ",LOWER('DICTIONARY-5'!$A$167)," ",'DICTIONARY-2'!$A$2,"100"," ",UPPER('DICTIONARY-5'!$A$12))</f>
        <v>RAMBO Skrzynka  hydrantowa DN100 WODA</v>
      </c>
      <c r="S2434" s="733" t="s">
        <v>5569</v>
      </c>
      <c r="T2434" s="732" t="s">
        <v>5569</v>
      </c>
      <c r="U2434" s="748" t="s">
        <v>5749</v>
      </c>
      <c r="V2434" s="735" t="s">
        <v>5569</v>
      </c>
      <c r="W2434" s="736"/>
      <c r="X2434" s="737"/>
      <c r="Y2434" s="738"/>
      <c r="Z2434" s="739"/>
      <c r="AA2434" s="739"/>
      <c r="AB2434" s="740" t="s">
        <v>5569</v>
      </c>
      <c r="AC2434" s="741" t="s">
        <v>5569</v>
      </c>
      <c r="AD2434" s="741" t="s">
        <v>5569</v>
      </c>
      <c r="AE2434" s="742" t="s">
        <v>5569</v>
      </c>
      <c r="AF2434" s="743">
        <v>48</v>
      </c>
      <c r="AG2434" s="741" t="s">
        <v>5569</v>
      </c>
    </row>
    <row r="2435" spans="1:33" x14ac:dyDescent="0.25">
      <c r="A2435" s="878" t="s">
        <v>7982</v>
      </c>
      <c r="B2435" s="879" t="s">
        <v>7981</v>
      </c>
      <c r="C2435" s="836">
        <v>14</v>
      </c>
      <c r="D2435" s="836"/>
      <c r="E2435" s="836"/>
      <c r="F2435" s="836"/>
      <c r="G2435" s="496" t="s">
        <v>7849</v>
      </c>
      <c r="H2435" s="797" t="str">
        <f>VLOOKUP(G2435,SETTINGS!$B$7:$D$97,2,0)</f>
        <v>STREET CAPS</v>
      </c>
      <c r="I2435" s="796">
        <f>VLOOKUP(G2435,SETTINGS!$B$7:$D$97,3,0)</f>
        <v>0</v>
      </c>
      <c r="J2435" s="670" t="str">
        <f>IFERROR(IF(CURRENCY.FORMAT_1=0,CONCATENATE(TEXT(FIXED(ROUND((C2435/EXC.RATE_1),CURRENCY.FORMAT_1),CURRENCY.FORMAT_1,1),"# ##0;-# ##0"),",-"),FIXED(ROUND((C2435/EXC.RATE_1),CURRENCY.FORMAT_1),CURRENCY.FORMAT_1,0)),'DICTIONARY-5'!$A$2)</f>
        <v>14,-</v>
      </c>
      <c r="K2435" s="670" t="str">
        <f>IF(EXC.RATE_2=0,"",IFERROR(IF(CURRENCY.FORMAT_2=0,CONCATENATE(TEXT(FIXED(ROUND(IF(EXC.RATE.SWITCH=1,C2435/EXC.RATE_2,C2435*EXC.RATE_2),CURRENCY.FORMAT_2),CURRENCY.FORMAT_2,1),"# ##0;-# ##0"),",-"),FIXED(ROUND(IF(EXC.RATE.SWITCH=1,C2435/EXC.RATE_2,C2435*EXC.RATE_2),CURRENCY.FORMAT_2),CURRENCY.FORMAT_2,0)),'DICTIONARY-5'!$A$2))</f>
        <v/>
      </c>
      <c r="L2435" s="670" t="str">
        <f>IFERROR(IF(CURRENCY.FORMAT_1=0,CONCATENATE(TEXT(FIXED(ROUND((C2435*(1-I2435)*(1-ADD.DISCOUNT)*(1+MAT.SURCHARGE)/EXC.RATE_1),CURRENCY.FORMAT_1),CURRENCY.FORMAT_1,1),"# ##0;-# ##0"),",-"),FIXED(ROUND((C2435*(1-I2435)*(1-ADD.DISCOUNT)*(1+MAT.SURCHARGE)/EXC.RATE_1),CURRENCY.FORMAT_1),CURRENCY.FORMAT_1,0)),'DICTIONARY-5'!$A$2)</f>
        <v>15,-</v>
      </c>
      <c r="M2435" s="670" t="str">
        <f>IF(EXC.RATE_2=0,"",IFERROR(IF(CURRENCY.FORMAT_2=0,CONCATENATE(TEXT(FIXED(ROUND(IF(EXC.RATE.SWITCH=1,C2435*(1-I2435)*(1-ADD.DISCOUNT)*(1+MAT.SURCHARGE)/EXC.RATE_2,C2435*(1-I2435)*(1-ADD.DISCOUNT)*(1+MAT.SURCHARGE)*EXC.RATE_2),CURRENCY.FORMAT_2),CURRENCY.FORMAT_2,1),"# ##0;-# ##0"),",-"),FIXED(ROUND(IF(EXC.RATE.SWITCH=1,C2435*(1-I2435)*(1-ADD.DISCOUNT)*(1+MAT.SURCHARGE)/EXC.RATE_2,C2435*(1-I2435)*(1-ADD.DISCOUNT)*(1+MAT.SURCHARGE)*EXC.RATE_2),CURRENCY.FORMAT_2),CURRENCY.FORMAT_2,0)),'DICTIONARY-5'!$A$2))</f>
        <v/>
      </c>
      <c r="N2435" s="534">
        <v>13</v>
      </c>
      <c r="O2435" s="534"/>
      <c r="P2435" s="732" t="str">
        <f>'DICTIONARY-3'!$A$221</f>
        <v>Płyta podkładowa</v>
      </c>
      <c r="Q2435" s="732" t="str">
        <f>'DICTIONARY-3'!$A$221</f>
        <v>Płyta podkładowa</v>
      </c>
      <c r="R2435" s="732" t="str">
        <f>CONCATENATE('DICTIONARY-3'!$A$221," ",'DICTIONARY-5'!$A$7," ",LOWER('DICTIONARY-3'!$A$220)," ",LOWER('DICTIONARY-5'!$A$165))</f>
        <v>Płyta podkładowa dla skrzynka zasuwowa</v>
      </c>
      <c r="S2435" s="733"/>
      <c r="T2435" s="732"/>
      <c r="U2435" s="734"/>
      <c r="V2435" s="735"/>
      <c r="W2435" s="736"/>
      <c r="X2435" s="737"/>
      <c r="Y2435" s="738"/>
      <c r="Z2435" s="739"/>
      <c r="AA2435" s="739"/>
      <c r="AB2435" s="740"/>
      <c r="AC2435" s="741"/>
      <c r="AD2435" s="741"/>
      <c r="AE2435" s="742"/>
      <c r="AF2435" s="743"/>
      <c r="AG2435" s="741"/>
    </row>
    <row r="2436" spans="1:33" x14ac:dyDescent="0.25">
      <c r="A2436" s="754" t="s">
        <v>7984</v>
      </c>
      <c r="B2436" s="754" t="s">
        <v>7983</v>
      </c>
      <c r="C2436" s="836">
        <v>5</v>
      </c>
      <c r="D2436" s="836"/>
      <c r="E2436" s="836"/>
      <c r="F2436" s="836"/>
      <c r="G2436" s="496" t="s">
        <v>7849</v>
      </c>
      <c r="H2436" s="797" t="str">
        <f>VLOOKUP(G2436,SETTINGS!$B$7:$D$97,2,0)</f>
        <v>STREET CAPS</v>
      </c>
      <c r="I2436" s="796">
        <f>VLOOKUP(G2436,SETTINGS!$B$7:$D$97,3,0)</f>
        <v>0</v>
      </c>
      <c r="J2436" s="670" t="str">
        <f>IFERROR(IF(CURRENCY.FORMAT_1=0,CONCATENATE(TEXT(FIXED(ROUND((C2436/EXC.RATE_1),CURRENCY.FORMAT_1),CURRENCY.FORMAT_1,1),"# ##0;-# ##0"),",-"),FIXED(ROUND((C2436/EXC.RATE_1),CURRENCY.FORMAT_1),CURRENCY.FORMAT_1,0)),'DICTIONARY-5'!$A$2)</f>
        <v>5,-</v>
      </c>
      <c r="K2436" s="670" t="str">
        <f>IF(EXC.RATE_2=0,"",IFERROR(IF(CURRENCY.FORMAT_2=0,CONCATENATE(TEXT(FIXED(ROUND(IF(EXC.RATE.SWITCH=1,C2436/EXC.RATE_2,C2436*EXC.RATE_2),CURRENCY.FORMAT_2),CURRENCY.FORMAT_2,1),"# ##0;-# ##0"),",-"),FIXED(ROUND(IF(EXC.RATE.SWITCH=1,C2436/EXC.RATE_2,C2436*EXC.RATE_2),CURRENCY.FORMAT_2),CURRENCY.FORMAT_2,0)),'DICTIONARY-5'!$A$2))</f>
        <v/>
      </c>
      <c r="L2436" s="670" t="str">
        <f>IFERROR(IF(CURRENCY.FORMAT_1=0,CONCATENATE(TEXT(FIXED(ROUND((C2436*(1-I2436)*(1-ADD.DISCOUNT)*(1+MAT.SURCHARGE)/EXC.RATE_1),CURRENCY.FORMAT_1),CURRENCY.FORMAT_1,1),"# ##0;-# ##0"),",-"),FIXED(ROUND((C2436*(1-I2436)*(1-ADD.DISCOUNT)*(1+MAT.SURCHARGE)/EXC.RATE_1),CURRENCY.FORMAT_1),CURRENCY.FORMAT_1,0)),'DICTIONARY-5'!$A$2)</f>
        <v>5,-</v>
      </c>
      <c r="M2436" s="670" t="str">
        <f>IF(EXC.RATE_2=0,"",IFERROR(IF(CURRENCY.FORMAT_2=0,CONCATENATE(TEXT(FIXED(ROUND(IF(EXC.RATE.SWITCH=1,C2436*(1-I2436)*(1-ADD.DISCOUNT)*(1+MAT.SURCHARGE)/EXC.RATE_2,C2436*(1-I2436)*(1-ADD.DISCOUNT)*(1+MAT.SURCHARGE)*EXC.RATE_2),CURRENCY.FORMAT_2),CURRENCY.FORMAT_2,1),"# ##0;-# ##0"),",-"),FIXED(ROUND(IF(EXC.RATE.SWITCH=1,C2436*(1-I2436)*(1-ADD.DISCOUNT)*(1+MAT.SURCHARGE)/EXC.RATE_2,C2436*(1-I2436)*(1-ADD.DISCOUNT)*(1+MAT.SURCHARGE)*EXC.RATE_2),CURRENCY.FORMAT_2),CURRENCY.FORMAT_2,0)),'DICTIONARY-5'!$A$2))</f>
        <v/>
      </c>
      <c r="N2436" s="534">
        <v>13</v>
      </c>
      <c r="O2436" s="534"/>
      <c r="P2436" s="732" t="str">
        <f>'DICTIONARY-3'!$A$221</f>
        <v>Płyta podkładowa</v>
      </c>
      <c r="Q2436" s="732" t="str">
        <f>'DICTIONARY-3'!$A$221</f>
        <v>Płyta podkładowa</v>
      </c>
      <c r="R2436" s="732" t="str">
        <f>CONCATENATE('DICTIONARY-3'!$A$221," ",'DICTIONARY-5'!$A$7," ",LOWER('DICTIONARY-3'!$A$220)," ",LOWER('DICTIONARY-5'!$A$166))</f>
        <v>Płyta podkładowa dla skrzynka zaworowa</v>
      </c>
      <c r="S2436" s="733" t="s">
        <v>5569</v>
      </c>
      <c r="T2436" s="732" t="s">
        <v>5569</v>
      </c>
      <c r="U2436" s="734"/>
      <c r="V2436" s="735"/>
      <c r="W2436" s="736"/>
      <c r="X2436" s="737"/>
      <c r="Y2436" s="738"/>
      <c r="Z2436" s="739"/>
      <c r="AA2436" s="739"/>
      <c r="AB2436" s="740"/>
      <c r="AC2436" s="741"/>
      <c r="AD2436" s="741"/>
      <c r="AE2436" s="742"/>
      <c r="AF2436" s="743">
        <v>0.3</v>
      </c>
      <c r="AG2436" s="741"/>
    </row>
    <row r="2437" spans="1:33" x14ac:dyDescent="0.25">
      <c r="A2437" s="754" t="s">
        <v>2301</v>
      </c>
      <c r="B2437" s="754" t="s">
        <v>4784</v>
      </c>
      <c r="C2437" s="836">
        <v>23</v>
      </c>
      <c r="D2437" s="836"/>
      <c r="E2437" s="836"/>
      <c r="F2437" s="836"/>
      <c r="G2437" s="496" t="s">
        <v>7849</v>
      </c>
      <c r="H2437" s="797" t="str">
        <f>VLOOKUP(G2437,SETTINGS!$B$7:$D$97,2,0)</f>
        <v>STREET CAPS</v>
      </c>
      <c r="I2437" s="796">
        <f>VLOOKUP(G2437,SETTINGS!$B$7:$D$97,3,0)</f>
        <v>0</v>
      </c>
      <c r="J2437" s="670" t="str">
        <f>IFERROR(IF(CURRENCY.FORMAT_1=0,CONCATENATE(TEXT(FIXED(ROUND((C2437/EXC.RATE_1),CURRENCY.FORMAT_1),CURRENCY.FORMAT_1,1),"# ##0;-# ##0"),",-"),FIXED(ROUND((C2437/EXC.RATE_1),CURRENCY.FORMAT_1),CURRENCY.FORMAT_1,0)),'DICTIONARY-5'!$A$2)</f>
        <v>23,-</v>
      </c>
      <c r="K2437" s="670" t="str">
        <f>IF(EXC.RATE_2=0,"",IFERROR(IF(CURRENCY.FORMAT_2=0,CONCATENATE(TEXT(FIXED(ROUND(IF(EXC.RATE.SWITCH=1,C2437/EXC.RATE_2,C2437*EXC.RATE_2),CURRENCY.FORMAT_2),CURRENCY.FORMAT_2,1),"# ##0;-# ##0"),",-"),FIXED(ROUND(IF(EXC.RATE.SWITCH=1,C2437/EXC.RATE_2,C2437*EXC.RATE_2),CURRENCY.FORMAT_2),CURRENCY.FORMAT_2,0)),'DICTIONARY-5'!$A$2))</f>
        <v/>
      </c>
      <c r="L2437" s="670" t="str">
        <f>IFERROR(IF(CURRENCY.FORMAT_1=0,CONCATENATE(TEXT(FIXED(ROUND((C2437*(1-I2437)*(1-ADD.DISCOUNT)*(1+MAT.SURCHARGE)/EXC.RATE_1),CURRENCY.FORMAT_1),CURRENCY.FORMAT_1,1),"# ##0;-# ##0"),",-"),FIXED(ROUND((C2437*(1-I2437)*(1-ADD.DISCOUNT)*(1+MAT.SURCHARGE)/EXC.RATE_1),CURRENCY.FORMAT_1),CURRENCY.FORMAT_1,0)),'DICTIONARY-5'!$A$2)</f>
        <v>24,-</v>
      </c>
      <c r="M2437" s="670" t="str">
        <f>IF(EXC.RATE_2=0,"",IFERROR(IF(CURRENCY.FORMAT_2=0,CONCATENATE(TEXT(FIXED(ROUND(IF(EXC.RATE.SWITCH=1,C2437*(1-I2437)*(1-ADD.DISCOUNT)*(1+MAT.SURCHARGE)/EXC.RATE_2,C2437*(1-I2437)*(1-ADD.DISCOUNT)*(1+MAT.SURCHARGE)*EXC.RATE_2),CURRENCY.FORMAT_2),CURRENCY.FORMAT_2,1),"# ##0;-# ##0"),",-"),FIXED(ROUND(IF(EXC.RATE.SWITCH=1,C2437*(1-I2437)*(1-ADD.DISCOUNT)*(1+MAT.SURCHARGE)/EXC.RATE_2,C2437*(1-I2437)*(1-ADD.DISCOUNT)*(1+MAT.SURCHARGE)*EXC.RATE_2),CURRENCY.FORMAT_2),CURRENCY.FORMAT_2,0)),'DICTIONARY-5'!$A$2))</f>
        <v/>
      </c>
      <c r="N2437" s="534">
        <v>13</v>
      </c>
      <c r="O2437" s="534"/>
      <c r="P2437" s="732" t="str">
        <f>'DICTIONARY-3'!$A$221</f>
        <v>Płyta podkładowa</v>
      </c>
      <c r="Q2437" s="732" t="str">
        <f>'DICTIONARY-3'!$A$221</f>
        <v>Płyta podkładowa</v>
      </c>
      <c r="R2437" s="732" t="str">
        <f>CONCATENATE('DICTIONARY-3'!$A$221," ",'DICTIONARY-5'!$A$7," ",LOWER('DICTIONARY-3'!$A$220)," ",LOWER('DICTIONARY-5'!$A$168)," (",LOWER('DICTIONARY-5'!$A$167),")")</f>
        <v>Płyta podkładowa dla skrzynka owalna (hydrantowa)</v>
      </c>
      <c r="S2437" s="733" t="s">
        <v>5569</v>
      </c>
      <c r="T2437" s="732" t="s">
        <v>5569</v>
      </c>
      <c r="U2437" s="734"/>
      <c r="V2437" s="735"/>
      <c r="W2437" s="736"/>
      <c r="X2437" s="737"/>
      <c r="Y2437" s="738"/>
      <c r="Z2437" s="739"/>
      <c r="AA2437" s="739"/>
      <c r="AB2437" s="740"/>
      <c r="AC2437" s="741"/>
      <c r="AD2437" s="741"/>
      <c r="AE2437" s="742"/>
      <c r="AF2437" s="743">
        <v>2.5</v>
      </c>
      <c r="AG2437" s="741"/>
    </row>
    <row r="2438" spans="1:33" x14ac:dyDescent="0.25">
      <c r="A2438" s="854" t="s">
        <v>109</v>
      </c>
      <c r="B2438" s="854" t="s">
        <v>2892</v>
      </c>
      <c r="C2438" s="836">
        <v>8</v>
      </c>
      <c r="D2438" s="836"/>
      <c r="E2438" s="836"/>
      <c r="F2438" s="836"/>
      <c r="G2438" s="496" t="s">
        <v>7831</v>
      </c>
      <c r="H2438" s="797" t="str">
        <f>VLOOKUP(G2438,SETTINGS!$B$7:$D$97,2,0)</f>
        <v>Handwheel</v>
      </c>
      <c r="I2438" s="796">
        <f>VLOOKUP(G2438,SETTINGS!$B$7:$D$97,3,0)</f>
        <v>0</v>
      </c>
      <c r="J2438" s="670" t="str">
        <f>IFERROR(IF(CURRENCY.FORMAT_1=0,CONCATENATE(TEXT(FIXED(ROUND((C2438/EXC.RATE_1),CURRENCY.FORMAT_1),CURRENCY.FORMAT_1,1),"# ##0;-# ##0"),",-"),FIXED(ROUND((C2438/EXC.RATE_1),CURRENCY.FORMAT_1),CURRENCY.FORMAT_1,0)),'DICTIONARY-5'!$A$2)</f>
        <v>8,-</v>
      </c>
      <c r="K2438" s="670" t="str">
        <f>IF(EXC.RATE_2=0,"",IFERROR(IF(CURRENCY.FORMAT_2=0,CONCATENATE(TEXT(FIXED(ROUND(IF(EXC.RATE.SWITCH=1,C2438/EXC.RATE_2,C2438*EXC.RATE_2),CURRENCY.FORMAT_2),CURRENCY.FORMAT_2,1),"# ##0;-# ##0"),",-"),FIXED(ROUND(IF(EXC.RATE.SWITCH=1,C2438/EXC.RATE_2,C2438*EXC.RATE_2),CURRENCY.FORMAT_2),CURRENCY.FORMAT_2,0)),'DICTIONARY-5'!$A$2))</f>
        <v/>
      </c>
      <c r="L2438" s="670" t="str">
        <f>IFERROR(IF(CURRENCY.FORMAT_1=0,CONCATENATE(TEXT(FIXED(ROUND((C2438*(1-I2438)*(1-ADD.DISCOUNT)*(1+MAT.SURCHARGE)/EXC.RATE_1),CURRENCY.FORMAT_1),CURRENCY.FORMAT_1,1),"# ##0;-# ##0"),",-"),FIXED(ROUND((C2438*(1-I2438)*(1-ADD.DISCOUNT)*(1+MAT.SURCHARGE)/EXC.RATE_1),CURRENCY.FORMAT_1),CURRENCY.FORMAT_1,0)),'DICTIONARY-5'!$A$2)</f>
        <v>8,-</v>
      </c>
      <c r="M2438" s="670" t="str">
        <f>IF(EXC.RATE_2=0,"",IFERROR(IF(CURRENCY.FORMAT_2=0,CONCATENATE(TEXT(FIXED(ROUND(IF(EXC.RATE.SWITCH=1,C2438*(1-I2438)*(1-ADD.DISCOUNT)*(1+MAT.SURCHARGE)/EXC.RATE_2,C2438*(1-I2438)*(1-ADD.DISCOUNT)*(1+MAT.SURCHARGE)*EXC.RATE_2),CURRENCY.FORMAT_2),CURRENCY.FORMAT_2,1),"# ##0;-# ##0"),",-"),FIXED(ROUND(IF(EXC.RATE.SWITCH=1,C2438*(1-I2438)*(1-ADD.DISCOUNT)*(1+MAT.SURCHARGE)/EXC.RATE_2,C2438*(1-I2438)*(1-ADD.DISCOUNT)*(1+MAT.SURCHARGE)*EXC.RATE_2),CURRENCY.FORMAT_2),CURRENCY.FORMAT_2,0)),'DICTIONARY-5'!$A$2))</f>
        <v/>
      </c>
      <c r="N2438" s="537">
        <v>11</v>
      </c>
      <c r="O2438" s="537"/>
      <c r="P2438" s="732" t="str">
        <f>'DICTIONARY-3'!$A$151</f>
        <v>KOŁO</v>
      </c>
      <c r="Q2438" s="732" t="str">
        <f>'DICTIONARY-4'!$A$23</f>
        <v>Kółko ręczne</v>
      </c>
      <c r="R2438" s="732" t="str">
        <f>CONCATENATE('DICTIONARY-4'!$A$23," ","200",", ",'DICTIONARY-5'!$A$40,"+",'DICTIONARY-6'!$A$37,", ",'DICTIONARY-5'!$A$188," ","4HR14"," ","+"," ",'DICTIONARY-6'!$A$43,", ",'DICTIONARY-5'!$A$195)</f>
        <v>Kółko ręczne 200, stal+EPOX., otwor 4HR14 + śruba/podkł., kolor czarny</v>
      </c>
      <c r="S2438" s="733"/>
      <c r="T2438" s="732"/>
      <c r="U2438" s="734"/>
      <c r="V2438" s="735"/>
      <c r="W2438" s="736"/>
      <c r="X2438" s="737"/>
      <c r="Y2438" s="738"/>
      <c r="Z2438" s="739"/>
      <c r="AA2438" s="739"/>
      <c r="AB2438" s="740"/>
      <c r="AC2438" s="741"/>
      <c r="AD2438" s="741"/>
      <c r="AE2438" s="742"/>
      <c r="AF2438" s="743">
        <v>0.82199999999999995</v>
      </c>
      <c r="AG2438" s="741" t="s">
        <v>5569</v>
      </c>
    </row>
    <row r="2439" spans="1:33" x14ac:dyDescent="0.25">
      <c r="A2439" s="854" t="s">
        <v>88</v>
      </c>
      <c r="B2439" s="854" t="s">
        <v>2893</v>
      </c>
      <c r="C2439" s="836">
        <v>14</v>
      </c>
      <c r="D2439" s="836"/>
      <c r="E2439" s="836"/>
      <c r="F2439" s="836"/>
      <c r="G2439" s="496" t="s">
        <v>7831</v>
      </c>
      <c r="H2439" s="797" t="str">
        <f>VLOOKUP(G2439,SETTINGS!$B$7:$D$97,2,0)</f>
        <v>Handwheel</v>
      </c>
      <c r="I2439" s="796">
        <f>VLOOKUP(G2439,SETTINGS!$B$7:$D$97,3,0)</f>
        <v>0</v>
      </c>
      <c r="J2439" s="670" t="str">
        <f>IFERROR(IF(CURRENCY.FORMAT_1=0,CONCATENATE(TEXT(FIXED(ROUND((C2439/EXC.RATE_1),CURRENCY.FORMAT_1),CURRENCY.FORMAT_1,1),"# ##0;-# ##0"),",-"),FIXED(ROUND((C2439/EXC.RATE_1),CURRENCY.FORMAT_1),CURRENCY.FORMAT_1,0)),'DICTIONARY-5'!$A$2)</f>
        <v>14,-</v>
      </c>
      <c r="K2439" s="670" t="str">
        <f>IF(EXC.RATE_2=0,"",IFERROR(IF(CURRENCY.FORMAT_2=0,CONCATENATE(TEXT(FIXED(ROUND(IF(EXC.RATE.SWITCH=1,C2439/EXC.RATE_2,C2439*EXC.RATE_2),CURRENCY.FORMAT_2),CURRENCY.FORMAT_2,1),"# ##0;-# ##0"),",-"),FIXED(ROUND(IF(EXC.RATE.SWITCH=1,C2439/EXC.RATE_2,C2439*EXC.RATE_2),CURRENCY.FORMAT_2),CURRENCY.FORMAT_2,0)),'DICTIONARY-5'!$A$2))</f>
        <v/>
      </c>
      <c r="L2439" s="670" t="str">
        <f>IFERROR(IF(CURRENCY.FORMAT_1=0,CONCATENATE(TEXT(FIXED(ROUND((C2439*(1-I2439)*(1-ADD.DISCOUNT)*(1+MAT.SURCHARGE)/EXC.RATE_1),CURRENCY.FORMAT_1),CURRENCY.FORMAT_1,1),"# ##0;-# ##0"),",-"),FIXED(ROUND((C2439*(1-I2439)*(1-ADD.DISCOUNT)*(1+MAT.SURCHARGE)/EXC.RATE_1),CURRENCY.FORMAT_1),CURRENCY.FORMAT_1,0)),'DICTIONARY-5'!$A$2)</f>
        <v>15,-</v>
      </c>
      <c r="M2439" s="670" t="str">
        <f>IF(EXC.RATE_2=0,"",IFERROR(IF(CURRENCY.FORMAT_2=0,CONCATENATE(TEXT(FIXED(ROUND(IF(EXC.RATE.SWITCH=1,C2439*(1-I2439)*(1-ADD.DISCOUNT)*(1+MAT.SURCHARGE)/EXC.RATE_2,C2439*(1-I2439)*(1-ADD.DISCOUNT)*(1+MAT.SURCHARGE)*EXC.RATE_2),CURRENCY.FORMAT_2),CURRENCY.FORMAT_2,1),"# ##0;-# ##0"),",-"),FIXED(ROUND(IF(EXC.RATE.SWITCH=1,C2439*(1-I2439)*(1-ADD.DISCOUNT)*(1+MAT.SURCHARGE)/EXC.RATE_2,C2439*(1-I2439)*(1-ADD.DISCOUNT)*(1+MAT.SURCHARGE)*EXC.RATE_2),CURRENCY.FORMAT_2),CURRENCY.FORMAT_2,0)),'DICTIONARY-5'!$A$2))</f>
        <v/>
      </c>
      <c r="N2439" s="537">
        <v>11</v>
      </c>
      <c r="O2439" s="537"/>
      <c r="P2439" s="732" t="str">
        <f>'DICTIONARY-3'!$A$151</f>
        <v>KOŁO</v>
      </c>
      <c r="Q2439" s="732" t="str">
        <f>'DICTIONARY-4'!$A$23</f>
        <v>Kółko ręczne</v>
      </c>
      <c r="R2439" s="732" t="str">
        <f>CONCATENATE('DICTIONARY-4'!$A$23," ","250",", ",'DICTIONARY-5'!$A$40,"+",'DICTIONARY-6'!$A$37,", ",'DICTIONARY-5'!$A$188," ","4HR17"," ","+"," ",'DICTIONARY-6'!$A$43,", ",'DICTIONARY-5'!$A$195)</f>
        <v>Kółko ręczne 250, stal+EPOX., otwor 4HR17 + śruba/podkł., kolor czarny</v>
      </c>
      <c r="S2439" s="733"/>
      <c r="T2439" s="732"/>
      <c r="U2439" s="734"/>
      <c r="V2439" s="735"/>
      <c r="W2439" s="736"/>
      <c r="X2439" s="737"/>
      <c r="Y2439" s="738"/>
      <c r="Z2439" s="739"/>
      <c r="AA2439" s="739"/>
      <c r="AB2439" s="740"/>
      <c r="AC2439" s="741"/>
      <c r="AD2439" s="741"/>
      <c r="AE2439" s="742"/>
      <c r="AF2439" s="743">
        <v>1.131</v>
      </c>
      <c r="AG2439" s="741" t="s">
        <v>5569</v>
      </c>
    </row>
    <row r="2440" spans="1:33" x14ac:dyDescent="0.25">
      <c r="A2440" s="854" t="s">
        <v>91</v>
      </c>
      <c r="B2440" s="854" t="s">
        <v>2894</v>
      </c>
      <c r="C2440" s="836">
        <v>19</v>
      </c>
      <c r="D2440" s="836"/>
      <c r="E2440" s="836"/>
      <c r="F2440" s="836"/>
      <c r="G2440" s="496" t="s">
        <v>7831</v>
      </c>
      <c r="H2440" s="797" t="str">
        <f>VLOOKUP(G2440,SETTINGS!$B$7:$D$97,2,0)</f>
        <v>Handwheel</v>
      </c>
      <c r="I2440" s="796">
        <f>VLOOKUP(G2440,SETTINGS!$B$7:$D$97,3,0)</f>
        <v>0</v>
      </c>
      <c r="J2440" s="670" t="str">
        <f>IFERROR(IF(CURRENCY.FORMAT_1=0,CONCATENATE(TEXT(FIXED(ROUND((C2440/EXC.RATE_1),CURRENCY.FORMAT_1),CURRENCY.FORMAT_1,1),"# ##0;-# ##0"),",-"),FIXED(ROUND((C2440/EXC.RATE_1),CURRENCY.FORMAT_1),CURRENCY.FORMAT_1,0)),'DICTIONARY-5'!$A$2)</f>
        <v>19,-</v>
      </c>
      <c r="K2440" s="670" t="str">
        <f>IF(EXC.RATE_2=0,"",IFERROR(IF(CURRENCY.FORMAT_2=0,CONCATENATE(TEXT(FIXED(ROUND(IF(EXC.RATE.SWITCH=1,C2440/EXC.RATE_2,C2440*EXC.RATE_2),CURRENCY.FORMAT_2),CURRENCY.FORMAT_2,1),"# ##0;-# ##0"),",-"),FIXED(ROUND(IF(EXC.RATE.SWITCH=1,C2440/EXC.RATE_2,C2440*EXC.RATE_2),CURRENCY.FORMAT_2),CURRENCY.FORMAT_2,0)),'DICTIONARY-5'!$A$2))</f>
        <v/>
      </c>
      <c r="L2440" s="670" t="str">
        <f>IFERROR(IF(CURRENCY.FORMAT_1=0,CONCATENATE(TEXT(FIXED(ROUND((C2440*(1-I2440)*(1-ADD.DISCOUNT)*(1+MAT.SURCHARGE)/EXC.RATE_1),CURRENCY.FORMAT_1),CURRENCY.FORMAT_1,1),"# ##0;-# ##0"),",-"),FIXED(ROUND((C2440*(1-I2440)*(1-ADD.DISCOUNT)*(1+MAT.SURCHARGE)/EXC.RATE_1),CURRENCY.FORMAT_1),CURRENCY.FORMAT_1,0)),'DICTIONARY-5'!$A$2)</f>
        <v>20,-</v>
      </c>
      <c r="M2440" s="670" t="str">
        <f>IF(EXC.RATE_2=0,"",IFERROR(IF(CURRENCY.FORMAT_2=0,CONCATENATE(TEXT(FIXED(ROUND(IF(EXC.RATE.SWITCH=1,C2440*(1-I2440)*(1-ADD.DISCOUNT)*(1+MAT.SURCHARGE)/EXC.RATE_2,C2440*(1-I2440)*(1-ADD.DISCOUNT)*(1+MAT.SURCHARGE)*EXC.RATE_2),CURRENCY.FORMAT_2),CURRENCY.FORMAT_2,1),"# ##0;-# ##0"),",-"),FIXED(ROUND(IF(EXC.RATE.SWITCH=1,C2440*(1-I2440)*(1-ADD.DISCOUNT)*(1+MAT.SURCHARGE)/EXC.RATE_2,C2440*(1-I2440)*(1-ADD.DISCOUNT)*(1+MAT.SURCHARGE)*EXC.RATE_2),CURRENCY.FORMAT_2),CURRENCY.FORMAT_2,0)),'DICTIONARY-5'!$A$2))</f>
        <v/>
      </c>
      <c r="N2440" s="537">
        <v>11</v>
      </c>
      <c r="O2440" s="537"/>
      <c r="P2440" s="732" t="str">
        <f>'DICTIONARY-3'!$A$151</f>
        <v>KOŁO</v>
      </c>
      <c r="Q2440" s="732" t="str">
        <f>'DICTIONARY-4'!$A$23</f>
        <v>Kółko ręczne</v>
      </c>
      <c r="R2440" s="732" t="str">
        <f>CONCATENATE('DICTIONARY-4'!$A$23," ","300",", ",'DICTIONARY-5'!$A$40,"+",'DICTIONARY-6'!$A$37,", ",'DICTIONARY-5'!$A$188," ","4HR19"," ","+"," ",'DICTIONARY-6'!$A$43,", ",'DICTIONARY-5'!$A$195)</f>
        <v>Kółko ręczne 300, stal+EPOX., otwor 4HR19 + śruba/podkł., kolor czarny</v>
      </c>
      <c r="S2440" s="733"/>
      <c r="T2440" s="732"/>
      <c r="U2440" s="734"/>
      <c r="V2440" s="735"/>
      <c r="W2440" s="736"/>
      <c r="X2440" s="737"/>
      <c r="Y2440" s="738"/>
      <c r="Z2440" s="739"/>
      <c r="AA2440" s="739"/>
      <c r="AB2440" s="740"/>
      <c r="AC2440" s="741"/>
      <c r="AD2440" s="741"/>
      <c r="AE2440" s="742"/>
      <c r="AF2440" s="743">
        <v>1.51</v>
      </c>
      <c r="AG2440" s="741" t="s">
        <v>5569</v>
      </c>
    </row>
    <row r="2441" spans="1:33" x14ac:dyDescent="0.25">
      <c r="A2441" s="854" t="s">
        <v>98</v>
      </c>
      <c r="B2441" s="854" t="s">
        <v>2895</v>
      </c>
      <c r="C2441" s="836">
        <v>34</v>
      </c>
      <c r="D2441" s="836"/>
      <c r="E2441" s="836"/>
      <c r="F2441" s="836"/>
      <c r="G2441" s="496" t="s">
        <v>7831</v>
      </c>
      <c r="H2441" s="797" t="str">
        <f>VLOOKUP(G2441,SETTINGS!$B$7:$D$97,2,0)</f>
        <v>Handwheel</v>
      </c>
      <c r="I2441" s="796">
        <f>VLOOKUP(G2441,SETTINGS!$B$7:$D$97,3,0)</f>
        <v>0</v>
      </c>
      <c r="J2441" s="670" t="str">
        <f>IFERROR(IF(CURRENCY.FORMAT_1=0,CONCATENATE(TEXT(FIXED(ROUND((C2441/EXC.RATE_1),CURRENCY.FORMAT_1),CURRENCY.FORMAT_1,1),"# ##0;-# ##0"),",-"),FIXED(ROUND((C2441/EXC.RATE_1),CURRENCY.FORMAT_1),CURRENCY.FORMAT_1,0)),'DICTIONARY-5'!$A$2)</f>
        <v>34,-</v>
      </c>
      <c r="K2441" s="670" t="str">
        <f>IF(EXC.RATE_2=0,"",IFERROR(IF(CURRENCY.FORMAT_2=0,CONCATENATE(TEXT(FIXED(ROUND(IF(EXC.RATE.SWITCH=1,C2441/EXC.RATE_2,C2441*EXC.RATE_2),CURRENCY.FORMAT_2),CURRENCY.FORMAT_2,1),"# ##0;-# ##0"),",-"),FIXED(ROUND(IF(EXC.RATE.SWITCH=1,C2441/EXC.RATE_2,C2441*EXC.RATE_2),CURRENCY.FORMAT_2),CURRENCY.FORMAT_2,0)),'DICTIONARY-5'!$A$2))</f>
        <v/>
      </c>
      <c r="L2441" s="670" t="str">
        <f>IFERROR(IF(CURRENCY.FORMAT_1=0,CONCATENATE(TEXT(FIXED(ROUND((C2441*(1-I2441)*(1-ADD.DISCOUNT)*(1+MAT.SURCHARGE)/EXC.RATE_1),CURRENCY.FORMAT_1),CURRENCY.FORMAT_1,1),"# ##0;-# ##0"),",-"),FIXED(ROUND((C2441*(1-I2441)*(1-ADD.DISCOUNT)*(1+MAT.SURCHARGE)/EXC.RATE_1),CURRENCY.FORMAT_1),CURRENCY.FORMAT_1,0)),'DICTIONARY-5'!$A$2)</f>
        <v>35,-</v>
      </c>
      <c r="M2441" s="670" t="str">
        <f>IF(EXC.RATE_2=0,"",IFERROR(IF(CURRENCY.FORMAT_2=0,CONCATENATE(TEXT(FIXED(ROUND(IF(EXC.RATE.SWITCH=1,C2441*(1-I2441)*(1-ADD.DISCOUNT)*(1+MAT.SURCHARGE)/EXC.RATE_2,C2441*(1-I2441)*(1-ADD.DISCOUNT)*(1+MAT.SURCHARGE)*EXC.RATE_2),CURRENCY.FORMAT_2),CURRENCY.FORMAT_2,1),"# ##0;-# ##0"),",-"),FIXED(ROUND(IF(EXC.RATE.SWITCH=1,C2441*(1-I2441)*(1-ADD.DISCOUNT)*(1+MAT.SURCHARGE)/EXC.RATE_2,C2441*(1-I2441)*(1-ADD.DISCOUNT)*(1+MAT.SURCHARGE)*EXC.RATE_2),CURRENCY.FORMAT_2),CURRENCY.FORMAT_2,0)),'DICTIONARY-5'!$A$2))</f>
        <v/>
      </c>
      <c r="N2441" s="537">
        <v>11</v>
      </c>
      <c r="O2441" s="537"/>
      <c r="P2441" s="732" t="str">
        <f>'DICTIONARY-3'!$A$151</f>
        <v>KOŁO</v>
      </c>
      <c r="Q2441" s="732" t="str">
        <f>'DICTIONARY-4'!$A$23</f>
        <v>Kółko ręczne</v>
      </c>
      <c r="R2441" s="732" t="str">
        <f>CONCATENATE('DICTIONARY-4'!$A$23," ","400",", ",'DICTIONARY-5'!$A$40,"+",'DICTIONARY-6'!$A$37,", ",'DICTIONARY-5'!$A$188," ","4HR24"," ","+"," ",'DICTIONARY-6'!$A$43,", ",'DICTIONARY-5'!$A$195)</f>
        <v>Kółko ręczne 400, stal+EPOX., otwor 4HR24 + śruba/podkł., kolor czarny</v>
      </c>
      <c r="S2441" s="733"/>
      <c r="T2441" s="732"/>
      <c r="U2441" s="734"/>
      <c r="V2441" s="735"/>
      <c r="W2441" s="736"/>
      <c r="X2441" s="737"/>
      <c r="Y2441" s="738"/>
      <c r="Z2441" s="739"/>
      <c r="AA2441" s="739"/>
      <c r="AB2441" s="740"/>
      <c r="AC2441" s="741"/>
      <c r="AD2441" s="741"/>
      <c r="AE2441" s="742"/>
      <c r="AF2441" s="743">
        <v>3.0990000000000002</v>
      </c>
      <c r="AG2441" s="741" t="s">
        <v>5569</v>
      </c>
    </row>
    <row r="2442" spans="1:33" x14ac:dyDescent="0.25">
      <c r="A2442" s="854" t="s">
        <v>102</v>
      </c>
      <c r="B2442" s="854" t="s">
        <v>2896</v>
      </c>
      <c r="C2442" s="836">
        <v>52</v>
      </c>
      <c r="D2442" s="836"/>
      <c r="E2442" s="836"/>
      <c r="F2442" s="836"/>
      <c r="G2442" s="496" t="s">
        <v>7831</v>
      </c>
      <c r="H2442" s="797" t="str">
        <f>VLOOKUP(G2442,SETTINGS!$B$7:$D$97,2,0)</f>
        <v>Handwheel</v>
      </c>
      <c r="I2442" s="796">
        <f>VLOOKUP(G2442,SETTINGS!$B$7:$D$97,3,0)</f>
        <v>0</v>
      </c>
      <c r="J2442" s="670" t="str">
        <f>IFERROR(IF(CURRENCY.FORMAT_1=0,CONCATENATE(TEXT(FIXED(ROUND((C2442/EXC.RATE_1),CURRENCY.FORMAT_1),CURRENCY.FORMAT_1,1),"# ##0;-# ##0"),",-"),FIXED(ROUND((C2442/EXC.RATE_1),CURRENCY.FORMAT_1),CURRENCY.FORMAT_1,0)),'DICTIONARY-5'!$A$2)</f>
        <v>52,-</v>
      </c>
      <c r="K2442" s="670" t="str">
        <f>IF(EXC.RATE_2=0,"",IFERROR(IF(CURRENCY.FORMAT_2=0,CONCATENATE(TEXT(FIXED(ROUND(IF(EXC.RATE.SWITCH=1,C2442/EXC.RATE_2,C2442*EXC.RATE_2),CURRENCY.FORMAT_2),CURRENCY.FORMAT_2,1),"# ##0;-# ##0"),",-"),FIXED(ROUND(IF(EXC.RATE.SWITCH=1,C2442/EXC.RATE_2,C2442*EXC.RATE_2),CURRENCY.FORMAT_2),CURRENCY.FORMAT_2,0)),'DICTIONARY-5'!$A$2))</f>
        <v/>
      </c>
      <c r="L2442" s="670" t="str">
        <f>IFERROR(IF(CURRENCY.FORMAT_1=0,CONCATENATE(TEXT(FIXED(ROUND((C2442*(1-I2442)*(1-ADD.DISCOUNT)*(1+MAT.SURCHARGE)/EXC.RATE_1),CURRENCY.FORMAT_1),CURRENCY.FORMAT_1,1),"# ##0;-# ##0"),",-"),FIXED(ROUND((C2442*(1-I2442)*(1-ADD.DISCOUNT)*(1+MAT.SURCHARGE)/EXC.RATE_1),CURRENCY.FORMAT_1),CURRENCY.FORMAT_1,0)),'DICTIONARY-5'!$A$2)</f>
        <v>54,-</v>
      </c>
      <c r="M2442" s="670" t="str">
        <f>IF(EXC.RATE_2=0,"",IFERROR(IF(CURRENCY.FORMAT_2=0,CONCATENATE(TEXT(FIXED(ROUND(IF(EXC.RATE.SWITCH=1,C2442*(1-I2442)*(1-ADD.DISCOUNT)*(1+MAT.SURCHARGE)/EXC.RATE_2,C2442*(1-I2442)*(1-ADD.DISCOUNT)*(1+MAT.SURCHARGE)*EXC.RATE_2),CURRENCY.FORMAT_2),CURRENCY.FORMAT_2,1),"# ##0;-# ##0"),",-"),FIXED(ROUND(IF(EXC.RATE.SWITCH=1,C2442*(1-I2442)*(1-ADD.DISCOUNT)*(1+MAT.SURCHARGE)/EXC.RATE_2,C2442*(1-I2442)*(1-ADD.DISCOUNT)*(1+MAT.SURCHARGE)*EXC.RATE_2),CURRENCY.FORMAT_2),CURRENCY.FORMAT_2,0)),'DICTIONARY-5'!$A$2))</f>
        <v/>
      </c>
      <c r="N2442" s="537">
        <v>11</v>
      </c>
      <c r="O2442" s="537"/>
      <c r="P2442" s="732" t="str">
        <f>'DICTIONARY-3'!$A$151</f>
        <v>KOŁO</v>
      </c>
      <c r="Q2442" s="732" t="str">
        <f>'DICTIONARY-4'!$A$23</f>
        <v>Kółko ręczne</v>
      </c>
      <c r="R2442" s="732" t="str">
        <f>CONCATENATE('DICTIONARY-4'!$A$23," ","500",", ",'DICTIONARY-5'!$A$40,"+",'DICTIONARY-6'!$A$37,", ",'DICTIONARY-5'!$A$188," ","4HR27"," ","+"," ",'DICTIONARY-6'!$A$43,", ",'DICTIONARY-5'!$A$195)</f>
        <v>Kółko ręczne 500, stal+EPOX., otwor 4HR27 + śruba/podkł., kolor czarny</v>
      </c>
      <c r="S2442" s="733"/>
      <c r="T2442" s="732"/>
      <c r="U2442" s="734"/>
      <c r="V2442" s="735"/>
      <c r="W2442" s="736"/>
      <c r="X2442" s="737"/>
      <c r="Y2442" s="738"/>
      <c r="Z2442" s="739"/>
      <c r="AA2442" s="739"/>
      <c r="AB2442" s="740"/>
      <c r="AC2442" s="741"/>
      <c r="AD2442" s="741"/>
      <c r="AE2442" s="742"/>
      <c r="AF2442" s="743">
        <v>4.5</v>
      </c>
      <c r="AG2442" s="741" t="s">
        <v>5569</v>
      </c>
    </row>
    <row r="2443" spans="1:33" x14ac:dyDescent="0.25">
      <c r="A2443" s="854" t="s">
        <v>142</v>
      </c>
      <c r="B2443" s="854" t="s">
        <v>2897</v>
      </c>
      <c r="C2443" s="836">
        <v>95</v>
      </c>
      <c r="D2443" s="836"/>
      <c r="E2443" s="836"/>
      <c r="F2443" s="836"/>
      <c r="G2443" s="496" t="s">
        <v>7831</v>
      </c>
      <c r="H2443" s="797" t="str">
        <f>VLOOKUP(G2443,SETTINGS!$B$7:$D$97,2,0)</f>
        <v>Handwheel</v>
      </c>
      <c r="I2443" s="796">
        <f>VLOOKUP(G2443,SETTINGS!$B$7:$D$97,3,0)</f>
        <v>0</v>
      </c>
      <c r="J2443" s="670" t="str">
        <f>IFERROR(IF(CURRENCY.FORMAT_1=0,CONCATENATE(TEXT(FIXED(ROUND((C2443/EXC.RATE_1),CURRENCY.FORMAT_1),CURRENCY.FORMAT_1,1),"# ##0;-# ##0"),",-"),FIXED(ROUND((C2443/EXC.RATE_1),CURRENCY.FORMAT_1),CURRENCY.FORMAT_1,0)),'DICTIONARY-5'!$A$2)</f>
        <v>95,-</v>
      </c>
      <c r="K2443" s="670" t="str">
        <f>IF(EXC.RATE_2=0,"",IFERROR(IF(CURRENCY.FORMAT_2=0,CONCATENATE(TEXT(FIXED(ROUND(IF(EXC.RATE.SWITCH=1,C2443/EXC.RATE_2,C2443*EXC.RATE_2),CURRENCY.FORMAT_2),CURRENCY.FORMAT_2,1),"# ##0;-# ##0"),",-"),FIXED(ROUND(IF(EXC.RATE.SWITCH=1,C2443/EXC.RATE_2,C2443*EXC.RATE_2),CURRENCY.FORMAT_2),CURRENCY.FORMAT_2,0)),'DICTIONARY-5'!$A$2))</f>
        <v/>
      </c>
      <c r="L2443" s="670" t="str">
        <f>IFERROR(IF(CURRENCY.FORMAT_1=0,CONCATENATE(TEXT(FIXED(ROUND((C2443*(1-I2443)*(1-ADD.DISCOUNT)*(1+MAT.SURCHARGE)/EXC.RATE_1),CURRENCY.FORMAT_1),CURRENCY.FORMAT_1,1),"# ##0;-# ##0"),",-"),FIXED(ROUND((C2443*(1-I2443)*(1-ADD.DISCOUNT)*(1+MAT.SURCHARGE)/EXC.RATE_1),CURRENCY.FORMAT_1),CURRENCY.FORMAT_1,0)),'DICTIONARY-5'!$A$2)</f>
        <v>99,-</v>
      </c>
      <c r="M2443" s="670" t="str">
        <f>IF(EXC.RATE_2=0,"",IFERROR(IF(CURRENCY.FORMAT_2=0,CONCATENATE(TEXT(FIXED(ROUND(IF(EXC.RATE.SWITCH=1,C2443*(1-I2443)*(1-ADD.DISCOUNT)*(1+MAT.SURCHARGE)/EXC.RATE_2,C2443*(1-I2443)*(1-ADD.DISCOUNT)*(1+MAT.SURCHARGE)*EXC.RATE_2),CURRENCY.FORMAT_2),CURRENCY.FORMAT_2,1),"# ##0;-# ##0"),",-"),FIXED(ROUND(IF(EXC.RATE.SWITCH=1,C2443*(1-I2443)*(1-ADD.DISCOUNT)*(1+MAT.SURCHARGE)/EXC.RATE_2,C2443*(1-I2443)*(1-ADD.DISCOUNT)*(1+MAT.SURCHARGE)*EXC.RATE_2),CURRENCY.FORMAT_2),CURRENCY.FORMAT_2,0)),'DICTIONARY-5'!$A$2))</f>
        <v/>
      </c>
      <c r="N2443" s="537">
        <v>11</v>
      </c>
      <c r="O2443" s="537"/>
      <c r="P2443" s="732" t="str">
        <f>'DICTIONARY-3'!$A$151</f>
        <v>KOŁO</v>
      </c>
      <c r="Q2443" s="732" t="str">
        <f>'DICTIONARY-4'!$A$23</f>
        <v>Kółko ręczne</v>
      </c>
      <c r="R2443" s="732" t="str">
        <f>CONCATENATE('DICTIONARY-4'!$A$23," ","630",", ",'DICTIONARY-5'!$A$40,"+",'DICTIONARY-6'!$A$37,", ",'DICTIONARY-5'!$A$188," ","4HR32"," ","+"," ",'DICTIONARY-6'!$A$43,", ",'DICTIONARY-5'!$A$195)</f>
        <v>Kółko ręczne 630, stal+EPOX., otwor 4HR32 + śruba/podkł., kolor czarny</v>
      </c>
      <c r="S2443" s="733"/>
      <c r="T2443" s="732"/>
      <c r="U2443" s="734"/>
      <c r="V2443" s="735"/>
      <c r="W2443" s="736"/>
      <c r="X2443" s="737"/>
      <c r="Y2443" s="738"/>
      <c r="Z2443" s="739"/>
      <c r="AA2443" s="739"/>
      <c r="AB2443" s="740"/>
      <c r="AC2443" s="741"/>
      <c r="AD2443" s="741"/>
      <c r="AE2443" s="742"/>
      <c r="AF2443" s="743">
        <v>5.5</v>
      </c>
      <c r="AG2443" s="741" t="s">
        <v>5569</v>
      </c>
    </row>
    <row r="2444" spans="1:33" x14ac:dyDescent="0.25">
      <c r="A2444" s="854" t="s">
        <v>153</v>
      </c>
      <c r="B2444" s="854" t="s">
        <v>2898</v>
      </c>
      <c r="C2444" s="836">
        <v>139</v>
      </c>
      <c r="D2444" s="836"/>
      <c r="E2444" s="836"/>
      <c r="F2444" s="836"/>
      <c r="G2444" s="496" t="s">
        <v>7831</v>
      </c>
      <c r="H2444" s="797" t="str">
        <f>VLOOKUP(G2444,SETTINGS!$B$7:$D$97,2,0)</f>
        <v>Handwheel</v>
      </c>
      <c r="I2444" s="796">
        <f>VLOOKUP(G2444,SETTINGS!$B$7:$D$97,3,0)</f>
        <v>0</v>
      </c>
      <c r="J2444" s="670" t="str">
        <f>IFERROR(IF(CURRENCY.FORMAT_1=0,CONCATENATE(TEXT(FIXED(ROUND((C2444/EXC.RATE_1),CURRENCY.FORMAT_1),CURRENCY.FORMAT_1,1),"# ##0;-# ##0"),",-"),FIXED(ROUND((C2444/EXC.RATE_1),CURRENCY.FORMAT_1),CURRENCY.FORMAT_1,0)),'DICTIONARY-5'!$A$2)</f>
        <v>139,-</v>
      </c>
      <c r="K2444" s="670" t="str">
        <f>IF(EXC.RATE_2=0,"",IFERROR(IF(CURRENCY.FORMAT_2=0,CONCATENATE(TEXT(FIXED(ROUND(IF(EXC.RATE.SWITCH=1,C2444/EXC.RATE_2,C2444*EXC.RATE_2),CURRENCY.FORMAT_2),CURRENCY.FORMAT_2,1),"# ##0;-# ##0"),",-"),FIXED(ROUND(IF(EXC.RATE.SWITCH=1,C2444/EXC.RATE_2,C2444*EXC.RATE_2),CURRENCY.FORMAT_2),CURRENCY.FORMAT_2,0)),'DICTIONARY-5'!$A$2))</f>
        <v/>
      </c>
      <c r="L2444" s="670" t="str">
        <f>IFERROR(IF(CURRENCY.FORMAT_1=0,CONCATENATE(TEXT(FIXED(ROUND((C2444*(1-I2444)*(1-ADD.DISCOUNT)*(1+MAT.SURCHARGE)/EXC.RATE_1),CURRENCY.FORMAT_1),CURRENCY.FORMAT_1,1),"# ##0;-# ##0"),",-"),FIXED(ROUND((C2444*(1-I2444)*(1-ADD.DISCOUNT)*(1+MAT.SURCHARGE)/EXC.RATE_1),CURRENCY.FORMAT_1),CURRENCY.FORMAT_1,0)),'DICTIONARY-5'!$A$2)</f>
        <v>144,-</v>
      </c>
      <c r="M2444" s="670" t="str">
        <f>IF(EXC.RATE_2=0,"",IFERROR(IF(CURRENCY.FORMAT_2=0,CONCATENATE(TEXT(FIXED(ROUND(IF(EXC.RATE.SWITCH=1,C2444*(1-I2444)*(1-ADD.DISCOUNT)*(1+MAT.SURCHARGE)/EXC.RATE_2,C2444*(1-I2444)*(1-ADD.DISCOUNT)*(1+MAT.SURCHARGE)*EXC.RATE_2),CURRENCY.FORMAT_2),CURRENCY.FORMAT_2,1),"# ##0;-# ##0"),",-"),FIXED(ROUND(IF(EXC.RATE.SWITCH=1,C2444*(1-I2444)*(1-ADD.DISCOUNT)*(1+MAT.SURCHARGE)/EXC.RATE_2,C2444*(1-I2444)*(1-ADD.DISCOUNT)*(1+MAT.SURCHARGE)*EXC.RATE_2),CURRENCY.FORMAT_2),CURRENCY.FORMAT_2,0)),'DICTIONARY-5'!$A$2))</f>
        <v/>
      </c>
      <c r="N2444" s="537">
        <v>11</v>
      </c>
      <c r="O2444" s="537"/>
      <c r="P2444" s="732" t="str">
        <f>'DICTIONARY-3'!$A$151</f>
        <v>KOŁO</v>
      </c>
      <c r="Q2444" s="732" t="str">
        <f>'DICTIONARY-4'!$A$23</f>
        <v>Kółko ręczne</v>
      </c>
      <c r="R2444" s="732" t="str">
        <f>CONCATENATE('DICTIONARY-4'!$A$23," ","720",", ",'DICTIONARY-5'!$A$40,"+",'DICTIONARY-6'!$A$37,", ",'DICTIONARY-5'!$A$188," ","4HR36"," ","+"," ",'DICTIONARY-6'!$A$43,", ",'DICTIONARY-5'!$A$195)</f>
        <v>Kółko ręczne 720, stal+EPOX., otwor 4HR36 + śruba/podkł., kolor czarny</v>
      </c>
      <c r="S2444" s="733"/>
      <c r="T2444" s="732"/>
      <c r="U2444" s="734"/>
      <c r="V2444" s="735"/>
      <c r="W2444" s="736"/>
      <c r="X2444" s="737"/>
      <c r="Y2444" s="738"/>
      <c r="Z2444" s="739"/>
      <c r="AA2444" s="739"/>
      <c r="AB2444" s="740"/>
      <c r="AC2444" s="741"/>
      <c r="AD2444" s="741"/>
      <c r="AE2444" s="742"/>
      <c r="AF2444" s="743">
        <v>6.5</v>
      </c>
      <c r="AG2444" s="741" t="s">
        <v>5569</v>
      </c>
    </row>
    <row r="2445" spans="1:33" x14ac:dyDescent="0.25">
      <c r="A2445" s="854" t="s">
        <v>2311</v>
      </c>
      <c r="B2445" s="854" t="s">
        <v>2734</v>
      </c>
      <c r="C2445" s="836">
        <v>47</v>
      </c>
      <c r="D2445" s="836"/>
      <c r="E2445" s="836"/>
      <c r="F2445" s="836"/>
      <c r="G2445" s="496" t="s">
        <v>7831</v>
      </c>
      <c r="H2445" s="797" t="str">
        <f>VLOOKUP(G2445,SETTINGS!$B$7:$D$97,2,0)</f>
        <v>Handwheel</v>
      </c>
      <c r="I2445" s="796">
        <f>VLOOKUP(G2445,SETTINGS!$B$7:$D$97,3,0)</f>
        <v>0</v>
      </c>
      <c r="J2445" s="670" t="str">
        <f>IFERROR(IF(CURRENCY.FORMAT_1=0,CONCATENATE(TEXT(FIXED(ROUND((C2445/EXC.RATE_1),CURRENCY.FORMAT_1),CURRENCY.FORMAT_1,1),"# ##0;-# ##0"),",-"),FIXED(ROUND((C2445/EXC.RATE_1),CURRENCY.FORMAT_1),CURRENCY.FORMAT_1,0)),'DICTIONARY-5'!$A$2)</f>
        <v>47,-</v>
      </c>
      <c r="K2445" s="670" t="str">
        <f>IF(EXC.RATE_2=0,"",IFERROR(IF(CURRENCY.FORMAT_2=0,CONCATENATE(TEXT(FIXED(ROUND(IF(EXC.RATE.SWITCH=1,C2445/EXC.RATE_2,C2445*EXC.RATE_2),CURRENCY.FORMAT_2),CURRENCY.FORMAT_2,1),"# ##0;-# ##0"),",-"),FIXED(ROUND(IF(EXC.RATE.SWITCH=1,C2445/EXC.RATE_2,C2445*EXC.RATE_2),CURRENCY.FORMAT_2),CURRENCY.FORMAT_2,0)),'DICTIONARY-5'!$A$2))</f>
        <v/>
      </c>
      <c r="L2445" s="670" t="str">
        <f>IFERROR(IF(CURRENCY.FORMAT_1=0,CONCATENATE(TEXT(FIXED(ROUND((C2445*(1-I2445)*(1-ADD.DISCOUNT)*(1+MAT.SURCHARGE)/EXC.RATE_1),CURRENCY.FORMAT_1),CURRENCY.FORMAT_1,1),"# ##0;-# ##0"),",-"),FIXED(ROUND((C2445*(1-I2445)*(1-ADD.DISCOUNT)*(1+MAT.SURCHARGE)/EXC.RATE_1),CURRENCY.FORMAT_1),CURRENCY.FORMAT_1,0)),'DICTIONARY-5'!$A$2)</f>
        <v>49,-</v>
      </c>
      <c r="M2445" s="670" t="str">
        <f>IF(EXC.RATE_2=0,"",IFERROR(IF(CURRENCY.FORMAT_2=0,CONCATENATE(TEXT(FIXED(ROUND(IF(EXC.RATE.SWITCH=1,C2445*(1-I2445)*(1-ADD.DISCOUNT)*(1+MAT.SURCHARGE)/EXC.RATE_2,C2445*(1-I2445)*(1-ADD.DISCOUNT)*(1+MAT.SURCHARGE)*EXC.RATE_2),CURRENCY.FORMAT_2),CURRENCY.FORMAT_2,1),"# ##0;-# ##0"),",-"),FIXED(ROUND(IF(EXC.RATE.SWITCH=1,C2445*(1-I2445)*(1-ADD.DISCOUNT)*(1+MAT.SURCHARGE)/EXC.RATE_2,C2445*(1-I2445)*(1-ADD.DISCOUNT)*(1+MAT.SURCHARGE)*EXC.RATE_2),CURRENCY.FORMAT_2),CURRENCY.FORMAT_2,0)),'DICTIONARY-5'!$A$2))</f>
        <v/>
      </c>
      <c r="N2445" s="537">
        <v>11</v>
      </c>
      <c r="O2445" s="537"/>
      <c r="P2445" s="732" t="str">
        <f>'DICTIONARY-3'!$A$151</f>
        <v>KOŁO</v>
      </c>
      <c r="Q2445" s="732" t="str">
        <f>'DICTIONARY-4'!$A$23</f>
        <v>Kółko ręczne</v>
      </c>
      <c r="R2445" s="732" t="str">
        <f>CONCATENATE('DICTIONARY-4'!$A$23," ","200",", ",'DICTIONARY-5'!$A$51,"+",'DICTIONARY-6'!$A$37,", ",'DICTIONARY-5'!$A$188," ","4HR14"," ","+"," ",'DICTIONARY-6'!$A$43,", ",'DICTIONARY-5'!$A$193)</f>
        <v>Kółko ręczne 200, GGG+EPOX., otwor 4HR14 + śruba/podkł., kolor niebieski</v>
      </c>
      <c r="S2445" s="733"/>
      <c r="T2445" s="732"/>
      <c r="U2445" s="734"/>
      <c r="V2445" s="735"/>
      <c r="W2445" s="736"/>
      <c r="X2445" s="737"/>
      <c r="Y2445" s="738"/>
      <c r="Z2445" s="739"/>
      <c r="AA2445" s="739"/>
      <c r="AB2445" s="740"/>
      <c r="AC2445" s="741"/>
      <c r="AD2445" s="741"/>
      <c r="AE2445" s="742"/>
      <c r="AF2445" s="743">
        <v>2.0499999999999998</v>
      </c>
      <c r="AG2445" s="741" t="s">
        <v>5569</v>
      </c>
    </row>
    <row r="2446" spans="1:33" x14ac:dyDescent="0.25">
      <c r="A2446" s="854" t="s">
        <v>2312</v>
      </c>
      <c r="B2446" s="854" t="s">
        <v>2735</v>
      </c>
      <c r="C2446" s="836">
        <v>49</v>
      </c>
      <c r="D2446" s="836"/>
      <c r="E2446" s="836"/>
      <c r="F2446" s="836"/>
      <c r="G2446" s="496" t="s">
        <v>7831</v>
      </c>
      <c r="H2446" s="797" t="str">
        <f>VLOOKUP(G2446,SETTINGS!$B$7:$D$97,2,0)</f>
        <v>Handwheel</v>
      </c>
      <c r="I2446" s="796">
        <f>VLOOKUP(G2446,SETTINGS!$B$7:$D$97,3,0)</f>
        <v>0</v>
      </c>
      <c r="J2446" s="670" t="str">
        <f>IFERROR(IF(CURRENCY.FORMAT_1=0,CONCATENATE(TEXT(FIXED(ROUND((C2446/EXC.RATE_1),CURRENCY.FORMAT_1),CURRENCY.FORMAT_1,1),"# ##0;-# ##0"),",-"),FIXED(ROUND((C2446/EXC.RATE_1),CURRENCY.FORMAT_1),CURRENCY.FORMAT_1,0)),'DICTIONARY-5'!$A$2)</f>
        <v>49,-</v>
      </c>
      <c r="K2446" s="670" t="str">
        <f>IF(EXC.RATE_2=0,"",IFERROR(IF(CURRENCY.FORMAT_2=0,CONCATENATE(TEXT(FIXED(ROUND(IF(EXC.RATE.SWITCH=1,C2446/EXC.RATE_2,C2446*EXC.RATE_2),CURRENCY.FORMAT_2),CURRENCY.FORMAT_2,1),"# ##0;-# ##0"),",-"),FIXED(ROUND(IF(EXC.RATE.SWITCH=1,C2446/EXC.RATE_2,C2446*EXC.RATE_2),CURRENCY.FORMAT_2),CURRENCY.FORMAT_2,0)),'DICTIONARY-5'!$A$2))</f>
        <v/>
      </c>
      <c r="L2446" s="670" t="str">
        <f>IFERROR(IF(CURRENCY.FORMAT_1=0,CONCATENATE(TEXT(FIXED(ROUND((C2446*(1-I2446)*(1-ADD.DISCOUNT)*(1+MAT.SURCHARGE)/EXC.RATE_1),CURRENCY.FORMAT_1),CURRENCY.FORMAT_1,1),"# ##0;-# ##0"),",-"),FIXED(ROUND((C2446*(1-I2446)*(1-ADD.DISCOUNT)*(1+MAT.SURCHARGE)/EXC.RATE_1),CURRENCY.FORMAT_1),CURRENCY.FORMAT_1,0)),'DICTIONARY-5'!$A$2)</f>
        <v>51,-</v>
      </c>
      <c r="M2446" s="670" t="str">
        <f>IF(EXC.RATE_2=0,"",IFERROR(IF(CURRENCY.FORMAT_2=0,CONCATENATE(TEXT(FIXED(ROUND(IF(EXC.RATE.SWITCH=1,C2446*(1-I2446)*(1-ADD.DISCOUNT)*(1+MAT.SURCHARGE)/EXC.RATE_2,C2446*(1-I2446)*(1-ADD.DISCOUNT)*(1+MAT.SURCHARGE)*EXC.RATE_2),CURRENCY.FORMAT_2),CURRENCY.FORMAT_2,1),"# ##0;-# ##0"),",-"),FIXED(ROUND(IF(EXC.RATE.SWITCH=1,C2446*(1-I2446)*(1-ADD.DISCOUNT)*(1+MAT.SURCHARGE)/EXC.RATE_2,C2446*(1-I2446)*(1-ADD.DISCOUNT)*(1+MAT.SURCHARGE)*EXC.RATE_2),CURRENCY.FORMAT_2),CURRENCY.FORMAT_2,0)),'DICTIONARY-5'!$A$2))</f>
        <v/>
      </c>
      <c r="N2446" s="537">
        <v>11</v>
      </c>
      <c r="O2446" s="537"/>
      <c r="P2446" s="732" t="str">
        <f>'DICTIONARY-3'!$A$151</f>
        <v>KOŁO</v>
      </c>
      <c r="Q2446" s="732" t="str">
        <f>'DICTIONARY-4'!$A$23</f>
        <v>Kółko ręczne</v>
      </c>
      <c r="R2446" s="732" t="str">
        <f>CONCATENATE('DICTIONARY-4'!$A$23," ","250",", ",'DICTIONARY-5'!$A$51,"+",'DICTIONARY-6'!$A$37,", ",'DICTIONARY-5'!$A$188," ","4HR17"," ","+"," ",'DICTIONARY-6'!$A$43,", ",'DICTIONARY-5'!$A$193)</f>
        <v>Kółko ręczne 250, GGG+EPOX., otwor 4HR17 + śruba/podkł., kolor niebieski</v>
      </c>
      <c r="S2446" s="733"/>
      <c r="T2446" s="732"/>
      <c r="U2446" s="734"/>
      <c r="V2446" s="735"/>
      <c r="W2446" s="736"/>
      <c r="X2446" s="737"/>
      <c r="Y2446" s="738"/>
      <c r="Z2446" s="739"/>
      <c r="AA2446" s="739"/>
      <c r="AB2446" s="740"/>
      <c r="AC2446" s="741"/>
      <c r="AD2446" s="741"/>
      <c r="AE2446" s="742"/>
      <c r="AF2446" s="743">
        <v>2.5</v>
      </c>
      <c r="AG2446" s="741" t="s">
        <v>5569</v>
      </c>
    </row>
    <row r="2447" spans="1:33" x14ac:dyDescent="0.25">
      <c r="A2447" s="854" t="s">
        <v>2313</v>
      </c>
      <c r="B2447" s="854" t="s">
        <v>2736</v>
      </c>
      <c r="C2447" s="836">
        <v>55</v>
      </c>
      <c r="D2447" s="836"/>
      <c r="E2447" s="836"/>
      <c r="F2447" s="836"/>
      <c r="G2447" s="496" t="s">
        <v>7831</v>
      </c>
      <c r="H2447" s="797" t="str">
        <f>VLOOKUP(G2447,SETTINGS!$B$7:$D$97,2,0)</f>
        <v>Handwheel</v>
      </c>
      <c r="I2447" s="796">
        <f>VLOOKUP(G2447,SETTINGS!$B$7:$D$97,3,0)</f>
        <v>0</v>
      </c>
      <c r="J2447" s="670" t="str">
        <f>IFERROR(IF(CURRENCY.FORMAT_1=0,CONCATENATE(TEXT(FIXED(ROUND((C2447/EXC.RATE_1),CURRENCY.FORMAT_1),CURRENCY.FORMAT_1,1),"# ##0;-# ##0"),",-"),FIXED(ROUND((C2447/EXC.RATE_1),CURRENCY.FORMAT_1),CURRENCY.FORMAT_1,0)),'DICTIONARY-5'!$A$2)</f>
        <v>55,-</v>
      </c>
      <c r="K2447" s="670" t="str">
        <f>IF(EXC.RATE_2=0,"",IFERROR(IF(CURRENCY.FORMAT_2=0,CONCATENATE(TEXT(FIXED(ROUND(IF(EXC.RATE.SWITCH=1,C2447/EXC.RATE_2,C2447*EXC.RATE_2),CURRENCY.FORMAT_2),CURRENCY.FORMAT_2,1),"# ##0;-# ##0"),",-"),FIXED(ROUND(IF(EXC.RATE.SWITCH=1,C2447/EXC.RATE_2,C2447*EXC.RATE_2),CURRENCY.FORMAT_2),CURRENCY.FORMAT_2,0)),'DICTIONARY-5'!$A$2))</f>
        <v/>
      </c>
      <c r="L2447" s="670" t="str">
        <f>IFERROR(IF(CURRENCY.FORMAT_1=0,CONCATENATE(TEXT(FIXED(ROUND((C2447*(1-I2447)*(1-ADD.DISCOUNT)*(1+MAT.SURCHARGE)/EXC.RATE_1),CURRENCY.FORMAT_1),CURRENCY.FORMAT_1,1),"# ##0;-# ##0"),",-"),FIXED(ROUND((C2447*(1-I2447)*(1-ADD.DISCOUNT)*(1+MAT.SURCHARGE)/EXC.RATE_1),CURRENCY.FORMAT_1),CURRENCY.FORMAT_1,0)),'DICTIONARY-5'!$A$2)</f>
        <v>57,-</v>
      </c>
      <c r="M2447" s="670" t="str">
        <f>IF(EXC.RATE_2=0,"",IFERROR(IF(CURRENCY.FORMAT_2=0,CONCATENATE(TEXT(FIXED(ROUND(IF(EXC.RATE.SWITCH=1,C2447*(1-I2447)*(1-ADD.DISCOUNT)*(1+MAT.SURCHARGE)/EXC.RATE_2,C2447*(1-I2447)*(1-ADD.DISCOUNT)*(1+MAT.SURCHARGE)*EXC.RATE_2),CURRENCY.FORMAT_2),CURRENCY.FORMAT_2,1),"# ##0;-# ##0"),",-"),FIXED(ROUND(IF(EXC.RATE.SWITCH=1,C2447*(1-I2447)*(1-ADD.DISCOUNT)*(1+MAT.SURCHARGE)/EXC.RATE_2,C2447*(1-I2447)*(1-ADD.DISCOUNT)*(1+MAT.SURCHARGE)*EXC.RATE_2),CURRENCY.FORMAT_2),CURRENCY.FORMAT_2,0)),'DICTIONARY-5'!$A$2))</f>
        <v/>
      </c>
      <c r="N2447" s="537">
        <v>11</v>
      </c>
      <c r="O2447" s="537"/>
      <c r="P2447" s="732" t="str">
        <f>'DICTIONARY-3'!$A$151</f>
        <v>KOŁO</v>
      </c>
      <c r="Q2447" s="732" t="str">
        <f>'DICTIONARY-4'!$A$23</f>
        <v>Kółko ręczne</v>
      </c>
      <c r="R2447" s="732" t="str">
        <f>CONCATENATE('DICTIONARY-4'!$A$23," ","315",", ",'DICTIONARY-5'!$A$51,"+",'DICTIONARY-6'!$A$37,", ",'DICTIONARY-5'!$A$188," ","4HR19"," ","+"," ",'DICTIONARY-6'!$A$43,", ",'DICTIONARY-5'!$A$193)</f>
        <v>Kółko ręczne 315, GGG+EPOX., otwor 4HR19 + śruba/podkł., kolor niebieski</v>
      </c>
      <c r="S2447" s="733"/>
      <c r="T2447" s="732"/>
      <c r="U2447" s="734"/>
      <c r="V2447" s="735"/>
      <c r="W2447" s="736"/>
      <c r="X2447" s="737"/>
      <c r="Y2447" s="738"/>
      <c r="Z2447" s="739"/>
      <c r="AA2447" s="739"/>
      <c r="AB2447" s="740"/>
      <c r="AC2447" s="741"/>
      <c r="AD2447" s="741"/>
      <c r="AE2447" s="742"/>
      <c r="AF2447" s="743">
        <v>3.5</v>
      </c>
      <c r="AG2447" s="741" t="s">
        <v>5569</v>
      </c>
    </row>
    <row r="2448" spans="1:33" x14ac:dyDescent="0.25">
      <c r="A2448" s="854" t="s">
        <v>2314</v>
      </c>
      <c r="B2448" s="854" t="s">
        <v>2737</v>
      </c>
      <c r="C2448" s="836">
        <v>180</v>
      </c>
      <c r="D2448" s="836"/>
      <c r="E2448" s="836"/>
      <c r="F2448" s="836"/>
      <c r="G2448" s="496" t="s">
        <v>7831</v>
      </c>
      <c r="H2448" s="797" t="str">
        <f>VLOOKUP(G2448,SETTINGS!$B$7:$D$97,2,0)</f>
        <v>Handwheel</v>
      </c>
      <c r="I2448" s="796">
        <f>VLOOKUP(G2448,SETTINGS!$B$7:$D$97,3,0)</f>
        <v>0</v>
      </c>
      <c r="J2448" s="670" t="str">
        <f>IFERROR(IF(CURRENCY.FORMAT_1=0,CONCATENATE(TEXT(FIXED(ROUND((C2448/EXC.RATE_1),CURRENCY.FORMAT_1),CURRENCY.FORMAT_1,1),"# ##0;-# ##0"),",-"),FIXED(ROUND((C2448/EXC.RATE_1),CURRENCY.FORMAT_1),CURRENCY.FORMAT_1,0)),'DICTIONARY-5'!$A$2)</f>
        <v>180,-</v>
      </c>
      <c r="K2448" s="670" t="str">
        <f>IF(EXC.RATE_2=0,"",IFERROR(IF(CURRENCY.FORMAT_2=0,CONCATENATE(TEXT(FIXED(ROUND(IF(EXC.RATE.SWITCH=1,C2448/EXC.RATE_2,C2448*EXC.RATE_2),CURRENCY.FORMAT_2),CURRENCY.FORMAT_2,1),"# ##0;-# ##0"),",-"),FIXED(ROUND(IF(EXC.RATE.SWITCH=1,C2448/EXC.RATE_2,C2448*EXC.RATE_2),CURRENCY.FORMAT_2),CURRENCY.FORMAT_2,0)),'DICTIONARY-5'!$A$2))</f>
        <v/>
      </c>
      <c r="L2448" s="670" t="str">
        <f>IFERROR(IF(CURRENCY.FORMAT_1=0,CONCATENATE(TEXT(FIXED(ROUND((C2448*(1-I2448)*(1-ADD.DISCOUNT)*(1+MAT.SURCHARGE)/EXC.RATE_1),CURRENCY.FORMAT_1),CURRENCY.FORMAT_1,1),"# ##0;-# ##0"),",-"),FIXED(ROUND((C2448*(1-I2448)*(1-ADD.DISCOUNT)*(1+MAT.SURCHARGE)/EXC.RATE_1),CURRENCY.FORMAT_1),CURRENCY.FORMAT_1,0)),'DICTIONARY-5'!$A$2)</f>
        <v>187,-</v>
      </c>
      <c r="M2448" s="670" t="str">
        <f>IF(EXC.RATE_2=0,"",IFERROR(IF(CURRENCY.FORMAT_2=0,CONCATENATE(TEXT(FIXED(ROUND(IF(EXC.RATE.SWITCH=1,C2448*(1-I2448)*(1-ADD.DISCOUNT)*(1+MAT.SURCHARGE)/EXC.RATE_2,C2448*(1-I2448)*(1-ADD.DISCOUNT)*(1+MAT.SURCHARGE)*EXC.RATE_2),CURRENCY.FORMAT_2),CURRENCY.FORMAT_2,1),"# ##0;-# ##0"),",-"),FIXED(ROUND(IF(EXC.RATE.SWITCH=1,C2448*(1-I2448)*(1-ADD.DISCOUNT)*(1+MAT.SURCHARGE)/EXC.RATE_2,C2448*(1-I2448)*(1-ADD.DISCOUNT)*(1+MAT.SURCHARGE)*EXC.RATE_2),CURRENCY.FORMAT_2),CURRENCY.FORMAT_2,0)),'DICTIONARY-5'!$A$2))</f>
        <v/>
      </c>
      <c r="N2448" s="537">
        <v>11</v>
      </c>
      <c r="O2448" s="537"/>
      <c r="P2448" s="732" t="str">
        <f>'DICTIONARY-3'!$A$151</f>
        <v>KOŁO</v>
      </c>
      <c r="Q2448" s="732" t="str">
        <f>'DICTIONARY-4'!$A$23</f>
        <v>Kółko ręczne</v>
      </c>
      <c r="R2448" s="732" t="str">
        <f>CONCATENATE('DICTIONARY-4'!$A$23," ","400",", ",'DICTIONARY-5'!$A$51,"+",'DICTIONARY-6'!$A$37,", ",'DICTIONARY-5'!$A$188," ","4HR24"," ","+"," ",'DICTIONARY-6'!$A$43,", ",'DICTIONARY-5'!$A$193)</f>
        <v>Kółko ręczne 400, GGG+EPOX., otwor 4HR24 + śruba/podkł., kolor niebieski</v>
      </c>
      <c r="S2448" s="733"/>
      <c r="T2448" s="732"/>
      <c r="U2448" s="734"/>
      <c r="V2448" s="735"/>
      <c r="W2448" s="736"/>
      <c r="X2448" s="737"/>
      <c r="Y2448" s="738"/>
      <c r="Z2448" s="739"/>
      <c r="AA2448" s="739"/>
      <c r="AB2448" s="740"/>
      <c r="AC2448" s="741"/>
      <c r="AD2448" s="741"/>
      <c r="AE2448" s="742"/>
      <c r="AF2448" s="743">
        <v>5.5</v>
      </c>
      <c r="AG2448" s="741" t="s">
        <v>5569</v>
      </c>
    </row>
    <row r="2449" spans="1:33" x14ac:dyDescent="0.25">
      <c r="A2449" s="854" t="s">
        <v>2315</v>
      </c>
      <c r="B2449" s="854" t="s">
        <v>2738</v>
      </c>
      <c r="C2449" s="836">
        <v>159</v>
      </c>
      <c r="D2449" s="836"/>
      <c r="E2449" s="836"/>
      <c r="F2449" s="836"/>
      <c r="G2449" s="496" t="s">
        <v>7831</v>
      </c>
      <c r="H2449" s="797" t="str">
        <f>VLOOKUP(G2449,SETTINGS!$B$7:$D$97,2,0)</f>
        <v>Handwheel</v>
      </c>
      <c r="I2449" s="796">
        <f>VLOOKUP(G2449,SETTINGS!$B$7:$D$97,3,0)</f>
        <v>0</v>
      </c>
      <c r="J2449" s="670" t="str">
        <f>IFERROR(IF(CURRENCY.FORMAT_1=0,CONCATENATE(TEXT(FIXED(ROUND((C2449/EXC.RATE_1),CURRENCY.FORMAT_1),CURRENCY.FORMAT_1,1),"# ##0;-# ##0"),",-"),FIXED(ROUND((C2449/EXC.RATE_1),CURRENCY.FORMAT_1),CURRENCY.FORMAT_1,0)),'DICTIONARY-5'!$A$2)</f>
        <v>159,-</v>
      </c>
      <c r="K2449" s="670" t="str">
        <f>IF(EXC.RATE_2=0,"",IFERROR(IF(CURRENCY.FORMAT_2=0,CONCATENATE(TEXT(FIXED(ROUND(IF(EXC.RATE.SWITCH=1,C2449/EXC.RATE_2,C2449*EXC.RATE_2),CURRENCY.FORMAT_2),CURRENCY.FORMAT_2,1),"# ##0;-# ##0"),",-"),FIXED(ROUND(IF(EXC.RATE.SWITCH=1,C2449/EXC.RATE_2,C2449*EXC.RATE_2),CURRENCY.FORMAT_2),CURRENCY.FORMAT_2,0)),'DICTIONARY-5'!$A$2))</f>
        <v/>
      </c>
      <c r="L2449" s="670" t="str">
        <f>IFERROR(IF(CURRENCY.FORMAT_1=0,CONCATENATE(TEXT(FIXED(ROUND((C2449*(1-I2449)*(1-ADD.DISCOUNT)*(1+MAT.SURCHARGE)/EXC.RATE_1),CURRENCY.FORMAT_1),CURRENCY.FORMAT_1,1),"# ##0;-# ##0"),",-"),FIXED(ROUND((C2449*(1-I2449)*(1-ADD.DISCOUNT)*(1+MAT.SURCHARGE)/EXC.RATE_1),CURRENCY.FORMAT_1),CURRENCY.FORMAT_1,0)),'DICTIONARY-5'!$A$2)</f>
        <v>165,-</v>
      </c>
      <c r="M2449" s="670" t="str">
        <f>IF(EXC.RATE_2=0,"",IFERROR(IF(CURRENCY.FORMAT_2=0,CONCATENATE(TEXT(FIXED(ROUND(IF(EXC.RATE.SWITCH=1,C2449*(1-I2449)*(1-ADD.DISCOUNT)*(1+MAT.SURCHARGE)/EXC.RATE_2,C2449*(1-I2449)*(1-ADD.DISCOUNT)*(1+MAT.SURCHARGE)*EXC.RATE_2),CURRENCY.FORMAT_2),CURRENCY.FORMAT_2,1),"# ##0;-# ##0"),",-"),FIXED(ROUND(IF(EXC.RATE.SWITCH=1,C2449*(1-I2449)*(1-ADD.DISCOUNT)*(1+MAT.SURCHARGE)/EXC.RATE_2,C2449*(1-I2449)*(1-ADD.DISCOUNT)*(1+MAT.SURCHARGE)*EXC.RATE_2),CURRENCY.FORMAT_2),CURRENCY.FORMAT_2,0)),'DICTIONARY-5'!$A$2))</f>
        <v/>
      </c>
      <c r="N2449" s="537">
        <v>11</v>
      </c>
      <c r="O2449" s="537"/>
      <c r="P2449" s="732" t="str">
        <f>'DICTIONARY-3'!$A$151</f>
        <v>KOŁO</v>
      </c>
      <c r="Q2449" s="732" t="str">
        <f>'DICTIONARY-4'!$A$23</f>
        <v>Kółko ręczne</v>
      </c>
      <c r="R2449" s="732" t="str">
        <f>CONCATENATE('DICTIONARY-4'!$A$23," ","500",", ",'DICTIONARY-5'!$A$51,"+",'DICTIONARY-6'!$A$37,", ",'DICTIONARY-5'!$A$188," ","4HR27"," ","+"," ",'DICTIONARY-6'!$A$43,", ",'DICTIONARY-5'!$A$193)</f>
        <v>Kółko ręczne 500, GGG+EPOX., otwor 4HR27 + śruba/podkł., kolor niebieski</v>
      </c>
      <c r="S2449" s="733"/>
      <c r="T2449" s="732"/>
      <c r="U2449" s="734"/>
      <c r="V2449" s="735"/>
      <c r="W2449" s="736"/>
      <c r="X2449" s="737"/>
      <c r="Y2449" s="738"/>
      <c r="Z2449" s="739"/>
      <c r="AA2449" s="739"/>
      <c r="AB2449" s="740"/>
      <c r="AC2449" s="741"/>
      <c r="AD2449" s="741"/>
      <c r="AE2449" s="742"/>
      <c r="AF2449" s="743">
        <v>8.5</v>
      </c>
      <c r="AG2449" s="741" t="s">
        <v>5569</v>
      </c>
    </row>
    <row r="2450" spans="1:33" x14ac:dyDescent="0.25">
      <c r="A2450" s="854" t="s">
        <v>2317</v>
      </c>
      <c r="B2450" s="854" t="s">
        <v>2732</v>
      </c>
      <c r="C2450" s="836">
        <v>48</v>
      </c>
      <c r="D2450" s="836"/>
      <c r="E2450" s="836"/>
      <c r="F2450" s="836"/>
      <c r="G2450" s="496" t="s">
        <v>7831</v>
      </c>
      <c r="H2450" s="797" t="str">
        <f>VLOOKUP(G2450,SETTINGS!$B$7:$D$97,2,0)</f>
        <v>Handwheel</v>
      </c>
      <c r="I2450" s="796">
        <f>VLOOKUP(G2450,SETTINGS!$B$7:$D$97,3,0)</f>
        <v>0</v>
      </c>
      <c r="J2450" s="670" t="str">
        <f>IFERROR(IF(CURRENCY.FORMAT_1=0,CONCATENATE(TEXT(FIXED(ROUND((C2450/EXC.RATE_1),CURRENCY.FORMAT_1),CURRENCY.FORMAT_1,1),"# ##0;-# ##0"),",-"),FIXED(ROUND((C2450/EXC.RATE_1),CURRENCY.FORMAT_1),CURRENCY.FORMAT_1,0)),'DICTIONARY-5'!$A$2)</f>
        <v>48,-</v>
      </c>
      <c r="K2450" s="670" t="str">
        <f>IF(EXC.RATE_2=0,"",IFERROR(IF(CURRENCY.FORMAT_2=0,CONCATENATE(TEXT(FIXED(ROUND(IF(EXC.RATE.SWITCH=1,C2450/EXC.RATE_2,C2450*EXC.RATE_2),CURRENCY.FORMAT_2),CURRENCY.FORMAT_2,1),"# ##0;-# ##0"),",-"),FIXED(ROUND(IF(EXC.RATE.SWITCH=1,C2450/EXC.RATE_2,C2450*EXC.RATE_2),CURRENCY.FORMAT_2),CURRENCY.FORMAT_2,0)),'DICTIONARY-5'!$A$2))</f>
        <v/>
      </c>
      <c r="L2450" s="670" t="str">
        <f>IFERROR(IF(CURRENCY.FORMAT_1=0,CONCATENATE(TEXT(FIXED(ROUND((C2450*(1-I2450)*(1-ADD.DISCOUNT)*(1+MAT.SURCHARGE)/EXC.RATE_1),CURRENCY.FORMAT_1),CURRENCY.FORMAT_1,1),"# ##0;-# ##0"),",-"),FIXED(ROUND((C2450*(1-I2450)*(1-ADD.DISCOUNT)*(1+MAT.SURCHARGE)/EXC.RATE_1),CURRENCY.FORMAT_1),CURRENCY.FORMAT_1,0)),'DICTIONARY-5'!$A$2)</f>
        <v>50,-</v>
      </c>
      <c r="M2450" s="670" t="str">
        <f>IF(EXC.RATE_2=0,"",IFERROR(IF(CURRENCY.FORMAT_2=0,CONCATENATE(TEXT(FIXED(ROUND(IF(EXC.RATE.SWITCH=1,C2450*(1-I2450)*(1-ADD.DISCOUNT)*(1+MAT.SURCHARGE)/EXC.RATE_2,C2450*(1-I2450)*(1-ADD.DISCOUNT)*(1+MAT.SURCHARGE)*EXC.RATE_2),CURRENCY.FORMAT_2),CURRENCY.FORMAT_2,1),"# ##0;-# ##0"),",-"),FIXED(ROUND(IF(EXC.RATE.SWITCH=1,C2450*(1-I2450)*(1-ADD.DISCOUNT)*(1+MAT.SURCHARGE)/EXC.RATE_2,C2450*(1-I2450)*(1-ADD.DISCOUNT)*(1+MAT.SURCHARGE)*EXC.RATE_2),CURRENCY.FORMAT_2),CURRENCY.FORMAT_2,0)),'DICTIONARY-5'!$A$2))</f>
        <v/>
      </c>
      <c r="N2450" s="537">
        <v>11</v>
      </c>
      <c r="O2450" s="537"/>
      <c r="P2450" s="732" t="str">
        <f>'DICTIONARY-3'!$A$151</f>
        <v>KOŁO</v>
      </c>
      <c r="Q2450" s="732" t="str">
        <f>'DICTIONARY-4'!$A$23</f>
        <v>Kółko ręczne</v>
      </c>
      <c r="R2450" s="732" t="str">
        <f>CONCATENATE('DICTIONARY-4'!$A$23," ","200",", ",'DICTIONARY-5'!$A$51,"+",'DICTIONARY-6'!$A$37,", ",'DICTIONARY-5'!$A$188," ","d36"," ","+"," ",'DICTIONARY-6'!$A$43,", ",'DICTIONARY-5'!$A$193)</f>
        <v>Kółko ręczne 200, GGG+EPOX., otwor d36 + śruba/podkł., kolor niebieski</v>
      </c>
      <c r="S2450" s="733"/>
      <c r="T2450" s="732"/>
      <c r="U2450" s="734"/>
      <c r="V2450" s="735"/>
      <c r="W2450" s="736"/>
      <c r="X2450" s="737"/>
      <c r="Y2450" s="738"/>
      <c r="Z2450" s="739"/>
      <c r="AA2450" s="739"/>
      <c r="AB2450" s="740"/>
      <c r="AC2450" s="741"/>
      <c r="AD2450" s="741"/>
      <c r="AE2450" s="742"/>
      <c r="AF2450" s="743">
        <v>1.2</v>
      </c>
      <c r="AG2450" s="741" t="s">
        <v>5569</v>
      </c>
    </row>
    <row r="2451" spans="1:33" x14ac:dyDescent="0.25">
      <c r="A2451" s="854" t="s">
        <v>2318</v>
      </c>
      <c r="B2451" s="854" t="s">
        <v>2731</v>
      </c>
      <c r="C2451" s="836">
        <v>52</v>
      </c>
      <c r="D2451" s="836"/>
      <c r="E2451" s="836"/>
      <c r="F2451" s="836"/>
      <c r="G2451" s="496" t="s">
        <v>7831</v>
      </c>
      <c r="H2451" s="797" t="str">
        <f>VLOOKUP(G2451,SETTINGS!$B$7:$D$97,2,0)</f>
        <v>Handwheel</v>
      </c>
      <c r="I2451" s="796">
        <f>VLOOKUP(G2451,SETTINGS!$B$7:$D$97,3,0)</f>
        <v>0</v>
      </c>
      <c r="J2451" s="670" t="str">
        <f>IFERROR(IF(CURRENCY.FORMAT_1=0,CONCATENATE(TEXT(FIXED(ROUND((C2451/EXC.RATE_1),CURRENCY.FORMAT_1),CURRENCY.FORMAT_1,1),"# ##0;-# ##0"),",-"),FIXED(ROUND((C2451/EXC.RATE_1),CURRENCY.FORMAT_1),CURRENCY.FORMAT_1,0)),'DICTIONARY-5'!$A$2)</f>
        <v>52,-</v>
      </c>
      <c r="K2451" s="670" t="str">
        <f>IF(EXC.RATE_2=0,"",IFERROR(IF(CURRENCY.FORMAT_2=0,CONCATENATE(TEXT(FIXED(ROUND(IF(EXC.RATE.SWITCH=1,C2451/EXC.RATE_2,C2451*EXC.RATE_2),CURRENCY.FORMAT_2),CURRENCY.FORMAT_2,1),"# ##0;-# ##0"),",-"),FIXED(ROUND(IF(EXC.RATE.SWITCH=1,C2451/EXC.RATE_2,C2451*EXC.RATE_2),CURRENCY.FORMAT_2),CURRENCY.FORMAT_2,0)),'DICTIONARY-5'!$A$2))</f>
        <v/>
      </c>
      <c r="L2451" s="670" t="str">
        <f>IFERROR(IF(CURRENCY.FORMAT_1=0,CONCATENATE(TEXT(FIXED(ROUND((C2451*(1-I2451)*(1-ADD.DISCOUNT)*(1+MAT.SURCHARGE)/EXC.RATE_1),CURRENCY.FORMAT_1),CURRENCY.FORMAT_1,1),"# ##0;-# ##0"),",-"),FIXED(ROUND((C2451*(1-I2451)*(1-ADD.DISCOUNT)*(1+MAT.SURCHARGE)/EXC.RATE_1),CURRENCY.FORMAT_1),CURRENCY.FORMAT_1,0)),'DICTIONARY-5'!$A$2)</f>
        <v>54,-</v>
      </c>
      <c r="M2451" s="670" t="str">
        <f>IF(EXC.RATE_2=0,"",IFERROR(IF(CURRENCY.FORMAT_2=0,CONCATENATE(TEXT(FIXED(ROUND(IF(EXC.RATE.SWITCH=1,C2451*(1-I2451)*(1-ADD.DISCOUNT)*(1+MAT.SURCHARGE)/EXC.RATE_2,C2451*(1-I2451)*(1-ADD.DISCOUNT)*(1+MAT.SURCHARGE)*EXC.RATE_2),CURRENCY.FORMAT_2),CURRENCY.FORMAT_2,1),"# ##0;-# ##0"),",-"),FIXED(ROUND(IF(EXC.RATE.SWITCH=1,C2451*(1-I2451)*(1-ADD.DISCOUNT)*(1+MAT.SURCHARGE)/EXC.RATE_2,C2451*(1-I2451)*(1-ADD.DISCOUNT)*(1+MAT.SURCHARGE)*EXC.RATE_2),CURRENCY.FORMAT_2),CURRENCY.FORMAT_2,0)),'DICTIONARY-5'!$A$2))</f>
        <v/>
      </c>
      <c r="N2451" s="537">
        <v>11</v>
      </c>
      <c r="O2451" s="537"/>
      <c r="P2451" s="732" t="str">
        <f>'DICTIONARY-3'!$A$151</f>
        <v>KOŁO</v>
      </c>
      <c r="Q2451" s="732" t="str">
        <f>'DICTIONARY-4'!$A$23</f>
        <v>Kółko ręczne</v>
      </c>
      <c r="R2451" s="732" t="str">
        <f>CONCATENATE('DICTIONARY-4'!$A$23," ","250",", ",'DICTIONARY-5'!$A$51,"+",'DICTIONARY-6'!$A$37,", ",'DICTIONARY-5'!$A$188," ","d40"," ","+"," ",'DICTIONARY-6'!$A$43,", ",'DICTIONARY-5'!$A$193)</f>
        <v>Kółko ręczne 250, GGG+EPOX., otwor d40 + śruba/podkł., kolor niebieski</v>
      </c>
      <c r="S2451" s="733"/>
      <c r="T2451" s="732"/>
      <c r="U2451" s="734"/>
      <c r="V2451" s="735"/>
      <c r="W2451" s="736"/>
      <c r="X2451" s="737"/>
      <c r="Y2451" s="738"/>
      <c r="Z2451" s="739"/>
      <c r="AA2451" s="739"/>
      <c r="AB2451" s="740"/>
      <c r="AC2451" s="741"/>
      <c r="AD2451" s="741"/>
      <c r="AE2451" s="742"/>
      <c r="AF2451" s="743">
        <v>2.4</v>
      </c>
      <c r="AG2451" s="741" t="s">
        <v>5569</v>
      </c>
    </row>
    <row r="2452" spans="1:33" x14ac:dyDescent="0.25">
      <c r="A2452" s="854" t="s">
        <v>2319</v>
      </c>
      <c r="B2452" s="854" t="s">
        <v>2730</v>
      </c>
      <c r="C2452" s="836">
        <v>58</v>
      </c>
      <c r="D2452" s="836"/>
      <c r="E2452" s="836"/>
      <c r="F2452" s="836"/>
      <c r="G2452" s="496" t="s">
        <v>7831</v>
      </c>
      <c r="H2452" s="797" t="str">
        <f>VLOOKUP(G2452,SETTINGS!$B$7:$D$97,2,0)</f>
        <v>Handwheel</v>
      </c>
      <c r="I2452" s="796">
        <f>VLOOKUP(G2452,SETTINGS!$B$7:$D$97,3,0)</f>
        <v>0</v>
      </c>
      <c r="J2452" s="670" t="str">
        <f>IFERROR(IF(CURRENCY.FORMAT_1=0,CONCATENATE(TEXT(FIXED(ROUND((C2452/EXC.RATE_1),CURRENCY.FORMAT_1),CURRENCY.FORMAT_1,1),"# ##0;-# ##0"),",-"),FIXED(ROUND((C2452/EXC.RATE_1),CURRENCY.FORMAT_1),CURRENCY.FORMAT_1,0)),'DICTIONARY-5'!$A$2)</f>
        <v>58,-</v>
      </c>
      <c r="K2452" s="670" t="str">
        <f>IF(EXC.RATE_2=0,"",IFERROR(IF(CURRENCY.FORMAT_2=0,CONCATENATE(TEXT(FIXED(ROUND(IF(EXC.RATE.SWITCH=1,C2452/EXC.RATE_2,C2452*EXC.RATE_2),CURRENCY.FORMAT_2),CURRENCY.FORMAT_2,1),"# ##0;-# ##0"),",-"),FIXED(ROUND(IF(EXC.RATE.SWITCH=1,C2452/EXC.RATE_2,C2452*EXC.RATE_2),CURRENCY.FORMAT_2),CURRENCY.FORMAT_2,0)),'DICTIONARY-5'!$A$2))</f>
        <v/>
      </c>
      <c r="L2452" s="670" t="str">
        <f>IFERROR(IF(CURRENCY.FORMAT_1=0,CONCATENATE(TEXT(FIXED(ROUND((C2452*(1-I2452)*(1-ADD.DISCOUNT)*(1+MAT.SURCHARGE)/EXC.RATE_1),CURRENCY.FORMAT_1),CURRENCY.FORMAT_1,1),"# ##0;-# ##0"),",-"),FIXED(ROUND((C2452*(1-I2452)*(1-ADD.DISCOUNT)*(1+MAT.SURCHARGE)/EXC.RATE_1),CURRENCY.FORMAT_1),CURRENCY.FORMAT_1,0)),'DICTIONARY-5'!$A$2)</f>
        <v>60,-</v>
      </c>
      <c r="M2452" s="670" t="str">
        <f>IF(EXC.RATE_2=0,"",IFERROR(IF(CURRENCY.FORMAT_2=0,CONCATENATE(TEXT(FIXED(ROUND(IF(EXC.RATE.SWITCH=1,C2452*(1-I2452)*(1-ADD.DISCOUNT)*(1+MAT.SURCHARGE)/EXC.RATE_2,C2452*(1-I2452)*(1-ADD.DISCOUNT)*(1+MAT.SURCHARGE)*EXC.RATE_2),CURRENCY.FORMAT_2),CURRENCY.FORMAT_2,1),"# ##0;-# ##0"),",-"),FIXED(ROUND(IF(EXC.RATE.SWITCH=1,C2452*(1-I2452)*(1-ADD.DISCOUNT)*(1+MAT.SURCHARGE)/EXC.RATE_2,C2452*(1-I2452)*(1-ADD.DISCOUNT)*(1+MAT.SURCHARGE)*EXC.RATE_2),CURRENCY.FORMAT_2),CURRENCY.FORMAT_2,0)),'DICTIONARY-5'!$A$2))</f>
        <v/>
      </c>
      <c r="N2452" s="537">
        <v>11</v>
      </c>
      <c r="O2452" s="537"/>
      <c r="P2452" s="732" t="str">
        <f>'DICTIONARY-3'!$A$151</f>
        <v>KOŁO</v>
      </c>
      <c r="Q2452" s="732" t="str">
        <f>'DICTIONARY-4'!$A$23</f>
        <v>Kółko ręczne</v>
      </c>
      <c r="R2452" s="732" t="str">
        <f>CONCATENATE('DICTIONARY-4'!$A$23," ","315",", ",'DICTIONARY-5'!$A$51,"+",'DICTIONARY-6'!$A$37,", ",'DICTIONARY-5'!$A$188," ","d45"," ","+"," ",'DICTIONARY-6'!$A$43,", ",'DICTIONARY-5'!$A$193)</f>
        <v>Kółko ręczne 315, GGG+EPOX., otwor d45 + śruba/podkł., kolor niebieski</v>
      </c>
      <c r="S2452" s="733"/>
      <c r="T2452" s="732"/>
      <c r="U2452" s="734"/>
      <c r="V2452" s="735"/>
      <c r="W2452" s="736"/>
      <c r="X2452" s="737"/>
      <c r="Y2452" s="738"/>
      <c r="Z2452" s="739"/>
      <c r="AA2452" s="739"/>
      <c r="AB2452" s="740"/>
      <c r="AC2452" s="741"/>
      <c r="AD2452" s="741"/>
      <c r="AE2452" s="742"/>
      <c r="AF2452" s="743">
        <v>3.67</v>
      </c>
      <c r="AG2452" s="741" t="s">
        <v>5569</v>
      </c>
    </row>
    <row r="2453" spans="1:33" x14ac:dyDescent="0.25">
      <c r="A2453" s="854" t="s">
        <v>2320</v>
      </c>
      <c r="B2453" s="854" t="s">
        <v>2733</v>
      </c>
      <c r="C2453" s="836">
        <v>169</v>
      </c>
      <c r="D2453" s="836"/>
      <c r="E2453" s="836"/>
      <c r="F2453" s="836"/>
      <c r="G2453" s="496" t="s">
        <v>7831</v>
      </c>
      <c r="H2453" s="797" t="str">
        <f>VLOOKUP(G2453,SETTINGS!$B$7:$D$97,2,0)</f>
        <v>Handwheel</v>
      </c>
      <c r="I2453" s="796">
        <f>VLOOKUP(G2453,SETTINGS!$B$7:$D$97,3,0)</f>
        <v>0</v>
      </c>
      <c r="J2453" s="670" t="str">
        <f>IFERROR(IF(CURRENCY.FORMAT_1=0,CONCATENATE(TEXT(FIXED(ROUND((C2453/EXC.RATE_1),CURRENCY.FORMAT_1),CURRENCY.FORMAT_1,1),"# ##0;-# ##0"),",-"),FIXED(ROUND((C2453/EXC.RATE_1),CURRENCY.FORMAT_1),CURRENCY.FORMAT_1,0)),'DICTIONARY-5'!$A$2)</f>
        <v>169,-</v>
      </c>
      <c r="K2453" s="670" t="str">
        <f>IF(EXC.RATE_2=0,"",IFERROR(IF(CURRENCY.FORMAT_2=0,CONCATENATE(TEXT(FIXED(ROUND(IF(EXC.RATE.SWITCH=1,C2453/EXC.RATE_2,C2453*EXC.RATE_2),CURRENCY.FORMAT_2),CURRENCY.FORMAT_2,1),"# ##0;-# ##0"),",-"),FIXED(ROUND(IF(EXC.RATE.SWITCH=1,C2453/EXC.RATE_2,C2453*EXC.RATE_2),CURRENCY.FORMAT_2),CURRENCY.FORMAT_2,0)),'DICTIONARY-5'!$A$2))</f>
        <v/>
      </c>
      <c r="L2453" s="670" t="str">
        <f>IFERROR(IF(CURRENCY.FORMAT_1=0,CONCATENATE(TEXT(FIXED(ROUND((C2453*(1-I2453)*(1-ADD.DISCOUNT)*(1+MAT.SURCHARGE)/EXC.RATE_1),CURRENCY.FORMAT_1),CURRENCY.FORMAT_1,1),"# ##0;-# ##0"),",-"),FIXED(ROUND((C2453*(1-I2453)*(1-ADD.DISCOUNT)*(1+MAT.SURCHARGE)/EXC.RATE_1),CURRENCY.FORMAT_1),CURRENCY.FORMAT_1,0)),'DICTIONARY-5'!$A$2)</f>
        <v>176,-</v>
      </c>
      <c r="M2453" s="670" t="str">
        <f>IF(EXC.RATE_2=0,"",IFERROR(IF(CURRENCY.FORMAT_2=0,CONCATENATE(TEXT(FIXED(ROUND(IF(EXC.RATE.SWITCH=1,C2453*(1-I2453)*(1-ADD.DISCOUNT)*(1+MAT.SURCHARGE)/EXC.RATE_2,C2453*(1-I2453)*(1-ADD.DISCOUNT)*(1+MAT.SURCHARGE)*EXC.RATE_2),CURRENCY.FORMAT_2),CURRENCY.FORMAT_2,1),"# ##0;-# ##0"),",-"),FIXED(ROUND(IF(EXC.RATE.SWITCH=1,C2453*(1-I2453)*(1-ADD.DISCOUNT)*(1+MAT.SURCHARGE)/EXC.RATE_2,C2453*(1-I2453)*(1-ADD.DISCOUNT)*(1+MAT.SURCHARGE)*EXC.RATE_2),CURRENCY.FORMAT_2),CURRENCY.FORMAT_2,0)),'DICTIONARY-5'!$A$2))</f>
        <v/>
      </c>
      <c r="N2453" s="537">
        <v>11</v>
      </c>
      <c r="O2453" s="537"/>
      <c r="P2453" s="732" t="str">
        <f>'DICTIONARY-3'!$A$151</f>
        <v>KOŁO</v>
      </c>
      <c r="Q2453" s="732" t="str">
        <f>'DICTIONARY-4'!$A$23</f>
        <v>Kółko ręczne</v>
      </c>
      <c r="R2453" s="732" t="str">
        <f>CONCATENATE('DICTIONARY-4'!$A$23," ","400",", ",'DICTIONARY-5'!$A$51,"+",'DICTIONARY-6'!$A$37,", ",'DICTIONARY-5'!$A$188," ","d52"," ","+"," ",'DICTIONARY-6'!$A$43,", ",'DICTIONARY-5'!$A$193)</f>
        <v>Kółko ręczne 400, GGG+EPOX., otwor d52 + śruba/podkł., kolor niebieski</v>
      </c>
      <c r="S2453" s="733"/>
      <c r="T2453" s="732"/>
      <c r="U2453" s="734"/>
      <c r="V2453" s="735"/>
      <c r="W2453" s="736"/>
      <c r="X2453" s="737"/>
      <c r="Y2453" s="738"/>
      <c r="Z2453" s="739"/>
      <c r="AA2453" s="739"/>
      <c r="AB2453" s="740"/>
      <c r="AC2453" s="741"/>
      <c r="AD2453" s="741"/>
      <c r="AE2453" s="742"/>
      <c r="AF2453" s="743">
        <v>5</v>
      </c>
      <c r="AG2453" s="741" t="s">
        <v>5569</v>
      </c>
    </row>
    <row r="2454" spans="1:33" x14ac:dyDescent="0.25">
      <c r="A2454" s="854" t="s">
        <v>2321</v>
      </c>
      <c r="B2454" s="854" t="s">
        <v>2729</v>
      </c>
      <c r="C2454" s="836">
        <v>155</v>
      </c>
      <c r="D2454" s="836"/>
      <c r="E2454" s="836"/>
      <c r="F2454" s="836"/>
      <c r="G2454" s="496" t="s">
        <v>7831</v>
      </c>
      <c r="H2454" s="797" t="str">
        <f>VLOOKUP(G2454,SETTINGS!$B$7:$D$97,2,0)</f>
        <v>Handwheel</v>
      </c>
      <c r="I2454" s="796">
        <f>VLOOKUP(G2454,SETTINGS!$B$7:$D$97,3,0)</f>
        <v>0</v>
      </c>
      <c r="J2454" s="670" t="str">
        <f>IFERROR(IF(CURRENCY.FORMAT_1=0,CONCATENATE(TEXT(FIXED(ROUND((C2454/EXC.RATE_1),CURRENCY.FORMAT_1),CURRENCY.FORMAT_1,1),"# ##0;-# ##0"),",-"),FIXED(ROUND((C2454/EXC.RATE_1),CURRENCY.FORMAT_1),CURRENCY.FORMAT_1,0)),'DICTIONARY-5'!$A$2)</f>
        <v>155,-</v>
      </c>
      <c r="K2454" s="670" t="str">
        <f>IF(EXC.RATE_2=0,"",IFERROR(IF(CURRENCY.FORMAT_2=0,CONCATENATE(TEXT(FIXED(ROUND(IF(EXC.RATE.SWITCH=1,C2454/EXC.RATE_2,C2454*EXC.RATE_2),CURRENCY.FORMAT_2),CURRENCY.FORMAT_2,1),"# ##0;-# ##0"),",-"),FIXED(ROUND(IF(EXC.RATE.SWITCH=1,C2454/EXC.RATE_2,C2454*EXC.RATE_2),CURRENCY.FORMAT_2),CURRENCY.FORMAT_2,0)),'DICTIONARY-5'!$A$2))</f>
        <v/>
      </c>
      <c r="L2454" s="670" t="str">
        <f>IFERROR(IF(CURRENCY.FORMAT_1=0,CONCATENATE(TEXT(FIXED(ROUND((C2454*(1-I2454)*(1-ADD.DISCOUNT)*(1+MAT.SURCHARGE)/EXC.RATE_1),CURRENCY.FORMAT_1),CURRENCY.FORMAT_1,1),"# ##0;-# ##0"),",-"),FIXED(ROUND((C2454*(1-I2454)*(1-ADD.DISCOUNT)*(1+MAT.SURCHARGE)/EXC.RATE_1),CURRENCY.FORMAT_1),CURRENCY.FORMAT_1,0)),'DICTIONARY-5'!$A$2)</f>
        <v>161,-</v>
      </c>
      <c r="M2454" s="670" t="str">
        <f>IF(EXC.RATE_2=0,"",IFERROR(IF(CURRENCY.FORMAT_2=0,CONCATENATE(TEXT(FIXED(ROUND(IF(EXC.RATE.SWITCH=1,C2454*(1-I2454)*(1-ADD.DISCOUNT)*(1+MAT.SURCHARGE)/EXC.RATE_2,C2454*(1-I2454)*(1-ADD.DISCOUNT)*(1+MAT.SURCHARGE)*EXC.RATE_2),CURRENCY.FORMAT_2),CURRENCY.FORMAT_2,1),"# ##0;-# ##0"),",-"),FIXED(ROUND(IF(EXC.RATE.SWITCH=1,C2454*(1-I2454)*(1-ADD.DISCOUNT)*(1+MAT.SURCHARGE)/EXC.RATE_2,C2454*(1-I2454)*(1-ADD.DISCOUNT)*(1+MAT.SURCHARGE)*EXC.RATE_2),CURRENCY.FORMAT_2),CURRENCY.FORMAT_2,0)),'DICTIONARY-5'!$A$2))</f>
        <v/>
      </c>
      <c r="N2454" s="537">
        <v>11</v>
      </c>
      <c r="O2454" s="537"/>
      <c r="P2454" s="732" t="str">
        <f>'DICTIONARY-3'!$A$151</f>
        <v>KOŁO</v>
      </c>
      <c r="Q2454" s="732" t="str">
        <f>'DICTIONARY-4'!$A$23</f>
        <v>Kółko ręczne</v>
      </c>
      <c r="R2454" s="732" t="str">
        <f>CONCATENATE('DICTIONARY-4'!$A$23," ","500",", ",'DICTIONARY-5'!$A$51,"+",'DICTIONARY-6'!$A$37,", ",'DICTIONARY-5'!$A$188," ","d60"," ","+"," ",'DICTIONARY-6'!$A$43,", ",'DICTIONARY-5'!$A$193)</f>
        <v>Kółko ręczne 500, GGG+EPOX., otwor d60 + śruba/podkł., kolor niebieski</v>
      </c>
      <c r="S2454" s="733"/>
      <c r="T2454" s="732"/>
      <c r="U2454" s="734"/>
      <c r="V2454" s="735"/>
      <c r="W2454" s="736"/>
      <c r="X2454" s="737"/>
      <c r="Y2454" s="738"/>
      <c r="Z2454" s="739"/>
      <c r="AA2454" s="739"/>
      <c r="AB2454" s="740"/>
      <c r="AC2454" s="741"/>
      <c r="AD2454" s="741"/>
      <c r="AE2454" s="742"/>
      <c r="AF2454" s="743">
        <v>9.5</v>
      </c>
      <c r="AG2454" s="741" t="s">
        <v>5569</v>
      </c>
    </row>
    <row r="2455" spans="1:33" x14ac:dyDescent="0.25">
      <c r="A2455" s="854" t="s">
        <v>2323</v>
      </c>
      <c r="B2455" s="854" t="s">
        <v>2891</v>
      </c>
      <c r="C2455" s="836">
        <v>6</v>
      </c>
      <c r="D2455" s="836"/>
      <c r="E2455" s="836"/>
      <c r="F2455" s="836"/>
      <c r="G2455" s="496" t="s">
        <v>7831</v>
      </c>
      <c r="H2455" s="797" t="str">
        <f>VLOOKUP(G2455,SETTINGS!$B$7:$D$97,2,0)</f>
        <v>Handwheel</v>
      </c>
      <c r="I2455" s="796">
        <f>VLOOKUP(G2455,SETTINGS!$B$7:$D$97,3,0)</f>
        <v>0</v>
      </c>
      <c r="J2455" s="670" t="str">
        <f>IFERROR(IF(CURRENCY.FORMAT_1=0,CONCATENATE(TEXT(FIXED(ROUND((C2455/EXC.RATE_1),CURRENCY.FORMAT_1),CURRENCY.FORMAT_1,1),"# ##0;-# ##0"),",-"),FIXED(ROUND((C2455/EXC.RATE_1),CURRENCY.FORMAT_1),CURRENCY.FORMAT_1,0)),'DICTIONARY-5'!$A$2)</f>
        <v>6,-</v>
      </c>
      <c r="K2455" s="670" t="str">
        <f>IF(EXC.RATE_2=0,"",IFERROR(IF(CURRENCY.FORMAT_2=0,CONCATENATE(TEXT(FIXED(ROUND(IF(EXC.RATE.SWITCH=1,C2455/EXC.RATE_2,C2455*EXC.RATE_2),CURRENCY.FORMAT_2),CURRENCY.FORMAT_2,1),"# ##0;-# ##0"),",-"),FIXED(ROUND(IF(EXC.RATE.SWITCH=1,C2455/EXC.RATE_2,C2455*EXC.RATE_2),CURRENCY.FORMAT_2),CURRENCY.FORMAT_2,0)),'DICTIONARY-5'!$A$2))</f>
        <v/>
      </c>
      <c r="L2455" s="670" t="str">
        <f>IFERROR(IF(CURRENCY.FORMAT_1=0,CONCATENATE(TEXT(FIXED(ROUND((C2455*(1-I2455)*(1-ADD.DISCOUNT)*(1+MAT.SURCHARGE)/EXC.RATE_1),CURRENCY.FORMAT_1),CURRENCY.FORMAT_1,1),"# ##0;-# ##0"),",-"),FIXED(ROUND((C2455*(1-I2455)*(1-ADD.DISCOUNT)*(1+MAT.SURCHARGE)/EXC.RATE_1),CURRENCY.FORMAT_1),CURRENCY.FORMAT_1,0)),'DICTIONARY-5'!$A$2)</f>
        <v>6,-</v>
      </c>
      <c r="M2455" s="670" t="str">
        <f>IF(EXC.RATE_2=0,"",IFERROR(IF(CURRENCY.FORMAT_2=0,CONCATENATE(TEXT(FIXED(ROUND(IF(EXC.RATE.SWITCH=1,C2455*(1-I2455)*(1-ADD.DISCOUNT)*(1+MAT.SURCHARGE)/EXC.RATE_2,C2455*(1-I2455)*(1-ADD.DISCOUNT)*(1+MAT.SURCHARGE)*EXC.RATE_2),CURRENCY.FORMAT_2),CURRENCY.FORMAT_2,1),"# ##0;-# ##0"),",-"),FIXED(ROUND(IF(EXC.RATE.SWITCH=1,C2455*(1-I2455)*(1-ADD.DISCOUNT)*(1+MAT.SURCHARGE)/EXC.RATE_2,C2455*(1-I2455)*(1-ADD.DISCOUNT)*(1+MAT.SURCHARGE)*EXC.RATE_2),CURRENCY.FORMAT_2),CURRENCY.FORMAT_2,0)),'DICTIONARY-5'!$A$2))</f>
        <v/>
      </c>
      <c r="N2455" s="537">
        <v>11</v>
      </c>
      <c r="O2455" s="537"/>
      <c r="P2455" s="732" t="str">
        <f>'DICTIONARY-3'!$A$151</f>
        <v>KOŁO</v>
      </c>
      <c r="Q2455" s="732" t="str">
        <f>'DICTIONARY-4'!$A$23</f>
        <v>Kółko ręczne</v>
      </c>
      <c r="R2455" s="732" t="str">
        <f>CONCATENATE('DICTIONARY-4'!$A$23," ","150",", ",'DICTIONARY-5'!$A$40,"+",'DICTIONARY-6'!$A$37,", ",'DICTIONARY-5'!$A$188," ","4HR12"," ","+"," ",'DICTIONARY-6'!$A$43,", ",'DICTIONARY-5'!$A$195)</f>
        <v>Kółko ręczne 150, stal+EPOX., otwor 4HR12 + śruba/podkł., kolor czarny</v>
      </c>
      <c r="S2455" s="733"/>
      <c r="T2455" s="732"/>
      <c r="U2455" s="734"/>
      <c r="V2455" s="735"/>
      <c r="W2455" s="736"/>
      <c r="X2455" s="737"/>
      <c r="Y2455" s="738"/>
      <c r="Z2455" s="739"/>
      <c r="AA2455" s="739"/>
      <c r="AB2455" s="740"/>
      <c r="AC2455" s="741"/>
      <c r="AD2455" s="741"/>
      <c r="AE2455" s="742"/>
      <c r="AF2455" s="743">
        <v>0.39800000000000002</v>
      </c>
      <c r="AG2455" s="741" t="s">
        <v>5569</v>
      </c>
    </row>
    <row r="2456" spans="1:33" x14ac:dyDescent="0.25">
      <c r="A2456" s="854" t="s">
        <v>2325</v>
      </c>
      <c r="B2456" s="854" t="s">
        <v>2868</v>
      </c>
      <c r="C2456" s="836">
        <v>21</v>
      </c>
      <c r="D2456" s="836"/>
      <c r="E2456" s="836"/>
      <c r="F2456" s="836"/>
      <c r="G2456" s="496" t="s">
        <v>7831</v>
      </c>
      <c r="H2456" s="797" t="str">
        <f>VLOOKUP(G2456,SETTINGS!$B$7:$D$97,2,0)</f>
        <v>Handwheel</v>
      </c>
      <c r="I2456" s="796">
        <f>VLOOKUP(G2456,SETTINGS!$B$7:$D$97,3,0)</f>
        <v>0</v>
      </c>
      <c r="J2456" s="670" t="str">
        <f>IFERROR(IF(CURRENCY.FORMAT_1=0,CONCATENATE(TEXT(FIXED(ROUND((C2456/EXC.RATE_1),CURRENCY.FORMAT_1),CURRENCY.FORMAT_1,1),"# ##0;-# ##0"),",-"),FIXED(ROUND((C2456/EXC.RATE_1),CURRENCY.FORMAT_1),CURRENCY.FORMAT_1,0)),'DICTIONARY-5'!$A$2)</f>
        <v>21,-</v>
      </c>
      <c r="K2456" s="670" t="str">
        <f>IF(EXC.RATE_2=0,"",IFERROR(IF(CURRENCY.FORMAT_2=0,CONCATENATE(TEXT(FIXED(ROUND(IF(EXC.RATE.SWITCH=1,C2456/EXC.RATE_2,C2456*EXC.RATE_2),CURRENCY.FORMAT_2),CURRENCY.FORMAT_2,1),"# ##0;-# ##0"),",-"),FIXED(ROUND(IF(EXC.RATE.SWITCH=1,C2456/EXC.RATE_2,C2456*EXC.RATE_2),CURRENCY.FORMAT_2),CURRENCY.FORMAT_2,0)),'DICTIONARY-5'!$A$2))</f>
        <v/>
      </c>
      <c r="L2456" s="670" t="str">
        <f>IFERROR(IF(CURRENCY.FORMAT_1=0,CONCATENATE(TEXT(FIXED(ROUND((C2456*(1-I2456)*(1-ADD.DISCOUNT)*(1+MAT.SURCHARGE)/EXC.RATE_1),CURRENCY.FORMAT_1),CURRENCY.FORMAT_1,1),"# ##0;-# ##0"),",-"),FIXED(ROUND((C2456*(1-I2456)*(1-ADD.DISCOUNT)*(1+MAT.SURCHARGE)/EXC.RATE_1),CURRENCY.FORMAT_1),CURRENCY.FORMAT_1,0)),'DICTIONARY-5'!$A$2)</f>
        <v>22,-</v>
      </c>
      <c r="M2456" s="670" t="str">
        <f>IF(EXC.RATE_2=0,"",IFERROR(IF(CURRENCY.FORMAT_2=0,CONCATENATE(TEXT(FIXED(ROUND(IF(EXC.RATE.SWITCH=1,C2456*(1-I2456)*(1-ADD.DISCOUNT)*(1+MAT.SURCHARGE)/EXC.RATE_2,C2456*(1-I2456)*(1-ADD.DISCOUNT)*(1+MAT.SURCHARGE)*EXC.RATE_2),CURRENCY.FORMAT_2),CURRENCY.FORMAT_2,1),"# ##0;-# ##0"),",-"),FIXED(ROUND(IF(EXC.RATE.SWITCH=1,C2456*(1-I2456)*(1-ADD.DISCOUNT)*(1+MAT.SURCHARGE)/EXC.RATE_2,C2456*(1-I2456)*(1-ADD.DISCOUNT)*(1+MAT.SURCHARGE)*EXC.RATE_2),CURRENCY.FORMAT_2),CURRENCY.FORMAT_2,0)),'DICTIONARY-5'!$A$2))</f>
        <v/>
      </c>
      <c r="N2456" s="537">
        <v>11</v>
      </c>
      <c r="O2456" s="537"/>
      <c r="P2456" s="732" t="str">
        <f>'DICTIONARY-3'!$A$151</f>
        <v>KOŁO</v>
      </c>
      <c r="Q2456" s="732" t="str">
        <f>'DICTIONARY-4'!$A$23</f>
        <v>Kółko ręczne</v>
      </c>
      <c r="R2456" s="732" t="str">
        <f>CONCATENATE('DICTIONARY-4'!$A$23," ","160",", ",'DICTIONARY-5'!$A$51,"+",'DICTIONARY-6'!$A$36,", ",'DICTIONARY-5'!$A$188," ","d30",", ",'DICTIONARY-5'!$A$194)</f>
        <v>Kółko ręczne 160, GGG+SYNT., otwor d30, kolor szary</v>
      </c>
      <c r="S2456" s="733"/>
      <c r="T2456" s="732"/>
      <c r="U2456" s="734"/>
      <c r="V2456" s="735"/>
      <c r="W2456" s="736"/>
      <c r="X2456" s="737"/>
      <c r="Y2456" s="738"/>
      <c r="Z2456" s="739"/>
      <c r="AA2456" s="739"/>
      <c r="AB2456" s="740"/>
      <c r="AC2456" s="741"/>
      <c r="AD2456" s="741"/>
      <c r="AE2456" s="742"/>
      <c r="AF2456" s="743">
        <v>0.8</v>
      </c>
      <c r="AG2456" s="741" t="s">
        <v>5569</v>
      </c>
    </row>
    <row r="2457" spans="1:33" x14ac:dyDescent="0.25">
      <c r="A2457" s="854" t="s">
        <v>2326</v>
      </c>
      <c r="B2457" s="854" t="s">
        <v>2869</v>
      </c>
      <c r="C2457" s="836">
        <v>32</v>
      </c>
      <c r="D2457" s="836"/>
      <c r="E2457" s="836"/>
      <c r="F2457" s="836"/>
      <c r="G2457" s="496" t="s">
        <v>7831</v>
      </c>
      <c r="H2457" s="797" t="str">
        <f>VLOOKUP(G2457,SETTINGS!$B$7:$D$97,2,0)</f>
        <v>Handwheel</v>
      </c>
      <c r="I2457" s="796">
        <f>VLOOKUP(G2457,SETTINGS!$B$7:$D$97,3,0)</f>
        <v>0</v>
      </c>
      <c r="J2457" s="670" t="str">
        <f>IFERROR(IF(CURRENCY.FORMAT_1=0,CONCATENATE(TEXT(FIXED(ROUND((C2457/EXC.RATE_1),CURRENCY.FORMAT_1),CURRENCY.FORMAT_1,1),"# ##0;-# ##0"),",-"),FIXED(ROUND((C2457/EXC.RATE_1),CURRENCY.FORMAT_1),CURRENCY.FORMAT_1,0)),'DICTIONARY-5'!$A$2)</f>
        <v>32,-</v>
      </c>
      <c r="K2457" s="670" t="str">
        <f>IF(EXC.RATE_2=0,"",IFERROR(IF(CURRENCY.FORMAT_2=0,CONCATENATE(TEXT(FIXED(ROUND(IF(EXC.RATE.SWITCH=1,C2457/EXC.RATE_2,C2457*EXC.RATE_2),CURRENCY.FORMAT_2),CURRENCY.FORMAT_2,1),"# ##0;-# ##0"),",-"),FIXED(ROUND(IF(EXC.RATE.SWITCH=1,C2457/EXC.RATE_2,C2457*EXC.RATE_2),CURRENCY.FORMAT_2),CURRENCY.FORMAT_2,0)),'DICTIONARY-5'!$A$2))</f>
        <v/>
      </c>
      <c r="L2457" s="670" t="str">
        <f>IFERROR(IF(CURRENCY.FORMAT_1=0,CONCATENATE(TEXT(FIXED(ROUND((C2457*(1-I2457)*(1-ADD.DISCOUNT)*(1+MAT.SURCHARGE)/EXC.RATE_1),CURRENCY.FORMAT_1),CURRENCY.FORMAT_1,1),"# ##0;-# ##0"),",-"),FIXED(ROUND((C2457*(1-I2457)*(1-ADD.DISCOUNT)*(1+MAT.SURCHARGE)/EXC.RATE_1),CURRENCY.FORMAT_1),CURRENCY.FORMAT_1,0)),'DICTIONARY-5'!$A$2)</f>
        <v>33,-</v>
      </c>
      <c r="M2457" s="670" t="str">
        <f>IF(EXC.RATE_2=0,"",IFERROR(IF(CURRENCY.FORMAT_2=0,CONCATENATE(TEXT(FIXED(ROUND(IF(EXC.RATE.SWITCH=1,C2457*(1-I2457)*(1-ADD.DISCOUNT)*(1+MAT.SURCHARGE)/EXC.RATE_2,C2457*(1-I2457)*(1-ADD.DISCOUNT)*(1+MAT.SURCHARGE)*EXC.RATE_2),CURRENCY.FORMAT_2),CURRENCY.FORMAT_2,1),"# ##0;-# ##0"),",-"),FIXED(ROUND(IF(EXC.RATE.SWITCH=1,C2457*(1-I2457)*(1-ADD.DISCOUNT)*(1+MAT.SURCHARGE)/EXC.RATE_2,C2457*(1-I2457)*(1-ADD.DISCOUNT)*(1+MAT.SURCHARGE)*EXC.RATE_2),CURRENCY.FORMAT_2),CURRENCY.FORMAT_2,0)),'DICTIONARY-5'!$A$2))</f>
        <v/>
      </c>
      <c r="N2457" s="537">
        <v>11</v>
      </c>
      <c r="O2457" s="537"/>
      <c r="P2457" s="732" t="str">
        <f>'DICTIONARY-3'!$A$151</f>
        <v>KOŁO</v>
      </c>
      <c r="Q2457" s="732" t="str">
        <f>'DICTIONARY-4'!$A$23</f>
        <v>Kółko ręczne</v>
      </c>
      <c r="R2457" s="732" t="str">
        <f>CONCATENATE('DICTIONARY-4'!$A$23," ","200",", ",'DICTIONARY-5'!$A$51,"+",'DICTIONARY-6'!$A$36,", ",'DICTIONARY-5'!$A$188," ","d36",", ",'DICTIONARY-5'!$A$194)</f>
        <v>Kółko ręczne 200, GGG+SYNT., otwor d36, kolor szary</v>
      </c>
      <c r="S2457" s="733"/>
      <c r="T2457" s="732"/>
      <c r="U2457" s="734"/>
      <c r="V2457" s="735"/>
      <c r="W2457" s="736"/>
      <c r="X2457" s="737"/>
      <c r="Y2457" s="738"/>
      <c r="Z2457" s="739"/>
      <c r="AA2457" s="739"/>
      <c r="AB2457" s="740"/>
      <c r="AC2457" s="741"/>
      <c r="AD2457" s="741"/>
      <c r="AE2457" s="742"/>
      <c r="AF2457" s="743">
        <v>1.2</v>
      </c>
      <c r="AG2457" s="741" t="s">
        <v>5569</v>
      </c>
    </row>
    <row r="2458" spans="1:33" x14ac:dyDescent="0.25">
      <c r="A2458" s="854" t="s">
        <v>2327</v>
      </c>
      <c r="B2458" s="854" t="s">
        <v>2870</v>
      </c>
      <c r="C2458" s="836">
        <v>35</v>
      </c>
      <c r="D2458" s="836"/>
      <c r="E2458" s="836"/>
      <c r="F2458" s="836"/>
      <c r="G2458" s="496" t="s">
        <v>7831</v>
      </c>
      <c r="H2458" s="797" t="str">
        <f>VLOOKUP(G2458,SETTINGS!$B$7:$D$97,2,0)</f>
        <v>Handwheel</v>
      </c>
      <c r="I2458" s="796">
        <f>VLOOKUP(G2458,SETTINGS!$B$7:$D$97,3,0)</f>
        <v>0</v>
      </c>
      <c r="J2458" s="670" t="str">
        <f>IFERROR(IF(CURRENCY.FORMAT_1=0,CONCATENATE(TEXT(FIXED(ROUND((C2458/EXC.RATE_1),CURRENCY.FORMAT_1),CURRENCY.FORMAT_1,1),"# ##0;-# ##0"),",-"),FIXED(ROUND((C2458/EXC.RATE_1),CURRENCY.FORMAT_1),CURRENCY.FORMAT_1,0)),'DICTIONARY-5'!$A$2)</f>
        <v>35,-</v>
      </c>
      <c r="K2458" s="670" t="str">
        <f>IF(EXC.RATE_2=0,"",IFERROR(IF(CURRENCY.FORMAT_2=0,CONCATENATE(TEXT(FIXED(ROUND(IF(EXC.RATE.SWITCH=1,C2458/EXC.RATE_2,C2458*EXC.RATE_2),CURRENCY.FORMAT_2),CURRENCY.FORMAT_2,1),"# ##0;-# ##0"),",-"),FIXED(ROUND(IF(EXC.RATE.SWITCH=1,C2458/EXC.RATE_2,C2458*EXC.RATE_2),CURRENCY.FORMAT_2),CURRENCY.FORMAT_2,0)),'DICTIONARY-5'!$A$2))</f>
        <v/>
      </c>
      <c r="L2458" s="670" t="str">
        <f>IFERROR(IF(CURRENCY.FORMAT_1=0,CONCATENATE(TEXT(FIXED(ROUND((C2458*(1-I2458)*(1-ADD.DISCOUNT)*(1+MAT.SURCHARGE)/EXC.RATE_1),CURRENCY.FORMAT_1),CURRENCY.FORMAT_1,1),"# ##0;-# ##0"),",-"),FIXED(ROUND((C2458*(1-I2458)*(1-ADD.DISCOUNT)*(1+MAT.SURCHARGE)/EXC.RATE_1),CURRENCY.FORMAT_1),CURRENCY.FORMAT_1,0)),'DICTIONARY-5'!$A$2)</f>
        <v>36,-</v>
      </c>
      <c r="M2458" s="670" t="str">
        <f>IF(EXC.RATE_2=0,"",IFERROR(IF(CURRENCY.FORMAT_2=0,CONCATENATE(TEXT(FIXED(ROUND(IF(EXC.RATE.SWITCH=1,C2458*(1-I2458)*(1-ADD.DISCOUNT)*(1+MAT.SURCHARGE)/EXC.RATE_2,C2458*(1-I2458)*(1-ADD.DISCOUNT)*(1+MAT.SURCHARGE)*EXC.RATE_2),CURRENCY.FORMAT_2),CURRENCY.FORMAT_2,1),"# ##0;-# ##0"),",-"),FIXED(ROUND(IF(EXC.RATE.SWITCH=1,C2458*(1-I2458)*(1-ADD.DISCOUNT)*(1+MAT.SURCHARGE)/EXC.RATE_2,C2458*(1-I2458)*(1-ADD.DISCOUNT)*(1+MAT.SURCHARGE)*EXC.RATE_2),CURRENCY.FORMAT_2),CURRENCY.FORMAT_2,0)),'DICTIONARY-5'!$A$2))</f>
        <v/>
      </c>
      <c r="N2458" s="537">
        <v>11</v>
      </c>
      <c r="O2458" s="537"/>
      <c r="P2458" s="732" t="str">
        <f>'DICTIONARY-3'!$A$151</f>
        <v>KOŁO</v>
      </c>
      <c r="Q2458" s="732" t="str">
        <f>'DICTIONARY-4'!$A$23</f>
        <v>Kółko ręczne</v>
      </c>
      <c r="R2458" s="732" t="str">
        <f>CONCATENATE('DICTIONARY-4'!$A$23," ","250",", ",'DICTIONARY-5'!$A$51,"+",'DICTIONARY-6'!$A$36,", ",'DICTIONARY-5'!$A$188," ","d40",", ",'DICTIONARY-5'!$A$194)</f>
        <v>Kółko ręczne 250, GGG+SYNT., otwor d40, kolor szary</v>
      </c>
      <c r="S2458" s="733" t="s">
        <v>5569</v>
      </c>
      <c r="T2458" s="732" t="s">
        <v>5569</v>
      </c>
      <c r="U2458" s="734"/>
      <c r="V2458" s="735"/>
      <c r="W2458" s="736"/>
      <c r="X2458" s="737"/>
      <c r="Y2458" s="738"/>
      <c r="Z2458" s="739"/>
      <c r="AA2458" s="739"/>
      <c r="AB2458" s="740"/>
      <c r="AC2458" s="741"/>
      <c r="AD2458" s="741"/>
      <c r="AE2458" s="742"/>
      <c r="AF2458" s="743">
        <v>2.2000000000000002</v>
      </c>
      <c r="AG2458" s="741" t="s">
        <v>5569</v>
      </c>
    </row>
    <row r="2459" spans="1:33" x14ac:dyDescent="0.25">
      <c r="A2459" s="854" t="s">
        <v>2328</v>
      </c>
      <c r="B2459" s="854" t="s">
        <v>2871</v>
      </c>
      <c r="C2459" s="836">
        <v>47</v>
      </c>
      <c r="D2459" s="836"/>
      <c r="E2459" s="836"/>
      <c r="F2459" s="836"/>
      <c r="G2459" s="496" t="s">
        <v>7831</v>
      </c>
      <c r="H2459" s="797" t="str">
        <f>VLOOKUP(G2459,SETTINGS!$B$7:$D$97,2,0)</f>
        <v>Handwheel</v>
      </c>
      <c r="I2459" s="796">
        <f>VLOOKUP(G2459,SETTINGS!$B$7:$D$97,3,0)</f>
        <v>0</v>
      </c>
      <c r="J2459" s="670" t="str">
        <f>IFERROR(IF(CURRENCY.FORMAT_1=0,CONCATENATE(TEXT(FIXED(ROUND((C2459/EXC.RATE_1),CURRENCY.FORMAT_1),CURRENCY.FORMAT_1,1),"# ##0;-# ##0"),",-"),FIXED(ROUND((C2459/EXC.RATE_1),CURRENCY.FORMAT_1),CURRENCY.FORMAT_1,0)),'DICTIONARY-5'!$A$2)</f>
        <v>47,-</v>
      </c>
      <c r="K2459" s="670" t="str">
        <f>IF(EXC.RATE_2=0,"",IFERROR(IF(CURRENCY.FORMAT_2=0,CONCATENATE(TEXT(FIXED(ROUND(IF(EXC.RATE.SWITCH=1,C2459/EXC.RATE_2,C2459*EXC.RATE_2),CURRENCY.FORMAT_2),CURRENCY.FORMAT_2,1),"# ##0;-# ##0"),",-"),FIXED(ROUND(IF(EXC.RATE.SWITCH=1,C2459/EXC.RATE_2,C2459*EXC.RATE_2),CURRENCY.FORMAT_2),CURRENCY.FORMAT_2,0)),'DICTIONARY-5'!$A$2))</f>
        <v/>
      </c>
      <c r="L2459" s="670" t="str">
        <f>IFERROR(IF(CURRENCY.FORMAT_1=0,CONCATENATE(TEXT(FIXED(ROUND((C2459*(1-I2459)*(1-ADD.DISCOUNT)*(1+MAT.SURCHARGE)/EXC.RATE_1),CURRENCY.FORMAT_1),CURRENCY.FORMAT_1,1),"# ##0;-# ##0"),",-"),FIXED(ROUND((C2459*(1-I2459)*(1-ADD.DISCOUNT)*(1+MAT.SURCHARGE)/EXC.RATE_1),CURRENCY.FORMAT_1),CURRENCY.FORMAT_1,0)),'DICTIONARY-5'!$A$2)</f>
        <v>49,-</v>
      </c>
      <c r="M2459" s="670" t="str">
        <f>IF(EXC.RATE_2=0,"",IFERROR(IF(CURRENCY.FORMAT_2=0,CONCATENATE(TEXT(FIXED(ROUND(IF(EXC.RATE.SWITCH=1,C2459*(1-I2459)*(1-ADD.DISCOUNT)*(1+MAT.SURCHARGE)/EXC.RATE_2,C2459*(1-I2459)*(1-ADD.DISCOUNT)*(1+MAT.SURCHARGE)*EXC.RATE_2),CURRENCY.FORMAT_2),CURRENCY.FORMAT_2,1),"# ##0;-# ##0"),",-"),FIXED(ROUND(IF(EXC.RATE.SWITCH=1,C2459*(1-I2459)*(1-ADD.DISCOUNT)*(1+MAT.SURCHARGE)/EXC.RATE_2,C2459*(1-I2459)*(1-ADD.DISCOUNT)*(1+MAT.SURCHARGE)*EXC.RATE_2),CURRENCY.FORMAT_2),CURRENCY.FORMAT_2,0)),'DICTIONARY-5'!$A$2))</f>
        <v/>
      </c>
      <c r="N2459" s="537">
        <v>11</v>
      </c>
      <c r="O2459" s="537"/>
      <c r="P2459" s="732" t="str">
        <f>'DICTIONARY-3'!$A$151</f>
        <v>KOŁO</v>
      </c>
      <c r="Q2459" s="732" t="str">
        <f>'DICTIONARY-4'!$A$23</f>
        <v>Kółko ręczne</v>
      </c>
      <c r="R2459" s="732" t="str">
        <f>CONCATENATE('DICTIONARY-4'!$A$23," ","315",", ",'DICTIONARY-5'!$A$51,"+",'DICTIONARY-6'!$A$36,", ",'DICTIONARY-5'!$A$188," ","d45",", ",'DICTIONARY-5'!$A$194)</f>
        <v>Kółko ręczne 315, GGG+SYNT., otwor d45, kolor szary</v>
      </c>
      <c r="S2459" s="733" t="s">
        <v>5569</v>
      </c>
      <c r="T2459" s="732" t="s">
        <v>5569</v>
      </c>
      <c r="U2459" s="734"/>
      <c r="V2459" s="735"/>
      <c r="W2459" s="736"/>
      <c r="X2459" s="737"/>
      <c r="Y2459" s="738"/>
      <c r="Z2459" s="739"/>
      <c r="AA2459" s="739"/>
      <c r="AB2459" s="740"/>
      <c r="AC2459" s="741"/>
      <c r="AD2459" s="741"/>
      <c r="AE2459" s="742"/>
      <c r="AF2459" s="743">
        <v>3.5009999999999999</v>
      </c>
      <c r="AG2459" s="741" t="s">
        <v>5569</v>
      </c>
    </row>
    <row r="2460" spans="1:33" x14ac:dyDescent="0.25">
      <c r="A2460" s="854" t="s">
        <v>2329</v>
      </c>
      <c r="B2460" s="854" t="s">
        <v>2872</v>
      </c>
      <c r="C2460" s="836">
        <v>133</v>
      </c>
      <c r="D2460" s="836"/>
      <c r="E2460" s="836"/>
      <c r="F2460" s="836"/>
      <c r="G2460" s="496" t="s">
        <v>7831</v>
      </c>
      <c r="H2460" s="797" t="str">
        <f>VLOOKUP(G2460,SETTINGS!$B$7:$D$97,2,0)</f>
        <v>Handwheel</v>
      </c>
      <c r="I2460" s="796">
        <f>VLOOKUP(G2460,SETTINGS!$B$7:$D$97,3,0)</f>
        <v>0</v>
      </c>
      <c r="J2460" s="670" t="str">
        <f>IFERROR(IF(CURRENCY.FORMAT_1=0,CONCATENATE(TEXT(FIXED(ROUND((C2460/EXC.RATE_1),CURRENCY.FORMAT_1),CURRENCY.FORMAT_1,1),"# ##0;-# ##0"),",-"),FIXED(ROUND((C2460/EXC.RATE_1),CURRENCY.FORMAT_1),CURRENCY.FORMAT_1,0)),'DICTIONARY-5'!$A$2)</f>
        <v>133,-</v>
      </c>
      <c r="K2460" s="670" t="str">
        <f>IF(EXC.RATE_2=0,"",IFERROR(IF(CURRENCY.FORMAT_2=0,CONCATENATE(TEXT(FIXED(ROUND(IF(EXC.RATE.SWITCH=1,C2460/EXC.RATE_2,C2460*EXC.RATE_2),CURRENCY.FORMAT_2),CURRENCY.FORMAT_2,1),"# ##0;-# ##0"),",-"),FIXED(ROUND(IF(EXC.RATE.SWITCH=1,C2460/EXC.RATE_2,C2460*EXC.RATE_2),CURRENCY.FORMAT_2),CURRENCY.FORMAT_2,0)),'DICTIONARY-5'!$A$2))</f>
        <v/>
      </c>
      <c r="L2460" s="670" t="str">
        <f>IFERROR(IF(CURRENCY.FORMAT_1=0,CONCATENATE(TEXT(FIXED(ROUND((C2460*(1-I2460)*(1-ADD.DISCOUNT)*(1+MAT.SURCHARGE)/EXC.RATE_1),CURRENCY.FORMAT_1),CURRENCY.FORMAT_1,1),"# ##0;-# ##0"),",-"),FIXED(ROUND((C2460*(1-I2460)*(1-ADD.DISCOUNT)*(1+MAT.SURCHARGE)/EXC.RATE_1),CURRENCY.FORMAT_1),CURRENCY.FORMAT_1,0)),'DICTIONARY-5'!$A$2)</f>
        <v>138,-</v>
      </c>
      <c r="M2460" s="670" t="str">
        <f>IF(EXC.RATE_2=0,"",IFERROR(IF(CURRENCY.FORMAT_2=0,CONCATENATE(TEXT(FIXED(ROUND(IF(EXC.RATE.SWITCH=1,C2460*(1-I2460)*(1-ADD.DISCOUNT)*(1+MAT.SURCHARGE)/EXC.RATE_2,C2460*(1-I2460)*(1-ADD.DISCOUNT)*(1+MAT.SURCHARGE)*EXC.RATE_2),CURRENCY.FORMAT_2),CURRENCY.FORMAT_2,1),"# ##0;-# ##0"),",-"),FIXED(ROUND(IF(EXC.RATE.SWITCH=1,C2460*(1-I2460)*(1-ADD.DISCOUNT)*(1+MAT.SURCHARGE)/EXC.RATE_2,C2460*(1-I2460)*(1-ADD.DISCOUNT)*(1+MAT.SURCHARGE)*EXC.RATE_2),CURRENCY.FORMAT_2),CURRENCY.FORMAT_2,0)),'DICTIONARY-5'!$A$2))</f>
        <v/>
      </c>
      <c r="N2460" s="537">
        <v>11</v>
      </c>
      <c r="O2460" s="537"/>
      <c r="P2460" s="732" t="str">
        <f>'DICTIONARY-3'!$A$151</f>
        <v>KOŁO</v>
      </c>
      <c r="Q2460" s="732" t="str">
        <f>'DICTIONARY-4'!$A$23</f>
        <v>Kółko ręczne</v>
      </c>
      <c r="R2460" s="732" t="str">
        <f>CONCATENATE('DICTIONARY-4'!$A$23," ","400",", ",'DICTIONARY-5'!$A$51,"+",'DICTIONARY-6'!$A$36,", ",'DICTIONARY-5'!$A$188," ","d52",", ",'DICTIONARY-5'!$A$194)</f>
        <v>Kółko ręczne 400, GGG+SYNT., otwor d52, kolor szary</v>
      </c>
      <c r="S2460" s="733" t="s">
        <v>5569</v>
      </c>
      <c r="T2460" s="732" t="s">
        <v>5569</v>
      </c>
      <c r="U2460" s="734"/>
      <c r="V2460" s="735"/>
      <c r="W2460" s="736"/>
      <c r="X2460" s="737"/>
      <c r="Y2460" s="738"/>
      <c r="Z2460" s="739"/>
      <c r="AA2460" s="739"/>
      <c r="AB2460" s="740"/>
      <c r="AC2460" s="741"/>
      <c r="AD2460" s="741"/>
      <c r="AE2460" s="742"/>
      <c r="AF2460" s="743">
        <v>5.5</v>
      </c>
      <c r="AG2460" s="741" t="s">
        <v>5569</v>
      </c>
    </row>
    <row r="2461" spans="1:33" x14ac:dyDescent="0.25">
      <c r="A2461" s="854" t="s">
        <v>2304</v>
      </c>
      <c r="B2461" s="854" t="s">
        <v>4648</v>
      </c>
      <c r="C2461" s="836">
        <v>9977</v>
      </c>
      <c r="D2461" s="836"/>
      <c r="E2461" s="836"/>
      <c r="F2461" s="836"/>
      <c r="G2461" s="496" t="s">
        <v>7807</v>
      </c>
      <c r="H2461" s="797" t="str">
        <f>VLOOKUP(G2461,SETTINGS!$B$7:$D$97,2,0)</f>
        <v>Accessory components</v>
      </c>
      <c r="I2461" s="796">
        <f>VLOOKUP(G2461,SETTINGS!$B$7:$D$97,3,0)</f>
        <v>0</v>
      </c>
      <c r="J2461" s="670" t="str">
        <f>IFERROR(IF(CURRENCY.FORMAT_1=0,CONCATENATE(TEXT(FIXED(ROUND((C2461/EXC.RATE_1),CURRENCY.FORMAT_1),CURRENCY.FORMAT_1,1),"# ##0;-# ##0"),",-"),FIXED(ROUND((C2461/EXC.RATE_1),CURRENCY.FORMAT_1),CURRENCY.FORMAT_1,0)),'DICTIONARY-5'!$A$2)</f>
        <v>9 977,-</v>
      </c>
      <c r="K2461" s="670" t="str">
        <f>IF(EXC.RATE_2=0,"",IFERROR(IF(CURRENCY.FORMAT_2=0,CONCATENATE(TEXT(FIXED(ROUND(IF(EXC.RATE.SWITCH=1,C2461/EXC.RATE_2,C2461*EXC.RATE_2),CURRENCY.FORMAT_2),CURRENCY.FORMAT_2,1),"# ##0;-# ##0"),",-"),FIXED(ROUND(IF(EXC.RATE.SWITCH=1,C2461/EXC.RATE_2,C2461*EXC.RATE_2),CURRENCY.FORMAT_2),CURRENCY.FORMAT_2,0)),'DICTIONARY-5'!$A$2))</f>
        <v/>
      </c>
      <c r="L2461" s="670" t="str">
        <f>IFERROR(IF(CURRENCY.FORMAT_1=0,CONCATENATE(TEXT(FIXED(ROUND((C2461*(1-I2461)*(1-ADD.DISCOUNT)*(1+MAT.SURCHARGE)/EXC.RATE_1),CURRENCY.FORMAT_1),CURRENCY.FORMAT_1,1),"# ##0;-# ##0"),",-"),FIXED(ROUND((C2461*(1-I2461)*(1-ADD.DISCOUNT)*(1+MAT.SURCHARGE)/EXC.RATE_1),CURRENCY.FORMAT_1),CURRENCY.FORMAT_1,0)),'DICTIONARY-5'!$A$2)</f>
        <v>10 366,-</v>
      </c>
      <c r="M2461" s="670" t="str">
        <f>IF(EXC.RATE_2=0,"",IFERROR(IF(CURRENCY.FORMAT_2=0,CONCATENATE(TEXT(FIXED(ROUND(IF(EXC.RATE.SWITCH=1,C2461*(1-I2461)*(1-ADD.DISCOUNT)*(1+MAT.SURCHARGE)/EXC.RATE_2,C2461*(1-I2461)*(1-ADD.DISCOUNT)*(1+MAT.SURCHARGE)*EXC.RATE_2),CURRENCY.FORMAT_2),CURRENCY.FORMAT_2,1),"# ##0;-# ##0"),",-"),FIXED(ROUND(IF(EXC.RATE.SWITCH=1,C2461*(1-I2461)*(1-ADD.DISCOUNT)*(1+MAT.SURCHARGE)/EXC.RATE_2,C2461*(1-I2461)*(1-ADD.DISCOUNT)*(1+MAT.SURCHARGE)*EXC.RATE_2),CURRENCY.FORMAT_2),CURRENCY.FORMAT_2,0)),'DICTIONARY-5'!$A$2))</f>
        <v/>
      </c>
      <c r="N2461" s="537">
        <v>11</v>
      </c>
      <c r="O2461" s="537"/>
      <c r="P2461" s="732" t="str">
        <f>'DICTIONARY-3'!$A$152</f>
        <v>ROTOP MOBITORQ</v>
      </c>
      <c r="Q2461" s="732" t="str">
        <f>'DICTIONARY-3'!$A$233</f>
        <v>Przenośny napęd elektryczny</v>
      </c>
      <c r="R2461" s="732" t="str">
        <f>CONCATENATE('DICTIONARY-3'!$A$152," ",'DICTIONARY-3'!$A$233,", ",LOWER('DICTIONARY-5'!$A$174))</f>
        <v>ROTOP MOBITORQ Przenośny napęd elektryczny, zestaw podstawowy</v>
      </c>
      <c r="S2461" s="733" t="s">
        <v>5569</v>
      </c>
      <c r="T2461" s="732" t="s">
        <v>5569</v>
      </c>
      <c r="U2461" s="734"/>
      <c r="V2461" s="735"/>
      <c r="W2461" s="736"/>
      <c r="X2461" s="737"/>
      <c r="Y2461" s="738"/>
      <c r="Z2461" s="739"/>
      <c r="AA2461" s="739"/>
      <c r="AB2461" s="740"/>
      <c r="AC2461" s="741"/>
      <c r="AD2461" s="741"/>
      <c r="AE2461" s="742"/>
      <c r="AF2461" s="743">
        <v>25</v>
      </c>
      <c r="AG2461" s="741" t="s">
        <v>5569</v>
      </c>
    </row>
    <row r="2462" spans="1:33" x14ac:dyDescent="0.25">
      <c r="A2462" s="854" t="s">
        <v>2305</v>
      </c>
      <c r="B2462" s="854" t="s">
        <v>4649</v>
      </c>
      <c r="C2462" s="836">
        <v>1179</v>
      </c>
      <c r="D2462" s="836"/>
      <c r="E2462" s="836"/>
      <c r="F2462" s="836"/>
      <c r="G2462" s="496" t="s">
        <v>7807</v>
      </c>
      <c r="H2462" s="797" t="str">
        <f>VLOOKUP(G2462,SETTINGS!$B$7:$D$97,2,0)</f>
        <v>Accessory components</v>
      </c>
      <c r="I2462" s="796">
        <f>VLOOKUP(G2462,SETTINGS!$B$7:$D$97,3,0)</f>
        <v>0</v>
      </c>
      <c r="J2462" s="670" t="str">
        <f>IFERROR(IF(CURRENCY.FORMAT_1=0,CONCATENATE(TEXT(FIXED(ROUND((C2462/EXC.RATE_1),CURRENCY.FORMAT_1),CURRENCY.FORMAT_1,1),"# ##0;-# ##0"),",-"),FIXED(ROUND((C2462/EXC.RATE_1),CURRENCY.FORMAT_1),CURRENCY.FORMAT_1,0)),'DICTIONARY-5'!$A$2)</f>
        <v>1 179,-</v>
      </c>
      <c r="K2462" s="670" t="str">
        <f>IF(EXC.RATE_2=0,"",IFERROR(IF(CURRENCY.FORMAT_2=0,CONCATENATE(TEXT(FIXED(ROUND(IF(EXC.RATE.SWITCH=1,C2462/EXC.RATE_2,C2462*EXC.RATE_2),CURRENCY.FORMAT_2),CURRENCY.FORMAT_2,1),"# ##0;-# ##0"),",-"),FIXED(ROUND(IF(EXC.RATE.SWITCH=1,C2462/EXC.RATE_2,C2462*EXC.RATE_2),CURRENCY.FORMAT_2),CURRENCY.FORMAT_2,0)),'DICTIONARY-5'!$A$2))</f>
        <v/>
      </c>
      <c r="L2462" s="670" t="str">
        <f>IFERROR(IF(CURRENCY.FORMAT_1=0,CONCATENATE(TEXT(FIXED(ROUND((C2462*(1-I2462)*(1-ADD.DISCOUNT)*(1+MAT.SURCHARGE)/EXC.RATE_1),CURRENCY.FORMAT_1),CURRENCY.FORMAT_1,1),"# ##0;-# ##0"),",-"),FIXED(ROUND((C2462*(1-I2462)*(1-ADD.DISCOUNT)*(1+MAT.SURCHARGE)/EXC.RATE_1),CURRENCY.FORMAT_1),CURRENCY.FORMAT_1,0)),'DICTIONARY-5'!$A$2)</f>
        <v>1 225,-</v>
      </c>
      <c r="M2462" s="670" t="str">
        <f>IF(EXC.RATE_2=0,"",IFERROR(IF(CURRENCY.FORMAT_2=0,CONCATENATE(TEXT(FIXED(ROUND(IF(EXC.RATE.SWITCH=1,C2462*(1-I2462)*(1-ADD.DISCOUNT)*(1+MAT.SURCHARGE)/EXC.RATE_2,C2462*(1-I2462)*(1-ADD.DISCOUNT)*(1+MAT.SURCHARGE)*EXC.RATE_2),CURRENCY.FORMAT_2),CURRENCY.FORMAT_2,1),"# ##0;-# ##0"),",-"),FIXED(ROUND(IF(EXC.RATE.SWITCH=1,C2462*(1-I2462)*(1-ADD.DISCOUNT)*(1+MAT.SURCHARGE)/EXC.RATE_2,C2462*(1-I2462)*(1-ADD.DISCOUNT)*(1+MAT.SURCHARGE)*EXC.RATE_2),CURRENCY.FORMAT_2),CURRENCY.FORMAT_2,0)),'DICTIONARY-5'!$A$2))</f>
        <v/>
      </c>
      <c r="N2462" s="537">
        <v>11</v>
      </c>
      <c r="O2462" s="537"/>
      <c r="P2462" s="732" t="str">
        <f>'DICTIONARY-3'!$A$152</f>
        <v>ROTOP MOBITORQ</v>
      </c>
      <c r="Q2462" s="732" t="str">
        <f>'DICTIONARY-3'!$A$234</f>
        <v xml:space="preserve">Zestaw sprzęgieł </v>
      </c>
      <c r="R2462" s="732" t="str">
        <f>CONCATENATE('DICTIONARY-3'!$A$152," ",'DICTIONARY-5'!$A$184)</f>
        <v>ROTOP MOBITORQ Zestaw łaczników (bez opakowania)</v>
      </c>
      <c r="S2462" s="733" t="s">
        <v>5569</v>
      </c>
      <c r="T2462" s="732" t="s">
        <v>5569</v>
      </c>
      <c r="U2462" s="734"/>
      <c r="V2462" s="735"/>
      <c r="W2462" s="736"/>
      <c r="X2462" s="737"/>
      <c r="Y2462" s="738"/>
      <c r="Z2462" s="739"/>
      <c r="AA2462" s="739"/>
      <c r="AB2462" s="740"/>
      <c r="AC2462" s="741"/>
      <c r="AD2462" s="741"/>
      <c r="AE2462" s="742"/>
      <c r="AF2462" s="743">
        <v>10</v>
      </c>
      <c r="AG2462" s="741" t="s">
        <v>5569</v>
      </c>
    </row>
    <row r="2463" spans="1:33" x14ac:dyDescent="0.25">
      <c r="A2463" s="854" t="s">
        <v>2306</v>
      </c>
      <c r="B2463" s="854" t="s">
        <v>4647</v>
      </c>
      <c r="C2463" s="836">
        <v>670</v>
      </c>
      <c r="D2463" s="836"/>
      <c r="E2463" s="836"/>
      <c r="F2463" s="836"/>
      <c r="G2463" s="496" t="s">
        <v>7807</v>
      </c>
      <c r="H2463" s="797" t="str">
        <f>VLOOKUP(G2463,SETTINGS!$B$7:$D$97,2,0)</f>
        <v>Accessory components</v>
      </c>
      <c r="I2463" s="796">
        <f>VLOOKUP(G2463,SETTINGS!$B$7:$D$97,3,0)</f>
        <v>0</v>
      </c>
      <c r="J2463" s="670" t="str">
        <f>IFERROR(IF(CURRENCY.FORMAT_1=0,CONCATENATE(TEXT(FIXED(ROUND((C2463/EXC.RATE_1),CURRENCY.FORMAT_1),CURRENCY.FORMAT_1,1),"# ##0;-# ##0"),",-"),FIXED(ROUND((C2463/EXC.RATE_1),CURRENCY.FORMAT_1),CURRENCY.FORMAT_1,0)),'DICTIONARY-5'!$A$2)</f>
        <v>670,-</v>
      </c>
      <c r="K2463" s="670" t="str">
        <f>IF(EXC.RATE_2=0,"",IFERROR(IF(CURRENCY.FORMAT_2=0,CONCATENATE(TEXT(FIXED(ROUND(IF(EXC.RATE.SWITCH=1,C2463/EXC.RATE_2,C2463*EXC.RATE_2),CURRENCY.FORMAT_2),CURRENCY.FORMAT_2,1),"# ##0;-# ##0"),",-"),FIXED(ROUND(IF(EXC.RATE.SWITCH=1,C2463/EXC.RATE_2,C2463*EXC.RATE_2),CURRENCY.FORMAT_2),CURRENCY.FORMAT_2,0)),'DICTIONARY-5'!$A$2))</f>
        <v/>
      </c>
      <c r="L2463" s="670" t="str">
        <f>IFERROR(IF(CURRENCY.FORMAT_1=0,CONCATENATE(TEXT(FIXED(ROUND((C2463*(1-I2463)*(1-ADD.DISCOUNT)*(1+MAT.SURCHARGE)/EXC.RATE_1),CURRENCY.FORMAT_1),CURRENCY.FORMAT_1,1),"# ##0;-# ##0"),",-"),FIXED(ROUND((C2463*(1-I2463)*(1-ADD.DISCOUNT)*(1+MAT.SURCHARGE)/EXC.RATE_1),CURRENCY.FORMAT_1),CURRENCY.FORMAT_1,0)),'DICTIONARY-5'!$A$2)</f>
        <v>696,-</v>
      </c>
      <c r="M2463" s="670" t="str">
        <f>IF(EXC.RATE_2=0,"",IFERROR(IF(CURRENCY.FORMAT_2=0,CONCATENATE(TEXT(FIXED(ROUND(IF(EXC.RATE.SWITCH=1,C2463*(1-I2463)*(1-ADD.DISCOUNT)*(1+MAT.SURCHARGE)/EXC.RATE_2,C2463*(1-I2463)*(1-ADD.DISCOUNT)*(1+MAT.SURCHARGE)*EXC.RATE_2),CURRENCY.FORMAT_2),CURRENCY.FORMAT_2,1),"# ##0;-# ##0"),",-"),FIXED(ROUND(IF(EXC.RATE.SWITCH=1,C2463*(1-I2463)*(1-ADD.DISCOUNT)*(1+MAT.SURCHARGE)/EXC.RATE_2,C2463*(1-I2463)*(1-ADD.DISCOUNT)*(1+MAT.SURCHARGE)*EXC.RATE_2),CURRENCY.FORMAT_2),CURRENCY.FORMAT_2,0)),'DICTIONARY-5'!$A$2))</f>
        <v/>
      </c>
      <c r="N2463" s="537">
        <v>11</v>
      </c>
      <c r="O2463" s="537"/>
      <c r="P2463" s="732" t="str">
        <f>'DICTIONARY-3'!$A$152</f>
        <v>ROTOP MOBITORQ</v>
      </c>
      <c r="Q2463" s="732" t="str">
        <f>'DICTIONARY-3'!$A$235</f>
        <v>Walizka transportowa</v>
      </c>
      <c r="R2463" s="732" t="str">
        <f>CONCATENATE('DICTIONARY-3'!$A$152," ",'DICTIONARY-5'!$A$185)</f>
        <v>ROTOP MOBITORQ Duża skrzynka transportowa z kółkami</v>
      </c>
      <c r="S2463" s="733" t="s">
        <v>5569</v>
      </c>
      <c r="T2463" s="732" t="s">
        <v>5569</v>
      </c>
      <c r="U2463" s="734"/>
      <c r="V2463" s="735"/>
      <c r="W2463" s="736"/>
      <c r="X2463" s="737"/>
      <c r="Y2463" s="738"/>
      <c r="Z2463" s="739"/>
      <c r="AA2463" s="739"/>
      <c r="AB2463" s="740"/>
      <c r="AC2463" s="741"/>
      <c r="AD2463" s="741"/>
      <c r="AE2463" s="742"/>
      <c r="AF2463" s="743">
        <v>12</v>
      </c>
      <c r="AG2463" s="741" t="s">
        <v>5569</v>
      </c>
    </row>
    <row r="2464" spans="1:33" x14ac:dyDescent="0.25">
      <c r="A2464" s="854" t="s">
        <v>2307</v>
      </c>
      <c r="B2464" s="854" t="s">
        <v>4650</v>
      </c>
      <c r="C2464" s="836">
        <v>8337</v>
      </c>
      <c r="D2464" s="836"/>
      <c r="E2464" s="836"/>
      <c r="F2464" s="836"/>
      <c r="G2464" s="496" t="s">
        <v>7807</v>
      </c>
      <c r="H2464" s="797" t="str">
        <f>VLOOKUP(G2464,SETTINGS!$B$7:$D$97,2,0)</f>
        <v>Accessory components</v>
      </c>
      <c r="I2464" s="796">
        <f>VLOOKUP(G2464,SETTINGS!$B$7:$D$97,3,0)</f>
        <v>0</v>
      </c>
      <c r="J2464" s="670" t="str">
        <f>IFERROR(IF(CURRENCY.FORMAT_1=0,CONCATENATE(TEXT(FIXED(ROUND((C2464/EXC.RATE_1),CURRENCY.FORMAT_1),CURRENCY.FORMAT_1,1),"# ##0;-# ##0"),",-"),FIXED(ROUND((C2464/EXC.RATE_1),CURRENCY.FORMAT_1),CURRENCY.FORMAT_1,0)),'DICTIONARY-5'!$A$2)</f>
        <v>8 337,-</v>
      </c>
      <c r="K2464" s="670" t="str">
        <f>IF(EXC.RATE_2=0,"",IFERROR(IF(CURRENCY.FORMAT_2=0,CONCATENATE(TEXT(FIXED(ROUND(IF(EXC.RATE.SWITCH=1,C2464/EXC.RATE_2,C2464*EXC.RATE_2),CURRENCY.FORMAT_2),CURRENCY.FORMAT_2,1),"# ##0;-# ##0"),",-"),FIXED(ROUND(IF(EXC.RATE.SWITCH=1,C2464/EXC.RATE_2,C2464*EXC.RATE_2),CURRENCY.FORMAT_2),CURRENCY.FORMAT_2,0)),'DICTIONARY-5'!$A$2))</f>
        <v/>
      </c>
      <c r="L2464" s="670" t="str">
        <f>IFERROR(IF(CURRENCY.FORMAT_1=0,CONCATENATE(TEXT(FIXED(ROUND((C2464*(1-I2464)*(1-ADD.DISCOUNT)*(1+MAT.SURCHARGE)/EXC.RATE_1),CURRENCY.FORMAT_1),CURRENCY.FORMAT_1,1),"# ##0;-# ##0"),",-"),FIXED(ROUND((C2464*(1-I2464)*(1-ADD.DISCOUNT)*(1+MAT.SURCHARGE)/EXC.RATE_1),CURRENCY.FORMAT_1),CURRENCY.FORMAT_1,0)),'DICTIONARY-5'!$A$2)</f>
        <v>8 662,-</v>
      </c>
      <c r="M2464" s="670" t="str">
        <f>IF(EXC.RATE_2=0,"",IFERROR(IF(CURRENCY.FORMAT_2=0,CONCATENATE(TEXT(FIXED(ROUND(IF(EXC.RATE.SWITCH=1,C2464*(1-I2464)*(1-ADD.DISCOUNT)*(1+MAT.SURCHARGE)/EXC.RATE_2,C2464*(1-I2464)*(1-ADD.DISCOUNT)*(1+MAT.SURCHARGE)*EXC.RATE_2),CURRENCY.FORMAT_2),CURRENCY.FORMAT_2,1),"# ##0;-# ##0"),",-"),FIXED(ROUND(IF(EXC.RATE.SWITCH=1,C2464*(1-I2464)*(1-ADD.DISCOUNT)*(1+MAT.SURCHARGE)/EXC.RATE_2,C2464*(1-I2464)*(1-ADD.DISCOUNT)*(1+MAT.SURCHARGE)*EXC.RATE_2),CURRENCY.FORMAT_2),CURRENCY.FORMAT_2,0)),'DICTIONARY-5'!$A$2))</f>
        <v/>
      </c>
      <c r="N2464" s="537">
        <v>11</v>
      </c>
      <c r="O2464" s="537"/>
      <c r="P2464" s="732" t="str">
        <f>'DICTIONARY-3'!$A$152</f>
        <v>ROTOP MOBITORQ</v>
      </c>
      <c r="Q2464" s="732" t="str">
        <f>'DICTIONARY-3'!$A$236</f>
        <v xml:space="preserve">Agregat prądotwórczy </v>
      </c>
      <c r="R2464" s="732" t="str">
        <f>CONCATENATE('DICTIONARY-3'!$A$152," ",'DICTIONARY-5'!$A$186)</f>
        <v>ROTOP MOBITORQ Awaryjny generator prądu z wózkiem (3 kVA)</v>
      </c>
      <c r="S2464" s="733" t="s">
        <v>5569</v>
      </c>
      <c r="T2464" s="732" t="s">
        <v>5569</v>
      </c>
      <c r="U2464" s="734"/>
      <c r="V2464" s="735"/>
      <c r="W2464" s="736"/>
      <c r="X2464" s="737"/>
      <c r="Y2464" s="738"/>
      <c r="Z2464" s="739"/>
      <c r="AA2464" s="739"/>
      <c r="AB2464" s="740"/>
      <c r="AC2464" s="741"/>
      <c r="AD2464" s="741"/>
      <c r="AE2464" s="742"/>
      <c r="AF2464" s="743">
        <v>50</v>
      </c>
      <c r="AG2464" s="741" t="s">
        <v>5569</v>
      </c>
    </row>
    <row r="2465" spans="1:33" x14ac:dyDescent="0.25">
      <c r="A2465" s="880" t="s">
        <v>2351</v>
      </c>
      <c r="B2465" s="880" t="s">
        <v>3493</v>
      </c>
      <c r="C2465" s="836">
        <v>281</v>
      </c>
      <c r="D2465" s="836"/>
      <c r="E2465" s="836"/>
      <c r="F2465" s="836"/>
      <c r="G2465" s="496" t="s">
        <v>7850</v>
      </c>
      <c r="H2465" s="797" t="str">
        <f>VLOOKUP(G2465,SETTINGS!$B$7:$D$97,2,0)</f>
        <v>BETA 200 BAIO</v>
      </c>
      <c r="I2465" s="796">
        <f>VLOOKUP(G2465,SETTINGS!$B$7:$D$97,3,0)</f>
        <v>0</v>
      </c>
      <c r="J2465" s="670" t="str">
        <f>IFERROR(IF(CURRENCY.FORMAT_1=0,CONCATENATE(TEXT(FIXED(ROUND((C2465/EXC.RATE_1),CURRENCY.FORMAT_1),CURRENCY.FORMAT_1,1),"# ##0;-# ##0"),",-"),FIXED(ROUND((C2465/EXC.RATE_1),CURRENCY.FORMAT_1),CURRENCY.FORMAT_1,0)),'DICTIONARY-5'!$A$2)</f>
        <v>281,-</v>
      </c>
      <c r="K2465" s="670" t="str">
        <f>IF(EXC.RATE_2=0,"",IFERROR(IF(CURRENCY.FORMAT_2=0,CONCATENATE(TEXT(FIXED(ROUND(IF(EXC.RATE.SWITCH=1,C2465/EXC.RATE_2,C2465*EXC.RATE_2),CURRENCY.FORMAT_2),CURRENCY.FORMAT_2,1),"# ##0;-# ##0"),",-"),FIXED(ROUND(IF(EXC.RATE.SWITCH=1,C2465/EXC.RATE_2,C2465*EXC.RATE_2),CURRENCY.FORMAT_2),CURRENCY.FORMAT_2,0)),'DICTIONARY-5'!$A$2))</f>
        <v/>
      </c>
      <c r="L2465" s="670" t="str">
        <f>IFERROR(IF(CURRENCY.FORMAT_1=0,CONCATENATE(TEXT(FIXED(ROUND((C2465*(1-I2465)*(1-ADD.DISCOUNT)*(1+MAT.SURCHARGE)/EXC.RATE_1),CURRENCY.FORMAT_1),CURRENCY.FORMAT_1,1),"# ##0;-# ##0"),",-"),FIXED(ROUND((C2465*(1-I2465)*(1-ADD.DISCOUNT)*(1+MAT.SURCHARGE)/EXC.RATE_1),CURRENCY.FORMAT_1),CURRENCY.FORMAT_1,0)),'DICTIONARY-5'!$A$2)</f>
        <v>292,-</v>
      </c>
      <c r="M2465" s="670" t="str">
        <f>IF(EXC.RATE_2=0,"",IFERROR(IF(CURRENCY.FORMAT_2=0,CONCATENATE(TEXT(FIXED(ROUND(IF(EXC.RATE.SWITCH=1,C2465*(1-I2465)*(1-ADD.DISCOUNT)*(1+MAT.SURCHARGE)/EXC.RATE_2,C2465*(1-I2465)*(1-ADD.DISCOUNT)*(1+MAT.SURCHARGE)*EXC.RATE_2),CURRENCY.FORMAT_2),CURRENCY.FORMAT_2,1),"# ##0;-# ##0"),",-"),FIXED(ROUND(IF(EXC.RATE.SWITCH=1,C2465*(1-I2465)*(1-ADD.DISCOUNT)*(1+MAT.SURCHARGE)/EXC.RATE_2,C2465*(1-I2465)*(1-ADD.DISCOUNT)*(1+MAT.SURCHARGE)*EXC.RATE_2),CURRENCY.FORMAT_2),CURRENCY.FORMAT_2,0)),'DICTIONARY-5'!$A$2))</f>
        <v/>
      </c>
      <c r="N2465" s="536">
        <v>12</v>
      </c>
      <c r="O2465" s="536"/>
      <c r="P2465" s="732" t="str">
        <f>'DICTIONARY-3'!$A$184</f>
        <v>BAIO BETA 200</v>
      </c>
      <c r="Q2465" s="732" t="str">
        <f>'DICTIONARY-3'!$A$187</f>
        <v>Zasuwa klinowa</v>
      </c>
      <c r="R2465" s="732" t="str">
        <f>CONCATENATE('DICTIONARY-3'!$A$6," ",'DICTIONARY-6'!$A$3," ",'DICTIONARY-6'!$A$30," ",'DICTIONARY-2'!$A$2,"80"," ",'DICTIONARY-2'!$A$10,"16",'DICTIONARY-2'!$A$20," ",'DICTIONARY-5'!$A$198,"-",'DICTIONARY-5'!$A$198,", ",'DICTIONARY-4'!$A$2)</f>
        <v>BETA 200 Zasuwa Mu/Mu DN80 PS16bar mufa-mufa, WW</v>
      </c>
      <c r="S2465" s="733" t="str">
        <f>'DICTIONARY-4'!$A$2</f>
        <v>WW</v>
      </c>
      <c r="T2465" s="732" t="str">
        <f>'DICTIONARY-4'!$A$18</f>
        <v>Wolny wałek</v>
      </c>
      <c r="U2465" s="734" t="s">
        <v>5760</v>
      </c>
      <c r="V2465" s="735"/>
      <c r="W2465" s="736"/>
      <c r="X2465" s="737"/>
      <c r="Y2465" s="738"/>
      <c r="Z2465" s="739"/>
      <c r="AA2465" s="739"/>
      <c r="AB2465" s="740">
        <v>16</v>
      </c>
      <c r="AC2465" s="741">
        <v>333</v>
      </c>
      <c r="AD2465" s="741" t="str">
        <f>'DICTIONARY-5'!$A$13</f>
        <v>woda pitna</v>
      </c>
      <c r="AE2465" s="742">
        <v>50</v>
      </c>
      <c r="AF2465" s="743">
        <v>16.5</v>
      </c>
      <c r="AG2465" s="741" t="str">
        <f>'DICTIONARY-5'!$A$23</f>
        <v>powłoka epoksydowa</v>
      </c>
    </row>
    <row r="2466" spans="1:33" x14ac:dyDescent="0.25">
      <c r="A2466" s="880" t="s">
        <v>2352</v>
      </c>
      <c r="B2466" s="880" t="s">
        <v>3494</v>
      </c>
      <c r="C2466" s="836">
        <v>318</v>
      </c>
      <c r="D2466" s="836"/>
      <c r="E2466" s="836"/>
      <c r="F2466" s="836"/>
      <c r="G2466" s="496" t="s">
        <v>7850</v>
      </c>
      <c r="H2466" s="797" t="str">
        <f>VLOOKUP(G2466,SETTINGS!$B$7:$D$97,2,0)</f>
        <v>BETA 200 BAIO</v>
      </c>
      <c r="I2466" s="796">
        <f>VLOOKUP(G2466,SETTINGS!$B$7:$D$97,3,0)</f>
        <v>0</v>
      </c>
      <c r="J2466" s="670" t="str">
        <f>IFERROR(IF(CURRENCY.FORMAT_1=0,CONCATENATE(TEXT(FIXED(ROUND((C2466/EXC.RATE_1),CURRENCY.FORMAT_1),CURRENCY.FORMAT_1,1),"# ##0;-# ##0"),",-"),FIXED(ROUND((C2466/EXC.RATE_1),CURRENCY.FORMAT_1),CURRENCY.FORMAT_1,0)),'DICTIONARY-5'!$A$2)</f>
        <v>318,-</v>
      </c>
      <c r="K2466" s="670" t="str">
        <f>IF(EXC.RATE_2=0,"",IFERROR(IF(CURRENCY.FORMAT_2=0,CONCATENATE(TEXT(FIXED(ROUND(IF(EXC.RATE.SWITCH=1,C2466/EXC.RATE_2,C2466*EXC.RATE_2),CURRENCY.FORMAT_2),CURRENCY.FORMAT_2,1),"# ##0;-# ##0"),",-"),FIXED(ROUND(IF(EXC.RATE.SWITCH=1,C2466/EXC.RATE_2,C2466*EXC.RATE_2),CURRENCY.FORMAT_2),CURRENCY.FORMAT_2,0)),'DICTIONARY-5'!$A$2))</f>
        <v/>
      </c>
      <c r="L2466" s="670" t="str">
        <f>IFERROR(IF(CURRENCY.FORMAT_1=0,CONCATENATE(TEXT(FIXED(ROUND((C2466*(1-I2466)*(1-ADD.DISCOUNT)*(1+MAT.SURCHARGE)/EXC.RATE_1),CURRENCY.FORMAT_1),CURRENCY.FORMAT_1,1),"# ##0;-# ##0"),",-"),FIXED(ROUND((C2466*(1-I2466)*(1-ADD.DISCOUNT)*(1+MAT.SURCHARGE)/EXC.RATE_1),CURRENCY.FORMAT_1),CURRENCY.FORMAT_1,0)),'DICTIONARY-5'!$A$2)</f>
        <v>330,-</v>
      </c>
      <c r="M2466" s="670" t="str">
        <f>IF(EXC.RATE_2=0,"",IFERROR(IF(CURRENCY.FORMAT_2=0,CONCATENATE(TEXT(FIXED(ROUND(IF(EXC.RATE.SWITCH=1,C2466*(1-I2466)*(1-ADD.DISCOUNT)*(1+MAT.SURCHARGE)/EXC.RATE_2,C2466*(1-I2466)*(1-ADD.DISCOUNT)*(1+MAT.SURCHARGE)*EXC.RATE_2),CURRENCY.FORMAT_2),CURRENCY.FORMAT_2,1),"# ##0;-# ##0"),",-"),FIXED(ROUND(IF(EXC.RATE.SWITCH=1,C2466*(1-I2466)*(1-ADD.DISCOUNT)*(1+MAT.SURCHARGE)/EXC.RATE_2,C2466*(1-I2466)*(1-ADD.DISCOUNT)*(1+MAT.SURCHARGE)*EXC.RATE_2),CURRENCY.FORMAT_2),CURRENCY.FORMAT_2,0)),'DICTIONARY-5'!$A$2))</f>
        <v/>
      </c>
      <c r="N2466" s="536">
        <v>12</v>
      </c>
      <c r="O2466" s="536"/>
      <c r="P2466" s="732" t="str">
        <f>'DICTIONARY-3'!$A$184</f>
        <v>BAIO BETA 200</v>
      </c>
      <c r="Q2466" s="732" t="str">
        <f>'DICTIONARY-3'!$A$187</f>
        <v>Zasuwa klinowa</v>
      </c>
      <c r="R2466" s="732" t="str">
        <f>CONCATENATE('DICTIONARY-3'!$A$6," ",'DICTIONARY-6'!$A$3," ",'DICTIONARY-6'!$A$30," ",'DICTIONARY-2'!$A$2,"100"," ",'DICTIONARY-2'!$A$10,"16",'DICTIONARY-2'!$A$20," ",'DICTIONARY-5'!$A$198,"-",'DICTIONARY-5'!$A$198,", ",'DICTIONARY-4'!$A$2)</f>
        <v>BETA 200 Zasuwa Mu/Mu DN100 PS16bar mufa-mufa, WW</v>
      </c>
      <c r="S2466" s="733" t="str">
        <f>'DICTIONARY-4'!$A$2</f>
        <v>WW</v>
      </c>
      <c r="T2466" s="732" t="str">
        <f>'DICTIONARY-4'!$A$18</f>
        <v>Wolny wałek</v>
      </c>
      <c r="U2466" s="734" t="s">
        <v>5749</v>
      </c>
      <c r="V2466" s="735"/>
      <c r="W2466" s="736"/>
      <c r="X2466" s="737"/>
      <c r="Y2466" s="738"/>
      <c r="Z2466" s="739"/>
      <c r="AA2466" s="739"/>
      <c r="AB2466" s="740">
        <v>16</v>
      </c>
      <c r="AC2466" s="741">
        <v>355</v>
      </c>
      <c r="AD2466" s="741" t="str">
        <f>'DICTIONARY-5'!$A$13</f>
        <v>woda pitna</v>
      </c>
      <c r="AE2466" s="742">
        <v>50</v>
      </c>
      <c r="AF2466" s="743">
        <v>22.5</v>
      </c>
      <c r="AG2466" s="741" t="str">
        <f>'DICTIONARY-5'!$A$23</f>
        <v>powłoka epoksydowa</v>
      </c>
    </row>
    <row r="2467" spans="1:33" x14ac:dyDescent="0.25">
      <c r="A2467" s="880" t="s">
        <v>2353</v>
      </c>
      <c r="B2467" s="880" t="s">
        <v>3495</v>
      </c>
      <c r="C2467" s="836">
        <v>453</v>
      </c>
      <c r="D2467" s="836"/>
      <c r="E2467" s="836"/>
      <c r="F2467" s="836"/>
      <c r="G2467" s="496" t="s">
        <v>7850</v>
      </c>
      <c r="H2467" s="797" t="str">
        <f>VLOOKUP(G2467,SETTINGS!$B$7:$D$97,2,0)</f>
        <v>BETA 200 BAIO</v>
      </c>
      <c r="I2467" s="796">
        <f>VLOOKUP(G2467,SETTINGS!$B$7:$D$97,3,0)</f>
        <v>0</v>
      </c>
      <c r="J2467" s="670" t="str">
        <f>IFERROR(IF(CURRENCY.FORMAT_1=0,CONCATENATE(TEXT(FIXED(ROUND((C2467/EXC.RATE_1),CURRENCY.FORMAT_1),CURRENCY.FORMAT_1,1),"# ##0;-# ##0"),",-"),FIXED(ROUND((C2467/EXC.RATE_1),CURRENCY.FORMAT_1),CURRENCY.FORMAT_1,0)),'DICTIONARY-5'!$A$2)</f>
        <v>453,-</v>
      </c>
      <c r="K2467" s="670" t="str">
        <f>IF(EXC.RATE_2=0,"",IFERROR(IF(CURRENCY.FORMAT_2=0,CONCATENATE(TEXT(FIXED(ROUND(IF(EXC.RATE.SWITCH=1,C2467/EXC.RATE_2,C2467*EXC.RATE_2),CURRENCY.FORMAT_2),CURRENCY.FORMAT_2,1),"# ##0;-# ##0"),",-"),FIXED(ROUND(IF(EXC.RATE.SWITCH=1,C2467/EXC.RATE_2,C2467*EXC.RATE_2),CURRENCY.FORMAT_2),CURRENCY.FORMAT_2,0)),'DICTIONARY-5'!$A$2))</f>
        <v/>
      </c>
      <c r="L2467" s="670" t="str">
        <f>IFERROR(IF(CURRENCY.FORMAT_1=0,CONCATENATE(TEXT(FIXED(ROUND((C2467*(1-I2467)*(1-ADD.DISCOUNT)*(1+MAT.SURCHARGE)/EXC.RATE_1),CURRENCY.FORMAT_1),CURRENCY.FORMAT_1,1),"# ##0;-# ##0"),",-"),FIXED(ROUND((C2467*(1-I2467)*(1-ADD.DISCOUNT)*(1+MAT.SURCHARGE)/EXC.RATE_1),CURRENCY.FORMAT_1),CURRENCY.FORMAT_1,0)),'DICTIONARY-5'!$A$2)</f>
        <v>471,-</v>
      </c>
      <c r="M2467" s="670" t="str">
        <f>IF(EXC.RATE_2=0,"",IFERROR(IF(CURRENCY.FORMAT_2=0,CONCATENATE(TEXT(FIXED(ROUND(IF(EXC.RATE.SWITCH=1,C2467*(1-I2467)*(1-ADD.DISCOUNT)*(1+MAT.SURCHARGE)/EXC.RATE_2,C2467*(1-I2467)*(1-ADD.DISCOUNT)*(1+MAT.SURCHARGE)*EXC.RATE_2),CURRENCY.FORMAT_2),CURRENCY.FORMAT_2,1),"# ##0;-# ##0"),",-"),FIXED(ROUND(IF(EXC.RATE.SWITCH=1,C2467*(1-I2467)*(1-ADD.DISCOUNT)*(1+MAT.SURCHARGE)/EXC.RATE_2,C2467*(1-I2467)*(1-ADD.DISCOUNT)*(1+MAT.SURCHARGE)*EXC.RATE_2),CURRENCY.FORMAT_2),CURRENCY.FORMAT_2,0)),'DICTIONARY-5'!$A$2))</f>
        <v/>
      </c>
      <c r="N2467" s="536">
        <v>12</v>
      </c>
      <c r="O2467" s="536"/>
      <c r="P2467" s="732" t="str">
        <f>'DICTIONARY-3'!$A$184</f>
        <v>BAIO BETA 200</v>
      </c>
      <c r="Q2467" s="732" t="str">
        <f>'DICTIONARY-3'!$A$187</f>
        <v>Zasuwa klinowa</v>
      </c>
      <c r="R2467" s="732" t="str">
        <f>CONCATENATE('DICTIONARY-3'!$A$6," ",'DICTIONARY-6'!$A$3," ",'DICTIONARY-6'!$A$30," ",'DICTIONARY-2'!$A$2,"125"," ",'DICTIONARY-2'!$A$10,"16",'DICTIONARY-2'!$A$20," ",'DICTIONARY-5'!$A$198,"-",'DICTIONARY-5'!$A$198,", ",'DICTIONARY-4'!$A$2)</f>
        <v>BETA 200 Zasuwa Mu/Mu DN125 PS16bar mufa-mufa, WW</v>
      </c>
      <c r="S2467" s="733" t="str">
        <f>'DICTIONARY-4'!$A$2</f>
        <v>WW</v>
      </c>
      <c r="T2467" s="732" t="str">
        <f>'DICTIONARY-4'!$A$18</f>
        <v>Wolny wałek</v>
      </c>
      <c r="U2467" s="734" t="s">
        <v>5761</v>
      </c>
      <c r="V2467" s="735"/>
      <c r="W2467" s="736"/>
      <c r="X2467" s="737"/>
      <c r="Y2467" s="738"/>
      <c r="Z2467" s="739"/>
      <c r="AA2467" s="739"/>
      <c r="AB2467" s="740">
        <v>16</v>
      </c>
      <c r="AC2467" s="741">
        <v>374</v>
      </c>
      <c r="AD2467" s="741" t="str">
        <f>'DICTIONARY-5'!$A$13</f>
        <v>woda pitna</v>
      </c>
      <c r="AE2467" s="742">
        <v>50</v>
      </c>
      <c r="AF2467" s="743">
        <v>30</v>
      </c>
      <c r="AG2467" s="741" t="str">
        <f>'DICTIONARY-5'!$A$23</f>
        <v>powłoka epoksydowa</v>
      </c>
    </row>
    <row r="2468" spans="1:33" x14ac:dyDescent="0.25">
      <c r="A2468" s="880" t="s">
        <v>2354</v>
      </c>
      <c r="B2468" s="880" t="s">
        <v>3496</v>
      </c>
      <c r="C2468" s="836">
        <v>566</v>
      </c>
      <c r="D2468" s="836"/>
      <c r="E2468" s="836"/>
      <c r="F2468" s="836"/>
      <c r="G2468" s="496" t="s">
        <v>7850</v>
      </c>
      <c r="H2468" s="797" t="str">
        <f>VLOOKUP(G2468,SETTINGS!$B$7:$D$97,2,0)</f>
        <v>BETA 200 BAIO</v>
      </c>
      <c r="I2468" s="796">
        <f>VLOOKUP(G2468,SETTINGS!$B$7:$D$97,3,0)</f>
        <v>0</v>
      </c>
      <c r="J2468" s="670" t="str">
        <f>IFERROR(IF(CURRENCY.FORMAT_1=0,CONCATENATE(TEXT(FIXED(ROUND((C2468/EXC.RATE_1),CURRENCY.FORMAT_1),CURRENCY.FORMAT_1,1),"# ##0;-# ##0"),",-"),FIXED(ROUND((C2468/EXC.RATE_1),CURRENCY.FORMAT_1),CURRENCY.FORMAT_1,0)),'DICTIONARY-5'!$A$2)</f>
        <v>566,-</v>
      </c>
      <c r="K2468" s="670" t="str">
        <f>IF(EXC.RATE_2=0,"",IFERROR(IF(CURRENCY.FORMAT_2=0,CONCATENATE(TEXT(FIXED(ROUND(IF(EXC.RATE.SWITCH=1,C2468/EXC.RATE_2,C2468*EXC.RATE_2),CURRENCY.FORMAT_2),CURRENCY.FORMAT_2,1),"# ##0;-# ##0"),",-"),FIXED(ROUND(IF(EXC.RATE.SWITCH=1,C2468/EXC.RATE_2,C2468*EXC.RATE_2),CURRENCY.FORMAT_2),CURRENCY.FORMAT_2,0)),'DICTIONARY-5'!$A$2))</f>
        <v/>
      </c>
      <c r="L2468" s="670" t="str">
        <f>IFERROR(IF(CURRENCY.FORMAT_1=0,CONCATENATE(TEXT(FIXED(ROUND((C2468*(1-I2468)*(1-ADD.DISCOUNT)*(1+MAT.SURCHARGE)/EXC.RATE_1),CURRENCY.FORMAT_1),CURRENCY.FORMAT_1,1),"# ##0;-# ##0"),",-"),FIXED(ROUND((C2468*(1-I2468)*(1-ADD.DISCOUNT)*(1+MAT.SURCHARGE)/EXC.RATE_1),CURRENCY.FORMAT_1),CURRENCY.FORMAT_1,0)),'DICTIONARY-5'!$A$2)</f>
        <v>588,-</v>
      </c>
      <c r="M2468" s="670" t="str">
        <f>IF(EXC.RATE_2=0,"",IFERROR(IF(CURRENCY.FORMAT_2=0,CONCATENATE(TEXT(FIXED(ROUND(IF(EXC.RATE.SWITCH=1,C2468*(1-I2468)*(1-ADD.DISCOUNT)*(1+MAT.SURCHARGE)/EXC.RATE_2,C2468*(1-I2468)*(1-ADD.DISCOUNT)*(1+MAT.SURCHARGE)*EXC.RATE_2),CURRENCY.FORMAT_2),CURRENCY.FORMAT_2,1),"# ##0;-# ##0"),",-"),FIXED(ROUND(IF(EXC.RATE.SWITCH=1,C2468*(1-I2468)*(1-ADD.DISCOUNT)*(1+MAT.SURCHARGE)/EXC.RATE_2,C2468*(1-I2468)*(1-ADD.DISCOUNT)*(1+MAT.SURCHARGE)*EXC.RATE_2),CURRENCY.FORMAT_2),CURRENCY.FORMAT_2,0)),'DICTIONARY-5'!$A$2))</f>
        <v/>
      </c>
      <c r="N2468" s="536">
        <v>12</v>
      </c>
      <c r="O2468" s="536"/>
      <c r="P2468" s="732" t="str">
        <f>'DICTIONARY-3'!$A$184</f>
        <v>BAIO BETA 200</v>
      </c>
      <c r="Q2468" s="732" t="str">
        <f>'DICTIONARY-3'!$A$187</f>
        <v>Zasuwa klinowa</v>
      </c>
      <c r="R2468" s="732" t="str">
        <f>CONCATENATE('DICTIONARY-3'!$A$6," ",'DICTIONARY-6'!$A$3," ",'DICTIONARY-6'!$A$30," ",'DICTIONARY-2'!$A$2,"150"," ",'DICTIONARY-2'!$A$10,"16",'DICTIONARY-2'!$A$20," ",'DICTIONARY-5'!$A$198,"-",'DICTIONARY-5'!$A$198,", ",'DICTIONARY-4'!$A$2)</f>
        <v>BETA 200 Zasuwa Mu/Mu DN150 PS16bar mufa-mufa, WW</v>
      </c>
      <c r="S2468" s="733" t="str">
        <f>'DICTIONARY-4'!$A$2</f>
        <v>WW</v>
      </c>
      <c r="T2468" s="732" t="str">
        <f>'DICTIONARY-4'!$A$18</f>
        <v>Wolny wałek</v>
      </c>
      <c r="U2468" s="734" t="s">
        <v>5572</v>
      </c>
      <c r="V2468" s="735"/>
      <c r="W2468" s="736"/>
      <c r="X2468" s="737"/>
      <c r="Y2468" s="738"/>
      <c r="Z2468" s="739"/>
      <c r="AA2468" s="739"/>
      <c r="AB2468" s="740">
        <v>16</v>
      </c>
      <c r="AC2468" s="741">
        <v>387</v>
      </c>
      <c r="AD2468" s="741" t="str">
        <f>'DICTIONARY-5'!$A$13</f>
        <v>woda pitna</v>
      </c>
      <c r="AE2468" s="742">
        <v>50</v>
      </c>
      <c r="AF2468" s="743">
        <v>38.5</v>
      </c>
      <c r="AG2468" s="741" t="str">
        <f>'DICTIONARY-5'!$A$23</f>
        <v>powłoka epoksydowa</v>
      </c>
    </row>
    <row r="2469" spans="1:33" x14ac:dyDescent="0.25">
      <c r="A2469" s="880" t="s">
        <v>2355</v>
      </c>
      <c r="B2469" s="880" t="s">
        <v>3497</v>
      </c>
      <c r="C2469" s="836">
        <v>1054</v>
      </c>
      <c r="D2469" s="836"/>
      <c r="E2469" s="836"/>
      <c r="F2469" s="836"/>
      <c r="G2469" s="496" t="s">
        <v>7850</v>
      </c>
      <c r="H2469" s="797" t="str">
        <f>VLOOKUP(G2469,SETTINGS!$B$7:$D$97,2,0)</f>
        <v>BETA 200 BAIO</v>
      </c>
      <c r="I2469" s="796">
        <f>VLOOKUP(G2469,SETTINGS!$B$7:$D$97,3,0)</f>
        <v>0</v>
      </c>
      <c r="J2469" s="670" t="str">
        <f>IFERROR(IF(CURRENCY.FORMAT_1=0,CONCATENATE(TEXT(FIXED(ROUND((C2469/EXC.RATE_1),CURRENCY.FORMAT_1),CURRENCY.FORMAT_1,1),"# ##0;-# ##0"),",-"),FIXED(ROUND((C2469/EXC.RATE_1),CURRENCY.FORMAT_1),CURRENCY.FORMAT_1,0)),'DICTIONARY-5'!$A$2)</f>
        <v>1 054,-</v>
      </c>
      <c r="K2469" s="670" t="str">
        <f>IF(EXC.RATE_2=0,"",IFERROR(IF(CURRENCY.FORMAT_2=0,CONCATENATE(TEXT(FIXED(ROUND(IF(EXC.RATE.SWITCH=1,C2469/EXC.RATE_2,C2469*EXC.RATE_2),CURRENCY.FORMAT_2),CURRENCY.FORMAT_2,1),"# ##0;-# ##0"),",-"),FIXED(ROUND(IF(EXC.RATE.SWITCH=1,C2469/EXC.RATE_2,C2469*EXC.RATE_2),CURRENCY.FORMAT_2),CURRENCY.FORMAT_2,0)),'DICTIONARY-5'!$A$2))</f>
        <v/>
      </c>
      <c r="L2469" s="670" t="str">
        <f>IFERROR(IF(CURRENCY.FORMAT_1=0,CONCATENATE(TEXT(FIXED(ROUND((C2469*(1-I2469)*(1-ADD.DISCOUNT)*(1+MAT.SURCHARGE)/EXC.RATE_1),CURRENCY.FORMAT_1),CURRENCY.FORMAT_1,1),"# ##0;-# ##0"),",-"),FIXED(ROUND((C2469*(1-I2469)*(1-ADD.DISCOUNT)*(1+MAT.SURCHARGE)/EXC.RATE_1),CURRENCY.FORMAT_1),CURRENCY.FORMAT_1,0)),'DICTIONARY-5'!$A$2)</f>
        <v>1 095,-</v>
      </c>
      <c r="M2469" s="670" t="str">
        <f>IF(EXC.RATE_2=0,"",IFERROR(IF(CURRENCY.FORMAT_2=0,CONCATENATE(TEXT(FIXED(ROUND(IF(EXC.RATE.SWITCH=1,C2469*(1-I2469)*(1-ADD.DISCOUNT)*(1+MAT.SURCHARGE)/EXC.RATE_2,C2469*(1-I2469)*(1-ADD.DISCOUNT)*(1+MAT.SURCHARGE)*EXC.RATE_2),CURRENCY.FORMAT_2),CURRENCY.FORMAT_2,1),"# ##0;-# ##0"),",-"),FIXED(ROUND(IF(EXC.RATE.SWITCH=1,C2469*(1-I2469)*(1-ADD.DISCOUNT)*(1+MAT.SURCHARGE)/EXC.RATE_2,C2469*(1-I2469)*(1-ADD.DISCOUNT)*(1+MAT.SURCHARGE)*EXC.RATE_2),CURRENCY.FORMAT_2),CURRENCY.FORMAT_2,0)),'DICTIONARY-5'!$A$2))</f>
        <v/>
      </c>
      <c r="N2469" s="536">
        <v>12</v>
      </c>
      <c r="O2469" s="536"/>
      <c r="P2469" s="732" t="str">
        <f>'DICTIONARY-3'!$A$184</f>
        <v>BAIO BETA 200</v>
      </c>
      <c r="Q2469" s="732" t="str">
        <f>'DICTIONARY-3'!$A$187</f>
        <v>Zasuwa klinowa</v>
      </c>
      <c r="R2469" s="732" t="str">
        <f>CONCATENATE('DICTIONARY-3'!$A$6," ",'DICTIONARY-6'!$A$3," ",'DICTIONARY-6'!$A$30," ",'DICTIONARY-2'!$A$2,"200"," ",'DICTIONARY-2'!$A$10,"16",'DICTIONARY-2'!$A$20," ",'DICTIONARY-5'!$A$198,"-",'DICTIONARY-5'!$A$198,", ",'DICTIONARY-4'!$A$2)</f>
        <v>BETA 200 Zasuwa Mu/Mu DN200 PS16bar mufa-mufa, WW</v>
      </c>
      <c r="S2469" s="733" t="str">
        <f>'DICTIONARY-4'!$A$2</f>
        <v>WW</v>
      </c>
      <c r="T2469" s="732" t="str">
        <f>'DICTIONARY-4'!$A$18</f>
        <v>Wolny wałek</v>
      </c>
      <c r="U2469" s="734" t="s">
        <v>5750</v>
      </c>
      <c r="V2469" s="735"/>
      <c r="W2469" s="736"/>
      <c r="X2469" s="737"/>
      <c r="Y2469" s="738"/>
      <c r="Z2469" s="739"/>
      <c r="AA2469" s="739"/>
      <c r="AB2469" s="740">
        <v>16</v>
      </c>
      <c r="AC2469" s="741">
        <v>420</v>
      </c>
      <c r="AD2469" s="741" t="str">
        <f>'DICTIONARY-5'!$A$13</f>
        <v>woda pitna</v>
      </c>
      <c r="AE2469" s="742">
        <v>50</v>
      </c>
      <c r="AF2469" s="743">
        <v>72</v>
      </c>
      <c r="AG2469" s="741" t="str">
        <f>'DICTIONARY-5'!$A$23</f>
        <v>powłoka epoksydowa</v>
      </c>
    </row>
    <row r="2470" spans="1:33" x14ac:dyDescent="0.25">
      <c r="A2470" s="880" t="s">
        <v>2356</v>
      </c>
      <c r="B2470" s="880" t="s">
        <v>3498</v>
      </c>
      <c r="C2470" s="836">
        <v>284</v>
      </c>
      <c r="D2470" s="836"/>
      <c r="E2470" s="836"/>
      <c r="F2470" s="836"/>
      <c r="G2470" s="496" t="s">
        <v>7850</v>
      </c>
      <c r="H2470" s="797" t="str">
        <f>VLOOKUP(G2470,SETTINGS!$B$7:$D$97,2,0)</f>
        <v>BETA 200 BAIO</v>
      </c>
      <c r="I2470" s="796">
        <f>VLOOKUP(G2470,SETTINGS!$B$7:$D$97,3,0)</f>
        <v>0</v>
      </c>
      <c r="J2470" s="670" t="str">
        <f>IFERROR(IF(CURRENCY.FORMAT_1=0,CONCATENATE(TEXT(FIXED(ROUND((C2470/EXC.RATE_1),CURRENCY.FORMAT_1),CURRENCY.FORMAT_1,1),"# ##0;-# ##0"),",-"),FIXED(ROUND((C2470/EXC.RATE_1),CURRENCY.FORMAT_1),CURRENCY.FORMAT_1,0)),'DICTIONARY-5'!$A$2)</f>
        <v>284,-</v>
      </c>
      <c r="K2470" s="670" t="str">
        <f>IF(EXC.RATE_2=0,"",IFERROR(IF(CURRENCY.FORMAT_2=0,CONCATENATE(TEXT(FIXED(ROUND(IF(EXC.RATE.SWITCH=1,C2470/EXC.RATE_2,C2470*EXC.RATE_2),CURRENCY.FORMAT_2),CURRENCY.FORMAT_2,1),"# ##0;-# ##0"),",-"),FIXED(ROUND(IF(EXC.RATE.SWITCH=1,C2470/EXC.RATE_2,C2470*EXC.RATE_2),CURRENCY.FORMAT_2),CURRENCY.FORMAT_2,0)),'DICTIONARY-5'!$A$2))</f>
        <v/>
      </c>
      <c r="L2470" s="670" t="str">
        <f>IFERROR(IF(CURRENCY.FORMAT_1=0,CONCATENATE(TEXT(FIXED(ROUND((C2470*(1-I2470)*(1-ADD.DISCOUNT)*(1+MAT.SURCHARGE)/EXC.RATE_1),CURRENCY.FORMAT_1),CURRENCY.FORMAT_1,1),"# ##0;-# ##0"),",-"),FIXED(ROUND((C2470*(1-I2470)*(1-ADD.DISCOUNT)*(1+MAT.SURCHARGE)/EXC.RATE_1),CURRENCY.FORMAT_1),CURRENCY.FORMAT_1,0)),'DICTIONARY-5'!$A$2)</f>
        <v>295,-</v>
      </c>
      <c r="M2470" s="670" t="str">
        <f>IF(EXC.RATE_2=0,"",IFERROR(IF(CURRENCY.FORMAT_2=0,CONCATENATE(TEXT(FIXED(ROUND(IF(EXC.RATE.SWITCH=1,C2470*(1-I2470)*(1-ADD.DISCOUNT)*(1+MAT.SURCHARGE)/EXC.RATE_2,C2470*(1-I2470)*(1-ADD.DISCOUNT)*(1+MAT.SURCHARGE)*EXC.RATE_2),CURRENCY.FORMAT_2),CURRENCY.FORMAT_2,1),"# ##0;-# ##0"),",-"),FIXED(ROUND(IF(EXC.RATE.SWITCH=1,C2470*(1-I2470)*(1-ADD.DISCOUNT)*(1+MAT.SURCHARGE)/EXC.RATE_2,C2470*(1-I2470)*(1-ADD.DISCOUNT)*(1+MAT.SURCHARGE)*EXC.RATE_2),CURRENCY.FORMAT_2),CURRENCY.FORMAT_2,0)),'DICTIONARY-5'!$A$2))</f>
        <v/>
      </c>
      <c r="N2470" s="536">
        <v>12</v>
      </c>
      <c r="O2470" s="536"/>
      <c r="P2470" s="732" t="str">
        <f>'DICTIONARY-3'!$A$184</f>
        <v>BAIO BETA 200</v>
      </c>
      <c r="Q2470" s="732" t="str">
        <f>'DICTIONARY-3'!$A$187</f>
        <v>Zasuwa klinowa</v>
      </c>
      <c r="R2470" s="732" t="str">
        <f>CONCATENATE('DICTIONARY-3'!$A$6," ",'DICTIONARY-6'!$A$3," ",'DICTIONARY-6'!$A$31," ",'DICTIONARY-2'!$A$2,"80"," ",'DICTIONARY-2'!$A$10,"16",'DICTIONARY-2'!$A$20," ",'DICTIONARY-5'!$A$198,"-",'DICTIONARY-5'!$A$199,", ",'DICTIONARY-4'!$A$2)</f>
        <v>BETA 200 Zasuwa Mu/Sp DN80 PS16bar mufa-końcówka bosa, WW</v>
      </c>
      <c r="S2470" s="733" t="str">
        <f>'DICTIONARY-4'!$A$2</f>
        <v>WW</v>
      </c>
      <c r="T2470" s="732" t="str">
        <f>'DICTIONARY-4'!$A$18</f>
        <v>Wolny wałek</v>
      </c>
      <c r="U2470" s="734" t="s">
        <v>5760</v>
      </c>
      <c r="V2470" s="735"/>
      <c r="W2470" s="736"/>
      <c r="X2470" s="737"/>
      <c r="Y2470" s="738"/>
      <c r="Z2470" s="739"/>
      <c r="AA2470" s="739"/>
      <c r="AB2470" s="740">
        <v>16</v>
      </c>
      <c r="AC2470" s="741">
        <v>330</v>
      </c>
      <c r="AD2470" s="741" t="str">
        <f>'DICTIONARY-5'!$A$13</f>
        <v>woda pitna</v>
      </c>
      <c r="AE2470" s="742">
        <v>50</v>
      </c>
      <c r="AF2470" s="743">
        <v>15</v>
      </c>
      <c r="AG2470" s="741" t="str">
        <f>'DICTIONARY-5'!$A$23</f>
        <v>powłoka epoksydowa</v>
      </c>
    </row>
    <row r="2471" spans="1:33" x14ac:dyDescent="0.25">
      <c r="A2471" s="880" t="s">
        <v>2357</v>
      </c>
      <c r="B2471" s="880" t="s">
        <v>3499</v>
      </c>
      <c r="C2471" s="836">
        <v>318</v>
      </c>
      <c r="D2471" s="836"/>
      <c r="E2471" s="836"/>
      <c r="F2471" s="836"/>
      <c r="G2471" s="496" t="s">
        <v>7850</v>
      </c>
      <c r="H2471" s="797" t="str">
        <f>VLOOKUP(G2471,SETTINGS!$B$7:$D$97,2,0)</f>
        <v>BETA 200 BAIO</v>
      </c>
      <c r="I2471" s="796">
        <f>VLOOKUP(G2471,SETTINGS!$B$7:$D$97,3,0)</f>
        <v>0</v>
      </c>
      <c r="J2471" s="670" t="str">
        <f>IFERROR(IF(CURRENCY.FORMAT_1=0,CONCATENATE(TEXT(FIXED(ROUND((C2471/EXC.RATE_1),CURRENCY.FORMAT_1),CURRENCY.FORMAT_1,1),"# ##0;-# ##0"),",-"),FIXED(ROUND((C2471/EXC.RATE_1),CURRENCY.FORMAT_1),CURRENCY.FORMAT_1,0)),'DICTIONARY-5'!$A$2)</f>
        <v>318,-</v>
      </c>
      <c r="K2471" s="670" t="str">
        <f>IF(EXC.RATE_2=0,"",IFERROR(IF(CURRENCY.FORMAT_2=0,CONCATENATE(TEXT(FIXED(ROUND(IF(EXC.RATE.SWITCH=1,C2471/EXC.RATE_2,C2471*EXC.RATE_2),CURRENCY.FORMAT_2),CURRENCY.FORMAT_2,1),"# ##0;-# ##0"),",-"),FIXED(ROUND(IF(EXC.RATE.SWITCH=1,C2471/EXC.RATE_2,C2471*EXC.RATE_2),CURRENCY.FORMAT_2),CURRENCY.FORMAT_2,0)),'DICTIONARY-5'!$A$2))</f>
        <v/>
      </c>
      <c r="L2471" s="670" t="str">
        <f>IFERROR(IF(CURRENCY.FORMAT_1=0,CONCATENATE(TEXT(FIXED(ROUND((C2471*(1-I2471)*(1-ADD.DISCOUNT)*(1+MAT.SURCHARGE)/EXC.RATE_1),CURRENCY.FORMAT_1),CURRENCY.FORMAT_1,1),"# ##0;-# ##0"),",-"),FIXED(ROUND((C2471*(1-I2471)*(1-ADD.DISCOUNT)*(1+MAT.SURCHARGE)/EXC.RATE_1),CURRENCY.FORMAT_1),CURRENCY.FORMAT_1,0)),'DICTIONARY-5'!$A$2)</f>
        <v>330,-</v>
      </c>
      <c r="M2471" s="670" t="str">
        <f>IF(EXC.RATE_2=0,"",IFERROR(IF(CURRENCY.FORMAT_2=0,CONCATENATE(TEXT(FIXED(ROUND(IF(EXC.RATE.SWITCH=1,C2471*(1-I2471)*(1-ADD.DISCOUNT)*(1+MAT.SURCHARGE)/EXC.RATE_2,C2471*(1-I2471)*(1-ADD.DISCOUNT)*(1+MAT.SURCHARGE)*EXC.RATE_2),CURRENCY.FORMAT_2),CURRENCY.FORMAT_2,1),"# ##0;-# ##0"),",-"),FIXED(ROUND(IF(EXC.RATE.SWITCH=1,C2471*(1-I2471)*(1-ADD.DISCOUNT)*(1+MAT.SURCHARGE)/EXC.RATE_2,C2471*(1-I2471)*(1-ADD.DISCOUNT)*(1+MAT.SURCHARGE)*EXC.RATE_2),CURRENCY.FORMAT_2),CURRENCY.FORMAT_2,0)),'DICTIONARY-5'!$A$2))</f>
        <v/>
      </c>
      <c r="N2471" s="536">
        <v>12</v>
      </c>
      <c r="O2471" s="536"/>
      <c r="P2471" s="732" t="str">
        <f>'DICTIONARY-3'!$A$184</f>
        <v>BAIO BETA 200</v>
      </c>
      <c r="Q2471" s="732" t="str">
        <f>'DICTIONARY-3'!$A$187</f>
        <v>Zasuwa klinowa</v>
      </c>
      <c r="R2471" s="732" t="str">
        <f>CONCATENATE('DICTIONARY-3'!$A$6," ",'DICTIONARY-6'!$A$3," ",'DICTIONARY-6'!$A$31," ",'DICTIONARY-2'!$A$2,"100"," ",'DICTIONARY-2'!$A$10,"16",'DICTIONARY-2'!$A$20," ",'DICTIONARY-5'!$A$198,"-",'DICTIONARY-5'!$A$199,", ",'DICTIONARY-4'!$A$2)</f>
        <v>BETA 200 Zasuwa Mu/Sp DN100 PS16bar mufa-końcówka bosa, WW</v>
      </c>
      <c r="S2471" s="733" t="str">
        <f>'DICTIONARY-4'!$A$2</f>
        <v>WW</v>
      </c>
      <c r="T2471" s="732" t="str">
        <f>'DICTIONARY-4'!$A$18</f>
        <v>Wolny wałek</v>
      </c>
      <c r="U2471" s="734" t="s">
        <v>5749</v>
      </c>
      <c r="V2471" s="735"/>
      <c r="W2471" s="736"/>
      <c r="X2471" s="737"/>
      <c r="Y2471" s="738"/>
      <c r="Z2471" s="739"/>
      <c r="AA2471" s="739"/>
      <c r="AB2471" s="740">
        <v>16</v>
      </c>
      <c r="AC2471" s="741">
        <v>350</v>
      </c>
      <c r="AD2471" s="741" t="str">
        <f>'DICTIONARY-5'!$A$13</f>
        <v>woda pitna</v>
      </c>
      <c r="AE2471" s="742">
        <v>50</v>
      </c>
      <c r="AF2471" s="743">
        <v>20.5</v>
      </c>
      <c r="AG2471" s="741" t="str">
        <f>'DICTIONARY-5'!$A$23</f>
        <v>powłoka epoksydowa</v>
      </c>
    </row>
    <row r="2472" spans="1:33" x14ac:dyDescent="0.25">
      <c r="A2472" s="880" t="s">
        <v>2358</v>
      </c>
      <c r="B2472" s="880" t="s">
        <v>3500</v>
      </c>
      <c r="C2472" s="836">
        <v>505</v>
      </c>
      <c r="D2472" s="836"/>
      <c r="E2472" s="836"/>
      <c r="F2472" s="836"/>
      <c r="G2472" s="496" t="s">
        <v>7850</v>
      </c>
      <c r="H2472" s="797" t="str">
        <f>VLOOKUP(G2472,SETTINGS!$B$7:$D$97,2,0)</f>
        <v>BETA 200 BAIO</v>
      </c>
      <c r="I2472" s="796">
        <f>VLOOKUP(G2472,SETTINGS!$B$7:$D$97,3,0)</f>
        <v>0</v>
      </c>
      <c r="J2472" s="670" t="str">
        <f>IFERROR(IF(CURRENCY.FORMAT_1=0,CONCATENATE(TEXT(FIXED(ROUND((C2472/EXC.RATE_1),CURRENCY.FORMAT_1),CURRENCY.FORMAT_1,1),"# ##0;-# ##0"),",-"),FIXED(ROUND((C2472/EXC.RATE_1),CURRENCY.FORMAT_1),CURRENCY.FORMAT_1,0)),'DICTIONARY-5'!$A$2)</f>
        <v>505,-</v>
      </c>
      <c r="K2472" s="670" t="str">
        <f>IF(EXC.RATE_2=0,"",IFERROR(IF(CURRENCY.FORMAT_2=0,CONCATENATE(TEXT(FIXED(ROUND(IF(EXC.RATE.SWITCH=1,C2472/EXC.RATE_2,C2472*EXC.RATE_2),CURRENCY.FORMAT_2),CURRENCY.FORMAT_2,1),"# ##0;-# ##0"),",-"),FIXED(ROUND(IF(EXC.RATE.SWITCH=1,C2472/EXC.RATE_2,C2472*EXC.RATE_2),CURRENCY.FORMAT_2),CURRENCY.FORMAT_2,0)),'DICTIONARY-5'!$A$2))</f>
        <v/>
      </c>
      <c r="L2472" s="670" t="str">
        <f>IFERROR(IF(CURRENCY.FORMAT_1=0,CONCATENATE(TEXT(FIXED(ROUND((C2472*(1-I2472)*(1-ADD.DISCOUNT)*(1+MAT.SURCHARGE)/EXC.RATE_1),CURRENCY.FORMAT_1),CURRENCY.FORMAT_1,1),"# ##0;-# ##0"),",-"),FIXED(ROUND((C2472*(1-I2472)*(1-ADD.DISCOUNT)*(1+MAT.SURCHARGE)/EXC.RATE_1),CURRENCY.FORMAT_1),CURRENCY.FORMAT_1,0)),'DICTIONARY-5'!$A$2)</f>
        <v>525,-</v>
      </c>
      <c r="M2472" s="670" t="str">
        <f>IF(EXC.RATE_2=0,"",IFERROR(IF(CURRENCY.FORMAT_2=0,CONCATENATE(TEXT(FIXED(ROUND(IF(EXC.RATE.SWITCH=1,C2472*(1-I2472)*(1-ADD.DISCOUNT)*(1+MAT.SURCHARGE)/EXC.RATE_2,C2472*(1-I2472)*(1-ADD.DISCOUNT)*(1+MAT.SURCHARGE)*EXC.RATE_2),CURRENCY.FORMAT_2),CURRENCY.FORMAT_2,1),"# ##0;-# ##0"),",-"),FIXED(ROUND(IF(EXC.RATE.SWITCH=1,C2472*(1-I2472)*(1-ADD.DISCOUNT)*(1+MAT.SURCHARGE)/EXC.RATE_2,C2472*(1-I2472)*(1-ADD.DISCOUNT)*(1+MAT.SURCHARGE)*EXC.RATE_2),CURRENCY.FORMAT_2),CURRENCY.FORMAT_2,0)),'DICTIONARY-5'!$A$2))</f>
        <v/>
      </c>
      <c r="N2472" s="536">
        <v>12</v>
      </c>
      <c r="O2472" s="536"/>
      <c r="P2472" s="732" t="str">
        <f>'DICTIONARY-3'!$A$184</f>
        <v>BAIO BETA 200</v>
      </c>
      <c r="Q2472" s="732" t="str">
        <f>'DICTIONARY-3'!$A$187</f>
        <v>Zasuwa klinowa</v>
      </c>
      <c r="R2472" s="732" t="str">
        <f>CONCATENATE('DICTIONARY-3'!$A$6," ",'DICTIONARY-6'!$A$3," ",'DICTIONARY-6'!$A$31," ",'DICTIONARY-2'!$A$2,"125"," ",'DICTIONARY-2'!$A$10,"16",'DICTIONARY-2'!$A$20," ",'DICTIONARY-5'!$A$198,"-",'DICTIONARY-5'!$A$199,", ",'DICTIONARY-4'!$A$2)</f>
        <v>BETA 200 Zasuwa Mu/Sp DN125 PS16bar mufa-końcówka bosa, WW</v>
      </c>
      <c r="S2472" s="733" t="str">
        <f>'DICTIONARY-4'!$A$2</f>
        <v>WW</v>
      </c>
      <c r="T2472" s="732" t="str">
        <f>'DICTIONARY-4'!$A$18</f>
        <v>Wolny wałek</v>
      </c>
      <c r="U2472" s="734" t="s">
        <v>5761</v>
      </c>
      <c r="V2472" s="735"/>
      <c r="W2472" s="736"/>
      <c r="X2472" s="737"/>
      <c r="Y2472" s="738"/>
      <c r="Z2472" s="739"/>
      <c r="AA2472" s="739"/>
      <c r="AB2472" s="740">
        <v>16</v>
      </c>
      <c r="AC2472" s="741">
        <v>370</v>
      </c>
      <c r="AD2472" s="741" t="str">
        <f>'DICTIONARY-5'!$A$13</f>
        <v>woda pitna</v>
      </c>
      <c r="AE2472" s="742">
        <v>50</v>
      </c>
      <c r="AF2472" s="743">
        <v>27</v>
      </c>
      <c r="AG2472" s="741" t="str">
        <f>'DICTIONARY-5'!$A$23</f>
        <v>powłoka epoksydowa</v>
      </c>
    </row>
    <row r="2473" spans="1:33" x14ac:dyDescent="0.25">
      <c r="A2473" s="880" t="s">
        <v>2359</v>
      </c>
      <c r="B2473" s="880" t="s">
        <v>3501</v>
      </c>
      <c r="C2473" s="836">
        <v>531</v>
      </c>
      <c r="D2473" s="836"/>
      <c r="E2473" s="836"/>
      <c r="F2473" s="836"/>
      <c r="G2473" s="496" t="s">
        <v>7850</v>
      </c>
      <c r="H2473" s="797" t="str">
        <f>VLOOKUP(G2473,SETTINGS!$B$7:$D$97,2,0)</f>
        <v>BETA 200 BAIO</v>
      </c>
      <c r="I2473" s="796">
        <f>VLOOKUP(G2473,SETTINGS!$B$7:$D$97,3,0)</f>
        <v>0</v>
      </c>
      <c r="J2473" s="670" t="str">
        <f>IFERROR(IF(CURRENCY.FORMAT_1=0,CONCATENATE(TEXT(FIXED(ROUND((C2473/EXC.RATE_1),CURRENCY.FORMAT_1),CURRENCY.FORMAT_1,1),"# ##0;-# ##0"),",-"),FIXED(ROUND((C2473/EXC.RATE_1),CURRENCY.FORMAT_1),CURRENCY.FORMAT_1,0)),'DICTIONARY-5'!$A$2)</f>
        <v>531,-</v>
      </c>
      <c r="K2473" s="670" t="str">
        <f>IF(EXC.RATE_2=0,"",IFERROR(IF(CURRENCY.FORMAT_2=0,CONCATENATE(TEXT(FIXED(ROUND(IF(EXC.RATE.SWITCH=1,C2473/EXC.RATE_2,C2473*EXC.RATE_2),CURRENCY.FORMAT_2),CURRENCY.FORMAT_2,1),"# ##0;-# ##0"),",-"),FIXED(ROUND(IF(EXC.RATE.SWITCH=1,C2473/EXC.RATE_2,C2473*EXC.RATE_2),CURRENCY.FORMAT_2),CURRENCY.FORMAT_2,0)),'DICTIONARY-5'!$A$2))</f>
        <v/>
      </c>
      <c r="L2473" s="670" t="str">
        <f>IFERROR(IF(CURRENCY.FORMAT_1=0,CONCATENATE(TEXT(FIXED(ROUND((C2473*(1-I2473)*(1-ADD.DISCOUNT)*(1+MAT.SURCHARGE)/EXC.RATE_1),CURRENCY.FORMAT_1),CURRENCY.FORMAT_1,1),"# ##0;-# ##0"),",-"),FIXED(ROUND((C2473*(1-I2473)*(1-ADD.DISCOUNT)*(1+MAT.SURCHARGE)/EXC.RATE_1),CURRENCY.FORMAT_1),CURRENCY.FORMAT_1,0)),'DICTIONARY-5'!$A$2)</f>
        <v>552,-</v>
      </c>
      <c r="M2473" s="670" t="str">
        <f>IF(EXC.RATE_2=0,"",IFERROR(IF(CURRENCY.FORMAT_2=0,CONCATENATE(TEXT(FIXED(ROUND(IF(EXC.RATE.SWITCH=1,C2473*(1-I2473)*(1-ADD.DISCOUNT)*(1+MAT.SURCHARGE)/EXC.RATE_2,C2473*(1-I2473)*(1-ADD.DISCOUNT)*(1+MAT.SURCHARGE)*EXC.RATE_2),CURRENCY.FORMAT_2),CURRENCY.FORMAT_2,1),"# ##0;-# ##0"),",-"),FIXED(ROUND(IF(EXC.RATE.SWITCH=1,C2473*(1-I2473)*(1-ADD.DISCOUNT)*(1+MAT.SURCHARGE)/EXC.RATE_2,C2473*(1-I2473)*(1-ADD.DISCOUNT)*(1+MAT.SURCHARGE)*EXC.RATE_2),CURRENCY.FORMAT_2),CURRENCY.FORMAT_2,0)),'DICTIONARY-5'!$A$2))</f>
        <v/>
      </c>
      <c r="N2473" s="536">
        <v>12</v>
      </c>
      <c r="O2473" s="536"/>
      <c r="P2473" s="732" t="str">
        <f>'DICTIONARY-3'!$A$184</f>
        <v>BAIO BETA 200</v>
      </c>
      <c r="Q2473" s="732" t="str">
        <f>'DICTIONARY-3'!$A$187</f>
        <v>Zasuwa klinowa</v>
      </c>
      <c r="R2473" s="732" t="str">
        <f>CONCATENATE('DICTIONARY-3'!$A$6," ",'DICTIONARY-6'!$A$3," ",'DICTIONARY-6'!$A$31," ",'DICTIONARY-2'!$A$2,"150"," ",'DICTIONARY-2'!$A$10,"16",'DICTIONARY-2'!$A$20," ",'DICTIONARY-5'!$A$198,"-",'DICTIONARY-5'!$A$199,", ",'DICTIONARY-4'!$A$2)</f>
        <v>BETA 200 Zasuwa Mu/Sp DN150 PS16bar mufa-końcówka bosa, WW</v>
      </c>
      <c r="S2473" s="733" t="str">
        <f>'DICTIONARY-4'!$A$2</f>
        <v>WW</v>
      </c>
      <c r="T2473" s="732" t="str">
        <f>'DICTIONARY-4'!$A$18</f>
        <v>Wolny wałek</v>
      </c>
      <c r="U2473" s="734" t="s">
        <v>5572</v>
      </c>
      <c r="V2473" s="735"/>
      <c r="W2473" s="736"/>
      <c r="X2473" s="737"/>
      <c r="Y2473" s="738"/>
      <c r="Z2473" s="739"/>
      <c r="AA2473" s="739"/>
      <c r="AB2473" s="740">
        <v>16</v>
      </c>
      <c r="AC2473" s="741">
        <v>388</v>
      </c>
      <c r="AD2473" s="741" t="str">
        <f>'DICTIONARY-5'!$A$13</f>
        <v>woda pitna</v>
      </c>
      <c r="AE2473" s="742">
        <v>50</v>
      </c>
      <c r="AF2473" s="743">
        <v>36.5</v>
      </c>
      <c r="AG2473" s="741" t="str">
        <f>'DICTIONARY-5'!$A$23</f>
        <v>powłoka epoksydowa</v>
      </c>
    </row>
    <row r="2474" spans="1:33" x14ac:dyDescent="0.25">
      <c r="A2474" s="880" t="s">
        <v>2360</v>
      </c>
      <c r="B2474" s="880" t="s">
        <v>3502</v>
      </c>
      <c r="C2474" s="836">
        <v>860</v>
      </c>
      <c r="D2474" s="836"/>
      <c r="E2474" s="836"/>
      <c r="F2474" s="836"/>
      <c r="G2474" s="496" t="s">
        <v>7850</v>
      </c>
      <c r="H2474" s="797" t="str">
        <f>VLOOKUP(G2474,SETTINGS!$B$7:$D$97,2,0)</f>
        <v>BETA 200 BAIO</v>
      </c>
      <c r="I2474" s="796">
        <f>VLOOKUP(G2474,SETTINGS!$B$7:$D$97,3,0)</f>
        <v>0</v>
      </c>
      <c r="J2474" s="670" t="str">
        <f>IFERROR(IF(CURRENCY.FORMAT_1=0,CONCATENATE(TEXT(FIXED(ROUND((C2474/EXC.RATE_1),CURRENCY.FORMAT_1),CURRENCY.FORMAT_1,1),"# ##0;-# ##0"),",-"),FIXED(ROUND((C2474/EXC.RATE_1),CURRENCY.FORMAT_1),CURRENCY.FORMAT_1,0)),'DICTIONARY-5'!$A$2)</f>
        <v>860,-</v>
      </c>
      <c r="K2474" s="670" t="str">
        <f>IF(EXC.RATE_2=0,"",IFERROR(IF(CURRENCY.FORMAT_2=0,CONCATENATE(TEXT(FIXED(ROUND(IF(EXC.RATE.SWITCH=1,C2474/EXC.RATE_2,C2474*EXC.RATE_2),CURRENCY.FORMAT_2),CURRENCY.FORMAT_2,1),"# ##0;-# ##0"),",-"),FIXED(ROUND(IF(EXC.RATE.SWITCH=1,C2474/EXC.RATE_2,C2474*EXC.RATE_2),CURRENCY.FORMAT_2),CURRENCY.FORMAT_2,0)),'DICTIONARY-5'!$A$2))</f>
        <v/>
      </c>
      <c r="L2474" s="670" t="str">
        <f>IFERROR(IF(CURRENCY.FORMAT_1=0,CONCATENATE(TEXT(FIXED(ROUND((C2474*(1-I2474)*(1-ADD.DISCOUNT)*(1+MAT.SURCHARGE)/EXC.RATE_1),CURRENCY.FORMAT_1),CURRENCY.FORMAT_1,1),"# ##0;-# ##0"),",-"),FIXED(ROUND((C2474*(1-I2474)*(1-ADD.DISCOUNT)*(1+MAT.SURCHARGE)/EXC.RATE_1),CURRENCY.FORMAT_1),CURRENCY.FORMAT_1,0)),'DICTIONARY-5'!$A$2)</f>
        <v>894,-</v>
      </c>
      <c r="M2474" s="670" t="str">
        <f>IF(EXC.RATE_2=0,"",IFERROR(IF(CURRENCY.FORMAT_2=0,CONCATENATE(TEXT(FIXED(ROUND(IF(EXC.RATE.SWITCH=1,C2474*(1-I2474)*(1-ADD.DISCOUNT)*(1+MAT.SURCHARGE)/EXC.RATE_2,C2474*(1-I2474)*(1-ADD.DISCOUNT)*(1+MAT.SURCHARGE)*EXC.RATE_2),CURRENCY.FORMAT_2),CURRENCY.FORMAT_2,1),"# ##0;-# ##0"),",-"),FIXED(ROUND(IF(EXC.RATE.SWITCH=1,C2474*(1-I2474)*(1-ADD.DISCOUNT)*(1+MAT.SURCHARGE)/EXC.RATE_2,C2474*(1-I2474)*(1-ADD.DISCOUNT)*(1+MAT.SURCHARGE)*EXC.RATE_2),CURRENCY.FORMAT_2),CURRENCY.FORMAT_2,0)),'DICTIONARY-5'!$A$2))</f>
        <v/>
      </c>
      <c r="N2474" s="536">
        <v>12</v>
      </c>
      <c r="O2474" s="536"/>
      <c r="P2474" s="732" t="str">
        <f>'DICTIONARY-3'!$A$184</f>
        <v>BAIO BETA 200</v>
      </c>
      <c r="Q2474" s="732" t="str">
        <f>'DICTIONARY-3'!$A$187</f>
        <v>Zasuwa klinowa</v>
      </c>
      <c r="R2474" s="732" t="str">
        <f>CONCATENATE('DICTIONARY-3'!$A$6," ",'DICTIONARY-6'!$A$3," ",'DICTIONARY-6'!$A$31," ",'DICTIONARY-2'!$A$2,"200"," ",'DICTIONARY-2'!$A$10,"16",'DICTIONARY-2'!$A$20," ",'DICTIONARY-5'!$A$198,"-",'DICTIONARY-5'!$A$199,", ",'DICTIONARY-4'!$A$2)</f>
        <v>BETA 200 Zasuwa Mu/Sp DN200 PS16bar mufa-końcówka bosa, WW</v>
      </c>
      <c r="S2474" s="733" t="str">
        <f>'DICTIONARY-4'!$A$2</f>
        <v>WW</v>
      </c>
      <c r="T2474" s="732" t="str">
        <f>'DICTIONARY-4'!$A$18</f>
        <v>Wolny wałek</v>
      </c>
      <c r="U2474" s="734" t="s">
        <v>5750</v>
      </c>
      <c r="V2474" s="735"/>
      <c r="W2474" s="736"/>
      <c r="X2474" s="737"/>
      <c r="Y2474" s="738"/>
      <c r="Z2474" s="739"/>
      <c r="AA2474" s="739"/>
      <c r="AB2474" s="740">
        <v>16</v>
      </c>
      <c r="AC2474" s="741">
        <v>430</v>
      </c>
      <c r="AD2474" s="741" t="str">
        <f>'DICTIONARY-5'!$A$13</f>
        <v>woda pitna</v>
      </c>
      <c r="AE2474" s="742">
        <v>50</v>
      </c>
      <c r="AF2474" s="743">
        <v>66</v>
      </c>
      <c r="AG2474" s="741" t="str">
        <f>'DICTIONARY-5'!$A$23</f>
        <v>powłoka epoksydowa</v>
      </c>
    </row>
    <row r="2475" spans="1:33" x14ac:dyDescent="0.25">
      <c r="A2475" s="880" t="s">
        <v>2361</v>
      </c>
      <c r="B2475" s="880" t="s">
        <v>3503</v>
      </c>
      <c r="C2475" s="836">
        <v>324</v>
      </c>
      <c r="D2475" s="836"/>
      <c r="E2475" s="836"/>
      <c r="F2475" s="836"/>
      <c r="G2475" s="496" t="s">
        <v>7850</v>
      </c>
      <c r="H2475" s="797" t="str">
        <f>VLOOKUP(G2475,SETTINGS!$B$7:$D$97,2,0)</f>
        <v>BETA 200 BAIO</v>
      </c>
      <c r="I2475" s="796">
        <f>VLOOKUP(G2475,SETTINGS!$B$7:$D$97,3,0)</f>
        <v>0</v>
      </c>
      <c r="J2475" s="670" t="str">
        <f>IFERROR(IF(CURRENCY.FORMAT_1=0,CONCATENATE(TEXT(FIXED(ROUND((C2475/EXC.RATE_1),CURRENCY.FORMAT_1),CURRENCY.FORMAT_1,1),"# ##0;-# ##0"),",-"),FIXED(ROUND((C2475/EXC.RATE_1),CURRENCY.FORMAT_1),CURRENCY.FORMAT_1,0)),'DICTIONARY-5'!$A$2)</f>
        <v>324,-</v>
      </c>
      <c r="K2475" s="670" t="str">
        <f>IF(EXC.RATE_2=0,"",IFERROR(IF(CURRENCY.FORMAT_2=0,CONCATENATE(TEXT(FIXED(ROUND(IF(EXC.RATE.SWITCH=1,C2475/EXC.RATE_2,C2475*EXC.RATE_2),CURRENCY.FORMAT_2),CURRENCY.FORMAT_2,1),"# ##0;-# ##0"),",-"),FIXED(ROUND(IF(EXC.RATE.SWITCH=1,C2475/EXC.RATE_2,C2475*EXC.RATE_2),CURRENCY.FORMAT_2),CURRENCY.FORMAT_2,0)),'DICTIONARY-5'!$A$2))</f>
        <v/>
      </c>
      <c r="L2475" s="670" t="str">
        <f>IFERROR(IF(CURRENCY.FORMAT_1=0,CONCATENATE(TEXT(FIXED(ROUND((C2475*(1-I2475)*(1-ADD.DISCOUNT)*(1+MAT.SURCHARGE)/EXC.RATE_1),CURRENCY.FORMAT_1),CURRENCY.FORMAT_1,1),"# ##0;-# ##0"),",-"),FIXED(ROUND((C2475*(1-I2475)*(1-ADD.DISCOUNT)*(1+MAT.SURCHARGE)/EXC.RATE_1),CURRENCY.FORMAT_1),CURRENCY.FORMAT_1,0)),'DICTIONARY-5'!$A$2)</f>
        <v>337,-</v>
      </c>
      <c r="M2475" s="670" t="str">
        <f>IF(EXC.RATE_2=0,"",IFERROR(IF(CURRENCY.FORMAT_2=0,CONCATENATE(TEXT(FIXED(ROUND(IF(EXC.RATE.SWITCH=1,C2475*(1-I2475)*(1-ADD.DISCOUNT)*(1+MAT.SURCHARGE)/EXC.RATE_2,C2475*(1-I2475)*(1-ADD.DISCOUNT)*(1+MAT.SURCHARGE)*EXC.RATE_2),CURRENCY.FORMAT_2),CURRENCY.FORMAT_2,1),"# ##0;-# ##0"),",-"),FIXED(ROUND(IF(EXC.RATE.SWITCH=1,C2475*(1-I2475)*(1-ADD.DISCOUNT)*(1+MAT.SURCHARGE)/EXC.RATE_2,C2475*(1-I2475)*(1-ADD.DISCOUNT)*(1+MAT.SURCHARGE)*EXC.RATE_2),CURRENCY.FORMAT_2),CURRENCY.FORMAT_2,0)),'DICTIONARY-5'!$A$2))</f>
        <v/>
      </c>
      <c r="N2475" s="536">
        <v>12</v>
      </c>
      <c r="O2475" s="536"/>
      <c r="P2475" s="732" t="str">
        <f>'DICTIONARY-3'!$A$184</f>
        <v>BAIO BETA 200</v>
      </c>
      <c r="Q2475" s="732" t="str">
        <f>'DICTIONARY-3'!$A$187</f>
        <v>Zasuwa klinowa</v>
      </c>
      <c r="R2475" s="732" t="str">
        <f>CONCATENATE('DICTIONARY-3'!$A$6," ",'DICTIONARY-6'!$A$3," ",'DICTIONARY-6'!$A$32," ",'DICTIONARY-2'!$A$2,"80"," ",'DICTIONARY-2'!$A$3,"10/16"," ",LOWER('DICTIONARY-3'!$A$241),"-",'DICTIONARY-5'!$A$199,", ",'DICTIONARY-4'!$A$2)</f>
        <v>BETA 200 Zasuwa Fl/Sp DN80 PN10/16 kołnierz-końcówka bosa, WW</v>
      </c>
      <c r="S2475" s="733" t="str">
        <f>'DICTIONARY-4'!$A$2</f>
        <v>WW</v>
      </c>
      <c r="T2475" s="732" t="str">
        <f>'DICTIONARY-4'!$A$18</f>
        <v>Wolny wałek</v>
      </c>
      <c r="U2475" s="734" t="s">
        <v>5760</v>
      </c>
      <c r="V2475" s="735">
        <v>16</v>
      </c>
      <c r="W2475" s="736"/>
      <c r="X2475" s="737"/>
      <c r="Y2475" s="738"/>
      <c r="Z2475" s="739"/>
      <c r="AA2475" s="739"/>
      <c r="AB2475" s="740">
        <v>16</v>
      </c>
      <c r="AC2475" s="741">
        <v>261</v>
      </c>
      <c r="AD2475" s="733" t="str">
        <f>'DICTIONARY-5'!$A$13</f>
        <v>woda pitna</v>
      </c>
      <c r="AE2475" s="742">
        <v>50</v>
      </c>
      <c r="AF2475" s="743">
        <v>16</v>
      </c>
      <c r="AG2475" s="741" t="str">
        <f>'DICTIONARY-5'!$A$23</f>
        <v>powłoka epoksydowa</v>
      </c>
    </row>
    <row r="2476" spans="1:33" x14ac:dyDescent="0.25">
      <c r="A2476" s="880" t="s">
        <v>2362</v>
      </c>
      <c r="B2476" s="880" t="s">
        <v>3504</v>
      </c>
      <c r="C2476" s="836">
        <v>336</v>
      </c>
      <c r="D2476" s="836"/>
      <c r="E2476" s="836"/>
      <c r="F2476" s="836"/>
      <c r="G2476" s="496" t="s">
        <v>7850</v>
      </c>
      <c r="H2476" s="797" t="str">
        <f>VLOOKUP(G2476,SETTINGS!$B$7:$D$97,2,0)</f>
        <v>BETA 200 BAIO</v>
      </c>
      <c r="I2476" s="796">
        <f>VLOOKUP(G2476,SETTINGS!$B$7:$D$97,3,0)</f>
        <v>0</v>
      </c>
      <c r="J2476" s="670" t="str">
        <f>IFERROR(IF(CURRENCY.FORMAT_1=0,CONCATENATE(TEXT(FIXED(ROUND((C2476/EXC.RATE_1),CURRENCY.FORMAT_1),CURRENCY.FORMAT_1,1),"# ##0;-# ##0"),",-"),FIXED(ROUND((C2476/EXC.RATE_1),CURRENCY.FORMAT_1),CURRENCY.FORMAT_1,0)),'DICTIONARY-5'!$A$2)</f>
        <v>336,-</v>
      </c>
      <c r="K2476" s="670" t="str">
        <f>IF(EXC.RATE_2=0,"",IFERROR(IF(CURRENCY.FORMAT_2=0,CONCATENATE(TEXT(FIXED(ROUND(IF(EXC.RATE.SWITCH=1,C2476/EXC.RATE_2,C2476*EXC.RATE_2),CURRENCY.FORMAT_2),CURRENCY.FORMAT_2,1),"# ##0;-# ##0"),",-"),FIXED(ROUND(IF(EXC.RATE.SWITCH=1,C2476/EXC.RATE_2,C2476*EXC.RATE_2),CURRENCY.FORMAT_2),CURRENCY.FORMAT_2,0)),'DICTIONARY-5'!$A$2))</f>
        <v/>
      </c>
      <c r="L2476" s="670" t="str">
        <f>IFERROR(IF(CURRENCY.FORMAT_1=0,CONCATENATE(TEXT(FIXED(ROUND((C2476*(1-I2476)*(1-ADD.DISCOUNT)*(1+MAT.SURCHARGE)/EXC.RATE_1),CURRENCY.FORMAT_1),CURRENCY.FORMAT_1,1),"# ##0;-# ##0"),",-"),FIXED(ROUND((C2476*(1-I2476)*(1-ADD.DISCOUNT)*(1+MAT.SURCHARGE)/EXC.RATE_1),CURRENCY.FORMAT_1),CURRENCY.FORMAT_1,0)),'DICTIONARY-5'!$A$2)</f>
        <v>349,-</v>
      </c>
      <c r="M2476" s="670" t="str">
        <f>IF(EXC.RATE_2=0,"",IFERROR(IF(CURRENCY.FORMAT_2=0,CONCATENATE(TEXT(FIXED(ROUND(IF(EXC.RATE.SWITCH=1,C2476*(1-I2476)*(1-ADD.DISCOUNT)*(1+MAT.SURCHARGE)/EXC.RATE_2,C2476*(1-I2476)*(1-ADD.DISCOUNT)*(1+MAT.SURCHARGE)*EXC.RATE_2),CURRENCY.FORMAT_2),CURRENCY.FORMAT_2,1),"# ##0;-# ##0"),",-"),FIXED(ROUND(IF(EXC.RATE.SWITCH=1,C2476*(1-I2476)*(1-ADD.DISCOUNT)*(1+MAT.SURCHARGE)/EXC.RATE_2,C2476*(1-I2476)*(1-ADD.DISCOUNT)*(1+MAT.SURCHARGE)*EXC.RATE_2),CURRENCY.FORMAT_2),CURRENCY.FORMAT_2,0)),'DICTIONARY-5'!$A$2))</f>
        <v/>
      </c>
      <c r="N2476" s="536">
        <v>12</v>
      </c>
      <c r="O2476" s="536"/>
      <c r="P2476" s="732" t="str">
        <f>'DICTIONARY-3'!$A$184</f>
        <v>BAIO BETA 200</v>
      </c>
      <c r="Q2476" s="732" t="str">
        <f>'DICTIONARY-3'!$A$187</f>
        <v>Zasuwa klinowa</v>
      </c>
      <c r="R2476" s="732" t="str">
        <f>CONCATENATE('DICTIONARY-3'!$A$6," ",'DICTIONARY-6'!$A$3," ",'DICTIONARY-6'!$A$32," ",'DICTIONARY-2'!$A$2,"100"," ",'DICTIONARY-2'!$A$3,"10/16"," ",LOWER('DICTIONARY-3'!$A$241),"-",'DICTIONARY-5'!$A$199,", ",'DICTIONARY-4'!$A$2)</f>
        <v>BETA 200 Zasuwa Fl/Sp DN100 PN10/16 kołnierz-końcówka bosa, WW</v>
      </c>
      <c r="S2476" s="733" t="str">
        <f>'DICTIONARY-4'!$A$2</f>
        <v>WW</v>
      </c>
      <c r="T2476" s="732" t="str">
        <f>'DICTIONARY-4'!$A$18</f>
        <v>Wolny wałek</v>
      </c>
      <c r="U2476" s="734" t="s">
        <v>5749</v>
      </c>
      <c r="V2476" s="735">
        <v>16</v>
      </c>
      <c r="W2476" s="736"/>
      <c r="X2476" s="737"/>
      <c r="Y2476" s="738"/>
      <c r="Z2476" s="739"/>
      <c r="AA2476" s="739"/>
      <c r="AB2476" s="740">
        <v>16</v>
      </c>
      <c r="AC2476" s="741">
        <v>270</v>
      </c>
      <c r="AD2476" s="741" t="str">
        <f>'DICTIONARY-5'!$A$13</f>
        <v>woda pitna</v>
      </c>
      <c r="AE2476" s="742">
        <v>50</v>
      </c>
      <c r="AF2476" s="743">
        <v>20.5</v>
      </c>
      <c r="AG2476" s="741" t="str">
        <f>'DICTIONARY-5'!$A$23</f>
        <v>powłoka epoksydowa</v>
      </c>
    </row>
    <row r="2477" spans="1:33" x14ac:dyDescent="0.25">
      <c r="A2477" s="880" t="s">
        <v>2363</v>
      </c>
      <c r="B2477" s="880" t="s">
        <v>3505</v>
      </c>
      <c r="C2477" s="836">
        <v>528</v>
      </c>
      <c r="D2477" s="836"/>
      <c r="E2477" s="836"/>
      <c r="F2477" s="836"/>
      <c r="G2477" s="496" t="s">
        <v>7850</v>
      </c>
      <c r="H2477" s="797" t="str">
        <f>VLOOKUP(G2477,SETTINGS!$B$7:$D$97,2,0)</f>
        <v>BETA 200 BAIO</v>
      </c>
      <c r="I2477" s="796">
        <f>VLOOKUP(G2477,SETTINGS!$B$7:$D$97,3,0)</f>
        <v>0</v>
      </c>
      <c r="J2477" s="670" t="str">
        <f>IFERROR(IF(CURRENCY.FORMAT_1=0,CONCATENATE(TEXT(FIXED(ROUND((C2477/EXC.RATE_1),CURRENCY.FORMAT_1),CURRENCY.FORMAT_1,1),"# ##0;-# ##0"),",-"),FIXED(ROUND((C2477/EXC.RATE_1),CURRENCY.FORMAT_1),CURRENCY.FORMAT_1,0)),'DICTIONARY-5'!$A$2)</f>
        <v>528,-</v>
      </c>
      <c r="K2477" s="670" t="str">
        <f>IF(EXC.RATE_2=0,"",IFERROR(IF(CURRENCY.FORMAT_2=0,CONCATENATE(TEXT(FIXED(ROUND(IF(EXC.RATE.SWITCH=1,C2477/EXC.RATE_2,C2477*EXC.RATE_2),CURRENCY.FORMAT_2),CURRENCY.FORMAT_2,1),"# ##0;-# ##0"),",-"),FIXED(ROUND(IF(EXC.RATE.SWITCH=1,C2477/EXC.RATE_2,C2477*EXC.RATE_2),CURRENCY.FORMAT_2),CURRENCY.FORMAT_2,0)),'DICTIONARY-5'!$A$2))</f>
        <v/>
      </c>
      <c r="L2477" s="670" t="str">
        <f>IFERROR(IF(CURRENCY.FORMAT_1=0,CONCATENATE(TEXT(FIXED(ROUND((C2477*(1-I2477)*(1-ADD.DISCOUNT)*(1+MAT.SURCHARGE)/EXC.RATE_1),CURRENCY.FORMAT_1),CURRENCY.FORMAT_1,1),"# ##0;-# ##0"),",-"),FIXED(ROUND((C2477*(1-I2477)*(1-ADD.DISCOUNT)*(1+MAT.SURCHARGE)/EXC.RATE_1),CURRENCY.FORMAT_1),CURRENCY.FORMAT_1,0)),'DICTIONARY-5'!$A$2)</f>
        <v>549,-</v>
      </c>
      <c r="M2477" s="670" t="str">
        <f>IF(EXC.RATE_2=0,"",IFERROR(IF(CURRENCY.FORMAT_2=0,CONCATENATE(TEXT(FIXED(ROUND(IF(EXC.RATE.SWITCH=1,C2477*(1-I2477)*(1-ADD.DISCOUNT)*(1+MAT.SURCHARGE)/EXC.RATE_2,C2477*(1-I2477)*(1-ADD.DISCOUNT)*(1+MAT.SURCHARGE)*EXC.RATE_2),CURRENCY.FORMAT_2),CURRENCY.FORMAT_2,1),"# ##0;-# ##0"),",-"),FIXED(ROUND(IF(EXC.RATE.SWITCH=1,C2477*(1-I2477)*(1-ADD.DISCOUNT)*(1+MAT.SURCHARGE)/EXC.RATE_2,C2477*(1-I2477)*(1-ADD.DISCOUNT)*(1+MAT.SURCHARGE)*EXC.RATE_2),CURRENCY.FORMAT_2),CURRENCY.FORMAT_2,0)),'DICTIONARY-5'!$A$2))</f>
        <v/>
      </c>
      <c r="N2477" s="536">
        <v>12</v>
      </c>
      <c r="O2477" s="536"/>
      <c r="P2477" s="732" t="str">
        <f>'DICTIONARY-3'!$A$184</f>
        <v>BAIO BETA 200</v>
      </c>
      <c r="Q2477" s="732" t="str">
        <f>'DICTIONARY-3'!$A$187</f>
        <v>Zasuwa klinowa</v>
      </c>
      <c r="R2477" s="732" t="str">
        <f>CONCATENATE('DICTIONARY-3'!$A$6," ",'DICTIONARY-6'!$A$3," ",'DICTIONARY-6'!$A$32," ",'DICTIONARY-2'!$A$2,"125"," ",'DICTIONARY-2'!$A$3,"10/16"," ",LOWER('DICTIONARY-3'!$A$241),"-",'DICTIONARY-5'!$A$199,", ",'DICTIONARY-4'!$A$2)</f>
        <v>BETA 200 Zasuwa Fl/Sp DN125 PN10/16 kołnierz-końcówka bosa, WW</v>
      </c>
      <c r="S2477" s="733" t="str">
        <f>'DICTIONARY-4'!$A$2</f>
        <v>WW</v>
      </c>
      <c r="T2477" s="732" t="str">
        <f>'DICTIONARY-4'!$A$18</f>
        <v>Wolny wałek</v>
      </c>
      <c r="U2477" s="734" t="s">
        <v>5761</v>
      </c>
      <c r="V2477" s="735">
        <v>16</v>
      </c>
      <c r="W2477" s="736"/>
      <c r="X2477" s="737"/>
      <c r="Y2477" s="738"/>
      <c r="Z2477" s="739"/>
      <c r="AA2477" s="739"/>
      <c r="AB2477" s="740">
        <v>16</v>
      </c>
      <c r="AC2477" s="741">
        <v>292</v>
      </c>
      <c r="AD2477" s="741" t="str">
        <f>'DICTIONARY-5'!$A$13</f>
        <v>woda pitna</v>
      </c>
      <c r="AE2477" s="742">
        <v>50</v>
      </c>
      <c r="AF2477" s="743">
        <v>28.5</v>
      </c>
      <c r="AG2477" s="741" t="str">
        <f>'DICTIONARY-5'!$A$23</f>
        <v>powłoka epoksydowa</v>
      </c>
    </row>
    <row r="2478" spans="1:33" x14ac:dyDescent="0.25">
      <c r="A2478" s="880" t="s">
        <v>2364</v>
      </c>
      <c r="B2478" s="880" t="s">
        <v>3506</v>
      </c>
      <c r="C2478" s="836">
        <v>491</v>
      </c>
      <c r="D2478" s="836"/>
      <c r="E2478" s="836"/>
      <c r="F2478" s="836"/>
      <c r="G2478" s="496" t="s">
        <v>7850</v>
      </c>
      <c r="H2478" s="797" t="str">
        <f>VLOOKUP(G2478,SETTINGS!$B$7:$D$97,2,0)</f>
        <v>BETA 200 BAIO</v>
      </c>
      <c r="I2478" s="796">
        <f>VLOOKUP(G2478,SETTINGS!$B$7:$D$97,3,0)</f>
        <v>0</v>
      </c>
      <c r="J2478" s="670" t="str">
        <f>IFERROR(IF(CURRENCY.FORMAT_1=0,CONCATENATE(TEXT(FIXED(ROUND((C2478/EXC.RATE_1),CURRENCY.FORMAT_1),CURRENCY.FORMAT_1,1),"# ##0;-# ##0"),",-"),FIXED(ROUND((C2478/EXC.RATE_1),CURRENCY.FORMAT_1),CURRENCY.FORMAT_1,0)),'DICTIONARY-5'!$A$2)</f>
        <v>491,-</v>
      </c>
      <c r="K2478" s="670" t="str">
        <f>IF(EXC.RATE_2=0,"",IFERROR(IF(CURRENCY.FORMAT_2=0,CONCATENATE(TEXT(FIXED(ROUND(IF(EXC.RATE.SWITCH=1,C2478/EXC.RATE_2,C2478*EXC.RATE_2),CURRENCY.FORMAT_2),CURRENCY.FORMAT_2,1),"# ##0;-# ##0"),",-"),FIXED(ROUND(IF(EXC.RATE.SWITCH=1,C2478/EXC.RATE_2,C2478*EXC.RATE_2),CURRENCY.FORMAT_2),CURRENCY.FORMAT_2,0)),'DICTIONARY-5'!$A$2))</f>
        <v/>
      </c>
      <c r="L2478" s="670" t="str">
        <f>IFERROR(IF(CURRENCY.FORMAT_1=0,CONCATENATE(TEXT(FIXED(ROUND((C2478*(1-I2478)*(1-ADD.DISCOUNT)*(1+MAT.SURCHARGE)/EXC.RATE_1),CURRENCY.FORMAT_1),CURRENCY.FORMAT_1,1),"# ##0;-# ##0"),",-"),FIXED(ROUND((C2478*(1-I2478)*(1-ADD.DISCOUNT)*(1+MAT.SURCHARGE)/EXC.RATE_1),CURRENCY.FORMAT_1),CURRENCY.FORMAT_1,0)),'DICTIONARY-5'!$A$2)</f>
        <v>510,-</v>
      </c>
      <c r="M2478" s="670" t="str">
        <f>IF(EXC.RATE_2=0,"",IFERROR(IF(CURRENCY.FORMAT_2=0,CONCATENATE(TEXT(FIXED(ROUND(IF(EXC.RATE.SWITCH=1,C2478*(1-I2478)*(1-ADD.DISCOUNT)*(1+MAT.SURCHARGE)/EXC.RATE_2,C2478*(1-I2478)*(1-ADD.DISCOUNT)*(1+MAT.SURCHARGE)*EXC.RATE_2),CURRENCY.FORMAT_2),CURRENCY.FORMAT_2,1),"# ##0;-# ##0"),",-"),FIXED(ROUND(IF(EXC.RATE.SWITCH=1,C2478*(1-I2478)*(1-ADD.DISCOUNT)*(1+MAT.SURCHARGE)/EXC.RATE_2,C2478*(1-I2478)*(1-ADD.DISCOUNT)*(1+MAT.SURCHARGE)*EXC.RATE_2),CURRENCY.FORMAT_2),CURRENCY.FORMAT_2,0)),'DICTIONARY-5'!$A$2))</f>
        <v/>
      </c>
      <c r="N2478" s="536">
        <v>12</v>
      </c>
      <c r="O2478" s="536"/>
      <c r="P2478" s="732" t="str">
        <f>'DICTIONARY-3'!$A$184</f>
        <v>BAIO BETA 200</v>
      </c>
      <c r="Q2478" s="732" t="str">
        <f>'DICTIONARY-3'!$A$187</f>
        <v>Zasuwa klinowa</v>
      </c>
      <c r="R2478" s="732" t="str">
        <f>CONCATENATE('DICTIONARY-3'!$A$6," ",'DICTIONARY-6'!$A$3," ",'DICTIONARY-6'!$A$32," ",'DICTIONARY-2'!$A$2,"150"," ",'DICTIONARY-2'!$A$3,"10/16"," ",LOWER('DICTIONARY-3'!$A$241),"-",'DICTIONARY-5'!$A$199,", ",'DICTIONARY-4'!$A$2)</f>
        <v>BETA 200 Zasuwa Fl/Sp DN150 PN10/16 kołnierz-końcówka bosa, WW</v>
      </c>
      <c r="S2478" s="733" t="str">
        <f>'DICTIONARY-4'!$A$2</f>
        <v>WW</v>
      </c>
      <c r="T2478" s="732" t="str">
        <f>'DICTIONARY-4'!$A$18</f>
        <v>Wolny wałek</v>
      </c>
      <c r="U2478" s="734" t="s">
        <v>5572</v>
      </c>
      <c r="V2478" s="735">
        <v>16</v>
      </c>
      <c r="W2478" s="736"/>
      <c r="X2478" s="737"/>
      <c r="Y2478" s="738"/>
      <c r="Z2478" s="739"/>
      <c r="AA2478" s="739"/>
      <c r="AB2478" s="740">
        <v>16</v>
      </c>
      <c r="AC2478" s="741">
        <v>307</v>
      </c>
      <c r="AD2478" s="741" t="str">
        <f>'DICTIONARY-5'!$A$13</f>
        <v>woda pitna</v>
      </c>
      <c r="AE2478" s="742">
        <v>50</v>
      </c>
      <c r="AF2478" s="743">
        <v>38</v>
      </c>
      <c r="AG2478" s="741" t="str">
        <f>'DICTIONARY-5'!$A$23</f>
        <v>powłoka epoksydowa</v>
      </c>
    </row>
    <row r="2479" spans="1:33" x14ac:dyDescent="0.25">
      <c r="A2479" s="880" t="s">
        <v>2365</v>
      </c>
      <c r="B2479" s="880" t="s">
        <v>3507</v>
      </c>
      <c r="C2479" s="836">
        <v>760</v>
      </c>
      <c r="D2479" s="836"/>
      <c r="E2479" s="836"/>
      <c r="F2479" s="836"/>
      <c r="G2479" s="496" t="s">
        <v>7850</v>
      </c>
      <c r="H2479" s="797" t="str">
        <f>VLOOKUP(G2479,SETTINGS!$B$7:$D$97,2,0)</f>
        <v>BETA 200 BAIO</v>
      </c>
      <c r="I2479" s="796">
        <f>VLOOKUP(G2479,SETTINGS!$B$7:$D$97,3,0)</f>
        <v>0</v>
      </c>
      <c r="J2479" s="670" t="str">
        <f>IFERROR(IF(CURRENCY.FORMAT_1=0,CONCATENATE(TEXT(FIXED(ROUND((C2479/EXC.RATE_1),CURRENCY.FORMAT_1),CURRENCY.FORMAT_1,1),"# ##0;-# ##0"),",-"),FIXED(ROUND((C2479/EXC.RATE_1),CURRENCY.FORMAT_1),CURRENCY.FORMAT_1,0)),'DICTIONARY-5'!$A$2)</f>
        <v>760,-</v>
      </c>
      <c r="K2479" s="670" t="str">
        <f>IF(EXC.RATE_2=0,"",IFERROR(IF(CURRENCY.FORMAT_2=0,CONCATENATE(TEXT(FIXED(ROUND(IF(EXC.RATE.SWITCH=1,C2479/EXC.RATE_2,C2479*EXC.RATE_2),CURRENCY.FORMAT_2),CURRENCY.FORMAT_2,1),"# ##0;-# ##0"),",-"),FIXED(ROUND(IF(EXC.RATE.SWITCH=1,C2479/EXC.RATE_2,C2479*EXC.RATE_2),CURRENCY.FORMAT_2),CURRENCY.FORMAT_2,0)),'DICTIONARY-5'!$A$2))</f>
        <v/>
      </c>
      <c r="L2479" s="670" t="str">
        <f>IFERROR(IF(CURRENCY.FORMAT_1=0,CONCATENATE(TEXT(FIXED(ROUND((C2479*(1-I2479)*(1-ADD.DISCOUNT)*(1+MAT.SURCHARGE)/EXC.RATE_1),CURRENCY.FORMAT_1),CURRENCY.FORMAT_1,1),"# ##0;-# ##0"),",-"),FIXED(ROUND((C2479*(1-I2479)*(1-ADD.DISCOUNT)*(1+MAT.SURCHARGE)/EXC.RATE_1),CURRENCY.FORMAT_1),CURRENCY.FORMAT_1,0)),'DICTIONARY-5'!$A$2)</f>
        <v>790,-</v>
      </c>
      <c r="M2479" s="670" t="str">
        <f>IF(EXC.RATE_2=0,"",IFERROR(IF(CURRENCY.FORMAT_2=0,CONCATENATE(TEXT(FIXED(ROUND(IF(EXC.RATE.SWITCH=1,C2479*(1-I2479)*(1-ADD.DISCOUNT)*(1+MAT.SURCHARGE)/EXC.RATE_2,C2479*(1-I2479)*(1-ADD.DISCOUNT)*(1+MAT.SURCHARGE)*EXC.RATE_2),CURRENCY.FORMAT_2),CURRENCY.FORMAT_2,1),"# ##0;-# ##0"),",-"),FIXED(ROUND(IF(EXC.RATE.SWITCH=1,C2479*(1-I2479)*(1-ADD.DISCOUNT)*(1+MAT.SURCHARGE)/EXC.RATE_2,C2479*(1-I2479)*(1-ADD.DISCOUNT)*(1+MAT.SURCHARGE)*EXC.RATE_2),CURRENCY.FORMAT_2),CURRENCY.FORMAT_2,0)),'DICTIONARY-5'!$A$2))</f>
        <v/>
      </c>
      <c r="N2479" s="536">
        <v>12</v>
      </c>
      <c r="O2479" s="536"/>
      <c r="P2479" s="732" t="str">
        <f>'DICTIONARY-3'!$A$184</f>
        <v>BAIO BETA 200</v>
      </c>
      <c r="Q2479" s="732" t="str">
        <f>'DICTIONARY-3'!$A$187</f>
        <v>Zasuwa klinowa</v>
      </c>
      <c r="R2479" s="732" t="str">
        <f>CONCATENATE('DICTIONARY-3'!$A$6," ",'DICTIONARY-6'!$A$3," ",'DICTIONARY-6'!$A$32," ",'DICTIONARY-2'!$A$2,"200"," ",'DICTIONARY-2'!$A$3,"16"," ",LOWER('DICTIONARY-3'!$A$241),"-",'DICTIONARY-5'!$A$199,", ",'DICTIONARY-4'!$A$2)</f>
        <v>BETA 200 Zasuwa Fl/Sp DN200 PN16 kołnierz-końcówka bosa, WW</v>
      </c>
      <c r="S2479" s="733" t="str">
        <f>'DICTIONARY-4'!$A$2</f>
        <v>WW</v>
      </c>
      <c r="T2479" s="732" t="str">
        <f>'DICTIONARY-4'!$A$18</f>
        <v>Wolny wałek</v>
      </c>
      <c r="U2479" s="734" t="s">
        <v>5750</v>
      </c>
      <c r="V2479" s="735">
        <v>16</v>
      </c>
      <c r="W2479" s="736"/>
      <c r="X2479" s="737"/>
      <c r="Y2479" s="738"/>
      <c r="Z2479" s="739"/>
      <c r="AA2479" s="739"/>
      <c r="AB2479" s="740">
        <v>16</v>
      </c>
      <c r="AC2479" s="741">
        <v>339</v>
      </c>
      <c r="AD2479" s="741" t="str">
        <f>'DICTIONARY-5'!$A$13</f>
        <v>woda pitna</v>
      </c>
      <c r="AE2479" s="742">
        <v>50</v>
      </c>
      <c r="AF2479" s="743">
        <v>66.400000000000006</v>
      </c>
      <c r="AG2479" s="741" t="str">
        <f>'DICTIONARY-5'!$A$23</f>
        <v>powłoka epoksydowa</v>
      </c>
    </row>
    <row r="2480" spans="1:33" x14ac:dyDescent="0.25">
      <c r="A2480" s="880" t="s">
        <v>2366</v>
      </c>
      <c r="B2480" s="880" t="s">
        <v>3508</v>
      </c>
      <c r="C2480" s="836">
        <v>776</v>
      </c>
      <c r="D2480" s="836"/>
      <c r="E2480" s="836"/>
      <c r="F2480" s="836"/>
      <c r="G2480" s="496" t="s">
        <v>7850</v>
      </c>
      <c r="H2480" s="797" t="str">
        <f>VLOOKUP(G2480,SETTINGS!$B$7:$D$97,2,0)</f>
        <v>BETA 200 BAIO</v>
      </c>
      <c r="I2480" s="796">
        <f>VLOOKUP(G2480,SETTINGS!$B$7:$D$97,3,0)</f>
        <v>0</v>
      </c>
      <c r="J2480" s="670" t="str">
        <f>IFERROR(IF(CURRENCY.FORMAT_1=0,CONCATENATE(TEXT(FIXED(ROUND((C2480/EXC.RATE_1),CURRENCY.FORMAT_1),CURRENCY.FORMAT_1,1),"# ##0;-# ##0"),",-"),FIXED(ROUND((C2480/EXC.RATE_1),CURRENCY.FORMAT_1),CURRENCY.FORMAT_1,0)),'DICTIONARY-5'!$A$2)</f>
        <v>776,-</v>
      </c>
      <c r="K2480" s="670" t="str">
        <f>IF(EXC.RATE_2=0,"",IFERROR(IF(CURRENCY.FORMAT_2=0,CONCATENATE(TEXT(FIXED(ROUND(IF(EXC.RATE.SWITCH=1,C2480/EXC.RATE_2,C2480*EXC.RATE_2),CURRENCY.FORMAT_2),CURRENCY.FORMAT_2,1),"# ##0;-# ##0"),",-"),FIXED(ROUND(IF(EXC.RATE.SWITCH=1,C2480/EXC.RATE_2,C2480*EXC.RATE_2),CURRENCY.FORMAT_2),CURRENCY.FORMAT_2,0)),'DICTIONARY-5'!$A$2))</f>
        <v/>
      </c>
      <c r="L2480" s="670" t="str">
        <f>IFERROR(IF(CURRENCY.FORMAT_1=0,CONCATENATE(TEXT(FIXED(ROUND((C2480*(1-I2480)*(1-ADD.DISCOUNT)*(1+MAT.SURCHARGE)/EXC.RATE_1),CURRENCY.FORMAT_1),CURRENCY.FORMAT_1,1),"# ##0;-# ##0"),",-"),FIXED(ROUND((C2480*(1-I2480)*(1-ADD.DISCOUNT)*(1+MAT.SURCHARGE)/EXC.RATE_1),CURRENCY.FORMAT_1),CURRENCY.FORMAT_1,0)),'DICTIONARY-5'!$A$2)</f>
        <v>806,-</v>
      </c>
      <c r="M2480" s="670" t="str">
        <f>IF(EXC.RATE_2=0,"",IFERROR(IF(CURRENCY.FORMAT_2=0,CONCATENATE(TEXT(FIXED(ROUND(IF(EXC.RATE.SWITCH=1,C2480*(1-I2480)*(1-ADD.DISCOUNT)*(1+MAT.SURCHARGE)/EXC.RATE_2,C2480*(1-I2480)*(1-ADD.DISCOUNT)*(1+MAT.SURCHARGE)*EXC.RATE_2),CURRENCY.FORMAT_2),CURRENCY.FORMAT_2,1),"# ##0;-# ##0"),",-"),FIXED(ROUND(IF(EXC.RATE.SWITCH=1,C2480*(1-I2480)*(1-ADD.DISCOUNT)*(1+MAT.SURCHARGE)/EXC.RATE_2,C2480*(1-I2480)*(1-ADD.DISCOUNT)*(1+MAT.SURCHARGE)*EXC.RATE_2),CURRENCY.FORMAT_2),CURRENCY.FORMAT_2,0)),'DICTIONARY-5'!$A$2))</f>
        <v/>
      </c>
      <c r="N2480" s="536">
        <v>12</v>
      </c>
      <c r="O2480" s="536"/>
      <c r="P2480" s="732" t="str">
        <f>'DICTIONARY-3'!$A$184</f>
        <v>BAIO BETA 200</v>
      </c>
      <c r="Q2480" s="732" t="str">
        <f>'DICTIONARY-3'!$A$187</f>
        <v>Zasuwa klinowa</v>
      </c>
      <c r="R2480" s="732" t="str">
        <f>CONCATENATE('DICTIONARY-3'!$A$6," ",'DICTIONARY-6'!$A$3," ",'DICTIONARY-6'!$A$32," ",'DICTIONARY-2'!$A$2,"200"," ",'DICTIONARY-2'!$A$3,"10"," ",LOWER('DICTIONARY-3'!$A$241),"-",'DICTIONARY-5'!$A$199,", ",'DICTIONARY-4'!$A$2)</f>
        <v>BETA 200 Zasuwa Fl/Sp DN200 PN10 kołnierz-końcówka bosa, WW</v>
      </c>
      <c r="S2480" s="733" t="str">
        <f>'DICTIONARY-4'!$A$2</f>
        <v>WW</v>
      </c>
      <c r="T2480" s="732" t="str">
        <f>'DICTIONARY-4'!$A$18</f>
        <v>Wolny wałek</v>
      </c>
      <c r="U2480" s="734" t="s">
        <v>5750</v>
      </c>
      <c r="V2480" s="735">
        <v>10</v>
      </c>
      <c r="W2480" s="736"/>
      <c r="X2480" s="737"/>
      <c r="Y2480" s="738"/>
      <c r="Z2480" s="739"/>
      <c r="AA2480" s="739"/>
      <c r="AB2480" s="740">
        <v>10</v>
      </c>
      <c r="AC2480" s="741">
        <v>339</v>
      </c>
      <c r="AD2480" s="741" t="str">
        <f>'DICTIONARY-5'!$A$13</f>
        <v>woda pitna</v>
      </c>
      <c r="AE2480" s="742">
        <v>50</v>
      </c>
      <c r="AF2480" s="743">
        <v>66.400000000000006</v>
      </c>
      <c r="AG2480" s="741" t="str">
        <f>'DICTIONARY-5'!$A$23</f>
        <v>powłoka epoksydowa</v>
      </c>
    </row>
    <row r="2481" spans="1:33" x14ac:dyDescent="0.25">
      <c r="A2481" s="880" t="s">
        <v>2367</v>
      </c>
      <c r="B2481" s="880" t="s">
        <v>4295</v>
      </c>
      <c r="C2481" s="836">
        <v>717</v>
      </c>
      <c r="D2481" s="836"/>
      <c r="E2481" s="836"/>
      <c r="F2481" s="836"/>
      <c r="G2481" s="496" t="s">
        <v>7801</v>
      </c>
      <c r="H2481" s="797" t="str">
        <f>VLOOKUP(G2481,SETTINGS!$B$7:$D$97,2,0)</f>
        <v>HYDRUS G</v>
      </c>
      <c r="I2481" s="796">
        <f>VLOOKUP(G2481,SETTINGS!$B$7:$D$97,3,0)</f>
        <v>0</v>
      </c>
      <c r="J2481" s="670" t="str">
        <f>IFERROR(IF(CURRENCY.FORMAT_1=0,CONCATENATE(TEXT(FIXED(ROUND((C2481/EXC.RATE_1),CURRENCY.FORMAT_1),CURRENCY.FORMAT_1,1),"# ##0;-# ##0"),",-"),FIXED(ROUND((C2481/EXC.RATE_1),CURRENCY.FORMAT_1),CURRENCY.FORMAT_1,0)),'DICTIONARY-5'!$A$2)</f>
        <v>717,-</v>
      </c>
      <c r="K2481" s="670" t="str">
        <f>IF(EXC.RATE_2=0,"",IFERROR(IF(CURRENCY.FORMAT_2=0,CONCATENATE(TEXT(FIXED(ROUND(IF(EXC.RATE.SWITCH=1,C2481/EXC.RATE_2,C2481*EXC.RATE_2),CURRENCY.FORMAT_2),CURRENCY.FORMAT_2,1),"# ##0;-# ##0"),",-"),FIXED(ROUND(IF(EXC.RATE.SWITCH=1,C2481/EXC.RATE_2,C2481*EXC.RATE_2),CURRENCY.FORMAT_2),CURRENCY.FORMAT_2,0)),'DICTIONARY-5'!$A$2))</f>
        <v/>
      </c>
      <c r="L2481" s="670" t="str">
        <f>IFERROR(IF(CURRENCY.FORMAT_1=0,CONCATENATE(TEXT(FIXED(ROUND((C2481*(1-I2481)*(1-ADD.DISCOUNT)*(1+MAT.SURCHARGE)/EXC.RATE_1),CURRENCY.FORMAT_1),CURRENCY.FORMAT_1,1),"# ##0;-# ##0"),",-"),FIXED(ROUND((C2481*(1-I2481)*(1-ADD.DISCOUNT)*(1+MAT.SURCHARGE)/EXC.RATE_1),CURRENCY.FORMAT_1),CURRENCY.FORMAT_1,0)),'DICTIONARY-5'!$A$2)</f>
        <v>745,-</v>
      </c>
      <c r="M2481" s="670" t="str">
        <f>IF(EXC.RATE_2=0,"",IFERROR(IF(CURRENCY.FORMAT_2=0,CONCATENATE(TEXT(FIXED(ROUND(IF(EXC.RATE.SWITCH=1,C2481*(1-I2481)*(1-ADD.DISCOUNT)*(1+MAT.SURCHARGE)/EXC.RATE_2,C2481*(1-I2481)*(1-ADD.DISCOUNT)*(1+MAT.SURCHARGE)*EXC.RATE_2),CURRENCY.FORMAT_2),CURRENCY.FORMAT_2,1),"# ##0;-# ##0"),",-"),FIXED(ROUND(IF(EXC.RATE.SWITCH=1,C2481*(1-I2481)*(1-ADD.DISCOUNT)*(1+MAT.SURCHARGE)/EXC.RATE_2,C2481*(1-I2481)*(1-ADD.DISCOUNT)*(1+MAT.SURCHARGE)*EXC.RATE_2),CURRENCY.FORMAT_2),CURRENCY.FORMAT_2,0)),'DICTIONARY-5'!$A$2))</f>
        <v/>
      </c>
      <c r="N2481" s="536">
        <v>12</v>
      </c>
      <c r="O2481" s="536"/>
      <c r="P2481" s="731" t="str">
        <f>'DICTIONARY-3'!$A$182&amp;"2"</f>
        <v>BAIO HYDRUS G2</v>
      </c>
      <c r="Q2481" s="732" t="str">
        <f>'DICTIONARY-3'!$A$193</f>
        <v>Hydrant podziemny</v>
      </c>
      <c r="R2481" s="732" t="str">
        <f>CONCATENATE('DICTIONARY-3'!$A$183," ",'DICTIONARY-6'!$A$10," ",'DICTIONARY-2'!$A$2,"80"," ",'DICTIONARY-2'!$A$10,"16",'DICTIONARY-2'!$A$20," ",'DICTIONARY-2'!$A$7,"0,82m"," ",'DICTIONARY-6'!$A$26)</f>
        <v>BAIO HYDRUS G2 Hydr. podz. DN80 PS16bar Rd0,82m pokr. wylotu z tworzywa</v>
      </c>
      <c r="S2481" s="733" t="str">
        <f>'DICTIONARY-4'!$A$13</f>
        <v>KK</v>
      </c>
      <c r="T2481" s="732" t="str">
        <f>'DICTIONARY-4'!$A$29</f>
        <v>Końcówka kwadratowa, zamontowana</v>
      </c>
      <c r="U2481" s="734" t="s">
        <v>5760</v>
      </c>
      <c r="V2481" s="735"/>
      <c r="W2481" s="736"/>
      <c r="X2481" s="737"/>
      <c r="Y2481" s="745" t="s">
        <v>5656</v>
      </c>
      <c r="Z2481" s="747"/>
      <c r="AA2481" s="747"/>
      <c r="AB2481" s="740">
        <v>16</v>
      </c>
      <c r="AC2481" s="741"/>
      <c r="AD2481" s="741" t="str">
        <f>'DICTIONARY-5'!$A$13</f>
        <v>woda pitna</v>
      </c>
      <c r="AE2481" s="742">
        <v>50</v>
      </c>
      <c r="AF2481" s="743">
        <v>27.36</v>
      </c>
      <c r="AG2481" s="741" t="str">
        <f>'DICTIONARY-5'!$A$23</f>
        <v>powłoka epoksydowa</v>
      </c>
    </row>
    <row r="2482" spans="1:33" x14ac:dyDescent="0.25">
      <c r="A2482" s="880" t="s">
        <v>2369</v>
      </c>
      <c r="B2482" s="880" t="s">
        <v>4296</v>
      </c>
      <c r="C2482" s="836">
        <v>762</v>
      </c>
      <c r="D2482" s="836"/>
      <c r="E2482" s="836"/>
      <c r="F2482" s="836"/>
      <c r="G2482" s="496" t="s">
        <v>7801</v>
      </c>
      <c r="H2482" s="797" t="str">
        <f>VLOOKUP(G2482,SETTINGS!$B$7:$D$97,2,0)</f>
        <v>HYDRUS G</v>
      </c>
      <c r="I2482" s="796">
        <f>VLOOKUP(G2482,SETTINGS!$B$7:$D$97,3,0)</f>
        <v>0</v>
      </c>
      <c r="J2482" s="670" t="str">
        <f>IFERROR(IF(CURRENCY.FORMAT_1=0,CONCATENATE(TEXT(FIXED(ROUND((C2482/EXC.RATE_1),CURRENCY.FORMAT_1),CURRENCY.FORMAT_1,1),"# ##0;-# ##0"),",-"),FIXED(ROUND((C2482/EXC.RATE_1),CURRENCY.FORMAT_1),CURRENCY.FORMAT_1,0)),'DICTIONARY-5'!$A$2)</f>
        <v>762,-</v>
      </c>
      <c r="K2482" s="670" t="str">
        <f>IF(EXC.RATE_2=0,"",IFERROR(IF(CURRENCY.FORMAT_2=0,CONCATENATE(TEXT(FIXED(ROUND(IF(EXC.RATE.SWITCH=1,C2482/EXC.RATE_2,C2482*EXC.RATE_2),CURRENCY.FORMAT_2),CURRENCY.FORMAT_2,1),"# ##0;-# ##0"),",-"),FIXED(ROUND(IF(EXC.RATE.SWITCH=1,C2482/EXC.RATE_2,C2482*EXC.RATE_2),CURRENCY.FORMAT_2),CURRENCY.FORMAT_2,0)),'DICTIONARY-5'!$A$2))</f>
        <v/>
      </c>
      <c r="L2482" s="670" t="str">
        <f>IFERROR(IF(CURRENCY.FORMAT_1=0,CONCATENATE(TEXT(FIXED(ROUND((C2482*(1-I2482)*(1-ADD.DISCOUNT)*(1+MAT.SURCHARGE)/EXC.RATE_1),CURRENCY.FORMAT_1),CURRENCY.FORMAT_1,1),"# ##0;-# ##0"),",-"),FIXED(ROUND((C2482*(1-I2482)*(1-ADD.DISCOUNT)*(1+MAT.SURCHARGE)/EXC.RATE_1),CURRENCY.FORMAT_1),CURRENCY.FORMAT_1,0)),'DICTIONARY-5'!$A$2)</f>
        <v>792,-</v>
      </c>
      <c r="M2482" s="670" t="str">
        <f>IF(EXC.RATE_2=0,"",IFERROR(IF(CURRENCY.FORMAT_2=0,CONCATENATE(TEXT(FIXED(ROUND(IF(EXC.RATE.SWITCH=1,C2482*(1-I2482)*(1-ADD.DISCOUNT)*(1+MAT.SURCHARGE)/EXC.RATE_2,C2482*(1-I2482)*(1-ADD.DISCOUNT)*(1+MAT.SURCHARGE)*EXC.RATE_2),CURRENCY.FORMAT_2),CURRENCY.FORMAT_2,1),"# ##0;-# ##0"),",-"),FIXED(ROUND(IF(EXC.RATE.SWITCH=1,C2482*(1-I2482)*(1-ADD.DISCOUNT)*(1+MAT.SURCHARGE)/EXC.RATE_2,C2482*(1-I2482)*(1-ADD.DISCOUNT)*(1+MAT.SURCHARGE)*EXC.RATE_2),CURRENCY.FORMAT_2),CURRENCY.FORMAT_2,0)),'DICTIONARY-5'!$A$2))</f>
        <v/>
      </c>
      <c r="N2482" s="536">
        <v>12</v>
      </c>
      <c r="O2482" s="536"/>
      <c r="P2482" s="731" t="str">
        <f>'DICTIONARY-3'!$A$182&amp;"2"</f>
        <v>BAIO HYDRUS G2</v>
      </c>
      <c r="Q2482" s="732" t="str">
        <f>'DICTIONARY-3'!$A$193</f>
        <v>Hydrant podziemny</v>
      </c>
      <c r="R2482" s="732" t="str">
        <f>CONCATENATE('DICTIONARY-3'!$A$183," ",'DICTIONARY-6'!$A$10," ",'DICTIONARY-2'!$A$2,"80"," ",'DICTIONARY-2'!$A$10,"16",'DICTIONARY-2'!$A$20," ",'DICTIONARY-2'!$A$7,"1,0m"," ",'DICTIONARY-6'!$A$26)</f>
        <v>BAIO HYDRUS G2 Hydr. podz. DN80 PS16bar Rd1,0m pokr. wylotu z tworzywa</v>
      </c>
      <c r="S2482" s="733" t="str">
        <f>'DICTIONARY-4'!$A$13</f>
        <v>KK</v>
      </c>
      <c r="T2482" s="732" t="str">
        <f>'DICTIONARY-4'!$A$29</f>
        <v>Końcówka kwadratowa, zamontowana</v>
      </c>
      <c r="U2482" s="734" t="s">
        <v>5760</v>
      </c>
      <c r="V2482" s="735"/>
      <c r="W2482" s="736"/>
      <c r="X2482" s="737"/>
      <c r="Y2482" s="745" t="s">
        <v>5652</v>
      </c>
      <c r="Z2482" s="747"/>
      <c r="AA2482" s="747"/>
      <c r="AB2482" s="740">
        <v>16</v>
      </c>
      <c r="AC2482" s="741"/>
      <c r="AD2482" s="741" t="str">
        <f>'DICTIONARY-5'!$A$13</f>
        <v>woda pitna</v>
      </c>
      <c r="AE2482" s="742">
        <v>50</v>
      </c>
      <c r="AF2482" s="743">
        <v>31.2</v>
      </c>
      <c r="AG2482" s="741" t="str">
        <f>'DICTIONARY-5'!$A$23</f>
        <v>powłoka epoksydowa</v>
      </c>
    </row>
    <row r="2483" spans="1:33" x14ac:dyDescent="0.25">
      <c r="A2483" s="880" t="s">
        <v>2371</v>
      </c>
      <c r="B2483" s="880" t="s">
        <v>4297</v>
      </c>
      <c r="C2483" s="836">
        <v>773</v>
      </c>
      <c r="D2483" s="836"/>
      <c r="E2483" s="836"/>
      <c r="F2483" s="836"/>
      <c r="G2483" s="496" t="s">
        <v>7801</v>
      </c>
      <c r="H2483" s="797" t="str">
        <f>VLOOKUP(G2483,SETTINGS!$B$7:$D$97,2,0)</f>
        <v>HYDRUS G</v>
      </c>
      <c r="I2483" s="796">
        <f>VLOOKUP(G2483,SETTINGS!$B$7:$D$97,3,0)</f>
        <v>0</v>
      </c>
      <c r="J2483" s="670" t="str">
        <f>IFERROR(IF(CURRENCY.FORMAT_1=0,CONCATENATE(TEXT(FIXED(ROUND((C2483/EXC.RATE_1),CURRENCY.FORMAT_1),CURRENCY.FORMAT_1,1),"# ##0;-# ##0"),",-"),FIXED(ROUND((C2483/EXC.RATE_1),CURRENCY.FORMAT_1),CURRENCY.FORMAT_1,0)),'DICTIONARY-5'!$A$2)</f>
        <v>773,-</v>
      </c>
      <c r="K2483" s="670" t="str">
        <f>IF(EXC.RATE_2=0,"",IFERROR(IF(CURRENCY.FORMAT_2=0,CONCATENATE(TEXT(FIXED(ROUND(IF(EXC.RATE.SWITCH=1,C2483/EXC.RATE_2,C2483*EXC.RATE_2),CURRENCY.FORMAT_2),CURRENCY.FORMAT_2,1),"# ##0;-# ##0"),",-"),FIXED(ROUND(IF(EXC.RATE.SWITCH=1,C2483/EXC.RATE_2,C2483*EXC.RATE_2),CURRENCY.FORMAT_2),CURRENCY.FORMAT_2,0)),'DICTIONARY-5'!$A$2))</f>
        <v/>
      </c>
      <c r="L2483" s="670" t="str">
        <f>IFERROR(IF(CURRENCY.FORMAT_1=0,CONCATENATE(TEXT(FIXED(ROUND((C2483*(1-I2483)*(1-ADD.DISCOUNT)*(1+MAT.SURCHARGE)/EXC.RATE_1),CURRENCY.FORMAT_1),CURRENCY.FORMAT_1,1),"# ##0;-# ##0"),",-"),FIXED(ROUND((C2483*(1-I2483)*(1-ADD.DISCOUNT)*(1+MAT.SURCHARGE)/EXC.RATE_1),CURRENCY.FORMAT_1),CURRENCY.FORMAT_1,0)),'DICTIONARY-5'!$A$2)</f>
        <v>803,-</v>
      </c>
      <c r="M2483" s="670" t="str">
        <f>IF(EXC.RATE_2=0,"",IFERROR(IF(CURRENCY.FORMAT_2=0,CONCATENATE(TEXT(FIXED(ROUND(IF(EXC.RATE.SWITCH=1,C2483*(1-I2483)*(1-ADD.DISCOUNT)*(1+MAT.SURCHARGE)/EXC.RATE_2,C2483*(1-I2483)*(1-ADD.DISCOUNT)*(1+MAT.SURCHARGE)*EXC.RATE_2),CURRENCY.FORMAT_2),CURRENCY.FORMAT_2,1),"# ##0;-# ##0"),",-"),FIXED(ROUND(IF(EXC.RATE.SWITCH=1,C2483*(1-I2483)*(1-ADD.DISCOUNT)*(1+MAT.SURCHARGE)/EXC.RATE_2,C2483*(1-I2483)*(1-ADD.DISCOUNT)*(1+MAT.SURCHARGE)*EXC.RATE_2),CURRENCY.FORMAT_2),CURRENCY.FORMAT_2,0)),'DICTIONARY-5'!$A$2))</f>
        <v/>
      </c>
      <c r="N2483" s="536">
        <v>12</v>
      </c>
      <c r="O2483" s="536"/>
      <c r="P2483" s="731" t="str">
        <f>'DICTIONARY-3'!$A$182&amp;"2"</f>
        <v>BAIO HYDRUS G2</v>
      </c>
      <c r="Q2483" s="732" t="str">
        <f>'DICTIONARY-3'!$A$193</f>
        <v>Hydrant podziemny</v>
      </c>
      <c r="R2483" s="732" t="str">
        <f>CONCATENATE('DICTIONARY-3'!$A$183," ",'DICTIONARY-6'!$A$10," ",'DICTIONARY-2'!$A$2,"80"," ",'DICTIONARY-2'!$A$10,"16",'DICTIONARY-2'!$A$20," ",'DICTIONARY-2'!$A$7,"1,25m"," ",'DICTIONARY-6'!$A$26)</f>
        <v>BAIO HYDRUS G2 Hydr. podz. DN80 PS16bar Rd1,25m pokr. wylotu z tworzywa</v>
      </c>
      <c r="S2483" s="733" t="str">
        <f>'DICTIONARY-4'!$A$13</f>
        <v>KK</v>
      </c>
      <c r="T2483" s="732" t="str">
        <f>'DICTIONARY-4'!$A$29</f>
        <v>Końcówka kwadratowa, zamontowana</v>
      </c>
      <c r="U2483" s="734" t="s">
        <v>5760</v>
      </c>
      <c r="V2483" s="735"/>
      <c r="W2483" s="736"/>
      <c r="X2483" s="737"/>
      <c r="Y2483" s="745" t="s">
        <v>5653</v>
      </c>
      <c r="Z2483" s="747"/>
      <c r="AA2483" s="747"/>
      <c r="AB2483" s="740">
        <v>16</v>
      </c>
      <c r="AC2483" s="741"/>
      <c r="AD2483" s="741" t="str">
        <f>'DICTIONARY-5'!$A$13</f>
        <v>woda pitna</v>
      </c>
      <c r="AE2483" s="742">
        <v>50</v>
      </c>
      <c r="AF2483" s="743">
        <v>35.659999999999997</v>
      </c>
      <c r="AG2483" s="741" t="str">
        <f>'DICTIONARY-5'!$A$23</f>
        <v>powłoka epoksydowa</v>
      </c>
    </row>
    <row r="2484" spans="1:33" x14ac:dyDescent="0.25">
      <c r="A2484" s="880" t="s">
        <v>2373</v>
      </c>
      <c r="B2484" s="880" t="s">
        <v>4298</v>
      </c>
      <c r="C2484" s="836">
        <v>838</v>
      </c>
      <c r="D2484" s="836"/>
      <c r="E2484" s="836"/>
      <c r="F2484" s="836"/>
      <c r="G2484" s="496" t="s">
        <v>7801</v>
      </c>
      <c r="H2484" s="797" t="str">
        <f>VLOOKUP(G2484,SETTINGS!$B$7:$D$97,2,0)</f>
        <v>HYDRUS G</v>
      </c>
      <c r="I2484" s="796">
        <f>VLOOKUP(G2484,SETTINGS!$B$7:$D$97,3,0)</f>
        <v>0</v>
      </c>
      <c r="J2484" s="670" t="str">
        <f>IFERROR(IF(CURRENCY.FORMAT_1=0,CONCATENATE(TEXT(FIXED(ROUND((C2484/EXC.RATE_1),CURRENCY.FORMAT_1),CURRENCY.FORMAT_1,1),"# ##0;-# ##0"),",-"),FIXED(ROUND((C2484/EXC.RATE_1),CURRENCY.FORMAT_1),CURRENCY.FORMAT_1,0)),'DICTIONARY-5'!$A$2)</f>
        <v>838,-</v>
      </c>
      <c r="K2484" s="670" t="str">
        <f>IF(EXC.RATE_2=0,"",IFERROR(IF(CURRENCY.FORMAT_2=0,CONCATENATE(TEXT(FIXED(ROUND(IF(EXC.RATE.SWITCH=1,C2484/EXC.RATE_2,C2484*EXC.RATE_2),CURRENCY.FORMAT_2),CURRENCY.FORMAT_2,1),"# ##0;-# ##0"),",-"),FIXED(ROUND(IF(EXC.RATE.SWITCH=1,C2484/EXC.RATE_2,C2484*EXC.RATE_2),CURRENCY.FORMAT_2),CURRENCY.FORMAT_2,0)),'DICTIONARY-5'!$A$2))</f>
        <v/>
      </c>
      <c r="L2484" s="670" t="str">
        <f>IFERROR(IF(CURRENCY.FORMAT_1=0,CONCATENATE(TEXT(FIXED(ROUND((C2484*(1-I2484)*(1-ADD.DISCOUNT)*(1+MAT.SURCHARGE)/EXC.RATE_1),CURRENCY.FORMAT_1),CURRENCY.FORMAT_1,1),"# ##0;-# ##0"),",-"),FIXED(ROUND((C2484*(1-I2484)*(1-ADD.DISCOUNT)*(1+MAT.SURCHARGE)/EXC.RATE_1),CURRENCY.FORMAT_1),CURRENCY.FORMAT_1,0)),'DICTIONARY-5'!$A$2)</f>
        <v>871,-</v>
      </c>
      <c r="M2484" s="670" t="str">
        <f>IF(EXC.RATE_2=0,"",IFERROR(IF(CURRENCY.FORMAT_2=0,CONCATENATE(TEXT(FIXED(ROUND(IF(EXC.RATE.SWITCH=1,C2484*(1-I2484)*(1-ADD.DISCOUNT)*(1+MAT.SURCHARGE)/EXC.RATE_2,C2484*(1-I2484)*(1-ADD.DISCOUNT)*(1+MAT.SURCHARGE)*EXC.RATE_2),CURRENCY.FORMAT_2),CURRENCY.FORMAT_2,1),"# ##0;-# ##0"),",-"),FIXED(ROUND(IF(EXC.RATE.SWITCH=1,C2484*(1-I2484)*(1-ADD.DISCOUNT)*(1+MAT.SURCHARGE)/EXC.RATE_2,C2484*(1-I2484)*(1-ADD.DISCOUNT)*(1+MAT.SURCHARGE)*EXC.RATE_2),CURRENCY.FORMAT_2),CURRENCY.FORMAT_2,0)),'DICTIONARY-5'!$A$2))</f>
        <v/>
      </c>
      <c r="N2484" s="536">
        <v>12</v>
      </c>
      <c r="O2484" s="536"/>
      <c r="P2484" s="731" t="str">
        <f>'DICTIONARY-3'!$A$182&amp;"2"</f>
        <v>BAIO HYDRUS G2</v>
      </c>
      <c r="Q2484" s="732" t="str">
        <f>'DICTIONARY-3'!$A$193</f>
        <v>Hydrant podziemny</v>
      </c>
      <c r="R2484" s="732" t="str">
        <f>CONCATENATE('DICTIONARY-3'!$A$183," ",'DICTIONARY-6'!$A$10," ",'DICTIONARY-2'!$A$2,"80"," ",'DICTIONARY-2'!$A$10,"16",'DICTIONARY-2'!$A$20," ",'DICTIONARY-2'!$A$7,"1,5m"," ",'DICTIONARY-6'!$A$26)</f>
        <v>BAIO HYDRUS G2 Hydr. podz. DN80 PS16bar Rd1,5m pokr. wylotu z tworzywa</v>
      </c>
      <c r="S2484" s="733" t="str">
        <f>'DICTIONARY-4'!$A$13</f>
        <v>KK</v>
      </c>
      <c r="T2484" s="732" t="str">
        <f>'DICTIONARY-4'!$A$29</f>
        <v>Końcówka kwadratowa, zamontowana</v>
      </c>
      <c r="U2484" s="734" t="s">
        <v>5760</v>
      </c>
      <c r="V2484" s="735"/>
      <c r="W2484" s="736"/>
      <c r="X2484" s="737"/>
      <c r="Y2484" s="745" t="s">
        <v>5654</v>
      </c>
      <c r="Z2484" s="747"/>
      <c r="AA2484" s="747"/>
      <c r="AB2484" s="740">
        <v>16</v>
      </c>
      <c r="AC2484" s="741"/>
      <c r="AD2484" s="741" t="str">
        <f>'DICTIONARY-5'!$A$13</f>
        <v>woda pitna</v>
      </c>
      <c r="AE2484" s="742">
        <v>50</v>
      </c>
      <c r="AF2484" s="743">
        <v>40.1</v>
      </c>
      <c r="AG2484" s="741" t="str">
        <f>'DICTIONARY-5'!$A$23</f>
        <v>powłoka epoksydowa</v>
      </c>
    </row>
    <row r="2485" spans="1:33" x14ac:dyDescent="0.25">
      <c r="A2485" s="880" t="s">
        <v>2368</v>
      </c>
      <c r="B2485" s="880" t="s">
        <v>4299</v>
      </c>
      <c r="C2485" s="836">
        <v>770</v>
      </c>
      <c r="D2485" s="836"/>
      <c r="E2485" s="836"/>
      <c r="F2485" s="836"/>
      <c r="G2485" s="496" t="s">
        <v>7801</v>
      </c>
      <c r="H2485" s="797" t="str">
        <f>VLOOKUP(G2485,SETTINGS!$B$7:$D$97,2,0)</f>
        <v>HYDRUS G</v>
      </c>
      <c r="I2485" s="796">
        <f>VLOOKUP(G2485,SETTINGS!$B$7:$D$97,3,0)</f>
        <v>0</v>
      </c>
      <c r="J2485" s="670" t="str">
        <f>IFERROR(IF(CURRENCY.FORMAT_1=0,CONCATENATE(TEXT(FIXED(ROUND((C2485/EXC.RATE_1),CURRENCY.FORMAT_1),CURRENCY.FORMAT_1,1),"# ##0;-# ##0"),",-"),FIXED(ROUND((C2485/EXC.RATE_1),CURRENCY.FORMAT_1),CURRENCY.FORMAT_1,0)),'DICTIONARY-5'!$A$2)</f>
        <v>770,-</v>
      </c>
      <c r="K2485" s="670" t="str">
        <f>IF(EXC.RATE_2=0,"",IFERROR(IF(CURRENCY.FORMAT_2=0,CONCATENATE(TEXT(FIXED(ROUND(IF(EXC.RATE.SWITCH=1,C2485/EXC.RATE_2,C2485*EXC.RATE_2),CURRENCY.FORMAT_2),CURRENCY.FORMAT_2,1),"# ##0;-# ##0"),",-"),FIXED(ROUND(IF(EXC.RATE.SWITCH=1,C2485/EXC.RATE_2,C2485*EXC.RATE_2),CURRENCY.FORMAT_2),CURRENCY.FORMAT_2,0)),'DICTIONARY-5'!$A$2))</f>
        <v/>
      </c>
      <c r="L2485" s="670" t="str">
        <f>IFERROR(IF(CURRENCY.FORMAT_1=0,CONCATENATE(TEXT(FIXED(ROUND((C2485*(1-I2485)*(1-ADD.DISCOUNT)*(1+MAT.SURCHARGE)/EXC.RATE_1),CURRENCY.FORMAT_1),CURRENCY.FORMAT_1,1),"# ##0;-# ##0"),",-"),FIXED(ROUND((C2485*(1-I2485)*(1-ADD.DISCOUNT)*(1+MAT.SURCHARGE)/EXC.RATE_1),CURRENCY.FORMAT_1),CURRENCY.FORMAT_1,0)),'DICTIONARY-5'!$A$2)</f>
        <v>800,-</v>
      </c>
      <c r="M2485" s="670" t="str">
        <f>IF(EXC.RATE_2=0,"",IFERROR(IF(CURRENCY.FORMAT_2=0,CONCATENATE(TEXT(FIXED(ROUND(IF(EXC.RATE.SWITCH=1,C2485*(1-I2485)*(1-ADD.DISCOUNT)*(1+MAT.SURCHARGE)/EXC.RATE_2,C2485*(1-I2485)*(1-ADD.DISCOUNT)*(1+MAT.SURCHARGE)*EXC.RATE_2),CURRENCY.FORMAT_2),CURRENCY.FORMAT_2,1),"# ##0;-# ##0"),",-"),FIXED(ROUND(IF(EXC.RATE.SWITCH=1,C2485*(1-I2485)*(1-ADD.DISCOUNT)*(1+MAT.SURCHARGE)/EXC.RATE_2,C2485*(1-I2485)*(1-ADD.DISCOUNT)*(1+MAT.SURCHARGE)*EXC.RATE_2),CURRENCY.FORMAT_2),CURRENCY.FORMAT_2,0)),'DICTIONARY-5'!$A$2))</f>
        <v/>
      </c>
      <c r="N2485" s="536">
        <v>12</v>
      </c>
      <c r="O2485" s="536"/>
      <c r="P2485" s="731" t="str">
        <f>'DICTIONARY-3'!$A$182&amp;"2"</f>
        <v>BAIO HYDRUS G2</v>
      </c>
      <c r="Q2485" s="732" t="str">
        <f>'DICTIONARY-3'!$A$193</f>
        <v>Hydrant podziemny</v>
      </c>
      <c r="R2485" s="732" t="str">
        <f>CONCATENATE('DICTIONARY-3'!$A$183," ",'DICTIONARY-6'!$A$10," ",'DICTIONARY-2'!$A$2,"80"," ",'DICTIONARY-2'!$A$10,"16",'DICTIONARY-2'!$A$20," ",'DICTIONARY-2'!$A$7,"0,82m"," ",'DICTIONARY-6'!$A$27)</f>
        <v>BAIO HYDRUS G2 Hydr. podz. DN80 PS16bar Rd0,82m pokr. wylotu samozamykająca</v>
      </c>
      <c r="S2485" s="733" t="str">
        <f>'DICTIONARY-4'!$A$13</f>
        <v>KK</v>
      </c>
      <c r="T2485" s="732" t="str">
        <f>'DICTIONARY-4'!$A$29</f>
        <v>Końcówka kwadratowa, zamontowana</v>
      </c>
      <c r="U2485" s="734" t="s">
        <v>5760</v>
      </c>
      <c r="V2485" s="735"/>
      <c r="W2485" s="736"/>
      <c r="X2485" s="737"/>
      <c r="Y2485" s="745" t="s">
        <v>5656</v>
      </c>
      <c r="Z2485" s="747"/>
      <c r="AA2485" s="747"/>
      <c r="AB2485" s="740">
        <v>16</v>
      </c>
      <c r="AC2485" s="741"/>
      <c r="AD2485" s="741" t="str">
        <f>'DICTIONARY-5'!$A$13</f>
        <v>woda pitna</v>
      </c>
      <c r="AE2485" s="742">
        <v>50</v>
      </c>
      <c r="AF2485" s="743">
        <v>27</v>
      </c>
      <c r="AG2485" s="741" t="str">
        <f>'DICTIONARY-5'!$A$23</f>
        <v>powłoka epoksydowa</v>
      </c>
    </row>
    <row r="2486" spans="1:33" x14ac:dyDescent="0.25">
      <c r="A2486" s="880" t="s">
        <v>2370</v>
      </c>
      <c r="B2486" s="880" t="s">
        <v>4300</v>
      </c>
      <c r="C2486" s="836">
        <v>815</v>
      </c>
      <c r="D2486" s="836"/>
      <c r="E2486" s="836"/>
      <c r="F2486" s="836"/>
      <c r="G2486" s="496" t="s">
        <v>7801</v>
      </c>
      <c r="H2486" s="797" t="str">
        <f>VLOOKUP(G2486,SETTINGS!$B$7:$D$97,2,0)</f>
        <v>HYDRUS G</v>
      </c>
      <c r="I2486" s="796">
        <f>VLOOKUP(G2486,SETTINGS!$B$7:$D$97,3,0)</f>
        <v>0</v>
      </c>
      <c r="J2486" s="670" t="str">
        <f>IFERROR(IF(CURRENCY.FORMAT_1=0,CONCATENATE(TEXT(FIXED(ROUND((C2486/EXC.RATE_1),CURRENCY.FORMAT_1),CURRENCY.FORMAT_1,1),"# ##0;-# ##0"),",-"),FIXED(ROUND((C2486/EXC.RATE_1),CURRENCY.FORMAT_1),CURRENCY.FORMAT_1,0)),'DICTIONARY-5'!$A$2)</f>
        <v>815,-</v>
      </c>
      <c r="K2486" s="670" t="str">
        <f>IF(EXC.RATE_2=0,"",IFERROR(IF(CURRENCY.FORMAT_2=0,CONCATENATE(TEXT(FIXED(ROUND(IF(EXC.RATE.SWITCH=1,C2486/EXC.RATE_2,C2486*EXC.RATE_2),CURRENCY.FORMAT_2),CURRENCY.FORMAT_2,1),"# ##0;-# ##0"),",-"),FIXED(ROUND(IF(EXC.RATE.SWITCH=1,C2486/EXC.RATE_2,C2486*EXC.RATE_2),CURRENCY.FORMAT_2),CURRENCY.FORMAT_2,0)),'DICTIONARY-5'!$A$2))</f>
        <v/>
      </c>
      <c r="L2486" s="670" t="str">
        <f>IFERROR(IF(CURRENCY.FORMAT_1=0,CONCATENATE(TEXT(FIXED(ROUND((C2486*(1-I2486)*(1-ADD.DISCOUNT)*(1+MAT.SURCHARGE)/EXC.RATE_1),CURRENCY.FORMAT_1),CURRENCY.FORMAT_1,1),"# ##0;-# ##0"),",-"),FIXED(ROUND((C2486*(1-I2486)*(1-ADD.DISCOUNT)*(1+MAT.SURCHARGE)/EXC.RATE_1),CURRENCY.FORMAT_1),CURRENCY.FORMAT_1,0)),'DICTIONARY-5'!$A$2)</f>
        <v>847,-</v>
      </c>
      <c r="M2486" s="670" t="str">
        <f>IF(EXC.RATE_2=0,"",IFERROR(IF(CURRENCY.FORMAT_2=0,CONCATENATE(TEXT(FIXED(ROUND(IF(EXC.RATE.SWITCH=1,C2486*(1-I2486)*(1-ADD.DISCOUNT)*(1+MAT.SURCHARGE)/EXC.RATE_2,C2486*(1-I2486)*(1-ADD.DISCOUNT)*(1+MAT.SURCHARGE)*EXC.RATE_2),CURRENCY.FORMAT_2),CURRENCY.FORMAT_2,1),"# ##0;-# ##0"),",-"),FIXED(ROUND(IF(EXC.RATE.SWITCH=1,C2486*(1-I2486)*(1-ADD.DISCOUNT)*(1+MAT.SURCHARGE)/EXC.RATE_2,C2486*(1-I2486)*(1-ADD.DISCOUNT)*(1+MAT.SURCHARGE)*EXC.RATE_2),CURRENCY.FORMAT_2),CURRENCY.FORMAT_2,0)),'DICTIONARY-5'!$A$2))</f>
        <v/>
      </c>
      <c r="N2486" s="536">
        <v>12</v>
      </c>
      <c r="O2486" s="536"/>
      <c r="P2486" s="731" t="str">
        <f>'DICTIONARY-3'!$A$182&amp;"2"</f>
        <v>BAIO HYDRUS G2</v>
      </c>
      <c r="Q2486" s="732" t="str">
        <f>'DICTIONARY-3'!$A$193</f>
        <v>Hydrant podziemny</v>
      </c>
      <c r="R2486" s="732" t="str">
        <f>CONCATENATE('DICTIONARY-3'!$A$183," ",'DICTIONARY-6'!$A$10," ",'DICTIONARY-2'!$A$2,"80"," ",'DICTIONARY-2'!$A$10,"16",'DICTIONARY-2'!$A$20," ",'DICTIONARY-2'!$A$7,"1,0m"," ",'DICTIONARY-6'!$A$27)</f>
        <v>BAIO HYDRUS G2 Hydr. podz. DN80 PS16bar Rd1,0m pokr. wylotu samozamykająca</v>
      </c>
      <c r="S2486" s="733" t="str">
        <f>'DICTIONARY-4'!$A$13</f>
        <v>KK</v>
      </c>
      <c r="T2486" s="732" t="str">
        <f>'DICTIONARY-4'!$A$29</f>
        <v>Końcówka kwadratowa, zamontowana</v>
      </c>
      <c r="U2486" s="734" t="s">
        <v>5760</v>
      </c>
      <c r="V2486" s="735"/>
      <c r="W2486" s="736"/>
      <c r="X2486" s="737"/>
      <c r="Y2486" s="745" t="s">
        <v>5652</v>
      </c>
      <c r="Z2486" s="747"/>
      <c r="AA2486" s="747"/>
      <c r="AB2486" s="740">
        <v>16</v>
      </c>
      <c r="AC2486" s="741"/>
      <c r="AD2486" s="741" t="str">
        <f>'DICTIONARY-5'!$A$13</f>
        <v>woda pitna</v>
      </c>
      <c r="AE2486" s="742">
        <v>50</v>
      </c>
      <c r="AF2486" s="743">
        <v>31</v>
      </c>
      <c r="AG2486" s="741" t="str">
        <f>'DICTIONARY-5'!$A$23</f>
        <v>powłoka epoksydowa</v>
      </c>
    </row>
    <row r="2487" spans="1:33" x14ac:dyDescent="0.25">
      <c r="A2487" s="880" t="s">
        <v>2372</v>
      </c>
      <c r="B2487" s="880" t="s">
        <v>4301</v>
      </c>
      <c r="C2487" s="836">
        <v>825</v>
      </c>
      <c r="D2487" s="836"/>
      <c r="E2487" s="836"/>
      <c r="F2487" s="836"/>
      <c r="G2487" s="496" t="s">
        <v>7801</v>
      </c>
      <c r="H2487" s="797" t="str">
        <f>VLOOKUP(G2487,SETTINGS!$B$7:$D$97,2,0)</f>
        <v>HYDRUS G</v>
      </c>
      <c r="I2487" s="796">
        <f>VLOOKUP(G2487,SETTINGS!$B$7:$D$97,3,0)</f>
        <v>0</v>
      </c>
      <c r="J2487" s="670" t="str">
        <f>IFERROR(IF(CURRENCY.FORMAT_1=0,CONCATENATE(TEXT(FIXED(ROUND((C2487/EXC.RATE_1),CURRENCY.FORMAT_1),CURRENCY.FORMAT_1,1),"# ##0;-# ##0"),",-"),FIXED(ROUND((C2487/EXC.RATE_1),CURRENCY.FORMAT_1),CURRENCY.FORMAT_1,0)),'DICTIONARY-5'!$A$2)</f>
        <v>825,-</v>
      </c>
      <c r="K2487" s="670" t="str">
        <f>IF(EXC.RATE_2=0,"",IFERROR(IF(CURRENCY.FORMAT_2=0,CONCATENATE(TEXT(FIXED(ROUND(IF(EXC.RATE.SWITCH=1,C2487/EXC.RATE_2,C2487*EXC.RATE_2),CURRENCY.FORMAT_2),CURRENCY.FORMAT_2,1),"# ##0;-# ##0"),",-"),FIXED(ROUND(IF(EXC.RATE.SWITCH=1,C2487/EXC.RATE_2,C2487*EXC.RATE_2),CURRENCY.FORMAT_2),CURRENCY.FORMAT_2,0)),'DICTIONARY-5'!$A$2))</f>
        <v/>
      </c>
      <c r="L2487" s="670" t="str">
        <f>IFERROR(IF(CURRENCY.FORMAT_1=0,CONCATENATE(TEXT(FIXED(ROUND((C2487*(1-I2487)*(1-ADD.DISCOUNT)*(1+MAT.SURCHARGE)/EXC.RATE_1),CURRENCY.FORMAT_1),CURRENCY.FORMAT_1,1),"# ##0;-# ##0"),",-"),FIXED(ROUND((C2487*(1-I2487)*(1-ADD.DISCOUNT)*(1+MAT.SURCHARGE)/EXC.RATE_1),CURRENCY.FORMAT_1),CURRENCY.FORMAT_1,0)),'DICTIONARY-5'!$A$2)</f>
        <v>857,-</v>
      </c>
      <c r="M2487" s="670" t="str">
        <f>IF(EXC.RATE_2=0,"",IFERROR(IF(CURRENCY.FORMAT_2=0,CONCATENATE(TEXT(FIXED(ROUND(IF(EXC.RATE.SWITCH=1,C2487*(1-I2487)*(1-ADD.DISCOUNT)*(1+MAT.SURCHARGE)/EXC.RATE_2,C2487*(1-I2487)*(1-ADD.DISCOUNT)*(1+MAT.SURCHARGE)*EXC.RATE_2),CURRENCY.FORMAT_2),CURRENCY.FORMAT_2,1),"# ##0;-# ##0"),",-"),FIXED(ROUND(IF(EXC.RATE.SWITCH=1,C2487*(1-I2487)*(1-ADD.DISCOUNT)*(1+MAT.SURCHARGE)/EXC.RATE_2,C2487*(1-I2487)*(1-ADD.DISCOUNT)*(1+MAT.SURCHARGE)*EXC.RATE_2),CURRENCY.FORMAT_2),CURRENCY.FORMAT_2,0)),'DICTIONARY-5'!$A$2))</f>
        <v/>
      </c>
      <c r="N2487" s="536">
        <v>12</v>
      </c>
      <c r="O2487" s="536"/>
      <c r="P2487" s="731" t="str">
        <f>'DICTIONARY-3'!$A$182&amp;"2"</f>
        <v>BAIO HYDRUS G2</v>
      </c>
      <c r="Q2487" s="732" t="str">
        <f>'DICTIONARY-3'!$A$193</f>
        <v>Hydrant podziemny</v>
      </c>
      <c r="R2487" s="732" t="str">
        <f>CONCATENATE('DICTIONARY-3'!$A$183," ",'DICTIONARY-6'!$A$10," ",'DICTIONARY-2'!$A$2,"80"," ",'DICTIONARY-2'!$A$10,"16",'DICTIONARY-2'!$A$20," ",'DICTIONARY-2'!$A$7,"1,25m"," ",'DICTIONARY-6'!$A$27)</f>
        <v>BAIO HYDRUS G2 Hydr. podz. DN80 PS16bar Rd1,25m pokr. wylotu samozamykająca</v>
      </c>
      <c r="S2487" s="733" t="str">
        <f>'DICTIONARY-4'!$A$13</f>
        <v>KK</v>
      </c>
      <c r="T2487" s="732" t="str">
        <f>'DICTIONARY-4'!$A$29</f>
        <v>Końcówka kwadratowa, zamontowana</v>
      </c>
      <c r="U2487" s="734" t="s">
        <v>5760</v>
      </c>
      <c r="V2487" s="735"/>
      <c r="W2487" s="736"/>
      <c r="X2487" s="737"/>
      <c r="Y2487" s="745" t="s">
        <v>5653</v>
      </c>
      <c r="Z2487" s="747"/>
      <c r="AA2487" s="747"/>
      <c r="AB2487" s="740">
        <v>16</v>
      </c>
      <c r="AC2487" s="741"/>
      <c r="AD2487" s="741" t="str">
        <f>'DICTIONARY-5'!$A$13</f>
        <v>woda pitna</v>
      </c>
      <c r="AE2487" s="742">
        <v>50</v>
      </c>
      <c r="AF2487" s="743">
        <v>39</v>
      </c>
      <c r="AG2487" s="741" t="str">
        <f>'DICTIONARY-5'!$A$23</f>
        <v>powłoka epoksydowa</v>
      </c>
    </row>
    <row r="2488" spans="1:33" x14ac:dyDescent="0.25">
      <c r="A2488" s="880" t="s">
        <v>2374</v>
      </c>
      <c r="B2488" s="880" t="s">
        <v>4302</v>
      </c>
      <c r="C2488" s="836">
        <v>891</v>
      </c>
      <c r="D2488" s="836"/>
      <c r="E2488" s="836"/>
      <c r="F2488" s="836"/>
      <c r="G2488" s="496" t="s">
        <v>7801</v>
      </c>
      <c r="H2488" s="797" t="str">
        <f>VLOOKUP(G2488,SETTINGS!$B$7:$D$97,2,0)</f>
        <v>HYDRUS G</v>
      </c>
      <c r="I2488" s="796">
        <f>VLOOKUP(G2488,SETTINGS!$B$7:$D$97,3,0)</f>
        <v>0</v>
      </c>
      <c r="J2488" s="670" t="str">
        <f>IFERROR(IF(CURRENCY.FORMAT_1=0,CONCATENATE(TEXT(FIXED(ROUND((C2488/EXC.RATE_1),CURRENCY.FORMAT_1),CURRENCY.FORMAT_1,1),"# ##0;-# ##0"),",-"),FIXED(ROUND((C2488/EXC.RATE_1),CURRENCY.FORMAT_1),CURRENCY.FORMAT_1,0)),'DICTIONARY-5'!$A$2)</f>
        <v>891,-</v>
      </c>
      <c r="K2488" s="670" t="str">
        <f>IF(EXC.RATE_2=0,"",IFERROR(IF(CURRENCY.FORMAT_2=0,CONCATENATE(TEXT(FIXED(ROUND(IF(EXC.RATE.SWITCH=1,C2488/EXC.RATE_2,C2488*EXC.RATE_2),CURRENCY.FORMAT_2),CURRENCY.FORMAT_2,1),"# ##0;-# ##0"),",-"),FIXED(ROUND(IF(EXC.RATE.SWITCH=1,C2488/EXC.RATE_2,C2488*EXC.RATE_2),CURRENCY.FORMAT_2),CURRENCY.FORMAT_2,0)),'DICTIONARY-5'!$A$2))</f>
        <v/>
      </c>
      <c r="L2488" s="670" t="str">
        <f>IFERROR(IF(CURRENCY.FORMAT_1=0,CONCATENATE(TEXT(FIXED(ROUND((C2488*(1-I2488)*(1-ADD.DISCOUNT)*(1+MAT.SURCHARGE)/EXC.RATE_1),CURRENCY.FORMAT_1),CURRENCY.FORMAT_1,1),"# ##0;-# ##0"),",-"),FIXED(ROUND((C2488*(1-I2488)*(1-ADD.DISCOUNT)*(1+MAT.SURCHARGE)/EXC.RATE_1),CURRENCY.FORMAT_1),CURRENCY.FORMAT_1,0)),'DICTIONARY-5'!$A$2)</f>
        <v>926,-</v>
      </c>
      <c r="M2488" s="670" t="str">
        <f>IF(EXC.RATE_2=0,"",IFERROR(IF(CURRENCY.FORMAT_2=0,CONCATENATE(TEXT(FIXED(ROUND(IF(EXC.RATE.SWITCH=1,C2488*(1-I2488)*(1-ADD.DISCOUNT)*(1+MAT.SURCHARGE)/EXC.RATE_2,C2488*(1-I2488)*(1-ADD.DISCOUNT)*(1+MAT.SURCHARGE)*EXC.RATE_2),CURRENCY.FORMAT_2),CURRENCY.FORMAT_2,1),"# ##0;-# ##0"),",-"),FIXED(ROUND(IF(EXC.RATE.SWITCH=1,C2488*(1-I2488)*(1-ADD.DISCOUNT)*(1+MAT.SURCHARGE)/EXC.RATE_2,C2488*(1-I2488)*(1-ADD.DISCOUNT)*(1+MAT.SURCHARGE)*EXC.RATE_2),CURRENCY.FORMAT_2),CURRENCY.FORMAT_2,0)),'DICTIONARY-5'!$A$2))</f>
        <v/>
      </c>
      <c r="N2488" s="536">
        <v>12</v>
      </c>
      <c r="O2488" s="536"/>
      <c r="P2488" s="731" t="str">
        <f>'DICTIONARY-3'!$A$182&amp;"2"</f>
        <v>BAIO HYDRUS G2</v>
      </c>
      <c r="Q2488" s="732" t="str">
        <f>'DICTIONARY-3'!$A$193</f>
        <v>Hydrant podziemny</v>
      </c>
      <c r="R2488" s="732" t="str">
        <f>CONCATENATE('DICTIONARY-3'!$A$183," ",'DICTIONARY-6'!$A$10," ",'DICTIONARY-2'!$A$2,"80"," ",'DICTIONARY-2'!$A$10,"16",'DICTIONARY-2'!$A$20," ",'DICTIONARY-2'!$A$7,"1,5m"," ",'DICTIONARY-6'!$A$27)</f>
        <v>BAIO HYDRUS G2 Hydr. podz. DN80 PS16bar Rd1,5m pokr. wylotu samozamykająca</v>
      </c>
      <c r="S2488" s="733" t="str">
        <f>'DICTIONARY-4'!$A$13</f>
        <v>KK</v>
      </c>
      <c r="T2488" s="732" t="str">
        <f>'DICTIONARY-4'!$A$29</f>
        <v>Końcówka kwadratowa, zamontowana</v>
      </c>
      <c r="U2488" s="734" t="s">
        <v>5760</v>
      </c>
      <c r="V2488" s="735"/>
      <c r="W2488" s="736"/>
      <c r="X2488" s="737"/>
      <c r="Y2488" s="745" t="s">
        <v>5654</v>
      </c>
      <c r="Z2488" s="747"/>
      <c r="AA2488" s="747"/>
      <c r="AB2488" s="740">
        <v>16</v>
      </c>
      <c r="AC2488" s="741"/>
      <c r="AD2488" s="741" t="str">
        <f>'DICTIONARY-5'!$A$13</f>
        <v>woda pitna</v>
      </c>
      <c r="AE2488" s="742">
        <v>50</v>
      </c>
      <c r="AF2488" s="743">
        <v>40.5</v>
      </c>
      <c r="AG2488" s="741" t="str">
        <f>'DICTIONARY-5'!$A$23</f>
        <v>powłoka epoksydowa</v>
      </c>
    </row>
    <row r="2489" spans="1:33" x14ac:dyDescent="0.25">
      <c r="A2489" s="880" t="s">
        <v>2375</v>
      </c>
      <c r="B2489" s="880" t="s">
        <v>4198</v>
      </c>
      <c r="C2489" s="836">
        <v>1193</v>
      </c>
      <c r="D2489" s="836"/>
      <c r="E2489" s="836"/>
      <c r="F2489" s="836"/>
      <c r="G2489" s="871" t="s">
        <v>7855</v>
      </c>
      <c r="H2489" s="797" t="str">
        <f>VLOOKUP(G2489,SETTINGS!$B$7:$D$97,2,0)</f>
        <v>BEV-Garnitur</v>
      </c>
      <c r="I2489" s="796">
        <f>VLOOKUP(G2489,SETTINGS!$B$7:$D$97,3,0)</f>
        <v>0</v>
      </c>
      <c r="J2489" s="670" t="str">
        <f>IFERROR(IF(CURRENCY.FORMAT_1=0,CONCATENATE(TEXT(FIXED(ROUND((C2489/EXC.RATE_1),CURRENCY.FORMAT_1),CURRENCY.FORMAT_1,1),"# ##0;-# ##0"),",-"),FIXED(ROUND((C2489/EXC.RATE_1),CURRENCY.FORMAT_1),CURRENCY.FORMAT_1,0)),'DICTIONARY-5'!$A$2)</f>
        <v>1 193,-</v>
      </c>
      <c r="K2489" s="670" t="str">
        <f>IF(EXC.RATE_2=0,"",IFERROR(IF(CURRENCY.FORMAT_2=0,CONCATENATE(TEXT(FIXED(ROUND(IF(EXC.RATE.SWITCH=1,C2489/EXC.RATE_2,C2489*EXC.RATE_2),CURRENCY.FORMAT_2),CURRENCY.FORMAT_2,1),"# ##0;-# ##0"),",-"),FIXED(ROUND(IF(EXC.RATE.SWITCH=1,C2489/EXC.RATE_2,C2489*EXC.RATE_2),CURRENCY.FORMAT_2),CURRENCY.FORMAT_2,0)),'DICTIONARY-5'!$A$2))</f>
        <v/>
      </c>
      <c r="L2489" s="670" t="str">
        <f>IFERROR(IF(CURRENCY.FORMAT_1=0,CONCATENATE(TEXT(FIXED(ROUND((C2489*(1-I2489)*(1-ADD.DISCOUNT)*(1+MAT.SURCHARGE)/EXC.RATE_1),CURRENCY.FORMAT_1),CURRENCY.FORMAT_1,1),"# ##0;-# ##0"),",-"),FIXED(ROUND((C2489*(1-I2489)*(1-ADD.DISCOUNT)*(1+MAT.SURCHARGE)/EXC.RATE_1),CURRENCY.FORMAT_1),CURRENCY.FORMAT_1,0)),'DICTIONARY-5'!$A$2)</f>
        <v>1 240,-</v>
      </c>
      <c r="M2489" s="670" t="str">
        <f>IF(EXC.RATE_2=0,"",IFERROR(IF(CURRENCY.FORMAT_2=0,CONCATENATE(TEXT(FIXED(ROUND(IF(EXC.RATE.SWITCH=1,C2489*(1-I2489)*(1-ADD.DISCOUNT)*(1+MAT.SURCHARGE)/EXC.RATE_2,C2489*(1-I2489)*(1-ADD.DISCOUNT)*(1+MAT.SURCHARGE)*EXC.RATE_2),CURRENCY.FORMAT_2),CURRENCY.FORMAT_2,1),"# ##0;-# ##0"),",-"),FIXED(ROUND(IF(EXC.RATE.SWITCH=1,C2489*(1-I2489)*(1-ADD.DISCOUNT)*(1+MAT.SURCHARGE)/EXC.RATE_2,C2489*(1-I2489)*(1-ADD.DISCOUNT)*(1+MAT.SURCHARGE)*EXC.RATE_2),CURRENCY.FORMAT_2),CURRENCY.FORMAT_2,0)),'DICTIONARY-5'!$A$2))</f>
        <v/>
      </c>
      <c r="N2489" s="536">
        <v>12</v>
      </c>
      <c r="O2489" s="536"/>
      <c r="P2489" s="732" t="str">
        <f>'DICTIONARY-3'!$A$181</f>
        <v>BAIO BEV</v>
      </c>
      <c r="Q2489" s="732" t="str">
        <f>'DICTIONARY-3'!$A$207</f>
        <v>Zawór na- i odpowietrzający</v>
      </c>
      <c r="R2489" s="732" t="str">
        <f>CONCATENATE('DICTIONARY-3'!$A$181," ",'DICTIONARY-6'!$A$8," ",'DICTIONARY-2'!$A$2,"80"," ",'DICTIONARY-2'!$A$10,"16",'DICTIONARY-2'!$A$20," ",'DICTIONARY-2'!$A$7,"1,0m",", ",'DICTIONARY-6'!$A$42," ",'DICTIONARY-2'!$A$2,"50")</f>
        <v>BAIO BEV Zaw. na-/odpowietrz. DN80 PS16bar Rd1,0m, wbudow. zaw. DN50</v>
      </c>
      <c r="S2489" s="733" t="str">
        <f>'DICTIONARY-4'!$A$17</f>
        <v>AS</v>
      </c>
      <c r="T2489" s="732" t="str">
        <f>'DICTIONARY-4'!$A$33</f>
        <v>Automatyczne sterowanie</v>
      </c>
      <c r="U2489" s="734" t="s">
        <v>5760</v>
      </c>
      <c r="V2489" s="735"/>
      <c r="W2489" s="736"/>
      <c r="X2489" s="737"/>
      <c r="Y2489" s="745" t="s">
        <v>5652</v>
      </c>
      <c r="Z2489" s="747"/>
      <c r="AA2489" s="747"/>
      <c r="AB2489" s="740">
        <v>16</v>
      </c>
      <c r="AC2489" s="741"/>
      <c r="AD2489" s="741" t="str">
        <f>'DICTIONARY-5'!$A$13</f>
        <v>woda pitna</v>
      </c>
      <c r="AE2489" s="742">
        <v>50</v>
      </c>
      <c r="AF2489" s="743">
        <v>41.5</v>
      </c>
      <c r="AG2489" s="741" t="str">
        <f>'DICTIONARY-5'!$A$23</f>
        <v>powłoka epoksydowa</v>
      </c>
    </row>
    <row r="2490" spans="1:33" x14ac:dyDescent="0.25">
      <c r="A2490" s="880" t="s">
        <v>2376</v>
      </c>
      <c r="B2490" s="880" t="s">
        <v>4199</v>
      </c>
      <c r="C2490" s="836">
        <v>1266</v>
      </c>
      <c r="D2490" s="836"/>
      <c r="E2490" s="836"/>
      <c r="F2490" s="836"/>
      <c r="G2490" s="871" t="s">
        <v>7855</v>
      </c>
      <c r="H2490" s="797" t="str">
        <f>VLOOKUP(G2490,SETTINGS!$B$7:$D$97,2,0)</f>
        <v>BEV-Garnitur</v>
      </c>
      <c r="I2490" s="796">
        <f>VLOOKUP(G2490,SETTINGS!$B$7:$D$97,3,0)</f>
        <v>0</v>
      </c>
      <c r="J2490" s="670" t="str">
        <f>IFERROR(IF(CURRENCY.FORMAT_1=0,CONCATENATE(TEXT(FIXED(ROUND((C2490/EXC.RATE_1),CURRENCY.FORMAT_1),CURRENCY.FORMAT_1,1),"# ##0;-# ##0"),",-"),FIXED(ROUND((C2490/EXC.RATE_1),CURRENCY.FORMAT_1),CURRENCY.FORMAT_1,0)),'DICTIONARY-5'!$A$2)</f>
        <v>1 266,-</v>
      </c>
      <c r="K2490" s="670" t="str">
        <f>IF(EXC.RATE_2=0,"",IFERROR(IF(CURRENCY.FORMAT_2=0,CONCATENATE(TEXT(FIXED(ROUND(IF(EXC.RATE.SWITCH=1,C2490/EXC.RATE_2,C2490*EXC.RATE_2),CURRENCY.FORMAT_2),CURRENCY.FORMAT_2,1),"# ##0;-# ##0"),",-"),FIXED(ROUND(IF(EXC.RATE.SWITCH=1,C2490/EXC.RATE_2,C2490*EXC.RATE_2),CURRENCY.FORMAT_2),CURRENCY.FORMAT_2,0)),'DICTIONARY-5'!$A$2))</f>
        <v/>
      </c>
      <c r="L2490" s="670" t="str">
        <f>IFERROR(IF(CURRENCY.FORMAT_1=0,CONCATENATE(TEXT(FIXED(ROUND((C2490*(1-I2490)*(1-ADD.DISCOUNT)*(1+MAT.SURCHARGE)/EXC.RATE_1),CURRENCY.FORMAT_1),CURRENCY.FORMAT_1,1),"# ##0;-# ##0"),",-"),FIXED(ROUND((C2490*(1-I2490)*(1-ADD.DISCOUNT)*(1+MAT.SURCHARGE)/EXC.RATE_1),CURRENCY.FORMAT_1),CURRENCY.FORMAT_1,0)),'DICTIONARY-5'!$A$2)</f>
        <v>1 315,-</v>
      </c>
      <c r="M2490" s="670" t="str">
        <f>IF(EXC.RATE_2=0,"",IFERROR(IF(CURRENCY.FORMAT_2=0,CONCATENATE(TEXT(FIXED(ROUND(IF(EXC.RATE.SWITCH=1,C2490*(1-I2490)*(1-ADD.DISCOUNT)*(1+MAT.SURCHARGE)/EXC.RATE_2,C2490*(1-I2490)*(1-ADD.DISCOUNT)*(1+MAT.SURCHARGE)*EXC.RATE_2),CURRENCY.FORMAT_2),CURRENCY.FORMAT_2,1),"# ##0;-# ##0"),",-"),FIXED(ROUND(IF(EXC.RATE.SWITCH=1,C2490*(1-I2490)*(1-ADD.DISCOUNT)*(1+MAT.SURCHARGE)/EXC.RATE_2,C2490*(1-I2490)*(1-ADD.DISCOUNT)*(1+MAT.SURCHARGE)*EXC.RATE_2),CURRENCY.FORMAT_2),CURRENCY.FORMAT_2,0)),'DICTIONARY-5'!$A$2))</f>
        <v/>
      </c>
      <c r="N2490" s="536">
        <v>12</v>
      </c>
      <c r="O2490" s="536"/>
      <c r="P2490" s="732" t="str">
        <f>'DICTIONARY-3'!$A$181</f>
        <v>BAIO BEV</v>
      </c>
      <c r="Q2490" s="732" t="str">
        <f>'DICTIONARY-3'!$A$207</f>
        <v>Zawór na- i odpowietrzający</v>
      </c>
      <c r="R2490" s="732" t="str">
        <f>CONCATENATE('DICTIONARY-3'!$A$181," ",'DICTIONARY-6'!$A$8," ",'DICTIONARY-2'!$A$2,"80"," ",'DICTIONARY-2'!$A$10,"16",'DICTIONARY-2'!$A$20," ",'DICTIONARY-2'!$A$7,"1,25m",", ",'DICTIONARY-6'!$A$42," ",'DICTIONARY-2'!$A$2,"50")</f>
        <v>BAIO BEV Zaw. na-/odpowietrz. DN80 PS16bar Rd1,25m, wbudow. zaw. DN50</v>
      </c>
      <c r="S2490" s="733" t="str">
        <f>'DICTIONARY-4'!$A$17</f>
        <v>AS</v>
      </c>
      <c r="T2490" s="732" t="str">
        <f>'DICTIONARY-4'!$A$33</f>
        <v>Automatyczne sterowanie</v>
      </c>
      <c r="U2490" s="734" t="s">
        <v>5760</v>
      </c>
      <c r="V2490" s="735"/>
      <c r="W2490" s="736"/>
      <c r="X2490" s="737"/>
      <c r="Y2490" s="745" t="s">
        <v>5653</v>
      </c>
      <c r="Z2490" s="747"/>
      <c r="AA2490" s="747"/>
      <c r="AB2490" s="740">
        <v>16</v>
      </c>
      <c r="AC2490" s="741"/>
      <c r="AD2490" s="741" t="str">
        <f>'DICTIONARY-5'!$A$13</f>
        <v>woda pitna</v>
      </c>
      <c r="AE2490" s="742">
        <v>50</v>
      </c>
      <c r="AF2490" s="743">
        <v>45</v>
      </c>
      <c r="AG2490" s="741" t="str">
        <f>'DICTIONARY-5'!$A$23</f>
        <v>powłoka epoksydowa</v>
      </c>
    </row>
    <row r="2491" spans="1:33" x14ac:dyDescent="0.25">
      <c r="A2491" s="880" t="s">
        <v>2377</v>
      </c>
      <c r="B2491" s="880" t="s">
        <v>4200</v>
      </c>
      <c r="C2491" s="836">
        <v>1315</v>
      </c>
      <c r="D2491" s="836"/>
      <c r="E2491" s="836"/>
      <c r="F2491" s="836"/>
      <c r="G2491" s="871" t="s">
        <v>7855</v>
      </c>
      <c r="H2491" s="797" t="str">
        <f>VLOOKUP(G2491,SETTINGS!$B$7:$D$97,2,0)</f>
        <v>BEV-Garnitur</v>
      </c>
      <c r="I2491" s="796">
        <f>VLOOKUP(G2491,SETTINGS!$B$7:$D$97,3,0)</f>
        <v>0</v>
      </c>
      <c r="J2491" s="670" t="str">
        <f>IFERROR(IF(CURRENCY.FORMAT_1=0,CONCATENATE(TEXT(FIXED(ROUND((C2491/EXC.RATE_1),CURRENCY.FORMAT_1),CURRENCY.FORMAT_1,1),"# ##0;-# ##0"),",-"),FIXED(ROUND((C2491/EXC.RATE_1),CURRENCY.FORMAT_1),CURRENCY.FORMAT_1,0)),'DICTIONARY-5'!$A$2)</f>
        <v>1 315,-</v>
      </c>
      <c r="K2491" s="670" t="str">
        <f>IF(EXC.RATE_2=0,"",IFERROR(IF(CURRENCY.FORMAT_2=0,CONCATENATE(TEXT(FIXED(ROUND(IF(EXC.RATE.SWITCH=1,C2491/EXC.RATE_2,C2491*EXC.RATE_2),CURRENCY.FORMAT_2),CURRENCY.FORMAT_2,1),"# ##0;-# ##0"),",-"),FIXED(ROUND(IF(EXC.RATE.SWITCH=1,C2491/EXC.RATE_2,C2491*EXC.RATE_2),CURRENCY.FORMAT_2),CURRENCY.FORMAT_2,0)),'DICTIONARY-5'!$A$2))</f>
        <v/>
      </c>
      <c r="L2491" s="670" t="str">
        <f>IFERROR(IF(CURRENCY.FORMAT_1=0,CONCATENATE(TEXT(FIXED(ROUND((C2491*(1-I2491)*(1-ADD.DISCOUNT)*(1+MAT.SURCHARGE)/EXC.RATE_1),CURRENCY.FORMAT_1),CURRENCY.FORMAT_1,1),"# ##0;-# ##0"),",-"),FIXED(ROUND((C2491*(1-I2491)*(1-ADD.DISCOUNT)*(1+MAT.SURCHARGE)/EXC.RATE_1),CURRENCY.FORMAT_1),CURRENCY.FORMAT_1,0)),'DICTIONARY-5'!$A$2)</f>
        <v>1 366,-</v>
      </c>
      <c r="M2491" s="670" t="str">
        <f>IF(EXC.RATE_2=0,"",IFERROR(IF(CURRENCY.FORMAT_2=0,CONCATENATE(TEXT(FIXED(ROUND(IF(EXC.RATE.SWITCH=1,C2491*(1-I2491)*(1-ADD.DISCOUNT)*(1+MAT.SURCHARGE)/EXC.RATE_2,C2491*(1-I2491)*(1-ADD.DISCOUNT)*(1+MAT.SURCHARGE)*EXC.RATE_2),CURRENCY.FORMAT_2),CURRENCY.FORMAT_2,1),"# ##0;-# ##0"),",-"),FIXED(ROUND(IF(EXC.RATE.SWITCH=1,C2491*(1-I2491)*(1-ADD.DISCOUNT)*(1+MAT.SURCHARGE)/EXC.RATE_2,C2491*(1-I2491)*(1-ADD.DISCOUNT)*(1+MAT.SURCHARGE)*EXC.RATE_2),CURRENCY.FORMAT_2),CURRENCY.FORMAT_2,0)),'DICTIONARY-5'!$A$2))</f>
        <v/>
      </c>
      <c r="N2491" s="536">
        <v>12</v>
      </c>
      <c r="O2491" s="536"/>
      <c r="P2491" s="732" t="str">
        <f>'DICTIONARY-3'!$A$181</f>
        <v>BAIO BEV</v>
      </c>
      <c r="Q2491" s="732" t="str">
        <f>'DICTIONARY-3'!$A$207</f>
        <v>Zawór na- i odpowietrzający</v>
      </c>
      <c r="R2491" s="732" t="str">
        <f>CONCATENATE('DICTIONARY-3'!$A$181," ",'DICTIONARY-6'!$A$8," ",'DICTIONARY-2'!$A$2,"80"," ",'DICTIONARY-2'!$A$10,"16",'DICTIONARY-2'!$A$20," ",'DICTIONARY-2'!$A$7,"1,5m",", ",'DICTIONARY-6'!$A$42," ",'DICTIONARY-2'!$A$2,"50")</f>
        <v>BAIO BEV Zaw. na-/odpowietrz. DN80 PS16bar Rd1,5m, wbudow. zaw. DN50</v>
      </c>
      <c r="S2491" s="733" t="str">
        <f>'DICTIONARY-4'!$A$17</f>
        <v>AS</v>
      </c>
      <c r="T2491" s="732" t="str">
        <f>'DICTIONARY-4'!$A$33</f>
        <v>Automatyczne sterowanie</v>
      </c>
      <c r="U2491" s="734" t="s">
        <v>5760</v>
      </c>
      <c r="V2491" s="735"/>
      <c r="W2491" s="736"/>
      <c r="X2491" s="737"/>
      <c r="Y2491" s="745" t="s">
        <v>5654</v>
      </c>
      <c r="Z2491" s="747"/>
      <c r="AA2491" s="747"/>
      <c r="AB2491" s="740">
        <v>16</v>
      </c>
      <c r="AC2491" s="741"/>
      <c r="AD2491" s="741" t="str">
        <f>'DICTIONARY-5'!$A$13</f>
        <v>woda pitna</v>
      </c>
      <c r="AE2491" s="742">
        <v>50</v>
      </c>
      <c r="AF2491" s="743">
        <v>50</v>
      </c>
      <c r="AG2491" s="741" t="str">
        <f>'DICTIONARY-5'!$A$23</f>
        <v>powłoka epoksydowa</v>
      </c>
    </row>
    <row r="2492" spans="1:33" x14ac:dyDescent="0.25">
      <c r="A2492" s="880" t="s">
        <v>2378</v>
      </c>
      <c r="B2492" s="880" t="s">
        <v>4201</v>
      </c>
      <c r="C2492" s="836">
        <v>1390</v>
      </c>
      <c r="D2492" s="836"/>
      <c r="E2492" s="836"/>
      <c r="F2492" s="836"/>
      <c r="G2492" s="871" t="s">
        <v>7855</v>
      </c>
      <c r="H2492" s="797" t="str">
        <f>VLOOKUP(G2492,SETTINGS!$B$7:$D$97,2,0)</f>
        <v>BEV-Garnitur</v>
      </c>
      <c r="I2492" s="796">
        <f>VLOOKUP(G2492,SETTINGS!$B$7:$D$97,3,0)</f>
        <v>0</v>
      </c>
      <c r="J2492" s="670" t="str">
        <f>IFERROR(IF(CURRENCY.FORMAT_1=0,CONCATENATE(TEXT(FIXED(ROUND((C2492/EXC.RATE_1),CURRENCY.FORMAT_1),CURRENCY.FORMAT_1,1),"# ##0;-# ##0"),",-"),FIXED(ROUND((C2492/EXC.RATE_1),CURRENCY.FORMAT_1),CURRENCY.FORMAT_1,0)),'DICTIONARY-5'!$A$2)</f>
        <v>1 390,-</v>
      </c>
      <c r="K2492" s="670" t="str">
        <f>IF(EXC.RATE_2=0,"",IFERROR(IF(CURRENCY.FORMAT_2=0,CONCATENATE(TEXT(FIXED(ROUND(IF(EXC.RATE.SWITCH=1,C2492/EXC.RATE_2,C2492*EXC.RATE_2),CURRENCY.FORMAT_2),CURRENCY.FORMAT_2,1),"# ##0;-# ##0"),",-"),FIXED(ROUND(IF(EXC.RATE.SWITCH=1,C2492/EXC.RATE_2,C2492*EXC.RATE_2),CURRENCY.FORMAT_2),CURRENCY.FORMAT_2,0)),'DICTIONARY-5'!$A$2))</f>
        <v/>
      </c>
      <c r="L2492" s="670" t="str">
        <f>IFERROR(IF(CURRENCY.FORMAT_1=0,CONCATENATE(TEXT(FIXED(ROUND((C2492*(1-I2492)*(1-ADD.DISCOUNT)*(1+MAT.SURCHARGE)/EXC.RATE_1),CURRENCY.FORMAT_1),CURRENCY.FORMAT_1,1),"# ##0;-# ##0"),",-"),FIXED(ROUND((C2492*(1-I2492)*(1-ADD.DISCOUNT)*(1+MAT.SURCHARGE)/EXC.RATE_1),CURRENCY.FORMAT_1),CURRENCY.FORMAT_1,0)),'DICTIONARY-5'!$A$2)</f>
        <v>1 444,-</v>
      </c>
      <c r="M2492" s="670" t="str">
        <f>IF(EXC.RATE_2=0,"",IFERROR(IF(CURRENCY.FORMAT_2=0,CONCATENATE(TEXT(FIXED(ROUND(IF(EXC.RATE.SWITCH=1,C2492*(1-I2492)*(1-ADD.DISCOUNT)*(1+MAT.SURCHARGE)/EXC.RATE_2,C2492*(1-I2492)*(1-ADD.DISCOUNT)*(1+MAT.SURCHARGE)*EXC.RATE_2),CURRENCY.FORMAT_2),CURRENCY.FORMAT_2,1),"# ##0;-# ##0"),",-"),FIXED(ROUND(IF(EXC.RATE.SWITCH=1,C2492*(1-I2492)*(1-ADD.DISCOUNT)*(1+MAT.SURCHARGE)/EXC.RATE_2,C2492*(1-I2492)*(1-ADD.DISCOUNT)*(1+MAT.SURCHARGE)*EXC.RATE_2),CURRENCY.FORMAT_2),CURRENCY.FORMAT_2,0)),'DICTIONARY-5'!$A$2))</f>
        <v/>
      </c>
      <c r="N2492" s="536">
        <v>12</v>
      </c>
      <c r="O2492" s="536"/>
      <c r="P2492" s="732" t="str">
        <f>'DICTIONARY-3'!$A$181</f>
        <v>BAIO BEV</v>
      </c>
      <c r="Q2492" s="732" t="str">
        <f>'DICTIONARY-3'!$A$207</f>
        <v>Zawór na- i odpowietrzający</v>
      </c>
      <c r="R2492" s="732" t="str">
        <f>CONCATENATE('DICTIONARY-3'!$A$181," ",'DICTIONARY-6'!$A$8," ",'DICTIONARY-2'!$A$2,"80"," ",'DICTIONARY-2'!$A$10,"16",'DICTIONARY-2'!$A$20," ",'DICTIONARY-2'!$A$7,"1,75m",", ",'DICTIONARY-6'!$A$42," ",'DICTIONARY-2'!$A$2,"50")</f>
        <v>BAIO BEV Zaw. na-/odpowietrz. DN80 PS16bar Rd1,75m, wbudow. zaw. DN50</v>
      </c>
      <c r="S2492" s="733" t="str">
        <f>'DICTIONARY-4'!$A$17</f>
        <v>AS</v>
      </c>
      <c r="T2492" s="732" t="str">
        <f>'DICTIONARY-4'!$A$33</f>
        <v>Automatyczne sterowanie</v>
      </c>
      <c r="U2492" s="734" t="s">
        <v>5760</v>
      </c>
      <c r="V2492" s="735"/>
      <c r="W2492" s="736"/>
      <c r="X2492" s="737"/>
      <c r="Y2492" s="745" t="s">
        <v>5655</v>
      </c>
      <c r="Z2492" s="747"/>
      <c r="AA2492" s="747"/>
      <c r="AB2492" s="740">
        <v>16</v>
      </c>
      <c r="AC2492" s="741"/>
      <c r="AD2492" s="741" t="str">
        <f>'DICTIONARY-5'!$A$13</f>
        <v>woda pitna</v>
      </c>
      <c r="AE2492" s="742">
        <v>50</v>
      </c>
      <c r="AF2492" s="743">
        <v>55.5</v>
      </c>
      <c r="AG2492" s="741" t="str">
        <f>'DICTIONARY-5'!$A$23</f>
        <v>powłoka epoksydowa</v>
      </c>
    </row>
    <row r="2493" spans="1:33" x14ac:dyDescent="0.25">
      <c r="A2493" s="880" t="s">
        <v>2379</v>
      </c>
      <c r="B2493" s="880" t="s">
        <v>2852</v>
      </c>
      <c r="C2493" s="836">
        <v>573</v>
      </c>
      <c r="D2493" s="836"/>
      <c r="E2493" s="836"/>
      <c r="F2493" s="836"/>
      <c r="G2493" s="496" t="s">
        <v>7851</v>
      </c>
      <c r="H2493" s="797" t="str">
        <f>VLOOKUP(G2493,SETTINGS!$B$7:$D$97,2,0)</f>
        <v>BAIO Fittings</v>
      </c>
      <c r="I2493" s="796">
        <f>VLOOKUP(G2493,SETTINGS!$B$7:$D$97,3,0)</f>
        <v>0</v>
      </c>
      <c r="J2493" s="670" t="str">
        <f>IFERROR(IF(CURRENCY.FORMAT_1=0,CONCATENATE(TEXT(FIXED(ROUND((C2493/EXC.RATE_1),CURRENCY.FORMAT_1),CURRENCY.FORMAT_1,1),"# ##0;-# ##0"),",-"),FIXED(ROUND((C2493/EXC.RATE_1),CURRENCY.FORMAT_1),CURRENCY.FORMAT_1,0)),'DICTIONARY-5'!$A$2)</f>
        <v>573,-</v>
      </c>
      <c r="K2493" s="670" t="str">
        <f>IF(EXC.RATE_2=0,"",IFERROR(IF(CURRENCY.FORMAT_2=0,CONCATENATE(TEXT(FIXED(ROUND(IF(EXC.RATE.SWITCH=1,C2493/EXC.RATE_2,C2493*EXC.RATE_2),CURRENCY.FORMAT_2),CURRENCY.FORMAT_2,1),"# ##0;-# ##0"),",-"),FIXED(ROUND(IF(EXC.RATE.SWITCH=1,C2493/EXC.RATE_2,C2493*EXC.RATE_2),CURRENCY.FORMAT_2),CURRENCY.FORMAT_2,0)),'DICTIONARY-5'!$A$2))</f>
        <v/>
      </c>
      <c r="L2493" s="670" t="str">
        <f>IFERROR(IF(CURRENCY.FORMAT_1=0,CONCATENATE(TEXT(FIXED(ROUND((C2493*(1-I2493)*(1-ADD.DISCOUNT)*(1+MAT.SURCHARGE)/EXC.RATE_1),CURRENCY.FORMAT_1),CURRENCY.FORMAT_1,1),"# ##0;-# ##0"),",-"),FIXED(ROUND((C2493*(1-I2493)*(1-ADD.DISCOUNT)*(1+MAT.SURCHARGE)/EXC.RATE_1),CURRENCY.FORMAT_1),CURRENCY.FORMAT_1,0)),'DICTIONARY-5'!$A$2)</f>
        <v>595,-</v>
      </c>
      <c r="M2493" s="670" t="str">
        <f>IF(EXC.RATE_2=0,"",IFERROR(IF(CURRENCY.FORMAT_2=0,CONCATENATE(TEXT(FIXED(ROUND(IF(EXC.RATE.SWITCH=1,C2493*(1-I2493)*(1-ADD.DISCOUNT)*(1+MAT.SURCHARGE)/EXC.RATE_2,C2493*(1-I2493)*(1-ADD.DISCOUNT)*(1+MAT.SURCHARGE)*EXC.RATE_2),CURRENCY.FORMAT_2),CURRENCY.FORMAT_2,1),"# ##0;-# ##0"),",-"),FIXED(ROUND(IF(EXC.RATE.SWITCH=1,C2493*(1-I2493)*(1-ADD.DISCOUNT)*(1+MAT.SURCHARGE)/EXC.RATE_2,C2493*(1-I2493)*(1-ADD.DISCOUNT)*(1+MAT.SURCHARGE)*EXC.RATE_2),CURRENCY.FORMAT_2),CURRENCY.FORMAT_2,0)),'DICTIONARY-5'!$A$2))</f>
        <v/>
      </c>
      <c r="N2493" s="536">
        <v>12</v>
      </c>
      <c r="O2493" s="536"/>
      <c r="P2493" s="732" t="str">
        <f>'DICTIONARY-3'!$A$153&amp;" "&amp;'DICTIONARY-3'!$A$155</f>
        <v>BAIO B</v>
      </c>
      <c r="Q2493" s="732" t="str">
        <f>'DICTIONARY-3'!$A$223</f>
        <v>Kształtka</v>
      </c>
      <c r="R2493" s="732" t="str">
        <f>CONCATENATE('DICTIONARY-3'!$A$153," ",'DICTIONARY-3'!$A$175&amp;'DICTIONARY-3'!$A$155&amp;'DICTIONARY-3'!$A$174," ",'DICTIONARY-2'!$A$2,"100/80"," ",'DICTIONARY-2'!$A$10,"16",'DICTIONARY-2'!$A$20," ",'DICTIONARY-2'!$A$24,"=","850/745",'DICTIONARY-2'!$A$17,", ","2×",'DICTIONARY-5'!$A$198,"+1×",'DICTIONARY-5'!$A$199)</f>
        <v>BAIO Kształtka-B‎ DN100/80 PS16bar L=850/745mm, 2×mufa+1×końcówka bosa</v>
      </c>
      <c r="S2493" s="733" t="s">
        <v>5569</v>
      </c>
      <c r="T2493" s="732" t="s">
        <v>5569</v>
      </c>
      <c r="U2493" s="748" t="s">
        <v>5849</v>
      </c>
      <c r="V2493" s="735"/>
      <c r="W2493" s="736"/>
      <c r="X2493" s="737"/>
      <c r="Y2493" s="738"/>
      <c r="Z2493" s="739"/>
      <c r="AA2493" s="739"/>
      <c r="AB2493" s="740">
        <v>16</v>
      </c>
      <c r="AC2493" s="733" t="s">
        <v>5631</v>
      </c>
      <c r="AD2493" s="741" t="str">
        <f>'DICTIONARY-5'!$A$13</f>
        <v>woda pitna</v>
      </c>
      <c r="AE2493" s="742">
        <v>50</v>
      </c>
      <c r="AF2493" s="743">
        <v>23</v>
      </c>
      <c r="AG2493" s="741" t="str">
        <f>'DICTIONARY-5'!$A$23</f>
        <v>powłoka epoksydowa</v>
      </c>
    </row>
    <row r="2494" spans="1:33" x14ac:dyDescent="0.25">
      <c r="A2494" s="880" t="s">
        <v>2380</v>
      </c>
      <c r="B2494" s="880" t="s">
        <v>2853</v>
      </c>
      <c r="C2494" s="836">
        <v>1340</v>
      </c>
      <c r="D2494" s="836"/>
      <c r="E2494" s="836"/>
      <c r="F2494" s="836"/>
      <c r="G2494" s="496" t="s">
        <v>7851</v>
      </c>
      <c r="H2494" s="797" t="str">
        <f>VLOOKUP(G2494,SETTINGS!$B$7:$D$97,2,0)</f>
        <v>BAIO Fittings</v>
      </c>
      <c r="I2494" s="796">
        <f>VLOOKUP(G2494,SETTINGS!$B$7:$D$97,3,0)</f>
        <v>0</v>
      </c>
      <c r="J2494" s="670" t="str">
        <f>IFERROR(IF(CURRENCY.FORMAT_1=0,CONCATENATE(TEXT(FIXED(ROUND((C2494/EXC.RATE_1),CURRENCY.FORMAT_1),CURRENCY.FORMAT_1,1),"# ##0;-# ##0"),",-"),FIXED(ROUND((C2494/EXC.RATE_1),CURRENCY.FORMAT_1),CURRENCY.FORMAT_1,0)),'DICTIONARY-5'!$A$2)</f>
        <v>1 340,-</v>
      </c>
      <c r="K2494" s="670" t="str">
        <f>IF(EXC.RATE_2=0,"",IFERROR(IF(CURRENCY.FORMAT_2=0,CONCATENATE(TEXT(FIXED(ROUND(IF(EXC.RATE.SWITCH=1,C2494/EXC.RATE_2,C2494*EXC.RATE_2),CURRENCY.FORMAT_2),CURRENCY.FORMAT_2,1),"# ##0;-# ##0"),",-"),FIXED(ROUND(IF(EXC.RATE.SWITCH=1,C2494/EXC.RATE_2,C2494*EXC.RATE_2),CURRENCY.FORMAT_2),CURRENCY.FORMAT_2,0)),'DICTIONARY-5'!$A$2))</f>
        <v/>
      </c>
      <c r="L2494" s="670" t="str">
        <f>IFERROR(IF(CURRENCY.FORMAT_1=0,CONCATENATE(TEXT(FIXED(ROUND((C2494*(1-I2494)*(1-ADD.DISCOUNT)*(1+MAT.SURCHARGE)/EXC.RATE_1),CURRENCY.FORMAT_1),CURRENCY.FORMAT_1,1),"# ##0;-# ##0"),",-"),FIXED(ROUND((C2494*(1-I2494)*(1-ADD.DISCOUNT)*(1+MAT.SURCHARGE)/EXC.RATE_1),CURRENCY.FORMAT_1),CURRENCY.FORMAT_1,0)),'DICTIONARY-5'!$A$2)</f>
        <v>1 392,-</v>
      </c>
      <c r="M2494" s="670" t="str">
        <f>IF(EXC.RATE_2=0,"",IFERROR(IF(CURRENCY.FORMAT_2=0,CONCATENATE(TEXT(FIXED(ROUND(IF(EXC.RATE.SWITCH=1,C2494*(1-I2494)*(1-ADD.DISCOUNT)*(1+MAT.SURCHARGE)/EXC.RATE_2,C2494*(1-I2494)*(1-ADD.DISCOUNT)*(1+MAT.SURCHARGE)*EXC.RATE_2),CURRENCY.FORMAT_2),CURRENCY.FORMAT_2,1),"# ##0;-# ##0"),",-"),FIXED(ROUND(IF(EXC.RATE.SWITCH=1,C2494*(1-I2494)*(1-ADD.DISCOUNT)*(1+MAT.SURCHARGE)/EXC.RATE_2,C2494*(1-I2494)*(1-ADD.DISCOUNT)*(1+MAT.SURCHARGE)*EXC.RATE_2),CURRENCY.FORMAT_2),CURRENCY.FORMAT_2,0)),'DICTIONARY-5'!$A$2))</f>
        <v/>
      </c>
      <c r="N2494" s="536">
        <v>12</v>
      </c>
      <c r="O2494" s="536"/>
      <c r="P2494" s="732" t="str">
        <f>'DICTIONARY-3'!$A$153&amp;" "&amp;'DICTIONARY-3'!$A$155</f>
        <v>BAIO B</v>
      </c>
      <c r="Q2494" s="732" t="str">
        <f>'DICTIONARY-3'!$A$223</f>
        <v>Kształtka</v>
      </c>
      <c r="R2494" s="732" t="str">
        <f>CONCATENATE('DICTIONARY-3'!$A$153," ",'DICTIONARY-3'!$A$175&amp;'DICTIONARY-3'!$A$155&amp;'DICTIONARY-3'!$A$174," ",'DICTIONARY-2'!$A$2,"150/80"," ",'DICTIONARY-2'!$A$10,"16",'DICTIONARY-2'!$A$20," ",'DICTIONARY-2'!$A$24,"=","850/745",'DICTIONARY-2'!$A$17,", ","2×",'DICTIONARY-5'!$A$198,"+1×",'DICTIONARY-5'!$A$199)</f>
        <v>BAIO Kształtka-B‎ DN150/80 PS16bar L=850/745mm, 2×mufa+1×końcówka bosa</v>
      </c>
      <c r="S2494" s="733" t="s">
        <v>5569</v>
      </c>
      <c r="T2494" s="732" t="s">
        <v>5569</v>
      </c>
      <c r="U2494" s="748" t="s">
        <v>5850</v>
      </c>
      <c r="V2494" s="735"/>
      <c r="W2494" s="736"/>
      <c r="X2494" s="737"/>
      <c r="Y2494" s="738"/>
      <c r="Z2494" s="739"/>
      <c r="AA2494" s="739"/>
      <c r="AB2494" s="740">
        <v>16</v>
      </c>
      <c r="AC2494" s="733" t="s">
        <v>5631</v>
      </c>
      <c r="AD2494" s="741" t="str">
        <f>'DICTIONARY-5'!$A$13</f>
        <v>woda pitna</v>
      </c>
      <c r="AE2494" s="742">
        <v>50</v>
      </c>
      <c r="AF2494" s="743">
        <v>33.5</v>
      </c>
      <c r="AG2494" s="741" t="str">
        <f>'DICTIONARY-5'!$A$23</f>
        <v>powłoka epoksydowa</v>
      </c>
    </row>
    <row r="2495" spans="1:33" x14ac:dyDescent="0.25">
      <c r="A2495" s="880" t="s">
        <v>2381</v>
      </c>
      <c r="B2495" s="880" t="s">
        <v>2854</v>
      </c>
      <c r="C2495" s="836">
        <v>1461</v>
      </c>
      <c r="D2495" s="836"/>
      <c r="E2495" s="836"/>
      <c r="F2495" s="836"/>
      <c r="G2495" s="496" t="s">
        <v>7851</v>
      </c>
      <c r="H2495" s="797" t="str">
        <f>VLOOKUP(G2495,SETTINGS!$B$7:$D$97,2,0)</f>
        <v>BAIO Fittings</v>
      </c>
      <c r="I2495" s="796">
        <f>VLOOKUP(G2495,SETTINGS!$B$7:$D$97,3,0)</f>
        <v>0</v>
      </c>
      <c r="J2495" s="670" t="str">
        <f>IFERROR(IF(CURRENCY.FORMAT_1=0,CONCATENATE(TEXT(FIXED(ROUND((C2495/EXC.RATE_1),CURRENCY.FORMAT_1),CURRENCY.FORMAT_1,1),"# ##0;-# ##0"),",-"),FIXED(ROUND((C2495/EXC.RATE_1),CURRENCY.FORMAT_1),CURRENCY.FORMAT_1,0)),'DICTIONARY-5'!$A$2)</f>
        <v>1 461,-</v>
      </c>
      <c r="K2495" s="670" t="str">
        <f>IF(EXC.RATE_2=0,"",IFERROR(IF(CURRENCY.FORMAT_2=0,CONCATENATE(TEXT(FIXED(ROUND(IF(EXC.RATE.SWITCH=1,C2495/EXC.RATE_2,C2495*EXC.RATE_2),CURRENCY.FORMAT_2),CURRENCY.FORMAT_2,1),"# ##0;-# ##0"),",-"),FIXED(ROUND(IF(EXC.RATE.SWITCH=1,C2495/EXC.RATE_2,C2495*EXC.RATE_2),CURRENCY.FORMAT_2),CURRENCY.FORMAT_2,0)),'DICTIONARY-5'!$A$2))</f>
        <v/>
      </c>
      <c r="L2495" s="670" t="str">
        <f>IFERROR(IF(CURRENCY.FORMAT_1=0,CONCATENATE(TEXT(FIXED(ROUND((C2495*(1-I2495)*(1-ADD.DISCOUNT)*(1+MAT.SURCHARGE)/EXC.RATE_1),CURRENCY.FORMAT_1),CURRENCY.FORMAT_1,1),"# ##0;-# ##0"),",-"),FIXED(ROUND((C2495*(1-I2495)*(1-ADD.DISCOUNT)*(1+MAT.SURCHARGE)/EXC.RATE_1),CURRENCY.FORMAT_1),CURRENCY.FORMAT_1,0)),'DICTIONARY-5'!$A$2)</f>
        <v>1 518,-</v>
      </c>
      <c r="M2495" s="670" t="str">
        <f>IF(EXC.RATE_2=0,"",IFERROR(IF(CURRENCY.FORMAT_2=0,CONCATENATE(TEXT(FIXED(ROUND(IF(EXC.RATE.SWITCH=1,C2495*(1-I2495)*(1-ADD.DISCOUNT)*(1+MAT.SURCHARGE)/EXC.RATE_2,C2495*(1-I2495)*(1-ADD.DISCOUNT)*(1+MAT.SURCHARGE)*EXC.RATE_2),CURRENCY.FORMAT_2),CURRENCY.FORMAT_2,1),"# ##0;-# ##0"),",-"),FIXED(ROUND(IF(EXC.RATE.SWITCH=1,C2495*(1-I2495)*(1-ADD.DISCOUNT)*(1+MAT.SURCHARGE)/EXC.RATE_2,C2495*(1-I2495)*(1-ADD.DISCOUNT)*(1+MAT.SURCHARGE)*EXC.RATE_2),CURRENCY.FORMAT_2),CURRENCY.FORMAT_2,0)),'DICTIONARY-5'!$A$2))</f>
        <v/>
      </c>
      <c r="N2495" s="536">
        <v>12</v>
      </c>
      <c r="O2495" s="536"/>
      <c r="P2495" s="732" t="str">
        <f>'DICTIONARY-3'!$A$153&amp;" "&amp;'DICTIONARY-3'!$A$155</f>
        <v>BAIO B</v>
      </c>
      <c r="Q2495" s="732" t="str">
        <f>'DICTIONARY-3'!$A$223</f>
        <v>Kształtka</v>
      </c>
      <c r="R2495" s="732" t="str">
        <f>CONCATENATE('DICTIONARY-3'!$A$153," ",'DICTIONARY-3'!$A$175&amp;'DICTIONARY-3'!$A$155&amp;'DICTIONARY-3'!$A$174," ",'DICTIONARY-2'!$A$2,"200/80"," ",'DICTIONARY-2'!$A$10,"16",'DICTIONARY-2'!$A$20," ",'DICTIONARY-2'!$A$24,"=","850/745",'DICTIONARY-2'!$A$17,", ","2×",'DICTIONARY-5'!$A$198,"+1×",'DICTIONARY-5'!$A$199)</f>
        <v>BAIO Kształtka-B‎ DN200/80 PS16bar L=850/745mm, 2×mufa+1×końcówka bosa</v>
      </c>
      <c r="S2495" s="733" t="s">
        <v>5569</v>
      </c>
      <c r="T2495" s="732" t="s">
        <v>5569</v>
      </c>
      <c r="U2495" s="748" t="s">
        <v>5851</v>
      </c>
      <c r="V2495" s="735"/>
      <c r="W2495" s="736"/>
      <c r="X2495" s="737"/>
      <c r="Y2495" s="738"/>
      <c r="Z2495" s="739"/>
      <c r="AA2495" s="739"/>
      <c r="AB2495" s="740">
        <v>16</v>
      </c>
      <c r="AC2495" s="733" t="s">
        <v>5631</v>
      </c>
      <c r="AD2495" s="741" t="str">
        <f>'DICTIONARY-5'!$A$13</f>
        <v>woda pitna</v>
      </c>
      <c r="AE2495" s="742">
        <v>50</v>
      </c>
      <c r="AF2495" s="743">
        <v>45.5</v>
      </c>
      <c r="AG2495" s="741" t="str">
        <f>'DICTIONARY-5'!$A$23</f>
        <v>powłoka epoksydowa</v>
      </c>
    </row>
    <row r="2496" spans="1:33" x14ac:dyDescent="0.25">
      <c r="A2496" s="880" t="s">
        <v>2382</v>
      </c>
      <c r="B2496" s="880" t="s">
        <v>2822</v>
      </c>
      <c r="C2496" s="836">
        <v>117</v>
      </c>
      <c r="D2496" s="836"/>
      <c r="E2496" s="836"/>
      <c r="F2496" s="836"/>
      <c r="G2496" s="496" t="s">
        <v>7851</v>
      </c>
      <c r="H2496" s="797" t="str">
        <f>VLOOKUP(G2496,SETTINGS!$B$7:$D$97,2,0)</f>
        <v>BAIO Fittings</v>
      </c>
      <c r="I2496" s="796">
        <f>VLOOKUP(G2496,SETTINGS!$B$7:$D$97,3,0)</f>
        <v>0</v>
      </c>
      <c r="J2496" s="670" t="str">
        <f>IFERROR(IF(CURRENCY.FORMAT_1=0,CONCATENATE(TEXT(FIXED(ROUND((C2496/EXC.RATE_1),CURRENCY.FORMAT_1),CURRENCY.FORMAT_1,1),"# ##0;-# ##0"),",-"),FIXED(ROUND((C2496/EXC.RATE_1),CURRENCY.FORMAT_1),CURRENCY.FORMAT_1,0)),'DICTIONARY-5'!$A$2)</f>
        <v>117,-</v>
      </c>
      <c r="K2496" s="670" t="str">
        <f>IF(EXC.RATE_2=0,"",IFERROR(IF(CURRENCY.FORMAT_2=0,CONCATENATE(TEXT(FIXED(ROUND(IF(EXC.RATE.SWITCH=1,C2496/EXC.RATE_2,C2496*EXC.RATE_2),CURRENCY.FORMAT_2),CURRENCY.FORMAT_2,1),"# ##0;-# ##0"),",-"),FIXED(ROUND(IF(EXC.RATE.SWITCH=1,C2496/EXC.RATE_2,C2496*EXC.RATE_2),CURRENCY.FORMAT_2),CURRENCY.FORMAT_2,0)),'DICTIONARY-5'!$A$2))</f>
        <v/>
      </c>
      <c r="L2496" s="670" t="str">
        <f>IFERROR(IF(CURRENCY.FORMAT_1=0,CONCATENATE(TEXT(FIXED(ROUND((C2496*(1-I2496)*(1-ADD.DISCOUNT)*(1+MAT.SURCHARGE)/EXC.RATE_1),CURRENCY.FORMAT_1),CURRENCY.FORMAT_1,1),"# ##0;-# ##0"),",-"),FIXED(ROUND((C2496*(1-I2496)*(1-ADD.DISCOUNT)*(1+MAT.SURCHARGE)/EXC.RATE_1),CURRENCY.FORMAT_1),CURRENCY.FORMAT_1,0)),'DICTIONARY-5'!$A$2)</f>
        <v>122,-</v>
      </c>
      <c r="M2496" s="670" t="str">
        <f>IF(EXC.RATE_2=0,"",IFERROR(IF(CURRENCY.FORMAT_2=0,CONCATENATE(TEXT(FIXED(ROUND(IF(EXC.RATE.SWITCH=1,C2496*(1-I2496)*(1-ADD.DISCOUNT)*(1+MAT.SURCHARGE)/EXC.RATE_2,C2496*(1-I2496)*(1-ADD.DISCOUNT)*(1+MAT.SURCHARGE)*EXC.RATE_2),CURRENCY.FORMAT_2),CURRENCY.FORMAT_2,1),"# ##0;-# ##0"),",-"),FIXED(ROUND(IF(EXC.RATE.SWITCH=1,C2496*(1-I2496)*(1-ADD.DISCOUNT)*(1+MAT.SURCHARGE)/EXC.RATE_2,C2496*(1-I2496)*(1-ADD.DISCOUNT)*(1+MAT.SURCHARGE)*EXC.RATE_2),CURRENCY.FORMAT_2),CURRENCY.FORMAT_2,0)),'DICTIONARY-5'!$A$2))</f>
        <v/>
      </c>
      <c r="N2496" s="536">
        <v>12</v>
      </c>
      <c r="O2496" s="536"/>
      <c r="P2496" s="732" t="str">
        <f>'DICTIONARY-3'!$A$153&amp;" "&amp;'DICTIONARY-3'!$A$156</f>
        <v>BAIO S</v>
      </c>
      <c r="Q2496" s="732" t="str">
        <f>'DICTIONARY-3'!$A$223</f>
        <v>Kształtka</v>
      </c>
      <c r="R2496" s="732" t="str">
        <f>CONCATENATE('DICTIONARY-3'!$A$153," ",'DICTIONARY-3'!$A$175&amp;'DICTIONARY-3'!$A$156&amp;'DICTIONARY-3'!$A$174," ",'DICTIONARY-2'!$A$2,"80"," ",'DICTIONARY-2'!$A$10,"16",'DICTIONARY-2'!$A$20," ",'DICTIONARY-2'!$A$24,"=","215/45",'DICTIONARY-2'!$A$17,", ","2×",'DICTIONARY-5'!$A$199)</f>
        <v>BAIO Kształtka-S‎ DN80 PS16bar L=215/45mm, 2×końcówka bosa</v>
      </c>
      <c r="S2496" s="733" t="s">
        <v>5569</v>
      </c>
      <c r="T2496" s="732" t="s">
        <v>5569</v>
      </c>
      <c r="U2496" s="734" t="s">
        <v>5760</v>
      </c>
      <c r="V2496" s="735"/>
      <c r="W2496" s="736"/>
      <c r="X2496" s="737"/>
      <c r="Y2496" s="738"/>
      <c r="Z2496" s="739"/>
      <c r="AA2496" s="739"/>
      <c r="AB2496" s="740">
        <v>16</v>
      </c>
      <c r="AC2496" s="733" t="s">
        <v>5632</v>
      </c>
      <c r="AD2496" s="741" t="str">
        <f>'DICTIONARY-5'!$A$13</f>
        <v>woda pitna</v>
      </c>
      <c r="AE2496" s="742">
        <v>50</v>
      </c>
      <c r="AF2496" s="743">
        <v>3</v>
      </c>
      <c r="AG2496" s="741" t="str">
        <f>'DICTIONARY-5'!$A$23</f>
        <v>powłoka epoksydowa</v>
      </c>
    </row>
    <row r="2497" spans="1:33" x14ac:dyDescent="0.25">
      <c r="A2497" s="880" t="s">
        <v>2383</v>
      </c>
      <c r="B2497" s="880" t="s">
        <v>2823</v>
      </c>
      <c r="C2497" s="836">
        <v>180</v>
      </c>
      <c r="D2497" s="836"/>
      <c r="E2497" s="836"/>
      <c r="F2497" s="836"/>
      <c r="G2497" s="496" t="s">
        <v>7851</v>
      </c>
      <c r="H2497" s="797" t="str">
        <f>VLOOKUP(G2497,SETTINGS!$B$7:$D$97,2,0)</f>
        <v>BAIO Fittings</v>
      </c>
      <c r="I2497" s="796">
        <f>VLOOKUP(G2497,SETTINGS!$B$7:$D$97,3,0)</f>
        <v>0</v>
      </c>
      <c r="J2497" s="670" t="str">
        <f>IFERROR(IF(CURRENCY.FORMAT_1=0,CONCATENATE(TEXT(FIXED(ROUND((C2497/EXC.RATE_1),CURRENCY.FORMAT_1),CURRENCY.FORMAT_1,1),"# ##0;-# ##0"),",-"),FIXED(ROUND((C2497/EXC.RATE_1),CURRENCY.FORMAT_1),CURRENCY.FORMAT_1,0)),'DICTIONARY-5'!$A$2)</f>
        <v>180,-</v>
      </c>
      <c r="K2497" s="670" t="str">
        <f>IF(EXC.RATE_2=0,"",IFERROR(IF(CURRENCY.FORMAT_2=0,CONCATENATE(TEXT(FIXED(ROUND(IF(EXC.RATE.SWITCH=1,C2497/EXC.RATE_2,C2497*EXC.RATE_2),CURRENCY.FORMAT_2),CURRENCY.FORMAT_2,1),"# ##0;-# ##0"),",-"),FIXED(ROUND(IF(EXC.RATE.SWITCH=1,C2497/EXC.RATE_2,C2497*EXC.RATE_2),CURRENCY.FORMAT_2),CURRENCY.FORMAT_2,0)),'DICTIONARY-5'!$A$2))</f>
        <v/>
      </c>
      <c r="L2497" s="670" t="str">
        <f>IFERROR(IF(CURRENCY.FORMAT_1=0,CONCATENATE(TEXT(FIXED(ROUND((C2497*(1-I2497)*(1-ADD.DISCOUNT)*(1+MAT.SURCHARGE)/EXC.RATE_1),CURRENCY.FORMAT_1),CURRENCY.FORMAT_1,1),"# ##0;-# ##0"),",-"),FIXED(ROUND((C2497*(1-I2497)*(1-ADD.DISCOUNT)*(1+MAT.SURCHARGE)/EXC.RATE_1),CURRENCY.FORMAT_1),CURRENCY.FORMAT_1,0)),'DICTIONARY-5'!$A$2)</f>
        <v>187,-</v>
      </c>
      <c r="M2497" s="670" t="str">
        <f>IF(EXC.RATE_2=0,"",IFERROR(IF(CURRENCY.FORMAT_2=0,CONCATENATE(TEXT(FIXED(ROUND(IF(EXC.RATE.SWITCH=1,C2497*(1-I2497)*(1-ADD.DISCOUNT)*(1+MAT.SURCHARGE)/EXC.RATE_2,C2497*(1-I2497)*(1-ADD.DISCOUNT)*(1+MAT.SURCHARGE)*EXC.RATE_2),CURRENCY.FORMAT_2),CURRENCY.FORMAT_2,1),"# ##0;-# ##0"),",-"),FIXED(ROUND(IF(EXC.RATE.SWITCH=1,C2497*(1-I2497)*(1-ADD.DISCOUNT)*(1+MAT.SURCHARGE)/EXC.RATE_2,C2497*(1-I2497)*(1-ADD.DISCOUNT)*(1+MAT.SURCHARGE)*EXC.RATE_2),CURRENCY.FORMAT_2),CURRENCY.FORMAT_2,0)),'DICTIONARY-5'!$A$2))</f>
        <v/>
      </c>
      <c r="N2497" s="536">
        <v>12</v>
      </c>
      <c r="O2497" s="536"/>
      <c r="P2497" s="732" t="str">
        <f>'DICTIONARY-3'!$A$153&amp;" "&amp;'DICTIONARY-3'!$A$156</f>
        <v>BAIO S</v>
      </c>
      <c r="Q2497" s="732" t="str">
        <f>'DICTIONARY-3'!$A$223</f>
        <v>Kształtka</v>
      </c>
      <c r="R2497" s="732" t="str">
        <f>CONCATENATE('DICTIONARY-3'!$A$153," ",'DICTIONARY-3'!$A$175&amp;'DICTIONARY-3'!$A$156&amp;'DICTIONARY-3'!$A$174," ",'DICTIONARY-2'!$A$2,"80"," ",'DICTIONARY-2'!$A$10,"16",'DICTIONARY-2'!$A$20," ",'DICTIONARY-2'!$A$24,"=","500/330",'DICTIONARY-2'!$A$17,", ","2×",'DICTIONARY-5'!$A$199)</f>
        <v>BAIO Kształtka-S‎ DN80 PS16bar L=500/330mm, 2×końcówka bosa</v>
      </c>
      <c r="S2497" s="733" t="s">
        <v>5569</v>
      </c>
      <c r="T2497" s="732" t="s">
        <v>5569</v>
      </c>
      <c r="U2497" s="734" t="s">
        <v>5760</v>
      </c>
      <c r="V2497" s="735"/>
      <c r="W2497" s="736"/>
      <c r="X2497" s="737"/>
      <c r="Y2497" s="738"/>
      <c r="Z2497" s="739"/>
      <c r="AA2497" s="739"/>
      <c r="AB2497" s="740">
        <v>16</v>
      </c>
      <c r="AC2497" s="733" t="s">
        <v>5633</v>
      </c>
      <c r="AD2497" s="741" t="str">
        <f>'DICTIONARY-5'!$A$13</f>
        <v>woda pitna</v>
      </c>
      <c r="AE2497" s="742">
        <v>50</v>
      </c>
      <c r="AF2497" s="743">
        <v>7</v>
      </c>
      <c r="AG2497" s="741" t="str">
        <f>'DICTIONARY-5'!$A$23</f>
        <v>powłoka epoksydowa</v>
      </c>
    </row>
    <row r="2498" spans="1:33" x14ac:dyDescent="0.25">
      <c r="A2498" s="880" t="s">
        <v>2384</v>
      </c>
      <c r="B2498" s="880" t="s">
        <v>2824</v>
      </c>
      <c r="C2498" s="836">
        <v>164</v>
      </c>
      <c r="D2498" s="836"/>
      <c r="E2498" s="836"/>
      <c r="F2498" s="836"/>
      <c r="G2498" s="496" t="s">
        <v>7851</v>
      </c>
      <c r="H2498" s="797" t="str">
        <f>VLOOKUP(G2498,SETTINGS!$B$7:$D$97,2,0)</f>
        <v>BAIO Fittings</v>
      </c>
      <c r="I2498" s="796">
        <f>VLOOKUP(G2498,SETTINGS!$B$7:$D$97,3,0)</f>
        <v>0</v>
      </c>
      <c r="J2498" s="670" t="str">
        <f>IFERROR(IF(CURRENCY.FORMAT_1=0,CONCATENATE(TEXT(FIXED(ROUND((C2498/EXC.RATE_1),CURRENCY.FORMAT_1),CURRENCY.FORMAT_1,1),"# ##0;-# ##0"),",-"),FIXED(ROUND((C2498/EXC.RATE_1),CURRENCY.FORMAT_1),CURRENCY.FORMAT_1,0)),'DICTIONARY-5'!$A$2)</f>
        <v>164,-</v>
      </c>
      <c r="K2498" s="670" t="str">
        <f>IF(EXC.RATE_2=0,"",IFERROR(IF(CURRENCY.FORMAT_2=0,CONCATENATE(TEXT(FIXED(ROUND(IF(EXC.RATE.SWITCH=1,C2498/EXC.RATE_2,C2498*EXC.RATE_2),CURRENCY.FORMAT_2),CURRENCY.FORMAT_2,1),"# ##0;-# ##0"),",-"),FIXED(ROUND(IF(EXC.RATE.SWITCH=1,C2498/EXC.RATE_2,C2498*EXC.RATE_2),CURRENCY.FORMAT_2),CURRENCY.FORMAT_2,0)),'DICTIONARY-5'!$A$2))</f>
        <v/>
      </c>
      <c r="L2498" s="670" t="str">
        <f>IFERROR(IF(CURRENCY.FORMAT_1=0,CONCATENATE(TEXT(FIXED(ROUND((C2498*(1-I2498)*(1-ADD.DISCOUNT)*(1+MAT.SURCHARGE)/EXC.RATE_1),CURRENCY.FORMAT_1),CURRENCY.FORMAT_1,1),"# ##0;-# ##0"),",-"),FIXED(ROUND((C2498*(1-I2498)*(1-ADD.DISCOUNT)*(1+MAT.SURCHARGE)/EXC.RATE_1),CURRENCY.FORMAT_1),CURRENCY.FORMAT_1,0)),'DICTIONARY-5'!$A$2)</f>
        <v>170,-</v>
      </c>
      <c r="M2498" s="670" t="str">
        <f>IF(EXC.RATE_2=0,"",IFERROR(IF(CURRENCY.FORMAT_2=0,CONCATENATE(TEXT(FIXED(ROUND(IF(EXC.RATE.SWITCH=1,C2498*(1-I2498)*(1-ADD.DISCOUNT)*(1+MAT.SURCHARGE)/EXC.RATE_2,C2498*(1-I2498)*(1-ADD.DISCOUNT)*(1+MAT.SURCHARGE)*EXC.RATE_2),CURRENCY.FORMAT_2),CURRENCY.FORMAT_2,1),"# ##0;-# ##0"),",-"),FIXED(ROUND(IF(EXC.RATE.SWITCH=1,C2498*(1-I2498)*(1-ADD.DISCOUNT)*(1+MAT.SURCHARGE)/EXC.RATE_2,C2498*(1-I2498)*(1-ADD.DISCOUNT)*(1+MAT.SURCHARGE)*EXC.RATE_2),CURRENCY.FORMAT_2),CURRENCY.FORMAT_2,0)),'DICTIONARY-5'!$A$2))</f>
        <v/>
      </c>
      <c r="N2498" s="536">
        <v>12</v>
      </c>
      <c r="O2498" s="536"/>
      <c r="P2498" s="732" t="str">
        <f>'DICTIONARY-3'!$A$153&amp;" "&amp;'DICTIONARY-3'!$A$156</f>
        <v>BAIO S</v>
      </c>
      <c r="Q2498" s="732" t="str">
        <f>'DICTIONARY-3'!$A$223</f>
        <v>Kształtka</v>
      </c>
      <c r="R2498" s="732" t="str">
        <f>CONCATENATE('DICTIONARY-3'!$A$153," ",'DICTIONARY-3'!$A$175&amp;'DICTIONARY-3'!$A$156&amp;'DICTIONARY-3'!$A$174," ",'DICTIONARY-2'!$A$2,"100"," ",'DICTIONARY-2'!$A$10,"16",'DICTIONARY-2'!$A$20," ",'DICTIONARY-2'!$A$24,"=","255/45",'DICTIONARY-2'!$A$17,", ","2×",'DICTIONARY-5'!$A$199)</f>
        <v>BAIO Kształtka-S‎ DN100 PS16bar L=255/45mm, 2×końcówka bosa</v>
      </c>
      <c r="S2498" s="733" t="s">
        <v>5569</v>
      </c>
      <c r="T2498" s="732" t="s">
        <v>5569</v>
      </c>
      <c r="U2498" s="734" t="s">
        <v>5749</v>
      </c>
      <c r="V2498" s="735"/>
      <c r="W2498" s="736"/>
      <c r="X2498" s="737"/>
      <c r="Y2498" s="738"/>
      <c r="Z2498" s="739"/>
      <c r="AA2498" s="739"/>
      <c r="AB2498" s="740">
        <v>16</v>
      </c>
      <c r="AC2498" s="733" t="s">
        <v>5634</v>
      </c>
      <c r="AD2498" s="741" t="str">
        <f>'DICTIONARY-5'!$A$13</f>
        <v>woda pitna</v>
      </c>
      <c r="AE2498" s="742">
        <v>50</v>
      </c>
      <c r="AF2498" s="743">
        <v>4.5</v>
      </c>
      <c r="AG2498" s="741" t="str">
        <f>'DICTIONARY-5'!$A$23</f>
        <v>powłoka epoksydowa</v>
      </c>
    </row>
    <row r="2499" spans="1:33" x14ac:dyDescent="0.25">
      <c r="A2499" s="880" t="s">
        <v>2385</v>
      </c>
      <c r="B2499" s="880" t="s">
        <v>2825</v>
      </c>
      <c r="C2499" s="836">
        <v>178</v>
      </c>
      <c r="D2499" s="836"/>
      <c r="E2499" s="836"/>
      <c r="F2499" s="836"/>
      <c r="G2499" s="496" t="s">
        <v>7851</v>
      </c>
      <c r="H2499" s="797" t="str">
        <f>VLOOKUP(G2499,SETTINGS!$B$7:$D$97,2,0)</f>
        <v>BAIO Fittings</v>
      </c>
      <c r="I2499" s="796">
        <f>VLOOKUP(G2499,SETTINGS!$B$7:$D$97,3,0)</f>
        <v>0</v>
      </c>
      <c r="J2499" s="670" t="str">
        <f>IFERROR(IF(CURRENCY.FORMAT_1=0,CONCATENATE(TEXT(FIXED(ROUND((C2499/EXC.RATE_1),CURRENCY.FORMAT_1),CURRENCY.FORMAT_1,1),"# ##0;-# ##0"),",-"),FIXED(ROUND((C2499/EXC.RATE_1),CURRENCY.FORMAT_1),CURRENCY.FORMAT_1,0)),'DICTIONARY-5'!$A$2)</f>
        <v>178,-</v>
      </c>
      <c r="K2499" s="670" t="str">
        <f>IF(EXC.RATE_2=0,"",IFERROR(IF(CURRENCY.FORMAT_2=0,CONCATENATE(TEXT(FIXED(ROUND(IF(EXC.RATE.SWITCH=1,C2499/EXC.RATE_2,C2499*EXC.RATE_2),CURRENCY.FORMAT_2),CURRENCY.FORMAT_2,1),"# ##0;-# ##0"),",-"),FIXED(ROUND(IF(EXC.RATE.SWITCH=1,C2499/EXC.RATE_2,C2499*EXC.RATE_2),CURRENCY.FORMAT_2),CURRENCY.FORMAT_2,0)),'DICTIONARY-5'!$A$2))</f>
        <v/>
      </c>
      <c r="L2499" s="670" t="str">
        <f>IFERROR(IF(CURRENCY.FORMAT_1=0,CONCATENATE(TEXT(FIXED(ROUND((C2499*(1-I2499)*(1-ADD.DISCOUNT)*(1+MAT.SURCHARGE)/EXC.RATE_1),CURRENCY.FORMAT_1),CURRENCY.FORMAT_1,1),"# ##0;-# ##0"),",-"),FIXED(ROUND((C2499*(1-I2499)*(1-ADD.DISCOUNT)*(1+MAT.SURCHARGE)/EXC.RATE_1),CURRENCY.FORMAT_1),CURRENCY.FORMAT_1,0)),'DICTIONARY-5'!$A$2)</f>
        <v>185,-</v>
      </c>
      <c r="M2499" s="670" t="str">
        <f>IF(EXC.RATE_2=0,"",IFERROR(IF(CURRENCY.FORMAT_2=0,CONCATENATE(TEXT(FIXED(ROUND(IF(EXC.RATE.SWITCH=1,C2499*(1-I2499)*(1-ADD.DISCOUNT)*(1+MAT.SURCHARGE)/EXC.RATE_2,C2499*(1-I2499)*(1-ADD.DISCOUNT)*(1+MAT.SURCHARGE)*EXC.RATE_2),CURRENCY.FORMAT_2),CURRENCY.FORMAT_2,1),"# ##0;-# ##0"),",-"),FIXED(ROUND(IF(EXC.RATE.SWITCH=1,C2499*(1-I2499)*(1-ADD.DISCOUNT)*(1+MAT.SURCHARGE)/EXC.RATE_2,C2499*(1-I2499)*(1-ADD.DISCOUNT)*(1+MAT.SURCHARGE)*EXC.RATE_2),CURRENCY.FORMAT_2),CURRENCY.FORMAT_2,0)),'DICTIONARY-5'!$A$2))</f>
        <v/>
      </c>
      <c r="N2499" s="536">
        <v>12</v>
      </c>
      <c r="O2499" s="536"/>
      <c r="P2499" s="732" t="str">
        <f>'DICTIONARY-3'!$A$153&amp;" "&amp;'DICTIONARY-3'!$A$156</f>
        <v>BAIO S</v>
      </c>
      <c r="Q2499" s="732" t="str">
        <f>'DICTIONARY-3'!$A$223</f>
        <v>Kształtka</v>
      </c>
      <c r="R2499" s="732" t="str">
        <f>CONCATENATE('DICTIONARY-3'!$A$153," ",'DICTIONARY-3'!$A$175&amp;'DICTIONARY-3'!$A$156&amp;'DICTIONARY-3'!$A$174," ",'DICTIONARY-2'!$A$2,"100"," ",'DICTIONARY-2'!$A$10,"16",'DICTIONARY-2'!$A$20," ",'DICTIONARY-2'!$A$24,"=","500/290",'DICTIONARY-2'!$A$17,", ","2×",'DICTIONARY-5'!$A$199)</f>
        <v>BAIO Kształtka-S‎ DN100 PS16bar L=500/290mm, 2×końcówka bosa</v>
      </c>
      <c r="S2499" s="733" t="s">
        <v>5569</v>
      </c>
      <c r="T2499" s="732" t="s">
        <v>5569</v>
      </c>
      <c r="U2499" s="734" t="s">
        <v>5749</v>
      </c>
      <c r="V2499" s="735"/>
      <c r="W2499" s="736"/>
      <c r="X2499" s="737"/>
      <c r="Y2499" s="738"/>
      <c r="Z2499" s="739"/>
      <c r="AA2499" s="739"/>
      <c r="AB2499" s="740">
        <v>16</v>
      </c>
      <c r="AC2499" s="733" t="s">
        <v>5635</v>
      </c>
      <c r="AD2499" s="741" t="str">
        <f>'DICTIONARY-5'!$A$13</f>
        <v>woda pitna</v>
      </c>
      <c r="AE2499" s="742">
        <v>50</v>
      </c>
      <c r="AF2499" s="743">
        <v>8</v>
      </c>
      <c r="AG2499" s="741" t="str">
        <f>'DICTIONARY-5'!$A$23</f>
        <v>powłoka epoksydowa</v>
      </c>
    </row>
    <row r="2500" spans="1:33" x14ac:dyDescent="0.25">
      <c r="A2500" s="880" t="s">
        <v>2386</v>
      </c>
      <c r="B2500" s="880" t="s">
        <v>2826</v>
      </c>
      <c r="C2500" s="836">
        <v>180</v>
      </c>
      <c r="D2500" s="836"/>
      <c r="E2500" s="836"/>
      <c r="F2500" s="836"/>
      <c r="G2500" s="496" t="s">
        <v>7851</v>
      </c>
      <c r="H2500" s="797" t="str">
        <f>VLOOKUP(G2500,SETTINGS!$B$7:$D$97,2,0)</f>
        <v>BAIO Fittings</v>
      </c>
      <c r="I2500" s="796">
        <f>VLOOKUP(G2500,SETTINGS!$B$7:$D$97,3,0)</f>
        <v>0</v>
      </c>
      <c r="J2500" s="670" t="str">
        <f>IFERROR(IF(CURRENCY.FORMAT_1=0,CONCATENATE(TEXT(FIXED(ROUND((C2500/EXC.RATE_1),CURRENCY.FORMAT_1),CURRENCY.FORMAT_1,1),"# ##0;-# ##0"),",-"),FIXED(ROUND((C2500/EXC.RATE_1),CURRENCY.FORMAT_1),CURRENCY.FORMAT_1,0)),'DICTIONARY-5'!$A$2)</f>
        <v>180,-</v>
      </c>
      <c r="K2500" s="670" t="str">
        <f>IF(EXC.RATE_2=0,"",IFERROR(IF(CURRENCY.FORMAT_2=0,CONCATENATE(TEXT(FIXED(ROUND(IF(EXC.RATE.SWITCH=1,C2500/EXC.RATE_2,C2500*EXC.RATE_2),CURRENCY.FORMAT_2),CURRENCY.FORMAT_2,1),"# ##0;-# ##0"),",-"),FIXED(ROUND(IF(EXC.RATE.SWITCH=1,C2500/EXC.RATE_2,C2500*EXC.RATE_2),CURRENCY.FORMAT_2),CURRENCY.FORMAT_2,0)),'DICTIONARY-5'!$A$2))</f>
        <v/>
      </c>
      <c r="L2500" s="670" t="str">
        <f>IFERROR(IF(CURRENCY.FORMAT_1=0,CONCATENATE(TEXT(FIXED(ROUND((C2500*(1-I2500)*(1-ADD.DISCOUNT)*(1+MAT.SURCHARGE)/EXC.RATE_1),CURRENCY.FORMAT_1),CURRENCY.FORMAT_1,1),"# ##0;-# ##0"),",-"),FIXED(ROUND((C2500*(1-I2500)*(1-ADD.DISCOUNT)*(1+MAT.SURCHARGE)/EXC.RATE_1),CURRENCY.FORMAT_1),CURRENCY.FORMAT_1,0)),'DICTIONARY-5'!$A$2)</f>
        <v>187,-</v>
      </c>
      <c r="M2500" s="670" t="str">
        <f>IF(EXC.RATE_2=0,"",IFERROR(IF(CURRENCY.FORMAT_2=0,CONCATENATE(TEXT(FIXED(ROUND(IF(EXC.RATE.SWITCH=1,C2500*(1-I2500)*(1-ADD.DISCOUNT)*(1+MAT.SURCHARGE)/EXC.RATE_2,C2500*(1-I2500)*(1-ADD.DISCOUNT)*(1+MAT.SURCHARGE)*EXC.RATE_2),CURRENCY.FORMAT_2),CURRENCY.FORMAT_2,1),"# ##0;-# ##0"),",-"),FIXED(ROUND(IF(EXC.RATE.SWITCH=1,C2500*(1-I2500)*(1-ADD.DISCOUNT)*(1+MAT.SURCHARGE)/EXC.RATE_2,C2500*(1-I2500)*(1-ADD.DISCOUNT)*(1+MAT.SURCHARGE)*EXC.RATE_2),CURRENCY.FORMAT_2),CURRENCY.FORMAT_2,0)),'DICTIONARY-5'!$A$2))</f>
        <v/>
      </c>
      <c r="N2500" s="536">
        <v>12</v>
      </c>
      <c r="O2500" s="536"/>
      <c r="P2500" s="732" t="str">
        <f>'DICTIONARY-3'!$A$153&amp;" "&amp;'DICTIONARY-3'!$A$156</f>
        <v>BAIO S</v>
      </c>
      <c r="Q2500" s="732" t="str">
        <f>'DICTIONARY-3'!$A$223</f>
        <v>Kształtka</v>
      </c>
      <c r="R2500" s="732" t="str">
        <f>CONCATENATE('DICTIONARY-3'!$A$153," ",'DICTIONARY-3'!$A$175&amp;'DICTIONARY-3'!$A$156&amp;'DICTIONARY-3'!$A$174," ",'DICTIONARY-2'!$A$2,"125"," ",'DICTIONARY-2'!$A$10,"16",'DICTIONARY-2'!$A$20," ",'DICTIONARY-2'!$A$24,"=","270/50",'DICTIONARY-2'!$A$17,", ","2×",'DICTIONARY-5'!$A$199)</f>
        <v>BAIO Kształtka-S‎ DN125 PS16bar L=270/50mm, 2×końcówka bosa</v>
      </c>
      <c r="S2500" s="733" t="s">
        <v>5569</v>
      </c>
      <c r="T2500" s="732" t="s">
        <v>5569</v>
      </c>
      <c r="U2500" s="734" t="s">
        <v>5761</v>
      </c>
      <c r="V2500" s="735"/>
      <c r="W2500" s="736"/>
      <c r="X2500" s="737"/>
      <c r="Y2500" s="738"/>
      <c r="Z2500" s="739"/>
      <c r="AA2500" s="739"/>
      <c r="AB2500" s="740">
        <v>16</v>
      </c>
      <c r="AC2500" s="733" t="s">
        <v>5636</v>
      </c>
      <c r="AD2500" s="741" t="str">
        <f>'DICTIONARY-5'!$A$13</f>
        <v>woda pitna</v>
      </c>
      <c r="AE2500" s="742">
        <v>50</v>
      </c>
      <c r="AF2500" s="743">
        <v>6</v>
      </c>
      <c r="AG2500" s="741" t="str">
        <f>'DICTIONARY-5'!$A$23</f>
        <v>powłoka epoksydowa</v>
      </c>
    </row>
    <row r="2501" spans="1:33" x14ac:dyDescent="0.25">
      <c r="A2501" s="880" t="s">
        <v>2387</v>
      </c>
      <c r="B2501" s="880" t="s">
        <v>2827</v>
      </c>
      <c r="C2501" s="836">
        <v>202</v>
      </c>
      <c r="D2501" s="836"/>
      <c r="E2501" s="836"/>
      <c r="F2501" s="836"/>
      <c r="G2501" s="496" t="s">
        <v>7851</v>
      </c>
      <c r="H2501" s="797" t="str">
        <f>VLOOKUP(G2501,SETTINGS!$B$7:$D$97,2,0)</f>
        <v>BAIO Fittings</v>
      </c>
      <c r="I2501" s="796">
        <f>VLOOKUP(G2501,SETTINGS!$B$7:$D$97,3,0)</f>
        <v>0</v>
      </c>
      <c r="J2501" s="670" t="str">
        <f>IFERROR(IF(CURRENCY.FORMAT_1=0,CONCATENATE(TEXT(FIXED(ROUND((C2501/EXC.RATE_1),CURRENCY.FORMAT_1),CURRENCY.FORMAT_1,1),"# ##0;-# ##0"),",-"),FIXED(ROUND((C2501/EXC.RATE_1),CURRENCY.FORMAT_1),CURRENCY.FORMAT_1,0)),'DICTIONARY-5'!$A$2)</f>
        <v>202,-</v>
      </c>
      <c r="K2501" s="670" t="str">
        <f>IF(EXC.RATE_2=0,"",IFERROR(IF(CURRENCY.FORMAT_2=0,CONCATENATE(TEXT(FIXED(ROUND(IF(EXC.RATE.SWITCH=1,C2501/EXC.RATE_2,C2501*EXC.RATE_2),CURRENCY.FORMAT_2),CURRENCY.FORMAT_2,1),"# ##0;-# ##0"),",-"),FIXED(ROUND(IF(EXC.RATE.SWITCH=1,C2501/EXC.RATE_2,C2501*EXC.RATE_2),CURRENCY.FORMAT_2),CURRENCY.FORMAT_2,0)),'DICTIONARY-5'!$A$2))</f>
        <v/>
      </c>
      <c r="L2501" s="670" t="str">
        <f>IFERROR(IF(CURRENCY.FORMAT_1=0,CONCATENATE(TEXT(FIXED(ROUND((C2501*(1-I2501)*(1-ADD.DISCOUNT)*(1+MAT.SURCHARGE)/EXC.RATE_1),CURRENCY.FORMAT_1),CURRENCY.FORMAT_1,1),"# ##0;-# ##0"),",-"),FIXED(ROUND((C2501*(1-I2501)*(1-ADD.DISCOUNT)*(1+MAT.SURCHARGE)/EXC.RATE_1),CURRENCY.FORMAT_1),CURRENCY.FORMAT_1,0)),'DICTIONARY-5'!$A$2)</f>
        <v>210,-</v>
      </c>
      <c r="M2501" s="670" t="str">
        <f>IF(EXC.RATE_2=0,"",IFERROR(IF(CURRENCY.FORMAT_2=0,CONCATENATE(TEXT(FIXED(ROUND(IF(EXC.RATE.SWITCH=1,C2501*(1-I2501)*(1-ADD.DISCOUNT)*(1+MAT.SURCHARGE)/EXC.RATE_2,C2501*(1-I2501)*(1-ADD.DISCOUNT)*(1+MAT.SURCHARGE)*EXC.RATE_2),CURRENCY.FORMAT_2),CURRENCY.FORMAT_2,1),"# ##0;-# ##0"),",-"),FIXED(ROUND(IF(EXC.RATE.SWITCH=1,C2501*(1-I2501)*(1-ADD.DISCOUNT)*(1+MAT.SURCHARGE)/EXC.RATE_2,C2501*(1-I2501)*(1-ADD.DISCOUNT)*(1+MAT.SURCHARGE)*EXC.RATE_2),CURRENCY.FORMAT_2),CURRENCY.FORMAT_2,0)),'DICTIONARY-5'!$A$2))</f>
        <v/>
      </c>
      <c r="N2501" s="536">
        <v>12</v>
      </c>
      <c r="O2501" s="536"/>
      <c r="P2501" s="732" t="str">
        <f>'DICTIONARY-3'!$A$153&amp;" "&amp;'DICTIONARY-3'!$A$156</f>
        <v>BAIO S</v>
      </c>
      <c r="Q2501" s="732" t="str">
        <f>'DICTIONARY-3'!$A$223</f>
        <v>Kształtka</v>
      </c>
      <c r="R2501" s="732" t="str">
        <f>CONCATENATE('DICTIONARY-3'!$A$153," ",'DICTIONARY-3'!$A$175&amp;'DICTIONARY-3'!$A$156&amp;'DICTIONARY-3'!$A$174," ",'DICTIONARY-2'!$A$2,"150"," ",'DICTIONARY-2'!$A$10,"16",'DICTIONARY-2'!$A$20," ",'DICTIONARY-2'!$A$24,"=","270/50",'DICTIONARY-2'!$A$17,", ","2×",'DICTIONARY-5'!$A$199)</f>
        <v>BAIO Kształtka-S‎ DN150 PS16bar L=270/50mm, 2×końcówka bosa</v>
      </c>
      <c r="S2501" s="733" t="s">
        <v>5569</v>
      </c>
      <c r="T2501" s="732" t="s">
        <v>5569</v>
      </c>
      <c r="U2501" s="734" t="s">
        <v>5572</v>
      </c>
      <c r="V2501" s="735"/>
      <c r="W2501" s="736"/>
      <c r="X2501" s="737"/>
      <c r="Y2501" s="738"/>
      <c r="Z2501" s="739"/>
      <c r="AA2501" s="739"/>
      <c r="AB2501" s="740">
        <v>16</v>
      </c>
      <c r="AC2501" s="733" t="s">
        <v>5636</v>
      </c>
      <c r="AD2501" s="741" t="str">
        <f>'DICTIONARY-5'!$A$13</f>
        <v>woda pitna</v>
      </c>
      <c r="AE2501" s="742">
        <v>50</v>
      </c>
      <c r="AF2501" s="743">
        <v>8</v>
      </c>
      <c r="AG2501" s="741" t="str">
        <f>'DICTIONARY-5'!$A$23</f>
        <v>powłoka epoksydowa</v>
      </c>
    </row>
    <row r="2502" spans="1:33" x14ac:dyDescent="0.25">
      <c r="A2502" s="880" t="s">
        <v>2388</v>
      </c>
      <c r="B2502" s="880" t="s">
        <v>2828</v>
      </c>
      <c r="C2502" s="836">
        <v>291</v>
      </c>
      <c r="D2502" s="836"/>
      <c r="E2502" s="836"/>
      <c r="F2502" s="836"/>
      <c r="G2502" s="496" t="s">
        <v>7851</v>
      </c>
      <c r="H2502" s="797" t="str">
        <f>VLOOKUP(G2502,SETTINGS!$B$7:$D$97,2,0)</f>
        <v>BAIO Fittings</v>
      </c>
      <c r="I2502" s="796">
        <f>VLOOKUP(G2502,SETTINGS!$B$7:$D$97,3,0)</f>
        <v>0</v>
      </c>
      <c r="J2502" s="670" t="str">
        <f>IFERROR(IF(CURRENCY.FORMAT_1=0,CONCATENATE(TEXT(FIXED(ROUND((C2502/EXC.RATE_1),CURRENCY.FORMAT_1),CURRENCY.FORMAT_1,1),"# ##0;-# ##0"),",-"),FIXED(ROUND((C2502/EXC.RATE_1),CURRENCY.FORMAT_1),CURRENCY.FORMAT_1,0)),'DICTIONARY-5'!$A$2)</f>
        <v>291,-</v>
      </c>
      <c r="K2502" s="670" t="str">
        <f>IF(EXC.RATE_2=0,"",IFERROR(IF(CURRENCY.FORMAT_2=0,CONCATENATE(TEXT(FIXED(ROUND(IF(EXC.RATE.SWITCH=1,C2502/EXC.RATE_2,C2502*EXC.RATE_2),CURRENCY.FORMAT_2),CURRENCY.FORMAT_2,1),"# ##0;-# ##0"),",-"),FIXED(ROUND(IF(EXC.RATE.SWITCH=1,C2502/EXC.RATE_2,C2502*EXC.RATE_2),CURRENCY.FORMAT_2),CURRENCY.FORMAT_2,0)),'DICTIONARY-5'!$A$2))</f>
        <v/>
      </c>
      <c r="L2502" s="670" t="str">
        <f>IFERROR(IF(CURRENCY.FORMAT_1=0,CONCATENATE(TEXT(FIXED(ROUND((C2502*(1-I2502)*(1-ADD.DISCOUNT)*(1+MAT.SURCHARGE)/EXC.RATE_1),CURRENCY.FORMAT_1),CURRENCY.FORMAT_1,1),"# ##0;-# ##0"),",-"),FIXED(ROUND((C2502*(1-I2502)*(1-ADD.DISCOUNT)*(1+MAT.SURCHARGE)/EXC.RATE_1),CURRENCY.FORMAT_1),CURRENCY.FORMAT_1,0)),'DICTIONARY-5'!$A$2)</f>
        <v>302,-</v>
      </c>
      <c r="M2502" s="670" t="str">
        <f>IF(EXC.RATE_2=0,"",IFERROR(IF(CURRENCY.FORMAT_2=0,CONCATENATE(TEXT(FIXED(ROUND(IF(EXC.RATE.SWITCH=1,C2502*(1-I2502)*(1-ADD.DISCOUNT)*(1+MAT.SURCHARGE)/EXC.RATE_2,C2502*(1-I2502)*(1-ADD.DISCOUNT)*(1+MAT.SURCHARGE)*EXC.RATE_2),CURRENCY.FORMAT_2),CURRENCY.FORMAT_2,1),"# ##0;-# ##0"),",-"),FIXED(ROUND(IF(EXC.RATE.SWITCH=1,C2502*(1-I2502)*(1-ADD.DISCOUNT)*(1+MAT.SURCHARGE)/EXC.RATE_2,C2502*(1-I2502)*(1-ADD.DISCOUNT)*(1+MAT.SURCHARGE)*EXC.RATE_2),CURRENCY.FORMAT_2),CURRENCY.FORMAT_2,0)),'DICTIONARY-5'!$A$2))</f>
        <v/>
      </c>
      <c r="N2502" s="536">
        <v>12</v>
      </c>
      <c r="O2502" s="536"/>
      <c r="P2502" s="732" t="str">
        <f>'DICTIONARY-3'!$A$153&amp;" "&amp;'DICTIONARY-3'!$A$156</f>
        <v>BAIO S</v>
      </c>
      <c r="Q2502" s="732" t="str">
        <f>'DICTIONARY-3'!$A$223</f>
        <v>Kształtka</v>
      </c>
      <c r="R2502" s="732" t="str">
        <f>CONCATENATE('DICTIONARY-3'!$A$153," ",'DICTIONARY-3'!$A$175&amp;'DICTIONARY-3'!$A$156&amp;'DICTIONARY-3'!$A$174," ",'DICTIONARY-2'!$A$2,"200"," ",'DICTIONARY-2'!$A$10,"16",'DICTIONARY-2'!$A$20," ",'DICTIONARY-2'!$A$24,"=","280/50",'DICTIONARY-2'!$A$17,", ","2×",'DICTIONARY-5'!$A$199)</f>
        <v>BAIO Kształtka-S‎ DN200 PS16bar L=280/50mm, 2×końcówka bosa</v>
      </c>
      <c r="S2502" s="733" t="s">
        <v>5569</v>
      </c>
      <c r="T2502" s="732" t="s">
        <v>5569</v>
      </c>
      <c r="U2502" s="734" t="s">
        <v>5750</v>
      </c>
      <c r="V2502" s="735"/>
      <c r="W2502" s="736"/>
      <c r="X2502" s="737"/>
      <c r="Y2502" s="738"/>
      <c r="Z2502" s="739"/>
      <c r="AA2502" s="739"/>
      <c r="AB2502" s="740">
        <v>16</v>
      </c>
      <c r="AC2502" s="733" t="s">
        <v>5637</v>
      </c>
      <c r="AD2502" s="741" t="str">
        <f>'DICTIONARY-5'!$A$13</f>
        <v>woda pitna</v>
      </c>
      <c r="AE2502" s="742">
        <v>50</v>
      </c>
      <c r="AF2502" s="743">
        <v>12.5</v>
      </c>
      <c r="AG2502" s="741" t="str">
        <f>'DICTIONARY-5'!$A$23</f>
        <v>powłoka epoksydowa</v>
      </c>
    </row>
    <row r="2503" spans="1:33" x14ac:dyDescent="0.25">
      <c r="A2503" s="880" t="s">
        <v>2390</v>
      </c>
      <c r="B2503" s="880" t="s">
        <v>2829</v>
      </c>
      <c r="C2503" s="836">
        <v>156</v>
      </c>
      <c r="D2503" s="836"/>
      <c r="E2503" s="836"/>
      <c r="F2503" s="836"/>
      <c r="G2503" s="496" t="s">
        <v>7851</v>
      </c>
      <c r="H2503" s="797" t="str">
        <f>VLOOKUP(G2503,SETTINGS!$B$7:$D$97,2,0)</f>
        <v>BAIO Fittings</v>
      </c>
      <c r="I2503" s="796">
        <f>VLOOKUP(G2503,SETTINGS!$B$7:$D$97,3,0)</f>
        <v>0</v>
      </c>
      <c r="J2503" s="670" t="str">
        <f>IFERROR(IF(CURRENCY.FORMAT_1=0,CONCATENATE(TEXT(FIXED(ROUND((C2503/EXC.RATE_1),CURRENCY.FORMAT_1),CURRENCY.FORMAT_1,1),"# ##0;-# ##0"),",-"),FIXED(ROUND((C2503/EXC.RATE_1),CURRENCY.FORMAT_1),CURRENCY.FORMAT_1,0)),'DICTIONARY-5'!$A$2)</f>
        <v>156,-</v>
      </c>
      <c r="K2503" s="670" t="str">
        <f>IF(EXC.RATE_2=0,"",IFERROR(IF(CURRENCY.FORMAT_2=0,CONCATENATE(TEXT(FIXED(ROUND(IF(EXC.RATE.SWITCH=1,C2503/EXC.RATE_2,C2503*EXC.RATE_2),CURRENCY.FORMAT_2),CURRENCY.FORMAT_2,1),"# ##0;-# ##0"),",-"),FIXED(ROUND(IF(EXC.RATE.SWITCH=1,C2503/EXC.RATE_2,C2503*EXC.RATE_2),CURRENCY.FORMAT_2),CURRENCY.FORMAT_2,0)),'DICTIONARY-5'!$A$2))</f>
        <v/>
      </c>
      <c r="L2503" s="670" t="str">
        <f>IFERROR(IF(CURRENCY.FORMAT_1=0,CONCATENATE(TEXT(FIXED(ROUND((C2503*(1-I2503)*(1-ADD.DISCOUNT)*(1+MAT.SURCHARGE)/EXC.RATE_1),CURRENCY.FORMAT_1),CURRENCY.FORMAT_1,1),"# ##0;-# ##0"),",-"),FIXED(ROUND((C2503*(1-I2503)*(1-ADD.DISCOUNT)*(1+MAT.SURCHARGE)/EXC.RATE_1),CURRENCY.FORMAT_1),CURRENCY.FORMAT_1,0)),'DICTIONARY-5'!$A$2)</f>
        <v>162,-</v>
      </c>
      <c r="M2503" s="670" t="str">
        <f>IF(EXC.RATE_2=0,"",IFERROR(IF(CURRENCY.FORMAT_2=0,CONCATENATE(TEXT(FIXED(ROUND(IF(EXC.RATE.SWITCH=1,C2503*(1-I2503)*(1-ADD.DISCOUNT)*(1+MAT.SURCHARGE)/EXC.RATE_2,C2503*(1-I2503)*(1-ADD.DISCOUNT)*(1+MAT.SURCHARGE)*EXC.RATE_2),CURRENCY.FORMAT_2),CURRENCY.FORMAT_2,1),"# ##0;-# ##0"),",-"),FIXED(ROUND(IF(EXC.RATE.SWITCH=1,C2503*(1-I2503)*(1-ADD.DISCOUNT)*(1+MAT.SURCHARGE)/EXC.RATE_2,C2503*(1-I2503)*(1-ADD.DISCOUNT)*(1+MAT.SURCHARGE)*EXC.RATE_2),CURRENCY.FORMAT_2),CURRENCY.FORMAT_2,0)),'DICTIONARY-5'!$A$2))</f>
        <v/>
      </c>
      <c r="N2503" s="536">
        <v>12</v>
      </c>
      <c r="O2503" s="536"/>
      <c r="P2503" s="732" t="str">
        <f>'DICTIONARY-3'!$A$153&amp;" "&amp;'DICTIONARY-3'!$A$157</f>
        <v>BAIO SM</v>
      </c>
      <c r="Q2503" s="732" t="str">
        <f>'DICTIONARY-3'!$A$223</f>
        <v>Kształtka</v>
      </c>
      <c r="R2503" s="732" t="str">
        <f>CONCATENATE('DICTIONARY-3'!$A$153," ",'DICTIONARY-3'!$A$175&amp;'DICTIONARY-3'!$A$157&amp;'DICTIONARY-3'!$A$174," ",'DICTIONARY-2'!$A$2,"80"," ",'DICTIONARY-2'!$A$10,"16",'DICTIONARY-2'!$A$20," ",'DICTIONARY-2'!$A$24,"=","230/150",'DICTIONARY-2'!$A$17,", ",'DICTIONARY-5'!$A$198,"+",'DICTIONARY-5'!$A$199)</f>
        <v>BAIO Kształtka-SM‎ DN80 PS16bar L=230/150mm, mufa+końcówka bosa</v>
      </c>
      <c r="S2503" s="733" t="s">
        <v>5569</v>
      </c>
      <c r="T2503" s="732" t="s">
        <v>5569</v>
      </c>
      <c r="U2503" s="734" t="s">
        <v>5760</v>
      </c>
      <c r="V2503" s="735"/>
      <c r="W2503" s="736"/>
      <c r="X2503" s="737"/>
      <c r="Y2503" s="738"/>
      <c r="Z2503" s="739"/>
      <c r="AA2503" s="739"/>
      <c r="AB2503" s="740">
        <v>16</v>
      </c>
      <c r="AC2503" s="733" t="s">
        <v>5638</v>
      </c>
      <c r="AD2503" s="741" t="str">
        <f>'DICTIONARY-5'!$A$13</f>
        <v>woda pitna</v>
      </c>
      <c r="AE2503" s="742">
        <v>50</v>
      </c>
      <c r="AF2503" s="743">
        <v>5</v>
      </c>
      <c r="AG2503" s="741" t="str">
        <f>'DICTIONARY-5'!$A$23</f>
        <v>powłoka epoksydowa</v>
      </c>
    </row>
    <row r="2504" spans="1:33" x14ac:dyDescent="0.25">
      <c r="A2504" s="880" t="s">
        <v>2391</v>
      </c>
      <c r="B2504" s="880" t="s">
        <v>2830</v>
      </c>
      <c r="C2504" s="836">
        <v>196</v>
      </c>
      <c r="D2504" s="836"/>
      <c r="E2504" s="836"/>
      <c r="F2504" s="836"/>
      <c r="G2504" s="496" t="s">
        <v>7851</v>
      </c>
      <c r="H2504" s="797" t="str">
        <f>VLOOKUP(G2504,SETTINGS!$B$7:$D$97,2,0)</f>
        <v>BAIO Fittings</v>
      </c>
      <c r="I2504" s="796">
        <f>VLOOKUP(G2504,SETTINGS!$B$7:$D$97,3,0)</f>
        <v>0</v>
      </c>
      <c r="J2504" s="670" t="str">
        <f>IFERROR(IF(CURRENCY.FORMAT_1=0,CONCATENATE(TEXT(FIXED(ROUND((C2504/EXC.RATE_1),CURRENCY.FORMAT_1),CURRENCY.FORMAT_1,1),"# ##0;-# ##0"),",-"),FIXED(ROUND((C2504/EXC.RATE_1),CURRENCY.FORMAT_1),CURRENCY.FORMAT_1,0)),'DICTIONARY-5'!$A$2)</f>
        <v>196,-</v>
      </c>
      <c r="K2504" s="670" t="str">
        <f>IF(EXC.RATE_2=0,"",IFERROR(IF(CURRENCY.FORMAT_2=0,CONCATENATE(TEXT(FIXED(ROUND(IF(EXC.RATE.SWITCH=1,C2504/EXC.RATE_2,C2504*EXC.RATE_2),CURRENCY.FORMAT_2),CURRENCY.FORMAT_2,1),"# ##0;-# ##0"),",-"),FIXED(ROUND(IF(EXC.RATE.SWITCH=1,C2504/EXC.RATE_2,C2504*EXC.RATE_2),CURRENCY.FORMAT_2),CURRENCY.FORMAT_2,0)),'DICTIONARY-5'!$A$2))</f>
        <v/>
      </c>
      <c r="L2504" s="670" t="str">
        <f>IFERROR(IF(CURRENCY.FORMAT_1=0,CONCATENATE(TEXT(FIXED(ROUND((C2504*(1-I2504)*(1-ADD.DISCOUNT)*(1+MAT.SURCHARGE)/EXC.RATE_1),CURRENCY.FORMAT_1),CURRENCY.FORMAT_1,1),"# ##0;-# ##0"),",-"),FIXED(ROUND((C2504*(1-I2504)*(1-ADD.DISCOUNT)*(1+MAT.SURCHARGE)/EXC.RATE_1),CURRENCY.FORMAT_1),CURRENCY.FORMAT_1,0)),'DICTIONARY-5'!$A$2)</f>
        <v>204,-</v>
      </c>
      <c r="M2504" s="670" t="str">
        <f>IF(EXC.RATE_2=0,"",IFERROR(IF(CURRENCY.FORMAT_2=0,CONCATENATE(TEXT(FIXED(ROUND(IF(EXC.RATE.SWITCH=1,C2504*(1-I2504)*(1-ADD.DISCOUNT)*(1+MAT.SURCHARGE)/EXC.RATE_2,C2504*(1-I2504)*(1-ADD.DISCOUNT)*(1+MAT.SURCHARGE)*EXC.RATE_2),CURRENCY.FORMAT_2),CURRENCY.FORMAT_2,1),"# ##0;-# ##0"),",-"),FIXED(ROUND(IF(EXC.RATE.SWITCH=1,C2504*(1-I2504)*(1-ADD.DISCOUNT)*(1+MAT.SURCHARGE)/EXC.RATE_2,C2504*(1-I2504)*(1-ADD.DISCOUNT)*(1+MAT.SURCHARGE)*EXC.RATE_2),CURRENCY.FORMAT_2),CURRENCY.FORMAT_2,0)),'DICTIONARY-5'!$A$2))</f>
        <v/>
      </c>
      <c r="N2504" s="536">
        <v>12</v>
      </c>
      <c r="O2504" s="536"/>
      <c r="P2504" s="732" t="str">
        <f>'DICTIONARY-3'!$A$153&amp;" "&amp;'DICTIONARY-3'!$A$157</f>
        <v>BAIO SM</v>
      </c>
      <c r="Q2504" s="732" t="str">
        <f>'DICTIONARY-3'!$A$223</f>
        <v>Kształtka</v>
      </c>
      <c r="R2504" s="732" t="str">
        <f>CONCATENATE('DICTIONARY-3'!$A$153," ",'DICTIONARY-3'!$A$175&amp;'DICTIONARY-3'!$A$157&amp;'DICTIONARY-3'!$A$174," ",'DICTIONARY-2'!$A$2,"80"," ",'DICTIONARY-2'!$A$10,"16",'DICTIONARY-2'!$A$20," ",'DICTIONARY-2'!$A$24,"=","280/200",'DICTIONARY-2'!$A$17,", ",'DICTIONARY-5'!$A$198,"+",'DICTIONARY-5'!$A$199)</f>
        <v>BAIO Kształtka-SM‎ DN80 PS16bar L=280/200mm, mufa+końcówka bosa</v>
      </c>
      <c r="S2504" s="733" t="s">
        <v>5569</v>
      </c>
      <c r="T2504" s="732" t="s">
        <v>5569</v>
      </c>
      <c r="U2504" s="734" t="s">
        <v>5760</v>
      </c>
      <c r="V2504" s="735"/>
      <c r="W2504" s="736"/>
      <c r="X2504" s="737"/>
      <c r="Y2504" s="738"/>
      <c r="Z2504" s="739"/>
      <c r="AA2504" s="739"/>
      <c r="AB2504" s="740">
        <v>16</v>
      </c>
      <c r="AC2504" s="733" t="s">
        <v>5639</v>
      </c>
      <c r="AD2504" s="741" t="str">
        <f>'DICTIONARY-5'!$A$13</f>
        <v>woda pitna</v>
      </c>
      <c r="AE2504" s="742">
        <v>50</v>
      </c>
      <c r="AF2504" s="743">
        <v>6</v>
      </c>
      <c r="AG2504" s="741" t="str">
        <f>'DICTIONARY-5'!$A$23</f>
        <v>powłoka epoksydowa</v>
      </c>
    </row>
    <row r="2505" spans="1:33" x14ac:dyDescent="0.25">
      <c r="A2505" s="880" t="s">
        <v>2392</v>
      </c>
      <c r="B2505" s="880" t="s">
        <v>2831</v>
      </c>
      <c r="C2505" s="836">
        <v>204</v>
      </c>
      <c r="D2505" s="836"/>
      <c r="E2505" s="836"/>
      <c r="F2505" s="836"/>
      <c r="G2505" s="496" t="s">
        <v>7851</v>
      </c>
      <c r="H2505" s="797" t="str">
        <f>VLOOKUP(G2505,SETTINGS!$B$7:$D$97,2,0)</f>
        <v>BAIO Fittings</v>
      </c>
      <c r="I2505" s="796">
        <f>VLOOKUP(G2505,SETTINGS!$B$7:$D$97,3,0)</f>
        <v>0</v>
      </c>
      <c r="J2505" s="670" t="str">
        <f>IFERROR(IF(CURRENCY.FORMAT_1=0,CONCATENATE(TEXT(FIXED(ROUND((C2505/EXC.RATE_1),CURRENCY.FORMAT_1),CURRENCY.FORMAT_1,1),"# ##0;-# ##0"),",-"),FIXED(ROUND((C2505/EXC.RATE_1),CURRENCY.FORMAT_1),CURRENCY.FORMAT_1,0)),'DICTIONARY-5'!$A$2)</f>
        <v>204,-</v>
      </c>
      <c r="K2505" s="670" t="str">
        <f>IF(EXC.RATE_2=0,"",IFERROR(IF(CURRENCY.FORMAT_2=0,CONCATENATE(TEXT(FIXED(ROUND(IF(EXC.RATE.SWITCH=1,C2505/EXC.RATE_2,C2505*EXC.RATE_2),CURRENCY.FORMAT_2),CURRENCY.FORMAT_2,1),"# ##0;-# ##0"),",-"),FIXED(ROUND(IF(EXC.RATE.SWITCH=1,C2505/EXC.RATE_2,C2505*EXC.RATE_2),CURRENCY.FORMAT_2),CURRENCY.FORMAT_2,0)),'DICTIONARY-5'!$A$2))</f>
        <v/>
      </c>
      <c r="L2505" s="670" t="str">
        <f>IFERROR(IF(CURRENCY.FORMAT_1=0,CONCATENATE(TEXT(FIXED(ROUND((C2505*(1-I2505)*(1-ADD.DISCOUNT)*(1+MAT.SURCHARGE)/EXC.RATE_1),CURRENCY.FORMAT_1),CURRENCY.FORMAT_1,1),"# ##0;-# ##0"),",-"),FIXED(ROUND((C2505*(1-I2505)*(1-ADD.DISCOUNT)*(1+MAT.SURCHARGE)/EXC.RATE_1),CURRENCY.FORMAT_1),CURRENCY.FORMAT_1,0)),'DICTIONARY-5'!$A$2)</f>
        <v>212,-</v>
      </c>
      <c r="M2505" s="670" t="str">
        <f>IF(EXC.RATE_2=0,"",IFERROR(IF(CURRENCY.FORMAT_2=0,CONCATENATE(TEXT(FIXED(ROUND(IF(EXC.RATE.SWITCH=1,C2505*(1-I2505)*(1-ADD.DISCOUNT)*(1+MAT.SURCHARGE)/EXC.RATE_2,C2505*(1-I2505)*(1-ADD.DISCOUNT)*(1+MAT.SURCHARGE)*EXC.RATE_2),CURRENCY.FORMAT_2),CURRENCY.FORMAT_2,1),"# ##0;-# ##0"),",-"),FIXED(ROUND(IF(EXC.RATE.SWITCH=1,C2505*(1-I2505)*(1-ADD.DISCOUNT)*(1+MAT.SURCHARGE)/EXC.RATE_2,C2505*(1-I2505)*(1-ADD.DISCOUNT)*(1+MAT.SURCHARGE)*EXC.RATE_2),CURRENCY.FORMAT_2),CURRENCY.FORMAT_2,0)),'DICTIONARY-5'!$A$2))</f>
        <v/>
      </c>
      <c r="N2505" s="536">
        <v>12</v>
      </c>
      <c r="O2505" s="536"/>
      <c r="P2505" s="732" t="str">
        <f>'DICTIONARY-3'!$A$153&amp;" "&amp;'DICTIONARY-3'!$A$157</f>
        <v>BAIO SM</v>
      </c>
      <c r="Q2505" s="732" t="str">
        <f>'DICTIONARY-3'!$A$223</f>
        <v>Kształtka</v>
      </c>
      <c r="R2505" s="732" t="str">
        <f>CONCATENATE('DICTIONARY-3'!$A$153," ",'DICTIONARY-3'!$A$175&amp;'DICTIONARY-3'!$A$157&amp;'DICTIONARY-3'!$A$174," ",'DICTIONARY-2'!$A$2,"80"," ",'DICTIONARY-2'!$A$10,"16",'DICTIONARY-2'!$A$20," ",'DICTIONARY-2'!$A$24,"=","380/300",'DICTIONARY-2'!$A$17,", ",'DICTIONARY-5'!$A$198,"+",'DICTIONARY-5'!$A$199)</f>
        <v>BAIO Kształtka-SM‎ DN80 PS16bar L=380/300mm, mufa+końcówka bosa</v>
      </c>
      <c r="S2505" s="733" t="s">
        <v>5569</v>
      </c>
      <c r="T2505" s="732" t="s">
        <v>5569</v>
      </c>
      <c r="U2505" s="734" t="s">
        <v>5760</v>
      </c>
      <c r="V2505" s="735"/>
      <c r="W2505" s="736"/>
      <c r="X2505" s="737"/>
      <c r="Y2505" s="738"/>
      <c r="Z2505" s="739"/>
      <c r="AA2505" s="739"/>
      <c r="AB2505" s="740">
        <v>16</v>
      </c>
      <c r="AC2505" s="733" t="s">
        <v>5640</v>
      </c>
      <c r="AD2505" s="741" t="str">
        <f>'DICTIONARY-5'!$A$13</f>
        <v>woda pitna</v>
      </c>
      <c r="AE2505" s="742">
        <v>50</v>
      </c>
      <c r="AF2505" s="743">
        <v>7</v>
      </c>
      <c r="AG2505" s="741" t="str">
        <f>'DICTIONARY-5'!$A$23</f>
        <v>powłoka epoksydowa</v>
      </c>
    </row>
    <row r="2506" spans="1:33" x14ac:dyDescent="0.25">
      <c r="A2506" s="880" t="s">
        <v>2393</v>
      </c>
      <c r="B2506" s="880" t="s">
        <v>2855</v>
      </c>
      <c r="C2506" s="836">
        <v>197</v>
      </c>
      <c r="D2506" s="836"/>
      <c r="E2506" s="836"/>
      <c r="F2506" s="836"/>
      <c r="G2506" s="496" t="s">
        <v>7851</v>
      </c>
      <c r="H2506" s="797" t="str">
        <f>VLOOKUP(G2506,SETTINGS!$B$7:$D$97,2,0)</f>
        <v>BAIO Fittings</v>
      </c>
      <c r="I2506" s="796">
        <f>VLOOKUP(G2506,SETTINGS!$B$7:$D$97,3,0)</f>
        <v>0</v>
      </c>
      <c r="J2506" s="670" t="str">
        <f>IFERROR(IF(CURRENCY.FORMAT_1=0,CONCATENATE(TEXT(FIXED(ROUND((C2506/EXC.RATE_1),CURRENCY.FORMAT_1),CURRENCY.FORMAT_1,1),"# ##0;-# ##0"),",-"),FIXED(ROUND((C2506/EXC.RATE_1),CURRENCY.FORMAT_1),CURRENCY.FORMAT_1,0)),'DICTIONARY-5'!$A$2)</f>
        <v>197,-</v>
      </c>
      <c r="K2506" s="670" t="str">
        <f>IF(EXC.RATE_2=0,"",IFERROR(IF(CURRENCY.FORMAT_2=0,CONCATENATE(TEXT(FIXED(ROUND(IF(EXC.RATE.SWITCH=1,C2506/EXC.RATE_2,C2506*EXC.RATE_2),CURRENCY.FORMAT_2),CURRENCY.FORMAT_2,1),"# ##0;-# ##0"),",-"),FIXED(ROUND(IF(EXC.RATE.SWITCH=1,C2506/EXC.RATE_2,C2506*EXC.RATE_2),CURRENCY.FORMAT_2),CURRENCY.FORMAT_2,0)),'DICTIONARY-5'!$A$2))</f>
        <v/>
      </c>
      <c r="L2506" s="670" t="str">
        <f>IFERROR(IF(CURRENCY.FORMAT_1=0,CONCATENATE(TEXT(FIXED(ROUND((C2506*(1-I2506)*(1-ADD.DISCOUNT)*(1+MAT.SURCHARGE)/EXC.RATE_1),CURRENCY.FORMAT_1),CURRENCY.FORMAT_1,1),"# ##0;-# ##0"),",-"),FIXED(ROUND((C2506*(1-I2506)*(1-ADD.DISCOUNT)*(1+MAT.SURCHARGE)/EXC.RATE_1),CURRENCY.FORMAT_1),CURRENCY.FORMAT_1,0)),'DICTIONARY-5'!$A$2)</f>
        <v>205,-</v>
      </c>
      <c r="M2506" s="670" t="str">
        <f>IF(EXC.RATE_2=0,"",IFERROR(IF(CURRENCY.FORMAT_2=0,CONCATENATE(TEXT(FIXED(ROUND(IF(EXC.RATE.SWITCH=1,C2506*(1-I2506)*(1-ADD.DISCOUNT)*(1+MAT.SURCHARGE)/EXC.RATE_2,C2506*(1-I2506)*(1-ADD.DISCOUNT)*(1+MAT.SURCHARGE)*EXC.RATE_2),CURRENCY.FORMAT_2),CURRENCY.FORMAT_2,1),"# ##0;-# ##0"),",-"),FIXED(ROUND(IF(EXC.RATE.SWITCH=1,C2506*(1-I2506)*(1-ADD.DISCOUNT)*(1+MAT.SURCHARGE)/EXC.RATE_2,C2506*(1-I2506)*(1-ADD.DISCOUNT)*(1+MAT.SURCHARGE)*EXC.RATE_2),CURRENCY.FORMAT_2),CURRENCY.FORMAT_2,0)),'DICTIONARY-5'!$A$2))</f>
        <v/>
      </c>
      <c r="N2506" s="536">
        <v>12</v>
      </c>
      <c r="O2506" s="536"/>
      <c r="P2506" s="732" t="str">
        <f>'DICTIONARY-3'!$A$153&amp;" "&amp;'DICTIONARY-3'!$A$157</f>
        <v>BAIO SM</v>
      </c>
      <c r="Q2506" s="732" t="str">
        <f>'DICTIONARY-3'!$A$223</f>
        <v>Kształtka</v>
      </c>
      <c r="R2506" s="732" t="str">
        <f>CONCATENATE('DICTIONARY-3'!$A$153," ",'DICTIONARY-3'!$A$175&amp;'DICTIONARY-3'!$A$157&amp;'DICTIONARY-3'!$A$174," ",'DICTIONARY-2'!$A$2,"100"," ",'DICTIONARY-2'!$A$10,"16",'DICTIONARY-2'!$A$20," ",'DICTIONARY-2'!$A$24,"=","290/195",'DICTIONARY-2'!$A$17,", ",'DICTIONARY-5'!$A$198,"+",'DICTIONARY-5'!$A$199)</f>
        <v>BAIO Kształtka-SM‎ DN100 PS16bar L=290/195mm, mufa+końcówka bosa</v>
      </c>
      <c r="S2506" s="733" t="s">
        <v>5569</v>
      </c>
      <c r="T2506" s="732" t="s">
        <v>5569</v>
      </c>
      <c r="U2506" s="734" t="s">
        <v>5749</v>
      </c>
      <c r="V2506" s="735"/>
      <c r="W2506" s="736"/>
      <c r="X2506" s="737"/>
      <c r="Y2506" s="738"/>
      <c r="Z2506" s="739"/>
      <c r="AA2506" s="739"/>
      <c r="AB2506" s="740">
        <v>16</v>
      </c>
      <c r="AC2506" s="733" t="s">
        <v>5641</v>
      </c>
      <c r="AD2506" s="741" t="str">
        <f>'DICTIONARY-5'!$A$13</f>
        <v>woda pitna</v>
      </c>
      <c r="AE2506" s="742">
        <v>50</v>
      </c>
      <c r="AF2506" s="743">
        <v>7.5</v>
      </c>
      <c r="AG2506" s="741" t="str">
        <f>'DICTIONARY-5'!$A$23</f>
        <v>powłoka epoksydowa</v>
      </c>
    </row>
    <row r="2507" spans="1:33" x14ac:dyDescent="0.25">
      <c r="A2507" s="880" t="s">
        <v>2394</v>
      </c>
      <c r="B2507" s="880" t="s">
        <v>2779</v>
      </c>
      <c r="C2507" s="836">
        <v>203</v>
      </c>
      <c r="D2507" s="836"/>
      <c r="E2507" s="836"/>
      <c r="F2507" s="836"/>
      <c r="G2507" s="496" t="s">
        <v>7851</v>
      </c>
      <c r="H2507" s="797" t="str">
        <f>VLOOKUP(G2507,SETTINGS!$B$7:$D$97,2,0)</f>
        <v>BAIO Fittings</v>
      </c>
      <c r="I2507" s="796">
        <f>VLOOKUP(G2507,SETTINGS!$B$7:$D$97,3,0)</f>
        <v>0</v>
      </c>
      <c r="J2507" s="670" t="str">
        <f>IFERROR(IF(CURRENCY.FORMAT_1=0,CONCATENATE(TEXT(FIXED(ROUND((C2507/EXC.RATE_1),CURRENCY.FORMAT_1),CURRENCY.FORMAT_1,1),"# ##0;-# ##0"),",-"),FIXED(ROUND((C2507/EXC.RATE_1),CURRENCY.FORMAT_1),CURRENCY.FORMAT_1,0)),'DICTIONARY-5'!$A$2)</f>
        <v>203,-</v>
      </c>
      <c r="K2507" s="670" t="str">
        <f>IF(EXC.RATE_2=0,"",IFERROR(IF(CURRENCY.FORMAT_2=0,CONCATENATE(TEXT(FIXED(ROUND(IF(EXC.RATE.SWITCH=1,C2507/EXC.RATE_2,C2507*EXC.RATE_2),CURRENCY.FORMAT_2),CURRENCY.FORMAT_2,1),"# ##0;-# ##0"),",-"),FIXED(ROUND(IF(EXC.RATE.SWITCH=1,C2507/EXC.RATE_2,C2507*EXC.RATE_2),CURRENCY.FORMAT_2),CURRENCY.FORMAT_2,0)),'DICTIONARY-5'!$A$2))</f>
        <v/>
      </c>
      <c r="L2507" s="670" t="str">
        <f>IFERROR(IF(CURRENCY.FORMAT_1=0,CONCATENATE(TEXT(FIXED(ROUND((C2507*(1-I2507)*(1-ADD.DISCOUNT)*(1+MAT.SURCHARGE)/EXC.RATE_1),CURRENCY.FORMAT_1),CURRENCY.FORMAT_1,1),"# ##0;-# ##0"),",-"),FIXED(ROUND((C2507*(1-I2507)*(1-ADD.DISCOUNT)*(1+MAT.SURCHARGE)/EXC.RATE_1),CURRENCY.FORMAT_1),CURRENCY.FORMAT_1,0)),'DICTIONARY-5'!$A$2)</f>
        <v>211,-</v>
      </c>
      <c r="M2507" s="670" t="str">
        <f>IF(EXC.RATE_2=0,"",IFERROR(IF(CURRENCY.FORMAT_2=0,CONCATENATE(TEXT(FIXED(ROUND(IF(EXC.RATE.SWITCH=1,C2507*(1-I2507)*(1-ADD.DISCOUNT)*(1+MAT.SURCHARGE)/EXC.RATE_2,C2507*(1-I2507)*(1-ADD.DISCOUNT)*(1+MAT.SURCHARGE)*EXC.RATE_2),CURRENCY.FORMAT_2),CURRENCY.FORMAT_2,1),"# ##0;-# ##0"),",-"),FIXED(ROUND(IF(EXC.RATE.SWITCH=1,C2507*(1-I2507)*(1-ADD.DISCOUNT)*(1+MAT.SURCHARGE)/EXC.RATE_2,C2507*(1-I2507)*(1-ADD.DISCOUNT)*(1+MAT.SURCHARGE)*EXC.RATE_2),CURRENCY.FORMAT_2),CURRENCY.FORMAT_2,0)),'DICTIONARY-5'!$A$2))</f>
        <v/>
      </c>
      <c r="N2507" s="536">
        <v>12</v>
      </c>
      <c r="O2507" s="536"/>
      <c r="P2507" s="732" t="str">
        <f>'DICTIONARY-3'!$A$153&amp;" "&amp;'DICTIONARY-3'!$A$157</f>
        <v>BAIO SM</v>
      </c>
      <c r="Q2507" s="732" t="str">
        <f>'DICTIONARY-3'!$A$223</f>
        <v>Kształtka</v>
      </c>
      <c r="R2507" s="732" t="str">
        <f>CONCATENATE('DICTIONARY-3'!$A$153," ",'DICTIONARY-3'!$A$175&amp;'DICTIONARY-3'!$A$157&amp;'DICTIONARY-3'!$A$174," ",'DICTIONARY-2'!$A$2,"100"," ",'DICTIONARY-2'!$A$10,"16",'DICTIONARY-2'!$A$20," ",'DICTIONARY-2'!$A$24,"=","465/360",'DICTIONARY-2'!$A$17,", ",'DICTIONARY-5'!$A$198,"+",'DICTIONARY-5'!$A$199)</f>
        <v>BAIO Kształtka-SM‎ DN100 PS16bar L=465/360mm, mufa+końcówka bosa</v>
      </c>
      <c r="S2507" s="733" t="s">
        <v>5569</v>
      </c>
      <c r="T2507" s="732" t="s">
        <v>5569</v>
      </c>
      <c r="U2507" s="734" t="s">
        <v>5749</v>
      </c>
      <c r="V2507" s="735"/>
      <c r="W2507" s="736"/>
      <c r="X2507" s="737"/>
      <c r="Y2507" s="738"/>
      <c r="Z2507" s="739"/>
      <c r="AA2507" s="739"/>
      <c r="AB2507" s="740">
        <v>16</v>
      </c>
      <c r="AC2507" s="733" t="s">
        <v>5642</v>
      </c>
      <c r="AD2507" s="741" t="str">
        <f>'DICTIONARY-5'!$A$13</f>
        <v>woda pitna</v>
      </c>
      <c r="AE2507" s="742">
        <v>50</v>
      </c>
      <c r="AF2507" s="743">
        <v>10.5</v>
      </c>
      <c r="AG2507" s="741" t="str">
        <f>'DICTIONARY-5'!$A$23</f>
        <v>powłoka epoksydowa</v>
      </c>
    </row>
    <row r="2508" spans="1:33" x14ac:dyDescent="0.25">
      <c r="A2508" s="880" t="s">
        <v>2395</v>
      </c>
      <c r="B2508" s="880" t="s">
        <v>2780</v>
      </c>
      <c r="C2508" s="836">
        <v>205</v>
      </c>
      <c r="D2508" s="836"/>
      <c r="E2508" s="836"/>
      <c r="F2508" s="836"/>
      <c r="G2508" s="496" t="s">
        <v>7851</v>
      </c>
      <c r="H2508" s="797" t="str">
        <f>VLOOKUP(G2508,SETTINGS!$B$7:$D$97,2,0)</f>
        <v>BAIO Fittings</v>
      </c>
      <c r="I2508" s="796">
        <f>VLOOKUP(G2508,SETTINGS!$B$7:$D$97,3,0)</f>
        <v>0</v>
      </c>
      <c r="J2508" s="670" t="str">
        <f>IFERROR(IF(CURRENCY.FORMAT_1=0,CONCATENATE(TEXT(FIXED(ROUND((C2508/EXC.RATE_1),CURRENCY.FORMAT_1),CURRENCY.FORMAT_1,1),"# ##0;-# ##0"),",-"),FIXED(ROUND((C2508/EXC.RATE_1),CURRENCY.FORMAT_1),CURRENCY.FORMAT_1,0)),'DICTIONARY-5'!$A$2)</f>
        <v>205,-</v>
      </c>
      <c r="K2508" s="670" t="str">
        <f>IF(EXC.RATE_2=0,"",IFERROR(IF(CURRENCY.FORMAT_2=0,CONCATENATE(TEXT(FIXED(ROUND(IF(EXC.RATE.SWITCH=1,C2508/EXC.RATE_2,C2508*EXC.RATE_2),CURRENCY.FORMAT_2),CURRENCY.FORMAT_2,1),"# ##0;-# ##0"),",-"),FIXED(ROUND(IF(EXC.RATE.SWITCH=1,C2508/EXC.RATE_2,C2508*EXC.RATE_2),CURRENCY.FORMAT_2),CURRENCY.FORMAT_2,0)),'DICTIONARY-5'!$A$2))</f>
        <v/>
      </c>
      <c r="L2508" s="670" t="str">
        <f>IFERROR(IF(CURRENCY.FORMAT_1=0,CONCATENATE(TEXT(FIXED(ROUND((C2508*(1-I2508)*(1-ADD.DISCOUNT)*(1+MAT.SURCHARGE)/EXC.RATE_1),CURRENCY.FORMAT_1),CURRENCY.FORMAT_1,1),"# ##0;-# ##0"),",-"),FIXED(ROUND((C2508*(1-I2508)*(1-ADD.DISCOUNT)*(1+MAT.SURCHARGE)/EXC.RATE_1),CURRENCY.FORMAT_1),CURRENCY.FORMAT_1,0)),'DICTIONARY-5'!$A$2)</f>
        <v>213,-</v>
      </c>
      <c r="M2508" s="670" t="str">
        <f>IF(EXC.RATE_2=0,"",IFERROR(IF(CURRENCY.FORMAT_2=0,CONCATENATE(TEXT(FIXED(ROUND(IF(EXC.RATE.SWITCH=1,C2508*(1-I2508)*(1-ADD.DISCOUNT)*(1+MAT.SURCHARGE)/EXC.RATE_2,C2508*(1-I2508)*(1-ADD.DISCOUNT)*(1+MAT.SURCHARGE)*EXC.RATE_2),CURRENCY.FORMAT_2),CURRENCY.FORMAT_2,1),"# ##0;-# ##0"),",-"),FIXED(ROUND(IF(EXC.RATE.SWITCH=1,C2508*(1-I2508)*(1-ADD.DISCOUNT)*(1+MAT.SURCHARGE)/EXC.RATE_2,C2508*(1-I2508)*(1-ADD.DISCOUNT)*(1+MAT.SURCHARGE)*EXC.RATE_2),CURRENCY.FORMAT_2),CURRENCY.FORMAT_2,0)),'DICTIONARY-5'!$A$2))</f>
        <v/>
      </c>
      <c r="N2508" s="536">
        <v>12</v>
      </c>
      <c r="O2508" s="536"/>
      <c r="P2508" s="732" t="str">
        <f>'DICTIONARY-3'!$A$153&amp;" "&amp;'DICTIONARY-3'!$A$157</f>
        <v>BAIO SM</v>
      </c>
      <c r="Q2508" s="732" t="str">
        <f>'DICTIONARY-3'!$A$223</f>
        <v>Kształtka</v>
      </c>
      <c r="R2508" s="732" t="str">
        <f>CONCATENATE('DICTIONARY-3'!$A$153," ",'DICTIONARY-3'!$A$175&amp;'DICTIONARY-3'!$A$157&amp;'DICTIONARY-3'!$A$174," ",'DICTIONARY-2'!$A$2,"125"," ",'DICTIONARY-2'!$A$10,"16",'DICTIONARY-2'!$A$20," ",'DICTIONARY-2'!$A$24,"=","480/380",'DICTIONARY-2'!$A$17,", ",'DICTIONARY-5'!$A$198,"+",'DICTIONARY-5'!$A$199)</f>
        <v>BAIO Kształtka-SM‎ DN125 PS16bar L=480/380mm, mufa+końcówka bosa</v>
      </c>
      <c r="S2508" s="733" t="s">
        <v>5569</v>
      </c>
      <c r="T2508" s="732" t="s">
        <v>5569</v>
      </c>
      <c r="U2508" s="734" t="s">
        <v>5761</v>
      </c>
      <c r="V2508" s="735"/>
      <c r="W2508" s="736"/>
      <c r="X2508" s="737"/>
      <c r="Y2508" s="738"/>
      <c r="Z2508" s="739"/>
      <c r="AA2508" s="739"/>
      <c r="AB2508" s="740">
        <v>16</v>
      </c>
      <c r="AC2508" s="733" t="s">
        <v>5643</v>
      </c>
      <c r="AD2508" s="741" t="str">
        <f>'DICTIONARY-5'!$A$13</f>
        <v>woda pitna</v>
      </c>
      <c r="AE2508" s="742">
        <v>50</v>
      </c>
      <c r="AF2508" s="743">
        <v>14</v>
      </c>
      <c r="AG2508" s="741" t="str">
        <f>'DICTIONARY-5'!$A$23</f>
        <v>powłoka epoksydowa</v>
      </c>
    </row>
    <row r="2509" spans="1:33" x14ac:dyDescent="0.25">
      <c r="A2509" s="880" t="s">
        <v>2396</v>
      </c>
      <c r="B2509" s="880" t="s">
        <v>2856</v>
      </c>
      <c r="C2509" s="836">
        <v>264</v>
      </c>
      <c r="D2509" s="836"/>
      <c r="E2509" s="836"/>
      <c r="F2509" s="836"/>
      <c r="G2509" s="496" t="s">
        <v>7851</v>
      </c>
      <c r="H2509" s="797" t="str">
        <f>VLOOKUP(G2509,SETTINGS!$B$7:$D$97,2,0)</f>
        <v>BAIO Fittings</v>
      </c>
      <c r="I2509" s="796">
        <f>VLOOKUP(G2509,SETTINGS!$B$7:$D$97,3,0)</f>
        <v>0</v>
      </c>
      <c r="J2509" s="670" t="str">
        <f>IFERROR(IF(CURRENCY.FORMAT_1=0,CONCATENATE(TEXT(FIXED(ROUND((C2509/EXC.RATE_1),CURRENCY.FORMAT_1),CURRENCY.FORMAT_1,1),"# ##0;-# ##0"),",-"),FIXED(ROUND((C2509/EXC.RATE_1),CURRENCY.FORMAT_1),CURRENCY.FORMAT_1,0)),'DICTIONARY-5'!$A$2)</f>
        <v>264,-</v>
      </c>
      <c r="K2509" s="670" t="str">
        <f>IF(EXC.RATE_2=0,"",IFERROR(IF(CURRENCY.FORMAT_2=0,CONCATENATE(TEXT(FIXED(ROUND(IF(EXC.RATE.SWITCH=1,C2509/EXC.RATE_2,C2509*EXC.RATE_2),CURRENCY.FORMAT_2),CURRENCY.FORMAT_2,1),"# ##0;-# ##0"),",-"),FIXED(ROUND(IF(EXC.RATE.SWITCH=1,C2509/EXC.RATE_2,C2509*EXC.RATE_2),CURRENCY.FORMAT_2),CURRENCY.FORMAT_2,0)),'DICTIONARY-5'!$A$2))</f>
        <v/>
      </c>
      <c r="L2509" s="670" t="str">
        <f>IFERROR(IF(CURRENCY.FORMAT_1=0,CONCATENATE(TEXT(FIXED(ROUND((C2509*(1-I2509)*(1-ADD.DISCOUNT)*(1+MAT.SURCHARGE)/EXC.RATE_1),CURRENCY.FORMAT_1),CURRENCY.FORMAT_1,1),"# ##0;-# ##0"),",-"),FIXED(ROUND((C2509*(1-I2509)*(1-ADD.DISCOUNT)*(1+MAT.SURCHARGE)/EXC.RATE_1),CURRENCY.FORMAT_1),CURRENCY.FORMAT_1,0)),'DICTIONARY-5'!$A$2)</f>
        <v>274,-</v>
      </c>
      <c r="M2509" s="670" t="str">
        <f>IF(EXC.RATE_2=0,"",IFERROR(IF(CURRENCY.FORMAT_2=0,CONCATENATE(TEXT(FIXED(ROUND(IF(EXC.RATE.SWITCH=1,C2509*(1-I2509)*(1-ADD.DISCOUNT)*(1+MAT.SURCHARGE)/EXC.RATE_2,C2509*(1-I2509)*(1-ADD.DISCOUNT)*(1+MAT.SURCHARGE)*EXC.RATE_2),CURRENCY.FORMAT_2),CURRENCY.FORMAT_2,1),"# ##0;-# ##0"),",-"),FIXED(ROUND(IF(EXC.RATE.SWITCH=1,C2509*(1-I2509)*(1-ADD.DISCOUNT)*(1+MAT.SURCHARGE)/EXC.RATE_2,C2509*(1-I2509)*(1-ADD.DISCOUNT)*(1+MAT.SURCHARGE)*EXC.RATE_2),CURRENCY.FORMAT_2),CURRENCY.FORMAT_2,0)),'DICTIONARY-5'!$A$2))</f>
        <v/>
      </c>
      <c r="N2509" s="536">
        <v>12</v>
      </c>
      <c r="O2509" s="536"/>
      <c r="P2509" s="732" t="str">
        <f>'DICTIONARY-3'!$A$153&amp;" "&amp;'DICTIONARY-3'!$A$157</f>
        <v>BAIO SM</v>
      </c>
      <c r="Q2509" s="732" t="str">
        <f>'DICTIONARY-3'!$A$223</f>
        <v>Kształtka</v>
      </c>
      <c r="R2509" s="732" t="str">
        <f>CONCATENATE('DICTIONARY-3'!$A$153," ",'DICTIONARY-3'!$A$175&amp;'DICTIONARY-3'!$A$157&amp;'DICTIONARY-3'!$A$174," ",'DICTIONARY-2'!$A$2,"150"," ",'DICTIONARY-2'!$A$10,"16",'DICTIONARY-2'!$A$20," ",'DICTIONARY-2'!$A$24,"=","300/190",'DICTIONARY-2'!$A$17,", ",'DICTIONARY-5'!$A$198,"+",'DICTIONARY-5'!$A$199)</f>
        <v>BAIO Kształtka-SM‎ DN150 PS16bar L=300/190mm, mufa+końcówka bosa</v>
      </c>
      <c r="S2509" s="733" t="s">
        <v>5569</v>
      </c>
      <c r="T2509" s="732" t="s">
        <v>5569</v>
      </c>
      <c r="U2509" s="734" t="s">
        <v>5572</v>
      </c>
      <c r="V2509" s="735"/>
      <c r="W2509" s="736"/>
      <c r="X2509" s="737"/>
      <c r="Y2509" s="738"/>
      <c r="Z2509" s="739"/>
      <c r="AA2509" s="739"/>
      <c r="AB2509" s="740">
        <v>16</v>
      </c>
      <c r="AC2509" s="733" t="s">
        <v>5644</v>
      </c>
      <c r="AD2509" s="741" t="str">
        <f>'DICTIONARY-5'!$A$13</f>
        <v>woda pitna</v>
      </c>
      <c r="AE2509" s="742">
        <v>50</v>
      </c>
      <c r="AF2509" s="743">
        <v>11.5</v>
      </c>
      <c r="AG2509" s="741" t="str">
        <f>'DICTIONARY-5'!$A$23</f>
        <v>powłoka epoksydowa</v>
      </c>
    </row>
    <row r="2510" spans="1:33" x14ac:dyDescent="0.25">
      <c r="A2510" s="880" t="s">
        <v>2397</v>
      </c>
      <c r="B2510" s="880" t="s">
        <v>2781</v>
      </c>
      <c r="C2510" s="836">
        <v>223</v>
      </c>
      <c r="D2510" s="836"/>
      <c r="E2510" s="836"/>
      <c r="F2510" s="836"/>
      <c r="G2510" s="496" t="s">
        <v>7851</v>
      </c>
      <c r="H2510" s="797" t="str">
        <f>VLOOKUP(G2510,SETTINGS!$B$7:$D$97,2,0)</f>
        <v>BAIO Fittings</v>
      </c>
      <c r="I2510" s="796">
        <f>VLOOKUP(G2510,SETTINGS!$B$7:$D$97,3,0)</f>
        <v>0</v>
      </c>
      <c r="J2510" s="670" t="str">
        <f>IFERROR(IF(CURRENCY.FORMAT_1=0,CONCATENATE(TEXT(FIXED(ROUND((C2510/EXC.RATE_1),CURRENCY.FORMAT_1),CURRENCY.FORMAT_1,1),"# ##0;-# ##0"),",-"),FIXED(ROUND((C2510/EXC.RATE_1),CURRENCY.FORMAT_1),CURRENCY.FORMAT_1,0)),'DICTIONARY-5'!$A$2)</f>
        <v>223,-</v>
      </c>
      <c r="K2510" s="670" t="str">
        <f>IF(EXC.RATE_2=0,"",IFERROR(IF(CURRENCY.FORMAT_2=0,CONCATENATE(TEXT(FIXED(ROUND(IF(EXC.RATE.SWITCH=1,C2510/EXC.RATE_2,C2510*EXC.RATE_2),CURRENCY.FORMAT_2),CURRENCY.FORMAT_2,1),"# ##0;-# ##0"),",-"),FIXED(ROUND(IF(EXC.RATE.SWITCH=1,C2510/EXC.RATE_2,C2510*EXC.RATE_2),CURRENCY.FORMAT_2),CURRENCY.FORMAT_2,0)),'DICTIONARY-5'!$A$2))</f>
        <v/>
      </c>
      <c r="L2510" s="670" t="str">
        <f>IFERROR(IF(CURRENCY.FORMAT_1=0,CONCATENATE(TEXT(FIXED(ROUND((C2510*(1-I2510)*(1-ADD.DISCOUNT)*(1+MAT.SURCHARGE)/EXC.RATE_1),CURRENCY.FORMAT_1),CURRENCY.FORMAT_1,1),"# ##0;-# ##0"),",-"),FIXED(ROUND((C2510*(1-I2510)*(1-ADD.DISCOUNT)*(1+MAT.SURCHARGE)/EXC.RATE_1),CURRENCY.FORMAT_1),CURRENCY.FORMAT_1,0)),'DICTIONARY-5'!$A$2)</f>
        <v>232,-</v>
      </c>
      <c r="M2510" s="670" t="str">
        <f>IF(EXC.RATE_2=0,"",IFERROR(IF(CURRENCY.FORMAT_2=0,CONCATENATE(TEXT(FIXED(ROUND(IF(EXC.RATE.SWITCH=1,C2510*(1-I2510)*(1-ADD.DISCOUNT)*(1+MAT.SURCHARGE)/EXC.RATE_2,C2510*(1-I2510)*(1-ADD.DISCOUNT)*(1+MAT.SURCHARGE)*EXC.RATE_2),CURRENCY.FORMAT_2),CURRENCY.FORMAT_2,1),"# ##0;-# ##0"),",-"),FIXED(ROUND(IF(EXC.RATE.SWITCH=1,C2510*(1-I2510)*(1-ADD.DISCOUNT)*(1+MAT.SURCHARGE)/EXC.RATE_2,C2510*(1-I2510)*(1-ADD.DISCOUNT)*(1+MAT.SURCHARGE)*EXC.RATE_2),CURRENCY.FORMAT_2),CURRENCY.FORMAT_2,0)),'DICTIONARY-5'!$A$2))</f>
        <v/>
      </c>
      <c r="N2510" s="536">
        <v>12</v>
      </c>
      <c r="O2510" s="536"/>
      <c r="P2510" s="732" t="str">
        <f>'DICTIONARY-3'!$A$153&amp;" "&amp;'DICTIONARY-3'!$A$157</f>
        <v>BAIO SM</v>
      </c>
      <c r="Q2510" s="732" t="str">
        <f>'DICTIONARY-3'!$A$223</f>
        <v>Kształtka</v>
      </c>
      <c r="R2510" s="732" t="str">
        <f>CONCATENATE('DICTIONARY-3'!$A$153," ",'DICTIONARY-3'!$A$175&amp;'DICTIONARY-3'!$A$157&amp;'DICTIONARY-3'!$A$174," ",'DICTIONARY-2'!$A$2,"150"," ",'DICTIONARY-2'!$A$10,"16",'DICTIONARY-2'!$A$20," ",'DICTIONARY-2'!$A$24,"=","480/370",'DICTIONARY-2'!$A$17,", ",'DICTIONARY-5'!$A$198,"+",'DICTIONARY-5'!$A$199)</f>
        <v>BAIO Kształtka-SM‎ DN150 PS16bar L=480/370mm, mufa+końcówka bosa</v>
      </c>
      <c r="S2510" s="733" t="s">
        <v>5569</v>
      </c>
      <c r="T2510" s="732" t="s">
        <v>5569</v>
      </c>
      <c r="U2510" s="734" t="s">
        <v>5572</v>
      </c>
      <c r="V2510" s="735"/>
      <c r="W2510" s="736"/>
      <c r="X2510" s="737"/>
      <c r="Y2510" s="738"/>
      <c r="Z2510" s="739"/>
      <c r="AA2510" s="739"/>
      <c r="AB2510" s="740">
        <v>16</v>
      </c>
      <c r="AC2510" s="733" t="s">
        <v>5645</v>
      </c>
      <c r="AD2510" s="741" t="str">
        <f>'DICTIONARY-5'!$A$13</f>
        <v>woda pitna</v>
      </c>
      <c r="AE2510" s="742">
        <v>50</v>
      </c>
      <c r="AF2510" s="743">
        <v>17</v>
      </c>
      <c r="AG2510" s="741" t="str">
        <f>'DICTIONARY-5'!$A$23</f>
        <v>powłoka epoksydowa</v>
      </c>
    </row>
    <row r="2511" spans="1:33" x14ac:dyDescent="0.25">
      <c r="A2511" s="880" t="s">
        <v>2398</v>
      </c>
      <c r="B2511" s="880" t="s">
        <v>2778</v>
      </c>
      <c r="C2511" s="836">
        <v>350</v>
      </c>
      <c r="D2511" s="836"/>
      <c r="E2511" s="836"/>
      <c r="F2511" s="836"/>
      <c r="G2511" s="496" t="s">
        <v>7851</v>
      </c>
      <c r="H2511" s="797" t="str">
        <f>VLOOKUP(G2511,SETTINGS!$B$7:$D$97,2,0)</f>
        <v>BAIO Fittings</v>
      </c>
      <c r="I2511" s="796">
        <f>VLOOKUP(G2511,SETTINGS!$B$7:$D$97,3,0)</f>
        <v>0</v>
      </c>
      <c r="J2511" s="670" t="str">
        <f>IFERROR(IF(CURRENCY.FORMAT_1=0,CONCATENATE(TEXT(FIXED(ROUND((C2511/EXC.RATE_1),CURRENCY.FORMAT_1),CURRENCY.FORMAT_1,1),"# ##0;-# ##0"),",-"),FIXED(ROUND((C2511/EXC.RATE_1),CURRENCY.FORMAT_1),CURRENCY.FORMAT_1,0)),'DICTIONARY-5'!$A$2)</f>
        <v>350,-</v>
      </c>
      <c r="K2511" s="670" t="str">
        <f>IF(EXC.RATE_2=0,"",IFERROR(IF(CURRENCY.FORMAT_2=0,CONCATENATE(TEXT(FIXED(ROUND(IF(EXC.RATE.SWITCH=1,C2511/EXC.RATE_2,C2511*EXC.RATE_2),CURRENCY.FORMAT_2),CURRENCY.FORMAT_2,1),"# ##0;-# ##0"),",-"),FIXED(ROUND(IF(EXC.RATE.SWITCH=1,C2511/EXC.RATE_2,C2511*EXC.RATE_2),CURRENCY.FORMAT_2),CURRENCY.FORMAT_2,0)),'DICTIONARY-5'!$A$2))</f>
        <v/>
      </c>
      <c r="L2511" s="670" t="str">
        <f>IFERROR(IF(CURRENCY.FORMAT_1=0,CONCATENATE(TEXT(FIXED(ROUND((C2511*(1-I2511)*(1-ADD.DISCOUNT)*(1+MAT.SURCHARGE)/EXC.RATE_1),CURRENCY.FORMAT_1),CURRENCY.FORMAT_1,1),"# ##0;-# ##0"),",-"),FIXED(ROUND((C2511*(1-I2511)*(1-ADD.DISCOUNT)*(1+MAT.SURCHARGE)/EXC.RATE_1),CURRENCY.FORMAT_1),CURRENCY.FORMAT_1,0)),'DICTIONARY-5'!$A$2)</f>
        <v>364,-</v>
      </c>
      <c r="M2511" s="670" t="str">
        <f>IF(EXC.RATE_2=0,"",IFERROR(IF(CURRENCY.FORMAT_2=0,CONCATENATE(TEXT(FIXED(ROUND(IF(EXC.RATE.SWITCH=1,C2511*(1-I2511)*(1-ADD.DISCOUNT)*(1+MAT.SURCHARGE)/EXC.RATE_2,C2511*(1-I2511)*(1-ADD.DISCOUNT)*(1+MAT.SURCHARGE)*EXC.RATE_2),CURRENCY.FORMAT_2),CURRENCY.FORMAT_2,1),"# ##0;-# ##0"),",-"),FIXED(ROUND(IF(EXC.RATE.SWITCH=1,C2511*(1-I2511)*(1-ADD.DISCOUNT)*(1+MAT.SURCHARGE)/EXC.RATE_2,C2511*(1-I2511)*(1-ADD.DISCOUNT)*(1+MAT.SURCHARGE)*EXC.RATE_2),CURRENCY.FORMAT_2),CURRENCY.FORMAT_2,0)),'DICTIONARY-5'!$A$2))</f>
        <v/>
      </c>
      <c r="N2511" s="536">
        <v>12</v>
      </c>
      <c r="O2511" s="536"/>
      <c r="P2511" s="732" t="str">
        <f>'DICTIONARY-3'!$A$153&amp;" "&amp;'DICTIONARY-3'!$A$157</f>
        <v>BAIO SM</v>
      </c>
      <c r="Q2511" s="732" t="str">
        <f>'DICTIONARY-3'!$A$223</f>
        <v>Kształtka</v>
      </c>
      <c r="R2511" s="732" t="str">
        <f>CONCATENATE('DICTIONARY-3'!$A$153," ",'DICTIONARY-3'!$A$175&amp;'DICTIONARY-3'!$A$157&amp;'DICTIONARY-3'!$A$174," ",'DICTIONARY-2'!$A$2,"200"," ",'DICTIONARY-2'!$A$10,"16",'DICTIONARY-2'!$A$20," ",'DICTIONARY-2'!$A$24,"=","510/395",'DICTIONARY-2'!$A$17,", ",'DICTIONARY-5'!$A$198,"+",'DICTIONARY-5'!$A$199)</f>
        <v>BAIO Kształtka-SM‎ DN200 PS16bar L=510/395mm, mufa+końcówka bosa</v>
      </c>
      <c r="S2511" s="733" t="s">
        <v>5569</v>
      </c>
      <c r="T2511" s="732" t="s">
        <v>5569</v>
      </c>
      <c r="U2511" s="734" t="s">
        <v>5750</v>
      </c>
      <c r="V2511" s="735"/>
      <c r="W2511" s="736"/>
      <c r="X2511" s="737"/>
      <c r="Y2511" s="738"/>
      <c r="Z2511" s="739"/>
      <c r="AA2511" s="739"/>
      <c r="AB2511" s="740">
        <v>16</v>
      </c>
      <c r="AC2511" s="733" t="s">
        <v>5646</v>
      </c>
      <c r="AD2511" s="741" t="str">
        <f>'DICTIONARY-5'!$A$13</f>
        <v>woda pitna</v>
      </c>
      <c r="AE2511" s="742">
        <v>50</v>
      </c>
      <c r="AF2511" s="743">
        <v>26</v>
      </c>
      <c r="AG2511" s="741" t="str">
        <f>'DICTIONARY-5'!$A$23</f>
        <v>powłoka epoksydowa</v>
      </c>
    </row>
    <row r="2512" spans="1:33" x14ac:dyDescent="0.25">
      <c r="A2512" s="880" t="s">
        <v>2399</v>
      </c>
      <c r="B2512" s="880" t="s">
        <v>2915</v>
      </c>
      <c r="C2512" s="836">
        <v>197</v>
      </c>
      <c r="D2512" s="836"/>
      <c r="E2512" s="836"/>
      <c r="F2512" s="836"/>
      <c r="G2512" s="496" t="s">
        <v>7851</v>
      </c>
      <c r="H2512" s="797" t="str">
        <f>VLOOKUP(G2512,SETTINGS!$B$7:$D$97,2,0)</f>
        <v>BAIO Fittings</v>
      </c>
      <c r="I2512" s="796">
        <f>VLOOKUP(G2512,SETTINGS!$B$7:$D$97,3,0)</f>
        <v>0</v>
      </c>
      <c r="J2512" s="670" t="str">
        <f>IFERROR(IF(CURRENCY.FORMAT_1=0,CONCATENATE(TEXT(FIXED(ROUND((C2512/EXC.RATE_1),CURRENCY.FORMAT_1),CURRENCY.FORMAT_1,1),"# ##0;-# ##0"),",-"),FIXED(ROUND((C2512/EXC.RATE_1),CURRENCY.FORMAT_1),CURRENCY.FORMAT_1,0)),'DICTIONARY-5'!$A$2)</f>
        <v>197,-</v>
      </c>
      <c r="K2512" s="670" t="str">
        <f>IF(EXC.RATE_2=0,"",IFERROR(IF(CURRENCY.FORMAT_2=0,CONCATENATE(TEXT(FIXED(ROUND(IF(EXC.RATE.SWITCH=1,C2512/EXC.RATE_2,C2512*EXC.RATE_2),CURRENCY.FORMAT_2),CURRENCY.FORMAT_2,1),"# ##0;-# ##0"),",-"),FIXED(ROUND(IF(EXC.RATE.SWITCH=1,C2512/EXC.RATE_2,C2512*EXC.RATE_2),CURRENCY.FORMAT_2),CURRENCY.FORMAT_2,0)),'DICTIONARY-5'!$A$2))</f>
        <v/>
      </c>
      <c r="L2512" s="670" t="str">
        <f>IFERROR(IF(CURRENCY.FORMAT_1=0,CONCATENATE(TEXT(FIXED(ROUND((C2512*(1-I2512)*(1-ADD.DISCOUNT)*(1+MAT.SURCHARGE)/EXC.RATE_1),CURRENCY.FORMAT_1),CURRENCY.FORMAT_1,1),"# ##0;-# ##0"),",-"),FIXED(ROUND((C2512*(1-I2512)*(1-ADD.DISCOUNT)*(1+MAT.SURCHARGE)/EXC.RATE_1),CURRENCY.FORMAT_1),CURRENCY.FORMAT_1,0)),'DICTIONARY-5'!$A$2)</f>
        <v>205,-</v>
      </c>
      <c r="M2512" s="670" t="str">
        <f>IF(EXC.RATE_2=0,"",IFERROR(IF(CURRENCY.FORMAT_2=0,CONCATENATE(TEXT(FIXED(ROUND(IF(EXC.RATE.SWITCH=1,C2512*(1-I2512)*(1-ADD.DISCOUNT)*(1+MAT.SURCHARGE)/EXC.RATE_2,C2512*(1-I2512)*(1-ADD.DISCOUNT)*(1+MAT.SURCHARGE)*EXC.RATE_2),CURRENCY.FORMAT_2),CURRENCY.FORMAT_2,1),"# ##0;-# ##0"),",-"),FIXED(ROUND(IF(EXC.RATE.SWITCH=1,C2512*(1-I2512)*(1-ADD.DISCOUNT)*(1+MAT.SURCHARGE)/EXC.RATE_2,C2512*(1-I2512)*(1-ADD.DISCOUNT)*(1+MAT.SURCHARGE)*EXC.RATE_2),CURRENCY.FORMAT_2),CURRENCY.FORMAT_2,0)),'DICTIONARY-5'!$A$2))</f>
        <v/>
      </c>
      <c r="N2512" s="536">
        <v>12</v>
      </c>
      <c r="O2512" s="536"/>
      <c r="P2512" s="732" t="str">
        <f>'DICTIONARY-3'!$A$153&amp;" "&amp;'DICTIONARY-3'!$A$158</f>
        <v>BAIO EMS</v>
      </c>
      <c r="Q2512" s="732" t="str">
        <f>'DICTIONARY-3'!$A$223</f>
        <v>Kształtka</v>
      </c>
      <c r="R2512" s="732" t="str">
        <f>CONCATENATE('DICTIONARY-3'!$A$153," ",'DICTIONARY-3'!$A$175&amp;'DICTIONARY-3'!$A$158&amp;'DICTIONARY-3'!$A$174," ",'DICTIONARY-2'!$A$2,"80"," ",'DICTIONARY-2'!$A$10,"16",'DICTIONARY-2'!$A$20," ",'DICTIONARY-2'!$A$24,"=","555/471",'DICTIONARY-2'!$A$17,", ",'DICTIONARY-5'!$A$198,"+",'DICTIONARY-5'!$A$199)</f>
        <v>BAIO Kształtka-EMS‎ DN80 PS16bar L=555/471mm, mufa+końcówka bosa</v>
      </c>
      <c r="S2512" s="733" t="s">
        <v>5569</v>
      </c>
      <c r="T2512" s="732" t="s">
        <v>5569</v>
      </c>
      <c r="U2512" s="734" t="s">
        <v>5760</v>
      </c>
      <c r="V2512" s="735"/>
      <c r="W2512" s="736"/>
      <c r="X2512" s="737"/>
      <c r="Y2512" s="738"/>
      <c r="Z2512" s="739"/>
      <c r="AA2512" s="739"/>
      <c r="AB2512" s="740">
        <v>16</v>
      </c>
      <c r="AC2512" s="741" t="s">
        <v>5627</v>
      </c>
      <c r="AD2512" s="741" t="str">
        <f>'DICTIONARY-5'!$A$13</f>
        <v>woda pitna</v>
      </c>
      <c r="AE2512" s="742">
        <v>50</v>
      </c>
      <c r="AF2512" s="743">
        <v>13</v>
      </c>
      <c r="AG2512" s="741" t="str">
        <f>'DICTIONARY-5'!$A$23</f>
        <v>powłoka epoksydowa</v>
      </c>
    </row>
    <row r="2513" spans="1:33" x14ac:dyDescent="0.25">
      <c r="A2513" s="880" t="s">
        <v>2400</v>
      </c>
      <c r="B2513" s="880" t="s">
        <v>2916</v>
      </c>
      <c r="C2513" s="836">
        <v>227</v>
      </c>
      <c r="D2513" s="836"/>
      <c r="E2513" s="836"/>
      <c r="F2513" s="836"/>
      <c r="G2513" s="496" t="s">
        <v>7851</v>
      </c>
      <c r="H2513" s="797" t="str">
        <f>VLOOKUP(G2513,SETTINGS!$B$7:$D$97,2,0)</f>
        <v>BAIO Fittings</v>
      </c>
      <c r="I2513" s="796">
        <f>VLOOKUP(G2513,SETTINGS!$B$7:$D$97,3,0)</f>
        <v>0</v>
      </c>
      <c r="J2513" s="670" t="str">
        <f>IFERROR(IF(CURRENCY.FORMAT_1=0,CONCATENATE(TEXT(FIXED(ROUND((C2513/EXC.RATE_1),CURRENCY.FORMAT_1),CURRENCY.FORMAT_1,1),"# ##0;-# ##0"),",-"),FIXED(ROUND((C2513/EXC.RATE_1),CURRENCY.FORMAT_1),CURRENCY.FORMAT_1,0)),'DICTIONARY-5'!$A$2)</f>
        <v>227,-</v>
      </c>
      <c r="K2513" s="670" t="str">
        <f>IF(EXC.RATE_2=0,"",IFERROR(IF(CURRENCY.FORMAT_2=0,CONCATENATE(TEXT(FIXED(ROUND(IF(EXC.RATE.SWITCH=1,C2513/EXC.RATE_2,C2513*EXC.RATE_2),CURRENCY.FORMAT_2),CURRENCY.FORMAT_2,1),"# ##0;-# ##0"),",-"),FIXED(ROUND(IF(EXC.RATE.SWITCH=1,C2513/EXC.RATE_2,C2513*EXC.RATE_2),CURRENCY.FORMAT_2),CURRENCY.FORMAT_2,0)),'DICTIONARY-5'!$A$2))</f>
        <v/>
      </c>
      <c r="L2513" s="670" t="str">
        <f>IFERROR(IF(CURRENCY.FORMAT_1=0,CONCATENATE(TEXT(FIXED(ROUND((C2513*(1-I2513)*(1-ADD.DISCOUNT)*(1+MAT.SURCHARGE)/EXC.RATE_1),CURRENCY.FORMAT_1),CURRENCY.FORMAT_1,1),"# ##0;-# ##0"),",-"),FIXED(ROUND((C2513*(1-I2513)*(1-ADD.DISCOUNT)*(1+MAT.SURCHARGE)/EXC.RATE_1),CURRENCY.FORMAT_1),CURRENCY.FORMAT_1,0)),'DICTIONARY-5'!$A$2)</f>
        <v>236,-</v>
      </c>
      <c r="M2513" s="670" t="str">
        <f>IF(EXC.RATE_2=0,"",IFERROR(IF(CURRENCY.FORMAT_2=0,CONCATENATE(TEXT(FIXED(ROUND(IF(EXC.RATE.SWITCH=1,C2513*(1-I2513)*(1-ADD.DISCOUNT)*(1+MAT.SURCHARGE)/EXC.RATE_2,C2513*(1-I2513)*(1-ADD.DISCOUNT)*(1+MAT.SURCHARGE)*EXC.RATE_2),CURRENCY.FORMAT_2),CURRENCY.FORMAT_2,1),"# ##0;-# ##0"),",-"),FIXED(ROUND(IF(EXC.RATE.SWITCH=1,C2513*(1-I2513)*(1-ADD.DISCOUNT)*(1+MAT.SURCHARGE)/EXC.RATE_2,C2513*(1-I2513)*(1-ADD.DISCOUNT)*(1+MAT.SURCHARGE)*EXC.RATE_2),CURRENCY.FORMAT_2),CURRENCY.FORMAT_2,0)),'DICTIONARY-5'!$A$2))</f>
        <v/>
      </c>
      <c r="N2513" s="536">
        <v>12</v>
      </c>
      <c r="O2513" s="536"/>
      <c r="P2513" s="732" t="str">
        <f>'DICTIONARY-3'!$A$153&amp;" "&amp;'DICTIONARY-3'!$A$158</f>
        <v>BAIO EMS</v>
      </c>
      <c r="Q2513" s="732" t="str">
        <f>'DICTIONARY-3'!$A$223</f>
        <v>Kształtka</v>
      </c>
      <c r="R2513" s="732" t="str">
        <f>CONCATENATE('DICTIONARY-3'!$A$153," ",'DICTIONARY-3'!$A$175&amp;'DICTIONARY-3'!$A$158&amp;'DICTIONARY-3'!$A$174," ",'DICTIONARY-2'!$A$2,"100"," ",'DICTIONARY-2'!$A$10,"16",'DICTIONARY-2'!$A$20," ",'DICTIONARY-2'!$A$24,"=","580/746",'DICTIONARY-2'!$A$17,", ",'DICTIONARY-5'!$A$198,"+",'DICTIONARY-5'!$A$199)</f>
        <v>BAIO Kształtka-EMS‎ DN100 PS16bar L=580/746mm, mufa+końcówka bosa</v>
      </c>
      <c r="S2513" s="733" t="s">
        <v>5569</v>
      </c>
      <c r="T2513" s="732" t="s">
        <v>5569</v>
      </c>
      <c r="U2513" s="734" t="s">
        <v>5749</v>
      </c>
      <c r="V2513" s="735"/>
      <c r="W2513" s="736"/>
      <c r="X2513" s="737"/>
      <c r="Y2513" s="738"/>
      <c r="Z2513" s="739"/>
      <c r="AA2513" s="739"/>
      <c r="AB2513" s="740">
        <v>16</v>
      </c>
      <c r="AC2513" s="741" t="s">
        <v>5628</v>
      </c>
      <c r="AD2513" s="741" t="str">
        <f>'DICTIONARY-5'!$A$13</f>
        <v>woda pitna</v>
      </c>
      <c r="AE2513" s="742">
        <v>50</v>
      </c>
      <c r="AF2513" s="743">
        <v>15</v>
      </c>
      <c r="AG2513" s="741" t="str">
        <f>'DICTIONARY-5'!$A$23</f>
        <v>powłoka epoksydowa</v>
      </c>
    </row>
    <row r="2514" spans="1:33" x14ac:dyDescent="0.25">
      <c r="A2514" s="880" t="s">
        <v>2401</v>
      </c>
      <c r="B2514" s="880" t="s">
        <v>2917</v>
      </c>
      <c r="C2514" s="836">
        <v>304</v>
      </c>
      <c r="D2514" s="836"/>
      <c r="E2514" s="836"/>
      <c r="F2514" s="836"/>
      <c r="G2514" s="496" t="s">
        <v>7851</v>
      </c>
      <c r="H2514" s="797" t="str">
        <f>VLOOKUP(G2514,SETTINGS!$B$7:$D$97,2,0)</f>
        <v>BAIO Fittings</v>
      </c>
      <c r="I2514" s="796">
        <f>VLOOKUP(G2514,SETTINGS!$B$7:$D$97,3,0)</f>
        <v>0</v>
      </c>
      <c r="J2514" s="670" t="str">
        <f>IFERROR(IF(CURRENCY.FORMAT_1=0,CONCATENATE(TEXT(FIXED(ROUND((C2514/EXC.RATE_1),CURRENCY.FORMAT_1),CURRENCY.FORMAT_1,1),"# ##0;-# ##0"),",-"),FIXED(ROUND((C2514/EXC.RATE_1),CURRENCY.FORMAT_1),CURRENCY.FORMAT_1,0)),'DICTIONARY-5'!$A$2)</f>
        <v>304,-</v>
      </c>
      <c r="K2514" s="670" t="str">
        <f>IF(EXC.RATE_2=0,"",IFERROR(IF(CURRENCY.FORMAT_2=0,CONCATENATE(TEXT(FIXED(ROUND(IF(EXC.RATE.SWITCH=1,C2514/EXC.RATE_2,C2514*EXC.RATE_2),CURRENCY.FORMAT_2),CURRENCY.FORMAT_2,1),"# ##0;-# ##0"),",-"),FIXED(ROUND(IF(EXC.RATE.SWITCH=1,C2514/EXC.RATE_2,C2514*EXC.RATE_2),CURRENCY.FORMAT_2),CURRENCY.FORMAT_2,0)),'DICTIONARY-5'!$A$2))</f>
        <v/>
      </c>
      <c r="L2514" s="670" t="str">
        <f>IFERROR(IF(CURRENCY.FORMAT_1=0,CONCATENATE(TEXT(FIXED(ROUND((C2514*(1-I2514)*(1-ADD.DISCOUNT)*(1+MAT.SURCHARGE)/EXC.RATE_1),CURRENCY.FORMAT_1),CURRENCY.FORMAT_1,1),"# ##0;-# ##0"),",-"),FIXED(ROUND((C2514*(1-I2514)*(1-ADD.DISCOUNT)*(1+MAT.SURCHARGE)/EXC.RATE_1),CURRENCY.FORMAT_1),CURRENCY.FORMAT_1,0)),'DICTIONARY-5'!$A$2)</f>
        <v>316,-</v>
      </c>
      <c r="M2514" s="670" t="str">
        <f>IF(EXC.RATE_2=0,"",IFERROR(IF(CURRENCY.FORMAT_2=0,CONCATENATE(TEXT(FIXED(ROUND(IF(EXC.RATE.SWITCH=1,C2514*(1-I2514)*(1-ADD.DISCOUNT)*(1+MAT.SURCHARGE)/EXC.RATE_2,C2514*(1-I2514)*(1-ADD.DISCOUNT)*(1+MAT.SURCHARGE)*EXC.RATE_2),CURRENCY.FORMAT_2),CURRENCY.FORMAT_2,1),"# ##0;-# ##0"),",-"),FIXED(ROUND(IF(EXC.RATE.SWITCH=1,C2514*(1-I2514)*(1-ADD.DISCOUNT)*(1+MAT.SURCHARGE)/EXC.RATE_2,C2514*(1-I2514)*(1-ADD.DISCOUNT)*(1+MAT.SURCHARGE)*EXC.RATE_2),CURRENCY.FORMAT_2),CURRENCY.FORMAT_2,0)),'DICTIONARY-5'!$A$2))</f>
        <v/>
      </c>
      <c r="N2514" s="536">
        <v>12</v>
      </c>
      <c r="O2514" s="536"/>
      <c r="P2514" s="732" t="str">
        <f>'DICTIONARY-3'!$A$153&amp;" "&amp;'DICTIONARY-3'!$A$158</f>
        <v>BAIO EMS</v>
      </c>
      <c r="Q2514" s="732" t="str">
        <f>'DICTIONARY-3'!$A$223</f>
        <v>Kształtka</v>
      </c>
      <c r="R2514" s="732" t="str">
        <f>CONCATENATE('DICTIONARY-3'!$A$153," ",'DICTIONARY-3'!$A$175&amp;'DICTIONARY-3'!$A$158&amp;'DICTIONARY-3'!$A$174," ",'DICTIONARY-2'!$A$2,"125"," ",'DICTIONARY-2'!$A$10,"16",'DICTIONARY-2'!$A$20," ",'DICTIONARY-2'!$A$24,"=","615/504",'DICTIONARY-2'!$A$17,", ",'DICTIONARY-5'!$A$198,"+",'DICTIONARY-5'!$A$199)</f>
        <v>BAIO Kształtka-EMS‎ DN125 PS16bar L=615/504mm, mufa+końcówka bosa</v>
      </c>
      <c r="S2514" s="733" t="s">
        <v>5569</v>
      </c>
      <c r="T2514" s="732" t="s">
        <v>5569</v>
      </c>
      <c r="U2514" s="734" t="s">
        <v>5761</v>
      </c>
      <c r="V2514" s="735"/>
      <c r="W2514" s="736"/>
      <c r="X2514" s="737"/>
      <c r="Y2514" s="738"/>
      <c r="Z2514" s="739"/>
      <c r="AA2514" s="739"/>
      <c r="AB2514" s="740">
        <v>16</v>
      </c>
      <c r="AC2514" s="741" t="s">
        <v>5629</v>
      </c>
      <c r="AD2514" s="741" t="str">
        <f>'DICTIONARY-5'!$A$13</f>
        <v>woda pitna</v>
      </c>
      <c r="AE2514" s="742">
        <v>50</v>
      </c>
      <c r="AF2514" s="743">
        <v>20</v>
      </c>
      <c r="AG2514" s="741" t="str">
        <f>'DICTIONARY-5'!$A$23</f>
        <v>powłoka epoksydowa</v>
      </c>
    </row>
    <row r="2515" spans="1:33" x14ac:dyDescent="0.25">
      <c r="A2515" s="880" t="s">
        <v>2402</v>
      </c>
      <c r="B2515" s="880" t="s">
        <v>2918</v>
      </c>
      <c r="C2515" s="836">
        <v>352</v>
      </c>
      <c r="D2515" s="836"/>
      <c r="E2515" s="836"/>
      <c r="F2515" s="836"/>
      <c r="G2515" s="496" t="s">
        <v>7851</v>
      </c>
      <c r="H2515" s="797" t="str">
        <f>VLOOKUP(G2515,SETTINGS!$B$7:$D$97,2,0)</f>
        <v>BAIO Fittings</v>
      </c>
      <c r="I2515" s="796">
        <f>VLOOKUP(G2515,SETTINGS!$B$7:$D$97,3,0)</f>
        <v>0</v>
      </c>
      <c r="J2515" s="670" t="str">
        <f>IFERROR(IF(CURRENCY.FORMAT_1=0,CONCATENATE(TEXT(FIXED(ROUND((C2515/EXC.RATE_1),CURRENCY.FORMAT_1),CURRENCY.FORMAT_1,1),"# ##0;-# ##0"),",-"),FIXED(ROUND((C2515/EXC.RATE_1),CURRENCY.FORMAT_1),CURRENCY.FORMAT_1,0)),'DICTIONARY-5'!$A$2)</f>
        <v>352,-</v>
      </c>
      <c r="K2515" s="670" t="str">
        <f>IF(EXC.RATE_2=0,"",IFERROR(IF(CURRENCY.FORMAT_2=0,CONCATENATE(TEXT(FIXED(ROUND(IF(EXC.RATE.SWITCH=1,C2515/EXC.RATE_2,C2515*EXC.RATE_2),CURRENCY.FORMAT_2),CURRENCY.FORMAT_2,1),"# ##0;-# ##0"),",-"),FIXED(ROUND(IF(EXC.RATE.SWITCH=1,C2515/EXC.RATE_2,C2515*EXC.RATE_2),CURRENCY.FORMAT_2),CURRENCY.FORMAT_2,0)),'DICTIONARY-5'!$A$2))</f>
        <v/>
      </c>
      <c r="L2515" s="670" t="str">
        <f>IFERROR(IF(CURRENCY.FORMAT_1=0,CONCATENATE(TEXT(FIXED(ROUND((C2515*(1-I2515)*(1-ADD.DISCOUNT)*(1+MAT.SURCHARGE)/EXC.RATE_1),CURRENCY.FORMAT_1),CURRENCY.FORMAT_1,1),"# ##0;-# ##0"),",-"),FIXED(ROUND((C2515*(1-I2515)*(1-ADD.DISCOUNT)*(1+MAT.SURCHARGE)/EXC.RATE_1),CURRENCY.FORMAT_1),CURRENCY.FORMAT_1,0)),'DICTIONARY-5'!$A$2)</f>
        <v>366,-</v>
      </c>
      <c r="M2515" s="670" t="str">
        <f>IF(EXC.RATE_2=0,"",IFERROR(IF(CURRENCY.FORMAT_2=0,CONCATENATE(TEXT(FIXED(ROUND(IF(EXC.RATE.SWITCH=1,C2515*(1-I2515)*(1-ADD.DISCOUNT)*(1+MAT.SURCHARGE)/EXC.RATE_2,C2515*(1-I2515)*(1-ADD.DISCOUNT)*(1+MAT.SURCHARGE)*EXC.RATE_2),CURRENCY.FORMAT_2),CURRENCY.FORMAT_2,1),"# ##0;-# ##0"),",-"),FIXED(ROUND(IF(EXC.RATE.SWITCH=1,C2515*(1-I2515)*(1-ADD.DISCOUNT)*(1+MAT.SURCHARGE)/EXC.RATE_2,C2515*(1-I2515)*(1-ADD.DISCOUNT)*(1+MAT.SURCHARGE)*EXC.RATE_2),CURRENCY.FORMAT_2),CURRENCY.FORMAT_2,0)),'DICTIONARY-5'!$A$2))</f>
        <v/>
      </c>
      <c r="N2515" s="536">
        <v>12</v>
      </c>
      <c r="O2515" s="536"/>
      <c r="P2515" s="732" t="str">
        <f>'DICTIONARY-3'!$A$153&amp;" "&amp;'DICTIONARY-3'!$A$158</f>
        <v>BAIO EMS</v>
      </c>
      <c r="Q2515" s="732" t="str">
        <f>'DICTIONARY-3'!$A$223</f>
        <v>Kształtka</v>
      </c>
      <c r="R2515" s="732" t="str">
        <f>CONCATENATE('DICTIONARY-3'!$A$153," ",'DICTIONARY-3'!$A$175&amp;'DICTIONARY-3'!$A$158&amp;'DICTIONARY-3'!$A$174," ",'DICTIONARY-2'!$A$2,"150"," ",'DICTIONARY-2'!$A$10,"16",'DICTIONARY-2'!$A$20," ",'DICTIONARY-2'!$A$24,"=","615/504",'DICTIONARY-2'!$A$17,", ",'DICTIONARY-5'!$A$198,"+",'DICTIONARY-5'!$A$199)</f>
        <v>BAIO Kształtka-EMS‎ DN150 PS16bar L=615/504mm, mufa+końcówka bosa</v>
      </c>
      <c r="S2515" s="733" t="s">
        <v>5569</v>
      </c>
      <c r="T2515" s="732" t="s">
        <v>5569</v>
      </c>
      <c r="U2515" s="734" t="s">
        <v>5572</v>
      </c>
      <c r="V2515" s="735"/>
      <c r="W2515" s="736"/>
      <c r="X2515" s="737"/>
      <c r="Y2515" s="738"/>
      <c r="Z2515" s="739"/>
      <c r="AA2515" s="739"/>
      <c r="AB2515" s="740">
        <v>16</v>
      </c>
      <c r="AC2515" s="741" t="s">
        <v>5629</v>
      </c>
      <c r="AD2515" s="741" t="str">
        <f>'DICTIONARY-5'!$A$13</f>
        <v>woda pitna</v>
      </c>
      <c r="AE2515" s="742">
        <v>50</v>
      </c>
      <c r="AF2515" s="743">
        <v>24</v>
      </c>
      <c r="AG2515" s="741" t="str">
        <f>'DICTIONARY-5'!$A$23</f>
        <v>powłoka epoksydowa</v>
      </c>
    </row>
    <row r="2516" spans="1:33" x14ac:dyDescent="0.25">
      <c r="A2516" s="880" t="s">
        <v>2403</v>
      </c>
      <c r="B2516" s="880" t="s">
        <v>2919</v>
      </c>
      <c r="C2516" s="836">
        <v>591</v>
      </c>
      <c r="D2516" s="836"/>
      <c r="E2516" s="836"/>
      <c r="F2516" s="836"/>
      <c r="G2516" s="496" t="s">
        <v>7851</v>
      </c>
      <c r="H2516" s="797" t="str">
        <f>VLOOKUP(G2516,SETTINGS!$B$7:$D$97,2,0)</f>
        <v>BAIO Fittings</v>
      </c>
      <c r="I2516" s="796">
        <f>VLOOKUP(G2516,SETTINGS!$B$7:$D$97,3,0)</f>
        <v>0</v>
      </c>
      <c r="J2516" s="670" t="str">
        <f>IFERROR(IF(CURRENCY.FORMAT_1=0,CONCATENATE(TEXT(FIXED(ROUND((C2516/EXC.RATE_1),CURRENCY.FORMAT_1),CURRENCY.FORMAT_1,1),"# ##0;-# ##0"),",-"),FIXED(ROUND((C2516/EXC.RATE_1),CURRENCY.FORMAT_1),CURRENCY.FORMAT_1,0)),'DICTIONARY-5'!$A$2)</f>
        <v>591,-</v>
      </c>
      <c r="K2516" s="670" t="str">
        <f>IF(EXC.RATE_2=0,"",IFERROR(IF(CURRENCY.FORMAT_2=0,CONCATENATE(TEXT(FIXED(ROUND(IF(EXC.RATE.SWITCH=1,C2516/EXC.RATE_2,C2516*EXC.RATE_2),CURRENCY.FORMAT_2),CURRENCY.FORMAT_2,1),"# ##0;-# ##0"),",-"),FIXED(ROUND(IF(EXC.RATE.SWITCH=1,C2516/EXC.RATE_2,C2516*EXC.RATE_2),CURRENCY.FORMAT_2),CURRENCY.FORMAT_2,0)),'DICTIONARY-5'!$A$2))</f>
        <v/>
      </c>
      <c r="L2516" s="670" t="str">
        <f>IFERROR(IF(CURRENCY.FORMAT_1=0,CONCATENATE(TEXT(FIXED(ROUND((C2516*(1-I2516)*(1-ADD.DISCOUNT)*(1+MAT.SURCHARGE)/EXC.RATE_1),CURRENCY.FORMAT_1),CURRENCY.FORMAT_1,1),"# ##0;-# ##0"),",-"),FIXED(ROUND((C2516*(1-I2516)*(1-ADD.DISCOUNT)*(1+MAT.SURCHARGE)/EXC.RATE_1),CURRENCY.FORMAT_1),CURRENCY.FORMAT_1,0)),'DICTIONARY-5'!$A$2)</f>
        <v>614,-</v>
      </c>
      <c r="M2516" s="670" t="str">
        <f>IF(EXC.RATE_2=0,"",IFERROR(IF(CURRENCY.FORMAT_2=0,CONCATENATE(TEXT(FIXED(ROUND(IF(EXC.RATE.SWITCH=1,C2516*(1-I2516)*(1-ADD.DISCOUNT)*(1+MAT.SURCHARGE)/EXC.RATE_2,C2516*(1-I2516)*(1-ADD.DISCOUNT)*(1+MAT.SURCHARGE)*EXC.RATE_2),CURRENCY.FORMAT_2),CURRENCY.FORMAT_2,1),"# ##0;-# ##0"),",-"),FIXED(ROUND(IF(EXC.RATE.SWITCH=1,C2516*(1-I2516)*(1-ADD.DISCOUNT)*(1+MAT.SURCHARGE)/EXC.RATE_2,C2516*(1-I2516)*(1-ADD.DISCOUNT)*(1+MAT.SURCHARGE)*EXC.RATE_2),CURRENCY.FORMAT_2),CURRENCY.FORMAT_2,0)),'DICTIONARY-5'!$A$2))</f>
        <v/>
      </c>
      <c r="N2516" s="536">
        <v>12</v>
      </c>
      <c r="O2516" s="536"/>
      <c r="P2516" s="732" t="str">
        <f>'DICTIONARY-3'!$A$153&amp;" "&amp;'DICTIONARY-3'!$A$158</f>
        <v>BAIO EMS</v>
      </c>
      <c r="Q2516" s="732" t="str">
        <f>'DICTIONARY-3'!$A$223</f>
        <v>Kształtka</v>
      </c>
      <c r="R2516" s="732" t="str">
        <f>CONCATENATE('DICTIONARY-3'!$A$153," ",'DICTIONARY-3'!$A$175&amp;'DICTIONARY-3'!$A$158&amp;'DICTIONARY-3'!$A$174," ",'DICTIONARY-2'!$A$2,"200"," ",'DICTIONARY-2'!$A$10,"16",'DICTIONARY-2'!$A$20," ",'DICTIONARY-2'!$A$24,"=","695/578",'DICTIONARY-2'!$A$17,", ",'DICTIONARY-5'!$A$198,"+",'DICTIONARY-5'!$A$199)</f>
        <v>BAIO Kształtka-EMS‎ DN200 PS16bar L=695/578mm, mufa+końcówka bosa</v>
      </c>
      <c r="S2516" s="733" t="s">
        <v>5569</v>
      </c>
      <c r="T2516" s="732" t="s">
        <v>5569</v>
      </c>
      <c r="U2516" s="734" t="s">
        <v>5750</v>
      </c>
      <c r="V2516" s="735"/>
      <c r="W2516" s="736"/>
      <c r="X2516" s="737"/>
      <c r="Y2516" s="738"/>
      <c r="Z2516" s="739"/>
      <c r="AA2516" s="739"/>
      <c r="AB2516" s="740">
        <v>16</v>
      </c>
      <c r="AC2516" s="741" t="s">
        <v>5630</v>
      </c>
      <c r="AD2516" s="741" t="str">
        <f>'DICTIONARY-5'!$A$13</f>
        <v>woda pitna</v>
      </c>
      <c r="AE2516" s="742">
        <v>50</v>
      </c>
      <c r="AF2516" s="743">
        <v>37.5</v>
      </c>
      <c r="AG2516" s="741" t="str">
        <f>'DICTIONARY-5'!$A$23</f>
        <v>powłoka epoksydowa</v>
      </c>
    </row>
    <row r="2517" spans="1:33" x14ac:dyDescent="0.25">
      <c r="A2517" s="881" t="s">
        <v>4876</v>
      </c>
      <c r="B2517" s="881" t="s">
        <v>2404</v>
      </c>
      <c r="C2517" s="836">
        <v>175</v>
      </c>
      <c r="D2517" s="836"/>
      <c r="E2517" s="836"/>
      <c r="F2517" s="836"/>
      <c r="G2517" s="496" t="s">
        <v>7851</v>
      </c>
      <c r="H2517" s="797" t="str">
        <f>VLOOKUP(G2517,SETTINGS!$B$7:$D$97,2,0)</f>
        <v>BAIO Fittings</v>
      </c>
      <c r="I2517" s="796">
        <f>VLOOKUP(G2517,SETTINGS!$B$7:$D$97,3,0)</f>
        <v>0</v>
      </c>
      <c r="J2517" s="670" t="str">
        <f>IFERROR(IF(CURRENCY.FORMAT_1=0,CONCATENATE(TEXT(FIXED(ROUND((C2517/EXC.RATE_1),CURRENCY.FORMAT_1),CURRENCY.FORMAT_1,1),"# ##0;-# ##0"),",-"),FIXED(ROUND((C2517/EXC.RATE_1),CURRENCY.FORMAT_1),CURRENCY.FORMAT_1,0)),'DICTIONARY-5'!$A$2)</f>
        <v>175,-</v>
      </c>
      <c r="K2517" s="670" t="str">
        <f>IF(EXC.RATE_2=0,"",IFERROR(IF(CURRENCY.FORMAT_2=0,CONCATENATE(TEXT(FIXED(ROUND(IF(EXC.RATE.SWITCH=1,C2517/EXC.RATE_2,C2517*EXC.RATE_2),CURRENCY.FORMAT_2),CURRENCY.FORMAT_2,1),"# ##0;-# ##0"),",-"),FIXED(ROUND(IF(EXC.RATE.SWITCH=1,C2517/EXC.RATE_2,C2517*EXC.RATE_2),CURRENCY.FORMAT_2),CURRENCY.FORMAT_2,0)),'DICTIONARY-5'!$A$2))</f>
        <v/>
      </c>
      <c r="L2517" s="670" t="str">
        <f>IFERROR(IF(CURRENCY.FORMAT_1=0,CONCATENATE(TEXT(FIXED(ROUND((C2517*(1-I2517)*(1-ADD.DISCOUNT)*(1+MAT.SURCHARGE)/EXC.RATE_1),CURRENCY.FORMAT_1),CURRENCY.FORMAT_1,1),"# ##0;-# ##0"),",-"),FIXED(ROUND((C2517*(1-I2517)*(1-ADD.DISCOUNT)*(1+MAT.SURCHARGE)/EXC.RATE_1),CURRENCY.FORMAT_1),CURRENCY.FORMAT_1,0)),'DICTIONARY-5'!$A$2)</f>
        <v>182,-</v>
      </c>
      <c r="M2517" s="670" t="str">
        <f>IF(EXC.RATE_2=0,"",IFERROR(IF(CURRENCY.FORMAT_2=0,CONCATENATE(TEXT(FIXED(ROUND(IF(EXC.RATE.SWITCH=1,C2517*(1-I2517)*(1-ADD.DISCOUNT)*(1+MAT.SURCHARGE)/EXC.RATE_2,C2517*(1-I2517)*(1-ADD.DISCOUNT)*(1+MAT.SURCHARGE)*EXC.RATE_2),CURRENCY.FORMAT_2),CURRENCY.FORMAT_2,1),"# ##0;-# ##0"),",-"),FIXED(ROUND(IF(EXC.RATE.SWITCH=1,C2517*(1-I2517)*(1-ADD.DISCOUNT)*(1+MAT.SURCHARGE)/EXC.RATE_2,C2517*(1-I2517)*(1-ADD.DISCOUNT)*(1+MAT.SURCHARGE)*EXC.RATE_2),CURRENCY.FORMAT_2),CURRENCY.FORMAT_2,0)),'DICTIONARY-5'!$A$2))</f>
        <v/>
      </c>
      <c r="N2517" s="536">
        <v>12</v>
      </c>
      <c r="O2517" s="536"/>
      <c r="P2517" s="732" t="str">
        <f>'DICTIONARY-3'!$A$153&amp;" "&amp;'DICTIONARY-3'!$A$159</f>
        <v>BAIO R</v>
      </c>
      <c r="Q2517" s="732" t="str">
        <f>'DICTIONARY-3'!$A$223</f>
        <v>Kształtka</v>
      </c>
      <c r="R2517" s="732" t="str">
        <f>CONCATENATE('DICTIONARY-3'!$A$153," ",'DICTIONARY-3'!$A$175&amp;'DICTIONARY-3'!$A$159&amp;'DICTIONARY-3'!$A$174," ",'DICTIONARY-2'!$A$2,"80/100"," ",'DICTIONARY-2'!$A$10,"16",'DICTIONARY-2'!$A$20," ",'DICTIONARY-2'!$A$24,"=","310/210",'DICTIONARY-2'!$A$17,", ",'DICTIONARY-5'!$A$198,"+",'DICTIONARY-5'!$A$199)</f>
        <v>BAIO Kształtka-R‎ DN80/100 PS16bar L=310/210mm, mufa+końcówka bosa</v>
      </c>
      <c r="S2517" s="733" t="s">
        <v>5569</v>
      </c>
      <c r="T2517" s="732" t="s">
        <v>5569</v>
      </c>
      <c r="U2517" s="748" t="s">
        <v>5869</v>
      </c>
      <c r="V2517" s="735"/>
      <c r="W2517" s="736"/>
      <c r="X2517" s="737"/>
      <c r="Y2517" s="738"/>
      <c r="Z2517" s="739"/>
      <c r="AA2517" s="739"/>
      <c r="AB2517" s="740">
        <v>16</v>
      </c>
      <c r="AC2517" s="741" t="s">
        <v>5618</v>
      </c>
      <c r="AD2517" s="741" t="str">
        <f>'DICTIONARY-5'!$A$13</f>
        <v>woda pitna</v>
      </c>
      <c r="AE2517" s="742">
        <v>50</v>
      </c>
      <c r="AF2517" s="743">
        <v>7</v>
      </c>
      <c r="AG2517" s="741" t="str">
        <f>'DICTIONARY-5'!$A$23</f>
        <v>powłoka epoksydowa</v>
      </c>
    </row>
    <row r="2518" spans="1:33" x14ac:dyDescent="0.25">
      <c r="A2518" s="881" t="s">
        <v>4877</v>
      </c>
      <c r="B2518" s="881" t="s">
        <v>2405</v>
      </c>
      <c r="C2518" s="836">
        <v>197</v>
      </c>
      <c r="D2518" s="836"/>
      <c r="E2518" s="836"/>
      <c r="F2518" s="836"/>
      <c r="G2518" s="496" t="s">
        <v>7851</v>
      </c>
      <c r="H2518" s="797" t="str">
        <f>VLOOKUP(G2518,SETTINGS!$B$7:$D$97,2,0)</f>
        <v>BAIO Fittings</v>
      </c>
      <c r="I2518" s="796">
        <f>VLOOKUP(G2518,SETTINGS!$B$7:$D$97,3,0)</f>
        <v>0</v>
      </c>
      <c r="J2518" s="670" t="str">
        <f>IFERROR(IF(CURRENCY.FORMAT_1=0,CONCATENATE(TEXT(FIXED(ROUND((C2518/EXC.RATE_1),CURRENCY.FORMAT_1),CURRENCY.FORMAT_1,1),"# ##0;-# ##0"),",-"),FIXED(ROUND((C2518/EXC.RATE_1),CURRENCY.FORMAT_1),CURRENCY.FORMAT_1,0)),'DICTIONARY-5'!$A$2)</f>
        <v>197,-</v>
      </c>
      <c r="K2518" s="670" t="str">
        <f>IF(EXC.RATE_2=0,"",IFERROR(IF(CURRENCY.FORMAT_2=0,CONCATENATE(TEXT(FIXED(ROUND(IF(EXC.RATE.SWITCH=1,C2518/EXC.RATE_2,C2518*EXC.RATE_2),CURRENCY.FORMAT_2),CURRENCY.FORMAT_2,1),"# ##0;-# ##0"),",-"),FIXED(ROUND(IF(EXC.RATE.SWITCH=1,C2518/EXC.RATE_2,C2518*EXC.RATE_2),CURRENCY.FORMAT_2),CURRENCY.FORMAT_2,0)),'DICTIONARY-5'!$A$2))</f>
        <v/>
      </c>
      <c r="L2518" s="670" t="str">
        <f>IFERROR(IF(CURRENCY.FORMAT_1=0,CONCATENATE(TEXT(FIXED(ROUND((C2518*(1-I2518)*(1-ADD.DISCOUNT)*(1+MAT.SURCHARGE)/EXC.RATE_1),CURRENCY.FORMAT_1),CURRENCY.FORMAT_1,1),"# ##0;-# ##0"),",-"),FIXED(ROUND((C2518*(1-I2518)*(1-ADD.DISCOUNT)*(1+MAT.SURCHARGE)/EXC.RATE_1),CURRENCY.FORMAT_1),CURRENCY.FORMAT_1,0)),'DICTIONARY-5'!$A$2)</f>
        <v>205,-</v>
      </c>
      <c r="M2518" s="670" t="str">
        <f>IF(EXC.RATE_2=0,"",IFERROR(IF(CURRENCY.FORMAT_2=0,CONCATENATE(TEXT(FIXED(ROUND(IF(EXC.RATE.SWITCH=1,C2518*(1-I2518)*(1-ADD.DISCOUNT)*(1+MAT.SURCHARGE)/EXC.RATE_2,C2518*(1-I2518)*(1-ADD.DISCOUNT)*(1+MAT.SURCHARGE)*EXC.RATE_2),CURRENCY.FORMAT_2),CURRENCY.FORMAT_2,1),"# ##0;-# ##0"),",-"),FIXED(ROUND(IF(EXC.RATE.SWITCH=1,C2518*(1-I2518)*(1-ADD.DISCOUNT)*(1+MAT.SURCHARGE)/EXC.RATE_2,C2518*(1-I2518)*(1-ADD.DISCOUNT)*(1+MAT.SURCHARGE)*EXC.RATE_2),CURRENCY.FORMAT_2),CURRENCY.FORMAT_2,0)),'DICTIONARY-5'!$A$2))</f>
        <v/>
      </c>
      <c r="N2518" s="536">
        <v>12</v>
      </c>
      <c r="O2518" s="536"/>
      <c r="P2518" s="732" t="str">
        <f>'DICTIONARY-3'!$A$153&amp;" "&amp;'DICTIONARY-3'!$A$159</f>
        <v>BAIO R</v>
      </c>
      <c r="Q2518" s="732" t="str">
        <f>'DICTIONARY-3'!$A$223</f>
        <v>Kształtka</v>
      </c>
      <c r="R2518" s="732" t="str">
        <f>CONCATENATE('DICTIONARY-3'!$A$153," ",'DICTIONARY-3'!$A$175&amp;'DICTIONARY-3'!$A$159&amp;'DICTIONARY-3'!$A$174," ",'DICTIONARY-2'!$A$2,"80/125"," ",'DICTIONARY-2'!$A$10,"16",'DICTIONARY-2'!$A$20," ",'DICTIONARY-2'!$A$24,"=","370/259",'DICTIONARY-2'!$A$17,", ",'DICTIONARY-5'!$A$198,"+",'DICTIONARY-5'!$A$199)</f>
        <v>BAIO Kształtka-R‎ DN80/125 PS16bar L=370/259mm, mufa+końcówka bosa</v>
      </c>
      <c r="S2518" s="733" t="s">
        <v>5569</v>
      </c>
      <c r="T2518" s="732" t="s">
        <v>5569</v>
      </c>
      <c r="U2518" s="748" t="s">
        <v>5859</v>
      </c>
      <c r="V2518" s="735"/>
      <c r="W2518" s="736"/>
      <c r="X2518" s="737"/>
      <c r="Y2518" s="738"/>
      <c r="Z2518" s="739"/>
      <c r="AA2518" s="739"/>
      <c r="AB2518" s="740">
        <v>16</v>
      </c>
      <c r="AC2518" s="741" t="s">
        <v>5619</v>
      </c>
      <c r="AD2518" s="741" t="str">
        <f>'DICTIONARY-5'!$A$13</f>
        <v>woda pitna</v>
      </c>
      <c r="AE2518" s="742">
        <v>50</v>
      </c>
      <c r="AF2518" s="743">
        <v>9</v>
      </c>
      <c r="AG2518" s="741" t="str">
        <f>'DICTIONARY-5'!$A$23</f>
        <v>powłoka epoksydowa</v>
      </c>
    </row>
    <row r="2519" spans="1:33" x14ac:dyDescent="0.25">
      <c r="A2519" s="881" t="s">
        <v>4879</v>
      </c>
      <c r="B2519" s="881" t="s">
        <v>2406</v>
      </c>
      <c r="C2519" s="836">
        <v>230</v>
      </c>
      <c r="D2519" s="836"/>
      <c r="E2519" s="836"/>
      <c r="F2519" s="836"/>
      <c r="G2519" s="496" t="s">
        <v>7851</v>
      </c>
      <c r="H2519" s="797" t="str">
        <f>VLOOKUP(G2519,SETTINGS!$B$7:$D$97,2,0)</f>
        <v>BAIO Fittings</v>
      </c>
      <c r="I2519" s="796">
        <f>VLOOKUP(G2519,SETTINGS!$B$7:$D$97,3,0)</f>
        <v>0</v>
      </c>
      <c r="J2519" s="670" t="str">
        <f>IFERROR(IF(CURRENCY.FORMAT_1=0,CONCATENATE(TEXT(FIXED(ROUND((C2519/EXC.RATE_1),CURRENCY.FORMAT_1),CURRENCY.FORMAT_1,1),"# ##0;-# ##0"),",-"),FIXED(ROUND((C2519/EXC.RATE_1),CURRENCY.FORMAT_1),CURRENCY.FORMAT_1,0)),'DICTIONARY-5'!$A$2)</f>
        <v>230,-</v>
      </c>
      <c r="K2519" s="670" t="str">
        <f>IF(EXC.RATE_2=0,"",IFERROR(IF(CURRENCY.FORMAT_2=0,CONCATENATE(TEXT(FIXED(ROUND(IF(EXC.RATE.SWITCH=1,C2519/EXC.RATE_2,C2519*EXC.RATE_2),CURRENCY.FORMAT_2),CURRENCY.FORMAT_2,1),"# ##0;-# ##0"),",-"),FIXED(ROUND(IF(EXC.RATE.SWITCH=1,C2519/EXC.RATE_2,C2519*EXC.RATE_2),CURRENCY.FORMAT_2),CURRENCY.FORMAT_2,0)),'DICTIONARY-5'!$A$2))</f>
        <v/>
      </c>
      <c r="L2519" s="670" t="str">
        <f>IFERROR(IF(CURRENCY.FORMAT_1=0,CONCATENATE(TEXT(FIXED(ROUND((C2519*(1-I2519)*(1-ADD.DISCOUNT)*(1+MAT.SURCHARGE)/EXC.RATE_1),CURRENCY.FORMAT_1),CURRENCY.FORMAT_1,1),"# ##0;-# ##0"),",-"),FIXED(ROUND((C2519*(1-I2519)*(1-ADD.DISCOUNT)*(1+MAT.SURCHARGE)/EXC.RATE_1),CURRENCY.FORMAT_1),CURRENCY.FORMAT_1,0)),'DICTIONARY-5'!$A$2)</f>
        <v>239,-</v>
      </c>
      <c r="M2519" s="670" t="str">
        <f>IF(EXC.RATE_2=0,"",IFERROR(IF(CURRENCY.FORMAT_2=0,CONCATENATE(TEXT(FIXED(ROUND(IF(EXC.RATE.SWITCH=1,C2519*(1-I2519)*(1-ADD.DISCOUNT)*(1+MAT.SURCHARGE)/EXC.RATE_2,C2519*(1-I2519)*(1-ADD.DISCOUNT)*(1+MAT.SURCHARGE)*EXC.RATE_2),CURRENCY.FORMAT_2),CURRENCY.FORMAT_2,1),"# ##0;-# ##0"),",-"),FIXED(ROUND(IF(EXC.RATE.SWITCH=1,C2519*(1-I2519)*(1-ADD.DISCOUNT)*(1+MAT.SURCHARGE)/EXC.RATE_2,C2519*(1-I2519)*(1-ADD.DISCOUNT)*(1+MAT.SURCHARGE)*EXC.RATE_2),CURRENCY.FORMAT_2),CURRENCY.FORMAT_2,0)),'DICTIONARY-5'!$A$2))</f>
        <v/>
      </c>
      <c r="N2519" s="536">
        <v>12</v>
      </c>
      <c r="O2519" s="536"/>
      <c r="P2519" s="732" t="str">
        <f>'DICTIONARY-3'!$A$153&amp;" "&amp;'DICTIONARY-3'!$A$159</f>
        <v>BAIO R</v>
      </c>
      <c r="Q2519" s="732" t="str">
        <f>'DICTIONARY-3'!$A$223</f>
        <v>Kształtka</v>
      </c>
      <c r="R2519" s="732" t="str">
        <f>CONCATENATE('DICTIONARY-3'!$A$153," ",'DICTIONARY-3'!$A$175&amp;'DICTIONARY-3'!$A$159&amp;'DICTIONARY-3'!$A$174," ",'DICTIONARY-2'!$A$2,"80/150"," ",'DICTIONARY-2'!$A$10,"16",'DICTIONARY-2'!$A$20," ",'DICTIONARY-2'!$A$24,"=","420/319",'DICTIONARY-2'!$A$17,", ",'DICTIONARY-5'!$A$198,"+",'DICTIONARY-5'!$A$199)</f>
        <v>BAIO Kształtka-R‎ DN80/150 PS16bar L=420/319mm, mufa+końcówka bosa</v>
      </c>
      <c r="S2519" s="733" t="s">
        <v>5569</v>
      </c>
      <c r="T2519" s="732" t="s">
        <v>5569</v>
      </c>
      <c r="U2519" s="748" t="s">
        <v>5870</v>
      </c>
      <c r="V2519" s="735"/>
      <c r="W2519" s="736"/>
      <c r="X2519" s="737"/>
      <c r="Y2519" s="738"/>
      <c r="Z2519" s="739"/>
      <c r="AA2519" s="739"/>
      <c r="AB2519" s="740">
        <v>16</v>
      </c>
      <c r="AC2519" s="741" t="s">
        <v>5620</v>
      </c>
      <c r="AD2519" s="741" t="str">
        <f>'DICTIONARY-5'!$A$13</f>
        <v>woda pitna</v>
      </c>
      <c r="AE2519" s="742">
        <v>50</v>
      </c>
      <c r="AF2519" s="743">
        <v>11.5</v>
      </c>
      <c r="AG2519" s="741" t="str">
        <f>'DICTIONARY-5'!$A$23</f>
        <v>powłoka epoksydowa</v>
      </c>
    </row>
    <row r="2520" spans="1:33" x14ac:dyDescent="0.25">
      <c r="A2520" s="881" t="s">
        <v>4878</v>
      </c>
      <c r="B2520" s="881" t="s">
        <v>2407</v>
      </c>
      <c r="C2520" s="836">
        <v>198</v>
      </c>
      <c r="D2520" s="836"/>
      <c r="E2520" s="836"/>
      <c r="F2520" s="836"/>
      <c r="G2520" s="496" t="s">
        <v>7851</v>
      </c>
      <c r="H2520" s="797" t="str">
        <f>VLOOKUP(G2520,SETTINGS!$B$7:$D$97,2,0)</f>
        <v>BAIO Fittings</v>
      </c>
      <c r="I2520" s="796">
        <f>VLOOKUP(G2520,SETTINGS!$B$7:$D$97,3,0)</f>
        <v>0</v>
      </c>
      <c r="J2520" s="670" t="str">
        <f>IFERROR(IF(CURRENCY.FORMAT_1=0,CONCATENATE(TEXT(FIXED(ROUND((C2520/EXC.RATE_1),CURRENCY.FORMAT_1),CURRENCY.FORMAT_1,1),"# ##0;-# ##0"),",-"),FIXED(ROUND((C2520/EXC.RATE_1),CURRENCY.FORMAT_1),CURRENCY.FORMAT_1,0)),'DICTIONARY-5'!$A$2)</f>
        <v>198,-</v>
      </c>
      <c r="K2520" s="670" t="str">
        <f>IF(EXC.RATE_2=0,"",IFERROR(IF(CURRENCY.FORMAT_2=0,CONCATENATE(TEXT(FIXED(ROUND(IF(EXC.RATE.SWITCH=1,C2520/EXC.RATE_2,C2520*EXC.RATE_2),CURRENCY.FORMAT_2),CURRENCY.FORMAT_2,1),"# ##0;-# ##0"),",-"),FIXED(ROUND(IF(EXC.RATE.SWITCH=1,C2520/EXC.RATE_2,C2520*EXC.RATE_2),CURRENCY.FORMAT_2),CURRENCY.FORMAT_2,0)),'DICTIONARY-5'!$A$2))</f>
        <v/>
      </c>
      <c r="L2520" s="670" t="str">
        <f>IFERROR(IF(CURRENCY.FORMAT_1=0,CONCATENATE(TEXT(FIXED(ROUND((C2520*(1-I2520)*(1-ADD.DISCOUNT)*(1+MAT.SURCHARGE)/EXC.RATE_1),CURRENCY.FORMAT_1),CURRENCY.FORMAT_1,1),"# ##0;-# ##0"),",-"),FIXED(ROUND((C2520*(1-I2520)*(1-ADD.DISCOUNT)*(1+MAT.SURCHARGE)/EXC.RATE_1),CURRENCY.FORMAT_1),CURRENCY.FORMAT_1,0)),'DICTIONARY-5'!$A$2)</f>
        <v>206,-</v>
      </c>
      <c r="M2520" s="670" t="str">
        <f>IF(EXC.RATE_2=0,"",IFERROR(IF(CURRENCY.FORMAT_2=0,CONCATENATE(TEXT(FIXED(ROUND(IF(EXC.RATE.SWITCH=1,C2520*(1-I2520)*(1-ADD.DISCOUNT)*(1+MAT.SURCHARGE)/EXC.RATE_2,C2520*(1-I2520)*(1-ADD.DISCOUNT)*(1+MAT.SURCHARGE)*EXC.RATE_2),CURRENCY.FORMAT_2),CURRENCY.FORMAT_2,1),"# ##0;-# ##0"),",-"),FIXED(ROUND(IF(EXC.RATE.SWITCH=1,C2520*(1-I2520)*(1-ADD.DISCOUNT)*(1+MAT.SURCHARGE)/EXC.RATE_2,C2520*(1-I2520)*(1-ADD.DISCOUNT)*(1+MAT.SURCHARGE)*EXC.RATE_2),CURRENCY.FORMAT_2),CURRENCY.FORMAT_2,0)),'DICTIONARY-5'!$A$2))</f>
        <v/>
      </c>
      <c r="N2520" s="536">
        <v>12</v>
      </c>
      <c r="O2520" s="536"/>
      <c r="P2520" s="732" t="str">
        <f>'DICTIONARY-3'!$A$153&amp;" "&amp;'DICTIONARY-3'!$A$159</f>
        <v>BAIO R</v>
      </c>
      <c r="Q2520" s="732" t="str">
        <f>'DICTIONARY-3'!$A$223</f>
        <v>Kształtka</v>
      </c>
      <c r="R2520" s="732" t="str">
        <f>CONCATENATE('DICTIONARY-3'!$A$153," ",'DICTIONARY-3'!$A$175&amp;'DICTIONARY-3'!$A$159&amp;'DICTIONARY-3'!$A$174," ",'DICTIONARY-2'!$A$2,"100/125"," ",'DICTIONARY-2'!$A$10,"16",'DICTIONARY-2'!$A$20," ",'DICTIONARY-2'!$A$24,"=","340/229",'DICTIONARY-2'!$A$17,", ",'DICTIONARY-5'!$A$198,"+",'DICTIONARY-5'!$A$199)</f>
        <v>BAIO Kształtka-R‎ DN100/125 PS16bar L=340/229mm, mufa+końcówka bosa</v>
      </c>
      <c r="S2520" s="733" t="s">
        <v>5569</v>
      </c>
      <c r="T2520" s="732" t="s">
        <v>5569</v>
      </c>
      <c r="U2520" s="748" t="s">
        <v>5860</v>
      </c>
      <c r="V2520" s="735"/>
      <c r="W2520" s="736"/>
      <c r="X2520" s="737"/>
      <c r="Y2520" s="738"/>
      <c r="Z2520" s="739"/>
      <c r="AA2520" s="739"/>
      <c r="AB2520" s="740">
        <v>16</v>
      </c>
      <c r="AC2520" s="741" t="s">
        <v>5621</v>
      </c>
      <c r="AD2520" s="741" t="str">
        <f>'DICTIONARY-5'!$A$13</f>
        <v>woda pitna</v>
      </c>
      <c r="AE2520" s="742">
        <v>50</v>
      </c>
      <c r="AF2520" s="743">
        <v>9.5</v>
      </c>
      <c r="AG2520" s="741" t="str">
        <f>'DICTIONARY-5'!$A$23</f>
        <v>powłoka epoksydowa</v>
      </c>
    </row>
    <row r="2521" spans="1:33" x14ac:dyDescent="0.25">
      <c r="A2521" s="881" t="s">
        <v>4880</v>
      </c>
      <c r="B2521" s="881" t="s">
        <v>2408</v>
      </c>
      <c r="C2521" s="836">
        <v>244</v>
      </c>
      <c r="D2521" s="836"/>
      <c r="E2521" s="836"/>
      <c r="F2521" s="836"/>
      <c r="G2521" s="496" t="s">
        <v>7851</v>
      </c>
      <c r="H2521" s="797" t="str">
        <f>VLOOKUP(G2521,SETTINGS!$B$7:$D$97,2,0)</f>
        <v>BAIO Fittings</v>
      </c>
      <c r="I2521" s="796">
        <f>VLOOKUP(G2521,SETTINGS!$B$7:$D$97,3,0)</f>
        <v>0</v>
      </c>
      <c r="J2521" s="670" t="str">
        <f>IFERROR(IF(CURRENCY.FORMAT_1=0,CONCATENATE(TEXT(FIXED(ROUND((C2521/EXC.RATE_1),CURRENCY.FORMAT_1),CURRENCY.FORMAT_1,1),"# ##0;-# ##0"),",-"),FIXED(ROUND((C2521/EXC.RATE_1),CURRENCY.FORMAT_1),CURRENCY.FORMAT_1,0)),'DICTIONARY-5'!$A$2)</f>
        <v>244,-</v>
      </c>
      <c r="K2521" s="670" t="str">
        <f>IF(EXC.RATE_2=0,"",IFERROR(IF(CURRENCY.FORMAT_2=0,CONCATENATE(TEXT(FIXED(ROUND(IF(EXC.RATE.SWITCH=1,C2521/EXC.RATE_2,C2521*EXC.RATE_2),CURRENCY.FORMAT_2),CURRENCY.FORMAT_2,1),"# ##0;-# ##0"),",-"),FIXED(ROUND(IF(EXC.RATE.SWITCH=1,C2521/EXC.RATE_2,C2521*EXC.RATE_2),CURRENCY.FORMAT_2),CURRENCY.FORMAT_2,0)),'DICTIONARY-5'!$A$2))</f>
        <v/>
      </c>
      <c r="L2521" s="670" t="str">
        <f>IFERROR(IF(CURRENCY.FORMAT_1=0,CONCATENATE(TEXT(FIXED(ROUND((C2521*(1-I2521)*(1-ADD.DISCOUNT)*(1+MAT.SURCHARGE)/EXC.RATE_1),CURRENCY.FORMAT_1),CURRENCY.FORMAT_1,1),"# ##0;-# ##0"),",-"),FIXED(ROUND((C2521*(1-I2521)*(1-ADD.DISCOUNT)*(1+MAT.SURCHARGE)/EXC.RATE_1),CURRENCY.FORMAT_1),CURRENCY.FORMAT_1,0)),'DICTIONARY-5'!$A$2)</f>
        <v>254,-</v>
      </c>
      <c r="M2521" s="670" t="str">
        <f>IF(EXC.RATE_2=0,"",IFERROR(IF(CURRENCY.FORMAT_2=0,CONCATENATE(TEXT(FIXED(ROUND(IF(EXC.RATE.SWITCH=1,C2521*(1-I2521)*(1-ADD.DISCOUNT)*(1+MAT.SURCHARGE)/EXC.RATE_2,C2521*(1-I2521)*(1-ADD.DISCOUNT)*(1+MAT.SURCHARGE)*EXC.RATE_2),CURRENCY.FORMAT_2),CURRENCY.FORMAT_2,1),"# ##0;-# ##0"),",-"),FIXED(ROUND(IF(EXC.RATE.SWITCH=1,C2521*(1-I2521)*(1-ADD.DISCOUNT)*(1+MAT.SURCHARGE)/EXC.RATE_2,C2521*(1-I2521)*(1-ADD.DISCOUNT)*(1+MAT.SURCHARGE)*EXC.RATE_2),CURRENCY.FORMAT_2),CURRENCY.FORMAT_2,0)),'DICTIONARY-5'!$A$2))</f>
        <v/>
      </c>
      <c r="N2521" s="536">
        <v>12</v>
      </c>
      <c r="O2521" s="536"/>
      <c r="P2521" s="732" t="str">
        <f>'DICTIONARY-3'!$A$153&amp;" "&amp;'DICTIONARY-3'!$A$159</f>
        <v>BAIO R</v>
      </c>
      <c r="Q2521" s="732" t="str">
        <f>'DICTIONARY-3'!$A$223</f>
        <v>Kształtka</v>
      </c>
      <c r="R2521" s="732" t="str">
        <f>CONCATENATE('DICTIONARY-3'!$A$153," ",'DICTIONARY-3'!$A$175&amp;'DICTIONARY-3'!$A$159&amp;'DICTIONARY-3'!$A$174," ",'DICTIONARY-2'!$A$2,"100/150"," ",'DICTIONARY-2'!$A$10,"16",'DICTIONARY-2'!$A$20," ",'DICTIONARY-2'!$A$24,"=","395/284",'DICTIONARY-2'!$A$17,", ",'DICTIONARY-5'!$A$198,"+",'DICTIONARY-5'!$A$199)</f>
        <v>BAIO Kształtka-R‎ DN100/150 PS16bar L=395/284mm, mufa+końcówka bosa</v>
      </c>
      <c r="S2521" s="733" t="s">
        <v>5569</v>
      </c>
      <c r="T2521" s="732" t="s">
        <v>5569</v>
      </c>
      <c r="U2521" s="748" t="s">
        <v>5861</v>
      </c>
      <c r="V2521" s="735"/>
      <c r="W2521" s="736"/>
      <c r="X2521" s="737"/>
      <c r="Y2521" s="738"/>
      <c r="Z2521" s="739"/>
      <c r="AA2521" s="739"/>
      <c r="AB2521" s="740">
        <v>16</v>
      </c>
      <c r="AC2521" s="741" t="s">
        <v>5622</v>
      </c>
      <c r="AD2521" s="741" t="str">
        <f>'DICTIONARY-5'!$A$13</f>
        <v>woda pitna</v>
      </c>
      <c r="AE2521" s="742">
        <v>50</v>
      </c>
      <c r="AF2521" s="743">
        <v>11.5</v>
      </c>
      <c r="AG2521" s="741" t="str">
        <f>'DICTIONARY-5'!$A$23</f>
        <v>powłoka epoksydowa</v>
      </c>
    </row>
    <row r="2522" spans="1:33" x14ac:dyDescent="0.25">
      <c r="A2522" s="881" t="s">
        <v>4882</v>
      </c>
      <c r="B2522" s="881" t="s">
        <v>2409</v>
      </c>
      <c r="C2522" s="836">
        <v>304</v>
      </c>
      <c r="D2522" s="836"/>
      <c r="E2522" s="836"/>
      <c r="F2522" s="836"/>
      <c r="G2522" s="496" t="s">
        <v>7851</v>
      </c>
      <c r="H2522" s="797" t="str">
        <f>VLOOKUP(G2522,SETTINGS!$B$7:$D$97,2,0)</f>
        <v>BAIO Fittings</v>
      </c>
      <c r="I2522" s="796">
        <f>VLOOKUP(G2522,SETTINGS!$B$7:$D$97,3,0)</f>
        <v>0</v>
      </c>
      <c r="J2522" s="670" t="str">
        <f>IFERROR(IF(CURRENCY.FORMAT_1=0,CONCATENATE(TEXT(FIXED(ROUND((C2522/EXC.RATE_1),CURRENCY.FORMAT_1),CURRENCY.FORMAT_1,1),"# ##0;-# ##0"),",-"),FIXED(ROUND((C2522/EXC.RATE_1),CURRENCY.FORMAT_1),CURRENCY.FORMAT_1,0)),'DICTIONARY-5'!$A$2)</f>
        <v>304,-</v>
      </c>
      <c r="K2522" s="670" t="str">
        <f>IF(EXC.RATE_2=0,"",IFERROR(IF(CURRENCY.FORMAT_2=0,CONCATENATE(TEXT(FIXED(ROUND(IF(EXC.RATE.SWITCH=1,C2522/EXC.RATE_2,C2522*EXC.RATE_2),CURRENCY.FORMAT_2),CURRENCY.FORMAT_2,1),"# ##0;-# ##0"),",-"),FIXED(ROUND(IF(EXC.RATE.SWITCH=1,C2522/EXC.RATE_2,C2522*EXC.RATE_2),CURRENCY.FORMAT_2),CURRENCY.FORMAT_2,0)),'DICTIONARY-5'!$A$2))</f>
        <v/>
      </c>
      <c r="L2522" s="670" t="str">
        <f>IFERROR(IF(CURRENCY.FORMAT_1=0,CONCATENATE(TEXT(FIXED(ROUND((C2522*(1-I2522)*(1-ADD.DISCOUNT)*(1+MAT.SURCHARGE)/EXC.RATE_1),CURRENCY.FORMAT_1),CURRENCY.FORMAT_1,1),"# ##0;-# ##0"),",-"),FIXED(ROUND((C2522*(1-I2522)*(1-ADD.DISCOUNT)*(1+MAT.SURCHARGE)/EXC.RATE_1),CURRENCY.FORMAT_1),CURRENCY.FORMAT_1,0)),'DICTIONARY-5'!$A$2)</f>
        <v>316,-</v>
      </c>
      <c r="M2522" s="670" t="str">
        <f>IF(EXC.RATE_2=0,"",IFERROR(IF(CURRENCY.FORMAT_2=0,CONCATENATE(TEXT(FIXED(ROUND(IF(EXC.RATE.SWITCH=1,C2522*(1-I2522)*(1-ADD.DISCOUNT)*(1+MAT.SURCHARGE)/EXC.RATE_2,C2522*(1-I2522)*(1-ADD.DISCOUNT)*(1+MAT.SURCHARGE)*EXC.RATE_2),CURRENCY.FORMAT_2),CURRENCY.FORMAT_2,1),"# ##0;-# ##0"),",-"),FIXED(ROUND(IF(EXC.RATE.SWITCH=1,C2522*(1-I2522)*(1-ADD.DISCOUNT)*(1+MAT.SURCHARGE)/EXC.RATE_2,C2522*(1-I2522)*(1-ADD.DISCOUNT)*(1+MAT.SURCHARGE)*EXC.RATE_2),CURRENCY.FORMAT_2),CURRENCY.FORMAT_2,0)),'DICTIONARY-5'!$A$2))</f>
        <v/>
      </c>
      <c r="N2522" s="536">
        <v>12</v>
      </c>
      <c r="O2522" s="536"/>
      <c r="P2522" s="732" t="str">
        <f>'DICTIONARY-3'!$A$153&amp;" "&amp;'DICTIONARY-3'!$A$159</f>
        <v>BAIO R</v>
      </c>
      <c r="Q2522" s="732" t="str">
        <f>'DICTIONARY-3'!$A$223</f>
        <v>Kształtka</v>
      </c>
      <c r="R2522" s="732" t="str">
        <f>CONCATENATE('DICTIONARY-3'!$A$153," ",'DICTIONARY-3'!$A$175&amp;'DICTIONARY-3'!$A$159&amp;'DICTIONARY-3'!$A$174," ",'DICTIONARY-2'!$A$2,"100/200"," ",'DICTIONARY-2'!$A$10,"16",'DICTIONARY-2'!$A$20," ",'DICTIONARY-2'!$A$24,"=","500/383",'DICTIONARY-2'!$A$17,", ",'DICTIONARY-5'!$A$198,"+",'DICTIONARY-5'!$A$199)</f>
        <v>BAIO Kształtka-R‎ DN100/200 PS16bar L=500/383mm, mufa+końcówka bosa</v>
      </c>
      <c r="S2522" s="733" t="s">
        <v>5569</v>
      </c>
      <c r="T2522" s="732" t="s">
        <v>5569</v>
      </c>
      <c r="U2522" s="748" t="s">
        <v>5871</v>
      </c>
      <c r="V2522" s="735"/>
      <c r="W2522" s="736"/>
      <c r="X2522" s="737"/>
      <c r="Y2522" s="738"/>
      <c r="Z2522" s="739"/>
      <c r="AA2522" s="739"/>
      <c r="AB2522" s="740">
        <v>16</v>
      </c>
      <c r="AC2522" s="741" t="s">
        <v>5623</v>
      </c>
      <c r="AD2522" s="741" t="str">
        <f>'DICTIONARY-5'!$A$13</f>
        <v>woda pitna</v>
      </c>
      <c r="AE2522" s="742">
        <v>50</v>
      </c>
      <c r="AF2522" s="743">
        <v>17.5</v>
      </c>
      <c r="AG2522" s="741" t="str">
        <f>'DICTIONARY-5'!$A$23</f>
        <v>powłoka epoksydowa</v>
      </c>
    </row>
    <row r="2523" spans="1:33" x14ac:dyDescent="0.25">
      <c r="A2523" s="881" t="s">
        <v>4881</v>
      </c>
      <c r="B2523" s="881" t="s">
        <v>2410</v>
      </c>
      <c r="C2523" s="836">
        <v>252</v>
      </c>
      <c r="D2523" s="836"/>
      <c r="E2523" s="836"/>
      <c r="F2523" s="836"/>
      <c r="G2523" s="496" t="s">
        <v>7851</v>
      </c>
      <c r="H2523" s="797" t="str">
        <f>VLOOKUP(G2523,SETTINGS!$B$7:$D$97,2,0)</f>
        <v>BAIO Fittings</v>
      </c>
      <c r="I2523" s="796">
        <f>VLOOKUP(G2523,SETTINGS!$B$7:$D$97,3,0)</f>
        <v>0</v>
      </c>
      <c r="J2523" s="670" t="str">
        <f>IFERROR(IF(CURRENCY.FORMAT_1=0,CONCATENATE(TEXT(FIXED(ROUND((C2523/EXC.RATE_1),CURRENCY.FORMAT_1),CURRENCY.FORMAT_1,1),"# ##0;-# ##0"),",-"),FIXED(ROUND((C2523/EXC.RATE_1),CURRENCY.FORMAT_1),CURRENCY.FORMAT_1,0)),'DICTIONARY-5'!$A$2)</f>
        <v>252,-</v>
      </c>
      <c r="K2523" s="670" t="str">
        <f>IF(EXC.RATE_2=0,"",IFERROR(IF(CURRENCY.FORMAT_2=0,CONCATENATE(TEXT(FIXED(ROUND(IF(EXC.RATE.SWITCH=1,C2523/EXC.RATE_2,C2523*EXC.RATE_2),CURRENCY.FORMAT_2),CURRENCY.FORMAT_2,1),"# ##0;-# ##0"),",-"),FIXED(ROUND(IF(EXC.RATE.SWITCH=1,C2523/EXC.RATE_2,C2523*EXC.RATE_2),CURRENCY.FORMAT_2),CURRENCY.FORMAT_2,0)),'DICTIONARY-5'!$A$2))</f>
        <v/>
      </c>
      <c r="L2523" s="670" t="str">
        <f>IFERROR(IF(CURRENCY.FORMAT_1=0,CONCATENATE(TEXT(FIXED(ROUND((C2523*(1-I2523)*(1-ADD.DISCOUNT)*(1+MAT.SURCHARGE)/EXC.RATE_1),CURRENCY.FORMAT_1),CURRENCY.FORMAT_1,1),"# ##0;-# ##0"),",-"),FIXED(ROUND((C2523*(1-I2523)*(1-ADD.DISCOUNT)*(1+MAT.SURCHARGE)/EXC.RATE_1),CURRENCY.FORMAT_1),CURRENCY.FORMAT_1,0)),'DICTIONARY-5'!$A$2)</f>
        <v>262,-</v>
      </c>
      <c r="M2523" s="670" t="str">
        <f>IF(EXC.RATE_2=0,"",IFERROR(IF(CURRENCY.FORMAT_2=0,CONCATENATE(TEXT(FIXED(ROUND(IF(EXC.RATE.SWITCH=1,C2523*(1-I2523)*(1-ADD.DISCOUNT)*(1+MAT.SURCHARGE)/EXC.RATE_2,C2523*(1-I2523)*(1-ADD.DISCOUNT)*(1+MAT.SURCHARGE)*EXC.RATE_2),CURRENCY.FORMAT_2),CURRENCY.FORMAT_2,1),"# ##0;-# ##0"),",-"),FIXED(ROUND(IF(EXC.RATE.SWITCH=1,C2523*(1-I2523)*(1-ADD.DISCOUNT)*(1+MAT.SURCHARGE)/EXC.RATE_2,C2523*(1-I2523)*(1-ADD.DISCOUNT)*(1+MAT.SURCHARGE)*EXC.RATE_2),CURRENCY.FORMAT_2),CURRENCY.FORMAT_2,0)),'DICTIONARY-5'!$A$2))</f>
        <v/>
      </c>
      <c r="N2523" s="536">
        <v>12</v>
      </c>
      <c r="O2523" s="536"/>
      <c r="P2523" s="732" t="str">
        <f>'DICTIONARY-3'!$A$153&amp;" "&amp;'DICTIONARY-3'!$A$159</f>
        <v>BAIO R</v>
      </c>
      <c r="Q2523" s="732" t="str">
        <f>'DICTIONARY-3'!$A$223</f>
        <v>Kształtka</v>
      </c>
      <c r="R2523" s="732" t="str">
        <f>CONCATENATE('DICTIONARY-3'!$A$153," ",'DICTIONARY-3'!$A$175&amp;'DICTIONARY-3'!$A$159&amp;'DICTIONARY-3'!$A$174," ",'DICTIONARY-2'!$A$2,"125/150"," ",'DICTIONARY-2'!$A$10,"16",'DICTIONARY-2'!$A$20," ",'DICTIONARY-2'!$A$24,"=","335/224",'DICTIONARY-2'!$A$17,", ",'DICTIONARY-5'!$A$198,"+",'DICTIONARY-5'!$A$199)</f>
        <v>BAIO Kształtka-R‎ DN125/150 PS16bar L=335/224mm, mufa+końcówka bosa</v>
      </c>
      <c r="S2523" s="733" t="s">
        <v>5569</v>
      </c>
      <c r="T2523" s="732" t="s">
        <v>5569</v>
      </c>
      <c r="U2523" s="748" t="s">
        <v>5872</v>
      </c>
      <c r="V2523" s="735"/>
      <c r="W2523" s="736"/>
      <c r="X2523" s="737"/>
      <c r="Y2523" s="738"/>
      <c r="Z2523" s="739"/>
      <c r="AA2523" s="739"/>
      <c r="AB2523" s="740">
        <v>16</v>
      </c>
      <c r="AC2523" s="741" t="s">
        <v>5624</v>
      </c>
      <c r="AD2523" s="741" t="str">
        <f>'DICTIONARY-5'!$A$13</f>
        <v>woda pitna</v>
      </c>
      <c r="AE2523" s="742">
        <v>50</v>
      </c>
      <c r="AF2523" s="743">
        <v>11</v>
      </c>
      <c r="AG2523" s="741" t="str">
        <f>'DICTIONARY-5'!$A$23</f>
        <v>powłoka epoksydowa</v>
      </c>
    </row>
    <row r="2524" spans="1:33" x14ac:dyDescent="0.25">
      <c r="A2524" s="881" t="s">
        <v>4883</v>
      </c>
      <c r="B2524" s="881" t="s">
        <v>2411</v>
      </c>
      <c r="C2524" s="836">
        <v>304</v>
      </c>
      <c r="D2524" s="836"/>
      <c r="E2524" s="836"/>
      <c r="F2524" s="836"/>
      <c r="G2524" s="496" t="s">
        <v>7851</v>
      </c>
      <c r="H2524" s="797" t="str">
        <f>VLOOKUP(G2524,SETTINGS!$B$7:$D$97,2,0)</f>
        <v>BAIO Fittings</v>
      </c>
      <c r="I2524" s="796">
        <f>VLOOKUP(G2524,SETTINGS!$B$7:$D$97,3,0)</f>
        <v>0</v>
      </c>
      <c r="J2524" s="670" t="str">
        <f>IFERROR(IF(CURRENCY.FORMAT_1=0,CONCATENATE(TEXT(FIXED(ROUND((C2524/EXC.RATE_1),CURRENCY.FORMAT_1),CURRENCY.FORMAT_1,1),"# ##0;-# ##0"),",-"),FIXED(ROUND((C2524/EXC.RATE_1),CURRENCY.FORMAT_1),CURRENCY.FORMAT_1,0)),'DICTIONARY-5'!$A$2)</f>
        <v>304,-</v>
      </c>
      <c r="K2524" s="670" t="str">
        <f>IF(EXC.RATE_2=0,"",IFERROR(IF(CURRENCY.FORMAT_2=0,CONCATENATE(TEXT(FIXED(ROUND(IF(EXC.RATE.SWITCH=1,C2524/EXC.RATE_2,C2524*EXC.RATE_2),CURRENCY.FORMAT_2),CURRENCY.FORMAT_2,1),"# ##0;-# ##0"),",-"),FIXED(ROUND(IF(EXC.RATE.SWITCH=1,C2524/EXC.RATE_2,C2524*EXC.RATE_2),CURRENCY.FORMAT_2),CURRENCY.FORMAT_2,0)),'DICTIONARY-5'!$A$2))</f>
        <v/>
      </c>
      <c r="L2524" s="670" t="str">
        <f>IFERROR(IF(CURRENCY.FORMAT_1=0,CONCATENATE(TEXT(FIXED(ROUND((C2524*(1-I2524)*(1-ADD.DISCOUNT)*(1+MAT.SURCHARGE)/EXC.RATE_1),CURRENCY.FORMAT_1),CURRENCY.FORMAT_1,1),"# ##0;-# ##0"),",-"),FIXED(ROUND((C2524*(1-I2524)*(1-ADD.DISCOUNT)*(1+MAT.SURCHARGE)/EXC.RATE_1),CURRENCY.FORMAT_1),CURRENCY.FORMAT_1,0)),'DICTIONARY-5'!$A$2)</f>
        <v>316,-</v>
      </c>
      <c r="M2524" s="670" t="str">
        <f>IF(EXC.RATE_2=0,"",IFERROR(IF(CURRENCY.FORMAT_2=0,CONCATENATE(TEXT(FIXED(ROUND(IF(EXC.RATE.SWITCH=1,C2524*(1-I2524)*(1-ADD.DISCOUNT)*(1+MAT.SURCHARGE)/EXC.RATE_2,C2524*(1-I2524)*(1-ADD.DISCOUNT)*(1+MAT.SURCHARGE)*EXC.RATE_2),CURRENCY.FORMAT_2),CURRENCY.FORMAT_2,1),"# ##0;-# ##0"),",-"),FIXED(ROUND(IF(EXC.RATE.SWITCH=1,C2524*(1-I2524)*(1-ADD.DISCOUNT)*(1+MAT.SURCHARGE)/EXC.RATE_2,C2524*(1-I2524)*(1-ADD.DISCOUNT)*(1+MAT.SURCHARGE)*EXC.RATE_2),CURRENCY.FORMAT_2),CURRENCY.FORMAT_2,0)),'DICTIONARY-5'!$A$2))</f>
        <v/>
      </c>
      <c r="N2524" s="536">
        <v>12</v>
      </c>
      <c r="O2524" s="536"/>
      <c r="P2524" s="732" t="str">
        <f>'DICTIONARY-3'!$A$153&amp;" "&amp;'DICTIONARY-3'!$A$159</f>
        <v>BAIO R</v>
      </c>
      <c r="Q2524" s="732" t="str">
        <f>'DICTIONARY-3'!$A$223</f>
        <v>Kształtka</v>
      </c>
      <c r="R2524" s="732" t="str">
        <f>CONCATENATE('DICTIONARY-3'!$A$153," ",'DICTIONARY-3'!$A$175&amp;'DICTIONARY-3'!$A$159&amp;'DICTIONARY-3'!$A$174," ",'DICTIONARY-2'!$A$2,"125/200"," ",'DICTIONARY-2'!$A$10,"16",'DICTIONARY-2'!$A$20," ",'DICTIONARY-2'!$A$24,"=","435/318",'DICTIONARY-2'!$A$17,", ",'DICTIONARY-5'!$A$198,"+",'DICTIONARY-5'!$A$199)</f>
        <v>BAIO Kształtka-R‎ DN125/200 PS16bar L=435/318mm, mufa+końcówka bosa</v>
      </c>
      <c r="S2524" s="733" t="s">
        <v>5569</v>
      </c>
      <c r="T2524" s="732" t="s">
        <v>5569</v>
      </c>
      <c r="U2524" s="748" t="s">
        <v>5873</v>
      </c>
      <c r="V2524" s="735"/>
      <c r="W2524" s="736"/>
      <c r="X2524" s="737"/>
      <c r="Y2524" s="738"/>
      <c r="Z2524" s="739"/>
      <c r="AA2524" s="739"/>
      <c r="AB2524" s="740">
        <v>16</v>
      </c>
      <c r="AC2524" s="741" t="s">
        <v>5625</v>
      </c>
      <c r="AD2524" s="741" t="str">
        <f>'DICTIONARY-5'!$A$13</f>
        <v>woda pitna</v>
      </c>
      <c r="AE2524" s="742">
        <v>50</v>
      </c>
      <c r="AF2524" s="743">
        <v>17.5</v>
      </c>
      <c r="AG2524" s="741" t="str">
        <f>'DICTIONARY-5'!$A$23</f>
        <v>powłoka epoksydowa</v>
      </c>
    </row>
    <row r="2525" spans="1:33" x14ac:dyDescent="0.25">
      <c r="A2525" s="881" t="s">
        <v>4884</v>
      </c>
      <c r="B2525" s="881" t="s">
        <v>2412</v>
      </c>
      <c r="C2525" s="836">
        <v>335</v>
      </c>
      <c r="D2525" s="836"/>
      <c r="E2525" s="836"/>
      <c r="F2525" s="836"/>
      <c r="G2525" s="496" t="s">
        <v>7851</v>
      </c>
      <c r="H2525" s="797" t="str">
        <f>VLOOKUP(G2525,SETTINGS!$B$7:$D$97,2,0)</f>
        <v>BAIO Fittings</v>
      </c>
      <c r="I2525" s="796">
        <f>VLOOKUP(G2525,SETTINGS!$B$7:$D$97,3,0)</f>
        <v>0</v>
      </c>
      <c r="J2525" s="670" t="str">
        <f>IFERROR(IF(CURRENCY.FORMAT_1=0,CONCATENATE(TEXT(FIXED(ROUND((C2525/EXC.RATE_1),CURRENCY.FORMAT_1),CURRENCY.FORMAT_1,1),"# ##0;-# ##0"),",-"),FIXED(ROUND((C2525/EXC.RATE_1),CURRENCY.FORMAT_1),CURRENCY.FORMAT_1,0)),'DICTIONARY-5'!$A$2)</f>
        <v>335,-</v>
      </c>
      <c r="K2525" s="670" t="str">
        <f>IF(EXC.RATE_2=0,"",IFERROR(IF(CURRENCY.FORMAT_2=0,CONCATENATE(TEXT(FIXED(ROUND(IF(EXC.RATE.SWITCH=1,C2525/EXC.RATE_2,C2525*EXC.RATE_2),CURRENCY.FORMAT_2),CURRENCY.FORMAT_2,1),"# ##0;-# ##0"),",-"),FIXED(ROUND(IF(EXC.RATE.SWITCH=1,C2525/EXC.RATE_2,C2525*EXC.RATE_2),CURRENCY.FORMAT_2),CURRENCY.FORMAT_2,0)),'DICTIONARY-5'!$A$2))</f>
        <v/>
      </c>
      <c r="L2525" s="670" t="str">
        <f>IFERROR(IF(CURRENCY.FORMAT_1=0,CONCATENATE(TEXT(FIXED(ROUND((C2525*(1-I2525)*(1-ADD.DISCOUNT)*(1+MAT.SURCHARGE)/EXC.RATE_1),CURRENCY.FORMAT_1),CURRENCY.FORMAT_1,1),"# ##0;-# ##0"),",-"),FIXED(ROUND((C2525*(1-I2525)*(1-ADD.DISCOUNT)*(1+MAT.SURCHARGE)/EXC.RATE_1),CURRENCY.FORMAT_1),CURRENCY.FORMAT_1,0)),'DICTIONARY-5'!$A$2)</f>
        <v>348,-</v>
      </c>
      <c r="M2525" s="670" t="str">
        <f>IF(EXC.RATE_2=0,"",IFERROR(IF(CURRENCY.FORMAT_2=0,CONCATENATE(TEXT(FIXED(ROUND(IF(EXC.RATE.SWITCH=1,C2525*(1-I2525)*(1-ADD.DISCOUNT)*(1+MAT.SURCHARGE)/EXC.RATE_2,C2525*(1-I2525)*(1-ADD.DISCOUNT)*(1+MAT.SURCHARGE)*EXC.RATE_2),CURRENCY.FORMAT_2),CURRENCY.FORMAT_2,1),"# ##0;-# ##0"),",-"),FIXED(ROUND(IF(EXC.RATE.SWITCH=1,C2525*(1-I2525)*(1-ADD.DISCOUNT)*(1+MAT.SURCHARGE)/EXC.RATE_2,C2525*(1-I2525)*(1-ADD.DISCOUNT)*(1+MAT.SURCHARGE)*EXC.RATE_2),CURRENCY.FORMAT_2),CURRENCY.FORMAT_2,0)),'DICTIONARY-5'!$A$2))</f>
        <v/>
      </c>
      <c r="N2525" s="536">
        <v>12</v>
      </c>
      <c r="O2525" s="536"/>
      <c r="P2525" s="732" t="str">
        <f>'DICTIONARY-3'!$A$153&amp;" "&amp;'DICTIONARY-3'!$A$159</f>
        <v>BAIO R</v>
      </c>
      <c r="Q2525" s="732" t="str">
        <f>'DICTIONARY-3'!$A$223</f>
        <v>Kształtka</v>
      </c>
      <c r="R2525" s="732" t="str">
        <f>CONCATENATE('DICTIONARY-3'!$A$153," ",'DICTIONARY-3'!$A$175&amp;'DICTIONARY-3'!$A$159&amp;'DICTIONARY-3'!$A$174," ",'DICTIONARY-2'!$A$2,"150/200"," ",'DICTIONARY-2'!$A$10,"16",'DICTIONARY-2'!$A$20," ",'DICTIONARY-2'!$A$24,"=","410/293",'DICTIONARY-2'!$A$17,", ",'DICTIONARY-5'!$A$198,"+",'DICTIONARY-5'!$A$199)</f>
        <v>BAIO Kształtka-R‎ DN150/200 PS16bar L=410/293mm, mufa+końcówka bosa</v>
      </c>
      <c r="S2525" s="733" t="s">
        <v>5569</v>
      </c>
      <c r="T2525" s="732" t="s">
        <v>5569</v>
      </c>
      <c r="U2525" s="748" t="s">
        <v>5874</v>
      </c>
      <c r="V2525" s="735"/>
      <c r="W2525" s="736"/>
      <c r="X2525" s="737"/>
      <c r="Y2525" s="738"/>
      <c r="Z2525" s="739"/>
      <c r="AA2525" s="739"/>
      <c r="AB2525" s="740">
        <v>16</v>
      </c>
      <c r="AC2525" s="741" t="s">
        <v>5626</v>
      </c>
      <c r="AD2525" s="741" t="str">
        <f>'DICTIONARY-5'!$A$13</f>
        <v>woda pitna</v>
      </c>
      <c r="AE2525" s="742">
        <v>50</v>
      </c>
      <c r="AF2525" s="743">
        <v>17.5</v>
      </c>
      <c r="AG2525" s="741" t="str">
        <f>'DICTIONARY-5'!$A$23</f>
        <v>powłoka epoksydowa</v>
      </c>
    </row>
    <row r="2526" spans="1:33" x14ac:dyDescent="0.25">
      <c r="A2526" s="880" t="s">
        <v>2413</v>
      </c>
      <c r="B2526" s="880" t="s">
        <v>2791</v>
      </c>
      <c r="C2526" s="836">
        <v>195</v>
      </c>
      <c r="D2526" s="836"/>
      <c r="E2526" s="836"/>
      <c r="F2526" s="836"/>
      <c r="G2526" s="496" t="s">
        <v>7851</v>
      </c>
      <c r="H2526" s="797" t="str">
        <f>VLOOKUP(G2526,SETTINGS!$B$7:$D$97,2,0)</f>
        <v>BAIO Fittings</v>
      </c>
      <c r="I2526" s="796">
        <f>VLOOKUP(G2526,SETTINGS!$B$7:$D$97,3,0)</f>
        <v>0</v>
      </c>
      <c r="J2526" s="670" t="str">
        <f>IFERROR(IF(CURRENCY.FORMAT_1=0,CONCATENATE(TEXT(FIXED(ROUND((C2526/EXC.RATE_1),CURRENCY.FORMAT_1),CURRENCY.FORMAT_1,1),"# ##0;-# ##0"),",-"),FIXED(ROUND((C2526/EXC.RATE_1),CURRENCY.FORMAT_1),CURRENCY.FORMAT_1,0)),'DICTIONARY-5'!$A$2)</f>
        <v>195,-</v>
      </c>
      <c r="K2526" s="670" t="str">
        <f>IF(EXC.RATE_2=0,"",IFERROR(IF(CURRENCY.FORMAT_2=0,CONCATENATE(TEXT(FIXED(ROUND(IF(EXC.RATE.SWITCH=1,C2526/EXC.RATE_2,C2526*EXC.RATE_2),CURRENCY.FORMAT_2),CURRENCY.FORMAT_2,1),"# ##0;-# ##0"),",-"),FIXED(ROUND(IF(EXC.RATE.SWITCH=1,C2526/EXC.RATE_2,C2526*EXC.RATE_2),CURRENCY.FORMAT_2),CURRENCY.FORMAT_2,0)),'DICTIONARY-5'!$A$2))</f>
        <v/>
      </c>
      <c r="L2526" s="670" t="str">
        <f>IFERROR(IF(CURRENCY.FORMAT_1=0,CONCATENATE(TEXT(FIXED(ROUND((C2526*(1-I2526)*(1-ADD.DISCOUNT)*(1+MAT.SURCHARGE)/EXC.RATE_1),CURRENCY.FORMAT_1),CURRENCY.FORMAT_1,1),"# ##0;-# ##0"),",-"),FIXED(ROUND((C2526*(1-I2526)*(1-ADD.DISCOUNT)*(1+MAT.SURCHARGE)/EXC.RATE_1),CURRENCY.FORMAT_1),CURRENCY.FORMAT_1,0)),'DICTIONARY-5'!$A$2)</f>
        <v>203,-</v>
      </c>
      <c r="M2526" s="670" t="str">
        <f>IF(EXC.RATE_2=0,"",IFERROR(IF(CURRENCY.FORMAT_2=0,CONCATENATE(TEXT(FIXED(ROUND(IF(EXC.RATE.SWITCH=1,C2526*(1-I2526)*(1-ADD.DISCOUNT)*(1+MAT.SURCHARGE)/EXC.RATE_2,C2526*(1-I2526)*(1-ADD.DISCOUNT)*(1+MAT.SURCHARGE)*EXC.RATE_2),CURRENCY.FORMAT_2),CURRENCY.FORMAT_2,1),"# ##0;-# ##0"),",-"),FIXED(ROUND(IF(EXC.RATE.SWITCH=1,C2526*(1-I2526)*(1-ADD.DISCOUNT)*(1+MAT.SURCHARGE)/EXC.RATE_2,C2526*(1-I2526)*(1-ADD.DISCOUNT)*(1+MAT.SURCHARGE)*EXC.RATE_2),CURRENCY.FORMAT_2),CURRENCY.FORMAT_2,0)),'DICTIONARY-5'!$A$2))</f>
        <v/>
      </c>
      <c r="N2526" s="536">
        <v>12</v>
      </c>
      <c r="O2526" s="536"/>
      <c r="P2526" s="732" t="str">
        <f>'DICTIONARY-3'!$A$153&amp;" "&amp;'DICTIONARY-3'!$A$160</f>
        <v>BAIO RU</v>
      </c>
      <c r="Q2526" s="732" t="str">
        <f>'DICTIONARY-3'!$A$223</f>
        <v>Kształtka</v>
      </c>
      <c r="R2526" s="732" t="str">
        <f>CONCATENATE('DICTIONARY-3'!$A$153," ",'DICTIONARY-3'!$A$175&amp;'DICTIONARY-3'!$A$160&amp;'DICTIONARY-3'!$A$174," ",'DICTIONARY-2'!$A$2,"125/80"," ",'DICTIONARY-2'!$A$10,"16",'DICTIONARY-2'!$A$20," ",'DICTIONARY-2'!$A$24,"=","420/336",'DICTIONARY-2'!$A$17,", ",'DICTIONARY-5'!$A$198,"+",'DICTIONARY-5'!$A$199)</f>
        <v>BAIO Kształtka-RU‎ DN125/80 PS16bar L=420/336mm, mufa+końcówka bosa</v>
      </c>
      <c r="S2526" s="733" t="s">
        <v>5569</v>
      </c>
      <c r="T2526" s="732" t="s">
        <v>5569</v>
      </c>
      <c r="U2526" s="748" t="s">
        <v>5852</v>
      </c>
      <c r="V2526" s="735"/>
      <c r="W2526" s="736"/>
      <c r="X2526" s="737"/>
      <c r="Y2526" s="738"/>
      <c r="Z2526" s="739"/>
      <c r="AA2526" s="739"/>
      <c r="AB2526" s="740">
        <v>16</v>
      </c>
      <c r="AC2526" s="733" t="s">
        <v>5615</v>
      </c>
      <c r="AD2526" s="741" t="str">
        <f>'DICTIONARY-5'!$A$13</f>
        <v>woda pitna</v>
      </c>
      <c r="AE2526" s="742">
        <v>50</v>
      </c>
      <c r="AF2526" s="743">
        <v>12</v>
      </c>
      <c r="AG2526" s="741" t="str">
        <f>'DICTIONARY-5'!$A$23</f>
        <v>powłoka epoksydowa</v>
      </c>
    </row>
    <row r="2527" spans="1:33" x14ac:dyDescent="0.25">
      <c r="A2527" s="880" t="s">
        <v>2414</v>
      </c>
      <c r="B2527" s="880" t="s">
        <v>2792</v>
      </c>
      <c r="C2527" s="836">
        <v>210</v>
      </c>
      <c r="D2527" s="836"/>
      <c r="E2527" s="836"/>
      <c r="F2527" s="836"/>
      <c r="G2527" s="496" t="s">
        <v>7851</v>
      </c>
      <c r="H2527" s="797" t="str">
        <f>VLOOKUP(G2527,SETTINGS!$B$7:$D$97,2,0)</f>
        <v>BAIO Fittings</v>
      </c>
      <c r="I2527" s="796">
        <f>VLOOKUP(G2527,SETTINGS!$B$7:$D$97,3,0)</f>
        <v>0</v>
      </c>
      <c r="J2527" s="670" t="str">
        <f>IFERROR(IF(CURRENCY.FORMAT_1=0,CONCATENATE(TEXT(FIXED(ROUND((C2527/EXC.RATE_1),CURRENCY.FORMAT_1),CURRENCY.FORMAT_1,1),"# ##0;-# ##0"),",-"),FIXED(ROUND((C2527/EXC.RATE_1),CURRENCY.FORMAT_1),CURRENCY.FORMAT_1,0)),'DICTIONARY-5'!$A$2)</f>
        <v>210,-</v>
      </c>
      <c r="K2527" s="670" t="str">
        <f>IF(EXC.RATE_2=0,"",IFERROR(IF(CURRENCY.FORMAT_2=0,CONCATENATE(TEXT(FIXED(ROUND(IF(EXC.RATE.SWITCH=1,C2527/EXC.RATE_2,C2527*EXC.RATE_2),CURRENCY.FORMAT_2),CURRENCY.FORMAT_2,1),"# ##0;-# ##0"),",-"),FIXED(ROUND(IF(EXC.RATE.SWITCH=1,C2527/EXC.RATE_2,C2527*EXC.RATE_2),CURRENCY.FORMAT_2),CURRENCY.FORMAT_2,0)),'DICTIONARY-5'!$A$2))</f>
        <v/>
      </c>
      <c r="L2527" s="670" t="str">
        <f>IFERROR(IF(CURRENCY.FORMAT_1=0,CONCATENATE(TEXT(FIXED(ROUND((C2527*(1-I2527)*(1-ADD.DISCOUNT)*(1+MAT.SURCHARGE)/EXC.RATE_1),CURRENCY.FORMAT_1),CURRENCY.FORMAT_1,1),"# ##0;-# ##0"),",-"),FIXED(ROUND((C2527*(1-I2527)*(1-ADD.DISCOUNT)*(1+MAT.SURCHARGE)/EXC.RATE_1),CURRENCY.FORMAT_1),CURRENCY.FORMAT_1,0)),'DICTIONARY-5'!$A$2)</f>
        <v>218,-</v>
      </c>
      <c r="M2527" s="670" t="str">
        <f>IF(EXC.RATE_2=0,"",IFERROR(IF(CURRENCY.FORMAT_2=0,CONCATENATE(TEXT(FIXED(ROUND(IF(EXC.RATE.SWITCH=1,C2527*(1-I2527)*(1-ADD.DISCOUNT)*(1+MAT.SURCHARGE)/EXC.RATE_2,C2527*(1-I2527)*(1-ADD.DISCOUNT)*(1+MAT.SURCHARGE)*EXC.RATE_2),CURRENCY.FORMAT_2),CURRENCY.FORMAT_2,1),"# ##0;-# ##0"),",-"),FIXED(ROUND(IF(EXC.RATE.SWITCH=1,C2527*(1-I2527)*(1-ADD.DISCOUNT)*(1+MAT.SURCHARGE)/EXC.RATE_2,C2527*(1-I2527)*(1-ADD.DISCOUNT)*(1+MAT.SURCHARGE)*EXC.RATE_2),CURRENCY.FORMAT_2),CURRENCY.FORMAT_2,0)),'DICTIONARY-5'!$A$2))</f>
        <v/>
      </c>
      <c r="N2527" s="536">
        <v>12</v>
      </c>
      <c r="O2527" s="536"/>
      <c r="P2527" s="732" t="str">
        <f>'DICTIONARY-3'!$A$153&amp;" "&amp;'DICTIONARY-3'!$A$160</f>
        <v>BAIO RU</v>
      </c>
      <c r="Q2527" s="732" t="str">
        <f>'DICTIONARY-3'!$A$223</f>
        <v>Kształtka</v>
      </c>
      <c r="R2527" s="732" t="str">
        <f>CONCATENATE('DICTIONARY-3'!$A$153," ",'DICTIONARY-3'!$A$175&amp;'DICTIONARY-3'!$A$160&amp;'DICTIONARY-3'!$A$174," ",'DICTIONARY-2'!$A$2,"125/100"," ",'DICTIONARY-2'!$A$10,"16",'DICTIONARY-2'!$A$20," ",'DICTIONARY-2'!$A$24,"=","325/221",'DICTIONARY-2'!$A$17,", ",'DICTIONARY-5'!$A$198,"+",'DICTIONARY-5'!$A$199)</f>
        <v>BAIO Kształtka-RU‎ DN125/100 PS16bar L=325/221mm, mufa+końcówka bosa</v>
      </c>
      <c r="S2527" s="733" t="s">
        <v>5569</v>
      </c>
      <c r="T2527" s="732" t="s">
        <v>5569</v>
      </c>
      <c r="U2527" s="748" t="s">
        <v>5853</v>
      </c>
      <c r="V2527" s="735"/>
      <c r="W2527" s="736"/>
      <c r="X2527" s="737"/>
      <c r="Y2527" s="738"/>
      <c r="Z2527" s="739"/>
      <c r="AA2527" s="739"/>
      <c r="AB2527" s="740">
        <v>16</v>
      </c>
      <c r="AC2527" s="733" t="s">
        <v>5616</v>
      </c>
      <c r="AD2527" s="741" t="str">
        <f>'DICTIONARY-5'!$A$13</f>
        <v>woda pitna</v>
      </c>
      <c r="AE2527" s="742">
        <v>50</v>
      </c>
      <c r="AF2527" s="743">
        <v>10</v>
      </c>
      <c r="AG2527" s="741" t="str">
        <f>'DICTIONARY-5'!$A$23</f>
        <v>powłoka epoksydowa</v>
      </c>
    </row>
    <row r="2528" spans="1:33" x14ac:dyDescent="0.25">
      <c r="A2528" s="880" t="s">
        <v>2415</v>
      </c>
      <c r="B2528" s="880" t="s">
        <v>2793</v>
      </c>
      <c r="C2528" s="836">
        <v>223</v>
      </c>
      <c r="D2528" s="836"/>
      <c r="E2528" s="836"/>
      <c r="F2528" s="836"/>
      <c r="G2528" s="496" t="s">
        <v>7851</v>
      </c>
      <c r="H2528" s="797" t="str">
        <f>VLOOKUP(G2528,SETTINGS!$B$7:$D$97,2,0)</f>
        <v>BAIO Fittings</v>
      </c>
      <c r="I2528" s="796">
        <f>VLOOKUP(G2528,SETTINGS!$B$7:$D$97,3,0)</f>
        <v>0</v>
      </c>
      <c r="J2528" s="670" t="str">
        <f>IFERROR(IF(CURRENCY.FORMAT_1=0,CONCATENATE(TEXT(FIXED(ROUND((C2528/EXC.RATE_1),CURRENCY.FORMAT_1),CURRENCY.FORMAT_1,1),"# ##0;-# ##0"),",-"),FIXED(ROUND((C2528/EXC.RATE_1),CURRENCY.FORMAT_1),CURRENCY.FORMAT_1,0)),'DICTIONARY-5'!$A$2)</f>
        <v>223,-</v>
      </c>
      <c r="K2528" s="670" t="str">
        <f>IF(EXC.RATE_2=0,"",IFERROR(IF(CURRENCY.FORMAT_2=0,CONCATENATE(TEXT(FIXED(ROUND(IF(EXC.RATE.SWITCH=1,C2528/EXC.RATE_2,C2528*EXC.RATE_2),CURRENCY.FORMAT_2),CURRENCY.FORMAT_2,1),"# ##0;-# ##0"),",-"),FIXED(ROUND(IF(EXC.RATE.SWITCH=1,C2528/EXC.RATE_2,C2528*EXC.RATE_2),CURRENCY.FORMAT_2),CURRENCY.FORMAT_2,0)),'DICTIONARY-5'!$A$2))</f>
        <v/>
      </c>
      <c r="L2528" s="670" t="str">
        <f>IFERROR(IF(CURRENCY.FORMAT_1=0,CONCATENATE(TEXT(FIXED(ROUND((C2528*(1-I2528)*(1-ADD.DISCOUNT)*(1+MAT.SURCHARGE)/EXC.RATE_1),CURRENCY.FORMAT_1),CURRENCY.FORMAT_1,1),"# ##0;-# ##0"),",-"),FIXED(ROUND((C2528*(1-I2528)*(1-ADD.DISCOUNT)*(1+MAT.SURCHARGE)/EXC.RATE_1),CURRENCY.FORMAT_1),CURRENCY.FORMAT_1,0)),'DICTIONARY-5'!$A$2)</f>
        <v>232,-</v>
      </c>
      <c r="M2528" s="670" t="str">
        <f>IF(EXC.RATE_2=0,"",IFERROR(IF(CURRENCY.FORMAT_2=0,CONCATENATE(TEXT(FIXED(ROUND(IF(EXC.RATE.SWITCH=1,C2528*(1-I2528)*(1-ADD.DISCOUNT)*(1+MAT.SURCHARGE)/EXC.RATE_2,C2528*(1-I2528)*(1-ADD.DISCOUNT)*(1+MAT.SURCHARGE)*EXC.RATE_2),CURRENCY.FORMAT_2),CURRENCY.FORMAT_2,1),"# ##0;-# ##0"),",-"),FIXED(ROUND(IF(EXC.RATE.SWITCH=1,C2528*(1-I2528)*(1-ADD.DISCOUNT)*(1+MAT.SURCHARGE)/EXC.RATE_2,C2528*(1-I2528)*(1-ADD.DISCOUNT)*(1+MAT.SURCHARGE)*EXC.RATE_2),CURRENCY.FORMAT_2),CURRENCY.FORMAT_2,0)),'DICTIONARY-5'!$A$2))</f>
        <v/>
      </c>
      <c r="N2528" s="536">
        <v>12</v>
      </c>
      <c r="O2528" s="536"/>
      <c r="P2528" s="732" t="str">
        <f>'DICTIONARY-3'!$A$153&amp;" "&amp;'DICTIONARY-3'!$A$160</f>
        <v>BAIO RU</v>
      </c>
      <c r="Q2528" s="732" t="str">
        <f>'DICTIONARY-3'!$A$223</f>
        <v>Kształtka</v>
      </c>
      <c r="R2528" s="732" t="str">
        <f>CONCATENATE('DICTIONARY-3'!$A$153," ",'DICTIONARY-3'!$A$175&amp;'DICTIONARY-3'!$A$160&amp;'DICTIONARY-3'!$A$174," ",'DICTIONARY-2'!$A$2,"150/100"," ",'DICTIONARY-2'!$A$10,"16",'DICTIONARY-2'!$A$20," ",'DICTIONARY-2'!$A$24,"=","395/291",'DICTIONARY-2'!$A$17,", ",'DICTIONARY-5'!$A$198,"+",'DICTIONARY-5'!$A$199)</f>
        <v>BAIO Kształtka-RU‎ DN150/100 PS16bar L=395/291mm, mufa+końcówka bosa</v>
      </c>
      <c r="S2528" s="733" t="s">
        <v>5569</v>
      </c>
      <c r="T2528" s="732" t="s">
        <v>5569</v>
      </c>
      <c r="U2528" s="748" t="s">
        <v>5854</v>
      </c>
      <c r="V2528" s="735"/>
      <c r="W2528" s="736"/>
      <c r="X2528" s="737"/>
      <c r="Y2528" s="738"/>
      <c r="Z2528" s="739"/>
      <c r="AA2528" s="739"/>
      <c r="AB2528" s="740">
        <v>16</v>
      </c>
      <c r="AC2528" s="733" t="s">
        <v>5617</v>
      </c>
      <c r="AD2528" s="741" t="str">
        <f>'DICTIONARY-5'!$A$13</f>
        <v>woda pitna</v>
      </c>
      <c r="AE2528" s="742">
        <v>50</v>
      </c>
      <c r="AF2528" s="743">
        <v>12.5</v>
      </c>
      <c r="AG2528" s="741" t="str">
        <f>'DICTIONARY-5'!$A$23</f>
        <v>powłoka epoksydowa</v>
      </c>
    </row>
    <row r="2529" spans="1:33" x14ac:dyDescent="0.25">
      <c r="A2529" s="880" t="s">
        <v>2416</v>
      </c>
      <c r="B2529" s="880" t="s">
        <v>2759</v>
      </c>
      <c r="C2529" s="836">
        <v>135</v>
      </c>
      <c r="D2529" s="836"/>
      <c r="E2529" s="836"/>
      <c r="F2529" s="836"/>
      <c r="G2529" s="496" t="s">
        <v>7851</v>
      </c>
      <c r="H2529" s="797" t="str">
        <f>VLOOKUP(G2529,SETTINGS!$B$7:$D$97,2,0)</f>
        <v>BAIO Fittings</v>
      </c>
      <c r="I2529" s="796">
        <f>VLOOKUP(G2529,SETTINGS!$B$7:$D$97,3,0)</f>
        <v>0</v>
      </c>
      <c r="J2529" s="670" t="str">
        <f>IFERROR(IF(CURRENCY.FORMAT_1=0,CONCATENATE(TEXT(FIXED(ROUND((C2529/EXC.RATE_1),CURRENCY.FORMAT_1),CURRENCY.FORMAT_1,1),"# ##0;-# ##0"),",-"),FIXED(ROUND((C2529/EXC.RATE_1),CURRENCY.FORMAT_1),CURRENCY.FORMAT_1,0)),'DICTIONARY-5'!$A$2)</f>
        <v>135,-</v>
      </c>
      <c r="K2529" s="670" t="str">
        <f>IF(EXC.RATE_2=0,"",IFERROR(IF(CURRENCY.FORMAT_2=0,CONCATENATE(TEXT(FIXED(ROUND(IF(EXC.RATE.SWITCH=1,C2529/EXC.RATE_2,C2529*EXC.RATE_2),CURRENCY.FORMAT_2),CURRENCY.FORMAT_2,1),"# ##0;-# ##0"),",-"),FIXED(ROUND(IF(EXC.RATE.SWITCH=1,C2529/EXC.RATE_2,C2529*EXC.RATE_2),CURRENCY.FORMAT_2),CURRENCY.FORMAT_2,0)),'DICTIONARY-5'!$A$2))</f>
        <v/>
      </c>
      <c r="L2529" s="670" t="str">
        <f>IFERROR(IF(CURRENCY.FORMAT_1=0,CONCATENATE(TEXT(FIXED(ROUND((C2529*(1-I2529)*(1-ADD.DISCOUNT)*(1+MAT.SURCHARGE)/EXC.RATE_1),CURRENCY.FORMAT_1),CURRENCY.FORMAT_1,1),"# ##0;-# ##0"),",-"),FIXED(ROUND((C2529*(1-I2529)*(1-ADD.DISCOUNT)*(1+MAT.SURCHARGE)/EXC.RATE_1),CURRENCY.FORMAT_1),CURRENCY.FORMAT_1,0)),'DICTIONARY-5'!$A$2)</f>
        <v>140,-</v>
      </c>
      <c r="M2529" s="670" t="str">
        <f>IF(EXC.RATE_2=0,"",IFERROR(IF(CURRENCY.FORMAT_2=0,CONCATENATE(TEXT(FIXED(ROUND(IF(EXC.RATE.SWITCH=1,C2529*(1-I2529)*(1-ADD.DISCOUNT)*(1+MAT.SURCHARGE)/EXC.RATE_2,C2529*(1-I2529)*(1-ADD.DISCOUNT)*(1+MAT.SURCHARGE)*EXC.RATE_2),CURRENCY.FORMAT_2),CURRENCY.FORMAT_2,1),"# ##0;-# ##0"),",-"),FIXED(ROUND(IF(EXC.RATE.SWITCH=1,C2529*(1-I2529)*(1-ADD.DISCOUNT)*(1+MAT.SURCHARGE)/EXC.RATE_2,C2529*(1-I2529)*(1-ADD.DISCOUNT)*(1+MAT.SURCHARGE)*EXC.RATE_2),CURRENCY.FORMAT_2),CURRENCY.FORMAT_2,0)),'DICTIONARY-5'!$A$2))</f>
        <v/>
      </c>
      <c r="N2529" s="536">
        <v>12</v>
      </c>
      <c r="O2529" s="536"/>
      <c r="P2529" s="732" t="str">
        <f>'DICTIONARY-3'!$A$153&amp;" "&amp;'DICTIONARY-3'!$A$161</f>
        <v>BAIO X</v>
      </c>
      <c r="Q2529" s="732" t="str">
        <f>'DICTIONARY-3'!$A$223</f>
        <v>Kształtka</v>
      </c>
      <c r="R2529" s="732" t="str">
        <f>CONCATENATE('DICTIONARY-3'!$A$153," ",'DICTIONARY-3'!$A$175&amp;'DICTIONARY-3'!$A$161&amp;'DICTIONARY-3'!$A$174," ",'DICTIONARY-2'!$A$2,"80"," ",'DICTIONARY-2'!$A$10,"16",'DICTIONARY-2'!$A$20," ",'DICTIONARY-2'!$A$24,"=","157",'DICTIONARY-2'!$A$17," ","G1"," ","+",'DICTIONARY-3'!$A$343,", ","1×",'DICTIONARY-5'!$A$198)</f>
        <v>BAIO Kształtka-X‎ DN80 PS16bar L=157mm G1 +korek, 1×mufa</v>
      </c>
      <c r="S2529" s="733" t="s">
        <v>5569</v>
      </c>
      <c r="T2529" s="732" t="s">
        <v>5569</v>
      </c>
      <c r="U2529" s="734" t="s">
        <v>5760</v>
      </c>
      <c r="V2529" s="735"/>
      <c r="W2529" s="736"/>
      <c r="X2529" s="750" t="s">
        <v>49</v>
      </c>
      <c r="Y2529" s="745"/>
      <c r="Z2529" s="747"/>
      <c r="AA2529" s="747"/>
      <c r="AB2529" s="740">
        <v>16</v>
      </c>
      <c r="AC2529" s="741">
        <v>157</v>
      </c>
      <c r="AD2529" s="741" t="str">
        <f>'DICTIONARY-5'!$A$13</f>
        <v>woda pitna</v>
      </c>
      <c r="AE2529" s="742">
        <v>50</v>
      </c>
      <c r="AF2529" s="743">
        <v>5.6</v>
      </c>
      <c r="AG2529" s="741" t="str">
        <f>'DICTIONARY-5'!$A$23</f>
        <v>powłoka epoksydowa</v>
      </c>
    </row>
    <row r="2530" spans="1:33" x14ac:dyDescent="0.25">
      <c r="A2530" s="880" t="s">
        <v>2418</v>
      </c>
      <c r="B2530" s="880" t="s">
        <v>2760</v>
      </c>
      <c r="C2530" s="836">
        <v>136</v>
      </c>
      <c r="D2530" s="836"/>
      <c r="E2530" s="836"/>
      <c r="F2530" s="836"/>
      <c r="G2530" s="496" t="s">
        <v>7851</v>
      </c>
      <c r="H2530" s="797" t="str">
        <f>VLOOKUP(G2530,SETTINGS!$B$7:$D$97,2,0)</f>
        <v>BAIO Fittings</v>
      </c>
      <c r="I2530" s="796">
        <f>VLOOKUP(G2530,SETTINGS!$B$7:$D$97,3,0)</f>
        <v>0</v>
      </c>
      <c r="J2530" s="670" t="str">
        <f>IFERROR(IF(CURRENCY.FORMAT_1=0,CONCATENATE(TEXT(FIXED(ROUND((C2530/EXC.RATE_1),CURRENCY.FORMAT_1),CURRENCY.FORMAT_1,1),"# ##0;-# ##0"),",-"),FIXED(ROUND((C2530/EXC.RATE_1),CURRENCY.FORMAT_1),CURRENCY.FORMAT_1,0)),'DICTIONARY-5'!$A$2)</f>
        <v>136,-</v>
      </c>
      <c r="K2530" s="670" t="str">
        <f>IF(EXC.RATE_2=0,"",IFERROR(IF(CURRENCY.FORMAT_2=0,CONCATENATE(TEXT(FIXED(ROUND(IF(EXC.RATE.SWITCH=1,C2530/EXC.RATE_2,C2530*EXC.RATE_2),CURRENCY.FORMAT_2),CURRENCY.FORMAT_2,1),"# ##0;-# ##0"),",-"),FIXED(ROUND(IF(EXC.RATE.SWITCH=1,C2530/EXC.RATE_2,C2530*EXC.RATE_2),CURRENCY.FORMAT_2),CURRENCY.FORMAT_2,0)),'DICTIONARY-5'!$A$2))</f>
        <v/>
      </c>
      <c r="L2530" s="670" t="str">
        <f>IFERROR(IF(CURRENCY.FORMAT_1=0,CONCATENATE(TEXT(FIXED(ROUND((C2530*(1-I2530)*(1-ADD.DISCOUNT)*(1+MAT.SURCHARGE)/EXC.RATE_1),CURRENCY.FORMAT_1),CURRENCY.FORMAT_1,1),"# ##0;-# ##0"),",-"),FIXED(ROUND((C2530*(1-I2530)*(1-ADD.DISCOUNT)*(1+MAT.SURCHARGE)/EXC.RATE_1),CURRENCY.FORMAT_1),CURRENCY.FORMAT_1,0)),'DICTIONARY-5'!$A$2)</f>
        <v>141,-</v>
      </c>
      <c r="M2530" s="670" t="str">
        <f>IF(EXC.RATE_2=0,"",IFERROR(IF(CURRENCY.FORMAT_2=0,CONCATENATE(TEXT(FIXED(ROUND(IF(EXC.RATE.SWITCH=1,C2530*(1-I2530)*(1-ADD.DISCOUNT)*(1+MAT.SURCHARGE)/EXC.RATE_2,C2530*(1-I2530)*(1-ADD.DISCOUNT)*(1+MAT.SURCHARGE)*EXC.RATE_2),CURRENCY.FORMAT_2),CURRENCY.FORMAT_2,1),"# ##0;-# ##0"),",-"),FIXED(ROUND(IF(EXC.RATE.SWITCH=1,C2530*(1-I2530)*(1-ADD.DISCOUNT)*(1+MAT.SURCHARGE)/EXC.RATE_2,C2530*(1-I2530)*(1-ADD.DISCOUNT)*(1+MAT.SURCHARGE)*EXC.RATE_2),CURRENCY.FORMAT_2),CURRENCY.FORMAT_2,0)),'DICTIONARY-5'!$A$2))</f>
        <v/>
      </c>
      <c r="N2530" s="536">
        <v>12</v>
      </c>
      <c r="O2530" s="536"/>
      <c r="P2530" s="732" t="str">
        <f>'DICTIONARY-3'!$A$153&amp;" "&amp;'DICTIONARY-3'!$A$161</f>
        <v>BAIO X</v>
      </c>
      <c r="Q2530" s="732" t="str">
        <f>'DICTIONARY-3'!$A$223</f>
        <v>Kształtka</v>
      </c>
      <c r="R2530" s="732" t="str">
        <f>CONCATENATE('DICTIONARY-3'!$A$153," ",'DICTIONARY-3'!$A$175&amp;'DICTIONARY-3'!$A$161&amp;'DICTIONARY-3'!$A$174," ",'DICTIONARY-2'!$A$2,"100"," ",'DICTIONARY-2'!$A$10,"16",'DICTIONARY-2'!$A$20," ",'DICTIONARY-2'!$A$24,"=","162",'DICTIONARY-2'!$A$17," ","G1"," ","+",'DICTIONARY-3'!$A$343,", ","1×",'DICTIONARY-5'!$A$198)</f>
        <v>BAIO Kształtka-X‎ DN100 PS16bar L=162mm G1 +korek, 1×mufa</v>
      </c>
      <c r="S2530" s="733" t="s">
        <v>5569</v>
      </c>
      <c r="T2530" s="732" t="s">
        <v>5569</v>
      </c>
      <c r="U2530" s="734" t="s">
        <v>5749</v>
      </c>
      <c r="V2530" s="735"/>
      <c r="W2530" s="736"/>
      <c r="X2530" s="750" t="s">
        <v>49</v>
      </c>
      <c r="Y2530" s="745"/>
      <c r="Z2530" s="747"/>
      <c r="AA2530" s="747"/>
      <c r="AB2530" s="740">
        <v>16</v>
      </c>
      <c r="AC2530" s="741">
        <v>162</v>
      </c>
      <c r="AD2530" s="741" t="str">
        <f>'DICTIONARY-5'!$A$13</f>
        <v>woda pitna</v>
      </c>
      <c r="AE2530" s="742">
        <v>50</v>
      </c>
      <c r="AF2530" s="743">
        <v>6.4</v>
      </c>
      <c r="AG2530" s="741" t="str">
        <f>'DICTIONARY-5'!$A$23</f>
        <v>powłoka epoksydowa</v>
      </c>
    </row>
    <row r="2531" spans="1:33" x14ac:dyDescent="0.25">
      <c r="A2531" s="880" t="s">
        <v>2420</v>
      </c>
      <c r="B2531" s="880" t="s">
        <v>2922</v>
      </c>
      <c r="C2531" s="836">
        <v>114</v>
      </c>
      <c r="D2531" s="836"/>
      <c r="E2531" s="836"/>
      <c r="F2531" s="836"/>
      <c r="G2531" s="496" t="s">
        <v>7851</v>
      </c>
      <c r="H2531" s="797" t="str">
        <f>VLOOKUP(G2531,SETTINGS!$B$7:$D$97,2,0)</f>
        <v>BAIO Fittings</v>
      </c>
      <c r="I2531" s="796">
        <f>VLOOKUP(G2531,SETTINGS!$B$7:$D$97,3,0)</f>
        <v>0</v>
      </c>
      <c r="J2531" s="670" t="str">
        <f>IFERROR(IF(CURRENCY.FORMAT_1=0,CONCATENATE(TEXT(FIXED(ROUND((C2531/EXC.RATE_1),CURRENCY.FORMAT_1),CURRENCY.FORMAT_1,1),"# ##0;-# ##0"),",-"),FIXED(ROUND((C2531/EXC.RATE_1),CURRENCY.FORMAT_1),CURRENCY.FORMAT_1,0)),'DICTIONARY-5'!$A$2)</f>
        <v>114,-</v>
      </c>
      <c r="K2531" s="670" t="str">
        <f>IF(EXC.RATE_2=0,"",IFERROR(IF(CURRENCY.FORMAT_2=0,CONCATENATE(TEXT(FIXED(ROUND(IF(EXC.RATE.SWITCH=1,C2531/EXC.RATE_2,C2531*EXC.RATE_2),CURRENCY.FORMAT_2),CURRENCY.FORMAT_2,1),"# ##0;-# ##0"),",-"),FIXED(ROUND(IF(EXC.RATE.SWITCH=1,C2531/EXC.RATE_2,C2531*EXC.RATE_2),CURRENCY.FORMAT_2),CURRENCY.FORMAT_2,0)),'DICTIONARY-5'!$A$2))</f>
        <v/>
      </c>
      <c r="L2531" s="670" t="str">
        <f>IFERROR(IF(CURRENCY.FORMAT_1=0,CONCATENATE(TEXT(FIXED(ROUND((C2531*(1-I2531)*(1-ADD.DISCOUNT)*(1+MAT.SURCHARGE)/EXC.RATE_1),CURRENCY.FORMAT_1),CURRENCY.FORMAT_1,1),"# ##0;-# ##0"),",-"),FIXED(ROUND((C2531*(1-I2531)*(1-ADD.DISCOUNT)*(1+MAT.SURCHARGE)/EXC.RATE_1),CURRENCY.FORMAT_1),CURRENCY.FORMAT_1,0)),'DICTIONARY-5'!$A$2)</f>
        <v>118,-</v>
      </c>
      <c r="M2531" s="670" t="str">
        <f>IF(EXC.RATE_2=0,"",IFERROR(IF(CURRENCY.FORMAT_2=0,CONCATENATE(TEXT(FIXED(ROUND(IF(EXC.RATE.SWITCH=1,C2531*(1-I2531)*(1-ADD.DISCOUNT)*(1+MAT.SURCHARGE)/EXC.RATE_2,C2531*(1-I2531)*(1-ADD.DISCOUNT)*(1+MAT.SURCHARGE)*EXC.RATE_2),CURRENCY.FORMAT_2),CURRENCY.FORMAT_2,1),"# ##0;-# ##0"),",-"),FIXED(ROUND(IF(EXC.RATE.SWITCH=1,C2531*(1-I2531)*(1-ADD.DISCOUNT)*(1+MAT.SURCHARGE)/EXC.RATE_2,C2531*(1-I2531)*(1-ADD.DISCOUNT)*(1+MAT.SURCHARGE)*EXC.RATE_2),CURRENCY.FORMAT_2),CURRENCY.FORMAT_2,0)),'DICTIONARY-5'!$A$2))</f>
        <v/>
      </c>
      <c r="N2531" s="536">
        <v>12</v>
      </c>
      <c r="O2531" s="536"/>
      <c r="P2531" s="732" t="str">
        <f>'DICTIONARY-3'!$A$153&amp;" "&amp;'DICTIONARY-3'!$A$161</f>
        <v>BAIO X</v>
      </c>
      <c r="Q2531" s="732" t="str">
        <f>'DICTIONARY-3'!$A$223</f>
        <v>Kształtka</v>
      </c>
      <c r="R2531" s="732" t="str">
        <f>CONCATENATE('DICTIONARY-3'!$A$153," ",'DICTIONARY-3'!$A$175&amp;'DICTIONARY-3'!$A$161&amp;'DICTIONARY-3'!$A$174," ",'DICTIONARY-2'!$A$2,"125"," ",'DICTIONARY-2'!$A$10,"16",'DICTIONARY-2'!$A$20," ",'DICTIONARY-2'!$A$24,"=","162",'DICTIONARY-2'!$A$17," ","G1"," ","+",'DICTIONARY-3'!$A$343,", ","1×",'DICTIONARY-5'!$A$198)</f>
        <v>BAIO Kształtka-X‎ DN125 PS16bar L=162mm G1 +korek, 1×mufa</v>
      </c>
      <c r="S2531" s="733" t="s">
        <v>5569</v>
      </c>
      <c r="T2531" s="732" t="s">
        <v>5569</v>
      </c>
      <c r="U2531" s="734" t="s">
        <v>5761</v>
      </c>
      <c r="V2531" s="735"/>
      <c r="W2531" s="736"/>
      <c r="X2531" s="750" t="s">
        <v>49</v>
      </c>
      <c r="Y2531" s="745"/>
      <c r="Z2531" s="747"/>
      <c r="AA2531" s="747"/>
      <c r="AB2531" s="740">
        <v>16</v>
      </c>
      <c r="AC2531" s="741">
        <v>162</v>
      </c>
      <c r="AD2531" s="741" t="str">
        <f>'DICTIONARY-5'!$A$13</f>
        <v>woda pitna</v>
      </c>
      <c r="AE2531" s="742">
        <v>50</v>
      </c>
      <c r="AF2531" s="743">
        <v>7.5</v>
      </c>
      <c r="AG2531" s="741" t="str">
        <f>'DICTIONARY-5'!$A$23</f>
        <v>powłoka epoksydowa</v>
      </c>
    </row>
    <row r="2532" spans="1:33" x14ac:dyDescent="0.25">
      <c r="A2532" s="880" t="s">
        <v>2422</v>
      </c>
      <c r="B2532" s="880" t="s">
        <v>2763</v>
      </c>
      <c r="C2532" s="836">
        <v>181</v>
      </c>
      <c r="D2532" s="836"/>
      <c r="E2532" s="836"/>
      <c r="F2532" s="836"/>
      <c r="G2532" s="496" t="s">
        <v>7851</v>
      </c>
      <c r="H2532" s="797" t="str">
        <f>VLOOKUP(G2532,SETTINGS!$B$7:$D$97,2,0)</f>
        <v>BAIO Fittings</v>
      </c>
      <c r="I2532" s="796">
        <f>VLOOKUP(G2532,SETTINGS!$B$7:$D$97,3,0)</f>
        <v>0</v>
      </c>
      <c r="J2532" s="670" t="str">
        <f>IFERROR(IF(CURRENCY.FORMAT_1=0,CONCATENATE(TEXT(FIXED(ROUND((C2532/EXC.RATE_1),CURRENCY.FORMAT_1),CURRENCY.FORMAT_1,1),"# ##0;-# ##0"),",-"),FIXED(ROUND((C2532/EXC.RATE_1),CURRENCY.FORMAT_1),CURRENCY.FORMAT_1,0)),'DICTIONARY-5'!$A$2)</f>
        <v>181,-</v>
      </c>
      <c r="K2532" s="670" t="str">
        <f>IF(EXC.RATE_2=0,"",IFERROR(IF(CURRENCY.FORMAT_2=0,CONCATENATE(TEXT(FIXED(ROUND(IF(EXC.RATE.SWITCH=1,C2532/EXC.RATE_2,C2532*EXC.RATE_2),CURRENCY.FORMAT_2),CURRENCY.FORMAT_2,1),"# ##0;-# ##0"),",-"),FIXED(ROUND(IF(EXC.RATE.SWITCH=1,C2532/EXC.RATE_2,C2532*EXC.RATE_2),CURRENCY.FORMAT_2),CURRENCY.FORMAT_2,0)),'DICTIONARY-5'!$A$2))</f>
        <v/>
      </c>
      <c r="L2532" s="670" t="str">
        <f>IFERROR(IF(CURRENCY.FORMAT_1=0,CONCATENATE(TEXT(FIXED(ROUND((C2532*(1-I2532)*(1-ADD.DISCOUNT)*(1+MAT.SURCHARGE)/EXC.RATE_1),CURRENCY.FORMAT_1),CURRENCY.FORMAT_1,1),"# ##0;-# ##0"),",-"),FIXED(ROUND((C2532*(1-I2532)*(1-ADD.DISCOUNT)*(1+MAT.SURCHARGE)/EXC.RATE_1),CURRENCY.FORMAT_1),CURRENCY.FORMAT_1,0)),'DICTIONARY-5'!$A$2)</f>
        <v>188,-</v>
      </c>
      <c r="M2532" s="670" t="str">
        <f>IF(EXC.RATE_2=0,"",IFERROR(IF(CURRENCY.FORMAT_2=0,CONCATENATE(TEXT(FIXED(ROUND(IF(EXC.RATE.SWITCH=1,C2532*(1-I2532)*(1-ADD.DISCOUNT)*(1+MAT.SURCHARGE)/EXC.RATE_2,C2532*(1-I2532)*(1-ADD.DISCOUNT)*(1+MAT.SURCHARGE)*EXC.RATE_2),CURRENCY.FORMAT_2),CURRENCY.FORMAT_2,1),"# ##0;-# ##0"),",-"),FIXED(ROUND(IF(EXC.RATE.SWITCH=1,C2532*(1-I2532)*(1-ADD.DISCOUNT)*(1+MAT.SURCHARGE)/EXC.RATE_2,C2532*(1-I2532)*(1-ADD.DISCOUNT)*(1+MAT.SURCHARGE)*EXC.RATE_2),CURRENCY.FORMAT_2),CURRENCY.FORMAT_2,0)),'DICTIONARY-5'!$A$2))</f>
        <v/>
      </c>
      <c r="N2532" s="536">
        <v>12</v>
      </c>
      <c r="O2532" s="536"/>
      <c r="P2532" s="732" t="str">
        <f>'DICTIONARY-3'!$A$153&amp;" "&amp;'DICTIONARY-3'!$A$161</f>
        <v>BAIO X</v>
      </c>
      <c r="Q2532" s="732" t="str">
        <f>'DICTIONARY-3'!$A$223</f>
        <v>Kształtka</v>
      </c>
      <c r="R2532" s="732" t="str">
        <f>CONCATENATE('DICTIONARY-3'!$A$153," ",'DICTIONARY-3'!$A$175&amp;'DICTIONARY-3'!$A$161&amp;'DICTIONARY-3'!$A$174," ",'DICTIONARY-2'!$A$2,"150"," ",'DICTIONARY-2'!$A$10,"16",'DICTIONARY-2'!$A$20," ",'DICTIONARY-2'!$A$24,"=","167",'DICTIONARY-2'!$A$17," ","G1"," ","+",'DICTIONARY-3'!$A$343,", ","1×",'DICTIONARY-5'!$A$198)</f>
        <v>BAIO Kształtka-X‎ DN150 PS16bar L=167mm G1 +korek, 1×mufa</v>
      </c>
      <c r="S2532" s="733" t="s">
        <v>5569</v>
      </c>
      <c r="T2532" s="732" t="s">
        <v>5569</v>
      </c>
      <c r="U2532" s="734" t="s">
        <v>5572</v>
      </c>
      <c r="V2532" s="735"/>
      <c r="W2532" s="736"/>
      <c r="X2532" s="750" t="s">
        <v>49</v>
      </c>
      <c r="Y2532" s="745"/>
      <c r="Z2532" s="747"/>
      <c r="AA2532" s="747"/>
      <c r="AB2532" s="740">
        <v>16</v>
      </c>
      <c r="AC2532" s="741">
        <v>167</v>
      </c>
      <c r="AD2532" s="741" t="str">
        <f>'DICTIONARY-5'!$A$13</f>
        <v>woda pitna</v>
      </c>
      <c r="AE2532" s="742">
        <v>50</v>
      </c>
      <c r="AF2532" s="743">
        <v>9.25</v>
      </c>
      <c r="AG2532" s="741" t="str">
        <f>'DICTIONARY-5'!$A$23</f>
        <v>powłoka epoksydowa</v>
      </c>
    </row>
    <row r="2533" spans="1:33" x14ac:dyDescent="0.25">
      <c r="A2533" s="880" t="s">
        <v>2424</v>
      </c>
      <c r="B2533" s="880" t="s">
        <v>2765</v>
      </c>
      <c r="C2533" s="836">
        <v>190</v>
      </c>
      <c r="D2533" s="836"/>
      <c r="E2533" s="836"/>
      <c r="F2533" s="836"/>
      <c r="G2533" s="496" t="s">
        <v>7851</v>
      </c>
      <c r="H2533" s="797" t="str">
        <f>VLOOKUP(G2533,SETTINGS!$B$7:$D$97,2,0)</f>
        <v>BAIO Fittings</v>
      </c>
      <c r="I2533" s="796">
        <f>VLOOKUP(G2533,SETTINGS!$B$7:$D$97,3,0)</f>
        <v>0</v>
      </c>
      <c r="J2533" s="670" t="str">
        <f>IFERROR(IF(CURRENCY.FORMAT_1=0,CONCATENATE(TEXT(FIXED(ROUND((C2533/EXC.RATE_1),CURRENCY.FORMAT_1),CURRENCY.FORMAT_1,1),"# ##0;-# ##0"),",-"),FIXED(ROUND((C2533/EXC.RATE_1),CURRENCY.FORMAT_1),CURRENCY.FORMAT_1,0)),'DICTIONARY-5'!$A$2)</f>
        <v>190,-</v>
      </c>
      <c r="K2533" s="670" t="str">
        <f>IF(EXC.RATE_2=0,"",IFERROR(IF(CURRENCY.FORMAT_2=0,CONCATENATE(TEXT(FIXED(ROUND(IF(EXC.RATE.SWITCH=1,C2533/EXC.RATE_2,C2533*EXC.RATE_2),CURRENCY.FORMAT_2),CURRENCY.FORMAT_2,1),"# ##0;-# ##0"),",-"),FIXED(ROUND(IF(EXC.RATE.SWITCH=1,C2533/EXC.RATE_2,C2533*EXC.RATE_2),CURRENCY.FORMAT_2),CURRENCY.FORMAT_2,0)),'DICTIONARY-5'!$A$2))</f>
        <v/>
      </c>
      <c r="L2533" s="670" t="str">
        <f>IFERROR(IF(CURRENCY.FORMAT_1=0,CONCATENATE(TEXT(FIXED(ROUND((C2533*(1-I2533)*(1-ADD.DISCOUNT)*(1+MAT.SURCHARGE)/EXC.RATE_1),CURRENCY.FORMAT_1),CURRENCY.FORMAT_1,1),"# ##0;-# ##0"),",-"),FIXED(ROUND((C2533*(1-I2533)*(1-ADD.DISCOUNT)*(1+MAT.SURCHARGE)/EXC.RATE_1),CURRENCY.FORMAT_1),CURRENCY.FORMAT_1,0)),'DICTIONARY-5'!$A$2)</f>
        <v>197,-</v>
      </c>
      <c r="M2533" s="670" t="str">
        <f>IF(EXC.RATE_2=0,"",IFERROR(IF(CURRENCY.FORMAT_2=0,CONCATENATE(TEXT(FIXED(ROUND(IF(EXC.RATE.SWITCH=1,C2533*(1-I2533)*(1-ADD.DISCOUNT)*(1+MAT.SURCHARGE)/EXC.RATE_2,C2533*(1-I2533)*(1-ADD.DISCOUNT)*(1+MAT.SURCHARGE)*EXC.RATE_2),CURRENCY.FORMAT_2),CURRENCY.FORMAT_2,1),"# ##0;-# ##0"),",-"),FIXED(ROUND(IF(EXC.RATE.SWITCH=1,C2533*(1-I2533)*(1-ADD.DISCOUNT)*(1+MAT.SURCHARGE)/EXC.RATE_2,C2533*(1-I2533)*(1-ADD.DISCOUNT)*(1+MAT.SURCHARGE)*EXC.RATE_2),CURRENCY.FORMAT_2),CURRENCY.FORMAT_2,0)),'DICTIONARY-5'!$A$2))</f>
        <v/>
      </c>
      <c r="N2533" s="536">
        <v>12</v>
      </c>
      <c r="O2533" s="536"/>
      <c r="P2533" s="732" t="str">
        <f>'DICTIONARY-3'!$A$153&amp;" "&amp;'DICTIONARY-3'!$A$161</f>
        <v>BAIO X</v>
      </c>
      <c r="Q2533" s="732" t="str">
        <f>'DICTIONARY-3'!$A$223</f>
        <v>Kształtka</v>
      </c>
      <c r="R2533" s="732" t="str">
        <f>CONCATENATE('DICTIONARY-3'!$A$153," ",'DICTIONARY-3'!$A$175&amp;'DICTIONARY-3'!$A$161&amp;'DICTIONARY-3'!$A$174," ",'DICTIONARY-2'!$A$2,"200"," ",'DICTIONARY-2'!$A$10,"16",'DICTIONARY-2'!$A$20," ",'DICTIONARY-2'!$A$24,"=","182",'DICTIONARY-2'!$A$17," ","G1"," ","+",'DICTIONARY-3'!$A$343,", ","1×",'DICTIONARY-5'!$A$198)</f>
        <v>BAIO Kształtka-X‎ DN200 PS16bar L=182mm G1 +korek, 1×mufa</v>
      </c>
      <c r="S2533" s="733" t="s">
        <v>5569</v>
      </c>
      <c r="T2533" s="732" t="s">
        <v>5569</v>
      </c>
      <c r="U2533" s="734" t="s">
        <v>5750</v>
      </c>
      <c r="V2533" s="735"/>
      <c r="W2533" s="736"/>
      <c r="X2533" s="750" t="s">
        <v>49</v>
      </c>
      <c r="Y2533" s="745"/>
      <c r="Z2533" s="747"/>
      <c r="AA2533" s="747"/>
      <c r="AB2533" s="740">
        <v>16</v>
      </c>
      <c r="AC2533" s="741">
        <v>182</v>
      </c>
      <c r="AD2533" s="741" t="str">
        <f>'DICTIONARY-5'!$A$13</f>
        <v>woda pitna</v>
      </c>
      <c r="AE2533" s="742">
        <v>50</v>
      </c>
      <c r="AF2533" s="743">
        <v>14.5</v>
      </c>
      <c r="AG2533" s="741" t="str">
        <f>'DICTIONARY-5'!$A$23</f>
        <v>powłoka epoksydowa</v>
      </c>
    </row>
    <row r="2534" spans="1:33" x14ac:dyDescent="0.25">
      <c r="A2534" s="880" t="s">
        <v>2417</v>
      </c>
      <c r="B2534" s="880" t="s">
        <v>2761</v>
      </c>
      <c r="C2534" s="836">
        <v>135</v>
      </c>
      <c r="D2534" s="836"/>
      <c r="E2534" s="836"/>
      <c r="F2534" s="836"/>
      <c r="G2534" s="496" t="s">
        <v>7851</v>
      </c>
      <c r="H2534" s="797" t="str">
        <f>VLOOKUP(G2534,SETTINGS!$B$7:$D$97,2,0)</f>
        <v>BAIO Fittings</v>
      </c>
      <c r="I2534" s="796">
        <f>VLOOKUP(G2534,SETTINGS!$B$7:$D$97,3,0)</f>
        <v>0</v>
      </c>
      <c r="J2534" s="670" t="str">
        <f>IFERROR(IF(CURRENCY.FORMAT_1=0,CONCATENATE(TEXT(FIXED(ROUND((C2534/EXC.RATE_1),CURRENCY.FORMAT_1),CURRENCY.FORMAT_1,1),"# ##0;-# ##0"),",-"),FIXED(ROUND((C2534/EXC.RATE_1),CURRENCY.FORMAT_1),CURRENCY.FORMAT_1,0)),'DICTIONARY-5'!$A$2)</f>
        <v>135,-</v>
      </c>
      <c r="K2534" s="670" t="str">
        <f>IF(EXC.RATE_2=0,"",IFERROR(IF(CURRENCY.FORMAT_2=0,CONCATENATE(TEXT(FIXED(ROUND(IF(EXC.RATE.SWITCH=1,C2534/EXC.RATE_2,C2534*EXC.RATE_2),CURRENCY.FORMAT_2),CURRENCY.FORMAT_2,1),"# ##0;-# ##0"),",-"),FIXED(ROUND(IF(EXC.RATE.SWITCH=1,C2534/EXC.RATE_2,C2534*EXC.RATE_2),CURRENCY.FORMAT_2),CURRENCY.FORMAT_2,0)),'DICTIONARY-5'!$A$2))</f>
        <v/>
      </c>
      <c r="L2534" s="670" t="str">
        <f>IFERROR(IF(CURRENCY.FORMAT_1=0,CONCATENATE(TEXT(FIXED(ROUND((C2534*(1-I2534)*(1-ADD.DISCOUNT)*(1+MAT.SURCHARGE)/EXC.RATE_1),CURRENCY.FORMAT_1),CURRENCY.FORMAT_1,1),"# ##0;-# ##0"),",-"),FIXED(ROUND((C2534*(1-I2534)*(1-ADD.DISCOUNT)*(1+MAT.SURCHARGE)/EXC.RATE_1),CURRENCY.FORMAT_1),CURRENCY.FORMAT_1,0)),'DICTIONARY-5'!$A$2)</f>
        <v>140,-</v>
      </c>
      <c r="M2534" s="670" t="str">
        <f>IF(EXC.RATE_2=0,"",IFERROR(IF(CURRENCY.FORMAT_2=0,CONCATENATE(TEXT(FIXED(ROUND(IF(EXC.RATE.SWITCH=1,C2534*(1-I2534)*(1-ADD.DISCOUNT)*(1+MAT.SURCHARGE)/EXC.RATE_2,C2534*(1-I2534)*(1-ADD.DISCOUNT)*(1+MAT.SURCHARGE)*EXC.RATE_2),CURRENCY.FORMAT_2),CURRENCY.FORMAT_2,1),"# ##0;-# ##0"),",-"),FIXED(ROUND(IF(EXC.RATE.SWITCH=1,C2534*(1-I2534)*(1-ADD.DISCOUNT)*(1+MAT.SURCHARGE)/EXC.RATE_2,C2534*(1-I2534)*(1-ADD.DISCOUNT)*(1+MAT.SURCHARGE)*EXC.RATE_2),CURRENCY.FORMAT_2),CURRENCY.FORMAT_2,0)),'DICTIONARY-5'!$A$2))</f>
        <v/>
      </c>
      <c r="N2534" s="536">
        <v>12</v>
      </c>
      <c r="O2534" s="536"/>
      <c r="P2534" s="732" t="str">
        <f>'DICTIONARY-3'!$A$153&amp;" "&amp;'DICTIONARY-3'!$A$161</f>
        <v>BAIO X</v>
      </c>
      <c r="Q2534" s="732" t="str">
        <f>'DICTIONARY-3'!$A$223</f>
        <v>Kształtka</v>
      </c>
      <c r="R2534" s="732" t="str">
        <f>CONCATENATE('DICTIONARY-3'!$A$153," ",'DICTIONARY-3'!$A$175&amp;'DICTIONARY-3'!$A$161&amp;'DICTIONARY-3'!$A$174," ",'DICTIONARY-2'!$A$2,"80"," ",'DICTIONARY-2'!$A$10,"16",'DICTIONARY-2'!$A$20," ",'DICTIONARY-2'!$A$24,"=","157",'DICTIONARY-2'!$A$17," ","G1½"," ","+",'DICTIONARY-3'!$A$343,", ","1×",'DICTIONARY-5'!$A$198)</f>
        <v>BAIO Kształtka-X‎ DN80 PS16bar L=157mm G1½ +korek, 1×mufa</v>
      </c>
      <c r="S2534" s="733" t="s">
        <v>5569</v>
      </c>
      <c r="T2534" s="732" t="s">
        <v>5569</v>
      </c>
      <c r="U2534" s="734" t="s">
        <v>5760</v>
      </c>
      <c r="V2534" s="735"/>
      <c r="W2534" s="736"/>
      <c r="X2534" s="750" t="s">
        <v>5738</v>
      </c>
      <c r="Y2534" s="745"/>
      <c r="Z2534" s="747"/>
      <c r="AA2534" s="747"/>
      <c r="AB2534" s="740">
        <v>16</v>
      </c>
      <c r="AC2534" s="741">
        <v>157</v>
      </c>
      <c r="AD2534" s="741" t="str">
        <f>'DICTIONARY-5'!$A$13</f>
        <v>woda pitna</v>
      </c>
      <c r="AE2534" s="742">
        <v>50</v>
      </c>
      <c r="AF2534" s="743">
        <v>5.4</v>
      </c>
      <c r="AG2534" s="741" t="str">
        <f>'DICTIONARY-5'!$A$23</f>
        <v>powłoka epoksydowa</v>
      </c>
    </row>
    <row r="2535" spans="1:33" x14ac:dyDescent="0.25">
      <c r="A2535" s="880" t="s">
        <v>2419</v>
      </c>
      <c r="B2535" s="880" t="s">
        <v>2762</v>
      </c>
      <c r="C2535" s="836">
        <v>136</v>
      </c>
      <c r="D2535" s="836"/>
      <c r="E2535" s="836"/>
      <c r="F2535" s="836"/>
      <c r="G2535" s="496" t="s">
        <v>7851</v>
      </c>
      <c r="H2535" s="797" t="str">
        <f>VLOOKUP(G2535,SETTINGS!$B$7:$D$97,2,0)</f>
        <v>BAIO Fittings</v>
      </c>
      <c r="I2535" s="796">
        <f>VLOOKUP(G2535,SETTINGS!$B$7:$D$97,3,0)</f>
        <v>0</v>
      </c>
      <c r="J2535" s="670" t="str">
        <f>IFERROR(IF(CURRENCY.FORMAT_1=0,CONCATENATE(TEXT(FIXED(ROUND((C2535/EXC.RATE_1),CURRENCY.FORMAT_1),CURRENCY.FORMAT_1,1),"# ##0;-# ##0"),",-"),FIXED(ROUND((C2535/EXC.RATE_1),CURRENCY.FORMAT_1),CURRENCY.FORMAT_1,0)),'DICTIONARY-5'!$A$2)</f>
        <v>136,-</v>
      </c>
      <c r="K2535" s="670" t="str">
        <f>IF(EXC.RATE_2=0,"",IFERROR(IF(CURRENCY.FORMAT_2=0,CONCATENATE(TEXT(FIXED(ROUND(IF(EXC.RATE.SWITCH=1,C2535/EXC.RATE_2,C2535*EXC.RATE_2),CURRENCY.FORMAT_2),CURRENCY.FORMAT_2,1),"# ##0;-# ##0"),",-"),FIXED(ROUND(IF(EXC.RATE.SWITCH=1,C2535/EXC.RATE_2,C2535*EXC.RATE_2),CURRENCY.FORMAT_2),CURRENCY.FORMAT_2,0)),'DICTIONARY-5'!$A$2))</f>
        <v/>
      </c>
      <c r="L2535" s="670" t="str">
        <f>IFERROR(IF(CURRENCY.FORMAT_1=0,CONCATENATE(TEXT(FIXED(ROUND((C2535*(1-I2535)*(1-ADD.DISCOUNT)*(1+MAT.SURCHARGE)/EXC.RATE_1),CURRENCY.FORMAT_1),CURRENCY.FORMAT_1,1),"# ##0;-# ##0"),",-"),FIXED(ROUND((C2535*(1-I2535)*(1-ADD.DISCOUNT)*(1+MAT.SURCHARGE)/EXC.RATE_1),CURRENCY.FORMAT_1),CURRENCY.FORMAT_1,0)),'DICTIONARY-5'!$A$2)</f>
        <v>141,-</v>
      </c>
      <c r="M2535" s="670" t="str">
        <f>IF(EXC.RATE_2=0,"",IFERROR(IF(CURRENCY.FORMAT_2=0,CONCATENATE(TEXT(FIXED(ROUND(IF(EXC.RATE.SWITCH=1,C2535*(1-I2535)*(1-ADD.DISCOUNT)*(1+MAT.SURCHARGE)/EXC.RATE_2,C2535*(1-I2535)*(1-ADD.DISCOUNT)*(1+MAT.SURCHARGE)*EXC.RATE_2),CURRENCY.FORMAT_2),CURRENCY.FORMAT_2,1),"# ##0;-# ##0"),",-"),FIXED(ROUND(IF(EXC.RATE.SWITCH=1,C2535*(1-I2535)*(1-ADD.DISCOUNT)*(1+MAT.SURCHARGE)/EXC.RATE_2,C2535*(1-I2535)*(1-ADD.DISCOUNT)*(1+MAT.SURCHARGE)*EXC.RATE_2),CURRENCY.FORMAT_2),CURRENCY.FORMAT_2,0)),'DICTIONARY-5'!$A$2))</f>
        <v/>
      </c>
      <c r="N2535" s="536">
        <v>12</v>
      </c>
      <c r="O2535" s="536"/>
      <c r="P2535" s="732" t="str">
        <f>'DICTIONARY-3'!$A$153&amp;" "&amp;'DICTIONARY-3'!$A$161</f>
        <v>BAIO X</v>
      </c>
      <c r="Q2535" s="732" t="str">
        <f>'DICTIONARY-3'!$A$223</f>
        <v>Kształtka</v>
      </c>
      <c r="R2535" s="732" t="str">
        <f>CONCATENATE('DICTIONARY-3'!$A$153," ",'DICTIONARY-3'!$A$175&amp;'DICTIONARY-3'!$A$161&amp;'DICTIONARY-3'!$A$174," ",'DICTIONARY-2'!$A$2,"100"," ",'DICTIONARY-2'!$A$10,"16",'DICTIONARY-2'!$A$20," ",'DICTIONARY-2'!$A$24,"=","162",'DICTIONARY-2'!$A$17," ","G1½"," ","+",'DICTIONARY-3'!$A$343,", ","1×",'DICTIONARY-5'!$A$198)</f>
        <v>BAIO Kształtka-X‎ DN100 PS16bar L=162mm G1½ +korek, 1×mufa</v>
      </c>
      <c r="S2535" s="733" t="s">
        <v>5569</v>
      </c>
      <c r="T2535" s="732" t="s">
        <v>5569</v>
      </c>
      <c r="U2535" s="734" t="s">
        <v>5749</v>
      </c>
      <c r="V2535" s="735"/>
      <c r="W2535" s="736"/>
      <c r="X2535" s="750" t="s">
        <v>5738</v>
      </c>
      <c r="Y2535" s="745"/>
      <c r="Z2535" s="747"/>
      <c r="AA2535" s="747"/>
      <c r="AB2535" s="740">
        <v>16</v>
      </c>
      <c r="AC2535" s="741">
        <v>162</v>
      </c>
      <c r="AD2535" s="741" t="str">
        <f>'DICTIONARY-5'!$A$13</f>
        <v>woda pitna</v>
      </c>
      <c r="AE2535" s="742">
        <v>50</v>
      </c>
      <c r="AF2535" s="743">
        <v>6.3</v>
      </c>
      <c r="AG2535" s="741" t="str">
        <f>'DICTIONARY-5'!$A$23</f>
        <v>powłoka epoksydowa</v>
      </c>
    </row>
    <row r="2536" spans="1:33" x14ac:dyDescent="0.25">
      <c r="A2536" s="880" t="s">
        <v>5598</v>
      </c>
      <c r="B2536" s="880" t="s">
        <v>5597</v>
      </c>
      <c r="C2536" s="836">
        <v>162</v>
      </c>
      <c r="D2536" s="836"/>
      <c r="E2536" s="836"/>
      <c r="F2536" s="836"/>
      <c r="G2536" s="496" t="s">
        <v>7851</v>
      </c>
      <c r="H2536" s="797" t="str">
        <f>VLOOKUP(G2536,SETTINGS!$B$7:$D$97,2,0)</f>
        <v>BAIO Fittings</v>
      </c>
      <c r="I2536" s="796">
        <f>VLOOKUP(G2536,SETTINGS!$B$7:$D$97,3,0)</f>
        <v>0</v>
      </c>
      <c r="J2536" s="670" t="str">
        <f>IFERROR(IF(CURRENCY.FORMAT_1=0,CONCATENATE(TEXT(FIXED(ROUND((C2536/EXC.RATE_1),CURRENCY.FORMAT_1),CURRENCY.FORMAT_1,1),"# ##0;-# ##0"),",-"),FIXED(ROUND((C2536/EXC.RATE_1),CURRENCY.FORMAT_1),CURRENCY.FORMAT_1,0)),'DICTIONARY-5'!$A$2)</f>
        <v>162,-</v>
      </c>
      <c r="K2536" s="670" t="str">
        <f>IF(EXC.RATE_2=0,"",IFERROR(IF(CURRENCY.FORMAT_2=0,CONCATENATE(TEXT(FIXED(ROUND(IF(EXC.RATE.SWITCH=1,C2536/EXC.RATE_2,C2536*EXC.RATE_2),CURRENCY.FORMAT_2),CURRENCY.FORMAT_2,1),"# ##0;-# ##0"),",-"),FIXED(ROUND(IF(EXC.RATE.SWITCH=1,C2536/EXC.RATE_2,C2536*EXC.RATE_2),CURRENCY.FORMAT_2),CURRENCY.FORMAT_2,0)),'DICTIONARY-5'!$A$2))</f>
        <v/>
      </c>
      <c r="L2536" s="670" t="str">
        <f>IFERROR(IF(CURRENCY.FORMAT_1=0,CONCATENATE(TEXT(FIXED(ROUND((C2536*(1-I2536)*(1-ADD.DISCOUNT)*(1+MAT.SURCHARGE)/EXC.RATE_1),CURRENCY.FORMAT_1),CURRENCY.FORMAT_1,1),"# ##0;-# ##0"),",-"),FIXED(ROUND((C2536*(1-I2536)*(1-ADD.DISCOUNT)*(1+MAT.SURCHARGE)/EXC.RATE_1),CURRENCY.FORMAT_1),CURRENCY.FORMAT_1,0)),'DICTIONARY-5'!$A$2)</f>
        <v>168,-</v>
      </c>
      <c r="M2536" s="670" t="str">
        <f>IF(EXC.RATE_2=0,"",IFERROR(IF(CURRENCY.FORMAT_2=0,CONCATENATE(TEXT(FIXED(ROUND(IF(EXC.RATE.SWITCH=1,C2536*(1-I2536)*(1-ADD.DISCOUNT)*(1+MAT.SURCHARGE)/EXC.RATE_2,C2536*(1-I2536)*(1-ADD.DISCOUNT)*(1+MAT.SURCHARGE)*EXC.RATE_2),CURRENCY.FORMAT_2),CURRENCY.FORMAT_2,1),"# ##0;-# ##0"),",-"),FIXED(ROUND(IF(EXC.RATE.SWITCH=1,C2536*(1-I2536)*(1-ADD.DISCOUNT)*(1+MAT.SURCHARGE)/EXC.RATE_2,C2536*(1-I2536)*(1-ADD.DISCOUNT)*(1+MAT.SURCHARGE)*EXC.RATE_2),CURRENCY.FORMAT_2),CURRENCY.FORMAT_2,0)),'DICTIONARY-5'!$A$2))</f>
        <v/>
      </c>
      <c r="N2536" s="536">
        <v>12</v>
      </c>
      <c r="O2536" s="536"/>
      <c r="P2536" s="732" t="str">
        <f>'DICTIONARY-3'!$A$153&amp;" "&amp;'DICTIONARY-3'!$A$161</f>
        <v>BAIO X</v>
      </c>
      <c r="Q2536" s="732" t="str">
        <f>'DICTIONARY-3'!$A$223</f>
        <v>Kształtka</v>
      </c>
      <c r="R2536" s="732" t="str">
        <f>CONCATENATE('DICTIONARY-3'!$A$153," ",'DICTIONARY-3'!$A$175&amp;'DICTIONARY-3'!$A$161&amp;'DICTIONARY-3'!$A$174," ",'DICTIONARY-2'!$A$2,"125"," ",'DICTIONARY-2'!$A$10,"16",'DICTIONARY-2'!$A$20," ",'DICTIONARY-2'!$A$24,"=","162",'DICTIONARY-2'!$A$17," ","G1½"," ","+",'DICTIONARY-3'!$A$343,", ","1×",'DICTIONARY-5'!$A$198)</f>
        <v>BAIO Kształtka-X‎ DN125 PS16bar L=162mm G1½ +korek, 1×mufa</v>
      </c>
      <c r="S2536" s="733" t="s">
        <v>5569</v>
      </c>
      <c r="T2536" s="732" t="s">
        <v>5569</v>
      </c>
      <c r="U2536" s="734" t="s">
        <v>5761</v>
      </c>
      <c r="V2536" s="735"/>
      <c r="W2536" s="736"/>
      <c r="X2536" s="750" t="s">
        <v>5738</v>
      </c>
      <c r="Y2536" s="745"/>
      <c r="Z2536" s="747"/>
      <c r="AA2536" s="747"/>
      <c r="AB2536" s="740">
        <v>16</v>
      </c>
      <c r="AC2536" s="741">
        <v>162</v>
      </c>
      <c r="AD2536" s="741" t="str">
        <f>'DICTIONARY-5'!$A$13</f>
        <v>woda pitna</v>
      </c>
      <c r="AE2536" s="742">
        <v>50</v>
      </c>
      <c r="AF2536" s="743">
        <v>7.5</v>
      </c>
      <c r="AG2536" s="741" t="str">
        <f>'DICTIONARY-5'!$A$23</f>
        <v>powłoka epoksydowa</v>
      </c>
    </row>
    <row r="2537" spans="1:33" x14ac:dyDescent="0.25">
      <c r="A2537" s="880" t="s">
        <v>2423</v>
      </c>
      <c r="B2537" s="880" t="s">
        <v>2764</v>
      </c>
      <c r="C2537" s="836">
        <v>181</v>
      </c>
      <c r="D2537" s="836"/>
      <c r="E2537" s="836"/>
      <c r="F2537" s="836"/>
      <c r="G2537" s="496" t="s">
        <v>7851</v>
      </c>
      <c r="H2537" s="797" t="str">
        <f>VLOOKUP(G2537,SETTINGS!$B$7:$D$97,2,0)</f>
        <v>BAIO Fittings</v>
      </c>
      <c r="I2537" s="796">
        <f>VLOOKUP(G2537,SETTINGS!$B$7:$D$97,3,0)</f>
        <v>0</v>
      </c>
      <c r="J2537" s="670" t="str">
        <f>IFERROR(IF(CURRENCY.FORMAT_1=0,CONCATENATE(TEXT(FIXED(ROUND((C2537/EXC.RATE_1),CURRENCY.FORMAT_1),CURRENCY.FORMAT_1,1),"# ##0;-# ##0"),",-"),FIXED(ROUND((C2537/EXC.RATE_1),CURRENCY.FORMAT_1),CURRENCY.FORMAT_1,0)),'DICTIONARY-5'!$A$2)</f>
        <v>181,-</v>
      </c>
      <c r="K2537" s="670" t="str">
        <f>IF(EXC.RATE_2=0,"",IFERROR(IF(CURRENCY.FORMAT_2=0,CONCATENATE(TEXT(FIXED(ROUND(IF(EXC.RATE.SWITCH=1,C2537/EXC.RATE_2,C2537*EXC.RATE_2),CURRENCY.FORMAT_2),CURRENCY.FORMAT_2,1),"# ##0;-# ##0"),",-"),FIXED(ROUND(IF(EXC.RATE.SWITCH=1,C2537/EXC.RATE_2,C2537*EXC.RATE_2),CURRENCY.FORMAT_2),CURRENCY.FORMAT_2,0)),'DICTIONARY-5'!$A$2))</f>
        <v/>
      </c>
      <c r="L2537" s="670" t="str">
        <f>IFERROR(IF(CURRENCY.FORMAT_1=0,CONCATENATE(TEXT(FIXED(ROUND((C2537*(1-I2537)*(1-ADD.DISCOUNT)*(1+MAT.SURCHARGE)/EXC.RATE_1),CURRENCY.FORMAT_1),CURRENCY.FORMAT_1,1),"# ##0;-# ##0"),",-"),FIXED(ROUND((C2537*(1-I2537)*(1-ADD.DISCOUNT)*(1+MAT.SURCHARGE)/EXC.RATE_1),CURRENCY.FORMAT_1),CURRENCY.FORMAT_1,0)),'DICTIONARY-5'!$A$2)</f>
        <v>188,-</v>
      </c>
      <c r="M2537" s="670" t="str">
        <f>IF(EXC.RATE_2=0,"",IFERROR(IF(CURRENCY.FORMAT_2=0,CONCATENATE(TEXT(FIXED(ROUND(IF(EXC.RATE.SWITCH=1,C2537*(1-I2537)*(1-ADD.DISCOUNT)*(1+MAT.SURCHARGE)/EXC.RATE_2,C2537*(1-I2537)*(1-ADD.DISCOUNT)*(1+MAT.SURCHARGE)*EXC.RATE_2),CURRENCY.FORMAT_2),CURRENCY.FORMAT_2,1),"# ##0;-# ##0"),",-"),FIXED(ROUND(IF(EXC.RATE.SWITCH=1,C2537*(1-I2537)*(1-ADD.DISCOUNT)*(1+MAT.SURCHARGE)/EXC.RATE_2,C2537*(1-I2537)*(1-ADD.DISCOUNT)*(1+MAT.SURCHARGE)*EXC.RATE_2),CURRENCY.FORMAT_2),CURRENCY.FORMAT_2,0)),'DICTIONARY-5'!$A$2))</f>
        <v/>
      </c>
      <c r="N2537" s="536">
        <v>12</v>
      </c>
      <c r="O2537" s="536"/>
      <c r="P2537" s="732" t="str">
        <f>'DICTIONARY-3'!$A$153&amp;" "&amp;'DICTIONARY-3'!$A$161</f>
        <v>BAIO X</v>
      </c>
      <c r="Q2537" s="732" t="str">
        <f>'DICTIONARY-3'!$A$223</f>
        <v>Kształtka</v>
      </c>
      <c r="R2537" s="732" t="str">
        <f>CONCATENATE('DICTIONARY-3'!$A$153," ",'DICTIONARY-3'!$A$175&amp;'DICTIONARY-3'!$A$161&amp;'DICTIONARY-3'!$A$174," ",'DICTIONARY-2'!$A$2,"150"," ",'DICTIONARY-2'!$A$10,"16",'DICTIONARY-2'!$A$20," ",'DICTIONARY-2'!$A$24,"=","167",'DICTIONARY-2'!$A$17," ","G1½"," ","+",'DICTIONARY-3'!$A$343,", ","1×",'DICTIONARY-5'!$A$198)</f>
        <v>BAIO Kształtka-X‎ DN150 PS16bar L=167mm G1½ +korek, 1×mufa</v>
      </c>
      <c r="S2537" s="733" t="s">
        <v>5569</v>
      </c>
      <c r="T2537" s="732" t="s">
        <v>5569</v>
      </c>
      <c r="U2537" s="734" t="s">
        <v>5572</v>
      </c>
      <c r="V2537" s="735"/>
      <c r="W2537" s="736"/>
      <c r="X2537" s="750" t="s">
        <v>5738</v>
      </c>
      <c r="Y2537" s="745"/>
      <c r="Z2537" s="747"/>
      <c r="AA2537" s="747"/>
      <c r="AB2537" s="740">
        <v>16</v>
      </c>
      <c r="AC2537" s="741">
        <v>167</v>
      </c>
      <c r="AD2537" s="741" t="str">
        <f>'DICTIONARY-5'!$A$13</f>
        <v>woda pitna</v>
      </c>
      <c r="AE2537" s="742">
        <v>50</v>
      </c>
      <c r="AF2537" s="743">
        <v>9</v>
      </c>
      <c r="AG2537" s="741" t="str">
        <f>'DICTIONARY-5'!$A$23</f>
        <v>powłoka epoksydowa</v>
      </c>
    </row>
    <row r="2538" spans="1:33" x14ac:dyDescent="0.25">
      <c r="A2538" s="880" t="s">
        <v>2425</v>
      </c>
      <c r="B2538" s="880" t="s">
        <v>2766</v>
      </c>
      <c r="C2538" s="836">
        <v>191</v>
      </c>
      <c r="D2538" s="836"/>
      <c r="E2538" s="836"/>
      <c r="F2538" s="836"/>
      <c r="G2538" s="496" t="s">
        <v>7851</v>
      </c>
      <c r="H2538" s="797" t="str">
        <f>VLOOKUP(G2538,SETTINGS!$B$7:$D$97,2,0)</f>
        <v>BAIO Fittings</v>
      </c>
      <c r="I2538" s="796">
        <f>VLOOKUP(G2538,SETTINGS!$B$7:$D$97,3,0)</f>
        <v>0</v>
      </c>
      <c r="J2538" s="670" t="str">
        <f>IFERROR(IF(CURRENCY.FORMAT_1=0,CONCATENATE(TEXT(FIXED(ROUND((C2538/EXC.RATE_1),CURRENCY.FORMAT_1),CURRENCY.FORMAT_1,1),"# ##0;-# ##0"),",-"),FIXED(ROUND((C2538/EXC.RATE_1),CURRENCY.FORMAT_1),CURRENCY.FORMAT_1,0)),'DICTIONARY-5'!$A$2)</f>
        <v>191,-</v>
      </c>
      <c r="K2538" s="670" t="str">
        <f>IF(EXC.RATE_2=0,"",IFERROR(IF(CURRENCY.FORMAT_2=0,CONCATENATE(TEXT(FIXED(ROUND(IF(EXC.RATE.SWITCH=1,C2538/EXC.RATE_2,C2538*EXC.RATE_2),CURRENCY.FORMAT_2),CURRENCY.FORMAT_2,1),"# ##0;-# ##0"),",-"),FIXED(ROUND(IF(EXC.RATE.SWITCH=1,C2538/EXC.RATE_2,C2538*EXC.RATE_2),CURRENCY.FORMAT_2),CURRENCY.FORMAT_2,0)),'DICTIONARY-5'!$A$2))</f>
        <v/>
      </c>
      <c r="L2538" s="670" t="str">
        <f>IFERROR(IF(CURRENCY.FORMAT_1=0,CONCATENATE(TEXT(FIXED(ROUND((C2538*(1-I2538)*(1-ADD.DISCOUNT)*(1+MAT.SURCHARGE)/EXC.RATE_1),CURRENCY.FORMAT_1),CURRENCY.FORMAT_1,1),"# ##0;-# ##0"),",-"),FIXED(ROUND((C2538*(1-I2538)*(1-ADD.DISCOUNT)*(1+MAT.SURCHARGE)/EXC.RATE_1),CURRENCY.FORMAT_1),CURRENCY.FORMAT_1,0)),'DICTIONARY-5'!$A$2)</f>
        <v>198,-</v>
      </c>
      <c r="M2538" s="670" t="str">
        <f>IF(EXC.RATE_2=0,"",IFERROR(IF(CURRENCY.FORMAT_2=0,CONCATENATE(TEXT(FIXED(ROUND(IF(EXC.RATE.SWITCH=1,C2538*(1-I2538)*(1-ADD.DISCOUNT)*(1+MAT.SURCHARGE)/EXC.RATE_2,C2538*(1-I2538)*(1-ADD.DISCOUNT)*(1+MAT.SURCHARGE)*EXC.RATE_2),CURRENCY.FORMAT_2),CURRENCY.FORMAT_2,1),"# ##0;-# ##0"),",-"),FIXED(ROUND(IF(EXC.RATE.SWITCH=1,C2538*(1-I2538)*(1-ADD.DISCOUNT)*(1+MAT.SURCHARGE)/EXC.RATE_2,C2538*(1-I2538)*(1-ADD.DISCOUNT)*(1+MAT.SURCHARGE)*EXC.RATE_2),CURRENCY.FORMAT_2),CURRENCY.FORMAT_2,0)),'DICTIONARY-5'!$A$2))</f>
        <v/>
      </c>
      <c r="N2538" s="536">
        <v>12</v>
      </c>
      <c r="O2538" s="536"/>
      <c r="P2538" s="732" t="str">
        <f>'DICTIONARY-3'!$A$153&amp;" "&amp;'DICTIONARY-3'!$A$161</f>
        <v>BAIO X</v>
      </c>
      <c r="Q2538" s="732" t="str">
        <f>'DICTIONARY-3'!$A$223</f>
        <v>Kształtka</v>
      </c>
      <c r="R2538" s="732" t="str">
        <f>CONCATENATE('DICTIONARY-3'!$A$153," ",'DICTIONARY-3'!$A$175&amp;'DICTIONARY-3'!$A$161&amp;'DICTIONARY-3'!$A$174," ",'DICTIONARY-2'!$A$2,"200"," ",'DICTIONARY-2'!$A$10,"16",'DICTIONARY-2'!$A$20," ",'DICTIONARY-2'!$A$24,"=","182",'DICTIONARY-2'!$A$17," ","G1½"," ","+",'DICTIONARY-3'!$A$343,", ","1×",'DICTIONARY-5'!$A$198)</f>
        <v>BAIO Kształtka-X‎ DN200 PS16bar L=182mm G1½ +korek, 1×mufa</v>
      </c>
      <c r="S2538" s="733" t="s">
        <v>5569</v>
      </c>
      <c r="T2538" s="732" t="s">
        <v>5569</v>
      </c>
      <c r="U2538" s="734" t="s">
        <v>5750</v>
      </c>
      <c r="V2538" s="735"/>
      <c r="W2538" s="736"/>
      <c r="X2538" s="750" t="s">
        <v>5738</v>
      </c>
      <c r="Y2538" s="745"/>
      <c r="Z2538" s="747"/>
      <c r="AA2538" s="747"/>
      <c r="AB2538" s="740">
        <v>16</v>
      </c>
      <c r="AC2538" s="741">
        <v>182</v>
      </c>
      <c r="AD2538" s="741" t="str">
        <f>'DICTIONARY-5'!$A$13</f>
        <v>woda pitna</v>
      </c>
      <c r="AE2538" s="742">
        <v>50</v>
      </c>
      <c r="AF2538" s="743">
        <v>15.5</v>
      </c>
      <c r="AG2538" s="741" t="str">
        <f>'DICTIONARY-5'!$A$23</f>
        <v>powłoka epoksydowa</v>
      </c>
    </row>
    <row r="2539" spans="1:33" x14ac:dyDescent="0.25">
      <c r="A2539" s="880" t="s">
        <v>2426</v>
      </c>
      <c r="B2539" s="880" t="s">
        <v>2920</v>
      </c>
      <c r="C2539" s="836">
        <v>85</v>
      </c>
      <c r="D2539" s="836"/>
      <c r="E2539" s="836"/>
      <c r="F2539" s="836"/>
      <c r="G2539" s="496" t="s">
        <v>7851</v>
      </c>
      <c r="H2539" s="797" t="str">
        <f>VLOOKUP(G2539,SETTINGS!$B$7:$D$97,2,0)</f>
        <v>BAIO Fittings</v>
      </c>
      <c r="I2539" s="796">
        <f>VLOOKUP(G2539,SETTINGS!$B$7:$D$97,3,0)</f>
        <v>0</v>
      </c>
      <c r="J2539" s="670" t="str">
        <f>IFERROR(IF(CURRENCY.FORMAT_1=0,CONCATENATE(TEXT(FIXED(ROUND((C2539/EXC.RATE_1),CURRENCY.FORMAT_1),CURRENCY.FORMAT_1,1),"# ##0;-# ##0"),",-"),FIXED(ROUND((C2539/EXC.RATE_1),CURRENCY.FORMAT_1),CURRENCY.FORMAT_1,0)),'DICTIONARY-5'!$A$2)</f>
        <v>85,-</v>
      </c>
      <c r="K2539" s="670" t="str">
        <f>IF(EXC.RATE_2=0,"",IFERROR(IF(CURRENCY.FORMAT_2=0,CONCATENATE(TEXT(FIXED(ROUND(IF(EXC.RATE.SWITCH=1,C2539/EXC.RATE_2,C2539*EXC.RATE_2),CURRENCY.FORMAT_2),CURRENCY.FORMAT_2,1),"# ##0;-# ##0"),",-"),FIXED(ROUND(IF(EXC.RATE.SWITCH=1,C2539/EXC.RATE_2,C2539*EXC.RATE_2),CURRENCY.FORMAT_2),CURRENCY.FORMAT_2,0)),'DICTIONARY-5'!$A$2))</f>
        <v/>
      </c>
      <c r="L2539" s="670" t="str">
        <f>IFERROR(IF(CURRENCY.FORMAT_1=0,CONCATENATE(TEXT(FIXED(ROUND((C2539*(1-I2539)*(1-ADD.DISCOUNT)*(1+MAT.SURCHARGE)/EXC.RATE_1),CURRENCY.FORMAT_1),CURRENCY.FORMAT_1,1),"# ##0;-# ##0"),",-"),FIXED(ROUND((C2539*(1-I2539)*(1-ADD.DISCOUNT)*(1+MAT.SURCHARGE)/EXC.RATE_1),CURRENCY.FORMAT_1),CURRENCY.FORMAT_1,0)),'DICTIONARY-5'!$A$2)</f>
        <v>88,-</v>
      </c>
      <c r="M2539" s="670" t="str">
        <f>IF(EXC.RATE_2=0,"",IFERROR(IF(CURRENCY.FORMAT_2=0,CONCATENATE(TEXT(FIXED(ROUND(IF(EXC.RATE.SWITCH=1,C2539*(1-I2539)*(1-ADD.DISCOUNT)*(1+MAT.SURCHARGE)/EXC.RATE_2,C2539*(1-I2539)*(1-ADD.DISCOUNT)*(1+MAT.SURCHARGE)*EXC.RATE_2),CURRENCY.FORMAT_2),CURRENCY.FORMAT_2,1),"# ##0;-# ##0"),",-"),FIXED(ROUND(IF(EXC.RATE.SWITCH=1,C2539*(1-I2539)*(1-ADD.DISCOUNT)*(1+MAT.SURCHARGE)/EXC.RATE_2,C2539*(1-I2539)*(1-ADD.DISCOUNT)*(1+MAT.SURCHARGE)*EXC.RATE_2),CURRENCY.FORMAT_2),CURRENCY.FORMAT_2,0)),'DICTIONARY-5'!$A$2))</f>
        <v/>
      </c>
      <c r="N2539" s="536">
        <v>12</v>
      </c>
      <c r="O2539" s="536"/>
      <c r="P2539" s="732" t="str">
        <f>'DICTIONARY-3'!$A$153&amp;" "&amp;'DICTIONARY-3'!$A$162</f>
        <v>BAIO P</v>
      </c>
      <c r="Q2539" s="732" t="str">
        <f>'DICTIONARY-3'!$A$223</f>
        <v>Kształtka</v>
      </c>
      <c r="R2539" s="732" t="str">
        <f>CONCATENATE('DICTIONARY-3'!$A$153," ",'DICTIONARY-3'!$A$175&amp;'DICTIONARY-3'!$A$162&amp;'DICTIONARY-3'!$A$174," ",'DICTIONARY-2'!$A$2,"80"," ",'DICTIONARY-2'!$A$10,"16",'DICTIONARY-2'!$A$20," ",'DICTIONARY-2'!$A$24,"=","185/101",'DICTIONARY-2'!$A$17," ","G1"," ","+",'DICTIONARY-3'!$A$343,", ","1×",'DICTIONARY-5'!$A$199)</f>
        <v>BAIO Kształtka-P‎ DN80 PS16bar L=185/101mm G1 +korek, 1×końcówka bosa</v>
      </c>
      <c r="S2539" s="733" t="s">
        <v>5569</v>
      </c>
      <c r="T2539" s="732" t="s">
        <v>5569</v>
      </c>
      <c r="U2539" s="734" t="s">
        <v>5760</v>
      </c>
      <c r="V2539" s="735"/>
      <c r="W2539" s="736"/>
      <c r="X2539" s="750" t="s">
        <v>49</v>
      </c>
      <c r="Y2539" s="745"/>
      <c r="Z2539" s="747"/>
      <c r="AA2539" s="747"/>
      <c r="AB2539" s="740">
        <v>16</v>
      </c>
      <c r="AC2539" s="733" t="s">
        <v>5611</v>
      </c>
      <c r="AD2539" s="741" t="str">
        <f>'DICTIONARY-5'!$A$13</f>
        <v>woda pitna</v>
      </c>
      <c r="AE2539" s="742">
        <v>50</v>
      </c>
      <c r="AF2539" s="743">
        <v>4.5</v>
      </c>
      <c r="AG2539" s="741" t="str">
        <f>'DICTIONARY-5'!$A$23</f>
        <v>powłoka epoksydowa</v>
      </c>
    </row>
    <row r="2540" spans="1:33" x14ac:dyDescent="0.25">
      <c r="A2540" s="880" t="s">
        <v>2428</v>
      </c>
      <c r="B2540" s="880" t="s">
        <v>2921</v>
      </c>
      <c r="C2540" s="836">
        <v>99</v>
      </c>
      <c r="D2540" s="836"/>
      <c r="E2540" s="836"/>
      <c r="F2540" s="836"/>
      <c r="G2540" s="496" t="s">
        <v>7851</v>
      </c>
      <c r="H2540" s="797" t="str">
        <f>VLOOKUP(G2540,SETTINGS!$B$7:$D$97,2,0)</f>
        <v>BAIO Fittings</v>
      </c>
      <c r="I2540" s="796">
        <f>VLOOKUP(G2540,SETTINGS!$B$7:$D$97,3,0)</f>
        <v>0</v>
      </c>
      <c r="J2540" s="670" t="str">
        <f>IFERROR(IF(CURRENCY.FORMAT_1=0,CONCATENATE(TEXT(FIXED(ROUND((C2540/EXC.RATE_1),CURRENCY.FORMAT_1),CURRENCY.FORMAT_1,1),"# ##0;-# ##0"),",-"),FIXED(ROUND((C2540/EXC.RATE_1),CURRENCY.FORMAT_1),CURRENCY.FORMAT_1,0)),'DICTIONARY-5'!$A$2)</f>
        <v>99,-</v>
      </c>
      <c r="K2540" s="670" t="str">
        <f>IF(EXC.RATE_2=0,"",IFERROR(IF(CURRENCY.FORMAT_2=0,CONCATENATE(TEXT(FIXED(ROUND(IF(EXC.RATE.SWITCH=1,C2540/EXC.RATE_2,C2540*EXC.RATE_2),CURRENCY.FORMAT_2),CURRENCY.FORMAT_2,1),"# ##0;-# ##0"),",-"),FIXED(ROUND(IF(EXC.RATE.SWITCH=1,C2540/EXC.RATE_2,C2540*EXC.RATE_2),CURRENCY.FORMAT_2),CURRENCY.FORMAT_2,0)),'DICTIONARY-5'!$A$2))</f>
        <v/>
      </c>
      <c r="L2540" s="670" t="str">
        <f>IFERROR(IF(CURRENCY.FORMAT_1=0,CONCATENATE(TEXT(FIXED(ROUND((C2540*(1-I2540)*(1-ADD.DISCOUNT)*(1+MAT.SURCHARGE)/EXC.RATE_1),CURRENCY.FORMAT_1),CURRENCY.FORMAT_1,1),"# ##0;-# ##0"),",-"),FIXED(ROUND((C2540*(1-I2540)*(1-ADD.DISCOUNT)*(1+MAT.SURCHARGE)/EXC.RATE_1),CURRENCY.FORMAT_1),CURRENCY.FORMAT_1,0)),'DICTIONARY-5'!$A$2)</f>
        <v>103,-</v>
      </c>
      <c r="M2540" s="670" t="str">
        <f>IF(EXC.RATE_2=0,"",IFERROR(IF(CURRENCY.FORMAT_2=0,CONCATENATE(TEXT(FIXED(ROUND(IF(EXC.RATE.SWITCH=1,C2540*(1-I2540)*(1-ADD.DISCOUNT)*(1+MAT.SURCHARGE)/EXC.RATE_2,C2540*(1-I2540)*(1-ADD.DISCOUNT)*(1+MAT.SURCHARGE)*EXC.RATE_2),CURRENCY.FORMAT_2),CURRENCY.FORMAT_2,1),"# ##0;-# ##0"),",-"),FIXED(ROUND(IF(EXC.RATE.SWITCH=1,C2540*(1-I2540)*(1-ADD.DISCOUNT)*(1+MAT.SURCHARGE)/EXC.RATE_2,C2540*(1-I2540)*(1-ADD.DISCOUNT)*(1+MAT.SURCHARGE)*EXC.RATE_2),CURRENCY.FORMAT_2),CURRENCY.FORMAT_2,0)),'DICTIONARY-5'!$A$2))</f>
        <v/>
      </c>
      <c r="N2540" s="536">
        <v>12</v>
      </c>
      <c r="O2540" s="536"/>
      <c r="P2540" s="732" t="str">
        <f>'DICTIONARY-3'!$A$153&amp;" "&amp;'DICTIONARY-3'!$A$162</f>
        <v>BAIO P</v>
      </c>
      <c r="Q2540" s="732" t="str">
        <f>'DICTIONARY-3'!$A$223</f>
        <v>Kształtka</v>
      </c>
      <c r="R2540" s="732" t="str">
        <f>CONCATENATE('DICTIONARY-3'!$A$153," ",'DICTIONARY-3'!$A$175&amp;'DICTIONARY-3'!$A$162&amp;'DICTIONARY-3'!$A$174," ",'DICTIONARY-2'!$A$2,"100"," ",'DICTIONARY-2'!$A$10,"16",'DICTIONARY-2'!$A$20," ",'DICTIONARY-2'!$A$24,"=","205/101",'DICTIONARY-2'!$A$17," ","G1"," ","+",'DICTIONARY-3'!$A$343,", ","1×",'DICTIONARY-5'!$A$199)</f>
        <v>BAIO Kształtka-P‎ DN100 PS16bar L=205/101mm G1 +korek, 1×końcówka bosa</v>
      </c>
      <c r="S2540" s="733" t="s">
        <v>5569</v>
      </c>
      <c r="T2540" s="732" t="s">
        <v>5569</v>
      </c>
      <c r="U2540" s="734" t="s">
        <v>5749</v>
      </c>
      <c r="V2540" s="735"/>
      <c r="W2540" s="736"/>
      <c r="X2540" s="750" t="s">
        <v>49</v>
      </c>
      <c r="Y2540" s="745"/>
      <c r="Z2540" s="747"/>
      <c r="AA2540" s="747"/>
      <c r="AB2540" s="740">
        <v>16</v>
      </c>
      <c r="AC2540" s="733" t="s">
        <v>5612</v>
      </c>
      <c r="AD2540" s="741" t="str">
        <f>'DICTIONARY-5'!$A$13</f>
        <v>woda pitna</v>
      </c>
      <c r="AE2540" s="742">
        <v>50</v>
      </c>
      <c r="AF2540" s="743">
        <v>5.5</v>
      </c>
      <c r="AG2540" s="741" t="str">
        <f>'DICTIONARY-5'!$A$23</f>
        <v>powłoka epoksydowa</v>
      </c>
    </row>
    <row r="2541" spans="1:33" x14ac:dyDescent="0.25">
      <c r="A2541" s="880" t="s">
        <v>2430</v>
      </c>
      <c r="B2541" s="880" t="s">
        <v>2767</v>
      </c>
      <c r="C2541" s="836">
        <v>154</v>
      </c>
      <c r="D2541" s="836"/>
      <c r="E2541" s="836"/>
      <c r="F2541" s="836"/>
      <c r="G2541" s="496" t="s">
        <v>7851</v>
      </c>
      <c r="H2541" s="797" t="str">
        <f>VLOOKUP(G2541,SETTINGS!$B$7:$D$97,2,0)</f>
        <v>BAIO Fittings</v>
      </c>
      <c r="I2541" s="796">
        <f>VLOOKUP(G2541,SETTINGS!$B$7:$D$97,3,0)</f>
        <v>0</v>
      </c>
      <c r="J2541" s="670" t="str">
        <f>IFERROR(IF(CURRENCY.FORMAT_1=0,CONCATENATE(TEXT(FIXED(ROUND((C2541/EXC.RATE_1),CURRENCY.FORMAT_1),CURRENCY.FORMAT_1,1),"# ##0;-# ##0"),",-"),FIXED(ROUND((C2541/EXC.RATE_1),CURRENCY.FORMAT_1),CURRENCY.FORMAT_1,0)),'DICTIONARY-5'!$A$2)</f>
        <v>154,-</v>
      </c>
      <c r="K2541" s="670" t="str">
        <f>IF(EXC.RATE_2=0,"",IFERROR(IF(CURRENCY.FORMAT_2=0,CONCATENATE(TEXT(FIXED(ROUND(IF(EXC.RATE.SWITCH=1,C2541/EXC.RATE_2,C2541*EXC.RATE_2),CURRENCY.FORMAT_2),CURRENCY.FORMAT_2,1),"# ##0;-# ##0"),",-"),FIXED(ROUND(IF(EXC.RATE.SWITCH=1,C2541/EXC.RATE_2,C2541*EXC.RATE_2),CURRENCY.FORMAT_2),CURRENCY.FORMAT_2,0)),'DICTIONARY-5'!$A$2))</f>
        <v/>
      </c>
      <c r="L2541" s="670" t="str">
        <f>IFERROR(IF(CURRENCY.FORMAT_1=0,CONCATENATE(TEXT(FIXED(ROUND((C2541*(1-I2541)*(1-ADD.DISCOUNT)*(1+MAT.SURCHARGE)/EXC.RATE_1),CURRENCY.FORMAT_1),CURRENCY.FORMAT_1,1),"# ##0;-# ##0"),",-"),FIXED(ROUND((C2541*(1-I2541)*(1-ADD.DISCOUNT)*(1+MAT.SURCHARGE)/EXC.RATE_1),CURRENCY.FORMAT_1),CURRENCY.FORMAT_1,0)),'DICTIONARY-5'!$A$2)</f>
        <v>160,-</v>
      </c>
      <c r="M2541" s="670" t="str">
        <f>IF(EXC.RATE_2=0,"",IFERROR(IF(CURRENCY.FORMAT_2=0,CONCATENATE(TEXT(FIXED(ROUND(IF(EXC.RATE.SWITCH=1,C2541*(1-I2541)*(1-ADD.DISCOUNT)*(1+MAT.SURCHARGE)/EXC.RATE_2,C2541*(1-I2541)*(1-ADD.DISCOUNT)*(1+MAT.SURCHARGE)*EXC.RATE_2),CURRENCY.FORMAT_2),CURRENCY.FORMAT_2,1),"# ##0;-# ##0"),",-"),FIXED(ROUND(IF(EXC.RATE.SWITCH=1,C2541*(1-I2541)*(1-ADD.DISCOUNT)*(1+MAT.SURCHARGE)/EXC.RATE_2,C2541*(1-I2541)*(1-ADD.DISCOUNT)*(1+MAT.SURCHARGE)*EXC.RATE_2),CURRENCY.FORMAT_2),CURRENCY.FORMAT_2,0)),'DICTIONARY-5'!$A$2))</f>
        <v/>
      </c>
      <c r="N2541" s="536">
        <v>12</v>
      </c>
      <c r="O2541" s="536"/>
      <c r="P2541" s="732" t="str">
        <f>'DICTIONARY-3'!$A$153&amp;" "&amp;'DICTIONARY-3'!$A$162</f>
        <v>BAIO P</v>
      </c>
      <c r="Q2541" s="732" t="str">
        <f>'DICTIONARY-3'!$A$223</f>
        <v>Kształtka</v>
      </c>
      <c r="R2541" s="732" t="str">
        <f>CONCATENATE('DICTIONARY-3'!$A$153," ",'DICTIONARY-3'!$A$175&amp;'DICTIONARY-3'!$A$162&amp;'DICTIONARY-3'!$A$174," ",'DICTIONARY-2'!$A$2,"125"," ",'DICTIONARY-2'!$A$10,"16",'DICTIONARY-2'!$A$20," ",'DICTIONARY-2'!$A$24,"=","212/101",'DICTIONARY-2'!$A$17," ","G1"," ","+",'DICTIONARY-3'!$A$343,", ","1×",'DICTIONARY-5'!$A$199)</f>
        <v>BAIO Kształtka-P‎ DN125 PS16bar L=212/101mm G1 +korek, 1×końcówka bosa</v>
      </c>
      <c r="S2541" s="733" t="s">
        <v>5569</v>
      </c>
      <c r="T2541" s="732" t="s">
        <v>5569</v>
      </c>
      <c r="U2541" s="734" t="s">
        <v>5761</v>
      </c>
      <c r="V2541" s="735"/>
      <c r="W2541" s="736"/>
      <c r="X2541" s="750" t="s">
        <v>49</v>
      </c>
      <c r="Y2541" s="745"/>
      <c r="Z2541" s="747"/>
      <c r="AA2541" s="747"/>
      <c r="AB2541" s="740">
        <v>16</v>
      </c>
      <c r="AC2541" s="733" t="s">
        <v>5613</v>
      </c>
      <c r="AD2541" s="741" t="str">
        <f>'DICTIONARY-5'!$A$13</f>
        <v>woda pitna</v>
      </c>
      <c r="AE2541" s="742">
        <v>50</v>
      </c>
      <c r="AF2541" s="743">
        <v>6.8</v>
      </c>
      <c r="AG2541" s="741" t="str">
        <f>'DICTIONARY-5'!$A$23</f>
        <v>powłoka epoksydowa</v>
      </c>
    </row>
    <row r="2542" spans="1:33" x14ac:dyDescent="0.25">
      <c r="A2542" s="880" t="s">
        <v>2431</v>
      </c>
      <c r="B2542" s="880" t="s">
        <v>2769</v>
      </c>
      <c r="C2542" s="836">
        <v>170</v>
      </c>
      <c r="D2542" s="836"/>
      <c r="E2542" s="836"/>
      <c r="F2542" s="836"/>
      <c r="G2542" s="496" t="s">
        <v>7851</v>
      </c>
      <c r="H2542" s="797" t="str">
        <f>VLOOKUP(G2542,SETTINGS!$B$7:$D$97,2,0)</f>
        <v>BAIO Fittings</v>
      </c>
      <c r="I2542" s="796">
        <f>VLOOKUP(G2542,SETTINGS!$B$7:$D$97,3,0)</f>
        <v>0</v>
      </c>
      <c r="J2542" s="670" t="str">
        <f>IFERROR(IF(CURRENCY.FORMAT_1=0,CONCATENATE(TEXT(FIXED(ROUND((C2542/EXC.RATE_1),CURRENCY.FORMAT_1),CURRENCY.FORMAT_1,1),"# ##0;-# ##0"),",-"),FIXED(ROUND((C2542/EXC.RATE_1),CURRENCY.FORMAT_1),CURRENCY.FORMAT_1,0)),'DICTIONARY-5'!$A$2)</f>
        <v>170,-</v>
      </c>
      <c r="K2542" s="670" t="str">
        <f>IF(EXC.RATE_2=0,"",IFERROR(IF(CURRENCY.FORMAT_2=0,CONCATENATE(TEXT(FIXED(ROUND(IF(EXC.RATE.SWITCH=1,C2542/EXC.RATE_2,C2542*EXC.RATE_2),CURRENCY.FORMAT_2),CURRENCY.FORMAT_2,1),"# ##0;-# ##0"),",-"),FIXED(ROUND(IF(EXC.RATE.SWITCH=1,C2542/EXC.RATE_2,C2542*EXC.RATE_2),CURRENCY.FORMAT_2),CURRENCY.FORMAT_2,0)),'DICTIONARY-5'!$A$2))</f>
        <v/>
      </c>
      <c r="L2542" s="670" t="str">
        <f>IFERROR(IF(CURRENCY.FORMAT_1=0,CONCATENATE(TEXT(FIXED(ROUND((C2542*(1-I2542)*(1-ADD.DISCOUNT)*(1+MAT.SURCHARGE)/EXC.RATE_1),CURRENCY.FORMAT_1),CURRENCY.FORMAT_1,1),"# ##0;-# ##0"),",-"),FIXED(ROUND((C2542*(1-I2542)*(1-ADD.DISCOUNT)*(1+MAT.SURCHARGE)/EXC.RATE_1),CURRENCY.FORMAT_1),CURRENCY.FORMAT_1,0)),'DICTIONARY-5'!$A$2)</f>
        <v>177,-</v>
      </c>
      <c r="M2542" s="670" t="str">
        <f>IF(EXC.RATE_2=0,"",IFERROR(IF(CURRENCY.FORMAT_2=0,CONCATENATE(TEXT(FIXED(ROUND(IF(EXC.RATE.SWITCH=1,C2542*(1-I2542)*(1-ADD.DISCOUNT)*(1+MAT.SURCHARGE)/EXC.RATE_2,C2542*(1-I2542)*(1-ADD.DISCOUNT)*(1+MAT.SURCHARGE)*EXC.RATE_2),CURRENCY.FORMAT_2),CURRENCY.FORMAT_2,1),"# ##0;-# ##0"),",-"),FIXED(ROUND(IF(EXC.RATE.SWITCH=1,C2542*(1-I2542)*(1-ADD.DISCOUNT)*(1+MAT.SURCHARGE)/EXC.RATE_2,C2542*(1-I2542)*(1-ADD.DISCOUNT)*(1+MAT.SURCHARGE)*EXC.RATE_2),CURRENCY.FORMAT_2),CURRENCY.FORMAT_2,0)),'DICTIONARY-5'!$A$2))</f>
        <v/>
      </c>
      <c r="N2542" s="536">
        <v>12</v>
      </c>
      <c r="O2542" s="536"/>
      <c r="P2542" s="732" t="str">
        <f>'DICTIONARY-3'!$A$153&amp;" "&amp;'DICTIONARY-3'!$A$162</f>
        <v>BAIO P</v>
      </c>
      <c r="Q2542" s="732" t="str">
        <f>'DICTIONARY-3'!$A$223</f>
        <v>Kształtka</v>
      </c>
      <c r="R2542" s="732" t="str">
        <f>CONCATENATE('DICTIONARY-3'!$A$153," ",'DICTIONARY-3'!$A$175&amp;'DICTIONARY-3'!$A$162&amp;'DICTIONARY-3'!$A$174," ",'DICTIONARY-2'!$A$2,"150"," ",'DICTIONARY-2'!$A$10,"16",'DICTIONARY-2'!$A$20," ",'DICTIONARY-2'!$A$24,"=","212/101",'DICTIONARY-2'!$A$17," ","G1"," ","+",'DICTIONARY-3'!$A$343,", ","1×",'DICTIONARY-5'!$A$199)</f>
        <v>BAIO Kształtka-P‎ DN150 PS16bar L=212/101mm G1 +korek, 1×końcówka bosa</v>
      </c>
      <c r="S2542" s="733" t="s">
        <v>5569</v>
      </c>
      <c r="T2542" s="732" t="s">
        <v>5569</v>
      </c>
      <c r="U2542" s="734" t="s">
        <v>5572</v>
      </c>
      <c r="V2542" s="735"/>
      <c r="W2542" s="736"/>
      <c r="X2542" s="750" t="s">
        <v>49</v>
      </c>
      <c r="Y2542" s="745"/>
      <c r="Z2542" s="747"/>
      <c r="AA2542" s="747"/>
      <c r="AB2542" s="740">
        <v>16</v>
      </c>
      <c r="AC2542" s="733" t="s">
        <v>5613</v>
      </c>
      <c r="AD2542" s="741" t="str">
        <f>'DICTIONARY-5'!$A$13</f>
        <v>woda pitna</v>
      </c>
      <c r="AE2542" s="742">
        <v>50</v>
      </c>
      <c r="AF2542" s="743">
        <v>8.3000000000000007</v>
      </c>
      <c r="AG2542" s="741" t="str">
        <f>'DICTIONARY-5'!$A$23</f>
        <v>powłoka epoksydowa</v>
      </c>
    </row>
    <row r="2543" spans="1:33" x14ac:dyDescent="0.25">
      <c r="A2543" s="880" t="s">
        <v>2433</v>
      </c>
      <c r="B2543" s="880" t="s">
        <v>2771</v>
      </c>
      <c r="C2543" s="836">
        <v>190</v>
      </c>
      <c r="D2543" s="836"/>
      <c r="E2543" s="836"/>
      <c r="F2543" s="836"/>
      <c r="G2543" s="496" t="s">
        <v>7851</v>
      </c>
      <c r="H2543" s="797" t="str">
        <f>VLOOKUP(G2543,SETTINGS!$B$7:$D$97,2,0)</f>
        <v>BAIO Fittings</v>
      </c>
      <c r="I2543" s="796">
        <f>VLOOKUP(G2543,SETTINGS!$B$7:$D$97,3,0)</f>
        <v>0</v>
      </c>
      <c r="J2543" s="670" t="str">
        <f>IFERROR(IF(CURRENCY.FORMAT_1=0,CONCATENATE(TEXT(FIXED(ROUND((C2543/EXC.RATE_1),CURRENCY.FORMAT_1),CURRENCY.FORMAT_1,1),"# ##0;-# ##0"),",-"),FIXED(ROUND((C2543/EXC.RATE_1),CURRENCY.FORMAT_1),CURRENCY.FORMAT_1,0)),'DICTIONARY-5'!$A$2)</f>
        <v>190,-</v>
      </c>
      <c r="K2543" s="670" t="str">
        <f>IF(EXC.RATE_2=0,"",IFERROR(IF(CURRENCY.FORMAT_2=0,CONCATENATE(TEXT(FIXED(ROUND(IF(EXC.RATE.SWITCH=1,C2543/EXC.RATE_2,C2543*EXC.RATE_2),CURRENCY.FORMAT_2),CURRENCY.FORMAT_2,1),"# ##0;-# ##0"),",-"),FIXED(ROUND(IF(EXC.RATE.SWITCH=1,C2543/EXC.RATE_2,C2543*EXC.RATE_2),CURRENCY.FORMAT_2),CURRENCY.FORMAT_2,0)),'DICTIONARY-5'!$A$2))</f>
        <v/>
      </c>
      <c r="L2543" s="670" t="str">
        <f>IFERROR(IF(CURRENCY.FORMAT_1=0,CONCATENATE(TEXT(FIXED(ROUND((C2543*(1-I2543)*(1-ADD.DISCOUNT)*(1+MAT.SURCHARGE)/EXC.RATE_1),CURRENCY.FORMAT_1),CURRENCY.FORMAT_1,1),"# ##0;-# ##0"),",-"),FIXED(ROUND((C2543*(1-I2543)*(1-ADD.DISCOUNT)*(1+MAT.SURCHARGE)/EXC.RATE_1),CURRENCY.FORMAT_1),CURRENCY.FORMAT_1,0)),'DICTIONARY-5'!$A$2)</f>
        <v>197,-</v>
      </c>
      <c r="M2543" s="670" t="str">
        <f>IF(EXC.RATE_2=0,"",IFERROR(IF(CURRENCY.FORMAT_2=0,CONCATENATE(TEXT(FIXED(ROUND(IF(EXC.RATE.SWITCH=1,C2543*(1-I2543)*(1-ADD.DISCOUNT)*(1+MAT.SURCHARGE)/EXC.RATE_2,C2543*(1-I2543)*(1-ADD.DISCOUNT)*(1+MAT.SURCHARGE)*EXC.RATE_2),CURRENCY.FORMAT_2),CURRENCY.FORMAT_2,1),"# ##0;-# ##0"),",-"),FIXED(ROUND(IF(EXC.RATE.SWITCH=1,C2543*(1-I2543)*(1-ADD.DISCOUNT)*(1+MAT.SURCHARGE)/EXC.RATE_2,C2543*(1-I2543)*(1-ADD.DISCOUNT)*(1+MAT.SURCHARGE)*EXC.RATE_2),CURRENCY.FORMAT_2),CURRENCY.FORMAT_2,0)),'DICTIONARY-5'!$A$2))</f>
        <v/>
      </c>
      <c r="N2543" s="536">
        <v>12</v>
      </c>
      <c r="O2543" s="536"/>
      <c r="P2543" s="732" t="str">
        <f>'DICTIONARY-3'!$A$153&amp;" "&amp;'DICTIONARY-3'!$A$162</f>
        <v>BAIO P</v>
      </c>
      <c r="Q2543" s="732" t="str">
        <f>'DICTIONARY-3'!$A$223</f>
        <v>Kształtka</v>
      </c>
      <c r="R2543" s="732" t="str">
        <f>CONCATENATE('DICTIONARY-3'!$A$153," ",'DICTIONARY-3'!$A$175&amp;'DICTIONARY-3'!$A$162&amp;'DICTIONARY-3'!$A$174," ",'DICTIONARY-2'!$A$2,"200"," ",'DICTIONARY-2'!$A$10,"16",'DICTIONARY-2'!$A$20," ",'DICTIONARY-2'!$A$24,"=","222/105",'DICTIONARY-2'!$A$17," ","G1"," ","+",'DICTIONARY-3'!$A$343,", ","1×",'DICTIONARY-5'!$A$199)</f>
        <v>BAIO Kształtka-P‎ DN200 PS16bar L=222/105mm G1 +korek, 1×końcówka bosa</v>
      </c>
      <c r="S2543" s="733" t="s">
        <v>5569</v>
      </c>
      <c r="T2543" s="732" t="s">
        <v>5569</v>
      </c>
      <c r="U2543" s="734" t="s">
        <v>5750</v>
      </c>
      <c r="V2543" s="735"/>
      <c r="W2543" s="736"/>
      <c r="X2543" s="750" t="s">
        <v>49</v>
      </c>
      <c r="Y2543" s="745"/>
      <c r="Z2543" s="747"/>
      <c r="AA2543" s="747"/>
      <c r="AB2543" s="740">
        <v>16</v>
      </c>
      <c r="AC2543" s="733" t="s">
        <v>5614</v>
      </c>
      <c r="AD2543" s="741" t="str">
        <f>'DICTIONARY-5'!$A$13</f>
        <v>woda pitna</v>
      </c>
      <c r="AE2543" s="742">
        <v>50</v>
      </c>
      <c r="AF2543" s="743">
        <v>12.5</v>
      </c>
      <c r="AG2543" s="741" t="str">
        <f>'DICTIONARY-5'!$A$23</f>
        <v>powłoka epoksydowa</v>
      </c>
    </row>
    <row r="2544" spans="1:33" x14ac:dyDescent="0.25">
      <c r="A2544" s="880" t="s">
        <v>2427</v>
      </c>
      <c r="B2544" s="880" t="s">
        <v>2923</v>
      </c>
      <c r="C2544" s="836">
        <v>92</v>
      </c>
      <c r="D2544" s="836"/>
      <c r="E2544" s="836"/>
      <c r="F2544" s="836"/>
      <c r="G2544" s="496" t="s">
        <v>7851</v>
      </c>
      <c r="H2544" s="797" t="str">
        <f>VLOOKUP(G2544,SETTINGS!$B$7:$D$97,2,0)</f>
        <v>BAIO Fittings</v>
      </c>
      <c r="I2544" s="796">
        <f>VLOOKUP(G2544,SETTINGS!$B$7:$D$97,3,0)</f>
        <v>0</v>
      </c>
      <c r="J2544" s="670" t="str">
        <f>IFERROR(IF(CURRENCY.FORMAT_1=0,CONCATENATE(TEXT(FIXED(ROUND((C2544/EXC.RATE_1),CURRENCY.FORMAT_1),CURRENCY.FORMAT_1,1),"# ##0;-# ##0"),",-"),FIXED(ROUND((C2544/EXC.RATE_1),CURRENCY.FORMAT_1),CURRENCY.FORMAT_1,0)),'DICTIONARY-5'!$A$2)</f>
        <v>92,-</v>
      </c>
      <c r="K2544" s="670" t="str">
        <f>IF(EXC.RATE_2=0,"",IFERROR(IF(CURRENCY.FORMAT_2=0,CONCATENATE(TEXT(FIXED(ROUND(IF(EXC.RATE.SWITCH=1,C2544/EXC.RATE_2,C2544*EXC.RATE_2),CURRENCY.FORMAT_2),CURRENCY.FORMAT_2,1),"# ##0;-# ##0"),",-"),FIXED(ROUND(IF(EXC.RATE.SWITCH=1,C2544/EXC.RATE_2,C2544*EXC.RATE_2),CURRENCY.FORMAT_2),CURRENCY.FORMAT_2,0)),'DICTIONARY-5'!$A$2))</f>
        <v/>
      </c>
      <c r="L2544" s="670" t="str">
        <f>IFERROR(IF(CURRENCY.FORMAT_1=0,CONCATENATE(TEXT(FIXED(ROUND((C2544*(1-I2544)*(1-ADD.DISCOUNT)*(1+MAT.SURCHARGE)/EXC.RATE_1),CURRENCY.FORMAT_1),CURRENCY.FORMAT_1,1),"# ##0;-# ##0"),",-"),FIXED(ROUND((C2544*(1-I2544)*(1-ADD.DISCOUNT)*(1+MAT.SURCHARGE)/EXC.RATE_1),CURRENCY.FORMAT_1),CURRENCY.FORMAT_1,0)),'DICTIONARY-5'!$A$2)</f>
        <v>96,-</v>
      </c>
      <c r="M2544" s="670" t="str">
        <f>IF(EXC.RATE_2=0,"",IFERROR(IF(CURRENCY.FORMAT_2=0,CONCATENATE(TEXT(FIXED(ROUND(IF(EXC.RATE.SWITCH=1,C2544*(1-I2544)*(1-ADD.DISCOUNT)*(1+MAT.SURCHARGE)/EXC.RATE_2,C2544*(1-I2544)*(1-ADD.DISCOUNT)*(1+MAT.SURCHARGE)*EXC.RATE_2),CURRENCY.FORMAT_2),CURRENCY.FORMAT_2,1),"# ##0;-# ##0"),",-"),FIXED(ROUND(IF(EXC.RATE.SWITCH=1,C2544*(1-I2544)*(1-ADD.DISCOUNT)*(1+MAT.SURCHARGE)/EXC.RATE_2,C2544*(1-I2544)*(1-ADD.DISCOUNT)*(1+MAT.SURCHARGE)*EXC.RATE_2),CURRENCY.FORMAT_2),CURRENCY.FORMAT_2,0)),'DICTIONARY-5'!$A$2))</f>
        <v/>
      </c>
      <c r="N2544" s="536">
        <v>12</v>
      </c>
      <c r="O2544" s="536"/>
      <c r="P2544" s="732" t="str">
        <f>'DICTIONARY-3'!$A$153&amp;" "&amp;'DICTIONARY-3'!$A$162</f>
        <v>BAIO P</v>
      </c>
      <c r="Q2544" s="732" t="str">
        <f>'DICTIONARY-3'!$A$223</f>
        <v>Kształtka</v>
      </c>
      <c r="R2544" s="732" t="str">
        <f>CONCATENATE('DICTIONARY-3'!$A$153," ",'DICTIONARY-3'!$A$175&amp;'DICTIONARY-3'!$A$162&amp;'DICTIONARY-3'!$A$174," ",'DICTIONARY-2'!$A$2,"80"," ",'DICTIONARY-2'!$A$10,"16",'DICTIONARY-2'!$A$20," ",'DICTIONARY-2'!$A$24,"=","185/101",'DICTIONARY-2'!$A$17," ","G1½"," ","+",'DICTIONARY-3'!$A$343,", ","1×",'DICTIONARY-5'!$A$199)</f>
        <v>BAIO Kształtka-P‎ DN80 PS16bar L=185/101mm G1½ +korek, 1×końcówka bosa</v>
      </c>
      <c r="S2544" s="733" t="s">
        <v>5569</v>
      </c>
      <c r="T2544" s="732" t="s">
        <v>5569</v>
      </c>
      <c r="U2544" s="734" t="s">
        <v>5760</v>
      </c>
      <c r="V2544" s="735"/>
      <c r="W2544" s="736"/>
      <c r="X2544" s="750" t="s">
        <v>5738</v>
      </c>
      <c r="Y2544" s="745"/>
      <c r="Z2544" s="747"/>
      <c r="AA2544" s="747"/>
      <c r="AB2544" s="740">
        <v>16</v>
      </c>
      <c r="AC2544" s="733" t="s">
        <v>5611</v>
      </c>
      <c r="AD2544" s="741" t="str">
        <f>'DICTIONARY-5'!$A$13</f>
        <v>woda pitna</v>
      </c>
      <c r="AE2544" s="742">
        <v>50</v>
      </c>
      <c r="AF2544" s="743">
        <v>4.5</v>
      </c>
      <c r="AG2544" s="741" t="str">
        <f>'DICTIONARY-5'!$A$23</f>
        <v>powłoka epoksydowa</v>
      </c>
    </row>
    <row r="2545" spans="1:33" x14ac:dyDescent="0.25">
      <c r="A2545" s="880" t="s">
        <v>2429</v>
      </c>
      <c r="B2545" s="880" t="s">
        <v>2924</v>
      </c>
      <c r="C2545" s="836">
        <v>103</v>
      </c>
      <c r="D2545" s="836"/>
      <c r="E2545" s="836"/>
      <c r="F2545" s="836"/>
      <c r="G2545" s="496" t="s">
        <v>7851</v>
      </c>
      <c r="H2545" s="797" t="str">
        <f>VLOOKUP(G2545,SETTINGS!$B$7:$D$97,2,0)</f>
        <v>BAIO Fittings</v>
      </c>
      <c r="I2545" s="796">
        <f>VLOOKUP(G2545,SETTINGS!$B$7:$D$97,3,0)</f>
        <v>0</v>
      </c>
      <c r="J2545" s="670" t="str">
        <f>IFERROR(IF(CURRENCY.FORMAT_1=0,CONCATENATE(TEXT(FIXED(ROUND((C2545/EXC.RATE_1),CURRENCY.FORMAT_1),CURRENCY.FORMAT_1,1),"# ##0;-# ##0"),",-"),FIXED(ROUND((C2545/EXC.RATE_1),CURRENCY.FORMAT_1),CURRENCY.FORMAT_1,0)),'DICTIONARY-5'!$A$2)</f>
        <v>103,-</v>
      </c>
      <c r="K2545" s="670" t="str">
        <f>IF(EXC.RATE_2=0,"",IFERROR(IF(CURRENCY.FORMAT_2=0,CONCATENATE(TEXT(FIXED(ROUND(IF(EXC.RATE.SWITCH=1,C2545/EXC.RATE_2,C2545*EXC.RATE_2),CURRENCY.FORMAT_2),CURRENCY.FORMAT_2,1),"# ##0;-# ##0"),",-"),FIXED(ROUND(IF(EXC.RATE.SWITCH=1,C2545/EXC.RATE_2,C2545*EXC.RATE_2),CURRENCY.FORMAT_2),CURRENCY.FORMAT_2,0)),'DICTIONARY-5'!$A$2))</f>
        <v/>
      </c>
      <c r="L2545" s="670" t="str">
        <f>IFERROR(IF(CURRENCY.FORMAT_1=0,CONCATENATE(TEXT(FIXED(ROUND((C2545*(1-I2545)*(1-ADD.DISCOUNT)*(1+MAT.SURCHARGE)/EXC.RATE_1),CURRENCY.FORMAT_1),CURRENCY.FORMAT_1,1),"# ##0;-# ##0"),",-"),FIXED(ROUND((C2545*(1-I2545)*(1-ADD.DISCOUNT)*(1+MAT.SURCHARGE)/EXC.RATE_1),CURRENCY.FORMAT_1),CURRENCY.FORMAT_1,0)),'DICTIONARY-5'!$A$2)</f>
        <v>107,-</v>
      </c>
      <c r="M2545" s="670" t="str">
        <f>IF(EXC.RATE_2=0,"",IFERROR(IF(CURRENCY.FORMAT_2=0,CONCATENATE(TEXT(FIXED(ROUND(IF(EXC.RATE.SWITCH=1,C2545*(1-I2545)*(1-ADD.DISCOUNT)*(1+MAT.SURCHARGE)/EXC.RATE_2,C2545*(1-I2545)*(1-ADD.DISCOUNT)*(1+MAT.SURCHARGE)*EXC.RATE_2),CURRENCY.FORMAT_2),CURRENCY.FORMAT_2,1),"# ##0;-# ##0"),",-"),FIXED(ROUND(IF(EXC.RATE.SWITCH=1,C2545*(1-I2545)*(1-ADD.DISCOUNT)*(1+MAT.SURCHARGE)/EXC.RATE_2,C2545*(1-I2545)*(1-ADD.DISCOUNT)*(1+MAT.SURCHARGE)*EXC.RATE_2),CURRENCY.FORMAT_2),CURRENCY.FORMAT_2,0)),'DICTIONARY-5'!$A$2))</f>
        <v/>
      </c>
      <c r="N2545" s="536">
        <v>12</v>
      </c>
      <c r="O2545" s="536"/>
      <c r="P2545" s="732" t="str">
        <f>'DICTIONARY-3'!$A$153&amp;" "&amp;'DICTIONARY-3'!$A$162</f>
        <v>BAIO P</v>
      </c>
      <c r="Q2545" s="732" t="str">
        <f>'DICTIONARY-3'!$A$223</f>
        <v>Kształtka</v>
      </c>
      <c r="R2545" s="732" t="str">
        <f>CONCATENATE('DICTIONARY-3'!$A$153," ",'DICTIONARY-3'!$A$175&amp;'DICTIONARY-3'!$A$162&amp;'DICTIONARY-3'!$A$174," ",'DICTIONARY-2'!$A$2,"100"," ",'DICTIONARY-2'!$A$10,"16",'DICTIONARY-2'!$A$20," ",'DICTIONARY-2'!$A$24,"=","205/101",'DICTIONARY-2'!$A$17," ","G1½"," ","+",'DICTIONARY-3'!$A$343,", ","1×",'DICTIONARY-5'!$A$199)</f>
        <v>BAIO Kształtka-P‎ DN100 PS16bar L=205/101mm G1½ +korek, 1×końcówka bosa</v>
      </c>
      <c r="S2545" s="733" t="s">
        <v>5569</v>
      </c>
      <c r="T2545" s="732" t="s">
        <v>5569</v>
      </c>
      <c r="U2545" s="734" t="s">
        <v>5749</v>
      </c>
      <c r="V2545" s="735"/>
      <c r="W2545" s="736"/>
      <c r="X2545" s="750" t="s">
        <v>5738</v>
      </c>
      <c r="Y2545" s="745"/>
      <c r="Z2545" s="747"/>
      <c r="AA2545" s="747"/>
      <c r="AB2545" s="740">
        <v>16</v>
      </c>
      <c r="AC2545" s="733" t="s">
        <v>5612</v>
      </c>
      <c r="AD2545" s="741" t="str">
        <f>'DICTIONARY-5'!$A$13</f>
        <v>woda pitna</v>
      </c>
      <c r="AE2545" s="742">
        <v>50</v>
      </c>
      <c r="AF2545" s="743">
        <v>5.5</v>
      </c>
      <c r="AG2545" s="741" t="str">
        <f>'DICTIONARY-5'!$A$23</f>
        <v>powłoka epoksydowa</v>
      </c>
    </row>
    <row r="2546" spans="1:33" x14ac:dyDescent="0.25">
      <c r="A2546" s="880" t="s">
        <v>2421</v>
      </c>
      <c r="B2546" s="880" t="s">
        <v>2768</v>
      </c>
      <c r="C2546" s="836">
        <v>154</v>
      </c>
      <c r="D2546" s="836"/>
      <c r="E2546" s="836"/>
      <c r="F2546" s="836"/>
      <c r="G2546" s="496" t="s">
        <v>7851</v>
      </c>
      <c r="H2546" s="797" t="str">
        <f>VLOOKUP(G2546,SETTINGS!$B$7:$D$97,2,0)</f>
        <v>BAIO Fittings</v>
      </c>
      <c r="I2546" s="796">
        <f>VLOOKUP(G2546,SETTINGS!$B$7:$D$97,3,0)</f>
        <v>0</v>
      </c>
      <c r="J2546" s="670" t="str">
        <f>IFERROR(IF(CURRENCY.FORMAT_1=0,CONCATENATE(TEXT(FIXED(ROUND((C2546/EXC.RATE_1),CURRENCY.FORMAT_1),CURRENCY.FORMAT_1,1),"# ##0;-# ##0"),",-"),FIXED(ROUND((C2546/EXC.RATE_1),CURRENCY.FORMAT_1),CURRENCY.FORMAT_1,0)),'DICTIONARY-5'!$A$2)</f>
        <v>154,-</v>
      </c>
      <c r="K2546" s="670" t="str">
        <f>IF(EXC.RATE_2=0,"",IFERROR(IF(CURRENCY.FORMAT_2=0,CONCATENATE(TEXT(FIXED(ROUND(IF(EXC.RATE.SWITCH=1,C2546/EXC.RATE_2,C2546*EXC.RATE_2),CURRENCY.FORMAT_2),CURRENCY.FORMAT_2,1),"# ##0;-# ##0"),",-"),FIXED(ROUND(IF(EXC.RATE.SWITCH=1,C2546/EXC.RATE_2,C2546*EXC.RATE_2),CURRENCY.FORMAT_2),CURRENCY.FORMAT_2,0)),'DICTIONARY-5'!$A$2))</f>
        <v/>
      </c>
      <c r="L2546" s="670" t="str">
        <f>IFERROR(IF(CURRENCY.FORMAT_1=0,CONCATENATE(TEXT(FIXED(ROUND((C2546*(1-I2546)*(1-ADD.DISCOUNT)*(1+MAT.SURCHARGE)/EXC.RATE_1),CURRENCY.FORMAT_1),CURRENCY.FORMAT_1,1),"# ##0;-# ##0"),",-"),FIXED(ROUND((C2546*(1-I2546)*(1-ADD.DISCOUNT)*(1+MAT.SURCHARGE)/EXC.RATE_1),CURRENCY.FORMAT_1),CURRENCY.FORMAT_1,0)),'DICTIONARY-5'!$A$2)</f>
        <v>160,-</v>
      </c>
      <c r="M2546" s="670" t="str">
        <f>IF(EXC.RATE_2=0,"",IFERROR(IF(CURRENCY.FORMAT_2=0,CONCATENATE(TEXT(FIXED(ROUND(IF(EXC.RATE.SWITCH=1,C2546*(1-I2546)*(1-ADD.DISCOUNT)*(1+MAT.SURCHARGE)/EXC.RATE_2,C2546*(1-I2546)*(1-ADD.DISCOUNT)*(1+MAT.SURCHARGE)*EXC.RATE_2),CURRENCY.FORMAT_2),CURRENCY.FORMAT_2,1),"# ##0;-# ##0"),",-"),FIXED(ROUND(IF(EXC.RATE.SWITCH=1,C2546*(1-I2546)*(1-ADD.DISCOUNT)*(1+MAT.SURCHARGE)/EXC.RATE_2,C2546*(1-I2546)*(1-ADD.DISCOUNT)*(1+MAT.SURCHARGE)*EXC.RATE_2),CURRENCY.FORMAT_2),CURRENCY.FORMAT_2,0)),'DICTIONARY-5'!$A$2))</f>
        <v/>
      </c>
      <c r="N2546" s="536">
        <v>12</v>
      </c>
      <c r="O2546" s="536"/>
      <c r="P2546" s="732" t="str">
        <f>'DICTIONARY-3'!$A$153&amp;" "&amp;'DICTIONARY-3'!$A$162</f>
        <v>BAIO P</v>
      </c>
      <c r="Q2546" s="732" t="str">
        <f>'DICTIONARY-3'!$A$223</f>
        <v>Kształtka</v>
      </c>
      <c r="R2546" s="732" t="str">
        <f>CONCATENATE('DICTIONARY-3'!$A$153," ",'DICTIONARY-3'!$A$175&amp;'DICTIONARY-3'!$A$162&amp;'DICTIONARY-3'!$A$174," ",'DICTIONARY-2'!$A$2,"125"," ",'DICTIONARY-2'!$A$10,"16",'DICTIONARY-2'!$A$20," ",'DICTIONARY-2'!$A$24,"=","212/101",'DICTIONARY-2'!$A$17," ","G1½"," ","+",'DICTIONARY-3'!$A$343,", ","1×",'DICTIONARY-5'!$A$199)</f>
        <v>BAIO Kształtka-P‎ DN125 PS16bar L=212/101mm G1½ +korek, 1×końcówka bosa</v>
      </c>
      <c r="S2546" s="733" t="s">
        <v>5569</v>
      </c>
      <c r="T2546" s="732" t="s">
        <v>5569</v>
      </c>
      <c r="U2546" s="734" t="s">
        <v>5761</v>
      </c>
      <c r="V2546" s="735"/>
      <c r="W2546" s="736"/>
      <c r="X2546" s="750" t="s">
        <v>5738</v>
      </c>
      <c r="Y2546" s="745"/>
      <c r="Z2546" s="747"/>
      <c r="AA2546" s="747"/>
      <c r="AB2546" s="740">
        <v>16</v>
      </c>
      <c r="AC2546" s="733" t="s">
        <v>5613</v>
      </c>
      <c r="AD2546" s="741" t="str">
        <f>'DICTIONARY-5'!$A$13</f>
        <v>woda pitna</v>
      </c>
      <c r="AE2546" s="742">
        <v>50</v>
      </c>
      <c r="AF2546" s="743">
        <v>7</v>
      </c>
      <c r="AG2546" s="741" t="str">
        <f>'DICTIONARY-5'!$A$23</f>
        <v>powłoka epoksydowa</v>
      </c>
    </row>
    <row r="2547" spans="1:33" x14ac:dyDescent="0.25">
      <c r="A2547" s="880" t="s">
        <v>2432</v>
      </c>
      <c r="B2547" s="880" t="s">
        <v>2770</v>
      </c>
      <c r="C2547" s="836">
        <v>170</v>
      </c>
      <c r="D2547" s="836"/>
      <c r="E2547" s="836"/>
      <c r="F2547" s="836"/>
      <c r="G2547" s="496" t="s">
        <v>7851</v>
      </c>
      <c r="H2547" s="797" t="str">
        <f>VLOOKUP(G2547,SETTINGS!$B$7:$D$97,2,0)</f>
        <v>BAIO Fittings</v>
      </c>
      <c r="I2547" s="796">
        <f>VLOOKUP(G2547,SETTINGS!$B$7:$D$97,3,0)</f>
        <v>0</v>
      </c>
      <c r="J2547" s="670" t="str">
        <f>IFERROR(IF(CURRENCY.FORMAT_1=0,CONCATENATE(TEXT(FIXED(ROUND((C2547/EXC.RATE_1),CURRENCY.FORMAT_1),CURRENCY.FORMAT_1,1),"# ##0;-# ##0"),",-"),FIXED(ROUND((C2547/EXC.RATE_1),CURRENCY.FORMAT_1),CURRENCY.FORMAT_1,0)),'DICTIONARY-5'!$A$2)</f>
        <v>170,-</v>
      </c>
      <c r="K2547" s="670" t="str">
        <f>IF(EXC.RATE_2=0,"",IFERROR(IF(CURRENCY.FORMAT_2=0,CONCATENATE(TEXT(FIXED(ROUND(IF(EXC.RATE.SWITCH=1,C2547/EXC.RATE_2,C2547*EXC.RATE_2),CURRENCY.FORMAT_2),CURRENCY.FORMAT_2,1),"# ##0;-# ##0"),",-"),FIXED(ROUND(IF(EXC.RATE.SWITCH=1,C2547/EXC.RATE_2,C2547*EXC.RATE_2),CURRENCY.FORMAT_2),CURRENCY.FORMAT_2,0)),'DICTIONARY-5'!$A$2))</f>
        <v/>
      </c>
      <c r="L2547" s="670" t="str">
        <f>IFERROR(IF(CURRENCY.FORMAT_1=0,CONCATENATE(TEXT(FIXED(ROUND((C2547*(1-I2547)*(1-ADD.DISCOUNT)*(1+MAT.SURCHARGE)/EXC.RATE_1),CURRENCY.FORMAT_1),CURRENCY.FORMAT_1,1),"# ##0;-# ##0"),",-"),FIXED(ROUND((C2547*(1-I2547)*(1-ADD.DISCOUNT)*(1+MAT.SURCHARGE)/EXC.RATE_1),CURRENCY.FORMAT_1),CURRENCY.FORMAT_1,0)),'DICTIONARY-5'!$A$2)</f>
        <v>177,-</v>
      </c>
      <c r="M2547" s="670" t="str">
        <f>IF(EXC.RATE_2=0,"",IFERROR(IF(CURRENCY.FORMAT_2=0,CONCATENATE(TEXT(FIXED(ROUND(IF(EXC.RATE.SWITCH=1,C2547*(1-I2547)*(1-ADD.DISCOUNT)*(1+MAT.SURCHARGE)/EXC.RATE_2,C2547*(1-I2547)*(1-ADD.DISCOUNT)*(1+MAT.SURCHARGE)*EXC.RATE_2),CURRENCY.FORMAT_2),CURRENCY.FORMAT_2,1),"# ##0;-# ##0"),",-"),FIXED(ROUND(IF(EXC.RATE.SWITCH=1,C2547*(1-I2547)*(1-ADD.DISCOUNT)*(1+MAT.SURCHARGE)/EXC.RATE_2,C2547*(1-I2547)*(1-ADD.DISCOUNT)*(1+MAT.SURCHARGE)*EXC.RATE_2),CURRENCY.FORMAT_2),CURRENCY.FORMAT_2,0)),'DICTIONARY-5'!$A$2))</f>
        <v/>
      </c>
      <c r="N2547" s="536">
        <v>12</v>
      </c>
      <c r="O2547" s="536"/>
      <c r="P2547" s="732" t="str">
        <f>'DICTIONARY-3'!$A$153&amp;" "&amp;'DICTIONARY-3'!$A$162</f>
        <v>BAIO P</v>
      </c>
      <c r="Q2547" s="732" t="str">
        <f>'DICTIONARY-3'!$A$223</f>
        <v>Kształtka</v>
      </c>
      <c r="R2547" s="732" t="str">
        <f>CONCATENATE('DICTIONARY-3'!$A$153," ",'DICTIONARY-3'!$A$175&amp;'DICTIONARY-3'!$A$162&amp;'DICTIONARY-3'!$A$174," ",'DICTIONARY-2'!$A$2,"150"," ",'DICTIONARY-2'!$A$10,"16",'DICTIONARY-2'!$A$20," ",'DICTIONARY-2'!$A$24,"=","212/101",'DICTIONARY-2'!$A$17," ","G1½"," ","+",'DICTIONARY-3'!$A$343,", ","1×",'DICTIONARY-5'!$A$199)</f>
        <v>BAIO Kształtka-P‎ DN150 PS16bar L=212/101mm G1½ +korek, 1×końcówka bosa</v>
      </c>
      <c r="S2547" s="733" t="s">
        <v>5569</v>
      </c>
      <c r="T2547" s="732" t="s">
        <v>5569</v>
      </c>
      <c r="U2547" s="734" t="s">
        <v>5572</v>
      </c>
      <c r="V2547" s="735"/>
      <c r="W2547" s="736"/>
      <c r="X2547" s="750" t="s">
        <v>5738</v>
      </c>
      <c r="Y2547" s="745"/>
      <c r="Z2547" s="747"/>
      <c r="AA2547" s="747"/>
      <c r="AB2547" s="740">
        <v>16</v>
      </c>
      <c r="AC2547" s="733" t="s">
        <v>5613</v>
      </c>
      <c r="AD2547" s="741" t="str">
        <f>'DICTIONARY-5'!$A$13</f>
        <v>woda pitna</v>
      </c>
      <c r="AE2547" s="742">
        <v>50</v>
      </c>
      <c r="AF2547" s="743">
        <v>8.5</v>
      </c>
      <c r="AG2547" s="741" t="str">
        <f>'DICTIONARY-5'!$A$23</f>
        <v>powłoka epoksydowa</v>
      </c>
    </row>
    <row r="2548" spans="1:33" x14ac:dyDescent="0.25">
      <c r="A2548" s="880" t="s">
        <v>2434</v>
      </c>
      <c r="B2548" s="880" t="s">
        <v>2772</v>
      </c>
      <c r="C2548" s="836">
        <v>189</v>
      </c>
      <c r="D2548" s="836"/>
      <c r="E2548" s="836"/>
      <c r="F2548" s="836"/>
      <c r="G2548" s="496" t="s">
        <v>7851</v>
      </c>
      <c r="H2548" s="797" t="str">
        <f>VLOOKUP(G2548,SETTINGS!$B$7:$D$97,2,0)</f>
        <v>BAIO Fittings</v>
      </c>
      <c r="I2548" s="796">
        <f>VLOOKUP(G2548,SETTINGS!$B$7:$D$97,3,0)</f>
        <v>0</v>
      </c>
      <c r="J2548" s="670" t="str">
        <f>IFERROR(IF(CURRENCY.FORMAT_1=0,CONCATENATE(TEXT(FIXED(ROUND((C2548/EXC.RATE_1),CURRENCY.FORMAT_1),CURRENCY.FORMAT_1,1),"# ##0;-# ##0"),",-"),FIXED(ROUND((C2548/EXC.RATE_1),CURRENCY.FORMAT_1),CURRENCY.FORMAT_1,0)),'DICTIONARY-5'!$A$2)</f>
        <v>189,-</v>
      </c>
      <c r="K2548" s="670" t="str">
        <f>IF(EXC.RATE_2=0,"",IFERROR(IF(CURRENCY.FORMAT_2=0,CONCATENATE(TEXT(FIXED(ROUND(IF(EXC.RATE.SWITCH=1,C2548/EXC.RATE_2,C2548*EXC.RATE_2),CURRENCY.FORMAT_2),CURRENCY.FORMAT_2,1),"# ##0;-# ##0"),",-"),FIXED(ROUND(IF(EXC.RATE.SWITCH=1,C2548/EXC.RATE_2,C2548*EXC.RATE_2),CURRENCY.FORMAT_2),CURRENCY.FORMAT_2,0)),'DICTIONARY-5'!$A$2))</f>
        <v/>
      </c>
      <c r="L2548" s="670" t="str">
        <f>IFERROR(IF(CURRENCY.FORMAT_1=0,CONCATENATE(TEXT(FIXED(ROUND((C2548*(1-I2548)*(1-ADD.DISCOUNT)*(1+MAT.SURCHARGE)/EXC.RATE_1),CURRENCY.FORMAT_1),CURRENCY.FORMAT_1,1),"# ##0;-# ##0"),",-"),FIXED(ROUND((C2548*(1-I2548)*(1-ADD.DISCOUNT)*(1+MAT.SURCHARGE)/EXC.RATE_1),CURRENCY.FORMAT_1),CURRENCY.FORMAT_1,0)),'DICTIONARY-5'!$A$2)</f>
        <v>196,-</v>
      </c>
      <c r="M2548" s="670" t="str">
        <f>IF(EXC.RATE_2=0,"",IFERROR(IF(CURRENCY.FORMAT_2=0,CONCATENATE(TEXT(FIXED(ROUND(IF(EXC.RATE.SWITCH=1,C2548*(1-I2548)*(1-ADD.DISCOUNT)*(1+MAT.SURCHARGE)/EXC.RATE_2,C2548*(1-I2548)*(1-ADD.DISCOUNT)*(1+MAT.SURCHARGE)*EXC.RATE_2),CURRENCY.FORMAT_2),CURRENCY.FORMAT_2,1),"# ##0;-# ##0"),",-"),FIXED(ROUND(IF(EXC.RATE.SWITCH=1,C2548*(1-I2548)*(1-ADD.DISCOUNT)*(1+MAT.SURCHARGE)/EXC.RATE_2,C2548*(1-I2548)*(1-ADD.DISCOUNT)*(1+MAT.SURCHARGE)*EXC.RATE_2),CURRENCY.FORMAT_2),CURRENCY.FORMAT_2,0)),'DICTIONARY-5'!$A$2))</f>
        <v/>
      </c>
      <c r="N2548" s="536">
        <v>12</v>
      </c>
      <c r="O2548" s="536"/>
      <c r="P2548" s="732" t="str">
        <f>'DICTIONARY-3'!$A$153&amp;" "&amp;'DICTIONARY-3'!$A$162</f>
        <v>BAIO P</v>
      </c>
      <c r="Q2548" s="732" t="str">
        <f>'DICTIONARY-3'!$A$223</f>
        <v>Kształtka</v>
      </c>
      <c r="R2548" s="732" t="str">
        <f>CONCATENATE('DICTIONARY-3'!$A$153," ",'DICTIONARY-3'!$A$175&amp;'DICTIONARY-3'!$A$162&amp;'DICTIONARY-3'!$A$174," ",'DICTIONARY-2'!$A$2,"200"," ",'DICTIONARY-2'!$A$10,"16",'DICTIONARY-2'!$A$20," ",'DICTIONARY-2'!$A$24,"=","222/105",'DICTIONARY-2'!$A$17," ","G1½"," ","+",'DICTIONARY-3'!$A$343,", ","1×",'DICTIONARY-5'!$A$199)</f>
        <v>BAIO Kształtka-P‎ DN200 PS16bar L=222/105mm G1½ +korek, 1×końcówka bosa</v>
      </c>
      <c r="S2548" s="733" t="s">
        <v>5569</v>
      </c>
      <c r="T2548" s="732" t="s">
        <v>5569</v>
      </c>
      <c r="U2548" s="734" t="s">
        <v>5750</v>
      </c>
      <c r="V2548" s="735"/>
      <c r="W2548" s="736"/>
      <c r="X2548" s="750" t="s">
        <v>5738</v>
      </c>
      <c r="Y2548" s="745"/>
      <c r="Z2548" s="747"/>
      <c r="AA2548" s="747"/>
      <c r="AB2548" s="740">
        <v>16</v>
      </c>
      <c r="AC2548" s="733" t="s">
        <v>5614</v>
      </c>
      <c r="AD2548" s="741" t="str">
        <f>'DICTIONARY-5'!$A$13</f>
        <v>woda pitna</v>
      </c>
      <c r="AE2548" s="742">
        <v>50</v>
      </c>
      <c r="AF2548" s="743">
        <v>12.5</v>
      </c>
      <c r="AG2548" s="741" t="str">
        <f>'DICTIONARY-5'!$A$23</f>
        <v>powłoka epoksydowa</v>
      </c>
    </row>
    <row r="2549" spans="1:33" x14ac:dyDescent="0.25">
      <c r="A2549" s="880" t="s">
        <v>2435</v>
      </c>
      <c r="B2549" s="880" t="str">
        <f>'DICTIONARY-5'!$A$2</f>
        <v>na zapytanie</v>
      </c>
      <c r="C2549" s="836" t="s">
        <v>5967</v>
      </c>
      <c r="D2549" s="836"/>
      <c r="E2549" s="836"/>
      <c r="F2549" s="836"/>
      <c r="G2549" s="496" t="s">
        <v>7851</v>
      </c>
      <c r="H2549" s="797" t="str">
        <f>VLOOKUP(G2549,SETTINGS!$B$7:$D$97,2,0)</f>
        <v>BAIO Fittings</v>
      </c>
      <c r="I2549" s="796">
        <f>VLOOKUP(G2549,SETTINGS!$B$7:$D$97,3,0)</f>
        <v>0</v>
      </c>
      <c r="J2549" s="670" t="str">
        <f>IFERROR(IF(CURRENCY.FORMAT_1=0,CONCATENATE(TEXT(FIXED(ROUND((C2549/EXC.RATE_1),CURRENCY.FORMAT_1),CURRENCY.FORMAT_1,1),"# ##0;-# ##0"),",-"),FIXED(ROUND((C2549/EXC.RATE_1),CURRENCY.FORMAT_1),CURRENCY.FORMAT_1,0)),'DICTIONARY-5'!$A$2)</f>
        <v>na zapytanie</v>
      </c>
      <c r="K2549" s="670" t="str">
        <f>IF(EXC.RATE_2=0,"",IFERROR(IF(CURRENCY.FORMAT_2=0,CONCATENATE(TEXT(FIXED(ROUND(IF(EXC.RATE.SWITCH=1,C2549/EXC.RATE_2,C2549*EXC.RATE_2),CURRENCY.FORMAT_2),CURRENCY.FORMAT_2,1),"# ##0;-# ##0"),",-"),FIXED(ROUND(IF(EXC.RATE.SWITCH=1,C2549/EXC.RATE_2,C2549*EXC.RATE_2),CURRENCY.FORMAT_2),CURRENCY.FORMAT_2,0)),'DICTIONARY-5'!$A$2))</f>
        <v/>
      </c>
      <c r="L2549" s="670" t="str">
        <f>IFERROR(IF(CURRENCY.FORMAT_1=0,CONCATENATE(TEXT(FIXED(ROUND((C2549*(1-I2549)*(1-ADD.DISCOUNT)*(1+MAT.SURCHARGE)/EXC.RATE_1),CURRENCY.FORMAT_1),CURRENCY.FORMAT_1,1),"# ##0;-# ##0"),",-"),FIXED(ROUND((C2549*(1-I2549)*(1-ADD.DISCOUNT)*(1+MAT.SURCHARGE)/EXC.RATE_1),CURRENCY.FORMAT_1),CURRENCY.FORMAT_1,0)),'DICTIONARY-5'!$A$2)</f>
        <v>na zapytanie</v>
      </c>
      <c r="M2549" s="670" t="str">
        <f>IF(EXC.RATE_2=0,"",IFERROR(IF(CURRENCY.FORMAT_2=0,CONCATENATE(TEXT(FIXED(ROUND(IF(EXC.RATE.SWITCH=1,C2549*(1-I2549)*(1-ADD.DISCOUNT)*(1+MAT.SURCHARGE)/EXC.RATE_2,C2549*(1-I2549)*(1-ADD.DISCOUNT)*(1+MAT.SURCHARGE)*EXC.RATE_2),CURRENCY.FORMAT_2),CURRENCY.FORMAT_2,1),"# ##0;-# ##0"),",-"),FIXED(ROUND(IF(EXC.RATE.SWITCH=1,C2549*(1-I2549)*(1-ADD.DISCOUNT)*(1+MAT.SURCHARGE)/EXC.RATE_2,C2549*(1-I2549)*(1-ADD.DISCOUNT)*(1+MAT.SURCHARGE)*EXC.RATE_2),CURRENCY.FORMAT_2),CURRENCY.FORMAT_2,0)),'DICTIONARY-5'!$A$2))</f>
        <v/>
      </c>
      <c r="N2549" s="536">
        <v>12</v>
      </c>
      <c r="O2549" s="536"/>
      <c r="P2549" s="732" t="str">
        <f>'DICTIONARY-3'!$A$153&amp;" "&amp;'DICTIONARY-3'!$A$163</f>
        <v>BAIO U</v>
      </c>
      <c r="Q2549" s="732" t="str">
        <f>'DICTIONARY-3'!$A$223</f>
        <v>Kształtka</v>
      </c>
      <c r="R2549" s="732" t="str">
        <f>CONCATENATE('DICTIONARY-3'!$A$153," ",'DICTIONARY-3'!$A$175&amp;'DICTIONARY-3'!$A$163&amp;'DICTIONARY-3'!$A$174," ",'DICTIONARY-2'!$A$2,"80"," ",'DICTIONARY-2'!$A$10,"16",'DICTIONARY-2'!$A$20," ",'DICTIONARY-2'!$A$24,"=","145",'DICTIONARY-2'!$A$17," ","G1½"," ","+",'DICTIONARY-3'!$A$343,", ","2×",'DICTIONARY-5'!$A$198)</f>
        <v>BAIO Kształtka-U‎ DN80 PS16bar L=145mm G1½ +korek, 2×mufa</v>
      </c>
      <c r="S2549" s="733" t="s">
        <v>5569</v>
      </c>
      <c r="T2549" s="732" t="s">
        <v>5569</v>
      </c>
      <c r="U2549" s="734" t="s">
        <v>5760</v>
      </c>
      <c r="V2549" s="735"/>
      <c r="W2549" s="736"/>
      <c r="X2549" s="750" t="s">
        <v>5738</v>
      </c>
      <c r="Y2549" s="745"/>
      <c r="Z2549" s="747"/>
      <c r="AA2549" s="747"/>
      <c r="AB2549" s="740">
        <v>16</v>
      </c>
      <c r="AC2549" s="741">
        <v>145</v>
      </c>
      <c r="AD2549" s="741" t="str">
        <f>'DICTIONARY-5'!$A$13</f>
        <v>woda pitna</v>
      </c>
      <c r="AE2549" s="742">
        <v>50</v>
      </c>
      <c r="AF2549" s="743"/>
      <c r="AG2549" s="741" t="str">
        <f>'DICTIONARY-5'!$A$23</f>
        <v>powłoka epoksydowa</v>
      </c>
    </row>
    <row r="2550" spans="1:33" x14ac:dyDescent="0.25">
      <c r="A2550" s="880" t="s">
        <v>2437</v>
      </c>
      <c r="B2550" s="880" t="str">
        <f>'DICTIONARY-5'!$A$2</f>
        <v>na zapytanie</v>
      </c>
      <c r="C2550" s="836" t="s">
        <v>5967</v>
      </c>
      <c r="D2550" s="836"/>
      <c r="E2550" s="836"/>
      <c r="F2550" s="836"/>
      <c r="G2550" s="496" t="s">
        <v>7851</v>
      </c>
      <c r="H2550" s="797" t="str">
        <f>VLOOKUP(G2550,SETTINGS!$B$7:$D$97,2,0)</f>
        <v>BAIO Fittings</v>
      </c>
      <c r="I2550" s="796">
        <f>VLOOKUP(G2550,SETTINGS!$B$7:$D$97,3,0)</f>
        <v>0</v>
      </c>
      <c r="J2550" s="670" t="str">
        <f>IFERROR(IF(CURRENCY.FORMAT_1=0,CONCATENATE(TEXT(FIXED(ROUND((C2550/EXC.RATE_1),CURRENCY.FORMAT_1),CURRENCY.FORMAT_1,1),"# ##0;-# ##0"),",-"),FIXED(ROUND((C2550/EXC.RATE_1),CURRENCY.FORMAT_1),CURRENCY.FORMAT_1,0)),'DICTIONARY-5'!$A$2)</f>
        <v>na zapytanie</v>
      </c>
      <c r="K2550" s="670" t="str">
        <f>IF(EXC.RATE_2=0,"",IFERROR(IF(CURRENCY.FORMAT_2=0,CONCATENATE(TEXT(FIXED(ROUND(IF(EXC.RATE.SWITCH=1,C2550/EXC.RATE_2,C2550*EXC.RATE_2),CURRENCY.FORMAT_2),CURRENCY.FORMAT_2,1),"# ##0;-# ##0"),",-"),FIXED(ROUND(IF(EXC.RATE.SWITCH=1,C2550/EXC.RATE_2,C2550*EXC.RATE_2),CURRENCY.FORMAT_2),CURRENCY.FORMAT_2,0)),'DICTIONARY-5'!$A$2))</f>
        <v/>
      </c>
      <c r="L2550" s="670" t="str">
        <f>IFERROR(IF(CURRENCY.FORMAT_1=0,CONCATENATE(TEXT(FIXED(ROUND((C2550*(1-I2550)*(1-ADD.DISCOUNT)*(1+MAT.SURCHARGE)/EXC.RATE_1),CURRENCY.FORMAT_1),CURRENCY.FORMAT_1,1),"# ##0;-# ##0"),",-"),FIXED(ROUND((C2550*(1-I2550)*(1-ADD.DISCOUNT)*(1+MAT.SURCHARGE)/EXC.RATE_1),CURRENCY.FORMAT_1),CURRENCY.FORMAT_1,0)),'DICTIONARY-5'!$A$2)</f>
        <v>na zapytanie</v>
      </c>
      <c r="M2550" s="670" t="str">
        <f>IF(EXC.RATE_2=0,"",IFERROR(IF(CURRENCY.FORMAT_2=0,CONCATENATE(TEXT(FIXED(ROUND(IF(EXC.RATE.SWITCH=1,C2550*(1-I2550)*(1-ADD.DISCOUNT)*(1+MAT.SURCHARGE)/EXC.RATE_2,C2550*(1-I2550)*(1-ADD.DISCOUNT)*(1+MAT.SURCHARGE)*EXC.RATE_2),CURRENCY.FORMAT_2),CURRENCY.FORMAT_2,1),"# ##0;-# ##0"),",-"),FIXED(ROUND(IF(EXC.RATE.SWITCH=1,C2550*(1-I2550)*(1-ADD.DISCOUNT)*(1+MAT.SURCHARGE)/EXC.RATE_2,C2550*(1-I2550)*(1-ADD.DISCOUNT)*(1+MAT.SURCHARGE)*EXC.RATE_2),CURRENCY.FORMAT_2),CURRENCY.FORMAT_2,0)),'DICTIONARY-5'!$A$2))</f>
        <v/>
      </c>
      <c r="N2550" s="536">
        <v>12</v>
      </c>
      <c r="O2550" s="536"/>
      <c r="P2550" s="732" t="str">
        <f>'DICTIONARY-3'!$A$153&amp;" "&amp;'DICTIONARY-3'!$A$163</f>
        <v>BAIO U</v>
      </c>
      <c r="Q2550" s="732" t="str">
        <f>'DICTIONARY-3'!$A$223</f>
        <v>Kształtka</v>
      </c>
      <c r="R2550" s="732" t="str">
        <f>CONCATENATE('DICTIONARY-3'!$A$153," ",'DICTIONARY-3'!$A$175&amp;'DICTIONARY-3'!$A$163&amp;'DICTIONARY-3'!$A$174," ",'DICTIONARY-2'!$A$2,"100"," ",'DICTIONARY-2'!$A$10,"16",'DICTIONARY-2'!$A$20," ",'DICTIONARY-2'!$A$24,"=","150",'DICTIONARY-2'!$A$17," ","G1½"," ","+",'DICTIONARY-3'!$A$343,", ","2×",'DICTIONARY-5'!$A$198)</f>
        <v>BAIO Kształtka-U‎ DN100 PS16bar L=150mm G1½ +korek, 2×mufa</v>
      </c>
      <c r="S2550" s="733" t="s">
        <v>5569</v>
      </c>
      <c r="T2550" s="732" t="s">
        <v>5569</v>
      </c>
      <c r="U2550" s="734" t="s">
        <v>5749</v>
      </c>
      <c r="V2550" s="735"/>
      <c r="W2550" s="736"/>
      <c r="X2550" s="750" t="s">
        <v>5738</v>
      </c>
      <c r="Y2550" s="745"/>
      <c r="Z2550" s="747"/>
      <c r="AA2550" s="747"/>
      <c r="AB2550" s="740">
        <v>16</v>
      </c>
      <c r="AC2550" s="741">
        <v>150</v>
      </c>
      <c r="AD2550" s="741" t="str">
        <f>'DICTIONARY-5'!$A$13</f>
        <v>woda pitna</v>
      </c>
      <c r="AE2550" s="742">
        <v>50</v>
      </c>
      <c r="AF2550" s="743"/>
      <c r="AG2550" s="741" t="str">
        <f>'DICTIONARY-5'!$A$23</f>
        <v>powłoka epoksydowa</v>
      </c>
    </row>
    <row r="2551" spans="1:33" x14ac:dyDescent="0.25">
      <c r="A2551" s="880" t="s">
        <v>2439</v>
      </c>
      <c r="B2551" s="880" t="str">
        <f>'DICTIONARY-5'!$A$2</f>
        <v>na zapytanie</v>
      </c>
      <c r="C2551" s="836" t="s">
        <v>5967</v>
      </c>
      <c r="D2551" s="836"/>
      <c r="E2551" s="836"/>
      <c r="F2551" s="836"/>
      <c r="G2551" s="496" t="s">
        <v>7851</v>
      </c>
      <c r="H2551" s="797" t="str">
        <f>VLOOKUP(G2551,SETTINGS!$B$7:$D$97,2,0)</f>
        <v>BAIO Fittings</v>
      </c>
      <c r="I2551" s="796">
        <f>VLOOKUP(G2551,SETTINGS!$B$7:$D$97,3,0)</f>
        <v>0</v>
      </c>
      <c r="J2551" s="670" t="str">
        <f>IFERROR(IF(CURRENCY.FORMAT_1=0,CONCATENATE(TEXT(FIXED(ROUND((C2551/EXC.RATE_1),CURRENCY.FORMAT_1),CURRENCY.FORMAT_1,1),"# ##0;-# ##0"),",-"),FIXED(ROUND((C2551/EXC.RATE_1),CURRENCY.FORMAT_1),CURRENCY.FORMAT_1,0)),'DICTIONARY-5'!$A$2)</f>
        <v>na zapytanie</v>
      </c>
      <c r="K2551" s="670" t="str">
        <f>IF(EXC.RATE_2=0,"",IFERROR(IF(CURRENCY.FORMAT_2=0,CONCATENATE(TEXT(FIXED(ROUND(IF(EXC.RATE.SWITCH=1,C2551/EXC.RATE_2,C2551*EXC.RATE_2),CURRENCY.FORMAT_2),CURRENCY.FORMAT_2,1),"# ##0;-# ##0"),",-"),FIXED(ROUND(IF(EXC.RATE.SWITCH=1,C2551/EXC.RATE_2,C2551*EXC.RATE_2),CURRENCY.FORMAT_2),CURRENCY.FORMAT_2,0)),'DICTIONARY-5'!$A$2))</f>
        <v/>
      </c>
      <c r="L2551" s="670" t="str">
        <f>IFERROR(IF(CURRENCY.FORMAT_1=0,CONCATENATE(TEXT(FIXED(ROUND((C2551*(1-I2551)*(1-ADD.DISCOUNT)*(1+MAT.SURCHARGE)/EXC.RATE_1),CURRENCY.FORMAT_1),CURRENCY.FORMAT_1,1),"# ##0;-# ##0"),",-"),FIXED(ROUND((C2551*(1-I2551)*(1-ADD.DISCOUNT)*(1+MAT.SURCHARGE)/EXC.RATE_1),CURRENCY.FORMAT_1),CURRENCY.FORMAT_1,0)),'DICTIONARY-5'!$A$2)</f>
        <v>na zapytanie</v>
      </c>
      <c r="M2551" s="670" t="str">
        <f>IF(EXC.RATE_2=0,"",IFERROR(IF(CURRENCY.FORMAT_2=0,CONCATENATE(TEXT(FIXED(ROUND(IF(EXC.RATE.SWITCH=1,C2551*(1-I2551)*(1-ADD.DISCOUNT)*(1+MAT.SURCHARGE)/EXC.RATE_2,C2551*(1-I2551)*(1-ADD.DISCOUNT)*(1+MAT.SURCHARGE)*EXC.RATE_2),CURRENCY.FORMAT_2),CURRENCY.FORMAT_2,1),"# ##0;-# ##0"),",-"),FIXED(ROUND(IF(EXC.RATE.SWITCH=1,C2551*(1-I2551)*(1-ADD.DISCOUNT)*(1+MAT.SURCHARGE)/EXC.RATE_2,C2551*(1-I2551)*(1-ADD.DISCOUNT)*(1+MAT.SURCHARGE)*EXC.RATE_2),CURRENCY.FORMAT_2),CURRENCY.FORMAT_2,0)),'DICTIONARY-5'!$A$2))</f>
        <v/>
      </c>
      <c r="N2551" s="536">
        <v>12</v>
      </c>
      <c r="O2551" s="536"/>
      <c r="P2551" s="732" t="str">
        <f>'DICTIONARY-3'!$A$153&amp;" "&amp;'DICTIONARY-3'!$A$163</f>
        <v>BAIO U</v>
      </c>
      <c r="Q2551" s="732" t="str">
        <f>'DICTIONARY-3'!$A$223</f>
        <v>Kształtka</v>
      </c>
      <c r="R2551" s="732" t="str">
        <f>CONCATENATE('DICTIONARY-3'!$A$153," ",'DICTIONARY-3'!$A$175&amp;'DICTIONARY-3'!$A$163&amp;'DICTIONARY-3'!$A$174," ",'DICTIONARY-2'!$A$2,"125"," ",'DICTIONARY-2'!$A$10,"16",'DICTIONARY-2'!$A$20," ",'DICTIONARY-2'!$A$24,"=","158",'DICTIONARY-2'!$A$17," ","G1½"," ","+",'DICTIONARY-3'!$A$343,", ","2×",'DICTIONARY-5'!$A$198)</f>
        <v>BAIO Kształtka-U‎ DN125 PS16bar L=158mm G1½ +korek, 2×mufa</v>
      </c>
      <c r="S2551" s="733" t="s">
        <v>5569</v>
      </c>
      <c r="T2551" s="732" t="s">
        <v>5569</v>
      </c>
      <c r="U2551" s="734" t="s">
        <v>5761</v>
      </c>
      <c r="V2551" s="735"/>
      <c r="W2551" s="736"/>
      <c r="X2551" s="750" t="s">
        <v>5738</v>
      </c>
      <c r="Y2551" s="745"/>
      <c r="Z2551" s="747"/>
      <c r="AA2551" s="747"/>
      <c r="AB2551" s="740">
        <v>16</v>
      </c>
      <c r="AC2551" s="741">
        <v>158</v>
      </c>
      <c r="AD2551" s="741" t="str">
        <f>'DICTIONARY-5'!$A$13</f>
        <v>woda pitna</v>
      </c>
      <c r="AE2551" s="742">
        <v>50</v>
      </c>
      <c r="AF2551" s="743"/>
      <c r="AG2551" s="741" t="str">
        <f>'DICTIONARY-5'!$A$23</f>
        <v>powłoka epoksydowa</v>
      </c>
    </row>
    <row r="2552" spans="1:33" x14ac:dyDescent="0.25">
      <c r="A2552" s="880" t="s">
        <v>2441</v>
      </c>
      <c r="B2552" s="880" t="str">
        <f>'DICTIONARY-5'!$A$2</f>
        <v>na zapytanie</v>
      </c>
      <c r="C2552" s="836" t="s">
        <v>5967</v>
      </c>
      <c r="D2552" s="836"/>
      <c r="E2552" s="836"/>
      <c r="F2552" s="836"/>
      <c r="G2552" s="496" t="s">
        <v>7851</v>
      </c>
      <c r="H2552" s="797" t="str">
        <f>VLOOKUP(G2552,SETTINGS!$B$7:$D$97,2,0)</f>
        <v>BAIO Fittings</v>
      </c>
      <c r="I2552" s="796">
        <f>VLOOKUP(G2552,SETTINGS!$B$7:$D$97,3,0)</f>
        <v>0</v>
      </c>
      <c r="J2552" s="670" t="str">
        <f>IFERROR(IF(CURRENCY.FORMAT_1=0,CONCATENATE(TEXT(FIXED(ROUND((C2552/EXC.RATE_1),CURRENCY.FORMAT_1),CURRENCY.FORMAT_1,1),"# ##0;-# ##0"),",-"),FIXED(ROUND((C2552/EXC.RATE_1),CURRENCY.FORMAT_1),CURRENCY.FORMAT_1,0)),'DICTIONARY-5'!$A$2)</f>
        <v>na zapytanie</v>
      </c>
      <c r="K2552" s="670" t="str">
        <f>IF(EXC.RATE_2=0,"",IFERROR(IF(CURRENCY.FORMAT_2=0,CONCATENATE(TEXT(FIXED(ROUND(IF(EXC.RATE.SWITCH=1,C2552/EXC.RATE_2,C2552*EXC.RATE_2),CURRENCY.FORMAT_2),CURRENCY.FORMAT_2,1),"# ##0;-# ##0"),",-"),FIXED(ROUND(IF(EXC.RATE.SWITCH=1,C2552/EXC.RATE_2,C2552*EXC.RATE_2),CURRENCY.FORMAT_2),CURRENCY.FORMAT_2,0)),'DICTIONARY-5'!$A$2))</f>
        <v/>
      </c>
      <c r="L2552" s="670" t="str">
        <f>IFERROR(IF(CURRENCY.FORMAT_1=0,CONCATENATE(TEXT(FIXED(ROUND((C2552*(1-I2552)*(1-ADD.DISCOUNT)*(1+MAT.SURCHARGE)/EXC.RATE_1),CURRENCY.FORMAT_1),CURRENCY.FORMAT_1,1),"# ##0;-# ##0"),",-"),FIXED(ROUND((C2552*(1-I2552)*(1-ADD.DISCOUNT)*(1+MAT.SURCHARGE)/EXC.RATE_1),CURRENCY.FORMAT_1),CURRENCY.FORMAT_1,0)),'DICTIONARY-5'!$A$2)</f>
        <v>na zapytanie</v>
      </c>
      <c r="M2552" s="670" t="str">
        <f>IF(EXC.RATE_2=0,"",IFERROR(IF(CURRENCY.FORMAT_2=0,CONCATENATE(TEXT(FIXED(ROUND(IF(EXC.RATE.SWITCH=1,C2552*(1-I2552)*(1-ADD.DISCOUNT)*(1+MAT.SURCHARGE)/EXC.RATE_2,C2552*(1-I2552)*(1-ADD.DISCOUNT)*(1+MAT.SURCHARGE)*EXC.RATE_2),CURRENCY.FORMAT_2),CURRENCY.FORMAT_2,1),"# ##0;-# ##0"),",-"),FIXED(ROUND(IF(EXC.RATE.SWITCH=1,C2552*(1-I2552)*(1-ADD.DISCOUNT)*(1+MAT.SURCHARGE)/EXC.RATE_2,C2552*(1-I2552)*(1-ADD.DISCOUNT)*(1+MAT.SURCHARGE)*EXC.RATE_2),CURRENCY.FORMAT_2),CURRENCY.FORMAT_2,0)),'DICTIONARY-5'!$A$2))</f>
        <v/>
      </c>
      <c r="N2552" s="536">
        <v>12</v>
      </c>
      <c r="O2552" s="536"/>
      <c r="P2552" s="732" t="str">
        <f>'DICTIONARY-3'!$A$153&amp;" "&amp;'DICTIONARY-3'!$A$163</f>
        <v>BAIO U</v>
      </c>
      <c r="Q2552" s="732" t="str">
        <f>'DICTIONARY-3'!$A$223</f>
        <v>Kształtka</v>
      </c>
      <c r="R2552" s="732" t="str">
        <f>CONCATENATE('DICTIONARY-3'!$A$153," ",'DICTIONARY-3'!$A$175&amp;'DICTIONARY-3'!$A$163&amp;'DICTIONARY-3'!$A$174," ",'DICTIONARY-2'!$A$2,"150"," ",'DICTIONARY-2'!$A$10,"16",'DICTIONARY-2'!$A$20," ",'DICTIONARY-2'!$A$24,"=","155",'DICTIONARY-2'!$A$17," ","G1½"," ","+",'DICTIONARY-3'!$A$343,", ","2×",'DICTIONARY-5'!$A$198)</f>
        <v>BAIO Kształtka-U‎ DN150 PS16bar L=155mm G1½ +korek, 2×mufa</v>
      </c>
      <c r="S2552" s="733" t="s">
        <v>5569</v>
      </c>
      <c r="T2552" s="732" t="s">
        <v>5569</v>
      </c>
      <c r="U2552" s="734" t="s">
        <v>5572</v>
      </c>
      <c r="V2552" s="735"/>
      <c r="W2552" s="736"/>
      <c r="X2552" s="750" t="s">
        <v>5738</v>
      </c>
      <c r="Y2552" s="745"/>
      <c r="Z2552" s="747"/>
      <c r="AA2552" s="747"/>
      <c r="AB2552" s="740">
        <v>16</v>
      </c>
      <c r="AC2552" s="741">
        <v>155</v>
      </c>
      <c r="AD2552" s="741" t="str">
        <f>'DICTIONARY-5'!$A$13</f>
        <v>woda pitna</v>
      </c>
      <c r="AE2552" s="742">
        <v>50</v>
      </c>
      <c r="AF2552" s="743"/>
      <c r="AG2552" s="741" t="str">
        <f>'DICTIONARY-5'!$A$23</f>
        <v>powłoka epoksydowa</v>
      </c>
    </row>
    <row r="2553" spans="1:33" x14ac:dyDescent="0.25">
      <c r="A2553" s="880" t="s">
        <v>2443</v>
      </c>
      <c r="B2553" s="880" t="str">
        <f>'DICTIONARY-5'!$A$2</f>
        <v>na zapytanie</v>
      </c>
      <c r="C2553" s="836" t="s">
        <v>5967</v>
      </c>
      <c r="D2553" s="836"/>
      <c r="E2553" s="836"/>
      <c r="F2553" s="836"/>
      <c r="G2553" s="496" t="s">
        <v>7851</v>
      </c>
      <c r="H2553" s="797" t="str">
        <f>VLOOKUP(G2553,SETTINGS!$B$7:$D$97,2,0)</f>
        <v>BAIO Fittings</v>
      </c>
      <c r="I2553" s="796">
        <f>VLOOKUP(G2553,SETTINGS!$B$7:$D$97,3,0)</f>
        <v>0</v>
      </c>
      <c r="J2553" s="670" t="str">
        <f>IFERROR(IF(CURRENCY.FORMAT_1=0,CONCATENATE(TEXT(FIXED(ROUND((C2553/EXC.RATE_1),CURRENCY.FORMAT_1),CURRENCY.FORMAT_1,1),"# ##0;-# ##0"),",-"),FIXED(ROUND((C2553/EXC.RATE_1),CURRENCY.FORMAT_1),CURRENCY.FORMAT_1,0)),'DICTIONARY-5'!$A$2)</f>
        <v>na zapytanie</v>
      </c>
      <c r="K2553" s="670" t="str">
        <f>IF(EXC.RATE_2=0,"",IFERROR(IF(CURRENCY.FORMAT_2=0,CONCATENATE(TEXT(FIXED(ROUND(IF(EXC.RATE.SWITCH=1,C2553/EXC.RATE_2,C2553*EXC.RATE_2),CURRENCY.FORMAT_2),CURRENCY.FORMAT_2,1),"# ##0;-# ##0"),",-"),FIXED(ROUND(IF(EXC.RATE.SWITCH=1,C2553/EXC.RATE_2,C2553*EXC.RATE_2),CURRENCY.FORMAT_2),CURRENCY.FORMAT_2,0)),'DICTIONARY-5'!$A$2))</f>
        <v/>
      </c>
      <c r="L2553" s="670" t="str">
        <f>IFERROR(IF(CURRENCY.FORMAT_1=0,CONCATENATE(TEXT(FIXED(ROUND((C2553*(1-I2553)*(1-ADD.DISCOUNT)*(1+MAT.SURCHARGE)/EXC.RATE_1),CURRENCY.FORMAT_1),CURRENCY.FORMAT_1,1),"# ##0;-# ##0"),",-"),FIXED(ROUND((C2553*(1-I2553)*(1-ADD.DISCOUNT)*(1+MAT.SURCHARGE)/EXC.RATE_1),CURRENCY.FORMAT_1),CURRENCY.FORMAT_1,0)),'DICTIONARY-5'!$A$2)</f>
        <v>na zapytanie</v>
      </c>
      <c r="M2553" s="670" t="str">
        <f>IF(EXC.RATE_2=0,"",IFERROR(IF(CURRENCY.FORMAT_2=0,CONCATENATE(TEXT(FIXED(ROUND(IF(EXC.RATE.SWITCH=1,C2553*(1-I2553)*(1-ADD.DISCOUNT)*(1+MAT.SURCHARGE)/EXC.RATE_2,C2553*(1-I2553)*(1-ADD.DISCOUNT)*(1+MAT.SURCHARGE)*EXC.RATE_2),CURRENCY.FORMAT_2),CURRENCY.FORMAT_2,1),"# ##0;-# ##0"),",-"),FIXED(ROUND(IF(EXC.RATE.SWITCH=1,C2553*(1-I2553)*(1-ADD.DISCOUNT)*(1+MAT.SURCHARGE)/EXC.RATE_2,C2553*(1-I2553)*(1-ADD.DISCOUNT)*(1+MAT.SURCHARGE)*EXC.RATE_2),CURRENCY.FORMAT_2),CURRENCY.FORMAT_2,0)),'DICTIONARY-5'!$A$2))</f>
        <v/>
      </c>
      <c r="N2553" s="536">
        <v>12</v>
      </c>
      <c r="O2553" s="536"/>
      <c r="P2553" s="732" t="str">
        <f>'DICTIONARY-3'!$A$153&amp;" "&amp;'DICTIONARY-3'!$A$163</f>
        <v>BAIO U</v>
      </c>
      <c r="Q2553" s="732" t="str">
        <f>'DICTIONARY-3'!$A$223</f>
        <v>Kształtka</v>
      </c>
      <c r="R2553" s="732" t="str">
        <f>CONCATENATE('DICTIONARY-3'!$A$153," ",'DICTIONARY-3'!$A$175&amp;'DICTIONARY-3'!$A$163&amp;'DICTIONARY-3'!$A$174," ",'DICTIONARY-2'!$A$2,"200"," ",'DICTIONARY-2'!$A$10,"16",'DICTIONARY-2'!$A$20," ",'DICTIONARY-2'!$A$24,"=","165",'DICTIONARY-2'!$A$17," ","G1½"," ","+",'DICTIONARY-3'!$A$343,", ","2×",'DICTIONARY-5'!$A$198)</f>
        <v>BAIO Kształtka-U‎ DN200 PS16bar L=165mm G1½ +korek, 2×mufa</v>
      </c>
      <c r="S2553" s="733" t="s">
        <v>5569</v>
      </c>
      <c r="T2553" s="732" t="s">
        <v>5569</v>
      </c>
      <c r="U2553" s="734" t="s">
        <v>5750</v>
      </c>
      <c r="V2553" s="735"/>
      <c r="W2553" s="736"/>
      <c r="X2553" s="750" t="s">
        <v>5738</v>
      </c>
      <c r="Y2553" s="745"/>
      <c r="Z2553" s="747"/>
      <c r="AA2553" s="747"/>
      <c r="AB2553" s="740">
        <v>16</v>
      </c>
      <c r="AC2553" s="741">
        <v>165</v>
      </c>
      <c r="AD2553" s="741" t="str">
        <f>'DICTIONARY-5'!$A$13</f>
        <v>woda pitna</v>
      </c>
      <c r="AE2553" s="742">
        <v>50</v>
      </c>
      <c r="AF2553" s="743"/>
      <c r="AG2553" s="741" t="str">
        <f>'DICTIONARY-5'!$A$23</f>
        <v>powłoka epoksydowa</v>
      </c>
    </row>
    <row r="2554" spans="1:33" x14ac:dyDescent="0.25">
      <c r="A2554" s="880" t="s">
        <v>2436</v>
      </c>
      <c r="B2554" s="880" t="s">
        <v>2782</v>
      </c>
      <c r="C2554" s="836">
        <v>203</v>
      </c>
      <c r="D2554" s="836"/>
      <c r="E2554" s="836"/>
      <c r="F2554" s="836"/>
      <c r="G2554" s="496" t="s">
        <v>7851</v>
      </c>
      <c r="H2554" s="797" t="str">
        <f>VLOOKUP(G2554,SETTINGS!$B$7:$D$97,2,0)</f>
        <v>BAIO Fittings</v>
      </c>
      <c r="I2554" s="796">
        <f>VLOOKUP(G2554,SETTINGS!$B$7:$D$97,3,0)</f>
        <v>0</v>
      </c>
      <c r="J2554" s="670" t="str">
        <f>IFERROR(IF(CURRENCY.FORMAT_1=0,CONCATENATE(TEXT(FIXED(ROUND((C2554/EXC.RATE_1),CURRENCY.FORMAT_1),CURRENCY.FORMAT_1,1),"# ##0;-# ##0"),",-"),FIXED(ROUND((C2554/EXC.RATE_1),CURRENCY.FORMAT_1),CURRENCY.FORMAT_1,0)),'DICTIONARY-5'!$A$2)</f>
        <v>203,-</v>
      </c>
      <c r="K2554" s="670" t="str">
        <f>IF(EXC.RATE_2=0,"",IFERROR(IF(CURRENCY.FORMAT_2=0,CONCATENATE(TEXT(FIXED(ROUND(IF(EXC.RATE.SWITCH=1,C2554/EXC.RATE_2,C2554*EXC.RATE_2),CURRENCY.FORMAT_2),CURRENCY.FORMAT_2,1),"# ##0;-# ##0"),",-"),FIXED(ROUND(IF(EXC.RATE.SWITCH=1,C2554/EXC.RATE_2,C2554*EXC.RATE_2),CURRENCY.FORMAT_2),CURRENCY.FORMAT_2,0)),'DICTIONARY-5'!$A$2))</f>
        <v/>
      </c>
      <c r="L2554" s="670" t="str">
        <f>IFERROR(IF(CURRENCY.FORMAT_1=0,CONCATENATE(TEXT(FIXED(ROUND((C2554*(1-I2554)*(1-ADD.DISCOUNT)*(1+MAT.SURCHARGE)/EXC.RATE_1),CURRENCY.FORMAT_1),CURRENCY.FORMAT_1,1),"# ##0;-# ##0"),",-"),FIXED(ROUND((C2554*(1-I2554)*(1-ADD.DISCOUNT)*(1+MAT.SURCHARGE)/EXC.RATE_1),CURRENCY.FORMAT_1),CURRENCY.FORMAT_1,0)),'DICTIONARY-5'!$A$2)</f>
        <v>211,-</v>
      </c>
      <c r="M2554" s="670" t="str">
        <f>IF(EXC.RATE_2=0,"",IFERROR(IF(CURRENCY.FORMAT_2=0,CONCATENATE(TEXT(FIXED(ROUND(IF(EXC.RATE.SWITCH=1,C2554*(1-I2554)*(1-ADD.DISCOUNT)*(1+MAT.SURCHARGE)/EXC.RATE_2,C2554*(1-I2554)*(1-ADD.DISCOUNT)*(1+MAT.SURCHARGE)*EXC.RATE_2),CURRENCY.FORMAT_2),CURRENCY.FORMAT_2,1),"# ##0;-# ##0"),",-"),FIXED(ROUND(IF(EXC.RATE.SWITCH=1,C2554*(1-I2554)*(1-ADD.DISCOUNT)*(1+MAT.SURCHARGE)/EXC.RATE_2,C2554*(1-I2554)*(1-ADD.DISCOUNT)*(1+MAT.SURCHARGE)*EXC.RATE_2),CURRENCY.FORMAT_2),CURRENCY.FORMAT_2,0)),'DICTIONARY-5'!$A$2))</f>
        <v/>
      </c>
      <c r="N2554" s="536">
        <v>12</v>
      </c>
      <c r="O2554" s="536"/>
      <c r="P2554" s="732" t="str">
        <f>'DICTIONARY-3'!$A$153&amp;" "&amp;'DICTIONARY-3'!$A$163</f>
        <v>BAIO U</v>
      </c>
      <c r="Q2554" s="732" t="str">
        <f>'DICTIONARY-3'!$A$223</f>
        <v>Kształtka</v>
      </c>
      <c r="R2554" s="732" t="str">
        <f>CONCATENATE('DICTIONARY-3'!$A$153," ",'DICTIONARY-3'!$A$175&amp;'DICTIONARY-3'!$A$163&amp;'DICTIONARY-3'!$A$174," ",'DICTIONARY-2'!$A$2,"80"," ",'DICTIONARY-2'!$A$10,"16",'DICTIONARY-2'!$A$20," ",'DICTIONARY-2'!$A$24,"=","145",'DICTIONARY-2'!$A$17," ","G2"," ","+",'DICTIONARY-3'!$A$343,", ","2×",'DICTIONARY-5'!$A$198)</f>
        <v>BAIO Kształtka-U‎ DN80 PS16bar L=145mm G2 +korek, 2×mufa</v>
      </c>
      <c r="S2554" s="733" t="s">
        <v>5569</v>
      </c>
      <c r="T2554" s="732" t="s">
        <v>5569</v>
      </c>
      <c r="U2554" s="734" t="s">
        <v>5760</v>
      </c>
      <c r="V2554" s="735"/>
      <c r="W2554" s="736"/>
      <c r="X2554" s="750" t="s">
        <v>50</v>
      </c>
      <c r="Y2554" s="745"/>
      <c r="Z2554" s="747"/>
      <c r="AA2554" s="747"/>
      <c r="AB2554" s="740">
        <v>16</v>
      </c>
      <c r="AC2554" s="741">
        <v>145</v>
      </c>
      <c r="AD2554" s="741" t="str">
        <f>'DICTIONARY-5'!$A$13</f>
        <v>woda pitna</v>
      </c>
      <c r="AE2554" s="742">
        <v>50</v>
      </c>
      <c r="AF2554" s="743">
        <v>9.4</v>
      </c>
      <c r="AG2554" s="741" t="str">
        <f>'DICTIONARY-5'!$A$23</f>
        <v>powłoka epoksydowa</v>
      </c>
    </row>
    <row r="2555" spans="1:33" x14ac:dyDescent="0.25">
      <c r="A2555" s="880" t="s">
        <v>2438</v>
      </c>
      <c r="B2555" s="880" t="s">
        <v>2783</v>
      </c>
      <c r="C2555" s="836">
        <v>193</v>
      </c>
      <c r="D2555" s="836"/>
      <c r="E2555" s="836"/>
      <c r="F2555" s="836"/>
      <c r="G2555" s="496" t="s">
        <v>7851</v>
      </c>
      <c r="H2555" s="797" t="str">
        <f>VLOOKUP(G2555,SETTINGS!$B$7:$D$97,2,0)</f>
        <v>BAIO Fittings</v>
      </c>
      <c r="I2555" s="796">
        <f>VLOOKUP(G2555,SETTINGS!$B$7:$D$97,3,0)</f>
        <v>0</v>
      </c>
      <c r="J2555" s="670" t="str">
        <f>IFERROR(IF(CURRENCY.FORMAT_1=0,CONCATENATE(TEXT(FIXED(ROUND((C2555/EXC.RATE_1),CURRENCY.FORMAT_1),CURRENCY.FORMAT_1,1),"# ##0;-# ##0"),",-"),FIXED(ROUND((C2555/EXC.RATE_1),CURRENCY.FORMAT_1),CURRENCY.FORMAT_1,0)),'DICTIONARY-5'!$A$2)</f>
        <v>193,-</v>
      </c>
      <c r="K2555" s="670" t="str">
        <f>IF(EXC.RATE_2=0,"",IFERROR(IF(CURRENCY.FORMAT_2=0,CONCATENATE(TEXT(FIXED(ROUND(IF(EXC.RATE.SWITCH=1,C2555/EXC.RATE_2,C2555*EXC.RATE_2),CURRENCY.FORMAT_2),CURRENCY.FORMAT_2,1),"# ##0;-# ##0"),",-"),FIXED(ROUND(IF(EXC.RATE.SWITCH=1,C2555/EXC.RATE_2,C2555*EXC.RATE_2),CURRENCY.FORMAT_2),CURRENCY.FORMAT_2,0)),'DICTIONARY-5'!$A$2))</f>
        <v/>
      </c>
      <c r="L2555" s="670" t="str">
        <f>IFERROR(IF(CURRENCY.FORMAT_1=0,CONCATENATE(TEXT(FIXED(ROUND((C2555*(1-I2555)*(1-ADD.DISCOUNT)*(1+MAT.SURCHARGE)/EXC.RATE_1),CURRENCY.FORMAT_1),CURRENCY.FORMAT_1,1),"# ##0;-# ##0"),",-"),FIXED(ROUND((C2555*(1-I2555)*(1-ADD.DISCOUNT)*(1+MAT.SURCHARGE)/EXC.RATE_1),CURRENCY.FORMAT_1),CURRENCY.FORMAT_1,0)),'DICTIONARY-5'!$A$2)</f>
        <v>201,-</v>
      </c>
      <c r="M2555" s="670" t="str">
        <f>IF(EXC.RATE_2=0,"",IFERROR(IF(CURRENCY.FORMAT_2=0,CONCATENATE(TEXT(FIXED(ROUND(IF(EXC.RATE.SWITCH=1,C2555*(1-I2555)*(1-ADD.DISCOUNT)*(1+MAT.SURCHARGE)/EXC.RATE_2,C2555*(1-I2555)*(1-ADD.DISCOUNT)*(1+MAT.SURCHARGE)*EXC.RATE_2),CURRENCY.FORMAT_2),CURRENCY.FORMAT_2,1),"# ##0;-# ##0"),",-"),FIXED(ROUND(IF(EXC.RATE.SWITCH=1,C2555*(1-I2555)*(1-ADD.DISCOUNT)*(1+MAT.SURCHARGE)/EXC.RATE_2,C2555*(1-I2555)*(1-ADD.DISCOUNT)*(1+MAT.SURCHARGE)*EXC.RATE_2),CURRENCY.FORMAT_2),CURRENCY.FORMAT_2,0)),'DICTIONARY-5'!$A$2))</f>
        <v/>
      </c>
      <c r="N2555" s="536">
        <v>12</v>
      </c>
      <c r="O2555" s="536"/>
      <c r="P2555" s="732" t="str">
        <f>'DICTIONARY-3'!$A$153&amp;" "&amp;'DICTIONARY-3'!$A$163</f>
        <v>BAIO U</v>
      </c>
      <c r="Q2555" s="732" t="str">
        <f>'DICTIONARY-3'!$A$223</f>
        <v>Kształtka</v>
      </c>
      <c r="R2555" s="732" t="str">
        <f>CONCATENATE('DICTIONARY-3'!$A$153," ",'DICTIONARY-3'!$A$175&amp;'DICTIONARY-3'!$A$163&amp;'DICTIONARY-3'!$A$174," ",'DICTIONARY-2'!$A$2,"100"," ",'DICTIONARY-2'!$A$10,"16",'DICTIONARY-2'!$A$20," ",'DICTIONARY-2'!$A$24,"=","150",'DICTIONARY-2'!$A$17," ","G2"," ","+",'DICTIONARY-3'!$A$343,", ","2×",'DICTIONARY-5'!$A$198)</f>
        <v>BAIO Kształtka-U‎ DN100 PS16bar L=150mm G2 +korek, 2×mufa</v>
      </c>
      <c r="S2555" s="733" t="s">
        <v>5569</v>
      </c>
      <c r="T2555" s="732" t="s">
        <v>5569</v>
      </c>
      <c r="U2555" s="734" t="s">
        <v>5749</v>
      </c>
      <c r="V2555" s="735"/>
      <c r="W2555" s="736"/>
      <c r="X2555" s="750" t="s">
        <v>50</v>
      </c>
      <c r="Y2555" s="745"/>
      <c r="Z2555" s="747"/>
      <c r="AA2555" s="747"/>
      <c r="AB2555" s="740">
        <v>16</v>
      </c>
      <c r="AC2555" s="741">
        <v>150</v>
      </c>
      <c r="AD2555" s="741" t="str">
        <f>'DICTIONARY-5'!$A$13</f>
        <v>woda pitna</v>
      </c>
      <c r="AE2555" s="742">
        <v>50</v>
      </c>
      <c r="AF2555" s="743">
        <v>11.4</v>
      </c>
      <c r="AG2555" s="741" t="str">
        <f>'DICTIONARY-5'!$A$23</f>
        <v>powłoka epoksydowa</v>
      </c>
    </row>
    <row r="2556" spans="1:33" x14ac:dyDescent="0.25">
      <c r="A2556" s="880" t="s">
        <v>2440</v>
      </c>
      <c r="B2556" s="880" t="s">
        <v>2784</v>
      </c>
      <c r="C2556" s="836">
        <v>198</v>
      </c>
      <c r="D2556" s="836"/>
      <c r="E2556" s="836"/>
      <c r="F2556" s="836"/>
      <c r="G2556" s="496" t="s">
        <v>7851</v>
      </c>
      <c r="H2556" s="797" t="str">
        <f>VLOOKUP(G2556,SETTINGS!$B$7:$D$97,2,0)</f>
        <v>BAIO Fittings</v>
      </c>
      <c r="I2556" s="796">
        <f>VLOOKUP(G2556,SETTINGS!$B$7:$D$97,3,0)</f>
        <v>0</v>
      </c>
      <c r="J2556" s="670" t="str">
        <f>IFERROR(IF(CURRENCY.FORMAT_1=0,CONCATENATE(TEXT(FIXED(ROUND((C2556/EXC.RATE_1),CURRENCY.FORMAT_1),CURRENCY.FORMAT_1,1),"# ##0;-# ##0"),",-"),FIXED(ROUND((C2556/EXC.RATE_1),CURRENCY.FORMAT_1),CURRENCY.FORMAT_1,0)),'DICTIONARY-5'!$A$2)</f>
        <v>198,-</v>
      </c>
      <c r="K2556" s="670" t="str">
        <f>IF(EXC.RATE_2=0,"",IFERROR(IF(CURRENCY.FORMAT_2=0,CONCATENATE(TEXT(FIXED(ROUND(IF(EXC.RATE.SWITCH=1,C2556/EXC.RATE_2,C2556*EXC.RATE_2),CURRENCY.FORMAT_2),CURRENCY.FORMAT_2,1),"# ##0;-# ##0"),",-"),FIXED(ROUND(IF(EXC.RATE.SWITCH=1,C2556/EXC.RATE_2,C2556*EXC.RATE_2),CURRENCY.FORMAT_2),CURRENCY.FORMAT_2,0)),'DICTIONARY-5'!$A$2))</f>
        <v/>
      </c>
      <c r="L2556" s="670" t="str">
        <f>IFERROR(IF(CURRENCY.FORMAT_1=0,CONCATENATE(TEXT(FIXED(ROUND((C2556*(1-I2556)*(1-ADD.DISCOUNT)*(1+MAT.SURCHARGE)/EXC.RATE_1),CURRENCY.FORMAT_1),CURRENCY.FORMAT_1,1),"# ##0;-# ##0"),",-"),FIXED(ROUND((C2556*(1-I2556)*(1-ADD.DISCOUNT)*(1+MAT.SURCHARGE)/EXC.RATE_1),CURRENCY.FORMAT_1),CURRENCY.FORMAT_1,0)),'DICTIONARY-5'!$A$2)</f>
        <v>206,-</v>
      </c>
      <c r="M2556" s="670" t="str">
        <f>IF(EXC.RATE_2=0,"",IFERROR(IF(CURRENCY.FORMAT_2=0,CONCATENATE(TEXT(FIXED(ROUND(IF(EXC.RATE.SWITCH=1,C2556*(1-I2556)*(1-ADD.DISCOUNT)*(1+MAT.SURCHARGE)/EXC.RATE_2,C2556*(1-I2556)*(1-ADD.DISCOUNT)*(1+MAT.SURCHARGE)*EXC.RATE_2),CURRENCY.FORMAT_2),CURRENCY.FORMAT_2,1),"# ##0;-# ##0"),",-"),FIXED(ROUND(IF(EXC.RATE.SWITCH=1,C2556*(1-I2556)*(1-ADD.DISCOUNT)*(1+MAT.SURCHARGE)/EXC.RATE_2,C2556*(1-I2556)*(1-ADD.DISCOUNT)*(1+MAT.SURCHARGE)*EXC.RATE_2),CURRENCY.FORMAT_2),CURRENCY.FORMAT_2,0)),'DICTIONARY-5'!$A$2))</f>
        <v/>
      </c>
      <c r="N2556" s="536">
        <v>12</v>
      </c>
      <c r="O2556" s="536"/>
      <c r="P2556" s="732" t="str">
        <f>'DICTIONARY-3'!$A$153&amp;" "&amp;'DICTIONARY-3'!$A$163</f>
        <v>BAIO U</v>
      </c>
      <c r="Q2556" s="732" t="str">
        <f>'DICTIONARY-3'!$A$223</f>
        <v>Kształtka</v>
      </c>
      <c r="R2556" s="732" t="str">
        <f>CONCATENATE('DICTIONARY-3'!$A$153," ",'DICTIONARY-3'!$A$175&amp;'DICTIONARY-3'!$A$163&amp;'DICTIONARY-3'!$A$174," ",'DICTIONARY-2'!$A$2,"125"," ",'DICTIONARY-2'!$A$10,"16",'DICTIONARY-2'!$A$20," ",'DICTIONARY-2'!$A$24,"=","158",'DICTIONARY-2'!$A$17," ","G2"," ","+",'DICTIONARY-3'!$A$343,", ","2×",'DICTIONARY-5'!$A$198)</f>
        <v>BAIO Kształtka-U‎ DN125 PS16bar L=158mm G2 +korek, 2×mufa</v>
      </c>
      <c r="S2556" s="733" t="s">
        <v>5569</v>
      </c>
      <c r="T2556" s="732" t="s">
        <v>5569</v>
      </c>
      <c r="U2556" s="734" t="s">
        <v>5761</v>
      </c>
      <c r="V2556" s="735"/>
      <c r="W2556" s="736"/>
      <c r="X2556" s="750" t="s">
        <v>50</v>
      </c>
      <c r="Y2556" s="745"/>
      <c r="Z2556" s="747"/>
      <c r="AA2556" s="747"/>
      <c r="AB2556" s="740">
        <v>16</v>
      </c>
      <c r="AC2556" s="741">
        <v>158</v>
      </c>
      <c r="AD2556" s="741" t="str">
        <f>'DICTIONARY-5'!$A$13</f>
        <v>woda pitna</v>
      </c>
      <c r="AE2556" s="742">
        <v>50</v>
      </c>
      <c r="AF2556" s="743">
        <v>13.6</v>
      </c>
      <c r="AG2556" s="741" t="str">
        <f>'DICTIONARY-5'!$A$23</f>
        <v>powłoka epoksydowa</v>
      </c>
    </row>
    <row r="2557" spans="1:33" x14ac:dyDescent="0.25">
      <c r="A2557" s="880" t="s">
        <v>2442</v>
      </c>
      <c r="B2557" s="880" t="s">
        <v>2785</v>
      </c>
      <c r="C2557" s="836">
        <v>205</v>
      </c>
      <c r="D2557" s="836"/>
      <c r="E2557" s="836"/>
      <c r="F2557" s="836"/>
      <c r="G2557" s="496" t="s">
        <v>7851</v>
      </c>
      <c r="H2557" s="797" t="str">
        <f>VLOOKUP(G2557,SETTINGS!$B$7:$D$97,2,0)</f>
        <v>BAIO Fittings</v>
      </c>
      <c r="I2557" s="796">
        <f>VLOOKUP(G2557,SETTINGS!$B$7:$D$97,3,0)</f>
        <v>0</v>
      </c>
      <c r="J2557" s="670" t="str">
        <f>IFERROR(IF(CURRENCY.FORMAT_1=0,CONCATENATE(TEXT(FIXED(ROUND((C2557/EXC.RATE_1),CURRENCY.FORMAT_1),CURRENCY.FORMAT_1,1),"# ##0;-# ##0"),",-"),FIXED(ROUND((C2557/EXC.RATE_1),CURRENCY.FORMAT_1),CURRENCY.FORMAT_1,0)),'DICTIONARY-5'!$A$2)</f>
        <v>205,-</v>
      </c>
      <c r="K2557" s="670" t="str">
        <f>IF(EXC.RATE_2=0,"",IFERROR(IF(CURRENCY.FORMAT_2=0,CONCATENATE(TEXT(FIXED(ROUND(IF(EXC.RATE.SWITCH=1,C2557/EXC.RATE_2,C2557*EXC.RATE_2),CURRENCY.FORMAT_2),CURRENCY.FORMAT_2,1),"# ##0;-# ##0"),",-"),FIXED(ROUND(IF(EXC.RATE.SWITCH=1,C2557/EXC.RATE_2,C2557*EXC.RATE_2),CURRENCY.FORMAT_2),CURRENCY.FORMAT_2,0)),'DICTIONARY-5'!$A$2))</f>
        <v/>
      </c>
      <c r="L2557" s="670" t="str">
        <f>IFERROR(IF(CURRENCY.FORMAT_1=0,CONCATENATE(TEXT(FIXED(ROUND((C2557*(1-I2557)*(1-ADD.DISCOUNT)*(1+MAT.SURCHARGE)/EXC.RATE_1),CURRENCY.FORMAT_1),CURRENCY.FORMAT_1,1),"# ##0;-# ##0"),",-"),FIXED(ROUND((C2557*(1-I2557)*(1-ADD.DISCOUNT)*(1+MAT.SURCHARGE)/EXC.RATE_1),CURRENCY.FORMAT_1),CURRENCY.FORMAT_1,0)),'DICTIONARY-5'!$A$2)</f>
        <v>213,-</v>
      </c>
      <c r="M2557" s="670" t="str">
        <f>IF(EXC.RATE_2=0,"",IFERROR(IF(CURRENCY.FORMAT_2=0,CONCATENATE(TEXT(FIXED(ROUND(IF(EXC.RATE.SWITCH=1,C2557*(1-I2557)*(1-ADD.DISCOUNT)*(1+MAT.SURCHARGE)/EXC.RATE_2,C2557*(1-I2557)*(1-ADD.DISCOUNT)*(1+MAT.SURCHARGE)*EXC.RATE_2),CURRENCY.FORMAT_2),CURRENCY.FORMAT_2,1),"# ##0;-# ##0"),",-"),FIXED(ROUND(IF(EXC.RATE.SWITCH=1,C2557*(1-I2557)*(1-ADD.DISCOUNT)*(1+MAT.SURCHARGE)/EXC.RATE_2,C2557*(1-I2557)*(1-ADD.DISCOUNT)*(1+MAT.SURCHARGE)*EXC.RATE_2),CURRENCY.FORMAT_2),CURRENCY.FORMAT_2,0)),'DICTIONARY-5'!$A$2))</f>
        <v/>
      </c>
      <c r="N2557" s="536">
        <v>12</v>
      </c>
      <c r="O2557" s="536"/>
      <c r="P2557" s="732" t="str">
        <f>'DICTIONARY-3'!$A$153&amp;" "&amp;'DICTIONARY-3'!$A$163</f>
        <v>BAIO U</v>
      </c>
      <c r="Q2557" s="732" t="str">
        <f>'DICTIONARY-3'!$A$223</f>
        <v>Kształtka</v>
      </c>
      <c r="R2557" s="732" t="str">
        <f>CONCATENATE('DICTIONARY-3'!$A$153," ",'DICTIONARY-3'!$A$175&amp;'DICTIONARY-3'!$A$163&amp;'DICTIONARY-3'!$A$174," ",'DICTIONARY-2'!$A$2,"150"," ",'DICTIONARY-2'!$A$10,"16",'DICTIONARY-2'!$A$20," ",'DICTIONARY-2'!$A$24,"=","155",'DICTIONARY-2'!$A$17," ","G2"," ","+",'DICTIONARY-3'!$A$343,", ","2×",'DICTIONARY-5'!$A$198)</f>
        <v>BAIO Kształtka-U‎ DN150 PS16bar L=155mm G2 +korek, 2×mufa</v>
      </c>
      <c r="S2557" s="733" t="s">
        <v>5569</v>
      </c>
      <c r="T2557" s="732" t="s">
        <v>5569</v>
      </c>
      <c r="U2557" s="734" t="s">
        <v>5572</v>
      </c>
      <c r="V2557" s="735"/>
      <c r="W2557" s="736"/>
      <c r="X2557" s="750" t="s">
        <v>50</v>
      </c>
      <c r="Y2557" s="745"/>
      <c r="Z2557" s="747"/>
      <c r="AA2557" s="747"/>
      <c r="AB2557" s="740">
        <v>16</v>
      </c>
      <c r="AC2557" s="741">
        <v>155</v>
      </c>
      <c r="AD2557" s="741" t="str">
        <f>'DICTIONARY-5'!$A$13</f>
        <v>woda pitna</v>
      </c>
      <c r="AE2557" s="742">
        <v>50</v>
      </c>
      <c r="AF2557" s="743">
        <v>15</v>
      </c>
      <c r="AG2557" s="741" t="str">
        <f>'DICTIONARY-5'!$A$23</f>
        <v>powłoka epoksydowa</v>
      </c>
    </row>
    <row r="2558" spans="1:33" x14ac:dyDescent="0.25">
      <c r="A2558" s="880" t="s">
        <v>2444</v>
      </c>
      <c r="B2558" s="880" t="s">
        <v>2786</v>
      </c>
      <c r="C2558" s="836">
        <v>335</v>
      </c>
      <c r="D2558" s="836"/>
      <c r="E2558" s="836"/>
      <c r="F2558" s="836"/>
      <c r="G2558" s="496" t="s">
        <v>7851</v>
      </c>
      <c r="H2558" s="797" t="str">
        <f>VLOOKUP(G2558,SETTINGS!$B$7:$D$97,2,0)</f>
        <v>BAIO Fittings</v>
      </c>
      <c r="I2558" s="796">
        <f>VLOOKUP(G2558,SETTINGS!$B$7:$D$97,3,0)</f>
        <v>0</v>
      </c>
      <c r="J2558" s="670" t="str">
        <f>IFERROR(IF(CURRENCY.FORMAT_1=0,CONCATENATE(TEXT(FIXED(ROUND((C2558/EXC.RATE_1),CURRENCY.FORMAT_1),CURRENCY.FORMAT_1,1),"# ##0;-# ##0"),",-"),FIXED(ROUND((C2558/EXC.RATE_1),CURRENCY.FORMAT_1),CURRENCY.FORMAT_1,0)),'DICTIONARY-5'!$A$2)</f>
        <v>335,-</v>
      </c>
      <c r="K2558" s="670" t="str">
        <f>IF(EXC.RATE_2=0,"",IFERROR(IF(CURRENCY.FORMAT_2=0,CONCATENATE(TEXT(FIXED(ROUND(IF(EXC.RATE.SWITCH=1,C2558/EXC.RATE_2,C2558*EXC.RATE_2),CURRENCY.FORMAT_2),CURRENCY.FORMAT_2,1),"# ##0;-# ##0"),",-"),FIXED(ROUND(IF(EXC.RATE.SWITCH=1,C2558/EXC.RATE_2,C2558*EXC.RATE_2),CURRENCY.FORMAT_2),CURRENCY.FORMAT_2,0)),'DICTIONARY-5'!$A$2))</f>
        <v/>
      </c>
      <c r="L2558" s="670" t="str">
        <f>IFERROR(IF(CURRENCY.FORMAT_1=0,CONCATENATE(TEXT(FIXED(ROUND((C2558*(1-I2558)*(1-ADD.DISCOUNT)*(1+MAT.SURCHARGE)/EXC.RATE_1),CURRENCY.FORMAT_1),CURRENCY.FORMAT_1,1),"# ##0;-# ##0"),",-"),FIXED(ROUND((C2558*(1-I2558)*(1-ADD.DISCOUNT)*(1+MAT.SURCHARGE)/EXC.RATE_1),CURRENCY.FORMAT_1),CURRENCY.FORMAT_1,0)),'DICTIONARY-5'!$A$2)</f>
        <v>348,-</v>
      </c>
      <c r="M2558" s="670" t="str">
        <f>IF(EXC.RATE_2=0,"",IFERROR(IF(CURRENCY.FORMAT_2=0,CONCATENATE(TEXT(FIXED(ROUND(IF(EXC.RATE.SWITCH=1,C2558*(1-I2558)*(1-ADD.DISCOUNT)*(1+MAT.SURCHARGE)/EXC.RATE_2,C2558*(1-I2558)*(1-ADD.DISCOUNT)*(1+MAT.SURCHARGE)*EXC.RATE_2),CURRENCY.FORMAT_2),CURRENCY.FORMAT_2,1),"# ##0;-# ##0"),",-"),FIXED(ROUND(IF(EXC.RATE.SWITCH=1,C2558*(1-I2558)*(1-ADD.DISCOUNT)*(1+MAT.SURCHARGE)/EXC.RATE_2,C2558*(1-I2558)*(1-ADD.DISCOUNT)*(1+MAT.SURCHARGE)*EXC.RATE_2),CURRENCY.FORMAT_2),CURRENCY.FORMAT_2,0)),'DICTIONARY-5'!$A$2))</f>
        <v/>
      </c>
      <c r="N2558" s="536">
        <v>12</v>
      </c>
      <c r="O2558" s="536"/>
      <c r="P2558" s="732" t="str">
        <f>'DICTIONARY-3'!$A$153&amp;" "&amp;'DICTIONARY-3'!$A$163</f>
        <v>BAIO U</v>
      </c>
      <c r="Q2558" s="732" t="str">
        <f>'DICTIONARY-3'!$A$223</f>
        <v>Kształtka</v>
      </c>
      <c r="R2558" s="732" t="str">
        <f>CONCATENATE('DICTIONARY-3'!$A$153," ",'DICTIONARY-3'!$A$175&amp;'DICTIONARY-3'!$A$163&amp;'DICTIONARY-3'!$A$174," ",'DICTIONARY-2'!$A$2,"200"," ",'DICTIONARY-2'!$A$10,"16",'DICTIONARY-2'!$A$20," ",'DICTIONARY-2'!$A$24,"=","165",'DICTIONARY-2'!$A$17," ","G2"," ","+",'DICTIONARY-3'!$A$343,", ","2×",'DICTIONARY-5'!$A$198)</f>
        <v>BAIO Kształtka-U‎ DN200 PS16bar L=165mm G2 +korek, 2×mufa</v>
      </c>
      <c r="S2558" s="733" t="s">
        <v>5569</v>
      </c>
      <c r="T2558" s="732" t="s">
        <v>5569</v>
      </c>
      <c r="U2558" s="734" t="s">
        <v>5750</v>
      </c>
      <c r="V2558" s="735"/>
      <c r="W2558" s="736"/>
      <c r="X2558" s="750" t="s">
        <v>50</v>
      </c>
      <c r="Y2558" s="745"/>
      <c r="Z2558" s="747"/>
      <c r="AA2558" s="747"/>
      <c r="AB2558" s="740">
        <v>16</v>
      </c>
      <c r="AC2558" s="741">
        <v>165</v>
      </c>
      <c r="AD2558" s="741" t="str">
        <f>'DICTIONARY-5'!$A$13</f>
        <v>woda pitna</v>
      </c>
      <c r="AE2558" s="742">
        <v>50</v>
      </c>
      <c r="AF2558" s="743">
        <v>24.4</v>
      </c>
      <c r="AG2558" s="741" t="str">
        <f>'DICTIONARY-5'!$A$23</f>
        <v>powłoka epoksydowa</v>
      </c>
    </row>
    <row r="2559" spans="1:33" x14ac:dyDescent="0.25">
      <c r="A2559" s="880" t="s">
        <v>2445</v>
      </c>
      <c r="B2559" s="880" t="s">
        <v>2773</v>
      </c>
      <c r="C2559" s="836">
        <v>162</v>
      </c>
      <c r="D2559" s="836"/>
      <c r="E2559" s="836"/>
      <c r="F2559" s="836"/>
      <c r="G2559" s="496" t="s">
        <v>7851</v>
      </c>
      <c r="H2559" s="797" t="str">
        <f>VLOOKUP(G2559,SETTINGS!$B$7:$D$97,2,0)</f>
        <v>BAIO Fittings</v>
      </c>
      <c r="I2559" s="796">
        <f>VLOOKUP(G2559,SETTINGS!$B$7:$D$97,3,0)</f>
        <v>0</v>
      </c>
      <c r="J2559" s="670" t="str">
        <f>IFERROR(IF(CURRENCY.FORMAT_1=0,CONCATENATE(TEXT(FIXED(ROUND((C2559/EXC.RATE_1),CURRENCY.FORMAT_1),CURRENCY.FORMAT_1,1),"# ##0;-# ##0"),",-"),FIXED(ROUND((C2559/EXC.RATE_1),CURRENCY.FORMAT_1),CURRENCY.FORMAT_1,0)),'DICTIONARY-5'!$A$2)</f>
        <v>162,-</v>
      </c>
      <c r="K2559" s="670" t="str">
        <f>IF(EXC.RATE_2=0,"",IFERROR(IF(CURRENCY.FORMAT_2=0,CONCATENATE(TEXT(FIXED(ROUND(IF(EXC.RATE.SWITCH=1,C2559/EXC.RATE_2,C2559*EXC.RATE_2),CURRENCY.FORMAT_2),CURRENCY.FORMAT_2,1),"# ##0;-# ##0"),",-"),FIXED(ROUND(IF(EXC.RATE.SWITCH=1,C2559/EXC.RATE_2,C2559*EXC.RATE_2),CURRENCY.FORMAT_2),CURRENCY.FORMAT_2,0)),'DICTIONARY-5'!$A$2))</f>
        <v/>
      </c>
      <c r="L2559" s="670" t="str">
        <f>IFERROR(IF(CURRENCY.FORMAT_1=0,CONCATENATE(TEXT(FIXED(ROUND((C2559*(1-I2559)*(1-ADD.DISCOUNT)*(1+MAT.SURCHARGE)/EXC.RATE_1),CURRENCY.FORMAT_1),CURRENCY.FORMAT_1,1),"# ##0;-# ##0"),",-"),FIXED(ROUND((C2559*(1-I2559)*(1-ADD.DISCOUNT)*(1+MAT.SURCHARGE)/EXC.RATE_1),CURRENCY.FORMAT_1),CURRENCY.FORMAT_1,0)),'DICTIONARY-5'!$A$2)</f>
        <v>168,-</v>
      </c>
      <c r="M2559" s="670" t="str">
        <f>IF(EXC.RATE_2=0,"",IFERROR(IF(CURRENCY.FORMAT_2=0,CONCATENATE(TEXT(FIXED(ROUND(IF(EXC.RATE.SWITCH=1,C2559*(1-I2559)*(1-ADD.DISCOUNT)*(1+MAT.SURCHARGE)/EXC.RATE_2,C2559*(1-I2559)*(1-ADD.DISCOUNT)*(1+MAT.SURCHARGE)*EXC.RATE_2),CURRENCY.FORMAT_2),CURRENCY.FORMAT_2,1),"# ##0;-# ##0"),",-"),FIXED(ROUND(IF(EXC.RATE.SWITCH=1,C2559*(1-I2559)*(1-ADD.DISCOUNT)*(1+MAT.SURCHARGE)/EXC.RATE_2,C2559*(1-I2559)*(1-ADD.DISCOUNT)*(1+MAT.SURCHARGE)*EXC.RATE_2),CURRENCY.FORMAT_2),CURRENCY.FORMAT_2,0)),'DICTIONARY-5'!$A$2))</f>
        <v/>
      </c>
      <c r="N2559" s="536">
        <v>12</v>
      </c>
      <c r="O2559" s="536"/>
      <c r="P2559" s="732" t="str">
        <f>'DICTIONARY-3'!$A$153&amp;" "&amp;'DICTIONARY-3'!$A$163</f>
        <v>BAIO U</v>
      </c>
      <c r="Q2559" s="732" t="str">
        <f>'DICTIONARY-3'!$A$223</f>
        <v>Kształtka</v>
      </c>
      <c r="R2559" s="732" t="str">
        <f>CONCATENATE('DICTIONARY-3'!$A$153," ",'DICTIONARY-3'!$A$175&amp;'DICTIONARY-3'!$A$163&amp;'DICTIONARY-3'!$A$174," ",'DICTIONARY-2'!$A$2,"80"," ",'DICTIONARY-2'!$A$10,"16",'DICTIONARY-2'!$A$20," ",'DICTIONARY-2'!$A$24,"=","145",'DICTIONARY-2'!$A$17,," ",'DICTIONARY-6'!$A$39,", ","2×",'DICTIONARY-5'!$A$198)</f>
        <v>BAIO Kształtka-U‎ DN80 PS16bar L=145mm bez gwint. owiertu, 2×mufa</v>
      </c>
      <c r="S2559" s="733" t="s">
        <v>5569</v>
      </c>
      <c r="T2559" s="732" t="s">
        <v>5569</v>
      </c>
      <c r="U2559" s="734" t="s">
        <v>5760</v>
      </c>
      <c r="V2559" s="735"/>
      <c r="W2559" s="736"/>
      <c r="X2559" s="737"/>
      <c r="Y2559" s="738"/>
      <c r="Z2559" s="739"/>
      <c r="AA2559" s="739"/>
      <c r="AB2559" s="740">
        <v>16</v>
      </c>
      <c r="AC2559" s="741">
        <v>145</v>
      </c>
      <c r="AD2559" s="741" t="str">
        <f>'DICTIONARY-5'!$A$13</f>
        <v>woda pitna</v>
      </c>
      <c r="AE2559" s="742">
        <v>50</v>
      </c>
      <c r="AF2559" s="743">
        <v>9.5</v>
      </c>
      <c r="AG2559" s="741" t="str">
        <f>'DICTIONARY-5'!$A$23</f>
        <v>powłoka epoksydowa</v>
      </c>
    </row>
    <row r="2560" spans="1:33" x14ac:dyDescent="0.25">
      <c r="A2560" s="880" t="s">
        <v>2446</v>
      </c>
      <c r="B2560" s="880" t="s">
        <v>2774</v>
      </c>
      <c r="C2560" s="836">
        <v>173</v>
      </c>
      <c r="D2560" s="836"/>
      <c r="E2560" s="836"/>
      <c r="F2560" s="836"/>
      <c r="G2560" s="496" t="s">
        <v>7851</v>
      </c>
      <c r="H2560" s="797" t="str">
        <f>VLOOKUP(G2560,SETTINGS!$B$7:$D$97,2,0)</f>
        <v>BAIO Fittings</v>
      </c>
      <c r="I2560" s="796">
        <f>VLOOKUP(G2560,SETTINGS!$B$7:$D$97,3,0)</f>
        <v>0</v>
      </c>
      <c r="J2560" s="670" t="str">
        <f>IFERROR(IF(CURRENCY.FORMAT_1=0,CONCATENATE(TEXT(FIXED(ROUND((C2560/EXC.RATE_1),CURRENCY.FORMAT_1),CURRENCY.FORMAT_1,1),"# ##0;-# ##0"),",-"),FIXED(ROUND((C2560/EXC.RATE_1),CURRENCY.FORMAT_1),CURRENCY.FORMAT_1,0)),'DICTIONARY-5'!$A$2)</f>
        <v>173,-</v>
      </c>
      <c r="K2560" s="670" t="str">
        <f>IF(EXC.RATE_2=0,"",IFERROR(IF(CURRENCY.FORMAT_2=0,CONCATENATE(TEXT(FIXED(ROUND(IF(EXC.RATE.SWITCH=1,C2560/EXC.RATE_2,C2560*EXC.RATE_2),CURRENCY.FORMAT_2),CURRENCY.FORMAT_2,1),"# ##0;-# ##0"),",-"),FIXED(ROUND(IF(EXC.RATE.SWITCH=1,C2560/EXC.RATE_2,C2560*EXC.RATE_2),CURRENCY.FORMAT_2),CURRENCY.FORMAT_2,0)),'DICTIONARY-5'!$A$2))</f>
        <v/>
      </c>
      <c r="L2560" s="670" t="str">
        <f>IFERROR(IF(CURRENCY.FORMAT_1=0,CONCATENATE(TEXT(FIXED(ROUND((C2560*(1-I2560)*(1-ADD.DISCOUNT)*(1+MAT.SURCHARGE)/EXC.RATE_1),CURRENCY.FORMAT_1),CURRENCY.FORMAT_1,1),"# ##0;-# ##0"),",-"),FIXED(ROUND((C2560*(1-I2560)*(1-ADD.DISCOUNT)*(1+MAT.SURCHARGE)/EXC.RATE_1),CURRENCY.FORMAT_1),CURRENCY.FORMAT_1,0)),'DICTIONARY-5'!$A$2)</f>
        <v>180,-</v>
      </c>
      <c r="M2560" s="670" t="str">
        <f>IF(EXC.RATE_2=0,"",IFERROR(IF(CURRENCY.FORMAT_2=0,CONCATENATE(TEXT(FIXED(ROUND(IF(EXC.RATE.SWITCH=1,C2560*(1-I2560)*(1-ADD.DISCOUNT)*(1+MAT.SURCHARGE)/EXC.RATE_2,C2560*(1-I2560)*(1-ADD.DISCOUNT)*(1+MAT.SURCHARGE)*EXC.RATE_2),CURRENCY.FORMAT_2),CURRENCY.FORMAT_2,1),"# ##0;-# ##0"),",-"),FIXED(ROUND(IF(EXC.RATE.SWITCH=1,C2560*(1-I2560)*(1-ADD.DISCOUNT)*(1+MAT.SURCHARGE)/EXC.RATE_2,C2560*(1-I2560)*(1-ADD.DISCOUNT)*(1+MAT.SURCHARGE)*EXC.RATE_2),CURRENCY.FORMAT_2),CURRENCY.FORMAT_2,0)),'DICTIONARY-5'!$A$2))</f>
        <v/>
      </c>
      <c r="N2560" s="536">
        <v>12</v>
      </c>
      <c r="O2560" s="536"/>
      <c r="P2560" s="732" t="str">
        <f>'DICTIONARY-3'!$A$153&amp;" "&amp;'DICTIONARY-3'!$A$163</f>
        <v>BAIO U</v>
      </c>
      <c r="Q2560" s="732" t="str">
        <f>'DICTIONARY-3'!$A$223</f>
        <v>Kształtka</v>
      </c>
      <c r="R2560" s="732" t="str">
        <f>CONCATENATE('DICTIONARY-3'!$A$153," ",'DICTIONARY-3'!$A$175&amp;'DICTIONARY-3'!$A$163&amp;'DICTIONARY-3'!$A$174," ",'DICTIONARY-2'!$A$2,"100"," ",'DICTIONARY-2'!$A$10,"16",'DICTIONARY-2'!$A$20," ",'DICTIONARY-2'!$A$24,"=","150",'DICTIONARY-2'!$A$17,," ",'DICTIONARY-6'!$A$39,", ","2×",'DICTIONARY-5'!$A$198)</f>
        <v>BAIO Kształtka-U‎ DN100 PS16bar L=150mm bez gwint. owiertu, 2×mufa</v>
      </c>
      <c r="S2560" s="733" t="s">
        <v>5569</v>
      </c>
      <c r="T2560" s="732" t="s">
        <v>5569</v>
      </c>
      <c r="U2560" s="734" t="s">
        <v>5749</v>
      </c>
      <c r="V2560" s="735"/>
      <c r="W2560" s="736"/>
      <c r="X2560" s="737"/>
      <c r="Y2560" s="738"/>
      <c r="Z2560" s="739"/>
      <c r="AA2560" s="739"/>
      <c r="AB2560" s="740">
        <v>16</v>
      </c>
      <c r="AC2560" s="741">
        <v>150</v>
      </c>
      <c r="AD2560" s="741" t="str">
        <f>'DICTIONARY-5'!$A$13</f>
        <v>woda pitna</v>
      </c>
      <c r="AE2560" s="742">
        <v>50</v>
      </c>
      <c r="AF2560" s="743">
        <v>12</v>
      </c>
      <c r="AG2560" s="741" t="str">
        <f>'DICTIONARY-5'!$A$23</f>
        <v>powłoka epoksydowa</v>
      </c>
    </row>
    <row r="2561" spans="1:33" x14ac:dyDescent="0.25">
      <c r="A2561" s="880" t="s">
        <v>2447</v>
      </c>
      <c r="B2561" s="880" t="s">
        <v>2775</v>
      </c>
      <c r="C2561" s="836">
        <v>177</v>
      </c>
      <c r="D2561" s="836"/>
      <c r="E2561" s="836"/>
      <c r="F2561" s="836"/>
      <c r="G2561" s="496" t="s">
        <v>7851</v>
      </c>
      <c r="H2561" s="797" t="str">
        <f>VLOOKUP(G2561,SETTINGS!$B$7:$D$97,2,0)</f>
        <v>BAIO Fittings</v>
      </c>
      <c r="I2561" s="796">
        <f>VLOOKUP(G2561,SETTINGS!$B$7:$D$97,3,0)</f>
        <v>0</v>
      </c>
      <c r="J2561" s="670" t="str">
        <f>IFERROR(IF(CURRENCY.FORMAT_1=0,CONCATENATE(TEXT(FIXED(ROUND((C2561/EXC.RATE_1),CURRENCY.FORMAT_1),CURRENCY.FORMAT_1,1),"# ##0;-# ##0"),",-"),FIXED(ROUND((C2561/EXC.RATE_1),CURRENCY.FORMAT_1),CURRENCY.FORMAT_1,0)),'DICTIONARY-5'!$A$2)</f>
        <v>177,-</v>
      </c>
      <c r="K2561" s="670" t="str">
        <f>IF(EXC.RATE_2=0,"",IFERROR(IF(CURRENCY.FORMAT_2=0,CONCATENATE(TEXT(FIXED(ROUND(IF(EXC.RATE.SWITCH=1,C2561/EXC.RATE_2,C2561*EXC.RATE_2),CURRENCY.FORMAT_2),CURRENCY.FORMAT_2,1),"# ##0;-# ##0"),",-"),FIXED(ROUND(IF(EXC.RATE.SWITCH=1,C2561/EXC.RATE_2,C2561*EXC.RATE_2),CURRENCY.FORMAT_2),CURRENCY.FORMAT_2,0)),'DICTIONARY-5'!$A$2))</f>
        <v/>
      </c>
      <c r="L2561" s="670" t="str">
        <f>IFERROR(IF(CURRENCY.FORMAT_1=0,CONCATENATE(TEXT(FIXED(ROUND((C2561*(1-I2561)*(1-ADD.DISCOUNT)*(1+MAT.SURCHARGE)/EXC.RATE_1),CURRENCY.FORMAT_1),CURRENCY.FORMAT_1,1),"# ##0;-# ##0"),",-"),FIXED(ROUND((C2561*(1-I2561)*(1-ADD.DISCOUNT)*(1+MAT.SURCHARGE)/EXC.RATE_1),CURRENCY.FORMAT_1),CURRENCY.FORMAT_1,0)),'DICTIONARY-5'!$A$2)</f>
        <v>184,-</v>
      </c>
      <c r="M2561" s="670" t="str">
        <f>IF(EXC.RATE_2=0,"",IFERROR(IF(CURRENCY.FORMAT_2=0,CONCATENATE(TEXT(FIXED(ROUND(IF(EXC.RATE.SWITCH=1,C2561*(1-I2561)*(1-ADD.DISCOUNT)*(1+MAT.SURCHARGE)/EXC.RATE_2,C2561*(1-I2561)*(1-ADD.DISCOUNT)*(1+MAT.SURCHARGE)*EXC.RATE_2),CURRENCY.FORMAT_2),CURRENCY.FORMAT_2,1),"# ##0;-# ##0"),",-"),FIXED(ROUND(IF(EXC.RATE.SWITCH=1,C2561*(1-I2561)*(1-ADD.DISCOUNT)*(1+MAT.SURCHARGE)/EXC.RATE_2,C2561*(1-I2561)*(1-ADD.DISCOUNT)*(1+MAT.SURCHARGE)*EXC.RATE_2),CURRENCY.FORMAT_2),CURRENCY.FORMAT_2,0)),'DICTIONARY-5'!$A$2))</f>
        <v/>
      </c>
      <c r="N2561" s="536">
        <v>12</v>
      </c>
      <c r="O2561" s="536"/>
      <c r="P2561" s="732" t="str">
        <f>'DICTIONARY-3'!$A$153&amp;" "&amp;'DICTIONARY-3'!$A$163</f>
        <v>BAIO U</v>
      </c>
      <c r="Q2561" s="732" t="str">
        <f>'DICTIONARY-3'!$A$223</f>
        <v>Kształtka</v>
      </c>
      <c r="R2561" s="732" t="str">
        <f>CONCATENATE('DICTIONARY-3'!$A$153," ",'DICTIONARY-3'!$A$175&amp;'DICTIONARY-3'!$A$163&amp;'DICTIONARY-3'!$A$174," ",'DICTIONARY-2'!$A$2,"125"," ",'DICTIONARY-2'!$A$10,"16",'DICTIONARY-2'!$A$20," ",'DICTIONARY-2'!$A$24,"=","158",'DICTIONARY-2'!$A$17,," ",'DICTIONARY-6'!$A$39,", ","2×",'DICTIONARY-5'!$A$198)</f>
        <v>BAIO Kształtka-U‎ DN125 PS16bar L=158mm bez gwint. owiertu, 2×mufa</v>
      </c>
      <c r="S2561" s="733" t="s">
        <v>5569</v>
      </c>
      <c r="T2561" s="732" t="s">
        <v>5569</v>
      </c>
      <c r="U2561" s="734" t="s">
        <v>5761</v>
      </c>
      <c r="V2561" s="735"/>
      <c r="W2561" s="736"/>
      <c r="X2561" s="737"/>
      <c r="Y2561" s="738"/>
      <c r="Z2561" s="739"/>
      <c r="AA2561" s="739"/>
      <c r="AB2561" s="740">
        <v>16</v>
      </c>
      <c r="AC2561" s="741">
        <v>158</v>
      </c>
      <c r="AD2561" s="741" t="str">
        <f>'DICTIONARY-5'!$A$13</f>
        <v>woda pitna</v>
      </c>
      <c r="AE2561" s="742">
        <v>50</v>
      </c>
      <c r="AF2561" s="743">
        <v>14</v>
      </c>
      <c r="AG2561" s="741" t="str">
        <f>'DICTIONARY-5'!$A$23</f>
        <v>powłoka epoksydowa</v>
      </c>
    </row>
    <row r="2562" spans="1:33" x14ac:dyDescent="0.25">
      <c r="A2562" s="880" t="s">
        <v>2448</v>
      </c>
      <c r="B2562" s="880" t="s">
        <v>2776</v>
      </c>
      <c r="C2562" s="836">
        <v>186</v>
      </c>
      <c r="D2562" s="836"/>
      <c r="E2562" s="836"/>
      <c r="F2562" s="836"/>
      <c r="G2562" s="496" t="s">
        <v>7851</v>
      </c>
      <c r="H2562" s="797" t="str">
        <f>VLOOKUP(G2562,SETTINGS!$B$7:$D$97,2,0)</f>
        <v>BAIO Fittings</v>
      </c>
      <c r="I2562" s="796">
        <f>VLOOKUP(G2562,SETTINGS!$B$7:$D$97,3,0)</f>
        <v>0</v>
      </c>
      <c r="J2562" s="670" t="str">
        <f>IFERROR(IF(CURRENCY.FORMAT_1=0,CONCATENATE(TEXT(FIXED(ROUND((C2562/EXC.RATE_1),CURRENCY.FORMAT_1),CURRENCY.FORMAT_1,1),"# ##0;-# ##0"),",-"),FIXED(ROUND((C2562/EXC.RATE_1),CURRENCY.FORMAT_1),CURRENCY.FORMAT_1,0)),'DICTIONARY-5'!$A$2)</f>
        <v>186,-</v>
      </c>
      <c r="K2562" s="670" t="str">
        <f>IF(EXC.RATE_2=0,"",IFERROR(IF(CURRENCY.FORMAT_2=0,CONCATENATE(TEXT(FIXED(ROUND(IF(EXC.RATE.SWITCH=1,C2562/EXC.RATE_2,C2562*EXC.RATE_2),CURRENCY.FORMAT_2),CURRENCY.FORMAT_2,1),"# ##0;-# ##0"),",-"),FIXED(ROUND(IF(EXC.RATE.SWITCH=1,C2562/EXC.RATE_2,C2562*EXC.RATE_2),CURRENCY.FORMAT_2),CURRENCY.FORMAT_2,0)),'DICTIONARY-5'!$A$2))</f>
        <v/>
      </c>
      <c r="L2562" s="670" t="str">
        <f>IFERROR(IF(CURRENCY.FORMAT_1=0,CONCATENATE(TEXT(FIXED(ROUND((C2562*(1-I2562)*(1-ADD.DISCOUNT)*(1+MAT.SURCHARGE)/EXC.RATE_1),CURRENCY.FORMAT_1),CURRENCY.FORMAT_1,1),"# ##0;-# ##0"),",-"),FIXED(ROUND((C2562*(1-I2562)*(1-ADD.DISCOUNT)*(1+MAT.SURCHARGE)/EXC.RATE_1),CURRENCY.FORMAT_1),CURRENCY.FORMAT_1,0)),'DICTIONARY-5'!$A$2)</f>
        <v>193,-</v>
      </c>
      <c r="M2562" s="670" t="str">
        <f>IF(EXC.RATE_2=0,"",IFERROR(IF(CURRENCY.FORMAT_2=0,CONCATENATE(TEXT(FIXED(ROUND(IF(EXC.RATE.SWITCH=1,C2562*(1-I2562)*(1-ADD.DISCOUNT)*(1+MAT.SURCHARGE)/EXC.RATE_2,C2562*(1-I2562)*(1-ADD.DISCOUNT)*(1+MAT.SURCHARGE)*EXC.RATE_2),CURRENCY.FORMAT_2),CURRENCY.FORMAT_2,1),"# ##0;-# ##0"),",-"),FIXED(ROUND(IF(EXC.RATE.SWITCH=1,C2562*(1-I2562)*(1-ADD.DISCOUNT)*(1+MAT.SURCHARGE)/EXC.RATE_2,C2562*(1-I2562)*(1-ADD.DISCOUNT)*(1+MAT.SURCHARGE)*EXC.RATE_2),CURRENCY.FORMAT_2),CURRENCY.FORMAT_2,0)),'DICTIONARY-5'!$A$2))</f>
        <v/>
      </c>
      <c r="N2562" s="536">
        <v>12</v>
      </c>
      <c r="O2562" s="536"/>
      <c r="P2562" s="732" t="str">
        <f>'DICTIONARY-3'!$A$153&amp;" "&amp;'DICTIONARY-3'!$A$163</f>
        <v>BAIO U</v>
      </c>
      <c r="Q2562" s="732" t="str">
        <f>'DICTIONARY-3'!$A$223</f>
        <v>Kształtka</v>
      </c>
      <c r="R2562" s="732" t="str">
        <f>CONCATENATE('DICTIONARY-3'!$A$153," ",'DICTIONARY-3'!$A$175&amp;'DICTIONARY-3'!$A$163&amp;'DICTIONARY-3'!$A$174," ",'DICTIONARY-2'!$A$2,"150"," ",'DICTIONARY-2'!$A$10,"16",'DICTIONARY-2'!$A$20," ",'DICTIONARY-2'!$A$24,"=","155",'DICTIONARY-2'!$A$17,," ",'DICTIONARY-6'!$A$39,", ","2×",'DICTIONARY-5'!$A$198)</f>
        <v>BAIO Kształtka-U‎ DN150 PS16bar L=155mm bez gwint. owiertu, 2×mufa</v>
      </c>
      <c r="S2562" s="733" t="s">
        <v>5569</v>
      </c>
      <c r="T2562" s="732" t="s">
        <v>5569</v>
      </c>
      <c r="U2562" s="734" t="s">
        <v>5572</v>
      </c>
      <c r="V2562" s="735"/>
      <c r="W2562" s="736"/>
      <c r="X2562" s="737"/>
      <c r="Y2562" s="738"/>
      <c r="Z2562" s="739"/>
      <c r="AA2562" s="739"/>
      <c r="AB2562" s="740">
        <v>16</v>
      </c>
      <c r="AC2562" s="741">
        <v>155</v>
      </c>
      <c r="AD2562" s="741" t="str">
        <f>'DICTIONARY-5'!$A$13</f>
        <v>woda pitna</v>
      </c>
      <c r="AE2562" s="742">
        <v>50</v>
      </c>
      <c r="AF2562" s="743">
        <v>14.25</v>
      </c>
      <c r="AG2562" s="741" t="str">
        <f>'DICTIONARY-5'!$A$23</f>
        <v>powłoka epoksydowa</v>
      </c>
    </row>
    <row r="2563" spans="1:33" x14ac:dyDescent="0.25">
      <c r="A2563" s="880" t="s">
        <v>2449</v>
      </c>
      <c r="B2563" s="880" t="s">
        <v>2777</v>
      </c>
      <c r="C2563" s="836">
        <v>333</v>
      </c>
      <c r="D2563" s="836"/>
      <c r="E2563" s="836"/>
      <c r="F2563" s="836"/>
      <c r="G2563" s="496" t="s">
        <v>7851</v>
      </c>
      <c r="H2563" s="797" t="str">
        <f>VLOOKUP(G2563,SETTINGS!$B$7:$D$97,2,0)</f>
        <v>BAIO Fittings</v>
      </c>
      <c r="I2563" s="796">
        <f>VLOOKUP(G2563,SETTINGS!$B$7:$D$97,3,0)</f>
        <v>0</v>
      </c>
      <c r="J2563" s="670" t="str">
        <f>IFERROR(IF(CURRENCY.FORMAT_1=0,CONCATENATE(TEXT(FIXED(ROUND((C2563/EXC.RATE_1),CURRENCY.FORMAT_1),CURRENCY.FORMAT_1,1),"# ##0;-# ##0"),",-"),FIXED(ROUND((C2563/EXC.RATE_1),CURRENCY.FORMAT_1),CURRENCY.FORMAT_1,0)),'DICTIONARY-5'!$A$2)</f>
        <v>333,-</v>
      </c>
      <c r="K2563" s="670" t="str">
        <f>IF(EXC.RATE_2=0,"",IFERROR(IF(CURRENCY.FORMAT_2=0,CONCATENATE(TEXT(FIXED(ROUND(IF(EXC.RATE.SWITCH=1,C2563/EXC.RATE_2,C2563*EXC.RATE_2),CURRENCY.FORMAT_2),CURRENCY.FORMAT_2,1),"# ##0;-# ##0"),",-"),FIXED(ROUND(IF(EXC.RATE.SWITCH=1,C2563/EXC.RATE_2,C2563*EXC.RATE_2),CURRENCY.FORMAT_2),CURRENCY.FORMAT_2,0)),'DICTIONARY-5'!$A$2))</f>
        <v/>
      </c>
      <c r="L2563" s="670" t="str">
        <f>IFERROR(IF(CURRENCY.FORMAT_1=0,CONCATENATE(TEXT(FIXED(ROUND((C2563*(1-I2563)*(1-ADD.DISCOUNT)*(1+MAT.SURCHARGE)/EXC.RATE_1),CURRENCY.FORMAT_1),CURRENCY.FORMAT_1,1),"# ##0;-# ##0"),",-"),FIXED(ROUND((C2563*(1-I2563)*(1-ADD.DISCOUNT)*(1+MAT.SURCHARGE)/EXC.RATE_1),CURRENCY.FORMAT_1),CURRENCY.FORMAT_1,0)),'DICTIONARY-5'!$A$2)</f>
        <v>346,-</v>
      </c>
      <c r="M2563" s="670" t="str">
        <f>IF(EXC.RATE_2=0,"",IFERROR(IF(CURRENCY.FORMAT_2=0,CONCATENATE(TEXT(FIXED(ROUND(IF(EXC.RATE.SWITCH=1,C2563*(1-I2563)*(1-ADD.DISCOUNT)*(1+MAT.SURCHARGE)/EXC.RATE_2,C2563*(1-I2563)*(1-ADD.DISCOUNT)*(1+MAT.SURCHARGE)*EXC.RATE_2),CURRENCY.FORMAT_2),CURRENCY.FORMAT_2,1),"# ##0;-# ##0"),",-"),FIXED(ROUND(IF(EXC.RATE.SWITCH=1,C2563*(1-I2563)*(1-ADD.DISCOUNT)*(1+MAT.SURCHARGE)/EXC.RATE_2,C2563*(1-I2563)*(1-ADD.DISCOUNT)*(1+MAT.SURCHARGE)*EXC.RATE_2),CURRENCY.FORMAT_2),CURRENCY.FORMAT_2,0)),'DICTIONARY-5'!$A$2))</f>
        <v/>
      </c>
      <c r="N2563" s="536">
        <v>12</v>
      </c>
      <c r="O2563" s="536"/>
      <c r="P2563" s="732" t="str">
        <f>'DICTIONARY-3'!$A$153&amp;" "&amp;'DICTIONARY-3'!$A$163</f>
        <v>BAIO U</v>
      </c>
      <c r="Q2563" s="732" t="str">
        <f>'DICTIONARY-3'!$A$223</f>
        <v>Kształtka</v>
      </c>
      <c r="R2563" s="732" t="str">
        <f>CONCATENATE('DICTIONARY-3'!$A$153," ",'DICTIONARY-3'!$A$175&amp;'DICTIONARY-3'!$A$163&amp;'DICTIONARY-3'!$A$174," ",'DICTIONARY-2'!$A$2,"200"," ",'DICTIONARY-2'!$A$10,"16",'DICTIONARY-2'!$A$20," ",'DICTIONARY-2'!$A$24,"=","165",'DICTIONARY-2'!$A$17,," ",'DICTIONARY-6'!$A$39,", ","2×",'DICTIONARY-5'!$A$198)</f>
        <v>BAIO Kształtka-U‎ DN200 PS16bar L=165mm bez gwint. owiertu, 2×mufa</v>
      </c>
      <c r="S2563" s="733" t="s">
        <v>5569</v>
      </c>
      <c r="T2563" s="732" t="s">
        <v>5569</v>
      </c>
      <c r="U2563" s="734" t="s">
        <v>5750</v>
      </c>
      <c r="V2563" s="735"/>
      <c r="W2563" s="736"/>
      <c r="X2563" s="737"/>
      <c r="Y2563" s="738"/>
      <c r="Z2563" s="739"/>
      <c r="AA2563" s="739"/>
      <c r="AB2563" s="740">
        <v>16</v>
      </c>
      <c r="AC2563" s="741">
        <v>165</v>
      </c>
      <c r="AD2563" s="741" t="str">
        <f>'DICTIONARY-5'!$A$13</f>
        <v>woda pitna</v>
      </c>
      <c r="AE2563" s="742">
        <v>50</v>
      </c>
      <c r="AF2563" s="743">
        <v>24</v>
      </c>
      <c r="AG2563" s="741" t="str">
        <f>'DICTIONARY-5'!$A$23</f>
        <v>powłoka epoksydowa</v>
      </c>
    </row>
    <row r="2564" spans="1:33" x14ac:dyDescent="0.25">
      <c r="A2564" s="881" t="s">
        <v>4893</v>
      </c>
      <c r="B2564" s="881" t="s">
        <v>2450</v>
      </c>
      <c r="C2564" s="836">
        <v>370</v>
      </c>
      <c r="D2564" s="836"/>
      <c r="E2564" s="836"/>
      <c r="F2564" s="836"/>
      <c r="G2564" s="496" t="s">
        <v>7851</v>
      </c>
      <c r="H2564" s="797" t="str">
        <f>VLOOKUP(G2564,SETTINGS!$B$7:$D$97,2,0)</f>
        <v>BAIO Fittings</v>
      </c>
      <c r="I2564" s="796">
        <f>VLOOKUP(G2564,SETTINGS!$B$7:$D$97,3,0)</f>
        <v>0</v>
      </c>
      <c r="J2564" s="670" t="str">
        <f>IFERROR(IF(CURRENCY.FORMAT_1=0,CONCATENATE(TEXT(FIXED(ROUND((C2564/EXC.RATE_1),CURRENCY.FORMAT_1),CURRENCY.FORMAT_1,1),"# ##0;-# ##0"),",-"),FIXED(ROUND((C2564/EXC.RATE_1),CURRENCY.FORMAT_1),CURRENCY.FORMAT_1,0)),'DICTIONARY-5'!$A$2)</f>
        <v>370,-</v>
      </c>
      <c r="K2564" s="670" t="str">
        <f>IF(EXC.RATE_2=0,"",IFERROR(IF(CURRENCY.FORMAT_2=0,CONCATENATE(TEXT(FIXED(ROUND(IF(EXC.RATE.SWITCH=1,C2564/EXC.RATE_2,C2564*EXC.RATE_2),CURRENCY.FORMAT_2),CURRENCY.FORMAT_2,1),"# ##0;-# ##0"),",-"),FIXED(ROUND(IF(EXC.RATE.SWITCH=1,C2564/EXC.RATE_2,C2564*EXC.RATE_2),CURRENCY.FORMAT_2),CURRENCY.FORMAT_2,0)),'DICTIONARY-5'!$A$2))</f>
        <v/>
      </c>
      <c r="L2564" s="670" t="str">
        <f>IFERROR(IF(CURRENCY.FORMAT_1=0,CONCATENATE(TEXT(FIXED(ROUND((C2564*(1-I2564)*(1-ADD.DISCOUNT)*(1+MAT.SURCHARGE)/EXC.RATE_1),CURRENCY.FORMAT_1),CURRENCY.FORMAT_1,1),"# ##0;-# ##0"),",-"),FIXED(ROUND((C2564*(1-I2564)*(1-ADD.DISCOUNT)*(1+MAT.SURCHARGE)/EXC.RATE_1),CURRENCY.FORMAT_1),CURRENCY.FORMAT_1,0)),'DICTIONARY-5'!$A$2)</f>
        <v>384,-</v>
      </c>
      <c r="M2564" s="670" t="str">
        <f>IF(EXC.RATE_2=0,"",IFERROR(IF(CURRENCY.FORMAT_2=0,CONCATENATE(TEXT(FIXED(ROUND(IF(EXC.RATE.SWITCH=1,C2564*(1-I2564)*(1-ADD.DISCOUNT)*(1+MAT.SURCHARGE)/EXC.RATE_2,C2564*(1-I2564)*(1-ADD.DISCOUNT)*(1+MAT.SURCHARGE)*EXC.RATE_2),CURRENCY.FORMAT_2),CURRENCY.FORMAT_2,1),"# ##0;-# ##0"),",-"),FIXED(ROUND(IF(EXC.RATE.SWITCH=1,C2564*(1-I2564)*(1-ADD.DISCOUNT)*(1+MAT.SURCHARGE)/EXC.RATE_2,C2564*(1-I2564)*(1-ADD.DISCOUNT)*(1+MAT.SURCHARGE)*EXC.RATE_2),CURRENCY.FORMAT_2),CURRENCY.FORMAT_2,0)),'DICTIONARY-5'!$A$2))</f>
        <v/>
      </c>
      <c r="N2564" s="536">
        <v>12</v>
      </c>
      <c r="O2564" s="536"/>
      <c r="P2564" s="732" t="str">
        <f>'DICTIONARY-3'!$A$153&amp;" "&amp;'DICTIONARY-3'!$A$164</f>
        <v>BAIO DVS</v>
      </c>
      <c r="Q2564" s="732" t="str">
        <f>'DICTIONARY-3'!$A$223</f>
        <v>Kształtka</v>
      </c>
      <c r="R2564" s="732" t="str">
        <f>CONCATENATE('DICTIONARY-3'!$A$153," ",'DICTIONARY-3'!$A$175&amp;'DICTIONARY-3'!$A$164&amp;'DICTIONARY-3'!$A$174," ",'DICTIONARY-2'!$A$2,"100"," ",'DICTIONARY-2'!$A$10,"16",'DICTIONARY-2'!$A$20," ",'DICTIONARY-2'!$A$24,"=","215",'DICTIONARY-2'!$A$17,,", ",'DICTIONARY-6'!$A$40,", ","2×",'DICTIONARY-5'!$A$198)</f>
        <v>BAIO Kształtka-DVS‎ DN100 PS16bar L=215mm, z pierścieniem blokującym, 2×mufa</v>
      </c>
      <c r="S2564" s="733" t="s">
        <v>5569</v>
      </c>
      <c r="T2564" s="732" t="s">
        <v>5569</v>
      </c>
      <c r="U2564" s="734" t="s">
        <v>5749</v>
      </c>
      <c r="V2564" s="735"/>
      <c r="W2564" s="736"/>
      <c r="X2564" s="737"/>
      <c r="Y2564" s="738"/>
      <c r="Z2564" s="739"/>
      <c r="AA2564" s="739"/>
      <c r="AB2564" s="740">
        <v>16</v>
      </c>
      <c r="AC2564" s="741">
        <v>215</v>
      </c>
      <c r="AD2564" s="741" t="str">
        <f>'DICTIONARY-5'!$A$13</f>
        <v>woda pitna</v>
      </c>
      <c r="AE2564" s="742">
        <v>50</v>
      </c>
      <c r="AF2564" s="743">
        <v>11.5</v>
      </c>
      <c r="AG2564" s="741" t="str">
        <f>'DICTIONARY-5'!$A$23</f>
        <v>powłoka epoksydowa</v>
      </c>
    </row>
    <row r="2565" spans="1:33" x14ac:dyDescent="0.25">
      <c r="A2565" s="881" t="s">
        <v>4894</v>
      </c>
      <c r="B2565" s="881" t="s">
        <v>2451</v>
      </c>
      <c r="C2565" s="836">
        <v>399</v>
      </c>
      <c r="D2565" s="836"/>
      <c r="E2565" s="836"/>
      <c r="F2565" s="836"/>
      <c r="G2565" s="496" t="s">
        <v>7851</v>
      </c>
      <c r="H2565" s="797" t="str">
        <f>VLOOKUP(G2565,SETTINGS!$B$7:$D$97,2,0)</f>
        <v>BAIO Fittings</v>
      </c>
      <c r="I2565" s="796">
        <f>VLOOKUP(G2565,SETTINGS!$B$7:$D$97,3,0)</f>
        <v>0</v>
      </c>
      <c r="J2565" s="670" t="str">
        <f>IFERROR(IF(CURRENCY.FORMAT_1=0,CONCATENATE(TEXT(FIXED(ROUND((C2565/EXC.RATE_1),CURRENCY.FORMAT_1),CURRENCY.FORMAT_1,1),"# ##0;-# ##0"),",-"),FIXED(ROUND((C2565/EXC.RATE_1),CURRENCY.FORMAT_1),CURRENCY.FORMAT_1,0)),'DICTIONARY-5'!$A$2)</f>
        <v>399,-</v>
      </c>
      <c r="K2565" s="670" t="str">
        <f>IF(EXC.RATE_2=0,"",IFERROR(IF(CURRENCY.FORMAT_2=0,CONCATENATE(TEXT(FIXED(ROUND(IF(EXC.RATE.SWITCH=1,C2565/EXC.RATE_2,C2565*EXC.RATE_2),CURRENCY.FORMAT_2),CURRENCY.FORMAT_2,1),"# ##0;-# ##0"),",-"),FIXED(ROUND(IF(EXC.RATE.SWITCH=1,C2565/EXC.RATE_2,C2565*EXC.RATE_2),CURRENCY.FORMAT_2),CURRENCY.FORMAT_2,0)),'DICTIONARY-5'!$A$2))</f>
        <v/>
      </c>
      <c r="L2565" s="670" t="str">
        <f>IFERROR(IF(CURRENCY.FORMAT_1=0,CONCATENATE(TEXT(FIXED(ROUND((C2565*(1-I2565)*(1-ADD.DISCOUNT)*(1+MAT.SURCHARGE)/EXC.RATE_1),CURRENCY.FORMAT_1),CURRENCY.FORMAT_1,1),"# ##0;-# ##0"),",-"),FIXED(ROUND((C2565*(1-I2565)*(1-ADD.DISCOUNT)*(1+MAT.SURCHARGE)/EXC.RATE_1),CURRENCY.FORMAT_1),CURRENCY.FORMAT_1,0)),'DICTIONARY-5'!$A$2)</f>
        <v>415,-</v>
      </c>
      <c r="M2565" s="670" t="str">
        <f>IF(EXC.RATE_2=0,"",IFERROR(IF(CURRENCY.FORMAT_2=0,CONCATENATE(TEXT(FIXED(ROUND(IF(EXC.RATE.SWITCH=1,C2565*(1-I2565)*(1-ADD.DISCOUNT)*(1+MAT.SURCHARGE)/EXC.RATE_2,C2565*(1-I2565)*(1-ADD.DISCOUNT)*(1+MAT.SURCHARGE)*EXC.RATE_2),CURRENCY.FORMAT_2),CURRENCY.FORMAT_2,1),"# ##0;-# ##0"),",-"),FIXED(ROUND(IF(EXC.RATE.SWITCH=1,C2565*(1-I2565)*(1-ADD.DISCOUNT)*(1+MAT.SURCHARGE)/EXC.RATE_2,C2565*(1-I2565)*(1-ADD.DISCOUNT)*(1+MAT.SURCHARGE)*EXC.RATE_2),CURRENCY.FORMAT_2),CURRENCY.FORMAT_2,0)),'DICTIONARY-5'!$A$2))</f>
        <v/>
      </c>
      <c r="N2565" s="536">
        <v>12</v>
      </c>
      <c r="O2565" s="536"/>
      <c r="P2565" s="732" t="str">
        <f>'DICTIONARY-3'!$A$153&amp;" "&amp;'DICTIONARY-3'!$A$164</f>
        <v>BAIO DVS</v>
      </c>
      <c r="Q2565" s="732" t="str">
        <f>'DICTIONARY-3'!$A$223</f>
        <v>Kształtka</v>
      </c>
      <c r="R2565" s="732" t="str">
        <f>CONCATENATE('DICTIONARY-3'!$A$153," ",'DICTIONARY-3'!$A$175&amp;'DICTIONARY-3'!$A$164&amp;'DICTIONARY-3'!$A$174," ",'DICTIONARY-2'!$A$2,"150"," ",'DICTIONARY-2'!$A$10,"16",'DICTIONARY-2'!$A$20," ",'DICTIONARY-2'!$A$24,"=","228",'DICTIONARY-2'!$A$17,,", ",'DICTIONARY-6'!$A$40,", ","2×",'DICTIONARY-5'!$A$198)</f>
        <v>BAIO Kształtka-DVS‎ DN150 PS16bar L=228mm, z pierścieniem blokującym, 2×mufa</v>
      </c>
      <c r="S2565" s="733" t="s">
        <v>5569</v>
      </c>
      <c r="T2565" s="732" t="s">
        <v>5569</v>
      </c>
      <c r="U2565" s="734" t="s">
        <v>5572</v>
      </c>
      <c r="V2565" s="735"/>
      <c r="W2565" s="736"/>
      <c r="X2565" s="737"/>
      <c r="Y2565" s="738"/>
      <c r="Z2565" s="739"/>
      <c r="AA2565" s="739"/>
      <c r="AB2565" s="740">
        <v>16</v>
      </c>
      <c r="AC2565" s="741">
        <v>228</v>
      </c>
      <c r="AD2565" s="741" t="str">
        <f>'DICTIONARY-5'!$A$13</f>
        <v>woda pitna</v>
      </c>
      <c r="AE2565" s="742">
        <v>50</v>
      </c>
      <c r="AF2565" s="743">
        <v>15.5</v>
      </c>
      <c r="AG2565" s="741" t="str">
        <f>'DICTIONARY-5'!$A$23</f>
        <v>powłoka epoksydowa</v>
      </c>
    </row>
    <row r="2566" spans="1:33" x14ac:dyDescent="0.25">
      <c r="A2566" s="880" t="s">
        <v>2452</v>
      </c>
      <c r="B2566" s="880" t="s">
        <v>2931</v>
      </c>
      <c r="C2566" s="836">
        <v>310</v>
      </c>
      <c r="D2566" s="836"/>
      <c r="E2566" s="836"/>
      <c r="F2566" s="836"/>
      <c r="G2566" s="496" t="s">
        <v>7851</v>
      </c>
      <c r="H2566" s="797" t="str">
        <f>VLOOKUP(G2566,SETTINGS!$B$7:$D$97,2,0)</f>
        <v>BAIO Fittings</v>
      </c>
      <c r="I2566" s="796">
        <f>VLOOKUP(G2566,SETTINGS!$B$7:$D$97,3,0)</f>
        <v>0</v>
      </c>
      <c r="J2566" s="670" t="str">
        <f>IFERROR(IF(CURRENCY.FORMAT_1=0,CONCATENATE(TEXT(FIXED(ROUND((C2566/EXC.RATE_1),CURRENCY.FORMAT_1),CURRENCY.FORMAT_1,1),"# ##0;-# ##0"),",-"),FIXED(ROUND((C2566/EXC.RATE_1),CURRENCY.FORMAT_1),CURRENCY.FORMAT_1,0)),'DICTIONARY-5'!$A$2)</f>
        <v>310,-</v>
      </c>
      <c r="K2566" s="670" t="str">
        <f>IF(EXC.RATE_2=0,"",IFERROR(IF(CURRENCY.FORMAT_2=0,CONCATENATE(TEXT(FIXED(ROUND(IF(EXC.RATE.SWITCH=1,C2566/EXC.RATE_2,C2566*EXC.RATE_2),CURRENCY.FORMAT_2),CURRENCY.FORMAT_2,1),"# ##0;-# ##0"),",-"),FIXED(ROUND(IF(EXC.RATE.SWITCH=1,C2566/EXC.RATE_2,C2566*EXC.RATE_2),CURRENCY.FORMAT_2),CURRENCY.FORMAT_2,0)),'DICTIONARY-5'!$A$2))</f>
        <v/>
      </c>
      <c r="L2566" s="670" t="str">
        <f>IFERROR(IF(CURRENCY.FORMAT_1=0,CONCATENATE(TEXT(FIXED(ROUND((C2566*(1-I2566)*(1-ADD.DISCOUNT)*(1+MAT.SURCHARGE)/EXC.RATE_1),CURRENCY.FORMAT_1),CURRENCY.FORMAT_1,1),"# ##0;-# ##0"),",-"),FIXED(ROUND((C2566*(1-I2566)*(1-ADD.DISCOUNT)*(1+MAT.SURCHARGE)/EXC.RATE_1),CURRENCY.FORMAT_1),CURRENCY.FORMAT_1,0)),'DICTIONARY-5'!$A$2)</f>
        <v>322,-</v>
      </c>
      <c r="M2566" s="670" t="str">
        <f>IF(EXC.RATE_2=0,"",IFERROR(IF(CURRENCY.FORMAT_2=0,CONCATENATE(TEXT(FIXED(ROUND(IF(EXC.RATE.SWITCH=1,C2566*(1-I2566)*(1-ADD.DISCOUNT)*(1+MAT.SURCHARGE)/EXC.RATE_2,C2566*(1-I2566)*(1-ADD.DISCOUNT)*(1+MAT.SURCHARGE)*EXC.RATE_2),CURRENCY.FORMAT_2),CURRENCY.FORMAT_2,1),"# ##0;-# ##0"),",-"),FIXED(ROUND(IF(EXC.RATE.SWITCH=1,C2566*(1-I2566)*(1-ADD.DISCOUNT)*(1+MAT.SURCHARGE)/EXC.RATE_2,C2566*(1-I2566)*(1-ADD.DISCOUNT)*(1+MAT.SURCHARGE)*EXC.RATE_2),CURRENCY.FORMAT_2),CURRENCY.FORMAT_2,0)),'DICTIONARY-5'!$A$2))</f>
        <v/>
      </c>
      <c r="N2566" s="536">
        <v>12</v>
      </c>
      <c r="O2566" s="536"/>
      <c r="P2566" s="732" t="str">
        <f>'DICTIONARY-3'!$A$153&amp;" "&amp;'DICTIONARY-3'!$A$165</f>
        <v>BAIO MTT</v>
      </c>
      <c r="Q2566" s="732" t="str">
        <f>'DICTIONARY-3'!$A$223</f>
        <v>Kształtka</v>
      </c>
      <c r="R2566" s="732" t="str">
        <f>CONCATENATE('DICTIONARY-3'!$A$153," ",'DICTIONARY-3'!$A$175&amp;'DICTIONARY-3'!$A$165&amp;'DICTIONARY-3'!$A$174," ",'DICTIONARY-2'!$A$2,"80/80"," ",'DICTIONARY-2'!$A$10,"16",'DICTIONARY-2'!$A$20," ",'DICTIONARY-2'!$A$24,"=","390",'DICTIONARY-2'!$A$17,,", ",LOWER('DICTIONARY-3'!$A$349)," ","4×",'DICTIONARY-5'!$A$198)</f>
        <v>BAIO Kształtka-MTT‎ DN80/80 PS16bar L=390mm, krzyżak 4×mufa</v>
      </c>
      <c r="S2566" s="733" t="s">
        <v>5569</v>
      </c>
      <c r="T2566" s="732" t="s">
        <v>5569</v>
      </c>
      <c r="U2566" s="748" t="s">
        <v>5862</v>
      </c>
      <c r="V2566" s="735"/>
      <c r="W2566" s="736"/>
      <c r="X2566" s="737"/>
      <c r="Y2566" s="738"/>
      <c r="Z2566" s="739"/>
      <c r="AA2566" s="739"/>
      <c r="AB2566" s="740">
        <v>16</v>
      </c>
      <c r="AC2566" s="741">
        <v>390</v>
      </c>
      <c r="AD2566" s="741" t="str">
        <f>'DICTIONARY-5'!$A$13</f>
        <v>woda pitna</v>
      </c>
      <c r="AE2566" s="742">
        <v>50</v>
      </c>
      <c r="AF2566" s="743">
        <v>17.5</v>
      </c>
      <c r="AG2566" s="741" t="str">
        <f>'DICTIONARY-5'!$A$23</f>
        <v>powłoka epoksydowa</v>
      </c>
    </row>
    <row r="2567" spans="1:33" x14ac:dyDescent="0.25">
      <c r="A2567" s="880" t="s">
        <v>2453</v>
      </c>
      <c r="B2567" s="880" t="s">
        <v>2794</v>
      </c>
      <c r="C2567" s="836">
        <v>486</v>
      </c>
      <c r="D2567" s="836"/>
      <c r="E2567" s="836"/>
      <c r="F2567" s="836"/>
      <c r="G2567" s="496" t="s">
        <v>7851</v>
      </c>
      <c r="H2567" s="797" t="str">
        <f>VLOOKUP(G2567,SETTINGS!$B$7:$D$97,2,0)</f>
        <v>BAIO Fittings</v>
      </c>
      <c r="I2567" s="796">
        <f>VLOOKUP(G2567,SETTINGS!$B$7:$D$97,3,0)</f>
        <v>0</v>
      </c>
      <c r="J2567" s="670" t="str">
        <f>IFERROR(IF(CURRENCY.FORMAT_1=0,CONCATENATE(TEXT(FIXED(ROUND((C2567/EXC.RATE_1),CURRENCY.FORMAT_1),CURRENCY.FORMAT_1,1),"# ##0;-# ##0"),",-"),FIXED(ROUND((C2567/EXC.RATE_1),CURRENCY.FORMAT_1),CURRENCY.FORMAT_1,0)),'DICTIONARY-5'!$A$2)</f>
        <v>486,-</v>
      </c>
      <c r="K2567" s="670" t="str">
        <f>IF(EXC.RATE_2=0,"",IFERROR(IF(CURRENCY.FORMAT_2=0,CONCATENATE(TEXT(FIXED(ROUND(IF(EXC.RATE.SWITCH=1,C2567/EXC.RATE_2,C2567*EXC.RATE_2),CURRENCY.FORMAT_2),CURRENCY.FORMAT_2,1),"# ##0;-# ##0"),",-"),FIXED(ROUND(IF(EXC.RATE.SWITCH=1,C2567/EXC.RATE_2,C2567*EXC.RATE_2),CURRENCY.FORMAT_2),CURRENCY.FORMAT_2,0)),'DICTIONARY-5'!$A$2))</f>
        <v/>
      </c>
      <c r="L2567" s="670" t="str">
        <f>IFERROR(IF(CURRENCY.FORMAT_1=0,CONCATENATE(TEXT(FIXED(ROUND((C2567*(1-I2567)*(1-ADD.DISCOUNT)*(1+MAT.SURCHARGE)/EXC.RATE_1),CURRENCY.FORMAT_1),CURRENCY.FORMAT_1,1),"# ##0;-# ##0"),",-"),FIXED(ROUND((C2567*(1-I2567)*(1-ADD.DISCOUNT)*(1+MAT.SURCHARGE)/EXC.RATE_1),CURRENCY.FORMAT_1),CURRENCY.FORMAT_1,0)),'DICTIONARY-5'!$A$2)</f>
        <v>505,-</v>
      </c>
      <c r="M2567" s="670" t="str">
        <f>IF(EXC.RATE_2=0,"",IFERROR(IF(CURRENCY.FORMAT_2=0,CONCATENATE(TEXT(FIXED(ROUND(IF(EXC.RATE.SWITCH=1,C2567*(1-I2567)*(1-ADD.DISCOUNT)*(1+MAT.SURCHARGE)/EXC.RATE_2,C2567*(1-I2567)*(1-ADD.DISCOUNT)*(1+MAT.SURCHARGE)*EXC.RATE_2),CURRENCY.FORMAT_2),CURRENCY.FORMAT_2,1),"# ##0;-# ##0"),",-"),FIXED(ROUND(IF(EXC.RATE.SWITCH=1,C2567*(1-I2567)*(1-ADD.DISCOUNT)*(1+MAT.SURCHARGE)/EXC.RATE_2,C2567*(1-I2567)*(1-ADD.DISCOUNT)*(1+MAT.SURCHARGE)*EXC.RATE_2),CURRENCY.FORMAT_2),CURRENCY.FORMAT_2,0)),'DICTIONARY-5'!$A$2))</f>
        <v/>
      </c>
      <c r="N2567" s="536">
        <v>12</v>
      </c>
      <c r="O2567" s="536"/>
      <c r="P2567" s="732" t="str">
        <f>'DICTIONARY-3'!$A$153&amp;" "&amp;'DICTIONARY-3'!$A$165</f>
        <v>BAIO MTT</v>
      </c>
      <c r="Q2567" s="732" t="str">
        <f>'DICTIONARY-3'!$A$223</f>
        <v>Kształtka</v>
      </c>
      <c r="R2567" s="732" t="str">
        <f>CONCATENATE('DICTIONARY-3'!$A$153," ",'DICTIONARY-3'!$A$175&amp;'DICTIONARY-3'!$A$165&amp;'DICTIONARY-3'!$A$174," ",'DICTIONARY-2'!$A$2,"100/100"," ",'DICTIONARY-2'!$A$10,"16",'DICTIONARY-2'!$A$20," ",'DICTIONARY-2'!$A$24,"=","420",'DICTIONARY-2'!$A$17,,", ",LOWER('DICTIONARY-3'!$A$349)," ","4×",'DICTIONARY-5'!$A$198)</f>
        <v>BAIO Kształtka-MTT‎ DN100/100 PS16bar L=420mm, krzyżak 4×mufa</v>
      </c>
      <c r="S2567" s="733" t="s">
        <v>5569</v>
      </c>
      <c r="T2567" s="732" t="s">
        <v>5569</v>
      </c>
      <c r="U2567" s="748" t="s">
        <v>5863</v>
      </c>
      <c r="V2567" s="735"/>
      <c r="W2567" s="736"/>
      <c r="X2567" s="737"/>
      <c r="Y2567" s="738"/>
      <c r="Z2567" s="739"/>
      <c r="AA2567" s="739"/>
      <c r="AB2567" s="740">
        <v>16</v>
      </c>
      <c r="AC2567" s="741">
        <v>420</v>
      </c>
      <c r="AD2567" s="741" t="str">
        <f>'DICTIONARY-5'!$A$13</f>
        <v>woda pitna</v>
      </c>
      <c r="AE2567" s="742">
        <v>50</v>
      </c>
      <c r="AF2567" s="743">
        <v>21.5</v>
      </c>
      <c r="AG2567" s="741" t="str">
        <f>'DICTIONARY-5'!$A$23</f>
        <v>powłoka epoksydowa</v>
      </c>
    </row>
    <row r="2568" spans="1:33" x14ac:dyDescent="0.25">
      <c r="A2568" s="880" t="s">
        <v>2454</v>
      </c>
      <c r="B2568" s="880" t="s">
        <v>2795</v>
      </c>
      <c r="C2568" s="836">
        <v>525</v>
      </c>
      <c r="D2568" s="836"/>
      <c r="E2568" s="836"/>
      <c r="F2568" s="836"/>
      <c r="G2568" s="496" t="s">
        <v>7851</v>
      </c>
      <c r="H2568" s="797" t="str">
        <f>VLOOKUP(G2568,SETTINGS!$B$7:$D$97,2,0)</f>
        <v>BAIO Fittings</v>
      </c>
      <c r="I2568" s="796">
        <f>VLOOKUP(G2568,SETTINGS!$B$7:$D$97,3,0)</f>
        <v>0</v>
      </c>
      <c r="J2568" s="670" t="str">
        <f>IFERROR(IF(CURRENCY.FORMAT_1=0,CONCATENATE(TEXT(FIXED(ROUND((C2568/EXC.RATE_1),CURRENCY.FORMAT_1),CURRENCY.FORMAT_1,1),"# ##0;-# ##0"),",-"),FIXED(ROUND((C2568/EXC.RATE_1),CURRENCY.FORMAT_1),CURRENCY.FORMAT_1,0)),'DICTIONARY-5'!$A$2)</f>
        <v>525,-</v>
      </c>
      <c r="K2568" s="670" t="str">
        <f>IF(EXC.RATE_2=0,"",IFERROR(IF(CURRENCY.FORMAT_2=0,CONCATENATE(TEXT(FIXED(ROUND(IF(EXC.RATE.SWITCH=1,C2568/EXC.RATE_2,C2568*EXC.RATE_2),CURRENCY.FORMAT_2),CURRENCY.FORMAT_2,1),"# ##0;-# ##0"),",-"),FIXED(ROUND(IF(EXC.RATE.SWITCH=1,C2568/EXC.RATE_2,C2568*EXC.RATE_2),CURRENCY.FORMAT_2),CURRENCY.FORMAT_2,0)),'DICTIONARY-5'!$A$2))</f>
        <v/>
      </c>
      <c r="L2568" s="670" t="str">
        <f>IFERROR(IF(CURRENCY.FORMAT_1=0,CONCATENATE(TEXT(FIXED(ROUND((C2568*(1-I2568)*(1-ADD.DISCOUNT)*(1+MAT.SURCHARGE)/EXC.RATE_1),CURRENCY.FORMAT_1),CURRENCY.FORMAT_1,1),"# ##0;-# ##0"),",-"),FIXED(ROUND((C2568*(1-I2568)*(1-ADD.DISCOUNT)*(1+MAT.SURCHARGE)/EXC.RATE_1),CURRENCY.FORMAT_1),CURRENCY.FORMAT_1,0)),'DICTIONARY-5'!$A$2)</f>
        <v>545,-</v>
      </c>
      <c r="M2568" s="670" t="str">
        <f>IF(EXC.RATE_2=0,"",IFERROR(IF(CURRENCY.FORMAT_2=0,CONCATENATE(TEXT(FIXED(ROUND(IF(EXC.RATE.SWITCH=1,C2568*(1-I2568)*(1-ADD.DISCOUNT)*(1+MAT.SURCHARGE)/EXC.RATE_2,C2568*(1-I2568)*(1-ADD.DISCOUNT)*(1+MAT.SURCHARGE)*EXC.RATE_2),CURRENCY.FORMAT_2),CURRENCY.FORMAT_2,1),"# ##0;-# ##0"),",-"),FIXED(ROUND(IF(EXC.RATE.SWITCH=1,C2568*(1-I2568)*(1-ADD.DISCOUNT)*(1+MAT.SURCHARGE)/EXC.RATE_2,C2568*(1-I2568)*(1-ADD.DISCOUNT)*(1+MAT.SURCHARGE)*EXC.RATE_2),CURRENCY.FORMAT_2),CURRENCY.FORMAT_2,0)),'DICTIONARY-5'!$A$2))</f>
        <v/>
      </c>
      <c r="N2568" s="536">
        <v>12</v>
      </c>
      <c r="O2568" s="536"/>
      <c r="P2568" s="732" t="str">
        <f>'DICTIONARY-3'!$A$153&amp;" "&amp;'DICTIONARY-3'!$A$165</f>
        <v>BAIO MTT</v>
      </c>
      <c r="Q2568" s="732" t="str">
        <f>'DICTIONARY-3'!$A$223</f>
        <v>Kształtka</v>
      </c>
      <c r="R2568" s="732" t="str">
        <f>CONCATENATE('DICTIONARY-3'!$A$153," ",'DICTIONARY-3'!$A$175&amp;'DICTIONARY-3'!$A$165&amp;'DICTIONARY-3'!$A$174," ",'DICTIONARY-2'!$A$2,"125/125"," ",'DICTIONARY-2'!$A$10,"16",'DICTIONARY-2'!$A$20," ",'DICTIONARY-2'!$A$24,"=","645",'DICTIONARY-2'!$A$17,,", ",LOWER('DICTIONARY-3'!$A$349)," ","4×",'DICTIONARY-5'!$A$198)</f>
        <v>BAIO Kształtka-MTT‎ DN125/125 PS16bar L=645mm, krzyżak 4×mufa</v>
      </c>
      <c r="S2568" s="733" t="s">
        <v>5569</v>
      </c>
      <c r="T2568" s="732" t="s">
        <v>5569</v>
      </c>
      <c r="U2568" s="748" t="s">
        <v>5864</v>
      </c>
      <c r="V2568" s="735"/>
      <c r="W2568" s="736"/>
      <c r="X2568" s="737"/>
      <c r="Y2568" s="738"/>
      <c r="Z2568" s="739"/>
      <c r="AA2568" s="739"/>
      <c r="AB2568" s="740">
        <v>16</v>
      </c>
      <c r="AC2568" s="741">
        <v>645</v>
      </c>
      <c r="AD2568" s="741" t="str">
        <f>'DICTIONARY-5'!$A$13</f>
        <v>woda pitna</v>
      </c>
      <c r="AE2568" s="742">
        <v>50</v>
      </c>
      <c r="AF2568" s="743">
        <v>28</v>
      </c>
      <c r="AG2568" s="741" t="str">
        <f>'DICTIONARY-5'!$A$23</f>
        <v>powłoka epoksydowa</v>
      </c>
    </row>
    <row r="2569" spans="1:33" x14ac:dyDescent="0.25">
      <c r="A2569" s="880" t="s">
        <v>2455</v>
      </c>
      <c r="B2569" s="880" t="s">
        <v>2796</v>
      </c>
      <c r="C2569" s="836">
        <v>498</v>
      </c>
      <c r="D2569" s="836"/>
      <c r="E2569" s="836"/>
      <c r="F2569" s="836"/>
      <c r="G2569" s="496" t="s">
        <v>7851</v>
      </c>
      <c r="H2569" s="797" t="str">
        <f>VLOOKUP(G2569,SETTINGS!$B$7:$D$97,2,0)</f>
        <v>BAIO Fittings</v>
      </c>
      <c r="I2569" s="796">
        <f>VLOOKUP(G2569,SETTINGS!$B$7:$D$97,3,0)</f>
        <v>0</v>
      </c>
      <c r="J2569" s="670" t="str">
        <f>IFERROR(IF(CURRENCY.FORMAT_1=0,CONCATENATE(TEXT(FIXED(ROUND((C2569/EXC.RATE_1),CURRENCY.FORMAT_1),CURRENCY.FORMAT_1,1),"# ##0;-# ##0"),",-"),FIXED(ROUND((C2569/EXC.RATE_1),CURRENCY.FORMAT_1),CURRENCY.FORMAT_1,0)),'DICTIONARY-5'!$A$2)</f>
        <v>498,-</v>
      </c>
      <c r="K2569" s="670" t="str">
        <f>IF(EXC.RATE_2=0,"",IFERROR(IF(CURRENCY.FORMAT_2=0,CONCATENATE(TEXT(FIXED(ROUND(IF(EXC.RATE.SWITCH=1,C2569/EXC.RATE_2,C2569*EXC.RATE_2),CURRENCY.FORMAT_2),CURRENCY.FORMAT_2,1),"# ##0;-# ##0"),",-"),FIXED(ROUND(IF(EXC.RATE.SWITCH=1,C2569/EXC.RATE_2,C2569*EXC.RATE_2),CURRENCY.FORMAT_2),CURRENCY.FORMAT_2,0)),'DICTIONARY-5'!$A$2))</f>
        <v/>
      </c>
      <c r="L2569" s="670" t="str">
        <f>IFERROR(IF(CURRENCY.FORMAT_1=0,CONCATENATE(TEXT(FIXED(ROUND((C2569*(1-I2569)*(1-ADD.DISCOUNT)*(1+MAT.SURCHARGE)/EXC.RATE_1),CURRENCY.FORMAT_1),CURRENCY.FORMAT_1,1),"# ##0;-# ##0"),",-"),FIXED(ROUND((C2569*(1-I2569)*(1-ADD.DISCOUNT)*(1+MAT.SURCHARGE)/EXC.RATE_1),CURRENCY.FORMAT_1),CURRENCY.FORMAT_1,0)),'DICTIONARY-5'!$A$2)</f>
        <v>517,-</v>
      </c>
      <c r="M2569" s="670" t="str">
        <f>IF(EXC.RATE_2=0,"",IFERROR(IF(CURRENCY.FORMAT_2=0,CONCATENATE(TEXT(FIXED(ROUND(IF(EXC.RATE.SWITCH=1,C2569*(1-I2569)*(1-ADD.DISCOUNT)*(1+MAT.SURCHARGE)/EXC.RATE_2,C2569*(1-I2569)*(1-ADD.DISCOUNT)*(1+MAT.SURCHARGE)*EXC.RATE_2),CURRENCY.FORMAT_2),CURRENCY.FORMAT_2,1),"# ##0;-# ##0"),",-"),FIXED(ROUND(IF(EXC.RATE.SWITCH=1,C2569*(1-I2569)*(1-ADD.DISCOUNT)*(1+MAT.SURCHARGE)/EXC.RATE_2,C2569*(1-I2569)*(1-ADD.DISCOUNT)*(1+MAT.SURCHARGE)*EXC.RATE_2),CURRENCY.FORMAT_2),CURRENCY.FORMAT_2,0)),'DICTIONARY-5'!$A$2))</f>
        <v/>
      </c>
      <c r="N2569" s="536">
        <v>12</v>
      </c>
      <c r="O2569" s="536"/>
      <c r="P2569" s="732" t="str">
        <f>'DICTIONARY-3'!$A$153&amp;" "&amp;'DICTIONARY-3'!$A$165</f>
        <v>BAIO MTT</v>
      </c>
      <c r="Q2569" s="732" t="str">
        <f>'DICTIONARY-3'!$A$223</f>
        <v>Kształtka</v>
      </c>
      <c r="R2569" s="732" t="str">
        <f>CONCATENATE('DICTIONARY-3'!$A$153," ",'DICTIONARY-3'!$A$175&amp;'DICTIONARY-3'!$A$165&amp;'DICTIONARY-3'!$A$174," ",'DICTIONARY-2'!$A$2,"150/150"," ",'DICTIONARY-2'!$A$10,"16",'DICTIONARY-2'!$A$20," ",'DICTIONARY-2'!$A$24,"=","500",'DICTIONARY-2'!$A$17,,", ",LOWER('DICTIONARY-3'!$A$349)," ","4×",'DICTIONARY-5'!$A$198)</f>
        <v>BAIO Kształtka-MTT‎ DN150/150 PS16bar L=500mm, krzyżak 4×mufa</v>
      </c>
      <c r="S2569" s="733" t="s">
        <v>5569</v>
      </c>
      <c r="T2569" s="732" t="s">
        <v>5569</v>
      </c>
      <c r="U2569" s="748" t="s">
        <v>5865</v>
      </c>
      <c r="V2569" s="735"/>
      <c r="W2569" s="736"/>
      <c r="X2569" s="737"/>
      <c r="Y2569" s="738"/>
      <c r="Z2569" s="739"/>
      <c r="AA2569" s="739"/>
      <c r="AB2569" s="740">
        <v>16</v>
      </c>
      <c r="AC2569" s="741">
        <v>500</v>
      </c>
      <c r="AD2569" s="741" t="str">
        <f>'DICTIONARY-5'!$A$13</f>
        <v>woda pitna</v>
      </c>
      <c r="AE2569" s="742">
        <v>50</v>
      </c>
      <c r="AF2569" s="743">
        <v>33</v>
      </c>
      <c r="AG2569" s="741" t="str">
        <f>'DICTIONARY-5'!$A$23</f>
        <v>powłoka epoksydowa</v>
      </c>
    </row>
    <row r="2570" spans="1:33" x14ac:dyDescent="0.25">
      <c r="A2570" s="880" t="s">
        <v>2456</v>
      </c>
      <c r="B2570" s="880" t="s">
        <v>2932</v>
      </c>
      <c r="C2570" s="836">
        <v>972</v>
      </c>
      <c r="D2570" s="836"/>
      <c r="E2570" s="836"/>
      <c r="F2570" s="836"/>
      <c r="G2570" s="496" t="s">
        <v>7851</v>
      </c>
      <c r="H2570" s="797" t="str">
        <f>VLOOKUP(G2570,SETTINGS!$B$7:$D$97,2,0)</f>
        <v>BAIO Fittings</v>
      </c>
      <c r="I2570" s="796">
        <f>VLOOKUP(G2570,SETTINGS!$B$7:$D$97,3,0)</f>
        <v>0</v>
      </c>
      <c r="J2570" s="670" t="str">
        <f>IFERROR(IF(CURRENCY.FORMAT_1=0,CONCATENATE(TEXT(FIXED(ROUND((C2570/EXC.RATE_1),CURRENCY.FORMAT_1),CURRENCY.FORMAT_1,1),"# ##0;-# ##0"),",-"),FIXED(ROUND((C2570/EXC.RATE_1),CURRENCY.FORMAT_1),CURRENCY.FORMAT_1,0)),'DICTIONARY-5'!$A$2)</f>
        <v>972,-</v>
      </c>
      <c r="K2570" s="670" t="str">
        <f>IF(EXC.RATE_2=0,"",IFERROR(IF(CURRENCY.FORMAT_2=0,CONCATENATE(TEXT(FIXED(ROUND(IF(EXC.RATE.SWITCH=1,C2570/EXC.RATE_2,C2570*EXC.RATE_2),CURRENCY.FORMAT_2),CURRENCY.FORMAT_2,1),"# ##0;-# ##0"),",-"),FIXED(ROUND(IF(EXC.RATE.SWITCH=1,C2570/EXC.RATE_2,C2570*EXC.RATE_2),CURRENCY.FORMAT_2),CURRENCY.FORMAT_2,0)),'DICTIONARY-5'!$A$2))</f>
        <v/>
      </c>
      <c r="L2570" s="670" t="str">
        <f>IFERROR(IF(CURRENCY.FORMAT_1=0,CONCATENATE(TEXT(FIXED(ROUND((C2570*(1-I2570)*(1-ADD.DISCOUNT)*(1+MAT.SURCHARGE)/EXC.RATE_1),CURRENCY.FORMAT_1),CURRENCY.FORMAT_1,1),"# ##0;-# ##0"),",-"),FIXED(ROUND((C2570*(1-I2570)*(1-ADD.DISCOUNT)*(1+MAT.SURCHARGE)/EXC.RATE_1),CURRENCY.FORMAT_1),CURRENCY.FORMAT_1,0)),'DICTIONARY-5'!$A$2)</f>
        <v>1 010,-</v>
      </c>
      <c r="M2570" s="670" t="str">
        <f>IF(EXC.RATE_2=0,"",IFERROR(IF(CURRENCY.FORMAT_2=0,CONCATENATE(TEXT(FIXED(ROUND(IF(EXC.RATE.SWITCH=1,C2570*(1-I2570)*(1-ADD.DISCOUNT)*(1+MAT.SURCHARGE)/EXC.RATE_2,C2570*(1-I2570)*(1-ADD.DISCOUNT)*(1+MAT.SURCHARGE)*EXC.RATE_2),CURRENCY.FORMAT_2),CURRENCY.FORMAT_2,1),"# ##0;-# ##0"),",-"),FIXED(ROUND(IF(EXC.RATE.SWITCH=1,C2570*(1-I2570)*(1-ADD.DISCOUNT)*(1+MAT.SURCHARGE)/EXC.RATE_2,C2570*(1-I2570)*(1-ADD.DISCOUNT)*(1+MAT.SURCHARGE)*EXC.RATE_2),CURRENCY.FORMAT_2),CURRENCY.FORMAT_2,0)),'DICTIONARY-5'!$A$2))</f>
        <v/>
      </c>
      <c r="N2570" s="536">
        <v>12</v>
      </c>
      <c r="O2570" s="536"/>
      <c r="P2570" s="732" t="str">
        <f>'DICTIONARY-3'!$A$153&amp;" "&amp;'DICTIONARY-3'!$A$165</f>
        <v>BAIO MTT</v>
      </c>
      <c r="Q2570" s="732" t="str">
        <f>'DICTIONARY-3'!$A$223</f>
        <v>Kształtka</v>
      </c>
      <c r="R2570" s="732" t="str">
        <f>CONCATENATE('DICTIONARY-3'!$A$153," ",'DICTIONARY-3'!$A$175&amp;'DICTIONARY-3'!$A$165&amp;'DICTIONARY-3'!$A$174," ",'DICTIONARY-2'!$A$2,"200/200"," ",'DICTIONARY-2'!$A$10,"16",'DICTIONARY-2'!$A$20," ",'DICTIONARY-2'!$A$24,"=","600",'DICTIONARY-2'!$A$17,,", ",LOWER('DICTIONARY-3'!$A$349)," ","4×",'DICTIONARY-5'!$A$198)</f>
        <v>BAIO Kształtka-MTT‎ DN200/200 PS16bar L=600mm, krzyżak 4×mufa</v>
      </c>
      <c r="S2570" s="733" t="s">
        <v>5569</v>
      </c>
      <c r="T2570" s="732" t="s">
        <v>5569</v>
      </c>
      <c r="U2570" s="748" t="s">
        <v>5866</v>
      </c>
      <c r="V2570" s="735"/>
      <c r="W2570" s="736"/>
      <c r="X2570" s="737"/>
      <c r="Y2570" s="738"/>
      <c r="Z2570" s="739"/>
      <c r="AA2570" s="739"/>
      <c r="AB2570" s="740">
        <v>16</v>
      </c>
      <c r="AC2570" s="741">
        <v>600</v>
      </c>
      <c r="AD2570" s="741" t="str">
        <f>'DICTIONARY-5'!$A$13</f>
        <v>woda pitna</v>
      </c>
      <c r="AE2570" s="742">
        <v>50</v>
      </c>
      <c r="AF2570" s="743">
        <v>55.5</v>
      </c>
      <c r="AG2570" s="741" t="str">
        <f>'DICTIONARY-5'!$A$23</f>
        <v>powłoka epoksydowa</v>
      </c>
    </row>
    <row r="2571" spans="1:33" x14ac:dyDescent="0.25">
      <c r="A2571" s="880" t="s">
        <v>2457</v>
      </c>
      <c r="B2571" s="880" t="s">
        <v>2801</v>
      </c>
      <c r="C2571" s="836">
        <v>255</v>
      </c>
      <c r="D2571" s="836"/>
      <c r="E2571" s="836"/>
      <c r="F2571" s="836"/>
      <c r="G2571" s="496" t="s">
        <v>7851</v>
      </c>
      <c r="H2571" s="797" t="str">
        <f>VLOOKUP(G2571,SETTINGS!$B$7:$D$97,2,0)</f>
        <v>BAIO Fittings</v>
      </c>
      <c r="I2571" s="796">
        <f>VLOOKUP(G2571,SETTINGS!$B$7:$D$97,3,0)</f>
        <v>0</v>
      </c>
      <c r="J2571" s="670" t="str">
        <f>IFERROR(IF(CURRENCY.FORMAT_1=0,CONCATENATE(TEXT(FIXED(ROUND((C2571/EXC.RATE_1),CURRENCY.FORMAT_1),CURRENCY.FORMAT_1,1),"# ##0;-# ##0"),",-"),FIXED(ROUND((C2571/EXC.RATE_1),CURRENCY.FORMAT_1),CURRENCY.FORMAT_1,0)),'DICTIONARY-5'!$A$2)</f>
        <v>255,-</v>
      </c>
      <c r="K2571" s="670" t="str">
        <f>IF(EXC.RATE_2=0,"",IFERROR(IF(CURRENCY.FORMAT_2=0,CONCATENATE(TEXT(FIXED(ROUND(IF(EXC.RATE.SWITCH=1,C2571/EXC.RATE_2,C2571*EXC.RATE_2),CURRENCY.FORMAT_2),CURRENCY.FORMAT_2,1),"# ##0;-# ##0"),",-"),FIXED(ROUND(IF(EXC.RATE.SWITCH=1,C2571/EXC.RATE_2,C2571*EXC.RATE_2),CURRENCY.FORMAT_2),CURRENCY.FORMAT_2,0)),'DICTIONARY-5'!$A$2))</f>
        <v/>
      </c>
      <c r="L2571" s="670" t="str">
        <f>IFERROR(IF(CURRENCY.FORMAT_1=0,CONCATENATE(TEXT(FIXED(ROUND((C2571*(1-I2571)*(1-ADD.DISCOUNT)*(1+MAT.SURCHARGE)/EXC.RATE_1),CURRENCY.FORMAT_1),CURRENCY.FORMAT_1,1),"# ##0;-# ##0"),",-"),FIXED(ROUND((C2571*(1-I2571)*(1-ADD.DISCOUNT)*(1+MAT.SURCHARGE)/EXC.RATE_1),CURRENCY.FORMAT_1),CURRENCY.FORMAT_1,0)),'DICTIONARY-5'!$A$2)</f>
        <v>265,-</v>
      </c>
      <c r="M2571" s="670" t="str">
        <f>IF(EXC.RATE_2=0,"",IFERROR(IF(CURRENCY.FORMAT_2=0,CONCATENATE(TEXT(FIXED(ROUND(IF(EXC.RATE.SWITCH=1,C2571*(1-I2571)*(1-ADD.DISCOUNT)*(1+MAT.SURCHARGE)/EXC.RATE_2,C2571*(1-I2571)*(1-ADD.DISCOUNT)*(1+MAT.SURCHARGE)*EXC.RATE_2),CURRENCY.FORMAT_2),CURRENCY.FORMAT_2,1),"# ##0;-# ##0"),",-"),FIXED(ROUND(IF(EXC.RATE.SWITCH=1,C2571*(1-I2571)*(1-ADD.DISCOUNT)*(1+MAT.SURCHARGE)/EXC.RATE_2,C2571*(1-I2571)*(1-ADD.DISCOUNT)*(1+MAT.SURCHARGE)*EXC.RATE_2),CURRENCY.FORMAT_2),CURRENCY.FORMAT_2,0)),'DICTIONARY-5'!$A$2))</f>
        <v/>
      </c>
      <c r="N2571" s="536">
        <v>12</v>
      </c>
      <c r="O2571" s="536"/>
      <c r="P2571" s="732" t="str">
        <f>'DICTIONARY-3'!$A$153&amp;" "&amp;'DICTIONARY-3'!$A$166</f>
        <v>BAIO MMB</v>
      </c>
      <c r="Q2571" s="732" t="str">
        <f>'DICTIONARY-3'!$A$223</f>
        <v>Kształtka</v>
      </c>
      <c r="R2571" s="732" t="str">
        <f>CONCATENATE('DICTIONARY-3'!$A$153," ",'DICTIONARY-3'!$A$175&amp;'DICTIONARY-3'!$A$166&amp;'DICTIONARY-3'!$A$174," ",'DICTIONARY-2'!$A$2,"80/80"," ",'DICTIONARY-2'!$A$10,"16",'DICTIONARY-2'!$A$20," ",'DICTIONARY-2'!$A$24,"=","380",'DICTIONARY-2'!$A$17,", ","3×",'DICTIONARY-5'!$A$198)</f>
        <v>BAIO Kształtka-MMB‎ DN80/80 PS16bar L=380mm, 3×mufa</v>
      </c>
      <c r="S2571" s="733" t="s">
        <v>5569</v>
      </c>
      <c r="T2571" s="732" t="s">
        <v>5569</v>
      </c>
      <c r="U2571" s="748" t="s">
        <v>5862</v>
      </c>
      <c r="V2571" s="735"/>
      <c r="W2571" s="736"/>
      <c r="X2571" s="737"/>
      <c r="Y2571" s="738"/>
      <c r="Z2571" s="739"/>
      <c r="AA2571" s="739"/>
      <c r="AB2571" s="740">
        <v>16</v>
      </c>
      <c r="AC2571" s="741">
        <v>380</v>
      </c>
      <c r="AD2571" s="741" t="str">
        <f>'DICTIONARY-5'!$A$13</f>
        <v>woda pitna</v>
      </c>
      <c r="AE2571" s="742">
        <v>50</v>
      </c>
      <c r="AF2571" s="743">
        <v>13</v>
      </c>
      <c r="AG2571" s="741" t="str">
        <f>'DICTIONARY-5'!$A$23</f>
        <v>powłoka epoksydowa</v>
      </c>
    </row>
    <row r="2572" spans="1:33" x14ac:dyDescent="0.25">
      <c r="A2572" s="880" t="s">
        <v>2458</v>
      </c>
      <c r="B2572" s="880" t="s">
        <v>2802</v>
      </c>
      <c r="C2572" s="836">
        <v>243</v>
      </c>
      <c r="D2572" s="836"/>
      <c r="E2572" s="836"/>
      <c r="F2572" s="836"/>
      <c r="G2572" s="496" t="s">
        <v>7851</v>
      </c>
      <c r="H2572" s="797" t="str">
        <f>VLOOKUP(G2572,SETTINGS!$B$7:$D$97,2,0)</f>
        <v>BAIO Fittings</v>
      </c>
      <c r="I2572" s="796">
        <f>VLOOKUP(G2572,SETTINGS!$B$7:$D$97,3,0)</f>
        <v>0</v>
      </c>
      <c r="J2572" s="670" t="str">
        <f>IFERROR(IF(CURRENCY.FORMAT_1=0,CONCATENATE(TEXT(FIXED(ROUND((C2572/EXC.RATE_1),CURRENCY.FORMAT_1),CURRENCY.FORMAT_1,1),"# ##0;-# ##0"),",-"),FIXED(ROUND((C2572/EXC.RATE_1),CURRENCY.FORMAT_1),CURRENCY.FORMAT_1,0)),'DICTIONARY-5'!$A$2)</f>
        <v>243,-</v>
      </c>
      <c r="K2572" s="670" t="str">
        <f>IF(EXC.RATE_2=0,"",IFERROR(IF(CURRENCY.FORMAT_2=0,CONCATENATE(TEXT(FIXED(ROUND(IF(EXC.RATE.SWITCH=1,C2572/EXC.RATE_2,C2572*EXC.RATE_2),CURRENCY.FORMAT_2),CURRENCY.FORMAT_2,1),"# ##0;-# ##0"),",-"),FIXED(ROUND(IF(EXC.RATE.SWITCH=1,C2572/EXC.RATE_2,C2572*EXC.RATE_2),CURRENCY.FORMAT_2),CURRENCY.FORMAT_2,0)),'DICTIONARY-5'!$A$2))</f>
        <v/>
      </c>
      <c r="L2572" s="670" t="str">
        <f>IFERROR(IF(CURRENCY.FORMAT_1=0,CONCATENATE(TEXT(FIXED(ROUND((C2572*(1-I2572)*(1-ADD.DISCOUNT)*(1+MAT.SURCHARGE)/EXC.RATE_1),CURRENCY.FORMAT_1),CURRENCY.FORMAT_1,1),"# ##0;-# ##0"),",-"),FIXED(ROUND((C2572*(1-I2572)*(1-ADD.DISCOUNT)*(1+MAT.SURCHARGE)/EXC.RATE_1),CURRENCY.FORMAT_1),CURRENCY.FORMAT_1,0)),'DICTIONARY-5'!$A$2)</f>
        <v>252,-</v>
      </c>
      <c r="M2572" s="670" t="str">
        <f>IF(EXC.RATE_2=0,"",IFERROR(IF(CURRENCY.FORMAT_2=0,CONCATENATE(TEXT(FIXED(ROUND(IF(EXC.RATE.SWITCH=1,C2572*(1-I2572)*(1-ADD.DISCOUNT)*(1+MAT.SURCHARGE)/EXC.RATE_2,C2572*(1-I2572)*(1-ADD.DISCOUNT)*(1+MAT.SURCHARGE)*EXC.RATE_2),CURRENCY.FORMAT_2),CURRENCY.FORMAT_2,1),"# ##0;-# ##0"),",-"),FIXED(ROUND(IF(EXC.RATE.SWITCH=1,C2572*(1-I2572)*(1-ADD.DISCOUNT)*(1+MAT.SURCHARGE)/EXC.RATE_2,C2572*(1-I2572)*(1-ADD.DISCOUNT)*(1+MAT.SURCHARGE)*EXC.RATE_2),CURRENCY.FORMAT_2),CURRENCY.FORMAT_2,0)),'DICTIONARY-5'!$A$2))</f>
        <v/>
      </c>
      <c r="N2572" s="536">
        <v>12</v>
      </c>
      <c r="O2572" s="536"/>
      <c r="P2572" s="732" t="str">
        <f>'DICTIONARY-3'!$A$153&amp;" "&amp;'DICTIONARY-3'!$A$166</f>
        <v>BAIO MMB</v>
      </c>
      <c r="Q2572" s="732" t="str">
        <f>'DICTIONARY-3'!$A$223</f>
        <v>Kształtka</v>
      </c>
      <c r="R2572" s="732" t="str">
        <f>CONCATENATE('DICTIONARY-3'!$A$153," ",'DICTIONARY-3'!$A$175&amp;'DICTIONARY-3'!$A$166&amp;'DICTIONARY-3'!$A$174," ",'DICTIONARY-2'!$A$2,"100/80"," ",'DICTIONARY-2'!$A$10,"16",'DICTIONARY-2'!$A$20," ",'DICTIONARY-2'!$A$24,"=","410",'DICTIONARY-2'!$A$17,", ","3×",'DICTIONARY-5'!$A$198)</f>
        <v>BAIO Kształtka-MMB‎ DN100/80 PS16bar L=410mm, 3×mufa</v>
      </c>
      <c r="S2572" s="733" t="s">
        <v>5569</v>
      </c>
      <c r="T2572" s="732" t="s">
        <v>5569</v>
      </c>
      <c r="U2572" s="748" t="s">
        <v>5849</v>
      </c>
      <c r="V2572" s="735"/>
      <c r="W2572" s="736"/>
      <c r="X2572" s="737"/>
      <c r="Y2572" s="738"/>
      <c r="Z2572" s="739"/>
      <c r="AA2572" s="739"/>
      <c r="AB2572" s="740">
        <v>16</v>
      </c>
      <c r="AC2572" s="741">
        <v>410</v>
      </c>
      <c r="AD2572" s="741" t="str">
        <f>'DICTIONARY-5'!$A$13</f>
        <v>woda pitna</v>
      </c>
      <c r="AE2572" s="742">
        <v>50</v>
      </c>
      <c r="AF2572" s="743">
        <v>15</v>
      </c>
      <c r="AG2572" s="741" t="str">
        <f>'DICTIONARY-5'!$A$23</f>
        <v>powłoka epoksydowa</v>
      </c>
    </row>
    <row r="2573" spans="1:33" x14ac:dyDescent="0.25">
      <c r="A2573" s="880" t="s">
        <v>2459</v>
      </c>
      <c r="B2573" s="880" t="s">
        <v>2803</v>
      </c>
      <c r="C2573" s="836">
        <v>269</v>
      </c>
      <c r="D2573" s="836"/>
      <c r="E2573" s="836"/>
      <c r="F2573" s="836"/>
      <c r="G2573" s="496" t="s">
        <v>7851</v>
      </c>
      <c r="H2573" s="797" t="str">
        <f>VLOOKUP(G2573,SETTINGS!$B$7:$D$97,2,0)</f>
        <v>BAIO Fittings</v>
      </c>
      <c r="I2573" s="796">
        <f>VLOOKUP(G2573,SETTINGS!$B$7:$D$97,3,0)</f>
        <v>0</v>
      </c>
      <c r="J2573" s="670" t="str">
        <f>IFERROR(IF(CURRENCY.FORMAT_1=0,CONCATENATE(TEXT(FIXED(ROUND((C2573/EXC.RATE_1),CURRENCY.FORMAT_1),CURRENCY.FORMAT_1,1),"# ##0;-# ##0"),",-"),FIXED(ROUND((C2573/EXC.RATE_1),CURRENCY.FORMAT_1),CURRENCY.FORMAT_1,0)),'DICTIONARY-5'!$A$2)</f>
        <v>269,-</v>
      </c>
      <c r="K2573" s="670" t="str">
        <f>IF(EXC.RATE_2=0,"",IFERROR(IF(CURRENCY.FORMAT_2=0,CONCATENATE(TEXT(FIXED(ROUND(IF(EXC.RATE.SWITCH=1,C2573/EXC.RATE_2,C2573*EXC.RATE_2),CURRENCY.FORMAT_2),CURRENCY.FORMAT_2,1),"# ##0;-# ##0"),",-"),FIXED(ROUND(IF(EXC.RATE.SWITCH=1,C2573/EXC.RATE_2,C2573*EXC.RATE_2),CURRENCY.FORMAT_2),CURRENCY.FORMAT_2,0)),'DICTIONARY-5'!$A$2))</f>
        <v/>
      </c>
      <c r="L2573" s="670" t="str">
        <f>IFERROR(IF(CURRENCY.FORMAT_1=0,CONCATENATE(TEXT(FIXED(ROUND((C2573*(1-I2573)*(1-ADD.DISCOUNT)*(1+MAT.SURCHARGE)/EXC.RATE_1),CURRENCY.FORMAT_1),CURRENCY.FORMAT_1,1),"# ##0;-# ##0"),",-"),FIXED(ROUND((C2573*(1-I2573)*(1-ADD.DISCOUNT)*(1+MAT.SURCHARGE)/EXC.RATE_1),CURRENCY.FORMAT_1),CURRENCY.FORMAT_1,0)),'DICTIONARY-5'!$A$2)</f>
        <v>279,-</v>
      </c>
      <c r="M2573" s="670" t="str">
        <f>IF(EXC.RATE_2=0,"",IFERROR(IF(CURRENCY.FORMAT_2=0,CONCATENATE(TEXT(FIXED(ROUND(IF(EXC.RATE.SWITCH=1,C2573*(1-I2573)*(1-ADD.DISCOUNT)*(1+MAT.SURCHARGE)/EXC.RATE_2,C2573*(1-I2573)*(1-ADD.DISCOUNT)*(1+MAT.SURCHARGE)*EXC.RATE_2),CURRENCY.FORMAT_2),CURRENCY.FORMAT_2,1),"# ##0;-# ##0"),",-"),FIXED(ROUND(IF(EXC.RATE.SWITCH=1,C2573*(1-I2573)*(1-ADD.DISCOUNT)*(1+MAT.SURCHARGE)/EXC.RATE_2,C2573*(1-I2573)*(1-ADD.DISCOUNT)*(1+MAT.SURCHARGE)*EXC.RATE_2),CURRENCY.FORMAT_2),CURRENCY.FORMAT_2,0)),'DICTIONARY-5'!$A$2))</f>
        <v/>
      </c>
      <c r="N2573" s="536">
        <v>12</v>
      </c>
      <c r="O2573" s="536"/>
      <c r="P2573" s="732" t="str">
        <f>'DICTIONARY-3'!$A$153&amp;" "&amp;'DICTIONARY-3'!$A$166</f>
        <v>BAIO MMB</v>
      </c>
      <c r="Q2573" s="732" t="str">
        <f>'DICTIONARY-3'!$A$223</f>
        <v>Kształtka</v>
      </c>
      <c r="R2573" s="732" t="str">
        <f>CONCATENATE('DICTIONARY-3'!$A$153," ",'DICTIONARY-3'!$A$175&amp;'DICTIONARY-3'!$A$166&amp;'DICTIONARY-3'!$A$174," ",'DICTIONARY-2'!$A$2,"100/100"," ",'DICTIONARY-2'!$A$10,"16",'DICTIONARY-2'!$A$20," ",'DICTIONARY-2'!$A$24,"=","420",'DICTIONARY-2'!$A$17,", ","3×",'DICTIONARY-5'!$A$198)</f>
        <v>BAIO Kształtka-MMB‎ DN100/100 PS16bar L=420mm, 3×mufa</v>
      </c>
      <c r="S2573" s="733" t="s">
        <v>5569</v>
      </c>
      <c r="T2573" s="732" t="s">
        <v>5569</v>
      </c>
      <c r="U2573" s="748" t="s">
        <v>5863</v>
      </c>
      <c r="V2573" s="735"/>
      <c r="W2573" s="736"/>
      <c r="X2573" s="737"/>
      <c r="Y2573" s="738"/>
      <c r="Z2573" s="739"/>
      <c r="AA2573" s="739"/>
      <c r="AB2573" s="740">
        <v>16</v>
      </c>
      <c r="AC2573" s="741">
        <v>420</v>
      </c>
      <c r="AD2573" s="741" t="str">
        <f>'DICTIONARY-5'!$A$13</f>
        <v>woda pitna</v>
      </c>
      <c r="AE2573" s="742">
        <v>50</v>
      </c>
      <c r="AF2573" s="743">
        <v>16.5</v>
      </c>
      <c r="AG2573" s="741" t="str">
        <f>'DICTIONARY-5'!$A$23</f>
        <v>powłoka epoksydowa</v>
      </c>
    </row>
    <row r="2574" spans="1:33" x14ac:dyDescent="0.25">
      <c r="A2574" s="880" t="s">
        <v>2460</v>
      </c>
      <c r="B2574" s="880" t="s">
        <v>2804</v>
      </c>
      <c r="C2574" s="836">
        <v>302</v>
      </c>
      <c r="D2574" s="836"/>
      <c r="E2574" s="836"/>
      <c r="F2574" s="836"/>
      <c r="G2574" s="496" t="s">
        <v>7851</v>
      </c>
      <c r="H2574" s="797" t="str">
        <f>VLOOKUP(G2574,SETTINGS!$B$7:$D$97,2,0)</f>
        <v>BAIO Fittings</v>
      </c>
      <c r="I2574" s="796">
        <f>VLOOKUP(G2574,SETTINGS!$B$7:$D$97,3,0)</f>
        <v>0</v>
      </c>
      <c r="J2574" s="670" t="str">
        <f>IFERROR(IF(CURRENCY.FORMAT_1=0,CONCATENATE(TEXT(FIXED(ROUND((C2574/EXC.RATE_1),CURRENCY.FORMAT_1),CURRENCY.FORMAT_1,1),"# ##0;-# ##0"),",-"),FIXED(ROUND((C2574/EXC.RATE_1),CURRENCY.FORMAT_1),CURRENCY.FORMAT_1,0)),'DICTIONARY-5'!$A$2)</f>
        <v>302,-</v>
      </c>
      <c r="K2574" s="670" t="str">
        <f>IF(EXC.RATE_2=0,"",IFERROR(IF(CURRENCY.FORMAT_2=0,CONCATENATE(TEXT(FIXED(ROUND(IF(EXC.RATE.SWITCH=1,C2574/EXC.RATE_2,C2574*EXC.RATE_2),CURRENCY.FORMAT_2),CURRENCY.FORMAT_2,1),"# ##0;-# ##0"),",-"),FIXED(ROUND(IF(EXC.RATE.SWITCH=1,C2574/EXC.RATE_2,C2574*EXC.RATE_2),CURRENCY.FORMAT_2),CURRENCY.FORMAT_2,0)),'DICTIONARY-5'!$A$2))</f>
        <v/>
      </c>
      <c r="L2574" s="670" t="str">
        <f>IFERROR(IF(CURRENCY.FORMAT_1=0,CONCATENATE(TEXT(FIXED(ROUND((C2574*(1-I2574)*(1-ADD.DISCOUNT)*(1+MAT.SURCHARGE)/EXC.RATE_1),CURRENCY.FORMAT_1),CURRENCY.FORMAT_1,1),"# ##0;-# ##0"),",-"),FIXED(ROUND((C2574*(1-I2574)*(1-ADD.DISCOUNT)*(1+MAT.SURCHARGE)/EXC.RATE_1),CURRENCY.FORMAT_1),CURRENCY.FORMAT_1,0)),'DICTIONARY-5'!$A$2)</f>
        <v>314,-</v>
      </c>
      <c r="M2574" s="670" t="str">
        <f>IF(EXC.RATE_2=0,"",IFERROR(IF(CURRENCY.FORMAT_2=0,CONCATENATE(TEXT(FIXED(ROUND(IF(EXC.RATE.SWITCH=1,C2574*(1-I2574)*(1-ADD.DISCOUNT)*(1+MAT.SURCHARGE)/EXC.RATE_2,C2574*(1-I2574)*(1-ADD.DISCOUNT)*(1+MAT.SURCHARGE)*EXC.RATE_2),CURRENCY.FORMAT_2),CURRENCY.FORMAT_2,1),"# ##0;-# ##0"),",-"),FIXED(ROUND(IF(EXC.RATE.SWITCH=1,C2574*(1-I2574)*(1-ADD.DISCOUNT)*(1+MAT.SURCHARGE)/EXC.RATE_2,C2574*(1-I2574)*(1-ADD.DISCOUNT)*(1+MAT.SURCHARGE)*EXC.RATE_2),CURRENCY.FORMAT_2),CURRENCY.FORMAT_2,0)),'DICTIONARY-5'!$A$2))</f>
        <v/>
      </c>
      <c r="N2574" s="536">
        <v>12</v>
      </c>
      <c r="O2574" s="536"/>
      <c r="P2574" s="732" t="str">
        <f>'DICTIONARY-3'!$A$153&amp;" "&amp;'DICTIONARY-3'!$A$166</f>
        <v>BAIO MMB</v>
      </c>
      <c r="Q2574" s="732" t="str">
        <f>'DICTIONARY-3'!$A$223</f>
        <v>Kształtka</v>
      </c>
      <c r="R2574" s="732" t="str">
        <f>CONCATENATE('DICTIONARY-3'!$A$153," ",'DICTIONARY-3'!$A$175&amp;'DICTIONARY-3'!$A$166&amp;'DICTIONARY-3'!$A$174," ",'DICTIONARY-2'!$A$2,"125/80"," ",'DICTIONARY-2'!$A$10,"16",'DICTIONARY-2'!$A$20," ",'DICTIONARY-2'!$A$24,"=","410",'DICTIONARY-2'!$A$17,", ","3×",'DICTIONARY-5'!$A$198)</f>
        <v>BAIO Kształtka-MMB‎ DN125/80 PS16bar L=410mm, 3×mufa</v>
      </c>
      <c r="S2574" s="733" t="s">
        <v>5569</v>
      </c>
      <c r="T2574" s="732" t="s">
        <v>5569</v>
      </c>
      <c r="U2574" s="748" t="s">
        <v>5852</v>
      </c>
      <c r="V2574" s="735"/>
      <c r="W2574" s="736"/>
      <c r="X2574" s="737"/>
      <c r="Y2574" s="738"/>
      <c r="Z2574" s="739"/>
      <c r="AA2574" s="739"/>
      <c r="AB2574" s="740">
        <v>16</v>
      </c>
      <c r="AC2574" s="741">
        <v>410</v>
      </c>
      <c r="AD2574" s="741" t="str">
        <f>'DICTIONARY-5'!$A$13</f>
        <v>woda pitna</v>
      </c>
      <c r="AE2574" s="742">
        <v>50</v>
      </c>
      <c r="AF2574" s="743">
        <v>17</v>
      </c>
      <c r="AG2574" s="741" t="str">
        <f>'DICTIONARY-5'!$A$23</f>
        <v>powłoka epoksydowa</v>
      </c>
    </row>
    <row r="2575" spans="1:33" x14ac:dyDescent="0.25">
      <c r="A2575" s="880" t="s">
        <v>2461</v>
      </c>
      <c r="B2575" s="880" t="s">
        <v>2805</v>
      </c>
      <c r="C2575" s="836">
        <v>316</v>
      </c>
      <c r="D2575" s="836"/>
      <c r="E2575" s="836"/>
      <c r="F2575" s="836"/>
      <c r="G2575" s="496" t="s">
        <v>7851</v>
      </c>
      <c r="H2575" s="797" t="str">
        <f>VLOOKUP(G2575,SETTINGS!$B$7:$D$97,2,0)</f>
        <v>BAIO Fittings</v>
      </c>
      <c r="I2575" s="796">
        <f>VLOOKUP(G2575,SETTINGS!$B$7:$D$97,3,0)</f>
        <v>0</v>
      </c>
      <c r="J2575" s="670" t="str">
        <f>IFERROR(IF(CURRENCY.FORMAT_1=0,CONCATENATE(TEXT(FIXED(ROUND((C2575/EXC.RATE_1),CURRENCY.FORMAT_1),CURRENCY.FORMAT_1,1),"# ##0;-# ##0"),",-"),FIXED(ROUND((C2575/EXC.RATE_1),CURRENCY.FORMAT_1),CURRENCY.FORMAT_1,0)),'DICTIONARY-5'!$A$2)</f>
        <v>316,-</v>
      </c>
      <c r="K2575" s="670" t="str">
        <f>IF(EXC.RATE_2=0,"",IFERROR(IF(CURRENCY.FORMAT_2=0,CONCATENATE(TEXT(FIXED(ROUND(IF(EXC.RATE.SWITCH=1,C2575/EXC.RATE_2,C2575*EXC.RATE_2),CURRENCY.FORMAT_2),CURRENCY.FORMAT_2,1),"# ##0;-# ##0"),",-"),FIXED(ROUND(IF(EXC.RATE.SWITCH=1,C2575/EXC.RATE_2,C2575*EXC.RATE_2),CURRENCY.FORMAT_2),CURRENCY.FORMAT_2,0)),'DICTIONARY-5'!$A$2))</f>
        <v/>
      </c>
      <c r="L2575" s="670" t="str">
        <f>IFERROR(IF(CURRENCY.FORMAT_1=0,CONCATENATE(TEXT(FIXED(ROUND((C2575*(1-I2575)*(1-ADD.DISCOUNT)*(1+MAT.SURCHARGE)/EXC.RATE_1),CURRENCY.FORMAT_1),CURRENCY.FORMAT_1,1),"# ##0;-# ##0"),",-"),FIXED(ROUND((C2575*(1-I2575)*(1-ADD.DISCOUNT)*(1+MAT.SURCHARGE)/EXC.RATE_1),CURRENCY.FORMAT_1),CURRENCY.FORMAT_1,0)),'DICTIONARY-5'!$A$2)</f>
        <v>328,-</v>
      </c>
      <c r="M2575" s="670" t="str">
        <f>IF(EXC.RATE_2=0,"",IFERROR(IF(CURRENCY.FORMAT_2=0,CONCATENATE(TEXT(FIXED(ROUND(IF(EXC.RATE.SWITCH=1,C2575*(1-I2575)*(1-ADD.DISCOUNT)*(1+MAT.SURCHARGE)/EXC.RATE_2,C2575*(1-I2575)*(1-ADD.DISCOUNT)*(1+MAT.SURCHARGE)*EXC.RATE_2),CURRENCY.FORMAT_2),CURRENCY.FORMAT_2,1),"# ##0;-# ##0"),",-"),FIXED(ROUND(IF(EXC.RATE.SWITCH=1,C2575*(1-I2575)*(1-ADD.DISCOUNT)*(1+MAT.SURCHARGE)/EXC.RATE_2,C2575*(1-I2575)*(1-ADD.DISCOUNT)*(1+MAT.SURCHARGE)*EXC.RATE_2),CURRENCY.FORMAT_2),CURRENCY.FORMAT_2,0)),'DICTIONARY-5'!$A$2))</f>
        <v/>
      </c>
      <c r="N2575" s="536">
        <v>12</v>
      </c>
      <c r="O2575" s="536"/>
      <c r="P2575" s="732" t="str">
        <f>'DICTIONARY-3'!$A$153&amp;" "&amp;'DICTIONARY-3'!$A$166</f>
        <v>BAIO MMB</v>
      </c>
      <c r="Q2575" s="732" t="str">
        <f>'DICTIONARY-3'!$A$223</f>
        <v>Kształtka</v>
      </c>
      <c r="R2575" s="732" t="str">
        <f>CONCATENATE('DICTIONARY-3'!$A$153," ",'DICTIONARY-3'!$A$175&amp;'DICTIONARY-3'!$A$166&amp;'DICTIONARY-3'!$A$174," ",'DICTIONARY-2'!$A$2,"125/100"," ",'DICTIONARY-2'!$A$10,"16",'DICTIONARY-2'!$A$20," ",'DICTIONARY-2'!$A$24,"=","435",'DICTIONARY-2'!$A$17,", ","3×",'DICTIONARY-5'!$A$198)</f>
        <v>BAIO Kształtka-MMB‎ DN125/100 PS16bar L=435mm, 3×mufa</v>
      </c>
      <c r="S2575" s="733" t="s">
        <v>5569</v>
      </c>
      <c r="T2575" s="732" t="s">
        <v>5569</v>
      </c>
      <c r="U2575" s="748" t="s">
        <v>5853</v>
      </c>
      <c r="V2575" s="735"/>
      <c r="W2575" s="736"/>
      <c r="X2575" s="737"/>
      <c r="Y2575" s="738"/>
      <c r="Z2575" s="739"/>
      <c r="AA2575" s="739"/>
      <c r="AB2575" s="740">
        <v>16</v>
      </c>
      <c r="AC2575" s="741">
        <v>435</v>
      </c>
      <c r="AD2575" s="741" t="str">
        <f>'DICTIONARY-5'!$A$13</f>
        <v>woda pitna</v>
      </c>
      <c r="AE2575" s="742">
        <v>50</v>
      </c>
      <c r="AF2575" s="743">
        <v>21</v>
      </c>
      <c r="AG2575" s="741" t="str">
        <f>'DICTIONARY-5'!$A$23</f>
        <v>powłoka epoksydowa</v>
      </c>
    </row>
    <row r="2576" spans="1:33" x14ac:dyDescent="0.25">
      <c r="A2576" s="880" t="s">
        <v>2462</v>
      </c>
      <c r="B2576" s="880" t="s">
        <v>2806</v>
      </c>
      <c r="C2576" s="836">
        <v>345</v>
      </c>
      <c r="D2576" s="836"/>
      <c r="E2576" s="836"/>
      <c r="F2576" s="836"/>
      <c r="G2576" s="496" t="s">
        <v>7851</v>
      </c>
      <c r="H2576" s="797" t="str">
        <f>VLOOKUP(G2576,SETTINGS!$B$7:$D$97,2,0)</f>
        <v>BAIO Fittings</v>
      </c>
      <c r="I2576" s="796">
        <f>VLOOKUP(G2576,SETTINGS!$B$7:$D$97,3,0)</f>
        <v>0</v>
      </c>
      <c r="J2576" s="670" t="str">
        <f>IFERROR(IF(CURRENCY.FORMAT_1=0,CONCATENATE(TEXT(FIXED(ROUND((C2576/EXC.RATE_1),CURRENCY.FORMAT_1),CURRENCY.FORMAT_1,1),"# ##0;-# ##0"),",-"),FIXED(ROUND((C2576/EXC.RATE_1),CURRENCY.FORMAT_1),CURRENCY.FORMAT_1,0)),'DICTIONARY-5'!$A$2)</f>
        <v>345,-</v>
      </c>
      <c r="K2576" s="670" t="str">
        <f>IF(EXC.RATE_2=0,"",IFERROR(IF(CURRENCY.FORMAT_2=0,CONCATENATE(TEXT(FIXED(ROUND(IF(EXC.RATE.SWITCH=1,C2576/EXC.RATE_2,C2576*EXC.RATE_2),CURRENCY.FORMAT_2),CURRENCY.FORMAT_2,1),"# ##0;-# ##0"),",-"),FIXED(ROUND(IF(EXC.RATE.SWITCH=1,C2576/EXC.RATE_2,C2576*EXC.RATE_2),CURRENCY.FORMAT_2),CURRENCY.FORMAT_2,0)),'DICTIONARY-5'!$A$2))</f>
        <v/>
      </c>
      <c r="L2576" s="670" t="str">
        <f>IFERROR(IF(CURRENCY.FORMAT_1=0,CONCATENATE(TEXT(FIXED(ROUND((C2576*(1-I2576)*(1-ADD.DISCOUNT)*(1+MAT.SURCHARGE)/EXC.RATE_1),CURRENCY.FORMAT_1),CURRENCY.FORMAT_1,1),"# ##0;-# ##0"),",-"),FIXED(ROUND((C2576*(1-I2576)*(1-ADD.DISCOUNT)*(1+MAT.SURCHARGE)/EXC.RATE_1),CURRENCY.FORMAT_1),CURRENCY.FORMAT_1,0)),'DICTIONARY-5'!$A$2)</f>
        <v>358,-</v>
      </c>
      <c r="M2576" s="670" t="str">
        <f>IF(EXC.RATE_2=0,"",IFERROR(IF(CURRENCY.FORMAT_2=0,CONCATENATE(TEXT(FIXED(ROUND(IF(EXC.RATE.SWITCH=1,C2576*(1-I2576)*(1-ADD.DISCOUNT)*(1+MAT.SURCHARGE)/EXC.RATE_2,C2576*(1-I2576)*(1-ADD.DISCOUNT)*(1+MAT.SURCHARGE)*EXC.RATE_2),CURRENCY.FORMAT_2),CURRENCY.FORMAT_2,1),"# ##0;-# ##0"),",-"),FIXED(ROUND(IF(EXC.RATE.SWITCH=1,C2576*(1-I2576)*(1-ADD.DISCOUNT)*(1+MAT.SURCHARGE)/EXC.RATE_2,C2576*(1-I2576)*(1-ADD.DISCOUNT)*(1+MAT.SURCHARGE)*EXC.RATE_2),CURRENCY.FORMAT_2),CURRENCY.FORMAT_2,0)),'DICTIONARY-5'!$A$2))</f>
        <v/>
      </c>
      <c r="N2576" s="536">
        <v>12</v>
      </c>
      <c r="O2576" s="536"/>
      <c r="P2576" s="732" t="str">
        <f>'DICTIONARY-3'!$A$153&amp;" "&amp;'DICTIONARY-3'!$A$166</f>
        <v>BAIO MMB</v>
      </c>
      <c r="Q2576" s="732" t="str">
        <f>'DICTIONARY-3'!$A$223</f>
        <v>Kształtka</v>
      </c>
      <c r="R2576" s="732" t="str">
        <f>CONCATENATE('DICTIONARY-3'!$A$153," ",'DICTIONARY-3'!$A$175&amp;'DICTIONARY-3'!$A$166&amp;'DICTIONARY-3'!$A$174," ",'DICTIONARY-2'!$A$2,"125/125"," ",'DICTIONARY-2'!$A$10,"16",'DICTIONARY-2'!$A$20," ",'DICTIONARY-2'!$A$24,"=","465",'DICTIONARY-2'!$A$17,", ","3×",'DICTIONARY-5'!$A$198)</f>
        <v>BAIO Kształtka-MMB‎ DN125/125 PS16bar L=465mm, 3×mufa</v>
      </c>
      <c r="S2576" s="733" t="s">
        <v>5569</v>
      </c>
      <c r="T2576" s="732" t="s">
        <v>5569</v>
      </c>
      <c r="U2576" s="748" t="s">
        <v>5864</v>
      </c>
      <c r="V2576" s="735"/>
      <c r="W2576" s="736"/>
      <c r="X2576" s="737"/>
      <c r="Y2576" s="738"/>
      <c r="Z2576" s="739"/>
      <c r="AA2576" s="739"/>
      <c r="AB2576" s="740">
        <v>16</v>
      </c>
      <c r="AC2576" s="741">
        <v>465</v>
      </c>
      <c r="AD2576" s="741" t="str">
        <f>'DICTIONARY-5'!$A$13</f>
        <v>woda pitna</v>
      </c>
      <c r="AE2576" s="742">
        <v>50</v>
      </c>
      <c r="AF2576" s="743">
        <v>23.5</v>
      </c>
      <c r="AG2576" s="741" t="str">
        <f>'DICTIONARY-5'!$A$23</f>
        <v>powłoka epoksydowa</v>
      </c>
    </row>
    <row r="2577" spans="1:33" x14ac:dyDescent="0.25">
      <c r="A2577" s="880" t="s">
        <v>2463</v>
      </c>
      <c r="B2577" s="880" t="s">
        <v>2807</v>
      </c>
      <c r="C2577" s="836">
        <v>330</v>
      </c>
      <c r="D2577" s="836"/>
      <c r="E2577" s="836"/>
      <c r="F2577" s="836"/>
      <c r="G2577" s="496" t="s">
        <v>7851</v>
      </c>
      <c r="H2577" s="797" t="str">
        <f>VLOOKUP(G2577,SETTINGS!$B$7:$D$97,2,0)</f>
        <v>BAIO Fittings</v>
      </c>
      <c r="I2577" s="796">
        <f>VLOOKUP(G2577,SETTINGS!$B$7:$D$97,3,0)</f>
        <v>0</v>
      </c>
      <c r="J2577" s="670" t="str">
        <f>IFERROR(IF(CURRENCY.FORMAT_1=0,CONCATENATE(TEXT(FIXED(ROUND((C2577/EXC.RATE_1),CURRENCY.FORMAT_1),CURRENCY.FORMAT_1,1),"# ##0;-# ##0"),",-"),FIXED(ROUND((C2577/EXC.RATE_1),CURRENCY.FORMAT_1),CURRENCY.FORMAT_1,0)),'DICTIONARY-5'!$A$2)</f>
        <v>330,-</v>
      </c>
      <c r="K2577" s="670" t="str">
        <f>IF(EXC.RATE_2=0,"",IFERROR(IF(CURRENCY.FORMAT_2=0,CONCATENATE(TEXT(FIXED(ROUND(IF(EXC.RATE.SWITCH=1,C2577/EXC.RATE_2,C2577*EXC.RATE_2),CURRENCY.FORMAT_2),CURRENCY.FORMAT_2,1),"# ##0;-# ##0"),",-"),FIXED(ROUND(IF(EXC.RATE.SWITCH=1,C2577/EXC.RATE_2,C2577*EXC.RATE_2),CURRENCY.FORMAT_2),CURRENCY.FORMAT_2,0)),'DICTIONARY-5'!$A$2))</f>
        <v/>
      </c>
      <c r="L2577" s="670" t="str">
        <f>IFERROR(IF(CURRENCY.FORMAT_1=0,CONCATENATE(TEXT(FIXED(ROUND((C2577*(1-I2577)*(1-ADD.DISCOUNT)*(1+MAT.SURCHARGE)/EXC.RATE_1),CURRENCY.FORMAT_1),CURRENCY.FORMAT_1,1),"# ##0;-# ##0"),",-"),FIXED(ROUND((C2577*(1-I2577)*(1-ADD.DISCOUNT)*(1+MAT.SURCHARGE)/EXC.RATE_1),CURRENCY.FORMAT_1),CURRENCY.FORMAT_1,0)),'DICTIONARY-5'!$A$2)</f>
        <v>343,-</v>
      </c>
      <c r="M2577" s="670" t="str">
        <f>IF(EXC.RATE_2=0,"",IFERROR(IF(CURRENCY.FORMAT_2=0,CONCATENATE(TEXT(FIXED(ROUND(IF(EXC.RATE.SWITCH=1,C2577*(1-I2577)*(1-ADD.DISCOUNT)*(1+MAT.SURCHARGE)/EXC.RATE_2,C2577*(1-I2577)*(1-ADD.DISCOUNT)*(1+MAT.SURCHARGE)*EXC.RATE_2),CURRENCY.FORMAT_2),CURRENCY.FORMAT_2,1),"# ##0;-# ##0"),",-"),FIXED(ROUND(IF(EXC.RATE.SWITCH=1,C2577*(1-I2577)*(1-ADD.DISCOUNT)*(1+MAT.SURCHARGE)/EXC.RATE_2,C2577*(1-I2577)*(1-ADD.DISCOUNT)*(1+MAT.SURCHARGE)*EXC.RATE_2),CURRENCY.FORMAT_2),CURRENCY.FORMAT_2,0)),'DICTIONARY-5'!$A$2))</f>
        <v/>
      </c>
      <c r="N2577" s="536">
        <v>12</v>
      </c>
      <c r="O2577" s="536"/>
      <c r="P2577" s="732" t="str">
        <f>'DICTIONARY-3'!$A$153&amp;" "&amp;'DICTIONARY-3'!$A$166</f>
        <v>BAIO MMB</v>
      </c>
      <c r="Q2577" s="732" t="str">
        <f>'DICTIONARY-3'!$A$223</f>
        <v>Kształtka</v>
      </c>
      <c r="R2577" s="732" t="str">
        <f>CONCATENATE('DICTIONARY-3'!$A$153," ",'DICTIONARY-3'!$A$175&amp;'DICTIONARY-3'!$A$166&amp;'DICTIONARY-3'!$A$174," ",'DICTIONARY-2'!$A$2,"150/80"," ",'DICTIONARY-2'!$A$10,"16",'DICTIONARY-2'!$A$20," ",'DICTIONARY-2'!$A$24,"=","415",'DICTIONARY-2'!$A$17,", ","3×",'DICTIONARY-5'!$A$198)</f>
        <v>BAIO Kształtka-MMB‎ DN150/80 PS16bar L=415mm, 3×mufa</v>
      </c>
      <c r="S2577" s="733" t="s">
        <v>5569</v>
      </c>
      <c r="T2577" s="732" t="s">
        <v>5569</v>
      </c>
      <c r="U2577" s="748" t="s">
        <v>5850</v>
      </c>
      <c r="V2577" s="735"/>
      <c r="W2577" s="736"/>
      <c r="X2577" s="737"/>
      <c r="Y2577" s="738"/>
      <c r="Z2577" s="739"/>
      <c r="AA2577" s="739"/>
      <c r="AB2577" s="740">
        <v>16</v>
      </c>
      <c r="AC2577" s="741">
        <v>415</v>
      </c>
      <c r="AD2577" s="741" t="str">
        <f>'DICTIONARY-5'!$A$13</f>
        <v>woda pitna</v>
      </c>
      <c r="AE2577" s="742">
        <v>50</v>
      </c>
      <c r="AF2577" s="743">
        <v>20.5</v>
      </c>
      <c r="AG2577" s="741" t="str">
        <f>'DICTIONARY-5'!$A$23</f>
        <v>powłoka epoksydowa</v>
      </c>
    </row>
    <row r="2578" spans="1:33" x14ac:dyDescent="0.25">
      <c r="A2578" s="880" t="s">
        <v>2464</v>
      </c>
      <c r="B2578" s="880" t="s">
        <v>2808</v>
      </c>
      <c r="C2578" s="836">
        <v>364</v>
      </c>
      <c r="D2578" s="836"/>
      <c r="E2578" s="836"/>
      <c r="F2578" s="836"/>
      <c r="G2578" s="496" t="s">
        <v>7851</v>
      </c>
      <c r="H2578" s="797" t="str">
        <f>VLOOKUP(G2578,SETTINGS!$B$7:$D$97,2,0)</f>
        <v>BAIO Fittings</v>
      </c>
      <c r="I2578" s="796">
        <f>VLOOKUP(G2578,SETTINGS!$B$7:$D$97,3,0)</f>
        <v>0</v>
      </c>
      <c r="J2578" s="670" t="str">
        <f>IFERROR(IF(CURRENCY.FORMAT_1=0,CONCATENATE(TEXT(FIXED(ROUND((C2578/EXC.RATE_1),CURRENCY.FORMAT_1),CURRENCY.FORMAT_1,1),"# ##0;-# ##0"),",-"),FIXED(ROUND((C2578/EXC.RATE_1),CURRENCY.FORMAT_1),CURRENCY.FORMAT_1,0)),'DICTIONARY-5'!$A$2)</f>
        <v>364,-</v>
      </c>
      <c r="K2578" s="670" t="str">
        <f>IF(EXC.RATE_2=0,"",IFERROR(IF(CURRENCY.FORMAT_2=0,CONCATENATE(TEXT(FIXED(ROUND(IF(EXC.RATE.SWITCH=1,C2578/EXC.RATE_2,C2578*EXC.RATE_2),CURRENCY.FORMAT_2),CURRENCY.FORMAT_2,1),"# ##0;-# ##0"),",-"),FIXED(ROUND(IF(EXC.RATE.SWITCH=1,C2578/EXC.RATE_2,C2578*EXC.RATE_2),CURRENCY.FORMAT_2),CURRENCY.FORMAT_2,0)),'DICTIONARY-5'!$A$2))</f>
        <v/>
      </c>
      <c r="L2578" s="670" t="str">
        <f>IFERROR(IF(CURRENCY.FORMAT_1=0,CONCATENATE(TEXT(FIXED(ROUND((C2578*(1-I2578)*(1-ADD.DISCOUNT)*(1+MAT.SURCHARGE)/EXC.RATE_1),CURRENCY.FORMAT_1),CURRENCY.FORMAT_1,1),"# ##0;-# ##0"),",-"),FIXED(ROUND((C2578*(1-I2578)*(1-ADD.DISCOUNT)*(1+MAT.SURCHARGE)/EXC.RATE_1),CURRENCY.FORMAT_1),CURRENCY.FORMAT_1,0)),'DICTIONARY-5'!$A$2)</f>
        <v>378,-</v>
      </c>
      <c r="M2578" s="670" t="str">
        <f>IF(EXC.RATE_2=0,"",IFERROR(IF(CURRENCY.FORMAT_2=0,CONCATENATE(TEXT(FIXED(ROUND(IF(EXC.RATE.SWITCH=1,C2578*(1-I2578)*(1-ADD.DISCOUNT)*(1+MAT.SURCHARGE)/EXC.RATE_2,C2578*(1-I2578)*(1-ADD.DISCOUNT)*(1+MAT.SURCHARGE)*EXC.RATE_2),CURRENCY.FORMAT_2),CURRENCY.FORMAT_2,1),"# ##0;-# ##0"),",-"),FIXED(ROUND(IF(EXC.RATE.SWITCH=1,C2578*(1-I2578)*(1-ADD.DISCOUNT)*(1+MAT.SURCHARGE)/EXC.RATE_2,C2578*(1-I2578)*(1-ADD.DISCOUNT)*(1+MAT.SURCHARGE)*EXC.RATE_2),CURRENCY.FORMAT_2),CURRENCY.FORMAT_2,0)),'DICTIONARY-5'!$A$2))</f>
        <v/>
      </c>
      <c r="N2578" s="536">
        <v>12</v>
      </c>
      <c r="O2578" s="536"/>
      <c r="P2578" s="732" t="str">
        <f>'DICTIONARY-3'!$A$153&amp;" "&amp;'DICTIONARY-3'!$A$166</f>
        <v>BAIO MMB</v>
      </c>
      <c r="Q2578" s="732" t="str">
        <f>'DICTIONARY-3'!$A$223</f>
        <v>Kształtka</v>
      </c>
      <c r="R2578" s="732" t="str">
        <f>CONCATENATE('DICTIONARY-3'!$A$153," ",'DICTIONARY-3'!$A$175&amp;'DICTIONARY-3'!$A$166&amp;'DICTIONARY-3'!$A$174," ",'DICTIONARY-2'!$A$2,"150/100"," ",'DICTIONARY-2'!$A$10,"16",'DICTIONARY-2'!$A$20," ",'DICTIONARY-2'!$A$24,"=","415",'DICTIONARY-2'!$A$17,", ","3×",'DICTIONARY-5'!$A$198)</f>
        <v>BAIO Kształtka-MMB‎ DN150/100 PS16bar L=415mm, 3×mufa</v>
      </c>
      <c r="S2578" s="733" t="s">
        <v>5569</v>
      </c>
      <c r="T2578" s="732" t="s">
        <v>5569</v>
      </c>
      <c r="U2578" s="748" t="s">
        <v>5854</v>
      </c>
      <c r="V2578" s="735"/>
      <c r="W2578" s="736"/>
      <c r="X2578" s="737"/>
      <c r="Y2578" s="738"/>
      <c r="Z2578" s="739"/>
      <c r="AA2578" s="739"/>
      <c r="AB2578" s="740">
        <v>16</v>
      </c>
      <c r="AC2578" s="741">
        <v>415</v>
      </c>
      <c r="AD2578" s="741" t="str">
        <f>'DICTIONARY-5'!$A$13</f>
        <v>woda pitna</v>
      </c>
      <c r="AE2578" s="742">
        <v>50</v>
      </c>
      <c r="AF2578" s="743">
        <v>22</v>
      </c>
      <c r="AG2578" s="741" t="str">
        <f>'DICTIONARY-5'!$A$23</f>
        <v>powłoka epoksydowa</v>
      </c>
    </row>
    <row r="2579" spans="1:33" x14ac:dyDescent="0.25">
      <c r="A2579" s="880" t="s">
        <v>2465</v>
      </c>
      <c r="B2579" s="880" t="s">
        <v>2809</v>
      </c>
      <c r="C2579" s="836">
        <v>385</v>
      </c>
      <c r="D2579" s="836"/>
      <c r="E2579" s="836"/>
      <c r="F2579" s="836"/>
      <c r="G2579" s="496" t="s">
        <v>7851</v>
      </c>
      <c r="H2579" s="797" t="str">
        <f>VLOOKUP(G2579,SETTINGS!$B$7:$D$97,2,0)</f>
        <v>BAIO Fittings</v>
      </c>
      <c r="I2579" s="796">
        <f>VLOOKUP(G2579,SETTINGS!$B$7:$D$97,3,0)</f>
        <v>0</v>
      </c>
      <c r="J2579" s="670" t="str">
        <f>IFERROR(IF(CURRENCY.FORMAT_1=0,CONCATENATE(TEXT(FIXED(ROUND((C2579/EXC.RATE_1),CURRENCY.FORMAT_1),CURRENCY.FORMAT_1,1),"# ##0;-# ##0"),",-"),FIXED(ROUND((C2579/EXC.RATE_1),CURRENCY.FORMAT_1),CURRENCY.FORMAT_1,0)),'DICTIONARY-5'!$A$2)</f>
        <v>385,-</v>
      </c>
      <c r="K2579" s="670" t="str">
        <f>IF(EXC.RATE_2=0,"",IFERROR(IF(CURRENCY.FORMAT_2=0,CONCATENATE(TEXT(FIXED(ROUND(IF(EXC.RATE.SWITCH=1,C2579/EXC.RATE_2,C2579*EXC.RATE_2),CURRENCY.FORMAT_2),CURRENCY.FORMAT_2,1),"# ##0;-# ##0"),",-"),FIXED(ROUND(IF(EXC.RATE.SWITCH=1,C2579/EXC.RATE_2,C2579*EXC.RATE_2),CURRENCY.FORMAT_2),CURRENCY.FORMAT_2,0)),'DICTIONARY-5'!$A$2))</f>
        <v/>
      </c>
      <c r="L2579" s="670" t="str">
        <f>IFERROR(IF(CURRENCY.FORMAT_1=0,CONCATENATE(TEXT(FIXED(ROUND((C2579*(1-I2579)*(1-ADD.DISCOUNT)*(1+MAT.SURCHARGE)/EXC.RATE_1),CURRENCY.FORMAT_1),CURRENCY.FORMAT_1,1),"# ##0;-# ##0"),",-"),FIXED(ROUND((C2579*(1-I2579)*(1-ADD.DISCOUNT)*(1+MAT.SURCHARGE)/EXC.RATE_1),CURRENCY.FORMAT_1),CURRENCY.FORMAT_1,0)),'DICTIONARY-5'!$A$2)</f>
        <v>400,-</v>
      </c>
      <c r="M2579" s="670" t="str">
        <f>IF(EXC.RATE_2=0,"",IFERROR(IF(CURRENCY.FORMAT_2=0,CONCATENATE(TEXT(FIXED(ROUND(IF(EXC.RATE.SWITCH=1,C2579*(1-I2579)*(1-ADD.DISCOUNT)*(1+MAT.SURCHARGE)/EXC.RATE_2,C2579*(1-I2579)*(1-ADD.DISCOUNT)*(1+MAT.SURCHARGE)*EXC.RATE_2),CURRENCY.FORMAT_2),CURRENCY.FORMAT_2,1),"# ##0;-# ##0"),",-"),FIXED(ROUND(IF(EXC.RATE.SWITCH=1,C2579*(1-I2579)*(1-ADD.DISCOUNT)*(1+MAT.SURCHARGE)/EXC.RATE_2,C2579*(1-I2579)*(1-ADD.DISCOUNT)*(1+MAT.SURCHARGE)*EXC.RATE_2),CURRENCY.FORMAT_2),CURRENCY.FORMAT_2,0)),'DICTIONARY-5'!$A$2))</f>
        <v/>
      </c>
      <c r="N2579" s="536">
        <v>12</v>
      </c>
      <c r="O2579" s="536"/>
      <c r="P2579" s="732" t="str">
        <f>'DICTIONARY-3'!$A$153&amp;" "&amp;'DICTIONARY-3'!$A$166</f>
        <v>BAIO MMB</v>
      </c>
      <c r="Q2579" s="732" t="str">
        <f>'DICTIONARY-3'!$A$223</f>
        <v>Kształtka</v>
      </c>
      <c r="R2579" s="732" t="str">
        <f>CONCATENATE('DICTIONARY-3'!$A$153," ",'DICTIONARY-3'!$A$175&amp;'DICTIONARY-3'!$A$166&amp;'DICTIONARY-3'!$A$174," ",'DICTIONARY-2'!$A$2,"150/125"," ",'DICTIONARY-2'!$A$10,"16",'DICTIONARY-2'!$A$20," ",'DICTIONARY-2'!$A$24,"=","450",'DICTIONARY-2'!$A$17,", ","3×",'DICTIONARY-5'!$A$198)</f>
        <v>BAIO Kształtka-MMB‎ DN150/125 PS16bar L=450mm, 3×mufa</v>
      </c>
      <c r="S2579" s="733" t="s">
        <v>5569</v>
      </c>
      <c r="T2579" s="732" t="s">
        <v>5569</v>
      </c>
      <c r="U2579" s="748" t="s">
        <v>5856</v>
      </c>
      <c r="V2579" s="735"/>
      <c r="W2579" s="736"/>
      <c r="X2579" s="737"/>
      <c r="Y2579" s="738"/>
      <c r="Z2579" s="739"/>
      <c r="AA2579" s="739"/>
      <c r="AB2579" s="740">
        <v>16</v>
      </c>
      <c r="AC2579" s="741">
        <v>450</v>
      </c>
      <c r="AD2579" s="741" t="str">
        <f>'DICTIONARY-5'!$A$13</f>
        <v>woda pitna</v>
      </c>
      <c r="AE2579" s="742">
        <v>50</v>
      </c>
      <c r="AF2579" s="743">
        <v>22.5</v>
      </c>
      <c r="AG2579" s="741" t="str">
        <f>'DICTIONARY-5'!$A$23</f>
        <v>powłoka epoksydowa</v>
      </c>
    </row>
    <row r="2580" spans="1:33" x14ac:dyDescent="0.25">
      <c r="A2580" s="880" t="s">
        <v>2466</v>
      </c>
      <c r="B2580" s="880" t="s">
        <v>2810</v>
      </c>
      <c r="C2580" s="836">
        <v>407</v>
      </c>
      <c r="D2580" s="836"/>
      <c r="E2580" s="836"/>
      <c r="F2580" s="836"/>
      <c r="G2580" s="496" t="s">
        <v>7851</v>
      </c>
      <c r="H2580" s="797" t="str">
        <f>VLOOKUP(G2580,SETTINGS!$B$7:$D$97,2,0)</f>
        <v>BAIO Fittings</v>
      </c>
      <c r="I2580" s="796">
        <f>VLOOKUP(G2580,SETTINGS!$B$7:$D$97,3,0)</f>
        <v>0</v>
      </c>
      <c r="J2580" s="670" t="str">
        <f>IFERROR(IF(CURRENCY.FORMAT_1=0,CONCATENATE(TEXT(FIXED(ROUND((C2580/EXC.RATE_1),CURRENCY.FORMAT_1),CURRENCY.FORMAT_1,1),"# ##0;-# ##0"),",-"),FIXED(ROUND((C2580/EXC.RATE_1),CURRENCY.FORMAT_1),CURRENCY.FORMAT_1,0)),'DICTIONARY-5'!$A$2)</f>
        <v>407,-</v>
      </c>
      <c r="K2580" s="670" t="str">
        <f>IF(EXC.RATE_2=0,"",IFERROR(IF(CURRENCY.FORMAT_2=0,CONCATENATE(TEXT(FIXED(ROUND(IF(EXC.RATE.SWITCH=1,C2580/EXC.RATE_2,C2580*EXC.RATE_2),CURRENCY.FORMAT_2),CURRENCY.FORMAT_2,1),"# ##0;-# ##0"),",-"),FIXED(ROUND(IF(EXC.RATE.SWITCH=1,C2580/EXC.RATE_2,C2580*EXC.RATE_2),CURRENCY.FORMAT_2),CURRENCY.FORMAT_2,0)),'DICTIONARY-5'!$A$2))</f>
        <v/>
      </c>
      <c r="L2580" s="670" t="str">
        <f>IFERROR(IF(CURRENCY.FORMAT_1=0,CONCATENATE(TEXT(FIXED(ROUND((C2580*(1-I2580)*(1-ADD.DISCOUNT)*(1+MAT.SURCHARGE)/EXC.RATE_1),CURRENCY.FORMAT_1),CURRENCY.FORMAT_1,1),"# ##0;-# ##0"),",-"),FIXED(ROUND((C2580*(1-I2580)*(1-ADD.DISCOUNT)*(1+MAT.SURCHARGE)/EXC.RATE_1),CURRENCY.FORMAT_1),CURRENCY.FORMAT_1,0)),'DICTIONARY-5'!$A$2)</f>
        <v>423,-</v>
      </c>
      <c r="M2580" s="670" t="str">
        <f>IF(EXC.RATE_2=0,"",IFERROR(IF(CURRENCY.FORMAT_2=0,CONCATENATE(TEXT(FIXED(ROUND(IF(EXC.RATE.SWITCH=1,C2580*(1-I2580)*(1-ADD.DISCOUNT)*(1+MAT.SURCHARGE)/EXC.RATE_2,C2580*(1-I2580)*(1-ADD.DISCOUNT)*(1+MAT.SURCHARGE)*EXC.RATE_2),CURRENCY.FORMAT_2),CURRENCY.FORMAT_2,1),"# ##0;-# ##0"),",-"),FIXED(ROUND(IF(EXC.RATE.SWITCH=1,C2580*(1-I2580)*(1-ADD.DISCOUNT)*(1+MAT.SURCHARGE)/EXC.RATE_2,C2580*(1-I2580)*(1-ADD.DISCOUNT)*(1+MAT.SURCHARGE)*EXC.RATE_2),CURRENCY.FORMAT_2),CURRENCY.FORMAT_2,0)),'DICTIONARY-5'!$A$2))</f>
        <v/>
      </c>
      <c r="N2580" s="536">
        <v>12</v>
      </c>
      <c r="O2580" s="536"/>
      <c r="P2580" s="732" t="str">
        <f>'DICTIONARY-3'!$A$153&amp;" "&amp;'DICTIONARY-3'!$A$166</f>
        <v>BAIO MMB</v>
      </c>
      <c r="Q2580" s="732" t="str">
        <f>'DICTIONARY-3'!$A$223</f>
        <v>Kształtka</v>
      </c>
      <c r="R2580" s="732" t="str">
        <f>CONCATENATE('DICTIONARY-3'!$A$153," ",'DICTIONARY-3'!$A$175&amp;'DICTIONARY-3'!$A$166&amp;'DICTIONARY-3'!$A$174," ",'DICTIONARY-2'!$A$2,"150/150"," ",'DICTIONARY-2'!$A$10,"16",'DICTIONARY-2'!$A$20," ",'DICTIONARY-2'!$A$24,"=","500",'DICTIONARY-2'!$A$17,", ","3×",'DICTIONARY-5'!$A$198)</f>
        <v>BAIO Kształtka-MMB‎ DN150/150 PS16bar L=500mm, 3×mufa</v>
      </c>
      <c r="S2580" s="733" t="s">
        <v>5569</v>
      </c>
      <c r="T2580" s="732" t="s">
        <v>5569</v>
      </c>
      <c r="U2580" s="748" t="s">
        <v>5865</v>
      </c>
      <c r="V2580" s="735"/>
      <c r="W2580" s="736"/>
      <c r="X2580" s="737"/>
      <c r="Y2580" s="738"/>
      <c r="Z2580" s="739"/>
      <c r="AA2580" s="739"/>
      <c r="AB2580" s="740">
        <v>16</v>
      </c>
      <c r="AC2580" s="741">
        <v>500</v>
      </c>
      <c r="AD2580" s="741" t="str">
        <f>'DICTIONARY-5'!$A$13</f>
        <v>woda pitna</v>
      </c>
      <c r="AE2580" s="742">
        <v>50</v>
      </c>
      <c r="AF2580" s="743">
        <v>25.5</v>
      </c>
      <c r="AG2580" s="741" t="str">
        <f>'DICTIONARY-5'!$A$23</f>
        <v>powłoka epoksydowa</v>
      </c>
    </row>
    <row r="2581" spans="1:33" x14ac:dyDescent="0.25">
      <c r="A2581" s="880" t="s">
        <v>2467</v>
      </c>
      <c r="B2581" s="880" t="s">
        <v>2811</v>
      </c>
      <c r="C2581" s="836">
        <v>390</v>
      </c>
      <c r="D2581" s="836"/>
      <c r="E2581" s="836"/>
      <c r="F2581" s="836"/>
      <c r="G2581" s="496" t="s">
        <v>7851</v>
      </c>
      <c r="H2581" s="797" t="str">
        <f>VLOOKUP(G2581,SETTINGS!$B$7:$D$97,2,0)</f>
        <v>BAIO Fittings</v>
      </c>
      <c r="I2581" s="796">
        <f>VLOOKUP(G2581,SETTINGS!$B$7:$D$97,3,0)</f>
        <v>0</v>
      </c>
      <c r="J2581" s="670" t="str">
        <f>IFERROR(IF(CURRENCY.FORMAT_1=0,CONCATENATE(TEXT(FIXED(ROUND((C2581/EXC.RATE_1),CURRENCY.FORMAT_1),CURRENCY.FORMAT_1,1),"# ##0;-# ##0"),",-"),FIXED(ROUND((C2581/EXC.RATE_1),CURRENCY.FORMAT_1),CURRENCY.FORMAT_1,0)),'DICTIONARY-5'!$A$2)</f>
        <v>390,-</v>
      </c>
      <c r="K2581" s="670" t="str">
        <f>IF(EXC.RATE_2=0,"",IFERROR(IF(CURRENCY.FORMAT_2=0,CONCATENATE(TEXT(FIXED(ROUND(IF(EXC.RATE.SWITCH=1,C2581/EXC.RATE_2,C2581*EXC.RATE_2),CURRENCY.FORMAT_2),CURRENCY.FORMAT_2,1),"# ##0;-# ##0"),",-"),FIXED(ROUND(IF(EXC.RATE.SWITCH=1,C2581/EXC.RATE_2,C2581*EXC.RATE_2),CURRENCY.FORMAT_2),CURRENCY.FORMAT_2,0)),'DICTIONARY-5'!$A$2))</f>
        <v/>
      </c>
      <c r="L2581" s="670" t="str">
        <f>IFERROR(IF(CURRENCY.FORMAT_1=0,CONCATENATE(TEXT(FIXED(ROUND((C2581*(1-I2581)*(1-ADD.DISCOUNT)*(1+MAT.SURCHARGE)/EXC.RATE_1),CURRENCY.FORMAT_1),CURRENCY.FORMAT_1,1),"# ##0;-# ##0"),",-"),FIXED(ROUND((C2581*(1-I2581)*(1-ADD.DISCOUNT)*(1+MAT.SURCHARGE)/EXC.RATE_1),CURRENCY.FORMAT_1),CURRENCY.FORMAT_1,0)),'DICTIONARY-5'!$A$2)</f>
        <v>405,-</v>
      </c>
      <c r="M2581" s="670" t="str">
        <f>IF(EXC.RATE_2=0,"",IFERROR(IF(CURRENCY.FORMAT_2=0,CONCATENATE(TEXT(FIXED(ROUND(IF(EXC.RATE.SWITCH=1,C2581*(1-I2581)*(1-ADD.DISCOUNT)*(1+MAT.SURCHARGE)/EXC.RATE_2,C2581*(1-I2581)*(1-ADD.DISCOUNT)*(1+MAT.SURCHARGE)*EXC.RATE_2),CURRENCY.FORMAT_2),CURRENCY.FORMAT_2,1),"# ##0;-# ##0"),",-"),FIXED(ROUND(IF(EXC.RATE.SWITCH=1,C2581*(1-I2581)*(1-ADD.DISCOUNT)*(1+MAT.SURCHARGE)/EXC.RATE_2,C2581*(1-I2581)*(1-ADD.DISCOUNT)*(1+MAT.SURCHARGE)*EXC.RATE_2),CURRENCY.FORMAT_2),CURRENCY.FORMAT_2,0)),'DICTIONARY-5'!$A$2))</f>
        <v/>
      </c>
      <c r="N2581" s="536">
        <v>12</v>
      </c>
      <c r="O2581" s="536"/>
      <c r="P2581" s="732" t="str">
        <f>'DICTIONARY-3'!$A$153&amp;" "&amp;'DICTIONARY-3'!$A$166</f>
        <v>BAIO MMB</v>
      </c>
      <c r="Q2581" s="732" t="str">
        <f>'DICTIONARY-3'!$A$223</f>
        <v>Kształtka</v>
      </c>
      <c r="R2581" s="732" t="str">
        <f>CONCATENATE('DICTIONARY-3'!$A$153," ",'DICTIONARY-3'!$A$175&amp;'DICTIONARY-3'!$A$166&amp;'DICTIONARY-3'!$A$174," ",'DICTIONARY-2'!$A$2,"200/80"," ",'DICTIONARY-2'!$A$10,"16",'DICTIONARY-2'!$A$20," ",'DICTIONARY-2'!$A$24,"=","460",'DICTIONARY-2'!$A$17,", ","3×",'DICTIONARY-5'!$A$198)</f>
        <v>BAIO Kształtka-MMB‎ DN200/80 PS16bar L=460mm, 3×mufa</v>
      </c>
      <c r="S2581" s="733" t="s">
        <v>5569</v>
      </c>
      <c r="T2581" s="732" t="s">
        <v>5569</v>
      </c>
      <c r="U2581" s="748" t="s">
        <v>5851</v>
      </c>
      <c r="V2581" s="735"/>
      <c r="W2581" s="736"/>
      <c r="X2581" s="737"/>
      <c r="Y2581" s="738"/>
      <c r="Z2581" s="739"/>
      <c r="AA2581" s="739"/>
      <c r="AB2581" s="740">
        <v>16</v>
      </c>
      <c r="AC2581" s="741">
        <v>460</v>
      </c>
      <c r="AD2581" s="741" t="str">
        <f>'DICTIONARY-5'!$A$13</f>
        <v>woda pitna</v>
      </c>
      <c r="AE2581" s="742">
        <v>50</v>
      </c>
      <c r="AF2581" s="743">
        <v>30</v>
      </c>
      <c r="AG2581" s="741" t="str">
        <f>'DICTIONARY-5'!$A$23</f>
        <v>powłoka epoksydowa</v>
      </c>
    </row>
    <row r="2582" spans="1:33" x14ac:dyDescent="0.25">
      <c r="A2582" s="880" t="s">
        <v>2468</v>
      </c>
      <c r="B2582" s="880" t="s">
        <v>2812</v>
      </c>
      <c r="C2582" s="836">
        <v>413</v>
      </c>
      <c r="D2582" s="836"/>
      <c r="E2582" s="836"/>
      <c r="F2582" s="836"/>
      <c r="G2582" s="496" t="s">
        <v>7851</v>
      </c>
      <c r="H2582" s="797" t="str">
        <f>VLOOKUP(G2582,SETTINGS!$B$7:$D$97,2,0)</f>
        <v>BAIO Fittings</v>
      </c>
      <c r="I2582" s="796">
        <f>VLOOKUP(G2582,SETTINGS!$B$7:$D$97,3,0)</f>
        <v>0</v>
      </c>
      <c r="J2582" s="670" t="str">
        <f>IFERROR(IF(CURRENCY.FORMAT_1=0,CONCATENATE(TEXT(FIXED(ROUND((C2582/EXC.RATE_1),CURRENCY.FORMAT_1),CURRENCY.FORMAT_1,1),"# ##0;-# ##0"),",-"),FIXED(ROUND((C2582/EXC.RATE_1),CURRENCY.FORMAT_1),CURRENCY.FORMAT_1,0)),'DICTIONARY-5'!$A$2)</f>
        <v>413,-</v>
      </c>
      <c r="K2582" s="670" t="str">
        <f>IF(EXC.RATE_2=0,"",IFERROR(IF(CURRENCY.FORMAT_2=0,CONCATENATE(TEXT(FIXED(ROUND(IF(EXC.RATE.SWITCH=1,C2582/EXC.RATE_2,C2582*EXC.RATE_2),CURRENCY.FORMAT_2),CURRENCY.FORMAT_2,1),"# ##0;-# ##0"),",-"),FIXED(ROUND(IF(EXC.RATE.SWITCH=1,C2582/EXC.RATE_2,C2582*EXC.RATE_2),CURRENCY.FORMAT_2),CURRENCY.FORMAT_2,0)),'DICTIONARY-5'!$A$2))</f>
        <v/>
      </c>
      <c r="L2582" s="670" t="str">
        <f>IFERROR(IF(CURRENCY.FORMAT_1=0,CONCATENATE(TEXT(FIXED(ROUND((C2582*(1-I2582)*(1-ADD.DISCOUNT)*(1+MAT.SURCHARGE)/EXC.RATE_1),CURRENCY.FORMAT_1),CURRENCY.FORMAT_1,1),"# ##0;-# ##0"),",-"),FIXED(ROUND((C2582*(1-I2582)*(1-ADD.DISCOUNT)*(1+MAT.SURCHARGE)/EXC.RATE_1),CURRENCY.FORMAT_1),CURRENCY.FORMAT_1,0)),'DICTIONARY-5'!$A$2)</f>
        <v>429,-</v>
      </c>
      <c r="M2582" s="670" t="str">
        <f>IF(EXC.RATE_2=0,"",IFERROR(IF(CURRENCY.FORMAT_2=0,CONCATENATE(TEXT(FIXED(ROUND(IF(EXC.RATE.SWITCH=1,C2582*(1-I2582)*(1-ADD.DISCOUNT)*(1+MAT.SURCHARGE)/EXC.RATE_2,C2582*(1-I2582)*(1-ADD.DISCOUNT)*(1+MAT.SURCHARGE)*EXC.RATE_2),CURRENCY.FORMAT_2),CURRENCY.FORMAT_2,1),"# ##0;-# ##0"),",-"),FIXED(ROUND(IF(EXC.RATE.SWITCH=1,C2582*(1-I2582)*(1-ADD.DISCOUNT)*(1+MAT.SURCHARGE)/EXC.RATE_2,C2582*(1-I2582)*(1-ADD.DISCOUNT)*(1+MAT.SURCHARGE)*EXC.RATE_2),CURRENCY.FORMAT_2),CURRENCY.FORMAT_2,0)),'DICTIONARY-5'!$A$2))</f>
        <v/>
      </c>
      <c r="N2582" s="536">
        <v>12</v>
      </c>
      <c r="O2582" s="536"/>
      <c r="P2582" s="732" t="str">
        <f>'DICTIONARY-3'!$A$153&amp;" "&amp;'DICTIONARY-3'!$A$166</f>
        <v>BAIO MMB</v>
      </c>
      <c r="Q2582" s="732" t="str">
        <f>'DICTIONARY-3'!$A$223</f>
        <v>Kształtka</v>
      </c>
      <c r="R2582" s="732" t="str">
        <f>CONCATENATE('DICTIONARY-3'!$A$153," ",'DICTIONARY-3'!$A$175&amp;'DICTIONARY-3'!$A$166&amp;'DICTIONARY-3'!$A$174," ",'DICTIONARY-2'!$A$2,"200/100"," ",'DICTIONARY-2'!$A$10,"16",'DICTIONARY-2'!$A$20," ",'DICTIONARY-2'!$A$24,"=","485",'DICTIONARY-2'!$A$17,", ","3×",'DICTIONARY-5'!$A$198)</f>
        <v>BAIO Kształtka-MMB‎ DN200/100 PS16bar L=485mm, 3×mufa</v>
      </c>
      <c r="S2582" s="733" t="s">
        <v>5569</v>
      </c>
      <c r="T2582" s="732" t="s">
        <v>5569</v>
      </c>
      <c r="U2582" s="748" t="s">
        <v>5855</v>
      </c>
      <c r="V2582" s="735"/>
      <c r="W2582" s="736"/>
      <c r="X2582" s="737"/>
      <c r="Y2582" s="738"/>
      <c r="Z2582" s="739"/>
      <c r="AA2582" s="739"/>
      <c r="AB2582" s="740">
        <v>16</v>
      </c>
      <c r="AC2582" s="741">
        <v>485</v>
      </c>
      <c r="AD2582" s="741" t="str">
        <f>'DICTIONARY-5'!$A$13</f>
        <v>woda pitna</v>
      </c>
      <c r="AE2582" s="742">
        <v>50</v>
      </c>
      <c r="AF2582" s="743">
        <v>33</v>
      </c>
      <c r="AG2582" s="741" t="str">
        <f>'DICTIONARY-5'!$A$23</f>
        <v>powłoka epoksydowa</v>
      </c>
    </row>
    <row r="2583" spans="1:33" x14ac:dyDescent="0.25">
      <c r="A2583" s="880" t="s">
        <v>2469</v>
      </c>
      <c r="B2583" s="880" t="s">
        <v>2813</v>
      </c>
      <c r="C2583" s="836">
        <v>404</v>
      </c>
      <c r="D2583" s="836"/>
      <c r="E2583" s="836"/>
      <c r="F2583" s="836"/>
      <c r="G2583" s="496" t="s">
        <v>7851</v>
      </c>
      <c r="H2583" s="797" t="str">
        <f>VLOOKUP(G2583,SETTINGS!$B$7:$D$97,2,0)</f>
        <v>BAIO Fittings</v>
      </c>
      <c r="I2583" s="796">
        <f>VLOOKUP(G2583,SETTINGS!$B$7:$D$97,3,0)</f>
        <v>0</v>
      </c>
      <c r="J2583" s="670" t="str">
        <f>IFERROR(IF(CURRENCY.FORMAT_1=0,CONCATENATE(TEXT(FIXED(ROUND((C2583/EXC.RATE_1),CURRENCY.FORMAT_1),CURRENCY.FORMAT_1,1),"# ##0;-# ##0"),",-"),FIXED(ROUND((C2583/EXC.RATE_1),CURRENCY.FORMAT_1),CURRENCY.FORMAT_1,0)),'DICTIONARY-5'!$A$2)</f>
        <v>404,-</v>
      </c>
      <c r="K2583" s="670" t="str">
        <f>IF(EXC.RATE_2=0,"",IFERROR(IF(CURRENCY.FORMAT_2=0,CONCATENATE(TEXT(FIXED(ROUND(IF(EXC.RATE.SWITCH=1,C2583/EXC.RATE_2,C2583*EXC.RATE_2),CURRENCY.FORMAT_2),CURRENCY.FORMAT_2,1),"# ##0;-# ##0"),",-"),FIXED(ROUND(IF(EXC.RATE.SWITCH=1,C2583/EXC.RATE_2,C2583*EXC.RATE_2),CURRENCY.FORMAT_2),CURRENCY.FORMAT_2,0)),'DICTIONARY-5'!$A$2))</f>
        <v/>
      </c>
      <c r="L2583" s="670" t="str">
        <f>IFERROR(IF(CURRENCY.FORMAT_1=0,CONCATENATE(TEXT(FIXED(ROUND((C2583*(1-I2583)*(1-ADD.DISCOUNT)*(1+MAT.SURCHARGE)/EXC.RATE_1),CURRENCY.FORMAT_1),CURRENCY.FORMAT_1,1),"# ##0;-# ##0"),",-"),FIXED(ROUND((C2583*(1-I2583)*(1-ADD.DISCOUNT)*(1+MAT.SURCHARGE)/EXC.RATE_1),CURRENCY.FORMAT_1),CURRENCY.FORMAT_1,0)),'DICTIONARY-5'!$A$2)</f>
        <v>420,-</v>
      </c>
      <c r="M2583" s="670" t="str">
        <f>IF(EXC.RATE_2=0,"",IFERROR(IF(CURRENCY.FORMAT_2=0,CONCATENATE(TEXT(FIXED(ROUND(IF(EXC.RATE.SWITCH=1,C2583*(1-I2583)*(1-ADD.DISCOUNT)*(1+MAT.SURCHARGE)/EXC.RATE_2,C2583*(1-I2583)*(1-ADD.DISCOUNT)*(1+MAT.SURCHARGE)*EXC.RATE_2),CURRENCY.FORMAT_2),CURRENCY.FORMAT_2,1),"# ##0;-# ##0"),",-"),FIXED(ROUND(IF(EXC.RATE.SWITCH=1,C2583*(1-I2583)*(1-ADD.DISCOUNT)*(1+MAT.SURCHARGE)/EXC.RATE_2,C2583*(1-I2583)*(1-ADD.DISCOUNT)*(1+MAT.SURCHARGE)*EXC.RATE_2),CURRENCY.FORMAT_2),CURRENCY.FORMAT_2,0)),'DICTIONARY-5'!$A$2))</f>
        <v/>
      </c>
      <c r="N2583" s="536">
        <v>12</v>
      </c>
      <c r="O2583" s="536"/>
      <c r="P2583" s="732" t="str">
        <f>'DICTIONARY-3'!$A$153&amp;" "&amp;'DICTIONARY-3'!$A$166</f>
        <v>BAIO MMB</v>
      </c>
      <c r="Q2583" s="732" t="str">
        <f>'DICTIONARY-3'!$A$223</f>
        <v>Kształtka</v>
      </c>
      <c r="R2583" s="732" t="str">
        <f>CONCATENATE('DICTIONARY-3'!$A$153," ",'DICTIONARY-3'!$A$175&amp;'DICTIONARY-3'!$A$166&amp;'DICTIONARY-3'!$A$174," ",'DICTIONARY-2'!$A$2,"200/125"," ",'DICTIONARY-2'!$A$10,"16",'DICTIONARY-2'!$A$20," ",'DICTIONARY-2'!$A$24,"=","510",'DICTIONARY-2'!$A$17,", ","3×",'DICTIONARY-5'!$A$198)</f>
        <v>BAIO Kształtka-MMB‎ DN200/125 PS16bar L=510mm, 3×mufa</v>
      </c>
      <c r="S2583" s="733" t="s">
        <v>5569</v>
      </c>
      <c r="T2583" s="732" t="s">
        <v>5569</v>
      </c>
      <c r="U2583" s="748" t="s">
        <v>5857</v>
      </c>
      <c r="V2583" s="735"/>
      <c r="W2583" s="736"/>
      <c r="X2583" s="737"/>
      <c r="Y2583" s="738"/>
      <c r="Z2583" s="739"/>
      <c r="AA2583" s="739"/>
      <c r="AB2583" s="740">
        <v>16</v>
      </c>
      <c r="AC2583" s="741">
        <v>510</v>
      </c>
      <c r="AD2583" s="741" t="str">
        <f>'DICTIONARY-5'!$A$13</f>
        <v>woda pitna</v>
      </c>
      <c r="AE2583" s="742">
        <v>50</v>
      </c>
      <c r="AF2583" s="743">
        <v>37.5</v>
      </c>
      <c r="AG2583" s="741" t="str">
        <f>'DICTIONARY-5'!$A$23</f>
        <v>powłoka epoksydowa</v>
      </c>
    </row>
    <row r="2584" spans="1:33" x14ac:dyDescent="0.25">
      <c r="A2584" s="880" t="s">
        <v>2470</v>
      </c>
      <c r="B2584" s="880" t="s">
        <v>2814</v>
      </c>
      <c r="C2584" s="836">
        <v>405</v>
      </c>
      <c r="D2584" s="836"/>
      <c r="E2584" s="836"/>
      <c r="F2584" s="836"/>
      <c r="G2584" s="496" t="s">
        <v>7851</v>
      </c>
      <c r="H2584" s="797" t="str">
        <f>VLOOKUP(G2584,SETTINGS!$B$7:$D$97,2,0)</f>
        <v>BAIO Fittings</v>
      </c>
      <c r="I2584" s="796">
        <f>VLOOKUP(G2584,SETTINGS!$B$7:$D$97,3,0)</f>
        <v>0</v>
      </c>
      <c r="J2584" s="670" t="str">
        <f>IFERROR(IF(CURRENCY.FORMAT_1=0,CONCATENATE(TEXT(FIXED(ROUND((C2584/EXC.RATE_1),CURRENCY.FORMAT_1),CURRENCY.FORMAT_1,1),"# ##0;-# ##0"),",-"),FIXED(ROUND((C2584/EXC.RATE_1),CURRENCY.FORMAT_1),CURRENCY.FORMAT_1,0)),'DICTIONARY-5'!$A$2)</f>
        <v>405,-</v>
      </c>
      <c r="K2584" s="670" t="str">
        <f>IF(EXC.RATE_2=0,"",IFERROR(IF(CURRENCY.FORMAT_2=0,CONCATENATE(TEXT(FIXED(ROUND(IF(EXC.RATE.SWITCH=1,C2584/EXC.RATE_2,C2584*EXC.RATE_2),CURRENCY.FORMAT_2),CURRENCY.FORMAT_2,1),"# ##0;-# ##0"),",-"),FIXED(ROUND(IF(EXC.RATE.SWITCH=1,C2584/EXC.RATE_2,C2584*EXC.RATE_2),CURRENCY.FORMAT_2),CURRENCY.FORMAT_2,0)),'DICTIONARY-5'!$A$2))</f>
        <v/>
      </c>
      <c r="L2584" s="670" t="str">
        <f>IFERROR(IF(CURRENCY.FORMAT_1=0,CONCATENATE(TEXT(FIXED(ROUND((C2584*(1-I2584)*(1-ADD.DISCOUNT)*(1+MAT.SURCHARGE)/EXC.RATE_1),CURRENCY.FORMAT_1),CURRENCY.FORMAT_1,1),"# ##0;-# ##0"),",-"),FIXED(ROUND((C2584*(1-I2584)*(1-ADD.DISCOUNT)*(1+MAT.SURCHARGE)/EXC.RATE_1),CURRENCY.FORMAT_1),CURRENCY.FORMAT_1,0)),'DICTIONARY-5'!$A$2)</f>
        <v>421,-</v>
      </c>
      <c r="M2584" s="670" t="str">
        <f>IF(EXC.RATE_2=0,"",IFERROR(IF(CURRENCY.FORMAT_2=0,CONCATENATE(TEXT(FIXED(ROUND(IF(EXC.RATE.SWITCH=1,C2584*(1-I2584)*(1-ADD.DISCOUNT)*(1+MAT.SURCHARGE)/EXC.RATE_2,C2584*(1-I2584)*(1-ADD.DISCOUNT)*(1+MAT.SURCHARGE)*EXC.RATE_2),CURRENCY.FORMAT_2),CURRENCY.FORMAT_2,1),"# ##0;-# ##0"),",-"),FIXED(ROUND(IF(EXC.RATE.SWITCH=1,C2584*(1-I2584)*(1-ADD.DISCOUNT)*(1+MAT.SURCHARGE)/EXC.RATE_2,C2584*(1-I2584)*(1-ADD.DISCOUNT)*(1+MAT.SURCHARGE)*EXC.RATE_2),CURRENCY.FORMAT_2),CURRENCY.FORMAT_2,0)),'DICTIONARY-5'!$A$2))</f>
        <v/>
      </c>
      <c r="N2584" s="536">
        <v>12</v>
      </c>
      <c r="O2584" s="536"/>
      <c r="P2584" s="732" t="str">
        <f>'DICTIONARY-3'!$A$153&amp;" "&amp;'DICTIONARY-3'!$A$166</f>
        <v>BAIO MMB</v>
      </c>
      <c r="Q2584" s="732" t="str">
        <f>'DICTIONARY-3'!$A$223</f>
        <v>Kształtka</v>
      </c>
      <c r="R2584" s="732" t="str">
        <f>CONCATENATE('DICTIONARY-3'!$A$153," ",'DICTIONARY-3'!$A$175&amp;'DICTIONARY-3'!$A$166&amp;'DICTIONARY-3'!$A$174," ",'DICTIONARY-2'!$A$2,"200/150"," ",'DICTIONARY-2'!$A$10,"16",'DICTIONARY-2'!$A$20," ",'DICTIONARY-2'!$A$24,"=","540",'DICTIONARY-2'!$A$17,", ","3×",'DICTIONARY-5'!$A$198)</f>
        <v>BAIO Kształtka-MMB‎ DN200/150 PS16bar L=540mm, 3×mufa</v>
      </c>
      <c r="S2584" s="733" t="s">
        <v>5569</v>
      </c>
      <c r="T2584" s="732" t="s">
        <v>5569</v>
      </c>
      <c r="U2584" s="748" t="s">
        <v>5858</v>
      </c>
      <c r="V2584" s="735"/>
      <c r="W2584" s="736"/>
      <c r="X2584" s="737"/>
      <c r="Y2584" s="738"/>
      <c r="Z2584" s="739"/>
      <c r="AA2584" s="739"/>
      <c r="AB2584" s="740">
        <v>16</v>
      </c>
      <c r="AC2584" s="741">
        <v>540</v>
      </c>
      <c r="AD2584" s="741" t="str">
        <f>'DICTIONARY-5'!$A$13</f>
        <v>woda pitna</v>
      </c>
      <c r="AE2584" s="742">
        <v>50</v>
      </c>
      <c r="AF2584" s="743">
        <v>38</v>
      </c>
      <c r="AG2584" s="741" t="str">
        <f>'DICTIONARY-5'!$A$23</f>
        <v>powłoka epoksydowa</v>
      </c>
    </row>
    <row r="2585" spans="1:33" x14ac:dyDescent="0.25">
      <c r="A2585" s="880" t="s">
        <v>2471</v>
      </c>
      <c r="B2585" s="880" t="s">
        <v>2815</v>
      </c>
      <c r="C2585" s="836">
        <v>1007</v>
      </c>
      <c r="D2585" s="836"/>
      <c r="E2585" s="836"/>
      <c r="F2585" s="836"/>
      <c r="G2585" s="496" t="s">
        <v>7851</v>
      </c>
      <c r="H2585" s="797" t="str">
        <f>VLOOKUP(G2585,SETTINGS!$B$7:$D$97,2,0)</f>
        <v>BAIO Fittings</v>
      </c>
      <c r="I2585" s="796">
        <f>VLOOKUP(G2585,SETTINGS!$B$7:$D$97,3,0)</f>
        <v>0</v>
      </c>
      <c r="J2585" s="670" t="str">
        <f>IFERROR(IF(CURRENCY.FORMAT_1=0,CONCATENATE(TEXT(FIXED(ROUND((C2585/EXC.RATE_1),CURRENCY.FORMAT_1),CURRENCY.FORMAT_1,1),"# ##0;-# ##0"),",-"),FIXED(ROUND((C2585/EXC.RATE_1),CURRENCY.FORMAT_1),CURRENCY.FORMAT_1,0)),'DICTIONARY-5'!$A$2)</f>
        <v>1 007,-</v>
      </c>
      <c r="K2585" s="670" t="str">
        <f>IF(EXC.RATE_2=0,"",IFERROR(IF(CURRENCY.FORMAT_2=0,CONCATENATE(TEXT(FIXED(ROUND(IF(EXC.RATE.SWITCH=1,C2585/EXC.RATE_2,C2585*EXC.RATE_2),CURRENCY.FORMAT_2),CURRENCY.FORMAT_2,1),"# ##0;-# ##0"),",-"),FIXED(ROUND(IF(EXC.RATE.SWITCH=1,C2585/EXC.RATE_2,C2585*EXC.RATE_2),CURRENCY.FORMAT_2),CURRENCY.FORMAT_2,0)),'DICTIONARY-5'!$A$2))</f>
        <v/>
      </c>
      <c r="L2585" s="670" t="str">
        <f>IFERROR(IF(CURRENCY.FORMAT_1=0,CONCATENATE(TEXT(FIXED(ROUND((C2585*(1-I2585)*(1-ADD.DISCOUNT)*(1+MAT.SURCHARGE)/EXC.RATE_1),CURRENCY.FORMAT_1),CURRENCY.FORMAT_1,1),"# ##0;-# ##0"),",-"),FIXED(ROUND((C2585*(1-I2585)*(1-ADD.DISCOUNT)*(1+MAT.SURCHARGE)/EXC.RATE_1),CURRENCY.FORMAT_1),CURRENCY.FORMAT_1,0)),'DICTIONARY-5'!$A$2)</f>
        <v>1 046,-</v>
      </c>
      <c r="M2585" s="670" t="str">
        <f>IF(EXC.RATE_2=0,"",IFERROR(IF(CURRENCY.FORMAT_2=0,CONCATENATE(TEXT(FIXED(ROUND(IF(EXC.RATE.SWITCH=1,C2585*(1-I2585)*(1-ADD.DISCOUNT)*(1+MAT.SURCHARGE)/EXC.RATE_2,C2585*(1-I2585)*(1-ADD.DISCOUNT)*(1+MAT.SURCHARGE)*EXC.RATE_2),CURRENCY.FORMAT_2),CURRENCY.FORMAT_2,1),"# ##0;-# ##0"),",-"),FIXED(ROUND(IF(EXC.RATE.SWITCH=1,C2585*(1-I2585)*(1-ADD.DISCOUNT)*(1+MAT.SURCHARGE)/EXC.RATE_2,C2585*(1-I2585)*(1-ADD.DISCOUNT)*(1+MAT.SURCHARGE)*EXC.RATE_2),CURRENCY.FORMAT_2),CURRENCY.FORMAT_2,0)),'DICTIONARY-5'!$A$2))</f>
        <v/>
      </c>
      <c r="N2585" s="536">
        <v>12</v>
      </c>
      <c r="O2585" s="536"/>
      <c r="P2585" s="732" t="str">
        <f>'DICTIONARY-3'!$A$153&amp;" "&amp;'DICTIONARY-3'!$A$166</f>
        <v>BAIO MMB</v>
      </c>
      <c r="Q2585" s="732" t="str">
        <f>'DICTIONARY-3'!$A$223</f>
        <v>Kształtka</v>
      </c>
      <c r="R2585" s="732" t="str">
        <f>CONCATENATE('DICTIONARY-3'!$A$153," ",'DICTIONARY-3'!$A$175&amp;'DICTIONARY-3'!$A$166&amp;'DICTIONARY-3'!$A$174," ",'DICTIONARY-2'!$A$2,"200/200"," ",'DICTIONARY-2'!$A$10,"16",'DICTIONARY-2'!$A$20," ",'DICTIONARY-2'!$A$24,"=","600",'DICTIONARY-2'!$A$17,", ","3×",'DICTIONARY-5'!$A$198)</f>
        <v>BAIO Kształtka-MMB‎ DN200/200 PS16bar L=600mm, 3×mufa</v>
      </c>
      <c r="S2585" s="733" t="s">
        <v>5569</v>
      </c>
      <c r="T2585" s="732" t="s">
        <v>5569</v>
      </c>
      <c r="U2585" s="748" t="s">
        <v>5866</v>
      </c>
      <c r="V2585" s="735"/>
      <c r="W2585" s="736"/>
      <c r="X2585" s="737"/>
      <c r="Y2585" s="738"/>
      <c r="Z2585" s="739"/>
      <c r="AA2585" s="739"/>
      <c r="AB2585" s="740">
        <v>16</v>
      </c>
      <c r="AC2585" s="741">
        <v>600</v>
      </c>
      <c r="AD2585" s="741" t="str">
        <f>'DICTIONARY-5'!$A$13</f>
        <v>woda pitna</v>
      </c>
      <c r="AE2585" s="742">
        <v>50</v>
      </c>
      <c r="AF2585" s="743">
        <v>45.7</v>
      </c>
      <c r="AG2585" s="741" t="str">
        <f>'DICTIONARY-5'!$A$23</f>
        <v>powłoka epoksydowa</v>
      </c>
    </row>
    <row r="2586" spans="1:33" x14ac:dyDescent="0.25">
      <c r="A2586" s="880" t="s">
        <v>2474</v>
      </c>
      <c r="B2586" s="880" t="s">
        <v>2817</v>
      </c>
      <c r="C2586" s="836">
        <v>296</v>
      </c>
      <c r="D2586" s="836"/>
      <c r="E2586" s="836"/>
      <c r="F2586" s="836"/>
      <c r="G2586" s="496" t="s">
        <v>7851</v>
      </c>
      <c r="H2586" s="797" t="str">
        <f>VLOOKUP(G2586,SETTINGS!$B$7:$D$97,2,0)</f>
        <v>BAIO Fittings</v>
      </c>
      <c r="I2586" s="796">
        <f>VLOOKUP(G2586,SETTINGS!$B$7:$D$97,3,0)</f>
        <v>0</v>
      </c>
      <c r="J2586" s="670" t="str">
        <f>IFERROR(IF(CURRENCY.FORMAT_1=0,CONCATENATE(TEXT(FIXED(ROUND((C2586/EXC.RATE_1),CURRENCY.FORMAT_1),CURRENCY.FORMAT_1,1),"# ##0;-# ##0"),",-"),FIXED(ROUND((C2586/EXC.RATE_1),CURRENCY.FORMAT_1),CURRENCY.FORMAT_1,0)),'DICTIONARY-5'!$A$2)</f>
        <v>296,-</v>
      </c>
      <c r="K2586" s="670" t="str">
        <f>IF(EXC.RATE_2=0,"",IFERROR(IF(CURRENCY.FORMAT_2=0,CONCATENATE(TEXT(FIXED(ROUND(IF(EXC.RATE.SWITCH=1,C2586/EXC.RATE_2,C2586*EXC.RATE_2),CURRENCY.FORMAT_2),CURRENCY.FORMAT_2,1),"# ##0;-# ##0"),",-"),FIXED(ROUND(IF(EXC.RATE.SWITCH=1,C2586/EXC.RATE_2,C2586*EXC.RATE_2),CURRENCY.FORMAT_2),CURRENCY.FORMAT_2,0)),'DICTIONARY-5'!$A$2))</f>
        <v/>
      </c>
      <c r="L2586" s="670" t="str">
        <f>IFERROR(IF(CURRENCY.FORMAT_1=0,CONCATENATE(TEXT(FIXED(ROUND((C2586*(1-I2586)*(1-ADD.DISCOUNT)*(1+MAT.SURCHARGE)/EXC.RATE_1),CURRENCY.FORMAT_1),CURRENCY.FORMAT_1,1),"# ##0;-# ##0"),",-"),FIXED(ROUND((C2586*(1-I2586)*(1-ADD.DISCOUNT)*(1+MAT.SURCHARGE)/EXC.RATE_1),CURRENCY.FORMAT_1),CURRENCY.FORMAT_1,0)),'DICTIONARY-5'!$A$2)</f>
        <v>308,-</v>
      </c>
      <c r="M2586" s="670" t="str">
        <f>IF(EXC.RATE_2=0,"",IFERROR(IF(CURRENCY.FORMAT_2=0,CONCATENATE(TEXT(FIXED(ROUND(IF(EXC.RATE.SWITCH=1,C2586*(1-I2586)*(1-ADD.DISCOUNT)*(1+MAT.SURCHARGE)/EXC.RATE_2,C2586*(1-I2586)*(1-ADD.DISCOUNT)*(1+MAT.SURCHARGE)*EXC.RATE_2),CURRENCY.FORMAT_2),CURRENCY.FORMAT_2,1),"# ##0;-# ##0"),",-"),FIXED(ROUND(IF(EXC.RATE.SWITCH=1,C2586*(1-I2586)*(1-ADD.DISCOUNT)*(1+MAT.SURCHARGE)/EXC.RATE_2,C2586*(1-I2586)*(1-ADD.DISCOUNT)*(1+MAT.SURCHARGE)*EXC.RATE_2),CURRENCY.FORMAT_2),CURRENCY.FORMAT_2,0)),'DICTIONARY-5'!$A$2))</f>
        <v/>
      </c>
      <c r="N2586" s="536">
        <v>12</v>
      </c>
      <c r="O2586" s="536"/>
      <c r="P2586" s="732" t="str">
        <f>'DICTIONARY-3'!$A$153&amp;" "&amp;'DICTIONARY-3'!$A$167</f>
        <v>BAIO EN</v>
      </c>
      <c r="Q2586" s="732" t="str">
        <f>'DICTIONARY-3'!$A$223</f>
        <v>Kształtka</v>
      </c>
      <c r="R2586" s="732" t="str">
        <f>CONCATENATE('DICTIONARY-3'!$A$153," ",'DICTIONARY-3'!$A$175&amp;'DICTIONARY-3'!$A$167&amp;'DICTIONARY-3'!$A$174," ",'DICTIONARY-2'!$A$2,"80/80"," ",'DICTIONARY-2'!$A$3,"10/16"," ","G1½"," ","+",'DICTIONARY-3'!$A$343,", ",,'DICTIONARY-6'!$A$41," ",'DICTIONARY-5'!$A$198,"-",LOWER('DICTIONARY-3'!$A$241))</f>
        <v>BAIO Kształtka-EN‎ DN80/80 PN10/16 G1½ +korek, kolano stopowe mufa-kołnierz</v>
      </c>
      <c r="S2586" s="733" t="s">
        <v>5569</v>
      </c>
      <c r="T2586" s="732" t="s">
        <v>5569</v>
      </c>
      <c r="U2586" s="748" t="s">
        <v>5862</v>
      </c>
      <c r="V2586" s="735">
        <v>16</v>
      </c>
      <c r="W2586" s="736"/>
      <c r="X2586" s="750" t="s">
        <v>5738</v>
      </c>
      <c r="Y2586" s="745"/>
      <c r="Z2586" s="747"/>
      <c r="AA2586" s="747"/>
      <c r="AB2586" s="740">
        <v>16</v>
      </c>
      <c r="AC2586" s="741"/>
      <c r="AD2586" s="741" t="str">
        <f>'DICTIONARY-5'!$A$13</f>
        <v>woda pitna</v>
      </c>
      <c r="AE2586" s="742">
        <v>50</v>
      </c>
      <c r="AF2586" s="743">
        <v>16</v>
      </c>
      <c r="AG2586" s="741" t="str">
        <f>'DICTIONARY-5'!$A$23</f>
        <v>powłoka epoksydowa</v>
      </c>
    </row>
    <row r="2587" spans="1:33" x14ac:dyDescent="0.25">
      <c r="A2587" s="880" t="s">
        <v>2475</v>
      </c>
      <c r="B2587" s="880" t="s">
        <v>2819</v>
      </c>
      <c r="C2587" s="836">
        <v>359</v>
      </c>
      <c r="D2587" s="836"/>
      <c r="E2587" s="836"/>
      <c r="F2587" s="836"/>
      <c r="G2587" s="496" t="s">
        <v>7851</v>
      </c>
      <c r="H2587" s="797" t="str">
        <f>VLOOKUP(G2587,SETTINGS!$B$7:$D$97,2,0)</f>
        <v>BAIO Fittings</v>
      </c>
      <c r="I2587" s="796">
        <f>VLOOKUP(G2587,SETTINGS!$B$7:$D$97,3,0)</f>
        <v>0</v>
      </c>
      <c r="J2587" s="670" t="str">
        <f>IFERROR(IF(CURRENCY.FORMAT_1=0,CONCATENATE(TEXT(FIXED(ROUND((C2587/EXC.RATE_1),CURRENCY.FORMAT_1),CURRENCY.FORMAT_1,1),"# ##0;-# ##0"),",-"),FIXED(ROUND((C2587/EXC.RATE_1),CURRENCY.FORMAT_1),CURRENCY.FORMAT_1,0)),'DICTIONARY-5'!$A$2)</f>
        <v>359,-</v>
      </c>
      <c r="K2587" s="670" t="str">
        <f>IF(EXC.RATE_2=0,"",IFERROR(IF(CURRENCY.FORMAT_2=0,CONCATENATE(TEXT(FIXED(ROUND(IF(EXC.RATE.SWITCH=1,C2587/EXC.RATE_2,C2587*EXC.RATE_2),CURRENCY.FORMAT_2),CURRENCY.FORMAT_2,1),"# ##0;-# ##0"),",-"),FIXED(ROUND(IF(EXC.RATE.SWITCH=1,C2587/EXC.RATE_2,C2587*EXC.RATE_2),CURRENCY.FORMAT_2),CURRENCY.FORMAT_2,0)),'DICTIONARY-5'!$A$2))</f>
        <v/>
      </c>
      <c r="L2587" s="670" t="str">
        <f>IFERROR(IF(CURRENCY.FORMAT_1=0,CONCATENATE(TEXT(FIXED(ROUND((C2587*(1-I2587)*(1-ADD.DISCOUNT)*(1+MAT.SURCHARGE)/EXC.RATE_1),CURRENCY.FORMAT_1),CURRENCY.FORMAT_1,1),"# ##0;-# ##0"),",-"),FIXED(ROUND((C2587*(1-I2587)*(1-ADD.DISCOUNT)*(1+MAT.SURCHARGE)/EXC.RATE_1),CURRENCY.FORMAT_1),CURRENCY.FORMAT_1,0)),'DICTIONARY-5'!$A$2)</f>
        <v>373,-</v>
      </c>
      <c r="M2587" s="670" t="str">
        <f>IF(EXC.RATE_2=0,"",IFERROR(IF(CURRENCY.FORMAT_2=0,CONCATENATE(TEXT(FIXED(ROUND(IF(EXC.RATE.SWITCH=1,C2587*(1-I2587)*(1-ADD.DISCOUNT)*(1+MAT.SURCHARGE)/EXC.RATE_2,C2587*(1-I2587)*(1-ADD.DISCOUNT)*(1+MAT.SURCHARGE)*EXC.RATE_2),CURRENCY.FORMAT_2),CURRENCY.FORMAT_2,1),"# ##0;-# ##0"),",-"),FIXED(ROUND(IF(EXC.RATE.SWITCH=1,C2587*(1-I2587)*(1-ADD.DISCOUNT)*(1+MAT.SURCHARGE)/EXC.RATE_2,C2587*(1-I2587)*(1-ADD.DISCOUNT)*(1+MAT.SURCHARGE)*EXC.RATE_2),CURRENCY.FORMAT_2),CURRENCY.FORMAT_2,0)),'DICTIONARY-5'!$A$2))</f>
        <v/>
      </c>
      <c r="N2587" s="536">
        <v>12</v>
      </c>
      <c r="O2587" s="536"/>
      <c r="P2587" s="732" t="str">
        <f>'DICTIONARY-3'!$A$153&amp;" "&amp;'DICTIONARY-3'!$A$167</f>
        <v>BAIO EN</v>
      </c>
      <c r="Q2587" s="732" t="str">
        <f>'DICTIONARY-3'!$A$223</f>
        <v>Kształtka</v>
      </c>
      <c r="R2587" s="732" t="str">
        <f>CONCATENATE('DICTIONARY-3'!$A$153," ",'DICTIONARY-3'!$A$175&amp;'DICTIONARY-3'!$A$167&amp;'DICTIONARY-3'!$A$174," ",'DICTIONARY-2'!$A$2,"100/80"," ",'DICTIONARY-2'!$A$3,"10/16"," ","G1½"," ","+",'DICTIONARY-3'!$A$343,", ",,'DICTIONARY-6'!$A$41," ",'DICTIONARY-5'!$A$198,"-",LOWER('DICTIONARY-3'!$A$241))</f>
        <v>BAIO Kształtka-EN‎ DN100/80 PN10/16 G1½ +korek, kolano stopowe mufa-kołnierz</v>
      </c>
      <c r="S2587" s="733" t="s">
        <v>5569</v>
      </c>
      <c r="T2587" s="732" t="s">
        <v>5569</v>
      </c>
      <c r="U2587" s="748" t="s">
        <v>5849</v>
      </c>
      <c r="V2587" s="735">
        <v>16</v>
      </c>
      <c r="W2587" s="736"/>
      <c r="X2587" s="750" t="s">
        <v>5738</v>
      </c>
      <c r="Y2587" s="745"/>
      <c r="Z2587" s="747"/>
      <c r="AA2587" s="747"/>
      <c r="AB2587" s="740">
        <v>16</v>
      </c>
      <c r="AC2587" s="741"/>
      <c r="AD2587" s="741" t="str">
        <f>'DICTIONARY-5'!$A$13</f>
        <v>woda pitna</v>
      </c>
      <c r="AE2587" s="742">
        <v>50</v>
      </c>
      <c r="AF2587" s="743">
        <v>18</v>
      </c>
      <c r="AG2587" s="741" t="str">
        <f>'DICTIONARY-5'!$A$23</f>
        <v>powłoka epoksydowa</v>
      </c>
    </row>
    <row r="2588" spans="1:33" x14ac:dyDescent="0.25">
      <c r="A2588" s="880" t="s">
        <v>2476</v>
      </c>
      <c r="B2588" s="880" t="s">
        <v>2821</v>
      </c>
      <c r="C2588" s="836">
        <v>376</v>
      </c>
      <c r="D2588" s="836"/>
      <c r="E2588" s="836"/>
      <c r="F2588" s="836"/>
      <c r="G2588" s="496" t="s">
        <v>7851</v>
      </c>
      <c r="H2588" s="797" t="str">
        <f>VLOOKUP(G2588,SETTINGS!$B$7:$D$97,2,0)</f>
        <v>BAIO Fittings</v>
      </c>
      <c r="I2588" s="796">
        <f>VLOOKUP(G2588,SETTINGS!$B$7:$D$97,3,0)</f>
        <v>0</v>
      </c>
      <c r="J2588" s="670" t="str">
        <f>IFERROR(IF(CURRENCY.FORMAT_1=0,CONCATENATE(TEXT(FIXED(ROUND((C2588/EXC.RATE_1),CURRENCY.FORMAT_1),CURRENCY.FORMAT_1,1),"# ##0;-# ##0"),",-"),FIXED(ROUND((C2588/EXC.RATE_1),CURRENCY.FORMAT_1),CURRENCY.FORMAT_1,0)),'DICTIONARY-5'!$A$2)</f>
        <v>376,-</v>
      </c>
      <c r="K2588" s="670" t="str">
        <f>IF(EXC.RATE_2=0,"",IFERROR(IF(CURRENCY.FORMAT_2=0,CONCATENATE(TEXT(FIXED(ROUND(IF(EXC.RATE.SWITCH=1,C2588/EXC.RATE_2,C2588*EXC.RATE_2),CURRENCY.FORMAT_2),CURRENCY.FORMAT_2,1),"# ##0;-# ##0"),",-"),FIXED(ROUND(IF(EXC.RATE.SWITCH=1,C2588/EXC.RATE_2,C2588*EXC.RATE_2),CURRENCY.FORMAT_2),CURRENCY.FORMAT_2,0)),'DICTIONARY-5'!$A$2))</f>
        <v/>
      </c>
      <c r="L2588" s="670" t="str">
        <f>IFERROR(IF(CURRENCY.FORMAT_1=0,CONCATENATE(TEXT(FIXED(ROUND((C2588*(1-I2588)*(1-ADD.DISCOUNT)*(1+MAT.SURCHARGE)/EXC.RATE_1),CURRENCY.FORMAT_1),CURRENCY.FORMAT_1,1),"# ##0;-# ##0"),",-"),FIXED(ROUND((C2588*(1-I2588)*(1-ADD.DISCOUNT)*(1+MAT.SURCHARGE)/EXC.RATE_1),CURRENCY.FORMAT_1),CURRENCY.FORMAT_1,0)),'DICTIONARY-5'!$A$2)</f>
        <v>391,-</v>
      </c>
      <c r="M2588" s="670" t="str">
        <f>IF(EXC.RATE_2=0,"",IFERROR(IF(CURRENCY.FORMAT_2=0,CONCATENATE(TEXT(FIXED(ROUND(IF(EXC.RATE.SWITCH=1,C2588*(1-I2588)*(1-ADD.DISCOUNT)*(1+MAT.SURCHARGE)/EXC.RATE_2,C2588*(1-I2588)*(1-ADD.DISCOUNT)*(1+MAT.SURCHARGE)*EXC.RATE_2),CURRENCY.FORMAT_2),CURRENCY.FORMAT_2,1),"# ##0;-# ##0"),",-"),FIXED(ROUND(IF(EXC.RATE.SWITCH=1,C2588*(1-I2588)*(1-ADD.DISCOUNT)*(1+MAT.SURCHARGE)/EXC.RATE_2,C2588*(1-I2588)*(1-ADD.DISCOUNT)*(1+MAT.SURCHARGE)*EXC.RATE_2),CURRENCY.FORMAT_2),CURRENCY.FORMAT_2,0)),'DICTIONARY-5'!$A$2))</f>
        <v/>
      </c>
      <c r="N2588" s="536">
        <v>12</v>
      </c>
      <c r="O2588" s="536"/>
      <c r="P2588" s="732" t="str">
        <f>'DICTIONARY-3'!$A$153&amp;" "&amp;'DICTIONARY-3'!$A$167</f>
        <v>BAIO EN</v>
      </c>
      <c r="Q2588" s="732" t="str">
        <f>'DICTIONARY-3'!$A$223</f>
        <v>Kształtka</v>
      </c>
      <c r="R2588" s="732" t="str">
        <f>CONCATENATE('DICTIONARY-3'!$A$153," ",'DICTIONARY-3'!$A$175&amp;'DICTIONARY-3'!$A$167&amp;'DICTIONARY-3'!$A$174," ",'DICTIONARY-2'!$A$2,"100/100"," ",'DICTIONARY-2'!$A$3,"10/16"," ","G1½"," ","+",'DICTIONARY-3'!$A$343,", ",,'DICTIONARY-6'!$A$41," ",'DICTIONARY-5'!$A$198,"-",LOWER('DICTIONARY-3'!$A$241))</f>
        <v>BAIO Kształtka-EN‎ DN100/100 PN10/16 G1½ +korek, kolano stopowe mufa-kołnierz</v>
      </c>
      <c r="S2588" s="733" t="s">
        <v>5569</v>
      </c>
      <c r="T2588" s="732" t="s">
        <v>5569</v>
      </c>
      <c r="U2588" s="748" t="s">
        <v>5863</v>
      </c>
      <c r="V2588" s="735">
        <v>16</v>
      </c>
      <c r="W2588" s="736"/>
      <c r="X2588" s="750" t="s">
        <v>5738</v>
      </c>
      <c r="Y2588" s="745"/>
      <c r="Z2588" s="747"/>
      <c r="AA2588" s="747"/>
      <c r="AB2588" s="740">
        <v>16</v>
      </c>
      <c r="AC2588" s="741"/>
      <c r="AD2588" s="741" t="str">
        <f>'DICTIONARY-5'!$A$13</f>
        <v>woda pitna</v>
      </c>
      <c r="AE2588" s="742">
        <v>50</v>
      </c>
      <c r="AF2588" s="743">
        <v>19</v>
      </c>
      <c r="AG2588" s="741" t="str">
        <f>'DICTIONARY-5'!$A$23</f>
        <v>powłoka epoksydowa</v>
      </c>
    </row>
    <row r="2589" spans="1:33" x14ac:dyDescent="0.25">
      <c r="A2589" s="880" t="s">
        <v>2477</v>
      </c>
      <c r="B2589" s="880" t="s">
        <v>2816</v>
      </c>
      <c r="C2589" s="836">
        <v>242</v>
      </c>
      <c r="D2589" s="836"/>
      <c r="E2589" s="836"/>
      <c r="F2589" s="836"/>
      <c r="G2589" s="496" t="s">
        <v>7851</v>
      </c>
      <c r="H2589" s="797" t="str">
        <f>VLOOKUP(G2589,SETTINGS!$B$7:$D$97,2,0)</f>
        <v>BAIO Fittings</v>
      </c>
      <c r="I2589" s="796">
        <f>VLOOKUP(G2589,SETTINGS!$B$7:$D$97,3,0)</f>
        <v>0</v>
      </c>
      <c r="J2589" s="670" t="str">
        <f>IFERROR(IF(CURRENCY.FORMAT_1=0,CONCATENATE(TEXT(FIXED(ROUND((C2589/EXC.RATE_1),CURRENCY.FORMAT_1),CURRENCY.FORMAT_1,1),"# ##0;-# ##0"),",-"),FIXED(ROUND((C2589/EXC.RATE_1),CURRENCY.FORMAT_1),CURRENCY.FORMAT_1,0)),'DICTIONARY-5'!$A$2)</f>
        <v>242,-</v>
      </c>
      <c r="K2589" s="670" t="str">
        <f>IF(EXC.RATE_2=0,"",IFERROR(IF(CURRENCY.FORMAT_2=0,CONCATENATE(TEXT(FIXED(ROUND(IF(EXC.RATE.SWITCH=1,C2589/EXC.RATE_2,C2589*EXC.RATE_2),CURRENCY.FORMAT_2),CURRENCY.FORMAT_2,1),"# ##0;-# ##0"),",-"),FIXED(ROUND(IF(EXC.RATE.SWITCH=1,C2589/EXC.RATE_2,C2589*EXC.RATE_2),CURRENCY.FORMAT_2),CURRENCY.FORMAT_2,0)),'DICTIONARY-5'!$A$2))</f>
        <v/>
      </c>
      <c r="L2589" s="670" t="str">
        <f>IFERROR(IF(CURRENCY.FORMAT_1=0,CONCATENATE(TEXT(FIXED(ROUND((C2589*(1-I2589)*(1-ADD.DISCOUNT)*(1+MAT.SURCHARGE)/EXC.RATE_1),CURRENCY.FORMAT_1),CURRENCY.FORMAT_1,1),"# ##0;-# ##0"),",-"),FIXED(ROUND((C2589*(1-I2589)*(1-ADD.DISCOUNT)*(1+MAT.SURCHARGE)/EXC.RATE_1),CURRENCY.FORMAT_1),CURRENCY.FORMAT_1,0)),'DICTIONARY-5'!$A$2)</f>
        <v>251,-</v>
      </c>
      <c r="M2589" s="670" t="str">
        <f>IF(EXC.RATE_2=0,"",IFERROR(IF(CURRENCY.FORMAT_2=0,CONCATENATE(TEXT(FIXED(ROUND(IF(EXC.RATE.SWITCH=1,C2589*(1-I2589)*(1-ADD.DISCOUNT)*(1+MAT.SURCHARGE)/EXC.RATE_2,C2589*(1-I2589)*(1-ADD.DISCOUNT)*(1+MAT.SURCHARGE)*EXC.RATE_2),CURRENCY.FORMAT_2),CURRENCY.FORMAT_2,1),"# ##0;-# ##0"),",-"),FIXED(ROUND(IF(EXC.RATE.SWITCH=1,C2589*(1-I2589)*(1-ADD.DISCOUNT)*(1+MAT.SURCHARGE)/EXC.RATE_2,C2589*(1-I2589)*(1-ADD.DISCOUNT)*(1+MAT.SURCHARGE)*EXC.RATE_2),CURRENCY.FORMAT_2),CURRENCY.FORMAT_2,0)),'DICTIONARY-5'!$A$2))</f>
        <v/>
      </c>
      <c r="N2589" s="536">
        <v>12</v>
      </c>
      <c r="O2589" s="536"/>
      <c r="P2589" s="732" t="str">
        <f>'DICTIONARY-3'!$A$153&amp;" "&amp;'DICTIONARY-3'!$A$167</f>
        <v>BAIO EN</v>
      </c>
      <c r="Q2589" s="732" t="str">
        <f>'DICTIONARY-3'!$A$223</f>
        <v>Kształtka</v>
      </c>
      <c r="R2589" s="732" t="str">
        <f>CONCATENATE('DICTIONARY-3'!$A$153," ",'DICTIONARY-3'!$A$175&amp;'DICTIONARY-3'!$A$167&amp;'DICTIONARY-3'!$A$174," ",'DICTIONARY-2'!$A$2,"80/80"," ",'DICTIONARY-2'!$A$3,"10/16",", ",'DICTIONARY-6'!$A$41," ",'DICTIONARY-5'!$A$198,"-",LOWER('DICTIONARY-3'!$A$241))</f>
        <v>BAIO Kształtka-EN‎ DN80/80 PN10/16, kolano stopowe mufa-kołnierz</v>
      </c>
      <c r="S2589" s="733" t="s">
        <v>5569</v>
      </c>
      <c r="T2589" s="732" t="s">
        <v>5569</v>
      </c>
      <c r="U2589" s="748" t="s">
        <v>5862</v>
      </c>
      <c r="V2589" s="735">
        <v>16</v>
      </c>
      <c r="W2589" s="736"/>
      <c r="X2589" s="737"/>
      <c r="Y2589" s="738"/>
      <c r="Z2589" s="739"/>
      <c r="AA2589" s="739"/>
      <c r="AB2589" s="740">
        <v>16</v>
      </c>
      <c r="AC2589" s="741"/>
      <c r="AD2589" s="741" t="str">
        <f>'DICTIONARY-5'!$A$13</f>
        <v>woda pitna</v>
      </c>
      <c r="AE2589" s="742">
        <v>50</v>
      </c>
      <c r="AF2589" s="743">
        <v>16</v>
      </c>
      <c r="AG2589" s="741" t="str">
        <f>'DICTIONARY-5'!$A$23</f>
        <v>powłoka epoksydowa</v>
      </c>
    </row>
    <row r="2590" spans="1:33" x14ac:dyDescent="0.25">
      <c r="A2590" s="880" t="s">
        <v>2478</v>
      </c>
      <c r="B2590" s="880" t="s">
        <v>2818</v>
      </c>
      <c r="C2590" s="836">
        <v>304</v>
      </c>
      <c r="D2590" s="836"/>
      <c r="E2590" s="836"/>
      <c r="F2590" s="836"/>
      <c r="G2590" s="496" t="s">
        <v>7851</v>
      </c>
      <c r="H2590" s="797" t="str">
        <f>VLOOKUP(G2590,SETTINGS!$B$7:$D$97,2,0)</f>
        <v>BAIO Fittings</v>
      </c>
      <c r="I2590" s="796">
        <f>VLOOKUP(G2590,SETTINGS!$B$7:$D$97,3,0)</f>
        <v>0</v>
      </c>
      <c r="J2590" s="670" t="str">
        <f>IFERROR(IF(CURRENCY.FORMAT_1=0,CONCATENATE(TEXT(FIXED(ROUND((C2590/EXC.RATE_1),CURRENCY.FORMAT_1),CURRENCY.FORMAT_1,1),"# ##0;-# ##0"),",-"),FIXED(ROUND((C2590/EXC.RATE_1),CURRENCY.FORMAT_1),CURRENCY.FORMAT_1,0)),'DICTIONARY-5'!$A$2)</f>
        <v>304,-</v>
      </c>
      <c r="K2590" s="670" t="str">
        <f>IF(EXC.RATE_2=0,"",IFERROR(IF(CURRENCY.FORMAT_2=0,CONCATENATE(TEXT(FIXED(ROUND(IF(EXC.RATE.SWITCH=1,C2590/EXC.RATE_2,C2590*EXC.RATE_2),CURRENCY.FORMAT_2),CURRENCY.FORMAT_2,1),"# ##0;-# ##0"),",-"),FIXED(ROUND(IF(EXC.RATE.SWITCH=1,C2590/EXC.RATE_2,C2590*EXC.RATE_2),CURRENCY.FORMAT_2),CURRENCY.FORMAT_2,0)),'DICTIONARY-5'!$A$2))</f>
        <v/>
      </c>
      <c r="L2590" s="670" t="str">
        <f>IFERROR(IF(CURRENCY.FORMAT_1=0,CONCATENATE(TEXT(FIXED(ROUND((C2590*(1-I2590)*(1-ADD.DISCOUNT)*(1+MAT.SURCHARGE)/EXC.RATE_1),CURRENCY.FORMAT_1),CURRENCY.FORMAT_1,1),"# ##0;-# ##0"),",-"),FIXED(ROUND((C2590*(1-I2590)*(1-ADD.DISCOUNT)*(1+MAT.SURCHARGE)/EXC.RATE_1),CURRENCY.FORMAT_1),CURRENCY.FORMAT_1,0)),'DICTIONARY-5'!$A$2)</f>
        <v>316,-</v>
      </c>
      <c r="M2590" s="670" t="str">
        <f>IF(EXC.RATE_2=0,"",IFERROR(IF(CURRENCY.FORMAT_2=0,CONCATENATE(TEXT(FIXED(ROUND(IF(EXC.RATE.SWITCH=1,C2590*(1-I2590)*(1-ADD.DISCOUNT)*(1+MAT.SURCHARGE)/EXC.RATE_2,C2590*(1-I2590)*(1-ADD.DISCOUNT)*(1+MAT.SURCHARGE)*EXC.RATE_2),CURRENCY.FORMAT_2),CURRENCY.FORMAT_2,1),"# ##0;-# ##0"),",-"),FIXED(ROUND(IF(EXC.RATE.SWITCH=1,C2590*(1-I2590)*(1-ADD.DISCOUNT)*(1+MAT.SURCHARGE)/EXC.RATE_2,C2590*(1-I2590)*(1-ADD.DISCOUNT)*(1+MAT.SURCHARGE)*EXC.RATE_2),CURRENCY.FORMAT_2),CURRENCY.FORMAT_2,0)),'DICTIONARY-5'!$A$2))</f>
        <v/>
      </c>
      <c r="N2590" s="536">
        <v>12</v>
      </c>
      <c r="O2590" s="536"/>
      <c r="P2590" s="732" t="str">
        <f>'DICTIONARY-3'!$A$153&amp;" "&amp;'DICTIONARY-3'!$A$167</f>
        <v>BAIO EN</v>
      </c>
      <c r="Q2590" s="732" t="str">
        <f>'DICTIONARY-3'!$A$223</f>
        <v>Kształtka</v>
      </c>
      <c r="R2590" s="732" t="str">
        <f>CONCATENATE('DICTIONARY-3'!$A$153," ",'DICTIONARY-3'!$A$175&amp;'DICTIONARY-3'!$A$167&amp;'DICTIONARY-3'!$A$174," ",'DICTIONARY-2'!$A$2,"100/80"," ",'DICTIONARY-2'!$A$3,"10/16",", ",'DICTIONARY-6'!$A$41," ",'DICTIONARY-5'!$A$198,"-",LOWER('DICTIONARY-3'!$A$241))</f>
        <v>BAIO Kształtka-EN‎ DN100/80 PN10/16, kolano stopowe mufa-kołnierz</v>
      </c>
      <c r="S2590" s="733" t="s">
        <v>5569</v>
      </c>
      <c r="T2590" s="732" t="s">
        <v>5569</v>
      </c>
      <c r="U2590" s="748" t="s">
        <v>5849</v>
      </c>
      <c r="V2590" s="735">
        <v>16</v>
      </c>
      <c r="W2590" s="736"/>
      <c r="X2590" s="737"/>
      <c r="Y2590" s="738"/>
      <c r="Z2590" s="739"/>
      <c r="AA2590" s="739"/>
      <c r="AB2590" s="740">
        <v>16</v>
      </c>
      <c r="AC2590" s="741"/>
      <c r="AD2590" s="741" t="str">
        <f>'DICTIONARY-5'!$A$13</f>
        <v>woda pitna</v>
      </c>
      <c r="AE2590" s="742">
        <v>50</v>
      </c>
      <c r="AF2590" s="743">
        <v>18.5</v>
      </c>
      <c r="AG2590" s="741" t="str">
        <f>'DICTIONARY-5'!$A$23</f>
        <v>powłoka epoksydowa</v>
      </c>
    </row>
    <row r="2591" spans="1:33" x14ac:dyDescent="0.25">
      <c r="A2591" s="880" t="s">
        <v>2479</v>
      </c>
      <c r="B2591" s="880" t="s">
        <v>2820</v>
      </c>
      <c r="C2591" s="836">
        <v>321</v>
      </c>
      <c r="D2591" s="836"/>
      <c r="E2591" s="836"/>
      <c r="F2591" s="836"/>
      <c r="G2591" s="496" t="s">
        <v>7851</v>
      </c>
      <c r="H2591" s="797" t="str">
        <f>VLOOKUP(G2591,SETTINGS!$B$7:$D$97,2,0)</f>
        <v>BAIO Fittings</v>
      </c>
      <c r="I2591" s="796">
        <f>VLOOKUP(G2591,SETTINGS!$B$7:$D$97,3,0)</f>
        <v>0</v>
      </c>
      <c r="J2591" s="670" t="str">
        <f>IFERROR(IF(CURRENCY.FORMAT_1=0,CONCATENATE(TEXT(FIXED(ROUND((C2591/EXC.RATE_1),CURRENCY.FORMAT_1),CURRENCY.FORMAT_1,1),"# ##0;-# ##0"),",-"),FIXED(ROUND((C2591/EXC.RATE_1),CURRENCY.FORMAT_1),CURRENCY.FORMAT_1,0)),'DICTIONARY-5'!$A$2)</f>
        <v>321,-</v>
      </c>
      <c r="K2591" s="670" t="str">
        <f>IF(EXC.RATE_2=0,"",IFERROR(IF(CURRENCY.FORMAT_2=0,CONCATENATE(TEXT(FIXED(ROUND(IF(EXC.RATE.SWITCH=1,C2591/EXC.RATE_2,C2591*EXC.RATE_2),CURRENCY.FORMAT_2),CURRENCY.FORMAT_2,1),"# ##0;-# ##0"),",-"),FIXED(ROUND(IF(EXC.RATE.SWITCH=1,C2591/EXC.RATE_2,C2591*EXC.RATE_2),CURRENCY.FORMAT_2),CURRENCY.FORMAT_2,0)),'DICTIONARY-5'!$A$2))</f>
        <v/>
      </c>
      <c r="L2591" s="670" t="str">
        <f>IFERROR(IF(CURRENCY.FORMAT_1=0,CONCATENATE(TEXT(FIXED(ROUND((C2591*(1-I2591)*(1-ADD.DISCOUNT)*(1+MAT.SURCHARGE)/EXC.RATE_1),CURRENCY.FORMAT_1),CURRENCY.FORMAT_1,1),"# ##0;-# ##0"),",-"),FIXED(ROUND((C2591*(1-I2591)*(1-ADD.DISCOUNT)*(1+MAT.SURCHARGE)/EXC.RATE_1),CURRENCY.FORMAT_1),CURRENCY.FORMAT_1,0)),'DICTIONARY-5'!$A$2)</f>
        <v>334,-</v>
      </c>
      <c r="M2591" s="670" t="str">
        <f>IF(EXC.RATE_2=0,"",IFERROR(IF(CURRENCY.FORMAT_2=0,CONCATENATE(TEXT(FIXED(ROUND(IF(EXC.RATE.SWITCH=1,C2591*(1-I2591)*(1-ADD.DISCOUNT)*(1+MAT.SURCHARGE)/EXC.RATE_2,C2591*(1-I2591)*(1-ADD.DISCOUNT)*(1+MAT.SURCHARGE)*EXC.RATE_2),CURRENCY.FORMAT_2),CURRENCY.FORMAT_2,1),"# ##0;-# ##0"),",-"),FIXED(ROUND(IF(EXC.RATE.SWITCH=1,C2591*(1-I2591)*(1-ADD.DISCOUNT)*(1+MAT.SURCHARGE)/EXC.RATE_2,C2591*(1-I2591)*(1-ADD.DISCOUNT)*(1+MAT.SURCHARGE)*EXC.RATE_2),CURRENCY.FORMAT_2),CURRENCY.FORMAT_2,0)),'DICTIONARY-5'!$A$2))</f>
        <v/>
      </c>
      <c r="N2591" s="536">
        <v>12</v>
      </c>
      <c r="O2591" s="536"/>
      <c r="P2591" s="732" t="str">
        <f>'DICTIONARY-3'!$A$153&amp;" "&amp;'DICTIONARY-3'!$A$167</f>
        <v>BAIO EN</v>
      </c>
      <c r="Q2591" s="732" t="str">
        <f>'DICTIONARY-3'!$A$223</f>
        <v>Kształtka</v>
      </c>
      <c r="R2591" s="732" t="str">
        <f>CONCATENATE('DICTIONARY-3'!$A$153," ",'DICTIONARY-3'!$A$175&amp;'DICTIONARY-3'!$A$167&amp;'DICTIONARY-3'!$A$174," ",'DICTIONARY-2'!$A$2,"100/100"," ",'DICTIONARY-2'!$A$3,"10/16",", ",'DICTIONARY-6'!$A$41," ",'DICTIONARY-5'!$A$198,"-",LOWER('DICTIONARY-3'!$A$241))</f>
        <v>BAIO Kształtka-EN‎ DN100/100 PN10/16, kolano stopowe mufa-kołnierz</v>
      </c>
      <c r="S2591" s="733" t="s">
        <v>5569</v>
      </c>
      <c r="T2591" s="732" t="s">
        <v>5569</v>
      </c>
      <c r="U2591" s="748" t="s">
        <v>5863</v>
      </c>
      <c r="V2591" s="735">
        <v>16</v>
      </c>
      <c r="W2591" s="736"/>
      <c r="X2591" s="737"/>
      <c r="Y2591" s="738"/>
      <c r="Z2591" s="739"/>
      <c r="AA2591" s="739"/>
      <c r="AB2591" s="740">
        <v>16</v>
      </c>
      <c r="AC2591" s="741"/>
      <c r="AD2591" s="741" t="str">
        <f>'DICTIONARY-5'!$A$13</f>
        <v>woda pitna</v>
      </c>
      <c r="AE2591" s="742">
        <v>50</v>
      </c>
      <c r="AF2591" s="743">
        <v>18.5</v>
      </c>
      <c r="AG2591" s="741" t="str">
        <f>'DICTIONARY-5'!$A$23</f>
        <v>powłoka epoksydowa</v>
      </c>
    </row>
    <row r="2592" spans="1:33" x14ac:dyDescent="0.25">
      <c r="A2592" s="880" t="s">
        <v>2480</v>
      </c>
      <c r="B2592" s="880" t="s">
        <v>2833</v>
      </c>
      <c r="C2592" s="836">
        <v>366</v>
      </c>
      <c r="D2592" s="836"/>
      <c r="E2592" s="836"/>
      <c r="F2592" s="836"/>
      <c r="G2592" s="496" t="s">
        <v>7851</v>
      </c>
      <c r="H2592" s="797" t="str">
        <f>VLOOKUP(G2592,SETTINGS!$B$7:$D$97,2,0)</f>
        <v>BAIO Fittings</v>
      </c>
      <c r="I2592" s="796">
        <f>VLOOKUP(G2592,SETTINGS!$B$7:$D$97,3,0)</f>
        <v>0</v>
      </c>
      <c r="J2592" s="670" t="str">
        <f>IFERROR(IF(CURRENCY.FORMAT_1=0,CONCATENATE(TEXT(FIXED(ROUND((C2592/EXC.RATE_1),CURRENCY.FORMAT_1),CURRENCY.FORMAT_1,1),"# ##0;-# ##0"),",-"),FIXED(ROUND((C2592/EXC.RATE_1),CURRENCY.FORMAT_1),CURRENCY.FORMAT_1,0)),'DICTIONARY-5'!$A$2)</f>
        <v>366,-</v>
      </c>
      <c r="K2592" s="670" t="str">
        <f>IF(EXC.RATE_2=0,"",IFERROR(IF(CURRENCY.FORMAT_2=0,CONCATENATE(TEXT(FIXED(ROUND(IF(EXC.RATE.SWITCH=1,C2592/EXC.RATE_2,C2592*EXC.RATE_2),CURRENCY.FORMAT_2),CURRENCY.FORMAT_2,1),"# ##0;-# ##0"),",-"),FIXED(ROUND(IF(EXC.RATE.SWITCH=1,C2592/EXC.RATE_2,C2592*EXC.RATE_2),CURRENCY.FORMAT_2),CURRENCY.FORMAT_2,0)),'DICTIONARY-5'!$A$2))</f>
        <v/>
      </c>
      <c r="L2592" s="670" t="str">
        <f>IFERROR(IF(CURRENCY.FORMAT_1=0,CONCATENATE(TEXT(FIXED(ROUND((C2592*(1-I2592)*(1-ADD.DISCOUNT)*(1+MAT.SURCHARGE)/EXC.RATE_1),CURRENCY.FORMAT_1),CURRENCY.FORMAT_1,1),"# ##0;-# ##0"),",-"),FIXED(ROUND((C2592*(1-I2592)*(1-ADD.DISCOUNT)*(1+MAT.SURCHARGE)/EXC.RATE_1),CURRENCY.FORMAT_1),CURRENCY.FORMAT_1,0)),'DICTIONARY-5'!$A$2)</f>
        <v>380,-</v>
      </c>
      <c r="M2592" s="670" t="str">
        <f>IF(EXC.RATE_2=0,"",IFERROR(IF(CURRENCY.FORMAT_2=0,CONCATENATE(TEXT(FIXED(ROUND(IF(EXC.RATE.SWITCH=1,C2592*(1-I2592)*(1-ADD.DISCOUNT)*(1+MAT.SURCHARGE)/EXC.RATE_2,C2592*(1-I2592)*(1-ADD.DISCOUNT)*(1+MAT.SURCHARGE)*EXC.RATE_2),CURRENCY.FORMAT_2),CURRENCY.FORMAT_2,1),"# ##0;-# ##0"),",-"),FIXED(ROUND(IF(EXC.RATE.SWITCH=1,C2592*(1-I2592)*(1-ADD.DISCOUNT)*(1+MAT.SURCHARGE)/EXC.RATE_2,C2592*(1-I2592)*(1-ADD.DISCOUNT)*(1+MAT.SURCHARGE)*EXC.RATE_2),CURRENCY.FORMAT_2),CURRENCY.FORMAT_2,0)),'DICTIONARY-5'!$A$2))</f>
        <v/>
      </c>
      <c r="N2592" s="536">
        <v>12</v>
      </c>
      <c r="O2592" s="536"/>
      <c r="P2592" s="732" t="str">
        <f>'DICTIONARY-3'!$A$153&amp;" "&amp;'DICTIONARY-3'!$A$168</f>
        <v>BAIO MMN</v>
      </c>
      <c r="Q2592" s="732" t="str">
        <f>'DICTIONARY-3'!$A$223</f>
        <v>Kształtka</v>
      </c>
      <c r="R2592" s="732" t="str">
        <f>CONCATENATE('DICTIONARY-3'!$A$153," ",'DICTIONARY-3'!$A$175&amp;'DICTIONARY-3'!$A$168&amp;'DICTIONARY-3'!$A$174," ",'DICTIONARY-2'!$A$2,"80/80"," ",'DICTIONARY-2'!$A$10,"16",'DICTIONARY-2'!$A$20," ","G1½"," ","+",'DICTIONARY-3'!$A$343,", ",,'DICTIONARY-6'!$A$41," ","2×",'DICTIONARY-5'!$A$198)</f>
        <v>BAIO Kształtka-MMN‎ DN80/80 PS16bar G1½ +korek, kolano stopowe 2×mufa</v>
      </c>
      <c r="S2592" s="733" t="s">
        <v>5569</v>
      </c>
      <c r="T2592" s="732" t="s">
        <v>5569</v>
      </c>
      <c r="U2592" s="748" t="s">
        <v>5862</v>
      </c>
      <c r="V2592" s="735"/>
      <c r="W2592" s="736"/>
      <c r="X2592" s="750" t="s">
        <v>5738</v>
      </c>
      <c r="Y2592" s="738"/>
      <c r="Z2592" s="739"/>
      <c r="AA2592" s="739"/>
      <c r="AB2592" s="740">
        <v>16</v>
      </c>
      <c r="AC2592" s="741"/>
      <c r="AD2592" s="741" t="str">
        <f>'DICTIONARY-5'!$A$13</f>
        <v>woda pitna</v>
      </c>
      <c r="AE2592" s="742">
        <v>50</v>
      </c>
      <c r="AF2592" s="743">
        <v>15.5</v>
      </c>
      <c r="AG2592" s="741" t="str">
        <f>'DICTIONARY-5'!$A$23</f>
        <v>powłoka epoksydowa</v>
      </c>
    </row>
    <row r="2593" spans="1:33" x14ac:dyDescent="0.25">
      <c r="A2593" s="880" t="s">
        <v>2481</v>
      </c>
      <c r="B2593" s="880" t="s">
        <v>2835</v>
      </c>
      <c r="C2593" s="836">
        <v>237</v>
      </c>
      <c r="D2593" s="836"/>
      <c r="E2593" s="836"/>
      <c r="F2593" s="836"/>
      <c r="G2593" s="496" t="s">
        <v>7851</v>
      </c>
      <c r="H2593" s="797" t="str">
        <f>VLOOKUP(G2593,SETTINGS!$B$7:$D$97,2,0)</f>
        <v>BAIO Fittings</v>
      </c>
      <c r="I2593" s="796">
        <f>VLOOKUP(G2593,SETTINGS!$B$7:$D$97,3,0)</f>
        <v>0</v>
      </c>
      <c r="J2593" s="670" t="str">
        <f>IFERROR(IF(CURRENCY.FORMAT_1=0,CONCATENATE(TEXT(FIXED(ROUND((C2593/EXC.RATE_1),CURRENCY.FORMAT_1),CURRENCY.FORMAT_1,1),"# ##0;-# ##0"),",-"),FIXED(ROUND((C2593/EXC.RATE_1),CURRENCY.FORMAT_1),CURRENCY.FORMAT_1,0)),'DICTIONARY-5'!$A$2)</f>
        <v>237,-</v>
      </c>
      <c r="K2593" s="670" t="str">
        <f>IF(EXC.RATE_2=0,"",IFERROR(IF(CURRENCY.FORMAT_2=0,CONCATENATE(TEXT(FIXED(ROUND(IF(EXC.RATE.SWITCH=1,C2593/EXC.RATE_2,C2593*EXC.RATE_2),CURRENCY.FORMAT_2),CURRENCY.FORMAT_2,1),"# ##0;-# ##0"),",-"),FIXED(ROUND(IF(EXC.RATE.SWITCH=1,C2593/EXC.RATE_2,C2593*EXC.RATE_2),CURRENCY.FORMAT_2),CURRENCY.FORMAT_2,0)),'DICTIONARY-5'!$A$2))</f>
        <v/>
      </c>
      <c r="L2593" s="670" t="str">
        <f>IFERROR(IF(CURRENCY.FORMAT_1=0,CONCATENATE(TEXT(FIXED(ROUND((C2593*(1-I2593)*(1-ADD.DISCOUNT)*(1+MAT.SURCHARGE)/EXC.RATE_1),CURRENCY.FORMAT_1),CURRENCY.FORMAT_1,1),"# ##0;-# ##0"),",-"),FIXED(ROUND((C2593*(1-I2593)*(1-ADD.DISCOUNT)*(1+MAT.SURCHARGE)/EXC.RATE_1),CURRENCY.FORMAT_1),CURRENCY.FORMAT_1,0)),'DICTIONARY-5'!$A$2)</f>
        <v>246,-</v>
      </c>
      <c r="M2593" s="670" t="str">
        <f>IF(EXC.RATE_2=0,"",IFERROR(IF(CURRENCY.FORMAT_2=0,CONCATENATE(TEXT(FIXED(ROUND(IF(EXC.RATE.SWITCH=1,C2593*(1-I2593)*(1-ADD.DISCOUNT)*(1+MAT.SURCHARGE)/EXC.RATE_2,C2593*(1-I2593)*(1-ADD.DISCOUNT)*(1+MAT.SURCHARGE)*EXC.RATE_2),CURRENCY.FORMAT_2),CURRENCY.FORMAT_2,1),"# ##0;-# ##0"),",-"),FIXED(ROUND(IF(EXC.RATE.SWITCH=1,C2593*(1-I2593)*(1-ADD.DISCOUNT)*(1+MAT.SURCHARGE)/EXC.RATE_2,C2593*(1-I2593)*(1-ADD.DISCOUNT)*(1+MAT.SURCHARGE)*EXC.RATE_2),CURRENCY.FORMAT_2),CURRENCY.FORMAT_2,0)),'DICTIONARY-5'!$A$2))</f>
        <v/>
      </c>
      <c r="N2593" s="536">
        <v>12</v>
      </c>
      <c r="O2593" s="536"/>
      <c r="P2593" s="732" t="str">
        <f>'DICTIONARY-3'!$A$153&amp;" "&amp;'DICTIONARY-3'!$A$168</f>
        <v>BAIO MMN</v>
      </c>
      <c r="Q2593" s="732" t="str">
        <f>'DICTIONARY-3'!$A$223</f>
        <v>Kształtka</v>
      </c>
      <c r="R2593" s="732" t="str">
        <f>CONCATENATE('DICTIONARY-3'!$A$153," ",'DICTIONARY-3'!$A$175&amp;'DICTIONARY-3'!$A$168&amp;'DICTIONARY-3'!$A$174," ",'DICTIONARY-2'!$A$2,"100/80"," ",'DICTIONARY-2'!$A$10,"16",'DICTIONARY-2'!$A$20," ","G1½"," ","+",'DICTIONARY-3'!$A$343,", ",,'DICTIONARY-6'!$A$41," ","2×",'DICTIONARY-5'!$A$198)</f>
        <v>BAIO Kształtka-MMN‎ DN100/80 PS16bar G1½ +korek, kolano stopowe 2×mufa</v>
      </c>
      <c r="S2593" s="733" t="s">
        <v>5569</v>
      </c>
      <c r="T2593" s="732" t="s">
        <v>5569</v>
      </c>
      <c r="U2593" s="748" t="s">
        <v>5849</v>
      </c>
      <c r="V2593" s="735"/>
      <c r="W2593" s="736"/>
      <c r="X2593" s="750" t="s">
        <v>5738</v>
      </c>
      <c r="Y2593" s="738"/>
      <c r="Z2593" s="739"/>
      <c r="AA2593" s="739"/>
      <c r="AB2593" s="740">
        <v>16</v>
      </c>
      <c r="AC2593" s="741"/>
      <c r="AD2593" s="741" t="str">
        <f>'DICTIONARY-5'!$A$13</f>
        <v>woda pitna</v>
      </c>
      <c r="AE2593" s="742">
        <v>50</v>
      </c>
      <c r="AF2593" s="743">
        <v>18.5</v>
      </c>
      <c r="AG2593" s="741" t="str">
        <f>'DICTIONARY-5'!$A$23</f>
        <v>powłoka epoksydowa</v>
      </c>
    </row>
    <row r="2594" spans="1:33" x14ac:dyDescent="0.25">
      <c r="A2594" s="880" t="s">
        <v>2482</v>
      </c>
      <c r="B2594" s="880" t="s">
        <v>2832</v>
      </c>
      <c r="C2594" s="836">
        <v>311</v>
      </c>
      <c r="D2594" s="836"/>
      <c r="E2594" s="836"/>
      <c r="F2594" s="836"/>
      <c r="G2594" s="496" t="s">
        <v>7851</v>
      </c>
      <c r="H2594" s="797" t="str">
        <f>VLOOKUP(G2594,SETTINGS!$B$7:$D$97,2,0)</f>
        <v>BAIO Fittings</v>
      </c>
      <c r="I2594" s="796">
        <f>VLOOKUP(G2594,SETTINGS!$B$7:$D$97,3,0)</f>
        <v>0</v>
      </c>
      <c r="J2594" s="670" t="str">
        <f>IFERROR(IF(CURRENCY.FORMAT_1=0,CONCATENATE(TEXT(FIXED(ROUND((C2594/EXC.RATE_1),CURRENCY.FORMAT_1),CURRENCY.FORMAT_1,1),"# ##0;-# ##0"),",-"),FIXED(ROUND((C2594/EXC.RATE_1),CURRENCY.FORMAT_1),CURRENCY.FORMAT_1,0)),'DICTIONARY-5'!$A$2)</f>
        <v>311,-</v>
      </c>
      <c r="K2594" s="670" t="str">
        <f>IF(EXC.RATE_2=0,"",IFERROR(IF(CURRENCY.FORMAT_2=0,CONCATENATE(TEXT(FIXED(ROUND(IF(EXC.RATE.SWITCH=1,C2594/EXC.RATE_2,C2594*EXC.RATE_2),CURRENCY.FORMAT_2),CURRENCY.FORMAT_2,1),"# ##0;-# ##0"),",-"),FIXED(ROUND(IF(EXC.RATE.SWITCH=1,C2594/EXC.RATE_2,C2594*EXC.RATE_2),CURRENCY.FORMAT_2),CURRENCY.FORMAT_2,0)),'DICTIONARY-5'!$A$2))</f>
        <v/>
      </c>
      <c r="L2594" s="670" t="str">
        <f>IFERROR(IF(CURRENCY.FORMAT_1=0,CONCATENATE(TEXT(FIXED(ROUND((C2594*(1-I2594)*(1-ADD.DISCOUNT)*(1+MAT.SURCHARGE)/EXC.RATE_1),CURRENCY.FORMAT_1),CURRENCY.FORMAT_1,1),"# ##0;-# ##0"),",-"),FIXED(ROUND((C2594*(1-I2594)*(1-ADD.DISCOUNT)*(1+MAT.SURCHARGE)/EXC.RATE_1),CURRENCY.FORMAT_1),CURRENCY.FORMAT_1,0)),'DICTIONARY-5'!$A$2)</f>
        <v>323,-</v>
      </c>
      <c r="M2594" s="670" t="str">
        <f>IF(EXC.RATE_2=0,"",IFERROR(IF(CURRENCY.FORMAT_2=0,CONCATENATE(TEXT(FIXED(ROUND(IF(EXC.RATE.SWITCH=1,C2594*(1-I2594)*(1-ADD.DISCOUNT)*(1+MAT.SURCHARGE)/EXC.RATE_2,C2594*(1-I2594)*(1-ADD.DISCOUNT)*(1+MAT.SURCHARGE)*EXC.RATE_2),CURRENCY.FORMAT_2),CURRENCY.FORMAT_2,1),"# ##0;-# ##0"),",-"),FIXED(ROUND(IF(EXC.RATE.SWITCH=1,C2594*(1-I2594)*(1-ADD.DISCOUNT)*(1+MAT.SURCHARGE)/EXC.RATE_2,C2594*(1-I2594)*(1-ADD.DISCOUNT)*(1+MAT.SURCHARGE)*EXC.RATE_2),CURRENCY.FORMAT_2),CURRENCY.FORMAT_2,0)),'DICTIONARY-5'!$A$2))</f>
        <v/>
      </c>
      <c r="N2594" s="536">
        <v>12</v>
      </c>
      <c r="O2594" s="536"/>
      <c r="P2594" s="732" t="str">
        <f>'DICTIONARY-3'!$A$153&amp;" "&amp;'DICTIONARY-3'!$A$168</f>
        <v>BAIO MMN</v>
      </c>
      <c r="Q2594" s="732" t="str">
        <f>'DICTIONARY-3'!$A$223</f>
        <v>Kształtka</v>
      </c>
      <c r="R2594" s="732" t="str">
        <f>CONCATENATE('DICTIONARY-3'!$A$153," ",'DICTIONARY-3'!$A$175&amp;'DICTIONARY-3'!$A$168&amp;'DICTIONARY-3'!$A$174," ",'DICTIONARY-2'!$A$2,"80/80"," ",'DICTIONARY-2'!$A$10,"16",'DICTIONARY-2'!$A$20,", ",,'DICTIONARY-6'!$A$41," ","2×",'DICTIONARY-5'!$A$198)</f>
        <v>BAIO Kształtka-MMN‎ DN80/80 PS16bar, kolano stopowe 2×mufa</v>
      </c>
      <c r="S2594" s="733" t="s">
        <v>5569</v>
      </c>
      <c r="T2594" s="732" t="s">
        <v>5569</v>
      </c>
      <c r="U2594" s="748" t="s">
        <v>5862</v>
      </c>
      <c r="V2594" s="735"/>
      <c r="W2594" s="736"/>
      <c r="X2594" s="750"/>
      <c r="Y2594" s="738"/>
      <c r="Z2594" s="739"/>
      <c r="AA2594" s="739"/>
      <c r="AB2594" s="740">
        <v>16</v>
      </c>
      <c r="AC2594" s="741"/>
      <c r="AD2594" s="741" t="str">
        <f>'DICTIONARY-5'!$A$13</f>
        <v>woda pitna</v>
      </c>
      <c r="AE2594" s="742">
        <v>50</v>
      </c>
      <c r="AF2594" s="743">
        <v>17</v>
      </c>
      <c r="AG2594" s="741" t="str">
        <f>'DICTIONARY-5'!$A$23</f>
        <v>powłoka epoksydowa</v>
      </c>
    </row>
    <row r="2595" spans="1:33" x14ac:dyDescent="0.25">
      <c r="A2595" s="880" t="s">
        <v>2483</v>
      </c>
      <c r="B2595" s="880" t="s">
        <v>2834</v>
      </c>
      <c r="C2595" s="836">
        <v>188</v>
      </c>
      <c r="D2595" s="836"/>
      <c r="E2595" s="836"/>
      <c r="F2595" s="836"/>
      <c r="G2595" s="496" t="s">
        <v>7851</v>
      </c>
      <c r="H2595" s="797" t="str">
        <f>VLOOKUP(G2595,SETTINGS!$B$7:$D$97,2,0)</f>
        <v>BAIO Fittings</v>
      </c>
      <c r="I2595" s="796">
        <f>VLOOKUP(G2595,SETTINGS!$B$7:$D$97,3,0)</f>
        <v>0</v>
      </c>
      <c r="J2595" s="670" t="str">
        <f>IFERROR(IF(CURRENCY.FORMAT_1=0,CONCATENATE(TEXT(FIXED(ROUND((C2595/EXC.RATE_1),CURRENCY.FORMAT_1),CURRENCY.FORMAT_1,1),"# ##0;-# ##0"),",-"),FIXED(ROUND((C2595/EXC.RATE_1),CURRENCY.FORMAT_1),CURRENCY.FORMAT_1,0)),'DICTIONARY-5'!$A$2)</f>
        <v>188,-</v>
      </c>
      <c r="K2595" s="670" t="str">
        <f>IF(EXC.RATE_2=0,"",IFERROR(IF(CURRENCY.FORMAT_2=0,CONCATENATE(TEXT(FIXED(ROUND(IF(EXC.RATE.SWITCH=1,C2595/EXC.RATE_2,C2595*EXC.RATE_2),CURRENCY.FORMAT_2),CURRENCY.FORMAT_2,1),"# ##0;-# ##0"),",-"),FIXED(ROUND(IF(EXC.RATE.SWITCH=1,C2595/EXC.RATE_2,C2595*EXC.RATE_2),CURRENCY.FORMAT_2),CURRENCY.FORMAT_2,0)),'DICTIONARY-5'!$A$2))</f>
        <v/>
      </c>
      <c r="L2595" s="670" t="str">
        <f>IFERROR(IF(CURRENCY.FORMAT_1=0,CONCATENATE(TEXT(FIXED(ROUND((C2595*(1-I2595)*(1-ADD.DISCOUNT)*(1+MAT.SURCHARGE)/EXC.RATE_1),CURRENCY.FORMAT_1),CURRENCY.FORMAT_1,1),"# ##0;-# ##0"),",-"),FIXED(ROUND((C2595*(1-I2595)*(1-ADD.DISCOUNT)*(1+MAT.SURCHARGE)/EXC.RATE_1),CURRENCY.FORMAT_1),CURRENCY.FORMAT_1,0)),'DICTIONARY-5'!$A$2)</f>
        <v>195,-</v>
      </c>
      <c r="M2595" s="670" t="str">
        <f>IF(EXC.RATE_2=0,"",IFERROR(IF(CURRENCY.FORMAT_2=0,CONCATENATE(TEXT(FIXED(ROUND(IF(EXC.RATE.SWITCH=1,C2595*(1-I2595)*(1-ADD.DISCOUNT)*(1+MAT.SURCHARGE)/EXC.RATE_2,C2595*(1-I2595)*(1-ADD.DISCOUNT)*(1+MAT.SURCHARGE)*EXC.RATE_2),CURRENCY.FORMAT_2),CURRENCY.FORMAT_2,1),"# ##0;-# ##0"),",-"),FIXED(ROUND(IF(EXC.RATE.SWITCH=1,C2595*(1-I2595)*(1-ADD.DISCOUNT)*(1+MAT.SURCHARGE)/EXC.RATE_2,C2595*(1-I2595)*(1-ADD.DISCOUNT)*(1+MAT.SURCHARGE)*EXC.RATE_2),CURRENCY.FORMAT_2),CURRENCY.FORMAT_2,0)),'DICTIONARY-5'!$A$2))</f>
        <v/>
      </c>
      <c r="N2595" s="536">
        <v>12</v>
      </c>
      <c r="O2595" s="536"/>
      <c r="P2595" s="732" t="str">
        <f>'DICTIONARY-3'!$A$153&amp;" "&amp;'DICTIONARY-3'!$A$168</f>
        <v>BAIO MMN</v>
      </c>
      <c r="Q2595" s="732" t="str">
        <f>'DICTIONARY-3'!$A$223</f>
        <v>Kształtka</v>
      </c>
      <c r="R2595" s="732" t="str">
        <f>CONCATENATE('DICTIONARY-3'!$A$153," ",'DICTIONARY-3'!$A$175&amp;'DICTIONARY-3'!$A$168&amp;'DICTIONARY-3'!$A$174," ",'DICTIONARY-2'!$A$2,"100/80"," ",'DICTIONARY-2'!$A$10,"16",'DICTIONARY-2'!$A$20,", ",,'DICTIONARY-6'!$A$41," ","2×",'DICTIONARY-5'!$A$198)</f>
        <v>BAIO Kształtka-MMN‎ DN100/80 PS16bar, kolano stopowe 2×mufa</v>
      </c>
      <c r="S2595" s="733" t="s">
        <v>5569</v>
      </c>
      <c r="T2595" s="732" t="s">
        <v>5569</v>
      </c>
      <c r="U2595" s="748" t="s">
        <v>5849</v>
      </c>
      <c r="V2595" s="735"/>
      <c r="W2595" s="736"/>
      <c r="X2595" s="737"/>
      <c r="Y2595" s="738"/>
      <c r="Z2595" s="739"/>
      <c r="AA2595" s="739"/>
      <c r="AB2595" s="740">
        <v>16</v>
      </c>
      <c r="AC2595" s="741"/>
      <c r="AD2595" s="741" t="str">
        <f>'DICTIONARY-5'!$A$13</f>
        <v>woda pitna</v>
      </c>
      <c r="AE2595" s="742">
        <v>50</v>
      </c>
      <c r="AF2595" s="743">
        <v>17.5</v>
      </c>
      <c r="AG2595" s="741" t="str">
        <f>'DICTIONARY-5'!$A$23</f>
        <v>powłoka epoksydowa</v>
      </c>
    </row>
    <row r="2596" spans="1:33" x14ac:dyDescent="0.25">
      <c r="A2596" s="880" t="s">
        <v>2484</v>
      </c>
      <c r="B2596" s="880" t="s">
        <v>2748</v>
      </c>
      <c r="C2596" s="836">
        <v>120</v>
      </c>
      <c r="D2596" s="836"/>
      <c r="E2596" s="836"/>
      <c r="F2596" s="836"/>
      <c r="G2596" s="496" t="s">
        <v>7851</v>
      </c>
      <c r="H2596" s="797" t="str">
        <f>VLOOKUP(G2596,SETTINGS!$B$7:$D$97,2,0)</f>
        <v>BAIO Fittings</v>
      </c>
      <c r="I2596" s="796">
        <f>VLOOKUP(G2596,SETTINGS!$B$7:$D$97,3,0)</f>
        <v>0</v>
      </c>
      <c r="J2596" s="670" t="str">
        <f>IFERROR(IF(CURRENCY.FORMAT_1=0,CONCATENATE(TEXT(FIXED(ROUND((C2596/EXC.RATE_1),CURRENCY.FORMAT_1),CURRENCY.FORMAT_1,1),"# ##0;-# ##0"),",-"),FIXED(ROUND((C2596/EXC.RATE_1),CURRENCY.FORMAT_1),CURRENCY.FORMAT_1,0)),'DICTIONARY-5'!$A$2)</f>
        <v>120,-</v>
      </c>
      <c r="K2596" s="670" t="str">
        <f>IF(EXC.RATE_2=0,"",IFERROR(IF(CURRENCY.FORMAT_2=0,CONCATENATE(TEXT(FIXED(ROUND(IF(EXC.RATE.SWITCH=1,C2596/EXC.RATE_2,C2596*EXC.RATE_2),CURRENCY.FORMAT_2),CURRENCY.FORMAT_2,1),"# ##0;-# ##0"),",-"),FIXED(ROUND(IF(EXC.RATE.SWITCH=1,C2596/EXC.RATE_2,C2596*EXC.RATE_2),CURRENCY.FORMAT_2),CURRENCY.FORMAT_2,0)),'DICTIONARY-5'!$A$2))</f>
        <v/>
      </c>
      <c r="L2596" s="670" t="str">
        <f>IFERROR(IF(CURRENCY.FORMAT_1=0,CONCATENATE(TEXT(FIXED(ROUND((C2596*(1-I2596)*(1-ADD.DISCOUNT)*(1+MAT.SURCHARGE)/EXC.RATE_1),CURRENCY.FORMAT_1),CURRENCY.FORMAT_1,1),"# ##0;-# ##0"),",-"),FIXED(ROUND((C2596*(1-I2596)*(1-ADD.DISCOUNT)*(1+MAT.SURCHARGE)/EXC.RATE_1),CURRENCY.FORMAT_1),CURRENCY.FORMAT_1,0)),'DICTIONARY-5'!$A$2)</f>
        <v>125,-</v>
      </c>
      <c r="M2596" s="670" t="str">
        <f>IF(EXC.RATE_2=0,"",IFERROR(IF(CURRENCY.FORMAT_2=0,CONCATENATE(TEXT(FIXED(ROUND(IF(EXC.RATE.SWITCH=1,C2596*(1-I2596)*(1-ADD.DISCOUNT)*(1+MAT.SURCHARGE)/EXC.RATE_2,C2596*(1-I2596)*(1-ADD.DISCOUNT)*(1+MAT.SURCHARGE)*EXC.RATE_2),CURRENCY.FORMAT_2),CURRENCY.FORMAT_2,1),"# ##0;-# ##0"),",-"),FIXED(ROUND(IF(EXC.RATE.SWITCH=1,C2596*(1-I2596)*(1-ADD.DISCOUNT)*(1+MAT.SURCHARGE)/EXC.RATE_2,C2596*(1-I2596)*(1-ADD.DISCOUNT)*(1+MAT.SURCHARGE)*EXC.RATE_2),CURRENCY.FORMAT_2),CURRENCY.FORMAT_2,0)),'DICTIONARY-5'!$A$2))</f>
        <v/>
      </c>
      <c r="N2596" s="536">
        <v>12</v>
      </c>
      <c r="O2596" s="536"/>
      <c r="P2596" s="732" t="str">
        <f>'DICTIONARY-3'!$A$153&amp;" "&amp;'DICTIONARY-3'!$A$169</f>
        <v>BAIO EU</v>
      </c>
      <c r="Q2596" s="732" t="str">
        <f>'DICTIONARY-3'!$A$223</f>
        <v>Kształtka</v>
      </c>
      <c r="R2596" s="732" t="str">
        <f>CONCATENATE('DICTIONARY-3'!$A$153," ",'DICTIONARY-3'!$A$175&amp;'DICTIONARY-3'!$A$169&amp;'DICTIONARY-3'!$A$174," ",'DICTIONARY-2'!$A$2,"80"," ",'DICTIONARY-2'!$A$3,"10/16"," ",'DICTIONARY-2'!$A$24,"=","170",'DICTIONARY-2'!$A$17,", ",'DICTIONARY-5'!$A$198,"-",LOWER('DICTIONARY-3'!$A$241))</f>
        <v>BAIO Kształtka-EU‎ DN80 PN10/16 L=170mm, mufa-kołnierz</v>
      </c>
      <c r="S2596" s="733" t="s">
        <v>5569</v>
      </c>
      <c r="T2596" s="732" t="s">
        <v>5569</v>
      </c>
      <c r="U2596" s="734" t="s">
        <v>5760</v>
      </c>
      <c r="V2596" s="735">
        <v>16</v>
      </c>
      <c r="W2596" s="736"/>
      <c r="X2596" s="737"/>
      <c r="Y2596" s="738"/>
      <c r="Z2596" s="739"/>
      <c r="AA2596" s="739"/>
      <c r="AB2596" s="740">
        <v>16</v>
      </c>
      <c r="AC2596" s="741">
        <v>170</v>
      </c>
      <c r="AD2596" s="741" t="str">
        <f>'DICTIONARY-5'!$A$13</f>
        <v>woda pitna</v>
      </c>
      <c r="AE2596" s="742">
        <v>50</v>
      </c>
      <c r="AF2596" s="743">
        <v>6.7</v>
      </c>
      <c r="AG2596" s="741" t="str">
        <f>'DICTIONARY-5'!$A$23</f>
        <v>powłoka epoksydowa</v>
      </c>
    </row>
    <row r="2597" spans="1:33" x14ac:dyDescent="0.25">
      <c r="A2597" s="880" t="s">
        <v>2485</v>
      </c>
      <c r="B2597" s="880" t="s">
        <v>2749</v>
      </c>
      <c r="C2597" s="836">
        <v>114</v>
      </c>
      <c r="D2597" s="836"/>
      <c r="E2597" s="836"/>
      <c r="F2597" s="836"/>
      <c r="G2597" s="496" t="s">
        <v>7851</v>
      </c>
      <c r="H2597" s="797" t="str">
        <f>VLOOKUP(G2597,SETTINGS!$B$7:$D$97,2,0)</f>
        <v>BAIO Fittings</v>
      </c>
      <c r="I2597" s="796">
        <f>VLOOKUP(G2597,SETTINGS!$B$7:$D$97,3,0)</f>
        <v>0</v>
      </c>
      <c r="J2597" s="670" t="str">
        <f>IFERROR(IF(CURRENCY.FORMAT_1=0,CONCATENATE(TEXT(FIXED(ROUND((C2597/EXC.RATE_1),CURRENCY.FORMAT_1),CURRENCY.FORMAT_1,1),"# ##0;-# ##0"),",-"),FIXED(ROUND((C2597/EXC.RATE_1),CURRENCY.FORMAT_1),CURRENCY.FORMAT_1,0)),'DICTIONARY-5'!$A$2)</f>
        <v>114,-</v>
      </c>
      <c r="K2597" s="670" t="str">
        <f>IF(EXC.RATE_2=0,"",IFERROR(IF(CURRENCY.FORMAT_2=0,CONCATENATE(TEXT(FIXED(ROUND(IF(EXC.RATE.SWITCH=1,C2597/EXC.RATE_2,C2597*EXC.RATE_2),CURRENCY.FORMAT_2),CURRENCY.FORMAT_2,1),"# ##0;-# ##0"),",-"),FIXED(ROUND(IF(EXC.RATE.SWITCH=1,C2597/EXC.RATE_2,C2597*EXC.RATE_2),CURRENCY.FORMAT_2),CURRENCY.FORMAT_2,0)),'DICTIONARY-5'!$A$2))</f>
        <v/>
      </c>
      <c r="L2597" s="670" t="str">
        <f>IFERROR(IF(CURRENCY.FORMAT_1=0,CONCATENATE(TEXT(FIXED(ROUND((C2597*(1-I2597)*(1-ADD.DISCOUNT)*(1+MAT.SURCHARGE)/EXC.RATE_1),CURRENCY.FORMAT_1),CURRENCY.FORMAT_1,1),"# ##0;-# ##0"),",-"),FIXED(ROUND((C2597*(1-I2597)*(1-ADD.DISCOUNT)*(1+MAT.SURCHARGE)/EXC.RATE_1),CURRENCY.FORMAT_1),CURRENCY.FORMAT_1,0)),'DICTIONARY-5'!$A$2)</f>
        <v>118,-</v>
      </c>
      <c r="M2597" s="670" t="str">
        <f>IF(EXC.RATE_2=0,"",IFERROR(IF(CURRENCY.FORMAT_2=0,CONCATENATE(TEXT(FIXED(ROUND(IF(EXC.RATE.SWITCH=1,C2597*(1-I2597)*(1-ADD.DISCOUNT)*(1+MAT.SURCHARGE)/EXC.RATE_2,C2597*(1-I2597)*(1-ADD.DISCOUNT)*(1+MAT.SURCHARGE)*EXC.RATE_2),CURRENCY.FORMAT_2),CURRENCY.FORMAT_2,1),"# ##0;-# ##0"),",-"),FIXED(ROUND(IF(EXC.RATE.SWITCH=1,C2597*(1-I2597)*(1-ADD.DISCOUNT)*(1+MAT.SURCHARGE)/EXC.RATE_2,C2597*(1-I2597)*(1-ADD.DISCOUNT)*(1+MAT.SURCHARGE)*EXC.RATE_2),CURRENCY.FORMAT_2),CURRENCY.FORMAT_2,0)),'DICTIONARY-5'!$A$2))</f>
        <v/>
      </c>
      <c r="N2597" s="536">
        <v>12</v>
      </c>
      <c r="O2597" s="536"/>
      <c r="P2597" s="732" t="str">
        <f>'DICTIONARY-3'!$A$153&amp;" "&amp;'DICTIONARY-3'!$A$169</f>
        <v>BAIO EU</v>
      </c>
      <c r="Q2597" s="732" t="str">
        <f>'DICTIONARY-3'!$A$223</f>
        <v>Kształtka</v>
      </c>
      <c r="R2597" s="732" t="str">
        <f>CONCATENATE('DICTIONARY-3'!$A$153," ",'DICTIONARY-3'!$A$175&amp;'DICTIONARY-3'!$A$169&amp;'DICTIONARY-3'!$A$174," ",'DICTIONARY-2'!$A$2,"100"," ",'DICTIONARY-2'!$A$3,"10/16"," ",'DICTIONARY-2'!$A$24,"=","175",'DICTIONARY-2'!$A$17,", ",'DICTIONARY-5'!$A$198,"-",LOWER('DICTIONARY-3'!$A$241))</f>
        <v>BAIO Kształtka-EU‎ DN100 PN10/16 L=175mm, mufa-kołnierz</v>
      </c>
      <c r="S2597" s="733" t="s">
        <v>5569</v>
      </c>
      <c r="T2597" s="732" t="s">
        <v>5569</v>
      </c>
      <c r="U2597" s="734" t="s">
        <v>5749</v>
      </c>
      <c r="V2597" s="735">
        <v>16</v>
      </c>
      <c r="W2597" s="736"/>
      <c r="X2597" s="737"/>
      <c r="Y2597" s="738"/>
      <c r="Z2597" s="739"/>
      <c r="AA2597" s="739"/>
      <c r="AB2597" s="740">
        <v>16</v>
      </c>
      <c r="AC2597" s="741">
        <v>175</v>
      </c>
      <c r="AD2597" s="741" t="str">
        <f>'DICTIONARY-5'!$A$13</f>
        <v>woda pitna</v>
      </c>
      <c r="AE2597" s="742">
        <v>50</v>
      </c>
      <c r="AF2597" s="743">
        <v>8</v>
      </c>
      <c r="AG2597" s="741" t="str">
        <f>'DICTIONARY-5'!$A$23</f>
        <v>powłoka epoksydowa</v>
      </c>
    </row>
    <row r="2598" spans="1:33" x14ac:dyDescent="0.25">
      <c r="A2598" s="880" t="s">
        <v>2486</v>
      </c>
      <c r="B2598" s="880" t="s">
        <v>2750</v>
      </c>
      <c r="C2598" s="836">
        <v>140</v>
      </c>
      <c r="D2598" s="836"/>
      <c r="E2598" s="836"/>
      <c r="F2598" s="836"/>
      <c r="G2598" s="496" t="s">
        <v>7851</v>
      </c>
      <c r="H2598" s="797" t="str">
        <f>VLOOKUP(G2598,SETTINGS!$B$7:$D$97,2,0)</f>
        <v>BAIO Fittings</v>
      </c>
      <c r="I2598" s="796">
        <f>VLOOKUP(G2598,SETTINGS!$B$7:$D$97,3,0)</f>
        <v>0</v>
      </c>
      <c r="J2598" s="670" t="str">
        <f>IFERROR(IF(CURRENCY.FORMAT_1=0,CONCATENATE(TEXT(FIXED(ROUND((C2598/EXC.RATE_1),CURRENCY.FORMAT_1),CURRENCY.FORMAT_1,1),"# ##0;-# ##0"),",-"),FIXED(ROUND((C2598/EXC.RATE_1),CURRENCY.FORMAT_1),CURRENCY.FORMAT_1,0)),'DICTIONARY-5'!$A$2)</f>
        <v>140,-</v>
      </c>
      <c r="K2598" s="670" t="str">
        <f>IF(EXC.RATE_2=0,"",IFERROR(IF(CURRENCY.FORMAT_2=0,CONCATENATE(TEXT(FIXED(ROUND(IF(EXC.RATE.SWITCH=1,C2598/EXC.RATE_2,C2598*EXC.RATE_2),CURRENCY.FORMAT_2),CURRENCY.FORMAT_2,1),"# ##0;-# ##0"),",-"),FIXED(ROUND(IF(EXC.RATE.SWITCH=1,C2598/EXC.RATE_2,C2598*EXC.RATE_2),CURRENCY.FORMAT_2),CURRENCY.FORMAT_2,0)),'DICTIONARY-5'!$A$2))</f>
        <v/>
      </c>
      <c r="L2598" s="670" t="str">
        <f>IFERROR(IF(CURRENCY.FORMAT_1=0,CONCATENATE(TEXT(FIXED(ROUND((C2598*(1-I2598)*(1-ADD.DISCOUNT)*(1+MAT.SURCHARGE)/EXC.RATE_1),CURRENCY.FORMAT_1),CURRENCY.FORMAT_1,1),"# ##0;-# ##0"),",-"),FIXED(ROUND((C2598*(1-I2598)*(1-ADD.DISCOUNT)*(1+MAT.SURCHARGE)/EXC.RATE_1),CURRENCY.FORMAT_1),CURRENCY.FORMAT_1,0)),'DICTIONARY-5'!$A$2)</f>
        <v>145,-</v>
      </c>
      <c r="M2598" s="670" t="str">
        <f>IF(EXC.RATE_2=0,"",IFERROR(IF(CURRENCY.FORMAT_2=0,CONCATENATE(TEXT(FIXED(ROUND(IF(EXC.RATE.SWITCH=1,C2598*(1-I2598)*(1-ADD.DISCOUNT)*(1+MAT.SURCHARGE)/EXC.RATE_2,C2598*(1-I2598)*(1-ADD.DISCOUNT)*(1+MAT.SURCHARGE)*EXC.RATE_2),CURRENCY.FORMAT_2),CURRENCY.FORMAT_2,1),"# ##0;-# ##0"),",-"),FIXED(ROUND(IF(EXC.RATE.SWITCH=1,C2598*(1-I2598)*(1-ADD.DISCOUNT)*(1+MAT.SURCHARGE)/EXC.RATE_2,C2598*(1-I2598)*(1-ADD.DISCOUNT)*(1+MAT.SURCHARGE)*EXC.RATE_2),CURRENCY.FORMAT_2),CURRENCY.FORMAT_2,0)),'DICTIONARY-5'!$A$2))</f>
        <v/>
      </c>
      <c r="N2598" s="536">
        <v>12</v>
      </c>
      <c r="O2598" s="536"/>
      <c r="P2598" s="732" t="str">
        <f>'DICTIONARY-3'!$A$153&amp;" "&amp;'DICTIONARY-3'!$A$169</f>
        <v>BAIO EU</v>
      </c>
      <c r="Q2598" s="732" t="str">
        <f>'DICTIONARY-3'!$A$223</f>
        <v>Kształtka</v>
      </c>
      <c r="R2598" s="732" t="str">
        <f>CONCATENATE('DICTIONARY-3'!$A$153," ",'DICTIONARY-3'!$A$175&amp;'DICTIONARY-3'!$A$169&amp;'DICTIONARY-3'!$A$174," ",'DICTIONARY-2'!$A$2,"125"," ",'DICTIONARY-2'!$A$3,"10/16"," ",'DICTIONARY-2'!$A$24,"=","180",'DICTIONARY-2'!$A$17,", ",'DICTIONARY-5'!$A$198,"-",LOWER('DICTIONARY-3'!$A$241))</f>
        <v>BAIO Kształtka-EU‎ DN125 PN10/16 L=180mm, mufa-kołnierz</v>
      </c>
      <c r="S2598" s="733" t="s">
        <v>5569</v>
      </c>
      <c r="T2598" s="732" t="s">
        <v>5569</v>
      </c>
      <c r="U2598" s="734" t="s">
        <v>5761</v>
      </c>
      <c r="V2598" s="735">
        <v>16</v>
      </c>
      <c r="W2598" s="736"/>
      <c r="X2598" s="737"/>
      <c r="Y2598" s="738"/>
      <c r="Z2598" s="739"/>
      <c r="AA2598" s="739"/>
      <c r="AB2598" s="740">
        <v>16</v>
      </c>
      <c r="AC2598" s="741">
        <v>180</v>
      </c>
      <c r="AD2598" s="741" t="str">
        <f>'DICTIONARY-5'!$A$13</f>
        <v>woda pitna</v>
      </c>
      <c r="AE2598" s="742">
        <v>50</v>
      </c>
      <c r="AF2598" s="743">
        <v>10</v>
      </c>
      <c r="AG2598" s="741" t="str">
        <f>'DICTIONARY-5'!$A$23</f>
        <v>powłoka epoksydowa</v>
      </c>
    </row>
    <row r="2599" spans="1:33" x14ac:dyDescent="0.25">
      <c r="A2599" s="880" t="s">
        <v>2487</v>
      </c>
      <c r="B2599" s="880" t="s">
        <v>2751</v>
      </c>
      <c r="C2599" s="836">
        <v>159</v>
      </c>
      <c r="D2599" s="836"/>
      <c r="E2599" s="836"/>
      <c r="F2599" s="836"/>
      <c r="G2599" s="496" t="s">
        <v>7851</v>
      </c>
      <c r="H2599" s="797" t="str">
        <f>VLOOKUP(G2599,SETTINGS!$B$7:$D$97,2,0)</f>
        <v>BAIO Fittings</v>
      </c>
      <c r="I2599" s="796">
        <f>VLOOKUP(G2599,SETTINGS!$B$7:$D$97,3,0)</f>
        <v>0</v>
      </c>
      <c r="J2599" s="670" t="str">
        <f>IFERROR(IF(CURRENCY.FORMAT_1=0,CONCATENATE(TEXT(FIXED(ROUND((C2599/EXC.RATE_1),CURRENCY.FORMAT_1),CURRENCY.FORMAT_1,1),"# ##0;-# ##0"),",-"),FIXED(ROUND((C2599/EXC.RATE_1),CURRENCY.FORMAT_1),CURRENCY.FORMAT_1,0)),'DICTIONARY-5'!$A$2)</f>
        <v>159,-</v>
      </c>
      <c r="K2599" s="670" t="str">
        <f>IF(EXC.RATE_2=0,"",IFERROR(IF(CURRENCY.FORMAT_2=0,CONCATENATE(TEXT(FIXED(ROUND(IF(EXC.RATE.SWITCH=1,C2599/EXC.RATE_2,C2599*EXC.RATE_2),CURRENCY.FORMAT_2),CURRENCY.FORMAT_2,1),"# ##0;-# ##0"),",-"),FIXED(ROUND(IF(EXC.RATE.SWITCH=1,C2599/EXC.RATE_2,C2599*EXC.RATE_2),CURRENCY.FORMAT_2),CURRENCY.FORMAT_2,0)),'DICTIONARY-5'!$A$2))</f>
        <v/>
      </c>
      <c r="L2599" s="670" t="str">
        <f>IFERROR(IF(CURRENCY.FORMAT_1=0,CONCATENATE(TEXT(FIXED(ROUND((C2599*(1-I2599)*(1-ADD.DISCOUNT)*(1+MAT.SURCHARGE)/EXC.RATE_1),CURRENCY.FORMAT_1),CURRENCY.FORMAT_1,1),"# ##0;-# ##0"),",-"),FIXED(ROUND((C2599*(1-I2599)*(1-ADD.DISCOUNT)*(1+MAT.SURCHARGE)/EXC.RATE_1),CURRENCY.FORMAT_1),CURRENCY.FORMAT_1,0)),'DICTIONARY-5'!$A$2)</f>
        <v>165,-</v>
      </c>
      <c r="M2599" s="670" t="str">
        <f>IF(EXC.RATE_2=0,"",IFERROR(IF(CURRENCY.FORMAT_2=0,CONCATENATE(TEXT(FIXED(ROUND(IF(EXC.RATE.SWITCH=1,C2599*(1-I2599)*(1-ADD.DISCOUNT)*(1+MAT.SURCHARGE)/EXC.RATE_2,C2599*(1-I2599)*(1-ADD.DISCOUNT)*(1+MAT.SURCHARGE)*EXC.RATE_2),CURRENCY.FORMAT_2),CURRENCY.FORMAT_2,1),"# ##0;-# ##0"),",-"),FIXED(ROUND(IF(EXC.RATE.SWITCH=1,C2599*(1-I2599)*(1-ADD.DISCOUNT)*(1+MAT.SURCHARGE)/EXC.RATE_2,C2599*(1-I2599)*(1-ADD.DISCOUNT)*(1+MAT.SURCHARGE)*EXC.RATE_2),CURRENCY.FORMAT_2),CURRENCY.FORMAT_2,0)),'DICTIONARY-5'!$A$2))</f>
        <v/>
      </c>
      <c r="N2599" s="536">
        <v>12</v>
      </c>
      <c r="O2599" s="536"/>
      <c r="P2599" s="732" t="str">
        <f>'DICTIONARY-3'!$A$153&amp;" "&amp;'DICTIONARY-3'!$A$169</f>
        <v>BAIO EU</v>
      </c>
      <c r="Q2599" s="732" t="str">
        <f>'DICTIONARY-3'!$A$223</f>
        <v>Kształtka</v>
      </c>
      <c r="R2599" s="732" t="str">
        <f>CONCATENATE('DICTIONARY-3'!$A$153," ",'DICTIONARY-3'!$A$175&amp;'DICTIONARY-3'!$A$169&amp;'DICTIONARY-3'!$A$174," ",'DICTIONARY-2'!$A$2,"150"," ",'DICTIONARY-2'!$A$3,"10/16"," ",'DICTIONARY-2'!$A$24,"=","180",'DICTIONARY-2'!$A$17,", ",'DICTIONARY-5'!$A$198,"-",LOWER('DICTIONARY-3'!$A$241))</f>
        <v>BAIO Kształtka-EU‎ DN150 PN10/16 L=180mm, mufa-kołnierz</v>
      </c>
      <c r="S2599" s="733" t="s">
        <v>5569</v>
      </c>
      <c r="T2599" s="732" t="s">
        <v>5569</v>
      </c>
      <c r="U2599" s="734" t="s">
        <v>5572</v>
      </c>
      <c r="V2599" s="735">
        <v>16</v>
      </c>
      <c r="W2599" s="736"/>
      <c r="X2599" s="737"/>
      <c r="Y2599" s="738"/>
      <c r="Z2599" s="739"/>
      <c r="AA2599" s="739"/>
      <c r="AB2599" s="740">
        <v>16</v>
      </c>
      <c r="AC2599" s="741">
        <v>180</v>
      </c>
      <c r="AD2599" s="741" t="str">
        <f>'DICTIONARY-5'!$A$13</f>
        <v>woda pitna</v>
      </c>
      <c r="AE2599" s="742">
        <v>50</v>
      </c>
      <c r="AF2599" s="743">
        <v>12</v>
      </c>
      <c r="AG2599" s="741" t="str">
        <f>'DICTIONARY-5'!$A$23</f>
        <v>powłoka epoksydowa</v>
      </c>
    </row>
    <row r="2600" spans="1:33" x14ac:dyDescent="0.25">
      <c r="A2600" s="880" t="s">
        <v>2488</v>
      </c>
      <c r="B2600" s="880" t="s">
        <v>2752</v>
      </c>
      <c r="C2600" s="836">
        <v>225</v>
      </c>
      <c r="D2600" s="836"/>
      <c r="E2600" s="836"/>
      <c r="F2600" s="836"/>
      <c r="G2600" s="496" t="s">
        <v>7851</v>
      </c>
      <c r="H2600" s="797" t="str">
        <f>VLOOKUP(G2600,SETTINGS!$B$7:$D$97,2,0)</f>
        <v>BAIO Fittings</v>
      </c>
      <c r="I2600" s="796">
        <f>VLOOKUP(G2600,SETTINGS!$B$7:$D$97,3,0)</f>
        <v>0</v>
      </c>
      <c r="J2600" s="670" t="str">
        <f>IFERROR(IF(CURRENCY.FORMAT_1=0,CONCATENATE(TEXT(FIXED(ROUND((C2600/EXC.RATE_1),CURRENCY.FORMAT_1),CURRENCY.FORMAT_1,1),"# ##0;-# ##0"),",-"),FIXED(ROUND((C2600/EXC.RATE_1),CURRENCY.FORMAT_1),CURRENCY.FORMAT_1,0)),'DICTIONARY-5'!$A$2)</f>
        <v>225,-</v>
      </c>
      <c r="K2600" s="670" t="str">
        <f>IF(EXC.RATE_2=0,"",IFERROR(IF(CURRENCY.FORMAT_2=0,CONCATENATE(TEXT(FIXED(ROUND(IF(EXC.RATE.SWITCH=1,C2600/EXC.RATE_2,C2600*EXC.RATE_2),CURRENCY.FORMAT_2),CURRENCY.FORMAT_2,1),"# ##0;-# ##0"),",-"),FIXED(ROUND(IF(EXC.RATE.SWITCH=1,C2600/EXC.RATE_2,C2600*EXC.RATE_2),CURRENCY.FORMAT_2),CURRENCY.FORMAT_2,0)),'DICTIONARY-5'!$A$2))</f>
        <v/>
      </c>
      <c r="L2600" s="670" t="str">
        <f>IFERROR(IF(CURRENCY.FORMAT_1=0,CONCATENATE(TEXT(FIXED(ROUND((C2600*(1-I2600)*(1-ADD.DISCOUNT)*(1+MAT.SURCHARGE)/EXC.RATE_1),CURRENCY.FORMAT_1),CURRENCY.FORMAT_1,1),"# ##0;-# ##0"),",-"),FIXED(ROUND((C2600*(1-I2600)*(1-ADD.DISCOUNT)*(1+MAT.SURCHARGE)/EXC.RATE_1),CURRENCY.FORMAT_1),CURRENCY.FORMAT_1,0)),'DICTIONARY-5'!$A$2)</f>
        <v>234,-</v>
      </c>
      <c r="M2600" s="670" t="str">
        <f>IF(EXC.RATE_2=0,"",IFERROR(IF(CURRENCY.FORMAT_2=0,CONCATENATE(TEXT(FIXED(ROUND(IF(EXC.RATE.SWITCH=1,C2600*(1-I2600)*(1-ADD.DISCOUNT)*(1+MAT.SURCHARGE)/EXC.RATE_2,C2600*(1-I2600)*(1-ADD.DISCOUNT)*(1+MAT.SURCHARGE)*EXC.RATE_2),CURRENCY.FORMAT_2),CURRENCY.FORMAT_2,1),"# ##0;-# ##0"),",-"),FIXED(ROUND(IF(EXC.RATE.SWITCH=1,C2600*(1-I2600)*(1-ADD.DISCOUNT)*(1+MAT.SURCHARGE)/EXC.RATE_2,C2600*(1-I2600)*(1-ADD.DISCOUNT)*(1+MAT.SURCHARGE)*EXC.RATE_2),CURRENCY.FORMAT_2),CURRENCY.FORMAT_2,0)),'DICTIONARY-5'!$A$2))</f>
        <v/>
      </c>
      <c r="N2600" s="536">
        <v>12</v>
      </c>
      <c r="O2600" s="536"/>
      <c r="P2600" s="732" t="str">
        <f>'DICTIONARY-3'!$A$153&amp;" "&amp;'DICTIONARY-3'!$A$169</f>
        <v>BAIO EU</v>
      </c>
      <c r="Q2600" s="732" t="str">
        <f>'DICTIONARY-3'!$A$223</f>
        <v>Kształtka</v>
      </c>
      <c r="R2600" s="732" t="str">
        <f>CONCATENATE('DICTIONARY-3'!$A$153," ",'DICTIONARY-3'!$A$175&amp;'DICTIONARY-3'!$A$169&amp;'DICTIONARY-3'!$A$174," ",'DICTIONARY-2'!$A$2,"200"," ",'DICTIONARY-2'!$A$3,"10"," ",'DICTIONARY-2'!$A$24,"=","185",'DICTIONARY-2'!$A$17,", ",'DICTIONARY-5'!$A$198,"-",LOWER('DICTIONARY-3'!$A$241))</f>
        <v>BAIO Kształtka-EU‎ DN200 PN10 L=185mm, mufa-kołnierz</v>
      </c>
      <c r="S2600" s="733" t="s">
        <v>5569</v>
      </c>
      <c r="T2600" s="732" t="s">
        <v>5569</v>
      </c>
      <c r="U2600" s="734" t="s">
        <v>5750</v>
      </c>
      <c r="V2600" s="735">
        <v>10</v>
      </c>
      <c r="W2600" s="736"/>
      <c r="X2600" s="737"/>
      <c r="Y2600" s="738"/>
      <c r="Z2600" s="739"/>
      <c r="AA2600" s="739"/>
      <c r="AB2600" s="740">
        <v>10</v>
      </c>
      <c r="AC2600" s="741">
        <v>185</v>
      </c>
      <c r="AD2600" s="741" t="str">
        <f>'DICTIONARY-5'!$A$13</f>
        <v>woda pitna</v>
      </c>
      <c r="AE2600" s="742">
        <v>50</v>
      </c>
      <c r="AF2600" s="743">
        <v>16.5</v>
      </c>
      <c r="AG2600" s="741" t="str">
        <f>'DICTIONARY-5'!$A$23</f>
        <v>powłoka epoksydowa</v>
      </c>
    </row>
    <row r="2601" spans="1:33" x14ac:dyDescent="0.25">
      <c r="A2601" s="880" t="s">
        <v>2489</v>
      </c>
      <c r="B2601" s="880" t="s">
        <v>2753</v>
      </c>
      <c r="C2601" s="836">
        <v>230</v>
      </c>
      <c r="D2601" s="836"/>
      <c r="E2601" s="836"/>
      <c r="F2601" s="836"/>
      <c r="G2601" s="496" t="s">
        <v>7851</v>
      </c>
      <c r="H2601" s="797" t="str">
        <f>VLOOKUP(G2601,SETTINGS!$B$7:$D$97,2,0)</f>
        <v>BAIO Fittings</v>
      </c>
      <c r="I2601" s="796">
        <f>VLOOKUP(G2601,SETTINGS!$B$7:$D$97,3,0)</f>
        <v>0</v>
      </c>
      <c r="J2601" s="670" t="str">
        <f>IFERROR(IF(CURRENCY.FORMAT_1=0,CONCATENATE(TEXT(FIXED(ROUND((C2601/EXC.RATE_1),CURRENCY.FORMAT_1),CURRENCY.FORMAT_1,1),"# ##0;-# ##0"),",-"),FIXED(ROUND((C2601/EXC.RATE_1),CURRENCY.FORMAT_1),CURRENCY.FORMAT_1,0)),'DICTIONARY-5'!$A$2)</f>
        <v>230,-</v>
      </c>
      <c r="K2601" s="670" t="str">
        <f>IF(EXC.RATE_2=0,"",IFERROR(IF(CURRENCY.FORMAT_2=0,CONCATENATE(TEXT(FIXED(ROUND(IF(EXC.RATE.SWITCH=1,C2601/EXC.RATE_2,C2601*EXC.RATE_2),CURRENCY.FORMAT_2),CURRENCY.FORMAT_2,1),"# ##0;-# ##0"),",-"),FIXED(ROUND(IF(EXC.RATE.SWITCH=1,C2601/EXC.RATE_2,C2601*EXC.RATE_2),CURRENCY.FORMAT_2),CURRENCY.FORMAT_2,0)),'DICTIONARY-5'!$A$2))</f>
        <v/>
      </c>
      <c r="L2601" s="670" t="str">
        <f>IFERROR(IF(CURRENCY.FORMAT_1=0,CONCATENATE(TEXT(FIXED(ROUND((C2601*(1-I2601)*(1-ADD.DISCOUNT)*(1+MAT.SURCHARGE)/EXC.RATE_1),CURRENCY.FORMAT_1),CURRENCY.FORMAT_1,1),"# ##0;-# ##0"),",-"),FIXED(ROUND((C2601*(1-I2601)*(1-ADD.DISCOUNT)*(1+MAT.SURCHARGE)/EXC.RATE_1),CURRENCY.FORMAT_1),CURRENCY.FORMAT_1,0)),'DICTIONARY-5'!$A$2)</f>
        <v>239,-</v>
      </c>
      <c r="M2601" s="670" t="str">
        <f>IF(EXC.RATE_2=0,"",IFERROR(IF(CURRENCY.FORMAT_2=0,CONCATENATE(TEXT(FIXED(ROUND(IF(EXC.RATE.SWITCH=1,C2601*(1-I2601)*(1-ADD.DISCOUNT)*(1+MAT.SURCHARGE)/EXC.RATE_2,C2601*(1-I2601)*(1-ADD.DISCOUNT)*(1+MAT.SURCHARGE)*EXC.RATE_2),CURRENCY.FORMAT_2),CURRENCY.FORMAT_2,1),"# ##0;-# ##0"),",-"),FIXED(ROUND(IF(EXC.RATE.SWITCH=1,C2601*(1-I2601)*(1-ADD.DISCOUNT)*(1+MAT.SURCHARGE)/EXC.RATE_2,C2601*(1-I2601)*(1-ADD.DISCOUNT)*(1+MAT.SURCHARGE)*EXC.RATE_2),CURRENCY.FORMAT_2),CURRENCY.FORMAT_2,0)),'DICTIONARY-5'!$A$2))</f>
        <v/>
      </c>
      <c r="N2601" s="536">
        <v>12</v>
      </c>
      <c r="O2601" s="536"/>
      <c r="P2601" s="732" t="str">
        <f>'DICTIONARY-3'!$A$153&amp;" "&amp;'DICTIONARY-3'!$A$169</f>
        <v>BAIO EU</v>
      </c>
      <c r="Q2601" s="732" t="str">
        <f>'DICTIONARY-3'!$A$223</f>
        <v>Kształtka</v>
      </c>
      <c r="R2601" s="732" t="str">
        <f>CONCATENATE('DICTIONARY-3'!$A$153," ",'DICTIONARY-3'!$A$175&amp;'DICTIONARY-3'!$A$169&amp;'DICTIONARY-3'!$A$174," ",'DICTIONARY-2'!$A$2,"200"," ",'DICTIONARY-2'!$A$3,"16"," ",'DICTIONARY-2'!$A$24,"=","185",'DICTIONARY-2'!$A$17,", ",'DICTIONARY-5'!$A$198,"-",LOWER('DICTIONARY-3'!$A$241))</f>
        <v>BAIO Kształtka-EU‎ DN200 PN16 L=185mm, mufa-kołnierz</v>
      </c>
      <c r="S2601" s="733" t="s">
        <v>5569</v>
      </c>
      <c r="T2601" s="732" t="s">
        <v>5569</v>
      </c>
      <c r="U2601" s="734" t="s">
        <v>5750</v>
      </c>
      <c r="V2601" s="735">
        <v>16</v>
      </c>
      <c r="W2601" s="736"/>
      <c r="X2601" s="737"/>
      <c r="Y2601" s="738"/>
      <c r="Z2601" s="739"/>
      <c r="AA2601" s="739"/>
      <c r="AB2601" s="740">
        <v>16</v>
      </c>
      <c r="AC2601" s="741">
        <v>185</v>
      </c>
      <c r="AD2601" s="741" t="str">
        <f>'DICTIONARY-5'!$A$13</f>
        <v>woda pitna</v>
      </c>
      <c r="AE2601" s="742">
        <v>50</v>
      </c>
      <c r="AF2601" s="743">
        <v>16</v>
      </c>
      <c r="AG2601" s="741" t="str">
        <f>'DICTIONARY-5'!$A$23</f>
        <v>powłoka epoksydowa</v>
      </c>
    </row>
    <row r="2602" spans="1:33" x14ac:dyDescent="0.25">
      <c r="A2602" s="882" t="s">
        <v>2490</v>
      </c>
      <c r="B2602" s="880" t="s">
        <v>2758</v>
      </c>
      <c r="C2602" s="836">
        <v>122</v>
      </c>
      <c r="D2602" s="836"/>
      <c r="E2602" s="836"/>
      <c r="F2602" s="836"/>
      <c r="G2602" s="496" t="s">
        <v>7851</v>
      </c>
      <c r="H2602" s="797" t="str">
        <f>VLOOKUP(G2602,SETTINGS!$B$7:$D$97,2,0)</f>
        <v>BAIO Fittings</v>
      </c>
      <c r="I2602" s="796">
        <f>VLOOKUP(G2602,SETTINGS!$B$7:$D$97,3,0)</f>
        <v>0</v>
      </c>
      <c r="J2602" s="670" t="str">
        <f>IFERROR(IF(CURRENCY.FORMAT_1=0,CONCATENATE(TEXT(FIXED(ROUND((C2602/EXC.RATE_1),CURRENCY.FORMAT_1),CURRENCY.FORMAT_1,1),"# ##0;-# ##0"),",-"),FIXED(ROUND((C2602/EXC.RATE_1),CURRENCY.FORMAT_1),CURRENCY.FORMAT_1,0)),'DICTIONARY-5'!$A$2)</f>
        <v>122,-</v>
      </c>
      <c r="K2602" s="670" t="str">
        <f>IF(EXC.RATE_2=0,"",IFERROR(IF(CURRENCY.FORMAT_2=0,CONCATENATE(TEXT(FIXED(ROUND(IF(EXC.RATE.SWITCH=1,C2602/EXC.RATE_2,C2602*EXC.RATE_2),CURRENCY.FORMAT_2),CURRENCY.FORMAT_2,1),"# ##0;-# ##0"),",-"),FIXED(ROUND(IF(EXC.RATE.SWITCH=1,C2602/EXC.RATE_2,C2602*EXC.RATE_2),CURRENCY.FORMAT_2),CURRENCY.FORMAT_2,0)),'DICTIONARY-5'!$A$2))</f>
        <v/>
      </c>
      <c r="L2602" s="670" t="str">
        <f>IFERROR(IF(CURRENCY.FORMAT_1=0,CONCATENATE(TEXT(FIXED(ROUND((C2602*(1-I2602)*(1-ADD.DISCOUNT)*(1+MAT.SURCHARGE)/EXC.RATE_1),CURRENCY.FORMAT_1),CURRENCY.FORMAT_1,1),"# ##0;-# ##0"),",-"),FIXED(ROUND((C2602*(1-I2602)*(1-ADD.DISCOUNT)*(1+MAT.SURCHARGE)/EXC.RATE_1),CURRENCY.FORMAT_1),CURRENCY.FORMAT_1,0)),'DICTIONARY-5'!$A$2)</f>
        <v>127,-</v>
      </c>
      <c r="M2602" s="670" t="str">
        <f>IF(EXC.RATE_2=0,"",IFERROR(IF(CURRENCY.FORMAT_2=0,CONCATENATE(TEXT(FIXED(ROUND(IF(EXC.RATE.SWITCH=1,C2602*(1-I2602)*(1-ADD.DISCOUNT)*(1+MAT.SURCHARGE)/EXC.RATE_2,C2602*(1-I2602)*(1-ADD.DISCOUNT)*(1+MAT.SURCHARGE)*EXC.RATE_2),CURRENCY.FORMAT_2),CURRENCY.FORMAT_2,1),"# ##0;-# ##0"),",-"),FIXED(ROUND(IF(EXC.RATE.SWITCH=1,C2602*(1-I2602)*(1-ADD.DISCOUNT)*(1+MAT.SURCHARGE)/EXC.RATE_2,C2602*(1-I2602)*(1-ADD.DISCOUNT)*(1+MAT.SURCHARGE)*EXC.RATE_2),CURRENCY.FORMAT_2),CURRENCY.FORMAT_2,0)),'DICTIONARY-5'!$A$2))</f>
        <v/>
      </c>
      <c r="N2602" s="536">
        <v>12</v>
      </c>
      <c r="O2602" s="536"/>
      <c r="P2602" s="732" t="str">
        <f>'DICTIONARY-3'!$A$153&amp;" "&amp;'DICTIONARY-3'!$A$170</f>
        <v>BAIO F</v>
      </c>
      <c r="Q2602" s="732" t="str">
        <f>'DICTIONARY-3'!$A$223</f>
        <v>Kształtka</v>
      </c>
      <c r="R2602" s="732" t="str">
        <f>CONCATENATE('DICTIONARY-3'!$A$153," ",'DICTIONARY-3'!$A$175&amp;'DICTIONARY-3'!$A$170&amp;'DICTIONARY-3'!$A$174," ",'DICTIONARY-2'!$A$2,"80"," ",'DICTIONARY-2'!$A$3,"10/16"," ",'DICTIONARY-2'!$A$24,"=","145/60",'DICTIONARY-2'!$A$17,", ",'DICTIONARY-5'!$A$199,"-",LOWER('DICTIONARY-3'!$A$241))</f>
        <v>BAIO Kształtka-F‎ DN80 PN10/16 L=145/60mm, końcówka bosa-kołnierz</v>
      </c>
      <c r="S2602" s="733" t="s">
        <v>5569</v>
      </c>
      <c r="T2602" s="732" t="s">
        <v>5569</v>
      </c>
      <c r="U2602" s="734" t="s">
        <v>5760</v>
      </c>
      <c r="V2602" s="735">
        <v>16</v>
      </c>
      <c r="W2602" s="736"/>
      <c r="X2602" s="737"/>
      <c r="Y2602" s="738"/>
      <c r="Z2602" s="739"/>
      <c r="AA2602" s="739"/>
      <c r="AB2602" s="740">
        <v>16</v>
      </c>
      <c r="AC2602" s="733" t="s">
        <v>5607</v>
      </c>
      <c r="AD2602" s="741" t="str">
        <f>'DICTIONARY-5'!$A$13</f>
        <v>woda pitna</v>
      </c>
      <c r="AE2602" s="742">
        <v>50</v>
      </c>
      <c r="AF2602" s="743">
        <v>4.8</v>
      </c>
      <c r="AG2602" s="741" t="str">
        <f>'DICTIONARY-5'!$A$23</f>
        <v>powłoka epoksydowa</v>
      </c>
    </row>
    <row r="2603" spans="1:33" x14ac:dyDescent="0.25">
      <c r="A2603" s="880" t="s">
        <v>2491</v>
      </c>
      <c r="B2603" s="880" t="s">
        <v>2754</v>
      </c>
      <c r="C2603" s="836">
        <v>130</v>
      </c>
      <c r="D2603" s="836"/>
      <c r="E2603" s="836"/>
      <c r="F2603" s="836"/>
      <c r="G2603" s="496" t="s">
        <v>7851</v>
      </c>
      <c r="H2603" s="797" t="str">
        <f>VLOOKUP(G2603,SETTINGS!$B$7:$D$97,2,0)</f>
        <v>BAIO Fittings</v>
      </c>
      <c r="I2603" s="796">
        <f>VLOOKUP(G2603,SETTINGS!$B$7:$D$97,3,0)</f>
        <v>0</v>
      </c>
      <c r="J2603" s="670" t="str">
        <f>IFERROR(IF(CURRENCY.FORMAT_1=0,CONCATENATE(TEXT(FIXED(ROUND((C2603/EXC.RATE_1),CURRENCY.FORMAT_1),CURRENCY.FORMAT_1,1),"# ##0;-# ##0"),",-"),FIXED(ROUND((C2603/EXC.RATE_1),CURRENCY.FORMAT_1),CURRENCY.FORMAT_1,0)),'DICTIONARY-5'!$A$2)</f>
        <v>130,-</v>
      </c>
      <c r="K2603" s="670" t="str">
        <f>IF(EXC.RATE_2=0,"",IFERROR(IF(CURRENCY.FORMAT_2=0,CONCATENATE(TEXT(FIXED(ROUND(IF(EXC.RATE.SWITCH=1,C2603/EXC.RATE_2,C2603*EXC.RATE_2),CURRENCY.FORMAT_2),CURRENCY.FORMAT_2,1),"# ##0;-# ##0"),",-"),FIXED(ROUND(IF(EXC.RATE.SWITCH=1,C2603/EXC.RATE_2,C2603*EXC.RATE_2),CURRENCY.FORMAT_2),CURRENCY.FORMAT_2,0)),'DICTIONARY-5'!$A$2))</f>
        <v/>
      </c>
      <c r="L2603" s="670" t="str">
        <f>IFERROR(IF(CURRENCY.FORMAT_1=0,CONCATENATE(TEXT(FIXED(ROUND((C2603*(1-I2603)*(1-ADD.DISCOUNT)*(1+MAT.SURCHARGE)/EXC.RATE_1),CURRENCY.FORMAT_1),CURRENCY.FORMAT_1,1),"# ##0;-# ##0"),",-"),FIXED(ROUND((C2603*(1-I2603)*(1-ADD.DISCOUNT)*(1+MAT.SURCHARGE)/EXC.RATE_1),CURRENCY.FORMAT_1),CURRENCY.FORMAT_1,0)),'DICTIONARY-5'!$A$2)</f>
        <v>135,-</v>
      </c>
      <c r="M2603" s="670" t="str">
        <f>IF(EXC.RATE_2=0,"",IFERROR(IF(CURRENCY.FORMAT_2=0,CONCATENATE(TEXT(FIXED(ROUND(IF(EXC.RATE.SWITCH=1,C2603*(1-I2603)*(1-ADD.DISCOUNT)*(1+MAT.SURCHARGE)/EXC.RATE_2,C2603*(1-I2603)*(1-ADD.DISCOUNT)*(1+MAT.SURCHARGE)*EXC.RATE_2),CURRENCY.FORMAT_2),CURRENCY.FORMAT_2,1),"# ##0;-# ##0"),",-"),FIXED(ROUND(IF(EXC.RATE.SWITCH=1,C2603*(1-I2603)*(1-ADD.DISCOUNT)*(1+MAT.SURCHARGE)/EXC.RATE_2,C2603*(1-I2603)*(1-ADD.DISCOUNT)*(1+MAT.SURCHARGE)*EXC.RATE_2),CURRENCY.FORMAT_2),CURRENCY.FORMAT_2,0)),'DICTIONARY-5'!$A$2))</f>
        <v/>
      </c>
      <c r="N2603" s="536">
        <v>12</v>
      </c>
      <c r="O2603" s="536"/>
      <c r="P2603" s="732" t="str">
        <f>'DICTIONARY-3'!$A$153&amp;" "&amp;'DICTIONARY-3'!$A$170</f>
        <v>BAIO F</v>
      </c>
      <c r="Q2603" s="732" t="str">
        <f>'DICTIONARY-3'!$A$223</f>
        <v>Kształtka</v>
      </c>
      <c r="R2603" s="732" t="str">
        <f>CONCATENATE('DICTIONARY-3'!$A$153," ",'DICTIONARY-3'!$A$175&amp;'DICTIONARY-3'!$A$170&amp;'DICTIONARY-3'!$A$174," ",'DICTIONARY-2'!$A$2,"100"," ",'DICTIONARY-2'!$A$3,"10/16"," ",'DICTIONARY-2'!$A$24,"=","165/61",'DICTIONARY-2'!$A$17,", ",'DICTIONARY-5'!$A$199,"-",LOWER('DICTIONARY-3'!$A$241))</f>
        <v>BAIO Kształtka-F‎ DN100 PN10/16 L=165/61mm, końcówka bosa-kołnierz</v>
      </c>
      <c r="S2603" s="733" t="s">
        <v>5569</v>
      </c>
      <c r="T2603" s="732" t="s">
        <v>5569</v>
      </c>
      <c r="U2603" s="734" t="s">
        <v>5749</v>
      </c>
      <c r="V2603" s="735">
        <v>16</v>
      </c>
      <c r="W2603" s="736"/>
      <c r="X2603" s="737"/>
      <c r="Y2603" s="738"/>
      <c r="Z2603" s="739"/>
      <c r="AA2603" s="739"/>
      <c r="AB2603" s="740">
        <v>16</v>
      </c>
      <c r="AC2603" s="733" t="s">
        <v>5608</v>
      </c>
      <c r="AD2603" s="741" t="str">
        <f>'DICTIONARY-5'!$A$13</f>
        <v>woda pitna</v>
      </c>
      <c r="AE2603" s="742">
        <v>50</v>
      </c>
      <c r="AF2603" s="743">
        <v>6</v>
      </c>
      <c r="AG2603" s="741" t="str">
        <f>'DICTIONARY-5'!$A$23</f>
        <v>powłoka epoksydowa</v>
      </c>
    </row>
    <row r="2604" spans="1:33" x14ac:dyDescent="0.25">
      <c r="A2604" s="880" t="s">
        <v>2492</v>
      </c>
      <c r="B2604" s="880" t="s">
        <v>2755</v>
      </c>
      <c r="C2604" s="836">
        <v>157</v>
      </c>
      <c r="D2604" s="836"/>
      <c r="E2604" s="836"/>
      <c r="F2604" s="836"/>
      <c r="G2604" s="496" t="s">
        <v>7851</v>
      </c>
      <c r="H2604" s="797" t="str">
        <f>VLOOKUP(G2604,SETTINGS!$B$7:$D$97,2,0)</f>
        <v>BAIO Fittings</v>
      </c>
      <c r="I2604" s="796">
        <f>VLOOKUP(G2604,SETTINGS!$B$7:$D$97,3,0)</f>
        <v>0</v>
      </c>
      <c r="J2604" s="670" t="str">
        <f>IFERROR(IF(CURRENCY.FORMAT_1=0,CONCATENATE(TEXT(FIXED(ROUND((C2604/EXC.RATE_1),CURRENCY.FORMAT_1),CURRENCY.FORMAT_1,1),"# ##0;-# ##0"),",-"),FIXED(ROUND((C2604/EXC.RATE_1),CURRENCY.FORMAT_1),CURRENCY.FORMAT_1,0)),'DICTIONARY-5'!$A$2)</f>
        <v>157,-</v>
      </c>
      <c r="K2604" s="670" t="str">
        <f>IF(EXC.RATE_2=0,"",IFERROR(IF(CURRENCY.FORMAT_2=0,CONCATENATE(TEXT(FIXED(ROUND(IF(EXC.RATE.SWITCH=1,C2604/EXC.RATE_2,C2604*EXC.RATE_2),CURRENCY.FORMAT_2),CURRENCY.FORMAT_2,1),"# ##0;-# ##0"),",-"),FIXED(ROUND(IF(EXC.RATE.SWITCH=1,C2604/EXC.RATE_2,C2604*EXC.RATE_2),CURRENCY.FORMAT_2),CURRENCY.FORMAT_2,0)),'DICTIONARY-5'!$A$2))</f>
        <v/>
      </c>
      <c r="L2604" s="670" t="str">
        <f>IFERROR(IF(CURRENCY.FORMAT_1=0,CONCATENATE(TEXT(FIXED(ROUND((C2604*(1-I2604)*(1-ADD.DISCOUNT)*(1+MAT.SURCHARGE)/EXC.RATE_1),CURRENCY.FORMAT_1),CURRENCY.FORMAT_1,1),"# ##0;-# ##0"),",-"),FIXED(ROUND((C2604*(1-I2604)*(1-ADD.DISCOUNT)*(1+MAT.SURCHARGE)/EXC.RATE_1),CURRENCY.FORMAT_1),CURRENCY.FORMAT_1,0)),'DICTIONARY-5'!$A$2)</f>
        <v>163,-</v>
      </c>
      <c r="M2604" s="670" t="str">
        <f>IF(EXC.RATE_2=0,"",IFERROR(IF(CURRENCY.FORMAT_2=0,CONCATENATE(TEXT(FIXED(ROUND(IF(EXC.RATE.SWITCH=1,C2604*(1-I2604)*(1-ADD.DISCOUNT)*(1+MAT.SURCHARGE)/EXC.RATE_2,C2604*(1-I2604)*(1-ADD.DISCOUNT)*(1+MAT.SURCHARGE)*EXC.RATE_2),CURRENCY.FORMAT_2),CURRENCY.FORMAT_2,1),"# ##0;-# ##0"),",-"),FIXED(ROUND(IF(EXC.RATE.SWITCH=1,C2604*(1-I2604)*(1-ADD.DISCOUNT)*(1+MAT.SURCHARGE)/EXC.RATE_2,C2604*(1-I2604)*(1-ADD.DISCOUNT)*(1+MAT.SURCHARGE)*EXC.RATE_2),CURRENCY.FORMAT_2),CURRENCY.FORMAT_2,0)),'DICTIONARY-5'!$A$2))</f>
        <v/>
      </c>
      <c r="N2604" s="536">
        <v>12</v>
      </c>
      <c r="O2604" s="536"/>
      <c r="P2604" s="732" t="str">
        <f>'DICTIONARY-3'!$A$153&amp;" "&amp;'DICTIONARY-3'!$A$170</f>
        <v>BAIO F</v>
      </c>
      <c r="Q2604" s="732" t="str">
        <f>'DICTIONARY-3'!$A$223</f>
        <v>Kształtka</v>
      </c>
      <c r="R2604" s="732" t="str">
        <f>CONCATENATE('DICTIONARY-3'!$A$153," ",'DICTIONARY-3'!$A$175&amp;'DICTIONARY-3'!$A$170&amp;'DICTIONARY-3'!$A$174," ",'DICTIONARY-2'!$A$2,"150"," ",'DICTIONARY-2'!$A$3,"10/16"," ",'DICTIONARY-2'!$A$24,"=","175/64",'DICTIONARY-2'!$A$17,", ",'DICTIONARY-5'!$A$199,"-",LOWER('DICTIONARY-3'!$A$241))</f>
        <v>BAIO Kształtka-F‎ DN150 PN10/16 L=175/64mm, końcówka bosa-kołnierz</v>
      </c>
      <c r="S2604" s="733" t="s">
        <v>5569</v>
      </c>
      <c r="T2604" s="732" t="s">
        <v>5569</v>
      </c>
      <c r="U2604" s="734" t="s">
        <v>5572</v>
      </c>
      <c r="V2604" s="735">
        <v>16</v>
      </c>
      <c r="W2604" s="736"/>
      <c r="X2604" s="737"/>
      <c r="Y2604" s="738"/>
      <c r="Z2604" s="739"/>
      <c r="AA2604" s="739"/>
      <c r="AB2604" s="740">
        <v>16</v>
      </c>
      <c r="AC2604" s="733" t="s">
        <v>5609</v>
      </c>
      <c r="AD2604" s="741" t="str">
        <f>'DICTIONARY-5'!$A$13</f>
        <v>woda pitna</v>
      </c>
      <c r="AE2604" s="742">
        <v>50</v>
      </c>
      <c r="AF2604" s="743">
        <v>10</v>
      </c>
      <c r="AG2604" s="741" t="str">
        <f>'DICTIONARY-5'!$A$23</f>
        <v>powłoka epoksydowa</v>
      </c>
    </row>
    <row r="2605" spans="1:33" x14ac:dyDescent="0.25">
      <c r="A2605" s="880" t="s">
        <v>2493</v>
      </c>
      <c r="B2605" s="880" t="s">
        <v>2757</v>
      </c>
      <c r="C2605" s="836">
        <v>270</v>
      </c>
      <c r="D2605" s="836"/>
      <c r="E2605" s="836"/>
      <c r="F2605" s="836"/>
      <c r="G2605" s="496" t="s">
        <v>7851</v>
      </c>
      <c r="H2605" s="797" t="str">
        <f>VLOOKUP(G2605,SETTINGS!$B$7:$D$97,2,0)</f>
        <v>BAIO Fittings</v>
      </c>
      <c r="I2605" s="796">
        <f>VLOOKUP(G2605,SETTINGS!$B$7:$D$97,3,0)</f>
        <v>0</v>
      </c>
      <c r="J2605" s="670" t="str">
        <f>IFERROR(IF(CURRENCY.FORMAT_1=0,CONCATENATE(TEXT(FIXED(ROUND((C2605/EXC.RATE_1),CURRENCY.FORMAT_1),CURRENCY.FORMAT_1,1),"# ##0;-# ##0"),",-"),FIXED(ROUND((C2605/EXC.RATE_1),CURRENCY.FORMAT_1),CURRENCY.FORMAT_1,0)),'DICTIONARY-5'!$A$2)</f>
        <v>270,-</v>
      </c>
      <c r="K2605" s="670" t="str">
        <f>IF(EXC.RATE_2=0,"",IFERROR(IF(CURRENCY.FORMAT_2=0,CONCATENATE(TEXT(FIXED(ROUND(IF(EXC.RATE.SWITCH=1,C2605/EXC.RATE_2,C2605*EXC.RATE_2),CURRENCY.FORMAT_2),CURRENCY.FORMAT_2,1),"# ##0;-# ##0"),",-"),FIXED(ROUND(IF(EXC.RATE.SWITCH=1,C2605/EXC.RATE_2,C2605*EXC.RATE_2),CURRENCY.FORMAT_2),CURRENCY.FORMAT_2,0)),'DICTIONARY-5'!$A$2))</f>
        <v/>
      </c>
      <c r="L2605" s="670" t="str">
        <f>IFERROR(IF(CURRENCY.FORMAT_1=0,CONCATENATE(TEXT(FIXED(ROUND((C2605*(1-I2605)*(1-ADD.DISCOUNT)*(1+MAT.SURCHARGE)/EXC.RATE_1),CURRENCY.FORMAT_1),CURRENCY.FORMAT_1,1),"# ##0;-# ##0"),",-"),FIXED(ROUND((C2605*(1-I2605)*(1-ADD.DISCOUNT)*(1+MAT.SURCHARGE)/EXC.RATE_1),CURRENCY.FORMAT_1),CURRENCY.FORMAT_1,0)),'DICTIONARY-5'!$A$2)</f>
        <v>281,-</v>
      </c>
      <c r="M2605" s="670" t="str">
        <f>IF(EXC.RATE_2=0,"",IFERROR(IF(CURRENCY.FORMAT_2=0,CONCATENATE(TEXT(FIXED(ROUND(IF(EXC.RATE.SWITCH=1,C2605*(1-I2605)*(1-ADD.DISCOUNT)*(1+MAT.SURCHARGE)/EXC.RATE_2,C2605*(1-I2605)*(1-ADD.DISCOUNT)*(1+MAT.SURCHARGE)*EXC.RATE_2),CURRENCY.FORMAT_2),CURRENCY.FORMAT_2,1),"# ##0;-# ##0"),",-"),FIXED(ROUND(IF(EXC.RATE.SWITCH=1,C2605*(1-I2605)*(1-ADD.DISCOUNT)*(1+MAT.SURCHARGE)/EXC.RATE_2,C2605*(1-I2605)*(1-ADD.DISCOUNT)*(1+MAT.SURCHARGE)*EXC.RATE_2),CURRENCY.FORMAT_2),CURRENCY.FORMAT_2,0)),'DICTIONARY-5'!$A$2))</f>
        <v/>
      </c>
      <c r="N2605" s="536">
        <v>12</v>
      </c>
      <c r="O2605" s="536"/>
      <c r="P2605" s="732" t="str">
        <f>'DICTIONARY-3'!$A$153&amp;" "&amp;'DICTIONARY-3'!$A$170</f>
        <v>BAIO F</v>
      </c>
      <c r="Q2605" s="732" t="str">
        <f>'DICTIONARY-3'!$A$223</f>
        <v>Kształtka</v>
      </c>
      <c r="R2605" s="732" t="str">
        <f>CONCATENATE('DICTIONARY-3'!$A$153," ",'DICTIONARY-3'!$A$175&amp;'DICTIONARY-3'!$A$170&amp;'DICTIONARY-3'!$A$174," ",'DICTIONARY-2'!$A$2,"200"," ",'DICTIONARY-2'!$A$3,"16"," ",'DICTIONARY-2'!$A$24,"=","185/68",'DICTIONARY-2'!$A$17,", ",'DICTIONARY-5'!$A$199,"-",LOWER('DICTIONARY-3'!$A$241))</f>
        <v>BAIO Kształtka-F‎ DN200 PN16 L=185/68mm, końcówka bosa-kołnierz</v>
      </c>
      <c r="S2605" s="733" t="s">
        <v>5569</v>
      </c>
      <c r="T2605" s="732" t="s">
        <v>5569</v>
      </c>
      <c r="U2605" s="734" t="s">
        <v>5750</v>
      </c>
      <c r="V2605" s="735">
        <v>16</v>
      </c>
      <c r="W2605" s="736"/>
      <c r="X2605" s="737"/>
      <c r="Y2605" s="738"/>
      <c r="Z2605" s="739"/>
      <c r="AA2605" s="739"/>
      <c r="AB2605" s="740">
        <v>16</v>
      </c>
      <c r="AC2605" s="733" t="s">
        <v>5610</v>
      </c>
      <c r="AD2605" s="741" t="str">
        <f>'DICTIONARY-5'!$A$13</f>
        <v>woda pitna</v>
      </c>
      <c r="AE2605" s="742">
        <v>50</v>
      </c>
      <c r="AF2605" s="743">
        <v>14.4</v>
      </c>
      <c r="AG2605" s="741" t="str">
        <f>'DICTIONARY-5'!$A$23</f>
        <v>powłoka epoksydowa</v>
      </c>
    </row>
    <row r="2606" spans="1:33" x14ac:dyDescent="0.25">
      <c r="A2606" s="880" t="s">
        <v>2494</v>
      </c>
      <c r="B2606" s="880" t="s">
        <v>2756</v>
      </c>
      <c r="C2606" s="836">
        <v>267</v>
      </c>
      <c r="D2606" s="836"/>
      <c r="E2606" s="836"/>
      <c r="F2606" s="836"/>
      <c r="G2606" s="496" t="s">
        <v>7851</v>
      </c>
      <c r="H2606" s="797" t="str">
        <f>VLOOKUP(G2606,SETTINGS!$B$7:$D$97,2,0)</f>
        <v>BAIO Fittings</v>
      </c>
      <c r="I2606" s="796">
        <f>VLOOKUP(G2606,SETTINGS!$B$7:$D$97,3,0)</f>
        <v>0</v>
      </c>
      <c r="J2606" s="670" t="str">
        <f>IFERROR(IF(CURRENCY.FORMAT_1=0,CONCATENATE(TEXT(FIXED(ROUND((C2606/EXC.RATE_1),CURRENCY.FORMAT_1),CURRENCY.FORMAT_1,1),"# ##0;-# ##0"),",-"),FIXED(ROUND((C2606/EXC.RATE_1),CURRENCY.FORMAT_1),CURRENCY.FORMAT_1,0)),'DICTIONARY-5'!$A$2)</f>
        <v>267,-</v>
      </c>
      <c r="K2606" s="670" t="str">
        <f>IF(EXC.RATE_2=0,"",IFERROR(IF(CURRENCY.FORMAT_2=0,CONCATENATE(TEXT(FIXED(ROUND(IF(EXC.RATE.SWITCH=1,C2606/EXC.RATE_2,C2606*EXC.RATE_2),CURRENCY.FORMAT_2),CURRENCY.FORMAT_2,1),"# ##0;-# ##0"),",-"),FIXED(ROUND(IF(EXC.RATE.SWITCH=1,C2606/EXC.RATE_2,C2606*EXC.RATE_2),CURRENCY.FORMAT_2),CURRENCY.FORMAT_2,0)),'DICTIONARY-5'!$A$2))</f>
        <v/>
      </c>
      <c r="L2606" s="670" t="str">
        <f>IFERROR(IF(CURRENCY.FORMAT_1=0,CONCATENATE(TEXT(FIXED(ROUND((C2606*(1-I2606)*(1-ADD.DISCOUNT)*(1+MAT.SURCHARGE)/EXC.RATE_1),CURRENCY.FORMAT_1),CURRENCY.FORMAT_1,1),"# ##0;-# ##0"),",-"),FIXED(ROUND((C2606*(1-I2606)*(1-ADD.DISCOUNT)*(1+MAT.SURCHARGE)/EXC.RATE_1),CURRENCY.FORMAT_1),CURRENCY.FORMAT_1,0)),'DICTIONARY-5'!$A$2)</f>
        <v>277,-</v>
      </c>
      <c r="M2606" s="670" t="str">
        <f>IF(EXC.RATE_2=0,"",IFERROR(IF(CURRENCY.FORMAT_2=0,CONCATENATE(TEXT(FIXED(ROUND(IF(EXC.RATE.SWITCH=1,C2606*(1-I2606)*(1-ADD.DISCOUNT)*(1+MAT.SURCHARGE)/EXC.RATE_2,C2606*(1-I2606)*(1-ADD.DISCOUNT)*(1+MAT.SURCHARGE)*EXC.RATE_2),CURRENCY.FORMAT_2),CURRENCY.FORMAT_2,1),"# ##0;-# ##0"),",-"),FIXED(ROUND(IF(EXC.RATE.SWITCH=1,C2606*(1-I2606)*(1-ADD.DISCOUNT)*(1+MAT.SURCHARGE)/EXC.RATE_2,C2606*(1-I2606)*(1-ADD.DISCOUNT)*(1+MAT.SURCHARGE)*EXC.RATE_2),CURRENCY.FORMAT_2),CURRENCY.FORMAT_2,0)),'DICTIONARY-5'!$A$2))</f>
        <v/>
      </c>
      <c r="N2606" s="536">
        <v>12</v>
      </c>
      <c r="O2606" s="536"/>
      <c r="P2606" s="732" t="str">
        <f>'DICTIONARY-3'!$A$153&amp;" "&amp;'DICTIONARY-3'!$A$170</f>
        <v>BAIO F</v>
      </c>
      <c r="Q2606" s="732" t="str">
        <f>'DICTIONARY-3'!$A$223</f>
        <v>Kształtka</v>
      </c>
      <c r="R2606" s="732" t="str">
        <f>CONCATENATE('DICTIONARY-3'!$A$153," ",'DICTIONARY-3'!$A$175&amp;'DICTIONARY-3'!$A$170&amp;'DICTIONARY-3'!$A$174," ",'DICTIONARY-2'!$A$2,"200"," ",'DICTIONARY-2'!$A$3,"10"," ",'DICTIONARY-2'!$A$24,"=","185/68",'DICTIONARY-2'!$A$17,", ",'DICTIONARY-5'!$A$199,"-",LOWER('DICTIONARY-3'!$A$241))</f>
        <v>BAIO Kształtka-F‎ DN200 PN10 L=185/68mm, końcówka bosa-kołnierz</v>
      </c>
      <c r="S2606" s="733" t="s">
        <v>5569</v>
      </c>
      <c r="T2606" s="732" t="s">
        <v>5569</v>
      </c>
      <c r="U2606" s="734" t="s">
        <v>5750</v>
      </c>
      <c r="V2606" s="735">
        <v>10</v>
      </c>
      <c r="W2606" s="736"/>
      <c r="X2606" s="737"/>
      <c r="Y2606" s="738"/>
      <c r="Z2606" s="739"/>
      <c r="AA2606" s="739"/>
      <c r="AB2606" s="740">
        <v>10</v>
      </c>
      <c r="AC2606" s="733" t="s">
        <v>5610</v>
      </c>
      <c r="AD2606" s="741" t="str">
        <f>'DICTIONARY-5'!$A$13</f>
        <v>woda pitna</v>
      </c>
      <c r="AE2606" s="742">
        <v>50</v>
      </c>
      <c r="AF2606" s="743">
        <v>15</v>
      </c>
      <c r="AG2606" s="741" t="str">
        <f>'DICTIONARY-5'!$A$23</f>
        <v>powłoka epoksydowa</v>
      </c>
    </row>
    <row r="2607" spans="1:33" x14ac:dyDescent="0.25">
      <c r="A2607" s="880" t="s">
        <v>2495</v>
      </c>
      <c r="B2607" s="880" t="s">
        <v>2797</v>
      </c>
      <c r="C2607" s="836">
        <v>184</v>
      </c>
      <c r="D2607" s="836"/>
      <c r="E2607" s="836"/>
      <c r="F2607" s="836"/>
      <c r="G2607" s="496" t="s">
        <v>7851</v>
      </c>
      <c r="H2607" s="797" t="str">
        <f>VLOOKUP(G2607,SETTINGS!$B$7:$D$97,2,0)</f>
        <v>BAIO Fittings</v>
      </c>
      <c r="I2607" s="796">
        <f>VLOOKUP(G2607,SETTINGS!$B$7:$D$97,3,0)</f>
        <v>0</v>
      </c>
      <c r="J2607" s="670" t="str">
        <f>IFERROR(IF(CURRENCY.FORMAT_1=0,CONCATENATE(TEXT(FIXED(ROUND((C2607/EXC.RATE_1),CURRENCY.FORMAT_1),CURRENCY.FORMAT_1,1),"# ##0;-# ##0"),",-"),FIXED(ROUND((C2607/EXC.RATE_1),CURRENCY.FORMAT_1),CURRENCY.FORMAT_1,0)),'DICTIONARY-5'!$A$2)</f>
        <v>184,-</v>
      </c>
      <c r="K2607" s="670" t="str">
        <f>IF(EXC.RATE_2=0,"",IFERROR(IF(CURRENCY.FORMAT_2=0,CONCATENATE(TEXT(FIXED(ROUND(IF(EXC.RATE.SWITCH=1,C2607/EXC.RATE_2,C2607*EXC.RATE_2),CURRENCY.FORMAT_2),CURRENCY.FORMAT_2,1),"# ##0;-# ##0"),",-"),FIXED(ROUND(IF(EXC.RATE.SWITCH=1,C2607/EXC.RATE_2,C2607*EXC.RATE_2),CURRENCY.FORMAT_2),CURRENCY.FORMAT_2,0)),'DICTIONARY-5'!$A$2))</f>
        <v/>
      </c>
      <c r="L2607" s="670" t="str">
        <f>IFERROR(IF(CURRENCY.FORMAT_1=0,CONCATENATE(TEXT(FIXED(ROUND((C2607*(1-I2607)*(1-ADD.DISCOUNT)*(1+MAT.SURCHARGE)/EXC.RATE_1),CURRENCY.FORMAT_1),CURRENCY.FORMAT_1,1),"# ##0;-# ##0"),",-"),FIXED(ROUND((C2607*(1-I2607)*(1-ADD.DISCOUNT)*(1+MAT.SURCHARGE)/EXC.RATE_1),CURRENCY.FORMAT_1),CURRENCY.FORMAT_1,0)),'DICTIONARY-5'!$A$2)</f>
        <v>191,-</v>
      </c>
      <c r="M2607" s="670" t="str">
        <f>IF(EXC.RATE_2=0,"",IFERROR(IF(CURRENCY.FORMAT_2=0,CONCATENATE(TEXT(FIXED(ROUND(IF(EXC.RATE.SWITCH=1,C2607*(1-I2607)*(1-ADD.DISCOUNT)*(1+MAT.SURCHARGE)/EXC.RATE_2,C2607*(1-I2607)*(1-ADD.DISCOUNT)*(1+MAT.SURCHARGE)*EXC.RATE_2),CURRENCY.FORMAT_2),CURRENCY.FORMAT_2,1),"# ##0;-# ##0"),",-"),FIXED(ROUND(IF(EXC.RATE.SWITCH=1,C2607*(1-I2607)*(1-ADD.DISCOUNT)*(1+MAT.SURCHARGE)/EXC.RATE_2,C2607*(1-I2607)*(1-ADD.DISCOUNT)*(1+MAT.SURCHARGE)*EXC.RATE_2),CURRENCY.FORMAT_2),CURRENCY.FORMAT_2,0)),'DICTIONARY-5'!$A$2))</f>
        <v/>
      </c>
      <c r="N2607" s="536">
        <v>12</v>
      </c>
      <c r="O2607" s="536"/>
      <c r="P2607" s="732" t="str">
        <f>'DICTIONARY-3'!$A$153&amp;" "&amp;'DICTIONARY-3'!$A$171</f>
        <v>BAIO MMQ</v>
      </c>
      <c r="Q2607" s="732" t="str">
        <f>'DICTIONARY-3'!$A$223</f>
        <v>Kształtka</v>
      </c>
      <c r="R2607" s="732" t="str">
        <f>CONCATENATE('DICTIONARY-3'!$A$153," ",'DICTIONARY-3'!$A$175&amp;'DICTIONARY-3'!$A$171&amp;'DICTIONARY-3'!$A$174," ",'DICTIONARY-2'!$A$2,"80"," ",'DICTIONARY-2'!$A$10,"16",'DICTIONARY-2'!$A$20,", ","90°"," ",'DICTIONARY-3'!$A$346," ","2×",'DICTIONARY-5'!$A$198)</f>
        <v>BAIO Kształtka-MMQ‎ DN80 PS16bar, 90° Kolano 2×mufa</v>
      </c>
      <c r="S2607" s="733" t="s">
        <v>5569</v>
      </c>
      <c r="T2607" s="732" t="s">
        <v>5569</v>
      </c>
      <c r="U2607" s="734" t="s">
        <v>5760</v>
      </c>
      <c r="V2607" s="735"/>
      <c r="W2607" s="736"/>
      <c r="X2607" s="737"/>
      <c r="Y2607" s="738"/>
      <c r="Z2607" s="739"/>
      <c r="AA2607" s="739"/>
      <c r="AB2607" s="740">
        <v>16</v>
      </c>
      <c r="AC2607" s="741"/>
      <c r="AD2607" s="741" t="str">
        <f>'DICTIONARY-5'!$A$13</f>
        <v>woda pitna</v>
      </c>
      <c r="AE2607" s="742">
        <v>50</v>
      </c>
      <c r="AF2607" s="743">
        <v>9.5</v>
      </c>
      <c r="AG2607" s="741" t="str">
        <f>'DICTIONARY-5'!$A$23</f>
        <v>powłoka epoksydowa</v>
      </c>
    </row>
    <row r="2608" spans="1:33" x14ac:dyDescent="0.25">
      <c r="A2608" s="880" t="s">
        <v>2496</v>
      </c>
      <c r="B2608" s="880" t="s">
        <v>2798</v>
      </c>
      <c r="C2608" s="836">
        <v>241</v>
      </c>
      <c r="D2608" s="836"/>
      <c r="E2608" s="836"/>
      <c r="F2608" s="836"/>
      <c r="G2608" s="496" t="s">
        <v>7851</v>
      </c>
      <c r="H2608" s="797" t="str">
        <f>VLOOKUP(G2608,SETTINGS!$B$7:$D$97,2,0)</f>
        <v>BAIO Fittings</v>
      </c>
      <c r="I2608" s="796">
        <f>VLOOKUP(G2608,SETTINGS!$B$7:$D$97,3,0)</f>
        <v>0</v>
      </c>
      <c r="J2608" s="670" t="str">
        <f>IFERROR(IF(CURRENCY.FORMAT_1=0,CONCATENATE(TEXT(FIXED(ROUND((C2608/EXC.RATE_1),CURRENCY.FORMAT_1),CURRENCY.FORMAT_1,1),"# ##0;-# ##0"),",-"),FIXED(ROUND((C2608/EXC.RATE_1),CURRENCY.FORMAT_1),CURRENCY.FORMAT_1,0)),'DICTIONARY-5'!$A$2)</f>
        <v>241,-</v>
      </c>
      <c r="K2608" s="670" t="str">
        <f>IF(EXC.RATE_2=0,"",IFERROR(IF(CURRENCY.FORMAT_2=0,CONCATENATE(TEXT(FIXED(ROUND(IF(EXC.RATE.SWITCH=1,C2608/EXC.RATE_2,C2608*EXC.RATE_2),CURRENCY.FORMAT_2),CURRENCY.FORMAT_2,1),"# ##0;-# ##0"),",-"),FIXED(ROUND(IF(EXC.RATE.SWITCH=1,C2608/EXC.RATE_2,C2608*EXC.RATE_2),CURRENCY.FORMAT_2),CURRENCY.FORMAT_2,0)),'DICTIONARY-5'!$A$2))</f>
        <v/>
      </c>
      <c r="L2608" s="670" t="str">
        <f>IFERROR(IF(CURRENCY.FORMAT_1=0,CONCATENATE(TEXT(FIXED(ROUND((C2608*(1-I2608)*(1-ADD.DISCOUNT)*(1+MAT.SURCHARGE)/EXC.RATE_1),CURRENCY.FORMAT_1),CURRENCY.FORMAT_1,1),"# ##0;-# ##0"),",-"),FIXED(ROUND((C2608*(1-I2608)*(1-ADD.DISCOUNT)*(1+MAT.SURCHARGE)/EXC.RATE_1),CURRENCY.FORMAT_1),CURRENCY.FORMAT_1,0)),'DICTIONARY-5'!$A$2)</f>
        <v>250,-</v>
      </c>
      <c r="M2608" s="670" t="str">
        <f>IF(EXC.RATE_2=0,"",IFERROR(IF(CURRENCY.FORMAT_2=0,CONCATENATE(TEXT(FIXED(ROUND(IF(EXC.RATE.SWITCH=1,C2608*(1-I2608)*(1-ADD.DISCOUNT)*(1+MAT.SURCHARGE)/EXC.RATE_2,C2608*(1-I2608)*(1-ADD.DISCOUNT)*(1+MAT.SURCHARGE)*EXC.RATE_2),CURRENCY.FORMAT_2),CURRENCY.FORMAT_2,1),"# ##0;-# ##0"),",-"),FIXED(ROUND(IF(EXC.RATE.SWITCH=1,C2608*(1-I2608)*(1-ADD.DISCOUNT)*(1+MAT.SURCHARGE)/EXC.RATE_2,C2608*(1-I2608)*(1-ADD.DISCOUNT)*(1+MAT.SURCHARGE)*EXC.RATE_2),CURRENCY.FORMAT_2),CURRENCY.FORMAT_2,0)),'DICTIONARY-5'!$A$2))</f>
        <v/>
      </c>
      <c r="N2608" s="536">
        <v>12</v>
      </c>
      <c r="O2608" s="536"/>
      <c r="P2608" s="732" t="str">
        <f>'DICTIONARY-3'!$A$153&amp;" "&amp;'DICTIONARY-3'!$A$171</f>
        <v>BAIO MMQ</v>
      </c>
      <c r="Q2608" s="732" t="str">
        <f>'DICTIONARY-3'!$A$223</f>
        <v>Kształtka</v>
      </c>
      <c r="R2608" s="732" t="str">
        <f>CONCATENATE('DICTIONARY-3'!$A$153," ",'DICTIONARY-3'!$A$175&amp;'DICTIONARY-3'!$A$171&amp;'DICTIONARY-3'!$A$174," ",'DICTIONARY-2'!$A$2,"100"," ",'DICTIONARY-2'!$A$10,"16",'DICTIONARY-2'!$A$20,", ","90°"," ",'DICTIONARY-3'!$A$346," ","2×",'DICTIONARY-5'!$A$198)</f>
        <v>BAIO Kształtka-MMQ‎ DN100 PS16bar, 90° Kolano 2×mufa</v>
      </c>
      <c r="S2608" s="733" t="s">
        <v>5569</v>
      </c>
      <c r="T2608" s="732" t="s">
        <v>5569</v>
      </c>
      <c r="U2608" s="734" t="s">
        <v>5749</v>
      </c>
      <c r="V2608" s="735"/>
      <c r="W2608" s="736"/>
      <c r="X2608" s="737"/>
      <c r="Y2608" s="738"/>
      <c r="Z2608" s="739"/>
      <c r="AA2608" s="739"/>
      <c r="AB2608" s="740">
        <v>16</v>
      </c>
      <c r="AC2608" s="741"/>
      <c r="AD2608" s="741" t="str">
        <f>'DICTIONARY-5'!$A$13</f>
        <v>woda pitna</v>
      </c>
      <c r="AE2608" s="742">
        <v>50</v>
      </c>
      <c r="AF2608" s="743">
        <v>13</v>
      </c>
      <c r="AG2608" s="741" t="str">
        <f>'DICTIONARY-5'!$A$23</f>
        <v>powłoka epoksydowa</v>
      </c>
    </row>
    <row r="2609" spans="1:33" x14ac:dyDescent="0.25">
      <c r="A2609" s="880" t="s">
        <v>2497</v>
      </c>
      <c r="B2609" s="880" t="s">
        <v>2925</v>
      </c>
      <c r="C2609" s="836">
        <v>251</v>
      </c>
      <c r="D2609" s="836"/>
      <c r="E2609" s="836"/>
      <c r="F2609" s="836"/>
      <c r="G2609" s="496" t="s">
        <v>7851</v>
      </c>
      <c r="H2609" s="797" t="str">
        <f>VLOOKUP(G2609,SETTINGS!$B$7:$D$97,2,0)</f>
        <v>BAIO Fittings</v>
      </c>
      <c r="I2609" s="796">
        <f>VLOOKUP(G2609,SETTINGS!$B$7:$D$97,3,0)</f>
        <v>0</v>
      </c>
      <c r="J2609" s="670" t="str">
        <f>IFERROR(IF(CURRENCY.FORMAT_1=0,CONCATENATE(TEXT(FIXED(ROUND((C2609/EXC.RATE_1),CURRENCY.FORMAT_1),CURRENCY.FORMAT_1,1),"# ##0;-# ##0"),",-"),FIXED(ROUND((C2609/EXC.RATE_1),CURRENCY.FORMAT_1),CURRENCY.FORMAT_1,0)),'DICTIONARY-5'!$A$2)</f>
        <v>251,-</v>
      </c>
      <c r="K2609" s="670" t="str">
        <f>IF(EXC.RATE_2=0,"",IFERROR(IF(CURRENCY.FORMAT_2=0,CONCATENATE(TEXT(FIXED(ROUND(IF(EXC.RATE.SWITCH=1,C2609/EXC.RATE_2,C2609*EXC.RATE_2),CURRENCY.FORMAT_2),CURRENCY.FORMAT_2,1),"# ##0;-# ##0"),",-"),FIXED(ROUND(IF(EXC.RATE.SWITCH=1,C2609/EXC.RATE_2,C2609*EXC.RATE_2),CURRENCY.FORMAT_2),CURRENCY.FORMAT_2,0)),'DICTIONARY-5'!$A$2))</f>
        <v/>
      </c>
      <c r="L2609" s="670" t="str">
        <f>IFERROR(IF(CURRENCY.FORMAT_1=0,CONCATENATE(TEXT(FIXED(ROUND((C2609*(1-I2609)*(1-ADD.DISCOUNT)*(1+MAT.SURCHARGE)/EXC.RATE_1),CURRENCY.FORMAT_1),CURRENCY.FORMAT_1,1),"# ##0;-# ##0"),",-"),FIXED(ROUND((C2609*(1-I2609)*(1-ADD.DISCOUNT)*(1+MAT.SURCHARGE)/EXC.RATE_1),CURRENCY.FORMAT_1),CURRENCY.FORMAT_1,0)),'DICTIONARY-5'!$A$2)</f>
        <v>261,-</v>
      </c>
      <c r="M2609" s="670" t="str">
        <f>IF(EXC.RATE_2=0,"",IFERROR(IF(CURRENCY.FORMAT_2=0,CONCATENATE(TEXT(FIXED(ROUND(IF(EXC.RATE.SWITCH=1,C2609*(1-I2609)*(1-ADD.DISCOUNT)*(1+MAT.SURCHARGE)/EXC.RATE_2,C2609*(1-I2609)*(1-ADD.DISCOUNT)*(1+MAT.SURCHARGE)*EXC.RATE_2),CURRENCY.FORMAT_2),CURRENCY.FORMAT_2,1),"# ##0;-# ##0"),",-"),FIXED(ROUND(IF(EXC.RATE.SWITCH=1,C2609*(1-I2609)*(1-ADD.DISCOUNT)*(1+MAT.SURCHARGE)/EXC.RATE_2,C2609*(1-I2609)*(1-ADD.DISCOUNT)*(1+MAT.SURCHARGE)*EXC.RATE_2),CURRENCY.FORMAT_2),CURRENCY.FORMAT_2,0)),'DICTIONARY-5'!$A$2))</f>
        <v/>
      </c>
      <c r="N2609" s="536">
        <v>12</v>
      </c>
      <c r="O2609" s="536"/>
      <c r="P2609" s="732" t="str">
        <f>'DICTIONARY-3'!$A$153&amp;" "&amp;'DICTIONARY-3'!$A$171</f>
        <v>BAIO MMQ</v>
      </c>
      <c r="Q2609" s="732" t="str">
        <f>'DICTIONARY-3'!$A$223</f>
        <v>Kształtka</v>
      </c>
      <c r="R2609" s="732" t="str">
        <f>CONCATENATE('DICTIONARY-3'!$A$153," ",'DICTIONARY-3'!$A$175&amp;'DICTIONARY-3'!$A$171&amp;'DICTIONARY-3'!$A$174," ",'DICTIONARY-2'!$A$2,"125"," ",'DICTIONARY-2'!$A$10,"16",'DICTIONARY-2'!$A$20,", ","90°"," ",'DICTIONARY-3'!$A$346," ","2×",'DICTIONARY-5'!$A$198)</f>
        <v>BAIO Kształtka-MMQ‎ DN125 PS16bar, 90° Kolano 2×mufa</v>
      </c>
      <c r="S2609" s="733" t="s">
        <v>5569</v>
      </c>
      <c r="T2609" s="732" t="s">
        <v>5569</v>
      </c>
      <c r="U2609" s="734" t="s">
        <v>5761</v>
      </c>
      <c r="V2609" s="735"/>
      <c r="W2609" s="736"/>
      <c r="X2609" s="737"/>
      <c r="Y2609" s="738"/>
      <c r="Z2609" s="739"/>
      <c r="AA2609" s="739"/>
      <c r="AB2609" s="740">
        <v>16</v>
      </c>
      <c r="AC2609" s="741"/>
      <c r="AD2609" s="741" t="str">
        <f>'DICTIONARY-5'!$A$13</f>
        <v>woda pitna</v>
      </c>
      <c r="AE2609" s="742">
        <v>50</v>
      </c>
      <c r="AF2609" s="743">
        <v>17</v>
      </c>
      <c r="AG2609" s="741" t="str">
        <f>'DICTIONARY-5'!$A$23</f>
        <v>powłoka epoksydowa</v>
      </c>
    </row>
    <row r="2610" spans="1:33" x14ac:dyDescent="0.25">
      <c r="A2610" s="880" t="s">
        <v>2498</v>
      </c>
      <c r="B2610" s="880" t="s">
        <v>2799</v>
      </c>
      <c r="C2610" s="836">
        <v>326</v>
      </c>
      <c r="D2610" s="836"/>
      <c r="E2610" s="836"/>
      <c r="F2610" s="836"/>
      <c r="G2610" s="496" t="s">
        <v>7851</v>
      </c>
      <c r="H2610" s="797" t="str">
        <f>VLOOKUP(G2610,SETTINGS!$B$7:$D$97,2,0)</f>
        <v>BAIO Fittings</v>
      </c>
      <c r="I2610" s="796">
        <f>VLOOKUP(G2610,SETTINGS!$B$7:$D$97,3,0)</f>
        <v>0</v>
      </c>
      <c r="J2610" s="670" t="str">
        <f>IFERROR(IF(CURRENCY.FORMAT_1=0,CONCATENATE(TEXT(FIXED(ROUND((C2610/EXC.RATE_1),CURRENCY.FORMAT_1),CURRENCY.FORMAT_1,1),"# ##0;-# ##0"),",-"),FIXED(ROUND((C2610/EXC.RATE_1),CURRENCY.FORMAT_1),CURRENCY.FORMAT_1,0)),'DICTIONARY-5'!$A$2)</f>
        <v>326,-</v>
      </c>
      <c r="K2610" s="670" t="str">
        <f>IF(EXC.RATE_2=0,"",IFERROR(IF(CURRENCY.FORMAT_2=0,CONCATENATE(TEXT(FIXED(ROUND(IF(EXC.RATE.SWITCH=1,C2610/EXC.RATE_2,C2610*EXC.RATE_2),CURRENCY.FORMAT_2),CURRENCY.FORMAT_2,1),"# ##0;-# ##0"),",-"),FIXED(ROUND(IF(EXC.RATE.SWITCH=1,C2610/EXC.RATE_2,C2610*EXC.RATE_2),CURRENCY.FORMAT_2),CURRENCY.FORMAT_2,0)),'DICTIONARY-5'!$A$2))</f>
        <v/>
      </c>
      <c r="L2610" s="670" t="str">
        <f>IFERROR(IF(CURRENCY.FORMAT_1=0,CONCATENATE(TEXT(FIXED(ROUND((C2610*(1-I2610)*(1-ADD.DISCOUNT)*(1+MAT.SURCHARGE)/EXC.RATE_1),CURRENCY.FORMAT_1),CURRENCY.FORMAT_1,1),"# ##0;-# ##0"),",-"),FIXED(ROUND((C2610*(1-I2610)*(1-ADD.DISCOUNT)*(1+MAT.SURCHARGE)/EXC.RATE_1),CURRENCY.FORMAT_1),CURRENCY.FORMAT_1,0)),'DICTIONARY-5'!$A$2)</f>
        <v>339,-</v>
      </c>
      <c r="M2610" s="670" t="str">
        <f>IF(EXC.RATE_2=0,"",IFERROR(IF(CURRENCY.FORMAT_2=0,CONCATENATE(TEXT(FIXED(ROUND(IF(EXC.RATE.SWITCH=1,C2610*(1-I2610)*(1-ADD.DISCOUNT)*(1+MAT.SURCHARGE)/EXC.RATE_2,C2610*(1-I2610)*(1-ADD.DISCOUNT)*(1+MAT.SURCHARGE)*EXC.RATE_2),CURRENCY.FORMAT_2),CURRENCY.FORMAT_2,1),"# ##0;-# ##0"),",-"),FIXED(ROUND(IF(EXC.RATE.SWITCH=1,C2610*(1-I2610)*(1-ADD.DISCOUNT)*(1+MAT.SURCHARGE)/EXC.RATE_2,C2610*(1-I2610)*(1-ADD.DISCOUNT)*(1+MAT.SURCHARGE)*EXC.RATE_2),CURRENCY.FORMAT_2),CURRENCY.FORMAT_2,0)),'DICTIONARY-5'!$A$2))</f>
        <v/>
      </c>
      <c r="N2610" s="536">
        <v>12</v>
      </c>
      <c r="O2610" s="536"/>
      <c r="P2610" s="732" t="str">
        <f>'DICTIONARY-3'!$A$153&amp;" "&amp;'DICTIONARY-3'!$A$171</f>
        <v>BAIO MMQ</v>
      </c>
      <c r="Q2610" s="732" t="str">
        <f>'DICTIONARY-3'!$A$223</f>
        <v>Kształtka</v>
      </c>
      <c r="R2610" s="732" t="str">
        <f>CONCATENATE('DICTIONARY-3'!$A$153," ",'DICTIONARY-3'!$A$175&amp;'DICTIONARY-3'!$A$171&amp;'DICTIONARY-3'!$A$174," ",'DICTIONARY-2'!$A$2,"150"," ",'DICTIONARY-2'!$A$10,"16",'DICTIONARY-2'!$A$20,", ","90°"," ",'DICTIONARY-3'!$A$346," ","2×",'DICTIONARY-5'!$A$198)</f>
        <v>BAIO Kształtka-MMQ‎ DN150 PS16bar, 90° Kolano 2×mufa</v>
      </c>
      <c r="S2610" s="733" t="s">
        <v>5569</v>
      </c>
      <c r="T2610" s="732" t="s">
        <v>5569</v>
      </c>
      <c r="U2610" s="734" t="s">
        <v>5572</v>
      </c>
      <c r="V2610" s="735"/>
      <c r="W2610" s="736"/>
      <c r="X2610" s="737"/>
      <c r="Y2610" s="738"/>
      <c r="Z2610" s="739"/>
      <c r="AA2610" s="739"/>
      <c r="AB2610" s="740">
        <v>16</v>
      </c>
      <c r="AC2610" s="741"/>
      <c r="AD2610" s="741" t="str">
        <f>'DICTIONARY-5'!$A$13</f>
        <v>woda pitna</v>
      </c>
      <c r="AE2610" s="742">
        <v>50</v>
      </c>
      <c r="AF2610" s="743">
        <v>23</v>
      </c>
      <c r="AG2610" s="741" t="str">
        <f>'DICTIONARY-5'!$A$23</f>
        <v>powłoka epoksydowa</v>
      </c>
    </row>
    <row r="2611" spans="1:33" x14ac:dyDescent="0.25">
      <c r="A2611" s="880" t="s">
        <v>2499</v>
      </c>
      <c r="B2611" s="880" t="s">
        <v>2800</v>
      </c>
      <c r="C2611" s="836">
        <v>484</v>
      </c>
      <c r="D2611" s="836"/>
      <c r="E2611" s="836"/>
      <c r="F2611" s="836"/>
      <c r="G2611" s="496" t="s">
        <v>7851</v>
      </c>
      <c r="H2611" s="797" t="str">
        <f>VLOOKUP(G2611,SETTINGS!$B$7:$D$97,2,0)</f>
        <v>BAIO Fittings</v>
      </c>
      <c r="I2611" s="796">
        <f>VLOOKUP(G2611,SETTINGS!$B$7:$D$97,3,0)</f>
        <v>0</v>
      </c>
      <c r="J2611" s="670" t="str">
        <f>IFERROR(IF(CURRENCY.FORMAT_1=0,CONCATENATE(TEXT(FIXED(ROUND((C2611/EXC.RATE_1),CURRENCY.FORMAT_1),CURRENCY.FORMAT_1,1),"# ##0;-# ##0"),",-"),FIXED(ROUND((C2611/EXC.RATE_1),CURRENCY.FORMAT_1),CURRENCY.FORMAT_1,0)),'DICTIONARY-5'!$A$2)</f>
        <v>484,-</v>
      </c>
      <c r="K2611" s="670" t="str">
        <f>IF(EXC.RATE_2=0,"",IFERROR(IF(CURRENCY.FORMAT_2=0,CONCATENATE(TEXT(FIXED(ROUND(IF(EXC.RATE.SWITCH=1,C2611/EXC.RATE_2,C2611*EXC.RATE_2),CURRENCY.FORMAT_2),CURRENCY.FORMAT_2,1),"# ##0;-# ##0"),",-"),FIXED(ROUND(IF(EXC.RATE.SWITCH=1,C2611/EXC.RATE_2,C2611*EXC.RATE_2),CURRENCY.FORMAT_2),CURRENCY.FORMAT_2,0)),'DICTIONARY-5'!$A$2))</f>
        <v/>
      </c>
      <c r="L2611" s="670" t="str">
        <f>IFERROR(IF(CURRENCY.FORMAT_1=0,CONCATENATE(TEXT(FIXED(ROUND((C2611*(1-I2611)*(1-ADD.DISCOUNT)*(1+MAT.SURCHARGE)/EXC.RATE_1),CURRENCY.FORMAT_1),CURRENCY.FORMAT_1,1),"# ##0;-# ##0"),",-"),FIXED(ROUND((C2611*(1-I2611)*(1-ADD.DISCOUNT)*(1+MAT.SURCHARGE)/EXC.RATE_1),CURRENCY.FORMAT_1),CURRENCY.FORMAT_1,0)),'DICTIONARY-5'!$A$2)</f>
        <v>503,-</v>
      </c>
      <c r="M2611" s="670" t="str">
        <f>IF(EXC.RATE_2=0,"",IFERROR(IF(CURRENCY.FORMAT_2=0,CONCATENATE(TEXT(FIXED(ROUND(IF(EXC.RATE.SWITCH=1,C2611*(1-I2611)*(1-ADD.DISCOUNT)*(1+MAT.SURCHARGE)/EXC.RATE_2,C2611*(1-I2611)*(1-ADD.DISCOUNT)*(1+MAT.SURCHARGE)*EXC.RATE_2),CURRENCY.FORMAT_2),CURRENCY.FORMAT_2,1),"# ##0;-# ##0"),",-"),FIXED(ROUND(IF(EXC.RATE.SWITCH=1,C2611*(1-I2611)*(1-ADD.DISCOUNT)*(1+MAT.SURCHARGE)/EXC.RATE_2,C2611*(1-I2611)*(1-ADD.DISCOUNT)*(1+MAT.SURCHARGE)*EXC.RATE_2),CURRENCY.FORMAT_2),CURRENCY.FORMAT_2,0)),'DICTIONARY-5'!$A$2))</f>
        <v/>
      </c>
      <c r="N2611" s="536">
        <v>12</v>
      </c>
      <c r="O2611" s="536"/>
      <c r="P2611" s="732" t="str">
        <f>'DICTIONARY-3'!$A$153&amp;" "&amp;'DICTIONARY-3'!$A$171</f>
        <v>BAIO MMQ</v>
      </c>
      <c r="Q2611" s="732" t="str">
        <f>'DICTIONARY-3'!$A$223</f>
        <v>Kształtka</v>
      </c>
      <c r="R2611" s="732" t="str">
        <f>CONCATENATE('DICTIONARY-3'!$A$153," ",'DICTIONARY-3'!$A$175&amp;'DICTIONARY-3'!$A$171&amp;'DICTIONARY-3'!$A$174," ",'DICTIONARY-2'!$A$2,"200"," ",'DICTIONARY-2'!$A$10,"16",'DICTIONARY-2'!$A$20,", ","90°"," ",'DICTIONARY-3'!$A$346," ","2×",'DICTIONARY-5'!$A$198)</f>
        <v>BAIO Kształtka-MMQ‎ DN200 PS16bar, 90° Kolano 2×mufa</v>
      </c>
      <c r="S2611" s="733" t="s">
        <v>5569</v>
      </c>
      <c r="T2611" s="732" t="s">
        <v>5569</v>
      </c>
      <c r="U2611" s="734" t="s">
        <v>5750</v>
      </c>
      <c r="V2611" s="735"/>
      <c r="W2611" s="736"/>
      <c r="X2611" s="737"/>
      <c r="Y2611" s="738"/>
      <c r="Z2611" s="739"/>
      <c r="AA2611" s="739"/>
      <c r="AB2611" s="740">
        <v>16</v>
      </c>
      <c r="AC2611" s="741"/>
      <c r="AD2611" s="741" t="str">
        <f>'DICTIONARY-5'!$A$13</f>
        <v>woda pitna</v>
      </c>
      <c r="AE2611" s="742">
        <v>50</v>
      </c>
      <c r="AF2611" s="743">
        <v>37.5</v>
      </c>
      <c r="AG2611" s="741" t="str">
        <f>'DICTIONARY-5'!$A$23</f>
        <v>powłoka epoksydowa</v>
      </c>
    </row>
    <row r="2612" spans="1:33" x14ac:dyDescent="0.25">
      <c r="A2612" s="883" t="s">
        <v>2501</v>
      </c>
      <c r="B2612" s="880" t="s">
        <v>2836</v>
      </c>
      <c r="C2612" s="836">
        <v>169</v>
      </c>
      <c r="D2612" s="836"/>
      <c r="E2612" s="836"/>
      <c r="F2612" s="836"/>
      <c r="G2612" s="496" t="s">
        <v>7851</v>
      </c>
      <c r="H2612" s="797" t="str">
        <f>VLOOKUP(G2612,SETTINGS!$B$7:$D$97,2,0)</f>
        <v>BAIO Fittings</v>
      </c>
      <c r="I2612" s="796">
        <f>VLOOKUP(G2612,SETTINGS!$B$7:$D$97,3,0)</f>
        <v>0</v>
      </c>
      <c r="J2612" s="670" t="str">
        <f>IFERROR(IF(CURRENCY.FORMAT_1=0,CONCATENATE(TEXT(FIXED(ROUND((C2612/EXC.RATE_1),CURRENCY.FORMAT_1),CURRENCY.FORMAT_1,1),"# ##0;-# ##0"),",-"),FIXED(ROUND((C2612/EXC.RATE_1),CURRENCY.FORMAT_1),CURRENCY.FORMAT_1,0)),'DICTIONARY-5'!$A$2)</f>
        <v>169,-</v>
      </c>
      <c r="K2612" s="670" t="str">
        <f>IF(EXC.RATE_2=0,"",IFERROR(IF(CURRENCY.FORMAT_2=0,CONCATENATE(TEXT(FIXED(ROUND(IF(EXC.RATE.SWITCH=1,C2612/EXC.RATE_2,C2612*EXC.RATE_2),CURRENCY.FORMAT_2),CURRENCY.FORMAT_2,1),"# ##0;-# ##0"),",-"),FIXED(ROUND(IF(EXC.RATE.SWITCH=1,C2612/EXC.RATE_2,C2612*EXC.RATE_2),CURRENCY.FORMAT_2),CURRENCY.FORMAT_2,0)),'DICTIONARY-5'!$A$2))</f>
        <v/>
      </c>
      <c r="L2612" s="670" t="str">
        <f>IFERROR(IF(CURRENCY.FORMAT_1=0,CONCATENATE(TEXT(FIXED(ROUND((C2612*(1-I2612)*(1-ADD.DISCOUNT)*(1+MAT.SURCHARGE)/EXC.RATE_1),CURRENCY.FORMAT_1),CURRENCY.FORMAT_1,1),"# ##0;-# ##0"),",-"),FIXED(ROUND((C2612*(1-I2612)*(1-ADD.DISCOUNT)*(1+MAT.SURCHARGE)/EXC.RATE_1),CURRENCY.FORMAT_1),CURRENCY.FORMAT_1,0)),'DICTIONARY-5'!$A$2)</f>
        <v>176,-</v>
      </c>
      <c r="M2612" s="670" t="str">
        <f>IF(EXC.RATE_2=0,"",IFERROR(IF(CURRENCY.FORMAT_2=0,CONCATENATE(TEXT(FIXED(ROUND(IF(EXC.RATE.SWITCH=1,C2612*(1-I2612)*(1-ADD.DISCOUNT)*(1+MAT.SURCHARGE)/EXC.RATE_2,C2612*(1-I2612)*(1-ADD.DISCOUNT)*(1+MAT.SURCHARGE)*EXC.RATE_2),CURRENCY.FORMAT_2),CURRENCY.FORMAT_2,1),"# ##0;-# ##0"),",-"),FIXED(ROUND(IF(EXC.RATE.SWITCH=1,C2612*(1-I2612)*(1-ADD.DISCOUNT)*(1+MAT.SURCHARGE)/EXC.RATE_2,C2612*(1-I2612)*(1-ADD.DISCOUNT)*(1+MAT.SURCHARGE)*EXC.RATE_2),CURRENCY.FORMAT_2),CURRENCY.FORMAT_2,0)),'DICTIONARY-5'!$A$2))</f>
        <v/>
      </c>
      <c r="N2612" s="536">
        <v>12</v>
      </c>
      <c r="O2612" s="536"/>
      <c r="P2612" s="732" t="str">
        <f>'DICTIONARY-3'!$A$153&amp;" "&amp;'DICTIONARY-3'!$A$172</f>
        <v>BAIO MMK</v>
      </c>
      <c r="Q2612" s="732" t="str">
        <f>'DICTIONARY-3'!$A$223</f>
        <v>Kształtka</v>
      </c>
      <c r="R2612" s="732" t="str">
        <f>CONCATENATE('DICTIONARY-3'!$A$153," ",'DICTIONARY-3'!$A$175&amp;'DICTIONARY-3'!$A$172&amp;'DICTIONARY-3'!$A$174," ",'DICTIONARY-2'!$A$2,"80"," ",'DICTIONARY-2'!$A$10,"16",'DICTIONARY-2'!$A$20,", ","11°"," ",'DICTIONARY-3'!$A$346," ","2×",'DICTIONARY-5'!$A$198)</f>
        <v>BAIO Kształtka-MMK‎ DN80 PS16bar, 11° Kolano 2×mufa</v>
      </c>
      <c r="S2612" s="733" t="s">
        <v>5569</v>
      </c>
      <c r="T2612" s="732" t="s">
        <v>5569</v>
      </c>
      <c r="U2612" s="734" t="s">
        <v>5760</v>
      </c>
      <c r="V2612" s="735"/>
      <c r="W2612" s="736"/>
      <c r="X2612" s="737"/>
      <c r="Y2612" s="738"/>
      <c r="Z2612" s="739"/>
      <c r="AA2612" s="739"/>
      <c r="AB2612" s="740">
        <v>16</v>
      </c>
      <c r="AC2612" s="741"/>
      <c r="AD2612" s="741" t="str">
        <f>'DICTIONARY-5'!$A$13</f>
        <v>woda pitna</v>
      </c>
      <c r="AE2612" s="742">
        <v>50</v>
      </c>
      <c r="AF2612" s="743">
        <v>7.5</v>
      </c>
      <c r="AG2612" s="741" t="str">
        <f>'DICTIONARY-5'!$A$23</f>
        <v>powłoka epoksydowa</v>
      </c>
    </row>
    <row r="2613" spans="1:33" x14ac:dyDescent="0.25">
      <c r="A2613" s="880" t="s">
        <v>2508</v>
      </c>
      <c r="B2613" s="880" t="s">
        <v>2840</v>
      </c>
      <c r="C2613" s="836">
        <v>208</v>
      </c>
      <c r="D2613" s="836"/>
      <c r="E2613" s="836"/>
      <c r="F2613" s="836"/>
      <c r="G2613" s="496" t="s">
        <v>7851</v>
      </c>
      <c r="H2613" s="797" t="str">
        <f>VLOOKUP(G2613,SETTINGS!$B$7:$D$97,2,0)</f>
        <v>BAIO Fittings</v>
      </c>
      <c r="I2613" s="796">
        <f>VLOOKUP(G2613,SETTINGS!$B$7:$D$97,3,0)</f>
        <v>0</v>
      </c>
      <c r="J2613" s="670" t="str">
        <f>IFERROR(IF(CURRENCY.FORMAT_1=0,CONCATENATE(TEXT(FIXED(ROUND((C2613/EXC.RATE_1),CURRENCY.FORMAT_1),CURRENCY.FORMAT_1,1),"# ##0;-# ##0"),",-"),FIXED(ROUND((C2613/EXC.RATE_1),CURRENCY.FORMAT_1),CURRENCY.FORMAT_1,0)),'DICTIONARY-5'!$A$2)</f>
        <v>208,-</v>
      </c>
      <c r="K2613" s="670" t="str">
        <f>IF(EXC.RATE_2=0,"",IFERROR(IF(CURRENCY.FORMAT_2=0,CONCATENATE(TEXT(FIXED(ROUND(IF(EXC.RATE.SWITCH=1,C2613/EXC.RATE_2,C2613*EXC.RATE_2),CURRENCY.FORMAT_2),CURRENCY.FORMAT_2,1),"# ##0;-# ##0"),",-"),FIXED(ROUND(IF(EXC.RATE.SWITCH=1,C2613/EXC.RATE_2,C2613*EXC.RATE_2),CURRENCY.FORMAT_2),CURRENCY.FORMAT_2,0)),'DICTIONARY-5'!$A$2))</f>
        <v/>
      </c>
      <c r="L2613" s="670" t="str">
        <f>IFERROR(IF(CURRENCY.FORMAT_1=0,CONCATENATE(TEXT(FIXED(ROUND((C2613*(1-I2613)*(1-ADD.DISCOUNT)*(1+MAT.SURCHARGE)/EXC.RATE_1),CURRENCY.FORMAT_1),CURRENCY.FORMAT_1,1),"# ##0;-# ##0"),",-"),FIXED(ROUND((C2613*(1-I2613)*(1-ADD.DISCOUNT)*(1+MAT.SURCHARGE)/EXC.RATE_1),CURRENCY.FORMAT_1),CURRENCY.FORMAT_1,0)),'DICTIONARY-5'!$A$2)</f>
        <v>216,-</v>
      </c>
      <c r="M2613" s="670" t="str">
        <f>IF(EXC.RATE_2=0,"",IFERROR(IF(CURRENCY.FORMAT_2=0,CONCATENATE(TEXT(FIXED(ROUND(IF(EXC.RATE.SWITCH=1,C2613*(1-I2613)*(1-ADD.DISCOUNT)*(1+MAT.SURCHARGE)/EXC.RATE_2,C2613*(1-I2613)*(1-ADD.DISCOUNT)*(1+MAT.SURCHARGE)*EXC.RATE_2),CURRENCY.FORMAT_2),CURRENCY.FORMAT_2,1),"# ##0;-# ##0"),",-"),FIXED(ROUND(IF(EXC.RATE.SWITCH=1,C2613*(1-I2613)*(1-ADD.DISCOUNT)*(1+MAT.SURCHARGE)/EXC.RATE_2,C2613*(1-I2613)*(1-ADD.DISCOUNT)*(1+MAT.SURCHARGE)*EXC.RATE_2),CURRENCY.FORMAT_2),CURRENCY.FORMAT_2,0)),'DICTIONARY-5'!$A$2))</f>
        <v/>
      </c>
      <c r="N2613" s="536">
        <v>12</v>
      </c>
      <c r="O2613" s="536"/>
      <c r="P2613" s="732" t="str">
        <f>'DICTIONARY-3'!$A$153&amp;" "&amp;'DICTIONARY-3'!$A$172</f>
        <v>BAIO MMK</v>
      </c>
      <c r="Q2613" s="732" t="str">
        <f>'DICTIONARY-3'!$A$223</f>
        <v>Kształtka</v>
      </c>
      <c r="R2613" s="732" t="str">
        <f>CONCATENATE('DICTIONARY-3'!$A$153," ",'DICTIONARY-3'!$A$175&amp;'DICTIONARY-3'!$A$172&amp;'DICTIONARY-3'!$A$174," ",'DICTIONARY-2'!$A$2,"100"," ",'DICTIONARY-2'!$A$10,"16",'DICTIONARY-2'!$A$20,", ","11°"," ",'DICTIONARY-3'!$A$346," ","2×",'DICTIONARY-5'!$A$198)</f>
        <v>BAIO Kształtka-MMK‎ DN100 PS16bar, 11° Kolano 2×mufa</v>
      </c>
      <c r="S2613" s="733" t="s">
        <v>5569</v>
      </c>
      <c r="T2613" s="732" t="s">
        <v>5569</v>
      </c>
      <c r="U2613" s="734" t="s">
        <v>5749</v>
      </c>
      <c r="V2613" s="735"/>
      <c r="W2613" s="736"/>
      <c r="X2613" s="737"/>
      <c r="Y2613" s="738"/>
      <c r="Z2613" s="739"/>
      <c r="AA2613" s="739"/>
      <c r="AB2613" s="740">
        <v>16</v>
      </c>
      <c r="AC2613" s="741"/>
      <c r="AD2613" s="741" t="str">
        <f>'DICTIONARY-5'!$A$13</f>
        <v>woda pitna</v>
      </c>
      <c r="AE2613" s="742">
        <v>50</v>
      </c>
      <c r="AF2613" s="743">
        <v>9.5</v>
      </c>
      <c r="AG2613" s="741" t="str">
        <f>'DICTIONARY-5'!$A$23</f>
        <v>powłoka epoksydowa</v>
      </c>
    </row>
    <row r="2614" spans="1:33" x14ac:dyDescent="0.25">
      <c r="A2614" s="880" t="s">
        <v>2512</v>
      </c>
      <c r="B2614" s="880" t="s">
        <v>2930</v>
      </c>
      <c r="C2614" s="836">
        <v>213</v>
      </c>
      <c r="D2614" s="836"/>
      <c r="E2614" s="836"/>
      <c r="F2614" s="836"/>
      <c r="G2614" s="496" t="s">
        <v>7851</v>
      </c>
      <c r="H2614" s="797" t="str">
        <f>VLOOKUP(G2614,SETTINGS!$B$7:$D$97,2,0)</f>
        <v>BAIO Fittings</v>
      </c>
      <c r="I2614" s="796">
        <f>VLOOKUP(G2614,SETTINGS!$B$7:$D$97,3,0)</f>
        <v>0</v>
      </c>
      <c r="J2614" s="670" t="str">
        <f>IFERROR(IF(CURRENCY.FORMAT_1=0,CONCATENATE(TEXT(FIXED(ROUND((C2614/EXC.RATE_1),CURRENCY.FORMAT_1),CURRENCY.FORMAT_1,1),"# ##0;-# ##0"),",-"),FIXED(ROUND((C2614/EXC.RATE_1),CURRENCY.FORMAT_1),CURRENCY.FORMAT_1,0)),'DICTIONARY-5'!$A$2)</f>
        <v>213,-</v>
      </c>
      <c r="K2614" s="670" t="str">
        <f>IF(EXC.RATE_2=0,"",IFERROR(IF(CURRENCY.FORMAT_2=0,CONCATENATE(TEXT(FIXED(ROUND(IF(EXC.RATE.SWITCH=1,C2614/EXC.RATE_2,C2614*EXC.RATE_2),CURRENCY.FORMAT_2),CURRENCY.FORMAT_2,1),"# ##0;-# ##0"),",-"),FIXED(ROUND(IF(EXC.RATE.SWITCH=1,C2614/EXC.RATE_2,C2614*EXC.RATE_2),CURRENCY.FORMAT_2),CURRENCY.FORMAT_2,0)),'DICTIONARY-5'!$A$2))</f>
        <v/>
      </c>
      <c r="L2614" s="670" t="str">
        <f>IFERROR(IF(CURRENCY.FORMAT_1=0,CONCATENATE(TEXT(FIXED(ROUND((C2614*(1-I2614)*(1-ADD.DISCOUNT)*(1+MAT.SURCHARGE)/EXC.RATE_1),CURRENCY.FORMAT_1),CURRENCY.FORMAT_1,1),"# ##0;-# ##0"),",-"),FIXED(ROUND((C2614*(1-I2614)*(1-ADD.DISCOUNT)*(1+MAT.SURCHARGE)/EXC.RATE_1),CURRENCY.FORMAT_1),CURRENCY.FORMAT_1,0)),'DICTIONARY-5'!$A$2)</f>
        <v>221,-</v>
      </c>
      <c r="M2614" s="670" t="str">
        <f>IF(EXC.RATE_2=0,"",IFERROR(IF(CURRENCY.FORMAT_2=0,CONCATENATE(TEXT(FIXED(ROUND(IF(EXC.RATE.SWITCH=1,C2614*(1-I2614)*(1-ADD.DISCOUNT)*(1+MAT.SURCHARGE)/EXC.RATE_2,C2614*(1-I2614)*(1-ADD.DISCOUNT)*(1+MAT.SURCHARGE)*EXC.RATE_2),CURRENCY.FORMAT_2),CURRENCY.FORMAT_2,1),"# ##0;-# ##0"),",-"),FIXED(ROUND(IF(EXC.RATE.SWITCH=1,C2614*(1-I2614)*(1-ADD.DISCOUNT)*(1+MAT.SURCHARGE)/EXC.RATE_2,C2614*(1-I2614)*(1-ADD.DISCOUNT)*(1+MAT.SURCHARGE)*EXC.RATE_2),CURRENCY.FORMAT_2),CURRENCY.FORMAT_2,0)),'DICTIONARY-5'!$A$2))</f>
        <v/>
      </c>
      <c r="N2614" s="536">
        <v>12</v>
      </c>
      <c r="O2614" s="536"/>
      <c r="P2614" s="732" t="str">
        <f>'DICTIONARY-3'!$A$153&amp;" "&amp;'DICTIONARY-3'!$A$172</f>
        <v>BAIO MMK</v>
      </c>
      <c r="Q2614" s="732" t="str">
        <f>'DICTIONARY-3'!$A$223</f>
        <v>Kształtka</v>
      </c>
      <c r="R2614" s="732" t="str">
        <f>CONCATENATE('DICTIONARY-3'!$A$153," ",'DICTIONARY-3'!$A$175&amp;'DICTIONARY-3'!$A$172&amp;'DICTIONARY-3'!$A$174," ",'DICTIONARY-2'!$A$2,"125"," ",'DICTIONARY-2'!$A$10,"16",'DICTIONARY-2'!$A$20,", ","11°"," ",'DICTIONARY-3'!$A$346," ","2×",'DICTIONARY-5'!$A$198)</f>
        <v>BAIO Kształtka-MMK‎ DN125 PS16bar, 11° Kolano 2×mufa</v>
      </c>
      <c r="S2614" s="733" t="s">
        <v>5569</v>
      </c>
      <c r="T2614" s="732" t="s">
        <v>5569</v>
      </c>
      <c r="U2614" s="734" t="s">
        <v>5761</v>
      </c>
      <c r="V2614" s="735"/>
      <c r="W2614" s="736"/>
      <c r="X2614" s="737"/>
      <c r="Y2614" s="738"/>
      <c r="Z2614" s="739"/>
      <c r="AA2614" s="739"/>
      <c r="AB2614" s="740">
        <v>16</v>
      </c>
      <c r="AC2614" s="741"/>
      <c r="AD2614" s="741" t="str">
        <f>'DICTIONARY-5'!$A$13</f>
        <v>woda pitna</v>
      </c>
      <c r="AE2614" s="742">
        <v>50</v>
      </c>
      <c r="AF2614" s="743">
        <v>12.5</v>
      </c>
      <c r="AG2614" s="741" t="str">
        <f>'DICTIONARY-5'!$A$23</f>
        <v>powłoka epoksydowa</v>
      </c>
    </row>
    <row r="2615" spans="1:33" x14ac:dyDescent="0.25">
      <c r="A2615" s="880" t="s">
        <v>2516</v>
      </c>
      <c r="B2615" s="880" t="s">
        <v>2844</v>
      </c>
      <c r="C2615" s="836">
        <v>223</v>
      </c>
      <c r="D2615" s="836"/>
      <c r="E2615" s="836"/>
      <c r="F2615" s="836"/>
      <c r="G2615" s="496" t="s">
        <v>7851</v>
      </c>
      <c r="H2615" s="797" t="str">
        <f>VLOOKUP(G2615,SETTINGS!$B$7:$D$97,2,0)</f>
        <v>BAIO Fittings</v>
      </c>
      <c r="I2615" s="796">
        <f>VLOOKUP(G2615,SETTINGS!$B$7:$D$97,3,0)</f>
        <v>0</v>
      </c>
      <c r="J2615" s="670" t="str">
        <f>IFERROR(IF(CURRENCY.FORMAT_1=0,CONCATENATE(TEXT(FIXED(ROUND((C2615/EXC.RATE_1),CURRENCY.FORMAT_1),CURRENCY.FORMAT_1,1),"# ##0;-# ##0"),",-"),FIXED(ROUND((C2615/EXC.RATE_1),CURRENCY.FORMAT_1),CURRENCY.FORMAT_1,0)),'DICTIONARY-5'!$A$2)</f>
        <v>223,-</v>
      </c>
      <c r="K2615" s="670" t="str">
        <f>IF(EXC.RATE_2=0,"",IFERROR(IF(CURRENCY.FORMAT_2=0,CONCATENATE(TEXT(FIXED(ROUND(IF(EXC.RATE.SWITCH=1,C2615/EXC.RATE_2,C2615*EXC.RATE_2),CURRENCY.FORMAT_2),CURRENCY.FORMAT_2,1),"# ##0;-# ##0"),",-"),FIXED(ROUND(IF(EXC.RATE.SWITCH=1,C2615/EXC.RATE_2,C2615*EXC.RATE_2),CURRENCY.FORMAT_2),CURRENCY.FORMAT_2,0)),'DICTIONARY-5'!$A$2))</f>
        <v/>
      </c>
      <c r="L2615" s="670" t="str">
        <f>IFERROR(IF(CURRENCY.FORMAT_1=0,CONCATENATE(TEXT(FIXED(ROUND((C2615*(1-I2615)*(1-ADD.DISCOUNT)*(1+MAT.SURCHARGE)/EXC.RATE_1),CURRENCY.FORMAT_1),CURRENCY.FORMAT_1,1),"# ##0;-# ##0"),",-"),FIXED(ROUND((C2615*(1-I2615)*(1-ADD.DISCOUNT)*(1+MAT.SURCHARGE)/EXC.RATE_1),CURRENCY.FORMAT_1),CURRENCY.FORMAT_1,0)),'DICTIONARY-5'!$A$2)</f>
        <v>232,-</v>
      </c>
      <c r="M2615" s="670" t="str">
        <f>IF(EXC.RATE_2=0,"",IFERROR(IF(CURRENCY.FORMAT_2=0,CONCATENATE(TEXT(FIXED(ROUND(IF(EXC.RATE.SWITCH=1,C2615*(1-I2615)*(1-ADD.DISCOUNT)*(1+MAT.SURCHARGE)/EXC.RATE_2,C2615*(1-I2615)*(1-ADD.DISCOUNT)*(1+MAT.SURCHARGE)*EXC.RATE_2),CURRENCY.FORMAT_2),CURRENCY.FORMAT_2,1),"# ##0;-# ##0"),",-"),FIXED(ROUND(IF(EXC.RATE.SWITCH=1,C2615*(1-I2615)*(1-ADD.DISCOUNT)*(1+MAT.SURCHARGE)/EXC.RATE_2,C2615*(1-I2615)*(1-ADD.DISCOUNT)*(1+MAT.SURCHARGE)*EXC.RATE_2),CURRENCY.FORMAT_2),CURRENCY.FORMAT_2,0)),'DICTIONARY-5'!$A$2))</f>
        <v/>
      </c>
      <c r="N2615" s="536">
        <v>12</v>
      </c>
      <c r="O2615" s="536"/>
      <c r="P2615" s="732" t="str">
        <f>'DICTIONARY-3'!$A$153&amp;" "&amp;'DICTIONARY-3'!$A$172</f>
        <v>BAIO MMK</v>
      </c>
      <c r="Q2615" s="732" t="str">
        <f>'DICTIONARY-3'!$A$223</f>
        <v>Kształtka</v>
      </c>
      <c r="R2615" s="732" t="str">
        <f>CONCATENATE('DICTIONARY-3'!$A$153," ",'DICTIONARY-3'!$A$175&amp;'DICTIONARY-3'!$A$172&amp;'DICTIONARY-3'!$A$174," ",'DICTIONARY-2'!$A$2,"150"," ",'DICTIONARY-2'!$A$10,"16",'DICTIONARY-2'!$A$20,", ","11°"," ",'DICTIONARY-3'!$A$346," ","2×",'DICTIONARY-5'!$A$198)</f>
        <v>BAIO Kształtka-MMK‎ DN150 PS16bar, 11° Kolano 2×mufa</v>
      </c>
      <c r="S2615" s="733" t="s">
        <v>5569</v>
      </c>
      <c r="T2615" s="732" t="s">
        <v>5569</v>
      </c>
      <c r="U2615" s="734" t="s">
        <v>5572</v>
      </c>
      <c r="V2615" s="735"/>
      <c r="W2615" s="736"/>
      <c r="X2615" s="737"/>
      <c r="Y2615" s="738"/>
      <c r="Z2615" s="739"/>
      <c r="AA2615" s="739"/>
      <c r="AB2615" s="740">
        <v>16</v>
      </c>
      <c r="AC2615" s="741"/>
      <c r="AD2615" s="741" t="str">
        <f>'DICTIONARY-5'!$A$13</f>
        <v>woda pitna</v>
      </c>
      <c r="AE2615" s="742">
        <v>50</v>
      </c>
      <c r="AF2615" s="743">
        <v>14.5</v>
      </c>
      <c r="AG2615" s="741" t="str">
        <f>'DICTIONARY-5'!$A$23</f>
        <v>powłoka epoksydowa</v>
      </c>
    </row>
    <row r="2616" spans="1:33" x14ac:dyDescent="0.25">
      <c r="A2616" s="880" t="s">
        <v>2520</v>
      </c>
      <c r="B2616" s="880" t="s">
        <v>2848</v>
      </c>
      <c r="C2616" s="836">
        <v>413</v>
      </c>
      <c r="D2616" s="836"/>
      <c r="E2616" s="836"/>
      <c r="F2616" s="836"/>
      <c r="G2616" s="496" t="s">
        <v>7851</v>
      </c>
      <c r="H2616" s="797" t="str">
        <f>VLOOKUP(G2616,SETTINGS!$B$7:$D$97,2,0)</f>
        <v>BAIO Fittings</v>
      </c>
      <c r="I2616" s="796">
        <f>VLOOKUP(G2616,SETTINGS!$B$7:$D$97,3,0)</f>
        <v>0</v>
      </c>
      <c r="J2616" s="670" t="str">
        <f>IFERROR(IF(CURRENCY.FORMAT_1=0,CONCATENATE(TEXT(FIXED(ROUND((C2616/EXC.RATE_1),CURRENCY.FORMAT_1),CURRENCY.FORMAT_1,1),"# ##0;-# ##0"),",-"),FIXED(ROUND((C2616/EXC.RATE_1),CURRENCY.FORMAT_1),CURRENCY.FORMAT_1,0)),'DICTIONARY-5'!$A$2)</f>
        <v>413,-</v>
      </c>
      <c r="K2616" s="670" t="str">
        <f>IF(EXC.RATE_2=0,"",IFERROR(IF(CURRENCY.FORMAT_2=0,CONCATENATE(TEXT(FIXED(ROUND(IF(EXC.RATE.SWITCH=1,C2616/EXC.RATE_2,C2616*EXC.RATE_2),CURRENCY.FORMAT_2),CURRENCY.FORMAT_2,1),"# ##0;-# ##0"),",-"),FIXED(ROUND(IF(EXC.RATE.SWITCH=1,C2616/EXC.RATE_2,C2616*EXC.RATE_2),CURRENCY.FORMAT_2),CURRENCY.FORMAT_2,0)),'DICTIONARY-5'!$A$2))</f>
        <v/>
      </c>
      <c r="L2616" s="670" t="str">
        <f>IFERROR(IF(CURRENCY.FORMAT_1=0,CONCATENATE(TEXT(FIXED(ROUND((C2616*(1-I2616)*(1-ADD.DISCOUNT)*(1+MAT.SURCHARGE)/EXC.RATE_1),CURRENCY.FORMAT_1),CURRENCY.FORMAT_1,1),"# ##0;-# ##0"),",-"),FIXED(ROUND((C2616*(1-I2616)*(1-ADD.DISCOUNT)*(1+MAT.SURCHARGE)/EXC.RATE_1),CURRENCY.FORMAT_1),CURRENCY.FORMAT_1,0)),'DICTIONARY-5'!$A$2)</f>
        <v>429,-</v>
      </c>
      <c r="M2616" s="670" t="str">
        <f>IF(EXC.RATE_2=0,"",IFERROR(IF(CURRENCY.FORMAT_2=0,CONCATENATE(TEXT(FIXED(ROUND(IF(EXC.RATE.SWITCH=1,C2616*(1-I2616)*(1-ADD.DISCOUNT)*(1+MAT.SURCHARGE)/EXC.RATE_2,C2616*(1-I2616)*(1-ADD.DISCOUNT)*(1+MAT.SURCHARGE)*EXC.RATE_2),CURRENCY.FORMAT_2),CURRENCY.FORMAT_2,1),"# ##0;-# ##0"),",-"),FIXED(ROUND(IF(EXC.RATE.SWITCH=1,C2616*(1-I2616)*(1-ADD.DISCOUNT)*(1+MAT.SURCHARGE)/EXC.RATE_2,C2616*(1-I2616)*(1-ADD.DISCOUNT)*(1+MAT.SURCHARGE)*EXC.RATE_2),CURRENCY.FORMAT_2),CURRENCY.FORMAT_2,0)),'DICTIONARY-5'!$A$2))</f>
        <v/>
      </c>
      <c r="N2616" s="536">
        <v>12</v>
      </c>
      <c r="O2616" s="536"/>
      <c r="P2616" s="732" t="str">
        <f>'DICTIONARY-3'!$A$153&amp;" "&amp;'DICTIONARY-3'!$A$172</f>
        <v>BAIO MMK</v>
      </c>
      <c r="Q2616" s="732" t="str">
        <f>'DICTIONARY-3'!$A$223</f>
        <v>Kształtka</v>
      </c>
      <c r="R2616" s="732" t="str">
        <f>CONCATENATE('DICTIONARY-3'!$A$153," ",'DICTIONARY-3'!$A$175&amp;'DICTIONARY-3'!$A$172&amp;'DICTIONARY-3'!$A$174," ",'DICTIONARY-2'!$A$2,"200"," ",'DICTIONARY-2'!$A$10,"16",'DICTIONARY-2'!$A$20,", ","11°"," ",'DICTIONARY-3'!$A$346," ","2×",'DICTIONARY-5'!$A$198)</f>
        <v>BAIO Kształtka-MMK‎ DN200 PS16bar, 11° Kolano 2×mufa</v>
      </c>
      <c r="S2616" s="733" t="s">
        <v>5569</v>
      </c>
      <c r="T2616" s="732" t="s">
        <v>5569</v>
      </c>
      <c r="U2616" s="734" t="s">
        <v>5750</v>
      </c>
      <c r="V2616" s="735"/>
      <c r="W2616" s="736"/>
      <c r="X2616" s="737"/>
      <c r="Y2616" s="738"/>
      <c r="Z2616" s="739"/>
      <c r="AA2616" s="739"/>
      <c r="AB2616" s="740">
        <v>16</v>
      </c>
      <c r="AC2616" s="741"/>
      <c r="AD2616" s="741" t="str">
        <f>'DICTIONARY-5'!$A$13</f>
        <v>woda pitna</v>
      </c>
      <c r="AE2616" s="742">
        <v>50</v>
      </c>
      <c r="AF2616" s="743">
        <v>23</v>
      </c>
      <c r="AG2616" s="741" t="str">
        <f>'DICTIONARY-5'!$A$23</f>
        <v>powłoka epoksydowa</v>
      </c>
    </row>
    <row r="2617" spans="1:33" x14ac:dyDescent="0.25">
      <c r="A2617" s="880" t="s">
        <v>2503</v>
      </c>
      <c r="B2617" s="880" t="s">
        <v>2837</v>
      </c>
      <c r="C2617" s="836">
        <v>181</v>
      </c>
      <c r="D2617" s="836"/>
      <c r="E2617" s="836"/>
      <c r="F2617" s="836"/>
      <c r="G2617" s="496" t="s">
        <v>7851</v>
      </c>
      <c r="H2617" s="797" t="str">
        <f>VLOOKUP(G2617,SETTINGS!$B$7:$D$97,2,0)</f>
        <v>BAIO Fittings</v>
      </c>
      <c r="I2617" s="796">
        <f>VLOOKUP(G2617,SETTINGS!$B$7:$D$97,3,0)</f>
        <v>0</v>
      </c>
      <c r="J2617" s="670" t="str">
        <f>IFERROR(IF(CURRENCY.FORMAT_1=0,CONCATENATE(TEXT(FIXED(ROUND((C2617/EXC.RATE_1),CURRENCY.FORMAT_1),CURRENCY.FORMAT_1,1),"# ##0;-# ##0"),",-"),FIXED(ROUND((C2617/EXC.RATE_1),CURRENCY.FORMAT_1),CURRENCY.FORMAT_1,0)),'DICTIONARY-5'!$A$2)</f>
        <v>181,-</v>
      </c>
      <c r="K2617" s="670" t="str">
        <f>IF(EXC.RATE_2=0,"",IFERROR(IF(CURRENCY.FORMAT_2=0,CONCATENATE(TEXT(FIXED(ROUND(IF(EXC.RATE.SWITCH=1,C2617/EXC.RATE_2,C2617*EXC.RATE_2),CURRENCY.FORMAT_2),CURRENCY.FORMAT_2,1),"# ##0;-# ##0"),",-"),FIXED(ROUND(IF(EXC.RATE.SWITCH=1,C2617/EXC.RATE_2,C2617*EXC.RATE_2),CURRENCY.FORMAT_2),CURRENCY.FORMAT_2,0)),'DICTIONARY-5'!$A$2))</f>
        <v/>
      </c>
      <c r="L2617" s="670" t="str">
        <f>IFERROR(IF(CURRENCY.FORMAT_1=0,CONCATENATE(TEXT(FIXED(ROUND((C2617*(1-I2617)*(1-ADD.DISCOUNT)*(1+MAT.SURCHARGE)/EXC.RATE_1),CURRENCY.FORMAT_1),CURRENCY.FORMAT_1,1),"# ##0;-# ##0"),",-"),FIXED(ROUND((C2617*(1-I2617)*(1-ADD.DISCOUNT)*(1+MAT.SURCHARGE)/EXC.RATE_1),CURRENCY.FORMAT_1),CURRENCY.FORMAT_1,0)),'DICTIONARY-5'!$A$2)</f>
        <v>188,-</v>
      </c>
      <c r="M2617" s="670" t="str">
        <f>IF(EXC.RATE_2=0,"",IFERROR(IF(CURRENCY.FORMAT_2=0,CONCATENATE(TEXT(FIXED(ROUND(IF(EXC.RATE.SWITCH=1,C2617*(1-I2617)*(1-ADD.DISCOUNT)*(1+MAT.SURCHARGE)/EXC.RATE_2,C2617*(1-I2617)*(1-ADD.DISCOUNT)*(1+MAT.SURCHARGE)*EXC.RATE_2),CURRENCY.FORMAT_2),CURRENCY.FORMAT_2,1),"# ##0;-# ##0"),",-"),FIXED(ROUND(IF(EXC.RATE.SWITCH=1,C2617*(1-I2617)*(1-ADD.DISCOUNT)*(1+MAT.SURCHARGE)/EXC.RATE_2,C2617*(1-I2617)*(1-ADD.DISCOUNT)*(1+MAT.SURCHARGE)*EXC.RATE_2),CURRENCY.FORMAT_2),CURRENCY.FORMAT_2,0)),'DICTIONARY-5'!$A$2))</f>
        <v/>
      </c>
      <c r="N2617" s="536">
        <v>12</v>
      </c>
      <c r="O2617" s="536"/>
      <c r="P2617" s="732" t="str">
        <f>'DICTIONARY-3'!$A$153&amp;" "&amp;'DICTIONARY-3'!$A$172</f>
        <v>BAIO MMK</v>
      </c>
      <c r="Q2617" s="732" t="str">
        <f>'DICTIONARY-3'!$A$223</f>
        <v>Kształtka</v>
      </c>
      <c r="R2617" s="732" t="str">
        <f>CONCATENATE('DICTIONARY-3'!$A$153," ",'DICTIONARY-3'!$A$175&amp;'DICTIONARY-3'!$A$172&amp;'DICTIONARY-3'!$A$174," ",'DICTIONARY-2'!$A$2,"80"," ",'DICTIONARY-2'!$A$10,"16",'DICTIONARY-2'!$A$20,", ","22°"," ",'DICTIONARY-3'!$A$346," ","2×",'DICTIONARY-5'!$A$198)</f>
        <v>BAIO Kształtka-MMK‎ DN80 PS16bar, 22° Kolano 2×mufa</v>
      </c>
      <c r="S2617" s="733" t="s">
        <v>5569</v>
      </c>
      <c r="T2617" s="732" t="s">
        <v>5569</v>
      </c>
      <c r="U2617" s="734" t="s">
        <v>5760</v>
      </c>
      <c r="V2617" s="735"/>
      <c r="W2617" s="736"/>
      <c r="X2617" s="737"/>
      <c r="Y2617" s="738"/>
      <c r="Z2617" s="739"/>
      <c r="AA2617" s="739"/>
      <c r="AB2617" s="740">
        <v>16</v>
      </c>
      <c r="AC2617" s="741"/>
      <c r="AD2617" s="741" t="str">
        <f>'DICTIONARY-5'!$A$13</f>
        <v>woda pitna</v>
      </c>
      <c r="AE2617" s="742">
        <v>50</v>
      </c>
      <c r="AF2617" s="743">
        <v>9</v>
      </c>
      <c r="AG2617" s="741" t="str">
        <f>'DICTIONARY-5'!$A$23</f>
        <v>powłoka epoksydowa</v>
      </c>
    </row>
    <row r="2618" spans="1:33" x14ac:dyDescent="0.25">
      <c r="A2618" s="880" t="s">
        <v>2509</v>
      </c>
      <c r="B2618" s="880" t="s">
        <v>2841</v>
      </c>
      <c r="C2618" s="836">
        <v>204</v>
      </c>
      <c r="D2618" s="836"/>
      <c r="E2618" s="836"/>
      <c r="F2618" s="836"/>
      <c r="G2618" s="496" t="s">
        <v>7851</v>
      </c>
      <c r="H2618" s="797" t="str">
        <f>VLOOKUP(G2618,SETTINGS!$B$7:$D$97,2,0)</f>
        <v>BAIO Fittings</v>
      </c>
      <c r="I2618" s="796">
        <f>VLOOKUP(G2618,SETTINGS!$B$7:$D$97,3,0)</f>
        <v>0</v>
      </c>
      <c r="J2618" s="670" t="str">
        <f>IFERROR(IF(CURRENCY.FORMAT_1=0,CONCATENATE(TEXT(FIXED(ROUND((C2618/EXC.RATE_1),CURRENCY.FORMAT_1),CURRENCY.FORMAT_1,1),"# ##0;-# ##0"),",-"),FIXED(ROUND((C2618/EXC.RATE_1),CURRENCY.FORMAT_1),CURRENCY.FORMAT_1,0)),'DICTIONARY-5'!$A$2)</f>
        <v>204,-</v>
      </c>
      <c r="K2618" s="670" t="str">
        <f>IF(EXC.RATE_2=0,"",IFERROR(IF(CURRENCY.FORMAT_2=0,CONCATENATE(TEXT(FIXED(ROUND(IF(EXC.RATE.SWITCH=1,C2618/EXC.RATE_2,C2618*EXC.RATE_2),CURRENCY.FORMAT_2),CURRENCY.FORMAT_2,1),"# ##0;-# ##0"),",-"),FIXED(ROUND(IF(EXC.RATE.SWITCH=1,C2618/EXC.RATE_2,C2618*EXC.RATE_2),CURRENCY.FORMAT_2),CURRENCY.FORMAT_2,0)),'DICTIONARY-5'!$A$2))</f>
        <v/>
      </c>
      <c r="L2618" s="670" t="str">
        <f>IFERROR(IF(CURRENCY.FORMAT_1=0,CONCATENATE(TEXT(FIXED(ROUND((C2618*(1-I2618)*(1-ADD.DISCOUNT)*(1+MAT.SURCHARGE)/EXC.RATE_1),CURRENCY.FORMAT_1),CURRENCY.FORMAT_1,1),"# ##0;-# ##0"),",-"),FIXED(ROUND((C2618*(1-I2618)*(1-ADD.DISCOUNT)*(1+MAT.SURCHARGE)/EXC.RATE_1),CURRENCY.FORMAT_1),CURRENCY.FORMAT_1,0)),'DICTIONARY-5'!$A$2)</f>
        <v>212,-</v>
      </c>
      <c r="M2618" s="670" t="str">
        <f>IF(EXC.RATE_2=0,"",IFERROR(IF(CURRENCY.FORMAT_2=0,CONCATENATE(TEXT(FIXED(ROUND(IF(EXC.RATE.SWITCH=1,C2618*(1-I2618)*(1-ADD.DISCOUNT)*(1+MAT.SURCHARGE)/EXC.RATE_2,C2618*(1-I2618)*(1-ADD.DISCOUNT)*(1+MAT.SURCHARGE)*EXC.RATE_2),CURRENCY.FORMAT_2),CURRENCY.FORMAT_2,1),"# ##0;-# ##0"),",-"),FIXED(ROUND(IF(EXC.RATE.SWITCH=1,C2618*(1-I2618)*(1-ADD.DISCOUNT)*(1+MAT.SURCHARGE)/EXC.RATE_2,C2618*(1-I2618)*(1-ADD.DISCOUNT)*(1+MAT.SURCHARGE)*EXC.RATE_2),CURRENCY.FORMAT_2),CURRENCY.FORMAT_2,0)),'DICTIONARY-5'!$A$2))</f>
        <v/>
      </c>
      <c r="N2618" s="536">
        <v>12</v>
      </c>
      <c r="O2618" s="536"/>
      <c r="P2618" s="732" t="str">
        <f>'DICTIONARY-3'!$A$153&amp;" "&amp;'DICTIONARY-3'!$A$172</f>
        <v>BAIO MMK</v>
      </c>
      <c r="Q2618" s="732" t="str">
        <f>'DICTIONARY-3'!$A$223</f>
        <v>Kształtka</v>
      </c>
      <c r="R2618" s="732" t="str">
        <f>CONCATENATE('DICTIONARY-3'!$A$153," ",'DICTIONARY-3'!$A$175&amp;'DICTIONARY-3'!$A$172&amp;'DICTIONARY-3'!$A$174," ",'DICTIONARY-2'!$A$2,"100"," ",'DICTIONARY-2'!$A$10,"16",'DICTIONARY-2'!$A$20,", ","22°"," ",'DICTIONARY-3'!$A$346," ","2×",'DICTIONARY-5'!$A$198)</f>
        <v>BAIO Kształtka-MMK‎ DN100 PS16bar, 22° Kolano 2×mufa</v>
      </c>
      <c r="S2618" s="733" t="s">
        <v>5569</v>
      </c>
      <c r="T2618" s="732" t="s">
        <v>5569</v>
      </c>
      <c r="U2618" s="734" t="s">
        <v>5749</v>
      </c>
      <c r="V2618" s="735"/>
      <c r="W2618" s="736"/>
      <c r="X2618" s="737"/>
      <c r="Y2618" s="738"/>
      <c r="Z2618" s="739"/>
      <c r="AA2618" s="739"/>
      <c r="AB2618" s="740">
        <v>16</v>
      </c>
      <c r="AC2618" s="741"/>
      <c r="AD2618" s="741" t="str">
        <f>'DICTIONARY-5'!$A$13</f>
        <v>woda pitna</v>
      </c>
      <c r="AE2618" s="742">
        <v>50</v>
      </c>
      <c r="AF2618" s="743">
        <v>9.5</v>
      </c>
      <c r="AG2618" s="741" t="str">
        <f>'DICTIONARY-5'!$A$23</f>
        <v>powłoka epoksydowa</v>
      </c>
    </row>
    <row r="2619" spans="1:33" x14ac:dyDescent="0.25">
      <c r="A2619" s="880" t="s">
        <v>2513</v>
      </c>
      <c r="B2619" s="880" t="s">
        <v>2928</v>
      </c>
      <c r="C2619" s="836">
        <v>205</v>
      </c>
      <c r="D2619" s="836"/>
      <c r="E2619" s="836"/>
      <c r="F2619" s="836"/>
      <c r="G2619" s="496" t="s">
        <v>7851</v>
      </c>
      <c r="H2619" s="797" t="str">
        <f>VLOOKUP(G2619,SETTINGS!$B$7:$D$97,2,0)</f>
        <v>BAIO Fittings</v>
      </c>
      <c r="I2619" s="796">
        <f>VLOOKUP(G2619,SETTINGS!$B$7:$D$97,3,0)</f>
        <v>0</v>
      </c>
      <c r="J2619" s="670" t="str">
        <f>IFERROR(IF(CURRENCY.FORMAT_1=0,CONCATENATE(TEXT(FIXED(ROUND((C2619/EXC.RATE_1),CURRENCY.FORMAT_1),CURRENCY.FORMAT_1,1),"# ##0;-# ##0"),",-"),FIXED(ROUND((C2619/EXC.RATE_1),CURRENCY.FORMAT_1),CURRENCY.FORMAT_1,0)),'DICTIONARY-5'!$A$2)</f>
        <v>205,-</v>
      </c>
      <c r="K2619" s="670" t="str">
        <f>IF(EXC.RATE_2=0,"",IFERROR(IF(CURRENCY.FORMAT_2=0,CONCATENATE(TEXT(FIXED(ROUND(IF(EXC.RATE.SWITCH=1,C2619/EXC.RATE_2,C2619*EXC.RATE_2),CURRENCY.FORMAT_2),CURRENCY.FORMAT_2,1),"# ##0;-# ##0"),",-"),FIXED(ROUND(IF(EXC.RATE.SWITCH=1,C2619/EXC.RATE_2,C2619*EXC.RATE_2),CURRENCY.FORMAT_2),CURRENCY.FORMAT_2,0)),'DICTIONARY-5'!$A$2))</f>
        <v/>
      </c>
      <c r="L2619" s="670" t="str">
        <f>IFERROR(IF(CURRENCY.FORMAT_1=0,CONCATENATE(TEXT(FIXED(ROUND((C2619*(1-I2619)*(1-ADD.DISCOUNT)*(1+MAT.SURCHARGE)/EXC.RATE_1),CURRENCY.FORMAT_1),CURRENCY.FORMAT_1,1),"# ##0;-# ##0"),",-"),FIXED(ROUND((C2619*(1-I2619)*(1-ADD.DISCOUNT)*(1+MAT.SURCHARGE)/EXC.RATE_1),CURRENCY.FORMAT_1),CURRENCY.FORMAT_1,0)),'DICTIONARY-5'!$A$2)</f>
        <v>213,-</v>
      </c>
      <c r="M2619" s="670" t="str">
        <f>IF(EXC.RATE_2=0,"",IFERROR(IF(CURRENCY.FORMAT_2=0,CONCATENATE(TEXT(FIXED(ROUND(IF(EXC.RATE.SWITCH=1,C2619*(1-I2619)*(1-ADD.DISCOUNT)*(1+MAT.SURCHARGE)/EXC.RATE_2,C2619*(1-I2619)*(1-ADD.DISCOUNT)*(1+MAT.SURCHARGE)*EXC.RATE_2),CURRENCY.FORMAT_2),CURRENCY.FORMAT_2,1),"# ##0;-# ##0"),",-"),FIXED(ROUND(IF(EXC.RATE.SWITCH=1,C2619*(1-I2619)*(1-ADD.DISCOUNT)*(1+MAT.SURCHARGE)/EXC.RATE_2,C2619*(1-I2619)*(1-ADD.DISCOUNT)*(1+MAT.SURCHARGE)*EXC.RATE_2),CURRENCY.FORMAT_2),CURRENCY.FORMAT_2,0)),'DICTIONARY-5'!$A$2))</f>
        <v/>
      </c>
      <c r="N2619" s="536">
        <v>12</v>
      </c>
      <c r="O2619" s="536"/>
      <c r="P2619" s="732" t="str">
        <f>'DICTIONARY-3'!$A$153&amp;" "&amp;'DICTIONARY-3'!$A$172</f>
        <v>BAIO MMK</v>
      </c>
      <c r="Q2619" s="732" t="str">
        <f>'DICTIONARY-3'!$A$223</f>
        <v>Kształtka</v>
      </c>
      <c r="R2619" s="732" t="str">
        <f>CONCATENATE('DICTIONARY-3'!$A$153," ",'DICTIONARY-3'!$A$175&amp;'DICTIONARY-3'!$A$172&amp;'DICTIONARY-3'!$A$174," ",'DICTIONARY-2'!$A$2,"125"," ",'DICTIONARY-2'!$A$10,"16",'DICTIONARY-2'!$A$20,", ","22°"," ",'DICTIONARY-3'!$A$346," ","2×",'DICTIONARY-5'!$A$198)</f>
        <v>BAIO Kształtka-MMK‎ DN125 PS16bar, 22° Kolano 2×mufa</v>
      </c>
      <c r="S2619" s="733" t="s">
        <v>5569</v>
      </c>
      <c r="T2619" s="732" t="s">
        <v>5569</v>
      </c>
      <c r="U2619" s="734" t="s">
        <v>5761</v>
      </c>
      <c r="V2619" s="735"/>
      <c r="W2619" s="736"/>
      <c r="X2619" s="737"/>
      <c r="Y2619" s="738"/>
      <c r="Z2619" s="739"/>
      <c r="AA2619" s="739"/>
      <c r="AB2619" s="740">
        <v>16</v>
      </c>
      <c r="AC2619" s="741"/>
      <c r="AD2619" s="741" t="str">
        <f>'DICTIONARY-5'!$A$13</f>
        <v>woda pitna</v>
      </c>
      <c r="AE2619" s="742">
        <v>50</v>
      </c>
      <c r="AF2619" s="743">
        <v>13.3</v>
      </c>
      <c r="AG2619" s="741" t="str">
        <f>'DICTIONARY-5'!$A$23</f>
        <v>powłoka epoksydowa</v>
      </c>
    </row>
    <row r="2620" spans="1:33" x14ac:dyDescent="0.25">
      <c r="A2620" s="880" t="s">
        <v>2517</v>
      </c>
      <c r="B2620" s="880" t="s">
        <v>2845</v>
      </c>
      <c r="C2620" s="836">
        <v>244</v>
      </c>
      <c r="D2620" s="836"/>
      <c r="E2620" s="836"/>
      <c r="F2620" s="836"/>
      <c r="G2620" s="496" t="s">
        <v>7851</v>
      </c>
      <c r="H2620" s="797" t="str">
        <f>VLOOKUP(G2620,SETTINGS!$B$7:$D$97,2,0)</f>
        <v>BAIO Fittings</v>
      </c>
      <c r="I2620" s="796">
        <f>VLOOKUP(G2620,SETTINGS!$B$7:$D$97,3,0)</f>
        <v>0</v>
      </c>
      <c r="J2620" s="670" t="str">
        <f>IFERROR(IF(CURRENCY.FORMAT_1=0,CONCATENATE(TEXT(FIXED(ROUND((C2620/EXC.RATE_1),CURRENCY.FORMAT_1),CURRENCY.FORMAT_1,1),"# ##0;-# ##0"),",-"),FIXED(ROUND((C2620/EXC.RATE_1),CURRENCY.FORMAT_1),CURRENCY.FORMAT_1,0)),'DICTIONARY-5'!$A$2)</f>
        <v>244,-</v>
      </c>
      <c r="K2620" s="670" t="str">
        <f>IF(EXC.RATE_2=0,"",IFERROR(IF(CURRENCY.FORMAT_2=0,CONCATENATE(TEXT(FIXED(ROUND(IF(EXC.RATE.SWITCH=1,C2620/EXC.RATE_2,C2620*EXC.RATE_2),CURRENCY.FORMAT_2),CURRENCY.FORMAT_2,1),"# ##0;-# ##0"),",-"),FIXED(ROUND(IF(EXC.RATE.SWITCH=1,C2620/EXC.RATE_2,C2620*EXC.RATE_2),CURRENCY.FORMAT_2),CURRENCY.FORMAT_2,0)),'DICTIONARY-5'!$A$2))</f>
        <v/>
      </c>
      <c r="L2620" s="670" t="str">
        <f>IFERROR(IF(CURRENCY.FORMAT_1=0,CONCATENATE(TEXT(FIXED(ROUND((C2620*(1-I2620)*(1-ADD.DISCOUNT)*(1+MAT.SURCHARGE)/EXC.RATE_1),CURRENCY.FORMAT_1),CURRENCY.FORMAT_1,1),"# ##0;-# ##0"),",-"),FIXED(ROUND((C2620*(1-I2620)*(1-ADD.DISCOUNT)*(1+MAT.SURCHARGE)/EXC.RATE_1),CURRENCY.FORMAT_1),CURRENCY.FORMAT_1,0)),'DICTIONARY-5'!$A$2)</f>
        <v>254,-</v>
      </c>
      <c r="M2620" s="670" t="str">
        <f>IF(EXC.RATE_2=0,"",IFERROR(IF(CURRENCY.FORMAT_2=0,CONCATENATE(TEXT(FIXED(ROUND(IF(EXC.RATE.SWITCH=1,C2620*(1-I2620)*(1-ADD.DISCOUNT)*(1+MAT.SURCHARGE)/EXC.RATE_2,C2620*(1-I2620)*(1-ADD.DISCOUNT)*(1+MAT.SURCHARGE)*EXC.RATE_2),CURRENCY.FORMAT_2),CURRENCY.FORMAT_2,1),"# ##0;-# ##0"),",-"),FIXED(ROUND(IF(EXC.RATE.SWITCH=1,C2620*(1-I2620)*(1-ADD.DISCOUNT)*(1+MAT.SURCHARGE)/EXC.RATE_2,C2620*(1-I2620)*(1-ADD.DISCOUNT)*(1+MAT.SURCHARGE)*EXC.RATE_2),CURRENCY.FORMAT_2),CURRENCY.FORMAT_2,0)),'DICTIONARY-5'!$A$2))</f>
        <v/>
      </c>
      <c r="N2620" s="536">
        <v>12</v>
      </c>
      <c r="O2620" s="536"/>
      <c r="P2620" s="732" t="str">
        <f>'DICTIONARY-3'!$A$153&amp;" "&amp;'DICTIONARY-3'!$A$172</f>
        <v>BAIO MMK</v>
      </c>
      <c r="Q2620" s="732" t="str">
        <f>'DICTIONARY-3'!$A$223</f>
        <v>Kształtka</v>
      </c>
      <c r="R2620" s="732" t="str">
        <f>CONCATENATE('DICTIONARY-3'!$A$153," ",'DICTIONARY-3'!$A$175&amp;'DICTIONARY-3'!$A$172&amp;'DICTIONARY-3'!$A$174," ",'DICTIONARY-2'!$A$2,"150"," ",'DICTIONARY-2'!$A$10,"16",'DICTIONARY-2'!$A$20,", ","22°"," ",'DICTIONARY-3'!$A$346," ","2×",'DICTIONARY-5'!$A$198)</f>
        <v>BAIO Kształtka-MMK‎ DN150 PS16bar, 22° Kolano 2×mufa</v>
      </c>
      <c r="S2620" s="733" t="s">
        <v>5569</v>
      </c>
      <c r="T2620" s="732" t="s">
        <v>5569</v>
      </c>
      <c r="U2620" s="734" t="s">
        <v>5572</v>
      </c>
      <c r="V2620" s="735"/>
      <c r="W2620" s="736"/>
      <c r="X2620" s="737"/>
      <c r="Y2620" s="738"/>
      <c r="Z2620" s="739"/>
      <c r="AA2620" s="739"/>
      <c r="AB2620" s="740">
        <v>16</v>
      </c>
      <c r="AC2620" s="741"/>
      <c r="AD2620" s="741" t="str">
        <f>'DICTIONARY-5'!$A$13</f>
        <v>woda pitna</v>
      </c>
      <c r="AE2620" s="742">
        <v>50</v>
      </c>
      <c r="AF2620" s="743">
        <v>15</v>
      </c>
      <c r="AG2620" s="741" t="str">
        <f>'DICTIONARY-5'!$A$23</f>
        <v>powłoka epoksydowa</v>
      </c>
    </row>
    <row r="2621" spans="1:33" x14ac:dyDescent="0.25">
      <c r="A2621" s="880" t="s">
        <v>2521</v>
      </c>
      <c r="B2621" s="880" t="s">
        <v>2849</v>
      </c>
      <c r="C2621" s="836">
        <v>353</v>
      </c>
      <c r="D2621" s="836"/>
      <c r="E2621" s="836"/>
      <c r="F2621" s="836"/>
      <c r="G2621" s="496" t="s">
        <v>7851</v>
      </c>
      <c r="H2621" s="797" t="str">
        <f>VLOOKUP(G2621,SETTINGS!$B$7:$D$97,2,0)</f>
        <v>BAIO Fittings</v>
      </c>
      <c r="I2621" s="796">
        <f>VLOOKUP(G2621,SETTINGS!$B$7:$D$97,3,0)</f>
        <v>0</v>
      </c>
      <c r="J2621" s="670" t="str">
        <f>IFERROR(IF(CURRENCY.FORMAT_1=0,CONCATENATE(TEXT(FIXED(ROUND((C2621/EXC.RATE_1),CURRENCY.FORMAT_1),CURRENCY.FORMAT_1,1),"# ##0;-# ##0"),",-"),FIXED(ROUND((C2621/EXC.RATE_1),CURRENCY.FORMAT_1),CURRENCY.FORMAT_1,0)),'DICTIONARY-5'!$A$2)</f>
        <v>353,-</v>
      </c>
      <c r="K2621" s="670" t="str">
        <f>IF(EXC.RATE_2=0,"",IFERROR(IF(CURRENCY.FORMAT_2=0,CONCATENATE(TEXT(FIXED(ROUND(IF(EXC.RATE.SWITCH=1,C2621/EXC.RATE_2,C2621*EXC.RATE_2),CURRENCY.FORMAT_2),CURRENCY.FORMAT_2,1),"# ##0;-# ##0"),",-"),FIXED(ROUND(IF(EXC.RATE.SWITCH=1,C2621/EXC.RATE_2,C2621*EXC.RATE_2),CURRENCY.FORMAT_2),CURRENCY.FORMAT_2,0)),'DICTIONARY-5'!$A$2))</f>
        <v/>
      </c>
      <c r="L2621" s="670" t="str">
        <f>IFERROR(IF(CURRENCY.FORMAT_1=0,CONCATENATE(TEXT(FIXED(ROUND((C2621*(1-I2621)*(1-ADD.DISCOUNT)*(1+MAT.SURCHARGE)/EXC.RATE_1),CURRENCY.FORMAT_1),CURRENCY.FORMAT_1,1),"# ##0;-# ##0"),",-"),FIXED(ROUND((C2621*(1-I2621)*(1-ADD.DISCOUNT)*(1+MAT.SURCHARGE)/EXC.RATE_1),CURRENCY.FORMAT_1),CURRENCY.FORMAT_1,0)),'DICTIONARY-5'!$A$2)</f>
        <v>367,-</v>
      </c>
      <c r="M2621" s="670" t="str">
        <f>IF(EXC.RATE_2=0,"",IFERROR(IF(CURRENCY.FORMAT_2=0,CONCATENATE(TEXT(FIXED(ROUND(IF(EXC.RATE.SWITCH=1,C2621*(1-I2621)*(1-ADD.DISCOUNT)*(1+MAT.SURCHARGE)/EXC.RATE_2,C2621*(1-I2621)*(1-ADD.DISCOUNT)*(1+MAT.SURCHARGE)*EXC.RATE_2),CURRENCY.FORMAT_2),CURRENCY.FORMAT_2,1),"# ##0;-# ##0"),",-"),FIXED(ROUND(IF(EXC.RATE.SWITCH=1,C2621*(1-I2621)*(1-ADD.DISCOUNT)*(1+MAT.SURCHARGE)/EXC.RATE_2,C2621*(1-I2621)*(1-ADD.DISCOUNT)*(1+MAT.SURCHARGE)*EXC.RATE_2),CURRENCY.FORMAT_2),CURRENCY.FORMAT_2,0)),'DICTIONARY-5'!$A$2))</f>
        <v/>
      </c>
      <c r="N2621" s="536">
        <v>12</v>
      </c>
      <c r="O2621" s="536"/>
      <c r="P2621" s="732" t="str">
        <f>'DICTIONARY-3'!$A$153&amp;" "&amp;'DICTIONARY-3'!$A$172</f>
        <v>BAIO MMK</v>
      </c>
      <c r="Q2621" s="732" t="str">
        <f>'DICTIONARY-3'!$A$223</f>
        <v>Kształtka</v>
      </c>
      <c r="R2621" s="732" t="str">
        <f>CONCATENATE('DICTIONARY-3'!$A$153," ",'DICTIONARY-3'!$A$175&amp;'DICTIONARY-3'!$A$172&amp;'DICTIONARY-3'!$A$174," ",'DICTIONARY-2'!$A$2,"200"," ",'DICTIONARY-2'!$A$10,"16",'DICTIONARY-2'!$A$20,", ","22°"," ",'DICTIONARY-3'!$A$346," ","2×",'DICTIONARY-5'!$A$198)</f>
        <v>BAIO Kształtka-MMK‎ DN200 PS16bar, 22° Kolano 2×mufa</v>
      </c>
      <c r="S2621" s="733" t="s">
        <v>5569</v>
      </c>
      <c r="T2621" s="732" t="s">
        <v>5569</v>
      </c>
      <c r="U2621" s="734" t="s">
        <v>5750</v>
      </c>
      <c r="V2621" s="735"/>
      <c r="W2621" s="736"/>
      <c r="X2621" s="737"/>
      <c r="Y2621" s="738"/>
      <c r="Z2621" s="739"/>
      <c r="AA2621" s="739"/>
      <c r="AB2621" s="740">
        <v>16</v>
      </c>
      <c r="AC2621" s="741"/>
      <c r="AD2621" s="741" t="str">
        <f>'DICTIONARY-5'!$A$13</f>
        <v>woda pitna</v>
      </c>
      <c r="AE2621" s="742">
        <v>50</v>
      </c>
      <c r="AF2621" s="743">
        <v>25</v>
      </c>
      <c r="AG2621" s="741" t="str">
        <f>'DICTIONARY-5'!$A$23</f>
        <v>powłoka epoksydowa</v>
      </c>
    </row>
    <row r="2622" spans="1:33" x14ac:dyDescent="0.25">
      <c r="A2622" s="880" t="s">
        <v>2505</v>
      </c>
      <c r="B2622" s="880" t="s">
        <v>2838</v>
      </c>
      <c r="C2622" s="836">
        <v>178</v>
      </c>
      <c r="D2622" s="836"/>
      <c r="E2622" s="836"/>
      <c r="F2622" s="836"/>
      <c r="G2622" s="496" t="s">
        <v>7851</v>
      </c>
      <c r="H2622" s="797" t="str">
        <f>VLOOKUP(G2622,SETTINGS!$B$7:$D$97,2,0)</f>
        <v>BAIO Fittings</v>
      </c>
      <c r="I2622" s="796">
        <f>VLOOKUP(G2622,SETTINGS!$B$7:$D$97,3,0)</f>
        <v>0</v>
      </c>
      <c r="J2622" s="670" t="str">
        <f>IFERROR(IF(CURRENCY.FORMAT_1=0,CONCATENATE(TEXT(FIXED(ROUND((C2622/EXC.RATE_1),CURRENCY.FORMAT_1),CURRENCY.FORMAT_1,1),"# ##0;-# ##0"),",-"),FIXED(ROUND((C2622/EXC.RATE_1),CURRENCY.FORMAT_1),CURRENCY.FORMAT_1,0)),'DICTIONARY-5'!$A$2)</f>
        <v>178,-</v>
      </c>
      <c r="K2622" s="670" t="str">
        <f>IF(EXC.RATE_2=0,"",IFERROR(IF(CURRENCY.FORMAT_2=0,CONCATENATE(TEXT(FIXED(ROUND(IF(EXC.RATE.SWITCH=1,C2622/EXC.RATE_2,C2622*EXC.RATE_2),CURRENCY.FORMAT_2),CURRENCY.FORMAT_2,1),"# ##0;-# ##0"),",-"),FIXED(ROUND(IF(EXC.RATE.SWITCH=1,C2622/EXC.RATE_2,C2622*EXC.RATE_2),CURRENCY.FORMAT_2),CURRENCY.FORMAT_2,0)),'DICTIONARY-5'!$A$2))</f>
        <v/>
      </c>
      <c r="L2622" s="670" t="str">
        <f>IFERROR(IF(CURRENCY.FORMAT_1=0,CONCATENATE(TEXT(FIXED(ROUND((C2622*(1-I2622)*(1-ADD.DISCOUNT)*(1+MAT.SURCHARGE)/EXC.RATE_1),CURRENCY.FORMAT_1),CURRENCY.FORMAT_1,1),"# ##0;-# ##0"),",-"),FIXED(ROUND((C2622*(1-I2622)*(1-ADD.DISCOUNT)*(1+MAT.SURCHARGE)/EXC.RATE_1),CURRENCY.FORMAT_1),CURRENCY.FORMAT_1,0)),'DICTIONARY-5'!$A$2)</f>
        <v>185,-</v>
      </c>
      <c r="M2622" s="670" t="str">
        <f>IF(EXC.RATE_2=0,"",IFERROR(IF(CURRENCY.FORMAT_2=0,CONCATENATE(TEXT(FIXED(ROUND(IF(EXC.RATE.SWITCH=1,C2622*(1-I2622)*(1-ADD.DISCOUNT)*(1+MAT.SURCHARGE)/EXC.RATE_2,C2622*(1-I2622)*(1-ADD.DISCOUNT)*(1+MAT.SURCHARGE)*EXC.RATE_2),CURRENCY.FORMAT_2),CURRENCY.FORMAT_2,1),"# ##0;-# ##0"),",-"),FIXED(ROUND(IF(EXC.RATE.SWITCH=1,C2622*(1-I2622)*(1-ADD.DISCOUNT)*(1+MAT.SURCHARGE)/EXC.RATE_2,C2622*(1-I2622)*(1-ADD.DISCOUNT)*(1+MAT.SURCHARGE)*EXC.RATE_2),CURRENCY.FORMAT_2),CURRENCY.FORMAT_2,0)),'DICTIONARY-5'!$A$2))</f>
        <v/>
      </c>
      <c r="N2622" s="536">
        <v>12</v>
      </c>
      <c r="O2622" s="536"/>
      <c r="P2622" s="732" t="str">
        <f>'DICTIONARY-3'!$A$153&amp;" "&amp;'DICTIONARY-3'!$A$172</f>
        <v>BAIO MMK</v>
      </c>
      <c r="Q2622" s="732" t="str">
        <f>'DICTIONARY-3'!$A$223</f>
        <v>Kształtka</v>
      </c>
      <c r="R2622" s="732" t="str">
        <f>CONCATENATE('DICTIONARY-3'!$A$153," ",'DICTIONARY-3'!$A$175&amp;'DICTIONARY-3'!$A$172&amp;'DICTIONARY-3'!$A$174," ",'DICTIONARY-2'!$A$2,"80"," ",'DICTIONARY-2'!$A$10,"16",'DICTIONARY-2'!$A$20,", ","30°"," ",'DICTIONARY-3'!$A$346," ","2×",'DICTIONARY-5'!$A$198)</f>
        <v>BAIO Kształtka-MMK‎ DN80 PS16bar, 30° Kolano 2×mufa</v>
      </c>
      <c r="S2622" s="733" t="s">
        <v>5569</v>
      </c>
      <c r="T2622" s="732" t="s">
        <v>5569</v>
      </c>
      <c r="U2622" s="734" t="s">
        <v>5760</v>
      </c>
      <c r="V2622" s="735"/>
      <c r="W2622" s="736"/>
      <c r="X2622" s="737"/>
      <c r="Y2622" s="738"/>
      <c r="Z2622" s="739"/>
      <c r="AA2622" s="739"/>
      <c r="AB2622" s="740">
        <v>16</v>
      </c>
      <c r="AC2622" s="741"/>
      <c r="AD2622" s="741" t="str">
        <f>'DICTIONARY-5'!$A$13</f>
        <v>woda pitna</v>
      </c>
      <c r="AE2622" s="742">
        <v>50</v>
      </c>
      <c r="AF2622" s="743">
        <v>9</v>
      </c>
      <c r="AG2622" s="741" t="str">
        <f>'DICTIONARY-5'!$A$23</f>
        <v>powłoka epoksydowa</v>
      </c>
    </row>
    <row r="2623" spans="1:33" x14ac:dyDescent="0.25">
      <c r="A2623" s="880" t="s">
        <v>2510</v>
      </c>
      <c r="B2623" s="880" t="s">
        <v>2842</v>
      </c>
      <c r="C2623" s="836">
        <v>195</v>
      </c>
      <c r="D2623" s="836"/>
      <c r="E2623" s="836"/>
      <c r="F2623" s="836"/>
      <c r="G2623" s="496" t="s">
        <v>7851</v>
      </c>
      <c r="H2623" s="797" t="str">
        <f>VLOOKUP(G2623,SETTINGS!$B$7:$D$97,2,0)</f>
        <v>BAIO Fittings</v>
      </c>
      <c r="I2623" s="796">
        <f>VLOOKUP(G2623,SETTINGS!$B$7:$D$97,3,0)</f>
        <v>0</v>
      </c>
      <c r="J2623" s="670" t="str">
        <f>IFERROR(IF(CURRENCY.FORMAT_1=0,CONCATENATE(TEXT(FIXED(ROUND((C2623/EXC.RATE_1),CURRENCY.FORMAT_1),CURRENCY.FORMAT_1,1),"# ##0;-# ##0"),",-"),FIXED(ROUND((C2623/EXC.RATE_1),CURRENCY.FORMAT_1),CURRENCY.FORMAT_1,0)),'DICTIONARY-5'!$A$2)</f>
        <v>195,-</v>
      </c>
      <c r="K2623" s="670" t="str">
        <f>IF(EXC.RATE_2=0,"",IFERROR(IF(CURRENCY.FORMAT_2=0,CONCATENATE(TEXT(FIXED(ROUND(IF(EXC.RATE.SWITCH=1,C2623/EXC.RATE_2,C2623*EXC.RATE_2),CURRENCY.FORMAT_2),CURRENCY.FORMAT_2,1),"# ##0;-# ##0"),",-"),FIXED(ROUND(IF(EXC.RATE.SWITCH=1,C2623/EXC.RATE_2,C2623*EXC.RATE_2),CURRENCY.FORMAT_2),CURRENCY.FORMAT_2,0)),'DICTIONARY-5'!$A$2))</f>
        <v/>
      </c>
      <c r="L2623" s="670" t="str">
        <f>IFERROR(IF(CURRENCY.FORMAT_1=0,CONCATENATE(TEXT(FIXED(ROUND((C2623*(1-I2623)*(1-ADD.DISCOUNT)*(1+MAT.SURCHARGE)/EXC.RATE_1),CURRENCY.FORMAT_1),CURRENCY.FORMAT_1,1),"# ##0;-# ##0"),",-"),FIXED(ROUND((C2623*(1-I2623)*(1-ADD.DISCOUNT)*(1+MAT.SURCHARGE)/EXC.RATE_1),CURRENCY.FORMAT_1),CURRENCY.FORMAT_1,0)),'DICTIONARY-5'!$A$2)</f>
        <v>203,-</v>
      </c>
      <c r="M2623" s="670" t="str">
        <f>IF(EXC.RATE_2=0,"",IFERROR(IF(CURRENCY.FORMAT_2=0,CONCATENATE(TEXT(FIXED(ROUND(IF(EXC.RATE.SWITCH=1,C2623*(1-I2623)*(1-ADD.DISCOUNT)*(1+MAT.SURCHARGE)/EXC.RATE_2,C2623*(1-I2623)*(1-ADD.DISCOUNT)*(1+MAT.SURCHARGE)*EXC.RATE_2),CURRENCY.FORMAT_2),CURRENCY.FORMAT_2,1),"# ##0;-# ##0"),",-"),FIXED(ROUND(IF(EXC.RATE.SWITCH=1,C2623*(1-I2623)*(1-ADD.DISCOUNT)*(1+MAT.SURCHARGE)/EXC.RATE_2,C2623*(1-I2623)*(1-ADD.DISCOUNT)*(1+MAT.SURCHARGE)*EXC.RATE_2),CURRENCY.FORMAT_2),CURRENCY.FORMAT_2,0)),'DICTIONARY-5'!$A$2))</f>
        <v/>
      </c>
      <c r="N2623" s="536">
        <v>12</v>
      </c>
      <c r="O2623" s="536"/>
      <c r="P2623" s="732" t="str">
        <f>'DICTIONARY-3'!$A$153&amp;" "&amp;'DICTIONARY-3'!$A$172</f>
        <v>BAIO MMK</v>
      </c>
      <c r="Q2623" s="732" t="str">
        <f>'DICTIONARY-3'!$A$223</f>
        <v>Kształtka</v>
      </c>
      <c r="R2623" s="732" t="str">
        <f>CONCATENATE('DICTIONARY-3'!$A$153," ",'DICTIONARY-3'!$A$175&amp;'DICTIONARY-3'!$A$172&amp;'DICTIONARY-3'!$A$174," ",'DICTIONARY-2'!$A$2,"100"," ",'DICTIONARY-2'!$A$10,"16",'DICTIONARY-2'!$A$20,", ","30°"," ",'DICTIONARY-3'!$A$346," ","2×",'DICTIONARY-5'!$A$198)</f>
        <v>BAIO Kształtka-MMK‎ DN100 PS16bar, 30° Kolano 2×mufa</v>
      </c>
      <c r="S2623" s="733" t="s">
        <v>5569</v>
      </c>
      <c r="T2623" s="732" t="s">
        <v>5569</v>
      </c>
      <c r="U2623" s="734" t="s">
        <v>5749</v>
      </c>
      <c r="V2623" s="735"/>
      <c r="W2623" s="736"/>
      <c r="X2623" s="737"/>
      <c r="Y2623" s="738"/>
      <c r="Z2623" s="739"/>
      <c r="AA2623" s="739"/>
      <c r="AB2623" s="740">
        <v>16</v>
      </c>
      <c r="AC2623" s="741"/>
      <c r="AD2623" s="741" t="str">
        <f>'DICTIONARY-5'!$A$13</f>
        <v>woda pitna</v>
      </c>
      <c r="AE2623" s="742">
        <v>50</v>
      </c>
      <c r="AF2623" s="743">
        <v>9.5</v>
      </c>
      <c r="AG2623" s="741" t="str">
        <f>'DICTIONARY-5'!$A$23</f>
        <v>powłoka epoksydowa</v>
      </c>
    </row>
    <row r="2624" spans="1:33" x14ac:dyDescent="0.25">
      <c r="A2624" s="880" t="s">
        <v>2514</v>
      </c>
      <c r="B2624" s="880" t="s">
        <v>2927</v>
      </c>
      <c r="C2624" s="836">
        <v>175</v>
      </c>
      <c r="D2624" s="836"/>
      <c r="E2624" s="836"/>
      <c r="F2624" s="836"/>
      <c r="G2624" s="496" t="s">
        <v>7851</v>
      </c>
      <c r="H2624" s="797" t="str">
        <f>VLOOKUP(G2624,SETTINGS!$B$7:$D$97,2,0)</f>
        <v>BAIO Fittings</v>
      </c>
      <c r="I2624" s="796">
        <f>VLOOKUP(G2624,SETTINGS!$B$7:$D$97,3,0)</f>
        <v>0</v>
      </c>
      <c r="J2624" s="670" t="str">
        <f>IFERROR(IF(CURRENCY.FORMAT_1=0,CONCATENATE(TEXT(FIXED(ROUND((C2624/EXC.RATE_1),CURRENCY.FORMAT_1),CURRENCY.FORMAT_1,1),"# ##0;-# ##0"),",-"),FIXED(ROUND((C2624/EXC.RATE_1),CURRENCY.FORMAT_1),CURRENCY.FORMAT_1,0)),'DICTIONARY-5'!$A$2)</f>
        <v>175,-</v>
      </c>
      <c r="K2624" s="670" t="str">
        <f>IF(EXC.RATE_2=0,"",IFERROR(IF(CURRENCY.FORMAT_2=0,CONCATENATE(TEXT(FIXED(ROUND(IF(EXC.RATE.SWITCH=1,C2624/EXC.RATE_2,C2624*EXC.RATE_2),CURRENCY.FORMAT_2),CURRENCY.FORMAT_2,1),"# ##0;-# ##0"),",-"),FIXED(ROUND(IF(EXC.RATE.SWITCH=1,C2624/EXC.RATE_2,C2624*EXC.RATE_2),CURRENCY.FORMAT_2),CURRENCY.FORMAT_2,0)),'DICTIONARY-5'!$A$2))</f>
        <v/>
      </c>
      <c r="L2624" s="670" t="str">
        <f>IFERROR(IF(CURRENCY.FORMAT_1=0,CONCATENATE(TEXT(FIXED(ROUND((C2624*(1-I2624)*(1-ADD.DISCOUNT)*(1+MAT.SURCHARGE)/EXC.RATE_1),CURRENCY.FORMAT_1),CURRENCY.FORMAT_1,1),"# ##0;-# ##0"),",-"),FIXED(ROUND((C2624*(1-I2624)*(1-ADD.DISCOUNT)*(1+MAT.SURCHARGE)/EXC.RATE_1),CURRENCY.FORMAT_1),CURRENCY.FORMAT_1,0)),'DICTIONARY-5'!$A$2)</f>
        <v>182,-</v>
      </c>
      <c r="M2624" s="670" t="str">
        <f>IF(EXC.RATE_2=0,"",IFERROR(IF(CURRENCY.FORMAT_2=0,CONCATENATE(TEXT(FIXED(ROUND(IF(EXC.RATE.SWITCH=1,C2624*(1-I2624)*(1-ADD.DISCOUNT)*(1+MAT.SURCHARGE)/EXC.RATE_2,C2624*(1-I2624)*(1-ADD.DISCOUNT)*(1+MAT.SURCHARGE)*EXC.RATE_2),CURRENCY.FORMAT_2),CURRENCY.FORMAT_2,1),"# ##0;-# ##0"),",-"),FIXED(ROUND(IF(EXC.RATE.SWITCH=1,C2624*(1-I2624)*(1-ADD.DISCOUNT)*(1+MAT.SURCHARGE)/EXC.RATE_2,C2624*(1-I2624)*(1-ADD.DISCOUNT)*(1+MAT.SURCHARGE)*EXC.RATE_2),CURRENCY.FORMAT_2),CURRENCY.FORMAT_2,0)),'DICTIONARY-5'!$A$2))</f>
        <v/>
      </c>
      <c r="N2624" s="536">
        <v>12</v>
      </c>
      <c r="O2624" s="536"/>
      <c r="P2624" s="732" t="str">
        <f>'DICTIONARY-3'!$A$153&amp;" "&amp;'DICTIONARY-3'!$A$172</f>
        <v>BAIO MMK</v>
      </c>
      <c r="Q2624" s="732" t="str">
        <f>'DICTIONARY-3'!$A$223</f>
        <v>Kształtka</v>
      </c>
      <c r="R2624" s="732" t="str">
        <f>CONCATENATE('DICTIONARY-3'!$A$153," ",'DICTIONARY-3'!$A$175&amp;'DICTIONARY-3'!$A$172&amp;'DICTIONARY-3'!$A$174," ",'DICTIONARY-2'!$A$2,"125"," ",'DICTIONARY-2'!$A$10,"16",'DICTIONARY-2'!$A$20,", ","30°"," ",'DICTIONARY-3'!$A$346," ","2×",'DICTIONARY-5'!$A$198)</f>
        <v>BAIO Kształtka-MMK‎ DN125 PS16bar, 30° Kolano 2×mufa</v>
      </c>
      <c r="S2624" s="733" t="s">
        <v>5569</v>
      </c>
      <c r="T2624" s="732" t="s">
        <v>5569</v>
      </c>
      <c r="U2624" s="734" t="s">
        <v>5761</v>
      </c>
      <c r="V2624" s="735"/>
      <c r="W2624" s="736"/>
      <c r="X2624" s="737"/>
      <c r="Y2624" s="738"/>
      <c r="Z2624" s="739"/>
      <c r="AA2624" s="739"/>
      <c r="AB2624" s="740">
        <v>16</v>
      </c>
      <c r="AC2624" s="741"/>
      <c r="AD2624" s="741" t="str">
        <f>'DICTIONARY-5'!$A$13</f>
        <v>woda pitna</v>
      </c>
      <c r="AE2624" s="742">
        <v>50</v>
      </c>
      <c r="AF2624" s="743">
        <v>13.7</v>
      </c>
      <c r="AG2624" s="741" t="str">
        <f>'DICTIONARY-5'!$A$23</f>
        <v>powłoka epoksydowa</v>
      </c>
    </row>
    <row r="2625" spans="1:33" x14ac:dyDescent="0.25">
      <c r="A2625" s="880" t="s">
        <v>2518</v>
      </c>
      <c r="B2625" s="880" t="s">
        <v>2846</v>
      </c>
      <c r="C2625" s="836">
        <v>248</v>
      </c>
      <c r="D2625" s="836"/>
      <c r="E2625" s="836"/>
      <c r="F2625" s="836"/>
      <c r="G2625" s="496" t="s">
        <v>7851</v>
      </c>
      <c r="H2625" s="797" t="str">
        <f>VLOOKUP(G2625,SETTINGS!$B$7:$D$97,2,0)</f>
        <v>BAIO Fittings</v>
      </c>
      <c r="I2625" s="796">
        <f>VLOOKUP(G2625,SETTINGS!$B$7:$D$97,3,0)</f>
        <v>0</v>
      </c>
      <c r="J2625" s="670" t="str">
        <f>IFERROR(IF(CURRENCY.FORMAT_1=0,CONCATENATE(TEXT(FIXED(ROUND((C2625/EXC.RATE_1),CURRENCY.FORMAT_1),CURRENCY.FORMAT_1,1),"# ##0;-# ##0"),",-"),FIXED(ROUND((C2625/EXC.RATE_1),CURRENCY.FORMAT_1),CURRENCY.FORMAT_1,0)),'DICTIONARY-5'!$A$2)</f>
        <v>248,-</v>
      </c>
      <c r="K2625" s="670" t="str">
        <f>IF(EXC.RATE_2=0,"",IFERROR(IF(CURRENCY.FORMAT_2=0,CONCATENATE(TEXT(FIXED(ROUND(IF(EXC.RATE.SWITCH=1,C2625/EXC.RATE_2,C2625*EXC.RATE_2),CURRENCY.FORMAT_2),CURRENCY.FORMAT_2,1),"# ##0;-# ##0"),",-"),FIXED(ROUND(IF(EXC.RATE.SWITCH=1,C2625/EXC.RATE_2,C2625*EXC.RATE_2),CURRENCY.FORMAT_2),CURRENCY.FORMAT_2,0)),'DICTIONARY-5'!$A$2))</f>
        <v/>
      </c>
      <c r="L2625" s="670" t="str">
        <f>IFERROR(IF(CURRENCY.FORMAT_1=0,CONCATENATE(TEXT(FIXED(ROUND((C2625*(1-I2625)*(1-ADD.DISCOUNT)*(1+MAT.SURCHARGE)/EXC.RATE_1),CURRENCY.FORMAT_1),CURRENCY.FORMAT_1,1),"# ##0;-# ##0"),",-"),FIXED(ROUND((C2625*(1-I2625)*(1-ADD.DISCOUNT)*(1+MAT.SURCHARGE)/EXC.RATE_1),CURRENCY.FORMAT_1),CURRENCY.FORMAT_1,0)),'DICTIONARY-5'!$A$2)</f>
        <v>258,-</v>
      </c>
      <c r="M2625" s="670" t="str">
        <f>IF(EXC.RATE_2=0,"",IFERROR(IF(CURRENCY.FORMAT_2=0,CONCATENATE(TEXT(FIXED(ROUND(IF(EXC.RATE.SWITCH=1,C2625*(1-I2625)*(1-ADD.DISCOUNT)*(1+MAT.SURCHARGE)/EXC.RATE_2,C2625*(1-I2625)*(1-ADD.DISCOUNT)*(1+MAT.SURCHARGE)*EXC.RATE_2),CURRENCY.FORMAT_2),CURRENCY.FORMAT_2,1),"# ##0;-# ##0"),",-"),FIXED(ROUND(IF(EXC.RATE.SWITCH=1,C2625*(1-I2625)*(1-ADD.DISCOUNT)*(1+MAT.SURCHARGE)/EXC.RATE_2,C2625*(1-I2625)*(1-ADD.DISCOUNT)*(1+MAT.SURCHARGE)*EXC.RATE_2),CURRENCY.FORMAT_2),CURRENCY.FORMAT_2,0)),'DICTIONARY-5'!$A$2))</f>
        <v/>
      </c>
      <c r="N2625" s="536">
        <v>12</v>
      </c>
      <c r="O2625" s="536"/>
      <c r="P2625" s="732" t="str">
        <f>'DICTIONARY-3'!$A$153&amp;" "&amp;'DICTIONARY-3'!$A$172</f>
        <v>BAIO MMK</v>
      </c>
      <c r="Q2625" s="732" t="str">
        <f>'DICTIONARY-3'!$A$223</f>
        <v>Kształtka</v>
      </c>
      <c r="R2625" s="732" t="str">
        <f>CONCATENATE('DICTIONARY-3'!$A$153," ",'DICTIONARY-3'!$A$175&amp;'DICTIONARY-3'!$A$172&amp;'DICTIONARY-3'!$A$174," ",'DICTIONARY-2'!$A$2,"150"," ",'DICTIONARY-2'!$A$10,"16",'DICTIONARY-2'!$A$20,", ","30°"," ",'DICTIONARY-3'!$A$346," ","2×",'DICTIONARY-5'!$A$198)</f>
        <v>BAIO Kształtka-MMK‎ DN150 PS16bar, 30° Kolano 2×mufa</v>
      </c>
      <c r="S2625" s="733" t="s">
        <v>5569</v>
      </c>
      <c r="T2625" s="732" t="s">
        <v>5569</v>
      </c>
      <c r="U2625" s="734" t="s">
        <v>5572</v>
      </c>
      <c r="V2625" s="735"/>
      <c r="W2625" s="736"/>
      <c r="X2625" s="737"/>
      <c r="Y2625" s="738"/>
      <c r="Z2625" s="739"/>
      <c r="AA2625" s="739"/>
      <c r="AB2625" s="740">
        <v>16</v>
      </c>
      <c r="AC2625" s="741"/>
      <c r="AD2625" s="741" t="str">
        <f>'DICTIONARY-5'!$A$13</f>
        <v>woda pitna</v>
      </c>
      <c r="AE2625" s="742">
        <v>50</v>
      </c>
      <c r="AF2625" s="743">
        <v>15.5</v>
      </c>
      <c r="AG2625" s="741" t="str">
        <f>'DICTIONARY-5'!$A$23</f>
        <v>powłoka epoksydowa</v>
      </c>
    </row>
    <row r="2626" spans="1:33" x14ac:dyDescent="0.25">
      <c r="A2626" s="880" t="s">
        <v>2522</v>
      </c>
      <c r="B2626" s="880" t="s">
        <v>2850</v>
      </c>
      <c r="C2626" s="836">
        <v>390</v>
      </c>
      <c r="D2626" s="836"/>
      <c r="E2626" s="836"/>
      <c r="F2626" s="836"/>
      <c r="G2626" s="496" t="s">
        <v>7851</v>
      </c>
      <c r="H2626" s="797" t="str">
        <f>VLOOKUP(G2626,SETTINGS!$B$7:$D$97,2,0)</f>
        <v>BAIO Fittings</v>
      </c>
      <c r="I2626" s="796">
        <f>VLOOKUP(G2626,SETTINGS!$B$7:$D$97,3,0)</f>
        <v>0</v>
      </c>
      <c r="J2626" s="670" t="str">
        <f>IFERROR(IF(CURRENCY.FORMAT_1=0,CONCATENATE(TEXT(FIXED(ROUND((C2626/EXC.RATE_1),CURRENCY.FORMAT_1),CURRENCY.FORMAT_1,1),"# ##0;-# ##0"),",-"),FIXED(ROUND((C2626/EXC.RATE_1),CURRENCY.FORMAT_1),CURRENCY.FORMAT_1,0)),'DICTIONARY-5'!$A$2)</f>
        <v>390,-</v>
      </c>
      <c r="K2626" s="670" t="str">
        <f>IF(EXC.RATE_2=0,"",IFERROR(IF(CURRENCY.FORMAT_2=0,CONCATENATE(TEXT(FIXED(ROUND(IF(EXC.RATE.SWITCH=1,C2626/EXC.RATE_2,C2626*EXC.RATE_2),CURRENCY.FORMAT_2),CURRENCY.FORMAT_2,1),"# ##0;-# ##0"),",-"),FIXED(ROUND(IF(EXC.RATE.SWITCH=1,C2626/EXC.RATE_2,C2626*EXC.RATE_2),CURRENCY.FORMAT_2),CURRENCY.FORMAT_2,0)),'DICTIONARY-5'!$A$2))</f>
        <v/>
      </c>
      <c r="L2626" s="670" t="str">
        <f>IFERROR(IF(CURRENCY.FORMAT_1=0,CONCATENATE(TEXT(FIXED(ROUND((C2626*(1-I2626)*(1-ADD.DISCOUNT)*(1+MAT.SURCHARGE)/EXC.RATE_1),CURRENCY.FORMAT_1),CURRENCY.FORMAT_1,1),"# ##0;-# ##0"),",-"),FIXED(ROUND((C2626*(1-I2626)*(1-ADD.DISCOUNT)*(1+MAT.SURCHARGE)/EXC.RATE_1),CURRENCY.FORMAT_1),CURRENCY.FORMAT_1,0)),'DICTIONARY-5'!$A$2)</f>
        <v>405,-</v>
      </c>
      <c r="M2626" s="670" t="str">
        <f>IF(EXC.RATE_2=0,"",IFERROR(IF(CURRENCY.FORMAT_2=0,CONCATENATE(TEXT(FIXED(ROUND(IF(EXC.RATE.SWITCH=1,C2626*(1-I2626)*(1-ADD.DISCOUNT)*(1+MAT.SURCHARGE)/EXC.RATE_2,C2626*(1-I2626)*(1-ADD.DISCOUNT)*(1+MAT.SURCHARGE)*EXC.RATE_2),CURRENCY.FORMAT_2),CURRENCY.FORMAT_2,1),"# ##0;-# ##0"),",-"),FIXED(ROUND(IF(EXC.RATE.SWITCH=1,C2626*(1-I2626)*(1-ADD.DISCOUNT)*(1+MAT.SURCHARGE)/EXC.RATE_2,C2626*(1-I2626)*(1-ADD.DISCOUNT)*(1+MAT.SURCHARGE)*EXC.RATE_2),CURRENCY.FORMAT_2),CURRENCY.FORMAT_2,0)),'DICTIONARY-5'!$A$2))</f>
        <v/>
      </c>
      <c r="N2626" s="536">
        <v>12</v>
      </c>
      <c r="O2626" s="536"/>
      <c r="P2626" s="732" t="str">
        <f>'DICTIONARY-3'!$A$153&amp;" "&amp;'DICTIONARY-3'!$A$172</f>
        <v>BAIO MMK</v>
      </c>
      <c r="Q2626" s="732" t="str">
        <f>'DICTIONARY-3'!$A$223</f>
        <v>Kształtka</v>
      </c>
      <c r="R2626" s="732" t="str">
        <f>CONCATENATE('DICTIONARY-3'!$A$153," ",'DICTIONARY-3'!$A$175&amp;'DICTIONARY-3'!$A$172&amp;'DICTIONARY-3'!$A$174," ",'DICTIONARY-2'!$A$2,"200"," ",'DICTIONARY-2'!$A$10,"16",'DICTIONARY-2'!$A$20,", ","30°"," ",'DICTIONARY-3'!$A$346," ","2×",'DICTIONARY-5'!$A$198)</f>
        <v>BAIO Kształtka-MMK‎ DN200 PS16bar, 30° Kolano 2×mufa</v>
      </c>
      <c r="S2626" s="733" t="s">
        <v>5569</v>
      </c>
      <c r="T2626" s="732" t="s">
        <v>5569</v>
      </c>
      <c r="U2626" s="734" t="s">
        <v>5750</v>
      </c>
      <c r="V2626" s="735"/>
      <c r="W2626" s="736"/>
      <c r="X2626" s="737"/>
      <c r="Y2626" s="738"/>
      <c r="Z2626" s="739"/>
      <c r="AA2626" s="739"/>
      <c r="AB2626" s="740">
        <v>16</v>
      </c>
      <c r="AC2626" s="741"/>
      <c r="AD2626" s="741" t="str">
        <f>'DICTIONARY-5'!$A$13</f>
        <v>woda pitna</v>
      </c>
      <c r="AE2626" s="742">
        <v>50</v>
      </c>
      <c r="AF2626" s="743">
        <v>23</v>
      </c>
      <c r="AG2626" s="741" t="str">
        <f>'DICTIONARY-5'!$A$23</f>
        <v>powłoka epoksydowa</v>
      </c>
    </row>
    <row r="2627" spans="1:33" x14ac:dyDescent="0.25">
      <c r="A2627" s="880" t="s">
        <v>2507</v>
      </c>
      <c r="B2627" s="880" t="s">
        <v>2839</v>
      </c>
      <c r="C2627" s="836">
        <v>189</v>
      </c>
      <c r="D2627" s="836"/>
      <c r="E2627" s="836"/>
      <c r="F2627" s="836"/>
      <c r="G2627" s="496" t="s">
        <v>7851</v>
      </c>
      <c r="H2627" s="797" t="str">
        <f>VLOOKUP(G2627,SETTINGS!$B$7:$D$97,2,0)</f>
        <v>BAIO Fittings</v>
      </c>
      <c r="I2627" s="796">
        <f>VLOOKUP(G2627,SETTINGS!$B$7:$D$97,3,0)</f>
        <v>0</v>
      </c>
      <c r="J2627" s="670" t="str">
        <f>IFERROR(IF(CURRENCY.FORMAT_1=0,CONCATENATE(TEXT(FIXED(ROUND((C2627/EXC.RATE_1),CURRENCY.FORMAT_1),CURRENCY.FORMAT_1,1),"# ##0;-# ##0"),",-"),FIXED(ROUND((C2627/EXC.RATE_1),CURRENCY.FORMAT_1),CURRENCY.FORMAT_1,0)),'DICTIONARY-5'!$A$2)</f>
        <v>189,-</v>
      </c>
      <c r="K2627" s="670" t="str">
        <f>IF(EXC.RATE_2=0,"",IFERROR(IF(CURRENCY.FORMAT_2=0,CONCATENATE(TEXT(FIXED(ROUND(IF(EXC.RATE.SWITCH=1,C2627/EXC.RATE_2,C2627*EXC.RATE_2),CURRENCY.FORMAT_2),CURRENCY.FORMAT_2,1),"# ##0;-# ##0"),",-"),FIXED(ROUND(IF(EXC.RATE.SWITCH=1,C2627/EXC.RATE_2,C2627*EXC.RATE_2),CURRENCY.FORMAT_2),CURRENCY.FORMAT_2,0)),'DICTIONARY-5'!$A$2))</f>
        <v/>
      </c>
      <c r="L2627" s="670" t="str">
        <f>IFERROR(IF(CURRENCY.FORMAT_1=0,CONCATENATE(TEXT(FIXED(ROUND((C2627*(1-I2627)*(1-ADD.DISCOUNT)*(1+MAT.SURCHARGE)/EXC.RATE_1),CURRENCY.FORMAT_1),CURRENCY.FORMAT_1,1),"# ##0;-# ##0"),",-"),FIXED(ROUND((C2627*(1-I2627)*(1-ADD.DISCOUNT)*(1+MAT.SURCHARGE)/EXC.RATE_1),CURRENCY.FORMAT_1),CURRENCY.FORMAT_1,0)),'DICTIONARY-5'!$A$2)</f>
        <v>196,-</v>
      </c>
      <c r="M2627" s="670" t="str">
        <f>IF(EXC.RATE_2=0,"",IFERROR(IF(CURRENCY.FORMAT_2=0,CONCATENATE(TEXT(FIXED(ROUND(IF(EXC.RATE.SWITCH=1,C2627*(1-I2627)*(1-ADD.DISCOUNT)*(1+MAT.SURCHARGE)/EXC.RATE_2,C2627*(1-I2627)*(1-ADD.DISCOUNT)*(1+MAT.SURCHARGE)*EXC.RATE_2),CURRENCY.FORMAT_2),CURRENCY.FORMAT_2,1),"# ##0;-# ##0"),",-"),FIXED(ROUND(IF(EXC.RATE.SWITCH=1,C2627*(1-I2627)*(1-ADD.DISCOUNT)*(1+MAT.SURCHARGE)/EXC.RATE_2,C2627*(1-I2627)*(1-ADD.DISCOUNT)*(1+MAT.SURCHARGE)*EXC.RATE_2),CURRENCY.FORMAT_2),CURRENCY.FORMAT_2,0)),'DICTIONARY-5'!$A$2))</f>
        <v/>
      </c>
      <c r="N2627" s="536">
        <v>12</v>
      </c>
      <c r="O2627" s="536"/>
      <c r="P2627" s="732" t="str">
        <f>'DICTIONARY-3'!$A$153&amp;" "&amp;'DICTIONARY-3'!$A$172</f>
        <v>BAIO MMK</v>
      </c>
      <c r="Q2627" s="732" t="str">
        <f>'DICTIONARY-3'!$A$223</f>
        <v>Kształtka</v>
      </c>
      <c r="R2627" s="732" t="str">
        <f>CONCATENATE('DICTIONARY-3'!$A$153," ",'DICTIONARY-3'!$A$175&amp;'DICTIONARY-3'!$A$172&amp;'DICTIONARY-3'!$A$174," ",'DICTIONARY-2'!$A$2,"80"," ",'DICTIONARY-2'!$A$10,"16",'DICTIONARY-2'!$A$20,", ","45°"," ",'DICTIONARY-3'!$A$346," ","2×",'DICTIONARY-5'!$A$198)</f>
        <v>BAIO Kształtka-MMK‎ DN80 PS16bar, 45° Kolano 2×mufa</v>
      </c>
      <c r="S2627" s="733" t="s">
        <v>5569</v>
      </c>
      <c r="T2627" s="732" t="s">
        <v>5569</v>
      </c>
      <c r="U2627" s="734" t="s">
        <v>5760</v>
      </c>
      <c r="V2627" s="735"/>
      <c r="W2627" s="736"/>
      <c r="X2627" s="737"/>
      <c r="Y2627" s="738"/>
      <c r="Z2627" s="739"/>
      <c r="AA2627" s="739"/>
      <c r="AB2627" s="740">
        <v>16</v>
      </c>
      <c r="AC2627" s="741"/>
      <c r="AD2627" s="741" t="str">
        <f>'DICTIONARY-5'!$A$13</f>
        <v>woda pitna</v>
      </c>
      <c r="AE2627" s="742">
        <v>50</v>
      </c>
      <c r="AF2627" s="743">
        <v>8</v>
      </c>
      <c r="AG2627" s="741" t="str">
        <f>'DICTIONARY-5'!$A$23</f>
        <v>powłoka epoksydowa</v>
      </c>
    </row>
    <row r="2628" spans="1:33" x14ac:dyDescent="0.25">
      <c r="A2628" s="880" t="s">
        <v>2511</v>
      </c>
      <c r="B2628" s="880" t="s">
        <v>2843</v>
      </c>
      <c r="C2628" s="836">
        <v>208</v>
      </c>
      <c r="D2628" s="836"/>
      <c r="E2628" s="836"/>
      <c r="F2628" s="836"/>
      <c r="G2628" s="496" t="s">
        <v>7851</v>
      </c>
      <c r="H2628" s="797" t="str">
        <f>VLOOKUP(G2628,SETTINGS!$B$7:$D$97,2,0)</f>
        <v>BAIO Fittings</v>
      </c>
      <c r="I2628" s="796">
        <f>VLOOKUP(G2628,SETTINGS!$B$7:$D$97,3,0)</f>
        <v>0</v>
      </c>
      <c r="J2628" s="670" t="str">
        <f>IFERROR(IF(CURRENCY.FORMAT_1=0,CONCATENATE(TEXT(FIXED(ROUND((C2628/EXC.RATE_1),CURRENCY.FORMAT_1),CURRENCY.FORMAT_1,1),"# ##0;-# ##0"),",-"),FIXED(ROUND((C2628/EXC.RATE_1),CURRENCY.FORMAT_1),CURRENCY.FORMAT_1,0)),'DICTIONARY-5'!$A$2)</f>
        <v>208,-</v>
      </c>
      <c r="K2628" s="670" t="str">
        <f>IF(EXC.RATE_2=0,"",IFERROR(IF(CURRENCY.FORMAT_2=0,CONCATENATE(TEXT(FIXED(ROUND(IF(EXC.RATE.SWITCH=1,C2628/EXC.RATE_2,C2628*EXC.RATE_2),CURRENCY.FORMAT_2),CURRENCY.FORMAT_2,1),"# ##0;-# ##0"),",-"),FIXED(ROUND(IF(EXC.RATE.SWITCH=1,C2628/EXC.RATE_2,C2628*EXC.RATE_2),CURRENCY.FORMAT_2),CURRENCY.FORMAT_2,0)),'DICTIONARY-5'!$A$2))</f>
        <v/>
      </c>
      <c r="L2628" s="670" t="str">
        <f>IFERROR(IF(CURRENCY.FORMAT_1=0,CONCATENATE(TEXT(FIXED(ROUND((C2628*(1-I2628)*(1-ADD.DISCOUNT)*(1+MAT.SURCHARGE)/EXC.RATE_1),CURRENCY.FORMAT_1),CURRENCY.FORMAT_1,1),"# ##0;-# ##0"),",-"),FIXED(ROUND((C2628*(1-I2628)*(1-ADD.DISCOUNT)*(1+MAT.SURCHARGE)/EXC.RATE_1),CURRENCY.FORMAT_1),CURRENCY.FORMAT_1,0)),'DICTIONARY-5'!$A$2)</f>
        <v>216,-</v>
      </c>
      <c r="M2628" s="670" t="str">
        <f>IF(EXC.RATE_2=0,"",IFERROR(IF(CURRENCY.FORMAT_2=0,CONCATENATE(TEXT(FIXED(ROUND(IF(EXC.RATE.SWITCH=1,C2628*(1-I2628)*(1-ADD.DISCOUNT)*(1+MAT.SURCHARGE)/EXC.RATE_2,C2628*(1-I2628)*(1-ADD.DISCOUNT)*(1+MAT.SURCHARGE)*EXC.RATE_2),CURRENCY.FORMAT_2),CURRENCY.FORMAT_2,1),"# ##0;-# ##0"),",-"),FIXED(ROUND(IF(EXC.RATE.SWITCH=1,C2628*(1-I2628)*(1-ADD.DISCOUNT)*(1+MAT.SURCHARGE)/EXC.RATE_2,C2628*(1-I2628)*(1-ADD.DISCOUNT)*(1+MAT.SURCHARGE)*EXC.RATE_2),CURRENCY.FORMAT_2),CURRENCY.FORMAT_2,0)),'DICTIONARY-5'!$A$2))</f>
        <v/>
      </c>
      <c r="N2628" s="536">
        <v>12</v>
      </c>
      <c r="O2628" s="536"/>
      <c r="P2628" s="732" t="str">
        <f>'DICTIONARY-3'!$A$153&amp;" "&amp;'DICTIONARY-3'!$A$172</f>
        <v>BAIO MMK</v>
      </c>
      <c r="Q2628" s="732" t="str">
        <f>'DICTIONARY-3'!$A$223</f>
        <v>Kształtka</v>
      </c>
      <c r="R2628" s="732" t="str">
        <f>CONCATENATE('DICTIONARY-3'!$A$153," ",'DICTIONARY-3'!$A$175&amp;'DICTIONARY-3'!$A$172&amp;'DICTIONARY-3'!$A$174," ",'DICTIONARY-2'!$A$2,"100"," ",'DICTIONARY-2'!$A$10,"16",'DICTIONARY-2'!$A$20,", ","45°"," ",'DICTIONARY-3'!$A$346," ","2×",'DICTIONARY-5'!$A$198)</f>
        <v>BAIO Kształtka-MMK‎ DN100 PS16bar, 45° Kolano 2×mufa</v>
      </c>
      <c r="S2628" s="733" t="s">
        <v>5569</v>
      </c>
      <c r="T2628" s="732" t="s">
        <v>5569</v>
      </c>
      <c r="U2628" s="734" t="s">
        <v>5749</v>
      </c>
      <c r="V2628" s="735"/>
      <c r="W2628" s="736"/>
      <c r="X2628" s="737"/>
      <c r="Y2628" s="738"/>
      <c r="Z2628" s="739"/>
      <c r="AA2628" s="739"/>
      <c r="AB2628" s="740">
        <v>16</v>
      </c>
      <c r="AC2628" s="741"/>
      <c r="AD2628" s="741" t="str">
        <f>'DICTIONARY-5'!$A$13</f>
        <v>woda pitna</v>
      </c>
      <c r="AE2628" s="742">
        <v>50</v>
      </c>
      <c r="AF2628" s="743">
        <v>10.5</v>
      </c>
      <c r="AG2628" s="741" t="str">
        <f>'DICTIONARY-5'!$A$23</f>
        <v>powłoka epoksydowa</v>
      </c>
    </row>
    <row r="2629" spans="1:33" x14ac:dyDescent="0.25">
      <c r="A2629" s="880" t="s">
        <v>2515</v>
      </c>
      <c r="B2629" s="880" t="s">
        <v>2926</v>
      </c>
      <c r="C2629" s="836">
        <v>194</v>
      </c>
      <c r="D2629" s="836"/>
      <c r="E2629" s="836"/>
      <c r="F2629" s="836"/>
      <c r="G2629" s="496" t="s">
        <v>7851</v>
      </c>
      <c r="H2629" s="797" t="str">
        <f>VLOOKUP(G2629,SETTINGS!$B$7:$D$97,2,0)</f>
        <v>BAIO Fittings</v>
      </c>
      <c r="I2629" s="796">
        <f>VLOOKUP(G2629,SETTINGS!$B$7:$D$97,3,0)</f>
        <v>0</v>
      </c>
      <c r="J2629" s="670" t="str">
        <f>IFERROR(IF(CURRENCY.FORMAT_1=0,CONCATENATE(TEXT(FIXED(ROUND((C2629/EXC.RATE_1),CURRENCY.FORMAT_1),CURRENCY.FORMAT_1,1),"# ##0;-# ##0"),",-"),FIXED(ROUND((C2629/EXC.RATE_1),CURRENCY.FORMAT_1),CURRENCY.FORMAT_1,0)),'DICTIONARY-5'!$A$2)</f>
        <v>194,-</v>
      </c>
      <c r="K2629" s="670" t="str">
        <f>IF(EXC.RATE_2=0,"",IFERROR(IF(CURRENCY.FORMAT_2=0,CONCATENATE(TEXT(FIXED(ROUND(IF(EXC.RATE.SWITCH=1,C2629/EXC.RATE_2,C2629*EXC.RATE_2),CURRENCY.FORMAT_2),CURRENCY.FORMAT_2,1),"# ##0;-# ##0"),",-"),FIXED(ROUND(IF(EXC.RATE.SWITCH=1,C2629/EXC.RATE_2,C2629*EXC.RATE_2),CURRENCY.FORMAT_2),CURRENCY.FORMAT_2,0)),'DICTIONARY-5'!$A$2))</f>
        <v/>
      </c>
      <c r="L2629" s="670" t="str">
        <f>IFERROR(IF(CURRENCY.FORMAT_1=0,CONCATENATE(TEXT(FIXED(ROUND((C2629*(1-I2629)*(1-ADD.DISCOUNT)*(1+MAT.SURCHARGE)/EXC.RATE_1),CURRENCY.FORMAT_1),CURRENCY.FORMAT_1,1),"# ##0;-# ##0"),",-"),FIXED(ROUND((C2629*(1-I2629)*(1-ADD.DISCOUNT)*(1+MAT.SURCHARGE)/EXC.RATE_1),CURRENCY.FORMAT_1),CURRENCY.FORMAT_1,0)),'DICTIONARY-5'!$A$2)</f>
        <v>202,-</v>
      </c>
      <c r="M2629" s="670" t="str">
        <f>IF(EXC.RATE_2=0,"",IFERROR(IF(CURRENCY.FORMAT_2=0,CONCATENATE(TEXT(FIXED(ROUND(IF(EXC.RATE.SWITCH=1,C2629*(1-I2629)*(1-ADD.DISCOUNT)*(1+MAT.SURCHARGE)/EXC.RATE_2,C2629*(1-I2629)*(1-ADD.DISCOUNT)*(1+MAT.SURCHARGE)*EXC.RATE_2),CURRENCY.FORMAT_2),CURRENCY.FORMAT_2,1),"# ##0;-# ##0"),",-"),FIXED(ROUND(IF(EXC.RATE.SWITCH=1,C2629*(1-I2629)*(1-ADD.DISCOUNT)*(1+MAT.SURCHARGE)/EXC.RATE_2,C2629*(1-I2629)*(1-ADD.DISCOUNT)*(1+MAT.SURCHARGE)*EXC.RATE_2),CURRENCY.FORMAT_2),CURRENCY.FORMAT_2,0)),'DICTIONARY-5'!$A$2))</f>
        <v/>
      </c>
      <c r="N2629" s="536">
        <v>12</v>
      </c>
      <c r="O2629" s="536"/>
      <c r="P2629" s="732" t="str">
        <f>'DICTIONARY-3'!$A$153&amp;" "&amp;'DICTIONARY-3'!$A$172</f>
        <v>BAIO MMK</v>
      </c>
      <c r="Q2629" s="732" t="str">
        <f>'DICTIONARY-3'!$A$223</f>
        <v>Kształtka</v>
      </c>
      <c r="R2629" s="732" t="str">
        <f>CONCATENATE('DICTIONARY-3'!$A$153," ",'DICTIONARY-3'!$A$175&amp;'DICTIONARY-3'!$A$172&amp;'DICTIONARY-3'!$A$174," ",'DICTIONARY-2'!$A$2,"125"," ",'DICTIONARY-2'!$A$10,"16",'DICTIONARY-2'!$A$20,", ","45°"," ",'DICTIONARY-3'!$A$346," ","2×",'DICTIONARY-5'!$A$198)</f>
        <v>BAIO Kształtka-MMK‎ DN125 PS16bar, 45° Kolano 2×mufa</v>
      </c>
      <c r="S2629" s="733" t="s">
        <v>5569</v>
      </c>
      <c r="T2629" s="732" t="s">
        <v>5569</v>
      </c>
      <c r="U2629" s="734" t="s">
        <v>5761</v>
      </c>
      <c r="V2629" s="735"/>
      <c r="W2629" s="736"/>
      <c r="X2629" s="737"/>
      <c r="Y2629" s="738"/>
      <c r="Z2629" s="739"/>
      <c r="AA2629" s="739"/>
      <c r="AB2629" s="740">
        <v>16</v>
      </c>
      <c r="AC2629" s="741"/>
      <c r="AD2629" s="741" t="str">
        <f>'DICTIONARY-5'!$A$13</f>
        <v>woda pitna</v>
      </c>
      <c r="AE2629" s="742">
        <v>50</v>
      </c>
      <c r="AF2629" s="743">
        <v>14</v>
      </c>
      <c r="AG2629" s="741" t="str">
        <f>'DICTIONARY-5'!$A$23</f>
        <v>powłoka epoksydowa</v>
      </c>
    </row>
    <row r="2630" spans="1:33" x14ac:dyDescent="0.25">
      <c r="A2630" s="880" t="s">
        <v>2519</v>
      </c>
      <c r="B2630" s="880" t="s">
        <v>2847</v>
      </c>
      <c r="C2630" s="836">
        <v>232</v>
      </c>
      <c r="D2630" s="836"/>
      <c r="E2630" s="836"/>
      <c r="F2630" s="836"/>
      <c r="G2630" s="496" t="s">
        <v>7851</v>
      </c>
      <c r="H2630" s="797" t="str">
        <f>VLOOKUP(G2630,SETTINGS!$B$7:$D$97,2,0)</f>
        <v>BAIO Fittings</v>
      </c>
      <c r="I2630" s="796">
        <f>VLOOKUP(G2630,SETTINGS!$B$7:$D$97,3,0)</f>
        <v>0</v>
      </c>
      <c r="J2630" s="670" t="str">
        <f>IFERROR(IF(CURRENCY.FORMAT_1=0,CONCATENATE(TEXT(FIXED(ROUND((C2630/EXC.RATE_1),CURRENCY.FORMAT_1),CURRENCY.FORMAT_1,1),"# ##0;-# ##0"),",-"),FIXED(ROUND((C2630/EXC.RATE_1),CURRENCY.FORMAT_1),CURRENCY.FORMAT_1,0)),'DICTIONARY-5'!$A$2)</f>
        <v>232,-</v>
      </c>
      <c r="K2630" s="670" t="str">
        <f>IF(EXC.RATE_2=0,"",IFERROR(IF(CURRENCY.FORMAT_2=0,CONCATENATE(TEXT(FIXED(ROUND(IF(EXC.RATE.SWITCH=1,C2630/EXC.RATE_2,C2630*EXC.RATE_2),CURRENCY.FORMAT_2),CURRENCY.FORMAT_2,1),"# ##0;-# ##0"),",-"),FIXED(ROUND(IF(EXC.RATE.SWITCH=1,C2630/EXC.RATE_2,C2630*EXC.RATE_2),CURRENCY.FORMAT_2),CURRENCY.FORMAT_2,0)),'DICTIONARY-5'!$A$2))</f>
        <v/>
      </c>
      <c r="L2630" s="670" t="str">
        <f>IFERROR(IF(CURRENCY.FORMAT_1=0,CONCATENATE(TEXT(FIXED(ROUND((C2630*(1-I2630)*(1-ADD.DISCOUNT)*(1+MAT.SURCHARGE)/EXC.RATE_1),CURRENCY.FORMAT_1),CURRENCY.FORMAT_1,1),"# ##0;-# ##0"),",-"),FIXED(ROUND((C2630*(1-I2630)*(1-ADD.DISCOUNT)*(1+MAT.SURCHARGE)/EXC.RATE_1),CURRENCY.FORMAT_1),CURRENCY.FORMAT_1,0)),'DICTIONARY-5'!$A$2)</f>
        <v>241,-</v>
      </c>
      <c r="M2630" s="670" t="str">
        <f>IF(EXC.RATE_2=0,"",IFERROR(IF(CURRENCY.FORMAT_2=0,CONCATENATE(TEXT(FIXED(ROUND(IF(EXC.RATE.SWITCH=1,C2630*(1-I2630)*(1-ADD.DISCOUNT)*(1+MAT.SURCHARGE)/EXC.RATE_2,C2630*(1-I2630)*(1-ADD.DISCOUNT)*(1+MAT.SURCHARGE)*EXC.RATE_2),CURRENCY.FORMAT_2),CURRENCY.FORMAT_2,1),"# ##0;-# ##0"),",-"),FIXED(ROUND(IF(EXC.RATE.SWITCH=1,C2630*(1-I2630)*(1-ADD.DISCOUNT)*(1+MAT.SURCHARGE)/EXC.RATE_2,C2630*(1-I2630)*(1-ADD.DISCOUNT)*(1+MAT.SURCHARGE)*EXC.RATE_2),CURRENCY.FORMAT_2),CURRENCY.FORMAT_2,0)),'DICTIONARY-5'!$A$2))</f>
        <v/>
      </c>
      <c r="N2630" s="536">
        <v>12</v>
      </c>
      <c r="O2630" s="536"/>
      <c r="P2630" s="732" t="str">
        <f>'DICTIONARY-3'!$A$153&amp;" "&amp;'DICTIONARY-3'!$A$172</f>
        <v>BAIO MMK</v>
      </c>
      <c r="Q2630" s="732" t="str">
        <f>'DICTIONARY-3'!$A$223</f>
        <v>Kształtka</v>
      </c>
      <c r="R2630" s="732" t="str">
        <f>CONCATENATE('DICTIONARY-3'!$A$153," ",'DICTIONARY-3'!$A$175&amp;'DICTIONARY-3'!$A$172&amp;'DICTIONARY-3'!$A$174," ",'DICTIONARY-2'!$A$2,"150"," ",'DICTIONARY-2'!$A$10,"16",'DICTIONARY-2'!$A$20,", ","45°"," ",'DICTIONARY-3'!$A$346," ","2×",'DICTIONARY-5'!$A$198)</f>
        <v>BAIO Kształtka-MMK‎ DN150 PS16bar, 45° Kolano 2×mufa</v>
      </c>
      <c r="S2630" s="733" t="s">
        <v>5569</v>
      </c>
      <c r="T2630" s="732" t="s">
        <v>5569</v>
      </c>
      <c r="U2630" s="734" t="s">
        <v>5572</v>
      </c>
      <c r="V2630" s="735"/>
      <c r="W2630" s="736"/>
      <c r="X2630" s="737"/>
      <c r="Y2630" s="738"/>
      <c r="Z2630" s="739"/>
      <c r="AA2630" s="739"/>
      <c r="AB2630" s="740">
        <v>16</v>
      </c>
      <c r="AC2630" s="741"/>
      <c r="AD2630" s="741" t="str">
        <f>'DICTIONARY-5'!$A$13</f>
        <v>woda pitna</v>
      </c>
      <c r="AE2630" s="742">
        <v>50</v>
      </c>
      <c r="AF2630" s="743">
        <v>15.5</v>
      </c>
      <c r="AG2630" s="741" t="str">
        <f>'DICTIONARY-5'!$A$23</f>
        <v>powłoka epoksydowa</v>
      </c>
    </row>
    <row r="2631" spans="1:33" x14ac:dyDescent="0.25">
      <c r="A2631" s="880" t="s">
        <v>2523</v>
      </c>
      <c r="B2631" s="880" t="s">
        <v>2851</v>
      </c>
      <c r="C2631" s="836">
        <v>443</v>
      </c>
      <c r="D2631" s="836"/>
      <c r="E2631" s="836"/>
      <c r="F2631" s="836"/>
      <c r="G2631" s="496" t="s">
        <v>7851</v>
      </c>
      <c r="H2631" s="797" t="str">
        <f>VLOOKUP(G2631,SETTINGS!$B$7:$D$97,2,0)</f>
        <v>BAIO Fittings</v>
      </c>
      <c r="I2631" s="796">
        <f>VLOOKUP(G2631,SETTINGS!$B$7:$D$97,3,0)</f>
        <v>0</v>
      </c>
      <c r="J2631" s="670" t="str">
        <f>IFERROR(IF(CURRENCY.FORMAT_1=0,CONCATENATE(TEXT(FIXED(ROUND((C2631/EXC.RATE_1),CURRENCY.FORMAT_1),CURRENCY.FORMAT_1,1),"# ##0;-# ##0"),",-"),FIXED(ROUND((C2631/EXC.RATE_1),CURRENCY.FORMAT_1),CURRENCY.FORMAT_1,0)),'DICTIONARY-5'!$A$2)</f>
        <v>443,-</v>
      </c>
      <c r="K2631" s="670" t="str">
        <f>IF(EXC.RATE_2=0,"",IFERROR(IF(CURRENCY.FORMAT_2=0,CONCATENATE(TEXT(FIXED(ROUND(IF(EXC.RATE.SWITCH=1,C2631/EXC.RATE_2,C2631*EXC.RATE_2),CURRENCY.FORMAT_2),CURRENCY.FORMAT_2,1),"# ##0;-# ##0"),",-"),FIXED(ROUND(IF(EXC.RATE.SWITCH=1,C2631/EXC.RATE_2,C2631*EXC.RATE_2),CURRENCY.FORMAT_2),CURRENCY.FORMAT_2,0)),'DICTIONARY-5'!$A$2))</f>
        <v/>
      </c>
      <c r="L2631" s="670" t="str">
        <f>IFERROR(IF(CURRENCY.FORMAT_1=0,CONCATENATE(TEXT(FIXED(ROUND((C2631*(1-I2631)*(1-ADD.DISCOUNT)*(1+MAT.SURCHARGE)/EXC.RATE_1),CURRENCY.FORMAT_1),CURRENCY.FORMAT_1,1),"# ##0;-# ##0"),",-"),FIXED(ROUND((C2631*(1-I2631)*(1-ADD.DISCOUNT)*(1+MAT.SURCHARGE)/EXC.RATE_1),CURRENCY.FORMAT_1),CURRENCY.FORMAT_1,0)),'DICTIONARY-5'!$A$2)</f>
        <v>460,-</v>
      </c>
      <c r="M2631" s="670" t="str">
        <f>IF(EXC.RATE_2=0,"",IFERROR(IF(CURRENCY.FORMAT_2=0,CONCATENATE(TEXT(FIXED(ROUND(IF(EXC.RATE.SWITCH=1,C2631*(1-I2631)*(1-ADD.DISCOUNT)*(1+MAT.SURCHARGE)/EXC.RATE_2,C2631*(1-I2631)*(1-ADD.DISCOUNT)*(1+MAT.SURCHARGE)*EXC.RATE_2),CURRENCY.FORMAT_2),CURRENCY.FORMAT_2,1),"# ##0;-# ##0"),",-"),FIXED(ROUND(IF(EXC.RATE.SWITCH=1,C2631*(1-I2631)*(1-ADD.DISCOUNT)*(1+MAT.SURCHARGE)/EXC.RATE_2,C2631*(1-I2631)*(1-ADD.DISCOUNT)*(1+MAT.SURCHARGE)*EXC.RATE_2),CURRENCY.FORMAT_2),CURRENCY.FORMAT_2,0)),'DICTIONARY-5'!$A$2))</f>
        <v/>
      </c>
      <c r="N2631" s="536">
        <v>12</v>
      </c>
      <c r="O2631" s="536"/>
      <c r="P2631" s="732" t="str">
        <f>'DICTIONARY-3'!$A$153&amp;" "&amp;'DICTIONARY-3'!$A$172</f>
        <v>BAIO MMK</v>
      </c>
      <c r="Q2631" s="732" t="str">
        <f>'DICTIONARY-3'!$A$223</f>
        <v>Kształtka</v>
      </c>
      <c r="R2631" s="732" t="str">
        <f>CONCATENATE('DICTIONARY-3'!$A$153," ",'DICTIONARY-3'!$A$175&amp;'DICTIONARY-3'!$A$172&amp;'DICTIONARY-3'!$A$174," ",'DICTIONARY-2'!$A$2,"200"," ",'DICTIONARY-2'!$A$10,"16",'DICTIONARY-2'!$A$20,", ","45°"," ",'DICTIONARY-3'!$A$346," ","2×",'DICTIONARY-5'!$A$198)</f>
        <v>BAIO Kształtka-MMK‎ DN200 PS16bar, 45° Kolano 2×mufa</v>
      </c>
      <c r="S2631" s="733" t="s">
        <v>5569</v>
      </c>
      <c r="T2631" s="732" t="s">
        <v>5569</v>
      </c>
      <c r="U2631" s="734" t="s">
        <v>5750</v>
      </c>
      <c r="V2631" s="735"/>
      <c r="W2631" s="736"/>
      <c r="X2631" s="737"/>
      <c r="Y2631" s="738"/>
      <c r="Z2631" s="739"/>
      <c r="AA2631" s="739"/>
      <c r="AB2631" s="740">
        <v>16</v>
      </c>
      <c r="AC2631" s="741"/>
      <c r="AD2631" s="741" t="str">
        <f>'DICTIONARY-5'!$A$13</f>
        <v>woda pitna</v>
      </c>
      <c r="AE2631" s="742">
        <v>50</v>
      </c>
      <c r="AF2631" s="743">
        <v>26.5</v>
      </c>
      <c r="AG2631" s="741" t="str">
        <f>'DICTIONARY-5'!$A$23</f>
        <v>powłoka epoksydowa</v>
      </c>
    </row>
    <row r="2632" spans="1:33" x14ac:dyDescent="0.25">
      <c r="A2632" s="880" t="s">
        <v>2524</v>
      </c>
      <c r="B2632" s="880" t="s">
        <v>2787</v>
      </c>
      <c r="C2632" s="836">
        <v>171</v>
      </c>
      <c r="D2632" s="836"/>
      <c r="E2632" s="836"/>
      <c r="F2632" s="836"/>
      <c r="G2632" s="496" t="s">
        <v>7851</v>
      </c>
      <c r="H2632" s="797" t="str">
        <f>VLOOKUP(G2632,SETTINGS!$B$7:$D$97,2,0)</f>
        <v>BAIO Fittings</v>
      </c>
      <c r="I2632" s="796">
        <f>VLOOKUP(G2632,SETTINGS!$B$7:$D$97,3,0)</f>
        <v>0</v>
      </c>
      <c r="J2632" s="670" t="str">
        <f>IFERROR(IF(CURRENCY.FORMAT_1=0,CONCATENATE(TEXT(FIXED(ROUND((C2632/EXC.RATE_1),CURRENCY.FORMAT_1),CURRENCY.FORMAT_1,1),"# ##0;-# ##0"),",-"),FIXED(ROUND((C2632/EXC.RATE_1),CURRENCY.FORMAT_1),CURRENCY.FORMAT_1,0)),'DICTIONARY-5'!$A$2)</f>
        <v>171,-</v>
      </c>
      <c r="K2632" s="670" t="str">
        <f>IF(EXC.RATE_2=0,"",IFERROR(IF(CURRENCY.FORMAT_2=0,CONCATENATE(TEXT(FIXED(ROUND(IF(EXC.RATE.SWITCH=1,C2632/EXC.RATE_2,C2632*EXC.RATE_2),CURRENCY.FORMAT_2),CURRENCY.FORMAT_2,1),"# ##0;-# ##0"),",-"),FIXED(ROUND(IF(EXC.RATE.SWITCH=1,C2632/EXC.RATE_2,C2632*EXC.RATE_2),CURRENCY.FORMAT_2),CURRENCY.FORMAT_2,0)),'DICTIONARY-5'!$A$2))</f>
        <v/>
      </c>
      <c r="L2632" s="670" t="str">
        <f>IFERROR(IF(CURRENCY.FORMAT_1=0,CONCATENATE(TEXT(FIXED(ROUND((C2632*(1-I2632)*(1-ADD.DISCOUNT)*(1+MAT.SURCHARGE)/EXC.RATE_1),CURRENCY.FORMAT_1),CURRENCY.FORMAT_1,1),"# ##0;-# ##0"),",-"),FIXED(ROUND((C2632*(1-I2632)*(1-ADD.DISCOUNT)*(1+MAT.SURCHARGE)/EXC.RATE_1),CURRENCY.FORMAT_1),CURRENCY.FORMAT_1,0)),'DICTIONARY-5'!$A$2)</f>
        <v>178,-</v>
      </c>
      <c r="M2632" s="670" t="str">
        <f>IF(EXC.RATE_2=0,"",IFERROR(IF(CURRENCY.FORMAT_2=0,CONCATENATE(TEXT(FIXED(ROUND(IF(EXC.RATE.SWITCH=1,C2632*(1-I2632)*(1-ADD.DISCOUNT)*(1+MAT.SURCHARGE)/EXC.RATE_2,C2632*(1-I2632)*(1-ADD.DISCOUNT)*(1+MAT.SURCHARGE)*EXC.RATE_2),CURRENCY.FORMAT_2),CURRENCY.FORMAT_2,1),"# ##0;-# ##0"),",-"),FIXED(ROUND(IF(EXC.RATE.SWITCH=1,C2632*(1-I2632)*(1-ADD.DISCOUNT)*(1+MAT.SURCHARGE)/EXC.RATE_2,C2632*(1-I2632)*(1-ADD.DISCOUNT)*(1+MAT.SURCHARGE)*EXC.RATE_2),CURRENCY.FORMAT_2),CURRENCY.FORMAT_2,0)),'DICTIONARY-5'!$A$2))</f>
        <v/>
      </c>
      <c r="N2632" s="536">
        <v>12</v>
      </c>
      <c r="O2632" s="536"/>
      <c r="P2632" s="732" t="str">
        <f>'DICTIONARY-3'!$A$153&amp;" "&amp;'DICTIONARY-3'!$A$173</f>
        <v>BAIO MSK</v>
      </c>
      <c r="Q2632" s="732" t="str">
        <f>'DICTIONARY-3'!$A$223</f>
        <v>Kształtka</v>
      </c>
      <c r="R2632" s="732" t="str">
        <f>CONCATENATE('DICTIONARY-3'!$A$153," ",'DICTIONARY-3'!$A$175&amp;'DICTIONARY-3'!$A$173&amp;'DICTIONARY-3'!$A$174," ",'DICTIONARY-2'!$A$2,"80"," ",'DICTIONARY-2'!$A$10,"16",'DICTIONARY-2'!$A$20,", ","45°"," ",'DICTIONARY-3'!$A$346," ",'DICTIONARY-5'!$A$198,"-",'DICTIONARY-5'!$A$199)</f>
        <v>BAIO Kształtka-MSK‎ DN80 PS16bar, 45° Kolano mufa-końcówka bosa</v>
      </c>
      <c r="S2632" s="733" t="s">
        <v>5569</v>
      </c>
      <c r="T2632" s="732" t="s">
        <v>5569</v>
      </c>
      <c r="U2632" s="734" t="s">
        <v>5760</v>
      </c>
      <c r="V2632" s="735"/>
      <c r="W2632" s="736"/>
      <c r="X2632" s="737"/>
      <c r="Y2632" s="738"/>
      <c r="Z2632" s="739"/>
      <c r="AA2632" s="739"/>
      <c r="AB2632" s="740">
        <v>16</v>
      </c>
      <c r="AC2632" s="741"/>
      <c r="AD2632" s="741" t="str">
        <f>'DICTIONARY-5'!$A$13</f>
        <v>woda pitna</v>
      </c>
      <c r="AE2632" s="742">
        <v>50</v>
      </c>
      <c r="AF2632" s="743">
        <v>6.5</v>
      </c>
      <c r="AG2632" s="741" t="str">
        <f>'DICTIONARY-5'!$A$23</f>
        <v>powłoka epoksydowa</v>
      </c>
    </row>
    <row r="2633" spans="1:33" x14ac:dyDescent="0.25">
      <c r="A2633" s="880" t="s">
        <v>2525</v>
      </c>
      <c r="B2633" s="880" t="s">
        <v>2788</v>
      </c>
      <c r="C2633" s="836">
        <v>210</v>
      </c>
      <c r="D2633" s="836"/>
      <c r="E2633" s="836"/>
      <c r="F2633" s="836"/>
      <c r="G2633" s="496" t="s">
        <v>7851</v>
      </c>
      <c r="H2633" s="797" t="str">
        <f>VLOOKUP(G2633,SETTINGS!$B$7:$D$97,2,0)</f>
        <v>BAIO Fittings</v>
      </c>
      <c r="I2633" s="796">
        <f>VLOOKUP(G2633,SETTINGS!$B$7:$D$97,3,0)</f>
        <v>0</v>
      </c>
      <c r="J2633" s="670" t="str">
        <f>IFERROR(IF(CURRENCY.FORMAT_1=0,CONCATENATE(TEXT(FIXED(ROUND((C2633/EXC.RATE_1),CURRENCY.FORMAT_1),CURRENCY.FORMAT_1,1),"# ##0;-# ##0"),",-"),FIXED(ROUND((C2633/EXC.RATE_1),CURRENCY.FORMAT_1),CURRENCY.FORMAT_1,0)),'DICTIONARY-5'!$A$2)</f>
        <v>210,-</v>
      </c>
      <c r="K2633" s="670" t="str">
        <f>IF(EXC.RATE_2=0,"",IFERROR(IF(CURRENCY.FORMAT_2=0,CONCATENATE(TEXT(FIXED(ROUND(IF(EXC.RATE.SWITCH=1,C2633/EXC.RATE_2,C2633*EXC.RATE_2),CURRENCY.FORMAT_2),CURRENCY.FORMAT_2,1),"# ##0;-# ##0"),",-"),FIXED(ROUND(IF(EXC.RATE.SWITCH=1,C2633/EXC.RATE_2,C2633*EXC.RATE_2),CURRENCY.FORMAT_2),CURRENCY.FORMAT_2,0)),'DICTIONARY-5'!$A$2))</f>
        <v/>
      </c>
      <c r="L2633" s="670" t="str">
        <f>IFERROR(IF(CURRENCY.FORMAT_1=0,CONCATENATE(TEXT(FIXED(ROUND((C2633*(1-I2633)*(1-ADD.DISCOUNT)*(1+MAT.SURCHARGE)/EXC.RATE_1),CURRENCY.FORMAT_1),CURRENCY.FORMAT_1,1),"# ##0;-# ##0"),",-"),FIXED(ROUND((C2633*(1-I2633)*(1-ADD.DISCOUNT)*(1+MAT.SURCHARGE)/EXC.RATE_1),CURRENCY.FORMAT_1),CURRENCY.FORMAT_1,0)),'DICTIONARY-5'!$A$2)</f>
        <v>218,-</v>
      </c>
      <c r="M2633" s="670" t="str">
        <f>IF(EXC.RATE_2=0,"",IFERROR(IF(CURRENCY.FORMAT_2=0,CONCATENATE(TEXT(FIXED(ROUND(IF(EXC.RATE.SWITCH=1,C2633*(1-I2633)*(1-ADD.DISCOUNT)*(1+MAT.SURCHARGE)/EXC.RATE_2,C2633*(1-I2633)*(1-ADD.DISCOUNT)*(1+MAT.SURCHARGE)*EXC.RATE_2),CURRENCY.FORMAT_2),CURRENCY.FORMAT_2,1),"# ##0;-# ##0"),",-"),FIXED(ROUND(IF(EXC.RATE.SWITCH=1,C2633*(1-I2633)*(1-ADD.DISCOUNT)*(1+MAT.SURCHARGE)/EXC.RATE_2,C2633*(1-I2633)*(1-ADD.DISCOUNT)*(1+MAT.SURCHARGE)*EXC.RATE_2),CURRENCY.FORMAT_2),CURRENCY.FORMAT_2,0)),'DICTIONARY-5'!$A$2))</f>
        <v/>
      </c>
      <c r="N2633" s="536">
        <v>12</v>
      </c>
      <c r="O2633" s="536"/>
      <c r="P2633" s="732" t="str">
        <f>'DICTIONARY-3'!$A$153&amp;" "&amp;'DICTIONARY-3'!$A$173</f>
        <v>BAIO MSK</v>
      </c>
      <c r="Q2633" s="732" t="str">
        <f>'DICTIONARY-3'!$A$223</f>
        <v>Kształtka</v>
      </c>
      <c r="R2633" s="732" t="str">
        <f>CONCATENATE('DICTIONARY-3'!$A$153," ",'DICTIONARY-3'!$A$175&amp;'DICTIONARY-3'!$A$173&amp;'DICTIONARY-3'!$A$174," ",'DICTIONARY-2'!$A$2,"100"," ",'DICTIONARY-2'!$A$10,"16",'DICTIONARY-2'!$A$20,", ","45°"," ",'DICTIONARY-3'!$A$346," ",'DICTIONARY-5'!$A$198,"-",'DICTIONARY-5'!$A$199)</f>
        <v>BAIO Kształtka-MSK‎ DN100 PS16bar, 45° Kolano mufa-końcówka bosa</v>
      </c>
      <c r="S2633" s="733" t="s">
        <v>5569</v>
      </c>
      <c r="T2633" s="732" t="s">
        <v>5569</v>
      </c>
      <c r="U2633" s="734" t="s">
        <v>5749</v>
      </c>
      <c r="V2633" s="735"/>
      <c r="W2633" s="736"/>
      <c r="X2633" s="737"/>
      <c r="Y2633" s="738"/>
      <c r="Z2633" s="739"/>
      <c r="AA2633" s="739"/>
      <c r="AB2633" s="740">
        <v>16</v>
      </c>
      <c r="AC2633" s="741"/>
      <c r="AD2633" s="741" t="str">
        <f>'DICTIONARY-5'!$A$13</f>
        <v>woda pitna</v>
      </c>
      <c r="AE2633" s="742">
        <v>50</v>
      </c>
      <c r="AF2633" s="743">
        <v>9</v>
      </c>
      <c r="AG2633" s="741" t="str">
        <f>'DICTIONARY-5'!$A$23</f>
        <v>powłoka epoksydowa</v>
      </c>
    </row>
    <row r="2634" spans="1:33" x14ac:dyDescent="0.25">
      <c r="A2634" s="880" t="s">
        <v>2526</v>
      </c>
      <c r="B2634" s="880" t="s">
        <v>2929</v>
      </c>
      <c r="C2634" s="836">
        <v>210</v>
      </c>
      <c r="D2634" s="836"/>
      <c r="E2634" s="836"/>
      <c r="F2634" s="836"/>
      <c r="G2634" s="496" t="s">
        <v>7851</v>
      </c>
      <c r="H2634" s="797" t="str">
        <f>VLOOKUP(G2634,SETTINGS!$B$7:$D$97,2,0)</f>
        <v>BAIO Fittings</v>
      </c>
      <c r="I2634" s="796">
        <f>VLOOKUP(G2634,SETTINGS!$B$7:$D$97,3,0)</f>
        <v>0</v>
      </c>
      <c r="J2634" s="670" t="str">
        <f>IFERROR(IF(CURRENCY.FORMAT_1=0,CONCATENATE(TEXT(FIXED(ROUND((C2634/EXC.RATE_1),CURRENCY.FORMAT_1),CURRENCY.FORMAT_1,1),"# ##0;-# ##0"),",-"),FIXED(ROUND((C2634/EXC.RATE_1),CURRENCY.FORMAT_1),CURRENCY.FORMAT_1,0)),'DICTIONARY-5'!$A$2)</f>
        <v>210,-</v>
      </c>
      <c r="K2634" s="670" t="str">
        <f>IF(EXC.RATE_2=0,"",IFERROR(IF(CURRENCY.FORMAT_2=0,CONCATENATE(TEXT(FIXED(ROUND(IF(EXC.RATE.SWITCH=1,C2634/EXC.RATE_2,C2634*EXC.RATE_2),CURRENCY.FORMAT_2),CURRENCY.FORMAT_2,1),"# ##0;-# ##0"),",-"),FIXED(ROUND(IF(EXC.RATE.SWITCH=1,C2634/EXC.RATE_2,C2634*EXC.RATE_2),CURRENCY.FORMAT_2),CURRENCY.FORMAT_2,0)),'DICTIONARY-5'!$A$2))</f>
        <v/>
      </c>
      <c r="L2634" s="670" t="str">
        <f>IFERROR(IF(CURRENCY.FORMAT_1=0,CONCATENATE(TEXT(FIXED(ROUND((C2634*(1-I2634)*(1-ADD.DISCOUNT)*(1+MAT.SURCHARGE)/EXC.RATE_1),CURRENCY.FORMAT_1),CURRENCY.FORMAT_1,1),"# ##0;-# ##0"),",-"),FIXED(ROUND((C2634*(1-I2634)*(1-ADD.DISCOUNT)*(1+MAT.SURCHARGE)/EXC.RATE_1),CURRENCY.FORMAT_1),CURRENCY.FORMAT_1,0)),'DICTIONARY-5'!$A$2)</f>
        <v>218,-</v>
      </c>
      <c r="M2634" s="670" t="str">
        <f>IF(EXC.RATE_2=0,"",IFERROR(IF(CURRENCY.FORMAT_2=0,CONCATENATE(TEXT(FIXED(ROUND(IF(EXC.RATE.SWITCH=1,C2634*(1-I2634)*(1-ADD.DISCOUNT)*(1+MAT.SURCHARGE)/EXC.RATE_2,C2634*(1-I2634)*(1-ADD.DISCOUNT)*(1+MAT.SURCHARGE)*EXC.RATE_2),CURRENCY.FORMAT_2),CURRENCY.FORMAT_2,1),"# ##0;-# ##0"),",-"),FIXED(ROUND(IF(EXC.RATE.SWITCH=1,C2634*(1-I2634)*(1-ADD.DISCOUNT)*(1+MAT.SURCHARGE)/EXC.RATE_2,C2634*(1-I2634)*(1-ADD.DISCOUNT)*(1+MAT.SURCHARGE)*EXC.RATE_2),CURRENCY.FORMAT_2),CURRENCY.FORMAT_2,0)),'DICTIONARY-5'!$A$2))</f>
        <v/>
      </c>
      <c r="N2634" s="536">
        <v>12</v>
      </c>
      <c r="O2634" s="536"/>
      <c r="P2634" s="732" t="str">
        <f>'DICTIONARY-3'!$A$153&amp;" "&amp;'DICTIONARY-3'!$A$173</f>
        <v>BAIO MSK</v>
      </c>
      <c r="Q2634" s="732" t="str">
        <f>'DICTIONARY-3'!$A$223</f>
        <v>Kształtka</v>
      </c>
      <c r="R2634" s="732" t="str">
        <f>CONCATENATE('DICTIONARY-3'!$A$153," ",'DICTIONARY-3'!$A$175&amp;'DICTIONARY-3'!$A$173&amp;'DICTIONARY-3'!$A$174," ",'DICTIONARY-2'!$A$2,"125"," ",'DICTIONARY-2'!$A$10,"16",'DICTIONARY-2'!$A$20,", ","45°"," ",'DICTIONARY-3'!$A$346," ",'DICTIONARY-5'!$A$198,"-",'DICTIONARY-5'!$A$199)</f>
        <v>BAIO Kształtka-MSK‎ DN125 PS16bar, 45° Kolano mufa-końcówka bosa</v>
      </c>
      <c r="S2634" s="733" t="s">
        <v>5569</v>
      </c>
      <c r="T2634" s="732" t="s">
        <v>5569</v>
      </c>
      <c r="U2634" s="734" t="s">
        <v>5761</v>
      </c>
      <c r="V2634" s="735"/>
      <c r="W2634" s="736"/>
      <c r="X2634" s="737"/>
      <c r="Y2634" s="738"/>
      <c r="Z2634" s="739"/>
      <c r="AA2634" s="739"/>
      <c r="AB2634" s="740">
        <v>16</v>
      </c>
      <c r="AC2634" s="741"/>
      <c r="AD2634" s="741" t="str">
        <f>'DICTIONARY-5'!$A$13</f>
        <v>woda pitna</v>
      </c>
      <c r="AE2634" s="742">
        <v>50</v>
      </c>
      <c r="AF2634" s="743">
        <v>11.75</v>
      </c>
      <c r="AG2634" s="741" t="str">
        <f>'DICTIONARY-5'!$A$23</f>
        <v>powłoka epoksydowa</v>
      </c>
    </row>
    <row r="2635" spans="1:33" x14ac:dyDescent="0.25">
      <c r="A2635" s="880" t="s">
        <v>2527</v>
      </c>
      <c r="B2635" s="880" t="s">
        <v>2789</v>
      </c>
      <c r="C2635" s="836">
        <v>270</v>
      </c>
      <c r="D2635" s="836"/>
      <c r="E2635" s="836"/>
      <c r="F2635" s="836"/>
      <c r="G2635" s="496" t="s">
        <v>7851</v>
      </c>
      <c r="H2635" s="797" t="str">
        <f>VLOOKUP(G2635,SETTINGS!$B$7:$D$97,2,0)</f>
        <v>BAIO Fittings</v>
      </c>
      <c r="I2635" s="796">
        <f>VLOOKUP(G2635,SETTINGS!$B$7:$D$97,3,0)</f>
        <v>0</v>
      </c>
      <c r="J2635" s="670" t="str">
        <f>IFERROR(IF(CURRENCY.FORMAT_1=0,CONCATENATE(TEXT(FIXED(ROUND((C2635/EXC.RATE_1),CURRENCY.FORMAT_1),CURRENCY.FORMAT_1,1),"# ##0;-# ##0"),",-"),FIXED(ROUND((C2635/EXC.RATE_1),CURRENCY.FORMAT_1),CURRENCY.FORMAT_1,0)),'DICTIONARY-5'!$A$2)</f>
        <v>270,-</v>
      </c>
      <c r="K2635" s="670" t="str">
        <f>IF(EXC.RATE_2=0,"",IFERROR(IF(CURRENCY.FORMAT_2=0,CONCATENATE(TEXT(FIXED(ROUND(IF(EXC.RATE.SWITCH=1,C2635/EXC.RATE_2,C2635*EXC.RATE_2),CURRENCY.FORMAT_2),CURRENCY.FORMAT_2,1),"# ##0;-# ##0"),",-"),FIXED(ROUND(IF(EXC.RATE.SWITCH=1,C2635/EXC.RATE_2,C2635*EXC.RATE_2),CURRENCY.FORMAT_2),CURRENCY.FORMAT_2,0)),'DICTIONARY-5'!$A$2))</f>
        <v/>
      </c>
      <c r="L2635" s="670" t="str">
        <f>IFERROR(IF(CURRENCY.FORMAT_1=0,CONCATENATE(TEXT(FIXED(ROUND((C2635*(1-I2635)*(1-ADD.DISCOUNT)*(1+MAT.SURCHARGE)/EXC.RATE_1),CURRENCY.FORMAT_1),CURRENCY.FORMAT_1,1),"# ##0;-# ##0"),",-"),FIXED(ROUND((C2635*(1-I2635)*(1-ADD.DISCOUNT)*(1+MAT.SURCHARGE)/EXC.RATE_1),CURRENCY.FORMAT_1),CURRENCY.FORMAT_1,0)),'DICTIONARY-5'!$A$2)</f>
        <v>281,-</v>
      </c>
      <c r="M2635" s="670" t="str">
        <f>IF(EXC.RATE_2=0,"",IFERROR(IF(CURRENCY.FORMAT_2=0,CONCATENATE(TEXT(FIXED(ROUND(IF(EXC.RATE.SWITCH=1,C2635*(1-I2635)*(1-ADD.DISCOUNT)*(1+MAT.SURCHARGE)/EXC.RATE_2,C2635*(1-I2635)*(1-ADD.DISCOUNT)*(1+MAT.SURCHARGE)*EXC.RATE_2),CURRENCY.FORMAT_2),CURRENCY.FORMAT_2,1),"# ##0;-# ##0"),",-"),FIXED(ROUND(IF(EXC.RATE.SWITCH=1,C2635*(1-I2635)*(1-ADD.DISCOUNT)*(1+MAT.SURCHARGE)/EXC.RATE_2,C2635*(1-I2635)*(1-ADD.DISCOUNT)*(1+MAT.SURCHARGE)*EXC.RATE_2),CURRENCY.FORMAT_2),CURRENCY.FORMAT_2,0)),'DICTIONARY-5'!$A$2))</f>
        <v/>
      </c>
      <c r="N2635" s="536">
        <v>12</v>
      </c>
      <c r="O2635" s="536"/>
      <c r="P2635" s="732" t="str">
        <f>'DICTIONARY-3'!$A$153&amp;" "&amp;'DICTIONARY-3'!$A$173</f>
        <v>BAIO MSK</v>
      </c>
      <c r="Q2635" s="732" t="str">
        <f>'DICTIONARY-3'!$A$223</f>
        <v>Kształtka</v>
      </c>
      <c r="R2635" s="732" t="str">
        <f>CONCATENATE('DICTIONARY-3'!$A$153," ",'DICTIONARY-3'!$A$175&amp;'DICTIONARY-3'!$A$173&amp;'DICTIONARY-3'!$A$174," ",'DICTIONARY-2'!$A$2,"150"," ",'DICTIONARY-2'!$A$10,"16",'DICTIONARY-2'!$A$20,", ","45°"," ",'DICTIONARY-3'!$A$346," ",'DICTIONARY-5'!$A$198,"-",'DICTIONARY-5'!$A$199)</f>
        <v>BAIO Kształtka-MSK‎ DN150 PS16bar, 45° Kolano mufa-końcówka bosa</v>
      </c>
      <c r="S2635" s="733" t="s">
        <v>5569</v>
      </c>
      <c r="T2635" s="732" t="s">
        <v>5569</v>
      </c>
      <c r="U2635" s="734" t="s">
        <v>5572</v>
      </c>
      <c r="V2635" s="735"/>
      <c r="W2635" s="736"/>
      <c r="X2635" s="737"/>
      <c r="Y2635" s="738"/>
      <c r="Z2635" s="739"/>
      <c r="AA2635" s="739"/>
      <c r="AB2635" s="740">
        <v>16</v>
      </c>
      <c r="AC2635" s="741"/>
      <c r="AD2635" s="741" t="str">
        <f>'DICTIONARY-5'!$A$13</f>
        <v>woda pitna</v>
      </c>
      <c r="AE2635" s="742">
        <v>50</v>
      </c>
      <c r="AF2635" s="743">
        <v>14.5</v>
      </c>
      <c r="AG2635" s="741" t="str">
        <f>'DICTIONARY-5'!$A$23</f>
        <v>powłoka epoksydowa</v>
      </c>
    </row>
    <row r="2636" spans="1:33" x14ac:dyDescent="0.25">
      <c r="A2636" s="880" t="s">
        <v>2528</v>
      </c>
      <c r="B2636" s="880" t="s">
        <v>2790</v>
      </c>
      <c r="C2636" s="836">
        <v>485</v>
      </c>
      <c r="D2636" s="836"/>
      <c r="E2636" s="836"/>
      <c r="F2636" s="836"/>
      <c r="G2636" s="496" t="s">
        <v>7851</v>
      </c>
      <c r="H2636" s="797" t="str">
        <f>VLOOKUP(G2636,SETTINGS!$B$7:$D$97,2,0)</f>
        <v>BAIO Fittings</v>
      </c>
      <c r="I2636" s="796">
        <f>VLOOKUP(G2636,SETTINGS!$B$7:$D$97,3,0)</f>
        <v>0</v>
      </c>
      <c r="J2636" s="670" t="str">
        <f>IFERROR(IF(CURRENCY.FORMAT_1=0,CONCATENATE(TEXT(FIXED(ROUND((C2636/EXC.RATE_1),CURRENCY.FORMAT_1),CURRENCY.FORMAT_1,1),"# ##0;-# ##0"),",-"),FIXED(ROUND((C2636/EXC.RATE_1),CURRENCY.FORMAT_1),CURRENCY.FORMAT_1,0)),'DICTIONARY-5'!$A$2)</f>
        <v>485,-</v>
      </c>
      <c r="K2636" s="670" t="str">
        <f>IF(EXC.RATE_2=0,"",IFERROR(IF(CURRENCY.FORMAT_2=0,CONCATENATE(TEXT(FIXED(ROUND(IF(EXC.RATE.SWITCH=1,C2636/EXC.RATE_2,C2636*EXC.RATE_2),CURRENCY.FORMAT_2),CURRENCY.FORMAT_2,1),"# ##0;-# ##0"),",-"),FIXED(ROUND(IF(EXC.RATE.SWITCH=1,C2636/EXC.RATE_2,C2636*EXC.RATE_2),CURRENCY.FORMAT_2),CURRENCY.FORMAT_2,0)),'DICTIONARY-5'!$A$2))</f>
        <v/>
      </c>
      <c r="L2636" s="670" t="str">
        <f>IFERROR(IF(CURRENCY.FORMAT_1=0,CONCATENATE(TEXT(FIXED(ROUND((C2636*(1-I2636)*(1-ADD.DISCOUNT)*(1+MAT.SURCHARGE)/EXC.RATE_1),CURRENCY.FORMAT_1),CURRENCY.FORMAT_1,1),"# ##0;-# ##0"),",-"),FIXED(ROUND((C2636*(1-I2636)*(1-ADD.DISCOUNT)*(1+MAT.SURCHARGE)/EXC.RATE_1),CURRENCY.FORMAT_1),CURRENCY.FORMAT_1,0)),'DICTIONARY-5'!$A$2)</f>
        <v>504,-</v>
      </c>
      <c r="M2636" s="670" t="str">
        <f>IF(EXC.RATE_2=0,"",IFERROR(IF(CURRENCY.FORMAT_2=0,CONCATENATE(TEXT(FIXED(ROUND(IF(EXC.RATE.SWITCH=1,C2636*(1-I2636)*(1-ADD.DISCOUNT)*(1+MAT.SURCHARGE)/EXC.RATE_2,C2636*(1-I2636)*(1-ADD.DISCOUNT)*(1+MAT.SURCHARGE)*EXC.RATE_2),CURRENCY.FORMAT_2),CURRENCY.FORMAT_2,1),"# ##0;-# ##0"),",-"),FIXED(ROUND(IF(EXC.RATE.SWITCH=1,C2636*(1-I2636)*(1-ADD.DISCOUNT)*(1+MAT.SURCHARGE)/EXC.RATE_2,C2636*(1-I2636)*(1-ADD.DISCOUNT)*(1+MAT.SURCHARGE)*EXC.RATE_2),CURRENCY.FORMAT_2),CURRENCY.FORMAT_2,0)),'DICTIONARY-5'!$A$2))</f>
        <v/>
      </c>
      <c r="N2636" s="536">
        <v>12</v>
      </c>
      <c r="O2636" s="536"/>
      <c r="P2636" s="732" t="str">
        <f>'DICTIONARY-3'!$A$153&amp;" "&amp;'DICTIONARY-3'!$A$173</f>
        <v>BAIO MSK</v>
      </c>
      <c r="Q2636" s="732" t="str">
        <f>'DICTIONARY-3'!$A$223</f>
        <v>Kształtka</v>
      </c>
      <c r="R2636" s="732" t="str">
        <f>CONCATENATE('DICTIONARY-3'!$A$153," ",'DICTIONARY-3'!$A$175&amp;'DICTIONARY-3'!$A$173&amp;'DICTIONARY-3'!$A$174," ",'DICTIONARY-2'!$A$2,"200"," ",'DICTIONARY-2'!$A$10,"16",'DICTIONARY-2'!$A$20,", ","45°"," ",'DICTIONARY-3'!$A$346," ",'DICTIONARY-5'!$A$198,"-",'DICTIONARY-5'!$A$199)</f>
        <v>BAIO Kształtka-MSK‎ DN200 PS16bar, 45° Kolano mufa-końcówka bosa</v>
      </c>
      <c r="S2636" s="733" t="s">
        <v>5569</v>
      </c>
      <c r="T2636" s="732" t="s">
        <v>5569</v>
      </c>
      <c r="U2636" s="734" t="s">
        <v>5750</v>
      </c>
      <c r="V2636" s="735"/>
      <c r="W2636" s="736"/>
      <c r="X2636" s="737"/>
      <c r="Y2636" s="738"/>
      <c r="Z2636" s="739"/>
      <c r="AA2636" s="739"/>
      <c r="AB2636" s="740">
        <v>16</v>
      </c>
      <c r="AC2636" s="741"/>
      <c r="AD2636" s="741" t="str">
        <f>'DICTIONARY-5'!$A$13</f>
        <v>woda pitna</v>
      </c>
      <c r="AE2636" s="742">
        <v>50</v>
      </c>
      <c r="AF2636" s="743">
        <v>32</v>
      </c>
      <c r="AG2636" s="741" t="str">
        <f>'DICTIONARY-5'!$A$23</f>
        <v>powłoka epoksydowa</v>
      </c>
    </row>
    <row r="2637" spans="1:33" x14ac:dyDescent="0.25">
      <c r="A2637" s="881" t="s">
        <v>4885</v>
      </c>
      <c r="B2637" s="881" t="s">
        <v>2529</v>
      </c>
      <c r="C2637" s="836">
        <v>180</v>
      </c>
      <c r="D2637" s="836"/>
      <c r="E2637" s="836"/>
      <c r="F2637" s="836"/>
      <c r="G2637" s="496" t="s">
        <v>7851</v>
      </c>
      <c r="H2637" s="797" t="str">
        <f>VLOOKUP(G2637,SETTINGS!$B$7:$D$97,2,0)</f>
        <v>BAIO Fittings</v>
      </c>
      <c r="I2637" s="796">
        <f>VLOOKUP(G2637,SETTINGS!$B$7:$D$97,3,0)</f>
        <v>0</v>
      </c>
      <c r="J2637" s="670" t="str">
        <f>IFERROR(IF(CURRENCY.FORMAT_1=0,CONCATENATE(TEXT(FIXED(ROUND((C2637/EXC.RATE_1),CURRENCY.FORMAT_1),CURRENCY.FORMAT_1,1),"# ##0;-# ##0"),",-"),FIXED(ROUND((C2637/EXC.RATE_1),CURRENCY.FORMAT_1),CURRENCY.FORMAT_1,0)),'DICTIONARY-5'!$A$2)</f>
        <v>180,-</v>
      </c>
      <c r="K2637" s="670" t="str">
        <f>IF(EXC.RATE_2=0,"",IFERROR(IF(CURRENCY.FORMAT_2=0,CONCATENATE(TEXT(FIXED(ROUND(IF(EXC.RATE.SWITCH=1,C2637/EXC.RATE_2,C2637*EXC.RATE_2),CURRENCY.FORMAT_2),CURRENCY.FORMAT_2,1),"# ##0;-# ##0"),",-"),FIXED(ROUND(IF(EXC.RATE.SWITCH=1,C2637/EXC.RATE_2,C2637*EXC.RATE_2),CURRENCY.FORMAT_2),CURRENCY.FORMAT_2,0)),'DICTIONARY-5'!$A$2))</f>
        <v/>
      </c>
      <c r="L2637" s="670" t="str">
        <f>IFERROR(IF(CURRENCY.FORMAT_1=0,CONCATENATE(TEXT(FIXED(ROUND((C2637*(1-I2637)*(1-ADD.DISCOUNT)*(1+MAT.SURCHARGE)/EXC.RATE_1),CURRENCY.FORMAT_1),CURRENCY.FORMAT_1,1),"# ##0;-# ##0"),",-"),FIXED(ROUND((C2637*(1-I2637)*(1-ADD.DISCOUNT)*(1+MAT.SURCHARGE)/EXC.RATE_1),CURRENCY.FORMAT_1),CURRENCY.FORMAT_1,0)),'DICTIONARY-5'!$A$2)</f>
        <v>187,-</v>
      </c>
      <c r="M2637" s="670" t="str">
        <f>IF(EXC.RATE_2=0,"",IFERROR(IF(CURRENCY.FORMAT_2=0,CONCATENATE(TEXT(FIXED(ROUND(IF(EXC.RATE.SWITCH=1,C2637*(1-I2637)*(1-ADD.DISCOUNT)*(1+MAT.SURCHARGE)/EXC.RATE_2,C2637*(1-I2637)*(1-ADD.DISCOUNT)*(1+MAT.SURCHARGE)*EXC.RATE_2),CURRENCY.FORMAT_2),CURRENCY.FORMAT_2,1),"# ##0;-# ##0"),",-"),FIXED(ROUND(IF(EXC.RATE.SWITCH=1,C2637*(1-I2637)*(1-ADD.DISCOUNT)*(1+MAT.SURCHARGE)/EXC.RATE_2,C2637*(1-I2637)*(1-ADD.DISCOUNT)*(1+MAT.SURCHARGE)*EXC.RATE_2),CURRENCY.FORMAT_2),CURRENCY.FORMAT_2,0)),'DICTIONARY-5'!$A$2))</f>
        <v/>
      </c>
      <c r="N2637" s="536">
        <v>12</v>
      </c>
      <c r="O2637" s="536"/>
      <c r="P2637" s="732" t="str">
        <f>'DICTIONARY-3'!$A$176</f>
        <v>PEa</v>
      </c>
      <c r="Q2637" s="732" t="str">
        <f>'DICTIONARY-3'!$A$228</f>
        <v>Końcówka do zgrzewania</v>
      </c>
      <c r="R2637" s="732" t="str">
        <f>CONCATENATE('DICTIONARY-3'!$A$176," ",'DICTIONARY-3'!$A$228," ",'DICTIONARY-2'!$A$2,"80 PE100"," ",'DICTIONARY-2'!$A$5,"90",'DICTIONARY-2'!$A$17,," ",'DICTIONARY-5'!$A$59," ",'DICTIONARY-2'!$A$10,"16",'DICTIONARY-2'!$A$20,", ","1×",'DICTIONARY-5'!$A$199)</f>
        <v>PEa Końcówka do zgrzewania DN80 PE100 Da90mm SDR 11 PS16bar, 1×końcówka bosa</v>
      </c>
      <c r="S2637" s="733" t="s">
        <v>5569</v>
      </c>
      <c r="T2637" s="732" t="s">
        <v>5569</v>
      </c>
      <c r="U2637" s="734" t="s">
        <v>5760</v>
      </c>
      <c r="V2637" s="735"/>
      <c r="W2637" s="744" t="s">
        <v>7339</v>
      </c>
      <c r="X2637" s="737"/>
      <c r="Y2637" s="738"/>
      <c r="Z2637" s="739"/>
      <c r="AA2637" s="739"/>
      <c r="AB2637" s="740">
        <v>16</v>
      </c>
      <c r="AC2637" s="741">
        <v>260</v>
      </c>
      <c r="AD2637" s="741" t="str">
        <f>'DICTIONARY-5'!$A$13</f>
        <v>woda pitna</v>
      </c>
      <c r="AE2637" s="742">
        <v>50</v>
      </c>
      <c r="AF2637" s="743">
        <v>4</v>
      </c>
      <c r="AG2637" s="741" t="str">
        <f>'DICTIONARY-5'!$A$23</f>
        <v>powłoka epoksydowa</v>
      </c>
    </row>
    <row r="2638" spans="1:33" x14ac:dyDescent="0.25">
      <c r="A2638" s="881" t="s">
        <v>4886</v>
      </c>
      <c r="B2638" s="881" t="s">
        <v>2530</v>
      </c>
      <c r="C2638" s="836">
        <v>204</v>
      </c>
      <c r="D2638" s="836"/>
      <c r="E2638" s="836"/>
      <c r="F2638" s="836"/>
      <c r="G2638" s="496" t="s">
        <v>7851</v>
      </c>
      <c r="H2638" s="797" t="str">
        <f>VLOOKUP(G2638,SETTINGS!$B$7:$D$97,2,0)</f>
        <v>BAIO Fittings</v>
      </c>
      <c r="I2638" s="796">
        <f>VLOOKUP(G2638,SETTINGS!$B$7:$D$97,3,0)</f>
        <v>0</v>
      </c>
      <c r="J2638" s="670" t="str">
        <f>IFERROR(IF(CURRENCY.FORMAT_1=0,CONCATENATE(TEXT(FIXED(ROUND((C2638/EXC.RATE_1),CURRENCY.FORMAT_1),CURRENCY.FORMAT_1,1),"# ##0;-# ##0"),",-"),FIXED(ROUND((C2638/EXC.RATE_1),CURRENCY.FORMAT_1),CURRENCY.FORMAT_1,0)),'DICTIONARY-5'!$A$2)</f>
        <v>204,-</v>
      </c>
      <c r="K2638" s="670" t="str">
        <f>IF(EXC.RATE_2=0,"",IFERROR(IF(CURRENCY.FORMAT_2=0,CONCATENATE(TEXT(FIXED(ROUND(IF(EXC.RATE.SWITCH=1,C2638/EXC.RATE_2,C2638*EXC.RATE_2),CURRENCY.FORMAT_2),CURRENCY.FORMAT_2,1),"# ##0;-# ##0"),",-"),FIXED(ROUND(IF(EXC.RATE.SWITCH=1,C2638/EXC.RATE_2,C2638*EXC.RATE_2),CURRENCY.FORMAT_2),CURRENCY.FORMAT_2,0)),'DICTIONARY-5'!$A$2))</f>
        <v/>
      </c>
      <c r="L2638" s="670" t="str">
        <f>IFERROR(IF(CURRENCY.FORMAT_1=0,CONCATENATE(TEXT(FIXED(ROUND((C2638*(1-I2638)*(1-ADD.DISCOUNT)*(1+MAT.SURCHARGE)/EXC.RATE_1),CURRENCY.FORMAT_1),CURRENCY.FORMAT_1,1),"# ##0;-# ##0"),",-"),FIXED(ROUND((C2638*(1-I2638)*(1-ADD.DISCOUNT)*(1+MAT.SURCHARGE)/EXC.RATE_1),CURRENCY.FORMAT_1),CURRENCY.FORMAT_1,0)),'DICTIONARY-5'!$A$2)</f>
        <v>212,-</v>
      </c>
      <c r="M2638" s="670" t="str">
        <f>IF(EXC.RATE_2=0,"",IFERROR(IF(CURRENCY.FORMAT_2=0,CONCATENATE(TEXT(FIXED(ROUND(IF(EXC.RATE.SWITCH=1,C2638*(1-I2638)*(1-ADD.DISCOUNT)*(1+MAT.SURCHARGE)/EXC.RATE_2,C2638*(1-I2638)*(1-ADD.DISCOUNT)*(1+MAT.SURCHARGE)*EXC.RATE_2),CURRENCY.FORMAT_2),CURRENCY.FORMAT_2,1),"# ##0;-# ##0"),",-"),FIXED(ROUND(IF(EXC.RATE.SWITCH=1,C2638*(1-I2638)*(1-ADD.DISCOUNT)*(1+MAT.SURCHARGE)/EXC.RATE_2,C2638*(1-I2638)*(1-ADD.DISCOUNT)*(1+MAT.SURCHARGE)*EXC.RATE_2),CURRENCY.FORMAT_2),CURRENCY.FORMAT_2,0)),'DICTIONARY-5'!$A$2))</f>
        <v/>
      </c>
      <c r="N2638" s="536">
        <v>12</v>
      </c>
      <c r="O2638" s="536"/>
      <c r="P2638" s="732" t="str">
        <f>'DICTIONARY-3'!$A$176</f>
        <v>PEa</v>
      </c>
      <c r="Q2638" s="732" t="str">
        <f>'DICTIONARY-3'!$A$228</f>
        <v>Końcówka do zgrzewania</v>
      </c>
      <c r="R2638" s="732" t="str">
        <f>CONCATENATE('DICTIONARY-3'!$A$176," ",'DICTIONARY-3'!$A$228," ",'DICTIONARY-2'!$A$2,"100 PE100"," ",'DICTIONARY-2'!$A$5,"110",'DICTIONARY-2'!$A$17,," ",'DICTIONARY-5'!$A$59," ",'DICTIONARY-2'!$A$10,"16",'DICTIONARY-2'!$A$20,", ","1×",'DICTIONARY-5'!$A$199)</f>
        <v>PEa Końcówka do zgrzewania DN100 PE100 Da110mm SDR 11 PS16bar, 1×końcówka bosa</v>
      </c>
      <c r="S2638" s="733" t="s">
        <v>5569</v>
      </c>
      <c r="T2638" s="732" t="s">
        <v>5569</v>
      </c>
      <c r="U2638" s="734" t="s">
        <v>5749</v>
      </c>
      <c r="V2638" s="735"/>
      <c r="W2638" s="744" t="s">
        <v>7340</v>
      </c>
      <c r="X2638" s="737"/>
      <c r="Y2638" s="738"/>
      <c r="Z2638" s="739"/>
      <c r="AA2638" s="739"/>
      <c r="AB2638" s="740">
        <v>16</v>
      </c>
      <c r="AC2638" s="741">
        <v>290</v>
      </c>
      <c r="AD2638" s="741" t="str">
        <f>'DICTIONARY-5'!$A$13</f>
        <v>woda pitna</v>
      </c>
      <c r="AE2638" s="742">
        <v>50</v>
      </c>
      <c r="AF2638" s="743">
        <v>4.2</v>
      </c>
      <c r="AG2638" s="741" t="str">
        <f>'DICTIONARY-5'!$A$23</f>
        <v>powłoka epoksydowa</v>
      </c>
    </row>
    <row r="2639" spans="1:33" x14ac:dyDescent="0.25">
      <c r="A2639" s="881" t="s">
        <v>4887</v>
      </c>
      <c r="B2639" s="881" t="s">
        <v>2531</v>
      </c>
      <c r="C2639" s="836">
        <v>210</v>
      </c>
      <c r="D2639" s="836"/>
      <c r="E2639" s="836"/>
      <c r="F2639" s="836"/>
      <c r="G2639" s="496" t="s">
        <v>7851</v>
      </c>
      <c r="H2639" s="797" t="str">
        <f>VLOOKUP(G2639,SETTINGS!$B$7:$D$97,2,0)</f>
        <v>BAIO Fittings</v>
      </c>
      <c r="I2639" s="796">
        <f>VLOOKUP(G2639,SETTINGS!$B$7:$D$97,3,0)</f>
        <v>0</v>
      </c>
      <c r="J2639" s="670" t="str">
        <f>IFERROR(IF(CURRENCY.FORMAT_1=0,CONCATENATE(TEXT(FIXED(ROUND((C2639/EXC.RATE_1),CURRENCY.FORMAT_1),CURRENCY.FORMAT_1,1),"# ##0;-# ##0"),",-"),FIXED(ROUND((C2639/EXC.RATE_1),CURRENCY.FORMAT_1),CURRENCY.FORMAT_1,0)),'DICTIONARY-5'!$A$2)</f>
        <v>210,-</v>
      </c>
      <c r="K2639" s="670" t="str">
        <f>IF(EXC.RATE_2=0,"",IFERROR(IF(CURRENCY.FORMAT_2=0,CONCATENATE(TEXT(FIXED(ROUND(IF(EXC.RATE.SWITCH=1,C2639/EXC.RATE_2,C2639*EXC.RATE_2),CURRENCY.FORMAT_2),CURRENCY.FORMAT_2,1),"# ##0;-# ##0"),",-"),FIXED(ROUND(IF(EXC.RATE.SWITCH=1,C2639/EXC.RATE_2,C2639*EXC.RATE_2),CURRENCY.FORMAT_2),CURRENCY.FORMAT_2,0)),'DICTIONARY-5'!$A$2))</f>
        <v/>
      </c>
      <c r="L2639" s="670" t="str">
        <f>IFERROR(IF(CURRENCY.FORMAT_1=0,CONCATENATE(TEXT(FIXED(ROUND((C2639*(1-I2639)*(1-ADD.DISCOUNT)*(1+MAT.SURCHARGE)/EXC.RATE_1),CURRENCY.FORMAT_1),CURRENCY.FORMAT_1,1),"# ##0;-# ##0"),",-"),FIXED(ROUND((C2639*(1-I2639)*(1-ADD.DISCOUNT)*(1+MAT.SURCHARGE)/EXC.RATE_1),CURRENCY.FORMAT_1),CURRENCY.FORMAT_1,0)),'DICTIONARY-5'!$A$2)</f>
        <v>218,-</v>
      </c>
      <c r="M2639" s="670" t="str">
        <f>IF(EXC.RATE_2=0,"",IFERROR(IF(CURRENCY.FORMAT_2=0,CONCATENATE(TEXT(FIXED(ROUND(IF(EXC.RATE.SWITCH=1,C2639*(1-I2639)*(1-ADD.DISCOUNT)*(1+MAT.SURCHARGE)/EXC.RATE_2,C2639*(1-I2639)*(1-ADD.DISCOUNT)*(1+MAT.SURCHARGE)*EXC.RATE_2),CURRENCY.FORMAT_2),CURRENCY.FORMAT_2,1),"# ##0;-# ##0"),",-"),FIXED(ROUND(IF(EXC.RATE.SWITCH=1,C2639*(1-I2639)*(1-ADD.DISCOUNT)*(1+MAT.SURCHARGE)/EXC.RATE_2,C2639*(1-I2639)*(1-ADD.DISCOUNT)*(1+MAT.SURCHARGE)*EXC.RATE_2),CURRENCY.FORMAT_2),CURRENCY.FORMAT_2,0)),'DICTIONARY-5'!$A$2))</f>
        <v/>
      </c>
      <c r="N2639" s="536">
        <v>12</v>
      </c>
      <c r="O2639" s="536"/>
      <c r="P2639" s="732" t="str">
        <f>'DICTIONARY-3'!$A$176</f>
        <v>PEa</v>
      </c>
      <c r="Q2639" s="732" t="str">
        <f>'DICTIONARY-3'!$A$228</f>
        <v>Końcówka do zgrzewania</v>
      </c>
      <c r="R2639" s="732" t="str">
        <f>CONCATENATE('DICTIONARY-3'!$A$176," ",'DICTIONARY-3'!$A$228," ",'DICTIONARY-2'!$A$2,"100 PE100"," ",'DICTIONARY-2'!$A$5,"125",'DICTIONARY-2'!$A$17,," ",'DICTIONARY-5'!$A$59," ",'DICTIONARY-2'!$A$10,"16",'DICTIONARY-2'!$A$20,", ","1×",'DICTIONARY-5'!$A$199)</f>
        <v>PEa Końcówka do zgrzewania DN100 PE100 Da125mm SDR 11 PS16bar, 1×końcówka bosa</v>
      </c>
      <c r="S2639" s="733" t="s">
        <v>5569</v>
      </c>
      <c r="T2639" s="732" t="s">
        <v>5569</v>
      </c>
      <c r="U2639" s="734" t="s">
        <v>5749</v>
      </c>
      <c r="V2639" s="735"/>
      <c r="W2639" s="744" t="s">
        <v>5761</v>
      </c>
      <c r="X2639" s="737"/>
      <c r="Y2639" s="738"/>
      <c r="Z2639" s="739"/>
      <c r="AA2639" s="739"/>
      <c r="AB2639" s="740">
        <v>16</v>
      </c>
      <c r="AC2639" s="741">
        <v>300</v>
      </c>
      <c r="AD2639" s="741" t="str">
        <f>'DICTIONARY-5'!$A$13</f>
        <v>woda pitna</v>
      </c>
      <c r="AE2639" s="742">
        <v>50</v>
      </c>
      <c r="AF2639" s="743">
        <v>4.5</v>
      </c>
      <c r="AG2639" s="741" t="str">
        <f>'DICTIONARY-5'!$A$23</f>
        <v>powłoka epoksydowa</v>
      </c>
    </row>
    <row r="2640" spans="1:33" x14ac:dyDescent="0.25">
      <c r="A2640" s="881" t="s">
        <v>4892</v>
      </c>
      <c r="B2640" s="881" t="s">
        <v>2532</v>
      </c>
      <c r="C2640" s="836">
        <v>424</v>
      </c>
      <c r="D2640" s="836"/>
      <c r="E2640" s="836"/>
      <c r="F2640" s="836"/>
      <c r="G2640" s="496" t="s">
        <v>7851</v>
      </c>
      <c r="H2640" s="797" t="str">
        <f>VLOOKUP(G2640,SETTINGS!$B$7:$D$97,2,0)</f>
        <v>BAIO Fittings</v>
      </c>
      <c r="I2640" s="796">
        <f>VLOOKUP(G2640,SETTINGS!$B$7:$D$97,3,0)</f>
        <v>0</v>
      </c>
      <c r="J2640" s="670" t="str">
        <f>IFERROR(IF(CURRENCY.FORMAT_1=0,CONCATENATE(TEXT(FIXED(ROUND((C2640/EXC.RATE_1),CURRENCY.FORMAT_1),CURRENCY.FORMAT_1,1),"# ##0;-# ##0"),",-"),FIXED(ROUND((C2640/EXC.RATE_1),CURRENCY.FORMAT_1),CURRENCY.FORMAT_1,0)),'DICTIONARY-5'!$A$2)</f>
        <v>424,-</v>
      </c>
      <c r="K2640" s="670" t="str">
        <f>IF(EXC.RATE_2=0,"",IFERROR(IF(CURRENCY.FORMAT_2=0,CONCATENATE(TEXT(FIXED(ROUND(IF(EXC.RATE.SWITCH=1,C2640/EXC.RATE_2,C2640*EXC.RATE_2),CURRENCY.FORMAT_2),CURRENCY.FORMAT_2,1),"# ##0;-# ##0"),",-"),FIXED(ROUND(IF(EXC.RATE.SWITCH=1,C2640/EXC.RATE_2,C2640*EXC.RATE_2),CURRENCY.FORMAT_2),CURRENCY.FORMAT_2,0)),'DICTIONARY-5'!$A$2))</f>
        <v/>
      </c>
      <c r="L2640" s="670" t="str">
        <f>IFERROR(IF(CURRENCY.FORMAT_1=0,CONCATENATE(TEXT(FIXED(ROUND((C2640*(1-I2640)*(1-ADD.DISCOUNT)*(1+MAT.SURCHARGE)/EXC.RATE_1),CURRENCY.FORMAT_1),CURRENCY.FORMAT_1,1),"# ##0;-# ##0"),",-"),FIXED(ROUND((C2640*(1-I2640)*(1-ADD.DISCOUNT)*(1+MAT.SURCHARGE)/EXC.RATE_1),CURRENCY.FORMAT_1),CURRENCY.FORMAT_1,0)),'DICTIONARY-5'!$A$2)</f>
        <v>441,-</v>
      </c>
      <c r="M2640" s="670" t="str">
        <f>IF(EXC.RATE_2=0,"",IFERROR(IF(CURRENCY.FORMAT_2=0,CONCATENATE(TEXT(FIXED(ROUND(IF(EXC.RATE.SWITCH=1,C2640*(1-I2640)*(1-ADD.DISCOUNT)*(1+MAT.SURCHARGE)/EXC.RATE_2,C2640*(1-I2640)*(1-ADD.DISCOUNT)*(1+MAT.SURCHARGE)*EXC.RATE_2),CURRENCY.FORMAT_2),CURRENCY.FORMAT_2,1),"# ##0;-# ##0"),",-"),FIXED(ROUND(IF(EXC.RATE.SWITCH=1,C2640*(1-I2640)*(1-ADD.DISCOUNT)*(1+MAT.SURCHARGE)/EXC.RATE_2,C2640*(1-I2640)*(1-ADD.DISCOUNT)*(1+MAT.SURCHARGE)*EXC.RATE_2),CURRENCY.FORMAT_2),CURRENCY.FORMAT_2,0)),'DICTIONARY-5'!$A$2))</f>
        <v/>
      </c>
      <c r="N2640" s="536">
        <v>12</v>
      </c>
      <c r="O2640" s="536"/>
      <c r="P2640" s="732" t="str">
        <f>'DICTIONARY-3'!$A$176</f>
        <v>PEa</v>
      </c>
      <c r="Q2640" s="732" t="str">
        <f>'DICTIONARY-3'!$A$228</f>
        <v>Końcówka do zgrzewania</v>
      </c>
      <c r="R2640" s="732" t="str">
        <f>CONCATENATE('DICTIONARY-3'!$A$176," ",'DICTIONARY-3'!$A$228," ",'DICTIONARY-2'!$A$2,"125 PE100"," ",'DICTIONARY-2'!$A$5,"140",'DICTIONARY-2'!$A$17,," ",'DICTIONARY-5'!$A$59," ",'DICTIONARY-2'!$A$10,"16",'DICTIONARY-2'!$A$20,", ","1×",'DICTIONARY-5'!$A$199)</f>
        <v>PEa Końcówka do zgrzewania DN125 PE100 Da140mm SDR 11 PS16bar, 1×końcówka bosa</v>
      </c>
      <c r="S2640" s="733" t="s">
        <v>5569</v>
      </c>
      <c r="T2640" s="732" t="s">
        <v>5569</v>
      </c>
      <c r="U2640" s="734" t="s">
        <v>5761</v>
      </c>
      <c r="V2640" s="735"/>
      <c r="W2640" s="744" t="s">
        <v>7341</v>
      </c>
      <c r="X2640" s="737"/>
      <c r="Y2640" s="738"/>
      <c r="Z2640" s="739"/>
      <c r="AA2640" s="739"/>
      <c r="AB2640" s="740">
        <v>16</v>
      </c>
      <c r="AC2640" s="741">
        <v>335</v>
      </c>
      <c r="AD2640" s="741" t="str">
        <f>'DICTIONARY-5'!$A$13</f>
        <v>woda pitna</v>
      </c>
      <c r="AE2640" s="742">
        <v>50</v>
      </c>
      <c r="AF2640" s="743">
        <v>6.5</v>
      </c>
      <c r="AG2640" s="741" t="str">
        <f>'DICTIONARY-5'!$A$23</f>
        <v>powłoka epoksydowa</v>
      </c>
    </row>
    <row r="2641" spans="1:33" x14ac:dyDescent="0.25">
      <c r="A2641" s="881" t="s">
        <v>4888</v>
      </c>
      <c r="B2641" s="881" t="s">
        <v>2533</v>
      </c>
      <c r="C2641" s="836">
        <v>311</v>
      </c>
      <c r="D2641" s="836"/>
      <c r="E2641" s="836"/>
      <c r="F2641" s="836"/>
      <c r="G2641" s="496" t="s">
        <v>7851</v>
      </c>
      <c r="H2641" s="797" t="str">
        <f>VLOOKUP(G2641,SETTINGS!$B$7:$D$97,2,0)</f>
        <v>BAIO Fittings</v>
      </c>
      <c r="I2641" s="796">
        <f>VLOOKUP(G2641,SETTINGS!$B$7:$D$97,3,0)</f>
        <v>0</v>
      </c>
      <c r="J2641" s="670" t="str">
        <f>IFERROR(IF(CURRENCY.FORMAT_1=0,CONCATENATE(TEXT(FIXED(ROUND((C2641/EXC.RATE_1),CURRENCY.FORMAT_1),CURRENCY.FORMAT_1,1),"# ##0;-# ##0"),",-"),FIXED(ROUND((C2641/EXC.RATE_1),CURRENCY.FORMAT_1),CURRENCY.FORMAT_1,0)),'DICTIONARY-5'!$A$2)</f>
        <v>311,-</v>
      </c>
      <c r="K2641" s="670" t="str">
        <f>IF(EXC.RATE_2=0,"",IFERROR(IF(CURRENCY.FORMAT_2=0,CONCATENATE(TEXT(FIXED(ROUND(IF(EXC.RATE.SWITCH=1,C2641/EXC.RATE_2,C2641*EXC.RATE_2),CURRENCY.FORMAT_2),CURRENCY.FORMAT_2,1),"# ##0;-# ##0"),",-"),FIXED(ROUND(IF(EXC.RATE.SWITCH=1,C2641/EXC.RATE_2,C2641*EXC.RATE_2),CURRENCY.FORMAT_2),CURRENCY.FORMAT_2,0)),'DICTIONARY-5'!$A$2))</f>
        <v/>
      </c>
      <c r="L2641" s="670" t="str">
        <f>IFERROR(IF(CURRENCY.FORMAT_1=0,CONCATENATE(TEXT(FIXED(ROUND((C2641*(1-I2641)*(1-ADD.DISCOUNT)*(1+MAT.SURCHARGE)/EXC.RATE_1),CURRENCY.FORMAT_1),CURRENCY.FORMAT_1,1),"# ##0;-# ##0"),",-"),FIXED(ROUND((C2641*(1-I2641)*(1-ADD.DISCOUNT)*(1+MAT.SURCHARGE)/EXC.RATE_1),CURRENCY.FORMAT_1),CURRENCY.FORMAT_1,0)),'DICTIONARY-5'!$A$2)</f>
        <v>323,-</v>
      </c>
      <c r="M2641" s="670" t="str">
        <f>IF(EXC.RATE_2=0,"",IFERROR(IF(CURRENCY.FORMAT_2=0,CONCATENATE(TEXT(FIXED(ROUND(IF(EXC.RATE.SWITCH=1,C2641*(1-I2641)*(1-ADD.DISCOUNT)*(1+MAT.SURCHARGE)/EXC.RATE_2,C2641*(1-I2641)*(1-ADD.DISCOUNT)*(1+MAT.SURCHARGE)*EXC.RATE_2),CURRENCY.FORMAT_2),CURRENCY.FORMAT_2,1),"# ##0;-# ##0"),",-"),FIXED(ROUND(IF(EXC.RATE.SWITCH=1,C2641*(1-I2641)*(1-ADD.DISCOUNT)*(1+MAT.SURCHARGE)/EXC.RATE_2,C2641*(1-I2641)*(1-ADD.DISCOUNT)*(1+MAT.SURCHARGE)*EXC.RATE_2),CURRENCY.FORMAT_2),CURRENCY.FORMAT_2,0)),'DICTIONARY-5'!$A$2))</f>
        <v/>
      </c>
      <c r="N2641" s="536">
        <v>12</v>
      </c>
      <c r="O2641" s="536"/>
      <c r="P2641" s="732" t="str">
        <f>'DICTIONARY-3'!$A$176</f>
        <v>PEa</v>
      </c>
      <c r="Q2641" s="732" t="str">
        <f>'DICTIONARY-3'!$A$228</f>
        <v>Końcówka do zgrzewania</v>
      </c>
      <c r="R2641" s="732" t="str">
        <f>CONCATENATE('DICTIONARY-3'!$A$176," ",'DICTIONARY-3'!$A$228," ",'DICTIONARY-2'!$A$2,"150 PE100"," ",'DICTIONARY-2'!$A$5,"160",'DICTIONARY-2'!$A$17,," ",'DICTIONARY-5'!$A$59," ",'DICTIONARY-2'!$A$10,"16",'DICTIONARY-2'!$A$20,", ","1×",'DICTIONARY-5'!$A$199)</f>
        <v>PEa Końcówka do zgrzewania DN150 PE100 Da160mm SDR 11 PS16bar, 1×końcówka bosa</v>
      </c>
      <c r="S2641" s="733" t="s">
        <v>5569</v>
      </c>
      <c r="T2641" s="732" t="s">
        <v>5569</v>
      </c>
      <c r="U2641" s="734" t="s">
        <v>5572</v>
      </c>
      <c r="V2641" s="735"/>
      <c r="W2641" s="744" t="s">
        <v>7342</v>
      </c>
      <c r="X2641" s="737"/>
      <c r="Y2641" s="738"/>
      <c r="Z2641" s="739"/>
      <c r="AA2641" s="739"/>
      <c r="AB2641" s="740">
        <v>16</v>
      </c>
      <c r="AC2641" s="741">
        <v>345</v>
      </c>
      <c r="AD2641" s="741" t="str">
        <f>'DICTIONARY-5'!$A$13</f>
        <v>woda pitna</v>
      </c>
      <c r="AE2641" s="742">
        <v>50</v>
      </c>
      <c r="AF2641" s="743">
        <v>7</v>
      </c>
      <c r="AG2641" s="741" t="str">
        <f>'DICTIONARY-5'!$A$23</f>
        <v>powłoka epoksydowa</v>
      </c>
    </row>
    <row r="2642" spans="1:33" x14ac:dyDescent="0.25">
      <c r="A2642" s="881" t="s">
        <v>4889</v>
      </c>
      <c r="B2642" s="881" t="s">
        <v>2534</v>
      </c>
      <c r="C2642" s="836">
        <v>308</v>
      </c>
      <c r="D2642" s="836"/>
      <c r="E2642" s="836"/>
      <c r="F2642" s="836"/>
      <c r="G2642" s="496" t="s">
        <v>7851</v>
      </c>
      <c r="H2642" s="797" t="str">
        <f>VLOOKUP(G2642,SETTINGS!$B$7:$D$97,2,0)</f>
        <v>BAIO Fittings</v>
      </c>
      <c r="I2642" s="796">
        <f>VLOOKUP(G2642,SETTINGS!$B$7:$D$97,3,0)</f>
        <v>0</v>
      </c>
      <c r="J2642" s="670" t="str">
        <f>IFERROR(IF(CURRENCY.FORMAT_1=0,CONCATENATE(TEXT(FIXED(ROUND((C2642/EXC.RATE_1),CURRENCY.FORMAT_1),CURRENCY.FORMAT_1,1),"# ##0;-# ##0"),",-"),FIXED(ROUND((C2642/EXC.RATE_1),CURRENCY.FORMAT_1),CURRENCY.FORMAT_1,0)),'DICTIONARY-5'!$A$2)</f>
        <v>308,-</v>
      </c>
      <c r="K2642" s="670" t="str">
        <f>IF(EXC.RATE_2=0,"",IFERROR(IF(CURRENCY.FORMAT_2=0,CONCATENATE(TEXT(FIXED(ROUND(IF(EXC.RATE.SWITCH=1,C2642/EXC.RATE_2,C2642*EXC.RATE_2),CURRENCY.FORMAT_2),CURRENCY.FORMAT_2,1),"# ##0;-# ##0"),",-"),FIXED(ROUND(IF(EXC.RATE.SWITCH=1,C2642/EXC.RATE_2,C2642*EXC.RATE_2),CURRENCY.FORMAT_2),CURRENCY.FORMAT_2,0)),'DICTIONARY-5'!$A$2))</f>
        <v/>
      </c>
      <c r="L2642" s="670" t="str">
        <f>IFERROR(IF(CURRENCY.FORMAT_1=0,CONCATENATE(TEXT(FIXED(ROUND((C2642*(1-I2642)*(1-ADD.DISCOUNT)*(1+MAT.SURCHARGE)/EXC.RATE_1),CURRENCY.FORMAT_1),CURRENCY.FORMAT_1,1),"# ##0;-# ##0"),",-"),FIXED(ROUND((C2642*(1-I2642)*(1-ADD.DISCOUNT)*(1+MAT.SURCHARGE)/EXC.RATE_1),CURRENCY.FORMAT_1),CURRENCY.FORMAT_1,0)),'DICTIONARY-5'!$A$2)</f>
        <v>320,-</v>
      </c>
      <c r="M2642" s="670" t="str">
        <f>IF(EXC.RATE_2=0,"",IFERROR(IF(CURRENCY.FORMAT_2=0,CONCATENATE(TEXT(FIXED(ROUND(IF(EXC.RATE.SWITCH=1,C2642*(1-I2642)*(1-ADD.DISCOUNT)*(1+MAT.SURCHARGE)/EXC.RATE_2,C2642*(1-I2642)*(1-ADD.DISCOUNT)*(1+MAT.SURCHARGE)*EXC.RATE_2),CURRENCY.FORMAT_2),CURRENCY.FORMAT_2,1),"# ##0;-# ##0"),",-"),FIXED(ROUND(IF(EXC.RATE.SWITCH=1,C2642*(1-I2642)*(1-ADD.DISCOUNT)*(1+MAT.SURCHARGE)/EXC.RATE_2,C2642*(1-I2642)*(1-ADD.DISCOUNT)*(1+MAT.SURCHARGE)*EXC.RATE_2),CURRENCY.FORMAT_2),CURRENCY.FORMAT_2,0)),'DICTIONARY-5'!$A$2))</f>
        <v/>
      </c>
      <c r="N2642" s="536">
        <v>12</v>
      </c>
      <c r="O2642" s="536"/>
      <c r="P2642" s="732" t="str">
        <f>'DICTIONARY-3'!$A$176</f>
        <v>PEa</v>
      </c>
      <c r="Q2642" s="732" t="str">
        <f>'DICTIONARY-3'!$A$228</f>
        <v>Końcówka do zgrzewania</v>
      </c>
      <c r="R2642" s="732" t="str">
        <f>CONCATENATE('DICTIONARY-3'!$A$176," ",'DICTIONARY-3'!$A$228," ",'DICTIONARY-2'!$A$2,"150 PE100"," ",'DICTIONARY-2'!$A$5,"180",'DICTIONARY-2'!$A$17,," ",'DICTIONARY-5'!$A$59," ",'DICTIONARY-2'!$A$10,"16",'DICTIONARY-2'!$A$20,", ","1×",'DICTIONARY-5'!$A$199)</f>
        <v>PEa Końcówka do zgrzewania DN150 PE100 Da180mm SDR 11 PS16bar, 1×końcówka bosa</v>
      </c>
      <c r="S2642" s="733" t="s">
        <v>5569</v>
      </c>
      <c r="T2642" s="732" t="s">
        <v>5569</v>
      </c>
      <c r="U2642" s="734" t="s">
        <v>5572</v>
      </c>
      <c r="V2642" s="735"/>
      <c r="W2642" s="744" t="s">
        <v>7343</v>
      </c>
      <c r="X2642" s="737"/>
      <c r="Y2642" s="738"/>
      <c r="Z2642" s="739"/>
      <c r="AA2642" s="739"/>
      <c r="AB2642" s="740">
        <v>16</v>
      </c>
      <c r="AC2642" s="741">
        <v>355</v>
      </c>
      <c r="AD2642" s="741" t="str">
        <f>'DICTIONARY-5'!$A$13</f>
        <v>woda pitna</v>
      </c>
      <c r="AE2642" s="742">
        <v>50</v>
      </c>
      <c r="AF2642" s="743">
        <v>8</v>
      </c>
      <c r="AG2642" s="741" t="str">
        <f>'DICTIONARY-5'!$A$23</f>
        <v>powłoka epoksydowa</v>
      </c>
    </row>
    <row r="2643" spans="1:33" x14ac:dyDescent="0.25">
      <c r="A2643" s="881" t="s">
        <v>4890</v>
      </c>
      <c r="B2643" s="881" t="s">
        <v>2535</v>
      </c>
      <c r="C2643" s="836">
        <v>728</v>
      </c>
      <c r="D2643" s="836"/>
      <c r="E2643" s="836"/>
      <c r="F2643" s="836"/>
      <c r="G2643" s="496" t="s">
        <v>7851</v>
      </c>
      <c r="H2643" s="797" t="str">
        <f>VLOOKUP(G2643,SETTINGS!$B$7:$D$97,2,0)</f>
        <v>BAIO Fittings</v>
      </c>
      <c r="I2643" s="796">
        <f>VLOOKUP(G2643,SETTINGS!$B$7:$D$97,3,0)</f>
        <v>0</v>
      </c>
      <c r="J2643" s="670" t="str">
        <f>IFERROR(IF(CURRENCY.FORMAT_1=0,CONCATENATE(TEXT(FIXED(ROUND((C2643/EXC.RATE_1),CURRENCY.FORMAT_1),CURRENCY.FORMAT_1,1),"# ##0;-# ##0"),",-"),FIXED(ROUND((C2643/EXC.RATE_1),CURRENCY.FORMAT_1),CURRENCY.FORMAT_1,0)),'DICTIONARY-5'!$A$2)</f>
        <v>728,-</v>
      </c>
      <c r="K2643" s="670" t="str">
        <f>IF(EXC.RATE_2=0,"",IFERROR(IF(CURRENCY.FORMAT_2=0,CONCATENATE(TEXT(FIXED(ROUND(IF(EXC.RATE.SWITCH=1,C2643/EXC.RATE_2,C2643*EXC.RATE_2),CURRENCY.FORMAT_2),CURRENCY.FORMAT_2,1),"# ##0;-# ##0"),",-"),FIXED(ROUND(IF(EXC.RATE.SWITCH=1,C2643/EXC.RATE_2,C2643*EXC.RATE_2),CURRENCY.FORMAT_2),CURRENCY.FORMAT_2,0)),'DICTIONARY-5'!$A$2))</f>
        <v/>
      </c>
      <c r="L2643" s="670" t="str">
        <f>IFERROR(IF(CURRENCY.FORMAT_1=0,CONCATENATE(TEXT(FIXED(ROUND((C2643*(1-I2643)*(1-ADD.DISCOUNT)*(1+MAT.SURCHARGE)/EXC.RATE_1),CURRENCY.FORMAT_1),CURRENCY.FORMAT_1,1),"# ##0;-# ##0"),",-"),FIXED(ROUND((C2643*(1-I2643)*(1-ADD.DISCOUNT)*(1+MAT.SURCHARGE)/EXC.RATE_1),CURRENCY.FORMAT_1),CURRENCY.FORMAT_1,0)),'DICTIONARY-5'!$A$2)</f>
        <v>756,-</v>
      </c>
      <c r="M2643" s="670" t="str">
        <f>IF(EXC.RATE_2=0,"",IFERROR(IF(CURRENCY.FORMAT_2=0,CONCATENATE(TEXT(FIXED(ROUND(IF(EXC.RATE.SWITCH=1,C2643*(1-I2643)*(1-ADD.DISCOUNT)*(1+MAT.SURCHARGE)/EXC.RATE_2,C2643*(1-I2643)*(1-ADD.DISCOUNT)*(1+MAT.SURCHARGE)*EXC.RATE_2),CURRENCY.FORMAT_2),CURRENCY.FORMAT_2,1),"# ##0;-# ##0"),",-"),FIXED(ROUND(IF(EXC.RATE.SWITCH=1,C2643*(1-I2643)*(1-ADD.DISCOUNT)*(1+MAT.SURCHARGE)/EXC.RATE_2,C2643*(1-I2643)*(1-ADD.DISCOUNT)*(1+MAT.SURCHARGE)*EXC.RATE_2),CURRENCY.FORMAT_2),CURRENCY.FORMAT_2,0)),'DICTIONARY-5'!$A$2))</f>
        <v/>
      </c>
      <c r="N2643" s="536">
        <v>12</v>
      </c>
      <c r="O2643" s="536"/>
      <c r="P2643" s="732" t="str">
        <f>'DICTIONARY-3'!$A$176</f>
        <v>PEa</v>
      </c>
      <c r="Q2643" s="732" t="str">
        <f>'DICTIONARY-3'!$A$228</f>
        <v>Końcówka do zgrzewania</v>
      </c>
      <c r="R2643" s="732" t="str">
        <f>CONCATENATE('DICTIONARY-3'!$A$176," ",'DICTIONARY-3'!$A$228," ",'DICTIONARY-2'!$A$2,"200 PE100"," ",'DICTIONARY-2'!$A$5,"200",'DICTIONARY-2'!$A$17,," ",'DICTIONARY-5'!$A$59," ",'DICTIONARY-2'!$A$10,"16",'DICTIONARY-2'!$A$20,", ","1×",'DICTIONARY-5'!$A$199)</f>
        <v>PEa Końcówka do zgrzewania DN200 PE100 Da200mm SDR 11 PS16bar, 1×końcówka bosa</v>
      </c>
      <c r="S2643" s="733" t="s">
        <v>5569</v>
      </c>
      <c r="T2643" s="732" t="s">
        <v>5569</v>
      </c>
      <c r="U2643" s="734" t="s">
        <v>5750</v>
      </c>
      <c r="V2643" s="735"/>
      <c r="W2643" s="744" t="s">
        <v>5750</v>
      </c>
      <c r="X2643" s="737"/>
      <c r="Y2643" s="738"/>
      <c r="Z2643" s="739"/>
      <c r="AA2643" s="739"/>
      <c r="AB2643" s="740">
        <v>16</v>
      </c>
      <c r="AC2643" s="741">
        <v>380</v>
      </c>
      <c r="AD2643" s="741" t="str">
        <f>'DICTIONARY-5'!$A$13</f>
        <v>woda pitna</v>
      </c>
      <c r="AE2643" s="742">
        <v>50</v>
      </c>
      <c r="AF2643" s="743">
        <v>13</v>
      </c>
      <c r="AG2643" s="741" t="str">
        <f>'DICTIONARY-5'!$A$23</f>
        <v>powłoka epoksydowa</v>
      </c>
    </row>
    <row r="2644" spans="1:33" x14ac:dyDescent="0.25">
      <c r="A2644" s="881" t="s">
        <v>4891</v>
      </c>
      <c r="B2644" s="881" t="s">
        <v>2536</v>
      </c>
      <c r="C2644" s="836">
        <v>709</v>
      </c>
      <c r="D2644" s="836"/>
      <c r="E2644" s="836"/>
      <c r="F2644" s="836"/>
      <c r="G2644" s="496" t="s">
        <v>7851</v>
      </c>
      <c r="H2644" s="797" t="str">
        <f>VLOOKUP(G2644,SETTINGS!$B$7:$D$97,2,0)</f>
        <v>BAIO Fittings</v>
      </c>
      <c r="I2644" s="796">
        <f>VLOOKUP(G2644,SETTINGS!$B$7:$D$97,3,0)</f>
        <v>0</v>
      </c>
      <c r="J2644" s="670" t="str">
        <f>IFERROR(IF(CURRENCY.FORMAT_1=0,CONCATENATE(TEXT(FIXED(ROUND((C2644/EXC.RATE_1),CURRENCY.FORMAT_1),CURRENCY.FORMAT_1,1),"# ##0;-# ##0"),",-"),FIXED(ROUND((C2644/EXC.RATE_1),CURRENCY.FORMAT_1),CURRENCY.FORMAT_1,0)),'DICTIONARY-5'!$A$2)</f>
        <v>709,-</v>
      </c>
      <c r="K2644" s="670" t="str">
        <f>IF(EXC.RATE_2=0,"",IFERROR(IF(CURRENCY.FORMAT_2=0,CONCATENATE(TEXT(FIXED(ROUND(IF(EXC.RATE.SWITCH=1,C2644/EXC.RATE_2,C2644*EXC.RATE_2),CURRENCY.FORMAT_2),CURRENCY.FORMAT_2,1),"# ##0;-# ##0"),",-"),FIXED(ROUND(IF(EXC.RATE.SWITCH=1,C2644/EXC.RATE_2,C2644*EXC.RATE_2),CURRENCY.FORMAT_2),CURRENCY.FORMAT_2,0)),'DICTIONARY-5'!$A$2))</f>
        <v/>
      </c>
      <c r="L2644" s="670" t="str">
        <f>IFERROR(IF(CURRENCY.FORMAT_1=0,CONCATENATE(TEXT(FIXED(ROUND((C2644*(1-I2644)*(1-ADD.DISCOUNT)*(1+MAT.SURCHARGE)/EXC.RATE_1),CURRENCY.FORMAT_1),CURRENCY.FORMAT_1,1),"# ##0;-# ##0"),",-"),FIXED(ROUND((C2644*(1-I2644)*(1-ADD.DISCOUNT)*(1+MAT.SURCHARGE)/EXC.RATE_1),CURRENCY.FORMAT_1),CURRENCY.FORMAT_1,0)),'DICTIONARY-5'!$A$2)</f>
        <v>737,-</v>
      </c>
      <c r="M2644" s="670" t="str">
        <f>IF(EXC.RATE_2=0,"",IFERROR(IF(CURRENCY.FORMAT_2=0,CONCATENATE(TEXT(FIXED(ROUND(IF(EXC.RATE.SWITCH=1,C2644*(1-I2644)*(1-ADD.DISCOUNT)*(1+MAT.SURCHARGE)/EXC.RATE_2,C2644*(1-I2644)*(1-ADD.DISCOUNT)*(1+MAT.SURCHARGE)*EXC.RATE_2),CURRENCY.FORMAT_2),CURRENCY.FORMAT_2,1),"# ##0;-# ##0"),",-"),FIXED(ROUND(IF(EXC.RATE.SWITCH=1,C2644*(1-I2644)*(1-ADD.DISCOUNT)*(1+MAT.SURCHARGE)/EXC.RATE_2,C2644*(1-I2644)*(1-ADD.DISCOUNT)*(1+MAT.SURCHARGE)*EXC.RATE_2),CURRENCY.FORMAT_2),CURRENCY.FORMAT_2,0)),'DICTIONARY-5'!$A$2))</f>
        <v/>
      </c>
      <c r="N2644" s="536">
        <v>12</v>
      </c>
      <c r="O2644" s="536"/>
      <c r="P2644" s="732" t="str">
        <f>'DICTIONARY-3'!$A$176</f>
        <v>PEa</v>
      </c>
      <c r="Q2644" s="732" t="str">
        <f>'DICTIONARY-3'!$A$228</f>
        <v>Końcówka do zgrzewania</v>
      </c>
      <c r="R2644" s="732" t="str">
        <f>CONCATENATE('DICTIONARY-3'!$A$176," ",'DICTIONARY-3'!$A$228," ",'DICTIONARY-2'!$A$2,"200 PE100"," ",'DICTIONARY-2'!$A$5,"225",'DICTIONARY-2'!$A$17,," ",'DICTIONARY-5'!$A$59," ",'DICTIONARY-2'!$A$10,"16",'DICTIONARY-2'!$A$20,", ","1×",'DICTIONARY-5'!$A$199)</f>
        <v>PEa Końcówka do zgrzewania DN200 PE100 Da225mm SDR 11 PS16bar, 1×końcówka bosa</v>
      </c>
      <c r="S2644" s="733" t="s">
        <v>5569</v>
      </c>
      <c r="T2644" s="732" t="s">
        <v>5569</v>
      </c>
      <c r="U2644" s="734" t="s">
        <v>5750</v>
      </c>
      <c r="V2644" s="735"/>
      <c r="W2644" s="744" t="s">
        <v>5833</v>
      </c>
      <c r="X2644" s="737"/>
      <c r="Y2644" s="738"/>
      <c r="Z2644" s="739"/>
      <c r="AA2644" s="739"/>
      <c r="AB2644" s="740">
        <v>16</v>
      </c>
      <c r="AC2644" s="741">
        <v>395</v>
      </c>
      <c r="AD2644" s="741" t="str">
        <f>'DICTIONARY-5'!$A$13</f>
        <v>woda pitna</v>
      </c>
      <c r="AE2644" s="742">
        <v>50</v>
      </c>
      <c r="AF2644" s="743">
        <v>13.5</v>
      </c>
      <c r="AG2644" s="741" t="str">
        <f>'DICTIONARY-5'!$A$23</f>
        <v>powłoka epoksydowa</v>
      </c>
    </row>
    <row r="2645" spans="1:33" x14ac:dyDescent="0.25">
      <c r="A2645" s="869" t="s">
        <v>2564</v>
      </c>
      <c r="B2645" s="869" t="s">
        <v>2955</v>
      </c>
      <c r="C2645" s="836">
        <v>4</v>
      </c>
      <c r="D2645" s="836"/>
      <c r="E2645" s="836"/>
      <c r="F2645" s="836"/>
      <c r="G2645" s="496" t="s">
        <v>7851</v>
      </c>
      <c r="H2645" s="797" t="str">
        <f>VLOOKUP(G2645,SETTINGS!$B$7:$D$97,2,0)</f>
        <v>BAIO Fittings</v>
      </c>
      <c r="I2645" s="796">
        <f>VLOOKUP(G2645,SETTINGS!$B$7:$D$97,3,0)</f>
        <v>0</v>
      </c>
      <c r="J2645" s="670" t="str">
        <f>IFERROR(IF(CURRENCY.FORMAT_1=0,CONCATENATE(TEXT(FIXED(ROUND((C2645/EXC.RATE_1),CURRENCY.FORMAT_1),CURRENCY.FORMAT_1,1),"# ##0;-# ##0"),",-"),FIXED(ROUND((C2645/EXC.RATE_1),CURRENCY.FORMAT_1),CURRENCY.FORMAT_1,0)),'DICTIONARY-5'!$A$2)</f>
        <v>4,-</v>
      </c>
      <c r="K2645" s="670" t="str">
        <f>IF(EXC.RATE_2=0,"",IFERROR(IF(CURRENCY.FORMAT_2=0,CONCATENATE(TEXT(FIXED(ROUND(IF(EXC.RATE.SWITCH=1,C2645/EXC.RATE_2,C2645*EXC.RATE_2),CURRENCY.FORMAT_2),CURRENCY.FORMAT_2,1),"# ##0;-# ##0"),",-"),FIXED(ROUND(IF(EXC.RATE.SWITCH=1,C2645/EXC.RATE_2,C2645*EXC.RATE_2),CURRENCY.FORMAT_2),CURRENCY.FORMAT_2,0)),'DICTIONARY-5'!$A$2))</f>
        <v/>
      </c>
      <c r="L2645" s="670" t="str">
        <f>IFERROR(IF(CURRENCY.FORMAT_1=0,CONCATENATE(TEXT(FIXED(ROUND((C2645*(1-I2645)*(1-ADD.DISCOUNT)*(1+MAT.SURCHARGE)/EXC.RATE_1),CURRENCY.FORMAT_1),CURRENCY.FORMAT_1,1),"# ##0;-# ##0"),",-"),FIXED(ROUND((C2645*(1-I2645)*(1-ADD.DISCOUNT)*(1+MAT.SURCHARGE)/EXC.RATE_1),CURRENCY.FORMAT_1),CURRENCY.FORMAT_1,0)),'DICTIONARY-5'!$A$2)</f>
        <v>4,-</v>
      </c>
      <c r="M2645" s="670" t="str">
        <f>IF(EXC.RATE_2=0,"",IFERROR(IF(CURRENCY.FORMAT_2=0,CONCATENATE(TEXT(FIXED(ROUND(IF(EXC.RATE.SWITCH=1,C2645*(1-I2645)*(1-ADD.DISCOUNT)*(1+MAT.SURCHARGE)/EXC.RATE_2,C2645*(1-I2645)*(1-ADD.DISCOUNT)*(1+MAT.SURCHARGE)*EXC.RATE_2),CURRENCY.FORMAT_2),CURRENCY.FORMAT_2,1),"# ##0;-# ##0"),",-"),FIXED(ROUND(IF(EXC.RATE.SWITCH=1,C2645*(1-I2645)*(1-ADD.DISCOUNT)*(1+MAT.SURCHARGE)/EXC.RATE_2,C2645*(1-I2645)*(1-ADD.DISCOUNT)*(1+MAT.SURCHARGE)*EXC.RATE_2),CURRENCY.FORMAT_2),CURRENCY.FORMAT_2,0)),'DICTIONARY-5'!$A$2))</f>
        <v/>
      </c>
      <c r="N2645" s="535">
        <v>12</v>
      </c>
      <c r="O2645" s="535"/>
      <c r="P2645" s="732" t="str">
        <f>'DICTIONARY-3'!$A$178</f>
        <v>BAIO GKS</v>
      </c>
      <c r="Q2645" s="732" t="str">
        <f>'DICTIONARY-3'!$A$227</f>
        <v>Uszczelki</v>
      </c>
      <c r="R2645" s="732" t="str">
        <f>CONCATENATE('DICTIONARY-3'!$A$178," ",'DICTIONARY-3'!$A$227," ",'DICTIONARY-2'!$A$2,"80"," ",'DICTIONARY-2'!$A$5,"90"," ",'DICTIONARY-2'!$A$10,"16",'DICTIONARY-2'!$A$20,", ",'DICTIONARY-5'!$A$44,", ",'DICTIONARY-6'!$A$76," ",'DICTIONARY-5'!$A$57,"+",'DICTIONARY-5'!$A$56)</f>
        <v>BAIO GKS Uszczelki DN80 Da90 PS16bar, EPDM, ruroc. PE+PVC</v>
      </c>
      <c r="S2645" s="733"/>
      <c r="T2645" s="732"/>
      <c r="U2645" s="734" t="s">
        <v>5760</v>
      </c>
      <c r="V2645" s="735" t="s">
        <v>5569</v>
      </c>
      <c r="W2645" s="744" t="s">
        <v>7339</v>
      </c>
      <c r="X2645" s="737"/>
      <c r="Y2645" s="738"/>
      <c r="Z2645" s="739"/>
      <c r="AA2645" s="739"/>
      <c r="AB2645" s="740">
        <v>16</v>
      </c>
      <c r="AC2645" s="741" t="s">
        <v>5569</v>
      </c>
      <c r="AD2645" s="741" t="str">
        <f>'DICTIONARY-5'!$A$13</f>
        <v>woda pitna</v>
      </c>
      <c r="AE2645" s="742">
        <v>50</v>
      </c>
      <c r="AF2645" s="743">
        <v>0.14399999999999999</v>
      </c>
      <c r="AG2645" s="741" t="s">
        <v>5569</v>
      </c>
    </row>
    <row r="2646" spans="1:33" x14ac:dyDescent="0.25">
      <c r="A2646" s="869" t="s">
        <v>2566</v>
      </c>
      <c r="B2646" s="869" t="s">
        <v>2956</v>
      </c>
      <c r="C2646" s="836">
        <v>9</v>
      </c>
      <c r="D2646" s="836"/>
      <c r="E2646" s="836"/>
      <c r="F2646" s="836"/>
      <c r="G2646" s="496" t="s">
        <v>7851</v>
      </c>
      <c r="H2646" s="797" t="str">
        <f>VLOOKUP(G2646,SETTINGS!$B$7:$D$97,2,0)</f>
        <v>BAIO Fittings</v>
      </c>
      <c r="I2646" s="796">
        <f>VLOOKUP(G2646,SETTINGS!$B$7:$D$97,3,0)</f>
        <v>0</v>
      </c>
      <c r="J2646" s="670" t="str">
        <f>IFERROR(IF(CURRENCY.FORMAT_1=0,CONCATENATE(TEXT(FIXED(ROUND((C2646/EXC.RATE_1),CURRENCY.FORMAT_1),CURRENCY.FORMAT_1,1),"# ##0;-# ##0"),",-"),FIXED(ROUND((C2646/EXC.RATE_1),CURRENCY.FORMAT_1),CURRENCY.FORMAT_1,0)),'DICTIONARY-5'!$A$2)</f>
        <v>9,-</v>
      </c>
      <c r="K2646" s="670" t="str">
        <f>IF(EXC.RATE_2=0,"",IFERROR(IF(CURRENCY.FORMAT_2=0,CONCATENATE(TEXT(FIXED(ROUND(IF(EXC.RATE.SWITCH=1,C2646/EXC.RATE_2,C2646*EXC.RATE_2),CURRENCY.FORMAT_2),CURRENCY.FORMAT_2,1),"# ##0;-# ##0"),",-"),FIXED(ROUND(IF(EXC.RATE.SWITCH=1,C2646/EXC.RATE_2,C2646*EXC.RATE_2),CURRENCY.FORMAT_2),CURRENCY.FORMAT_2,0)),'DICTIONARY-5'!$A$2))</f>
        <v/>
      </c>
      <c r="L2646" s="670" t="str">
        <f>IFERROR(IF(CURRENCY.FORMAT_1=0,CONCATENATE(TEXT(FIXED(ROUND((C2646*(1-I2646)*(1-ADD.DISCOUNT)*(1+MAT.SURCHARGE)/EXC.RATE_1),CURRENCY.FORMAT_1),CURRENCY.FORMAT_1,1),"# ##0;-# ##0"),",-"),FIXED(ROUND((C2646*(1-I2646)*(1-ADD.DISCOUNT)*(1+MAT.SURCHARGE)/EXC.RATE_1),CURRENCY.FORMAT_1),CURRENCY.FORMAT_1,0)),'DICTIONARY-5'!$A$2)</f>
        <v>9,-</v>
      </c>
      <c r="M2646" s="670" t="str">
        <f>IF(EXC.RATE_2=0,"",IFERROR(IF(CURRENCY.FORMAT_2=0,CONCATENATE(TEXT(FIXED(ROUND(IF(EXC.RATE.SWITCH=1,C2646*(1-I2646)*(1-ADD.DISCOUNT)*(1+MAT.SURCHARGE)/EXC.RATE_2,C2646*(1-I2646)*(1-ADD.DISCOUNT)*(1+MAT.SURCHARGE)*EXC.RATE_2),CURRENCY.FORMAT_2),CURRENCY.FORMAT_2,1),"# ##0;-# ##0"),",-"),FIXED(ROUND(IF(EXC.RATE.SWITCH=1,C2646*(1-I2646)*(1-ADD.DISCOUNT)*(1+MAT.SURCHARGE)/EXC.RATE_2,C2646*(1-I2646)*(1-ADD.DISCOUNT)*(1+MAT.SURCHARGE)*EXC.RATE_2),CURRENCY.FORMAT_2),CURRENCY.FORMAT_2,0)),'DICTIONARY-5'!$A$2))</f>
        <v/>
      </c>
      <c r="N2646" s="535">
        <v>12</v>
      </c>
      <c r="O2646" s="535"/>
      <c r="P2646" s="732" t="str">
        <f>'DICTIONARY-3'!$A$178</f>
        <v>BAIO GKS</v>
      </c>
      <c r="Q2646" s="732" t="str">
        <f>'DICTIONARY-3'!$A$227</f>
        <v>Uszczelki</v>
      </c>
      <c r="R2646" s="732" t="str">
        <f>CONCATENATE('DICTIONARY-3'!$A$178," ",'DICTIONARY-3'!$A$227," ",'DICTIONARY-2'!$A$2,"100"," ",'DICTIONARY-2'!$A$5,"110"," ",'DICTIONARY-2'!$A$10,"16",'DICTIONARY-2'!$A$20,", ",'DICTIONARY-5'!$A$44,", ",'DICTIONARY-6'!$A$76," ",'DICTIONARY-5'!$A$57,"+",'DICTIONARY-5'!$A$56)</f>
        <v>BAIO GKS Uszczelki DN100 Da110 PS16bar, EPDM, ruroc. PE+PVC</v>
      </c>
      <c r="S2646" s="733"/>
      <c r="T2646" s="732"/>
      <c r="U2646" s="734" t="s">
        <v>5749</v>
      </c>
      <c r="V2646" s="735" t="s">
        <v>5569</v>
      </c>
      <c r="W2646" s="744" t="s">
        <v>7340</v>
      </c>
      <c r="X2646" s="737"/>
      <c r="Y2646" s="738"/>
      <c r="Z2646" s="739"/>
      <c r="AA2646" s="739"/>
      <c r="AB2646" s="740">
        <v>16</v>
      </c>
      <c r="AC2646" s="741" t="s">
        <v>5569</v>
      </c>
      <c r="AD2646" s="741" t="str">
        <f>'DICTIONARY-5'!$A$13</f>
        <v>woda pitna</v>
      </c>
      <c r="AE2646" s="742">
        <v>50</v>
      </c>
      <c r="AF2646" s="743">
        <v>0.16700000000000001</v>
      </c>
      <c r="AG2646" s="741" t="s">
        <v>5569</v>
      </c>
    </row>
    <row r="2647" spans="1:33" x14ac:dyDescent="0.25">
      <c r="A2647" s="869" t="s">
        <v>2568</v>
      </c>
      <c r="B2647" s="869" t="s">
        <v>2961</v>
      </c>
      <c r="C2647" s="836">
        <v>20</v>
      </c>
      <c r="D2647" s="836"/>
      <c r="E2647" s="836"/>
      <c r="F2647" s="836"/>
      <c r="G2647" s="496" t="s">
        <v>7851</v>
      </c>
      <c r="H2647" s="797" t="str">
        <f>VLOOKUP(G2647,SETTINGS!$B$7:$D$97,2,0)</f>
        <v>BAIO Fittings</v>
      </c>
      <c r="I2647" s="796">
        <f>VLOOKUP(G2647,SETTINGS!$B$7:$D$97,3,0)</f>
        <v>0</v>
      </c>
      <c r="J2647" s="670" t="str">
        <f>IFERROR(IF(CURRENCY.FORMAT_1=0,CONCATENATE(TEXT(FIXED(ROUND((C2647/EXC.RATE_1),CURRENCY.FORMAT_1),CURRENCY.FORMAT_1,1),"# ##0;-# ##0"),",-"),FIXED(ROUND((C2647/EXC.RATE_1),CURRENCY.FORMAT_1),CURRENCY.FORMAT_1,0)),'DICTIONARY-5'!$A$2)</f>
        <v>20,-</v>
      </c>
      <c r="K2647" s="670" t="str">
        <f>IF(EXC.RATE_2=0,"",IFERROR(IF(CURRENCY.FORMAT_2=0,CONCATENATE(TEXT(FIXED(ROUND(IF(EXC.RATE.SWITCH=1,C2647/EXC.RATE_2,C2647*EXC.RATE_2),CURRENCY.FORMAT_2),CURRENCY.FORMAT_2,1),"# ##0;-# ##0"),",-"),FIXED(ROUND(IF(EXC.RATE.SWITCH=1,C2647/EXC.RATE_2,C2647*EXC.RATE_2),CURRENCY.FORMAT_2),CURRENCY.FORMAT_2,0)),'DICTIONARY-5'!$A$2))</f>
        <v/>
      </c>
      <c r="L2647" s="670" t="str">
        <f>IFERROR(IF(CURRENCY.FORMAT_1=0,CONCATENATE(TEXT(FIXED(ROUND((C2647*(1-I2647)*(1-ADD.DISCOUNT)*(1+MAT.SURCHARGE)/EXC.RATE_1),CURRENCY.FORMAT_1),CURRENCY.FORMAT_1,1),"# ##0;-# ##0"),",-"),FIXED(ROUND((C2647*(1-I2647)*(1-ADD.DISCOUNT)*(1+MAT.SURCHARGE)/EXC.RATE_1),CURRENCY.FORMAT_1),CURRENCY.FORMAT_1,0)),'DICTIONARY-5'!$A$2)</f>
        <v>21,-</v>
      </c>
      <c r="M2647" s="670" t="str">
        <f>IF(EXC.RATE_2=0,"",IFERROR(IF(CURRENCY.FORMAT_2=0,CONCATENATE(TEXT(FIXED(ROUND(IF(EXC.RATE.SWITCH=1,C2647*(1-I2647)*(1-ADD.DISCOUNT)*(1+MAT.SURCHARGE)/EXC.RATE_2,C2647*(1-I2647)*(1-ADD.DISCOUNT)*(1+MAT.SURCHARGE)*EXC.RATE_2),CURRENCY.FORMAT_2),CURRENCY.FORMAT_2,1),"# ##0;-# ##0"),",-"),FIXED(ROUND(IF(EXC.RATE.SWITCH=1,C2647*(1-I2647)*(1-ADD.DISCOUNT)*(1+MAT.SURCHARGE)/EXC.RATE_2,C2647*(1-I2647)*(1-ADD.DISCOUNT)*(1+MAT.SURCHARGE)*EXC.RATE_2),CURRENCY.FORMAT_2),CURRENCY.FORMAT_2,0)),'DICTIONARY-5'!$A$2))</f>
        <v/>
      </c>
      <c r="N2647" s="535">
        <v>12</v>
      </c>
      <c r="O2647" s="535"/>
      <c r="P2647" s="732" t="str">
        <f>'DICTIONARY-3'!$A$178</f>
        <v>BAIO GKS</v>
      </c>
      <c r="Q2647" s="732" t="str">
        <f>'DICTIONARY-3'!$A$227</f>
        <v>Uszczelki</v>
      </c>
      <c r="R2647" s="732" t="str">
        <f>CONCATENATE('DICTIONARY-3'!$A$178," ",'DICTIONARY-3'!$A$227," ",'DICTIONARY-2'!$A$2,"100"," ",'DICTIONARY-2'!$A$5,"125"," ",'DICTIONARY-2'!$A$10,"16",'DICTIONARY-2'!$A$20,", ",'DICTIONARY-5'!$A$44,", ",'DICTIONARY-6'!$A$76," ",'DICTIONARY-5'!$A$57,"+",'DICTIONARY-5'!$A$56)</f>
        <v>BAIO GKS Uszczelki DN100 Da125 PS16bar, EPDM, ruroc. PE+PVC</v>
      </c>
      <c r="S2647" s="733"/>
      <c r="T2647" s="732"/>
      <c r="U2647" s="734" t="s">
        <v>5749</v>
      </c>
      <c r="V2647" s="735" t="s">
        <v>5569</v>
      </c>
      <c r="W2647" s="744" t="s">
        <v>5761</v>
      </c>
      <c r="X2647" s="737"/>
      <c r="Y2647" s="738"/>
      <c r="Z2647" s="739"/>
      <c r="AA2647" s="739"/>
      <c r="AB2647" s="740">
        <v>16</v>
      </c>
      <c r="AC2647" s="741" t="s">
        <v>5569</v>
      </c>
      <c r="AD2647" s="741" t="str">
        <f>'DICTIONARY-5'!$A$13</f>
        <v>woda pitna</v>
      </c>
      <c r="AE2647" s="742">
        <v>50</v>
      </c>
      <c r="AF2647" s="743">
        <v>0.152</v>
      </c>
      <c r="AG2647" s="741" t="s">
        <v>5569</v>
      </c>
    </row>
    <row r="2648" spans="1:33" x14ac:dyDescent="0.25">
      <c r="A2648" s="869" t="s">
        <v>2570</v>
      </c>
      <c r="B2648" s="869" t="s">
        <v>2874</v>
      </c>
      <c r="C2648" s="836">
        <v>50</v>
      </c>
      <c r="D2648" s="836"/>
      <c r="E2648" s="836"/>
      <c r="F2648" s="836"/>
      <c r="G2648" s="496" t="s">
        <v>7851</v>
      </c>
      <c r="H2648" s="797" t="str">
        <f>VLOOKUP(G2648,SETTINGS!$B$7:$D$97,2,0)</f>
        <v>BAIO Fittings</v>
      </c>
      <c r="I2648" s="796">
        <f>VLOOKUP(G2648,SETTINGS!$B$7:$D$97,3,0)</f>
        <v>0</v>
      </c>
      <c r="J2648" s="670" t="str">
        <f>IFERROR(IF(CURRENCY.FORMAT_1=0,CONCATENATE(TEXT(FIXED(ROUND((C2648/EXC.RATE_1),CURRENCY.FORMAT_1),CURRENCY.FORMAT_1,1),"# ##0;-# ##0"),",-"),FIXED(ROUND((C2648/EXC.RATE_1),CURRENCY.FORMAT_1),CURRENCY.FORMAT_1,0)),'DICTIONARY-5'!$A$2)</f>
        <v>50,-</v>
      </c>
      <c r="K2648" s="670" t="str">
        <f>IF(EXC.RATE_2=0,"",IFERROR(IF(CURRENCY.FORMAT_2=0,CONCATENATE(TEXT(FIXED(ROUND(IF(EXC.RATE.SWITCH=1,C2648/EXC.RATE_2,C2648*EXC.RATE_2),CURRENCY.FORMAT_2),CURRENCY.FORMAT_2,1),"# ##0;-# ##0"),",-"),FIXED(ROUND(IF(EXC.RATE.SWITCH=1,C2648/EXC.RATE_2,C2648*EXC.RATE_2),CURRENCY.FORMAT_2),CURRENCY.FORMAT_2,0)),'DICTIONARY-5'!$A$2))</f>
        <v/>
      </c>
      <c r="L2648" s="670" t="str">
        <f>IFERROR(IF(CURRENCY.FORMAT_1=0,CONCATENATE(TEXT(FIXED(ROUND((C2648*(1-I2648)*(1-ADD.DISCOUNT)*(1+MAT.SURCHARGE)/EXC.RATE_1),CURRENCY.FORMAT_1),CURRENCY.FORMAT_1,1),"# ##0;-# ##0"),",-"),FIXED(ROUND((C2648*(1-I2648)*(1-ADD.DISCOUNT)*(1+MAT.SURCHARGE)/EXC.RATE_1),CURRENCY.FORMAT_1),CURRENCY.FORMAT_1,0)),'DICTIONARY-5'!$A$2)</f>
        <v>52,-</v>
      </c>
      <c r="M2648" s="670" t="str">
        <f>IF(EXC.RATE_2=0,"",IFERROR(IF(CURRENCY.FORMAT_2=0,CONCATENATE(TEXT(FIXED(ROUND(IF(EXC.RATE.SWITCH=1,C2648*(1-I2648)*(1-ADD.DISCOUNT)*(1+MAT.SURCHARGE)/EXC.RATE_2,C2648*(1-I2648)*(1-ADD.DISCOUNT)*(1+MAT.SURCHARGE)*EXC.RATE_2),CURRENCY.FORMAT_2),CURRENCY.FORMAT_2,1),"# ##0;-# ##0"),",-"),FIXED(ROUND(IF(EXC.RATE.SWITCH=1,C2648*(1-I2648)*(1-ADD.DISCOUNT)*(1+MAT.SURCHARGE)/EXC.RATE_2,C2648*(1-I2648)*(1-ADD.DISCOUNT)*(1+MAT.SURCHARGE)*EXC.RATE_2),CURRENCY.FORMAT_2),CURRENCY.FORMAT_2,0)),'DICTIONARY-5'!$A$2))</f>
        <v/>
      </c>
      <c r="N2648" s="535">
        <v>12</v>
      </c>
      <c r="O2648" s="535"/>
      <c r="P2648" s="732" t="str">
        <f>'DICTIONARY-3'!$A$178</f>
        <v>BAIO GKS</v>
      </c>
      <c r="Q2648" s="732" t="str">
        <f>'DICTIONARY-3'!$A$227</f>
        <v>Uszczelki</v>
      </c>
      <c r="R2648" s="732" t="str">
        <f>CONCATENATE('DICTIONARY-3'!$A$178," ",'DICTIONARY-3'!$A$227," ",'DICTIONARY-2'!$A$2,"125"," ",'DICTIONARY-2'!$A$5,"125"," ",'DICTIONARY-2'!$A$10,"16",'DICTIONARY-2'!$A$20,", ",'DICTIONARY-5'!$A$44,", ",'DICTIONARY-6'!$A$76," ",'DICTIONARY-5'!$A$57,"+",'DICTIONARY-5'!$A$56)</f>
        <v>BAIO GKS Uszczelki DN125 Da125 PS16bar, EPDM, ruroc. PE+PVC</v>
      </c>
      <c r="S2648" s="733"/>
      <c r="T2648" s="732"/>
      <c r="U2648" s="734" t="s">
        <v>5761</v>
      </c>
      <c r="V2648" s="735" t="s">
        <v>5569</v>
      </c>
      <c r="W2648" s="744" t="s">
        <v>5761</v>
      </c>
      <c r="X2648" s="737"/>
      <c r="Y2648" s="738"/>
      <c r="Z2648" s="739"/>
      <c r="AA2648" s="739"/>
      <c r="AB2648" s="740">
        <v>16</v>
      </c>
      <c r="AC2648" s="741" t="s">
        <v>5569</v>
      </c>
      <c r="AD2648" s="741" t="str">
        <f>'DICTIONARY-5'!$A$13</f>
        <v>woda pitna</v>
      </c>
      <c r="AE2648" s="742">
        <v>50</v>
      </c>
      <c r="AF2648" s="743">
        <v>0.51900000000000002</v>
      </c>
      <c r="AG2648" s="741" t="s">
        <v>5569</v>
      </c>
    </row>
    <row r="2649" spans="1:33" x14ac:dyDescent="0.25">
      <c r="A2649" s="869" t="s">
        <v>2571</v>
      </c>
      <c r="B2649" s="869" t="s">
        <v>2957</v>
      </c>
      <c r="C2649" s="836">
        <v>11</v>
      </c>
      <c r="D2649" s="836"/>
      <c r="E2649" s="836"/>
      <c r="F2649" s="836"/>
      <c r="G2649" s="496" t="s">
        <v>7851</v>
      </c>
      <c r="H2649" s="797" t="str">
        <f>VLOOKUP(G2649,SETTINGS!$B$7:$D$97,2,0)</f>
        <v>BAIO Fittings</v>
      </c>
      <c r="I2649" s="796">
        <f>VLOOKUP(G2649,SETTINGS!$B$7:$D$97,3,0)</f>
        <v>0</v>
      </c>
      <c r="J2649" s="670" t="str">
        <f>IFERROR(IF(CURRENCY.FORMAT_1=0,CONCATENATE(TEXT(FIXED(ROUND((C2649/EXC.RATE_1),CURRENCY.FORMAT_1),CURRENCY.FORMAT_1,1),"# ##0;-# ##0"),",-"),FIXED(ROUND((C2649/EXC.RATE_1),CURRENCY.FORMAT_1),CURRENCY.FORMAT_1,0)),'DICTIONARY-5'!$A$2)</f>
        <v>11,-</v>
      </c>
      <c r="K2649" s="670" t="str">
        <f>IF(EXC.RATE_2=0,"",IFERROR(IF(CURRENCY.FORMAT_2=0,CONCATENATE(TEXT(FIXED(ROUND(IF(EXC.RATE.SWITCH=1,C2649/EXC.RATE_2,C2649*EXC.RATE_2),CURRENCY.FORMAT_2),CURRENCY.FORMAT_2,1),"# ##0;-# ##0"),",-"),FIXED(ROUND(IF(EXC.RATE.SWITCH=1,C2649/EXC.RATE_2,C2649*EXC.RATE_2),CURRENCY.FORMAT_2),CURRENCY.FORMAT_2,0)),'DICTIONARY-5'!$A$2))</f>
        <v/>
      </c>
      <c r="L2649" s="670" t="str">
        <f>IFERROR(IF(CURRENCY.FORMAT_1=0,CONCATENATE(TEXT(FIXED(ROUND((C2649*(1-I2649)*(1-ADD.DISCOUNT)*(1+MAT.SURCHARGE)/EXC.RATE_1),CURRENCY.FORMAT_1),CURRENCY.FORMAT_1,1),"# ##0;-# ##0"),",-"),FIXED(ROUND((C2649*(1-I2649)*(1-ADD.DISCOUNT)*(1+MAT.SURCHARGE)/EXC.RATE_1),CURRENCY.FORMAT_1),CURRENCY.FORMAT_1,0)),'DICTIONARY-5'!$A$2)</f>
        <v>11,-</v>
      </c>
      <c r="M2649" s="670" t="str">
        <f>IF(EXC.RATE_2=0,"",IFERROR(IF(CURRENCY.FORMAT_2=0,CONCATENATE(TEXT(FIXED(ROUND(IF(EXC.RATE.SWITCH=1,C2649*(1-I2649)*(1-ADD.DISCOUNT)*(1+MAT.SURCHARGE)/EXC.RATE_2,C2649*(1-I2649)*(1-ADD.DISCOUNT)*(1+MAT.SURCHARGE)*EXC.RATE_2),CURRENCY.FORMAT_2),CURRENCY.FORMAT_2,1),"# ##0;-# ##0"),",-"),FIXED(ROUND(IF(EXC.RATE.SWITCH=1,C2649*(1-I2649)*(1-ADD.DISCOUNT)*(1+MAT.SURCHARGE)/EXC.RATE_2,C2649*(1-I2649)*(1-ADD.DISCOUNT)*(1+MAT.SURCHARGE)*EXC.RATE_2),CURRENCY.FORMAT_2),CURRENCY.FORMAT_2,0)),'DICTIONARY-5'!$A$2))</f>
        <v/>
      </c>
      <c r="N2649" s="535">
        <v>12</v>
      </c>
      <c r="O2649" s="535"/>
      <c r="P2649" s="732" t="str">
        <f>'DICTIONARY-3'!$A$178</f>
        <v>BAIO GKS</v>
      </c>
      <c r="Q2649" s="732" t="str">
        <f>'DICTIONARY-3'!$A$227</f>
        <v>Uszczelki</v>
      </c>
      <c r="R2649" s="732" t="str">
        <f>CONCATENATE('DICTIONARY-3'!$A$178," ",'DICTIONARY-3'!$A$227," ",'DICTIONARY-2'!$A$2,"125"," ",'DICTIONARY-2'!$A$5,"140"," ",'DICTIONARY-2'!$A$10,"16",'DICTIONARY-2'!$A$20,", ",'DICTIONARY-5'!$A$44,", ",'DICTIONARY-6'!$A$76," ",'DICTIONARY-5'!$A$57,"+",'DICTIONARY-5'!$A$56)</f>
        <v>BAIO GKS Uszczelki DN125 Da140 PS16bar, EPDM, ruroc. PE+PVC</v>
      </c>
      <c r="S2649" s="733"/>
      <c r="T2649" s="732"/>
      <c r="U2649" s="734" t="s">
        <v>5761</v>
      </c>
      <c r="V2649" s="735" t="s">
        <v>5569</v>
      </c>
      <c r="W2649" s="744" t="s">
        <v>7341</v>
      </c>
      <c r="X2649" s="737"/>
      <c r="Y2649" s="738"/>
      <c r="Z2649" s="739"/>
      <c r="AA2649" s="739"/>
      <c r="AB2649" s="740">
        <v>16</v>
      </c>
      <c r="AC2649" s="741" t="s">
        <v>5569</v>
      </c>
      <c r="AD2649" s="741" t="str">
        <f>'DICTIONARY-5'!$A$13</f>
        <v>woda pitna</v>
      </c>
      <c r="AE2649" s="742">
        <v>50</v>
      </c>
      <c r="AF2649" s="743">
        <v>0.2</v>
      </c>
      <c r="AG2649" s="741" t="s">
        <v>5569</v>
      </c>
    </row>
    <row r="2650" spans="1:33" x14ac:dyDescent="0.25">
      <c r="A2650" s="869" t="s">
        <v>2573</v>
      </c>
      <c r="B2650" s="869" t="s">
        <v>2958</v>
      </c>
      <c r="C2650" s="836">
        <v>12</v>
      </c>
      <c r="D2650" s="836"/>
      <c r="E2650" s="836"/>
      <c r="F2650" s="836"/>
      <c r="G2650" s="496" t="s">
        <v>7851</v>
      </c>
      <c r="H2650" s="797" t="str">
        <f>VLOOKUP(G2650,SETTINGS!$B$7:$D$97,2,0)</f>
        <v>BAIO Fittings</v>
      </c>
      <c r="I2650" s="796">
        <f>VLOOKUP(G2650,SETTINGS!$B$7:$D$97,3,0)</f>
        <v>0</v>
      </c>
      <c r="J2650" s="670" t="str">
        <f>IFERROR(IF(CURRENCY.FORMAT_1=0,CONCATENATE(TEXT(FIXED(ROUND((C2650/EXC.RATE_1),CURRENCY.FORMAT_1),CURRENCY.FORMAT_1,1),"# ##0;-# ##0"),",-"),FIXED(ROUND((C2650/EXC.RATE_1),CURRENCY.FORMAT_1),CURRENCY.FORMAT_1,0)),'DICTIONARY-5'!$A$2)</f>
        <v>12,-</v>
      </c>
      <c r="K2650" s="670" t="str">
        <f>IF(EXC.RATE_2=0,"",IFERROR(IF(CURRENCY.FORMAT_2=0,CONCATENATE(TEXT(FIXED(ROUND(IF(EXC.RATE.SWITCH=1,C2650/EXC.RATE_2,C2650*EXC.RATE_2),CURRENCY.FORMAT_2),CURRENCY.FORMAT_2,1),"# ##0;-# ##0"),",-"),FIXED(ROUND(IF(EXC.RATE.SWITCH=1,C2650/EXC.RATE_2,C2650*EXC.RATE_2),CURRENCY.FORMAT_2),CURRENCY.FORMAT_2,0)),'DICTIONARY-5'!$A$2))</f>
        <v/>
      </c>
      <c r="L2650" s="670" t="str">
        <f>IFERROR(IF(CURRENCY.FORMAT_1=0,CONCATENATE(TEXT(FIXED(ROUND((C2650*(1-I2650)*(1-ADD.DISCOUNT)*(1+MAT.SURCHARGE)/EXC.RATE_1),CURRENCY.FORMAT_1),CURRENCY.FORMAT_1,1),"# ##0;-# ##0"),",-"),FIXED(ROUND((C2650*(1-I2650)*(1-ADD.DISCOUNT)*(1+MAT.SURCHARGE)/EXC.RATE_1),CURRENCY.FORMAT_1),CURRENCY.FORMAT_1,0)),'DICTIONARY-5'!$A$2)</f>
        <v>12,-</v>
      </c>
      <c r="M2650" s="670" t="str">
        <f>IF(EXC.RATE_2=0,"",IFERROR(IF(CURRENCY.FORMAT_2=0,CONCATENATE(TEXT(FIXED(ROUND(IF(EXC.RATE.SWITCH=1,C2650*(1-I2650)*(1-ADD.DISCOUNT)*(1+MAT.SURCHARGE)/EXC.RATE_2,C2650*(1-I2650)*(1-ADD.DISCOUNT)*(1+MAT.SURCHARGE)*EXC.RATE_2),CURRENCY.FORMAT_2),CURRENCY.FORMAT_2,1),"# ##0;-# ##0"),",-"),FIXED(ROUND(IF(EXC.RATE.SWITCH=1,C2650*(1-I2650)*(1-ADD.DISCOUNT)*(1+MAT.SURCHARGE)/EXC.RATE_2,C2650*(1-I2650)*(1-ADD.DISCOUNT)*(1+MAT.SURCHARGE)*EXC.RATE_2),CURRENCY.FORMAT_2),CURRENCY.FORMAT_2,0)),'DICTIONARY-5'!$A$2))</f>
        <v/>
      </c>
      <c r="N2650" s="535">
        <v>12</v>
      </c>
      <c r="O2650" s="535"/>
      <c r="P2650" s="732" t="str">
        <f>'DICTIONARY-3'!$A$178</f>
        <v>BAIO GKS</v>
      </c>
      <c r="Q2650" s="732" t="str">
        <f>'DICTIONARY-3'!$A$227</f>
        <v>Uszczelki</v>
      </c>
      <c r="R2650" s="732" t="str">
        <f>CONCATENATE('DICTIONARY-3'!$A$178," ",'DICTIONARY-3'!$A$227," ",'DICTIONARY-2'!$A$2,"150"," ",'DICTIONARY-2'!$A$5,"160"," ",'DICTIONARY-2'!$A$10,"16",'DICTIONARY-2'!$A$20,", ",'DICTIONARY-5'!$A$44,", ",'DICTIONARY-6'!$A$76," ",'DICTIONARY-5'!$A$57,"+",'DICTIONARY-5'!$A$56)</f>
        <v>BAIO GKS Uszczelki DN150 Da160 PS16bar, EPDM, ruroc. PE+PVC</v>
      </c>
      <c r="S2650" s="733"/>
      <c r="T2650" s="732"/>
      <c r="U2650" s="734" t="s">
        <v>5572</v>
      </c>
      <c r="V2650" s="735" t="s">
        <v>5569</v>
      </c>
      <c r="W2650" s="744" t="s">
        <v>7342</v>
      </c>
      <c r="X2650" s="737"/>
      <c r="Y2650" s="738"/>
      <c r="Z2650" s="739"/>
      <c r="AA2650" s="739"/>
      <c r="AB2650" s="740">
        <v>16</v>
      </c>
      <c r="AC2650" s="741" t="s">
        <v>5569</v>
      </c>
      <c r="AD2650" s="741" t="str">
        <f>'DICTIONARY-5'!$A$13</f>
        <v>woda pitna</v>
      </c>
      <c r="AE2650" s="742">
        <v>50</v>
      </c>
      <c r="AF2650" s="743">
        <v>0.24</v>
      </c>
      <c r="AG2650" s="741" t="s">
        <v>5569</v>
      </c>
    </row>
    <row r="2651" spans="1:33" x14ac:dyDescent="0.25">
      <c r="A2651" s="869" t="s">
        <v>2575</v>
      </c>
      <c r="B2651" s="869" t="s">
        <v>2960</v>
      </c>
      <c r="C2651" s="836">
        <v>32</v>
      </c>
      <c r="D2651" s="836"/>
      <c r="E2651" s="836"/>
      <c r="F2651" s="836"/>
      <c r="G2651" s="496" t="s">
        <v>7851</v>
      </c>
      <c r="H2651" s="797" t="str">
        <f>VLOOKUP(G2651,SETTINGS!$B$7:$D$97,2,0)</f>
        <v>BAIO Fittings</v>
      </c>
      <c r="I2651" s="796">
        <f>VLOOKUP(G2651,SETTINGS!$B$7:$D$97,3,0)</f>
        <v>0</v>
      </c>
      <c r="J2651" s="670" t="str">
        <f>IFERROR(IF(CURRENCY.FORMAT_1=0,CONCATENATE(TEXT(FIXED(ROUND((C2651/EXC.RATE_1),CURRENCY.FORMAT_1),CURRENCY.FORMAT_1,1),"# ##0;-# ##0"),",-"),FIXED(ROUND((C2651/EXC.RATE_1),CURRENCY.FORMAT_1),CURRENCY.FORMAT_1,0)),'DICTIONARY-5'!$A$2)</f>
        <v>32,-</v>
      </c>
      <c r="K2651" s="670" t="str">
        <f>IF(EXC.RATE_2=0,"",IFERROR(IF(CURRENCY.FORMAT_2=0,CONCATENATE(TEXT(FIXED(ROUND(IF(EXC.RATE.SWITCH=1,C2651/EXC.RATE_2,C2651*EXC.RATE_2),CURRENCY.FORMAT_2),CURRENCY.FORMAT_2,1),"# ##0;-# ##0"),",-"),FIXED(ROUND(IF(EXC.RATE.SWITCH=1,C2651/EXC.RATE_2,C2651*EXC.RATE_2),CURRENCY.FORMAT_2),CURRENCY.FORMAT_2,0)),'DICTIONARY-5'!$A$2))</f>
        <v/>
      </c>
      <c r="L2651" s="670" t="str">
        <f>IFERROR(IF(CURRENCY.FORMAT_1=0,CONCATENATE(TEXT(FIXED(ROUND((C2651*(1-I2651)*(1-ADD.DISCOUNT)*(1+MAT.SURCHARGE)/EXC.RATE_1),CURRENCY.FORMAT_1),CURRENCY.FORMAT_1,1),"# ##0;-# ##0"),",-"),FIXED(ROUND((C2651*(1-I2651)*(1-ADD.DISCOUNT)*(1+MAT.SURCHARGE)/EXC.RATE_1),CURRENCY.FORMAT_1),CURRENCY.FORMAT_1,0)),'DICTIONARY-5'!$A$2)</f>
        <v>33,-</v>
      </c>
      <c r="M2651" s="670" t="str">
        <f>IF(EXC.RATE_2=0,"",IFERROR(IF(CURRENCY.FORMAT_2=0,CONCATENATE(TEXT(FIXED(ROUND(IF(EXC.RATE.SWITCH=1,C2651*(1-I2651)*(1-ADD.DISCOUNT)*(1+MAT.SURCHARGE)/EXC.RATE_2,C2651*(1-I2651)*(1-ADD.DISCOUNT)*(1+MAT.SURCHARGE)*EXC.RATE_2),CURRENCY.FORMAT_2),CURRENCY.FORMAT_2,1),"# ##0;-# ##0"),",-"),FIXED(ROUND(IF(EXC.RATE.SWITCH=1,C2651*(1-I2651)*(1-ADD.DISCOUNT)*(1+MAT.SURCHARGE)/EXC.RATE_2,C2651*(1-I2651)*(1-ADD.DISCOUNT)*(1+MAT.SURCHARGE)*EXC.RATE_2),CURRENCY.FORMAT_2),CURRENCY.FORMAT_2,0)),'DICTIONARY-5'!$A$2))</f>
        <v/>
      </c>
      <c r="N2651" s="535">
        <v>12</v>
      </c>
      <c r="O2651" s="535"/>
      <c r="P2651" s="732" t="str">
        <f>'DICTIONARY-3'!$A$178</f>
        <v>BAIO GKS</v>
      </c>
      <c r="Q2651" s="732" t="str">
        <f>'DICTIONARY-3'!$A$227</f>
        <v>Uszczelki</v>
      </c>
      <c r="R2651" s="732" t="str">
        <f>CONCATENATE('DICTIONARY-3'!$A$178," ",'DICTIONARY-3'!$A$227," ",'DICTIONARY-2'!$A$2,"150"," ",'DICTIONARY-2'!$A$5,"180"," ",'DICTIONARY-2'!$A$10,"16",'DICTIONARY-2'!$A$20,", ",'DICTIONARY-5'!$A$44,", ",'DICTIONARY-6'!$A$76," ",'DICTIONARY-5'!$A$57,"+",'DICTIONARY-5'!$A$56)</f>
        <v>BAIO GKS Uszczelki DN150 Da180 PS16bar, EPDM, ruroc. PE+PVC</v>
      </c>
      <c r="S2651" s="733"/>
      <c r="T2651" s="732"/>
      <c r="U2651" s="734" t="s">
        <v>5572</v>
      </c>
      <c r="V2651" s="735" t="s">
        <v>5569</v>
      </c>
      <c r="W2651" s="744" t="s">
        <v>7343</v>
      </c>
      <c r="X2651" s="737"/>
      <c r="Y2651" s="738"/>
      <c r="Z2651" s="739"/>
      <c r="AA2651" s="739"/>
      <c r="AB2651" s="740">
        <v>16</v>
      </c>
      <c r="AC2651" s="741" t="s">
        <v>5569</v>
      </c>
      <c r="AD2651" s="741" t="str">
        <f>'DICTIONARY-5'!$A$13</f>
        <v>woda pitna</v>
      </c>
      <c r="AE2651" s="742">
        <v>50</v>
      </c>
      <c r="AF2651" s="743">
        <v>0.20899999999999999</v>
      </c>
      <c r="AG2651" s="741" t="s">
        <v>5569</v>
      </c>
    </row>
    <row r="2652" spans="1:33" x14ac:dyDescent="0.25">
      <c r="A2652" s="869" t="s">
        <v>2577</v>
      </c>
      <c r="B2652" s="869" t="s">
        <v>2962</v>
      </c>
      <c r="C2652" s="836">
        <v>101</v>
      </c>
      <c r="D2652" s="836"/>
      <c r="E2652" s="836"/>
      <c r="F2652" s="836"/>
      <c r="G2652" s="496" t="s">
        <v>7851</v>
      </c>
      <c r="H2652" s="797" t="str">
        <f>VLOOKUP(G2652,SETTINGS!$B$7:$D$97,2,0)</f>
        <v>BAIO Fittings</v>
      </c>
      <c r="I2652" s="796">
        <f>VLOOKUP(G2652,SETTINGS!$B$7:$D$97,3,0)</f>
        <v>0</v>
      </c>
      <c r="J2652" s="670" t="str">
        <f>IFERROR(IF(CURRENCY.FORMAT_1=0,CONCATENATE(TEXT(FIXED(ROUND((C2652/EXC.RATE_1),CURRENCY.FORMAT_1),CURRENCY.FORMAT_1,1),"# ##0;-# ##0"),",-"),FIXED(ROUND((C2652/EXC.RATE_1),CURRENCY.FORMAT_1),CURRENCY.FORMAT_1,0)),'DICTIONARY-5'!$A$2)</f>
        <v>101,-</v>
      </c>
      <c r="K2652" s="670" t="str">
        <f>IF(EXC.RATE_2=0,"",IFERROR(IF(CURRENCY.FORMAT_2=0,CONCATENATE(TEXT(FIXED(ROUND(IF(EXC.RATE.SWITCH=1,C2652/EXC.RATE_2,C2652*EXC.RATE_2),CURRENCY.FORMAT_2),CURRENCY.FORMAT_2,1),"# ##0;-# ##0"),",-"),FIXED(ROUND(IF(EXC.RATE.SWITCH=1,C2652/EXC.RATE_2,C2652*EXC.RATE_2),CURRENCY.FORMAT_2),CURRENCY.FORMAT_2,0)),'DICTIONARY-5'!$A$2))</f>
        <v/>
      </c>
      <c r="L2652" s="670" t="str">
        <f>IFERROR(IF(CURRENCY.FORMAT_1=0,CONCATENATE(TEXT(FIXED(ROUND((C2652*(1-I2652)*(1-ADD.DISCOUNT)*(1+MAT.SURCHARGE)/EXC.RATE_1),CURRENCY.FORMAT_1),CURRENCY.FORMAT_1,1),"# ##0;-# ##0"),",-"),FIXED(ROUND((C2652*(1-I2652)*(1-ADD.DISCOUNT)*(1+MAT.SURCHARGE)/EXC.RATE_1),CURRENCY.FORMAT_1),CURRENCY.FORMAT_1,0)),'DICTIONARY-5'!$A$2)</f>
        <v>105,-</v>
      </c>
      <c r="M2652" s="670" t="str">
        <f>IF(EXC.RATE_2=0,"",IFERROR(IF(CURRENCY.FORMAT_2=0,CONCATENATE(TEXT(FIXED(ROUND(IF(EXC.RATE.SWITCH=1,C2652*(1-I2652)*(1-ADD.DISCOUNT)*(1+MAT.SURCHARGE)/EXC.RATE_2,C2652*(1-I2652)*(1-ADD.DISCOUNT)*(1+MAT.SURCHARGE)*EXC.RATE_2),CURRENCY.FORMAT_2),CURRENCY.FORMAT_2,1),"# ##0;-# ##0"),",-"),FIXED(ROUND(IF(EXC.RATE.SWITCH=1,C2652*(1-I2652)*(1-ADD.DISCOUNT)*(1+MAT.SURCHARGE)/EXC.RATE_2,C2652*(1-I2652)*(1-ADD.DISCOUNT)*(1+MAT.SURCHARGE)*EXC.RATE_2),CURRENCY.FORMAT_2),CURRENCY.FORMAT_2,0)),'DICTIONARY-5'!$A$2))</f>
        <v/>
      </c>
      <c r="N2652" s="535">
        <v>12</v>
      </c>
      <c r="O2652" s="535"/>
      <c r="P2652" s="732" t="str">
        <f>'DICTIONARY-3'!$A$178</f>
        <v>BAIO GKS</v>
      </c>
      <c r="Q2652" s="732" t="str">
        <f>'DICTIONARY-3'!$A$227</f>
        <v>Uszczelki</v>
      </c>
      <c r="R2652" s="732" t="str">
        <f>CONCATENATE('DICTIONARY-3'!$A$178," ",'DICTIONARY-3'!$A$227," ",'DICTIONARY-2'!$A$2,"200"," ",'DICTIONARY-2'!$A$5,"200"," ",'DICTIONARY-2'!$A$10,"16",'DICTIONARY-2'!$A$20,", ",'DICTIONARY-5'!$A$44,", ",'DICTIONARY-6'!$A$76," ",'DICTIONARY-5'!$A$57,"+",'DICTIONARY-5'!$A$56)</f>
        <v>BAIO GKS Uszczelki DN200 Da200 PS16bar, EPDM, ruroc. PE+PVC</v>
      </c>
      <c r="S2652" s="733"/>
      <c r="T2652" s="732"/>
      <c r="U2652" s="734" t="s">
        <v>5750</v>
      </c>
      <c r="V2652" s="735" t="s">
        <v>5569</v>
      </c>
      <c r="W2652" s="744" t="s">
        <v>5750</v>
      </c>
      <c r="X2652" s="737"/>
      <c r="Y2652" s="738"/>
      <c r="Z2652" s="739"/>
      <c r="AA2652" s="739"/>
      <c r="AB2652" s="740">
        <v>16</v>
      </c>
      <c r="AC2652" s="741" t="s">
        <v>5569</v>
      </c>
      <c r="AD2652" s="741" t="str">
        <f>'DICTIONARY-5'!$A$13</f>
        <v>woda pitna</v>
      </c>
      <c r="AE2652" s="742">
        <v>50</v>
      </c>
      <c r="AF2652" s="743">
        <v>0.89</v>
      </c>
      <c r="AG2652" s="741" t="s">
        <v>5569</v>
      </c>
    </row>
    <row r="2653" spans="1:33" x14ac:dyDescent="0.25">
      <c r="A2653" s="869" t="s">
        <v>2579</v>
      </c>
      <c r="B2653" s="869" t="s">
        <v>2959</v>
      </c>
      <c r="C2653" s="836">
        <v>18</v>
      </c>
      <c r="D2653" s="836"/>
      <c r="E2653" s="836"/>
      <c r="F2653" s="836"/>
      <c r="G2653" s="496" t="s">
        <v>7851</v>
      </c>
      <c r="H2653" s="797" t="str">
        <f>VLOOKUP(G2653,SETTINGS!$B$7:$D$97,2,0)</f>
        <v>BAIO Fittings</v>
      </c>
      <c r="I2653" s="796">
        <f>VLOOKUP(G2653,SETTINGS!$B$7:$D$97,3,0)</f>
        <v>0</v>
      </c>
      <c r="J2653" s="670" t="str">
        <f>IFERROR(IF(CURRENCY.FORMAT_1=0,CONCATENATE(TEXT(FIXED(ROUND((C2653/EXC.RATE_1),CURRENCY.FORMAT_1),CURRENCY.FORMAT_1,1),"# ##0;-# ##0"),",-"),FIXED(ROUND((C2653/EXC.RATE_1),CURRENCY.FORMAT_1),CURRENCY.FORMAT_1,0)),'DICTIONARY-5'!$A$2)</f>
        <v>18,-</v>
      </c>
      <c r="K2653" s="670" t="str">
        <f>IF(EXC.RATE_2=0,"",IFERROR(IF(CURRENCY.FORMAT_2=0,CONCATENATE(TEXT(FIXED(ROUND(IF(EXC.RATE.SWITCH=1,C2653/EXC.RATE_2,C2653*EXC.RATE_2),CURRENCY.FORMAT_2),CURRENCY.FORMAT_2,1),"# ##0;-# ##0"),",-"),FIXED(ROUND(IF(EXC.RATE.SWITCH=1,C2653/EXC.RATE_2,C2653*EXC.RATE_2),CURRENCY.FORMAT_2),CURRENCY.FORMAT_2,0)),'DICTIONARY-5'!$A$2))</f>
        <v/>
      </c>
      <c r="L2653" s="670" t="str">
        <f>IFERROR(IF(CURRENCY.FORMAT_1=0,CONCATENATE(TEXT(FIXED(ROUND((C2653*(1-I2653)*(1-ADD.DISCOUNT)*(1+MAT.SURCHARGE)/EXC.RATE_1),CURRENCY.FORMAT_1),CURRENCY.FORMAT_1,1),"# ##0;-# ##0"),",-"),FIXED(ROUND((C2653*(1-I2653)*(1-ADD.DISCOUNT)*(1+MAT.SURCHARGE)/EXC.RATE_1),CURRENCY.FORMAT_1),CURRENCY.FORMAT_1,0)),'DICTIONARY-5'!$A$2)</f>
        <v>19,-</v>
      </c>
      <c r="M2653" s="670" t="str">
        <f>IF(EXC.RATE_2=0,"",IFERROR(IF(CURRENCY.FORMAT_2=0,CONCATENATE(TEXT(FIXED(ROUND(IF(EXC.RATE.SWITCH=1,C2653*(1-I2653)*(1-ADD.DISCOUNT)*(1+MAT.SURCHARGE)/EXC.RATE_2,C2653*(1-I2653)*(1-ADD.DISCOUNT)*(1+MAT.SURCHARGE)*EXC.RATE_2),CURRENCY.FORMAT_2),CURRENCY.FORMAT_2,1),"# ##0;-# ##0"),",-"),FIXED(ROUND(IF(EXC.RATE.SWITCH=1,C2653*(1-I2653)*(1-ADD.DISCOUNT)*(1+MAT.SURCHARGE)/EXC.RATE_2,C2653*(1-I2653)*(1-ADD.DISCOUNT)*(1+MAT.SURCHARGE)*EXC.RATE_2),CURRENCY.FORMAT_2),CURRENCY.FORMAT_2,0)),'DICTIONARY-5'!$A$2))</f>
        <v/>
      </c>
      <c r="N2653" s="535">
        <v>12</v>
      </c>
      <c r="O2653" s="535"/>
      <c r="P2653" s="732" t="str">
        <f>'DICTIONARY-3'!$A$178</f>
        <v>BAIO GKS</v>
      </c>
      <c r="Q2653" s="732" t="str">
        <f>'DICTIONARY-3'!$A$227</f>
        <v>Uszczelki</v>
      </c>
      <c r="R2653" s="732" t="str">
        <f>CONCATENATE('DICTIONARY-3'!$A$178," ",'DICTIONARY-3'!$A$227," ",'DICTIONARY-2'!$A$2,"200"," ",'DICTIONARY-2'!$A$5,"225"," ",'DICTIONARY-2'!$A$10,"16",'DICTIONARY-2'!$A$20,", ",'DICTIONARY-5'!$A$44,", ",'DICTIONARY-6'!$A$76," ",'DICTIONARY-5'!$A$57,"+",'DICTIONARY-5'!$A$56)</f>
        <v>BAIO GKS Uszczelki DN200 Da225 PS16bar, EPDM, ruroc. PE+PVC</v>
      </c>
      <c r="S2653" s="733"/>
      <c r="T2653" s="732"/>
      <c r="U2653" s="734" t="s">
        <v>5750</v>
      </c>
      <c r="V2653" s="735" t="s">
        <v>5569</v>
      </c>
      <c r="W2653" s="744" t="s">
        <v>5833</v>
      </c>
      <c r="X2653" s="737"/>
      <c r="Y2653" s="738"/>
      <c r="Z2653" s="739"/>
      <c r="AA2653" s="739"/>
      <c r="AB2653" s="740">
        <v>16</v>
      </c>
      <c r="AC2653" s="741" t="s">
        <v>5569</v>
      </c>
      <c r="AD2653" s="741" t="str">
        <f>'DICTIONARY-5'!$A$13</f>
        <v>woda pitna</v>
      </c>
      <c r="AE2653" s="742">
        <v>50</v>
      </c>
      <c r="AF2653" s="743">
        <v>0.26400000000000001</v>
      </c>
      <c r="AG2653" s="741" t="s">
        <v>5569</v>
      </c>
    </row>
    <row r="2654" spans="1:33" x14ac:dyDescent="0.25">
      <c r="A2654" s="869" t="s">
        <v>2565</v>
      </c>
      <c r="B2654" s="869" t="s">
        <v>2946</v>
      </c>
      <c r="C2654" s="836">
        <v>20</v>
      </c>
      <c r="D2654" s="836"/>
      <c r="E2654" s="836"/>
      <c r="F2654" s="836"/>
      <c r="G2654" s="496" t="s">
        <v>7851</v>
      </c>
      <c r="H2654" s="797" t="str">
        <f>VLOOKUP(G2654,SETTINGS!$B$7:$D$97,2,0)</f>
        <v>BAIO Fittings</v>
      </c>
      <c r="I2654" s="796">
        <f>VLOOKUP(G2654,SETTINGS!$B$7:$D$97,3,0)</f>
        <v>0</v>
      </c>
      <c r="J2654" s="670" t="str">
        <f>IFERROR(IF(CURRENCY.FORMAT_1=0,CONCATENATE(TEXT(FIXED(ROUND((C2654/EXC.RATE_1),CURRENCY.FORMAT_1),CURRENCY.FORMAT_1,1),"# ##0;-# ##0"),",-"),FIXED(ROUND((C2654/EXC.RATE_1),CURRENCY.FORMAT_1),CURRENCY.FORMAT_1,0)),'DICTIONARY-5'!$A$2)</f>
        <v>20,-</v>
      </c>
      <c r="K2654" s="670" t="str">
        <f>IF(EXC.RATE_2=0,"",IFERROR(IF(CURRENCY.FORMAT_2=0,CONCATENATE(TEXT(FIXED(ROUND(IF(EXC.RATE.SWITCH=1,C2654/EXC.RATE_2,C2654*EXC.RATE_2),CURRENCY.FORMAT_2),CURRENCY.FORMAT_2,1),"# ##0;-# ##0"),",-"),FIXED(ROUND(IF(EXC.RATE.SWITCH=1,C2654/EXC.RATE_2,C2654*EXC.RATE_2),CURRENCY.FORMAT_2),CURRENCY.FORMAT_2,0)),'DICTIONARY-5'!$A$2))</f>
        <v/>
      </c>
      <c r="L2654" s="670" t="str">
        <f>IFERROR(IF(CURRENCY.FORMAT_1=0,CONCATENATE(TEXT(FIXED(ROUND((C2654*(1-I2654)*(1-ADD.DISCOUNT)*(1+MAT.SURCHARGE)/EXC.RATE_1),CURRENCY.FORMAT_1),CURRENCY.FORMAT_1,1),"# ##0;-# ##0"),",-"),FIXED(ROUND((C2654*(1-I2654)*(1-ADD.DISCOUNT)*(1+MAT.SURCHARGE)/EXC.RATE_1),CURRENCY.FORMAT_1),CURRENCY.FORMAT_1,0)),'DICTIONARY-5'!$A$2)</f>
        <v>21,-</v>
      </c>
      <c r="M2654" s="670" t="str">
        <f>IF(EXC.RATE_2=0,"",IFERROR(IF(CURRENCY.FORMAT_2=0,CONCATENATE(TEXT(FIXED(ROUND(IF(EXC.RATE.SWITCH=1,C2654*(1-I2654)*(1-ADD.DISCOUNT)*(1+MAT.SURCHARGE)/EXC.RATE_2,C2654*(1-I2654)*(1-ADD.DISCOUNT)*(1+MAT.SURCHARGE)*EXC.RATE_2),CURRENCY.FORMAT_2),CURRENCY.FORMAT_2,1),"# ##0;-# ##0"),",-"),FIXED(ROUND(IF(EXC.RATE.SWITCH=1,C2654*(1-I2654)*(1-ADD.DISCOUNT)*(1+MAT.SURCHARGE)/EXC.RATE_2,C2654*(1-I2654)*(1-ADD.DISCOUNT)*(1+MAT.SURCHARGE)*EXC.RATE_2),CURRENCY.FORMAT_2),CURRENCY.FORMAT_2,0)),'DICTIONARY-5'!$A$2))</f>
        <v/>
      </c>
      <c r="N2654" s="535">
        <v>12</v>
      </c>
      <c r="O2654" s="535"/>
      <c r="P2654" s="732" t="str">
        <f>'DICTIONARY-3'!$A$178</f>
        <v>BAIO GKS</v>
      </c>
      <c r="Q2654" s="732" t="str">
        <f>'DICTIONARY-3'!$A$227</f>
        <v>Uszczelki</v>
      </c>
      <c r="R2654" s="732" t="str">
        <f>CONCATENATE('DICTIONARY-3'!$A$178," ",'DICTIONARY-3'!$A$227," ",'DICTIONARY-2'!$A$2,"80"," ",'DICTIONARY-2'!$A$5,"90"," ",'DICTIONARY-2'!$A$10,"16",'DICTIONARY-2'!$A$20,", ",'DICTIONARY-5'!$A$45,", ",'DICTIONARY-6'!$A$76," ",'DICTIONARY-5'!$A$57,"+",'DICTIONARY-5'!$A$56)</f>
        <v>BAIO GKS Uszczelki DN80 Da90 PS16bar, NBR, ruroc. PE+PVC</v>
      </c>
      <c r="S2654" s="733"/>
      <c r="T2654" s="732"/>
      <c r="U2654" s="734" t="s">
        <v>5760</v>
      </c>
      <c r="V2654" s="735" t="s">
        <v>5569</v>
      </c>
      <c r="W2654" s="744" t="s">
        <v>7339</v>
      </c>
      <c r="X2654" s="737"/>
      <c r="Y2654" s="738"/>
      <c r="Z2654" s="739"/>
      <c r="AA2654" s="739"/>
      <c r="AB2654" s="740">
        <v>16</v>
      </c>
      <c r="AC2654" s="741" t="s">
        <v>5569</v>
      </c>
      <c r="AD2654" s="733" t="str">
        <f>'DICTIONARY-5'!$A$19</f>
        <v>powietrze</v>
      </c>
      <c r="AE2654" s="742">
        <v>50</v>
      </c>
      <c r="AF2654" s="743">
        <v>6.5000000000000002E-2</v>
      </c>
      <c r="AG2654" s="741" t="s">
        <v>5569</v>
      </c>
    </row>
    <row r="2655" spans="1:33" x14ac:dyDescent="0.25">
      <c r="A2655" s="869" t="s">
        <v>2567</v>
      </c>
      <c r="B2655" s="869" t="s">
        <v>2942</v>
      </c>
      <c r="C2655" s="836">
        <v>22</v>
      </c>
      <c r="D2655" s="836"/>
      <c r="E2655" s="836"/>
      <c r="F2655" s="836"/>
      <c r="G2655" s="496" t="s">
        <v>7851</v>
      </c>
      <c r="H2655" s="797" t="str">
        <f>VLOOKUP(G2655,SETTINGS!$B$7:$D$97,2,0)</f>
        <v>BAIO Fittings</v>
      </c>
      <c r="I2655" s="796">
        <f>VLOOKUP(G2655,SETTINGS!$B$7:$D$97,3,0)</f>
        <v>0</v>
      </c>
      <c r="J2655" s="670" t="str">
        <f>IFERROR(IF(CURRENCY.FORMAT_1=0,CONCATENATE(TEXT(FIXED(ROUND((C2655/EXC.RATE_1),CURRENCY.FORMAT_1),CURRENCY.FORMAT_1,1),"# ##0;-# ##0"),",-"),FIXED(ROUND((C2655/EXC.RATE_1),CURRENCY.FORMAT_1),CURRENCY.FORMAT_1,0)),'DICTIONARY-5'!$A$2)</f>
        <v>22,-</v>
      </c>
      <c r="K2655" s="670" t="str">
        <f>IF(EXC.RATE_2=0,"",IFERROR(IF(CURRENCY.FORMAT_2=0,CONCATENATE(TEXT(FIXED(ROUND(IF(EXC.RATE.SWITCH=1,C2655/EXC.RATE_2,C2655*EXC.RATE_2),CURRENCY.FORMAT_2),CURRENCY.FORMAT_2,1),"# ##0;-# ##0"),",-"),FIXED(ROUND(IF(EXC.RATE.SWITCH=1,C2655/EXC.RATE_2,C2655*EXC.RATE_2),CURRENCY.FORMAT_2),CURRENCY.FORMAT_2,0)),'DICTIONARY-5'!$A$2))</f>
        <v/>
      </c>
      <c r="L2655" s="670" t="str">
        <f>IFERROR(IF(CURRENCY.FORMAT_1=0,CONCATENATE(TEXT(FIXED(ROUND((C2655*(1-I2655)*(1-ADD.DISCOUNT)*(1+MAT.SURCHARGE)/EXC.RATE_1),CURRENCY.FORMAT_1),CURRENCY.FORMAT_1,1),"# ##0;-# ##0"),",-"),FIXED(ROUND((C2655*(1-I2655)*(1-ADD.DISCOUNT)*(1+MAT.SURCHARGE)/EXC.RATE_1),CURRENCY.FORMAT_1),CURRENCY.FORMAT_1,0)),'DICTIONARY-5'!$A$2)</f>
        <v>23,-</v>
      </c>
      <c r="M2655" s="670" t="str">
        <f>IF(EXC.RATE_2=0,"",IFERROR(IF(CURRENCY.FORMAT_2=0,CONCATENATE(TEXT(FIXED(ROUND(IF(EXC.RATE.SWITCH=1,C2655*(1-I2655)*(1-ADD.DISCOUNT)*(1+MAT.SURCHARGE)/EXC.RATE_2,C2655*(1-I2655)*(1-ADD.DISCOUNT)*(1+MAT.SURCHARGE)*EXC.RATE_2),CURRENCY.FORMAT_2),CURRENCY.FORMAT_2,1),"# ##0;-# ##0"),",-"),FIXED(ROUND(IF(EXC.RATE.SWITCH=1,C2655*(1-I2655)*(1-ADD.DISCOUNT)*(1+MAT.SURCHARGE)/EXC.RATE_2,C2655*(1-I2655)*(1-ADD.DISCOUNT)*(1+MAT.SURCHARGE)*EXC.RATE_2),CURRENCY.FORMAT_2),CURRENCY.FORMAT_2,0)),'DICTIONARY-5'!$A$2))</f>
        <v/>
      </c>
      <c r="N2655" s="535">
        <v>12</v>
      </c>
      <c r="O2655" s="535"/>
      <c r="P2655" s="732" t="str">
        <f>'DICTIONARY-3'!$A$178</f>
        <v>BAIO GKS</v>
      </c>
      <c r="Q2655" s="732" t="str">
        <f>'DICTIONARY-3'!$A$227</f>
        <v>Uszczelki</v>
      </c>
      <c r="R2655" s="732" t="str">
        <f>CONCATENATE('DICTIONARY-3'!$A$178," ",'DICTIONARY-3'!$A$227," ",'DICTIONARY-2'!$A$2,"100"," ",'DICTIONARY-2'!$A$5,"110"," ",'DICTIONARY-2'!$A$10,"16",'DICTIONARY-2'!$A$20,", ",'DICTIONARY-5'!$A$45,", ",'DICTIONARY-6'!$A$76," ",'DICTIONARY-5'!$A$57,"+",'DICTIONARY-5'!$A$56)</f>
        <v>BAIO GKS Uszczelki DN100 Da110 PS16bar, NBR, ruroc. PE+PVC</v>
      </c>
      <c r="S2655" s="733" t="s">
        <v>5569</v>
      </c>
      <c r="T2655" s="732" t="s">
        <v>5569</v>
      </c>
      <c r="U2655" s="734" t="s">
        <v>5749</v>
      </c>
      <c r="V2655" s="735" t="s">
        <v>5569</v>
      </c>
      <c r="W2655" s="744" t="s">
        <v>7340</v>
      </c>
      <c r="X2655" s="737"/>
      <c r="Y2655" s="738"/>
      <c r="Z2655" s="739"/>
      <c r="AA2655" s="739"/>
      <c r="AB2655" s="740">
        <v>16</v>
      </c>
      <c r="AC2655" s="741" t="s">
        <v>5569</v>
      </c>
      <c r="AD2655" s="733" t="str">
        <f>'DICTIONARY-5'!$A$19</f>
        <v>powietrze</v>
      </c>
      <c r="AE2655" s="742">
        <v>50</v>
      </c>
      <c r="AF2655" s="743">
        <v>0.13</v>
      </c>
      <c r="AG2655" s="741" t="s">
        <v>5569</v>
      </c>
    </row>
    <row r="2656" spans="1:33" x14ac:dyDescent="0.25">
      <c r="A2656" s="869" t="s">
        <v>2569</v>
      </c>
      <c r="B2656" s="869" t="s">
        <v>2947</v>
      </c>
      <c r="C2656" s="836">
        <v>25</v>
      </c>
      <c r="D2656" s="836"/>
      <c r="E2656" s="836"/>
      <c r="F2656" s="836"/>
      <c r="G2656" s="496" t="s">
        <v>7851</v>
      </c>
      <c r="H2656" s="797" t="str">
        <f>VLOOKUP(G2656,SETTINGS!$B$7:$D$97,2,0)</f>
        <v>BAIO Fittings</v>
      </c>
      <c r="I2656" s="796">
        <f>VLOOKUP(G2656,SETTINGS!$B$7:$D$97,3,0)</f>
        <v>0</v>
      </c>
      <c r="J2656" s="670" t="str">
        <f>IFERROR(IF(CURRENCY.FORMAT_1=0,CONCATENATE(TEXT(FIXED(ROUND((C2656/EXC.RATE_1),CURRENCY.FORMAT_1),CURRENCY.FORMAT_1,1),"# ##0;-# ##0"),",-"),FIXED(ROUND((C2656/EXC.RATE_1),CURRENCY.FORMAT_1),CURRENCY.FORMAT_1,0)),'DICTIONARY-5'!$A$2)</f>
        <v>25,-</v>
      </c>
      <c r="K2656" s="670" t="str">
        <f>IF(EXC.RATE_2=0,"",IFERROR(IF(CURRENCY.FORMAT_2=0,CONCATENATE(TEXT(FIXED(ROUND(IF(EXC.RATE.SWITCH=1,C2656/EXC.RATE_2,C2656*EXC.RATE_2),CURRENCY.FORMAT_2),CURRENCY.FORMAT_2,1),"# ##0;-# ##0"),",-"),FIXED(ROUND(IF(EXC.RATE.SWITCH=1,C2656/EXC.RATE_2,C2656*EXC.RATE_2),CURRENCY.FORMAT_2),CURRENCY.FORMAT_2,0)),'DICTIONARY-5'!$A$2))</f>
        <v/>
      </c>
      <c r="L2656" s="670" t="str">
        <f>IFERROR(IF(CURRENCY.FORMAT_1=0,CONCATENATE(TEXT(FIXED(ROUND((C2656*(1-I2656)*(1-ADD.DISCOUNT)*(1+MAT.SURCHARGE)/EXC.RATE_1),CURRENCY.FORMAT_1),CURRENCY.FORMAT_1,1),"# ##0;-# ##0"),",-"),FIXED(ROUND((C2656*(1-I2656)*(1-ADD.DISCOUNT)*(1+MAT.SURCHARGE)/EXC.RATE_1),CURRENCY.FORMAT_1),CURRENCY.FORMAT_1,0)),'DICTIONARY-5'!$A$2)</f>
        <v>26,-</v>
      </c>
      <c r="M2656" s="670" t="str">
        <f>IF(EXC.RATE_2=0,"",IFERROR(IF(CURRENCY.FORMAT_2=0,CONCATENATE(TEXT(FIXED(ROUND(IF(EXC.RATE.SWITCH=1,C2656*(1-I2656)*(1-ADD.DISCOUNT)*(1+MAT.SURCHARGE)/EXC.RATE_2,C2656*(1-I2656)*(1-ADD.DISCOUNT)*(1+MAT.SURCHARGE)*EXC.RATE_2),CURRENCY.FORMAT_2),CURRENCY.FORMAT_2,1),"# ##0;-# ##0"),",-"),FIXED(ROUND(IF(EXC.RATE.SWITCH=1,C2656*(1-I2656)*(1-ADD.DISCOUNT)*(1+MAT.SURCHARGE)/EXC.RATE_2,C2656*(1-I2656)*(1-ADD.DISCOUNT)*(1+MAT.SURCHARGE)*EXC.RATE_2),CURRENCY.FORMAT_2),CURRENCY.FORMAT_2,0)),'DICTIONARY-5'!$A$2))</f>
        <v/>
      </c>
      <c r="N2656" s="535">
        <v>12</v>
      </c>
      <c r="O2656" s="535"/>
      <c r="P2656" s="732" t="str">
        <f>'DICTIONARY-3'!$A$178</f>
        <v>BAIO GKS</v>
      </c>
      <c r="Q2656" s="732" t="str">
        <f>'DICTIONARY-3'!$A$227</f>
        <v>Uszczelki</v>
      </c>
      <c r="R2656" s="732" t="str">
        <f>CONCATENATE('DICTIONARY-3'!$A$178," ",'DICTIONARY-3'!$A$227," ",'DICTIONARY-2'!$A$2,"100"," ",'DICTIONARY-2'!$A$5,"125"," ",'DICTIONARY-2'!$A$10,"16",'DICTIONARY-2'!$A$20,", ",'DICTIONARY-5'!$A$45,", ",'DICTIONARY-6'!$A$76," ",'DICTIONARY-5'!$A$57,"+",'DICTIONARY-5'!$A$56)</f>
        <v>BAIO GKS Uszczelki DN100 Da125 PS16bar, NBR, ruroc. PE+PVC</v>
      </c>
      <c r="S2656" s="733" t="s">
        <v>5569</v>
      </c>
      <c r="T2656" s="732" t="s">
        <v>5569</v>
      </c>
      <c r="U2656" s="734" t="s">
        <v>5749</v>
      </c>
      <c r="V2656" s="735" t="s">
        <v>5569</v>
      </c>
      <c r="W2656" s="744" t="s">
        <v>5761</v>
      </c>
      <c r="X2656" s="737"/>
      <c r="Y2656" s="738"/>
      <c r="Z2656" s="739"/>
      <c r="AA2656" s="739"/>
      <c r="AB2656" s="740">
        <v>16</v>
      </c>
      <c r="AC2656" s="741" t="s">
        <v>5569</v>
      </c>
      <c r="AD2656" s="733" t="str">
        <f>'DICTIONARY-5'!$A$19</f>
        <v>powietrze</v>
      </c>
      <c r="AE2656" s="742">
        <v>50</v>
      </c>
      <c r="AF2656" s="743">
        <v>0.2</v>
      </c>
      <c r="AG2656" s="741" t="s">
        <v>5569</v>
      </c>
    </row>
    <row r="2657" spans="1:33" x14ac:dyDescent="0.25">
      <c r="A2657" s="869" t="s">
        <v>2572</v>
      </c>
      <c r="B2657" s="869" t="s">
        <v>2943</v>
      </c>
      <c r="C2657" s="836">
        <v>28</v>
      </c>
      <c r="D2657" s="836"/>
      <c r="E2657" s="836"/>
      <c r="F2657" s="836"/>
      <c r="G2657" s="496" t="s">
        <v>7851</v>
      </c>
      <c r="H2657" s="797" t="str">
        <f>VLOOKUP(G2657,SETTINGS!$B$7:$D$97,2,0)</f>
        <v>BAIO Fittings</v>
      </c>
      <c r="I2657" s="796">
        <f>VLOOKUP(G2657,SETTINGS!$B$7:$D$97,3,0)</f>
        <v>0</v>
      </c>
      <c r="J2657" s="670" t="str">
        <f>IFERROR(IF(CURRENCY.FORMAT_1=0,CONCATENATE(TEXT(FIXED(ROUND((C2657/EXC.RATE_1),CURRENCY.FORMAT_1),CURRENCY.FORMAT_1,1),"# ##0;-# ##0"),",-"),FIXED(ROUND((C2657/EXC.RATE_1),CURRENCY.FORMAT_1),CURRENCY.FORMAT_1,0)),'DICTIONARY-5'!$A$2)</f>
        <v>28,-</v>
      </c>
      <c r="K2657" s="670" t="str">
        <f>IF(EXC.RATE_2=0,"",IFERROR(IF(CURRENCY.FORMAT_2=0,CONCATENATE(TEXT(FIXED(ROUND(IF(EXC.RATE.SWITCH=1,C2657/EXC.RATE_2,C2657*EXC.RATE_2),CURRENCY.FORMAT_2),CURRENCY.FORMAT_2,1),"# ##0;-# ##0"),",-"),FIXED(ROUND(IF(EXC.RATE.SWITCH=1,C2657/EXC.RATE_2,C2657*EXC.RATE_2),CURRENCY.FORMAT_2),CURRENCY.FORMAT_2,0)),'DICTIONARY-5'!$A$2))</f>
        <v/>
      </c>
      <c r="L2657" s="670" t="str">
        <f>IFERROR(IF(CURRENCY.FORMAT_1=0,CONCATENATE(TEXT(FIXED(ROUND((C2657*(1-I2657)*(1-ADD.DISCOUNT)*(1+MAT.SURCHARGE)/EXC.RATE_1),CURRENCY.FORMAT_1),CURRENCY.FORMAT_1,1),"# ##0;-# ##0"),",-"),FIXED(ROUND((C2657*(1-I2657)*(1-ADD.DISCOUNT)*(1+MAT.SURCHARGE)/EXC.RATE_1),CURRENCY.FORMAT_1),CURRENCY.FORMAT_1,0)),'DICTIONARY-5'!$A$2)</f>
        <v>29,-</v>
      </c>
      <c r="M2657" s="670" t="str">
        <f>IF(EXC.RATE_2=0,"",IFERROR(IF(CURRENCY.FORMAT_2=0,CONCATENATE(TEXT(FIXED(ROUND(IF(EXC.RATE.SWITCH=1,C2657*(1-I2657)*(1-ADD.DISCOUNT)*(1+MAT.SURCHARGE)/EXC.RATE_2,C2657*(1-I2657)*(1-ADD.DISCOUNT)*(1+MAT.SURCHARGE)*EXC.RATE_2),CURRENCY.FORMAT_2),CURRENCY.FORMAT_2,1),"# ##0;-# ##0"),",-"),FIXED(ROUND(IF(EXC.RATE.SWITCH=1,C2657*(1-I2657)*(1-ADD.DISCOUNT)*(1+MAT.SURCHARGE)/EXC.RATE_2,C2657*(1-I2657)*(1-ADD.DISCOUNT)*(1+MAT.SURCHARGE)*EXC.RATE_2),CURRENCY.FORMAT_2),CURRENCY.FORMAT_2,0)),'DICTIONARY-5'!$A$2))</f>
        <v/>
      </c>
      <c r="N2657" s="535">
        <v>12</v>
      </c>
      <c r="O2657" s="535"/>
      <c r="P2657" s="732" t="str">
        <f>'DICTIONARY-3'!$A$178</f>
        <v>BAIO GKS</v>
      </c>
      <c r="Q2657" s="732" t="str">
        <f>'DICTIONARY-3'!$A$227</f>
        <v>Uszczelki</v>
      </c>
      <c r="R2657" s="732" t="str">
        <f>CONCATENATE('DICTIONARY-3'!$A$178," ",'DICTIONARY-3'!$A$227," ",'DICTIONARY-2'!$A$2,"125"," ",'DICTIONARY-2'!$A$5,"140"," ",'DICTIONARY-2'!$A$10,"16",'DICTIONARY-2'!$A$20,", ",'DICTIONARY-5'!$A$45,", ",'DICTIONARY-6'!$A$76," ",'DICTIONARY-5'!$A$57,"+",'DICTIONARY-5'!$A$56)</f>
        <v>BAIO GKS Uszczelki DN125 Da140 PS16bar, NBR, ruroc. PE+PVC</v>
      </c>
      <c r="S2657" s="733" t="s">
        <v>5569</v>
      </c>
      <c r="T2657" s="732" t="s">
        <v>5569</v>
      </c>
      <c r="U2657" s="734" t="s">
        <v>5761</v>
      </c>
      <c r="V2657" s="735" t="s">
        <v>5569</v>
      </c>
      <c r="W2657" s="744" t="s">
        <v>7341</v>
      </c>
      <c r="X2657" s="737"/>
      <c r="Y2657" s="738"/>
      <c r="Z2657" s="739"/>
      <c r="AA2657" s="739"/>
      <c r="AB2657" s="740">
        <v>16</v>
      </c>
      <c r="AC2657" s="741" t="s">
        <v>5569</v>
      </c>
      <c r="AD2657" s="733" t="str">
        <f>'DICTIONARY-5'!$A$19</f>
        <v>powietrze</v>
      </c>
      <c r="AE2657" s="742">
        <v>50</v>
      </c>
      <c r="AF2657" s="743">
        <v>0.16</v>
      </c>
      <c r="AG2657" s="741" t="s">
        <v>5569</v>
      </c>
    </row>
    <row r="2658" spans="1:33" x14ac:dyDescent="0.25">
      <c r="A2658" s="869" t="s">
        <v>2574</v>
      </c>
      <c r="B2658" s="869" t="s">
        <v>2944</v>
      </c>
      <c r="C2658" s="836">
        <v>31</v>
      </c>
      <c r="D2658" s="836"/>
      <c r="E2658" s="836"/>
      <c r="F2658" s="836"/>
      <c r="G2658" s="496" t="s">
        <v>7851</v>
      </c>
      <c r="H2658" s="797" t="str">
        <f>VLOOKUP(G2658,SETTINGS!$B$7:$D$97,2,0)</f>
        <v>BAIO Fittings</v>
      </c>
      <c r="I2658" s="796">
        <f>VLOOKUP(G2658,SETTINGS!$B$7:$D$97,3,0)</f>
        <v>0</v>
      </c>
      <c r="J2658" s="670" t="str">
        <f>IFERROR(IF(CURRENCY.FORMAT_1=0,CONCATENATE(TEXT(FIXED(ROUND((C2658/EXC.RATE_1),CURRENCY.FORMAT_1),CURRENCY.FORMAT_1,1),"# ##0;-# ##0"),",-"),FIXED(ROUND((C2658/EXC.RATE_1),CURRENCY.FORMAT_1),CURRENCY.FORMAT_1,0)),'DICTIONARY-5'!$A$2)</f>
        <v>31,-</v>
      </c>
      <c r="K2658" s="670" t="str">
        <f>IF(EXC.RATE_2=0,"",IFERROR(IF(CURRENCY.FORMAT_2=0,CONCATENATE(TEXT(FIXED(ROUND(IF(EXC.RATE.SWITCH=1,C2658/EXC.RATE_2,C2658*EXC.RATE_2),CURRENCY.FORMAT_2),CURRENCY.FORMAT_2,1),"# ##0;-# ##0"),",-"),FIXED(ROUND(IF(EXC.RATE.SWITCH=1,C2658/EXC.RATE_2,C2658*EXC.RATE_2),CURRENCY.FORMAT_2),CURRENCY.FORMAT_2,0)),'DICTIONARY-5'!$A$2))</f>
        <v/>
      </c>
      <c r="L2658" s="670" t="str">
        <f>IFERROR(IF(CURRENCY.FORMAT_1=0,CONCATENATE(TEXT(FIXED(ROUND((C2658*(1-I2658)*(1-ADD.DISCOUNT)*(1+MAT.SURCHARGE)/EXC.RATE_1),CURRENCY.FORMAT_1),CURRENCY.FORMAT_1,1),"# ##0;-# ##0"),",-"),FIXED(ROUND((C2658*(1-I2658)*(1-ADD.DISCOUNT)*(1+MAT.SURCHARGE)/EXC.RATE_1),CURRENCY.FORMAT_1),CURRENCY.FORMAT_1,0)),'DICTIONARY-5'!$A$2)</f>
        <v>32,-</v>
      </c>
      <c r="M2658" s="670" t="str">
        <f>IF(EXC.RATE_2=0,"",IFERROR(IF(CURRENCY.FORMAT_2=0,CONCATENATE(TEXT(FIXED(ROUND(IF(EXC.RATE.SWITCH=1,C2658*(1-I2658)*(1-ADD.DISCOUNT)*(1+MAT.SURCHARGE)/EXC.RATE_2,C2658*(1-I2658)*(1-ADD.DISCOUNT)*(1+MAT.SURCHARGE)*EXC.RATE_2),CURRENCY.FORMAT_2),CURRENCY.FORMAT_2,1),"# ##0;-# ##0"),",-"),FIXED(ROUND(IF(EXC.RATE.SWITCH=1,C2658*(1-I2658)*(1-ADD.DISCOUNT)*(1+MAT.SURCHARGE)/EXC.RATE_2,C2658*(1-I2658)*(1-ADD.DISCOUNT)*(1+MAT.SURCHARGE)*EXC.RATE_2),CURRENCY.FORMAT_2),CURRENCY.FORMAT_2,0)),'DICTIONARY-5'!$A$2))</f>
        <v/>
      </c>
      <c r="N2658" s="535">
        <v>12</v>
      </c>
      <c r="O2658" s="535"/>
      <c r="P2658" s="732" t="str">
        <f>'DICTIONARY-3'!$A$178</f>
        <v>BAIO GKS</v>
      </c>
      <c r="Q2658" s="732" t="str">
        <f>'DICTIONARY-3'!$A$227</f>
        <v>Uszczelki</v>
      </c>
      <c r="R2658" s="732" t="str">
        <f>CONCATENATE('DICTIONARY-3'!$A$178," ",'DICTIONARY-3'!$A$227," ",'DICTIONARY-2'!$A$2,"150"," ",'DICTIONARY-2'!$A$5,"160"," ",'DICTIONARY-2'!$A$10,"16",'DICTIONARY-2'!$A$20,", ",'DICTIONARY-5'!$A$45,", ",'DICTIONARY-6'!$A$76," ",'DICTIONARY-5'!$A$57,"+",'DICTIONARY-5'!$A$56)</f>
        <v>BAIO GKS Uszczelki DN150 Da160 PS16bar, NBR, ruroc. PE+PVC</v>
      </c>
      <c r="S2658" s="733" t="s">
        <v>5569</v>
      </c>
      <c r="T2658" s="732" t="s">
        <v>5569</v>
      </c>
      <c r="U2658" s="734" t="s">
        <v>5572</v>
      </c>
      <c r="V2658" s="735" t="s">
        <v>5569</v>
      </c>
      <c r="W2658" s="744" t="s">
        <v>7342</v>
      </c>
      <c r="X2658" s="737"/>
      <c r="Y2658" s="738"/>
      <c r="Z2658" s="739"/>
      <c r="AA2658" s="739"/>
      <c r="AB2658" s="740">
        <v>16</v>
      </c>
      <c r="AC2658" s="741" t="s">
        <v>5569</v>
      </c>
      <c r="AD2658" s="733" t="str">
        <f>'DICTIONARY-5'!$A$19</f>
        <v>powietrze</v>
      </c>
      <c r="AE2658" s="742">
        <v>50</v>
      </c>
      <c r="AF2658" s="743">
        <v>0.19500000000000001</v>
      </c>
      <c r="AG2658" s="741" t="s">
        <v>5569</v>
      </c>
    </row>
    <row r="2659" spans="1:33" x14ac:dyDescent="0.25">
      <c r="A2659" s="869" t="s">
        <v>2576</v>
      </c>
      <c r="B2659" s="869" t="s">
        <v>2948</v>
      </c>
      <c r="C2659" s="836">
        <v>35</v>
      </c>
      <c r="D2659" s="836"/>
      <c r="E2659" s="836"/>
      <c r="F2659" s="836"/>
      <c r="G2659" s="496" t="s">
        <v>7851</v>
      </c>
      <c r="H2659" s="797" t="str">
        <f>VLOOKUP(G2659,SETTINGS!$B$7:$D$97,2,0)</f>
        <v>BAIO Fittings</v>
      </c>
      <c r="I2659" s="796">
        <f>VLOOKUP(G2659,SETTINGS!$B$7:$D$97,3,0)</f>
        <v>0</v>
      </c>
      <c r="J2659" s="670" t="str">
        <f>IFERROR(IF(CURRENCY.FORMAT_1=0,CONCATENATE(TEXT(FIXED(ROUND((C2659/EXC.RATE_1),CURRENCY.FORMAT_1),CURRENCY.FORMAT_1,1),"# ##0;-# ##0"),",-"),FIXED(ROUND((C2659/EXC.RATE_1),CURRENCY.FORMAT_1),CURRENCY.FORMAT_1,0)),'DICTIONARY-5'!$A$2)</f>
        <v>35,-</v>
      </c>
      <c r="K2659" s="670" t="str">
        <f>IF(EXC.RATE_2=0,"",IFERROR(IF(CURRENCY.FORMAT_2=0,CONCATENATE(TEXT(FIXED(ROUND(IF(EXC.RATE.SWITCH=1,C2659/EXC.RATE_2,C2659*EXC.RATE_2),CURRENCY.FORMAT_2),CURRENCY.FORMAT_2,1),"# ##0;-# ##0"),",-"),FIXED(ROUND(IF(EXC.RATE.SWITCH=1,C2659/EXC.RATE_2,C2659*EXC.RATE_2),CURRENCY.FORMAT_2),CURRENCY.FORMAT_2,0)),'DICTIONARY-5'!$A$2))</f>
        <v/>
      </c>
      <c r="L2659" s="670" t="str">
        <f>IFERROR(IF(CURRENCY.FORMAT_1=0,CONCATENATE(TEXT(FIXED(ROUND((C2659*(1-I2659)*(1-ADD.DISCOUNT)*(1+MAT.SURCHARGE)/EXC.RATE_1),CURRENCY.FORMAT_1),CURRENCY.FORMAT_1,1),"# ##0;-# ##0"),",-"),FIXED(ROUND((C2659*(1-I2659)*(1-ADD.DISCOUNT)*(1+MAT.SURCHARGE)/EXC.RATE_1),CURRENCY.FORMAT_1),CURRENCY.FORMAT_1,0)),'DICTIONARY-5'!$A$2)</f>
        <v>36,-</v>
      </c>
      <c r="M2659" s="670" t="str">
        <f>IF(EXC.RATE_2=0,"",IFERROR(IF(CURRENCY.FORMAT_2=0,CONCATENATE(TEXT(FIXED(ROUND(IF(EXC.RATE.SWITCH=1,C2659*(1-I2659)*(1-ADD.DISCOUNT)*(1+MAT.SURCHARGE)/EXC.RATE_2,C2659*(1-I2659)*(1-ADD.DISCOUNT)*(1+MAT.SURCHARGE)*EXC.RATE_2),CURRENCY.FORMAT_2),CURRENCY.FORMAT_2,1),"# ##0;-# ##0"),",-"),FIXED(ROUND(IF(EXC.RATE.SWITCH=1,C2659*(1-I2659)*(1-ADD.DISCOUNT)*(1+MAT.SURCHARGE)/EXC.RATE_2,C2659*(1-I2659)*(1-ADD.DISCOUNT)*(1+MAT.SURCHARGE)*EXC.RATE_2),CURRENCY.FORMAT_2),CURRENCY.FORMAT_2,0)),'DICTIONARY-5'!$A$2))</f>
        <v/>
      </c>
      <c r="N2659" s="535">
        <v>12</v>
      </c>
      <c r="O2659" s="535"/>
      <c r="P2659" s="732" t="str">
        <f>'DICTIONARY-3'!$A$178</f>
        <v>BAIO GKS</v>
      </c>
      <c r="Q2659" s="732" t="str">
        <f>'DICTIONARY-3'!$A$227</f>
        <v>Uszczelki</v>
      </c>
      <c r="R2659" s="732" t="str">
        <f>CONCATENATE('DICTIONARY-3'!$A$178," ",'DICTIONARY-3'!$A$227," ",'DICTIONARY-2'!$A$2,"150"," ",'DICTIONARY-2'!$A$5,"180"," ",'DICTIONARY-2'!$A$10,"16",'DICTIONARY-2'!$A$20,", ",'DICTIONARY-5'!$A$45,", ",'DICTIONARY-6'!$A$76," ",'DICTIONARY-5'!$A$57,"+",'DICTIONARY-5'!$A$56)</f>
        <v>BAIO GKS Uszczelki DN150 Da180 PS16bar, NBR, ruroc. PE+PVC</v>
      </c>
      <c r="S2659" s="733" t="s">
        <v>5569</v>
      </c>
      <c r="T2659" s="732" t="s">
        <v>5569</v>
      </c>
      <c r="U2659" s="734" t="s">
        <v>5572</v>
      </c>
      <c r="V2659" s="735" t="s">
        <v>5569</v>
      </c>
      <c r="W2659" s="744" t="s">
        <v>7343</v>
      </c>
      <c r="X2659" s="737"/>
      <c r="Y2659" s="738"/>
      <c r="Z2659" s="739"/>
      <c r="AA2659" s="739"/>
      <c r="AB2659" s="740">
        <v>16</v>
      </c>
      <c r="AC2659" s="741" t="s">
        <v>5569</v>
      </c>
      <c r="AD2659" s="733" t="str">
        <f>'DICTIONARY-5'!$A$19</f>
        <v>powietrze</v>
      </c>
      <c r="AE2659" s="742">
        <v>50</v>
      </c>
      <c r="AF2659" s="743">
        <v>0.19500000000000001</v>
      </c>
      <c r="AG2659" s="741" t="s">
        <v>5569</v>
      </c>
    </row>
    <row r="2660" spans="1:33" x14ac:dyDescent="0.25">
      <c r="A2660" s="869" t="s">
        <v>2578</v>
      </c>
      <c r="B2660" s="869" t="s">
        <v>2949</v>
      </c>
      <c r="C2660" s="836">
        <v>47</v>
      </c>
      <c r="D2660" s="836"/>
      <c r="E2660" s="836"/>
      <c r="F2660" s="836"/>
      <c r="G2660" s="496" t="s">
        <v>7851</v>
      </c>
      <c r="H2660" s="797" t="str">
        <f>VLOOKUP(G2660,SETTINGS!$B$7:$D$97,2,0)</f>
        <v>BAIO Fittings</v>
      </c>
      <c r="I2660" s="796">
        <f>VLOOKUP(G2660,SETTINGS!$B$7:$D$97,3,0)</f>
        <v>0</v>
      </c>
      <c r="J2660" s="670" t="str">
        <f>IFERROR(IF(CURRENCY.FORMAT_1=0,CONCATENATE(TEXT(FIXED(ROUND((C2660/EXC.RATE_1),CURRENCY.FORMAT_1),CURRENCY.FORMAT_1,1),"# ##0;-# ##0"),",-"),FIXED(ROUND((C2660/EXC.RATE_1),CURRENCY.FORMAT_1),CURRENCY.FORMAT_1,0)),'DICTIONARY-5'!$A$2)</f>
        <v>47,-</v>
      </c>
      <c r="K2660" s="670" t="str">
        <f>IF(EXC.RATE_2=0,"",IFERROR(IF(CURRENCY.FORMAT_2=0,CONCATENATE(TEXT(FIXED(ROUND(IF(EXC.RATE.SWITCH=1,C2660/EXC.RATE_2,C2660*EXC.RATE_2),CURRENCY.FORMAT_2),CURRENCY.FORMAT_2,1),"# ##0;-# ##0"),",-"),FIXED(ROUND(IF(EXC.RATE.SWITCH=1,C2660/EXC.RATE_2,C2660*EXC.RATE_2),CURRENCY.FORMAT_2),CURRENCY.FORMAT_2,0)),'DICTIONARY-5'!$A$2))</f>
        <v/>
      </c>
      <c r="L2660" s="670" t="str">
        <f>IFERROR(IF(CURRENCY.FORMAT_1=0,CONCATENATE(TEXT(FIXED(ROUND((C2660*(1-I2660)*(1-ADD.DISCOUNT)*(1+MAT.SURCHARGE)/EXC.RATE_1),CURRENCY.FORMAT_1),CURRENCY.FORMAT_1,1),"# ##0;-# ##0"),",-"),FIXED(ROUND((C2660*(1-I2660)*(1-ADD.DISCOUNT)*(1+MAT.SURCHARGE)/EXC.RATE_1),CURRENCY.FORMAT_1),CURRENCY.FORMAT_1,0)),'DICTIONARY-5'!$A$2)</f>
        <v>49,-</v>
      </c>
      <c r="M2660" s="670" t="str">
        <f>IF(EXC.RATE_2=0,"",IFERROR(IF(CURRENCY.FORMAT_2=0,CONCATENATE(TEXT(FIXED(ROUND(IF(EXC.RATE.SWITCH=1,C2660*(1-I2660)*(1-ADD.DISCOUNT)*(1+MAT.SURCHARGE)/EXC.RATE_2,C2660*(1-I2660)*(1-ADD.DISCOUNT)*(1+MAT.SURCHARGE)*EXC.RATE_2),CURRENCY.FORMAT_2),CURRENCY.FORMAT_2,1),"# ##0;-# ##0"),",-"),FIXED(ROUND(IF(EXC.RATE.SWITCH=1,C2660*(1-I2660)*(1-ADD.DISCOUNT)*(1+MAT.SURCHARGE)/EXC.RATE_2,C2660*(1-I2660)*(1-ADD.DISCOUNT)*(1+MAT.SURCHARGE)*EXC.RATE_2),CURRENCY.FORMAT_2),CURRENCY.FORMAT_2,0)),'DICTIONARY-5'!$A$2))</f>
        <v/>
      </c>
      <c r="N2660" s="535">
        <v>12</v>
      </c>
      <c r="O2660" s="535"/>
      <c r="P2660" s="732" t="str">
        <f>'DICTIONARY-3'!$A$178</f>
        <v>BAIO GKS</v>
      </c>
      <c r="Q2660" s="732" t="str">
        <f>'DICTIONARY-3'!$A$227</f>
        <v>Uszczelki</v>
      </c>
      <c r="R2660" s="732" t="str">
        <f>CONCATENATE('DICTIONARY-3'!$A$178," ",'DICTIONARY-3'!$A$227," ",'DICTIONARY-2'!$A$2,"200"," ",'DICTIONARY-2'!$A$5,"200"," ",'DICTIONARY-2'!$A$10,"16",'DICTIONARY-2'!$A$20,", ",'DICTIONARY-5'!$A$45,", ",'DICTIONARY-6'!$A$76," ",'DICTIONARY-5'!$A$57,"+",'DICTIONARY-5'!$A$56)</f>
        <v>BAIO GKS Uszczelki DN200 Da200 PS16bar, NBR, ruroc. PE+PVC</v>
      </c>
      <c r="S2660" s="733"/>
      <c r="T2660" s="732"/>
      <c r="U2660" s="734" t="s">
        <v>5750</v>
      </c>
      <c r="V2660" s="735" t="s">
        <v>5569</v>
      </c>
      <c r="W2660" s="744" t="s">
        <v>5750</v>
      </c>
      <c r="X2660" s="737"/>
      <c r="Y2660" s="738"/>
      <c r="Z2660" s="739"/>
      <c r="AA2660" s="739"/>
      <c r="AB2660" s="740">
        <v>16</v>
      </c>
      <c r="AC2660" s="741" t="s">
        <v>5569</v>
      </c>
      <c r="AD2660" s="733" t="str">
        <f>'DICTIONARY-5'!$A$19</f>
        <v>powietrze</v>
      </c>
      <c r="AE2660" s="742">
        <v>50</v>
      </c>
      <c r="AF2660" s="743">
        <v>0.96</v>
      </c>
      <c r="AG2660" s="741" t="s">
        <v>5569</v>
      </c>
    </row>
    <row r="2661" spans="1:33" x14ac:dyDescent="0.25">
      <c r="A2661" s="869" t="s">
        <v>2580</v>
      </c>
      <c r="B2661" s="869" t="s">
        <v>2945</v>
      </c>
      <c r="C2661" s="836">
        <v>41</v>
      </c>
      <c r="D2661" s="836"/>
      <c r="E2661" s="836"/>
      <c r="F2661" s="836"/>
      <c r="G2661" s="496" t="s">
        <v>7851</v>
      </c>
      <c r="H2661" s="797" t="str">
        <f>VLOOKUP(G2661,SETTINGS!$B$7:$D$97,2,0)</f>
        <v>BAIO Fittings</v>
      </c>
      <c r="I2661" s="796">
        <f>VLOOKUP(G2661,SETTINGS!$B$7:$D$97,3,0)</f>
        <v>0</v>
      </c>
      <c r="J2661" s="670" t="str">
        <f>IFERROR(IF(CURRENCY.FORMAT_1=0,CONCATENATE(TEXT(FIXED(ROUND((C2661/EXC.RATE_1),CURRENCY.FORMAT_1),CURRENCY.FORMAT_1,1),"# ##0;-# ##0"),",-"),FIXED(ROUND((C2661/EXC.RATE_1),CURRENCY.FORMAT_1),CURRENCY.FORMAT_1,0)),'DICTIONARY-5'!$A$2)</f>
        <v>41,-</v>
      </c>
      <c r="K2661" s="670" t="str">
        <f>IF(EXC.RATE_2=0,"",IFERROR(IF(CURRENCY.FORMAT_2=0,CONCATENATE(TEXT(FIXED(ROUND(IF(EXC.RATE.SWITCH=1,C2661/EXC.RATE_2,C2661*EXC.RATE_2),CURRENCY.FORMAT_2),CURRENCY.FORMAT_2,1),"# ##0;-# ##0"),",-"),FIXED(ROUND(IF(EXC.RATE.SWITCH=1,C2661/EXC.RATE_2,C2661*EXC.RATE_2),CURRENCY.FORMAT_2),CURRENCY.FORMAT_2,0)),'DICTIONARY-5'!$A$2))</f>
        <v/>
      </c>
      <c r="L2661" s="670" t="str">
        <f>IFERROR(IF(CURRENCY.FORMAT_1=0,CONCATENATE(TEXT(FIXED(ROUND((C2661*(1-I2661)*(1-ADD.DISCOUNT)*(1+MAT.SURCHARGE)/EXC.RATE_1),CURRENCY.FORMAT_1),CURRENCY.FORMAT_1,1),"# ##0;-# ##0"),",-"),FIXED(ROUND((C2661*(1-I2661)*(1-ADD.DISCOUNT)*(1+MAT.SURCHARGE)/EXC.RATE_1),CURRENCY.FORMAT_1),CURRENCY.FORMAT_1,0)),'DICTIONARY-5'!$A$2)</f>
        <v>43,-</v>
      </c>
      <c r="M2661" s="670" t="str">
        <f>IF(EXC.RATE_2=0,"",IFERROR(IF(CURRENCY.FORMAT_2=0,CONCATENATE(TEXT(FIXED(ROUND(IF(EXC.RATE.SWITCH=1,C2661*(1-I2661)*(1-ADD.DISCOUNT)*(1+MAT.SURCHARGE)/EXC.RATE_2,C2661*(1-I2661)*(1-ADD.DISCOUNT)*(1+MAT.SURCHARGE)*EXC.RATE_2),CURRENCY.FORMAT_2),CURRENCY.FORMAT_2,1),"# ##0;-# ##0"),",-"),FIXED(ROUND(IF(EXC.RATE.SWITCH=1,C2661*(1-I2661)*(1-ADD.DISCOUNT)*(1+MAT.SURCHARGE)/EXC.RATE_2,C2661*(1-I2661)*(1-ADD.DISCOUNT)*(1+MAT.SURCHARGE)*EXC.RATE_2),CURRENCY.FORMAT_2),CURRENCY.FORMAT_2,0)),'DICTIONARY-5'!$A$2))</f>
        <v/>
      </c>
      <c r="N2661" s="535">
        <v>12</v>
      </c>
      <c r="O2661" s="535"/>
      <c r="P2661" s="732" t="str">
        <f>'DICTIONARY-3'!$A$178</f>
        <v>BAIO GKS</v>
      </c>
      <c r="Q2661" s="732" t="str">
        <f>'DICTIONARY-3'!$A$227</f>
        <v>Uszczelki</v>
      </c>
      <c r="R2661" s="732" t="str">
        <f>CONCATENATE('DICTIONARY-3'!$A$178," ",'DICTIONARY-3'!$A$227," ",'DICTIONARY-2'!$A$2,"200"," ",'DICTIONARY-2'!$A$5,"225"," ",'DICTIONARY-2'!$A$10,"16",'DICTIONARY-2'!$A$20,", ",'DICTIONARY-5'!$A$45,", ",'DICTIONARY-6'!$A$76," ",'DICTIONARY-5'!$A$57,"+",'DICTIONARY-5'!$A$56)</f>
        <v>BAIO GKS Uszczelki DN200 Da225 PS16bar, NBR, ruroc. PE+PVC</v>
      </c>
      <c r="S2661" s="733"/>
      <c r="T2661" s="732"/>
      <c r="U2661" s="734" t="s">
        <v>5750</v>
      </c>
      <c r="V2661" s="735" t="s">
        <v>5569</v>
      </c>
      <c r="W2661" s="744" t="s">
        <v>5833</v>
      </c>
      <c r="X2661" s="737"/>
      <c r="Y2661" s="738"/>
      <c r="Z2661" s="739"/>
      <c r="AA2661" s="739"/>
      <c r="AB2661" s="740">
        <v>16</v>
      </c>
      <c r="AC2661" s="741" t="s">
        <v>5569</v>
      </c>
      <c r="AD2661" s="733" t="str">
        <f>'DICTIONARY-5'!$A$19</f>
        <v>powietrze</v>
      </c>
      <c r="AE2661" s="742">
        <v>50</v>
      </c>
      <c r="AF2661" s="743">
        <v>0.26</v>
      </c>
      <c r="AG2661" s="741" t="s">
        <v>5569</v>
      </c>
    </row>
    <row r="2662" spans="1:33" x14ac:dyDescent="0.25">
      <c r="A2662" s="869" t="s">
        <v>2559</v>
      </c>
      <c r="B2662" s="869" t="s">
        <v>2950</v>
      </c>
      <c r="C2662" s="836">
        <v>12</v>
      </c>
      <c r="D2662" s="836"/>
      <c r="E2662" s="836"/>
      <c r="F2662" s="836"/>
      <c r="G2662" s="496" t="s">
        <v>7851</v>
      </c>
      <c r="H2662" s="797" t="str">
        <f>VLOOKUP(G2662,SETTINGS!$B$7:$D$97,2,0)</f>
        <v>BAIO Fittings</v>
      </c>
      <c r="I2662" s="796">
        <f>VLOOKUP(G2662,SETTINGS!$B$7:$D$97,3,0)</f>
        <v>0</v>
      </c>
      <c r="J2662" s="670" t="str">
        <f>IFERROR(IF(CURRENCY.FORMAT_1=0,CONCATENATE(TEXT(FIXED(ROUND((C2662/EXC.RATE_1),CURRENCY.FORMAT_1),CURRENCY.FORMAT_1,1),"# ##0;-# ##0"),",-"),FIXED(ROUND((C2662/EXC.RATE_1),CURRENCY.FORMAT_1),CURRENCY.FORMAT_1,0)),'DICTIONARY-5'!$A$2)</f>
        <v>12,-</v>
      </c>
      <c r="K2662" s="670" t="str">
        <f>IF(EXC.RATE_2=0,"",IFERROR(IF(CURRENCY.FORMAT_2=0,CONCATENATE(TEXT(FIXED(ROUND(IF(EXC.RATE.SWITCH=1,C2662/EXC.RATE_2,C2662*EXC.RATE_2),CURRENCY.FORMAT_2),CURRENCY.FORMAT_2,1),"# ##0;-# ##0"),",-"),FIXED(ROUND(IF(EXC.RATE.SWITCH=1,C2662/EXC.RATE_2,C2662*EXC.RATE_2),CURRENCY.FORMAT_2),CURRENCY.FORMAT_2,0)),'DICTIONARY-5'!$A$2))</f>
        <v/>
      </c>
      <c r="L2662" s="670" t="str">
        <f>IFERROR(IF(CURRENCY.FORMAT_1=0,CONCATENATE(TEXT(FIXED(ROUND((C2662*(1-I2662)*(1-ADD.DISCOUNT)*(1+MAT.SURCHARGE)/EXC.RATE_1),CURRENCY.FORMAT_1),CURRENCY.FORMAT_1,1),"# ##0;-# ##0"),",-"),FIXED(ROUND((C2662*(1-I2662)*(1-ADD.DISCOUNT)*(1+MAT.SURCHARGE)/EXC.RATE_1),CURRENCY.FORMAT_1),CURRENCY.FORMAT_1,0)),'DICTIONARY-5'!$A$2)</f>
        <v>12,-</v>
      </c>
      <c r="M2662" s="670" t="str">
        <f>IF(EXC.RATE_2=0,"",IFERROR(IF(CURRENCY.FORMAT_2=0,CONCATENATE(TEXT(FIXED(ROUND(IF(EXC.RATE.SWITCH=1,C2662*(1-I2662)*(1-ADD.DISCOUNT)*(1+MAT.SURCHARGE)/EXC.RATE_2,C2662*(1-I2662)*(1-ADD.DISCOUNT)*(1+MAT.SURCHARGE)*EXC.RATE_2),CURRENCY.FORMAT_2),CURRENCY.FORMAT_2,1),"# ##0;-# ##0"),",-"),FIXED(ROUND(IF(EXC.RATE.SWITCH=1,C2662*(1-I2662)*(1-ADD.DISCOUNT)*(1+MAT.SURCHARGE)/EXC.RATE_2,C2662*(1-I2662)*(1-ADD.DISCOUNT)*(1+MAT.SURCHARGE)*EXC.RATE_2),CURRENCY.FORMAT_2),CURRENCY.FORMAT_2,0)),'DICTIONARY-5'!$A$2))</f>
        <v/>
      </c>
      <c r="N2662" s="535">
        <v>12</v>
      </c>
      <c r="O2662" s="535"/>
      <c r="P2662" s="732" t="str">
        <f>'DICTIONARY-3'!$A$179</f>
        <v>BAIO TYTON</v>
      </c>
      <c r="Q2662" s="732" t="str">
        <f>'DICTIONARY-3'!$A$227</f>
        <v>Uszczelki</v>
      </c>
      <c r="R2662" s="732" t="str">
        <f>CONCATENATE('DICTIONARY-3'!$A$179," ",'DICTIONARY-3'!$A$227," ",'DICTIONARY-2'!$A$2,"80"," ",'DICTIONARY-2'!$A$5,"98"," ",'DICTIONARY-2'!$A$10,"16",'DICTIONARY-2'!$A$20,", ",'DICTIONARY-5'!$A$44,", ",'DICTIONARY-6'!$A$76," ",'DICTIONARY-5'!$A$49)</f>
        <v>BAIO TYTON Uszczelki DN80 Da98 PS16bar, EPDM, ruroc. ŻEL.</v>
      </c>
      <c r="S2662" s="733"/>
      <c r="T2662" s="732"/>
      <c r="U2662" s="734" t="s">
        <v>5760</v>
      </c>
      <c r="V2662" s="735" t="s">
        <v>5569</v>
      </c>
      <c r="W2662" s="744" t="s">
        <v>7346</v>
      </c>
      <c r="X2662" s="737"/>
      <c r="Y2662" s="738"/>
      <c r="Z2662" s="739"/>
      <c r="AA2662" s="739"/>
      <c r="AB2662" s="740">
        <v>16</v>
      </c>
      <c r="AC2662" s="741" t="s">
        <v>5569</v>
      </c>
      <c r="AD2662" s="741" t="str">
        <f>'DICTIONARY-5'!$A$13</f>
        <v>woda pitna</v>
      </c>
      <c r="AE2662" s="742">
        <v>50</v>
      </c>
      <c r="AF2662" s="743">
        <v>0.121</v>
      </c>
      <c r="AG2662" s="741" t="s">
        <v>5569</v>
      </c>
    </row>
    <row r="2663" spans="1:33" x14ac:dyDescent="0.25">
      <c r="A2663" s="869" t="s">
        <v>2560</v>
      </c>
      <c r="B2663" s="869" t="s">
        <v>2951</v>
      </c>
      <c r="C2663" s="836">
        <v>13</v>
      </c>
      <c r="D2663" s="836"/>
      <c r="E2663" s="836"/>
      <c r="F2663" s="836"/>
      <c r="G2663" s="496" t="s">
        <v>7851</v>
      </c>
      <c r="H2663" s="797" t="str">
        <f>VLOOKUP(G2663,SETTINGS!$B$7:$D$97,2,0)</f>
        <v>BAIO Fittings</v>
      </c>
      <c r="I2663" s="796">
        <f>VLOOKUP(G2663,SETTINGS!$B$7:$D$97,3,0)</f>
        <v>0</v>
      </c>
      <c r="J2663" s="670" t="str">
        <f>IFERROR(IF(CURRENCY.FORMAT_1=0,CONCATENATE(TEXT(FIXED(ROUND((C2663/EXC.RATE_1),CURRENCY.FORMAT_1),CURRENCY.FORMAT_1,1),"# ##0;-# ##0"),",-"),FIXED(ROUND((C2663/EXC.RATE_1),CURRENCY.FORMAT_1),CURRENCY.FORMAT_1,0)),'DICTIONARY-5'!$A$2)</f>
        <v>13,-</v>
      </c>
      <c r="K2663" s="670" t="str">
        <f>IF(EXC.RATE_2=0,"",IFERROR(IF(CURRENCY.FORMAT_2=0,CONCATENATE(TEXT(FIXED(ROUND(IF(EXC.RATE.SWITCH=1,C2663/EXC.RATE_2,C2663*EXC.RATE_2),CURRENCY.FORMAT_2),CURRENCY.FORMAT_2,1),"# ##0;-# ##0"),",-"),FIXED(ROUND(IF(EXC.RATE.SWITCH=1,C2663/EXC.RATE_2,C2663*EXC.RATE_2),CURRENCY.FORMAT_2),CURRENCY.FORMAT_2,0)),'DICTIONARY-5'!$A$2))</f>
        <v/>
      </c>
      <c r="L2663" s="670" t="str">
        <f>IFERROR(IF(CURRENCY.FORMAT_1=0,CONCATENATE(TEXT(FIXED(ROUND((C2663*(1-I2663)*(1-ADD.DISCOUNT)*(1+MAT.SURCHARGE)/EXC.RATE_1),CURRENCY.FORMAT_1),CURRENCY.FORMAT_1,1),"# ##0;-# ##0"),",-"),FIXED(ROUND((C2663*(1-I2663)*(1-ADD.DISCOUNT)*(1+MAT.SURCHARGE)/EXC.RATE_1),CURRENCY.FORMAT_1),CURRENCY.FORMAT_1,0)),'DICTIONARY-5'!$A$2)</f>
        <v>14,-</v>
      </c>
      <c r="M2663" s="670" t="str">
        <f>IF(EXC.RATE_2=0,"",IFERROR(IF(CURRENCY.FORMAT_2=0,CONCATENATE(TEXT(FIXED(ROUND(IF(EXC.RATE.SWITCH=1,C2663*(1-I2663)*(1-ADD.DISCOUNT)*(1+MAT.SURCHARGE)/EXC.RATE_2,C2663*(1-I2663)*(1-ADD.DISCOUNT)*(1+MAT.SURCHARGE)*EXC.RATE_2),CURRENCY.FORMAT_2),CURRENCY.FORMAT_2,1),"# ##0;-# ##0"),",-"),FIXED(ROUND(IF(EXC.RATE.SWITCH=1,C2663*(1-I2663)*(1-ADD.DISCOUNT)*(1+MAT.SURCHARGE)/EXC.RATE_2,C2663*(1-I2663)*(1-ADD.DISCOUNT)*(1+MAT.SURCHARGE)*EXC.RATE_2),CURRENCY.FORMAT_2),CURRENCY.FORMAT_2,0)),'DICTIONARY-5'!$A$2))</f>
        <v/>
      </c>
      <c r="N2663" s="535">
        <v>12</v>
      </c>
      <c r="O2663" s="535"/>
      <c r="P2663" s="732" t="str">
        <f>'DICTIONARY-3'!$A$179</f>
        <v>BAIO TYTON</v>
      </c>
      <c r="Q2663" s="732" t="str">
        <f>'DICTIONARY-3'!$A$227</f>
        <v>Uszczelki</v>
      </c>
      <c r="R2663" s="732" t="str">
        <f>CONCATENATE('DICTIONARY-3'!$A$179," ",'DICTIONARY-3'!$A$227," ",'DICTIONARY-2'!$A$2,"100"," ",'DICTIONARY-2'!$A$5,"118"," ",'DICTIONARY-2'!$A$10,"16",'DICTIONARY-2'!$A$20,", ",'DICTIONARY-5'!$A$44,", ",'DICTIONARY-6'!$A$76," ",'DICTIONARY-5'!$A$49)</f>
        <v>BAIO TYTON Uszczelki DN100 Da118 PS16bar, EPDM, ruroc. ŻEL.</v>
      </c>
      <c r="S2663" s="733"/>
      <c r="T2663" s="732"/>
      <c r="U2663" s="734" t="s">
        <v>5749</v>
      </c>
      <c r="V2663" s="735" t="s">
        <v>5569</v>
      </c>
      <c r="W2663" s="744" t="s">
        <v>7347</v>
      </c>
      <c r="X2663" s="737"/>
      <c r="Y2663" s="738"/>
      <c r="Z2663" s="739"/>
      <c r="AA2663" s="739"/>
      <c r="AB2663" s="740">
        <v>16</v>
      </c>
      <c r="AC2663" s="741" t="s">
        <v>5569</v>
      </c>
      <c r="AD2663" s="741" t="str">
        <f>'DICTIONARY-5'!$A$13</f>
        <v>woda pitna</v>
      </c>
      <c r="AE2663" s="742">
        <v>50</v>
      </c>
      <c r="AF2663" s="743">
        <v>0.14299999999999999</v>
      </c>
      <c r="AG2663" s="741" t="s">
        <v>5569</v>
      </c>
    </row>
    <row r="2664" spans="1:33" x14ac:dyDescent="0.25">
      <c r="A2664" s="869" t="s">
        <v>2561</v>
      </c>
      <c r="B2664" s="869" t="s">
        <v>2954</v>
      </c>
      <c r="C2664" s="836">
        <v>14</v>
      </c>
      <c r="D2664" s="836"/>
      <c r="E2664" s="836"/>
      <c r="F2664" s="836"/>
      <c r="G2664" s="496" t="s">
        <v>7851</v>
      </c>
      <c r="H2664" s="797" t="str">
        <f>VLOOKUP(G2664,SETTINGS!$B$7:$D$97,2,0)</f>
        <v>BAIO Fittings</v>
      </c>
      <c r="I2664" s="796">
        <f>VLOOKUP(G2664,SETTINGS!$B$7:$D$97,3,0)</f>
        <v>0</v>
      </c>
      <c r="J2664" s="670" t="str">
        <f>IFERROR(IF(CURRENCY.FORMAT_1=0,CONCATENATE(TEXT(FIXED(ROUND((C2664/EXC.RATE_1),CURRENCY.FORMAT_1),CURRENCY.FORMAT_1,1),"# ##0;-# ##0"),",-"),FIXED(ROUND((C2664/EXC.RATE_1),CURRENCY.FORMAT_1),CURRENCY.FORMAT_1,0)),'DICTIONARY-5'!$A$2)</f>
        <v>14,-</v>
      </c>
      <c r="K2664" s="670" t="str">
        <f>IF(EXC.RATE_2=0,"",IFERROR(IF(CURRENCY.FORMAT_2=0,CONCATENATE(TEXT(FIXED(ROUND(IF(EXC.RATE.SWITCH=1,C2664/EXC.RATE_2,C2664*EXC.RATE_2),CURRENCY.FORMAT_2),CURRENCY.FORMAT_2,1),"# ##0;-# ##0"),",-"),FIXED(ROUND(IF(EXC.RATE.SWITCH=1,C2664/EXC.RATE_2,C2664*EXC.RATE_2),CURRENCY.FORMAT_2),CURRENCY.FORMAT_2,0)),'DICTIONARY-5'!$A$2))</f>
        <v/>
      </c>
      <c r="L2664" s="670" t="str">
        <f>IFERROR(IF(CURRENCY.FORMAT_1=0,CONCATENATE(TEXT(FIXED(ROUND((C2664*(1-I2664)*(1-ADD.DISCOUNT)*(1+MAT.SURCHARGE)/EXC.RATE_1),CURRENCY.FORMAT_1),CURRENCY.FORMAT_1,1),"# ##0;-# ##0"),",-"),FIXED(ROUND((C2664*(1-I2664)*(1-ADD.DISCOUNT)*(1+MAT.SURCHARGE)/EXC.RATE_1),CURRENCY.FORMAT_1),CURRENCY.FORMAT_1,0)),'DICTIONARY-5'!$A$2)</f>
        <v>15,-</v>
      </c>
      <c r="M2664" s="670" t="str">
        <f>IF(EXC.RATE_2=0,"",IFERROR(IF(CURRENCY.FORMAT_2=0,CONCATENATE(TEXT(FIXED(ROUND(IF(EXC.RATE.SWITCH=1,C2664*(1-I2664)*(1-ADD.DISCOUNT)*(1+MAT.SURCHARGE)/EXC.RATE_2,C2664*(1-I2664)*(1-ADD.DISCOUNT)*(1+MAT.SURCHARGE)*EXC.RATE_2),CURRENCY.FORMAT_2),CURRENCY.FORMAT_2,1),"# ##0;-# ##0"),",-"),FIXED(ROUND(IF(EXC.RATE.SWITCH=1,C2664*(1-I2664)*(1-ADD.DISCOUNT)*(1+MAT.SURCHARGE)/EXC.RATE_2,C2664*(1-I2664)*(1-ADD.DISCOUNT)*(1+MAT.SURCHARGE)*EXC.RATE_2),CURRENCY.FORMAT_2),CURRENCY.FORMAT_2,0)),'DICTIONARY-5'!$A$2))</f>
        <v/>
      </c>
      <c r="N2664" s="535">
        <v>12</v>
      </c>
      <c r="O2664" s="535"/>
      <c r="P2664" s="732" t="str">
        <f>'DICTIONARY-3'!$A$179</f>
        <v>BAIO TYTON</v>
      </c>
      <c r="Q2664" s="732" t="str">
        <f>'DICTIONARY-3'!$A$227</f>
        <v>Uszczelki</v>
      </c>
      <c r="R2664" s="732" t="str">
        <f>CONCATENATE('DICTIONARY-3'!$A$179," ",'DICTIONARY-3'!$A$227," ",'DICTIONARY-2'!$A$2,"125"," ",'DICTIONARY-2'!$A$5,"144"," ",'DICTIONARY-2'!$A$10,"16",'DICTIONARY-2'!$A$20,", ",'DICTIONARY-5'!$A$44,", ",'DICTIONARY-6'!$A$76," ",'DICTIONARY-5'!$A$49)</f>
        <v>BAIO TYTON Uszczelki DN125 Da144 PS16bar, EPDM, ruroc. ŻEL.</v>
      </c>
      <c r="S2664" s="733"/>
      <c r="T2664" s="732"/>
      <c r="U2664" s="734" t="s">
        <v>5761</v>
      </c>
      <c r="V2664" s="735" t="s">
        <v>5569</v>
      </c>
      <c r="W2664" s="744" t="s">
        <v>7348</v>
      </c>
      <c r="X2664" s="737"/>
      <c r="Y2664" s="738"/>
      <c r="Z2664" s="739"/>
      <c r="AA2664" s="739"/>
      <c r="AB2664" s="740">
        <v>16</v>
      </c>
      <c r="AC2664" s="741" t="s">
        <v>5569</v>
      </c>
      <c r="AD2664" s="741" t="str">
        <f>'DICTIONARY-5'!$A$13</f>
        <v>woda pitna</v>
      </c>
      <c r="AE2664" s="742">
        <v>50</v>
      </c>
      <c r="AF2664" s="743">
        <v>0.16400000000000001</v>
      </c>
      <c r="AG2664" s="741" t="s">
        <v>5569</v>
      </c>
    </row>
    <row r="2665" spans="1:33" x14ac:dyDescent="0.25">
      <c r="A2665" s="869" t="s">
        <v>2562</v>
      </c>
      <c r="B2665" s="869" t="s">
        <v>2952</v>
      </c>
      <c r="C2665" s="836">
        <v>18</v>
      </c>
      <c r="D2665" s="836"/>
      <c r="E2665" s="836"/>
      <c r="F2665" s="836"/>
      <c r="G2665" s="496" t="s">
        <v>7851</v>
      </c>
      <c r="H2665" s="797" t="str">
        <f>VLOOKUP(G2665,SETTINGS!$B$7:$D$97,2,0)</f>
        <v>BAIO Fittings</v>
      </c>
      <c r="I2665" s="796">
        <f>VLOOKUP(G2665,SETTINGS!$B$7:$D$97,3,0)</f>
        <v>0</v>
      </c>
      <c r="J2665" s="670" t="str">
        <f>IFERROR(IF(CURRENCY.FORMAT_1=0,CONCATENATE(TEXT(FIXED(ROUND((C2665/EXC.RATE_1),CURRENCY.FORMAT_1),CURRENCY.FORMAT_1,1),"# ##0;-# ##0"),",-"),FIXED(ROUND((C2665/EXC.RATE_1),CURRENCY.FORMAT_1),CURRENCY.FORMAT_1,0)),'DICTIONARY-5'!$A$2)</f>
        <v>18,-</v>
      </c>
      <c r="K2665" s="670" t="str">
        <f>IF(EXC.RATE_2=0,"",IFERROR(IF(CURRENCY.FORMAT_2=0,CONCATENATE(TEXT(FIXED(ROUND(IF(EXC.RATE.SWITCH=1,C2665/EXC.RATE_2,C2665*EXC.RATE_2),CURRENCY.FORMAT_2),CURRENCY.FORMAT_2,1),"# ##0;-# ##0"),",-"),FIXED(ROUND(IF(EXC.RATE.SWITCH=1,C2665/EXC.RATE_2,C2665*EXC.RATE_2),CURRENCY.FORMAT_2),CURRENCY.FORMAT_2,0)),'DICTIONARY-5'!$A$2))</f>
        <v/>
      </c>
      <c r="L2665" s="670" t="str">
        <f>IFERROR(IF(CURRENCY.FORMAT_1=0,CONCATENATE(TEXT(FIXED(ROUND((C2665*(1-I2665)*(1-ADD.DISCOUNT)*(1+MAT.SURCHARGE)/EXC.RATE_1),CURRENCY.FORMAT_1),CURRENCY.FORMAT_1,1),"# ##0;-# ##0"),",-"),FIXED(ROUND((C2665*(1-I2665)*(1-ADD.DISCOUNT)*(1+MAT.SURCHARGE)/EXC.RATE_1),CURRENCY.FORMAT_1),CURRENCY.FORMAT_1,0)),'DICTIONARY-5'!$A$2)</f>
        <v>19,-</v>
      </c>
      <c r="M2665" s="670" t="str">
        <f>IF(EXC.RATE_2=0,"",IFERROR(IF(CURRENCY.FORMAT_2=0,CONCATENATE(TEXT(FIXED(ROUND(IF(EXC.RATE.SWITCH=1,C2665*(1-I2665)*(1-ADD.DISCOUNT)*(1+MAT.SURCHARGE)/EXC.RATE_2,C2665*(1-I2665)*(1-ADD.DISCOUNT)*(1+MAT.SURCHARGE)*EXC.RATE_2),CURRENCY.FORMAT_2),CURRENCY.FORMAT_2,1),"# ##0;-# ##0"),",-"),FIXED(ROUND(IF(EXC.RATE.SWITCH=1,C2665*(1-I2665)*(1-ADD.DISCOUNT)*(1+MAT.SURCHARGE)/EXC.RATE_2,C2665*(1-I2665)*(1-ADD.DISCOUNT)*(1+MAT.SURCHARGE)*EXC.RATE_2),CURRENCY.FORMAT_2),CURRENCY.FORMAT_2,0)),'DICTIONARY-5'!$A$2))</f>
        <v/>
      </c>
      <c r="N2665" s="535">
        <v>12</v>
      </c>
      <c r="O2665" s="535"/>
      <c r="P2665" s="732" t="str">
        <f>'DICTIONARY-3'!$A$179</f>
        <v>BAIO TYTON</v>
      </c>
      <c r="Q2665" s="732" t="str">
        <f>'DICTIONARY-3'!$A$227</f>
        <v>Uszczelki</v>
      </c>
      <c r="R2665" s="732" t="str">
        <f>CONCATENATE('DICTIONARY-3'!$A$179," ",'DICTIONARY-3'!$A$227," ",'DICTIONARY-2'!$A$2,"150"," ",'DICTIONARY-2'!$A$5,"170"," ",'DICTIONARY-2'!$A$10,"16",'DICTIONARY-2'!$A$20,", ",'DICTIONARY-5'!$A$44,", ",'DICTIONARY-6'!$A$76," ",'DICTIONARY-5'!$A$49)</f>
        <v>BAIO TYTON Uszczelki DN150 Da170 PS16bar, EPDM, ruroc. ŻEL.</v>
      </c>
      <c r="S2665" s="733"/>
      <c r="T2665" s="732"/>
      <c r="U2665" s="734" t="s">
        <v>5572</v>
      </c>
      <c r="V2665" s="735" t="s">
        <v>5569</v>
      </c>
      <c r="W2665" s="744" t="s">
        <v>7349</v>
      </c>
      <c r="X2665" s="737"/>
      <c r="Y2665" s="738"/>
      <c r="Z2665" s="739"/>
      <c r="AA2665" s="739"/>
      <c r="AB2665" s="740">
        <v>16</v>
      </c>
      <c r="AC2665" s="741" t="s">
        <v>5569</v>
      </c>
      <c r="AD2665" s="741" t="str">
        <f>'DICTIONARY-5'!$A$13</f>
        <v>woda pitna</v>
      </c>
      <c r="AE2665" s="742">
        <v>50</v>
      </c>
      <c r="AF2665" s="743">
        <v>0.2</v>
      </c>
      <c r="AG2665" s="741" t="s">
        <v>5569</v>
      </c>
    </row>
    <row r="2666" spans="1:33" x14ac:dyDescent="0.25">
      <c r="A2666" s="869" t="s">
        <v>2563</v>
      </c>
      <c r="B2666" s="869" t="s">
        <v>2953</v>
      </c>
      <c r="C2666" s="836">
        <v>22</v>
      </c>
      <c r="D2666" s="836"/>
      <c r="E2666" s="836"/>
      <c r="F2666" s="836"/>
      <c r="G2666" s="496" t="s">
        <v>7851</v>
      </c>
      <c r="H2666" s="797" t="str">
        <f>VLOOKUP(G2666,SETTINGS!$B$7:$D$97,2,0)</f>
        <v>BAIO Fittings</v>
      </c>
      <c r="I2666" s="796">
        <f>VLOOKUP(G2666,SETTINGS!$B$7:$D$97,3,0)</f>
        <v>0</v>
      </c>
      <c r="J2666" s="670" t="str">
        <f>IFERROR(IF(CURRENCY.FORMAT_1=0,CONCATENATE(TEXT(FIXED(ROUND((C2666/EXC.RATE_1),CURRENCY.FORMAT_1),CURRENCY.FORMAT_1,1),"# ##0;-# ##0"),",-"),FIXED(ROUND((C2666/EXC.RATE_1),CURRENCY.FORMAT_1),CURRENCY.FORMAT_1,0)),'DICTIONARY-5'!$A$2)</f>
        <v>22,-</v>
      </c>
      <c r="K2666" s="670" t="str">
        <f>IF(EXC.RATE_2=0,"",IFERROR(IF(CURRENCY.FORMAT_2=0,CONCATENATE(TEXT(FIXED(ROUND(IF(EXC.RATE.SWITCH=1,C2666/EXC.RATE_2,C2666*EXC.RATE_2),CURRENCY.FORMAT_2),CURRENCY.FORMAT_2,1),"# ##0;-# ##0"),",-"),FIXED(ROUND(IF(EXC.RATE.SWITCH=1,C2666/EXC.RATE_2,C2666*EXC.RATE_2),CURRENCY.FORMAT_2),CURRENCY.FORMAT_2,0)),'DICTIONARY-5'!$A$2))</f>
        <v/>
      </c>
      <c r="L2666" s="670" t="str">
        <f>IFERROR(IF(CURRENCY.FORMAT_1=0,CONCATENATE(TEXT(FIXED(ROUND((C2666*(1-I2666)*(1-ADD.DISCOUNT)*(1+MAT.SURCHARGE)/EXC.RATE_1),CURRENCY.FORMAT_1),CURRENCY.FORMAT_1,1),"# ##0;-# ##0"),",-"),FIXED(ROUND((C2666*(1-I2666)*(1-ADD.DISCOUNT)*(1+MAT.SURCHARGE)/EXC.RATE_1),CURRENCY.FORMAT_1),CURRENCY.FORMAT_1,0)),'DICTIONARY-5'!$A$2)</f>
        <v>23,-</v>
      </c>
      <c r="M2666" s="670" t="str">
        <f>IF(EXC.RATE_2=0,"",IFERROR(IF(CURRENCY.FORMAT_2=0,CONCATENATE(TEXT(FIXED(ROUND(IF(EXC.RATE.SWITCH=1,C2666*(1-I2666)*(1-ADD.DISCOUNT)*(1+MAT.SURCHARGE)/EXC.RATE_2,C2666*(1-I2666)*(1-ADD.DISCOUNT)*(1+MAT.SURCHARGE)*EXC.RATE_2),CURRENCY.FORMAT_2),CURRENCY.FORMAT_2,1),"# ##0;-# ##0"),",-"),FIXED(ROUND(IF(EXC.RATE.SWITCH=1,C2666*(1-I2666)*(1-ADD.DISCOUNT)*(1+MAT.SURCHARGE)/EXC.RATE_2,C2666*(1-I2666)*(1-ADD.DISCOUNT)*(1+MAT.SURCHARGE)*EXC.RATE_2),CURRENCY.FORMAT_2),CURRENCY.FORMAT_2,0)),'DICTIONARY-5'!$A$2))</f>
        <v/>
      </c>
      <c r="N2666" s="535">
        <v>12</v>
      </c>
      <c r="O2666" s="535"/>
      <c r="P2666" s="732" t="str">
        <f>'DICTIONARY-3'!$A$179</f>
        <v>BAIO TYTON</v>
      </c>
      <c r="Q2666" s="732" t="str">
        <f>'DICTIONARY-3'!$A$227</f>
        <v>Uszczelki</v>
      </c>
      <c r="R2666" s="732" t="str">
        <f>CONCATENATE('DICTIONARY-3'!$A$179," ",'DICTIONARY-3'!$A$227," ",'DICTIONARY-2'!$A$2,"200"," ",'DICTIONARY-2'!$A$5,"222"," ",'DICTIONARY-2'!$A$10,"16",'DICTIONARY-2'!$A$20,", ",'DICTIONARY-5'!$A$44,", ",'DICTIONARY-6'!$A$76," ",'DICTIONARY-5'!$A$49)</f>
        <v>BAIO TYTON Uszczelki DN200 Da222 PS16bar, EPDM, ruroc. ŻEL.</v>
      </c>
      <c r="S2666" s="733"/>
      <c r="T2666" s="732"/>
      <c r="U2666" s="734" t="s">
        <v>5750</v>
      </c>
      <c r="V2666" s="735" t="s">
        <v>5569</v>
      </c>
      <c r="W2666" s="744" t="s">
        <v>7350</v>
      </c>
      <c r="X2666" s="737"/>
      <c r="Y2666" s="738"/>
      <c r="Z2666" s="739"/>
      <c r="AA2666" s="739"/>
      <c r="AB2666" s="740">
        <v>16</v>
      </c>
      <c r="AC2666" s="741" t="s">
        <v>5569</v>
      </c>
      <c r="AD2666" s="741" t="str">
        <f>'DICTIONARY-5'!$A$13</f>
        <v>woda pitna</v>
      </c>
      <c r="AE2666" s="742">
        <v>50</v>
      </c>
      <c r="AF2666" s="743">
        <v>0.26200000000000001</v>
      </c>
      <c r="AG2666" s="741" t="s">
        <v>5569</v>
      </c>
    </row>
    <row r="2667" spans="1:33" x14ac:dyDescent="0.25">
      <c r="A2667" s="869" t="s">
        <v>2538</v>
      </c>
      <c r="B2667" s="869" t="s">
        <v>2879</v>
      </c>
      <c r="C2667" s="836">
        <v>69</v>
      </c>
      <c r="D2667" s="836"/>
      <c r="E2667" s="836"/>
      <c r="F2667" s="836"/>
      <c r="G2667" s="496" t="s">
        <v>7851</v>
      </c>
      <c r="H2667" s="797" t="str">
        <f>VLOOKUP(G2667,SETTINGS!$B$7:$D$97,2,0)</f>
        <v>BAIO Fittings</v>
      </c>
      <c r="I2667" s="796">
        <f>VLOOKUP(G2667,SETTINGS!$B$7:$D$97,3,0)</f>
        <v>0</v>
      </c>
      <c r="J2667" s="670" t="str">
        <f>IFERROR(IF(CURRENCY.FORMAT_1=0,CONCATENATE(TEXT(FIXED(ROUND((C2667/EXC.RATE_1),CURRENCY.FORMAT_1),CURRENCY.FORMAT_1,1),"# ##0;-# ##0"),",-"),FIXED(ROUND((C2667/EXC.RATE_1),CURRENCY.FORMAT_1),CURRENCY.FORMAT_1,0)),'DICTIONARY-5'!$A$2)</f>
        <v>69,-</v>
      </c>
      <c r="K2667" s="670" t="str">
        <f>IF(EXC.RATE_2=0,"",IFERROR(IF(CURRENCY.FORMAT_2=0,CONCATENATE(TEXT(FIXED(ROUND(IF(EXC.RATE.SWITCH=1,C2667/EXC.RATE_2,C2667*EXC.RATE_2),CURRENCY.FORMAT_2),CURRENCY.FORMAT_2,1),"# ##0;-# ##0"),",-"),FIXED(ROUND(IF(EXC.RATE.SWITCH=1,C2667/EXC.RATE_2,C2667*EXC.RATE_2),CURRENCY.FORMAT_2),CURRENCY.FORMAT_2,0)),'DICTIONARY-5'!$A$2))</f>
        <v/>
      </c>
      <c r="L2667" s="670" t="str">
        <f>IFERROR(IF(CURRENCY.FORMAT_1=0,CONCATENATE(TEXT(FIXED(ROUND((C2667*(1-I2667)*(1-ADD.DISCOUNT)*(1+MAT.SURCHARGE)/EXC.RATE_1),CURRENCY.FORMAT_1),CURRENCY.FORMAT_1,1),"# ##0;-# ##0"),",-"),FIXED(ROUND((C2667*(1-I2667)*(1-ADD.DISCOUNT)*(1+MAT.SURCHARGE)/EXC.RATE_1),CURRENCY.FORMAT_1),CURRENCY.FORMAT_1,0)),'DICTIONARY-5'!$A$2)</f>
        <v>72,-</v>
      </c>
      <c r="M2667" s="670" t="str">
        <f>IF(EXC.RATE_2=0,"",IFERROR(IF(CURRENCY.FORMAT_2=0,CONCATENATE(TEXT(FIXED(ROUND(IF(EXC.RATE.SWITCH=1,C2667*(1-I2667)*(1-ADD.DISCOUNT)*(1+MAT.SURCHARGE)/EXC.RATE_2,C2667*(1-I2667)*(1-ADD.DISCOUNT)*(1+MAT.SURCHARGE)*EXC.RATE_2),CURRENCY.FORMAT_2),CURRENCY.FORMAT_2,1),"# ##0;-# ##0"),",-"),FIXED(ROUND(IF(EXC.RATE.SWITCH=1,C2667*(1-I2667)*(1-ADD.DISCOUNT)*(1+MAT.SURCHARGE)/EXC.RATE_2,C2667*(1-I2667)*(1-ADD.DISCOUNT)*(1+MAT.SURCHARGE)*EXC.RATE_2),CURRENCY.FORMAT_2),CURRENCY.FORMAT_2,0)),'DICTIONARY-5'!$A$2))</f>
        <v/>
      </c>
      <c r="N2667" s="535">
        <v>12</v>
      </c>
      <c r="O2667" s="535"/>
      <c r="P2667" s="732" t="str">
        <f>'DICTIONARY-3'!$A$180</f>
        <v>BAIOstop</v>
      </c>
      <c r="Q2667" s="732" t="str">
        <f>'DICTIONARY-3'!$A$224</f>
        <v>Zabezpieczenie przed wyrwaniem</v>
      </c>
      <c r="R2667" s="732" t="str">
        <f>CONCATENATE('DICTIONARY-3'!$A$180," ",'DICTIONARY-3'!$A$224," ",'DICTIONARY-2'!$A$2,"80"," ",'DICTIONARY-2'!$A$5,"98"," ",'DICTIONARY-2'!$A$10,"16",'DICTIONARY-2'!$A$20,", ",'DICTIONARY-6'!$A$76," ",'DICTIONARY-5'!$A$49)</f>
        <v>BAIOstop Zabezpieczenie przed wyrwaniem DN80 Da98 PS16bar, ruroc. ŻEL.</v>
      </c>
      <c r="S2667" s="733"/>
      <c r="T2667" s="732"/>
      <c r="U2667" s="734" t="s">
        <v>5760</v>
      </c>
      <c r="V2667" s="735"/>
      <c r="W2667" s="744" t="s">
        <v>7346</v>
      </c>
      <c r="X2667" s="737"/>
      <c r="Y2667" s="738"/>
      <c r="Z2667" s="739"/>
      <c r="AA2667" s="739"/>
      <c r="AB2667" s="740">
        <v>16</v>
      </c>
      <c r="AC2667" s="741"/>
      <c r="AD2667" s="741" t="str">
        <f>'DICTIONARY-5'!$A$13</f>
        <v>woda pitna</v>
      </c>
      <c r="AE2667" s="742">
        <v>50</v>
      </c>
      <c r="AF2667" s="743">
        <v>2.75</v>
      </c>
      <c r="AG2667" s="741" t="str">
        <f>'DICTIONARY-5'!$A$23</f>
        <v>powłoka epoksydowa</v>
      </c>
    </row>
    <row r="2668" spans="1:33" x14ac:dyDescent="0.25">
      <c r="A2668" s="869" t="s">
        <v>2539</v>
      </c>
      <c r="B2668" s="869" t="s">
        <v>3569</v>
      </c>
      <c r="C2668" s="836">
        <v>115</v>
      </c>
      <c r="D2668" s="836"/>
      <c r="E2668" s="836"/>
      <c r="F2668" s="836"/>
      <c r="G2668" s="496" t="s">
        <v>7851</v>
      </c>
      <c r="H2668" s="797" t="str">
        <f>VLOOKUP(G2668,SETTINGS!$B$7:$D$97,2,0)</f>
        <v>BAIO Fittings</v>
      </c>
      <c r="I2668" s="796">
        <f>VLOOKUP(G2668,SETTINGS!$B$7:$D$97,3,0)</f>
        <v>0</v>
      </c>
      <c r="J2668" s="670" t="str">
        <f>IFERROR(IF(CURRENCY.FORMAT_1=0,CONCATENATE(TEXT(FIXED(ROUND((C2668/EXC.RATE_1),CURRENCY.FORMAT_1),CURRENCY.FORMAT_1,1),"# ##0;-# ##0"),",-"),FIXED(ROUND((C2668/EXC.RATE_1),CURRENCY.FORMAT_1),CURRENCY.FORMAT_1,0)),'DICTIONARY-5'!$A$2)</f>
        <v>115,-</v>
      </c>
      <c r="K2668" s="670" t="str">
        <f>IF(EXC.RATE_2=0,"",IFERROR(IF(CURRENCY.FORMAT_2=0,CONCATENATE(TEXT(FIXED(ROUND(IF(EXC.RATE.SWITCH=1,C2668/EXC.RATE_2,C2668*EXC.RATE_2),CURRENCY.FORMAT_2),CURRENCY.FORMAT_2,1),"# ##0;-# ##0"),",-"),FIXED(ROUND(IF(EXC.RATE.SWITCH=1,C2668/EXC.RATE_2,C2668*EXC.RATE_2),CURRENCY.FORMAT_2),CURRENCY.FORMAT_2,0)),'DICTIONARY-5'!$A$2))</f>
        <v/>
      </c>
      <c r="L2668" s="670" t="str">
        <f>IFERROR(IF(CURRENCY.FORMAT_1=0,CONCATENATE(TEXT(FIXED(ROUND((C2668*(1-I2668)*(1-ADD.DISCOUNT)*(1+MAT.SURCHARGE)/EXC.RATE_1),CURRENCY.FORMAT_1),CURRENCY.FORMAT_1,1),"# ##0;-# ##0"),",-"),FIXED(ROUND((C2668*(1-I2668)*(1-ADD.DISCOUNT)*(1+MAT.SURCHARGE)/EXC.RATE_1),CURRENCY.FORMAT_1),CURRENCY.FORMAT_1,0)),'DICTIONARY-5'!$A$2)</f>
        <v>119,-</v>
      </c>
      <c r="M2668" s="670" t="str">
        <f>IF(EXC.RATE_2=0,"",IFERROR(IF(CURRENCY.FORMAT_2=0,CONCATENATE(TEXT(FIXED(ROUND(IF(EXC.RATE.SWITCH=1,C2668*(1-I2668)*(1-ADD.DISCOUNT)*(1+MAT.SURCHARGE)/EXC.RATE_2,C2668*(1-I2668)*(1-ADD.DISCOUNT)*(1+MAT.SURCHARGE)*EXC.RATE_2),CURRENCY.FORMAT_2),CURRENCY.FORMAT_2,1),"# ##0;-# ##0"),",-"),FIXED(ROUND(IF(EXC.RATE.SWITCH=1,C2668*(1-I2668)*(1-ADD.DISCOUNT)*(1+MAT.SURCHARGE)/EXC.RATE_2,C2668*(1-I2668)*(1-ADD.DISCOUNT)*(1+MAT.SURCHARGE)*EXC.RATE_2),CURRENCY.FORMAT_2),CURRENCY.FORMAT_2,0)),'DICTIONARY-5'!$A$2))</f>
        <v/>
      </c>
      <c r="N2668" s="535">
        <v>12</v>
      </c>
      <c r="O2668" s="535"/>
      <c r="P2668" s="732" t="str">
        <f>'DICTIONARY-3'!$A$180</f>
        <v>BAIOstop</v>
      </c>
      <c r="Q2668" s="732" t="str">
        <f>'DICTIONARY-3'!$A$224</f>
        <v>Zabezpieczenie przed wyrwaniem</v>
      </c>
      <c r="R2668" s="732" t="str">
        <f>CONCATENATE('DICTIONARY-3'!$A$180," ",'DICTIONARY-3'!$A$224," ",'DICTIONARY-2'!$A$2,"100"," ",'DICTIONARY-2'!$A$5,"118"," ",'DICTIONARY-2'!$A$10,"16",'DICTIONARY-2'!$A$20,", ",'DICTIONARY-6'!$A$76," ",'DICTIONARY-5'!$A$49)</f>
        <v>BAIOstop Zabezpieczenie przed wyrwaniem DN100 Da118 PS16bar, ruroc. ŻEL.</v>
      </c>
      <c r="S2668" s="733" t="s">
        <v>5569</v>
      </c>
      <c r="T2668" s="732" t="s">
        <v>5569</v>
      </c>
      <c r="U2668" s="734" t="s">
        <v>5749</v>
      </c>
      <c r="V2668" s="735"/>
      <c r="W2668" s="744" t="s">
        <v>7347</v>
      </c>
      <c r="X2668" s="737"/>
      <c r="Y2668" s="738"/>
      <c r="Z2668" s="739"/>
      <c r="AA2668" s="739"/>
      <c r="AB2668" s="740">
        <v>16</v>
      </c>
      <c r="AC2668" s="741"/>
      <c r="AD2668" s="741" t="str">
        <f>'DICTIONARY-5'!$A$13</f>
        <v>woda pitna</v>
      </c>
      <c r="AE2668" s="742">
        <v>50</v>
      </c>
      <c r="AF2668" s="743">
        <v>4</v>
      </c>
      <c r="AG2668" s="741" t="str">
        <f>'DICTIONARY-5'!$A$23</f>
        <v>powłoka epoksydowa</v>
      </c>
    </row>
    <row r="2669" spans="1:33" x14ac:dyDescent="0.25">
      <c r="A2669" s="869" t="s">
        <v>2540</v>
      </c>
      <c r="B2669" s="869" t="s">
        <v>2880</v>
      </c>
      <c r="C2669" s="836">
        <v>102</v>
      </c>
      <c r="D2669" s="836"/>
      <c r="E2669" s="836"/>
      <c r="F2669" s="836"/>
      <c r="G2669" s="496" t="s">
        <v>7851</v>
      </c>
      <c r="H2669" s="797" t="str">
        <f>VLOOKUP(G2669,SETTINGS!$B$7:$D$97,2,0)</f>
        <v>BAIO Fittings</v>
      </c>
      <c r="I2669" s="796">
        <f>VLOOKUP(G2669,SETTINGS!$B$7:$D$97,3,0)</f>
        <v>0</v>
      </c>
      <c r="J2669" s="670" t="str">
        <f>IFERROR(IF(CURRENCY.FORMAT_1=0,CONCATENATE(TEXT(FIXED(ROUND((C2669/EXC.RATE_1),CURRENCY.FORMAT_1),CURRENCY.FORMAT_1,1),"# ##0;-# ##0"),",-"),FIXED(ROUND((C2669/EXC.RATE_1),CURRENCY.FORMAT_1),CURRENCY.FORMAT_1,0)),'DICTIONARY-5'!$A$2)</f>
        <v>102,-</v>
      </c>
      <c r="K2669" s="670" t="str">
        <f>IF(EXC.RATE_2=0,"",IFERROR(IF(CURRENCY.FORMAT_2=0,CONCATENATE(TEXT(FIXED(ROUND(IF(EXC.RATE.SWITCH=1,C2669/EXC.RATE_2,C2669*EXC.RATE_2),CURRENCY.FORMAT_2),CURRENCY.FORMAT_2,1),"# ##0;-# ##0"),",-"),FIXED(ROUND(IF(EXC.RATE.SWITCH=1,C2669/EXC.RATE_2,C2669*EXC.RATE_2),CURRENCY.FORMAT_2),CURRENCY.FORMAT_2,0)),'DICTIONARY-5'!$A$2))</f>
        <v/>
      </c>
      <c r="L2669" s="670" t="str">
        <f>IFERROR(IF(CURRENCY.FORMAT_1=0,CONCATENATE(TEXT(FIXED(ROUND((C2669*(1-I2669)*(1-ADD.DISCOUNT)*(1+MAT.SURCHARGE)/EXC.RATE_1),CURRENCY.FORMAT_1),CURRENCY.FORMAT_1,1),"# ##0;-# ##0"),",-"),FIXED(ROUND((C2669*(1-I2669)*(1-ADD.DISCOUNT)*(1+MAT.SURCHARGE)/EXC.RATE_1),CURRENCY.FORMAT_1),CURRENCY.FORMAT_1,0)),'DICTIONARY-5'!$A$2)</f>
        <v>106,-</v>
      </c>
      <c r="M2669" s="670" t="str">
        <f>IF(EXC.RATE_2=0,"",IFERROR(IF(CURRENCY.FORMAT_2=0,CONCATENATE(TEXT(FIXED(ROUND(IF(EXC.RATE.SWITCH=1,C2669*(1-I2669)*(1-ADD.DISCOUNT)*(1+MAT.SURCHARGE)/EXC.RATE_2,C2669*(1-I2669)*(1-ADD.DISCOUNT)*(1+MAT.SURCHARGE)*EXC.RATE_2),CURRENCY.FORMAT_2),CURRENCY.FORMAT_2,1),"# ##0;-# ##0"),",-"),FIXED(ROUND(IF(EXC.RATE.SWITCH=1,C2669*(1-I2669)*(1-ADD.DISCOUNT)*(1+MAT.SURCHARGE)/EXC.RATE_2,C2669*(1-I2669)*(1-ADD.DISCOUNT)*(1+MAT.SURCHARGE)*EXC.RATE_2),CURRENCY.FORMAT_2),CURRENCY.FORMAT_2,0)),'DICTIONARY-5'!$A$2))</f>
        <v/>
      </c>
      <c r="N2669" s="535">
        <v>12</v>
      </c>
      <c r="O2669" s="535"/>
      <c r="P2669" s="732" t="str">
        <f>'DICTIONARY-3'!$A$180</f>
        <v>BAIOstop</v>
      </c>
      <c r="Q2669" s="732" t="str">
        <f>'DICTIONARY-3'!$A$224</f>
        <v>Zabezpieczenie przed wyrwaniem</v>
      </c>
      <c r="R2669" s="732" t="str">
        <f>CONCATENATE('DICTIONARY-3'!$A$180," ",'DICTIONARY-3'!$A$224," ",'DICTIONARY-2'!$A$2,"125"," ",'DICTIONARY-2'!$A$5,"144"," ",'DICTIONARY-2'!$A$10,"16",'DICTIONARY-2'!$A$20,", ",'DICTIONARY-6'!$A$76," ",'DICTIONARY-5'!$A$49)</f>
        <v>BAIOstop Zabezpieczenie przed wyrwaniem DN125 Da144 PS16bar, ruroc. ŻEL.</v>
      </c>
      <c r="S2669" s="733" t="s">
        <v>5569</v>
      </c>
      <c r="T2669" s="732" t="s">
        <v>5569</v>
      </c>
      <c r="U2669" s="734" t="s">
        <v>5761</v>
      </c>
      <c r="V2669" s="735"/>
      <c r="W2669" s="744" t="s">
        <v>7348</v>
      </c>
      <c r="X2669" s="737"/>
      <c r="Y2669" s="738"/>
      <c r="Z2669" s="739"/>
      <c r="AA2669" s="739"/>
      <c r="AB2669" s="740">
        <v>16</v>
      </c>
      <c r="AC2669" s="741"/>
      <c r="AD2669" s="741" t="str">
        <f>'DICTIONARY-5'!$A$13</f>
        <v>woda pitna</v>
      </c>
      <c r="AE2669" s="742">
        <v>50</v>
      </c>
      <c r="AF2669" s="743">
        <v>5</v>
      </c>
      <c r="AG2669" s="741" t="str">
        <f>'DICTIONARY-5'!$A$23</f>
        <v>powłoka epoksydowa</v>
      </c>
    </row>
    <row r="2670" spans="1:33" x14ac:dyDescent="0.25">
      <c r="A2670" s="869" t="s">
        <v>2541</v>
      </c>
      <c r="B2670" s="869" t="s">
        <v>2881</v>
      </c>
      <c r="C2670" s="836">
        <v>105</v>
      </c>
      <c r="D2670" s="836"/>
      <c r="E2670" s="836"/>
      <c r="F2670" s="836"/>
      <c r="G2670" s="496" t="s">
        <v>7851</v>
      </c>
      <c r="H2670" s="797" t="str">
        <f>VLOOKUP(G2670,SETTINGS!$B$7:$D$97,2,0)</f>
        <v>BAIO Fittings</v>
      </c>
      <c r="I2670" s="796">
        <f>VLOOKUP(G2670,SETTINGS!$B$7:$D$97,3,0)</f>
        <v>0</v>
      </c>
      <c r="J2670" s="670" t="str">
        <f>IFERROR(IF(CURRENCY.FORMAT_1=0,CONCATENATE(TEXT(FIXED(ROUND((C2670/EXC.RATE_1),CURRENCY.FORMAT_1),CURRENCY.FORMAT_1,1),"# ##0;-# ##0"),",-"),FIXED(ROUND((C2670/EXC.RATE_1),CURRENCY.FORMAT_1),CURRENCY.FORMAT_1,0)),'DICTIONARY-5'!$A$2)</f>
        <v>105,-</v>
      </c>
      <c r="K2670" s="670" t="str">
        <f>IF(EXC.RATE_2=0,"",IFERROR(IF(CURRENCY.FORMAT_2=0,CONCATENATE(TEXT(FIXED(ROUND(IF(EXC.RATE.SWITCH=1,C2670/EXC.RATE_2,C2670*EXC.RATE_2),CURRENCY.FORMAT_2),CURRENCY.FORMAT_2,1),"# ##0;-# ##0"),",-"),FIXED(ROUND(IF(EXC.RATE.SWITCH=1,C2670/EXC.RATE_2,C2670*EXC.RATE_2),CURRENCY.FORMAT_2),CURRENCY.FORMAT_2,0)),'DICTIONARY-5'!$A$2))</f>
        <v/>
      </c>
      <c r="L2670" s="670" t="str">
        <f>IFERROR(IF(CURRENCY.FORMAT_1=0,CONCATENATE(TEXT(FIXED(ROUND((C2670*(1-I2670)*(1-ADD.DISCOUNT)*(1+MAT.SURCHARGE)/EXC.RATE_1),CURRENCY.FORMAT_1),CURRENCY.FORMAT_1,1),"# ##0;-# ##0"),",-"),FIXED(ROUND((C2670*(1-I2670)*(1-ADD.DISCOUNT)*(1+MAT.SURCHARGE)/EXC.RATE_1),CURRENCY.FORMAT_1),CURRENCY.FORMAT_1,0)),'DICTIONARY-5'!$A$2)</f>
        <v>109,-</v>
      </c>
      <c r="M2670" s="670" t="str">
        <f>IF(EXC.RATE_2=0,"",IFERROR(IF(CURRENCY.FORMAT_2=0,CONCATENATE(TEXT(FIXED(ROUND(IF(EXC.RATE.SWITCH=1,C2670*(1-I2670)*(1-ADD.DISCOUNT)*(1+MAT.SURCHARGE)/EXC.RATE_2,C2670*(1-I2670)*(1-ADD.DISCOUNT)*(1+MAT.SURCHARGE)*EXC.RATE_2),CURRENCY.FORMAT_2),CURRENCY.FORMAT_2,1),"# ##0;-# ##0"),",-"),FIXED(ROUND(IF(EXC.RATE.SWITCH=1,C2670*(1-I2670)*(1-ADD.DISCOUNT)*(1+MAT.SURCHARGE)/EXC.RATE_2,C2670*(1-I2670)*(1-ADD.DISCOUNT)*(1+MAT.SURCHARGE)*EXC.RATE_2),CURRENCY.FORMAT_2),CURRENCY.FORMAT_2,0)),'DICTIONARY-5'!$A$2))</f>
        <v/>
      </c>
      <c r="N2670" s="535">
        <v>12</v>
      </c>
      <c r="O2670" s="535"/>
      <c r="P2670" s="732" t="str">
        <f>'DICTIONARY-3'!$A$180</f>
        <v>BAIOstop</v>
      </c>
      <c r="Q2670" s="732" t="str">
        <f>'DICTIONARY-3'!$A$224</f>
        <v>Zabezpieczenie przed wyrwaniem</v>
      </c>
      <c r="R2670" s="732" t="str">
        <f>CONCATENATE('DICTIONARY-3'!$A$180," ",'DICTIONARY-3'!$A$224," ",'DICTIONARY-2'!$A$2,"150"," ",'DICTIONARY-2'!$A$5,"170"," ",'DICTIONARY-2'!$A$10,"16",'DICTIONARY-2'!$A$20,", ",'DICTIONARY-6'!$A$76," ",'DICTIONARY-5'!$A$49)</f>
        <v>BAIOstop Zabezpieczenie przed wyrwaniem DN150 Da170 PS16bar, ruroc. ŻEL.</v>
      </c>
      <c r="S2670" s="733" t="s">
        <v>5569</v>
      </c>
      <c r="T2670" s="732" t="s">
        <v>5569</v>
      </c>
      <c r="U2670" s="734" t="s">
        <v>5572</v>
      </c>
      <c r="V2670" s="735"/>
      <c r="W2670" s="744" t="s">
        <v>7349</v>
      </c>
      <c r="X2670" s="737"/>
      <c r="Y2670" s="738"/>
      <c r="Z2670" s="739"/>
      <c r="AA2670" s="739"/>
      <c r="AB2670" s="740">
        <v>16</v>
      </c>
      <c r="AC2670" s="741"/>
      <c r="AD2670" s="741" t="str">
        <f>'DICTIONARY-5'!$A$13</f>
        <v>woda pitna</v>
      </c>
      <c r="AE2670" s="742">
        <v>50</v>
      </c>
      <c r="AF2670" s="743">
        <v>5.25</v>
      </c>
      <c r="AG2670" s="741" t="str">
        <f>'DICTIONARY-5'!$A$23</f>
        <v>powłoka epoksydowa</v>
      </c>
    </row>
    <row r="2671" spans="1:33" x14ac:dyDescent="0.25">
      <c r="A2671" s="869" t="s">
        <v>2542</v>
      </c>
      <c r="B2671" s="869" t="str">
        <f>'DICTIONARY-5'!$A$2</f>
        <v>na zapytanie</v>
      </c>
      <c r="C2671" s="836" t="s">
        <v>5967</v>
      </c>
      <c r="D2671" s="836"/>
      <c r="E2671" s="836"/>
      <c r="F2671" s="836"/>
      <c r="G2671" s="496" t="s">
        <v>7851</v>
      </c>
      <c r="H2671" s="797" t="str">
        <f>VLOOKUP(G2671,SETTINGS!$B$7:$D$97,2,0)</f>
        <v>BAIO Fittings</v>
      </c>
      <c r="I2671" s="796">
        <f>VLOOKUP(G2671,SETTINGS!$B$7:$D$97,3,0)</f>
        <v>0</v>
      </c>
      <c r="J2671" s="670" t="str">
        <f>IFERROR(IF(CURRENCY.FORMAT_1=0,CONCATENATE(TEXT(FIXED(ROUND((C2671/EXC.RATE_1),CURRENCY.FORMAT_1),CURRENCY.FORMAT_1,1),"# ##0;-# ##0"),",-"),FIXED(ROUND((C2671/EXC.RATE_1),CURRENCY.FORMAT_1),CURRENCY.FORMAT_1,0)),'DICTIONARY-5'!$A$2)</f>
        <v>na zapytanie</v>
      </c>
      <c r="K2671" s="670" t="str">
        <f>IF(EXC.RATE_2=0,"",IFERROR(IF(CURRENCY.FORMAT_2=0,CONCATENATE(TEXT(FIXED(ROUND(IF(EXC.RATE.SWITCH=1,C2671/EXC.RATE_2,C2671*EXC.RATE_2),CURRENCY.FORMAT_2),CURRENCY.FORMAT_2,1),"# ##0;-# ##0"),",-"),FIXED(ROUND(IF(EXC.RATE.SWITCH=1,C2671/EXC.RATE_2,C2671*EXC.RATE_2),CURRENCY.FORMAT_2),CURRENCY.FORMAT_2,0)),'DICTIONARY-5'!$A$2))</f>
        <v/>
      </c>
      <c r="L2671" s="670" t="str">
        <f>IFERROR(IF(CURRENCY.FORMAT_1=0,CONCATENATE(TEXT(FIXED(ROUND((C2671*(1-I2671)*(1-ADD.DISCOUNT)*(1+MAT.SURCHARGE)/EXC.RATE_1),CURRENCY.FORMAT_1),CURRENCY.FORMAT_1,1),"# ##0;-# ##0"),",-"),FIXED(ROUND((C2671*(1-I2671)*(1-ADD.DISCOUNT)*(1+MAT.SURCHARGE)/EXC.RATE_1),CURRENCY.FORMAT_1),CURRENCY.FORMAT_1,0)),'DICTIONARY-5'!$A$2)</f>
        <v>na zapytanie</v>
      </c>
      <c r="M2671" s="670" t="str">
        <f>IF(EXC.RATE_2=0,"",IFERROR(IF(CURRENCY.FORMAT_2=0,CONCATENATE(TEXT(FIXED(ROUND(IF(EXC.RATE.SWITCH=1,C2671*(1-I2671)*(1-ADD.DISCOUNT)*(1+MAT.SURCHARGE)/EXC.RATE_2,C2671*(1-I2671)*(1-ADD.DISCOUNT)*(1+MAT.SURCHARGE)*EXC.RATE_2),CURRENCY.FORMAT_2),CURRENCY.FORMAT_2,1),"# ##0;-# ##0"),",-"),FIXED(ROUND(IF(EXC.RATE.SWITCH=1,C2671*(1-I2671)*(1-ADD.DISCOUNT)*(1+MAT.SURCHARGE)/EXC.RATE_2,C2671*(1-I2671)*(1-ADD.DISCOUNT)*(1+MAT.SURCHARGE)*EXC.RATE_2),CURRENCY.FORMAT_2),CURRENCY.FORMAT_2,0)),'DICTIONARY-5'!$A$2))</f>
        <v/>
      </c>
      <c r="N2671" s="535">
        <v>12</v>
      </c>
      <c r="O2671" s="535"/>
      <c r="P2671" s="732" t="str">
        <f>'DICTIONARY-3'!$A$180</f>
        <v>BAIOstop</v>
      </c>
      <c r="Q2671" s="732" t="str">
        <f>'DICTIONARY-3'!$A$224</f>
        <v>Zabezpieczenie przed wyrwaniem</v>
      </c>
      <c r="R2671" s="732" t="str">
        <f>CONCATENATE('DICTIONARY-3'!$A$180," ",'DICTIONARY-3'!$A$224," ",'DICTIONARY-2'!$A$2,"200"," ",'DICTIONARY-2'!$A$5,"222"," ",'DICTIONARY-2'!$A$10,"16",'DICTIONARY-2'!$A$20,", ",'DICTIONARY-6'!$A$76," ",'DICTIONARY-5'!$A$49)</f>
        <v>BAIOstop Zabezpieczenie przed wyrwaniem DN200 Da222 PS16bar, ruroc. ŻEL.</v>
      </c>
      <c r="S2671" s="733" t="s">
        <v>5569</v>
      </c>
      <c r="T2671" s="732" t="s">
        <v>5569</v>
      </c>
      <c r="U2671" s="734" t="s">
        <v>5750</v>
      </c>
      <c r="V2671" s="735"/>
      <c r="W2671" s="744" t="s">
        <v>7350</v>
      </c>
      <c r="X2671" s="737"/>
      <c r="Y2671" s="738"/>
      <c r="Z2671" s="739"/>
      <c r="AA2671" s="739"/>
      <c r="AB2671" s="740">
        <v>16</v>
      </c>
      <c r="AC2671" s="741"/>
      <c r="AD2671" s="741" t="str">
        <f>'DICTIONARY-5'!$A$13</f>
        <v>woda pitna</v>
      </c>
      <c r="AE2671" s="742">
        <v>50</v>
      </c>
      <c r="AF2671" s="743"/>
      <c r="AG2671" s="741" t="str">
        <f>'DICTIONARY-5'!$A$23</f>
        <v>powłoka epoksydowa</v>
      </c>
    </row>
    <row r="2672" spans="1:33" x14ac:dyDescent="0.25">
      <c r="A2672" s="869" t="s">
        <v>2543</v>
      </c>
      <c r="B2672" s="869" t="s">
        <v>2882</v>
      </c>
      <c r="C2672" s="836">
        <v>66</v>
      </c>
      <c r="D2672" s="836"/>
      <c r="E2672" s="836"/>
      <c r="F2672" s="836"/>
      <c r="G2672" s="496" t="s">
        <v>7851</v>
      </c>
      <c r="H2672" s="797" t="str">
        <f>VLOOKUP(G2672,SETTINGS!$B$7:$D$97,2,0)</f>
        <v>BAIO Fittings</v>
      </c>
      <c r="I2672" s="796">
        <f>VLOOKUP(G2672,SETTINGS!$B$7:$D$97,3,0)</f>
        <v>0</v>
      </c>
      <c r="J2672" s="670" t="str">
        <f>IFERROR(IF(CURRENCY.FORMAT_1=0,CONCATENATE(TEXT(FIXED(ROUND((C2672/EXC.RATE_1),CURRENCY.FORMAT_1),CURRENCY.FORMAT_1,1),"# ##0;-# ##0"),",-"),FIXED(ROUND((C2672/EXC.RATE_1),CURRENCY.FORMAT_1),CURRENCY.FORMAT_1,0)),'DICTIONARY-5'!$A$2)</f>
        <v>66,-</v>
      </c>
      <c r="K2672" s="670" t="str">
        <f>IF(EXC.RATE_2=0,"",IFERROR(IF(CURRENCY.FORMAT_2=0,CONCATENATE(TEXT(FIXED(ROUND(IF(EXC.RATE.SWITCH=1,C2672/EXC.RATE_2,C2672*EXC.RATE_2),CURRENCY.FORMAT_2),CURRENCY.FORMAT_2,1),"# ##0;-# ##0"),",-"),FIXED(ROUND(IF(EXC.RATE.SWITCH=1,C2672/EXC.RATE_2,C2672*EXC.RATE_2),CURRENCY.FORMAT_2),CURRENCY.FORMAT_2,0)),'DICTIONARY-5'!$A$2))</f>
        <v/>
      </c>
      <c r="L2672" s="670" t="str">
        <f>IFERROR(IF(CURRENCY.FORMAT_1=0,CONCATENATE(TEXT(FIXED(ROUND((C2672*(1-I2672)*(1-ADD.DISCOUNT)*(1+MAT.SURCHARGE)/EXC.RATE_1),CURRENCY.FORMAT_1),CURRENCY.FORMAT_1,1),"# ##0;-# ##0"),",-"),FIXED(ROUND((C2672*(1-I2672)*(1-ADD.DISCOUNT)*(1+MAT.SURCHARGE)/EXC.RATE_1),CURRENCY.FORMAT_1),CURRENCY.FORMAT_1,0)),'DICTIONARY-5'!$A$2)</f>
        <v>69,-</v>
      </c>
      <c r="M2672" s="670" t="str">
        <f>IF(EXC.RATE_2=0,"",IFERROR(IF(CURRENCY.FORMAT_2=0,CONCATENATE(TEXT(FIXED(ROUND(IF(EXC.RATE.SWITCH=1,C2672*(1-I2672)*(1-ADD.DISCOUNT)*(1+MAT.SURCHARGE)/EXC.RATE_2,C2672*(1-I2672)*(1-ADD.DISCOUNT)*(1+MAT.SURCHARGE)*EXC.RATE_2),CURRENCY.FORMAT_2),CURRENCY.FORMAT_2,1),"# ##0;-# ##0"),",-"),FIXED(ROUND(IF(EXC.RATE.SWITCH=1,C2672*(1-I2672)*(1-ADD.DISCOUNT)*(1+MAT.SURCHARGE)/EXC.RATE_2,C2672*(1-I2672)*(1-ADD.DISCOUNT)*(1+MAT.SURCHARGE)*EXC.RATE_2),CURRENCY.FORMAT_2),CURRENCY.FORMAT_2,0)),'DICTIONARY-5'!$A$2))</f>
        <v/>
      </c>
      <c r="N2672" s="535">
        <v>12</v>
      </c>
      <c r="O2672" s="535"/>
      <c r="P2672" s="732" t="str">
        <f>'DICTIONARY-3'!$A$180</f>
        <v>BAIOstop</v>
      </c>
      <c r="Q2672" s="732" t="str">
        <f>'DICTIONARY-3'!$A$224</f>
        <v>Zabezpieczenie przed wyrwaniem</v>
      </c>
      <c r="R2672" s="732" t="str">
        <f>CONCATENATE('DICTIONARY-3'!$A$180," ",'DICTIONARY-3'!$A$224," ",'DICTIONARY-2'!$A$2,"80"," ",'DICTIONARY-2'!$A$5,"90"," ",'DICTIONARY-2'!$A$10,"16",'DICTIONARY-2'!$A$20,", ",'DICTIONARY-6'!$A$76," ",'DICTIONARY-5'!$A$56)</f>
        <v>BAIOstop Zabezpieczenie przed wyrwaniem DN80 Da90 PS16bar, ruroc. PVC</v>
      </c>
      <c r="S2672" s="733" t="s">
        <v>5569</v>
      </c>
      <c r="T2672" s="732" t="s">
        <v>5569</v>
      </c>
      <c r="U2672" s="734" t="s">
        <v>5760</v>
      </c>
      <c r="V2672" s="735"/>
      <c r="W2672" s="744" t="s">
        <v>7339</v>
      </c>
      <c r="X2672" s="737"/>
      <c r="Y2672" s="738"/>
      <c r="Z2672" s="739"/>
      <c r="AA2672" s="739"/>
      <c r="AB2672" s="740">
        <v>16</v>
      </c>
      <c r="AC2672" s="741"/>
      <c r="AD2672" s="741" t="str">
        <f>'DICTIONARY-5'!$A$13</f>
        <v>woda pitna</v>
      </c>
      <c r="AE2672" s="742">
        <v>50</v>
      </c>
      <c r="AF2672" s="743">
        <v>2.8</v>
      </c>
      <c r="AG2672" s="741" t="str">
        <f>'DICTIONARY-5'!$A$23</f>
        <v>powłoka epoksydowa</v>
      </c>
    </row>
    <row r="2673" spans="1:33" x14ac:dyDescent="0.25">
      <c r="A2673" s="869" t="s">
        <v>2544</v>
      </c>
      <c r="B2673" s="869" t="s">
        <v>3570</v>
      </c>
      <c r="C2673" s="836">
        <v>95</v>
      </c>
      <c r="D2673" s="836"/>
      <c r="E2673" s="836"/>
      <c r="F2673" s="836"/>
      <c r="G2673" s="496" t="s">
        <v>7851</v>
      </c>
      <c r="H2673" s="797" t="str">
        <f>VLOOKUP(G2673,SETTINGS!$B$7:$D$97,2,0)</f>
        <v>BAIO Fittings</v>
      </c>
      <c r="I2673" s="796">
        <f>VLOOKUP(G2673,SETTINGS!$B$7:$D$97,3,0)</f>
        <v>0</v>
      </c>
      <c r="J2673" s="670" t="str">
        <f>IFERROR(IF(CURRENCY.FORMAT_1=0,CONCATENATE(TEXT(FIXED(ROUND((C2673/EXC.RATE_1),CURRENCY.FORMAT_1),CURRENCY.FORMAT_1,1),"# ##0;-# ##0"),",-"),FIXED(ROUND((C2673/EXC.RATE_1),CURRENCY.FORMAT_1),CURRENCY.FORMAT_1,0)),'DICTIONARY-5'!$A$2)</f>
        <v>95,-</v>
      </c>
      <c r="K2673" s="670" t="str">
        <f>IF(EXC.RATE_2=0,"",IFERROR(IF(CURRENCY.FORMAT_2=0,CONCATENATE(TEXT(FIXED(ROUND(IF(EXC.RATE.SWITCH=1,C2673/EXC.RATE_2,C2673*EXC.RATE_2),CURRENCY.FORMAT_2),CURRENCY.FORMAT_2,1),"# ##0;-# ##0"),",-"),FIXED(ROUND(IF(EXC.RATE.SWITCH=1,C2673/EXC.RATE_2,C2673*EXC.RATE_2),CURRENCY.FORMAT_2),CURRENCY.FORMAT_2,0)),'DICTIONARY-5'!$A$2))</f>
        <v/>
      </c>
      <c r="L2673" s="670" t="str">
        <f>IFERROR(IF(CURRENCY.FORMAT_1=0,CONCATENATE(TEXT(FIXED(ROUND((C2673*(1-I2673)*(1-ADD.DISCOUNT)*(1+MAT.SURCHARGE)/EXC.RATE_1),CURRENCY.FORMAT_1),CURRENCY.FORMAT_1,1),"# ##0;-# ##0"),",-"),FIXED(ROUND((C2673*(1-I2673)*(1-ADD.DISCOUNT)*(1+MAT.SURCHARGE)/EXC.RATE_1),CURRENCY.FORMAT_1),CURRENCY.FORMAT_1,0)),'DICTIONARY-5'!$A$2)</f>
        <v>99,-</v>
      </c>
      <c r="M2673" s="670" t="str">
        <f>IF(EXC.RATE_2=0,"",IFERROR(IF(CURRENCY.FORMAT_2=0,CONCATENATE(TEXT(FIXED(ROUND(IF(EXC.RATE.SWITCH=1,C2673*(1-I2673)*(1-ADD.DISCOUNT)*(1+MAT.SURCHARGE)/EXC.RATE_2,C2673*(1-I2673)*(1-ADD.DISCOUNT)*(1+MAT.SURCHARGE)*EXC.RATE_2),CURRENCY.FORMAT_2),CURRENCY.FORMAT_2,1),"# ##0;-# ##0"),",-"),FIXED(ROUND(IF(EXC.RATE.SWITCH=1,C2673*(1-I2673)*(1-ADD.DISCOUNT)*(1+MAT.SURCHARGE)/EXC.RATE_2,C2673*(1-I2673)*(1-ADD.DISCOUNT)*(1+MAT.SURCHARGE)*EXC.RATE_2),CURRENCY.FORMAT_2),CURRENCY.FORMAT_2,0)),'DICTIONARY-5'!$A$2))</f>
        <v/>
      </c>
      <c r="N2673" s="535">
        <v>12</v>
      </c>
      <c r="O2673" s="535"/>
      <c r="P2673" s="732" t="str">
        <f>'DICTIONARY-3'!$A$180</f>
        <v>BAIOstop</v>
      </c>
      <c r="Q2673" s="732" t="str">
        <f>'DICTIONARY-3'!$A$224</f>
        <v>Zabezpieczenie przed wyrwaniem</v>
      </c>
      <c r="R2673" s="732" t="str">
        <f>CONCATENATE('DICTIONARY-3'!$A$180," ",'DICTIONARY-3'!$A$224," ",'DICTIONARY-2'!$A$2,"100"," ",'DICTIONARY-2'!$A$5,"110"," ",'DICTIONARY-2'!$A$10,"16",'DICTIONARY-2'!$A$20,", ",'DICTIONARY-6'!$A$76," ",'DICTIONARY-5'!$A$56)</f>
        <v>BAIOstop Zabezpieczenie przed wyrwaniem DN100 Da110 PS16bar, ruroc. PVC</v>
      </c>
      <c r="S2673" s="733" t="s">
        <v>5569</v>
      </c>
      <c r="T2673" s="732" t="s">
        <v>5569</v>
      </c>
      <c r="U2673" s="734" t="s">
        <v>5749</v>
      </c>
      <c r="V2673" s="735"/>
      <c r="W2673" s="744" t="s">
        <v>7340</v>
      </c>
      <c r="X2673" s="737"/>
      <c r="Y2673" s="738"/>
      <c r="Z2673" s="739"/>
      <c r="AA2673" s="739"/>
      <c r="AB2673" s="740">
        <v>16</v>
      </c>
      <c r="AC2673" s="741"/>
      <c r="AD2673" s="741" t="str">
        <f>'DICTIONARY-5'!$A$13</f>
        <v>woda pitna</v>
      </c>
      <c r="AE2673" s="742">
        <v>50</v>
      </c>
      <c r="AF2673" s="743">
        <v>4</v>
      </c>
      <c r="AG2673" s="741" t="str">
        <f>'DICTIONARY-5'!$A$23</f>
        <v>powłoka epoksydowa</v>
      </c>
    </row>
    <row r="2674" spans="1:33" x14ac:dyDescent="0.25">
      <c r="A2674" s="869" t="s">
        <v>2545</v>
      </c>
      <c r="B2674" s="869" t="s">
        <v>2889</v>
      </c>
      <c r="C2674" s="836">
        <v>102</v>
      </c>
      <c r="D2674" s="836"/>
      <c r="E2674" s="836"/>
      <c r="F2674" s="836"/>
      <c r="G2674" s="496" t="s">
        <v>7851</v>
      </c>
      <c r="H2674" s="797" t="str">
        <f>VLOOKUP(G2674,SETTINGS!$B$7:$D$97,2,0)</f>
        <v>BAIO Fittings</v>
      </c>
      <c r="I2674" s="796">
        <f>VLOOKUP(G2674,SETTINGS!$B$7:$D$97,3,0)</f>
        <v>0</v>
      </c>
      <c r="J2674" s="670" t="str">
        <f>IFERROR(IF(CURRENCY.FORMAT_1=0,CONCATENATE(TEXT(FIXED(ROUND((C2674/EXC.RATE_1),CURRENCY.FORMAT_1),CURRENCY.FORMAT_1,1),"# ##0;-# ##0"),",-"),FIXED(ROUND((C2674/EXC.RATE_1),CURRENCY.FORMAT_1),CURRENCY.FORMAT_1,0)),'DICTIONARY-5'!$A$2)</f>
        <v>102,-</v>
      </c>
      <c r="K2674" s="670" t="str">
        <f>IF(EXC.RATE_2=0,"",IFERROR(IF(CURRENCY.FORMAT_2=0,CONCATENATE(TEXT(FIXED(ROUND(IF(EXC.RATE.SWITCH=1,C2674/EXC.RATE_2,C2674*EXC.RATE_2),CURRENCY.FORMAT_2),CURRENCY.FORMAT_2,1),"# ##0;-# ##0"),",-"),FIXED(ROUND(IF(EXC.RATE.SWITCH=1,C2674/EXC.RATE_2,C2674*EXC.RATE_2),CURRENCY.FORMAT_2),CURRENCY.FORMAT_2,0)),'DICTIONARY-5'!$A$2))</f>
        <v/>
      </c>
      <c r="L2674" s="670" t="str">
        <f>IFERROR(IF(CURRENCY.FORMAT_1=0,CONCATENATE(TEXT(FIXED(ROUND((C2674*(1-I2674)*(1-ADD.DISCOUNT)*(1+MAT.SURCHARGE)/EXC.RATE_1),CURRENCY.FORMAT_1),CURRENCY.FORMAT_1,1),"# ##0;-# ##0"),",-"),FIXED(ROUND((C2674*(1-I2674)*(1-ADD.DISCOUNT)*(1+MAT.SURCHARGE)/EXC.RATE_1),CURRENCY.FORMAT_1),CURRENCY.FORMAT_1,0)),'DICTIONARY-5'!$A$2)</f>
        <v>106,-</v>
      </c>
      <c r="M2674" s="670" t="str">
        <f>IF(EXC.RATE_2=0,"",IFERROR(IF(CURRENCY.FORMAT_2=0,CONCATENATE(TEXT(FIXED(ROUND(IF(EXC.RATE.SWITCH=1,C2674*(1-I2674)*(1-ADD.DISCOUNT)*(1+MAT.SURCHARGE)/EXC.RATE_2,C2674*(1-I2674)*(1-ADD.DISCOUNT)*(1+MAT.SURCHARGE)*EXC.RATE_2),CURRENCY.FORMAT_2),CURRENCY.FORMAT_2,1),"# ##0;-# ##0"),",-"),FIXED(ROUND(IF(EXC.RATE.SWITCH=1,C2674*(1-I2674)*(1-ADD.DISCOUNT)*(1+MAT.SURCHARGE)/EXC.RATE_2,C2674*(1-I2674)*(1-ADD.DISCOUNT)*(1+MAT.SURCHARGE)*EXC.RATE_2),CURRENCY.FORMAT_2),CURRENCY.FORMAT_2,0)),'DICTIONARY-5'!$A$2))</f>
        <v/>
      </c>
      <c r="N2674" s="535">
        <v>12</v>
      </c>
      <c r="O2674" s="535"/>
      <c r="P2674" s="732" t="str">
        <f>'DICTIONARY-3'!$A$180</f>
        <v>BAIOstop</v>
      </c>
      <c r="Q2674" s="732" t="str">
        <f>'DICTIONARY-3'!$A$224</f>
        <v>Zabezpieczenie przed wyrwaniem</v>
      </c>
      <c r="R2674" s="732" t="str">
        <f>CONCATENATE('DICTIONARY-3'!$A$180," ",'DICTIONARY-3'!$A$224," ",'DICTIONARY-2'!$A$2,"125"," ",'DICTIONARY-2'!$A$5,"125"," ",'DICTIONARY-2'!$A$10,"16",'DICTIONARY-2'!$A$20,", ",'DICTIONARY-6'!$A$76," ",'DICTIONARY-5'!$A$56)</f>
        <v>BAIOstop Zabezpieczenie przed wyrwaniem DN125 Da125 PS16bar, ruroc. PVC</v>
      </c>
      <c r="S2674" s="733" t="s">
        <v>5569</v>
      </c>
      <c r="T2674" s="732" t="s">
        <v>5569</v>
      </c>
      <c r="U2674" s="734" t="s">
        <v>5761</v>
      </c>
      <c r="V2674" s="735"/>
      <c r="W2674" s="744" t="s">
        <v>5761</v>
      </c>
      <c r="X2674" s="737"/>
      <c r="Y2674" s="738"/>
      <c r="Z2674" s="739"/>
      <c r="AA2674" s="739"/>
      <c r="AB2674" s="740">
        <v>16</v>
      </c>
      <c r="AC2674" s="741"/>
      <c r="AD2674" s="741" t="str">
        <f>'DICTIONARY-5'!$A$13</f>
        <v>woda pitna</v>
      </c>
      <c r="AE2674" s="742">
        <v>50</v>
      </c>
      <c r="AF2674" s="743">
        <v>5</v>
      </c>
      <c r="AG2674" s="741" t="str">
        <f>'DICTIONARY-5'!$A$23</f>
        <v>powłoka epoksydowa</v>
      </c>
    </row>
    <row r="2675" spans="1:33" x14ac:dyDescent="0.25">
      <c r="A2675" s="869" t="s">
        <v>2546</v>
      </c>
      <c r="B2675" s="869" t="s">
        <v>2883</v>
      </c>
      <c r="C2675" s="836">
        <v>110</v>
      </c>
      <c r="D2675" s="836"/>
      <c r="E2675" s="836"/>
      <c r="F2675" s="836"/>
      <c r="G2675" s="496" t="s">
        <v>7851</v>
      </c>
      <c r="H2675" s="797" t="str">
        <f>VLOOKUP(G2675,SETTINGS!$B$7:$D$97,2,0)</f>
        <v>BAIO Fittings</v>
      </c>
      <c r="I2675" s="796">
        <f>VLOOKUP(G2675,SETTINGS!$B$7:$D$97,3,0)</f>
        <v>0</v>
      </c>
      <c r="J2675" s="670" t="str">
        <f>IFERROR(IF(CURRENCY.FORMAT_1=0,CONCATENATE(TEXT(FIXED(ROUND((C2675/EXC.RATE_1),CURRENCY.FORMAT_1),CURRENCY.FORMAT_1,1),"# ##0;-# ##0"),",-"),FIXED(ROUND((C2675/EXC.RATE_1),CURRENCY.FORMAT_1),CURRENCY.FORMAT_1,0)),'DICTIONARY-5'!$A$2)</f>
        <v>110,-</v>
      </c>
      <c r="K2675" s="670" t="str">
        <f>IF(EXC.RATE_2=0,"",IFERROR(IF(CURRENCY.FORMAT_2=0,CONCATENATE(TEXT(FIXED(ROUND(IF(EXC.RATE.SWITCH=1,C2675/EXC.RATE_2,C2675*EXC.RATE_2),CURRENCY.FORMAT_2),CURRENCY.FORMAT_2,1),"# ##0;-# ##0"),",-"),FIXED(ROUND(IF(EXC.RATE.SWITCH=1,C2675/EXC.RATE_2,C2675*EXC.RATE_2),CURRENCY.FORMAT_2),CURRENCY.FORMAT_2,0)),'DICTIONARY-5'!$A$2))</f>
        <v/>
      </c>
      <c r="L2675" s="670" t="str">
        <f>IFERROR(IF(CURRENCY.FORMAT_1=0,CONCATENATE(TEXT(FIXED(ROUND((C2675*(1-I2675)*(1-ADD.DISCOUNT)*(1+MAT.SURCHARGE)/EXC.RATE_1),CURRENCY.FORMAT_1),CURRENCY.FORMAT_1,1),"# ##0;-# ##0"),",-"),FIXED(ROUND((C2675*(1-I2675)*(1-ADD.DISCOUNT)*(1+MAT.SURCHARGE)/EXC.RATE_1),CURRENCY.FORMAT_1),CURRENCY.FORMAT_1,0)),'DICTIONARY-5'!$A$2)</f>
        <v>114,-</v>
      </c>
      <c r="M2675" s="670" t="str">
        <f>IF(EXC.RATE_2=0,"",IFERROR(IF(CURRENCY.FORMAT_2=0,CONCATENATE(TEXT(FIXED(ROUND(IF(EXC.RATE.SWITCH=1,C2675*(1-I2675)*(1-ADD.DISCOUNT)*(1+MAT.SURCHARGE)/EXC.RATE_2,C2675*(1-I2675)*(1-ADD.DISCOUNT)*(1+MAT.SURCHARGE)*EXC.RATE_2),CURRENCY.FORMAT_2),CURRENCY.FORMAT_2,1),"# ##0;-# ##0"),",-"),FIXED(ROUND(IF(EXC.RATE.SWITCH=1,C2675*(1-I2675)*(1-ADD.DISCOUNT)*(1+MAT.SURCHARGE)/EXC.RATE_2,C2675*(1-I2675)*(1-ADD.DISCOUNT)*(1+MAT.SURCHARGE)*EXC.RATE_2),CURRENCY.FORMAT_2),CURRENCY.FORMAT_2,0)),'DICTIONARY-5'!$A$2))</f>
        <v/>
      </c>
      <c r="N2675" s="535">
        <v>12</v>
      </c>
      <c r="O2675" s="535"/>
      <c r="P2675" s="732" t="str">
        <f>'DICTIONARY-3'!$A$180</f>
        <v>BAIOstop</v>
      </c>
      <c r="Q2675" s="732" t="str">
        <f>'DICTIONARY-3'!$A$224</f>
        <v>Zabezpieczenie przed wyrwaniem</v>
      </c>
      <c r="R2675" s="732" t="str">
        <f>CONCATENATE('DICTIONARY-3'!$A$180," ",'DICTIONARY-3'!$A$224," ",'DICTIONARY-2'!$A$2,"125"," ",'DICTIONARY-2'!$A$5,"140"," ",'DICTIONARY-2'!$A$10,"16",'DICTIONARY-2'!$A$20,", ",'DICTIONARY-6'!$A$76," ",'DICTIONARY-5'!$A$56)</f>
        <v>BAIOstop Zabezpieczenie przed wyrwaniem DN125 Da140 PS16bar, ruroc. PVC</v>
      </c>
      <c r="S2675" s="733" t="s">
        <v>5569</v>
      </c>
      <c r="T2675" s="732" t="s">
        <v>5569</v>
      </c>
      <c r="U2675" s="734" t="s">
        <v>5761</v>
      </c>
      <c r="V2675" s="735"/>
      <c r="W2675" s="744" t="s">
        <v>7341</v>
      </c>
      <c r="X2675" s="737"/>
      <c r="Y2675" s="738"/>
      <c r="Z2675" s="739"/>
      <c r="AA2675" s="739"/>
      <c r="AB2675" s="740">
        <v>16</v>
      </c>
      <c r="AC2675" s="741"/>
      <c r="AD2675" s="741" t="str">
        <f>'DICTIONARY-5'!$A$13</f>
        <v>woda pitna</v>
      </c>
      <c r="AE2675" s="742">
        <v>50</v>
      </c>
      <c r="AF2675" s="743">
        <v>5</v>
      </c>
      <c r="AG2675" s="741" t="str">
        <f>'DICTIONARY-5'!$A$23</f>
        <v>powłoka epoksydowa</v>
      </c>
    </row>
    <row r="2676" spans="1:33" x14ac:dyDescent="0.25">
      <c r="A2676" s="869" t="s">
        <v>2547</v>
      </c>
      <c r="B2676" s="869" t="s">
        <v>2884</v>
      </c>
      <c r="C2676" s="836">
        <v>101</v>
      </c>
      <c r="D2676" s="836"/>
      <c r="E2676" s="836"/>
      <c r="F2676" s="836"/>
      <c r="G2676" s="496" t="s">
        <v>7851</v>
      </c>
      <c r="H2676" s="797" t="str">
        <f>VLOOKUP(G2676,SETTINGS!$B$7:$D$97,2,0)</f>
        <v>BAIO Fittings</v>
      </c>
      <c r="I2676" s="796">
        <f>VLOOKUP(G2676,SETTINGS!$B$7:$D$97,3,0)</f>
        <v>0</v>
      </c>
      <c r="J2676" s="670" t="str">
        <f>IFERROR(IF(CURRENCY.FORMAT_1=0,CONCATENATE(TEXT(FIXED(ROUND((C2676/EXC.RATE_1),CURRENCY.FORMAT_1),CURRENCY.FORMAT_1,1),"# ##0;-# ##0"),",-"),FIXED(ROUND((C2676/EXC.RATE_1),CURRENCY.FORMAT_1),CURRENCY.FORMAT_1,0)),'DICTIONARY-5'!$A$2)</f>
        <v>101,-</v>
      </c>
      <c r="K2676" s="670" t="str">
        <f>IF(EXC.RATE_2=0,"",IFERROR(IF(CURRENCY.FORMAT_2=0,CONCATENATE(TEXT(FIXED(ROUND(IF(EXC.RATE.SWITCH=1,C2676/EXC.RATE_2,C2676*EXC.RATE_2),CURRENCY.FORMAT_2),CURRENCY.FORMAT_2,1),"# ##0;-# ##0"),",-"),FIXED(ROUND(IF(EXC.RATE.SWITCH=1,C2676/EXC.RATE_2,C2676*EXC.RATE_2),CURRENCY.FORMAT_2),CURRENCY.FORMAT_2,0)),'DICTIONARY-5'!$A$2))</f>
        <v/>
      </c>
      <c r="L2676" s="670" t="str">
        <f>IFERROR(IF(CURRENCY.FORMAT_1=0,CONCATENATE(TEXT(FIXED(ROUND((C2676*(1-I2676)*(1-ADD.DISCOUNT)*(1+MAT.SURCHARGE)/EXC.RATE_1),CURRENCY.FORMAT_1),CURRENCY.FORMAT_1,1),"# ##0;-# ##0"),",-"),FIXED(ROUND((C2676*(1-I2676)*(1-ADD.DISCOUNT)*(1+MAT.SURCHARGE)/EXC.RATE_1),CURRENCY.FORMAT_1),CURRENCY.FORMAT_1,0)),'DICTIONARY-5'!$A$2)</f>
        <v>105,-</v>
      </c>
      <c r="M2676" s="670" t="str">
        <f>IF(EXC.RATE_2=0,"",IFERROR(IF(CURRENCY.FORMAT_2=0,CONCATENATE(TEXT(FIXED(ROUND(IF(EXC.RATE.SWITCH=1,C2676*(1-I2676)*(1-ADD.DISCOUNT)*(1+MAT.SURCHARGE)/EXC.RATE_2,C2676*(1-I2676)*(1-ADD.DISCOUNT)*(1+MAT.SURCHARGE)*EXC.RATE_2),CURRENCY.FORMAT_2),CURRENCY.FORMAT_2,1),"# ##0;-# ##0"),",-"),FIXED(ROUND(IF(EXC.RATE.SWITCH=1,C2676*(1-I2676)*(1-ADD.DISCOUNT)*(1+MAT.SURCHARGE)/EXC.RATE_2,C2676*(1-I2676)*(1-ADD.DISCOUNT)*(1+MAT.SURCHARGE)*EXC.RATE_2),CURRENCY.FORMAT_2),CURRENCY.FORMAT_2,0)),'DICTIONARY-5'!$A$2))</f>
        <v/>
      </c>
      <c r="N2676" s="535">
        <v>12</v>
      </c>
      <c r="O2676" s="535"/>
      <c r="P2676" s="732" t="str">
        <f>'DICTIONARY-3'!$A$180</f>
        <v>BAIOstop</v>
      </c>
      <c r="Q2676" s="732" t="str">
        <f>'DICTIONARY-3'!$A$224</f>
        <v>Zabezpieczenie przed wyrwaniem</v>
      </c>
      <c r="R2676" s="732" t="str">
        <f>CONCATENATE('DICTIONARY-3'!$A$180," ",'DICTIONARY-3'!$A$224," ",'DICTIONARY-2'!$A$2,"150"," ",'DICTIONARY-2'!$A$5,"160"," ",'DICTIONARY-2'!$A$10,"16",'DICTIONARY-2'!$A$20,", ",'DICTIONARY-6'!$A$76," ",'DICTIONARY-5'!$A$56)</f>
        <v>BAIOstop Zabezpieczenie przed wyrwaniem DN150 Da160 PS16bar, ruroc. PVC</v>
      </c>
      <c r="S2676" s="733" t="s">
        <v>5569</v>
      </c>
      <c r="T2676" s="732" t="s">
        <v>5569</v>
      </c>
      <c r="U2676" s="734" t="s">
        <v>5572</v>
      </c>
      <c r="V2676" s="735"/>
      <c r="W2676" s="744" t="s">
        <v>7342</v>
      </c>
      <c r="X2676" s="737"/>
      <c r="Y2676" s="738"/>
      <c r="Z2676" s="739"/>
      <c r="AA2676" s="739"/>
      <c r="AB2676" s="740">
        <v>16</v>
      </c>
      <c r="AC2676" s="741"/>
      <c r="AD2676" s="741" t="str">
        <f>'DICTIONARY-5'!$A$13</f>
        <v>woda pitna</v>
      </c>
      <c r="AE2676" s="742">
        <v>50</v>
      </c>
      <c r="AF2676" s="743">
        <v>5.5</v>
      </c>
      <c r="AG2676" s="741" t="str">
        <f>'DICTIONARY-5'!$A$23</f>
        <v>powłoka epoksydowa</v>
      </c>
    </row>
    <row r="2677" spans="1:33" x14ac:dyDescent="0.25">
      <c r="A2677" s="869" t="s">
        <v>2548</v>
      </c>
      <c r="B2677" s="869" t="s">
        <v>2890</v>
      </c>
      <c r="C2677" s="836">
        <v>150</v>
      </c>
      <c r="D2677" s="836"/>
      <c r="E2677" s="836"/>
      <c r="F2677" s="836"/>
      <c r="G2677" s="496" t="s">
        <v>7851</v>
      </c>
      <c r="H2677" s="797" t="str">
        <f>VLOOKUP(G2677,SETTINGS!$B$7:$D$97,2,0)</f>
        <v>BAIO Fittings</v>
      </c>
      <c r="I2677" s="796">
        <f>VLOOKUP(G2677,SETTINGS!$B$7:$D$97,3,0)</f>
        <v>0</v>
      </c>
      <c r="J2677" s="670" t="str">
        <f>IFERROR(IF(CURRENCY.FORMAT_1=0,CONCATENATE(TEXT(FIXED(ROUND((C2677/EXC.RATE_1),CURRENCY.FORMAT_1),CURRENCY.FORMAT_1,1),"# ##0;-# ##0"),",-"),FIXED(ROUND((C2677/EXC.RATE_1),CURRENCY.FORMAT_1),CURRENCY.FORMAT_1,0)),'DICTIONARY-5'!$A$2)</f>
        <v>150,-</v>
      </c>
      <c r="K2677" s="670" t="str">
        <f>IF(EXC.RATE_2=0,"",IFERROR(IF(CURRENCY.FORMAT_2=0,CONCATENATE(TEXT(FIXED(ROUND(IF(EXC.RATE.SWITCH=1,C2677/EXC.RATE_2,C2677*EXC.RATE_2),CURRENCY.FORMAT_2),CURRENCY.FORMAT_2,1),"# ##0;-# ##0"),",-"),FIXED(ROUND(IF(EXC.RATE.SWITCH=1,C2677/EXC.RATE_2,C2677*EXC.RATE_2),CURRENCY.FORMAT_2),CURRENCY.FORMAT_2,0)),'DICTIONARY-5'!$A$2))</f>
        <v/>
      </c>
      <c r="L2677" s="670" t="str">
        <f>IFERROR(IF(CURRENCY.FORMAT_1=0,CONCATENATE(TEXT(FIXED(ROUND((C2677*(1-I2677)*(1-ADD.DISCOUNT)*(1+MAT.SURCHARGE)/EXC.RATE_1),CURRENCY.FORMAT_1),CURRENCY.FORMAT_1,1),"# ##0;-# ##0"),",-"),FIXED(ROUND((C2677*(1-I2677)*(1-ADD.DISCOUNT)*(1+MAT.SURCHARGE)/EXC.RATE_1),CURRENCY.FORMAT_1),CURRENCY.FORMAT_1,0)),'DICTIONARY-5'!$A$2)</f>
        <v>156,-</v>
      </c>
      <c r="M2677" s="670" t="str">
        <f>IF(EXC.RATE_2=0,"",IFERROR(IF(CURRENCY.FORMAT_2=0,CONCATENATE(TEXT(FIXED(ROUND(IF(EXC.RATE.SWITCH=1,C2677*(1-I2677)*(1-ADD.DISCOUNT)*(1+MAT.SURCHARGE)/EXC.RATE_2,C2677*(1-I2677)*(1-ADD.DISCOUNT)*(1+MAT.SURCHARGE)*EXC.RATE_2),CURRENCY.FORMAT_2),CURRENCY.FORMAT_2,1),"# ##0;-# ##0"),",-"),FIXED(ROUND(IF(EXC.RATE.SWITCH=1,C2677*(1-I2677)*(1-ADD.DISCOUNT)*(1+MAT.SURCHARGE)/EXC.RATE_2,C2677*(1-I2677)*(1-ADD.DISCOUNT)*(1+MAT.SURCHARGE)*EXC.RATE_2),CURRENCY.FORMAT_2),CURRENCY.FORMAT_2,0)),'DICTIONARY-5'!$A$2))</f>
        <v/>
      </c>
      <c r="N2677" s="535">
        <v>12</v>
      </c>
      <c r="O2677" s="535"/>
      <c r="P2677" s="732" t="str">
        <f>'DICTIONARY-3'!$A$180</f>
        <v>BAIOstop</v>
      </c>
      <c r="Q2677" s="732" t="str">
        <f>'DICTIONARY-3'!$A$224</f>
        <v>Zabezpieczenie przed wyrwaniem</v>
      </c>
      <c r="R2677" s="732" t="str">
        <f>CONCATENATE('DICTIONARY-3'!$A$180," ",'DICTIONARY-3'!$A$224," ",'DICTIONARY-2'!$A$2,"200"," ",'DICTIONARY-2'!$A$5,"200"," ",'DICTIONARY-2'!$A$10,"16",'DICTIONARY-2'!$A$20,", ",'DICTIONARY-6'!$A$76," ",'DICTIONARY-5'!$A$56)</f>
        <v>BAIOstop Zabezpieczenie przed wyrwaniem DN200 Da200 PS16bar, ruroc. PVC</v>
      </c>
      <c r="S2677" s="733" t="s">
        <v>5569</v>
      </c>
      <c r="T2677" s="732" t="s">
        <v>5569</v>
      </c>
      <c r="U2677" s="734" t="s">
        <v>5750</v>
      </c>
      <c r="V2677" s="735"/>
      <c r="W2677" s="744" t="s">
        <v>5750</v>
      </c>
      <c r="X2677" s="737"/>
      <c r="Y2677" s="738"/>
      <c r="Z2677" s="739"/>
      <c r="AA2677" s="739"/>
      <c r="AB2677" s="740">
        <v>16</v>
      </c>
      <c r="AC2677" s="741"/>
      <c r="AD2677" s="741" t="str">
        <f>'DICTIONARY-5'!$A$13</f>
        <v>woda pitna</v>
      </c>
      <c r="AE2677" s="742">
        <v>50</v>
      </c>
      <c r="AF2677" s="743">
        <v>9.25</v>
      </c>
      <c r="AG2677" s="741" t="str">
        <f>'DICTIONARY-5'!$A$23</f>
        <v>powłoka epoksydowa</v>
      </c>
    </row>
    <row r="2678" spans="1:33" x14ac:dyDescent="0.25">
      <c r="A2678" s="869" t="s">
        <v>2549</v>
      </c>
      <c r="B2678" s="869" t="s">
        <v>2885</v>
      </c>
      <c r="C2678" s="836">
        <v>150</v>
      </c>
      <c r="D2678" s="836"/>
      <c r="E2678" s="836"/>
      <c r="F2678" s="836"/>
      <c r="G2678" s="496" t="s">
        <v>7851</v>
      </c>
      <c r="H2678" s="797" t="str">
        <f>VLOOKUP(G2678,SETTINGS!$B$7:$D$97,2,0)</f>
        <v>BAIO Fittings</v>
      </c>
      <c r="I2678" s="796">
        <f>VLOOKUP(G2678,SETTINGS!$B$7:$D$97,3,0)</f>
        <v>0</v>
      </c>
      <c r="J2678" s="670" t="str">
        <f>IFERROR(IF(CURRENCY.FORMAT_1=0,CONCATENATE(TEXT(FIXED(ROUND((C2678/EXC.RATE_1),CURRENCY.FORMAT_1),CURRENCY.FORMAT_1,1),"# ##0;-# ##0"),",-"),FIXED(ROUND((C2678/EXC.RATE_1),CURRENCY.FORMAT_1),CURRENCY.FORMAT_1,0)),'DICTIONARY-5'!$A$2)</f>
        <v>150,-</v>
      </c>
      <c r="K2678" s="670" t="str">
        <f>IF(EXC.RATE_2=0,"",IFERROR(IF(CURRENCY.FORMAT_2=0,CONCATENATE(TEXT(FIXED(ROUND(IF(EXC.RATE.SWITCH=1,C2678/EXC.RATE_2,C2678*EXC.RATE_2),CURRENCY.FORMAT_2),CURRENCY.FORMAT_2,1),"# ##0;-# ##0"),",-"),FIXED(ROUND(IF(EXC.RATE.SWITCH=1,C2678/EXC.RATE_2,C2678*EXC.RATE_2),CURRENCY.FORMAT_2),CURRENCY.FORMAT_2,0)),'DICTIONARY-5'!$A$2))</f>
        <v/>
      </c>
      <c r="L2678" s="670" t="str">
        <f>IFERROR(IF(CURRENCY.FORMAT_1=0,CONCATENATE(TEXT(FIXED(ROUND((C2678*(1-I2678)*(1-ADD.DISCOUNT)*(1+MAT.SURCHARGE)/EXC.RATE_1),CURRENCY.FORMAT_1),CURRENCY.FORMAT_1,1),"# ##0;-# ##0"),",-"),FIXED(ROUND((C2678*(1-I2678)*(1-ADD.DISCOUNT)*(1+MAT.SURCHARGE)/EXC.RATE_1),CURRENCY.FORMAT_1),CURRENCY.FORMAT_1,0)),'DICTIONARY-5'!$A$2)</f>
        <v>156,-</v>
      </c>
      <c r="M2678" s="670" t="str">
        <f>IF(EXC.RATE_2=0,"",IFERROR(IF(CURRENCY.FORMAT_2=0,CONCATENATE(TEXT(FIXED(ROUND(IF(EXC.RATE.SWITCH=1,C2678*(1-I2678)*(1-ADD.DISCOUNT)*(1+MAT.SURCHARGE)/EXC.RATE_2,C2678*(1-I2678)*(1-ADD.DISCOUNT)*(1+MAT.SURCHARGE)*EXC.RATE_2),CURRENCY.FORMAT_2),CURRENCY.FORMAT_2,1),"# ##0;-# ##0"),",-"),FIXED(ROUND(IF(EXC.RATE.SWITCH=1,C2678*(1-I2678)*(1-ADD.DISCOUNT)*(1+MAT.SURCHARGE)/EXC.RATE_2,C2678*(1-I2678)*(1-ADD.DISCOUNT)*(1+MAT.SURCHARGE)*EXC.RATE_2),CURRENCY.FORMAT_2),CURRENCY.FORMAT_2,0)),'DICTIONARY-5'!$A$2))</f>
        <v/>
      </c>
      <c r="N2678" s="535">
        <v>12</v>
      </c>
      <c r="O2678" s="535"/>
      <c r="P2678" s="732" t="str">
        <f>'DICTIONARY-3'!$A$180</f>
        <v>BAIOstop</v>
      </c>
      <c r="Q2678" s="732" t="str">
        <f>'DICTIONARY-3'!$A$224</f>
        <v>Zabezpieczenie przed wyrwaniem</v>
      </c>
      <c r="R2678" s="732" t="str">
        <f>CONCATENATE('DICTIONARY-3'!$A$180," ",'DICTIONARY-3'!$A$224," ",'DICTIONARY-2'!$A$2,"200"," ",'DICTIONARY-2'!$A$5,"225"," ",'DICTIONARY-2'!$A$10,"16",'DICTIONARY-2'!$A$20,", ",'DICTIONARY-6'!$A$76," ",'DICTIONARY-5'!$A$56)</f>
        <v>BAIOstop Zabezpieczenie przed wyrwaniem DN200 Da225 PS16bar, ruroc. PVC</v>
      </c>
      <c r="S2678" s="733" t="s">
        <v>5569</v>
      </c>
      <c r="T2678" s="732" t="s">
        <v>5569</v>
      </c>
      <c r="U2678" s="734" t="s">
        <v>5750</v>
      </c>
      <c r="V2678" s="735"/>
      <c r="W2678" s="744" t="s">
        <v>5833</v>
      </c>
      <c r="X2678" s="737"/>
      <c r="Y2678" s="738"/>
      <c r="Z2678" s="739"/>
      <c r="AA2678" s="739"/>
      <c r="AB2678" s="740">
        <v>16</v>
      </c>
      <c r="AC2678" s="741"/>
      <c r="AD2678" s="741" t="str">
        <f>'DICTIONARY-5'!$A$13</f>
        <v>woda pitna</v>
      </c>
      <c r="AE2678" s="742">
        <v>50</v>
      </c>
      <c r="AF2678" s="743">
        <v>8.5</v>
      </c>
      <c r="AG2678" s="741" t="str">
        <f>'DICTIONARY-5'!$A$23</f>
        <v>powłoka epoksydowa</v>
      </c>
    </row>
    <row r="2679" spans="1:33" x14ac:dyDescent="0.25">
      <c r="A2679" s="868" t="s">
        <v>2550</v>
      </c>
      <c r="B2679" s="869" t="s">
        <v>2875</v>
      </c>
      <c r="C2679" s="836">
        <v>74</v>
      </c>
      <c r="D2679" s="836"/>
      <c r="E2679" s="836"/>
      <c r="F2679" s="836"/>
      <c r="G2679" s="496" t="s">
        <v>7851</v>
      </c>
      <c r="H2679" s="797" t="str">
        <f>VLOOKUP(G2679,SETTINGS!$B$7:$D$97,2,0)</f>
        <v>BAIO Fittings</v>
      </c>
      <c r="I2679" s="796">
        <f>VLOOKUP(G2679,SETTINGS!$B$7:$D$97,3,0)</f>
        <v>0</v>
      </c>
      <c r="J2679" s="670" t="str">
        <f>IFERROR(IF(CURRENCY.FORMAT_1=0,CONCATENATE(TEXT(FIXED(ROUND((C2679/EXC.RATE_1),CURRENCY.FORMAT_1),CURRENCY.FORMAT_1,1),"# ##0;-# ##0"),",-"),FIXED(ROUND((C2679/EXC.RATE_1),CURRENCY.FORMAT_1),CURRENCY.FORMAT_1,0)),'DICTIONARY-5'!$A$2)</f>
        <v>74,-</v>
      </c>
      <c r="K2679" s="670" t="str">
        <f>IF(EXC.RATE_2=0,"",IFERROR(IF(CURRENCY.FORMAT_2=0,CONCATENATE(TEXT(FIXED(ROUND(IF(EXC.RATE.SWITCH=1,C2679/EXC.RATE_2,C2679*EXC.RATE_2),CURRENCY.FORMAT_2),CURRENCY.FORMAT_2,1),"# ##0;-# ##0"),",-"),FIXED(ROUND(IF(EXC.RATE.SWITCH=1,C2679/EXC.RATE_2,C2679*EXC.RATE_2),CURRENCY.FORMAT_2),CURRENCY.FORMAT_2,0)),'DICTIONARY-5'!$A$2))</f>
        <v/>
      </c>
      <c r="L2679" s="670" t="str">
        <f>IFERROR(IF(CURRENCY.FORMAT_1=0,CONCATENATE(TEXT(FIXED(ROUND((C2679*(1-I2679)*(1-ADD.DISCOUNT)*(1+MAT.SURCHARGE)/EXC.RATE_1),CURRENCY.FORMAT_1),CURRENCY.FORMAT_1,1),"# ##0;-# ##0"),",-"),FIXED(ROUND((C2679*(1-I2679)*(1-ADD.DISCOUNT)*(1+MAT.SURCHARGE)/EXC.RATE_1),CURRENCY.FORMAT_1),CURRENCY.FORMAT_1,0)),'DICTIONARY-5'!$A$2)</f>
        <v>77,-</v>
      </c>
      <c r="M2679" s="670" t="str">
        <f>IF(EXC.RATE_2=0,"",IFERROR(IF(CURRENCY.FORMAT_2=0,CONCATENATE(TEXT(FIXED(ROUND(IF(EXC.RATE.SWITCH=1,C2679*(1-I2679)*(1-ADD.DISCOUNT)*(1+MAT.SURCHARGE)/EXC.RATE_2,C2679*(1-I2679)*(1-ADD.DISCOUNT)*(1+MAT.SURCHARGE)*EXC.RATE_2),CURRENCY.FORMAT_2),CURRENCY.FORMAT_2,1),"# ##0;-# ##0"),",-"),FIXED(ROUND(IF(EXC.RATE.SWITCH=1,C2679*(1-I2679)*(1-ADD.DISCOUNT)*(1+MAT.SURCHARGE)/EXC.RATE_2,C2679*(1-I2679)*(1-ADD.DISCOUNT)*(1+MAT.SURCHARGE)*EXC.RATE_2),CURRENCY.FORMAT_2),CURRENCY.FORMAT_2,0)),'DICTIONARY-5'!$A$2))</f>
        <v/>
      </c>
      <c r="N2679" s="535">
        <v>12</v>
      </c>
      <c r="O2679" s="535"/>
      <c r="P2679" s="732" t="str">
        <f>'DICTIONARY-3'!$A$180</f>
        <v>BAIOstop</v>
      </c>
      <c r="Q2679" s="732" t="str">
        <f>'DICTIONARY-3'!$A$224</f>
        <v>Zabezpieczenie przed wyrwaniem</v>
      </c>
      <c r="R2679" s="732" t="str">
        <f>CONCATENATE('DICTIONARY-3'!$A$180," ",'DICTIONARY-3'!$A$224," ",'DICTIONARY-2'!$A$2,"80"," ",'DICTIONARY-2'!$A$5,"90"," ",'DICTIONARY-2'!$A$10,"16",'DICTIONARY-2'!$A$20,", ",'DICTIONARY-6'!$A$76," ",'DICTIONARY-5'!$A$57)</f>
        <v>BAIOstop Zabezpieczenie przed wyrwaniem DN80 Da90 PS16bar, ruroc. PE</v>
      </c>
      <c r="S2679" s="733" t="s">
        <v>5569</v>
      </c>
      <c r="T2679" s="732" t="s">
        <v>5569</v>
      </c>
      <c r="U2679" s="734" t="s">
        <v>5760</v>
      </c>
      <c r="V2679" s="735"/>
      <c r="W2679" s="744" t="s">
        <v>7339</v>
      </c>
      <c r="X2679" s="737"/>
      <c r="Y2679" s="738"/>
      <c r="Z2679" s="739"/>
      <c r="AA2679" s="739"/>
      <c r="AB2679" s="740">
        <v>16</v>
      </c>
      <c r="AC2679" s="741"/>
      <c r="AD2679" s="741" t="str">
        <f>'DICTIONARY-5'!$A$13</f>
        <v>woda pitna</v>
      </c>
      <c r="AE2679" s="742">
        <v>50</v>
      </c>
      <c r="AF2679" s="743">
        <v>2.5</v>
      </c>
      <c r="AG2679" s="741" t="str">
        <f>'DICTIONARY-5'!$A$23</f>
        <v>powłoka epoksydowa</v>
      </c>
    </row>
    <row r="2680" spans="1:33" x14ac:dyDescent="0.25">
      <c r="A2680" s="869" t="s">
        <v>2551</v>
      </c>
      <c r="B2680" s="869" t="s">
        <v>3571</v>
      </c>
      <c r="C2680" s="836">
        <v>103</v>
      </c>
      <c r="D2680" s="836"/>
      <c r="E2680" s="836"/>
      <c r="F2680" s="836"/>
      <c r="G2680" s="496" t="s">
        <v>7851</v>
      </c>
      <c r="H2680" s="797" t="str">
        <f>VLOOKUP(G2680,SETTINGS!$B$7:$D$97,2,0)</f>
        <v>BAIO Fittings</v>
      </c>
      <c r="I2680" s="796">
        <f>VLOOKUP(G2680,SETTINGS!$B$7:$D$97,3,0)</f>
        <v>0</v>
      </c>
      <c r="J2680" s="670" t="str">
        <f>IFERROR(IF(CURRENCY.FORMAT_1=0,CONCATENATE(TEXT(FIXED(ROUND((C2680/EXC.RATE_1),CURRENCY.FORMAT_1),CURRENCY.FORMAT_1,1),"# ##0;-# ##0"),",-"),FIXED(ROUND((C2680/EXC.RATE_1),CURRENCY.FORMAT_1),CURRENCY.FORMAT_1,0)),'DICTIONARY-5'!$A$2)</f>
        <v>103,-</v>
      </c>
      <c r="K2680" s="670" t="str">
        <f>IF(EXC.RATE_2=0,"",IFERROR(IF(CURRENCY.FORMAT_2=0,CONCATENATE(TEXT(FIXED(ROUND(IF(EXC.RATE.SWITCH=1,C2680/EXC.RATE_2,C2680*EXC.RATE_2),CURRENCY.FORMAT_2),CURRENCY.FORMAT_2,1),"# ##0;-# ##0"),",-"),FIXED(ROUND(IF(EXC.RATE.SWITCH=1,C2680/EXC.RATE_2,C2680*EXC.RATE_2),CURRENCY.FORMAT_2),CURRENCY.FORMAT_2,0)),'DICTIONARY-5'!$A$2))</f>
        <v/>
      </c>
      <c r="L2680" s="670" t="str">
        <f>IFERROR(IF(CURRENCY.FORMAT_1=0,CONCATENATE(TEXT(FIXED(ROUND((C2680*(1-I2680)*(1-ADD.DISCOUNT)*(1+MAT.SURCHARGE)/EXC.RATE_1),CURRENCY.FORMAT_1),CURRENCY.FORMAT_1,1),"# ##0;-# ##0"),",-"),FIXED(ROUND((C2680*(1-I2680)*(1-ADD.DISCOUNT)*(1+MAT.SURCHARGE)/EXC.RATE_1),CURRENCY.FORMAT_1),CURRENCY.FORMAT_1,0)),'DICTIONARY-5'!$A$2)</f>
        <v>107,-</v>
      </c>
      <c r="M2680" s="670" t="str">
        <f>IF(EXC.RATE_2=0,"",IFERROR(IF(CURRENCY.FORMAT_2=0,CONCATENATE(TEXT(FIXED(ROUND(IF(EXC.RATE.SWITCH=1,C2680*(1-I2680)*(1-ADD.DISCOUNT)*(1+MAT.SURCHARGE)/EXC.RATE_2,C2680*(1-I2680)*(1-ADD.DISCOUNT)*(1+MAT.SURCHARGE)*EXC.RATE_2),CURRENCY.FORMAT_2),CURRENCY.FORMAT_2,1),"# ##0;-# ##0"),",-"),FIXED(ROUND(IF(EXC.RATE.SWITCH=1,C2680*(1-I2680)*(1-ADD.DISCOUNT)*(1+MAT.SURCHARGE)/EXC.RATE_2,C2680*(1-I2680)*(1-ADD.DISCOUNT)*(1+MAT.SURCHARGE)*EXC.RATE_2),CURRENCY.FORMAT_2),CURRENCY.FORMAT_2,0)),'DICTIONARY-5'!$A$2))</f>
        <v/>
      </c>
      <c r="N2680" s="535">
        <v>12</v>
      </c>
      <c r="O2680" s="535"/>
      <c r="P2680" s="732" t="str">
        <f>'DICTIONARY-3'!$A$180</f>
        <v>BAIOstop</v>
      </c>
      <c r="Q2680" s="732" t="str">
        <f>'DICTIONARY-3'!$A$224</f>
        <v>Zabezpieczenie przed wyrwaniem</v>
      </c>
      <c r="R2680" s="732" t="str">
        <f>CONCATENATE('DICTIONARY-3'!$A$180," ",'DICTIONARY-3'!$A$224," ",'DICTIONARY-2'!$A$2,"100"," ",'DICTIONARY-2'!$A$5,"110"," ",'DICTIONARY-2'!$A$10,"16",'DICTIONARY-2'!$A$20,", ",'DICTIONARY-6'!$A$76," ",'DICTIONARY-5'!$A$57)</f>
        <v>BAIOstop Zabezpieczenie przed wyrwaniem DN100 Da110 PS16bar, ruroc. PE</v>
      </c>
      <c r="S2680" s="733" t="s">
        <v>5569</v>
      </c>
      <c r="T2680" s="732" t="s">
        <v>5569</v>
      </c>
      <c r="U2680" s="734" t="s">
        <v>5749</v>
      </c>
      <c r="V2680" s="735"/>
      <c r="W2680" s="744" t="s">
        <v>7340</v>
      </c>
      <c r="X2680" s="737"/>
      <c r="Y2680" s="738"/>
      <c r="Z2680" s="739"/>
      <c r="AA2680" s="739"/>
      <c r="AB2680" s="740">
        <v>16</v>
      </c>
      <c r="AC2680" s="741"/>
      <c r="AD2680" s="741" t="str">
        <f>'DICTIONARY-5'!$A$13</f>
        <v>woda pitna</v>
      </c>
      <c r="AE2680" s="742">
        <v>50</v>
      </c>
      <c r="AF2680" s="743">
        <v>4</v>
      </c>
      <c r="AG2680" s="741" t="str">
        <f>'DICTIONARY-5'!$A$23</f>
        <v>powłoka epoksydowa</v>
      </c>
    </row>
    <row r="2681" spans="1:33" x14ac:dyDescent="0.25">
      <c r="A2681" s="869" t="s">
        <v>2552</v>
      </c>
      <c r="B2681" s="869" t="s">
        <v>2878</v>
      </c>
      <c r="C2681" s="836">
        <v>93</v>
      </c>
      <c r="D2681" s="836"/>
      <c r="E2681" s="836"/>
      <c r="F2681" s="836"/>
      <c r="G2681" s="496" t="s">
        <v>7851</v>
      </c>
      <c r="H2681" s="797" t="str">
        <f>VLOOKUP(G2681,SETTINGS!$B$7:$D$97,2,0)</f>
        <v>BAIO Fittings</v>
      </c>
      <c r="I2681" s="796">
        <f>VLOOKUP(G2681,SETTINGS!$B$7:$D$97,3,0)</f>
        <v>0</v>
      </c>
      <c r="J2681" s="670" t="str">
        <f>IFERROR(IF(CURRENCY.FORMAT_1=0,CONCATENATE(TEXT(FIXED(ROUND((C2681/EXC.RATE_1),CURRENCY.FORMAT_1),CURRENCY.FORMAT_1,1),"# ##0;-# ##0"),",-"),FIXED(ROUND((C2681/EXC.RATE_1),CURRENCY.FORMAT_1),CURRENCY.FORMAT_1,0)),'DICTIONARY-5'!$A$2)</f>
        <v>93,-</v>
      </c>
      <c r="K2681" s="670" t="str">
        <f>IF(EXC.RATE_2=0,"",IFERROR(IF(CURRENCY.FORMAT_2=0,CONCATENATE(TEXT(FIXED(ROUND(IF(EXC.RATE.SWITCH=1,C2681/EXC.RATE_2,C2681*EXC.RATE_2),CURRENCY.FORMAT_2),CURRENCY.FORMAT_2,1),"# ##0;-# ##0"),",-"),FIXED(ROUND(IF(EXC.RATE.SWITCH=1,C2681/EXC.RATE_2,C2681*EXC.RATE_2),CURRENCY.FORMAT_2),CURRENCY.FORMAT_2,0)),'DICTIONARY-5'!$A$2))</f>
        <v/>
      </c>
      <c r="L2681" s="670" t="str">
        <f>IFERROR(IF(CURRENCY.FORMAT_1=0,CONCATENATE(TEXT(FIXED(ROUND((C2681*(1-I2681)*(1-ADD.DISCOUNT)*(1+MAT.SURCHARGE)/EXC.RATE_1),CURRENCY.FORMAT_1),CURRENCY.FORMAT_1,1),"# ##0;-# ##0"),",-"),FIXED(ROUND((C2681*(1-I2681)*(1-ADD.DISCOUNT)*(1+MAT.SURCHARGE)/EXC.RATE_1),CURRENCY.FORMAT_1),CURRENCY.FORMAT_1,0)),'DICTIONARY-5'!$A$2)</f>
        <v>97,-</v>
      </c>
      <c r="M2681" s="670" t="str">
        <f>IF(EXC.RATE_2=0,"",IFERROR(IF(CURRENCY.FORMAT_2=0,CONCATENATE(TEXT(FIXED(ROUND(IF(EXC.RATE.SWITCH=1,C2681*(1-I2681)*(1-ADD.DISCOUNT)*(1+MAT.SURCHARGE)/EXC.RATE_2,C2681*(1-I2681)*(1-ADD.DISCOUNT)*(1+MAT.SURCHARGE)*EXC.RATE_2),CURRENCY.FORMAT_2),CURRENCY.FORMAT_2,1),"# ##0;-# ##0"),",-"),FIXED(ROUND(IF(EXC.RATE.SWITCH=1,C2681*(1-I2681)*(1-ADD.DISCOUNT)*(1+MAT.SURCHARGE)/EXC.RATE_2,C2681*(1-I2681)*(1-ADD.DISCOUNT)*(1+MAT.SURCHARGE)*EXC.RATE_2),CURRENCY.FORMAT_2),CURRENCY.FORMAT_2,0)),'DICTIONARY-5'!$A$2))</f>
        <v/>
      </c>
      <c r="N2681" s="535">
        <v>12</v>
      </c>
      <c r="O2681" s="535"/>
      <c r="P2681" s="732" t="str">
        <f>'DICTIONARY-3'!$A$180</f>
        <v>BAIOstop</v>
      </c>
      <c r="Q2681" s="732" t="str">
        <f>'DICTIONARY-3'!$A$224</f>
        <v>Zabezpieczenie przed wyrwaniem</v>
      </c>
      <c r="R2681" s="732" t="str">
        <f>CONCATENATE('DICTIONARY-3'!$A$180," ",'DICTIONARY-3'!$A$224," ",'DICTIONARY-2'!$A$2,"100"," ",'DICTIONARY-2'!$A$5,"125"," ",'DICTIONARY-2'!$A$10,"16",'DICTIONARY-2'!$A$20,", ",'DICTIONARY-6'!$A$76," ",'DICTIONARY-5'!$A$57)</f>
        <v>BAIOstop Zabezpieczenie przed wyrwaniem DN100 Da125 PS16bar, ruroc. PE</v>
      </c>
      <c r="S2681" s="733" t="s">
        <v>5569</v>
      </c>
      <c r="T2681" s="732" t="s">
        <v>5569</v>
      </c>
      <c r="U2681" s="734" t="s">
        <v>5749</v>
      </c>
      <c r="V2681" s="735"/>
      <c r="W2681" s="744" t="s">
        <v>5761</v>
      </c>
      <c r="X2681" s="737"/>
      <c r="Y2681" s="738"/>
      <c r="Z2681" s="739"/>
      <c r="AA2681" s="739"/>
      <c r="AB2681" s="740">
        <v>16</v>
      </c>
      <c r="AC2681" s="741"/>
      <c r="AD2681" s="741" t="str">
        <f>'DICTIONARY-5'!$A$13</f>
        <v>woda pitna</v>
      </c>
      <c r="AE2681" s="742">
        <v>50</v>
      </c>
      <c r="AF2681" s="743">
        <v>3.5</v>
      </c>
      <c r="AG2681" s="741" t="str">
        <f>'DICTIONARY-5'!$A$23</f>
        <v>powłoka epoksydowa</v>
      </c>
    </row>
    <row r="2682" spans="1:33" x14ac:dyDescent="0.25">
      <c r="A2682" s="869" t="s">
        <v>2553</v>
      </c>
      <c r="B2682" s="869" t="s">
        <v>2873</v>
      </c>
      <c r="C2682" s="836">
        <v>87</v>
      </c>
      <c r="D2682" s="836"/>
      <c r="E2682" s="836"/>
      <c r="F2682" s="836"/>
      <c r="G2682" s="496" t="s">
        <v>7851</v>
      </c>
      <c r="H2682" s="797" t="str">
        <f>VLOOKUP(G2682,SETTINGS!$B$7:$D$97,2,0)</f>
        <v>BAIO Fittings</v>
      </c>
      <c r="I2682" s="796">
        <f>VLOOKUP(G2682,SETTINGS!$B$7:$D$97,3,0)</f>
        <v>0</v>
      </c>
      <c r="J2682" s="670" t="str">
        <f>IFERROR(IF(CURRENCY.FORMAT_1=0,CONCATENATE(TEXT(FIXED(ROUND((C2682/EXC.RATE_1),CURRENCY.FORMAT_1),CURRENCY.FORMAT_1,1),"# ##0;-# ##0"),",-"),FIXED(ROUND((C2682/EXC.RATE_1),CURRENCY.FORMAT_1),CURRENCY.FORMAT_1,0)),'DICTIONARY-5'!$A$2)</f>
        <v>87,-</v>
      </c>
      <c r="K2682" s="670" t="str">
        <f>IF(EXC.RATE_2=0,"",IFERROR(IF(CURRENCY.FORMAT_2=0,CONCATENATE(TEXT(FIXED(ROUND(IF(EXC.RATE.SWITCH=1,C2682/EXC.RATE_2,C2682*EXC.RATE_2),CURRENCY.FORMAT_2),CURRENCY.FORMAT_2,1),"# ##0;-# ##0"),",-"),FIXED(ROUND(IF(EXC.RATE.SWITCH=1,C2682/EXC.RATE_2,C2682*EXC.RATE_2),CURRENCY.FORMAT_2),CURRENCY.FORMAT_2,0)),'DICTIONARY-5'!$A$2))</f>
        <v/>
      </c>
      <c r="L2682" s="670" t="str">
        <f>IFERROR(IF(CURRENCY.FORMAT_1=0,CONCATENATE(TEXT(FIXED(ROUND((C2682*(1-I2682)*(1-ADD.DISCOUNT)*(1+MAT.SURCHARGE)/EXC.RATE_1),CURRENCY.FORMAT_1),CURRENCY.FORMAT_1,1),"# ##0;-# ##0"),",-"),FIXED(ROUND((C2682*(1-I2682)*(1-ADD.DISCOUNT)*(1+MAT.SURCHARGE)/EXC.RATE_1),CURRENCY.FORMAT_1),CURRENCY.FORMAT_1,0)),'DICTIONARY-5'!$A$2)</f>
        <v>90,-</v>
      </c>
      <c r="M2682" s="670" t="str">
        <f>IF(EXC.RATE_2=0,"",IFERROR(IF(CURRENCY.FORMAT_2=0,CONCATENATE(TEXT(FIXED(ROUND(IF(EXC.RATE.SWITCH=1,C2682*(1-I2682)*(1-ADD.DISCOUNT)*(1+MAT.SURCHARGE)/EXC.RATE_2,C2682*(1-I2682)*(1-ADD.DISCOUNT)*(1+MAT.SURCHARGE)*EXC.RATE_2),CURRENCY.FORMAT_2),CURRENCY.FORMAT_2,1),"# ##0;-# ##0"),",-"),FIXED(ROUND(IF(EXC.RATE.SWITCH=1,C2682*(1-I2682)*(1-ADD.DISCOUNT)*(1+MAT.SURCHARGE)/EXC.RATE_2,C2682*(1-I2682)*(1-ADD.DISCOUNT)*(1+MAT.SURCHARGE)*EXC.RATE_2),CURRENCY.FORMAT_2),CURRENCY.FORMAT_2,0)),'DICTIONARY-5'!$A$2))</f>
        <v/>
      </c>
      <c r="N2682" s="535">
        <v>12</v>
      </c>
      <c r="O2682" s="535"/>
      <c r="P2682" s="732" t="str">
        <f>'DICTIONARY-3'!$A$180</f>
        <v>BAIOstop</v>
      </c>
      <c r="Q2682" s="732" t="str">
        <f>'DICTIONARY-3'!$A$224</f>
        <v>Zabezpieczenie przed wyrwaniem</v>
      </c>
      <c r="R2682" s="732" t="str">
        <f>CONCATENATE('DICTIONARY-3'!$A$180," ",'DICTIONARY-3'!$A$224," ",'DICTIONARY-2'!$A$2,"125"," ",'DICTIONARY-2'!$A$5,"125"," ",'DICTIONARY-2'!$A$10,"16",'DICTIONARY-2'!$A$20,", ",'DICTIONARY-6'!$A$76," ",'DICTIONARY-5'!$A$57)</f>
        <v>BAIOstop Zabezpieczenie przed wyrwaniem DN125 Da125 PS16bar, ruroc. PE</v>
      </c>
      <c r="S2682" s="733" t="s">
        <v>5569</v>
      </c>
      <c r="T2682" s="732" t="s">
        <v>5569</v>
      </c>
      <c r="U2682" s="734" t="s">
        <v>5761</v>
      </c>
      <c r="V2682" s="735"/>
      <c r="W2682" s="744" t="s">
        <v>5761</v>
      </c>
      <c r="X2682" s="737"/>
      <c r="Y2682" s="738"/>
      <c r="Z2682" s="739"/>
      <c r="AA2682" s="739"/>
      <c r="AB2682" s="740">
        <v>16</v>
      </c>
      <c r="AC2682" s="741"/>
      <c r="AD2682" s="741" t="str">
        <f>'DICTIONARY-5'!$A$13</f>
        <v>woda pitna</v>
      </c>
      <c r="AE2682" s="742">
        <v>50</v>
      </c>
      <c r="AF2682" s="743">
        <v>4.5</v>
      </c>
      <c r="AG2682" s="741" t="str">
        <f>'DICTIONARY-5'!$A$23</f>
        <v>powłoka epoksydowa</v>
      </c>
    </row>
    <row r="2683" spans="1:33" x14ac:dyDescent="0.25">
      <c r="A2683" s="869" t="s">
        <v>2554</v>
      </c>
      <c r="B2683" s="869" t="s">
        <v>2886</v>
      </c>
      <c r="C2683" s="836">
        <v>103</v>
      </c>
      <c r="D2683" s="836"/>
      <c r="E2683" s="836"/>
      <c r="F2683" s="836"/>
      <c r="G2683" s="496" t="s">
        <v>7851</v>
      </c>
      <c r="H2683" s="797" t="str">
        <f>VLOOKUP(G2683,SETTINGS!$B$7:$D$97,2,0)</f>
        <v>BAIO Fittings</v>
      </c>
      <c r="I2683" s="796">
        <f>VLOOKUP(G2683,SETTINGS!$B$7:$D$97,3,0)</f>
        <v>0</v>
      </c>
      <c r="J2683" s="670" t="str">
        <f>IFERROR(IF(CURRENCY.FORMAT_1=0,CONCATENATE(TEXT(FIXED(ROUND((C2683/EXC.RATE_1),CURRENCY.FORMAT_1),CURRENCY.FORMAT_1,1),"# ##0;-# ##0"),",-"),FIXED(ROUND((C2683/EXC.RATE_1),CURRENCY.FORMAT_1),CURRENCY.FORMAT_1,0)),'DICTIONARY-5'!$A$2)</f>
        <v>103,-</v>
      </c>
      <c r="K2683" s="670" t="str">
        <f>IF(EXC.RATE_2=0,"",IFERROR(IF(CURRENCY.FORMAT_2=0,CONCATENATE(TEXT(FIXED(ROUND(IF(EXC.RATE.SWITCH=1,C2683/EXC.RATE_2,C2683*EXC.RATE_2),CURRENCY.FORMAT_2),CURRENCY.FORMAT_2,1),"# ##0;-# ##0"),",-"),FIXED(ROUND(IF(EXC.RATE.SWITCH=1,C2683/EXC.RATE_2,C2683*EXC.RATE_2),CURRENCY.FORMAT_2),CURRENCY.FORMAT_2,0)),'DICTIONARY-5'!$A$2))</f>
        <v/>
      </c>
      <c r="L2683" s="670" t="str">
        <f>IFERROR(IF(CURRENCY.FORMAT_1=0,CONCATENATE(TEXT(FIXED(ROUND((C2683*(1-I2683)*(1-ADD.DISCOUNT)*(1+MAT.SURCHARGE)/EXC.RATE_1),CURRENCY.FORMAT_1),CURRENCY.FORMAT_1,1),"# ##0;-# ##0"),",-"),FIXED(ROUND((C2683*(1-I2683)*(1-ADD.DISCOUNT)*(1+MAT.SURCHARGE)/EXC.RATE_1),CURRENCY.FORMAT_1),CURRENCY.FORMAT_1,0)),'DICTIONARY-5'!$A$2)</f>
        <v>107,-</v>
      </c>
      <c r="M2683" s="670" t="str">
        <f>IF(EXC.RATE_2=0,"",IFERROR(IF(CURRENCY.FORMAT_2=0,CONCATENATE(TEXT(FIXED(ROUND(IF(EXC.RATE.SWITCH=1,C2683*(1-I2683)*(1-ADD.DISCOUNT)*(1+MAT.SURCHARGE)/EXC.RATE_2,C2683*(1-I2683)*(1-ADD.DISCOUNT)*(1+MAT.SURCHARGE)*EXC.RATE_2),CURRENCY.FORMAT_2),CURRENCY.FORMAT_2,1),"# ##0;-# ##0"),",-"),FIXED(ROUND(IF(EXC.RATE.SWITCH=1,C2683*(1-I2683)*(1-ADD.DISCOUNT)*(1+MAT.SURCHARGE)/EXC.RATE_2,C2683*(1-I2683)*(1-ADD.DISCOUNT)*(1+MAT.SURCHARGE)*EXC.RATE_2),CURRENCY.FORMAT_2),CURRENCY.FORMAT_2,0)),'DICTIONARY-5'!$A$2))</f>
        <v/>
      </c>
      <c r="N2683" s="535">
        <v>12</v>
      </c>
      <c r="O2683" s="535"/>
      <c r="P2683" s="732" t="str">
        <f>'DICTIONARY-3'!$A$180</f>
        <v>BAIOstop</v>
      </c>
      <c r="Q2683" s="732" t="str">
        <f>'DICTIONARY-3'!$A$224</f>
        <v>Zabezpieczenie przed wyrwaniem</v>
      </c>
      <c r="R2683" s="732" t="str">
        <f>CONCATENATE('DICTIONARY-3'!$A$180," ",'DICTIONARY-3'!$A$224," ",'DICTIONARY-2'!$A$2,"125"," ",'DICTIONARY-2'!$A$5,"140"," ",'DICTIONARY-2'!$A$10,"16",'DICTIONARY-2'!$A$20,", ",'DICTIONARY-6'!$A$76," ",'DICTIONARY-5'!$A$57)</f>
        <v>BAIOstop Zabezpieczenie przed wyrwaniem DN125 Da140 PS16bar, ruroc. PE</v>
      </c>
      <c r="S2683" s="733" t="s">
        <v>5569</v>
      </c>
      <c r="T2683" s="732" t="s">
        <v>5569</v>
      </c>
      <c r="U2683" s="734" t="s">
        <v>5761</v>
      </c>
      <c r="V2683" s="735"/>
      <c r="W2683" s="744" t="s">
        <v>7341</v>
      </c>
      <c r="X2683" s="737"/>
      <c r="Y2683" s="738"/>
      <c r="Z2683" s="739"/>
      <c r="AA2683" s="739"/>
      <c r="AB2683" s="740">
        <v>16</v>
      </c>
      <c r="AC2683" s="741"/>
      <c r="AD2683" s="741" t="str">
        <f>'DICTIONARY-5'!$A$13</f>
        <v>woda pitna</v>
      </c>
      <c r="AE2683" s="742">
        <v>50</v>
      </c>
      <c r="AF2683" s="743">
        <v>5</v>
      </c>
      <c r="AG2683" s="741" t="str">
        <f>'DICTIONARY-5'!$A$23</f>
        <v>powłoka epoksydowa</v>
      </c>
    </row>
    <row r="2684" spans="1:33" x14ac:dyDescent="0.25">
      <c r="A2684" s="869" t="s">
        <v>2555</v>
      </c>
      <c r="B2684" s="869" t="s">
        <v>2876</v>
      </c>
      <c r="C2684" s="836">
        <v>105</v>
      </c>
      <c r="D2684" s="836"/>
      <c r="E2684" s="836"/>
      <c r="F2684" s="836"/>
      <c r="G2684" s="496" t="s">
        <v>7851</v>
      </c>
      <c r="H2684" s="797" t="str">
        <f>VLOOKUP(G2684,SETTINGS!$B$7:$D$97,2,0)</f>
        <v>BAIO Fittings</v>
      </c>
      <c r="I2684" s="796">
        <f>VLOOKUP(G2684,SETTINGS!$B$7:$D$97,3,0)</f>
        <v>0</v>
      </c>
      <c r="J2684" s="670" t="str">
        <f>IFERROR(IF(CURRENCY.FORMAT_1=0,CONCATENATE(TEXT(FIXED(ROUND((C2684/EXC.RATE_1),CURRENCY.FORMAT_1),CURRENCY.FORMAT_1,1),"# ##0;-# ##0"),",-"),FIXED(ROUND((C2684/EXC.RATE_1),CURRENCY.FORMAT_1),CURRENCY.FORMAT_1,0)),'DICTIONARY-5'!$A$2)</f>
        <v>105,-</v>
      </c>
      <c r="K2684" s="670" t="str">
        <f>IF(EXC.RATE_2=0,"",IFERROR(IF(CURRENCY.FORMAT_2=0,CONCATENATE(TEXT(FIXED(ROUND(IF(EXC.RATE.SWITCH=1,C2684/EXC.RATE_2,C2684*EXC.RATE_2),CURRENCY.FORMAT_2),CURRENCY.FORMAT_2,1),"# ##0;-# ##0"),",-"),FIXED(ROUND(IF(EXC.RATE.SWITCH=1,C2684/EXC.RATE_2,C2684*EXC.RATE_2),CURRENCY.FORMAT_2),CURRENCY.FORMAT_2,0)),'DICTIONARY-5'!$A$2))</f>
        <v/>
      </c>
      <c r="L2684" s="670" t="str">
        <f>IFERROR(IF(CURRENCY.FORMAT_1=0,CONCATENATE(TEXT(FIXED(ROUND((C2684*(1-I2684)*(1-ADD.DISCOUNT)*(1+MAT.SURCHARGE)/EXC.RATE_1),CURRENCY.FORMAT_1),CURRENCY.FORMAT_1,1),"# ##0;-# ##0"),",-"),FIXED(ROUND((C2684*(1-I2684)*(1-ADD.DISCOUNT)*(1+MAT.SURCHARGE)/EXC.RATE_1),CURRENCY.FORMAT_1),CURRENCY.FORMAT_1,0)),'DICTIONARY-5'!$A$2)</f>
        <v>109,-</v>
      </c>
      <c r="M2684" s="670" t="str">
        <f>IF(EXC.RATE_2=0,"",IFERROR(IF(CURRENCY.FORMAT_2=0,CONCATENATE(TEXT(FIXED(ROUND(IF(EXC.RATE.SWITCH=1,C2684*(1-I2684)*(1-ADD.DISCOUNT)*(1+MAT.SURCHARGE)/EXC.RATE_2,C2684*(1-I2684)*(1-ADD.DISCOUNT)*(1+MAT.SURCHARGE)*EXC.RATE_2),CURRENCY.FORMAT_2),CURRENCY.FORMAT_2,1),"# ##0;-# ##0"),",-"),FIXED(ROUND(IF(EXC.RATE.SWITCH=1,C2684*(1-I2684)*(1-ADD.DISCOUNT)*(1+MAT.SURCHARGE)/EXC.RATE_2,C2684*(1-I2684)*(1-ADD.DISCOUNT)*(1+MAT.SURCHARGE)*EXC.RATE_2),CURRENCY.FORMAT_2),CURRENCY.FORMAT_2,0)),'DICTIONARY-5'!$A$2))</f>
        <v/>
      </c>
      <c r="N2684" s="535">
        <v>12</v>
      </c>
      <c r="O2684" s="535"/>
      <c r="P2684" s="732" t="str">
        <f>'DICTIONARY-3'!$A$180</f>
        <v>BAIOstop</v>
      </c>
      <c r="Q2684" s="732" t="str">
        <f>'DICTIONARY-3'!$A$224</f>
        <v>Zabezpieczenie przed wyrwaniem</v>
      </c>
      <c r="R2684" s="732" t="str">
        <f>CONCATENATE('DICTIONARY-3'!$A$180," ",'DICTIONARY-3'!$A$224," ",'DICTIONARY-2'!$A$2,"150"," ",'DICTIONARY-2'!$A$5,"160"," ",'DICTIONARY-2'!$A$10,"16",'DICTIONARY-2'!$A$20,", ",'DICTIONARY-6'!$A$76," ",'DICTIONARY-5'!$A$57)</f>
        <v>BAIOstop Zabezpieczenie przed wyrwaniem DN150 Da160 PS16bar, ruroc. PE</v>
      </c>
      <c r="S2684" s="733" t="s">
        <v>5569</v>
      </c>
      <c r="T2684" s="732" t="s">
        <v>5569</v>
      </c>
      <c r="U2684" s="734" t="s">
        <v>5572</v>
      </c>
      <c r="V2684" s="735"/>
      <c r="W2684" s="744" t="s">
        <v>7342</v>
      </c>
      <c r="X2684" s="737"/>
      <c r="Y2684" s="738"/>
      <c r="Z2684" s="739"/>
      <c r="AA2684" s="739"/>
      <c r="AB2684" s="740">
        <v>16</v>
      </c>
      <c r="AC2684" s="741"/>
      <c r="AD2684" s="741" t="str">
        <f>'DICTIONARY-5'!$A$13</f>
        <v>woda pitna</v>
      </c>
      <c r="AE2684" s="742">
        <v>50</v>
      </c>
      <c r="AF2684" s="743">
        <v>5.5</v>
      </c>
      <c r="AG2684" s="741" t="str">
        <f>'DICTIONARY-5'!$A$23</f>
        <v>powłoka epoksydowa</v>
      </c>
    </row>
    <row r="2685" spans="1:33" x14ac:dyDescent="0.25">
      <c r="A2685" s="869" t="s">
        <v>2556</v>
      </c>
      <c r="B2685" s="869" t="s">
        <v>2887</v>
      </c>
      <c r="C2685" s="836">
        <v>136</v>
      </c>
      <c r="D2685" s="836"/>
      <c r="E2685" s="836"/>
      <c r="F2685" s="836"/>
      <c r="G2685" s="496" t="s">
        <v>7851</v>
      </c>
      <c r="H2685" s="797" t="str">
        <f>VLOOKUP(G2685,SETTINGS!$B$7:$D$97,2,0)</f>
        <v>BAIO Fittings</v>
      </c>
      <c r="I2685" s="796">
        <f>VLOOKUP(G2685,SETTINGS!$B$7:$D$97,3,0)</f>
        <v>0</v>
      </c>
      <c r="J2685" s="670" t="str">
        <f>IFERROR(IF(CURRENCY.FORMAT_1=0,CONCATENATE(TEXT(FIXED(ROUND((C2685/EXC.RATE_1),CURRENCY.FORMAT_1),CURRENCY.FORMAT_1,1),"# ##0;-# ##0"),",-"),FIXED(ROUND((C2685/EXC.RATE_1),CURRENCY.FORMAT_1),CURRENCY.FORMAT_1,0)),'DICTIONARY-5'!$A$2)</f>
        <v>136,-</v>
      </c>
      <c r="K2685" s="670" t="str">
        <f>IF(EXC.RATE_2=0,"",IFERROR(IF(CURRENCY.FORMAT_2=0,CONCATENATE(TEXT(FIXED(ROUND(IF(EXC.RATE.SWITCH=1,C2685/EXC.RATE_2,C2685*EXC.RATE_2),CURRENCY.FORMAT_2),CURRENCY.FORMAT_2,1),"# ##0;-# ##0"),",-"),FIXED(ROUND(IF(EXC.RATE.SWITCH=1,C2685/EXC.RATE_2,C2685*EXC.RATE_2),CURRENCY.FORMAT_2),CURRENCY.FORMAT_2,0)),'DICTIONARY-5'!$A$2))</f>
        <v/>
      </c>
      <c r="L2685" s="670" t="str">
        <f>IFERROR(IF(CURRENCY.FORMAT_1=0,CONCATENATE(TEXT(FIXED(ROUND((C2685*(1-I2685)*(1-ADD.DISCOUNT)*(1+MAT.SURCHARGE)/EXC.RATE_1),CURRENCY.FORMAT_1),CURRENCY.FORMAT_1,1),"# ##0;-# ##0"),",-"),FIXED(ROUND((C2685*(1-I2685)*(1-ADD.DISCOUNT)*(1+MAT.SURCHARGE)/EXC.RATE_1),CURRENCY.FORMAT_1),CURRENCY.FORMAT_1,0)),'DICTIONARY-5'!$A$2)</f>
        <v>141,-</v>
      </c>
      <c r="M2685" s="670" t="str">
        <f>IF(EXC.RATE_2=0,"",IFERROR(IF(CURRENCY.FORMAT_2=0,CONCATENATE(TEXT(FIXED(ROUND(IF(EXC.RATE.SWITCH=1,C2685*(1-I2685)*(1-ADD.DISCOUNT)*(1+MAT.SURCHARGE)/EXC.RATE_2,C2685*(1-I2685)*(1-ADD.DISCOUNT)*(1+MAT.SURCHARGE)*EXC.RATE_2),CURRENCY.FORMAT_2),CURRENCY.FORMAT_2,1),"# ##0;-# ##0"),",-"),FIXED(ROUND(IF(EXC.RATE.SWITCH=1,C2685*(1-I2685)*(1-ADD.DISCOUNT)*(1+MAT.SURCHARGE)/EXC.RATE_2,C2685*(1-I2685)*(1-ADD.DISCOUNT)*(1+MAT.SURCHARGE)*EXC.RATE_2),CURRENCY.FORMAT_2),CURRENCY.FORMAT_2,0)),'DICTIONARY-5'!$A$2))</f>
        <v/>
      </c>
      <c r="N2685" s="535">
        <v>12</v>
      </c>
      <c r="O2685" s="535"/>
      <c r="P2685" s="732" t="str">
        <f>'DICTIONARY-3'!$A$180</f>
        <v>BAIOstop</v>
      </c>
      <c r="Q2685" s="732" t="str">
        <f>'DICTIONARY-3'!$A$224</f>
        <v>Zabezpieczenie przed wyrwaniem</v>
      </c>
      <c r="R2685" s="732" t="str">
        <f>CONCATENATE('DICTIONARY-3'!$A$180," ",'DICTIONARY-3'!$A$224," ",'DICTIONARY-2'!$A$2,"150"," ",'DICTIONARY-2'!$A$5,"180"," ",'DICTIONARY-2'!$A$10,"16",'DICTIONARY-2'!$A$20,", ",'DICTIONARY-6'!$A$76," ",'DICTIONARY-5'!$A$57)</f>
        <v>BAIOstop Zabezpieczenie przed wyrwaniem DN150 Da180 PS16bar, ruroc. PE</v>
      </c>
      <c r="S2685" s="733" t="s">
        <v>5569</v>
      </c>
      <c r="T2685" s="732" t="s">
        <v>5569</v>
      </c>
      <c r="U2685" s="734" t="s">
        <v>5572</v>
      </c>
      <c r="V2685" s="735"/>
      <c r="W2685" s="744" t="s">
        <v>7343</v>
      </c>
      <c r="X2685" s="737"/>
      <c r="Y2685" s="738"/>
      <c r="Z2685" s="739"/>
      <c r="AA2685" s="739"/>
      <c r="AB2685" s="740">
        <v>16</v>
      </c>
      <c r="AC2685" s="741"/>
      <c r="AD2685" s="741" t="str">
        <f>'DICTIONARY-5'!$A$13</f>
        <v>woda pitna</v>
      </c>
      <c r="AE2685" s="742">
        <v>50</v>
      </c>
      <c r="AF2685" s="743">
        <v>7</v>
      </c>
      <c r="AG2685" s="741" t="str">
        <f>'DICTIONARY-5'!$A$23</f>
        <v>powłoka epoksydowa</v>
      </c>
    </row>
    <row r="2686" spans="1:33" x14ac:dyDescent="0.25">
      <c r="A2686" s="869" t="s">
        <v>2557</v>
      </c>
      <c r="B2686" s="869" t="s">
        <v>2888</v>
      </c>
      <c r="C2686" s="836">
        <v>148</v>
      </c>
      <c r="D2686" s="836"/>
      <c r="E2686" s="836"/>
      <c r="F2686" s="836"/>
      <c r="G2686" s="496" t="s">
        <v>7851</v>
      </c>
      <c r="H2686" s="797" t="str">
        <f>VLOOKUP(G2686,SETTINGS!$B$7:$D$97,2,0)</f>
        <v>BAIO Fittings</v>
      </c>
      <c r="I2686" s="796">
        <f>VLOOKUP(G2686,SETTINGS!$B$7:$D$97,3,0)</f>
        <v>0</v>
      </c>
      <c r="J2686" s="670" t="str">
        <f>IFERROR(IF(CURRENCY.FORMAT_1=0,CONCATENATE(TEXT(FIXED(ROUND((C2686/EXC.RATE_1),CURRENCY.FORMAT_1),CURRENCY.FORMAT_1,1),"# ##0;-# ##0"),",-"),FIXED(ROUND((C2686/EXC.RATE_1),CURRENCY.FORMAT_1),CURRENCY.FORMAT_1,0)),'DICTIONARY-5'!$A$2)</f>
        <v>148,-</v>
      </c>
      <c r="K2686" s="670" t="str">
        <f>IF(EXC.RATE_2=0,"",IFERROR(IF(CURRENCY.FORMAT_2=0,CONCATENATE(TEXT(FIXED(ROUND(IF(EXC.RATE.SWITCH=1,C2686/EXC.RATE_2,C2686*EXC.RATE_2),CURRENCY.FORMAT_2),CURRENCY.FORMAT_2,1),"# ##0;-# ##0"),",-"),FIXED(ROUND(IF(EXC.RATE.SWITCH=1,C2686/EXC.RATE_2,C2686*EXC.RATE_2),CURRENCY.FORMAT_2),CURRENCY.FORMAT_2,0)),'DICTIONARY-5'!$A$2))</f>
        <v/>
      </c>
      <c r="L2686" s="670" t="str">
        <f>IFERROR(IF(CURRENCY.FORMAT_1=0,CONCATENATE(TEXT(FIXED(ROUND((C2686*(1-I2686)*(1-ADD.DISCOUNT)*(1+MAT.SURCHARGE)/EXC.RATE_1),CURRENCY.FORMAT_1),CURRENCY.FORMAT_1,1),"# ##0;-# ##0"),",-"),FIXED(ROUND((C2686*(1-I2686)*(1-ADD.DISCOUNT)*(1+MAT.SURCHARGE)/EXC.RATE_1),CURRENCY.FORMAT_1),CURRENCY.FORMAT_1,0)),'DICTIONARY-5'!$A$2)</f>
        <v>154,-</v>
      </c>
      <c r="M2686" s="670" t="str">
        <f>IF(EXC.RATE_2=0,"",IFERROR(IF(CURRENCY.FORMAT_2=0,CONCATENATE(TEXT(FIXED(ROUND(IF(EXC.RATE.SWITCH=1,C2686*(1-I2686)*(1-ADD.DISCOUNT)*(1+MAT.SURCHARGE)/EXC.RATE_2,C2686*(1-I2686)*(1-ADD.DISCOUNT)*(1+MAT.SURCHARGE)*EXC.RATE_2),CURRENCY.FORMAT_2),CURRENCY.FORMAT_2,1),"# ##0;-# ##0"),",-"),FIXED(ROUND(IF(EXC.RATE.SWITCH=1,C2686*(1-I2686)*(1-ADD.DISCOUNT)*(1+MAT.SURCHARGE)/EXC.RATE_2,C2686*(1-I2686)*(1-ADD.DISCOUNT)*(1+MAT.SURCHARGE)*EXC.RATE_2),CURRENCY.FORMAT_2),CURRENCY.FORMAT_2,0)),'DICTIONARY-5'!$A$2))</f>
        <v/>
      </c>
      <c r="N2686" s="535">
        <v>12</v>
      </c>
      <c r="O2686" s="535"/>
      <c r="P2686" s="732" t="str">
        <f>'DICTIONARY-3'!$A$180</f>
        <v>BAIOstop</v>
      </c>
      <c r="Q2686" s="732" t="str">
        <f>'DICTIONARY-3'!$A$224</f>
        <v>Zabezpieczenie przed wyrwaniem</v>
      </c>
      <c r="R2686" s="732" t="str">
        <f>CONCATENATE('DICTIONARY-3'!$A$180," ",'DICTIONARY-3'!$A$224," ",'DICTIONARY-2'!$A$2,"200"," ",'DICTIONARY-2'!$A$5,"200"," ",'DICTIONARY-2'!$A$10,"16",'DICTIONARY-2'!$A$20,", ",'DICTIONARY-6'!$A$76," ",'DICTIONARY-5'!$A$57)</f>
        <v>BAIOstop Zabezpieczenie przed wyrwaniem DN200 Da200 PS16bar, ruroc. PE</v>
      </c>
      <c r="S2686" s="733" t="s">
        <v>5569</v>
      </c>
      <c r="T2686" s="732" t="s">
        <v>5569</v>
      </c>
      <c r="U2686" s="734" t="s">
        <v>5750</v>
      </c>
      <c r="V2686" s="735"/>
      <c r="W2686" s="744" t="s">
        <v>5750</v>
      </c>
      <c r="X2686" s="737"/>
      <c r="Y2686" s="738"/>
      <c r="Z2686" s="739"/>
      <c r="AA2686" s="739"/>
      <c r="AB2686" s="740">
        <v>16</v>
      </c>
      <c r="AC2686" s="741"/>
      <c r="AD2686" s="741" t="str">
        <f>'DICTIONARY-5'!$A$13</f>
        <v>woda pitna</v>
      </c>
      <c r="AE2686" s="742">
        <v>50</v>
      </c>
      <c r="AF2686" s="743">
        <v>9.25</v>
      </c>
      <c r="AG2686" s="741" t="str">
        <f>'DICTIONARY-5'!$A$23</f>
        <v>powłoka epoksydowa</v>
      </c>
    </row>
    <row r="2687" spans="1:33" x14ac:dyDescent="0.25">
      <c r="A2687" s="869" t="s">
        <v>2558</v>
      </c>
      <c r="B2687" s="869" t="s">
        <v>2877</v>
      </c>
      <c r="C2687" s="836">
        <v>153</v>
      </c>
      <c r="D2687" s="836"/>
      <c r="E2687" s="836"/>
      <c r="F2687" s="836"/>
      <c r="G2687" s="496" t="s">
        <v>7851</v>
      </c>
      <c r="H2687" s="797" t="str">
        <f>VLOOKUP(G2687,SETTINGS!$B$7:$D$97,2,0)</f>
        <v>BAIO Fittings</v>
      </c>
      <c r="I2687" s="796">
        <f>VLOOKUP(G2687,SETTINGS!$B$7:$D$97,3,0)</f>
        <v>0</v>
      </c>
      <c r="J2687" s="670" t="str">
        <f>IFERROR(IF(CURRENCY.FORMAT_1=0,CONCATENATE(TEXT(FIXED(ROUND((C2687/EXC.RATE_1),CURRENCY.FORMAT_1),CURRENCY.FORMAT_1,1),"# ##0;-# ##0"),",-"),FIXED(ROUND((C2687/EXC.RATE_1),CURRENCY.FORMAT_1),CURRENCY.FORMAT_1,0)),'DICTIONARY-5'!$A$2)</f>
        <v>153,-</v>
      </c>
      <c r="K2687" s="670" t="str">
        <f>IF(EXC.RATE_2=0,"",IFERROR(IF(CURRENCY.FORMAT_2=0,CONCATENATE(TEXT(FIXED(ROUND(IF(EXC.RATE.SWITCH=1,C2687/EXC.RATE_2,C2687*EXC.RATE_2),CURRENCY.FORMAT_2),CURRENCY.FORMAT_2,1),"# ##0;-# ##0"),",-"),FIXED(ROUND(IF(EXC.RATE.SWITCH=1,C2687/EXC.RATE_2,C2687*EXC.RATE_2),CURRENCY.FORMAT_2),CURRENCY.FORMAT_2,0)),'DICTIONARY-5'!$A$2))</f>
        <v/>
      </c>
      <c r="L2687" s="670" t="str">
        <f>IFERROR(IF(CURRENCY.FORMAT_1=0,CONCATENATE(TEXT(FIXED(ROUND((C2687*(1-I2687)*(1-ADD.DISCOUNT)*(1+MAT.SURCHARGE)/EXC.RATE_1),CURRENCY.FORMAT_1),CURRENCY.FORMAT_1,1),"# ##0;-# ##0"),",-"),FIXED(ROUND((C2687*(1-I2687)*(1-ADD.DISCOUNT)*(1+MAT.SURCHARGE)/EXC.RATE_1),CURRENCY.FORMAT_1),CURRENCY.FORMAT_1,0)),'DICTIONARY-5'!$A$2)</f>
        <v>159,-</v>
      </c>
      <c r="M2687" s="670" t="str">
        <f>IF(EXC.RATE_2=0,"",IFERROR(IF(CURRENCY.FORMAT_2=0,CONCATENATE(TEXT(FIXED(ROUND(IF(EXC.RATE.SWITCH=1,C2687*(1-I2687)*(1-ADD.DISCOUNT)*(1+MAT.SURCHARGE)/EXC.RATE_2,C2687*(1-I2687)*(1-ADD.DISCOUNT)*(1+MAT.SURCHARGE)*EXC.RATE_2),CURRENCY.FORMAT_2),CURRENCY.FORMAT_2,1),"# ##0;-# ##0"),",-"),FIXED(ROUND(IF(EXC.RATE.SWITCH=1,C2687*(1-I2687)*(1-ADD.DISCOUNT)*(1+MAT.SURCHARGE)/EXC.RATE_2,C2687*(1-I2687)*(1-ADD.DISCOUNT)*(1+MAT.SURCHARGE)*EXC.RATE_2),CURRENCY.FORMAT_2),CURRENCY.FORMAT_2,0)),'DICTIONARY-5'!$A$2))</f>
        <v/>
      </c>
      <c r="N2687" s="535">
        <v>12</v>
      </c>
      <c r="O2687" s="535"/>
      <c r="P2687" s="732" t="str">
        <f>'DICTIONARY-3'!$A$180</f>
        <v>BAIOstop</v>
      </c>
      <c r="Q2687" s="732" t="str">
        <f>'DICTIONARY-3'!$A$224</f>
        <v>Zabezpieczenie przed wyrwaniem</v>
      </c>
      <c r="R2687" s="732" t="str">
        <f>CONCATENATE('DICTIONARY-3'!$A$180," ",'DICTIONARY-3'!$A$224," ",'DICTIONARY-2'!$A$2,"200"," ",'DICTIONARY-2'!$A$5,"225"," ",'DICTIONARY-2'!$A$10,"16",'DICTIONARY-2'!$A$20,", ",'DICTIONARY-6'!$A$76," ",'DICTIONARY-5'!$A$57)</f>
        <v>BAIOstop Zabezpieczenie przed wyrwaniem DN200 Da225 PS16bar, ruroc. PE</v>
      </c>
      <c r="S2687" s="733" t="s">
        <v>5569</v>
      </c>
      <c r="T2687" s="732" t="s">
        <v>5569</v>
      </c>
      <c r="U2687" s="734" t="s">
        <v>5750</v>
      </c>
      <c r="V2687" s="735"/>
      <c r="W2687" s="744" t="s">
        <v>5833</v>
      </c>
      <c r="X2687" s="737"/>
      <c r="Y2687" s="738"/>
      <c r="Z2687" s="739"/>
      <c r="AA2687" s="739"/>
      <c r="AB2687" s="740">
        <v>16</v>
      </c>
      <c r="AC2687" s="741"/>
      <c r="AD2687" s="741" t="str">
        <f>'DICTIONARY-5'!$A$13</f>
        <v>woda pitna</v>
      </c>
      <c r="AE2687" s="742">
        <v>50</v>
      </c>
      <c r="AF2687" s="743">
        <v>8.5</v>
      </c>
      <c r="AG2687" s="741" t="str">
        <f>'DICTIONARY-5'!$A$23</f>
        <v>powłoka epoksydowa</v>
      </c>
    </row>
    <row r="2688" spans="1:33" x14ac:dyDescent="0.25">
      <c r="A2688" s="869" t="s">
        <v>2581</v>
      </c>
      <c r="B2688" s="869" t="s">
        <v>2907</v>
      </c>
      <c r="C2688" s="836">
        <v>29</v>
      </c>
      <c r="D2688" s="836"/>
      <c r="E2688" s="836"/>
      <c r="F2688" s="836"/>
      <c r="G2688" s="496" t="s">
        <v>7851</v>
      </c>
      <c r="H2688" s="797" t="str">
        <f>VLOOKUP(G2688,SETTINGS!$B$7:$D$97,2,0)</f>
        <v>BAIO Fittings</v>
      </c>
      <c r="I2688" s="796">
        <f>VLOOKUP(G2688,SETTINGS!$B$7:$D$97,3,0)</f>
        <v>0</v>
      </c>
      <c r="J2688" s="670" t="str">
        <f>IFERROR(IF(CURRENCY.FORMAT_1=0,CONCATENATE(TEXT(FIXED(ROUND((C2688/EXC.RATE_1),CURRENCY.FORMAT_1),CURRENCY.FORMAT_1,1),"# ##0;-# ##0"),",-"),FIXED(ROUND((C2688/EXC.RATE_1),CURRENCY.FORMAT_1),CURRENCY.FORMAT_1,0)),'DICTIONARY-5'!$A$2)</f>
        <v>29,-</v>
      </c>
      <c r="K2688" s="670" t="str">
        <f>IF(EXC.RATE_2=0,"",IFERROR(IF(CURRENCY.FORMAT_2=0,CONCATENATE(TEXT(FIXED(ROUND(IF(EXC.RATE.SWITCH=1,C2688/EXC.RATE_2,C2688*EXC.RATE_2),CURRENCY.FORMAT_2),CURRENCY.FORMAT_2,1),"# ##0;-# ##0"),",-"),FIXED(ROUND(IF(EXC.RATE.SWITCH=1,C2688/EXC.RATE_2,C2688*EXC.RATE_2),CURRENCY.FORMAT_2),CURRENCY.FORMAT_2,0)),'DICTIONARY-5'!$A$2))</f>
        <v/>
      </c>
      <c r="L2688" s="670" t="str">
        <f>IFERROR(IF(CURRENCY.FORMAT_1=0,CONCATENATE(TEXT(FIXED(ROUND((C2688*(1-I2688)*(1-ADD.DISCOUNT)*(1+MAT.SURCHARGE)/EXC.RATE_1),CURRENCY.FORMAT_1),CURRENCY.FORMAT_1,1),"# ##0;-# ##0"),",-"),FIXED(ROUND((C2688*(1-I2688)*(1-ADD.DISCOUNT)*(1+MAT.SURCHARGE)/EXC.RATE_1),CURRENCY.FORMAT_1),CURRENCY.FORMAT_1,0)),'DICTIONARY-5'!$A$2)</f>
        <v>30,-</v>
      </c>
      <c r="M2688" s="670" t="str">
        <f>IF(EXC.RATE_2=0,"",IFERROR(IF(CURRENCY.FORMAT_2=0,CONCATENATE(TEXT(FIXED(ROUND(IF(EXC.RATE.SWITCH=1,C2688*(1-I2688)*(1-ADD.DISCOUNT)*(1+MAT.SURCHARGE)/EXC.RATE_2,C2688*(1-I2688)*(1-ADD.DISCOUNT)*(1+MAT.SURCHARGE)*EXC.RATE_2),CURRENCY.FORMAT_2),CURRENCY.FORMAT_2,1),"# ##0;-# ##0"),",-"),FIXED(ROUND(IF(EXC.RATE.SWITCH=1,C2688*(1-I2688)*(1-ADD.DISCOUNT)*(1+MAT.SURCHARGE)/EXC.RATE_2,C2688*(1-I2688)*(1-ADD.DISCOUNT)*(1+MAT.SURCHARGE)*EXC.RATE_2),CURRENCY.FORMAT_2),CURRENCY.FORMAT_2,0)),'DICTIONARY-5'!$A$2))</f>
        <v/>
      </c>
      <c r="N2688" s="535">
        <v>12</v>
      </c>
      <c r="O2688" s="535"/>
      <c r="P2688" s="732" t="str">
        <f>'DICTIONARY-3'!$A$153</f>
        <v>BAIO</v>
      </c>
      <c r="Q2688" s="732" t="str">
        <f>'DICTIONARY-3'!$A$226</f>
        <v>Tuleja wsporcza</v>
      </c>
      <c r="R2688" s="732" t="str">
        <f>CONCATENATE('DICTIONARY-3'!$A$153," ",'DICTIONARY-3'!$A$226," ",'DICTIONARY-2'!$A$2,"80"," ",'DICTIONARY-2'!$A$5,"90"," ",'DICTIONARY-5'!$A$60," ",'DICTIONARY-2'!$A$10,"16",'DICTIONARY-2'!$A$20)</f>
        <v>BAIO Tuleja wsporcza DN80 Da90 SDR 17 PS16bar</v>
      </c>
      <c r="S2688" s="733" t="s">
        <v>5569</v>
      </c>
      <c r="T2688" s="732" t="s">
        <v>5569</v>
      </c>
      <c r="U2688" s="734" t="s">
        <v>5760</v>
      </c>
      <c r="V2688" s="735"/>
      <c r="W2688" s="744" t="s">
        <v>7339</v>
      </c>
      <c r="X2688" s="737"/>
      <c r="Y2688" s="738"/>
      <c r="Z2688" s="739"/>
      <c r="AA2688" s="739"/>
      <c r="AB2688" s="740">
        <v>16</v>
      </c>
      <c r="AC2688" s="741" t="s">
        <v>5569</v>
      </c>
      <c r="AD2688" s="741" t="s">
        <v>5569</v>
      </c>
      <c r="AE2688" s="742" t="s">
        <v>5569</v>
      </c>
      <c r="AF2688" s="743">
        <v>0.29199999999999998</v>
      </c>
      <c r="AG2688" s="741" t="s">
        <v>5569</v>
      </c>
    </row>
    <row r="2689" spans="1:33" x14ac:dyDescent="0.25">
      <c r="A2689" s="869" t="s">
        <v>2583</v>
      </c>
      <c r="B2689" s="869" t="s">
        <v>2908</v>
      </c>
      <c r="C2689" s="836">
        <v>33</v>
      </c>
      <c r="D2689" s="836"/>
      <c r="E2689" s="836"/>
      <c r="F2689" s="836"/>
      <c r="G2689" s="496" t="s">
        <v>7851</v>
      </c>
      <c r="H2689" s="797" t="str">
        <f>VLOOKUP(G2689,SETTINGS!$B$7:$D$97,2,0)</f>
        <v>BAIO Fittings</v>
      </c>
      <c r="I2689" s="796">
        <f>VLOOKUP(G2689,SETTINGS!$B$7:$D$97,3,0)</f>
        <v>0</v>
      </c>
      <c r="J2689" s="670" t="str">
        <f>IFERROR(IF(CURRENCY.FORMAT_1=0,CONCATENATE(TEXT(FIXED(ROUND((C2689/EXC.RATE_1),CURRENCY.FORMAT_1),CURRENCY.FORMAT_1,1),"# ##0;-# ##0"),",-"),FIXED(ROUND((C2689/EXC.RATE_1),CURRENCY.FORMAT_1),CURRENCY.FORMAT_1,0)),'DICTIONARY-5'!$A$2)</f>
        <v>33,-</v>
      </c>
      <c r="K2689" s="670" t="str">
        <f>IF(EXC.RATE_2=0,"",IFERROR(IF(CURRENCY.FORMAT_2=0,CONCATENATE(TEXT(FIXED(ROUND(IF(EXC.RATE.SWITCH=1,C2689/EXC.RATE_2,C2689*EXC.RATE_2),CURRENCY.FORMAT_2),CURRENCY.FORMAT_2,1),"# ##0;-# ##0"),",-"),FIXED(ROUND(IF(EXC.RATE.SWITCH=1,C2689/EXC.RATE_2,C2689*EXC.RATE_2),CURRENCY.FORMAT_2),CURRENCY.FORMAT_2,0)),'DICTIONARY-5'!$A$2))</f>
        <v/>
      </c>
      <c r="L2689" s="670" t="str">
        <f>IFERROR(IF(CURRENCY.FORMAT_1=0,CONCATENATE(TEXT(FIXED(ROUND((C2689*(1-I2689)*(1-ADD.DISCOUNT)*(1+MAT.SURCHARGE)/EXC.RATE_1),CURRENCY.FORMAT_1),CURRENCY.FORMAT_1,1),"# ##0;-# ##0"),",-"),FIXED(ROUND((C2689*(1-I2689)*(1-ADD.DISCOUNT)*(1+MAT.SURCHARGE)/EXC.RATE_1),CURRENCY.FORMAT_1),CURRENCY.FORMAT_1,0)),'DICTIONARY-5'!$A$2)</f>
        <v>34,-</v>
      </c>
      <c r="M2689" s="670" t="str">
        <f>IF(EXC.RATE_2=0,"",IFERROR(IF(CURRENCY.FORMAT_2=0,CONCATENATE(TEXT(FIXED(ROUND(IF(EXC.RATE.SWITCH=1,C2689*(1-I2689)*(1-ADD.DISCOUNT)*(1+MAT.SURCHARGE)/EXC.RATE_2,C2689*(1-I2689)*(1-ADD.DISCOUNT)*(1+MAT.SURCHARGE)*EXC.RATE_2),CURRENCY.FORMAT_2),CURRENCY.FORMAT_2,1),"# ##0;-# ##0"),",-"),FIXED(ROUND(IF(EXC.RATE.SWITCH=1,C2689*(1-I2689)*(1-ADD.DISCOUNT)*(1+MAT.SURCHARGE)/EXC.RATE_2,C2689*(1-I2689)*(1-ADD.DISCOUNT)*(1+MAT.SURCHARGE)*EXC.RATE_2),CURRENCY.FORMAT_2),CURRENCY.FORMAT_2,0)),'DICTIONARY-5'!$A$2))</f>
        <v/>
      </c>
      <c r="N2689" s="535">
        <v>12</v>
      </c>
      <c r="O2689" s="535"/>
      <c r="P2689" s="732" t="str">
        <f>'DICTIONARY-3'!$A$153</f>
        <v>BAIO</v>
      </c>
      <c r="Q2689" s="732" t="str">
        <f>'DICTIONARY-3'!$A$226</f>
        <v>Tuleja wsporcza</v>
      </c>
      <c r="R2689" s="732" t="str">
        <f>CONCATENATE('DICTIONARY-3'!$A$153," ",'DICTIONARY-3'!$A$226," ",'DICTIONARY-2'!$A$2,"100"," ",'DICTIONARY-2'!$A$5,"110"," ",'DICTIONARY-5'!$A$60," ",'DICTIONARY-2'!$A$10,"16",'DICTIONARY-2'!$A$20)</f>
        <v>BAIO Tuleja wsporcza DN100 Da110 SDR 17 PS16bar</v>
      </c>
      <c r="S2689" s="733" t="s">
        <v>5569</v>
      </c>
      <c r="T2689" s="732" t="s">
        <v>5569</v>
      </c>
      <c r="U2689" s="734" t="s">
        <v>5749</v>
      </c>
      <c r="V2689" s="735" t="s">
        <v>5569</v>
      </c>
      <c r="W2689" s="744" t="s">
        <v>7340</v>
      </c>
      <c r="X2689" s="737"/>
      <c r="Y2689" s="738"/>
      <c r="Z2689" s="739"/>
      <c r="AA2689" s="739"/>
      <c r="AB2689" s="740">
        <v>16</v>
      </c>
      <c r="AC2689" s="741" t="s">
        <v>5569</v>
      </c>
      <c r="AD2689" s="741" t="s">
        <v>5569</v>
      </c>
      <c r="AE2689" s="742" t="s">
        <v>5569</v>
      </c>
      <c r="AF2689" s="743">
        <v>0.45200000000000001</v>
      </c>
      <c r="AG2689" s="741" t="s">
        <v>5569</v>
      </c>
    </row>
    <row r="2690" spans="1:33" x14ac:dyDescent="0.25">
      <c r="A2690" s="869" t="s">
        <v>2585</v>
      </c>
      <c r="B2690" s="869" t="s">
        <v>2909</v>
      </c>
      <c r="C2690" s="836">
        <v>40</v>
      </c>
      <c r="D2690" s="836"/>
      <c r="E2690" s="836"/>
      <c r="F2690" s="836"/>
      <c r="G2690" s="496" t="s">
        <v>7851</v>
      </c>
      <c r="H2690" s="797" t="str">
        <f>VLOOKUP(G2690,SETTINGS!$B$7:$D$97,2,0)</f>
        <v>BAIO Fittings</v>
      </c>
      <c r="I2690" s="796">
        <f>VLOOKUP(G2690,SETTINGS!$B$7:$D$97,3,0)</f>
        <v>0</v>
      </c>
      <c r="J2690" s="670" t="str">
        <f>IFERROR(IF(CURRENCY.FORMAT_1=0,CONCATENATE(TEXT(FIXED(ROUND((C2690/EXC.RATE_1),CURRENCY.FORMAT_1),CURRENCY.FORMAT_1,1),"# ##0;-# ##0"),",-"),FIXED(ROUND((C2690/EXC.RATE_1),CURRENCY.FORMAT_1),CURRENCY.FORMAT_1,0)),'DICTIONARY-5'!$A$2)</f>
        <v>40,-</v>
      </c>
      <c r="K2690" s="670" t="str">
        <f>IF(EXC.RATE_2=0,"",IFERROR(IF(CURRENCY.FORMAT_2=0,CONCATENATE(TEXT(FIXED(ROUND(IF(EXC.RATE.SWITCH=1,C2690/EXC.RATE_2,C2690*EXC.RATE_2),CURRENCY.FORMAT_2),CURRENCY.FORMAT_2,1),"# ##0;-# ##0"),",-"),FIXED(ROUND(IF(EXC.RATE.SWITCH=1,C2690/EXC.RATE_2,C2690*EXC.RATE_2),CURRENCY.FORMAT_2),CURRENCY.FORMAT_2,0)),'DICTIONARY-5'!$A$2))</f>
        <v/>
      </c>
      <c r="L2690" s="670" t="str">
        <f>IFERROR(IF(CURRENCY.FORMAT_1=0,CONCATENATE(TEXT(FIXED(ROUND((C2690*(1-I2690)*(1-ADD.DISCOUNT)*(1+MAT.SURCHARGE)/EXC.RATE_1),CURRENCY.FORMAT_1),CURRENCY.FORMAT_1,1),"# ##0;-# ##0"),",-"),FIXED(ROUND((C2690*(1-I2690)*(1-ADD.DISCOUNT)*(1+MAT.SURCHARGE)/EXC.RATE_1),CURRENCY.FORMAT_1),CURRENCY.FORMAT_1,0)),'DICTIONARY-5'!$A$2)</f>
        <v>42,-</v>
      </c>
      <c r="M2690" s="670" t="str">
        <f>IF(EXC.RATE_2=0,"",IFERROR(IF(CURRENCY.FORMAT_2=0,CONCATENATE(TEXT(FIXED(ROUND(IF(EXC.RATE.SWITCH=1,C2690*(1-I2690)*(1-ADD.DISCOUNT)*(1+MAT.SURCHARGE)/EXC.RATE_2,C2690*(1-I2690)*(1-ADD.DISCOUNT)*(1+MAT.SURCHARGE)*EXC.RATE_2),CURRENCY.FORMAT_2),CURRENCY.FORMAT_2,1),"# ##0;-# ##0"),",-"),FIXED(ROUND(IF(EXC.RATE.SWITCH=1,C2690*(1-I2690)*(1-ADD.DISCOUNT)*(1+MAT.SURCHARGE)/EXC.RATE_2,C2690*(1-I2690)*(1-ADD.DISCOUNT)*(1+MAT.SURCHARGE)*EXC.RATE_2),CURRENCY.FORMAT_2),CURRENCY.FORMAT_2,0)),'DICTIONARY-5'!$A$2))</f>
        <v/>
      </c>
      <c r="N2690" s="535">
        <v>12</v>
      </c>
      <c r="O2690" s="535"/>
      <c r="P2690" s="732" t="str">
        <f>'DICTIONARY-3'!$A$153</f>
        <v>BAIO</v>
      </c>
      <c r="Q2690" s="732" t="str">
        <f>'DICTIONARY-3'!$A$226</f>
        <v>Tuleja wsporcza</v>
      </c>
      <c r="R2690" s="732" t="str">
        <f>CONCATENATE('DICTIONARY-3'!$A$153," ",'DICTIONARY-3'!$A$226," ",'DICTIONARY-2'!$A$2,"100"," ",'DICTIONARY-2'!$A$5,"125"," ",'DICTIONARY-5'!$A$60," ",'DICTIONARY-2'!$A$10,"16",'DICTIONARY-2'!$A$20)</f>
        <v>BAIO Tuleja wsporcza DN100 Da125 SDR 17 PS16bar</v>
      </c>
      <c r="S2690" s="733" t="s">
        <v>5569</v>
      </c>
      <c r="T2690" s="732" t="s">
        <v>5569</v>
      </c>
      <c r="U2690" s="734" t="s">
        <v>5749</v>
      </c>
      <c r="V2690" s="735" t="s">
        <v>5569</v>
      </c>
      <c r="W2690" s="744" t="s">
        <v>5761</v>
      </c>
      <c r="X2690" s="737"/>
      <c r="Y2690" s="738"/>
      <c r="Z2690" s="739"/>
      <c r="AA2690" s="739"/>
      <c r="AB2690" s="740">
        <v>16</v>
      </c>
      <c r="AC2690" s="741" t="s">
        <v>5569</v>
      </c>
      <c r="AD2690" s="741" t="s">
        <v>5569</v>
      </c>
      <c r="AE2690" s="742" t="s">
        <v>5569</v>
      </c>
      <c r="AF2690" s="743">
        <v>0.443</v>
      </c>
      <c r="AG2690" s="741" t="s">
        <v>5569</v>
      </c>
    </row>
    <row r="2691" spans="1:33" x14ac:dyDescent="0.25">
      <c r="A2691" s="869" t="s">
        <v>2587</v>
      </c>
      <c r="B2691" s="869" t="s">
        <v>2910</v>
      </c>
      <c r="C2691" s="836">
        <v>47</v>
      </c>
      <c r="D2691" s="836"/>
      <c r="E2691" s="836"/>
      <c r="F2691" s="836"/>
      <c r="G2691" s="496" t="s">
        <v>7851</v>
      </c>
      <c r="H2691" s="797" t="str">
        <f>VLOOKUP(G2691,SETTINGS!$B$7:$D$97,2,0)</f>
        <v>BAIO Fittings</v>
      </c>
      <c r="I2691" s="796">
        <f>VLOOKUP(G2691,SETTINGS!$B$7:$D$97,3,0)</f>
        <v>0</v>
      </c>
      <c r="J2691" s="670" t="str">
        <f>IFERROR(IF(CURRENCY.FORMAT_1=0,CONCATENATE(TEXT(FIXED(ROUND((C2691/EXC.RATE_1),CURRENCY.FORMAT_1),CURRENCY.FORMAT_1,1),"# ##0;-# ##0"),",-"),FIXED(ROUND((C2691/EXC.RATE_1),CURRENCY.FORMAT_1),CURRENCY.FORMAT_1,0)),'DICTIONARY-5'!$A$2)</f>
        <v>47,-</v>
      </c>
      <c r="K2691" s="670" t="str">
        <f>IF(EXC.RATE_2=0,"",IFERROR(IF(CURRENCY.FORMAT_2=0,CONCATENATE(TEXT(FIXED(ROUND(IF(EXC.RATE.SWITCH=1,C2691/EXC.RATE_2,C2691*EXC.RATE_2),CURRENCY.FORMAT_2),CURRENCY.FORMAT_2,1),"# ##0;-# ##0"),",-"),FIXED(ROUND(IF(EXC.RATE.SWITCH=1,C2691/EXC.RATE_2,C2691*EXC.RATE_2),CURRENCY.FORMAT_2),CURRENCY.FORMAT_2,0)),'DICTIONARY-5'!$A$2))</f>
        <v/>
      </c>
      <c r="L2691" s="670" t="str">
        <f>IFERROR(IF(CURRENCY.FORMAT_1=0,CONCATENATE(TEXT(FIXED(ROUND((C2691*(1-I2691)*(1-ADD.DISCOUNT)*(1+MAT.SURCHARGE)/EXC.RATE_1),CURRENCY.FORMAT_1),CURRENCY.FORMAT_1,1),"# ##0;-# ##0"),",-"),FIXED(ROUND((C2691*(1-I2691)*(1-ADD.DISCOUNT)*(1+MAT.SURCHARGE)/EXC.RATE_1),CURRENCY.FORMAT_1),CURRENCY.FORMAT_1,0)),'DICTIONARY-5'!$A$2)</f>
        <v>49,-</v>
      </c>
      <c r="M2691" s="670" t="str">
        <f>IF(EXC.RATE_2=0,"",IFERROR(IF(CURRENCY.FORMAT_2=0,CONCATENATE(TEXT(FIXED(ROUND(IF(EXC.RATE.SWITCH=1,C2691*(1-I2691)*(1-ADD.DISCOUNT)*(1+MAT.SURCHARGE)/EXC.RATE_2,C2691*(1-I2691)*(1-ADD.DISCOUNT)*(1+MAT.SURCHARGE)*EXC.RATE_2),CURRENCY.FORMAT_2),CURRENCY.FORMAT_2,1),"# ##0;-# ##0"),",-"),FIXED(ROUND(IF(EXC.RATE.SWITCH=1,C2691*(1-I2691)*(1-ADD.DISCOUNT)*(1+MAT.SURCHARGE)/EXC.RATE_2,C2691*(1-I2691)*(1-ADD.DISCOUNT)*(1+MAT.SURCHARGE)*EXC.RATE_2),CURRENCY.FORMAT_2),CURRENCY.FORMAT_2,0)),'DICTIONARY-5'!$A$2))</f>
        <v/>
      </c>
      <c r="N2691" s="535">
        <v>12</v>
      </c>
      <c r="O2691" s="535"/>
      <c r="P2691" s="732" t="str">
        <f>'DICTIONARY-3'!$A$153</f>
        <v>BAIO</v>
      </c>
      <c r="Q2691" s="732" t="str">
        <f>'DICTIONARY-3'!$A$226</f>
        <v>Tuleja wsporcza</v>
      </c>
      <c r="R2691" s="732" t="str">
        <f>CONCATENATE('DICTIONARY-3'!$A$153," ",'DICTIONARY-3'!$A$226," ",'DICTIONARY-2'!$A$2,"125"," ",'DICTIONARY-2'!$A$5,"140"," ",'DICTIONARY-5'!$A$60," ",'DICTIONARY-2'!$A$10,"16",'DICTIONARY-2'!$A$20)</f>
        <v>BAIO Tuleja wsporcza DN125 Da140 SDR 17 PS16bar</v>
      </c>
      <c r="S2691" s="733" t="s">
        <v>5569</v>
      </c>
      <c r="T2691" s="732" t="s">
        <v>5569</v>
      </c>
      <c r="U2691" s="734" t="s">
        <v>5761</v>
      </c>
      <c r="V2691" s="735" t="s">
        <v>5569</v>
      </c>
      <c r="W2691" s="744" t="s">
        <v>7341</v>
      </c>
      <c r="X2691" s="737"/>
      <c r="Y2691" s="738"/>
      <c r="Z2691" s="739"/>
      <c r="AA2691" s="739"/>
      <c r="AB2691" s="740">
        <v>16</v>
      </c>
      <c r="AC2691" s="741" t="s">
        <v>5569</v>
      </c>
      <c r="AD2691" s="741" t="s">
        <v>5569</v>
      </c>
      <c r="AE2691" s="742" t="s">
        <v>5569</v>
      </c>
      <c r="AF2691" s="743">
        <v>0.57599999999999996</v>
      </c>
      <c r="AG2691" s="741" t="s">
        <v>5569</v>
      </c>
    </row>
    <row r="2692" spans="1:33" x14ac:dyDescent="0.25">
      <c r="A2692" s="869" t="s">
        <v>2589</v>
      </c>
      <c r="B2692" s="869" t="s">
        <v>2911</v>
      </c>
      <c r="C2692" s="836">
        <v>59</v>
      </c>
      <c r="D2692" s="836"/>
      <c r="E2692" s="836"/>
      <c r="F2692" s="836"/>
      <c r="G2692" s="496" t="s">
        <v>7851</v>
      </c>
      <c r="H2692" s="797" t="str">
        <f>VLOOKUP(G2692,SETTINGS!$B$7:$D$97,2,0)</f>
        <v>BAIO Fittings</v>
      </c>
      <c r="I2692" s="796">
        <f>VLOOKUP(G2692,SETTINGS!$B$7:$D$97,3,0)</f>
        <v>0</v>
      </c>
      <c r="J2692" s="670" t="str">
        <f>IFERROR(IF(CURRENCY.FORMAT_1=0,CONCATENATE(TEXT(FIXED(ROUND((C2692/EXC.RATE_1),CURRENCY.FORMAT_1),CURRENCY.FORMAT_1,1),"# ##0;-# ##0"),",-"),FIXED(ROUND((C2692/EXC.RATE_1),CURRENCY.FORMAT_1),CURRENCY.FORMAT_1,0)),'DICTIONARY-5'!$A$2)</f>
        <v>59,-</v>
      </c>
      <c r="K2692" s="670" t="str">
        <f>IF(EXC.RATE_2=0,"",IFERROR(IF(CURRENCY.FORMAT_2=0,CONCATENATE(TEXT(FIXED(ROUND(IF(EXC.RATE.SWITCH=1,C2692/EXC.RATE_2,C2692*EXC.RATE_2),CURRENCY.FORMAT_2),CURRENCY.FORMAT_2,1),"# ##0;-# ##0"),",-"),FIXED(ROUND(IF(EXC.RATE.SWITCH=1,C2692/EXC.RATE_2,C2692*EXC.RATE_2),CURRENCY.FORMAT_2),CURRENCY.FORMAT_2,0)),'DICTIONARY-5'!$A$2))</f>
        <v/>
      </c>
      <c r="L2692" s="670" t="str">
        <f>IFERROR(IF(CURRENCY.FORMAT_1=0,CONCATENATE(TEXT(FIXED(ROUND((C2692*(1-I2692)*(1-ADD.DISCOUNT)*(1+MAT.SURCHARGE)/EXC.RATE_1),CURRENCY.FORMAT_1),CURRENCY.FORMAT_1,1),"# ##0;-# ##0"),",-"),FIXED(ROUND((C2692*(1-I2692)*(1-ADD.DISCOUNT)*(1+MAT.SURCHARGE)/EXC.RATE_1),CURRENCY.FORMAT_1),CURRENCY.FORMAT_1,0)),'DICTIONARY-5'!$A$2)</f>
        <v>61,-</v>
      </c>
      <c r="M2692" s="670" t="str">
        <f>IF(EXC.RATE_2=0,"",IFERROR(IF(CURRENCY.FORMAT_2=0,CONCATENATE(TEXT(FIXED(ROUND(IF(EXC.RATE.SWITCH=1,C2692*(1-I2692)*(1-ADD.DISCOUNT)*(1+MAT.SURCHARGE)/EXC.RATE_2,C2692*(1-I2692)*(1-ADD.DISCOUNT)*(1+MAT.SURCHARGE)*EXC.RATE_2),CURRENCY.FORMAT_2),CURRENCY.FORMAT_2,1),"# ##0;-# ##0"),",-"),FIXED(ROUND(IF(EXC.RATE.SWITCH=1,C2692*(1-I2692)*(1-ADD.DISCOUNT)*(1+MAT.SURCHARGE)/EXC.RATE_2,C2692*(1-I2692)*(1-ADD.DISCOUNT)*(1+MAT.SURCHARGE)*EXC.RATE_2),CURRENCY.FORMAT_2),CURRENCY.FORMAT_2,0)),'DICTIONARY-5'!$A$2))</f>
        <v/>
      </c>
      <c r="N2692" s="535">
        <v>12</v>
      </c>
      <c r="O2692" s="535"/>
      <c r="P2692" s="732" t="str">
        <f>'DICTIONARY-3'!$A$153</f>
        <v>BAIO</v>
      </c>
      <c r="Q2692" s="732" t="str">
        <f>'DICTIONARY-3'!$A$226</f>
        <v>Tuleja wsporcza</v>
      </c>
      <c r="R2692" s="732" t="str">
        <f>CONCATENATE('DICTIONARY-3'!$A$153," ",'DICTIONARY-3'!$A$226," ",'DICTIONARY-2'!$A$2,"150"," ",'DICTIONARY-2'!$A$5,"160"," ",'DICTIONARY-5'!$A$60," ",'DICTIONARY-2'!$A$10,"16",'DICTIONARY-2'!$A$20)</f>
        <v>BAIO Tuleja wsporcza DN150 Da160 SDR 17 PS16bar</v>
      </c>
      <c r="S2692" s="733" t="s">
        <v>5569</v>
      </c>
      <c r="T2692" s="732" t="s">
        <v>5569</v>
      </c>
      <c r="U2692" s="734" t="s">
        <v>5572</v>
      </c>
      <c r="V2692" s="735" t="s">
        <v>5569</v>
      </c>
      <c r="W2692" s="744" t="s">
        <v>7342</v>
      </c>
      <c r="X2692" s="737"/>
      <c r="Y2692" s="738"/>
      <c r="Z2692" s="739"/>
      <c r="AA2692" s="739"/>
      <c r="AB2692" s="740">
        <v>16</v>
      </c>
      <c r="AC2692" s="741" t="s">
        <v>5569</v>
      </c>
      <c r="AD2692" s="741" t="s">
        <v>5569</v>
      </c>
      <c r="AE2692" s="742" t="s">
        <v>5569</v>
      </c>
      <c r="AF2692" s="743">
        <v>0.93</v>
      </c>
      <c r="AG2692" s="741" t="s">
        <v>5569</v>
      </c>
    </row>
    <row r="2693" spans="1:33" x14ac:dyDescent="0.25">
      <c r="A2693" s="869" t="s">
        <v>2591</v>
      </c>
      <c r="B2693" s="869" t="s">
        <v>2912</v>
      </c>
      <c r="C2693" s="836">
        <v>53</v>
      </c>
      <c r="D2693" s="836"/>
      <c r="E2693" s="836"/>
      <c r="F2693" s="836"/>
      <c r="G2693" s="496" t="s">
        <v>7851</v>
      </c>
      <c r="H2693" s="797" t="str">
        <f>VLOOKUP(G2693,SETTINGS!$B$7:$D$97,2,0)</f>
        <v>BAIO Fittings</v>
      </c>
      <c r="I2693" s="796">
        <f>VLOOKUP(G2693,SETTINGS!$B$7:$D$97,3,0)</f>
        <v>0</v>
      </c>
      <c r="J2693" s="670" t="str">
        <f>IFERROR(IF(CURRENCY.FORMAT_1=0,CONCATENATE(TEXT(FIXED(ROUND((C2693/EXC.RATE_1),CURRENCY.FORMAT_1),CURRENCY.FORMAT_1,1),"# ##0;-# ##0"),",-"),FIXED(ROUND((C2693/EXC.RATE_1),CURRENCY.FORMAT_1),CURRENCY.FORMAT_1,0)),'DICTIONARY-5'!$A$2)</f>
        <v>53,-</v>
      </c>
      <c r="K2693" s="670" t="str">
        <f>IF(EXC.RATE_2=0,"",IFERROR(IF(CURRENCY.FORMAT_2=0,CONCATENATE(TEXT(FIXED(ROUND(IF(EXC.RATE.SWITCH=1,C2693/EXC.RATE_2,C2693*EXC.RATE_2),CURRENCY.FORMAT_2),CURRENCY.FORMAT_2,1),"# ##0;-# ##0"),",-"),FIXED(ROUND(IF(EXC.RATE.SWITCH=1,C2693/EXC.RATE_2,C2693*EXC.RATE_2),CURRENCY.FORMAT_2),CURRENCY.FORMAT_2,0)),'DICTIONARY-5'!$A$2))</f>
        <v/>
      </c>
      <c r="L2693" s="670" t="str">
        <f>IFERROR(IF(CURRENCY.FORMAT_1=0,CONCATENATE(TEXT(FIXED(ROUND((C2693*(1-I2693)*(1-ADD.DISCOUNT)*(1+MAT.SURCHARGE)/EXC.RATE_1),CURRENCY.FORMAT_1),CURRENCY.FORMAT_1,1),"# ##0;-# ##0"),",-"),FIXED(ROUND((C2693*(1-I2693)*(1-ADD.DISCOUNT)*(1+MAT.SURCHARGE)/EXC.RATE_1),CURRENCY.FORMAT_1),CURRENCY.FORMAT_1,0)),'DICTIONARY-5'!$A$2)</f>
        <v>55,-</v>
      </c>
      <c r="M2693" s="670" t="str">
        <f>IF(EXC.RATE_2=0,"",IFERROR(IF(CURRENCY.FORMAT_2=0,CONCATENATE(TEXT(FIXED(ROUND(IF(EXC.RATE.SWITCH=1,C2693*(1-I2693)*(1-ADD.DISCOUNT)*(1+MAT.SURCHARGE)/EXC.RATE_2,C2693*(1-I2693)*(1-ADD.DISCOUNT)*(1+MAT.SURCHARGE)*EXC.RATE_2),CURRENCY.FORMAT_2),CURRENCY.FORMAT_2,1),"# ##0;-# ##0"),",-"),FIXED(ROUND(IF(EXC.RATE.SWITCH=1,C2693*(1-I2693)*(1-ADD.DISCOUNT)*(1+MAT.SURCHARGE)/EXC.RATE_2,C2693*(1-I2693)*(1-ADD.DISCOUNT)*(1+MAT.SURCHARGE)*EXC.RATE_2),CURRENCY.FORMAT_2),CURRENCY.FORMAT_2,0)),'DICTIONARY-5'!$A$2))</f>
        <v/>
      </c>
      <c r="N2693" s="535">
        <v>12</v>
      </c>
      <c r="O2693" s="535"/>
      <c r="P2693" s="732" t="str">
        <f>'DICTIONARY-3'!$A$153</f>
        <v>BAIO</v>
      </c>
      <c r="Q2693" s="732" t="str">
        <f>'DICTIONARY-3'!$A$226</f>
        <v>Tuleja wsporcza</v>
      </c>
      <c r="R2693" s="732" t="str">
        <f>CONCATENATE('DICTIONARY-3'!$A$153," ",'DICTIONARY-3'!$A$226," ",'DICTIONARY-2'!$A$2,"150"," ",'DICTIONARY-2'!$A$5,"180"," ",'DICTIONARY-5'!$A$60," ",'DICTIONARY-2'!$A$10,"16",'DICTIONARY-2'!$A$20)</f>
        <v>BAIO Tuleja wsporcza DN150 Da180 SDR 17 PS16bar</v>
      </c>
      <c r="S2693" s="733" t="s">
        <v>5569</v>
      </c>
      <c r="T2693" s="732" t="s">
        <v>5569</v>
      </c>
      <c r="U2693" s="734" t="s">
        <v>5572</v>
      </c>
      <c r="V2693" s="735" t="s">
        <v>5569</v>
      </c>
      <c r="W2693" s="744" t="s">
        <v>7343</v>
      </c>
      <c r="X2693" s="737"/>
      <c r="Y2693" s="738"/>
      <c r="Z2693" s="739"/>
      <c r="AA2693" s="739"/>
      <c r="AB2693" s="740">
        <v>16</v>
      </c>
      <c r="AC2693" s="741" t="s">
        <v>5569</v>
      </c>
      <c r="AD2693" s="741" t="s">
        <v>5569</v>
      </c>
      <c r="AE2693" s="742" t="s">
        <v>5569</v>
      </c>
      <c r="AF2693" s="743">
        <v>0.6</v>
      </c>
      <c r="AG2693" s="741" t="s">
        <v>5569</v>
      </c>
    </row>
    <row r="2694" spans="1:33" x14ac:dyDescent="0.25">
      <c r="A2694" s="869" t="s">
        <v>2593</v>
      </c>
      <c r="B2694" s="869" t="s">
        <v>2913</v>
      </c>
      <c r="C2694" s="836">
        <v>61</v>
      </c>
      <c r="D2694" s="836"/>
      <c r="E2694" s="836"/>
      <c r="F2694" s="836"/>
      <c r="G2694" s="496" t="s">
        <v>7851</v>
      </c>
      <c r="H2694" s="797" t="str">
        <f>VLOOKUP(G2694,SETTINGS!$B$7:$D$97,2,0)</f>
        <v>BAIO Fittings</v>
      </c>
      <c r="I2694" s="796">
        <f>VLOOKUP(G2694,SETTINGS!$B$7:$D$97,3,0)</f>
        <v>0</v>
      </c>
      <c r="J2694" s="670" t="str">
        <f>IFERROR(IF(CURRENCY.FORMAT_1=0,CONCATENATE(TEXT(FIXED(ROUND((C2694/EXC.RATE_1),CURRENCY.FORMAT_1),CURRENCY.FORMAT_1,1),"# ##0;-# ##0"),",-"),FIXED(ROUND((C2694/EXC.RATE_1),CURRENCY.FORMAT_1),CURRENCY.FORMAT_1,0)),'DICTIONARY-5'!$A$2)</f>
        <v>61,-</v>
      </c>
      <c r="K2694" s="670" t="str">
        <f>IF(EXC.RATE_2=0,"",IFERROR(IF(CURRENCY.FORMAT_2=0,CONCATENATE(TEXT(FIXED(ROUND(IF(EXC.RATE.SWITCH=1,C2694/EXC.RATE_2,C2694*EXC.RATE_2),CURRENCY.FORMAT_2),CURRENCY.FORMAT_2,1),"# ##0;-# ##0"),",-"),FIXED(ROUND(IF(EXC.RATE.SWITCH=1,C2694/EXC.RATE_2,C2694*EXC.RATE_2),CURRENCY.FORMAT_2),CURRENCY.FORMAT_2,0)),'DICTIONARY-5'!$A$2))</f>
        <v/>
      </c>
      <c r="L2694" s="670" t="str">
        <f>IFERROR(IF(CURRENCY.FORMAT_1=0,CONCATENATE(TEXT(FIXED(ROUND((C2694*(1-I2694)*(1-ADD.DISCOUNT)*(1+MAT.SURCHARGE)/EXC.RATE_1),CURRENCY.FORMAT_1),CURRENCY.FORMAT_1,1),"# ##0;-# ##0"),",-"),FIXED(ROUND((C2694*(1-I2694)*(1-ADD.DISCOUNT)*(1+MAT.SURCHARGE)/EXC.RATE_1),CURRENCY.FORMAT_1),CURRENCY.FORMAT_1,0)),'DICTIONARY-5'!$A$2)</f>
        <v>63,-</v>
      </c>
      <c r="M2694" s="670" t="str">
        <f>IF(EXC.RATE_2=0,"",IFERROR(IF(CURRENCY.FORMAT_2=0,CONCATENATE(TEXT(FIXED(ROUND(IF(EXC.RATE.SWITCH=1,C2694*(1-I2694)*(1-ADD.DISCOUNT)*(1+MAT.SURCHARGE)/EXC.RATE_2,C2694*(1-I2694)*(1-ADD.DISCOUNT)*(1+MAT.SURCHARGE)*EXC.RATE_2),CURRENCY.FORMAT_2),CURRENCY.FORMAT_2,1),"# ##0;-# ##0"),",-"),FIXED(ROUND(IF(EXC.RATE.SWITCH=1,C2694*(1-I2694)*(1-ADD.DISCOUNT)*(1+MAT.SURCHARGE)/EXC.RATE_2,C2694*(1-I2694)*(1-ADD.DISCOUNT)*(1+MAT.SURCHARGE)*EXC.RATE_2),CURRENCY.FORMAT_2),CURRENCY.FORMAT_2,0)),'DICTIONARY-5'!$A$2))</f>
        <v/>
      </c>
      <c r="N2694" s="535">
        <v>12</v>
      </c>
      <c r="O2694" s="535"/>
      <c r="P2694" s="732" t="str">
        <f>'DICTIONARY-3'!$A$153</f>
        <v>BAIO</v>
      </c>
      <c r="Q2694" s="732" t="str">
        <f>'DICTIONARY-3'!$A$226</f>
        <v>Tuleja wsporcza</v>
      </c>
      <c r="R2694" s="732" t="str">
        <f>CONCATENATE('DICTIONARY-3'!$A$153," ",'DICTIONARY-3'!$A$226," ",'DICTIONARY-2'!$A$2,"200"," ",'DICTIONARY-2'!$A$5,"200"," ",'DICTIONARY-5'!$A$60," ",'DICTIONARY-2'!$A$10,"16",'DICTIONARY-2'!$A$20)</f>
        <v>BAIO Tuleja wsporcza DN200 Da200 SDR 17 PS16bar</v>
      </c>
      <c r="S2694" s="733" t="s">
        <v>5569</v>
      </c>
      <c r="T2694" s="732" t="s">
        <v>5569</v>
      </c>
      <c r="U2694" s="734" t="s">
        <v>5750</v>
      </c>
      <c r="V2694" s="735" t="s">
        <v>5569</v>
      </c>
      <c r="W2694" s="744" t="s">
        <v>5750</v>
      </c>
      <c r="X2694" s="737"/>
      <c r="Y2694" s="738"/>
      <c r="Z2694" s="739"/>
      <c r="AA2694" s="739"/>
      <c r="AB2694" s="740">
        <v>16</v>
      </c>
      <c r="AC2694" s="741" t="s">
        <v>5569</v>
      </c>
      <c r="AD2694" s="741" t="s">
        <v>5569</v>
      </c>
      <c r="AE2694" s="742" t="s">
        <v>5569</v>
      </c>
      <c r="AF2694" s="743">
        <v>0.5</v>
      </c>
      <c r="AG2694" s="741" t="s">
        <v>5569</v>
      </c>
    </row>
    <row r="2695" spans="1:33" x14ac:dyDescent="0.25">
      <c r="A2695" s="869" t="s">
        <v>2595</v>
      </c>
      <c r="B2695" s="869" t="s">
        <v>2914</v>
      </c>
      <c r="C2695" s="836">
        <v>83</v>
      </c>
      <c r="D2695" s="836"/>
      <c r="E2695" s="836"/>
      <c r="F2695" s="836"/>
      <c r="G2695" s="496" t="s">
        <v>7851</v>
      </c>
      <c r="H2695" s="797" t="str">
        <f>VLOOKUP(G2695,SETTINGS!$B$7:$D$97,2,0)</f>
        <v>BAIO Fittings</v>
      </c>
      <c r="I2695" s="796">
        <f>VLOOKUP(G2695,SETTINGS!$B$7:$D$97,3,0)</f>
        <v>0</v>
      </c>
      <c r="J2695" s="670" t="str">
        <f>IFERROR(IF(CURRENCY.FORMAT_1=0,CONCATENATE(TEXT(FIXED(ROUND((C2695/EXC.RATE_1),CURRENCY.FORMAT_1),CURRENCY.FORMAT_1,1),"# ##0;-# ##0"),",-"),FIXED(ROUND((C2695/EXC.RATE_1),CURRENCY.FORMAT_1),CURRENCY.FORMAT_1,0)),'DICTIONARY-5'!$A$2)</f>
        <v>83,-</v>
      </c>
      <c r="K2695" s="670" t="str">
        <f>IF(EXC.RATE_2=0,"",IFERROR(IF(CURRENCY.FORMAT_2=0,CONCATENATE(TEXT(FIXED(ROUND(IF(EXC.RATE.SWITCH=1,C2695/EXC.RATE_2,C2695*EXC.RATE_2),CURRENCY.FORMAT_2),CURRENCY.FORMAT_2,1),"# ##0;-# ##0"),",-"),FIXED(ROUND(IF(EXC.RATE.SWITCH=1,C2695/EXC.RATE_2,C2695*EXC.RATE_2),CURRENCY.FORMAT_2),CURRENCY.FORMAT_2,0)),'DICTIONARY-5'!$A$2))</f>
        <v/>
      </c>
      <c r="L2695" s="670" t="str">
        <f>IFERROR(IF(CURRENCY.FORMAT_1=0,CONCATENATE(TEXT(FIXED(ROUND((C2695*(1-I2695)*(1-ADD.DISCOUNT)*(1+MAT.SURCHARGE)/EXC.RATE_1),CURRENCY.FORMAT_1),CURRENCY.FORMAT_1,1),"# ##0;-# ##0"),",-"),FIXED(ROUND((C2695*(1-I2695)*(1-ADD.DISCOUNT)*(1+MAT.SURCHARGE)/EXC.RATE_1),CURRENCY.FORMAT_1),CURRENCY.FORMAT_1,0)),'DICTIONARY-5'!$A$2)</f>
        <v>86,-</v>
      </c>
      <c r="M2695" s="670" t="str">
        <f>IF(EXC.RATE_2=0,"",IFERROR(IF(CURRENCY.FORMAT_2=0,CONCATENATE(TEXT(FIXED(ROUND(IF(EXC.RATE.SWITCH=1,C2695*(1-I2695)*(1-ADD.DISCOUNT)*(1+MAT.SURCHARGE)/EXC.RATE_2,C2695*(1-I2695)*(1-ADD.DISCOUNT)*(1+MAT.SURCHARGE)*EXC.RATE_2),CURRENCY.FORMAT_2),CURRENCY.FORMAT_2,1),"# ##0;-# ##0"),",-"),FIXED(ROUND(IF(EXC.RATE.SWITCH=1,C2695*(1-I2695)*(1-ADD.DISCOUNT)*(1+MAT.SURCHARGE)/EXC.RATE_2,C2695*(1-I2695)*(1-ADD.DISCOUNT)*(1+MAT.SURCHARGE)*EXC.RATE_2),CURRENCY.FORMAT_2),CURRENCY.FORMAT_2,0)),'DICTIONARY-5'!$A$2))</f>
        <v/>
      </c>
      <c r="N2695" s="535">
        <v>12</v>
      </c>
      <c r="O2695" s="535"/>
      <c r="P2695" s="732" t="str">
        <f>'DICTIONARY-3'!$A$153</f>
        <v>BAIO</v>
      </c>
      <c r="Q2695" s="732" t="str">
        <f>'DICTIONARY-3'!$A$226</f>
        <v>Tuleja wsporcza</v>
      </c>
      <c r="R2695" s="732" t="str">
        <f>CONCATENATE('DICTIONARY-3'!$A$153," ",'DICTIONARY-3'!$A$226," ",'DICTIONARY-2'!$A$2,"200"," ",'DICTIONARY-2'!$A$5,"225"," ",'DICTIONARY-5'!$A$60," ",'DICTIONARY-2'!$A$10,"16",'DICTIONARY-2'!$A$20)</f>
        <v>BAIO Tuleja wsporcza DN200 Da225 SDR 17 PS16bar</v>
      </c>
      <c r="S2695" s="733" t="s">
        <v>5569</v>
      </c>
      <c r="T2695" s="732" t="s">
        <v>5569</v>
      </c>
      <c r="U2695" s="734" t="s">
        <v>5750</v>
      </c>
      <c r="V2695" s="735" t="s">
        <v>5569</v>
      </c>
      <c r="W2695" s="744" t="s">
        <v>5833</v>
      </c>
      <c r="X2695" s="737"/>
      <c r="Y2695" s="738"/>
      <c r="Z2695" s="739"/>
      <c r="AA2695" s="739"/>
      <c r="AB2695" s="740">
        <v>16</v>
      </c>
      <c r="AC2695" s="741" t="s">
        <v>5569</v>
      </c>
      <c r="AD2695" s="741" t="s">
        <v>5569</v>
      </c>
      <c r="AE2695" s="742" t="s">
        <v>5569</v>
      </c>
      <c r="AF2695" s="743">
        <v>1.75</v>
      </c>
      <c r="AG2695" s="741" t="s">
        <v>5569</v>
      </c>
    </row>
    <row r="2696" spans="1:33" x14ac:dyDescent="0.25">
      <c r="A2696" s="869" t="s">
        <v>2582</v>
      </c>
      <c r="B2696" s="869" t="s">
        <v>2900</v>
      </c>
      <c r="C2696" s="836">
        <v>26</v>
      </c>
      <c r="D2696" s="836"/>
      <c r="E2696" s="836"/>
      <c r="F2696" s="836"/>
      <c r="G2696" s="496" t="s">
        <v>7851</v>
      </c>
      <c r="H2696" s="797" t="str">
        <f>VLOOKUP(G2696,SETTINGS!$B$7:$D$97,2,0)</f>
        <v>BAIO Fittings</v>
      </c>
      <c r="I2696" s="796">
        <f>VLOOKUP(G2696,SETTINGS!$B$7:$D$97,3,0)</f>
        <v>0</v>
      </c>
      <c r="J2696" s="670" t="str">
        <f>IFERROR(IF(CURRENCY.FORMAT_1=0,CONCATENATE(TEXT(FIXED(ROUND((C2696/EXC.RATE_1),CURRENCY.FORMAT_1),CURRENCY.FORMAT_1,1),"# ##0;-# ##0"),",-"),FIXED(ROUND((C2696/EXC.RATE_1),CURRENCY.FORMAT_1),CURRENCY.FORMAT_1,0)),'DICTIONARY-5'!$A$2)</f>
        <v>26,-</v>
      </c>
      <c r="K2696" s="670" t="str">
        <f>IF(EXC.RATE_2=0,"",IFERROR(IF(CURRENCY.FORMAT_2=0,CONCATENATE(TEXT(FIXED(ROUND(IF(EXC.RATE.SWITCH=1,C2696/EXC.RATE_2,C2696*EXC.RATE_2),CURRENCY.FORMAT_2),CURRENCY.FORMAT_2,1),"# ##0;-# ##0"),",-"),FIXED(ROUND(IF(EXC.RATE.SWITCH=1,C2696/EXC.RATE_2,C2696*EXC.RATE_2),CURRENCY.FORMAT_2),CURRENCY.FORMAT_2,0)),'DICTIONARY-5'!$A$2))</f>
        <v/>
      </c>
      <c r="L2696" s="670" t="str">
        <f>IFERROR(IF(CURRENCY.FORMAT_1=0,CONCATENATE(TEXT(FIXED(ROUND((C2696*(1-I2696)*(1-ADD.DISCOUNT)*(1+MAT.SURCHARGE)/EXC.RATE_1),CURRENCY.FORMAT_1),CURRENCY.FORMAT_1,1),"# ##0;-# ##0"),",-"),FIXED(ROUND((C2696*(1-I2696)*(1-ADD.DISCOUNT)*(1+MAT.SURCHARGE)/EXC.RATE_1),CURRENCY.FORMAT_1),CURRENCY.FORMAT_1,0)),'DICTIONARY-5'!$A$2)</f>
        <v>27,-</v>
      </c>
      <c r="M2696" s="670" t="str">
        <f>IF(EXC.RATE_2=0,"",IFERROR(IF(CURRENCY.FORMAT_2=0,CONCATENATE(TEXT(FIXED(ROUND(IF(EXC.RATE.SWITCH=1,C2696*(1-I2696)*(1-ADD.DISCOUNT)*(1+MAT.SURCHARGE)/EXC.RATE_2,C2696*(1-I2696)*(1-ADD.DISCOUNT)*(1+MAT.SURCHARGE)*EXC.RATE_2),CURRENCY.FORMAT_2),CURRENCY.FORMAT_2,1),"# ##0;-# ##0"),",-"),FIXED(ROUND(IF(EXC.RATE.SWITCH=1,C2696*(1-I2696)*(1-ADD.DISCOUNT)*(1+MAT.SURCHARGE)/EXC.RATE_2,C2696*(1-I2696)*(1-ADD.DISCOUNT)*(1+MAT.SURCHARGE)*EXC.RATE_2),CURRENCY.FORMAT_2),CURRENCY.FORMAT_2,0)),'DICTIONARY-5'!$A$2))</f>
        <v/>
      </c>
      <c r="N2696" s="535">
        <v>12</v>
      </c>
      <c r="O2696" s="535"/>
      <c r="P2696" s="732" t="str">
        <f>'DICTIONARY-3'!$A$153</f>
        <v>BAIO</v>
      </c>
      <c r="Q2696" s="732" t="str">
        <f>'DICTIONARY-3'!$A$226</f>
        <v>Tuleja wsporcza</v>
      </c>
      <c r="R2696" s="732" t="str">
        <f>CONCATENATE('DICTIONARY-3'!$A$153," ",'DICTIONARY-3'!$A$226," ",'DICTIONARY-2'!$A$2,"80"," ",'DICTIONARY-2'!$A$5,"90"," ",'DICTIONARY-5'!$A$59," ",'DICTIONARY-2'!$A$10,"16",'DICTIONARY-2'!$A$20)</f>
        <v>BAIO Tuleja wsporcza DN80 Da90 SDR 11 PS16bar</v>
      </c>
      <c r="S2696" s="733" t="s">
        <v>5569</v>
      </c>
      <c r="T2696" s="732" t="s">
        <v>5569</v>
      </c>
      <c r="U2696" s="734" t="s">
        <v>5760</v>
      </c>
      <c r="V2696" s="735" t="s">
        <v>5569</v>
      </c>
      <c r="W2696" s="744" t="s">
        <v>7339</v>
      </c>
      <c r="X2696" s="737"/>
      <c r="Y2696" s="738"/>
      <c r="Z2696" s="739"/>
      <c r="AA2696" s="739"/>
      <c r="AB2696" s="740">
        <v>16</v>
      </c>
      <c r="AC2696" s="741" t="s">
        <v>5569</v>
      </c>
      <c r="AD2696" s="741" t="s">
        <v>5569</v>
      </c>
      <c r="AE2696" s="742" t="s">
        <v>5569</v>
      </c>
      <c r="AF2696" s="743">
        <v>1</v>
      </c>
      <c r="AG2696" s="741" t="s">
        <v>5569</v>
      </c>
    </row>
    <row r="2697" spans="1:33" x14ac:dyDescent="0.25">
      <c r="A2697" s="869" t="s">
        <v>2584</v>
      </c>
      <c r="B2697" s="869" t="s">
        <v>2903</v>
      </c>
      <c r="C2697" s="836">
        <v>27</v>
      </c>
      <c r="D2697" s="836"/>
      <c r="E2697" s="836"/>
      <c r="F2697" s="836"/>
      <c r="G2697" s="496" t="s">
        <v>7851</v>
      </c>
      <c r="H2697" s="797" t="str">
        <f>VLOOKUP(G2697,SETTINGS!$B$7:$D$97,2,0)</f>
        <v>BAIO Fittings</v>
      </c>
      <c r="I2697" s="796">
        <f>VLOOKUP(G2697,SETTINGS!$B$7:$D$97,3,0)</f>
        <v>0</v>
      </c>
      <c r="J2697" s="670" t="str">
        <f>IFERROR(IF(CURRENCY.FORMAT_1=0,CONCATENATE(TEXT(FIXED(ROUND((C2697/EXC.RATE_1),CURRENCY.FORMAT_1),CURRENCY.FORMAT_1,1),"# ##0;-# ##0"),",-"),FIXED(ROUND((C2697/EXC.RATE_1),CURRENCY.FORMAT_1),CURRENCY.FORMAT_1,0)),'DICTIONARY-5'!$A$2)</f>
        <v>27,-</v>
      </c>
      <c r="K2697" s="670" t="str">
        <f>IF(EXC.RATE_2=0,"",IFERROR(IF(CURRENCY.FORMAT_2=0,CONCATENATE(TEXT(FIXED(ROUND(IF(EXC.RATE.SWITCH=1,C2697/EXC.RATE_2,C2697*EXC.RATE_2),CURRENCY.FORMAT_2),CURRENCY.FORMAT_2,1),"# ##0;-# ##0"),",-"),FIXED(ROUND(IF(EXC.RATE.SWITCH=1,C2697/EXC.RATE_2,C2697*EXC.RATE_2),CURRENCY.FORMAT_2),CURRENCY.FORMAT_2,0)),'DICTIONARY-5'!$A$2))</f>
        <v/>
      </c>
      <c r="L2697" s="670" t="str">
        <f>IFERROR(IF(CURRENCY.FORMAT_1=0,CONCATENATE(TEXT(FIXED(ROUND((C2697*(1-I2697)*(1-ADD.DISCOUNT)*(1+MAT.SURCHARGE)/EXC.RATE_1),CURRENCY.FORMAT_1),CURRENCY.FORMAT_1,1),"# ##0;-# ##0"),",-"),FIXED(ROUND((C2697*(1-I2697)*(1-ADD.DISCOUNT)*(1+MAT.SURCHARGE)/EXC.RATE_1),CURRENCY.FORMAT_1),CURRENCY.FORMAT_1,0)),'DICTIONARY-5'!$A$2)</f>
        <v>28,-</v>
      </c>
      <c r="M2697" s="670" t="str">
        <f>IF(EXC.RATE_2=0,"",IFERROR(IF(CURRENCY.FORMAT_2=0,CONCATENATE(TEXT(FIXED(ROUND(IF(EXC.RATE.SWITCH=1,C2697*(1-I2697)*(1-ADD.DISCOUNT)*(1+MAT.SURCHARGE)/EXC.RATE_2,C2697*(1-I2697)*(1-ADD.DISCOUNT)*(1+MAT.SURCHARGE)*EXC.RATE_2),CURRENCY.FORMAT_2),CURRENCY.FORMAT_2,1),"# ##0;-# ##0"),",-"),FIXED(ROUND(IF(EXC.RATE.SWITCH=1,C2697*(1-I2697)*(1-ADD.DISCOUNT)*(1+MAT.SURCHARGE)/EXC.RATE_2,C2697*(1-I2697)*(1-ADD.DISCOUNT)*(1+MAT.SURCHARGE)*EXC.RATE_2),CURRENCY.FORMAT_2),CURRENCY.FORMAT_2,0)),'DICTIONARY-5'!$A$2))</f>
        <v/>
      </c>
      <c r="N2697" s="535">
        <v>12</v>
      </c>
      <c r="O2697" s="535"/>
      <c r="P2697" s="732" t="str">
        <f>'DICTIONARY-3'!$A$153</f>
        <v>BAIO</v>
      </c>
      <c r="Q2697" s="732" t="str">
        <f>'DICTIONARY-3'!$A$226</f>
        <v>Tuleja wsporcza</v>
      </c>
      <c r="R2697" s="732" t="str">
        <f>CONCATENATE('DICTIONARY-3'!$A$153," ",'DICTIONARY-3'!$A$226," ",'DICTIONARY-2'!$A$2,"100"," ",'DICTIONARY-2'!$A$5,"110"," ",'DICTIONARY-5'!$A$59," ",'DICTIONARY-2'!$A$10,"16",'DICTIONARY-2'!$A$20)</f>
        <v>BAIO Tuleja wsporcza DN100 Da110 SDR 11 PS16bar</v>
      </c>
      <c r="S2697" s="733" t="s">
        <v>5569</v>
      </c>
      <c r="T2697" s="732" t="s">
        <v>5569</v>
      </c>
      <c r="U2697" s="734" t="s">
        <v>5749</v>
      </c>
      <c r="V2697" s="735" t="s">
        <v>5569</v>
      </c>
      <c r="W2697" s="744" t="s">
        <v>7340</v>
      </c>
      <c r="X2697" s="737"/>
      <c r="Y2697" s="738"/>
      <c r="Z2697" s="739"/>
      <c r="AA2697" s="739"/>
      <c r="AB2697" s="740">
        <v>16</v>
      </c>
      <c r="AC2697" s="741" t="s">
        <v>5569</v>
      </c>
      <c r="AD2697" s="741" t="s">
        <v>5569</v>
      </c>
      <c r="AE2697" s="742" t="s">
        <v>5569</v>
      </c>
      <c r="AF2697" s="743">
        <v>1</v>
      </c>
      <c r="AG2697" s="741" t="s">
        <v>5569</v>
      </c>
    </row>
    <row r="2698" spans="1:33" x14ac:dyDescent="0.25">
      <c r="A2698" s="869" t="s">
        <v>2586</v>
      </c>
      <c r="B2698" s="869" t="s">
        <v>2899</v>
      </c>
      <c r="C2698" s="836">
        <v>39</v>
      </c>
      <c r="D2698" s="836"/>
      <c r="E2698" s="836"/>
      <c r="F2698" s="836"/>
      <c r="G2698" s="496" t="s">
        <v>7851</v>
      </c>
      <c r="H2698" s="797" t="str">
        <f>VLOOKUP(G2698,SETTINGS!$B$7:$D$97,2,0)</f>
        <v>BAIO Fittings</v>
      </c>
      <c r="I2698" s="796">
        <f>VLOOKUP(G2698,SETTINGS!$B$7:$D$97,3,0)</f>
        <v>0</v>
      </c>
      <c r="J2698" s="670" t="str">
        <f>IFERROR(IF(CURRENCY.FORMAT_1=0,CONCATENATE(TEXT(FIXED(ROUND((C2698/EXC.RATE_1),CURRENCY.FORMAT_1),CURRENCY.FORMAT_1,1),"# ##0;-# ##0"),",-"),FIXED(ROUND((C2698/EXC.RATE_1),CURRENCY.FORMAT_1),CURRENCY.FORMAT_1,0)),'DICTIONARY-5'!$A$2)</f>
        <v>39,-</v>
      </c>
      <c r="K2698" s="670" t="str">
        <f>IF(EXC.RATE_2=0,"",IFERROR(IF(CURRENCY.FORMAT_2=0,CONCATENATE(TEXT(FIXED(ROUND(IF(EXC.RATE.SWITCH=1,C2698/EXC.RATE_2,C2698*EXC.RATE_2),CURRENCY.FORMAT_2),CURRENCY.FORMAT_2,1),"# ##0;-# ##0"),",-"),FIXED(ROUND(IF(EXC.RATE.SWITCH=1,C2698/EXC.RATE_2,C2698*EXC.RATE_2),CURRENCY.FORMAT_2),CURRENCY.FORMAT_2,0)),'DICTIONARY-5'!$A$2))</f>
        <v/>
      </c>
      <c r="L2698" s="670" t="str">
        <f>IFERROR(IF(CURRENCY.FORMAT_1=0,CONCATENATE(TEXT(FIXED(ROUND((C2698*(1-I2698)*(1-ADD.DISCOUNT)*(1+MAT.SURCHARGE)/EXC.RATE_1),CURRENCY.FORMAT_1),CURRENCY.FORMAT_1,1),"# ##0;-# ##0"),",-"),FIXED(ROUND((C2698*(1-I2698)*(1-ADD.DISCOUNT)*(1+MAT.SURCHARGE)/EXC.RATE_1),CURRENCY.FORMAT_1),CURRENCY.FORMAT_1,0)),'DICTIONARY-5'!$A$2)</f>
        <v>41,-</v>
      </c>
      <c r="M2698" s="670" t="str">
        <f>IF(EXC.RATE_2=0,"",IFERROR(IF(CURRENCY.FORMAT_2=0,CONCATENATE(TEXT(FIXED(ROUND(IF(EXC.RATE.SWITCH=1,C2698*(1-I2698)*(1-ADD.DISCOUNT)*(1+MAT.SURCHARGE)/EXC.RATE_2,C2698*(1-I2698)*(1-ADD.DISCOUNT)*(1+MAT.SURCHARGE)*EXC.RATE_2),CURRENCY.FORMAT_2),CURRENCY.FORMAT_2,1),"# ##0;-# ##0"),",-"),FIXED(ROUND(IF(EXC.RATE.SWITCH=1,C2698*(1-I2698)*(1-ADD.DISCOUNT)*(1+MAT.SURCHARGE)/EXC.RATE_2,C2698*(1-I2698)*(1-ADD.DISCOUNT)*(1+MAT.SURCHARGE)*EXC.RATE_2),CURRENCY.FORMAT_2),CURRENCY.FORMAT_2,0)),'DICTIONARY-5'!$A$2))</f>
        <v/>
      </c>
      <c r="N2698" s="535">
        <v>12</v>
      </c>
      <c r="O2698" s="535"/>
      <c r="P2698" s="732" t="str">
        <f>'DICTIONARY-3'!$A$153</f>
        <v>BAIO</v>
      </c>
      <c r="Q2698" s="732" t="str">
        <f>'DICTIONARY-3'!$A$226</f>
        <v>Tuleja wsporcza</v>
      </c>
      <c r="R2698" s="732" t="str">
        <f>CONCATENATE('DICTIONARY-3'!$A$153," ",'DICTIONARY-3'!$A$226," ",'DICTIONARY-2'!$A$2,"100"," ",'DICTIONARY-2'!$A$5,"125"," ",'DICTIONARY-5'!$A$59," ",'DICTIONARY-2'!$A$10,"16",'DICTIONARY-2'!$A$20)</f>
        <v>BAIO Tuleja wsporcza DN100 Da125 SDR 11 PS16bar</v>
      </c>
      <c r="S2698" s="733" t="s">
        <v>5569</v>
      </c>
      <c r="T2698" s="732" t="s">
        <v>5569</v>
      </c>
      <c r="U2698" s="734" t="s">
        <v>5749</v>
      </c>
      <c r="V2698" s="735" t="s">
        <v>5569</v>
      </c>
      <c r="W2698" s="744" t="s">
        <v>5761</v>
      </c>
      <c r="X2698" s="737"/>
      <c r="Y2698" s="738"/>
      <c r="Z2698" s="739"/>
      <c r="AA2698" s="739"/>
      <c r="AB2698" s="740">
        <v>16</v>
      </c>
      <c r="AC2698" s="741" t="s">
        <v>5569</v>
      </c>
      <c r="AD2698" s="741" t="s">
        <v>5569</v>
      </c>
      <c r="AE2698" s="742" t="s">
        <v>5569</v>
      </c>
      <c r="AF2698" s="743">
        <v>0.5</v>
      </c>
      <c r="AG2698" s="741" t="s">
        <v>5569</v>
      </c>
    </row>
    <row r="2699" spans="1:33" x14ac:dyDescent="0.25">
      <c r="A2699" s="869" t="s">
        <v>2588</v>
      </c>
      <c r="B2699" s="869" t="s">
        <v>2904</v>
      </c>
      <c r="C2699" s="836">
        <v>39</v>
      </c>
      <c r="D2699" s="836"/>
      <c r="E2699" s="836"/>
      <c r="F2699" s="836"/>
      <c r="G2699" s="496" t="s">
        <v>7851</v>
      </c>
      <c r="H2699" s="797" t="str">
        <f>VLOOKUP(G2699,SETTINGS!$B$7:$D$97,2,0)</f>
        <v>BAIO Fittings</v>
      </c>
      <c r="I2699" s="796">
        <f>VLOOKUP(G2699,SETTINGS!$B$7:$D$97,3,0)</f>
        <v>0</v>
      </c>
      <c r="J2699" s="670" t="str">
        <f>IFERROR(IF(CURRENCY.FORMAT_1=0,CONCATENATE(TEXT(FIXED(ROUND((C2699/EXC.RATE_1),CURRENCY.FORMAT_1),CURRENCY.FORMAT_1,1),"# ##0;-# ##0"),",-"),FIXED(ROUND((C2699/EXC.RATE_1),CURRENCY.FORMAT_1),CURRENCY.FORMAT_1,0)),'DICTIONARY-5'!$A$2)</f>
        <v>39,-</v>
      </c>
      <c r="K2699" s="670" t="str">
        <f>IF(EXC.RATE_2=0,"",IFERROR(IF(CURRENCY.FORMAT_2=0,CONCATENATE(TEXT(FIXED(ROUND(IF(EXC.RATE.SWITCH=1,C2699/EXC.RATE_2,C2699*EXC.RATE_2),CURRENCY.FORMAT_2),CURRENCY.FORMAT_2,1),"# ##0;-# ##0"),",-"),FIXED(ROUND(IF(EXC.RATE.SWITCH=1,C2699/EXC.RATE_2,C2699*EXC.RATE_2),CURRENCY.FORMAT_2),CURRENCY.FORMAT_2,0)),'DICTIONARY-5'!$A$2))</f>
        <v/>
      </c>
      <c r="L2699" s="670" t="str">
        <f>IFERROR(IF(CURRENCY.FORMAT_1=0,CONCATENATE(TEXT(FIXED(ROUND((C2699*(1-I2699)*(1-ADD.DISCOUNT)*(1+MAT.SURCHARGE)/EXC.RATE_1),CURRENCY.FORMAT_1),CURRENCY.FORMAT_1,1),"# ##0;-# ##0"),",-"),FIXED(ROUND((C2699*(1-I2699)*(1-ADD.DISCOUNT)*(1+MAT.SURCHARGE)/EXC.RATE_1),CURRENCY.FORMAT_1),CURRENCY.FORMAT_1,0)),'DICTIONARY-5'!$A$2)</f>
        <v>41,-</v>
      </c>
      <c r="M2699" s="670" t="str">
        <f>IF(EXC.RATE_2=0,"",IFERROR(IF(CURRENCY.FORMAT_2=0,CONCATENATE(TEXT(FIXED(ROUND(IF(EXC.RATE.SWITCH=1,C2699*(1-I2699)*(1-ADD.DISCOUNT)*(1+MAT.SURCHARGE)/EXC.RATE_2,C2699*(1-I2699)*(1-ADD.DISCOUNT)*(1+MAT.SURCHARGE)*EXC.RATE_2),CURRENCY.FORMAT_2),CURRENCY.FORMAT_2,1),"# ##0;-# ##0"),",-"),FIXED(ROUND(IF(EXC.RATE.SWITCH=1,C2699*(1-I2699)*(1-ADD.DISCOUNT)*(1+MAT.SURCHARGE)/EXC.RATE_2,C2699*(1-I2699)*(1-ADD.DISCOUNT)*(1+MAT.SURCHARGE)*EXC.RATE_2),CURRENCY.FORMAT_2),CURRENCY.FORMAT_2,0)),'DICTIONARY-5'!$A$2))</f>
        <v/>
      </c>
      <c r="N2699" s="535">
        <v>12</v>
      </c>
      <c r="O2699" s="535"/>
      <c r="P2699" s="732" t="str">
        <f>'DICTIONARY-3'!$A$153</f>
        <v>BAIO</v>
      </c>
      <c r="Q2699" s="732" t="str">
        <f>'DICTIONARY-3'!$A$226</f>
        <v>Tuleja wsporcza</v>
      </c>
      <c r="R2699" s="732" t="str">
        <f>CONCATENATE('DICTIONARY-3'!$A$153," ",'DICTIONARY-3'!$A$226," ",'DICTIONARY-2'!$A$2,"125"," ",'DICTIONARY-2'!$A$5,"140"," ",'DICTIONARY-5'!$A$59," ",'DICTIONARY-2'!$A$10,"16",'DICTIONARY-2'!$A$20)</f>
        <v>BAIO Tuleja wsporcza DN125 Da140 SDR 11 PS16bar</v>
      </c>
      <c r="S2699" s="733" t="s">
        <v>5569</v>
      </c>
      <c r="T2699" s="732" t="s">
        <v>5569</v>
      </c>
      <c r="U2699" s="734" t="s">
        <v>5761</v>
      </c>
      <c r="V2699" s="735" t="s">
        <v>5569</v>
      </c>
      <c r="W2699" s="744" t="s">
        <v>7341</v>
      </c>
      <c r="X2699" s="737"/>
      <c r="Y2699" s="738"/>
      <c r="Z2699" s="739"/>
      <c r="AA2699" s="739"/>
      <c r="AB2699" s="740">
        <v>16</v>
      </c>
      <c r="AC2699" s="741" t="s">
        <v>5569</v>
      </c>
      <c r="AD2699" s="741" t="s">
        <v>5569</v>
      </c>
      <c r="AE2699" s="742" t="s">
        <v>5569</v>
      </c>
      <c r="AF2699" s="743">
        <v>1</v>
      </c>
      <c r="AG2699" s="741" t="s">
        <v>5569</v>
      </c>
    </row>
    <row r="2700" spans="1:33" x14ac:dyDescent="0.25">
      <c r="A2700" s="869" t="s">
        <v>2590</v>
      </c>
      <c r="B2700" s="869" t="s">
        <v>2901</v>
      </c>
      <c r="C2700" s="836">
        <v>55</v>
      </c>
      <c r="D2700" s="836"/>
      <c r="E2700" s="836"/>
      <c r="F2700" s="836"/>
      <c r="G2700" s="496" t="s">
        <v>7851</v>
      </c>
      <c r="H2700" s="797" t="str">
        <f>VLOOKUP(G2700,SETTINGS!$B$7:$D$97,2,0)</f>
        <v>BAIO Fittings</v>
      </c>
      <c r="I2700" s="796">
        <f>VLOOKUP(G2700,SETTINGS!$B$7:$D$97,3,0)</f>
        <v>0</v>
      </c>
      <c r="J2700" s="670" t="str">
        <f>IFERROR(IF(CURRENCY.FORMAT_1=0,CONCATENATE(TEXT(FIXED(ROUND((C2700/EXC.RATE_1),CURRENCY.FORMAT_1),CURRENCY.FORMAT_1,1),"# ##0;-# ##0"),",-"),FIXED(ROUND((C2700/EXC.RATE_1),CURRENCY.FORMAT_1),CURRENCY.FORMAT_1,0)),'DICTIONARY-5'!$A$2)</f>
        <v>55,-</v>
      </c>
      <c r="K2700" s="670" t="str">
        <f>IF(EXC.RATE_2=0,"",IFERROR(IF(CURRENCY.FORMAT_2=0,CONCATENATE(TEXT(FIXED(ROUND(IF(EXC.RATE.SWITCH=1,C2700/EXC.RATE_2,C2700*EXC.RATE_2),CURRENCY.FORMAT_2),CURRENCY.FORMAT_2,1),"# ##0;-# ##0"),",-"),FIXED(ROUND(IF(EXC.RATE.SWITCH=1,C2700/EXC.RATE_2,C2700*EXC.RATE_2),CURRENCY.FORMAT_2),CURRENCY.FORMAT_2,0)),'DICTIONARY-5'!$A$2))</f>
        <v/>
      </c>
      <c r="L2700" s="670" t="str">
        <f>IFERROR(IF(CURRENCY.FORMAT_1=0,CONCATENATE(TEXT(FIXED(ROUND((C2700*(1-I2700)*(1-ADD.DISCOUNT)*(1+MAT.SURCHARGE)/EXC.RATE_1),CURRENCY.FORMAT_1),CURRENCY.FORMAT_1,1),"# ##0;-# ##0"),",-"),FIXED(ROUND((C2700*(1-I2700)*(1-ADD.DISCOUNT)*(1+MAT.SURCHARGE)/EXC.RATE_1),CURRENCY.FORMAT_1),CURRENCY.FORMAT_1,0)),'DICTIONARY-5'!$A$2)</f>
        <v>57,-</v>
      </c>
      <c r="M2700" s="670" t="str">
        <f>IF(EXC.RATE_2=0,"",IFERROR(IF(CURRENCY.FORMAT_2=0,CONCATENATE(TEXT(FIXED(ROUND(IF(EXC.RATE.SWITCH=1,C2700*(1-I2700)*(1-ADD.DISCOUNT)*(1+MAT.SURCHARGE)/EXC.RATE_2,C2700*(1-I2700)*(1-ADD.DISCOUNT)*(1+MAT.SURCHARGE)*EXC.RATE_2),CURRENCY.FORMAT_2),CURRENCY.FORMAT_2,1),"# ##0;-# ##0"),",-"),FIXED(ROUND(IF(EXC.RATE.SWITCH=1,C2700*(1-I2700)*(1-ADD.DISCOUNT)*(1+MAT.SURCHARGE)/EXC.RATE_2,C2700*(1-I2700)*(1-ADD.DISCOUNT)*(1+MAT.SURCHARGE)*EXC.RATE_2),CURRENCY.FORMAT_2),CURRENCY.FORMAT_2,0)),'DICTIONARY-5'!$A$2))</f>
        <v/>
      </c>
      <c r="N2700" s="535">
        <v>12</v>
      </c>
      <c r="O2700" s="535"/>
      <c r="P2700" s="732" t="str">
        <f>'DICTIONARY-3'!$A$153</f>
        <v>BAIO</v>
      </c>
      <c r="Q2700" s="732" t="str">
        <f>'DICTIONARY-3'!$A$226</f>
        <v>Tuleja wsporcza</v>
      </c>
      <c r="R2700" s="732" t="str">
        <f>CONCATENATE('DICTIONARY-3'!$A$153," ",'DICTIONARY-3'!$A$226," ",'DICTIONARY-2'!$A$2,"150"," ",'DICTIONARY-2'!$A$5,"160"," ",'DICTIONARY-5'!$A$59," ",'DICTIONARY-2'!$A$10,"16",'DICTIONARY-2'!$A$20)</f>
        <v>BAIO Tuleja wsporcza DN150 Da160 SDR 11 PS16bar</v>
      </c>
      <c r="S2700" s="733" t="s">
        <v>5569</v>
      </c>
      <c r="T2700" s="732" t="s">
        <v>5569</v>
      </c>
      <c r="U2700" s="734" t="s">
        <v>5572</v>
      </c>
      <c r="V2700" s="735" t="s">
        <v>5569</v>
      </c>
      <c r="W2700" s="744" t="s">
        <v>7342</v>
      </c>
      <c r="X2700" s="737"/>
      <c r="Y2700" s="738"/>
      <c r="Z2700" s="739"/>
      <c r="AA2700" s="739"/>
      <c r="AB2700" s="740">
        <v>16</v>
      </c>
      <c r="AC2700" s="741" t="s">
        <v>5569</v>
      </c>
      <c r="AD2700" s="741" t="s">
        <v>5569</v>
      </c>
      <c r="AE2700" s="742" t="s">
        <v>5569</v>
      </c>
      <c r="AF2700" s="743">
        <v>1</v>
      </c>
      <c r="AG2700" s="741" t="s">
        <v>5569</v>
      </c>
    </row>
    <row r="2701" spans="1:33" x14ac:dyDescent="0.25">
      <c r="A2701" s="869" t="s">
        <v>2592</v>
      </c>
      <c r="B2701" s="869" t="s">
        <v>2906</v>
      </c>
      <c r="C2701" s="836">
        <v>63</v>
      </c>
      <c r="D2701" s="836"/>
      <c r="E2701" s="836"/>
      <c r="F2701" s="836"/>
      <c r="G2701" s="496" t="s">
        <v>7851</v>
      </c>
      <c r="H2701" s="797" t="str">
        <f>VLOOKUP(G2701,SETTINGS!$B$7:$D$97,2,0)</f>
        <v>BAIO Fittings</v>
      </c>
      <c r="I2701" s="796">
        <f>VLOOKUP(G2701,SETTINGS!$B$7:$D$97,3,0)</f>
        <v>0</v>
      </c>
      <c r="J2701" s="670" t="str">
        <f>IFERROR(IF(CURRENCY.FORMAT_1=0,CONCATENATE(TEXT(FIXED(ROUND((C2701/EXC.RATE_1),CURRENCY.FORMAT_1),CURRENCY.FORMAT_1,1),"# ##0;-# ##0"),",-"),FIXED(ROUND((C2701/EXC.RATE_1),CURRENCY.FORMAT_1),CURRENCY.FORMAT_1,0)),'DICTIONARY-5'!$A$2)</f>
        <v>63,-</v>
      </c>
      <c r="K2701" s="670" t="str">
        <f>IF(EXC.RATE_2=0,"",IFERROR(IF(CURRENCY.FORMAT_2=0,CONCATENATE(TEXT(FIXED(ROUND(IF(EXC.RATE.SWITCH=1,C2701/EXC.RATE_2,C2701*EXC.RATE_2),CURRENCY.FORMAT_2),CURRENCY.FORMAT_2,1),"# ##0;-# ##0"),",-"),FIXED(ROUND(IF(EXC.RATE.SWITCH=1,C2701/EXC.RATE_2,C2701*EXC.RATE_2),CURRENCY.FORMAT_2),CURRENCY.FORMAT_2,0)),'DICTIONARY-5'!$A$2))</f>
        <v/>
      </c>
      <c r="L2701" s="670" t="str">
        <f>IFERROR(IF(CURRENCY.FORMAT_1=0,CONCATENATE(TEXT(FIXED(ROUND((C2701*(1-I2701)*(1-ADD.DISCOUNT)*(1+MAT.SURCHARGE)/EXC.RATE_1),CURRENCY.FORMAT_1),CURRENCY.FORMAT_1,1),"# ##0;-# ##0"),",-"),FIXED(ROUND((C2701*(1-I2701)*(1-ADD.DISCOUNT)*(1+MAT.SURCHARGE)/EXC.RATE_1),CURRENCY.FORMAT_1),CURRENCY.FORMAT_1,0)),'DICTIONARY-5'!$A$2)</f>
        <v>65,-</v>
      </c>
      <c r="M2701" s="670" t="str">
        <f>IF(EXC.RATE_2=0,"",IFERROR(IF(CURRENCY.FORMAT_2=0,CONCATENATE(TEXT(FIXED(ROUND(IF(EXC.RATE.SWITCH=1,C2701*(1-I2701)*(1-ADD.DISCOUNT)*(1+MAT.SURCHARGE)/EXC.RATE_2,C2701*(1-I2701)*(1-ADD.DISCOUNT)*(1+MAT.SURCHARGE)*EXC.RATE_2),CURRENCY.FORMAT_2),CURRENCY.FORMAT_2,1),"# ##0;-# ##0"),",-"),FIXED(ROUND(IF(EXC.RATE.SWITCH=1,C2701*(1-I2701)*(1-ADD.DISCOUNT)*(1+MAT.SURCHARGE)/EXC.RATE_2,C2701*(1-I2701)*(1-ADD.DISCOUNT)*(1+MAT.SURCHARGE)*EXC.RATE_2),CURRENCY.FORMAT_2),CURRENCY.FORMAT_2,0)),'DICTIONARY-5'!$A$2))</f>
        <v/>
      </c>
      <c r="N2701" s="535">
        <v>12</v>
      </c>
      <c r="O2701" s="535"/>
      <c r="P2701" s="732" t="str">
        <f>'DICTIONARY-3'!$A$153</f>
        <v>BAIO</v>
      </c>
      <c r="Q2701" s="732" t="str">
        <f>'DICTIONARY-3'!$A$226</f>
        <v>Tuleja wsporcza</v>
      </c>
      <c r="R2701" s="732" t="str">
        <f>CONCATENATE('DICTIONARY-3'!$A$153," ",'DICTIONARY-3'!$A$226," ",'DICTIONARY-2'!$A$2,"150"," ",'DICTIONARY-2'!$A$5,"180"," ",'DICTIONARY-5'!$A$59," ",'DICTIONARY-2'!$A$10,"16",'DICTIONARY-2'!$A$20)</f>
        <v>BAIO Tuleja wsporcza DN150 Da180 SDR 11 PS16bar</v>
      </c>
      <c r="S2701" s="733" t="s">
        <v>5569</v>
      </c>
      <c r="T2701" s="732" t="s">
        <v>5569</v>
      </c>
      <c r="U2701" s="734" t="s">
        <v>5572</v>
      </c>
      <c r="V2701" s="735" t="s">
        <v>5569</v>
      </c>
      <c r="W2701" s="744" t="s">
        <v>7343</v>
      </c>
      <c r="X2701" s="737"/>
      <c r="Y2701" s="738"/>
      <c r="Z2701" s="739"/>
      <c r="AA2701" s="739"/>
      <c r="AB2701" s="740">
        <v>16</v>
      </c>
      <c r="AC2701" s="741" t="s">
        <v>5569</v>
      </c>
      <c r="AD2701" s="741" t="s">
        <v>5569</v>
      </c>
      <c r="AE2701" s="742" t="s">
        <v>5569</v>
      </c>
      <c r="AF2701" s="743">
        <v>1</v>
      </c>
      <c r="AG2701" s="741" t="s">
        <v>5569</v>
      </c>
    </row>
    <row r="2702" spans="1:33" x14ac:dyDescent="0.25">
      <c r="A2702" s="869" t="s">
        <v>2594</v>
      </c>
      <c r="B2702" s="869" t="s">
        <v>2905</v>
      </c>
      <c r="C2702" s="836">
        <v>69</v>
      </c>
      <c r="D2702" s="836"/>
      <c r="E2702" s="836"/>
      <c r="F2702" s="836"/>
      <c r="G2702" s="496" t="s">
        <v>7851</v>
      </c>
      <c r="H2702" s="797" t="str">
        <f>VLOOKUP(G2702,SETTINGS!$B$7:$D$97,2,0)</f>
        <v>BAIO Fittings</v>
      </c>
      <c r="I2702" s="796">
        <f>VLOOKUP(G2702,SETTINGS!$B$7:$D$97,3,0)</f>
        <v>0</v>
      </c>
      <c r="J2702" s="670" t="str">
        <f>IFERROR(IF(CURRENCY.FORMAT_1=0,CONCATENATE(TEXT(FIXED(ROUND((C2702/EXC.RATE_1),CURRENCY.FORMAT_1),CURRENCY.FORMAT_1,1),"# ##0;-# ##0"),",-"),FIXED(ROUND((C2702/EXC.RATE_1),CURRENCY.FORMAT_1),CURRENCY.FORMAT_1,0)),'DICTIONARY-5'!$A$2)</f>
        <v>69,-</v>
      </c>
      <c r="K2702" s="670" t="str">
        <f>IF(EXC.RATE_2=0,"",IFERROR(IF(CURRENCY.FORMAT_2=0,CONCATENATE(TEXT(FIXED(ROUND(IF(EXC.RATE.SWITCH=1,C2702/EXC.RATE_2,C2702*EXC.RATE_2),CURRENCY.FORMAT_2),CURRENCY.FORMAT_2,1),"# ##0;-# ##0"),",-"),FIXED(ROUND(IF(EXC.RATE.SWITCH=1,C2702/EXC.RATE_2,C2702*EXC.RATE_2),CURRENCY.FORMAT_2),CURRENCY.FORMAT_2,0)),'DICTIONARY-5'!$A$2))</f>
        <v/>
      </c>
      <c r="L2702" s="670" t="str">
        <f>IFERROR(IF(CURRENCY.FORMAT_1=0,CONCATENATE(TEXT(FIXED(ROUND((C2702*(1-I2702)*(1-ADD.DISCOUNT)*(1+MAT.SURCHARGE)/EXC.RATE_1),CURRENCY.FORMAT_1),CURRENCY.FORMAT_1,1),"# ##0;-# ##0"),",-"),FIXED(ROUND((C2702*(1-I2702)*(1-ADD.DISCOUNT)*(1+MAT.SURCHARGE)/EXC.RATE_1),CURRENCY.FORMAT_1),CURRENCY.FORMAT_1,0)),'DICTIONARY-5'!$A$2)</f>
        <v>72,-</v>
      </c>
      <c r="M2702" s="670" t="str">
        <f>IF(EXC.RATE_2=0,"",IFERROR(IF(CURRENCY.FORMAT_2=0,CONCATENATE(TEXT(FIXED(ROUND(IF(EXC.RATE.SWITCH=1,C2702*(1-I2702)*(1-ADD.DISCOUNT)*(1+MAT.SURCHARGE)/EXC.RATE_2,C2702*(1-I2702)*(1-ADD.DISCOUNT)*(1+MAT.SURCHARGE)*EXC.RATE_2),CURRENCY.FORMAT_2),CURRENCY.FORMAT_2,1),"# ##0;-# ##0"),",-"),FIXED(ROUND(IF(EXC.RATE.SWITCH=1,C2702*(1-I2702)*(1-ADD.DISCOUNT)*(1+MAT.SURCHARGE)/EXC.RATE_2,C2702*(1-I2702)*(1-ADD.DISCOUNT)*(1+MAT.SURCHARGE)*EXC.RATE_2),CURRENCY.FORMAT_2),CURRENCY.FORMAT_2,0)),'DICTIONARY-5'!$A$2))</f>
        <v/>
      </c>
      <c r="N2702" s="535">
        <v>12</v>
      </c>
      <c r="O2702" s="535"/>
      <c r="P2702" s="732" t="str">
        <f>'DICTIONARY-3'!$A$153</f>
        <v>BAIO</v>
      </c>
      <c r="Q2702" s="732" t="str">
        <f>'DICTIONARY-3'!$A$226</f>
        <v>Tuleja wsporcza</v>
      </c>
      <c r="R2702" s="732" t="str">
        <f>CONCATENATE('DICTIONARY-3'!$A$153," ",'DICTIONARY-3'!$A$226," ",'DICTIONARY-2'!$A$2,"200"," ",'DICTIONARY-2'!$A$5,"200"," ",'DICTIONARY-5'!$A$59," ",'DICTIONARY-2'!$A$10,"16",'DICTIONARY-2'!$A$20)</f>
        <v>BAIO Tuleja wsporcza DN200 Da200 SDR 11 PS16bar</v>
      </c>
      <c r="S2702" s="733" t="s">
        <v>5569</v>
      </c>
      <c r="T2702" s="732" t="s">
        <v>5569</v>
      </c>
      <c r="U2702" s="734" t="s">
        <v>5750</v>
      </c>
      <c r="V2702" s="735" t="s">
        <v>5569</v>
      </c>
      <c r="W2702" s="744" t="s">
        <v>5750</v>
      </c>
      <c r="X2702" s="737"/>
      <c r="Y2702" s="738"/>
      <c r="Z2702" s="739"/>
      <c r="AA2702" s="739"/>
      <c r="AB2702" s="740">
        <v>16</v>
      </c>
      <c r="AC2702" s="741" t="s">
        <v>5569</v>
      </c>
      <c r="AD2702" s="741" t="s">
        <v>5569</v>
      </c>
      <c r="AE2702" s="742" t="s">
        <v>5569</v>
      </c>
      <c r="AF2702" s="743">
        <v>0.14899999999999999</v>
      </c>
      <c r="AG2702" s="741" t="s">
        <v>5569</v>
      </c>
    </row>
    <row r="2703" spans="1:33" x14ac:dyDescent="0.25">
      <c r="A2703" s="869" t="s">
        <v>2596</v>
      </c>
      <c r="B2703" s="869" t="s">
        <v>2902</v>
      </c>
      <c r="C2703" s="836">
        <v>88</v>
      </c>
      <c r="D2703" s="836"/>
      <c r="E2703" s="836"/>
      <c r="F2703" s="836"/>
      <c r="G2703" s="496" t="s">
        <v>7851</v>
      </c>
      <c r="H2703" s="797" t="str">
        <f>VLOOKUP(G2703,SETTINGS!$B$7:$D$97,2,0)</f>
        <v>BAIO Fittings</v>
      </c>
      <c r="I2703" s="796">
        <f>VLOOKUP(G2703,SETTINGS!$B$7:$D$97,3,0)</f>
        <v>0</v>
      </c>
      <c r="J2703" s="670" t="str">
        <f>IFERROR(IF(CURRENCY.FORMAT_1=0,CONCATENATE(TEXT(FIXED(ROUND((C2703/EXC.RATE_1),CURRENCY.FORMAT_1),CURRENCY.FORMAT_1,1),"# ##0;-# ##0"),",-"),FIXED(ROUND((C2703/EXC.RATE_1),CURRENCY.FORMAT_1),CURRENCY.FORMAT_1,0)),'DICTIONARY-5'!$A$2)</f>
        <v>88,-</v>
      </c>
      <c r="K2703" s="670" t="str">
        <f>IF(EXC.RATE_2=0,"",IFERROR(IF(CURRENCY.FORMAT_2=0,CONCATENATE(TEXT(FIXED(ROUND(IF(EXC.RATE.SWITCH=1,C2703/EXC.RATE_2,C2703*EXC.RATE_2),CURRENCY.FORMAT_2),CURRENCY.FORMAT_2,1),"# ##0;-# ##0"),",-"),FIXED(ROUND(IF(EXC.RATE.SWITCH=1,C2703/EXC.RATE_2,C2703*EXC.RATE_2),CURRENCY.FORMAT_2),CURRENCY.FORMAT_2,0)),'DICTIONARY-5'!$A$2))</f>
        <v/>
      </c>
      <c r="L2703" s="670" t="str">
        <f>IFERROR(IF(CURRENCY.FORMAT_1=0,CONCATENATE(TEXT(FIXED(ROUND((C2703*(1-I2703)*(1-ADD.DISCOUNT)*(1+MAT.SURCHARGE)/EXC.RATE_1),CURRENCY.FORMAT_1),CURRENCY.FORMAT_1,1),"# ##0;-# ##0"),",-"),FIXED(ROUND((C2703*(1-I2703)*(1-ADD.DISCOUNT)*(1+MAT.SURCHARGE)/EXC.RATE_1),CURRENCY.FORMAT_1),CURRENCY.FORMAT_1,0)),'DICTIONARY-5'!$A$2)</f>
        <v>91,-</v>
      </c>
      <c r="M2703" s="670" t="str">
        <f>IF(EXC.RATE_2=0,"",IFERROR(IF(CURRENCY.FORMAT_2=0,CONCATENATE(TEXT(FIXED(ROUND(IF(EXC.RATE.SWITCH=1,C2703*(1-I2703)*(1-ADD.DISCOUNT)*(1+MAT.SURCHARGE)/EXC.RATE_2,C2703*(1-I2703)*(1-ADD.DISCOUNT)*(1+MAT.SURCHARGE)*EXC.RATE_2),CURRENCY.FORMAT_2),CURRENCY.FORMAT_2,1),"# ##0;-# ##0"),",-"),FIXED(ROUND(IF(EXC.RATE.SWITCH=1,C2703*(1-I2703)*(1-ADD.DISCOUNT)*(1+MAT.SURCHARGE)/EXC.RATE_2,C2703*(1-I2703)*(1-ADD.DISCOUNT)*(1+MAT.SURCHARGE)*EXC.RATE_2),CURRENCY.FORMAT_2),CURRENCY.FORMAT_2,0)),'DICTIONARY-5'!$A$2))</f>
        <v/>
      </c>
      <c r="N2703" s="535">
        <v>12</v>
      </c>
      <c r="O2703" s="535"/>
      <c r="P2703" s="732" t="str">
        <f>'DICTIONARY-3'!$A$153</f>
        <v>BAIO</v>
      </c>
      <c r="Q2703" s="732" t="str">
        <f>'DICTIONARY-3'!$A$226</f>
        <v>Tuleja wsporcza</v>
      </c>
      <c r="R2703" s="732" t="str">
        <f>CONCATENATE('DICTIONARY-3'!$A$153," ",'DICTIONARY-3'!$A$226," ",'DICTIONARY-2'!$A$2,"200"," ",'DICTIONARY-2'!$A$5,"225"," ",'DICTIONARY-5'!$A$59," ",'DICTIONARY-2'!$A$10,"16",'DICTIONARY-2'!$A$20)</f>
        <v>BAIO Tuleja wsporcza DN200 Da225 SDR 11 PS16bar</v>
      </c>
      <c r="S2703" s="733" t="s">
        <v>5569</v>
      </c>
      <c r="T2703" s="732" t="s">
        <v>5569</v>
      </c>
      <c r="U2703" s="734" t="s">
        <v>5750</v>
      </c>
      <c r="V2703" s="735" t="s">
        <v>5569</v>
      </c>
      <c r="W2703" s="744" t="s">
        <v>5833</v>
      </c>
      <c r="X2703" s="737"/>
      <c r="Y2703" s="738"/>
      <c r="Z2703" s="739"/>
      <c r="AA2703" s="739"/>
      <c r="AB2703" s="740">
        <v>16</v>
      </c>
      <c r="AC2703" s="741" t="s">
        <v>5569</v>
      </c>
      <c r="AD2703" s="741" t="s">
        <v>5569</v>
      </c>
      <c r="AE2703" s="742" t="s">
        <v>5569</v>
      </c>
      <c r="AF2703" s="743">
        <v>1</v>
      </c>
      <c r="AG2703" s="741" t="s">
        <v>5569</v>
      </c>
    </row>
    <row r="2704" spans="1:33" x14ac:dyDescent="0.25">
      <c r="A2704" s="884" t="s">
        <v>2598</v>
      </c>
      <c r="B2704" s="884" t="s">
        <v>2966</v>
      </c>
      <c r="C2704" s="836">
        <v>2</v>
      </c>
      <c r="D2704" s="836"/>
      <c r="E2704" s="836"/>
      <c r="F2704" s="836"/>
      <c r="G2704" s="496" t="s">
        <v>7851</v>
      </c>
      <c r="H2704" s="797" t="str">
        <f>VLOOKUP(G2704,SETTINGS!$B$7:$D$97,2,0)</f>
        <v>BAIO Fittings</v>
      </c>
      <c r="I2704" s="796">
        <f>VLOOKUP(G2704,SETTINGS!$B$7:$D$97,3,0)</f>
        <v>0</v>
      </c>
      <c r="J2704" s="670" t="str">
        <f>IFERROR(IF(CURRENCY.FORMAT_1=0,CONCATENATE(TEXT(FIXED(ROUND((C2704/EXC.RATE_1),CURRENCY.FORMAT_1),CURRENCY.FORMAT_1,1),"# ##0;-# ##0"),",-"),FIXED(ROUND((C2704/EXC.RATE_1),CURRENCY.FORMAT_1),CURRENCY.FORMAT_1,0)),'DICTIONARY-5'!$A$2)</f>
        <v>2,-</v>
      </c>
      <c r="K2704" s="670" t="str">
        <f>IF(EXC.RATE_2=0,"",IFERROR(IF(CURRENCY.FORMAT_2=0,CONCATENATE(TEXT(FIXED(ROUND(IF(EXC.RATE.SWITCH=1,C2704/EXC.RATE_2,C2704*EXC.RATE_2),CURRENCY.FORMAT_2),CURRENCY.FORMAT_2,1),"# ##0;-# ##0"),",-"),FIXED(ROUND(IF(EXC.RATE.SWITCH=1,C2704/EXC.RATE_2,C2704*EXC.RATE_2),CURRENCY.FORMAT_2),CURRENCY.FORMAT_2,0)),'DICTIONARY-5'!$A$2))</f>
        <v/>
      </c>
      <c r="L2704" s="670" t="str">
        <f>IFERROR(IF(CURRENCY.FORMAT_1=0,CONCATENATE(TEXT(FIXED(ROUND((C2704*(1-I2704)*(1-ADD.DISCOUNT)*(1+MAT.SURCHARGE)/EXC.RATE_1),CURRENCY.FORMAT_1),CURRENCY.FORMAT_1,1),"# ##0;-# ##0"),",-"),FIXED(ROUND((C2704*(1-I2704)*(1-ADD.DISCOUNT)*(1+MAT.SURCHARGE)/EXC.RATE_1),CURRENCY.FORMAT_1),CURRENCY.FORMAT_1,0)),'DICTIONARY-5'!$A$2)</f>
        <v>2,-</v>
      </c>
      <c r="M2704" s="670" t="str">
        <f>IF(EXC.RATE_2=0,"",IFERROR(IF(CURRENCY.FORMAT_2=0,CONCATENATE(TEXT(FIXED(ROUND(IF(EXC.RATE.SWITCH=1,C2704*(1-I2704)*(1-ADD.DISCOUNT)*(1+MAT.SURCHARGE)/EXC.RATE_2,C2704*(1-I2704)*(1-ADD.DISCOUNT)*(1+MAT.SURCHARGE)*EXC.RATE_2),CURRENCY.FORMAT_2),CURRENCY.FORMAT_2,1),"# ##0;-# ##0"),",-"),FIXED(ROUND(IF(EXC.RATE.SWITCH=1,C2704*(1-I2704)*(1-ADD.DISCOUNT)*(1+MAT.SURCHARGE)/EXC.RATE_2,C2704*(1-I2704)*(1-ADD.DISCOUNT)*(1+MAT.SURCHARGE)*EXC.RATE_2),CURRENCY.FORMAT_2),CURRENCY.FORMAT_2,0)),'DICTIONARY-5'!$A$2))</f>
        <v/>
      </c>
      <c r="N2704" s="535">
        <v>12</v>
      </c>
      <c r="O2704" s="535"/>
      <c r="P2704" s="732" t="str">
        <f>'DICTIONARY-3'!$A$177</f>
        <v>BAIOanti-twist</v>
      </c>
      <c r="Q2704" s="732" t="str">
        <f>'DICTIONARY-3'!$A$224</f>
        <v>Zabezpieczenie przed wyrwaniem</v>
      </c>
      <c r="R2704" s="732" t="str">
        <f>CONCATENATE('DICTIONARY-3'!$A$177," ",'DICTIONARY-3'!$A$224," ",'DICTIONARY-2'!$A$2,"80"," ",'DICTIONARY-2'!$A$10,"16",'DICTIONARY-2'!$A$20)</f>
        <v>BAIOanti-twist Zabezpieczenie przed wyrwaniem DN80 PS16bar</v>
      </c>
      <c r="S2704" s="733" t="s">
        <v>5569</v>
      </c>
      <c r="T2704" s="732" t="s">
        <v>5569</v>
      </c>
      <c r="U2704" s="734" t="s">
        <v>5760</v>
      </c>
      <c r="V2704" s="735" t="s">
        <v>5569</v>
      </c>
      <c r="W2704" s="736"/>
      <c r="X2704" s="737"/>
      <c r="Y2704" s="738"/>
      <c r="Z2704" s="739"/>
      <c r="AA2704" s="739"/>
      <c r="AB2704" s="740">
        <v>16</v>
      </c>
      <c r="AC2704" s="741" t="s">
        <v>5569</v>
      </c>
      <c r="AD2704" s="741" t="s">
        <v>5569</v>
      </c>
      <c r="AE2704" s="742" t="s">
        <v>5569</v>
      </c>
      <c r="AF2704" s="743">
        <v>8.9999999999999993E-3</v>
      </c>
      <c r="AG2704" s="741" t="s">
        <v>5569</v>
      </c>
    </row>
    <row r="2705" spans="1:33" x14ac:dyDescent="0.25">
      <c r="A2705" s="884" t="s">
        <v>2599</v>
      </c>
      <c r="B2705" s="884" t="s">
        <v>2963</v>
      </c>
      <c r="C2705" s="836">
        <v>2</v>
      </c>
      <c r="D2705" s="836"/>
      <c r="E2705" s="836"/>
      <c r="F2705" s="836"/>
      <c r="G2705" s="496" t="s">
        <v>7851</v>
      </c>
      <c r="H2705" s="797" t="str">
        <f>VLOOKUP(G2705,SETTINGS!$B$7:$D$97,2,0)</f>
        <v>BAIO Fittings</v>
      </c>
      <c r="I2705" s="796">
        <f>VLOOKUP(G2705,SETTINGS!$B$7:$D$97,3,0)</f>
        <v>0</v>
      </c>
      <c r="J2705" s="670" t="str">
        <f>IFERROR(IF(CURRENCY.FORMAT_1=0,CONCATENATE(TEXT(FIXED(ROUND((C2705/EXC.RATE_1),CURRENCY.FORMAT_1),CURRENCY.FORMAT_1,1),"# ##0;-# ##0"),",-"),FIXED(ROUND((C2705/EXC.RATE_1),CURRENCY.FORMAT_1),CURRENCY.FORMAT_1,0)),'DICTIONARY-5'!$A$2)</f>
        <v>2,-</v>
      </c>
      <c r="K2705" s="670" t="str">
        <f>IF(EXC.RATE_2=0,"",IFERROR(IF(CURRENCY.FORMAT_2=0,CONCATENATE(TEXT(FIXED(ROUND(IF(EXC.RATE.SWITCH=1,C2705/EXC.RATE_2,C2705*EXC.RATE_2),CURRENCY.FORMAT_2),CURRENCY.FORMAT_2,1),"# ##0;-# ##0"),",-"),FIXED(ROUND(IF(EXC.RATE.SWITCH=1,C2705/EXC.RATE_2,C2705*EXC.RATE_2),CURRENCY.FORMAT_2),CURRENCY.FORMAT_2,0)),'DICTIONARY-5'!$A$2))</f>
        <v/>
      </c>
      <c r="L2705" s="670" t="str">
        <f>IFERROR(IF(CURRENCY.FORMAT_1=0,CONCATENATE(TEXT(FIXED(ROUND((C2705*(1-I2705)*(1-ADD.DISCOUNT)*(1+MAT.SURCHARGE)/EXC.RATE_1),CURRENCY.FORMAT_1),CURRENCY.FORMAT_1,1),"# ##0;-# ##0"),",-"),FIXED(ROUND((C2705*(1-I2705)*(1-ADD.DISCOUNT)*(1+MAT.SURCHARGE)/EXC.RATE_1),CURRENCY.FORMAT_1),CURRENCY.FORMAT_1,0)),'DICTIONARY-5'!$A$2)</f>
        <v>2,-</v>
      </c>
      <c r="M2705" s="670" t="str">
        <f>IF(EXC.RATE_2=0,"",IFERROR(IF(CURRENCY.FORMAT_2=0,CONCATENATE(TEXT(FIXED(ROUND(IF(EXC.RATE.SWITCH=1,C2705*(1-I2705)*(1-ADD.DISCOUNT)*(1+MAT.SURCHARGE)/EXC.RATE_2,C2705*(1-I2705)*(1-ADD.DISCOUNT)*(1+MAT.SURCHARGE)*EXC.RATE_2),CURRENCY.FORMAT_2),CURRENCY.FORMAT_2,1),"# ##0;-# ##0"),",-"),FIXED(ROUND(IF(EXC.RATE.SWITCH=1,C2705*(1-I2705)*(1-ADD.DISCOUNT)*(1+MAT.SURCHARGE)/EXC.RATE_2,C2705*(1-I2705)*(1-ADD.DISCOUNT)*(1+MAT.SURCHARGE)*EXC.RATE_2),CURRENCY.FORMAT_2),CURRENCY.FORMAT_2,0)),'DICTIONARY-5'!$A$2))</f>
        <v/>
      </c>
      <c r="N2705" s="535">
        <v>12</v>
      </c>
      <c r="O2705" s="535"/>
      <c r="P2705" s="732" t="str">
        <f>'DICTIONARY-3'!$A$177</f>
        <v>BAIOanti-twist</v>
      </c>
      <c r="Q2705" s="732" t="str">
        <f>'DICTIONARY-3'!$A$224</f>
        <v>Zabezpieczenie przed wyrwaniem</v>
      </c>
      <c r="R2705" s="732" t="str">
        <f>CONCATENATE('DICTIONARY-3'!$A$177," ",'DICTIONARY-3'!$A$224," ",'DICTIONARY-2'!$A$2,"100"," ",'DICTIONARY-2'!$A$10,"16",'DICTIONARY-2'!$A$20)</f>
        <v>BAIOanti-twist Zabezpieczenie przed wyrwaniem DN100 PS16bar</v>
      </c>
      <c r="S2705" s="733" t="s">
        <v>5569</v>
      </c>
      <c r="T2705" s="732" t="s">
        <v>5569</v>
      </c>
      <c r="U2705" s="734" t="s">
        <v>5749</v>
      </c>
      <c r="V2705" s="735" t="s">
        <v>5569</v>
      </c>
      <c r="W2705" s="736"/>
      <c r="X2705" s="737"/>
      <c r="Y2705" s="738"/>
      <c r="Z2705" s="739"/>
      <c r="AA2705" s="739"/>
      <c r="AB2705" s="740">
        <v>16</v>
      </c>
      <c r="AC2705" s="741" t="s">
        <v>5569</v>
      </c>
      <c r="AD2705" s="741" t="s">
        <v>5569</v>
      </c>
      <c r="AE2705" s="742" t="s">
        <v>5569</v>
      </c>
      <c r="AF2705" s="743">
        <v>1.4E-2</v>
      </c>
      <c r="AG2705" s="741" t="s">
        <v>5569</v>
      </c>
    </row>
    <row r="2706" spans="1:33" x14ac:dyDescent="0.25">
      <c r="A2706" s="884" t="s">
        <v>2600</v>
      </c>
      <c r="B2706" s="884" t="s">
        <v>2967</v>
      </c>
      <c r="C2706" s="836">
        <v>2</v>
      </c>
      <c r="D2706" s="836"/>
      <c r="E2706" s="836"/>
      <c r="F2706" s="836"/>
      <c r="G2706" s="496" t="s">
        <v>7851</v>
      </c>
      <c r="H2706" s="797" t="str">
        <f>VLOOKUP(G2706,SETTINGS!$B$7:$D$97,2,0)</f>
        <v>BAIO Fittings</v>
      </c>
      <c r="I2706" s="796">
        <f>VLOOKUP(G2706,SETTINGS!$B$7:$D$97,3,0)</f>
        <v>0</v>
      </c>
      <c r="J2706" s="670" t="str">
        <f>IFERROR(IF(CURRENCY.FORMAT_1=0,CONCATENATE(TEXT(FIXED(ROUND((C2706/EXC.RATE_1),CURRENCY.FORMAT_1),CURRENCY.FORMAT_1,1),"# ##0;-# ##0"),",-"),FIXED(ROUND((C2706/EXC.RATE_1),CURRENCY.FORMAT_1),CURRENCY.FORMAT_1,0)),'DICTIONARY-5'!$A$2)</f>
        <v>2,-</v>
      </c>
      <c r="K2706" s="670" t="str">
        <f>IF(EXC.RATE_2=0,"",IFERROR(IF(CURRENCY.FORMAT_2=0,CONCATENATE(TEXT(FIXED(ROUND(IF(EXC.RATE.SWITCH=1,C2706/EXC.RATE_2,C2706*EXC.RATE_2),CURRENCY.FORMAT_2),CURRENCY.FORMAT_2,1),"# ##0;-# ##0"),",-"),FIXED(ROUND(IF(EXC.RATE.SWITCH=1,C2706/EXC.RATE_2,C2706*EXC.RATE_2),CURRENCY.FORMAT_2),CURRENCY.FORMAT_2,0)),'DICTIONARY-5'!$A$2))</f>
        <v/>
      </c>
      <c r="L2706" s="670" t="str">
        <f>IFERROR(IF(CURRENCY.FORMAT_1=0,CONCATENATE(TEXT(FIXED(ROUND((C2706*(1-I2706)*(1-ADD.DISCOUNT)*(1+MAT.SURCHARGE)/EXC.RATE_1),CURRENCY.FORMAT_1),CURRENCY.FORMAT_1,1),"# ##0;-# ##0"),",-"),FIXED(ROUND((C2706*(1-I2706)*(1-ADD.DISCOUNT)*(1+MAT.SURCHARGE)/EXC.RATE_1),CURRENCY.FORMAT_1),CURRENCY.FORMAT_1,0)),'DICTIONARY-5'!$A$2)</f>
        <v>2,-</v>
      </c>
      <c r="M2706" s="670" t="str">
        <f>IF(EXC.RATE_2=0,"",IFERROR(IF(CURRENCY.FORMAT_2=0,CONCATENATE(TEXT(FIXED(ROUND(IF(EXC.RATE.SWITCH=1,C2706*(1-I2706)*(1-ADD.DISCOUNT)*(1+MAT.SURCHARGE)/EXC.RATE_2,C2706*(1-I2706)*(1-ADD.DISCOUNT)*(1+MAT.SURCHARGE)*EXC.RATE_2),CURRENCY.FORMAT_2),CURRENCY.FORMAT_2,1),"# ##0;-# ##0"),",-"),FIXED(ROUND(IF(EXC.RATE.SWITCH=1,C2706*(1-I2706)*(1-ADD.DISCOUNT)*(1+MAT.SURCHARGE)/EXC.RATE_2,C2706*(1-I2706)*(1-ADD.DISCOUNT)*(1+MAT.SURCHARGE)*EXC.RATE_2),CURRENCY.FORMAT_2),CURRENCY.FORMAT_2,0)),'DICTIONARY-5'!$A$2))</f>
        <v/>
      </c>
      <c r="N2706" s="535">
        <v>12</v>
      </c>
      <c r="O2706" s="535"/>
      <c r="P2706" s="732" t="str">
        <f>'DICTIONARY-3'!$A$177</f>
        <v>BAIOanti-twist</v>
      </c>
      <c r="Q2706" s="732" t="str">
        <f>'DICTIONARY-3'!$A$224</f>
        <v>Zabezpieczenie przed wyrwaniem</v>
      </c>
      <c r="R2706" s="732" t="str">
        <f>CONCATENATE('DICTIONARY-3'!$A$177," ",'DICTIONARY-3'!$A$224," ",'DICTIONARY-2'!$A$2,"125"," ",'DICTIONARY-2'!$A$10,"16",'DICTIONARY-2'!$A$20)</f>
        <v>BAIOanti-twist Zabezpieczenie przed wyrwaniem DN125 PS16bar</v>
      </c>
      <c r="S2706" s="733" t="s">
        <v>5569</v>
      </c>
      <c r="T2706" s="732" t="s">
        <v>5569</v>
      </c>
      <c r="U2706" s="734" t="s">
        <v>5761</v>
      </c>
      <c r="V2706" s="735" t="s">
        <v>5569</v>
      </c>
      <c r="W2706" s="736"/>
      <c r="X2706" s="737"/>
      <c r="Y2706" s="738"/>
      <c r="Z2706" s="739"/>
      <c r="AA2706" s="739"/>
      <c r="AB2706" s="740">
        <v>16</v>
      </c>
      <c r="AC2706" s="741" t="s">
        <v>5569</v>
      </c>
      <c r="AD2706" s="741" t="s">
        <v>5569</v>
      </c>
      <c r="AE2706" s="742" t="s">
        <v>5569</v>
      </c>
      <c r="AF2706" s="743">
        <v>0.1</v>
      </c>
      <c r="AG2706" s="741" t="s">
        <v>5569</v>
      </c>
    </row>
    <row r="2707" spans="1:33" x14ac:dyDescent="0.25">
      <c r="A2707" s="884" t="s">
        <v>2601</v>
      </c>
      <c r="B2707" s="884" t="s">
        <v>2964</v>
      </c>
      <c r="C2707" s="836">
        <v>2</v>
      </c>
      <c r="D2707" s="836"/>
      <c r="E2707" s="836"/>
      <c r="F2707" s="836"/>
      <c r="G2707" s="496" t="s">
        <v>7851</v>
      </c>
      <c r="H2707" s="797" t="str">
        <f>VLOOKUP(G2707,SETTINGS!$B$7:$D$97,2,0)</f>
        <v>BAIO Fittings</v>
      </c>
      <c r="I2707" s="796">
        <f>VLOOKUP(G2707,SETTINGS!$B$7:$D$97,3,0)</f>
        <v>0</v>
      </c>
      <c r="J2707" s="670" t="str">
        <f>IFERROR(IF(CURRENCY.FORMAT_1=0,CONCATENATE(TEXT(FIXED(ROUND((C2707/EXC.RATE_1),CURRENCY.FORMAT_1),CURRENCY.FORMAT_1,1),"# ##0;-# ##0"),",-"),FIXED(ROUND((C2707/EXC.RATE_1),CURRENCY.FORMAT_1),CURRENCY.FORMAT_1,0)),'DICTIONARY-5'!$A$2)</f>
        <v>2,-</v>
      </c>
      <c r="K2707" s="670" t="str">
        <f>IF(EXC.RATE_2=0,"",IFERROR(IF(CURRENCY.FORMAT_2=0,CONCATENATE(TEXT(FIXED(ROUND(IF(EXC.RATE.SWITCH=1,C2707/EXC.RATE_2,C2707*EXC.RATE_2),CURRENCY.FORMAT_2),CURRENCY.FORMAT_2,1),"# ##0;-# ##0"),",-"),FIXED(ROUND(IF(EXC.RATE.SWITCH=1,C2707/EXC.RATE_2,C2707*EXC.RATE_2),CURRENCY.FORMAT_2),CURRENCY.FORMAT_2,0)),'DICTIONARY-5'!$A$2))</f>
        <v/>
      </c>
      <c r="L2707" s="670" t="str">
        <f>IFERROR(IF(CURRENCY.FORMAT_1=0,CONCATENATE(TEXT(FIXED(ROUND((C2707*(1-I2707)*(1-ADD.DISCOUNT)*(1+MAT.SURCHARGE)/EXC.RATE_1),CURRENCY.FORMAT_1),CURRENCY.FORMAT_1,1),"# ##0;-# ##0"),",-"),FIXED(ROUND((C2707*(1-I2707)*(1-ADD.DISCOUNT)*(1+MAT.SURCHARGE)/EXC.RATE_1),CURRENCY.FORMAT_1),CURRENCY.FORMAT_1,0)),'DICTIONARY-5'!$A$2)</f>
        <v>2,-</v>
      </c>
      <c r="M2707" s="670" t="str">
        <f>IF(EXC.RATE_2=0,"",IFERROR(IF(CURRENCY.FORMAT_2=0,CONCATENATE(TEXT(FIXED(ROUND(IF(EXC.RATE.SWITCH=1,C2707*(1-I2707)*(1-ADD.DISCOUNT)*(1+MAT.SURCHARGE)/EXC.RATE_2,C2707*(1-I2707)*(1-ADD.DISCOUNT)*(1+MAT.SURCHARGE)*EXC.RATE_2),CURRENCY.FORMAT_2),CURRENCY.FORMAT_2,1),"# ##0;-# ##0"),",-"),FIXED(ROUND(IF(EXC.RATE.SWITCH=1,C2707*(1-I2707)*(1-ADD.DISCOUNT)*(1+MAT.SURCHARGE)/EXC.RATE_2,C2707*(1-I2707)*(1-ADD.DISCOUNT)*(1+MAT.SURCHARGE)*EXC.RATE_2),CURRENCY.FORMAT_2),CURRENCY.FORMAT_2,0)),'DICTIONARY-5'!$A$2))</f>
        <v/>
      </c>
      <c r="N2707" s="535">
        <v>12</v>
      </c>
      <c r="O2707" s="535"/>
      <c r="P2707" s="732" t="str">
        <f>'DICTIONARY-3'!$A$177</f>
        <v>BAIOanti-twist</v>
      </c>
      <c r="Q2707" s="732" t="str">
        <f>'DICTIONARY-3'!$A$224</f>
        <v>Zabezpieczenie przed wyrwaniem</v>
      </c>
      <c r="R2707" s="732" t="str">
        <f>CONCATENATE('DICTIONARY-3'!$A$177," ",'DICTIONARY-3'!$A$224," ",'DICTIONARY-2'!$A$2,"150"," ",'DICTIONARY-2'!$A$10,"16",'DICTIONARY-2'!$A$20)</f>
        <v>BAIOanti-twist Zabezpieczenie przed wyrwaniem DN150 PS16bar</v>
      </c>
      <c r="S2707" s="733" t="s">
        <v>5569</v>
      </c>
      <c r="T2707" s="732" t="s">
        <v>5569</v>
      </c>
      <c r="U2707" s="734" t="s">
        <v>5572</v>
      </c>
      <c r="V2707" s="735" t="s">
        <v>5569</v>
      </c>
      <c r="W2707" s="736"/>
      <c r="X2707" s="737"/>
      <c r="Y2707" s="738"/>
      <c r="Z2707" s="739"/>
      <c r="AA2707" s="739"/>
      <c r="AB2707" s="740">
        <v>16</v>
      </c>
      <c r="AC2707" s="741" t="s">
        <v>5569</v>
      </c>
      <c r="AD2707" s="741" t="s">
        <v>5569</v>
      </c>
      <c r="AE2707" s="742" t="s">
        <v>5569</v>
      </c>
      <c r="AF2707" s="743">
        <v>1.7000000000000001E-2</v>
      </c>
      <c r="AG2707" s="741" t="s">
        <v>5569</v>
      </c>
    </row>
    <row r="2708" spans="1:33" x14ac:dyDescent="0.25">
      <c r="A2708" s="884" t="s">
        <v>2602</v>
      </c>
      <c r="B2708" s="884" t="s">
        <v>2965</v>
      </c>
      <c r="C2708" s="836">
        <v>4</v>
      </c>
      <c r="D2708" s="836"/>
      <c r="E2708" s="836"/>
      <c r="F2708" s="836"/>
      <c r="G2708" s="496" t="s">
        <v>7851</v>
      </c>
      <c r="H2708" s="797" t="str">
        <f>VLOOKUP(G2708,SETTINGS!$B$7:$D$97,2,0)</f>
        <v>BAIO Fittings</v>
      </c>
      <c r="I2708" s="796">
        <f>VLOOKUP(G2708,SETTINGS!$B$7:$D$97,3,0)</f>
        <v>0</v>
      </c>
      <c r="J2708" s="670" t="str">
        <f>IFERROR(IF(CURRENCY.FORMAT_1=0,CONCATENATE(TEXT(FIXED(ROUND((C2708/EXC.RATE_1),CURRENCY.FORMAT_1),CURRENCY.FORMAT_1,1),"# ##0;-# ##0"),",-"),FIXED(ROUND((C2708/EXC.RATE_1),CURRENCY.FORMAT_1),CURRENCY.FORMAT_1,0)),'DICTIONARY-5'!$A$2)</f>
        <v>4,-</v>
      </c>
      <c r="K2708" s="670" t="str">
        <f>IF(EXC.RATE_2=0,"",IFERROR(IF(CURRENCY.FORMAT_2=0,CONCATENATE(TEXT(FIXED(ROUND(IF(EXC.RATE.SWITCH=1,C2708/EXC.RATE_2,C2708*EXC.RATE_2),CURRENCY.FORMAT_2),CURRENCY.FORMAT_2,1),"# ##0;-# ##0"),",-"),FIXED(ROUND(IF(EXC.RATE.SWITCH=1,C2708/EXC.RATE_2,C2708*EXC.RATE_2),CURRENCY.FORMAT_2),CURRENCY.FORMAT_2,0)),'DICTIONARY-5'!$A$2))</f>
        <v/>
      </c>
      <c r="L2708" s="670" t="str">
        <f>IFERROR(IF(CURRENCY.FORMAT_1=0,CONCATENATE(TEXT(FIXED(ROUND((C2708*(1-I2708)*(1-ADD.DISCOUNT)*(1+MAT.SURCHARGE)/EXC.RATE_1),CURRENCY.FORMAT_1),CURRENCY.FORMAT_1,1),"# ##0;-# ##0"),",-"),FIXED(ROUND((C2708*(1-I2708)*(1-ADD.DISCOUNT)*(1+MAT.SURCHARGE)/EXC.RATE_1),CURRENCY.FORMAT_1),CURRENCY.FORMAT_1,0)),'DICTIONARY-5'!$A$2)</f>
        <v>4,-</v>
      </c>
      <c r="M2708" s="670" t="str">
        <f>IF(EXC.RATE_2=0,"",IFERROR(IF(CURRENCY.FORMAT_2=0,CONCATENATE(TEXT(FIXED(ROUND(IF(EXC.RATE.SWITCH=1,C2708*(1-I2708)*(1-ADD.DISCOUNT)*(1+MAT.SURCHARGE)/EXC.RATE_2,C2708*(1-I2708)*(1-ADD.DISCOUNT)*(1+MAT.SURCHARGE)*EXC.RATE_2),CURRENCY.FORMAT_2),CURRENCY.FORMAT_2,1),"# ##0;-# ##0"),",-"),FIXED(ROUND(IF(EXC.RATE.SWITCH=1,C2708*(1-I2708)*(1-ADD.DISCOUNT)*(1+MAT.SURCHARGE)/EXC.RATE_2,C2708*(1-I2708)*(1-ADD.DISCOUNT)*(1+MAT.SURCHARGE)*EXC.RATE_2),CURRENCY.FORMAT_2),CURRENCY.FORMAT_2,0)),'DICTIONARY-5'!$A$2))</f>
        <v/>
      </c>
      <c r="N2708" s="535">
        <v>12</v>
      </c>
      <c r="O2708" s="535"/>
      <c r="P2708" s="732" t="str">
        <f>'DICTIONARY-3'!$A$177</f>
        <v>BAIOanti-twist</v>
      </c>
      <c r="Q2708" s="732" t="str">
        <f>'DICTIONARY-3'!$A$224</f>
        <v>Zabezpieczenie przed wyrwaniem</v>
      </c>
      <c r="R2708" s="732" t="str">
        <f>CONCATENATE('DICTIONARY-3'!$A$177," ",'DICTIONARY-3'!$A$224," ",'DICTIONARY-2'!$A$2,"200"," ",'DICTIONARY-2'!$A$10,"16",'DICTIONARY-2'!$A$20)</f>
        <v>BAIOanti-twist Zabezpieczenie przed wyrwaniem DN200 PS16bar</v>
      </c>
      <c r="S2708" s="733" t="s">
        <v>5569</v>
      </c>
      <c r="T2708" s="732" t="s">
        <v>5569</v>
      </c>
      <c r="U2708" s="734" t="s">
        <v>5750</v>
      </c>
      <c r="V2708" s="735" t="s">
        <v>5569</v>
      </c>
      <c r="W2708" s="736"/>
      <c r="X2708" s="737"/>
      <c r="Y2708" s="738"/>
      <c r="Z2708" s="739"/>
      <c r="AA2708" s="739"/>
      <c r="AB2708" s="740">
        <v>16</v>
      </c>
      <c r="AC2708" s="741" t="s">
        <v>5569</v>
      </c>
      <c r="AD2708" s="741" t="s">
        <v>5569</v>
      </c>
      <c r="AE2708" s="742" t="s">
        <v>5569</v>
      </c>
      <c r="AF2708" s="743">
        <v>1.7000000000000001E-2</v>
      </c>
      <c r="AG2708" s="741" t="s">
        <v>5569</v>
      </c>
    </row>
    <row r="2709" spans="1:33" x14ac:dyDescent="0.25">
      <c r="A2709" s="869" t="s">
        <v>2603</v>
      </c>
      <c r="B2709" s="869" t="s">
        <v>3374</v>
      </c>
      <c r="C2709" s="836">
        <v>207</v>
      </c>
      <c r="D2709" s="836"/>
      <c r="E2709" s="836"/>
      <c r="F2709" s="836"/>
      <c r="G2709" s="496" t="s">
        <v>7852</v>
      </c>
      <c r="H2709" s="797" t="str">
        <f>VLOOKUP(G2709,SETTINGS!$B$7:$D$97,2,0)</f>
        <v>EKOplus Gas</v>
      </c>
      <c r="I2709" s="796">
        <f>VLOOKUP(G2709,SETTINGS!$B$7:$D$97,3,0)</f>
        <v>0</v>
      </c>
      <c r="J2709" s="670" t="str">
        <f>IFERROR(IF(CURRENCY.FORMAT_1=0,CONCATENATE(TEXT(FIXED(ROUND((C2709/EXC.RATE_1),CURRENCY.FORMAT_1),CURRENCY.FORMAT_1,1),"# ##0;-# ##0"),",-"),FIXED(ROUND((C2709/EXC.RATE_1),CURRENCY.FORMAT_1),CURRENCY.FORMAT_1,0)),'DICTIONARY-5'!$A$2)</f>
        <v>207,-</v>
      </c>
      <c r="K2709" s="670" t="str">
        <f>IF(EXC.RATE_2=0,"",IFERROR(IF(CURRENCY.FORMAT_2=0,CONCATENATE(TEXT(FIXED(ROUND(IF(EXC.RATE.SWITCH=1,C2709/EXC.RATE_2,C2709*EXC.RATE_2),CURRENCY.FORMAT_2),CURRENCY.FORMAT_2,1),"# ##0;-# ##0"),",-"),FIXED(ROUND(IF(EXC.RATE.SWITCH=1,C2709/EXC.RATE_2,C2709*EXC.RATE_2),CURRENCY.FORMAT_2),CURRENCY.FORMAT_2,0)),'DICTIONARY-5'!$A$2))</f>
        <v/>
      </c>
      <c r="L2709" s="670" t="str">
        <f>IFERROR(IF(CURRENCY.FORMAT_1=0,CONCATENATE(TEXT(FIXED(ROUND((C2709*(1-I2709)*(1-ADD.DISCOUNT)*(1+MAT.SURCHARGE)/EXC.RATE_1),CURRENCY.FORMAT_1),CURRENCY.FORMAT_1,1),"# ##0;-# ##0"),",-"),FIXED(ROUND((C2709*(1-I2709)*(1-ADD.DISCOUNT)*(1+MAT.SURCHARGE)/EXC.RATE_1),CURRENCY.FORMAT_1),CURRENCY.FORMAT_1,0)),'DICTIONARY-5'!$A$2)</f>
        <v>215,-</v>
      </c>
      <c r="M2709" s="670" t="str">
        <f>IF(EXC.RATE_2=0,"",IFERROR(IF(CURRENCY.FORMAT_2=0,CONCATENATE(TEXT(FIXED(ROUND(IF(EXC.RATE.SWITCH=1,C2709*(1-I2709)*(1-ADD.DISCOUNT)*(1+MAT.SURCHARGE)/EXC.RATE_2,C2709*(1-I2709)*(1-ADD.DISCOUNT)*(1+MAT.SURCHARGE)*EXC.RATE_2),CURRENCY.FORMAT_2),CURRENCY.FORMAT_2,1),"# ##0;-# ##0"),",-"),FIXED(ROUND(IF(EXC.RATE.SWITCH=1,C2709*(1-I2709)*(1-ADD.DISCOUNT)*(1+MAT.SURCHARGE)/EXC.RATE_2,C2709*(1-I2709)*(1-ADD.DISCOUNT)*(1+MAT.SURCHARGE)*EXC.RATE_2),CURRENCY.FORMAT_2),CURRENCY.FORMAT_2,0)),'DICTIONARY-5'!$A$2))</f>
        <v/>
      </c>
      <c r="N2709" s="535">
        <v>13</v>
      </c>
      <c r="O2709" s="535"/>
      <c r="P2709" s="731" t="str">
        <f>'DICTIONARY-3'!$A$2</f>
        <v>EKOplus</v>
      </c>
      <c r="Q2709" s="732" t="str">
        <f>'DICTIONARY-3'!$A$187</f>
        <v>Zasuwa klinowa</v>
      </c>
      <c r="R2709" s="732" t="str">
        <f>CONCATENATE('DICTIONARY-3'!$A$2," ",'DICTIONARY-6'!$A$3," ",UPPER('DICTIONARY-5'!$A$18)," ",'DICTIONARY-2'!$A$2,"40"," ",'DICTIONARY-2'!$A$3,"10/16"," ","R14",", ",'DICTIONARY-4'!$A$2)</f>
        <v>EKOplus Zasuwa GAZ DN40 PN10/16 R14, WW</v>
      </c>
      <c r="S2709" s="733" t="str">
        <f>'DICTIONARY-4'!$A$2</f>
        <v>WW</v>
      </c>
      <c r="T2709" s="732" t="str">
        <f>'DICTIONARY-4'!$A$18</f>
        <v>Wolny wałek</v>
      </c>
      <c r="U2709" s="734" t="s">
        <v>5758</v>
      </c>
      <c r="V2709" s="735">
        <v>16</v>
      </c>
      <c r="W2709" s="736"/>
      <c r="X2709" s="737"/>
      <c r="Y2709" s="738"/>
      <c r="Z2709" s="739"/>
      <c r="AA2709" s="739"/>
      <c r="AB2709" s="740">
        <v>16</v>
      </c>
      <c r="AC2709" s="741" t="str">
        <f>'DICTIONARY-5'!$A$11&amp;" 14"</f>
        <v>EN 558 szereg 14</v>
      </c>
      <c r="AD2709" s="741" t="str">
        <f>'DICTIONARY-5'!$A$18</f>
        <v>gaz</v>
      </c>
      <c r="AE2709" s="742">
        <v>50</v>
      </c>
      <c r="AF2709" s="743">
        <v>8.5</v>
      </c>
      <c r="AG2709" s="741" t="str">
        <f>'DICTIONARY-5'!$A$23</f>
        <v>powłoka epoksydowa</v>
      </c>
    </row>
    <row r="2710" spans="1:33" x14ac:dyDescent="0.25">
      <c r="A2710" s="869" t="s">
        <v>2605</v>
      </c>
      <c r="B2710" s="869" t="s">
        <v>3378</v>
      </c>
      <c r="C2710" s="836">
        <v>208</v>
      </c>
      <c r="D2710" s="836"/>
      <c r="E2710" s="836"/>
      <c r="F2710" s="836"/>
      <c r="G2710" s="496" t="s">
        <v>7852</v>
      </c>
      <c r="H2710" s="797" t="str">
        <f>VLOOKUP(G2710,SETTINGS!$B$7:$D$97,2,0)</f>
        <v>EKOplus Gas</v>
      </c>
      <c r="I2710" s="796">
        <f>VLOOKUP(G2710,SETTINGS!$B$7:$D$97,3,0)</f>
        <v>0</v>
      </c>
      <c r="J2710" s="670" t="str">
        <f>IFERROR(IF(CURRENCY.FORMAT_1=0,CONCATENATE(TEXT(FIXED(ROUND((C2710/EXC.RATE_1),CURRENCY.FORMAT_1),CURRENCY.FORMAT_1,1),"# ##0;-# ##0"),",-"),FIXED(ROUND((C2710/EXC.RATE_1),CURRENCY.FORMAT_1),CURRENCY.FORMAT_1,0)),'DICTIONARY-5'!$A$2)</f>
        <v>208,-</v>
      </c>
      <c r="K2710" s="670" t="str">
        <f>IF(EXC.RATE_2=0,"",IFERROR(IF(CURRENCY.FORMAT_2=0,CONCATENATE(TEXT(FIXED(ROUND(IF(EXC.RATE.SWITCH=1,C2710/EXC.RATE_2,C2710*EXC.RATE_2),CURRENCY.FORMAT_2),CURRENCY.FORMAT_2,1),"# ##0;-# ##0"),",-"),FIXED(ROUND(IF(EXC.RATE.SWITCH=1,C2710/EXC.RATE_2,C2710*EXC.RATE_2),CURRENCY.FORMAT_2),CURRENCY.FORMAT_2,0)),'DICTIONARY-5'!$A$2))</f>
        <v/>
      </c>
      <c r="L2710" s="670" t="str">
        <f>IFERROR(IF(CURRENCY.FORMAT_1=0,CONCATENATE(TEXT(FIXED(ROUND((C2710*(1-I2710)*(1-ADD.DISCOUNT)*(1+MAT.SURCHARGE)/EXC.RATE_1),CURRENCY.FORMAT_1),CURRENCY.FORMAT_1,1),"# ##0;-# ##0"),",-"),FIXED(ROUND((C2710*(1-I2710)*(1-ADD.DISCOUNT)*(1+MAT.SURCHARGE)/EXC.RATE_1),CURRENCY.FORMAT_1),CURRENCY.FORMAT_1,0)),'DICTIONARY-5'!$A$2)</f>
        <v>216,-</v>
      </c>
      <c r="M2710" s="670" t="str">
        <f>IF(EXC.RATE_2=0,"",IFERROR(IF(CURRENCY.FORMAT_2=0,CONCATENATE(TEXT(FIXED(ROUND(IF(EXC.RATE.SWITCH=1,C2710*(1-I2710)*(1-ADD.DISCOUNT)*(1+MAT.SURCHARGE)/EXC.RATE_2,C2710*(1-I2710)*(1-ADD.DISCOUNT)*(1+MAT.SURCHARGE)*EXC.RATE_2),CURRENCY.FORMAT_2),CURRENCY.FORMAT_2,1),"# ##0;-# ##0"),",-"),FIXED(ROUND(IF(EXC.RATE.SWITCH=1,C2710*(1-I2710)*(1-ADD.DISCOUNT)*(1+MAT.SURCHARGE)/EXC.RATE_2,C2710*(1-I2710)*(1-ADD.DISCOUNT)*(1+MAT.SURCHARGE)*EXC.RATE_2),CURRENCY.FORMAT_2),CURRENCY.FORMAT_2,0)),'DICTIONARY-5'!$A$2))</f>
        <v/>
      </c>
      <c r="N2710" s="535">
        <v>13</v>
      </c>
      <c r="O2710" s="535"/>
      <c r="P2710" s="731" t="str">
        <f>'DICTIONARY-3'!$A$2</f>
        <v>EKOplus</v>
      </c>
      <c r="Q2710" s="732" t="str">
        <f>'DICTIONARY-3'!$A$187</f>
        <v>Zasuwa klinowa</v>
      </c>
      <c r="R2710" s="732" t="str">
        <f>CONCATENATE('DICTIONARY-3'!$A$2," ",'DICTIONARY-6'!$A$3," ",UPPER('DICTIONARY-5'!$A$18)," ",'DICTIONARY-2'!$A$2,"50"," ",'DICTIONARY-2'!$A$3,"10/16"," ","R14",", ",'DICTIONARY-4'!$A$2)</f>
        <v>EKOplus Zasuwa GAZ DN50 PN10/16 R14, WW</v>
      </c>
      <c r="S2710" s="733" t="str">
        <f>'DICTIONARY-4'!$A$2</f>
        <v>WW</v>
      </c>
      <c r="T2710" s="732" t="str">
        <f>'DICTIONARY-4'!$A$18</f>
        <v>Wolny wałek</v>
      </c>
      <c r="U2710" s="734" t="s">
        <v>5748</v>
      </c>
      <c r="V2710" s="735">
        <v>16</v>
      </c>
      <c r="W2710" s="736"/>
      <c r="X2710" s="737"/>
      <c r="Y2710" s="738"/>
      <c r="Z2710" s="739"/>
      <c r="AA2710" s="739"/>
      <c r="AB2710" s="740">
        <v>16</v>
      </c>
      <c r="AC2710" s="741" t="str">
        <f>'DICTIONARY-5'!$A$11&amp;" 14"</f>
        <v>EN 558 szereg 14</v>
      </c>
      <c r="AD2710" s="741" t="str">
        <f>'DICTIONARY-5'!$A$18</f>
        <v>gaz</v>
      </c>
      <c r="AE2710" s="742">
        <v>50</v>
      </c>
      <c r="AF2710" s="743">
        <v>10</v>
      </c>
      <c r="AG2710" s="741" t="str">
        <f>'DICTIONARY-5'!$A$23</f>
        <v>powłoka epoksydowa</v>
      </c>
    </row>
    <row r="2711" spans="1:33" x14ac:dyDescent="0.25">
      <c r="A2711" s="869" t="s">
        <v>2607</v>
      </c>
      <c r="B2711" s="869" t="s">
        <v>3383</v>
      </c>
      <c r="C2711" s="836">
        <v>245</v>
      </c>
      <c r="D2711" s="836"/>
      <c r="E2711" s="836"/>
      <c r="F2711" s="836"/>
      <c r="G2711" s="496" t="s">
        <v>7852</v>
      </c>
      <c r="H2711" s="797" t="str">
        <f>VLOOKUP(G2711,SETTINGS!$B$7:$D$97,2,0)</f>
        <v>EKOplus Gas</v>
      </c>
      <c r="I2711" s="796">
        <f>VLOOKUP(G2711,SETTINGS!$B$7:$D$97,3,0)</f>
        <v>0</v>
      </c>
      <c r="J2711" s="670" t="str">
        <f>IFERROR(IF(CURRENCY.FORMAT_1=0,CONCATENATE(TEXT(FIXED(ROUND((C2711/EXC.RATE_1),CURRENCY.FORMAT_1),CURRENCY.FORMAT_1,1),"# ##0;-# ##0"),",-"),FIXED(ROUND((C2711/EXC.RATE_1),CURRENCY.FORMAT_1),CURRENCY.FORMAT_1,0)),'DICTIONARY-5'!$A$2)</f>
        <v>245,-</v>
      </c>
      <c r="K2711" s="670" t="str">
        <f>IF(EXC.RATE_2=0,"",IFERROR(IF(CURRENCY.FORMAT_2=0,CONCATENATE(TEXT(FIXED(ROUND(IF(EXC.RATE.SWITCH=1,C2711/EXC.RATE_2,C2711*EXC.RATE_2),CURRENCY.FORMAT_2),CURRENCY.FORMAT_2,1),"# ##0;-# ##0"),",-"),FIXED(ROUND(IF(EXC.RATE.SWITCH=1,C2711/EXC.RATE_2,C2711*EXC.RATE_2),CURRENCY.FORMAT_2),CURRENCY.FORMAT_2,0)),'DICTIONARY-5'!$A$2))</f>
        <v/>
      </c>
      <c r="L2711" s="670" t="str">
        <f>IFERROR(IF(CURRENCY.FORMAT_1=0,CONCATENATE(TEXT(FIXED(ROUND((C2711*(1-I2711)*(1-ADD.DISCOUNT)*(1+MAT.SURCHARGE)/EXC.RATE_1),CURRENCY.FORMAT_1),CURRENCY.FORMAT_1,1),"# ##0;-# ##0"),",-"),FIXED(ROUND((C2711*(1-I2711)*(1-ADD.DISCOUNT)*(1+MAT.SURCHARGE)/EXC.RATE_1),CURRENCY.FORMAT_1),CURRENCY.FORMAT_1,0)),'DICTIONARY-5'!$A$2)</f>
        <v>255,-</v>
      </c>
      <c r="M2711" s="670" t="str">
        <f>IF(EXC.RATE_2=0,"",IFERROR(IF(CURRENCY.FORMAT_2=0,CONCATENATE(TEXT(FIXED(ROUND(IF(EXC.RATE.SWITCH=1,C2711*(1-I2711)*(1-ADD.DISCOUNT)*(1+MAT.SURCHARGE)/EXC.RATE_2,C2711*(1-I2711)*(1-ADD.DISCOUNT)*(1+MAT.SURCHARGE)*EXC.RATE_2),CURRENCY.FORMAT_2),CURRENCY.FORMAT_2,1),"# ##0;-# ##0"),",-"),FIXED(ROUND(IF(EXC.RATE.SWITCH=1,C2711*(1-I2711)*(1-ADD.DISCOUNT)*(1+MAT.SURCHARGE)/EXC.RATE_2,C2711*(1-I2711)*(1-ADD.DISCOUNT)*(1+MAT.SURCHARGE)*EXC.RATE_2),CURRENCY.FORMAT_2),CURRENCY.FORMAT_2,0)),'DICTIONARY-5'!$A$2))</f>
        <v/>
      </c>
      <c r="N2711" s="535">
        <v>13</v>
      </c>
      <c r="O2711" s="535"/>
      <c r="P2711" s="731" t="str">
        <f>'DICTIONARY-3'!$A$2</f>
        <v>EKOplus</v>
      </c>
      <c r="Q2711" s="732" t="str">
        <f>'DICTIONARY-3'!$A$187</f>
        <v>Zasuwa klinowa</v>
      </c>
      <c r="R2711" s="732" t="str">
        <f>CONCATENATE('DICTIONARY-3'!$A$2," ",'DICTIONARY-6'!$A$3," ",UPPER('DICTIONARY-5'!$A$18)," ",'DICTIONARY-2'!$A$2,"65"," ",'DICTIONARY-2'!$A$3,"10/16"," ","R14",", ",'DICTIONARY-4'!$A$2)</f>
        <v>EKOplus Zasuwa GAZ DN65 PN10/16 R14, WW</v>
      </c>
      <c r="S2711" s="733" t="str">
        <f>'DICTIONARY-4'!$A$2</f>
        <v>WW</v>
      </c>
      <c r="T2711" s="732" t="str">
        <f>'DICTIONARY-4'!$A$18</f>
        <v>Wolny wałek</v>
      </c>
      <c r="U2711" s="734" t="s">
        <v>5759</v>
      </c>
      <c r="V2711" s="735">
        <v>16</v>
      </c>
      <c r="W2711" s="736"/>
      <c r="X2711" s="737"/>
      <c r="Y2711" s="738"/>
      <c r="Z2711" s="739"/>
      <c r="AA2711" s="739"/>
      <c r="AB2711" s="740">
        <v>16</v>
      </c>
      <c r="AC2711" s="741" t="str">
        <f>'DICTIONARY-5'!$A$11&amp;" 14"</f>
        <v>EN 558 szereg 14</v>
      </c>
      <c r="AD2711" s="741" t="str">
        <f>'DICTIONARY-5'!$A$18</f>
        <v>gaz</v>
      </c>
      <c r="AE2711" s="742">
        <v>50</v>
      </c>
      <c r="AF2711" s="743">
        <v>14</v>
      </c>
      <c r="AG2711" s="741" t="str">
        <f>'DICTIONARY-5'!$A$23</f>
        <v>powłoka epoksydowa</v>
      </c>
    </row>
    <row r="2712" spans="1:33" x14ac:dyDescent="0.25">
      <c r="A2712" s="869" t="s">
        <v>2609</v>
      </c>
      <c r="B2712" s="869" t="s">
        <v>3388</v>
      </c>
      <c r="C2712" s="836">
        <v>249</v>
      </c>
      <c r="D2712" s="836"/>
      <c r="E2712" s="836"/>
      <c r="F2712" s="836"/>
      <c r="G2712" s="496" t="s">
        <v>7852</v>
      </c>
      <c r="H2712" s="797" t="str">
        <f>VLOOKUP(G2712,SETTINGS!$B$7:$D$97,2,0)</f>
        <v>EKOplus Gas</v>
      </c>
      <c r="I2712" s="796">
        <f>VLOOKUP(G2712,SETTINGS!$B$7:$D$97,3,0)</f>
        <v>0</v>
      </c>
      <c r="J2712" s="670" t="str">
        <f>IFERROR(IF(CURRENCY.FORMAT_1=0,CONCATENATE(TEXT(FIXED(ROUND((C2712/EXC.RATE_1),CURRENCY.FORMAT_1),CURRENCY.FORMAT_1,1),"# ##0;-# ##0"),",-"),FIXED(ROUND((C2712/EXC.RATE_1),CURRENCY.FORMAT_1),CURRENCY.FORMAT_1,0)),'DICTIONARY-5'!$A$2)</f>
        <v>249,-</v>
      </c>
      <c r="K2712" s="670" t="str">
        <f>IF(EXC.RATE_2=0,"",IFERROR(IF(CURRENCY.FORMAT_2=0,CONCATENATE(TEXT(FIXED(ROUND(IF(EXC.RATE.SWITCH=1,C2712/EXC.RATE_2,C2712*EXC.RATE_2),CURRENCY.FORMAT_2),CURRENCY.FORMAT_2,1),"# ##0;-# ##0"),",-"),FIXED(ROUND(IF(EXC.RATE.SWITCH=1,C2712/EXC.RATE_2,C2712*EXC.RATE_2),CURRENCY.FORMAT_2),CURRENCY.FORMAT_2,0)),'DICTIONARY-5'!$A$2))</f>
        <v/>
      </c>
      <c r="L2712" s="670" t="str">
        <f>IFERROR(IF(CURRENCY.FORMAT_1=0,CONCATENATE(TEXT(FIXED(ROUND((C2712*(1-I2712)*(1-ADD.DISCOUNT)*(1+MAT.SURCHARGE)/EXC.RATE_1),CURRENCY.FORMAT_1),CURRENCY.FORMAT_1,1),"# ##0;-# ##0"),",-"),FIXED(ROUND((C2712*(1-I2712)*(1-ADD.DISCOUNT)*(1+MAT.SURCHARGE)/EXC.RATE_1),CURRENCY.FORMAT_1),CURRENCY.FORMAT_1,0)),'DICTIONARY-5'!$A$2)</f>
        <v>259,-</v>
      </c>
      <c r="M2712" s="670" t="str">
        <f>IF(EXC.RATE_2=0,"",IFERROR(IF(CURRENCY.FORMAT_2=0,CONCATENATE(TEXT(FIXED(ROUND(IF(EXC.RATE.SWITCH=1,C2712*(1-I2712)*(1-ADD.DISCOUNT)*(1+MAT.SURCHARGE)/EXC.RATE_2,C2712*(1-I2712)*(1-ADD.DISCOUNT)*(1+MAT.SURCHARGE)*EXC.RATE_2),CURRENCY.FORMAT_2),CURRENCY.FORMAT_2,1),"# ##0;-# ##0"),",-"),FIXED(ROUND(IF(EXC.RATE.SWITCH=1,C2712*(1-I2712)*(1-ADD.DISCOUNT)*(1+MAT.SURCHARGE)/EXC.RATE_2,C2712*(1-I2712)*(1-ADD.DISCOUNT)*(1+MAT.SURCHARGE)*EXC.RATE_2),CURRENCY.FORMAT_2),CURRENCY.FORMAT_2,0)),'DICTIONARY-5'!$A$2))</f>
        <v/>
      </c>
      <c r="N2712" s="535">
        <v>13</v>
      </c>
      <c r="O2712" s="535"/>
      <c r="P2712" s="731" t="str">
        <f>'DICTIONARY-3'!$A$2</f>
        <v>EKOplus</v>
      </c>
      <c r="Q2712" s="732" t="str">
        <f>'DICTIONARY-3'!$A$187</f>
        <v>Zasuwa klinowa</v>
      </c>
      <c r="R2712" s="732" t="str">
        <f>CONCATENATE('DICTIONARY-3'!$A$2," ",'DICTIONARY-6'!$A$3," ",UPPER('DICTIONARY-5'!$A$18)," ",'DICTIONARY-2'!$A$2,"80"," ",'DICTIONARY-2'!$A$3,"10/16"," ","R14",", ",'DICTIONARY-4'!$A$2)</f>
        <v>EKOplus Zasuwa GAZ DN80 PN10/16 R14, WW</v>
      </c>
      <c r="S2712" s="733" t="str">
        <f>'DICTIONARY-4'!$A$2</f>
        <v>WW</v>
      </c>
      <c r="T2712" s="732" t="str">
        <f>'DICTIONARY-4'!$A$18</f>
        <v>Wolny wałek</v>
      </c>
      <c r="U2712" s="734" t="s">
        <v>5760</v>
      </c>
      <c r="V2712" s="735">
        <v>16</v>
      </c>
      <c r="W2712" s="736"/>
      <c r="X2712" s="737"/>
      <c r="Y2712" s="738"/>
      <c r="Z2712" s="739"/>
      <c r="AA2712" s="739"/>
      <c r="AB2712" s="740">
        <v>16</v>
      </c>
      <c r="AC2712" s="741" t="str">
        <f>'DICTIONARY-5'!$A$11&amp;" 14"</f>
        <v>EN 558 szereg 14</v>
      </c>
      <c r="AD2712" s="741" t="str">
        <f>'DICTIONARY-5'!$A$18</f>
        <v>gaz</v>
      </c>
      <c r="AE2712" s="742">
        <v>50</v>
      </c>
      <c r="AF2712" s="743">
        <v>15.5</v>
      </c>
      <c r="AG2712" s="741" t="str">
        <f>'DICTIONARY-5'!$A$23</f>
        <v>powłoka epoksydowa</v>
      </c>
    </row>
    <row r="2713" spans="1:33" x14ac:dyDescent="0.25">
      <c r="A2713" s="869" t="s">
        <v>2611</v>
      </c>
      <c r="B2713" s="869" t="s">
        <v>3391</v>
      </c>
      <c r="C2713" s="836">
        <v>283</v>
      </c>
      <c r="D2713" s="836"/>
      <c r="E2713" s="836"/>
      <c r="F2713" s="836"/>
      <c r="G2713" s="496" t="s">
        <v>7852</v>
      </c>
      <c r="H2713" s="797" t="str">
        <f>VLOOKUP(G2713,SETTINGS!$B$7:$D$97,2,0)</f>
        <v>EKOplus Gas</v>
      </c>
      <c r="I2713" s="796">
        <f>VLOOKUP(G2713,SETTINGS!$B$7:$D$97,3,0)</f>
        <v>0</v>
      </c>
      <c r="J2713" s="670" t="str">
        <f>IFERROR(IF(CURRENCY.FORMAT_1=0,CONCATENATE(TEXT(FIXED(ROUND((C2713/EXC.RATE_1),CURRENCY.FORMAT_1),CURRENCY.FORMAT_1,1),"# ##0;-# ##0"),",-"),FIXED(ROUND((C2713/EXC.RATE_1),CURRENCY.FORMAT_1),CURRENCY.FORMAT_1,0)),'DICTIONARY-5'!$A$2)</f>
        <v>283,-</v>
      </c>
      <c r="K2713" s="670" t="str">
        <f>IF(EXC.RATE_2=0,"",IFERROR(IF(CURRENCY.FORMAT_2=0,CONCATENATE(TEXT(FIXED(ROUND(IF(EXC.RATE.SWITCH=1,C2713/EXC.RATE_2,C2713*EXC.RATE_2),CURRENCY.FORMAT_2),CURRENCY.FORMAT_2,1),"# ##0;-# ##0"),",-"),FIXED(ROUND(IF(EXC.RATE.SWITCH=1,C2713/EXC.RATE_2,C2713*EXC.RATE_2),CURRENCY.FORMAT_2),CURRENCY.FORMAT_2,0)),'DICTIONARY-5'!$A$2))</f>
        <v/>
      </c>
      <c r="L2713" s="670" t="str">
        <f>IFERROR(IF(CURRENCY.FORMAT_1=0,CONCATENATE(TEXT(FIXED(ROUND((C2713*(1-I2713)*(1-ADD.DISCOUNT)*(1+MAT.SURCHARGE)/EXC.RATE_1),CURRENCY.FORMAT_1),CURRENCY.FORMAT_1,1),"# ##0;-# ##0"),",-"),FIXED(ROUND((C2713*(1-I2713)*(1-ADD.DISCOUNT)*(1+MAT.SURCHARGE)/EXC.RATE_1),CURRENCY.FORMAT_1),CURRENCY.FORMAT_1,0)),'DICTIONARY-5'!$A$2)</f>
        <v>294,-</v>
      </c>
      <c r="M2713" s="670" t="str">
        <f>IF(EXC.RATE_2=0,"",IFERROR(IF(CURRENCY.FORMAT_2=0,CONCATENATE(TEXT(FIXED(ROUND(IF(EXC.RATE.SWITCH=1,C2713*(1-I2713)*(1-ADD.DISCOUNT)*(1+MAT.SURCHARGE)/EXC.RATE_2,C2713*(1-I2713)*(1-ADD.DISCOUNT)*(1+MAT.SURCHARGE)*EXC.RATE_2),CURRENCY.FORMAT_2),CURRENCY.FORMAT_2,1),"# ##0;-# ##0"),",-"),FIXED(ROUND(IF(EXC.RATE.SWITCH=1,C2713*(1-I2713)*(1-ADD.DISCOUNT)*(1+MAT.SURCHARGE)/EXC.RATE_2,C2713*(1-I2713)*(1-ADD.DISCOUNT)*(1+MAT.SURCHARGE)*EXC.RATE_2),CURRENCY.FORMAT_2),CURRENCY.FORMAT_2,0)),'DICTIONARY-5'!$A$2))</f>
        <v/>
      </c>
      <c r="N2713" s="535">
        <v>13</v>
      </c>
      <c r="O2713" s="535"/>
      <c r="P2713" s="731" t="str">
        <f>'DICTIONARY-3'!$A$2</f>
        <v>EKOplus</v>
      </c>
      <c r="Q2713" s="732" t="str">
        <f>'DICTIONARY-3'!$A$187</f>
        <v>Zasuwa klinowa</v>
      </c>
      <c r="R2713" s="732" t="str">
        <f>CONCATENATE('DICTIONARY-3'!$A$2," ",'DICTIONARY-6'!$A$3," ",UPPER('DICTIONARY-5'!$A$18)," ",'DICTIONARY-2'!$A$2,"100"," ",'DICTIONARY-2'!$A$3,"10/16"," ","R14",", ",'DICTIONARY-4'!$A$2)</f>
        <v>EKOplus Zasuwa GAZ DN100 PN10/16 R14, WW</v>
      </c>
      <c r="S2713" s="733" t="str">
        <f>'DICTIONARY-4'!$A$2</f>
        <v>WW</v>
      </c>
      <c r="T2713" s="732" t="str">
        <f>'DICTIONARY-4'!$A$18</f>
        <v>Wolny wałek</v>
      </c>
      <c r="U2713" s="734" t="s">
        <v>5749</v>
      </c>
      <c r="V2713" s="735">
        <v>16</v>
      </c>
      <c r="W2713" s="736"/>
      <c r="X2713" s="737"/>
      <c r="Y2713" s="738"/>
      <c r="Z2713" s="739"/>
      <c r="AA2713" s="739"/>
      <c r="AB2713" s="740">
        <v>16</v>
      </c>
      <c r="AC2713" s="741" t="str">
        <f>'DICTIONARY-5'!$A$11&amp;" 14"</f>
        <v>EN 558 szereg 14</v>
      </c>
      <c r="AD2713" s="741" t="str">
        <f>'DICTIONARY-5'!$A$18</f>
        <v>gaz</v>
      </c>
      <c r="AE2713" s="742">
        <v>50</v>
      </c>
      <c r="AF2713" s="743">
        <v>20</v>
      </c>
      <c r="AG2713" s="741" t="str">
        <f>'DICTIONARY-5'!$A$23</f>
        <v>powłoka epoksydowa</v>
      </c>
    </row>
    <row r="2714" spans="1:33" x14ac:dyDescent="0.25">
      <c r="A2714" s="869" t="s">
        <v>2613</v>
      </c>
      <c r="B2714" s="869" t="s">
        <v>3394</v>
      </c>
      <c r="C2714" s="836">
        <v>373</v>
      </c>
      <c r="D2714" s="836"/>
      <c r="E2714" s="836"/>
      <c r="F2714" s="836"/>
      <c r="G2714" s="496" t="s">
        <v>7852</v>
      </c>
      <c r="H2714" s="797" t="str">
        <f>VLOOKUP(G2714,SETTINGS!$B$7:$D$97,2,0)</f>
        <v>EKOplus Gas</v>
      </c>
      <c r="I2714" s="796">
        <f>VLOOKUP(G2714,SETTINGS!$B$7:$D$97,3,0)</f>
        <v>0</v>
      </c>
      <c r="J2714" s="670" t="str">
        <f>IFERROR(IF(CURRENCY.FORMAT_1=0,CONCATENATE(TEXT(FIXED(ROUND((C2714/EXC.RATE_1),CURRENCY.FORMAT_1),CURRENCY.FORMAT_1,1),"# ##0;-# ##0"),",-"),FIXED(ROUND((C2714/EXC.RATE_1),CURRENCY.FORMAT_1),CURRENCY.FORMAT_1,0)),'DICTIONARY-5'!$A$2)</f>
        <v>373,-</v>
      </c>
      <c r="K2714" s="670" t="str">
        <f>IF(EXC.RATE_2=0,"",IFERROR(IF(CURRENCY.FORMAT_2=0,CONCATENATE(TEXT(FIXED(ROUND(IF(EXC.RATE.SWITCH=1,C2714/EXC.RATE_2,C2714*EXC.RATE_2),CURRENCY.FORMAT_2),CURRENCY.FORMAT_2,1),"# ##0;-# ##0"),",-"),FIXED(ROUND(IF(EXC.RATE.SWITCH=1,C2714/EXC.RATE_2,C2714*EXC.RATE_2),CURRENCY.FORMAT_2),CURRENCY.FORMAT_2,0)),'DICTIONARY-5'!$A$2))</f>
        <v/>
      </c>
      <c r="L2714" s="670" t="str">
        <f>IFERROR(IF(CURRENCY.FORMAT_1=0,CONCATENATE(TEXT(FIXED(ROUND((C2714*(1-I2714)*(1-ADD.DISCOUNT)*(1+MAT.SURCHARGE)/EXC.RATE_1),CURRENCY.FORMAT_1),CURRENCY.FORMAT_1,1),"# ##0;-# ##0"),",-"),FIXED(ROUND((C2714*(1-I2714)*(1-ADD.DISCOUNT)*(1+MAT.SURCHARGE)/EXC.RATE_1),CURRENCY.FORMAT_1),CURRENCY.FORMAT_1,0)),'DICTIONARY-5'!$A$2)</f>
        <v>388,-</v>
      </c>
      <c r="M2714" s="670" t="str">
        <f>IF(EXC.RATE_2=0,"",IFERROR(IF(CURRENCY.FORMAT_2=0,CONCATENATE(TEXT(FIXED(ROUND(IF(EXC.RATE.SWITCH=1,C2714*(1-I2714)*(1-ADD.DISCOUNT)*(1+MAT.SURCHARGE)/EXC.RATE_2,C2714*(1-I2714)*(1-ADD.DISCOUNT)*(1+MAT.SURCHARGE)*EXC.RATE_2),CURRENCY.FORMAT_2),CURRENCY.FORMAT_2,1),"# ##0;-# ##0"),",-"),FIXED(ROUND(IF(EXC.RATE.SWITCH=1,C2714*(1-I2714)*(1-ADD.DISCOUNT)*(1+MAT.SURCHARGE)/EXC.RATE_2,C2714*(1-I2714)*(1-ADD.DISCOUNT)*(1+MAT.SURCHARGE)*EXC.RATE_2),CURRENCY.FORMAT_2),CURRENCY.FORMAT_2,0)),'DICTIONARY-5'!$A$2))</f>
        <v/>
      </c>
      <c r="N2714" s="535">
        <v>13</v>
      </c>
      <c r="O2714" s="535"/>
      <c r="P2714" s="731" t="str">
        <f>'DICTIONARY-3'!$A$2</f>
        <v>EKOplus</v>
      </c>
      <c r="Q2714" s="732" t="str">
        <f>'DICTIONARY-3'!$A$187</f>
        <v>Zasuwa klinowa</v>
      </c>
      <c r="R2714" s="732" t="str">
        <f>CONCATENATE('DICTIONARY-3'!$A$2," ",'DICTIONARY-6'!$A$3," ",UPPER('DICTIONARY-5'!$A$18)," ",'DICTIONARY-2'!$A$2,"125"," ",'DICTIONARY-2'!$A$3,"10/16"," ","R14",", ",'DICTIONARY-4'!$A$2)</f>
        <v>EKOplus Zasuwa GAZ DN125 PN10/16 R14, WW</v>
      </c>
      <c r="S2714" s="733" t="str">
        <f>'DICTIONARY-4'!$A$2</f>
        <v>WW</v>
      </c>
      <c r="T2714" s="732" t="str">
        <f>'DICTIONARY-4'!$A$18</f>
        <v>Wolny wałek</v>
      </c>
      <c r="U2714" s="734" t="s">
        <v>5761</v>
      </c>
      <c r="V2714" s="735">
        <v>16</v>
      </c>
      <c r="W2714" s="736"/>
      <c r="X2714" s="737"/>
      <c r="Y2714" s="738"/>
      <c r="Z2714" s="739"/>
      <c r="AA2714" s="739"/>
      <c r="AB2714" s="740">
        <v>16</v>
      </c>
      <c r="AC2714" s="741" t="str">
        <f>'DICTIONARY-5'!$A$11&amp;" 14"</f>
        <v>EN 558 szereg 14</v>
      </c>
      <c r="AD2714" s="741" t="str">
        <f>'DICTIONARY-5'!$A$18</f>
        <v>gaz</v>
      </c>
      <c r="AE2714" s="742">
        <v>50</v>
      </c>
      <c r="AF2714" s="743">
        <v>26.5</v>
      </c>
      <c r="AG2714" s="741" t="str">
        <f>'DICTIONARY-5'!$A$23</f>
        <v>powłoka epoksydowa</v>
      </c>
    </row>
    <row r="2715" spans="1:33" x14ac:dyDescent="0.25">
      <c r="A2715" s="869" t="s">
        <v>2615</v>
      </c>
      <c r="B2715" s="869" t="s">
        <v>3397</v>
      </c>
      <c r="C2715" s="836">
        <v>409</v>
      </c>
      <c r="D2715" s="836"/>
      <c r="E2715" s="836"/>
      <c r="F2715" s="836"/>
      <c r="G2715" s="496" t="s">
        <v>7852</v>
      </c>
      <c r="H2715" s="797" t="str">
        <f>VLOOKUP(G2715,SETTINGS!$B$7:$D$97,2,0)</f>
        <v>EKOplus Gas</v>
      </c>
      <c r="I2715" s="796">
        <f>VLOOKUP(G2715,SETTINGS!$B$7:$D$97,3,0)</f>
        <v>0</v>
      </c>
      <c r="J2715" s="670" t="str">
        <f>IFERROR(IF(CURRENCY.FORMAT_1=0,CONCATENATE(TEXT(FIXED(ROUND((C2715/EXC.RATE_1),CURRENCY.FORMAT_1),CURRENCY.FORMAT_1,1),"# ##0;-# ##0"),",-"),FIXED(ROUND((C2715/EXC.RATE_1),CURRENCY.FORMAT_1),CURRENCY.FORMAT_1,0)),'DICTIONARY-5'!$A$2)</f>
        <v>409,-</v>
      </c>
      <c r="K2715" s="670" t="str">
        <f>IF(EXC.RATE_2=0,"",IFERROR(IF(CURRENCY.FORMAT_2=0,CONCATENATE(TEXT(FIXED(ROUND(IF(EXC.RATE.SWITCH=1,C2715/EXC.RATE_2,C2715*EXC.RATE_2),CURRENCY.FORMAT_2),CURRENCY.FORMAT_2,1),"# ##0;-# ##0"),",-"),FIXED(ROUND(IF(EXC.RATE.SWITCH=1,C2715/EXC.RATE_2,C2715*EXC.RATE_2),CURRENCY.FORMAT_2),CURRENCY.FORMAT_2,0)),'DICTIONARY-5'!$A$2))</f>
        <v/>
      </c>
      <c r="L2715" s="670" t="str">
        <f>IFERROR(IF(CURRENCY.FORMAT_1=0,CONCATENATE(TEXT(FIXED(ROUND((C2715*(1-I2715)*(1-ADD.DISCOUNT)*(1+MAT.SURCHARGE)/EXC.RATE_1),CURRENCY.FORMAT_1),CURRENCY.FORMAT_1,1),"# ##0;-# ##0"),",-"),FIXED(ROUND((C2715*(1-I2715)*(1-ADD.DISCOUNT)*(1+MAT.SURCHARGE)/EXC.RATE_1),CURRENCY.FORMAT_1),CURRENCY.FORMAT_1,0)),'DICTIONARY-5'!$A$2)</f>
        <v>425,-</v>
      </c>
      <c r="M2715" s="670" t="str">
        <f>IF(EXC.RATE_2=0,"",IFERROR(IF(CURRENCY.FORMAT_2=0,CONCATENATE(TEXT(FIXED(ROUND(IF(EXC.RATE.SWITCH=1,C2715*(1-I2715)*(1-ADD.DISCOUNT)*(1+MAT.SURCHARGE)/EXC.RATE_2,C2715*(1-I2715)*(1-ADD.DISCOUNT)*(1+MAT.SURCHARGE)*EXC.RATE_2),CURRENCY.FORMAT_2),CURRENCY.FORMAT_2,1),"# ##0;-# ##0"),",-"),FIXED(ROUND(IF(EXC.RATE.SWITCH=1,C2715*(1-I2715)*(1-ADD.DISCOUNT)*(1+MAT.SURCHARGE)/EXC.RATE_2,C2715*(1-I2715)*(1-ADD.DISCOUNT)*(1+MAT.SURCHARGE)*EXC.RATE_2),CURRENCY.FORMAT_2),CURRENCY.FORMAT_2,0)),'DICTIONARY-5'!$A$2))</f>
        <v/>
      </c>
      <c r="N2715" s="535">
        <v>13</v>
      </c>
      <c r="O2715" s="535"/>
      <c r="P2715" s="731" t="str">
        <f>'DICTIONARY-3'!$A$2</f>
        <v>EKOplus</v>
      </c>
      <c r="Q2715" s="732" t="str">
        <f>'DICTIONARY-3'!$A$187</f>
        <v>Zasuwa klinowa</v>
      </c>
      <c r="R2715" s="732" t="str">
        <f>CONCATENATE('DICTIONARY-3'!$A$2," ",'DICTIONARY-6'!$A$3," ",UPPER('DICTIONARY-5'!$A$18)," ",'DICTIONARY-2'!$A$2,"150"," ",'DICTIONARY-2'!$A$3,"10/16"," ","R14",", ",'DICTIONARY-4'!$A$2)</f>
        <v>EKOplus Zasuwa GAZ DN150 PN10/16 R14, WW</v>
      </c>
      <c r="S2715" s="733" t="str">
        <f>'DICTIONARY-4'!$A$2</f>
        <v>WW</v>
      </c>
      <c r="T2715" s="732" t="str">
        <f>'DICTIONARY-4'!$A$18</f>
        <v>Wolny wałek</v>
      </c>
      <c r="U2715" s="734" t="s">
        <v>5572</v>
      </c>
      <c r="V2715" s="735">
        <v>16</v>
      </c>
      <c r="W2715" s="736"/>
      <c r="X2715" s="737"/>
      <c r="Y2715" s="738"/>
      <c r="Z2715" s="739"/>
      <c r="AA2715" s="739"/>
      <c r="AB2715" s="740">
        <v>16</v>
      </c>
      <c r="AC2715" s="741" t="str">
        <f>'DICTIONARY-5'!$A$11&amp;" 14"</f>
        <v>EN 558 szereg 14</v>
      </c>
      <c r="AD2715" s="741" t="str">
        <f>'DICTIONARY-5'!$A$18</f>
        <v>gaz</v>
      </c>
      <c r="AE2715" s="742">
        <v>50</v>
      </c>
      <c r="AF2715" s="743">
        <v>33</v>
      </c>
      <c r="AG2715" s="741" t="str">
        <f>'DICTIONARY-5'!$A$23</f>
        <v>powłoka epoksydowa</v>
      </c>
    </row>
    <row r="2716" spans="1:33" x14ac:dyDescent="0.25">
      <c r="A2716" s="869" t="s">
        <v>2617</v>
      </c>
      <c r="B2716" s="869" t="s">
        <v>3335</v>
      </c>
      <c r="C2716" s="836">
        <v>601</v>
      </c>
      <c r="D2716" s="836"/>
      <c r="E2716" s="836"/>
      <c r="F2716" s="836"/>
      <c r="G2716" s="496" t="s">
        <v>7852</v>
      </c>
      <c r="H2716" s="797" t="str">
        <f>VLOOKUP(G2716,SETTINGS!$B$7:$D$97,2,0)</f>
        <v>EKOplus Gas</v>
      </c>
      <c r="I2716" s="796">
        <f>VLOOKUP(G2716,SETTINGS!$B$7:$D$97,3,0)</f>
        <v>0</v>
      </c>
      <c r="J2716" s="670" t="str">
        <f>IFERROR(IF(CURRENCY.FORMAT_1=0,CONCATENATE(TEXT(FIXED(ROUND((C2716/EXC.RATE_1),CURRENCY.FORMAT_1),CURRENCY.FORMAT_1,1),"# ##0;-# ##0"),",-"),FIXED(ROUND((C2716/EXC.RATE_1),CURRENCY.FORMAT_1),CURRENCY.FORMAT_1,0)),'DICTIONARY-5'!$A$2)</f>
        <v>601,-</v>
      </c>
      <c r="K2716" s="670" t="str">
        <f>IF(EXC.RATE_2=0,"",IFERROR(IF(CURRENCY.FORMAT_2=0,CONCATENATE(TEXT(FIXED(ROUND(IF(EXC.RATE.SWITCH=1,C2716/EXC.RATE_2,C2716*EXC.RATE_2),CURRENCY.FORMAT_2),CURRENCY.FORMAT_2,1),"# ##0;-# ##0"),",-"),FIXED(ROUND(IF(EXC.RATE.SWITCH=1,C2716/EXC.RATE_2,C2716*EXC.RATE_2),CURRENCY.FORMAT_2),CURRENCY.FORMAT_2,0)),'DICTIONARY-5'!$A$2))</f>
        <v/>
      </c>
      <c r="L2716" s="670" t="str">
        <f>IFERROR(IF(CURRENCY.FORMAT_1=0,CONCATENATE(TEXT(FIXED(ROUND((C2716*(1-I2716)*(1-ADD.DISCOUNT)*(1+MAT.SURCHARGE)/EXC.RATE_1),CURRENCY.FORMAT_1),CURRENCY.FORMAT_1,1),"# ##0;-# ##0"),",-"),FIXED(ROUND((C2716*(1-I2716)*(1-ADD.DISCOUNT)*(1+MAT.SURCHARGE)/EXC.RATE_1),CURRENCY.FORMAT_1),CURRENCY.FORMAT_1,0)),'DICTIONARY-5'!$A$2)</f>
        <v>624,-</v>
      </c>
      <c r="M2716" s="670" t="str">
        <f>IF(EXC.RATE_2=0,"",IFERROR(IF(CURRENCY.FORMAT_2=0,CONCATENATE(TEXT(FIXED(ROUND(IF(EXC.RATE.SWITCH=1,C2716*(1-I2716)*(1-ADD.DISCOUNT)*(1+MAT.SURCHARGE)/EXC.RATE_2,C2716*(1-I2716)*(1-ADD.DISCOUNT)*(1+MAT.SURCHARGE)*EXC.RATE_2),CURRENCY.FORMAT_2),CURRENCY.FORMAT_2,1),"# ##0;-# ##0"),",-"),FIXED(ROUND(IF(EXC.RATE.SWITCH=1,C2716*(1-I2716)*(1-ADD.DISCOUNT)*(1+MAT.SURCHARGE)/EXC.RATE_2,C2716*(1-I2716)*(1-ADD.DISCOUNT)*(1+MAT.SURCHARGE)*EXC.RATE_2),CURRENCY.FORMAT_2),CURRENCY.FORMAT_2,0)),'DICTIONARY-5'!$A$2))</f>
        <v/>
      </c>
      <c r="N2716" s="535">
        <v>13</v>
      </c>
      <c r="O2716" s="535"/>
      <c r="P2716" s="731" t="str">
        <f>'DICTIONARY-3'!$A$2</f>
        <v>EKOplus</v>
      </c>
      <c r="Q2716" s="732" t="str">
        <f>'DICTIONARY-3'!$A$187</f>
        <v>Zasuwa klinowa</v>
      </c>
      <c r="R2716" s="732" t="str">
        <f>CONCATENATE('DICTIONARY-3'!$A$2," ",'DICTIONARY-6'!$A$3," ",UPPER('DICTIONARY-5'!$A$18)," ",'DICTIONARY-2'!$A$2,"200"," ",'DICTIONARY-2'!$A$3,"10"," ","R14",", ",'DICTIONARY-4'!$A$2,", ",'DICTIONARY-6'!$A$38)</f>
        <v>EKOplus Zasuwa GAZ DN200 PN10 R14, WW, cert. 3.1</v>
      </c>
      <c r="S2716" s="733" t="str">
        <f>'DICTIONARY-4'!$A$2</f>
        <v>WW</v>
      </c>
      <c r="T2716" s="732" t="str">
        <f>'DICTIONARY-4'!$A$18</f>
        <v>Wolny wałek</v>
      </c>
      <c r="U2716" s="734" t="s">
        <v>5750</v>
      </c>
      <c r="V2716" s="735">
        <v>10</v>
      </c>
      <c r="W2716" s="736"/>
      <c r="X2716" s="737"/>
      <c r="Y2716" s="738"/>
      <c r="Z2716" s="739"/>
      <c r="AA2716" s="739"/>
      <c r="AB2716" s="740">
        <v>10</v>
      </c>
      <c r="AC2716" s="741" t="str">
        <f>'DICTIONARY-5'!$A$11&amp;" 14"</f>
        <v>EN 558 szereg 14</v>
      </c>
      <c r="AD2716" s="741" t="str">
        <f>'DICTIONARY-5'!$A$18</f>
        <v>gaz</v>
      </c>
      <c r="AE2716" s="742">
        <v>50</v>
      </c>
      <c r="AF2716" s="743">
        <v>55</v>
      </c>
      <c r="AG2716" s="741" t="str">
        <f>'DICTIONARY-5'!$A$23</f>
        <v>powłoka epoksydowa</v>
      </c>
    </row>
    <row r="2717" spans="1:33" x14ac:dyDescent="0.25">
      <c r="A2717" s="869" t="s">
        <v>2619</v>
      </c>
      <c r="B2717" s="869" t="s">
        <v>3400</v>
      </c>
      <c r="C2717" s="836">
        <v>605</v>
      </c>
      <c r="D2717" s="836"/>
      <c r="E2717" s="836"/>
      <c r="F2717" s="836"/>
      <c r="G2717" s="496" t="s">
        <v>7852</v>
      </c>
      <c r="H2717" s="797" t="str">
        <f>VLOOKUP(G2717,SETTINGS!$B$7:$D$97,2,0)</f>
        <v>EKOplus Gas</v>
      </c>
      <c r="I2717" s="796">
        <f>VLOOKUP(G2717,SETTINGS!$B$7:$D$97,3,0)</f>
        <v>0</v>
      </c>
      <c r="J2717" s="670" t="str">
        <f>IFERROR(IF(CURRENCY.FORMAT_1=0,CONCATENATE(TEXT(FIXED(ROUND((C2717/EXC.RATE_1),CURRENCY.FORMAT_1),CURRENCY.FORMAT_1,1),"# ##0;-# ##0"),",-"),FIXED(ROUND((C2717/EXC.RATE_1),CURRENCY.FORMAT_1),CURRENCY.FORMAT_1,0)),'DICTIONARY-5'!$A$2)</f>
        <v>605,-</v>
      </c>
      <c r="K2717" s="670" t="str">
        <f>IF(EXC.RATE_2=0,"",IFERROR(IF(CURRENCY.FORMAT_2=0,CONCATENATE(TEXT(FIXED(ROUND(IF(EXC.RATE.SWITCH=1,C2717/EXC.RATE_2,C2717*EXC.RATE_2),CURRENCY.FORMAT_2),CURRENCY.FORMAT_2,1),"# ##0;-# ##0"),",-"),FIXED(ROUND(IF(EXC.RATE.SWITCH=1,C2717/EXC.RATE_2,C2717*EXC.RATE_2),CURRENCY.FORMAT_2),CURRENCY.FORMAT_2,0)),'DICTIONARY-5'!$A$2))</f>
        <v/>
      </c>
      <c r="L2717" s="670" t="str">
        <f>IFERROR(IF(CURRENCY.FORMAT_1=0,CONCATENATE(TEXT(FIXED(ROUND((C2717*(1-I2717)*(1-ADD.DISCOUNT)*(1+MAT.SURCHARGE)/EXC.RATE_1),CURRENCY.FORMAT_1),CURRENCY.FORMAT_1,1),"# ##0;-# ##0"),",-"),FIXED(ROUND((C2717*(1-I2717)*(1-ADD.DISCOUNT)*(1+MAT.SURCHARGE)/EXC.RATE_1),CURRENCY.FORMAT_1),CURRENCY.FORMAT_1,0)),'DICTIONARY-5'!$A$2)</f>
        <v>629,-</v>
      </c>
      <c r="M2717" s="670" t="str">
        <f>IF(EXC.RATE_2=0,"",IFERROR(IF(CURRENCY.FORMAT_2=0,CONCATENATE(TEXT(FIXED(ROUND(IF(EXC.RATE.SWITCH=1,C2717*(1-I2717)*(1-ADD.DISCOUNT)*(1+MAT.SURCHARGE)/EXC.RATE_2,C2717*(1-I2717)*(1-ADD.DISCOUNT)*(1+MAT.SURCHARGE)*EXC.RATE_2),CURRENCY.FORMAT_2),CURRENCY.FORMAT_2,1),"# ##0;-# ##0"),",-"),FIXED(ROUND(IF(EXC.RATE.SWITCH=1,C2717*(1-I2717)*(1-ADD.DISCOUNT)*(1+MAT.SURCHARGE)/EXC.RATE_2,C2717*(1-I2717)*(1-ADD.DISCOUNT)*(1+MAT.SURCHARGE)*EXC.RATE_2),CURRENCY.FORMAT_2),CURRENCY.FORMAT_2,0)),'DICTIONARY-5'!$A$2))</f>
        <v/>
      </c>
      <c r="N2717" s="535">
        <v>13</v>
      </c>
      <c r="O2717" s="535"/>
      <c r="P2717" s="731" t="str">
        <f>'DICTIONARY-3'!$A$2</f>
        <v>EKOplus</v>
      </c>
      <c r="Q2717" s="732" t="str">
        <f>'DICTIONARY-3'!$A$187</f>
        <v>Zasuwa klinowa</v>
      </c>
      <c r="R2717" s="732" t="str">
        <f>CONCATENATE('DICTIONARY-3'!$A$2," ",'DICTIONARY-6'!$A$3," ",UPPER('DICTIONARY-5'!$A$18)," ",'DICTIONARY-2'!$A$2,"200"," ",'DICTIONARY-2'!$A$3,"16"," ","R14",", ",'DICTIONARY-4'!$A$2)</f>
        <v>EKOplus Zasuwa GAZ DN200 PN16 R14, WW</v>
      </c>
      <c r="S2717" s="733" t="str">
        <f>'DICTIONARY-4'!$A$2</f>
        <v>WW</v>
      </c>
      <c r="T2717" s="732" t="str">
        <f>'DICTIONARY-4'!$A$18</f>
        <v>Wolny wałek</v>
      </c>
      <c r="U2717" s="734" t="s">
        <v>5750</v>
      </c>
      <c r="V2717" s="735">
        <v>16</v>
      </c>
      <c r="W2717" s="736"/>
      <c r="X2717" s="737"/>
      <c r="Y2717" s="738"/>
      <c r="Z2717" s="739"/>
      <c r="AA2717" s="739"/>
      <c r="AB2717" s="740">
        <v>16</v>
      </c>
      <c r="AC2717" s="741" t="str">
        <f>'DICTIONARY-5'!$A$11&amp;" 14"</f>
        <v>EN 558 szereg 14</v>
      </c>
      <c r="AD2717" s="741" t="str">
        <f>'DICTIONARY-5'!$A$18</f>
        <v>gaz</v>
      </c>
      <c r="AE2717" s="742">
        <v>50</v>
      </c>
      <c r="AF2717" s="743">
        <v>53.5</v>
      </c>
      <c r="AG2717" s="741" t="str">
        <f>'DICTIONARY-5'!$A$23</f>
        <v>powłoka epoksydowa</v>
      </c>
    </row>
    <row r="2718" spans="1:33" x14ac:dyDescent="0.25">
      <c r="A2718" s="869" t="s">
        <v>2621</v>
      </c>
      <c r="B2718" s="869" t="s">
        <v>3337</v>
      </c>
      <c r="C2718" s="836">
        <v>906</v>
      </c>
      <c r="D2718" s="836"/>
      <c r="E2718" s="836"/>
      <c r="F2718" s="836"/>
      <c r="G2718" s="496" t="s">
        <v>7852</v>
      </c>
      <c r="H2718" s="797" t="str">
        <f>VLOOKUP(G2718,SETTINGS!$B$7:$D$97,2,0)</f>
        <v>EKOplus Gas</v>
      </c>
      <c r="I2718" s="796">
        <f>VLOOKUP(G2718,SETTINGS!$B$7:$D$97,3,0)</f>
        <v>0</v>
      </c>
      <c r="J2718" s="670" t="str">
        <f>IFERROR(IF(CURRENCY.FORMAT_1=0,CONCATENATE(TEXT(FIXED(ROUND((C2718/EXC.RATE_1),CURRENCY.FORMAT_1),CURRENCY.FORMAT_1,1),"# ##0;-# ##0"),",-"),FIXED(ROUND((C2718/EXC.RATE_1),CURRENCY.FORMAT_1),CURRENCY.FORMAT_1,0)),'DICTIONARY-5'!$A$2)</f>
        <v>906,-</v>
      </c>
      <c r="K2718" s="670" t="str">
        <f>IF(EXC.RATE_2=0,"",IFERROR(IF(CURRENCY.FORMAT_2=0,CONCATENATE(TEXT(FIXED(ROUND(IF(EXC.RATE.SWITCH=1,C2718/EXC.RATE_2,C2718*EXC.RATE_2),CURRENCY.FORMAT_2),CURRENCY.FORMAT_2,1),"# ##0;-# ##0"),",-"),FIXED(ROUND(IF(EXC.RATE.SWITCH=1,C2718/EXC.RATE_2,C2718*EXC.RATE_2),CURRENCY.FORMAT_2),CURRENCY.FORMAT_2,0)),'DICTIONARY-5'!$A$2))</f>
        <v/>
      </c>
      <c r="L2718" s="670" t="str">
        <f>IFERROR(IF(CURRENCY.FORMAT_1=0,CONCATENATE(TEXT(FIXED(ROUND((C2718*(1-I2718)*(1-ADD.DISCOUNT)*(1+MAT.SURCHARGE)/EXC.RATE_1),CURRENCY.FORMAT_1),CURRENCY.FORMAT_1,1),"# ##0;-# ##0"),",-"),FIXED(ROUND((C2718*(1-I2718)*(1-ADD.DISCOUNT)*(1+MAT.SURCHARGE)/EXC.RATE_1),CURRENCY.FORMAT_1),CURRENCY.FORMAT_1,0)),'DICTIONARY-5'!$A$2)</f>
        <v>941,-</v>
      </c>
      <c r="M2718" s="670" t="str">
        <f>IF(EXC.RATE_2=0,"",IFERROR(IF(CURRENCY.FORMAT_2=0,CONCATENATE(TEXT(FIXED(ROUND(IF(EXC.RATE.SWITCH=1,C2718*(1-I2718)*(1-ADD.DISCOUNT)*(1+MAT.SURCHARGE)/EXC.RATE_2,C2718*(1-I2718)*(1-ADD.DISCOUNT)*(1+MAT.SURCHARGE)*EXC.RATE_2),CURRENCY.FORMAT_2),CURRENCY.FORMAT_2,1),"# ##0;-# ##0"),",-"),FIXED(ROUND(IF(EXC.RATE.SWITCH=1,C2718*(1-I2718)*(1-ADD.DISCOUNT)*(1+MAT.SURCHARGE)/EXC.RATE_2,C2718*(1-I2718)*(1-ADD.DISCOUNT)*(1+MAT.SURCHARGE)*EXC.RATE_2),CURRENCY.FORMAT_2),CURRENCY.FORMAT_2,0)),'DICTIONARY-5'!$A$2))</f>
        <v/>
      </c>
      <c r="N2718" s="535">
        <v>13</v>
      </c>
      <c r="O2718" s="535"/>
      <c r="P2718" s="731" t="str">
        <f>'DICTIONARY-3'!$A$2</f>
        <v>EKOplus</v>
      </c>
      <c r="Q2718" s="732" t="str">
        <f>'DICTIONARY-3'!$A$187</f>
        <v>Zasuwa klinowa</v>
      </c>
      <c r="R2718" s="732" t="str">
        <f>CONCATENATE('DICTIONARY-3'!$A$2," ",'DICTIONARY-6'!$A$3," ",UPPER('DICTIONARY-5'!$A$18)," ",'DICTIONARY-2'!$A$2,"250"," ",'DICTIONARY-2'!$A$3,"10"," ","R14",", ",'DICTIONARY-4'!$A$2,", ",'DICTIONARY-6'!$A$38)</f>
        <v>EKOplus Zasuwa GAZ DN250 PN10 R14, WW, cert. 3.1</v>
      </c>
      <c r="S2718" s="733" t="str">
        <f>'DICTIONARY-4'!$A$2</f>
        <v>WW</v>
      </c>
      <c r="T2718" s="732" t="str">
        <f>'DICTIONARY-4'!$A$18</f>
        <v>Wolny wałek</v>
      </c>
      <c r="U2718" s="734" t="s">
        <v>5751</v>
      </c>
      <c r="V2718" s="735">
        <v>10</v>
      </c>
      <c r="W2718" s="736"/>
      <c r="X2718" s="737"/>
      <c r="Y2718" s="738"/>
      <c r="Z2718" s="739"/>
      <c r="AA2718" s="739"/>
      <c r="AB2718" s="740">
        <v>10</v>
      </c>
      <c r="AC2718" s="741" t="str">
        <f>'DICTIONARY-5'!$A$11&amp;" 14"</f>
        <v>EN 558 szereg 14</v>
      </c>
      <c r="AD2718" s="741" t="str">
        <f>'DICTIONARY-5'!$A$18</f>
        <v>gaz</v>
      </c>
      <c r="AE2718" s="742">
        <v>50</v>
      </c>
      <c r="AF2718" s="743">
        <v>86</v>
      </c>
      <c r="AG2718" s="741" t="str">
        <f>'DICTIONARY-5'!$A$23</f>
        <v>powłoka epoksydowa</v>
      </c>
    </row>
    <row r="2719" spans="1:33" x14ac:dyDescent="0.25">
      <c r="A2719" s="869" t="s">
        <v>2623</v>
      </c>
      <c r="B2719" s="869" t="s">
        <v>3403</v>
      </c>
      <c r="C2719" s="836">
        <v>908</v>
      </c>
      <c r="D2719" s="836"/>
      <c r="E2719" s="836"/>
      <c r="F2719" s="836"/>
      <c r="G2719" s="496" t="s">
        <v>7852</v>
      </c>
      <c r="H2719" s="797" t="str">
        <f>VLOOKUP(G2719,SETTINGS!$B$7:$D$97,2,0)</f>
        <v>EKOplus Gas</v>
      </c>
      <c r="I2719" s="796">
        <f>VLOOKUP(G2719,SETTINGS!$B$7:$D$97,3,0)</f>
        <v>0</v>
      </c>
      <c r="J2719" s="670" t="str">
        <f>IFERROR(IF(CURRENCY.FORMAT_1=0,CONCATENATE(TEXT(FIXED(ROUND((C2719/EXC.RATE_1),CURRENCY.FORMAT_1),CURRENCY.FORMAT_1,1),"# ##0;-# ##0"),",-"),FIXED(ROUND((C2719/EXC.RATE_1),CURRENCY.FORMAT_1),CURRENCY.FORMAT_1,0)),'DICTIONARY-5'!$A$2)</f>
        <v>908,-</v>
      </c>
      <c r="K2719" s="670" t="str">
        <f>IF(EXC.RATE_2=0,"",IFERROR(IF(CURRENCY.FORMAT_2=0,CONCATENATE(TEXT(FIXED(ROUND(IF(EXC.RATE.SWITCH=1,C2719/EXC.RATE_2,C2719*EXC.RATE_2),CURRENCY.FORMAT_2),CURRENCY.FORMAT_2,1),"# ##0;-# ##0"),",-"),FIXED(ROUND(IF(EXC.RATE.SWITCH=1,C2719/EXC.RATE_2,C2719*EXC.RATE_2),CURRENCY.FORMAT_2),CURRENCY.FORMAT_2,0)),'DICTIONARY-5'!$A$2))</f>
        <v/>
      </c>
      <c r="L2719" s="670" t="str">
        <f>IFERROR(IF(CURRENCY.FORMAT_1=0,CONCATENATE(TEXT(FIXED(ROUND((C2719*(1-I2719)*(1-ADD.DISCOUNT)*(1+MAT.SURCHARGE)/EXC.RATE_1),CURRENCY.FORMAT_1),CURRENCY.FORMAT_1,1),"# ##0;-# ##0"),",-"),FIXED(ROUND((C2719*(1-I2719)*(1-ADD.DISCOUNT)*(1+MAT.SURCHARGE)/EXC.RATE_1),CURRENCY.FORMAT_1),CURRENCY.FORMAT_1,0)),'DICTIONARY-5'!$A$2)</f>
        <v>943,-</v>
      </c>
      <c r="M2719" s="670" t="str">
        <f>IF(EXC.RATE_2=0,"",IFERROR(IF(CURRENCY.FORMAT_2=0,CONCATENATE(TEXT(FIXED(ROUND(IF(EXC.RATE.SWITCH=1,C2719*(1-I2719)*(1-ADD.DISCOUNT)*(1+MAT.SURCHARGE)/EXC.RATE_2,C2719*(1-I2719)*(1-ADD.DISCOUNT)*(1+MAT.SURCHARGE)*EXC.RATE_2),CURRENCY.FORMAT_2),CURRENCY.FORMAT_2,1),"# ##0;-# ##0"),",-"),FIXED(ROUND(IF(EXC.RATE.SWITCH=1,C2719*(1-I2719)*(1-ADD.DISCOUNT)*(1+MAT.SURCHARGE)/EXC.RATE_2,C2719*(1-I2719)*(1-ADD.DISCOUNT)*(1+MAT.SURCHARGE)*EXC.RATE_2),CURRENCY.FORMAT_2),CURRENCY.FORMAT_2,0)),'DICTIONARY-5'!$A$2))</f>
        <v/>
      </c>
      <c r="N2719" s="535">
        <v>13</v>
      </c>
      <c r="O2719" s="535"/>
      <c r="P2719" s="731" t="str">
        <f>'DICTIONARY-3'!$A$2</f>
        <v>EKOplus</v>
      </c>
      <c r="Q2719" s="732" t="str">
        <f>'DICTIONARY-3'!$A$187</f>
        <v>Zasuwa klinowa</v>
      </c>
      <c r="R2719" s="732" t="str">
        <f>CONCATENATE('DICTIONARY-3'!$A$2," ",'DICTIONARY-6'!$A$3," ",UPPER('DICTIONARY-5'!$A$18)," ",'DICTIONARY-2'!$A$2,"250"," ",'DICTIONARY-2'!$A$3,"16"," ","R14",", ",'DICTIONARY-4'!$A$2)</f>
        <v>EKOplus Zasuwa GAZ DN250 PN16 R14, WW</v>
      </c>
      <c r="S2719" s="733" t="str">
        <f>'DICTIONARY-4'!$A$2</f>
        <v>WW</v>
      </c>
      <c r="T2719" s="732" t="str">
        <f>'DICTIONARY-4'!$A$18</f>
        <v>Wolny wałek</v>
      </c>
      <c r="U2719" s="734" t="s">
        <v>5751</v>
      </c>
      <c r="V2719" s="735">
        <v>16</v>
      </c>
      <c r="W2719" s="736"/>
      <c r="X2719" s="737"/>
      <c r="Y2719" s="738"/>
      <c r="Z2719" s="739"/>
      <c r="AA2719" s="739"/>
      <c r="AB2719" s="740">
        <v>16</v>
      </c>
      <c r="AC2719" s="741" t="str">
        <f>'DICTIONARY-5'!$A$11&amp;" 14"</f>
        <v>EN 558 szereg 14</v>
      </c>
      <c r="AD2719" s="741" t="str">
        <f>'DICTIONARY-5'!$A$18</f>
        <v>gaz</v>
      </c>
      <c r="AE2719" s="742">
        <v>50</v>
      </c>
      <c r="AF2719" s="743">
        <v>86</v>
      </c>
      <c r="AG2719" s="741" t="str">
        <f>'DICTIONARY-5'!$A$23</f>
        <v>powłoka epoksydowa</v>
      </c>
    </row>
    <row r="2720" spans="1:33" x14ac:dyDescent="0.25">
      <c r="A2720" s="869" t="s">
        <v>2625</v>
      </c>
      <c r="B2720" s="869" t="s">
        <v>3340</v>
      </c>
      <c r="C2720" s="836">
        <v>1066</v>
      </c>
      <c r="D2720" s="836"/>
      <c r="E2720" s="836"/>
      <c r="F2720" s="836"/>
      <c r="G2720" s="496" t="s">
        <v>7852</v>
      </c>
      <c r="H2720" s="797" t="str">
        <f>VLOOKUP(G2720,SETTINGS!$B$7:$D$97,2,0)</f>
        <v>EKOplus Gas</v>
      </c>
      <c r="I2720" s="796">
        <f>VLOOKUP(G2720,SETTINGS!$B$7:$D$97,3,0)</f>
        <v>0</v>
      </c>
      <c r="J2720" s="670" t="str">
        <f>IFERROR(IF(CURRENCY.FORMAT_1=0,CONCATENATE(TEXT(FIXED(ROUND((C2720/EXC.RATE_1),CURRENCY.FORMAT_1),CURRENCY.FORMAT_1,1),"# ##0;-# ##0"),",-"),FIXED(ROUND((C2720/EXC.RATE_1),CURRENCY.FORMAT_1),CURRENCY.FORMAT_1,0)),'DICTIONARY-5'!$A$2)</f>
        <v>1 066,-</v>
      </c>
      <c r="K2720" s="670" t="str">
        <f>IF(EXC.RATE_2=0,"",IFERROR(IF(CURRENCY.FORMAT_2=0,CONCATENATE(TEXT(FIXED(ROUND(IF(EXC.RATE.SWITCH=1,C2720/EXC.RATE_2,C2720*EXC.RATE_2),CURRENCY.FORMAT_2),CURRENCY.FORMAT_2,1),"# ##0;-# ##0"),",-"),FIXED(ROUND(IF(EXC.RATE.SWITCH=1,C2720/EXC.RATE_2,C2720*EXC.RATE_2),CURRENCY.FORMAT_2),CURRENCY.FORMAT_2,0)),'DICTIONARY-5'!$A$2))</f>
        <v/>
      </c>
      <c r="L2720" s="670" t="str">
        <f>IFERROR(IF(CURRENCY.FORMAT_1=0,CONCATENATE(TEXT(FIXED(ROUND((C2720*(1-I2720)*(1-ADD.DISCOUNT)*(1+MAT.SURCHARGE)/EXC.RATE_1),CURRENCY.FORMAT_1),CURRENCY.FORMAT_1,1),"# ##0;-# ##0"),",-"),FIXED(ROUND((C2720*(1-I2720)*(1-ADD.DISCOUNT)*(1+MAT.SURCHARGE)/EXC.RATE_1),CURRENCY.FORMAT_1),CURRENCY.FORMAT_1,0)),'DICTIONARY-5'!$A$2)</f>
        <v>1 108,-</v>
      </c>
      <c r="M2720" s="670" t="str">
        <f>IF(EXC.RATE_2=0,"",IFERROR(IF(CURRENCY.FORMAT_2=0,CONCATENATE(TEXT(FIXED(ROUND(IF(EXC.RATE.SWITCH=1,C2720*(1-I2720)*(1-ADD.DISCOUNT)*(1+MAT.SURCHARGE)/EXC.RATE_2,C2720*(1-I2720)*(1-ADD.DISCOUNT)*(1+MAT.SURCHARGE)*EXC.RATE_2),CURRENCY.FORMAT_2),CURRENCY.FORMAT_2,1),"# ##0;-# ##0"),",-"),FIXED(ROUND(IF(EXC.RATE.SWITCH=1,C2720*(1-I2720)*(1-ADD.DISCOUNT)*(1+MAT.SURCHARGE)/EXC.RATE_2,C2720*(1-I2720)*(1-ADD.DISCOUNT)*(1+MAT.SURCHARGE)*EXC.RATE_2),CURRENCY.FORMAT_2),CURRENCY.FORMAT_2,0)),'DICTIONARY-5'!$A$2))</f>
        <v/>
      </c>
      <c r="N2720" s="535">
        <v>13</v>
      </c>
      <c r="O2720" s="535"/>
      <c r="P2720" s="731" t="str">
        <f>'DICTIONARY-3'!$A$2</f>
        <v>EKOplus</v>
      </c>
      <c r="Q2720" s="732" t="str">
        <f>'DICTIONARY-3'!$A$187</f>
        <v>Zasuwa klinowa</v>
      </c>
      <c r="R2720" s="732" t="str">
        <f>CONCATENATE('DICTIONARY-3'!$A$2," ",'DICTIONARY-6'!$A$3," ",UPPER('DICTIONARY-5'!$A$18)," ",'DICTIONARY-2'!$A$2,"300"," ",'DICTIONARY-2'!$A$3,"10"," ","R14",", ",'DICTIONARY-4'!$A$2,", ",'DICTIONARY-6'!$A$38)</f>
        <v>EKOplus Zasuwa GAZ DN300 PN10 R14, WW, cert. 3.1</v>
      </c>
      <c r="S2720" s="733" t="str">
        <f>'DICTIONARY-4'!$A$2</f>
        <v>WW</v>
      </c>
      <c r="T2720" s="732" t="str">
        <f>'DICTIONARY-4'!$A$18</f>
        <v>Wolny wałek</v>
      </c>
      <c r="U2720" s="734" t="s">
        <v>5752</v>
      </c>
      <c r="V2720" s="735">
        <v>10</v>
      </c>
      <c r="W2720" s="736"/>
      <c r="X2720" s="737"/>
      <c r="Y2720" s="738"/>
      <c r="Z2720" s="739"/>
      <c r="AA2720" s="739"/>
      <c r="AB2720" s="740">
        <v>10</v>
      </c>
      <c r="AC2720" s="741" t="str">
        <f>'DICTIONARY-5'!$A$11&amp;" 14"</f>
        <v>EN 558 szereg 14</v>
      </c>
      <c r="AD2720" s="741" t="str">
        <f>'DICTIONARY-5'!$A$18</f>
        <v>gaz</v>
      </c>
      <c r="AE2720" s="742">
        <v>50</v>
      </c>
      <c r="AF2720" s="743">
        <v>116</v>
      </c>
      <c r="AG2720" s="741" t="str">
        <f>'DICTIONARY-5'!$A$23</f>
        <v>powłoka epoksydowa</v>
      </c>
    </row>
    <row r="2721" spans="1:33" x14ac:dyDescent="0.25">
      <c r="A2721" s="869" t="s">
        <v>2627</v>
      </c>
      <c r="B2721" s="869" t="s">
        <v>3407</v>
      </c>
      <c r="C2721" s="836">
        <v>1069</v>
      </c>
      <c r="D2721" s="836"/>
      <c r="E2721" s="836"/>
      <c r="F2721" s="836"/>
      <c r="G2721" s="496" t="s">
        <v>7852</v>
      </c>
      <c r="H2721" s="797" t="str">
        <f>VLOOKUP(G2721,SETTINGS!$B$7:$D$97,2,0)</f>
        <v>EKOplus Gas</v>
      </c>
      <c r="I2721" s="796">
        <f>VLOOKUP(G2721,SETTINGS!$B$7:$D$97,3,0)</f>
        <v>0</v>
      </c>
      <c r="J2721" s="670" t="str">
        <f>IFERROR(IF(CURRENCY.FORMAT_1=0,CONCATENATE(TEXT(FIXED(ROUND((C2721/EXC.RATE_1),CURRENCY.FORMAT_1),CURRENCY.FORMAT_1,1),"# ##0;-# ##0"),",-"),FIXED(ROUND((C2721/EXC.RATE_1),CURRENCY.FORMAT_1),CURRENCY.FORMAT_1,0)),'DICTIONARY-5'!$A$2)</f>
        <v>1 069,-</v>
      </c>
      <c r="K2721" s="670" t="str">
        <f>IF(EXC.RATE_2=0,"",IFERROR(IF(CURRENCY.FORMAT_2=0,CONCATENATE(TEXT(FIXED(ROUND(IF(EXC.RATE.SWITCH=1,C2721/EXC.RATE_2,C2721*EXC.RATE_2),CURRENCY.FORMAT_2),CURRENCY.FORMAT_2,1),"# ##0;-# ##0"),",-"),FIXED(ROUND(IF(EXC.RATE.SWITCH=1,C2721/EXC.RATE_2,C2721*EXC.RATE_2),CURRENCY.FORMAT_2),CURRENCY.FORMAT_2,0)),'DICTIONARY-5'!$A$2))</f>
        <v/>
      </c>
      <c r="L2721" s="670" t="str">
        <f>IFERROR(IF(CURRENCY.FORMAT_1=0,CONCATENATE(TEXT(FIXED(ROUND((C2721*(1-I2721)*(1-ADD.DISCOUNT)*(1+MAT.SURCHARGE)/EXC.RATE_1),CURRENCY.FORMAT_1),CURRENCY.FORMAT_1,1),"# ##0;-# ##0"),",-"),FIXED(ROUND((C2721*(1-I2721)*(1-ADD.DISCOUNT)*(1+MAT.SURCHARGE)/EXC.RATE_1),CURRENCY.FORMAT_1),CURRENCY.FORMAT_1,0)),'DICTIONARY-5'!$A$2)</f>
        <v>1 111,-</v>
      </c>
      <c r="M2721" s="670" t="str">
        <f>IF(EXC.RATE_2=0,"",IFERROR(IF(CURRENCY.FORMAT_2=0,CONCATENATE(TEXT(FIXED(ROUND(IF(EXC.RATE.SWITCH=1,C2721*(1-I2721)*(1-ADD.DISCOUNT)*(1+MAT.SURCHARGE)/EXC.RATE_2,C2721*(1-I2721)*(1-ADD.DISCOUNT)*(1+MAT.SURCHARGE)*EXC.RATE_2),CURRENCY.FORMAT_2),CURRENCY.FORMAT_2,1),"# ##0;-# ##0"),",-"),FIXED(ROUND(IF(EXC.RATE.SWITCH=1,C2721*(1-I2721)*(1-ADD.DISCOUNT)*(1+MAT.SURCHARGE)/EXC.RATE_2,C2721*(1-I2721)*(1-ADD.DISCOUNT)*(1+MAT.SURCHARGE)*EXC.RATE_2),CURRENCY.FORMAT_2),CURRENCY.FORMAT_2,0)),'DICTIONARY-5'!$A$2))</f>
        <v/>
      </c>
      <c r="N2721" s="535">
        <v>13</v>
      </c>
      <c r="O2721" s="535"/>
      <c r="P2721" s="731" t="str">
        <f>'DICTIONARY-3'!$A$2</f>
        <v>EKOplus</v>
      </c>
      <c r="Q2721" s="732" t="str">
        <f>'DICTIONARY-3'!$A$187</f>
        <v>Zasuwa klinowa</v>
      </c>
      <c r="R2721" s="732" t="str">
        <f>CONCATENATE('DICTIONARY-3'!$A$2," ",'DICTIONARY-6'!$A$3," ",UPPER('DICTIONARY-5'!$A$18)," ",'DICTIONARY-2'!$A$2,"300"," ",'DICTIONARY-2'!$A$3,"16"," ","R14",", ",'DICTIONARY-4'!$A$2)</f>
        <v>EKOplus Zasuwa GAZ DN300 PN16 R14, WW</v>
      </c>
      <c r="S2721" s="733" t="str">
        <f>'DICTIONARY-4'!$A$2</f>
        <v>WW</v>
      </c>
      <c r="T2721" s="732" t="str">
        <f>'DICTIONARY-4'!$A$18</f>
        <v>Wolny wałek</v>
      </c>
      <c r="U2721" s="734" t="s">
        <v>5752</v>
      </c>
      <c r="V2721" s="735">
        <v>16</v>
      </c>
      <c r="W2721" s="736"/>
      <c r="X2721" s="737"/>
      <c r="Y2721" s="738"/>
      <c r="Z2721" s="739"/>
      <c r="AA2721" s="739"/>
      <c r="AB2721" s="740">
        <v>16</v>
      </c>
      <c r="AC2721" s="741" t="str">
        <f>'DICTIONARY-5'!$A$11&amp;" 14"</f>
        <v>EN 558 szereg 14</v>
      </c>
      <c r="AD2721" s="741" t="str">
        <f>'DICTIONARY-5'!$A$18</f>
        <v>gaz</v>
      </c>
      <c r="AE2721" s="742">
        <v>50</v>
      </c>
      <c r="AF2721" s="743">
        <v>114.5</v>
      </c>
      <c r="AG2721" s="741" t="str">
        <f>'DICTIONARY-5'!$A$23</f>
        <v>powłoka epoksydowa</v>
      </c>
    </row>
    <row r="2722" spans="1:33" x14ac:dyDescent="0.25">
      <c r="A2722" s="869" t="s">
        <v>2629</v>
      </c>
      <c r="B2722" s="869" t="s">
        <v>3341</v>
      </c>
      <c r="C2722" s="836">
        <v>2373</v>
      </c>
      <c r="D2722" s="836"/>
      <c r="E2722" s="836"/>
      <c r="F2722" s="836"/>
      <c r="G2722" s="496" t="s">
        <v>7852</v>
      </c>
      <c r="H2722" s="797" t="str">
        <f>VLOOKUP(G2722,SETTINGS!$B$7:$D$97,2,0)</f>
        <v>EKOplus Gas</v>
      </c>
      <c r="I2722" s="796">
        <f>VLOOKUP(G2722,SETTINGS!$B$7:$D$97,3,0)</f>
        <v>0</v>
      </c>
      <c r="J2722" s="670" t="str">
        <f>IFERROR(IF(CURRENCY.FORMAT_1=0,CONCATENATE(TEXT(FIXED(ROUND((C2722/EXC.RATE_1),CURRENCY.FORMAT_1),CURRENCY.FORMAT_1,1),"# ##0;-# ##0"),",-"),FIXED(ROUND((C2722/EXC.RATE_1),CURRENCY.FORMAT_1),CURRENCY.FORMAT_1,0)),'DICTIONARY-5'!$A$2)</f>
        <v>2 373,-</v>
      </c>
      <c r="K2722" s="670" t="str">
        <f>IF(EXC.RATE_2=0,"",IFERROR(IF(CURRENCY.FORMAT_2=0,CONCATENATE(TEXT(FIXED(ROUND(IF(EXC.RATE.SWITCH=1,C2722/EXC.RATE_2,C2722*EXC.RATE_2),CURRENCY.FORMAT_2),CURRENCY.FORMAT_2,1),"# ##0;-# ##0"),",-"),FIXED(ROUND(IF(EXC.RATE.SWITCH=1,C2722/EXC.RATE_2,C2722*EXC.RATE_2),CURRENCY.FORMAT_2),CURRENCY.FORMAT_2,0)),'DICTIONARY-5'!$A$2))</f>
        <v/>
      </c>
      <c r="L2722" s="670" t="str">
        <f>IFERROR(IF(CURRENCY.FORMAT_1=0,CONCATENATE(TEXT(FIXED(ROUND((C2722*(1-I2722)*(1-ADD.DISCOUNT)*(1+MAT.SURCHARGE)/EXC.RATE_1),CURRENCY.FORMAT_1),CURRENCY.FORMAT_1,1),"# ##0;-# ##0"),",-"),FIXED(ROUND((C2722*(1-I2722)*(1-ADD.DISCOUNT)*(1+MAT.SURCHARGE)/EXC.RATE_1),CURRENCY.FORMAT_1),CURRENCY.FORMAT_1,0)),'DICTIONARY-5'!$A$2)</f>
        <v>2 466,-</v>
      </c>
      <c r="M2722" s="670" t="str">
        <f>IF(EXC.RATE_2=0,"",IFERROR(IF(CURRENCY.FORMAT_2=0,CONCATENATE(TEXT(FIXED(ROUND(IF(EXC.RATE.SWITCH=1,C2722*(1-I2722)*(1-ADD.DISCOUNT)*(1+MAT.SURCHARGE)/EXC.RATE_2,C2722*(1-I2722)*(1-ADD.DISCOUNT)*(1+MAT.SURCHARGE)*EXC.RATE_2),CURRENCY.FORMAT_2),CURRENCY.FORMAT_2,1),"# ##0;-# ##0"),",-"),FIXED(ROUND(IF(EXC.RATE.SWITCH=1,C2722*(1-I2722)*(1-ADD.DISCOUNT)*(1+MAT.SURCHARGE)/EXC.RATE_2,C2722*(1-I2722)*(1-ADD.DISCOUNT)*(1+MAT.SURCHARGE)*EXC.RATE_2),CURRENCY.FORMAT_2),CURRENCY.FORMAT_2,0)),'DICTIONARY-5'!$A$2))</f>
        <v/>
      </c>
      <c r="N2722" s="535">
        <v>13</v>
      </c>
      <c r="O2722" s="535"/>
      <c r="P2722" s="731" t="str">
        <f>'DICTIONARY-3'!$A$2</f>
        <v>EKOplus</v>
      </c>
      <c r="Q2722" s="732" t="str">
        <f>'DICTIONARY-3'!$A$187</f>
        <v>Zasuwa klinowa</v>
      </c>
      <c r="R2722" s="732" t="str">
        <f>CONCATENATE('DICTIONARY-3'!$A$2," ",'DICTIONARY-6'!$A$3," ",UPPER('DICTIONARY-5'!$A$18)," ",'DICTIONARY-2'!$A$2,"350"," ",'DICTIONARY-2'!$A$3,"10"," ","R14",", ",'DICTIONARY-4'!$A$2)</f>
        <v>EKOplus Zasuwa GAZ DN350 PN10 R14, WW</v>
      </c>
      <c r="S2722" s="733" t="str">
        <f>'DICTIONARY-4'!$A$2</f>
        <v>WW</v>
      </c>
      <c r="T2722" s="732" t="str">
        <f>'DICTIONARY-4'!$A$18</f>
        <v>Wolny wałek</v>
      </c>
      <c r="U2722" s="734" t="s">
        <v>5753</v>
      </c>
      <c r="V2722" s="735">
        <v>10</v>
      </c>
      <c r="W2722" s="736"/>
      <c r="X2722" s="737"/>
      <c r="Y2722" s="738"/>
      <c r="Z2722" s="739"/>
      <c r="AA2722" s="739"/>
      <c r="AB2722" s="740">
        <v>10</v>
      </c>
      <c r="AC2722" s="741" t="str">
        <f>'DICTIONARY-5'!$A$11&amp;" 14"</f>
        <v>EN 558 szereg 14</v>
      </c>
      <c r="AD2722" s="741" t="str">
        <f>'DICTIONARY-5'!$A$18</f>
        <v>gaz</v>
      </c>
      <c r="AE2722" s="742">
        <v>50</v>
      </c>
      <c r="AF2722" s="743">
        <v>248</v>
      </c>
      <c r="AG2722" s="741" t="str">
        <f>'DICTIONARY-5'!$A$23</f>
        <v>powłoka epoksydowa</v>
      </c>
    </row>
    <row r="2723" spans="1:33" x14ac:dyDescent="0.25">
      <c r="A2723" s="869" t="s">
        <v>2631</v>
      </c>
      <c r="B2723" s="869" t="s">
        <v>3342</v>
      </c>
      <c r="C2723" s="836">
        <v>2972</v>
      </c>
      <c r="D2723" s="836"/>
      <c r="E2723" s="836"/>
      <c r="F2723" s="836"/>
      <c r="G2723" s="496" t="s">
        <v>7852</v>
      </c>
      <c r="H2723" s="797" t="str">
        <f>VLOOKUP(G2723,SETTINGS!$B$7:$D$97,2,0)</f>
        <v>EKOplus Gas</v>
      </c>
      <c r="I2723" s="796">
        <f>VLOOKUP(G2723,SETTINGS!$B$7:$D$97,3,0)</f>
        <v>0</v>
      </c>
      <c r="J2723" s="670" t="str">
        <f>IFERROR(IF(CURRENCY.FORMAT_1=0,CONCATENATE(TEXT(FIXED(ROUND((C2723/EXC.RATE_1),CURRENCY.FORMAT_1),CURRENCY.FORMAT_1,1),"# ##0;-# ##0"),",-"),FIXED(ROUND((C2723/EXC.RATE_1),CURRENCY.FORMAT_1),CURRENCY.FORMAT_1,0)),'DICTIONARY-5'!$A$2)</f>
        <v>2 972,-</v>
      </c>
      <c r="K2723" s="670" t="str">
        <f>IF(EXC.RATE_2=0,"",IFERROR(IF(CURRENCY.FORMAT_2=0,CONCATENATE(TEXT(FIXED(ROUND(IF(EXC.RATE.SWITCH=1,C2723/EXC.RATE_2,C2723*EXC.RATE_2),CURRENCY.FORMAT_2),CURRENCY.FORMAT_2,1),"# ##0;-# ##0"),",-"),FIXED(ROUND(IF(EXC.RATE.SWITCH=1,C2723/EXC.RATE_2,C2723*EXC.RATE_2),CURRENCY.FORMAT_2),CURRENCY.FORMAT_2,0)),'DICTIONARY-5'!$A$2))</f>
        <v/>
      </c>
      <c r="L2723" s="670" t="str">
        <f>IFERROR(IF(CURRENCY.FORMAT_1=0,CONCATENATE(TEXT(FIXED(ROUND((C2723*(1-I2723)*(1-ADD.DISCOUNT)*(1+MAT.SURCHARGE)/EXC.RATE_1),CURRENCY.FORMAT_1),CURRENCY.FORMAT_1,1),"# ##0;-# ##0"),",-"),FIXED(ROUND((C2723*(1-I2723)*(1-ADD.DISCOUNT)*(1+MAT.SURCHARGE)/EXC.RATE_1),CURRENCY.FORMAT_1),CURRENCY.FORMAT_1,0)),'DICTIONARY-5'!$A$2)</f>
        <v>3 088,-</v>
      </c>
      <c r="M2723" s="670" t="str">
        <f>IF(EXC.RATE_2=0,"",IFERROR(IF(CURRENCY.FORMAT_2=0,CONCATENATE(TEXT(FIXED(ROUND(IF(EXC.RATE.SWITCH=1,C2723*(1-I2723)*(1-ADD.DISCOUNT)*(1+MAT.SURCHARGE)/EXC.RATE_2,C2723*(1-I2723)*(1-ADD.DISCOUNT)*(1+MAT.SURCHARGE)*EXC.RATE_2),CURRENCY.FORMAT_2),CURRENCY.FORMAT_2,1),"# ##0;-# ##0"),",-"),FIXED(ROUND(IF(EXC.RATE.SWITCH=1,C2723*(1-I2723)*(1-ADD.DISCOUNT)*(1+MAT.SURCHARGE)/EXC.RATE_2,C2723*(1-I2723)*(1-ADD.DISCOUNT)*(1+MAT.SURCHARGE)*EXC.RATE_2),CURRENCY.FORMAT_2),CURRENCY.FORMAT_2,0)),'DICTIONARY-5'!$A$2))</f>
        <v/>
      </c>
      <c r="N2723" s="535">
        <v>13</v>
      </c>
      <c r="O2723" s="535"/>
      <c r="P2723" s="731" t="str">
        <f>'DICTIONARY-3'!$A$2</f>
        <v>EKOplus</v>
      </c>
      <c r="Q2723" s="732" t="str">
        <f>'DICTIONARY-3'!$A$187</f>
        <v>Zasuwa klinowa</v>
      </c>
      <c r="R2723" s="732" t="str">
        <f>CONCATENATE('DICTIONARY-3'!$A$2," ",'DICTIONARY-6'!$A$3," ",UPPER('DICTIONARY-5'!$A$18)," ",'DICTIONARY-2'!$A$2,"400"," ",'DICTIONARY-2'!$A$3,"10"," ","R14",", ",'DICTIONARY-4'!$A$2)</f>
        <v>EKOplus Zasuwa GAZ DN400 PN10 R14, WW</v>
      </c>
      <c r="S2723" s="733" t="str">
        <f>'DICTIONARY-4'!$A$2</f>
        <v>WW</v>
      </c>
      <c r="T2723" s="732" t="str">
        <f>'DICTIONARY-4'!$A$18</f>
        <v>Wolny wałek</v>
      </c>
      <c r="U2723" s="734" t="s">
        <v>5754</v>
      </c>
      <c r="V2723" s="735">
        <v>10</v>
      </c>
      <c r="W2723" s="736"/>
      <c r="X2723" s="737"/>
      <c r="Y2723" s="738"/>
      <c r="Z2723" s="739"/>
      <c r="AA2723" s="739"/>
      <c r="AB2723" s="740">
        <v>10</v>
      </c>
      <c r="AC2723" s="741" t="str">
        <f>'DICTIONARY-5'!$A$11&amp;" 14"</f>
        <v>EN 558 szereg 14</v>
      </c>
      <c r="AD2723" s="741" t="str">
        <f>'DICTIONARY-5'!$A$18</f>
        <v>gaz</v>
      </c>
      <c r="AE2723" s="742">
        <v>50</v>
      </c>
      <c r="AF2723" s="743">
        <v>310</v>
      </c>
      <c r="AG2723" s="741" t="str">
        <f>'DICTIONARY-5'!$A$23</f>
        <v>powłoka epoksydowa</v>
      </c>
    </row>
    <row r="2724" spans="1:33" x14ac:dyDescent="0.25">
      <c r="A2724" s="869" t="s">
        <v>2633</v>
      </c>
      <c r="B2724" s="869" t="s">
        <v>3343</v>
      </c>
      <c r="C2724" s="836">
        <v>5123</v>
      </c>
      <c r="D2724" s="836"/>
      <c r="E2724" s="836"/>
      <c r="F2724" s="836"/>
      <c r="G2724" s="496" t="s">
        <v>7852</v>
      </c>
      <c r="H2724" s="797" t="str">
        <f>VLOOKUP(G2724,SETTINGS!$B$7:$D$97,2,0)</f>
        <v>EKOplus Gas</v>
      </c>
      <c r="I2724" s="796">
        <f>VLOOKUP(G2724,SETTINGS!$B$7:$D$97,3,0)</f>
        <v>0</v>
      </c>
      <c r="J2724" s="670" t="str">
        <f>IFERROR(IF(CURRENCY.FORMAT_1=0,CONCATENATE(TEXT(FIXED(ROUND((C2724/EXC.RATE_1),CURRENCY.FORMAT_1),CURRENCY.FORMAT_1,1),"# ##0;-# ##0"),",-"),FIXED(ROUND((C2724/EXC.RATE_1),CURRENCY.FORMAT_1),CURRENCY.FORMAT_1,0)),'DICTIONARY-5'!$A$2)</f>
        <v>5 123,-</v>
      </c>
      <c r="K2724" s="670" t="str">
        <f>IF(EXC.RATE_2=0,"",IFERROR(IF(CURRENCY.FORMAT_2=0,CONCATENATE(TEXT(FIXED(ROUND(IF(EXC.RATE.SWITCH=1,C2724/EXC.RATE_2,C2724*EXC.RATE_2),CURRENCY.FORMAT_2),CURRENCY.FORMAT_2,1),"# ##0;-# ##0"),",-"),FIXED(ROUND(IF(EXC.RATE.SWITCH=1,C2724/EXC.RATE_2,C2724*EXC.RATE_2),CURRENCY.FORMAT_2),CURRENCY.FORMAT_2,0)),'DICTIONARY-5'!$A$2))</f>
        <v/>
      </c>
      <c r="L2724" s="670" t="str">
        <f>IFERROR(IF(CURRENCY.FORMAT_1=0,CONCATENATE(TEXT(FIXED(ROUND((C2724*(1-I2724)*(1-ADD.DISCOUNT)*(1+MAT.SURCHARGE)/EXC.RATE_1),CURRENCY.FORMAT_1),CURRENCY.FORMAT_1,1),"# ##0;-# ##0"),",-"),FIXED(ROUND((C2724*(1-I2724)*(1-ADD.DISCOUNT)*(1+MAT.SURCHARGE)/EXC.RATE_1),CURRENCY.FORMAT_1),CURRENCY.FORMAT_1,0)),'DICTIONARY-5'!$A$2)</f>
        <v>5 323,-</v>
      </c>
      <c r="M2724" s="670" t="str">
        <f>IF(EXC.RATE_2=0,"",IFERROR(IF(CURRENCY.FORMAT_2=0,CONCATENATE(TEXT(FIXED(ROUND(IF(EXC.RATE.SWITCH=1,C2724*(1-I2724)*(1-ADD.DISCOUNT)*(1+MAT.SURCHARGE)/EXC.RATE_2,C2724*(1-I2724)*(1-ADD.DISCOUNT)*(1+MAT.SURCHARGE)*EXC.RATE_2),CURRENCY.FORMAT_2),CURRENCY.FORMAT_2,1),"# ##0;-# ##0"),",-"),FIXED(ROUND(IF(EXC.RATE.SWITCH=1,C2724*(1-I2724)*(1-ADD.DISCOUNT)*(1+MAT.SURCHARGE)/EXC.RATE_2,C2724*(1-I2724)*(1-ADD.DISCOUNT)*(1+MAT.SURCHARGE)*EXC.RATE_2),CURRENCY.FORMAT_2),CURRENCY.FORMAT_2,0)),'DICTIONARY-5'!$A$2))</f>
        <v/>
      </c>
      <c r="N2724" s="535">
        <v>13</v>
      </c>
      <c r="O2724" s="535"/>
      <c r="P2724" s="731" t="str">
        <f>'DICTIONARY-3'!$A$2</f>
        <v>EKOplus</v>
      </c>
      <c r="Q2724" s="732" t="str">
        <f>'DICTIONARY-3'!$A$187</f>
        <v>Zasuwa klinowa</v>
      </c>
      <c r="R2724" s="732" t="str">
        <f>CONCATENATE('DICTIONARY-3'!$A$2," ",'DICTIONARY-6'!$A$3," ",UPPER('DICTIONARY-5'!$A$18)," ",'DICTIONARY-2'!$A$2,"500"," ",'DICTIONARY-2'!$A$3,"10"," ","R14",", ",'DICTIONARY-4'!$A$2)</f>
        <v>EKOplus Zasuwa GAZ DN500 PN10 R14, WW</v>
      </c>
      <c r="S2724" s="733" t="str">
        <f>'DICTIONARY-4'!$A$2</f>
        <v>WW</v>
      </c>
      <c r="T2724" s="732" t="str">
        <f>'DICTIONARY-4'!$A$18</f>
        <v>Wolny wałek</v>
      </c>
      <c r="U2724" s="734" t="s">
        <v>5756</v>
      </c>
      <c r="V2724" s="735">
        <v>10</v>
      </c>
      <c r="W2724" s="736"/>
      <c r="X2724" s="737"/>
      <c r="Y2724" s="738"/>
      <c r="Z2724" s="739"/>
      <c r="AA2724" s="739"/>
      <c r="AB2724" s="740">
        <v>10</v>
      </c>
      <c r="AC2724" s="741" t="str">
        <f>'DICTIONARY-5'!$A$11&amp;" 14"</f>
        <v>EN 558 szereg 14</v>
      </c>
      <c r="AD2724" s="741" t="str">
        <f>'DICTIONARY-5'!$A$18</f>
        <v>gaz</v>
      </c>
      <c r="AE2724" s="742">
        <v>50</v>
      </c>
      <c r="AF2724" s="743">
        <v>397</v>
      </c>
      <c r="AG2724" s="741" t="str">
        <f>'DICTIONARY-5'!$A$23</f>
        <v>powłoka epoksydowa</v>
      </c>
    </row>
    <row r="2725" spans="1:33" x14ac:dyDescent="0.25">
      <c r="A2725" s="869" t="s">
        <v>2604</v>
      </c>
      <c r="B2725" s="869" t="s">
        <v>3354</v>
      </c>
      <c r="C2725" s="836">
        <v>216</v>
      </c>
      <c r="D2725" s="836"/>
      <c r="E2725" s="836"/>
      <c r="F2725" s="836"/>
      <c r="G2725" s="496" t="s">
        <v>7852</v>
      </c>
      <c r="H2725" s="797" t="str">
        <f>VLOOKUP(G2725,SETTINGS!$B$7:$D$97,2,0)</f>
        <v>EKOplus Gas</v>
      </c>
      <c r="I2725" s="796">
        <f>VLOOKUP(G2725,SETTINGS!$B$7:$D$97,3,0)</f>
        <v>0</v>
      </c>
      <c r="J2725" s="670" t="str">
        <f>IFERROR(IF(CURRENCY.FORMAT_1=0,CONCATENATE(TEXT(FIXED(ROUND((C2725/EXC.RATE_1),CURRENCY.FORMAT_1),CURRENCY.FORMAT_1,1),"# ##0;-# ##0"),",-"),FIXED(ROUND((C2725/EXC.RATE_1),CURRENCY.FORMAT_1),CURRENCY.FORMAT_1,0)),'DICTIONARY-5'!$A$2)</f>
        <v>216,-</v>
      </c>
      <c r="K2725" s="670" t="str">
        <f>IF(EXC.RATE_2=0,"",IFERROR(IF(CURRENCY.FORMAT_2=0,CONCATENATE(TEXT(FIXED(ROUND(IF(EXC.RATE.SWITCH=1,C2725/EXC.RATE_2,C2725*EXC.RATE_2),CURRENCY.FORMAT_2),CURRENCY.FORMAT_2,1),"# ##0;-# ##0"),",-"),FIXED(ROUND(IF(EXC.RATE.SWITCH=1,C2725/EXC.RATE_2,C2725*EXC.RATE_2),CURRENCY.FORMAT_2),CURRENCY.FORMAT_2,0)),'DICTIONARY-5'!$A$2))</f>
        <v/>
      </c>
      <c r="L2725" s="670" t="str">
        <f>IFERROR(IF(CURRENCY.FORMAT_1=0,CONCATENATE(TEXT(FIXED(ROUND((C2725*(1-I2725)*(1-ADD.DISCOUNT)*(1+MAT.SURCHARGE)/EXC.RATE_1),CURRENCY.FORMAT_1),CURRENCY.FORMAT_1,1),"# ##0;-# ##0"),",-"),FIXED(ROUND((C2725*(1-I2725)*(1-ADD.DISCOUNT)*(1+MAT.SURCHARGE)/EXC.RATE_1),CURRENCY.FORMAT_1),CURRENCY.FORMAT_1,0)),'DICTIONARY-5'!$A$2)</f>
        <v>224,-</v>
      </c>
      <c r="M2725" s="670" t="str">
        <f>IF(EXC.RATE_2=0,"",IFERROR(IF(CURRENCY.FORMAT_2=0,CONCATENATE(TEXT(FIXED(ROUND(IF(EXC.RATE.SWITCH=1,C2725*(1-I2725)*(1-ADD.DISCOUNT)*(1+MAT.SURCHARGE)/EXC.RATE_2,C2725*(1-I2725)*(1-ADD.DISCOUNT)*(1+MAT.SURCHARGE)*EXC.RATE_2),CURRENCY.FORMAT_2),CURRENCY.FORMAT_2,1),"# ##0;-# ##0"),",-"),FIXED(ROUND(IF(EXC.RATE.SWITCH=1,C2725*(1-I2725)*(1-ADD.DISCOUNT)*(1+MAT.SURCHARGE)/EXC.RATE_2,C2725*(1-I2725)*(1-ADD.DISCOUNT)*(1+MAT.SURCHARGE)*EXC.RATE_2),CURRENCY.FORMAT_2),CURRENCY.FORMAT_2,0)),'DICTIONARY-5'!$A$2))</f>
        <v/>
      </c>
      <c r="N2725" s="535">
        <v>13</v>
      </c>
      <c r="O2725" s="535"/>
      <c r="P2725" s="731" t="str">
        <f>'DICTIONARY-3'!$A$2</f>
        <v>EKOplus</v>
      </c>
      <c r="Q2725" s="732" t="str">
        <f>'DICTIONARY-3'!$A$187</f>
        <v>Zasuwa klinowa</v>
      </c>
      <c r="R2725" s="732" t="str">
        <f>CONCATENATE('DICTIONARY-3'!$A$2," ",'DICTIONARY-6'!$A$3," ",UPPER('DICTIONARY-5'!$A$18)," ",'DICTIONARY-2'!$A$2,"40"," ",'DICTIONARY-2'!$A$3,"10/16"," ","R15",", ",'DICTIONARY-4'!$A$2,", ",'DICTIONARY-6'!$A$38)</f>
        <v>EKOplus Zasuwa GAZ DN40 PN10/16 R15, WW, cert. 3.1</v>
      </c>
      <c r="S2725" s="733" t="str">
        <f>'DICTIONARY-4'!$A$2</f>
        <v>WW</v>
      </c>
      <c r="T2725" s="732" t="str">
        <f>'DICTIONARY-4'!$A$18</f>
        <v>Wolny wałek</v>
      </c>
      <c r="U2725" s="734" t="s">
        <v>5758</v>
      </c>
      <c r="V2725" s="735">
        <v>16</v>
      </c>
      <c r="W2725" s="736"/>
      <c r="X2725" s="737"/>
      <c r="Y2725" s="738"/>
      <c r="Z2725" s="739"/>
      <c r="AA2725" s="739"/>
      <c r="AB2725" s="740">
        <v>16</v>
      </c>
      <c r="AC2725" s="741" t="str">
        <f>'DICTIONARY-5'!$A$11&amp;" 15"</f>
        <v>EN 558 szereg 15</v>
      </c>
      <c r="AD2725" s="741" t="str">
        <f>'DICTIONARY-5'!$A$18</f>
        <v>gaz</v>
      </c>
      <c r="AE2725" s="742">
        <v>50</v>
      </c>
      <c r="AF2725" s="743">
        <v>9</v>
      </c>
      <c r="AG2725" s="741" t="str">
        <f>'DICTIONARY-5'!$A$23</f>
        <v>powłoka epoksydowa</v>
      </c>
    </row>
    <row r="2726" spans="1:33" x14ac:dyDescent="0.25">
      <c r="A2726" s="869" t="s">
        <v>2606</v>
      </c>
      <c r="B2726" s="869" t="s">
        <v>3356</v>
      </c>
      <c r="C2726" s="836">
        <v>232</v>
      </c>
      <c r="D2726" s="836"/>
      <c r="E2726" s="836"/>
      <c r="F2726" s="836"/>
      <c r="G2726" s="496" t="s">
        <v>7852</v>
      </c>
      <c r="H2726" s="797" t="str">
        <f>VLOOKUP(G2726,SETTINGS!$B$7:$D$97,2,0)</f>
        <v>EKOplus Gas</v>
      </c>
      <c r="I2726" s="796">
        <f>VLOOKUP(G2726,SETTINGS!$B$7:$D$97,3,0)</f>
        <v>0</v>
      </c>
      <c r="J2726" s="670" t="str">
        <f>IFERROR(IF(CURRENCY.FORMAT_1=0,CONCATENATE(TEXT(FIXED(ROUND((C2726/EXC.RATE_1),CURRENCY.FORMAT_1),CURRENCY.FORMAT_1,1),"# ##0;-# ##0"),",-"),FIXED(ROUND((C2726/EXC.RATE_1),CURRENCY.FORMAT_1),CURRENCY.FORMAT_1,0)),'DICTIONARY-5'!$A$2)</f>
        <v>232,-</v>
      </c>
      <c r="K2726" s="670" t="str">
        <f>IF(EXC.RATE_2=0,"",IFERROR(IF(CURRENCY.FORMAT_2=0,CONCATENATE(TEXT(FIXED(ROUND(IF(EXC.RATE.SWITCH=1,C2726/EXC.RATE_2,C2726*EXC.RATE_2),CURRENCY.FORMAT_2),CURRENCY.FORMAT_2,1),"# ##0;-# ##0"),",-"),FIXED(ROUND(IF(EXC.RATE.SWITCH=1,C2726/EXC.RATE_2,C2726*EXC.RATE_2),CURRENCY.FORMAT_2),CURRENCY.FORMAT_2,0)),'DICTIONARY-5'!$A$2))</f>
        <v/>
      </c>
      <c r="L2726" s="670" t="str">
        <f>IFERROR(IF(CURRENCY.FORMAT_1=0,CONCATENATE(TEXT(FIXED(ROUND((C2726*(1-I2726)*(1-ADD.DISCOUNT)*(1+MAT.SURCHARGE)/EXC.RATE_1),CURRENCY.FORMAT_1),CURRENCY.FORMAT_1,1),"# ##0;-# ##0"),",-"),FIXED(ROUND((C2726*(1-I2726)*(1-ADD.DISCOUNT)*(1+MAT.SURCHARGE)/EXC.RATE_1),CURRENCY.FORMAT_1),CURRENCY.FORMAT_1,0)),'DICTIONARY-5'!$A$2)</f>
        <v>241,-</v>
      </c>
      <c r="M2726" s="670" t="str">
        <f>IF(EXC.RATE_2=0,"",IFERROR(IF(CURRENCY.FORMAT_2=0,CONCATENATE(TEXT(FIXED(ROUND(IF(EXC.RATE.SWITCH=1,C2726*(1-I2726)*(1-ADD.DISCOUNT)*(1+MAT.SURCHARGE)/EXC.RATE_2,C2726*(1-I2726)*(1-ADD.DISCOUNT)*(1+MAT.SURCHARGE)*EXC.RATE_2),CURRENCY.FORMAT_2),CURRENCY.FORMAT_2,1),"# ##0;-# ##0"),",-"),FIXED(ROUND(IF(EXC.RATE.SWITCH=1,C2726*(1-I2726)*(1-ADD.DISCOUNT)*(1+MAT.SURCHARGE)/EXC.RATE_2,C2726*(1-I2726)*(1-ADD.DISCOUNT)*(1+MAT.SURCHARGE)*EXC.RATE_2),CURRENCY.FORMAT_2),CURRENCY.FORMAT_2,0)),'DICTIONARY-5'!$A$2))</f>
        <v/>
      </c>
      <c r="N2726" s="535">
        <v>13</v>
      </c>
      <c r="O2726" s="535"/>
      <c r="P2726" s="731" t="str">
        <f>'DICTIONARY-3'!$A$2</f>
        <v>EKOplus</v>
      </c>
      <c r="Q2726" s="732" t="str">
        <f>'DICTIONARY-3'!$A$187</f>
        <v>Zasuwa klinowa</v>
      </c>
      <c r="R2726" s="732" t="str">
        <f>CONCATENATE('DICTIONARY-3'!$A$2," ",'DICTIONARY-6'!$A$3," ",UPPER('DICTIONARY-5'!$A$18)," ",'DICTIONARY-2'!$A$2,"50"," ",'DICTIONARY-2'!$A$3,"10/16"," ","R15",", ",'DICTIONARY-4'!$A$2,", ",'DICTIONARY-6'!$A$38)</f>
        <v>EKOplus Zasuwa GAZ DN50 PN10/16 R15, WW, cert. 3.1</v>
      </c>
      <c r="S2726" s="733" t="str">
        <f>'DICTIONARY-4'!$A$2</f>
        <v>WW</v>
      </c>
      <c r="T2726" s="732" t="str">
        <f>'DICTIONARY-4'!$A$18</f>
        <v>Wolny wałek</v>
      </c>
      <c r="U2726" s="734" t="s">
        <v>5748</v>
      </c>
      <c r="V2726" s="735">
        <v>16</v>
      </c>
      <c r="W2726" s="736"/>
      <c r="X2726" s="737"/>
      <c r="Y2726" s="738"/>
      <c r="Z2726" s="739"/>
      <c r="AA2726" s="739"/>
      <c r="AB2726" s="740">
        <v>16</v>
      </c>
      <c r="AC2726" s="741" t="str">
        <f>'DICTIONARY-5'!$A$11&amp;" 15"</f>
        <v>EN 558 szereg 15</v>
      </c>
      <c r="AD2726" s="741" t="str">
        <f>'DICTIONARY-5'!$A$18</f>
        <v>gaz</v>
      </c>
      <c r="AE2726" s="742">
        <v>50</v>
      </c>
      <c r="AF2726" s="743">
        <v>10.5</v>
      </c>
      <c r="AG2726" s="741" t="str">
        <f>'DICTIONARY-5'!$A$23</f>
        <v>powłoka epoksydowa</v>
      </c>
    </row>
    <row r="2727" spans="1:33" x14ac:dyDescent="0.25">
      <c r="A2727" s="869" t="s">
        <v>2608</v>
      </c>
      <c r="B2727" s="869" t="s">
        <v>3358</v>
      </c>
      <c r="C2727" s="836">
        <v>257</v>
      </c>
      <c r="D2727" s="836"/>
      <c r="E2727" s="836"/>
      <c r="F2727" s="836"/>
      <c r="G2727" s="496" t="s">
        <v>7852</v>
      </c>
      <c r="H2727" s="797" t="str">
        <f>VLOOKUP(G2727,SETTINGS!$B$7:$D$97,2,0)</f>
        <v>EKOplus Gas</v>
      </c>
      <c r="I2727" s="796">
        <f>VLOOKUP(G2727,SETTINGS!$B$7:$D$97,3,0)</f>
        <v>0</v>
      </c>
      <c r="J2727" s="670" t="str">
        <f>IFERROR(IF(CURRENCY.FORMAT_1=0,CONCATENATE(TEXT(FIXED(ROUND((C2727/EXC.RATE_1),CURRENCY.FORMAT_1),CURRENCY.FORMAT_1,1),"# ##0;-# ##0"),",-"),FIXED(ROUND((C2727/EXC.RATE_1),CURRENCY.FORMAT_1),CURRENCY.FORMAT_1,0)),'DICTIONARY-5'!$A$2)</f>
        <v>257,-</v>
      </c>
      <c r="K2727" s="670" t="str">
        <f>IF(EXC.RATE_2=0,"",IFERROR(IF(CURRENCY.FORMAT_2=0,CONCATENATE(TEXT(FIXED(ROUND(IF(EXC.RATE.SWITCH=1,C2727/EXC.RATE_2,C2727*EXC.RATE_2),CURRENCY.FORMAT_2),CURRENCY.FORMAT_2,1),"# ##0;-# ##0"),",-"),FIXED(ROUND(IF(EXC.RATE.SWITCH=1,C2727/EXC.RATE_2,C2727*EXC.RATE_2),CURRENCY.FORMAT_2),CURRENCY.FORMAT_2,0)),'DICTIONARY-5'!$A$2))</f>
        <v/>
      </c>
      <c r="L2727" s="670" t="str">
        <f>IFERROR(IF(CURRENCY.FORMAT_1=0,CONCATENATE(TEXT(FIXED(ROUND((C2727*(1-I2727)*(1-ADD.DISCOUNT)*(1+MAT.SURCHARGE)/EXC.RATE_1),CURRENCY.FORMAT_1),CURRENCY.FORMAT_1,1),"# ##0;-# ##0"),",-"),FIXED(ROUND((C2727*(1-I2727)*(1-ADD.DISCOUNT)*(1+MAT.SURCHARGE)/EXC.RATE_1),CURRENCY.FORMAT_1),CURRENCY.FORMAT_1,0)),'DICTIONARY-5'!$A$2)</f>
        <v>267,-</v>
      </c>
      <c r="M2727" s="670" t="str">
        <f>IF(EXC.RATE_2=0,"",IFERROR(IF(CURRENCY.FORMAT_2=0,CONCATENATE(TEXT(FIXED(ROUND(IF(EXC.RATE.SWITCH=1,C2727*(1-I2727)*(1-ADD.DISCOUNT)*(1+MAT.SURCHARGE)/EXC.RATE_2,C2727*(1-I2727)*(1-ADD.DISCOUNT)*(1+MAT.SURCHARGE)*EXC.RATE_2),CURRENCY.FORMAT_2),CURRENCY.FORMAT_2,1),"# ##0;-# ##0"),",-"),FIXED(ROUND(IF(EXC.RATE.SWITCH=1,C2727*(1-I2727)*(1-ADD.DISCOUNT)*(1+MAT.SURCHARGE)/EXC.RATE_2,C2727*(1-I2727)*(1-ADD.DISCOUNT)*(1+MAT.SURCHARGE)*EXC.RATE_2),CURRENCY.FORMAT_2),CURRENCY.FORMAT_2,0)),'DICTIONARY-5'!$A$2))</f>
        <v/>
      </c>
      <c r="N2727" s="535">
        <v>13</v>
      </c>
      <c r="O2727" s="535"/>
      <c r="P2727" s="731" t="str">
        <f>'DICTIONARY-3'!$A$2</f>
        <v>EKOplus</v>
      </c>
      <c r="Q2727" s="732" t="str">
        <f>'DICTIONARY-3'!$A$187</f>
        <v>Zasuwa klinowa</v>
      </c>
      <c r="R2727" s="732" t="str">
        <f>CONCATENATE('DICTIONARY-3'!$A$2," ",'DICTIONARY-6'!$A$3," ",UPPER('DICTIONARY-5'!$A$18)," ",'DICTIONARY-2'!$A$2,"65"," ",'DICTIONARY-2'!$A$3,"10/16"," ","R15",", ",'DICTIONARY-4'!$A$2,", ",'DICTIONARY-6'!$A$38)</f>
        <v>EKOplus Zasuwa GAZ DN65 PN10/16 R15, WW, cert. 3.1</v>
      </c>
      <c r="S2727" s="733" t="str">
        <f>'DICTIONARY-4'!$A$2</f>
        <v>WW</v>
      </c>
      <c r="T2727" s="732" t="str">
        <f>'DICTIONARY-4'!$A$18</f>
        <v>Wolny wałek</v>
      </c>
      <c r="U2727" s="734" t="s">
        <v>5759</v>
      </c>
      <c r="V2727" s="735">
        <v>16</v>
      </c>
      <c r="W2727" s="736"/>
      <c r="X2727" s="737"/>
      <c r="Y2727" s="738"/>
      <c r="Z2727" s="739"/>
      <c r="AA2727" s="739"/>
      <c r="AB2727" s="740">
        <v>16</v>
      </c>
      <c r="AC2727" s="741" t="str">
        <f>'DICTIONARY-5'!$A$11&amp;" 15"</f>
        <v>EN 558 szereg 15</v>
      </c>
      <c r="AD2727" s="741" t="str">
        <f>'DICTIONARY-5'!$A$18</f>
        <v>gaz</v>
      </c>
      <c r="AE2727" s="742">
        <v>50</v>
      </c>
      <c r="AF2727" s="743">
        <v>15</v>
      </c>
      <c r="AG2727" s="741" t="str">
        <f>'DICTIONARY-5'!$A$23</f>
        <v>powłoka epoksydowa</v>
      </c>
    </row>
    <row r="2728" spans="1:33" x14ac:dyDescent="0.25">
      <c r="A2728" s="869" t="s">
        <v>2610</v>
      </c>
      <c r="B2728" s="869" t="s">
        <v>3360</v>
      </c>
      <c r="C2728" s="836">
        <v>258</v>
      </c>
      <c r="D2728" s="836"/>
      <c r="E2728" s="836"/>
      <c r="F2728" s="836"/>
      <c r="G2728" s="496" t="s">
        <v>7852</v>
      </c>
      <c r="H2728" s="797" t="str">
        <f>VLOOKUP(G2728,SETTINGS!$B$7:$D$97,2,0)</f>
        <v>EKOplus Gas</v>
      </c>
      <c r="I2728" s="796">
        <f>VLOOKUP(G2728,SETTINGS!$B$7:$D$97,3,0)</f>
        <v>0</v>
      </c>
      <c r="J2728" s="670" t="str">
        <f>IFERROR(IF(CURRENCY.FORMAT_1=0,CONCATENATE(TEXT(FIXED(ROUND((C2728/EXC.RATE_1),CURRENCY.FORMAT_1),CURRENCY.FORMAT_1,1),"# ##0;-# ##0"),",-"),FIXED(ROUND((C2728/EXC.RATE_1),CURRENCY.FORMAT_1),CURRENCY.FORMAT_1,0)),'DICTIONARY-5'!$A$2)</f>
        <v>258,-</v>
      </c>
      <c r="K2728" s="670" t="str">
        <f>IF(EXC.RATE_2=0,"",IFERROR(IF(CURRENCY.FORMAT_2=0,CONCATENATE(TEXT(FIXED(ROUND(IF(EXC.RATE.SWITCH=1,C2728/EXC.RATE_2,C2728*EXC.RATE_2),CURRENCY.FORMAT_2),CURRENCY.FORMAT_2,1),"# ##0;-# ##0"),",-"),FIXED(ROUND(IF(EXC.RATE.SWITCH=1,C2728/EXC.RATE_2,C2728*EXC.RATE_2),CURRENCY.FORMAT_2),CURRENCY.FORMAT_2,0)),'DICTIONARY-5'!$A$2))</f>
        <v/>
      </c>
      <c r="L2728" s="670" t="str">
        <f>IFERROR(IF(CURRENCY.FORMAT_1=0,CONCATENATE(TEXT(FIXED(ROUND((C2728*(1-I2728)*(1-ADD.DISCOUNT)*(1+MAT.SURCHARGE)/EXC.RATE_1),CURRENCY.FORMAT_1),CURRENCY.FORMAT_1,1),"# ##0;-# ##0"),",-"),FIXED(ROUND((C2728*(1-I2728)*(1-ADD.DISCOUNT)*(1+MAT.SURCHARGE)/EXC.RATE_1),CURRENCY.FORMAT_1),CURRENCY.FORMAT_1,0)),'DICTIONARY-5'!$A$2)</f>
        <v>268,-</v>
      </c>
      <c r="M2728" s="670" t="str">
        <f>IF(EXC.RATE_2=0,"",IFERROR(IF(CURRENCY.FORMAT_2=0,CONCATENATE(TEXT(FIXED(ROUND(IF(EXC.RATE.SWITCH=1,C2728*(1-I2728)*(1-ADD.DISCOUNT)*(1+MAT.SURCHARGE)/EXC.RATE_2,C2728*(1-I2728)*(1-ADD.DISCOUNT)*(1+MAT.SURCHARGE)*EXC.RATE_2),CURRENCY.FORMAT_2),CURRENCY.FORMAT_2,1),"# ##0;-# ##0"),",-"),FIXED(ROUND(IF(EXC.RATE.SWITCH=1,C2728*(1-I2728)*(1-ADD.DISCOUNT)*(1+MAT.SURCHARGE)/EXC.RATE_2,C2728*(1-I2728)*(1-ADD.DISCOUNT)*(1+MAT.SURCHARGE)*EXC.RATE_2),CURRENCY.FORMAT_2),CURRENCY.FORMAT_2,0)),'DICTIONARY-5'!$A$2))</f>
        <v/>
      </c>
      <c r="N2728" s="535">
        <v>13</v>
      </c>
      <c r="O2728" s="535"/>
      <c r="P2728" s="731" t="str">
        <f>'DICTIONARY-3'!$A$2</f>
        <v>EKOplus</v>
      </c>
      <c r="Q2728" s="732" t="str">
        <f>'DICTIONARY-3'!$A$187</f>
        <v>Zasuwa klinowa</v>
      </c>
      <c r="R2728" s="732" t="str">
        <f>CONCATENATE('DICTIONARY-3'!$A$2," ",'DICTIONARY-6'!$A$3," ",UPPER('DICTIONARY-5'!$A$18)," ",'DICTIONARY-2'!$A$2,"80"," ",'DICTIONARY-2'!$A$3,"10/16"," ","R15",", ",'DICTIONARY-4'!$A$2)</f>
        <v>EKOplus Zasuwa GAZ DN80 PN10/16 R15, WW</v>
      </c>
      <c r="S2728" s="733" t="str">
        <f>'DICTIONARY-4'!$A$2</f>
        <v>WW</v>
      </c>
      <c r="T2728" s="732" t="str">
        <f>'DICTIONARY-4'!$A$18</f>
        <v>Wolny wałek</v>
      </c>
      <c r="U2728" s="734" t="s">
        <v>5760</v>
      </c>
      <c r="V2728" s="735">
        <v>16</v>
      </c>
      <c r="W2728" s="736"/>
      <c r="X2728" s="737"/>
      <c r="Y2728" s="738"/>
      <c r="Z2728" s="739"/>
      <c r="AA2728" s="739"/>
      <c r="AB2728" s="740">
        <v>16</v>
      </c>
      <c r="AC2728" s="741" t="str">
        <f>'DICTIONARY-5'!$A$11&amp;" 15"</f>
        <v>EN 558 szereg 15</v>
      </c>
      <c r="AD2728" s="741" t="str">
        <f>'DICTIONARY-5'!$A$18</f>
        <v>gaz</v>
      </c>
      <c r="AE2728" s="742">
        <v>50</v>
      </c>
      <c r="AF2728" s="743">
        <v>16.5</v>
      </c>
      <c r="AG2728" s="741" t="str">
        <f>'DICTIONARY-5'!$A$23</f>
        <v>powłoka epoksydowa</v>
      </c>
    </row>
    <row r="2729" spans="1:33" x14ac:dyDescent="0.25">
      <c r="A2729" s="869" t="s">
        <v>2612</v>
      </c>
      <c r="B2729" s="869" t="s">
        <v>3362</v>
      </c>
      <c r="C2729" s="836">
        <v>303</v>
      </c>
      <c r="D2729" s="836"/>
      <c r="E2729" s="836"/>
      <c r="F2729" s="836"/>
      <c r="G2729" s="496" t="s">
        <v>7852</v>
      </c>
      <c r="H2729" s="797" t="str">
        <f>VLOOKUP(G2729,SETTINGS!$B$7:$D$97,2,0)</f>
        <v>EKOplus Gas</v>
      </c>
      <c r="I2729" s="796">
        <f>VLOOKUP(G2729,SETTINGS!$B$7:$D$97,3,0)</f>
        <v>0</v>
      </c>
      <c r="J2729" s="670" t="str">
        <f>IFERROR(IF(CURRENCY.FORMAT_1=0,CONCATENATE(TEXT(FIXED(ROUND((C2729/EXC.RATE_1),CURRENCY.FORMAT_1),CURRENCY.FORMAT_1,1),"# ##0;-# ##0"),",-"),FIXED(ROUND((C2729/EXC.RATE_1),CURRENCY.FORMAT_1),CURRENCY.FORMAT_1,0)),'DICTIONARY-5'!$A$2)</f>
        <v>303,-</v>
      </c>
      <c r="K2729" s="670" t="str">
        <f>IF(EXC.RATE_2=0,"",IFERROR(IF(CURRENCY.FORMAT_2=0,CONCATENATE(TEXT(FIXED(ROUND(IF(EXC.RATE.SWITCH=1,C2729/EXC.RATE_2,C2729*EXC.RATE_2),CURRENCY.FORMAT_2),CURRENCY.FORMAT_2,1),"# ##0;-# ##0"),",-"),FIXED(ROUND(IF(EXC.RATE.SWITCH=1,C2729/EXC.RATE_2,C2729*EXC.RATE_2),CURRENCY.FORMAT_2),CURRENCY.FORMAT_2,0)),'DICTIONARY-5'!$A$2))</f>
        <v/>
      </c>
      <c r="L2729" s="670" t="str">
        <f>IFERROR(IF(CURRENCY.FORMAT_1=0,CONCATENATE(TEXT(FIXED(ROUND((C2729*(1-I2729)*(1-ADD.DISCOUNT)*(1+MAT.SURCHARGE)/EXC.RATE_1),CURRENCY.FORMAT_1),CURRENCY.FORMAT_1,1),"# ##0;-# ##0"),",-"),FIXED(ROUND((C2729*(1-I2729)*(1-ADD.DISCOUNT)*(1+MAT.SURCHARGE)/EXC.RATE_1),CURRENCY.FORMAT_1),CURRENCY.FORMAT_1,0)),'DICTIONARY-5'!$A$2)</f>
        <v>315,-</v>
      </c>
      <c r="M2729" s="670" t="str">
        <f>IF(EXC.RATE_2=0,"",IFERROR(IF(CURRENCY.FORMAT_2=0,CONCATENATE(TEXT(FIXED(ROUND(IF(EXC.RATE.SWITCH=1,C2729*(1-I2729)*(1-ADD.DISCOUNT)*(1+MAT.SURCHARGE)/EXC.RATE_2,C2729*(1-I2729)*(1-ADD.DISCOUNT)*(1+MAT.SURCHARGE)*EXC.RATE_2),CURRENCY.FORMAT_2),CURRENCY.FORMAT_2,1),"# ##0;-# ##0"),",-"),FIXED(ROUND(IF(EXC.RATE.SWITCH=1,C2729*(1-I2729)*(1-ADD.DISCOUNT)*(1+MAT.SURCHARGE)/EXC.RATE_2,C2729*(1-I2729)*(1-ADD.DISCOUNT)*(1+MAT.SURCHARGE)*EXC.RATE_2),CURRENCY.FORMAT_2),CURRENCY.FORMAT_2,0)),'DICTIONARY-5'!$A$2))</f>
        <v/>
      </c>
      <c r="N2729" s="535">
        <v>13</v>
      </c>
      <c r="O2729" s="535"/>
      <c r="P2729" s="731" t="str">
        <f>'DICTIONARY-3'!$A$2</f>
        <v>EKOplus</v>
      </c>
      <c r="Q2729" s="732" t="str">
        <f>'DICTIONARY-3'!$A$187</f>
        <v>Zasuwa klinowa</v>
      </c>
      <c r="R2729" s="732" t="str">
        <f>CONCATENATE('DICTIONARY-3'!$A$2," ",'DICTIONARY-6'!$A$3," ",UPPER('DICTIONARY-5'!$A$18)," ",'DICTIONARY-2'!$A$2,"100"," ",'DICTIONARY-2'!$A$3,"10/16"," ","R15",", ",'DICTIONARY-4'!$A$2)</f>
        <v>EKOplus Zasuwa GAZ DN100 PN10/16 R15, WW</v>
      </c>
      <c r="S2729" s="733" t="str">
        <f>'DICTIONARY-4'!$A$2</f>
        <v>WW</v>
      </c>
      <c r="T2729" s="732" t="str">
        <f>'DICTIONARY-4'!$A$18</f>
        <v>Wolny wałek</v>
      </c>
      <c r="U2729" s="734" t="s">
        <v>5749</v>
      </c>
      <c r="V2729" s="735">
        <v>16</v>
      </c>
      <c r="W2729" s="736"/>
      <c r="X2729" s="737"/>
      <c r="Y2729" s="738"/>
      <c r="Z2729" s="739"/>
      <c r="AA2729" s="739"/>
      <c r="AB2729" s="740">
        <v>16</v>
      </c>
      <c r="AC2729" s="741" t="str">
        <f>'DICTIONARY-5'!$A$11&amp;" 15"</f>
        <v>EN 558 szereg 15</v>
      </c>
      <c r="AD2729" s="741" t="str">
        <f>'DICTIONARY-5'!$A$18</f>
        <v>gaz</v>
      </c>
      <c r="AE2729" s="742">
        <v>50</v>
      </c>
      <c r="AF2729" s="743">
        <v>19.5</v>
      </c>
      <c r="AG2729" s="741" t="str">
        <f>'DICTIONARY-5'!$A$23</f>
        <v>powłoka epoksydowa</v>
      </c>
    </row>
    <row r="2730" spans="1:33" x14ac:dyDescent="0.25">
      <c r="A2730" s="869" t="s">
        <v>2614</v>
      </c>
      <c r="B2730" s="869" t="s">
        <v>3364</v>
      </c>
      <c r="C2730" s="836">
        <v>433</v>
      </c>
      <c r="D2730" s="836"/>
      <c r="E2730" s="836"/>
      <c r="F2730" s="836"/>
      <c r="G2730" s="496" t="s">
        <v>7852</v>
      </c>
      <c r="H2730" s="797" t="str">
        <f>VLOOKUP(G2730,SETTINGS!$B$7:$D$97,2,0)</f>
        <v>EKOplus Gas</v>
      </c>
      <c r="I2730" s="796">
        <f>VLOOKUP(G2730,SETTINGS!$B$7:$D$97,3,0)</f>
        <v>0</v>
      </c>
      <c r="J2730" s="670" t="str">
        <f>IFERROR(IF(CURRENCY.FORMAT_1=0,CONCATENATE(TEXT(FIXED(ROUND((C2730/EXC.RATE_1),CURRENCY.FORMAT_1),CURRENCY.FORMAT_1,1),"# ##0;-# ##0"),",-"),FIXED(ROUND((C2730/EXC.RATE_1),CURRENCY.FORMAT_1),CURRENCY.FORMAT_1,0)),'DICTIONARY-5'!$A$2)</f>
        <v>433,-</v>
      </c>
      <c r="K2730" s="670" t="str">
        <f>IF(EXC.RATE_2=0,"",IFERROR(IF(CURRENCY.FORMAT_2=0,CONCATENATE(TEXT(FIXED(ROUND(IF(EXC.RATE.SWITCH=1,C2730/EXC.RATE_2,C2730*EXC.RATE_2),CURRENCY.FORMAT_2),CURRENCY.FORMAT_2,1),"# ##0;-# ##0"),",-"),FIXED(ROUND(IF(EXC.RATE.SWITCH=1,C2730/EXC.RATE_2,C2730*EXC.RATE_2),CURRENCY.FORMAT_2),CURRENCY.FORMAT_2,0)),'DICTIONARY-5'!$A$2))</f>
        <v/>
      </c>
      <c r="L2730" s="670" t="str">
        <f>IFERROR(IF(CURRENCY.FORMAT_1=0,CONCATENATE(TEXT(FIXED(ROUND((C2730*(1-I2730)*(1-ADD.DISCOUNT)*(1+MAT.SURCHARGE)/EXC.RATE_1),CURRENCY.FORMAT_1),CURRENCY.FORMAT_1,1),"# ##0;-# ##0"),",-"),FIXED(ROUND((C2730*(1-I2730)*(1-ADD.DISCOUNT)*(1+MAT.SURCHARGE)/EXC.RATE_1),CURRENCY.FORMAT_1),CURRENCY.FORMAT_1,0)),'DICTIONARY-5'!$A$2)</f>
        <v>450,-</v>
      </c>
      <c r="M2730" s="670" t="str">
        <f>IF(EXC.RATE_2=0,"",IFERROR(IF(CURRENCY.FORMAT_2=0,CONCATENATE(TEXT(FIXED(ROUND(IF(EXC.RATE.SWITCH=1,C2730*(1-I2730)*(1-ADD.DISCOUNT)*(1+MAT.SURCHARGE)/EXC.RATE_2,C2730*(1-I2730)*(1-ADD.DISCOUNT)*(1+MAT.SURCHARGE)*EXC.RATE_2),CURRENCY.FORMAT_2),CURRENCY.FORMAT_2,1),"# ##0;-# ##0"),",-"),FIXED(ROUND(IF(EXC.RATE.SWITCH=1,C2730*(1-I2730)*(1-ADD.DISCOUNT)*(1+MAT.SURCHARGE)/EXC.RATE_2,C2730*(1-I2730)*(1-ADD.DISCOUNT)*(1+MAT.SURCHARGE)*EXC.RATE_2),CURRENCY.FORMAT_2),CURRENCY.FORMAT_2,0)),'DICTIONARY-5'!$A$2))</f>
        <v/>
      </c>
      <c r="N2730" s="535">
        <v>13</v>
      </c>
      <c r="O2730" s="535"/>
      <c r="P2730" s="731" t="str">
        <f>'DICTIONARY-3'!$A$2</f>
        <v>EKOplus</v>
      </c>
      <c r="Q2730" s="732" t="str">
        <f>'DICTIONARY-3'!$A$187</f>
        <v>Zasuwa klinowa</v>
      </c>
      <c r="R2730" s="732" t="str">
        <f>CONCATENATE('DICTIONARY-3'!$A$2," ",'DICTIONARY-6'!$A$3," ",UPPER('DICTIONARY-5'!$A$18)," ",'DICTIONARY-2'!$A$2,"125"," ",'DICTIONARY-2'!$A$3,"10/16"," ","R15",", ",'DICTIONARY-4'!$A$2)</f>
        <v>EKOplus Zasuwa GAZ DN125 PN10/16 R15, WW</v>
      </c>
      <c r="S2730" s="733" t="str">
        <f>'DICTIONARY-4'!$A$2</f>
        <v>WW</v>
      </c>
      <c r="T2730" s="732" t="str">
        <f>'DICTIONARY-4'!$A$18</f>
        <v>Wolny wałek</v>
      </c>
      <c r="U2730" s="734" t="s">
        <v>5761</v>
      </c>
      <c r="V2730" s="735">
        <v>16</v>
      </c>
      <c r="W2730" s="736"/>
      <c r="X2730" s="737"/>
      <c r="Y2730" s="738"/>
      <c r="Z2730" s="739"/>
      <c r="AA2730" s="739"/>
      <c r="AB2730" s="740">
        <v>16</v>
      </c>
      <c r="AC2730" s="741" t="str">
        <f>'DICTIONARY-5'!$A$11&amp;" 15"</f>
        <v>EN 558 szereg 15</v>
      </c>
      <c r="AD2730" s="741" t="str">
        <f>'DICTIONARY-5'!$A$18</f>
        <v>gaz</v>
      </c>
      <c r="AE2730" s="742">
        <v>50</v>
      </c>
      <c r="AF2730" s="743">
        <v>28.5</v>
      </c>
      <c r="AG2730" s="741" t="str">
        <f>'DICTIONARY-5'!$A$23</f>
        <v>powłoka epoksydowa</v>
      </c>
    </row>
    <row r="2731" spans="1:33" x14ac:dyDescent="0.25">
      <c r="A2731" s="869" t="s">
        <v>2616</v>
      </c>
      <c r="B2731" s="869" t="s">
        <v>3366</v>
      </c>
      <c r="C2731" s="836">
        <v>470</v>
      </c>
      <c r="D2731" s="836"/>
      <c r="E2731" s="836"/>
      <c r="F2731" s="836"/>
      <c r="G2731" s="496" t="s">
        <v>7852</v>
      </c>
      <c r="H2731" s="797" t="str">
        <f>VLOOKUP(G2731,SETTINGS!$B$7:$D$97,2,0)</f>
        <v>EKOplus Gas</v>
      </c>
      <c r="I2731" s="796">
        <f>VLOOKUP(G2731,SETTINGS!$B$7:$D$97,3,0)</f>
        <v>0</v>
      </c>
      <c r="J2731" s="670" t="str">
        <f>IFERROR(IF(CURRENCY.FORMAT_1=0,CONCATENATE(TEXT(FIXED(ROUND((C2731/EXC.RATE_1),CURRENCY.FORMAT_1),CURRENCY.FORMAT_1,1),"# ##0;-# ##0"),",-"),FIXED(ROUND((C2731/EXC.RATE_1),CURRENCY.FORMAT_1),CURRENCY.FORMAT_1,0)),'DICTIONARY-5'!$A$2)</f>
        <v>470,-</v>
      </c>
      <c r="K2731" s="670" t="str">
        <f>IF(EXC.RATE_2=0,"",IFERROR(IF(CURRENCY.FORMAT_2=0,CONCATENATE(TEXT(FIXED(ROUND(IF(EXC.RATE.SWITCH=1,C2731/EXC.RATE_2,C2731*EXC.RATE_2),CURRENCY.FORMAT_2),CURRENCY.FORMAT_2,1),"# ##0;-# ##0"),",-"),FIXED(ROUND(IF(EXC.RATE.SWITCH=1,C2731/EXC.RATE_2,C2731*EXC.RATE_2),CURRENCY.FORMAT_2),CURRENCY.FORMAT_2,0)),'DICTIONARY-5'!$A$2))</f>
        <v/>
      </c>
      <c r="L2731" s="670" t="str">
        <f>IFERROR(IF(CURRENCY.FORMAT_1=0,CONCATENATE(TEXT(FIXED(ROUND((C2731*(1-I2731)*(1-ADD.DISCOUNT)*(1+MAT.SURCHARGE)/EXC.RATE_1),CURRENCY.FORMAT_1),CURRENCY.FORMAT_1,1),"# ##0;-# ##0"),",-"),FIXED(ROUND((C2731*(1-I2731)*(1-ADD.DISCOUNT)*(1+MAT.SURCHARGE)/EXC.RATE_1),CURRENCY.FORMAT_1),CURRENCY.FORMAT_1,0)),'DICTIONARY-5'!$A$2)</f>
        <v>488,-</v>
      </c>
      <c r="M2731" s="670" t="str">
        <f>IF(EXC.RATE_2=0,"",IFERROR(IF(CURRENCY.FORMAT_2=0,CONCATENATE(TEXT(FIXED(ROUND(IF(EXC.RATE.SWITCH=1,C2731*(1-I2731)*(1-ADD.DISCOUNT)*(1+MAT.SURCHARGE)/EXC.RATE_2,C2731*(1-I2731)*(1-ADD.DISCOUNT)*(1+MAT.SURCHARGE)*EXC.RATE_2),CURRENCY.FORMAT_2),CURRENCY.FORMAT_2,1),"# ##0;-# ##0"),",-"),FIXED(ROUND(IF(EXC.RATE.SWITCH=1,C2731*(1-I2731)*(1-ADD.DISCOUNT)*(1+MAT.SURCHARGE)/EXC.RATE_2,C2731*(1-I2731)*(1-ADD.DISCOUNT)*(1+MAT.SURCHARGE)*EXC.RATE_2),CURRENCY.FORMAT_2),CURRENCY.FORMAT_2,0)),'DICTIONARY-5'!$A$2))</f>
        <v/>
      </c>
      <c r="N2731" s="535">
        <v>13</v>
      </c>
      <c r="O2731" s="535"/>
      <c r="P2731" s="731" t="str">
        <f>'DICTIONARY-3'!$A$2</f>
        <v>EKOplus</v>
      </c>
      <c r="Q2731" s="732" t="str">
        <f>'DICTIONARY-3'!$A$187</f>
        <v>Zasuwa klinowa</v>
      </c>
      <c r="R2731" s="732" t="str">
        <f>CONCATENATE('DICTIONARY-3'!$A$2," ",'DICTIONARY-6'!$A$3," ",UPPER('DICTIONARY-5'!$A$18)," ",'DICTIONARY-2'!$A$2,"150"," ",'DICTIONARY-2'!$A$3,"10/16"," ","R15",", ",'DICTIONARY-4'!$A$2)</f>
        <v>EKOplus Zasuwa GAZ DN150 PN10/16 R15, WW</v>
      </c>
      <c r="S2731" s="733" t="str">
        <f>'DICTIONARY-4'!$A$2</f>
        <v>WW</v>
      </c>
      <c r="T2731" s="732" t="str">
        <f>'DICTIONARY-4'!$A$18</f>
        <v>Wolny wałek</v>
      </c>
      <c r="U2731" s="734" t="s">
        <v>5572</v>
      </c>
      <c r="V2731" s="735">
        <v>16</v>
      </c>
      <c r="W2731" s="736"/>
      <c r="X2731" s="737"/>
      <c r="Y2731" s="738"/>
      <c r="Z2731" s="739"/>
      <c r="AA2731" s="739"/>
      <c r="AB2731" s="740">
        <v>16</v>
      </c>
      <c r="AC2731" s="741" t="str">
        <f>'DICTIONARY-5'!$A$11&amp;" 15"</f>
        <v>EN 558 szereg 15</v>
      </c>
      <c r="AD2731" s="741" t="str">
        <f>'DICTIONARY-5'!$A$18</f>
        <v>gaz</v>
      </c>
      <c r="AE2731" s="742">
        <v>50</v>
      </c>
      <c r="AF2731" s="743">
        <v>36</v>
      </c>
      <c r="AG2731" s="741" t="str">
        <f>'DICTIONARY-5'!$A$23</f>
        <v>powłoka epoksydowa</v>
      </c>
    </row>
    <row r="2732" spans="1:33" x14ac:dyDescent="0.25">
      <c r="A2732" s="869" t="s">
        <v>2618</v>
      </c>
      <c r="B2732" s="869" t="s">
        <v>3346</v>
      </c>
      <c r="C2732" s="836">
        <v>706</v>
      </c>
      <c r="D2732" s="836"/>
      <c r="E2732" s="836"/>
      <c r="F2732" s="836"/>
      <c r="G2732" s="496" t="s">
        <v>7852</v>
      </c>
      <c r="H2732" s="797" t="str">
        <f>VLOOKUP(G2732,SETTINGS!$B$7:$D$97,2,0)</f>
        <v>EKOplus Gas</v>
      </c>
      <c r="I2732" s="796">
        <f>VLOOKUP(G2732,SETTINGS!$B$7:$D$97,3,0)</f>
        <v>0</v>
      </c>
      <c r="J2732" s="670" t="str">
        <f>IFERROR(IF(CURRENCY.FORMAT_1=0,CONCATENATE(TEXT(FIXED(ROUND((C2732/EXC.RATE_1),CURRENCY.FORMAT_1),CURRENCY.FORMAT_1,1),"# ##0;-# ##0"),",-"),FIXED(ROUND((C2732/EXC.RATE_1),CURRENCY.FORMAT_1),CURRENCY.FORMAT_1,0)),'DICTIONARY-5'!$A$2)</f>
        <v>706,-</v>
      </c>
      <c r="K2732" s="670" t="str">
        <f>IF(EXC.RATE_2=0,"",IFERROR(IF(CURRENCY.FORMAT_2=0,CONCATENATE(TEXT(FIXED(ROUND(IF(EXC.RATE.SWITCH=1,C2732/EXC.RATE_2,C2732*EXC.RATE_2),CURRENCY.FORMAT_2),CURRENCY.FORMAT_2,1),"# ##0;-# ##0"),",-"),FIXED(ROUND(IF(EXC.RATE.SWITCH=1,C2732/EXC.RATE_2,C2732*EXC.RATE_2),CURRENCY.FORMAT_2),CURRENCY.FORMAT_2,0)),'DICTIONARY-5'!$A$2))</f>
        <v/>
      </c>
      <c r="L2732" s="670" t="str">
        <f>IFERROR(IF(CURRENCY.FORMAT_1=0,CONCATENATE(TEXT(FIXED(ROUND((C2732*(1-I2732)*(1-ADD.DISCOUNT)*(1+MAT.SURCHARGE)/EXC.RATE_1),CURRENCY.FORMAT_1),CURRENCY.FORMAT_1,1),"# ##0;-# ##0"),",-"),FIXED(ROUND((C2732*(1-I2732)*(1-ADD.DISCOUNT)*(1+MAT.SURCHARGE)/EXC.RATE_1),CURRENCY.FORMAT_1),CURRENCY.FORMAT_1,0)),'DICTIONARY-5'!$A$2)</f>
        <v>734,-</v>
      </c>
      <c r="M2732" s="670" t="str">
        <f>IF(EXC.RATE_2=0,"",IFERROR(IF(CURRENCY.FORMAT_2=0,CONCATENATE(TEXT(FIXED(ROUND(IF(EXC.RATE.SWITCH=1,C2732*(1-I2732)*(1-ADD.DISCOUNT)*(1+MAT.SURCHARGE)/EXC.RATE_2,C2732*(1-I2732)*(1-ADD.DISCOUNT)*(1+MAT.SURCHARGE)*EXC.RATE_2),CURRENCY.FORMAT_2),CURRENCY.FORMAT_2,1),"# ##0;-# ##0"),",-"),FIXED(ROUND(IF(EXC.RATE.SWITCH=1,C2732*(1-I2732)*(1-ADD.DISCOUNT)*(1+MAT.SURCHARGE)/EXC.RATE_2,C2732*(1-I2732)*(1-ADD.DISCOUNT)*(1+MAT.SURCHARGE)*EXC.RATE_2),CURRENCY.FORMAT_2),CURRENCY.FORMAT_2,0)),'DICTIONARY-5'!$A$2))</f>
        <v/>
      </c>
      <c r="N2732" s="535">
        <v>13</v>
      </c>
      <c r="O2732" s="535"/>
      <c r="P2732" s="731" t="str">
        <f>'DICTIONARY-3'!$A$2</f>
        <v>EKOplus</v>
      </c>
      <c r="Q2732" s="732" t="str">
        <f>'DICTIONARY-3'!$A$187</f>
        <v>Zasuwa klinowa</v>
      </c>
      <c r="R2732" s="732" t="str">
        <f>CONCATENATE('DICTIONARY-3'!$A$2," ",'DICTIONARY-6'!$A$3," ",UPPER('DICTIONARY-5'!$A$18)," ",'DICTIONARY-2'!$A$2,"200"," ",'DICTIONARY-2'!$A$3,"10"," ","R15",", ",'DICTIONARY-4'!$A$2,", ",'DICTIONARY-6'!$A$38)</f>
        <v>EKOplus Zasuwa GAZ DN200 PN10 R15, WW, cert. 3.1</v>
      </c>
      <c r="S2732" s="733" t="str">
        <f>'DICTIONARY-4'!$A$2</f>
        <v>WW</v>
      </c>
      <c r="T2732" s="732" t="str">
        <f>'DICTIONARY-4'!$A$18</f>
        <v>Wolny wałek</v>
      </c>
      <c r="U2732" s="734" t="s">
        <v>5750</v>
      </c>
      <c r="V2732" s="735">
        <v>10</v>
      </c>
      <c r="W2732" s="736"/>
      <c r="X2732" s="737"/>
      <c r="Y2732" s="738"/>
      <c r="Z2732" s="739"/>
      <c r="AA2732" s="739"/>
      <c r="AB2732" s="740">
        <v>10</v>
      </c>
      <c r="AC2732" s="741" t="str">
        <f>'DICTIONARY-5'!$A$11&amp;" 15"</f>
        <v>EN 558 szereg 15</v>
      </c>
      <c r="AD2732" s="741" t="str">
        <f>'DICTIONARY-5'!$A$18</f>
        <v>gaz</v>
      </c>
      <c r="AE2732" s="742">
        <v>50</v>
      </c>
      <c r="AF2732" s="743">
        <v>59.5</v>
      </c>
      <c r="AG2732" s="741" t="str">
        <f>'DICTIONARY-5'!$A$23</f>
        <v>powłoka epoksydowa</v>
      </c>
    </row>
    <row r="2733" spans="1:33" x14ac:dyDescent="0.25">
      <c r="A2733" s="869" t="s">
        <v>2620</v>
      </c>
      <c r="B2733" s="869" t="s">
        <v>3368</v>
      </c>
      <c r="C2733" s="836">
        <v>709</v>
      </c>
      <c r="D2733" s="836"/>
      <c r="E2733" s="836"/>
      <c r="F2733" s="836"/>
      <c r="G2733" s="496" t="s">
        <v>7852</v>
      </c>
      <c r="H2733" s="797" t="str">
        <f>VLOOKUP(G2733,SETTINGS!$B$7:$D$97,2,0)</f>
        <v>EKOplus Gas</v>
      </c>
      <c r="I2733" s="796">
        <f>VLOOKUP(G2733,SETTINGS!$B$7:$D$97,3,0)</f>
        <v>0</v>
      </c>
      <c r="J2733" s="670" t="str">
        <f>IFERROR(IF(CURRENCY.FORMAT_1=0,CONCATENATE(TEXT(FIXED(ROUND((C2733/EXC.RATE_1),CURRENCY.FORMAT_1),CURRENCY.FORMAT_1,1),"# ##0;-# ##0"),",-"),FIXED(ROUND((C2733/EXC.RATE_1),CURRENCY.FORMAT_1),CURRENCY.FORMAT_1,0)),'DICTIONARY-5'!$A$2)</f>
        <v>709,-</v>
      </c>
      <c r="K2733" s="670" t="str">
        <f>IF(EXC.RATE_2=0,"",IFERROR(IF(CURRENCY.FORMAT_2=0,CONCATENATE(TEXT(FIXED(ROUND(IF(EXC.RATE.SWITCH=1,C2733/EXC.RATE_2,C2733*EXC.RATE_2),CURRENCY.FORMAT_2),CURRENCY.FORMAT_2,1),"# ##0;-# ##0"),",-"),FIXED(ROUND(IF(EXC.RATE.SWITCH=1,C2733/EXC.RATE_2,C2733*EXC.RATE_2),CURRENCY.FORMAT_2),CURRENCY.FORMAT_2,0)),'DICTIONARY-5'!$A$2))</f>
        <v/>
      </c>
      <c r="L2733" s="670" t="str">
        <f>IFERROR(IF(CURRENCY.FORMAT_1=0,CONCATENATE(TEXT(FIXED(ROUND((C2733*(1-I2733)*(1-ADD.DISCOUNT)*(1+MAT.SURCHARGE)/EXC.RATE_1),CURRENCY.FORMAT_1),CURRENCY.FORMAT_1,1),"# ##0;-# ##0"),",-"),FIXED(ROUND((C2733*(1-I2733)*(1-ADD.DISCOUNT)*(1+MAT.SURCHARGE)/EXC.RATE_1),CURRENCY.FORMAT_1),CURRENCY.FORMAT_1,0)),'DICTIONARY-5'!$A$2)</f>
        <v>737,-</v>
      </c>
      <c r="M2733" s="670" t="str">
        <f>IF(EXC.RATE_2=0,"",IFERROR(IF(CURRENCY.FORMAT_2=0,CONCATENATE(TEXT(FIXED(ROUND(IF(EXC.RATE.SWITCH=1,C2733*(1-I2733)*(1-ADD.DISCOUNT)*(1+MAT.SURCHARGE)/EXC.RATE_2,C2733*(1-I2733)*(1-ADD.DISCOUNT)*(1+MAT.SURCHARGE)*EXC.RATE_2),CURRENCY.FORMAT_2),CURRENCY.FORMAT_2,1),"# ##0;-# ##0"),",-"),FIXED(ROUND(IF(EXC.RATE.SWITCH=1,C2733*(1-I2733)*(1-ADD.DISCOUNT)*(1+MAT.SURCHARGE)/EXC.RATE_2,C2733*(1-I2733)*(1-ADD.DISCOUNT)*(1+MAT.SURCHARGE)*EXC.RATE_2),CURRENCY.FORMAT_2),CURRENCY.FORMAT_2,0)),'DICTIONARY-5'!$A$2))</f>
        <v/>
      </c>
      <c r="N2733" s="535">
        <v>13</v>
      </c>
      <c r="O2733" s="535"/>
      <c r="P2733" s="731" t="str">
        <f>'DICTIONARY-3'!$A$2</f>
        <v>EKOplus</v>
      </c>
      <c r="Q2733" s="732" t="str">
        <f>'DICTIONARY-3'!$A$187</f>
        <v>Zasuwa klinowa</v>
      </c>
      <c r="R2733" s="732" t="str">
        <f>CONCATENATE('DICTIONARY-3'!$A$2," ",'DICTIONARY-6'!$A$3," ",UPPER('DICTIONARY-5'!$A$18)," ",'DICTIONARY-2'!$A$2,"200"," ",'DICTIONARY-2'!$A$3,"16"," ","R15",", ",'DICTIONARY-4'!$A$2)</f>
        <v>EKOplus Zasuwa GAZ DN200 PN16 R15, WW</v>
      </c>
      <c r="S2733" s="733" t="str">
        <f>'DICTIONARY-4'!$A$2</f>
        <v>WW</v>
      </c>
      <c r="T2733" s="732" t="str">
        <f>'DICTIONARY-4'!$A$18</f>
        <v>Wolny wałek</v>
      </c>
      <c r="U2733" s="734" t="s">
        <v>5750</v>
      </c>
      <c r="V2733" s="735">
        <v>16</v>
      </c>
      <c r="W2733" s="736"/>
      <c r="X2733" s="737"/>
      <c r="Y2733" s="738"/>
      <c r="Z2733" s="739"/>
      <c r="AA2733" s="739"/>
      <c r="AB2733" s="740">
        <v>16</v>
      </c>
      <c r="AC2733" s="741" t="str">
        <f>'DICTIONARY-5'!$A$11&amp;" 15"</f>
        <v>EN 558 szereg 15</v>
      </c>
      <c r="AD2733" s="741" t="str">
        <f>'DICTIONARY-5'!$A$18</f>
        <v>gaz</v>
      </c>
      <c r="AE2733" s="742">
        <v>50</v>
      </c>
      <c r="AF2733" s="743">
        <v>58.5</v>
      </c>
      <c r="AG2733" s="741" t="str">
        <f>'DICTIONARY-5'!$A$23</f>
        <v>powłoka epoksydowa</v>
      </c>
    </row>
    <row r="2734" spans="1:33" x14ac:dyDescent="0.25">
      <c r="A2734" s="869" t="s">
        <v>2622</v>
      </c>
      <c r="B2734" s="869" t="s">
        <v>3348</v>
      </c>
      <c r="C2734" s="836">
        <v>1221</v>
      </c>
      <c r="D2734" s="836"/>
      <c r="E2734" s="836"/>
      <c r="F2734" s="836"/>
      <c r="G2734" s="496" t="s">
        <v>7852</v>
      </c>
      <c r="H2734" s="797" t="str">
        <f>VLOOKUP(G2734,SETTINGS!$B$7:$D$97,2,0)</f>
        <v>EKOplus Gas</v>
      </c>
      <c r="I2734" s="796">
        <f>VLOOKUP(G2734,SETTINGS!$B$7:$D$97,3,0)</f>
        <v>0</v>
      </c>
      <c r="J2734" s="670" t="str">
        <f>IFERROR(IF(CURRENCY.FORMAT_1=0,CONCATENATE(TEXT(FIXED(ROUND((C2734/EXC.RATE_1),CURRENCY.FORMAT_1),CURRENCY.FORMAT_1,1),"# ##0;-# ##0"),",-"),FIXED(ROUND((C2734/EXC.RATE_1),CURRENCY.FORMAT_1),CURRENCY.FORMAT_1,0)),'DICTIONARY-5'!$A$2)</f>
        <v>1 221,-</v>
      </c>
      <c r="K2734" s="670" t="str">
        <f>IF(EXC.RATE_2=0,"",IFERROR(IF(CURRENCY.FORMAT_2=0,CONCATENATE(TEXT(FIXED(ROUND(IF(EXC.RATE.SWITCH=1,C2734/EXC.RATE_2,C2734*EXC.RATE_2),CURRENCY.FORMAT_2),CURRENCY.FORMAT_2,1),"# ##0;-# ##0"),",-"),FIXED(ROUND(IF(EXC.RATE.SWITCH=1,C2734/EXC.RATE_2,C2734*EXC.RATE_2),CURRENCY.FORMAT_2),CURRENCY.FORMAT_2,0)),'DICTIONARY-5'!$A$2))</f>
        <v/>
      </c>
      <c r="L2734" s="670" t="str">
        <f>IFERROR(IF(CURRENCY.FORMAT_1=0,CONCATENATE(TEXT(FIXED(ROUND((C2734*(1-I2734)*(1-ADD.DISCOUNT)*(1+MAT.SURCHARGE)/EXC.RATE_1),CURRENCY.FORMAT_1),CURRENCY.FORMAT_1,1),"# ##0;-# ##0"),",-"),FIXED(ROUND((C2734*(1-I2734)*(1-ADD.DISCOUNT)*(1+MAT.SURCHARGE)/EXC.RATE_1),CURRENCY.FORMAT_1),CURRENCY.FORMAT_1,0)),'DICTIONARY-5'!$A$2)</f>
        <v>1 269,-</v>
      </c>
      <c r="M2734" s="670" t="str">
        <f>IF(EXC.RATE_2=0,"",IFERROR(IF(CURRENCY.FORMAT_2=0,CONCATENATE(TEXT(FIXED(ROUND(IF(EXC.RATE.SWITCH=1,C2734*(1-I2734)*(1-ADD.DISCOUNT)*(1+MAT.SURCHARGE)/EXC.RATE_2,C2734*(1-I2734)*(1-ADD.DISCOUNT)*(1+MAT.SURCHARGE)*EXC.RATE_2),CURRENCY.FORMAT_2),CURRENCY.FORMAT_2,1),"# ##0;-# ##0"),",-"),FIXED(ROUND(IF(EXC.RATE.SWITCH=1,C2734*(1-I2734)*(1-ADD.DISCOUNT)*(1+MAT.SURCHARGE)/EXC.RATE_2,C2734*(1-I2734)*(1-ADD.DISCOUNT)*(1+MAT.SURCHARGE)*EXC.RATE_2),CURRENCY.FORMAT_2),CURRENCY.FORMAT_2,0)),'DICTIONARY-5'!$A$2))</f>
        <v/>
      </c>
      <c r="N2734" s="535">
        <v>13</v>
      </c>
      <c r="O2734" s="535"/>
      <c r="P2734" s="731" t="str">
        <f>'DICTIONARY-3'!$A$2</f>
        <v>EKOplus</v>
      </c>
      <c r="Q2734" s="732" t="str">
        <f>'DICTIONARY-3'!$A$187</f>
        <v>Zasuwa klinowa</v>
      </c>
      <c r="R2734" s="732" t="str">
        <f>CONCATENATE('DICTIONARY-3'!$A$2," ",'DICTIONARY-6'!$A$3," ",UPPER('DICTIONARY-5'!$A$18)," ",'DICTIONARY-2'!$A$2,"250"," ",'DICTIONARY-2'!$A$3,"10"," ","R15",", ",'DICTIONARY-4'!$A$2,", ",'DICTIONARY-6'!$A$38)</f>
        <v>EKOplus Zasuwa GAZ DN250 PN10 R15, WW, cert. 3.1</v>
      </c>
      <c r="S2734" s="733" t="str">
        <f>'DICTIONARY-4'!$A$2</f>
        <v>WW</v>
      </c>
      <c r="T2734" s="732" t="str">
        <f>'DICTIONARY-4'!$A$18</f>
        <v>Wolny wałek</v>
      </c>
      <c r="U2734" s="734" t="s">
        <v>5751</v>
      </c>
      <c r="V2734" s="735">
        <v>10</v>
      </c>
      <c r="W2734" s="736"/>
      <c r="X2734" s="737"/>
      <c r="Y2734" s="738"/>
      <c r="Z2734" s="739"/>
      <c r="AA2734" s="739"/>
      <c r="AB2734" s="740">
        <v>10</v>
      </c>
      <c r="AC2734" s="741" t="str">
        <f>'DICTIONARY-5'!$A$11&amp;" 15"</f>
        <v>EN 558 szereg 15</v>
      </c>
      <c r="AD2734" s="741" t="str">
        <f>'DICTIONARY-5'!$A$18</f>
        <v>gaz</v>
      </c>
      <c r="AE2734" s="742">
        <v>50</v>
      </c>
      <c r="AF2734" s="743">
        <v>103</v>
      </c>
      <c r="AG2734" s="741" t="str">
        <f>'DICTIONARY-5'!$A$23</f>
        <v>powłoka epoksydowa</v>
      </c>
    </row>
    <row r="2735" spans="1:33" x14ac:dyDescent="0.25">
      <c r="A2735" s="869" t="s">
        <v>2624</v>
      </c>
      <c r="B2735" s="869" t="s">
        <v>3370</v>
      </c>
      <c r="C2735" s="836">
        <v>1265</v>
      </c>
      <c r="D2735" s="836"/>
      <c r="E2735" s="836"/>
      <c r="F2735" s="836"/>
      <c r="G2735" s="496" t="s">
        <v>7852</v>
      </c>
      <c r="H2735" s="797" t="str">
        <f>VLOOKUP(G2735,SETTINGS!$B$7:$D$97,2,0)</f>
        <v>EKOplus Gas</v>
      </c>
      <c r="I2735" s="796">
        <f>VLOOKUP(G2735,SETTINGS!$B$7:$D$97,3,0)</f>
        <v>0</v>
      </c>
      <c r="J2735" s="670" t="str">
        <f>IFERROR(IF(CURRENCY.FORMAT_1=0,CONCATENATE(TEXT(FIXED(ROUND((C2735/EXC.RATE_1),CURRENCY.FORMAT_1),CURRENCY.FORMAT_1,1),"# ##0;-# ##0"),",-"),FIXED(ROUND((C2735/EXC.RATE_1),CURRENCY.FORMAT_1),CURRENCY.FORMAT_1,0)),'DICTIONARY-5'!$A$2)</f>
        <v>1 265,-</v>
      </c>
      <c r="K2735" s="670" t="str">
        <f>IF(EXC.RATE_2=0,"",IFERROR(IF(CURRENCY.FORMAT_2=0,CONCATENATE(TEXT(FIXED(ROUND(IF(EXC.RATE.SWITCH=1,C2735/EXC.RATE_2,C2735*EXC.RATE_2),CURRENCY.FORMAT_2),CURRENCY.FORMAT_2,1),"# ##0;-# ##0"),",-"),FIXED(ROUND(IF(EXC.RATE.SWITCH=1,C2735/EXC.RATE_2,C2735*EXC.RATE_2),CURRENCY.FORMAT_2),CURRENCY.FORMAT_2,0)),'DICTIONARY-5'!$A$2))</f>
        <v/>
      </c>
      <c r="L2735" s="670" t="str">
        <f>IFERROR(IF(CURRENCY.FORMAT_1=0,CONCATENATE(TEXT(FIXED(ROUND((C2735*(1-I2735)*(1-ADD.DISCOUNT)*(1+MAT.SURCHARGE)/EXC.RATE_1),CURRENCY.FORMAT_1),CURRENCY.FORMAT_1,1),"# ##0;-# ##0"),",-"),FIXED(ROUND((C2735*(1-I2735)*(1-ADD.DISCOUNT)*(1+MAT.SURCHARGE)/EXC.RATE_1),CURRENCY.FORMAT_1),CURRENCY.FORMAT_1,0)),'DICTIONARY-5'!$A$2)</f>
        <v>1 314,-</v>
      </c>
      <c r="M2735" s="670" t="str">
        <f>IF(EXC.RATE_2=0,"",IFERROR(IF(CURRENCY.FORMAT_2=0,CONCATENATE(TEXT(FIXED(ROUND(IF(EXC.RATE.SWITCH=1,C2735*(1-I2735)*(1-ADD.DISCOUNT)*(1+MAT.SURCHARGE)/EXC.RATE_2,C2735*(1-I2735)*(1-ADD.DISCOUNT)*(1+MAT.SURCHARGE)*EXC.RATE_2),CURRENCY.FORMAT_2),CURRENCY.FORMAT_2,1),"# ##0;-# ##0"),",-"),FIXED(ROUND(IF(EXC.RATE.SWITCH=1,C2735*(1-I2735)*(1-ADD.DISCOUNT)*(1+MAT.SURCHARGE)/EXC.RATE_2,C2735*(1-I2735)*(1-ADD.DISCOUNT)*(1+MAT.SURCHARGE)*EXC.RATE_2),CURRENCY.FORMAT_2),CURRENCY.FORMAT_2,0)),'DICTIONARY-5'!$A$2))</f>
        <v/>
      </c>
      <c r="N2735" s="535">
        <v>13</v>
      </c>
      <c r="O2735" s="535"/>
      <c r="P2735" s="731" t="str">
        <f>'DICTIONARY-3'!$A$2</f>
        <v>EKOplus</v>
      </c>
      <c r="Q2735" s="732" t="str">
        <f>'DICTIONARY-3'!$A$187</f>
        <v>Zasuwa klinowa</v>
      </c>
      <c r="R2735" s="732" t="str">
        <f>CONCATENATE('DICTIONARY-3'!$A$2," ",'DICTIONARY-6'!$A$3," ",UPPER('DICTIONARY-5'!$A$18)," ",'DICTIONARY-2'!$A$2,"250"," ",'DICTIONARY-2'!$A$3,"16"," ","R15",", ",'DICTIONARY-4'!$A$2)</f>
        <v>EKOplus Zasuwa GAZ DN250 PN16 R15, WW</v>
      </c>
      <c r="S2735" s="733" t="str">
        <f>'DICTIONARY-4'!$A$2</f>
        <v>WW</v>
      </c>
      <c r="T2735" s="732" t="str">
        <f>'DICTIONARY-4'!$A$18</f>
        <v>Wolny wałek</v>
      </c>
      <c r="U2735" s="734" t="s">
        <v>5751</v>
      </c>
      <c r="V2735" s="735">
        <v>16</v>
      </c>
      <c r="W2735" s="736"/>
      <c r="X2735" s="737"/>
      <c r="Y2735" s="738"/>
      <c r="Z2735" s="739"/>
      <c r="AA2735" s="739"/>
      <c r="AB2735" s="740">
        <v>16</v>
      </c>
      <c r="AC2735" s="741" t="str">
        <f>'DICTIONARY-5'!$A$11&amp;" 15"</f>
        <v>EN 558 szereg 15</v>
      </c>
      <c r="AD2735" s="741" t="str">
        <f>'DICTIONARY-5'!$A$18</f>
        <v>gaz</v>
      </c>
      <c r="AE2735" s="742">
        <v>50</v>
      </c>
      <c r="AF2735" s="743">
        <v>102</v>
      </c>
      <c r="AG2735" s="741" t="str">
        <f>'DICTIONARY-5'!$A$23</f>
        <v>powłoka epoksydowa</v>
      </c>
    </row>
    <row r="2736" spans="1:33" x14ac:dyDescent="0.25">
      <c r="A2736" s="869" t="s">
        <v>2626</v>
      </c>
      <c r="B2736" s="869" t="s">
        <v>3350</v>
      </c>
      <c r="C2736" s="836">
        <v>1551</v>
      </c>
      <c r="D2736" s="836"/>
      <c r="E2736" s="836"/>
      <c r="F2736" s="836"/>
      <c r="G2736" s="496" t="s">
        <v>7852</v>
      </c>
      <c r="H2736" s="797" t="str">
        <f>VLOOKUP(G2736,SETTINGS!$B$7:$D$97,2,0)</f>
        <v>EKOplus Gas</v>
      </c>
      <c r="I2736" s="796">
        <f>VLOOKUP(G2736,SETTINGS!$B$7:$D$97,3,0)</f>
        <v>0</v>
      </c>
      <c r="J2736" s="670" t="str">
        <f>IFERROR(IF(CURRENCY.FORMAT_1=0,CONCATENATE(TEXT(FIXED(ROUND((C2736/EXC.RATE_1),CURRENCY.FORMAT_1),CURRENCY.FORMAT_1,1),"# ##0;-# ##0"),",-"),FIXED(ROUND((C2736/EXC.RATE_1),CURRENCY.FORMAT_1),CURRENCY.FORMAT_1,0)),'DICTIONARY-5'!$A$2)</f>
        <v>1 551,-</v>
      </c>
      <c r="K2736" s="670" t="str">
        <f>IF(EXC.RATE_2=0,"",IFERROR(IF(CURRENCY.FORMAT_2=0,CONCATENATE(TEXT(FIXED(ROUND(IF(EXC.RATE.SWITCH=1,C2736/EXC.RATE_2,C2736*EXC.RATE_2),CURRENCY.FORMAT_2),CURRENCY.FORMAT_2,1),"# ##0;-# ##0"),",-"),FIXED(ROUND(IF(EXC.RATE.SWITCH=1,C2736/EXC.RATE_2,C2736*EXC.RATE_2),CURRENCY.FORMAT_2),CURRENCY.FORMAT_2,0)),'DICTIONARY-5'!$A$2))</f>
        <v/>
      </c>
      <c r="L2736" s="670" t="str">
        <f>IFERROR(IF(CURRENCY.FORMAT_1=0,CONCATENATE(TEXT(FIXED(ROUND((C2736*(1-I2736)*(1-ADD.DISCOUNT)*(1+MAT.SURCHARGE)/EXC.RATE_1),CURRENCY.FORMAT_1),CURRENCY.FORMAT_1,1),"# ##0;-# ##0"),",-"),FIXED(ROUND((C2736*(1-I2736)*(1-ADD.DISCOUNT)*(1+MAT.SURCHARGE)/EXC.RATE_1),CURRENCY.FORMAT_1),CURRENCY.FORMAT_1,0)),'DICTIONARY-5'!$A$2)</f>
        <v>1 611,-</v>
      </c>
      <c r="M2736" s="670" t="str">
        <f>IF(EXC.RATE_2=0,"",IFERROR(IF(CURRENCY.FORMAT_2=0,CONCATENATE(TEXT(FIXED(ROUND(IF(EXC.RATE.SWITCH=1,C2736*(1-I2736)*(1-ADD.DISCOUNT)*(1+MAT.SURCHARGE)/EXC.RATE_2,C2736*(1-I2736)*(1-ADD.DISCOUNT)*(1+MAT.SURCHARGE)*EXC.RATE_2),CURRENCY.FORMAT_2),CURRENCY.FORMAT_2,1),"# ##0;-# ##0"),",-"),FIXED(ROUND(IF(EXC.RATE.SWITCH=1,C2736*(1-I2736)*(1-ADD.DISCOUNT)*(1+MAT.SURCHARGE)/EXC.RATE_2,C2736*(1-I2736)*(1-ADD.DISCOUNT)*(1+MAT.SURCHARGE)*EXC.RATE_2),CURRENCY.FORMAT_2),CURRENCY.FORMAT_2,0)),'DICTIONARY-5'!$A$2))</f>
        <v/>
      </c>
      <c r="N2736" s="535">
        <v>13</v>
      </c>
      <c r="O2736" s="535"/>
      <c r="P2736" s="731" t="str">
        <f>'DICTIONARY-3'!$A$2</f>
        <v>EKOplus</v>
      </c>
      <c r="Q2736" s="732" t="str">
        <f>'DICTIONARY-3'!$A$187</f>
        <v>Zasuwa klinowa</v>
      </c>
      <c r="R2736" s="732" t="str">
        <f>CONCATENATE('DICTIONARY-3'!$A$2," ",'DICTIONARY-6'!$A$3," ",UPPER('DICTIONARY-5'!$A$18)," ",'DICTIONARY-2'!$A$2,"300"," ",'DICTIONARY-2'!$A$3,"10"," ","R15",", ",'DICTIONARY-4'!$A$2,", ",'DICTIONARY-6'!$A$38)</f>
        <v>EKOplus Zasuwa GAZ DN300 PN10 R15, WW, cert. 3.1</v>
      </c>
      <c r="S2736" s="733" t="str">
        <f>'DICTIONARY-4'!$A$2</f>
        <v>WW</v>
      </c>
      <c r="T2736" s="732" t="str">
        <f>'DICTIONARY-4'!$A$18</f>
        <v>Wolny wałek</v>
      </c>
      <c r="U2736" s="734" t="s">
        <v>5752</v>
      </c>
      <c r="V2736" s="735">
        <v>10</v>
      </c>
      <c r="W2736" s="736"/>
      <c r="X2736" s="737"/>
      <c r="Y2736" s="738"/>
      <c r="Z2736" s="739"/>
      <c r="AA2736" s="739"/>
      <c r="AB2736" s="740">
        <v>10</v>
      </c>
      <c r="AC2736" s="741" t="str">
        <f>'DICTIONARY-5'!$A$11&amp;" 15"</f>
        <v>EN 558 szereg 15</v>
      </c>
      <c r="AD2736" s="741" t="str">
        <f>'DICTIONARY-5'!$A$18</f>
        <v>gaz</v>
      </c>
      <c r="AE2736" s="742">
        <v>50</v>
      </c>
      <c r="AF2736" s="743">
        <v>141</v>
      </c>
      <c r="AG2736" s="741" t="str">
        <f>'DICTIONARY-5'!$A$23</f>
        <v>powłoka epoksydowa</v>
      </c>
    </row>
    <row r="2737" spans="1:33" x14ac:dyDescent="0.25">
      <c r="A2737" s="869" t="s">
        <v>2628</v>
      </c>
      <c r="B2737" s="869" t="s">
        <v>3372</v>
      </c>
      <c r="C2737" s="836">
        <v>1551</v>
      </c>
      <c r="D2737" s="836"/>
      <c r="E2737" s="836"/>
      <c r="F2737" s="836"/>
      <c r="G2737" s="496" t="s">
        <v>7852</v>
      </c>
      <c r="H2737" s="797" t="str">
        <f>VLOOKUP(G2737,SETTINGS!$B$7:$D$97,2,0)</f>
        <v>EKOplus Gas</v>
      </c>
      <c r="I2737" s="796">
        <f>VLOOKUP(G2737,SETTINGS!$B$7:$D$97,3,0)</f>
        <v>0</v>
      </c>
      <c r="J2737" s="670" t="str">
        <f>IFERROR(IF(CURRENCY.FORMAT_1=0,CONCATENATE(TEXT(FIXED(ROUND((C2737/EXC.RATE_1),CURRENCY.FORMAT_1),CURRENCY.FORMAT_1,1),"# ##0;-# ##0"),",-"),FIXED(ROUND((C2737/EXC.RATE_1),CURRENCY.FORMAT_1),CURRENCY.FORMAT_1,0)),'DICTIONARY-5'!$A$2)</f>
        <v>1 551,-</v>
      </c>
      <c r="K2737" s="670" t="str">
        <f>IF(EXC.RATE_2=0,"",IFERROR(IF(CURRENCY.FORMAT_2=0,CONCATENATE(TEXT(FIXED(ROUND(IF(EXC.RATE.SWITCH=1,C2737/EXC.RATE_2,C2737*EXC.RATE_2),CURRENCY.FORMAT_2),CURRENCY.FORMAT_2,1),"# ##0;-# ##0"),",-"),FIXED(ROUND(IF(EXC.RATE.SWITCH=1,C2737/EXC.RATE_2,C2737*EXC.RATE_2),CURRENCY.FORMAT_2),CURRENCY.FORMAT_2,0)),'DICTIONARY-5'!$A$2))</f>
        <v/>
      </c>
      <c r="L2737" s="670" t="str">
        <f>IFERROR(IF(CURRENCY.FORMAT_1=0,CONCATENATE(TEXT(FIXED(ROUND((C2737*(1-I2737)*(1-ADD.DISCOUNT)*(1+MAT.SURCHARGE)/EXC.RATE_1),CURRENCY.FORMAT_1),CURRENCY.FORMAT_1,1),"# ##0;-# ##0"),",-"),FIXED(ROUND((C2737*(1-I2737)*(1-ADD.DISCOUNT)*(1+MAT.SURCHARGE)/EXC.RATE_1),CURRENCY.FORMAT_1),CURRENCY.FORMAT_1,0)),'DICTIONARY-5'!$A$2)</f>
        <v>1 611,-</v>
      </c>
      <c r="M2737" s="670" t="str">
        <f>IF(EXC.RATE_2=0,"",IFERROR(IF(CURRENCY.FORMAT_2=0,CONCATENATE(TEXT(FIXED(ROUND(IF(EXC.RATE.SWITCH=1,C2737*(1-I2737)*(1-ADD.DISCOUNT)*(1+MAT.SURCHARGE)/EXC.RATE_2,C2737*(1-I2737)*(1-ADD.DISCOUNT)*(1+MAT.SURCHARGE)*EXC.RATE_2),CURRENCY.FORMAT_2),CURRENCY.FORMAT_2,1),"# ##0;-# ##0"),",-"),FIXED(ROUND(IF(EXC.RATE.SWITCH=1,C2737*(1-I2737)*(1-ADD.DISCOUNT)*(1+MAT.SURCHARGE)/EXC.RATE_2,C2737*(1-I2737)*(1-ADD.DISCOUNT)*(1+MAT.SURCHARGE)*EXC.RATE_2),CURRENCY.FORMAT_2),CURRENCY.FORMAT_2,0)),'DICTIONARY-5'!$A$2))</f>
        <v/>
      </c>
      <c r="N2737" s="535">
        <v>13</v>
      </c>
      <c r="O2737" s="535"/>
      <c r="P2737" s="731" t="str">
        <f>'DICTIONARY-3'!$A$2</f>
        <v>EKOplus</v>
      </c>
      <c r="Q2737" s="732" t="str">
        <f>'DICTIONARY-3'!$A$187</f>
        <v>Zasuwa klinowa</v>
      </c>
      <c r="R2737" s="732" t="str">
        <f>CONCATENATE('DICTIONARY-3'!$A$2," ",'DICTIONARY-6'!$A$3," ",UPPER('DICTIONARY-5'!$A$18)," ",'DICTIONARY-2'!$A$2,"300"," ",'DICTIONARY-2'!$A$3,"16"," ","R15",", ",'DICTIONARY-4'!$A$2)</f>
        <v>EKOplus Zasuwa GAZ DN300 PN16 R15, WW</v>
      </c>
      <c r="S2737" s="733" t="str">
        <f>'DICTIONARY-4'!$A$2</f>
        <v>WW</v>
      </c>
      <c r="T2737" s="732" t="str">
        <f>'DICTIONARY-4'!$A$18</f>
        <v>Wolny wałek</v>
      </c>
      <c r="U2737" s="734" t="s">
        <v>5752</v>
      </c>
      <c r="V2737" s="735">
        <v>16</v>
      </c>
      <c r="W2737" s="736"/>
      <c r="X2737" s="737"/>
      <c r="Y2737" s="738"/>
      <c r="Z2737" s="739"/>
      <c r="AA2737" s="739"/>
      <c r="AB2737" s="740">
        <v>16</v>
      </c>
      <c r="AC2737" s="741" t="str">
        <f>'DICTIONARY-5'!$A$11&amp;" 15"</f>
        <v>EN 558 szereg 15</v>
      </c>
      <c r="AD2737" s="741" t="str">
        <f>'DICTIONARY-5'!$A$18</f>
        <v>gaz</v>
      </c>
      <c r="AE2737" s="742">
        <v>50</v>
      </c>
      <c r="AF2737" s="743">
        <v>140</v>
      </c>
      <c r="AG2737" s="741" t="str">
        <f>'DICTIONARY-5'!$A$23</f>
        <v>powłoka epoksydowa</v>
      </c>
    </row>
    <row r="2738" spans="1:33" x14ac:dyDescent="0.25">
      <c r="A2738" s="869" t="s">
        <v>2630</v>
      </c>
      <c r="B2738" s="869" t="s">
        <v>3351</v>
      </c>
      <c r="C2738" s="836">
        <v>2593</v>
      </c>
      <c r="D2738" s="836"/>
      <c r="E2738" s="836"/>
      <c r="F2738" s="836"/>
      <c r="G2738" s="496" t="s">
        <v>7852</v>
      </c>
      <c r="H2738" s="797" t="str">
        <f>VLOOKUP(G2738,SETTINGS!$B$7:$D$97,2,0)</f>
        <v>EKOplus Gas</v>
      </c>
      <c r="I2738" s="796">
        <f>VLOOKUP(G2738,SETTINGS!$B$7:$D$97,3,0)</f>
        <v>0</v>
      </c>
      <c r="J2738" s="670" t="str">
        <f>IFERROR(IF(CURRENCY.FORMAT_1=0,CONCATENATE(TEXT(FIXED(ROUND((C2738/EXC.RATE_1),CURRENCY.FORMAT_1),CURRENCY.FORMAT_1,1),"# ##0;-# ##0"),",-"),FIXED(ROUND((C2738/EXC.RATE_1),CURRENCY.FORMAT_1),CURRENCY.FORMAT_1,0)),'DICTIONARY-5'!$A$2)</f>
        <v>2 593,-</v>
      </c>
      <c r="K2738" s="670" t="str">
        <f>IF(EXC.RATE_2=0,"",IFERROR(IF(CURRENCY.FORMAT_2=0,CONCATENATE(TEXT(FIXED(ROUND(IF(EXC.RATE.SWITCH=1,C2738/EXC.RATE_2,C2738*EXC.RATE_2),CURRENCY.FORMAT_2),CURRENCY.FORMAT_2,1),"# ##0;-# ##0"),",-"),FIXED(ROUND(IF(EXC.RATE.SWITCH=1,C2738/EXC.RATE_2,C2738*EXC.RATE_2),CURRENCY.FORMAT_2),CURRENCY.FORMAT_2,0)),'DICTIONARY-5'!$A$2))</f>
        <v/>
      </c>
      <c r="L2738" s="670" t="str">
        <f>IFERROR(IF(CURRENCY.FORMAT_1=0,CONCATENATE(TEXT(FIXED(ROUND((C2738*(1-I2738)*(1-ADD.DISCOUNT)*(1+MAT.SURCHARGE)/EXC.RATE_1),CURRENCY.FORMAT_1),CURRENCY.FORMAT_1,1),"# ##0;-# ##0"),",-"),FIXED(ROUND((C2738*(1-I2738)*(1-ADD.DISCOUNT)*(1+MAT.SURCHARGE)/EXC.RATE_1),CURRENCY.FORMAT_1),CURRENCY.FORMAT_1,0)),'DICTIONARY-5'!$A$2)</f>
        <v>2 694,-</v>
      </c>
      <c r="M2738" s="670" t="str">
        <f>IF(EXC.RATE_2=0,"",IFERROR(IF(CURRENCY.FORMAT_2=0,CONCATENATE(TEXT(FIXED(ROUND(IF(EXC.RATE.SWITCH=1,C2738*(1-I2738)*(1-ADD.DISCOUNT)*(1+MAT.SURCHARGE)/EXC.RATE_2,C2738*(1-I2738)*(1-ADD.DISCOUNT)*(1+MAT.SURCHARGE)*EXC.RATE_2),CURRENCY.FORMAT_2),CURRENCY.FORMAT_2,1),"# ##0;-# ##0"),",-"),FIXED(ROUND(IF(EXC.RATE.SWITCH=1,C2738*(1-I2738)*(1-ADD.DISCOUNT)*(1+MAT.SURCHARGE)/EXC.RATE_2,C2738*(1-I2738)*(1-ADD.DISCOUNT)*(1+MAT.SURCHARGE)*EXC.RATE_2),CURRENCY.FORMAT_2),CURRENCY.FORMAT_2,0)),'DICTIONARY-5'!$A$2))</f>
        <v/>
      </c>
      <c r="N2738" s="535">
        <v>13</v>
      </c>
      <c r="O2738" s="535"/>
      <c r="P2738" s="731" t="str">
        <f>'DICTIONARY-3'!$A$2</f>
        <v>EKOplus</v>
      </c>
      <c r="Q2738" s="732" t="str">
        <f>'DICTIONARY-3'!$A$187</f>
        <v>Zasuwa klinowa</v>
      </c>
      <c r="R2738" s="732" t="str">
        <f>CONCATENATE('DICTIONARY-3'!$A$2," ",'DICTIONARY-6'!$A$3," ",UPPER('DICTIONARY-5'!$A$18)," ",'DICTIONARY-2'!$A$2,"350"," ",'DICTIONARY-2'!$A$3,"10"," ","R15",", ",'DICTIONARY-4'!$A$2)</f>
        <v>EKOplus Zasuwa GAZ DN350 PN10 R15, WW</v>
      </c>
      <c r="S2738" s="733" t="str">
        <f>'DICTIONARY-4'!$A$2</f>
        <v>WW</v>
      </c>
      <c r="T2738" s="732" t="str">
        <f>'DICTIONARY-4'!$A$18</f>
        <v>Wolny wałek</v>
      </c>
      <c r="U2738" s="734" t="s">
        <v>5753</v>
      </c>
      <c r="V2738" s="735">
        <v>10</v>
      </c>
      <c r="W2738" s="736"/>
      <c r="X2738" s="737"/>
      <c r="Y2738" s="738"/>
      <c r="Z2738" s="739"/>
      <c r="AA2738" s="739"/>
      <c r="AB2738" s="740">
        <v>10</v>
      </c>
      <c r="AC2738" s="741" t="str">
        <f>'DICTIONARY-5'!$A$11&amp;" 15"</f>
        <v>EN 558 szereg 15</v>
      </c>
      <c r="AD2738" s="741" t="str">
        <f>'DICTIONARY-5'!$A$18</f>
        <v>gaz</v>
      </c>
      <c r="AE2738" s="742">
        <v>50</v>
      </c>
      <c r="AF2738" s="743">
        <v>290</v>
      </c>
      <c r="AG2738" s="741" t="str">
        <f>'DICTIONARY-5'!$A$23</f>
        <v>powłoka epoksydowa</v>
      </c>
    </row>
    <row r="2739" spans="1:33" x14ac:dyDescent="0.25">
      <c r="A2739" s="869" t="s">
        <v>2632</v>
      </c>
      <c r="B2739" s="869" t="s">
        <v>3352</v>
      </c>
      <c r="C2739" s="836">
        <v>3235</v>
      </c>
      <c r="D2739" s="836"/>
      <c r="E2739" s="836"/>
      <c r="F2739" s="836"/>
      <c r="G2739" s="496" t="s">
        <v>7852</v>
      </c>
      <c r="H2739" s="797" t="str">
        <f>VLOOKUP(G2739,SETTINGS!$B$7:$D$97,2,0)</f>
        <v>EKOplus Gas</v>
      </c>
      <c r="I2739" s="796">
        <f>VLOOKUP(G2739,SETTINGS!$B$7:$D$97,3,0)</f>
        <v>0</v>
      </c>
      <c r="J2739" s="670" t="str">
        <f>IFERROR(IF(CURRENCY.FORMAT_1=0,CONCATENATE(TEXT(FIXED(ROUND((C2739/EXC.RATE_1),CURRENCY.FORMAT_1),CURRENCY.FORMAT_1,1),"# ##0;-# ##0"),",-"),FIXED(ROUND((C2739/EXC.RATE_1),CURRENCY.FORMAT_1),CURRENCY.FORMAT_1,0)),'DICTIONARY-5'!$A$2)</f>
        <v>3 235,-</v>
      </c>
      <c r="K2739" s="670" t="str">
        <f>IF(EXC.RATE_2=0,"",IFERROR(IF(CURRENCY.FORMAT_2=0,CONCATENATE(TEXT(FIXED(ROUND(IF(EXC.RATE.SWITCH=1,C2739/EXC.RATE_2,C2739*EXC.RATE_2),CURRENCY.FORMAT_2),CURRENCY.FORMAT_2,1),"# ##0;-# ##0"),",-"),FIXED(ROUND(IF(EXC.RATE.SWITCH=1,C2739/EXC.RATE_2,C2739*EXC.RATE_2),CURRENCY.FORMAT_2),CURRENCY.FORMAT_2,0)),'DICTIONARY-5'!$A$2))</f>
        <v/>
      </c>
      <c r="L2739" s="670" t="str">
        <f>IFERROR(IF(CURRENCY.FORMAT_1=0,CONCATENATE(TEXT(FIXED(ROUND((C2739*(1-I2739)*(1-ADD.DISCOUNT)*(1+MAT.SURCHARGE)/EXC.RATE_1),CURRENCY.FORMAT_1),CURRENCY.FORMAT_1,1),"# ##0;-# ##0"),",-"),FIXED(ROUND((C2739*(1-I2739)*(1-ADD.DISCOUNT)*(1+MAT.SURCHARGE)/EXC.RATE_1),CURRENCY.FORMAT_1),CURRENCY.FORMAT_1,0)),'DICTIONARY-5'!$A$2)</f>
        <v>3 361,-</v>
      </c>
      <c r="M2739" s="670" t="str">
        <f>IF(EXC.RATE_2=0,"",IFERROR(IF(CURRENCY.FORMAT_2=0,CONCATENATE(TEXT(FIXED(ROUND(IF(EXC.RATE.SWITCH=1,C2739*(1-I2739)*(1-ADD.DISCOUNT)*(1+MAT.SURCHARGE)/EXC.RATE_2,C2739*(1-I2739)*(1-ADD.DISCOUNT)*(1+MAT.SURCHARGE)*EXC.RATE_2),CURRENCY.FORMAT_2),CURRENCY.FORMAT_2,1),"# ##0;-# ##0"),",-"),FIXED(ROUND(IF(EXC.RATE.SWITCH=1,C2739*(1-I2739)*(1-ADD.DISCOUNT)*(1+MAT.SURCHARGE)/EXC.RATE_2,C2739*(1-I2739)*(1-ADD.DISCOUNT)*(1+MAT.SURCHARGE)*EXC.RATE_2),CURRENCY.FORMAT_2),CURRENCY.FORMAT_2,0)),'DICTIONARY-5'!$A$2))</f>
        <v/>
      </c>
      <c r="N2739" s="535">
        <v>13</v>
      </c>
      <c r="O2739" s="535"/>
      <c r="P2739" s="731" t="str">
        <f>'DICTIONARY-3'!$A$2</f>
        <v>EKOplus</v>
      </c>
      <c r="Q2739" s="732" t="str">
        <f>'DICTIONARY-3'!$A$187</f>
        <v>Zasuwa klinowa</v>
      </c>
      <c r="R2739" s="732" t="str">
        <f>CONCATENATE('DICTIONARY-3'!$A$2," ",'DICTIONARY-6'!$A$3," ",UPPER('DICTIONARY-5'!$A$18)," ",'DICTIONARY-2'!$A$2,"400"," ",'DICTIONARY-2'!$A$3,"10"," ","R15",", ",'DICTIONARY-4'!$A$2)</f>
        <v>EKOplus Zasuwa GAZ DN400 PN10 R15, WW</v>
      </c>
      <c r="S2739" s="733" t="str">
        <f>'DICTIONARY-4'!$A$2</f>
        <v>WW</v>
      </c>
      <c r="T2739" s="732" t="str">
        <f>'DICTIONARY-4'!$A$18</f>
        <v>Wolny wałek</v>
      </c>
      <c r="U2739" s="734" t="s">
        <v>5754</v>
      </c>
      <c r="V2739" s="735">
        <v>10</v>
      </c>
      <c r="W2739" s="736"/>
      <c r="X2739" s="737"/>
      <c r="Y2739" s="738"/>
      <c r="Z2739" s="739"/>
      <c r="AA2739" s="739"/>
      <c r="AB2739" s="740">
        <v>10</v>
      </c>
      <c r="AC2739" s="741" t="str">
        <f>'DICTIONARY-5'!$A$11&amp;" 15"</f>
        <v>EN 558 szereg 15</v>
      </c>
      <c r="AD2739" s="741" t="str">
        <f>'DICTIONARY-5'!$A$18</f>
        <v>gaz</v>
      </c>
      <c r="AE2739" s="742">
        <v>50</v>
      </c>
      <c r="AF2739" s="743">
        <v>348</v>
      </c>
      <c r="AG2739" s="741" t="str">
        <f>'DICTIONARY-5'!$A$23</f>
        <v>powłoka epoksydowa</v>
      </c>
    </row>
    <row r="2740" spans="1:33" x14ac:dyDescent="0.25">
      <c r="A2740" s="869" t="s">
        <v>2660</v>
      </c>
      <c r="B2740" s="869" t="s">
        <v>3375</v>
      </c>
      <c r="C2740" s="836">
        <v>350</v>
      </c>
      <c r="D2740" s="836"/>
      <c r="E2740" s="836"/>
      <c r="F2740" s="836"/>
      <c r="G2740" s="496" t="s">
        <v>7852</v>
      </c>
      <c r="H2740" s="797" t="str">
        <f>VLOOKUP(G2740,SETTINGS!$B$7:$D$97,2,0)</f>
        <v>EKOplus Gas</v>
      </c>
      <c r="I2740" s="796">
        <f>VLOOKUP(G2740,SETTINGS!$B$7:$D$97,3,0)</f>
        <v>0</v>
      </c>
      <c r="J2740" s="670" t="str">
        <f>IFERROR(IF(CURRENCY.FORMAT_1=0,CONCATENATE(TEXT(FIXED(ROUND((C2740/EXC.RATE_1),CURRENCY.FORMAT_1),CURRENCY.FORMAT_1,1),"# ##0;-# ##0"),",-"),FIXED(ROUND((C2740/EXC.RATE_1),CURRENCY.FORMAT_1),CURRENCY.FORMAT_1,0)),'DICTIONARY-5'!$A$2)</f>
        <v>350,-</v>
      </c>
      <c r="K2740" s="670" t="str">
        <f>IF(EXC.RATE_2=0,"",IFERROR(IF(CURRENCY.FORMAT_2=0,CONCATENATE(TEXT(FIXED(ROUND(IF(EXC.RATE.SWITCH=1,C2740/EXC.RATE_2,C2740*EXC.RATE_2),CURRENCY.FORMAT_2),CURRENCY.FORMAT_2,1),"# ##0;-# ##0"),",-"),FIXED(ROUND(IF(EXC.RATE.SWITCH=1,C2740/EXC.RATE_2,C2740*EXC.RATE_2),CURRENCY.FORMAT_2),CURRENCY.FORMAT_2,0)),'DICTIONARY-5'!$A$2))</f>
        <v/>
      </c>
      <c r="L2740" s="670" t="str">
        <f>IFERROR(IF(CURRENCY.FORMAT_1=0,CONCATENATE(TEXT(FIXED(ROUND((C2740*(1-I2740)*(1-ADD.DISCOUNT)*(1+MAT.SURCHARGE)/EXC.RATE_1),CURRENCY.FORMAT_1),CURRENCY.FORMAT_1,1),"# ##0;-# ##0"),",-"),FIXED(ROUND((C2740*(1-I2740)*(1-ADD.DISCOUNT)*(1+MAT.SURCHARGE)/EXC.RATE_1),CURRENCY.FORMAT_1),CURRENCY.FORMAT_1,0)),'DICTIONARY-5'!$A$2)</f>
        <v>364,-</v>
      </c>
      <c r="M2740" s="670" t="str">
        <f>IF(EXC.RATE_2=0,"",IFERROR(IF(CURRENCY.FORMAT_2=0,CONCATENATE(TEXT(FIXED(ROUND(IF(EXC.RATE.SWITCH=1,C2740*(1-I2740)*(1-ADD.DISCOUNT)*(1+MAT.SURCHARGE)/EXC.RATE_2,C2740*(1-I2740)*(1-ADD.DISCOUNT)*(1+MAT.SURCHARGE)*EXC.RATE_2),CURRENCY.FORMAT_2),CURRENCY.FORMAT_2,1),"# ##0;-# ##0"),",-"),FIXED(ROUND(IF(EXC.RATE.SWITCH=1,C2740*(1-I2740)*(1-ADD.DISCOUNT)*(1+MAT.SURCHARGE)/EXC.RATE_2,C2740*(1-I2740)*(1-ADD.DISCOUNT)*(1+MAT.SURCHARGE)*EXC.RATE_2),CURRENCY.FORMAT_2),CURRENCY.FORMAT_2,0)),'DICTIONARY-5'!$A$2))</f>
        <v/>
      </c>
      <c r="N2740" s="535">
        <v>13</v>
      </c>
      <c r="O2740" s="535"/>
      <c r="P2740" s="731" t="str">
        <f>'DICTIONARY-3'!$A$2</f>
        <v>EKOplus</v>
      </c>
      <c r="Q2740" s="732" t="str">
        <f>'DICTIONARY-3'!$A$187</f>
        <v>Zasuwa klinowa</v>
      </c>
      <c r="R2740" s="732" t="str">
        <f>CONCATENATE('DICTIONARY-3'!$A$2," ",'DICTIONARY-6'!$A$3," ",UPPER('DICTIONARY-5'!$A$18)," ",'DICTIONARY-2'!$A$2,"40"," ",'DICTIONARY-2'!$A$3,"10/16"," ","R14",", ",'DICTIONARY-4'!$A$7,"+",'DICTIONARY-6'!$A$33)</f>
        <v>EKOplus Zasuwa GAZ DN40 PN10/16 R14, KR+wskaźnik położenia</v>
      </c>
      <c r="S2740" s="733" t="str">
        <f>'DICTIONARY-4'!$A$7</f>
        <v>KR</v>
      </c>
      <c r="T2740" s="732" t="str">
        <f>'DICTIONARY-4'!$A$23</f>
        <v>Kółko ręczne</v>
      </c>
      <c r="U2740" s="734" t="s">
        <v>5758</v>
      </c>
      <c r="V2740" s="735">
        <v>16</v>
      </c>
      <c r="W2740" s="736"/>
      <c r="X2740" s="737"/>
      <c r="Y2740" s="738"/>
      <c r="Z2740" s="739"/>
      <c r="AA2740" s="739"/>
      <c r="AB2740" s="740">
        <v>16</v>
      </c>
      <c r="AC2740" s="741" t="str">
        <f>'DICTIONARY-5'!$A$11&amp;" 14"</f>
        <v>EN 558 szereg 14</v>
      </c>
      <c r="AD2740" s="741" t="str">
        <f>'DICTIONARY-5'!$A$18</f>
        <v>gaz</v>
      </c>
      <c r="AE2740" s="742">
        <v>50</v>
      </c>
      <c r="AF2740" s="743">
        <v>9.94</v>
      </c>
      <c r="AG2740" s="741" t="str">
        <f>'DICTIONARY-5'!$A$23</f>
        <v>powłoka epoksydowa</v>
      </c>
    </row>
    <row r="2741" spans="1:33" x14ac:dyDescent="0.25">
      <c r="A2741" s="869" t="s">
        <v>2661</v>
      </c>
      <c r="B2741" s="869" t="s">
        <v>3379</v>
      </c>
      <c r="C2741" s="836">
        <v>351</v>
      </c>
      <c r="D2741" s="836"/>
      <c r="E2741" s="836"/>
      <c r="F2741" s="836"/>
      <c r="G2741" s="496" t="s">
        <v>7852</v>
      </c>
      <c r="H2741" s="797" t="str">
        <f>VLOOKUP(G2741,SETTINGS!$B$7:$D$97,2,0)</f>
        <v>EKOplus Gas</v>
      </c>
      <c r="I2741" s="796">
        <f>VLOOKUP(G2741,SETTINGS!$B$7:$D$97,3,0)</f>
        <v>0</v>
      </c>
      <c r="J2741" s="670" t="str">
        <f>IFERROR(IF(CURRENCY.FORMAT_1=0,CONCATENATE(TEXT(FIXED(ROUND((C2741/EXC.RATE_1),CURRENCY.FORMAT_1),CURRENCY.FORMAT_1,1),"# ##0;-# ##0"),",-"),FIXED(ROUND((C2741/EXC.RATE_1),CURRENCY.FORMAT_1),CURRENCY.FORMAT_1,0)),'DICTIONARY-5'!$A$2)</f>
        <v>351,-</v>
      </c>
      <c r="K2741" s="670" t="str">
        <f>IF(EXC.RATE_2=0,"",IFERROR(IF(CURRENCY.FORMAT_2=0,CONCATENATE(TEXT(FIXED(ROUND(IF(EXC.RATE.SWITCH=1,C2741/EXC.RATE_2,C2741*EXC.RATE_2),CURRENCY.FORMAT_2),CURRENCY.FORMAT_2,1),"# ##0;-# ##0"),",-"),FIXED(ROUND(IF(EXC.RATE.SWITCH=1,C2741/EXC.RATE_2,C2741*EXC.RATE_2),CURRENCY.FORMAT_2),CURRENCY.FORMAT_2,0)),'DICTIONARY-5'!$A$2))</f>
        <v/>
      </c>
      <c r="L2741" s="670" t="str">
        <f>IFERROR(IF(CURRENCY.FORMAT_1=0,CONCATENATE(TEXT(FIXED(ROUND((C2741*(1-I2741)*(1-ADD.DISCOUNT)*(1+MAT.SURCHARGE)/EXC.RATE_1),CURRENCY.FORMAT_1),CURRENCY.FORMAT_1,1),"# ##0;-# ##0"),",-"),FIXED(ROUND((C2741*(1-I2741)*(1-ADD.DISCOUNT)*(1+MAT.SURCHARGE)/EXC.RATE_1),CURRENCY.FORMAT_1),CURRENCY.FORMAT_1,0)),'DICTIONARY-5'!$A$2)</f>
        <v>365,-</v>
      </c>
      <c r="M2741" s="670" t="str">
        <f>IF(EXC.RATE_2=0,"",IFERROR(IF(CURRENCY.FORMAT_2=0,CONCATENATE(TEXT(FIXED(ROUND(IF(EXC.RATE.SWITCH=1,C2741*(1-I2741)*(1-ADD.DISCOUNT)*(1+MAT.SURCHARGE)/EXC.RATE_2,C2741*(1-I2741)*(1-ADD.DISCOUNT)*(1+MAT.SURCHARGE)*EXC.RATE_2),CURRENCY.FORMAT_2),CURRENCY.FORMAT_2,1),"# ##0;-# ##0"),",-"),FIXED(ROUND(IF(EXC.RATE.SWITCH=1,C2741*(1-I2741)*(1-ADD.DISCOUNT)*(1+MAT.SURCHARGE)/EXC.RATE_2,C2741*(1-I2741)*(1-ADD.DISCOUNT)*(1+MAT.SURCHARGE)*EXC.RATE_2),CURRENCY.FORMAT_2),CURRENCY.FORMAT_2,0)),'DICTIONARY-5'!$A$2))</f>
        <v/>
      </c>
      <c r="N2741" s="535">
        <v>13</v>
      </c>
      <c r="O2741" s="535"/>
      <c r="P2741" s="731" t="str">
        <f>'DICTIONARY-3'!$A$2</f>
        <v>EKOplus</v>
      </c>
      <c r="Q2741" s="732" t="str">
        <f>'DICTIONARY-3'!$A$187</f>
        <v>Zasuwa klinowa</v>
      </c>
      <c r="R2741" s="732" t="str">
        <f>CONCATENATE('DICTIONARY-3'!$A$2," ",'DICTIONARY-6'!$A$3," ",UPPER('DICTIONARY-5'!$A$18)," ",'DICTIONARY-2'!$A$2,"50"," ",'DICTIONARY-2'!$A$3,"10/16"," ","R14",", ",'DICTIONARY-4'!$A$7,"+",'DICTIONARY-6'!$A$33)</f>
        <v>EKOplus Zasuwa GAZ DN50 PN10/16 R14, KR+wskaźnik położenia</v>
      </c>
      <c r="S2741" s="733" t="str">
        <f>'DICTIONARY-4'!$A$7</f>
        <v>KR</v>
      </c>
      <c r="T2741" s="732" t="str">
        <f>'DICTIONARY-4'!$A$23</f>
        <v>Kółko ręczne</v>
      </c>
      <c r="U2741" s="734" t="s">
        <v>5748</v>
      </c>
      <c r="V2741" s="735">
        <v>16</v>
      </c>
      <c r="W2741" s="736"/>
      <c r="X2741" s="737"/>
      <c r="Y2741" s="738"/>
      <c r="Z2741" s="739"/>
      <c r="AA2741" s="739"/>
      <c r="AB2741" s="740">
        <v>16</v>
      </c>
      <c r="AC2741" s="741" t="str">
        <f>'DICTIONARY-5'!$A$11&amp;" 14"</f>
        <v>EN 558 szereg 14</v>
      </c>
      <c r="AD2741" s="741" t="str">
        <f>'DICTIONARY-5'!$A$18</f>
        <v>gaz</v>
      </c>
      <c r="AE2741" s="742">
        <v>50</v>
      </c>
      <c r="AF2741" s="743">
        <v>11.5</v>
      </c>
      <c r="AG2741" s="741" t="str">
        <f>'DICTIONARY-5'!$A$23</f>
        <v>powłoka epoksydowa</v>
      </c>
    </row>
    <row r="2742" spans="1:33" x14ac:dyDescent="0.25">
      <c r="A2742" s="869" t="s">
        <v>2662</v>
      </c>
      <c r="B2742" s="869" t="s">
        <v>3384</v>
      </c>
      <c r="C2742" s="836">
        <v>387</v>
      </c>
      <c r="D2742" s="836"/>
      <c r="E2742" s="836"/>
      <c r="F2742" s="836"/>
      <c r="G2742" s="496" t="s">
        <v>7852</v>
      </c>
      <c r="H2742" s="797" t="str">
        <f>VLOOKUP(G2742,SETTINGS!$B$7:$D$97,2,0)</f>
        <v>EKOplus Gas</v>
      </c>
      <c r="I2742" s="796">
        <f>VLOOKUP(G2742,SETTINGS!$B$7:$D$97,3,0)</f>
        <v>0</v>
      </c>
      <c r="J2742" s="670" t="str">
        <f>IFERROR(IF(CURRENCY.FORMAT_1=0,CONCATENATE(TEXT(FIXED(ROUND((C2742/EXC.RATE_1),CURRENCY.FORMAT_1),CURRENCY.FORMAT_1,1),"# ##0;-# ##0"),",-"),FIXED(ROUND((C2742/EXC.RATE_1),CURRENCY.FORMAT_1),CURRENCY.FORMAT_1,0)),'DICTIONARY-5'!$A$2)</f>
        <v>387,-</v>
      </c>
      <c r="K2742" s="670" t="str">
        <f>IF(EXC.RATE_2=0,"",IFERROR(IF(CURRENCY.FORMAT_2=0,CONCATENATE(TEXT(FIXED(ROUND(IF(EXC.RATE.SWITCH=1,C2742/EXC.RATE_2,C2742*EXC.RATE_2),CURRENCY.FORMAT_2),CURRENCY.FORMAT_2,1),"# ##0;-# ##0"),",-"),FIXED(ROUND(IF(EXC.RATE.SWITCH=1,C2742/EXC.RATE_2,C2742*EXC.RATE_2),CURRENCY.FORMAT_2),CURRENCY.FORMAT_2,0)),'DICTIONARY-5'!$A$2))</f>
        <v/>
      </c>
      <c r="L2742" s="670" t="str">
        <f>IFERROR(IF(CURRENCY.FORMAT_1=0,CONCATENATE(TEXT(FIXED(ROUND((C2742*(1-I2742)*(1-ADD.DISCOUNT)*(1+MAT.SURCHARGE)/EXC.RATE_1),CURRENCY.FORMAT_1),CURRENCY.FORMAT_1,1),"# ##0;-# ##0"),",-"),FIXED(ROUND((C2742*(1-I2742)*(1-ADD.DISCOUNT)*(1+MAT.SURCHARGE)/EXC.RATE_1),CURRENCY.FORMAT_1),CURRENCY.FORMAT_1,0)),'DICTIONARY-5'!$A$2)</f>
        <v>402,-</v>
      </c>
      <c r="M2742" s="670" t="str">
        <f>IF(EXC.RATE_2=0,"",IFERROR(IF(CURRENCY.FORMAT_2=0,CONCATENATE(TEXT(FIXED(ROUND(IF(EXC.RATE.SWITCH=1,C2742*(1-I2742)*(1-ADD.DISCOUNT)*(1+MAT.SURCHARGE)/EXC.RATE_2,C2742*(1-I2742)*(1-ADD.DISCOUNT)*(1+MAT.SURCHARGE)*EXC.RATE_2),CURRENCY.FORMAT_2),CURRENCY.FORMAT_2,1),"# ##0;-# ##0"),",-"),FIXED(ROUND(IF(EXC.RATE.SWITCH=1,C2742*(1-I2742)*(1-ADD.DISCOUNT)*(1+MAT.SURCHARGE)/EXC.RATE_2,C2742*(1-I2742)*(1-ADD.DISCOUNT)*(1+MAT.SURCHARGE)*EXC.RATE_2),CURRENCY.FORMAT_2),CURRENCY.FORMAT_2,0)),'DICTIONARY-5'!$A$2))</f>
        <v/>
      </c>
      <c r="N2742" s="535">
        <v>13</v>
      </c>
      <c r="O2742" s="535"/>
      <c r="P2742" s="731" t="str">
        <f>'DICTIONARY-3'!$A$2</f>
        <v>EKOplus</v>
      </c>
      <c r="Q2742" s="732" t="str">
        <f>'DICTIONARY-3'!$A$187</f>
        <v>Zasuwa klinowa</v>
      </c>
      <c r="R2742" s="732" t="str">
        <f>CONCATENATE('DICTIONARY-3'!$A$2," ",'DICTIONARY-6'!$A$3," ",UPPER('DICTIONARY-5'!$A$18)," ",'DICTIONARY-2'!$A$2,"65"," ",'DICTIONARY-2'!$A$3,"10/16"," ","R14",", ",'DICTIONARY-4'!$A$7,"+",'DICTIONARY-6'!$A$33)</f>
        <v>EKOplus Zasuwa GAZ DN65 PN10/16 R14, KR+wskaźnik położenia</v>
      </c>
      <c r="S2742" s="733" t="str">
        <f>'DICTIONARY-4'!$A$7</f>
        <v>KR</v>
      </c>
      <c r="T2742" s="732" t="str">
        <f>'DICTIONARY-4'!$A$23</f>
        <v>Kółko ręczne</v>
      </c>
      <c r="U2742" s="734" t="s">
        <v>5759</v>
      </c>
      <c r="V2742" s="735">
        <v>16</v>
      </c>
      <c r="W2742" s="736"/>
      <c r="X2742" s="737"/>
      <c r="Y2742" s="738"/>
      <c r="Z2742" s="739"/>
      <c r="AA2742" s="739"/>
      <c r="AB2742" s="740">
        <v>16</v>
      </c>
      <c r="AC2742" s="741" t="str">
        <f>'DICTIONARY-5'!$A$11&amp;" 14"</f>
        <v>EN 558 szereg 14</v>
      </c>
      <c r="AD2742" s="741" t="str">
        <f>'DICTIONARY-5'!$A$18</f>
        <v>gaz</v>
      </c>
      <c r="AE2742" s="742">
        <v>50</v>
      </c>
      <c r="AF2742" s="743">
        <v>15.49</v>
      </c>
      <c r="AG2742" s="741" t="str">
        <f>'DICTIONARY-5'!$A$23</f>
        <v>powłoka epoksydowa</v>
      </c>
    </row>
    <row r="2743" spans="1:33" x14ac:dyDescent="0.25">
      <c r="A2743" s="869" t="s">
        <v>2663</v>
      </c>
      <c r="B2743" s="869" t="s">
        <v>3389</v>
      </c>
      <c r="C2743" s="836">
        <v>392</v>
      </c>
      <c r="D2743" s="836"/>
      <c r="E2743" s="836"/>
      <c r="F2743" s="836"/>
      <c r="G2743" s="496" t="s">
        <v>7852</v>
      </c>
      <c r="H2743" s="797" t="str">
        <f>VLOOKUP(G2743,SETTINGS!$B$7:$D$97,2,0)</f>
        <v>EKOplus Gas</v>
      </c>
      <c r="I2743" s="796">
        <f>VLOOKUP(G2743,SETTINGS!$B$7:$D$97,3,0)</f>
        <v>0</v>
      </c>
      <c r="J2743" s="670" t="str">
        <f>IFERROR(IF(CURRENCY.FORMAT_1=0,CONCATENATE(TEXT(FIXED(ROUND((C2743/EXC.RATE_1),CURRENCY.FORMAT_1),CURRENCY.FORMAT_1,1),"# ##0;-# ##0"),",-"),FIXED(ROUND((C2743/EXC.RATE_1),CURRENCY.FORMAT_1),CURRENCY.FORMAT_1,0)),'DICTIONARY-5'!$A$2)</f>
        <v>392,-</v>
      </c>
      <c r="K2743" s="670" t="str">
        <f>IF(EXC.RATE_2=0,"",IFERROR(IF(CURRENCY.FORMAT_2=0,CONCATENATE(TEXT(FIXED(ROUND(IF(EXC.RATE.SWITCH=1,C2743/EXC.RATE_2,C2743*EXC.RATE_2),CURRENCY.FORMAT_2),CURRENCY.FORMAT_2,1),"# ##0;-# ##0"),",-"),FIXED(ROUND(IF(EXC.RATE.SWITCH=1,C2743/EXC.RATE_2,C2743*EXC.RATE_2),CURRENCY.FORMAT_2),CURRENCY.FORMAT_2,0)),'DICTIONARY-5'!$A$2))</f>
        <v/>
      </c>
      <c r="L2743" s="670" t="str">
        <f>IFERROR(IF(CURRENCY.FORMAT_1=0,CONCATENATE(TEXT(FIXED(ROUND((C2743*(1-I2743)*(1-ADD.DISCOUNT)*(1+MAT.SURCHARGE)/EXC.RATE_1),CURRENCY.FORMAT_1),CURRENCY.FORMAT_1,1),"# ##0;-# ##0"),",-"),FIXED(ROUND((C2743*(1-I2743)*(1-ADD.DISCOUNT)*(1+MAT.SURCHARGE)/EXC.RATE_1),CURRENCY.FORMAT_1),CURRENCY.FORMAT_1,0)),'DICTIONARY-5'!$A$2)</f>
        <v>407,-</v>
      </c>
      <c r="M2743" s="670" t="str">
        <f>IF(EXC.RATE_2=0,"",IFERROR(IF(CURRENCY.FORMAT_2=0,CONCATENATE(TEXT(FIXED(ROUND(IF(EXC.RATE.SWITCH=1,C2743*(1-I2743)*(1-ADD.DISCOUNT)*(1+MAT.SURCHARGE)/EXC.RATE_2,C2743*(1-I2743)*(1-ADD.DISCOUNT)*(1+MAT.SURCHARGE)*EXC.RATE_2),CURRENCY.FORMAT_2),CURRENCY.FORMAT_2,1),"# ##0;-# ##0"),",-"),FIXED(ROUND(IF(EXC.RATE.SWITCH=1,C2743*(1-I2743)*(1-ADD.DISCOUNT)*(1+MAT.SURCHARGE)/EXC.RATE_2,C2743*(1-I2743)*(1-ADD.DISCOUNT)*(1+MAT.SURCHARGE)*EXC.RATE_2),CURRENCY.FORMAT_2),CURRENCY.FORMAT_2,0)),'DICTIONARY-5'!$A$2))</f>
        <v/>
      </c>
      <c r="N2743" s="535">
        <v>13</v>
      </c>
      <c r="O2743" s="535"/>
      <c r="P2743" s="731" t="str">
        <f>'DICTIONARY-3'!$A$2</f>
        <v>EKOplus</v>
      </c>
      <c r="Q2743" s="732" t="str">
        <f>'DICTIONARY-3'!$A$187</f>
        <v>Zasuwa klinowa</v>
      </c>
      <c r="R2743" s="732" t="str">
        <f>CONCATENATE('DICTIONARY-3'!$A$2," ",'DICTIONARY-6'!$A$3," ",UPPER('DICTIONARY-5'!$A$18)," ",'DICTIONARY-2'!$A$2,"80"," ",'DICTIONARY-2'!$A$3,"10/16"," ","R14",", ",'DICTIONARY-4'!$A$7,"+",'DICTIONARY-6'!$A$33)</f>
        <v>EKOplus Zasuwa GAZ DN80 PN10/16 R14, KR+wskaźnik położenia</v>
      </c>
      <c r="S2743" s="733" t="str">
        <f>'DICTIONARY-4'!$A$7</f>
        <v>KR</v>
      </c>
      <c r="T2743" s="732" t="str">
        <f>'DICTIONARY-4'!$A$23</f>
        <v>Kółko ręczne</v>
      </c>
      <c r="U2743" s="734" t="s">
        <v>5760</v>
      </c>
      <c r="V2743" s="735">
        <v>16</v>
      </c>
      <c r="W2743" s="736"/>
      <c r="X2743" s="737"/>
      <c r="Y2743" s="738"/>
      <c r="Z2743" s="739"/>
      <c r="AA2743" s="739"/>
      <c r="AB2743" s="740">
        <v>16</v>
      </c>
      <c r="AC2743" s="741" t="str">
        <f>'DICTIONARY-5'!$A$11&amp;" 14"</f>
        <v>EN 558 szereg 14</v>
      </c>
      <c r="AD2743" s="741" t="str">
        <f>'DICTIONARY-5'!$A$18</f>
        <v>gaz</v>
      </c>
      <c r="AE2743" s="742">
        <v>50</v>
      </c>
      <c r="AF2743" s="743">
        <v>16.5</v>
      </c>
      <c r="AG2743" s="741" t="str">
        <f>'DICTIONARY-5'!$A$23</f>
        <v>powłoka epoksydowa</v>
      </c>
    </row>
    <row r="2744" spans="1:33" x14ac:dyDescent="0.25">
      <c r="A2744" s="869" t="s">
        <v>2664</v>
      </c>
      <c r="B2744" s="869" t="s">
        <v>3392</v>
      </c>
      <c r="C2744" s="836">
        <v>445</v>
      </c>
      <c r="D2744" s="836"/>
      <c r="E2744" s="836"/>
      <c r="F2744" s="836"/>
      <c r="G2744" s="496" t="s">
        <v>7852</v>
      </c>
      <c r="H2744" s="797" t="str">
        <f>VLOOKUP(G2744,SETTINGS!$B$7:$D$97,2,0)</f>
        <v>EKOplus Gas</v>
      </c>
      <c r="I2744" s="796">
        <f>VLOOKUP(G2744,SETTINGS!$B$7:$D$97,3,0)</f>
        <v>0</v>
      </c>
      <c r="J2744" s="670" t="str">
        <f>IFERROR(IF(CURRENCY.FORMAT_1=0,CONCATENATE(TEXT(FIXED(ROUND((C2744/EXC.RATE_1),CURRENCY.FORMAT_1),CURRENCY.FORMAT_1,1),"# ##0;-# ##0"),",-"),FIXED(ROUND((C2744/EXC.RATE_1),CURRENCY.FORMAT_1),CURRENCY.FORMAT_1,0)),'DICTIONARY-5'!$A$2)</f>
        <v>445,-</v>
      </c>
      <c r="K2744" s="670" t="str">
        <f>IF(EXC.RATE_2=0,"",IFERROR(IF(CURRENCY.FORMAT_2=0,CONCATENATE(TEXT(FIXED(ROUND(IF(EXC.RATE.SWITCH=1,C2744/EXC.RATE_2,C2744*EXC.RATE_2),CURRENCY.FORMAT_2),CURRENCY.FORMAT_2,1),"# ##0;-# ##0"),",-"),FIXED(ROUND(IF(EXC.RATE.SWITCH=1,C2744/EXC.RATE_2,C2744*EXC.RATE_2),CURRENCY.FORMAT_2),CURRENCY.FORMAT_2,0)),'DICTIONARY-5'!$A$2))</f>
        <v/>
      </c>
      <c r="L2744" s="670" t="str">
        <f>IFERROR(IF(CURRENCY.FORMAT_1=0,CONCATENATE(TEXT(FIXED(ROUND((C2744*(1-I2744)*(1-ADD.DISCOUNT)*(1+MAT.SURCHARGE)/EXC.RATE_1),CURRENCY.FORMAT_1),CURRENCY.FORMAT_1,1),"# ##0;-# ##0"),",-"),FIXED(ROUND((C2744*(1-I2744)*(1-ADD.DISCOUNT)*(1+MAT.SURCHARGE)/EXC.RATE_1),CURRENCY.FORMAT_1),CURRENCY.FORMAT_1,0)),'DICTIONARY-5'!$A$2)</f>
        <v>462,-</v>
      </c>
      <c r="M2744" s="670" t="str">
        <f>IF(EXC.RATE_2=0,"",IFERROR(IF(CURRENCY.FORMAT_2=0,CONCATENATE(TEXT(FIXED(ROUND(IF(EXC.RATE.SWITCH=1,C2744*(1-I2744)*(1-ADD.DISCOUNT)*(1+MAT.SURCHARGE)/EXC.RATE_2,C2744*(1-I2744)*(1-ADD.DISCOUNT)*(1+MAT.SURCHARGE)*EXC.RATE_2),CURRENCY.FORMAT_2),CURRENCY.FORMAT_2,1),"# ##0;-# ##0"),",-"),FIXED(ROUND(IF(EXC.RATE.SWITCH=1,C2744*(1-I2744)*(1-ADD.DISCOUNT)*(1+MAT.SURCHARGE)/EXC.RATE_2,C2744*(1-I2744)*(1-ADD.DISCOUNT)*(1+MAT.SURCHARGE)*EXC.RATE_2),CURRENCY.FORMAT_2),CURRENCY.FORMAT_2,0)),'DICTIONARY-5'!$A$2))</f>
        <v/>
      </c>
      <c r="N2744" s="535">
        <v>13</v>
      </c>
      <c r="O2744" s="535"/>
      <c r="P2744" s="731" t="str">
        <f>'DICTIONARY-3'!$A$2</f>
        <v>EKOplus</v>
      </c>
      <c r="Q2744" s="732" t="str">
        <f>'DICTIONARY-3'!$A$187</f>
        <v>Zasuwa klinowa</v>
      </c>
      <c r="R2744" s="732" t="str">
        <f>CONCATENATE('DICTIONARY-3'!$A$2," ",'DICTIONARY-6'!$A$3," ",UPPER('DICTIONARY-5'!$A$18)," ",'DICTIONARY-2'!$A$2,"100"," ",'DICTIONARY-2'!$A$3,"10/16"," ","R14",", ",'DICTIONARY-4'!$A$7,"+",'DICTIONARY-6'!$A$33)</f>
        <v>EKOplus Zasuwa GAZ DN100 PN10/16 R14, KR+wskaźnik położenia</v>
      </c>
      <c r="S2744" s="733" t="str">
        <f>'DICTIONARY-4'!$A$7</f>
        <v>KR</v>
      </c>
      <c r="T2744" s="732" t="str">
        <f>'DICTIONARY-4'!$A$23</f>
        <v>Kółko ręczne</v>
      </c>
      <c r="U2744" s="734" t="s">
        <v>5749</v>
      </c>
      <c r="V2744" s="735">
        <v>16</v>
      </c>
      <c r="W2744" s="736"/>
      <c r="X2744" s="737"/>
      <c r="Y2744" s="738"/>
      <c r="Z2744" s="739"/>
      <c r="AA2744" s="739"/>
      <c r="AB2744" s="740">
        <v>16</v>
      </c>
      <c r="AC2744" s="741" t="str">
        <f>'DICTIONARY-5'!$A$11&amp;" 14"</f>
        <v>EN 558 szereg 14</v>
      </c>
      <c r="AD2744" s="741" t="str">
        <f>'DICTIONARY-5'!$A$18</f>
        <v>gaz</v>
      </c>
      <c r="AE2744" s="742">
        <v>50</v>
      </c>
      <c r="AF2744" s="743">
        <v>20.5</v>
      </c>
      <c r="AG2744" s="741" t="str">
        <f>'DICTIONARY-5'!$A$23</f>
        <v>powłoka epoksydowa</v>
      </c>
    </row>
    <row r="2745" spans="1:33" x14ac:dyDescent="0.25">
      <c r="A2745" s="869" t="s">
        <v>2665</v>
      </c>
      <c r="B2745" s="869" t="s">
        <v>3395</v>
      </c>
      <c r="C2745" s="836">
        <v>532</v>
      </c>
      <c r="D2745" s="836"/>
      <c r="E2745" s="836"/>
      <c r="F2745" s="836"/>
      <c r="G2745" s="496" t="s">
        <v>7852</v>
      </c>
      <c r="H2745" s="797" t="str">
        <f>VLOOKUP(G2745,SETTINGS!$B$7:$D$97,2,0)</f>
        <v>EKOplus Gas</v>
      </c>
      <c r="I2745" s="796">
        <f>VLOOKUP(G2745,SETTINGS!$B$7:$D$97,3,0)</f>
        <v>0</v>
      </c>
      <c r="J2745" s="670" t="str">
        <f>IFERROR(IF(CURRENCY.FORMAT_1=0,CONCATENATE(TEXT(FIXED(ROUND((C2745/EXC.RATE_1),CURRENCY.FORMAT_1),CURRENCY.FORMAT_1,1),"# ##0;-# ##0"),",-"),FIXED(ROUND((C2745/EXC.RATE_1),CURRENCY.FORMAT_1),CURRENCY.FORMAT_1,0)),'DICTIONARY-5'!$A$2)</f>
        <v>532,-</v>
      </c>
      <c r="K2745" s="670" t="str">
        <f>IF(EXC.RATE_2=0,"",IFERROR(IF(CURRENCY.FORMAT_2=0,CONCATENATE(TEXT(FIXED(ROUND(IF(EXC.RATE.SWITCH=1,C2745/EXC.RATE_2,C2745*EXC.RATE_2),CURRENCY.FORMAT_2),CURRENCY.FORMAT_2,1),"# ##0;-# ##0"),",-"),FIXED(ROUND(IF(EXC.RATE.SWITCH=1,C2745/EXC.RATE_2,C2745*EXC.RATE_2),CURRENCY.FORMAT_2),CURRENCY.FORMAT_2,0)),'DICTIONARY-5'!$A$2))</f>
        <v/>
      </c>
      <c r="L2745" s="670" t="str">
        <f>IFERROR(IF(CURRENCY.FORMAT_1=0,CONCATENATE(TEXT(FIXED(ROUND((C2745*(1-I2745)*(1-ADD.DISCOUNT)*(1+MAT.SURCHARGE)/EXC.RATE_1),CURRENCY.FORMAT_1),CURRENCY.FORMAT_1,1),"# ##0;-# ##0"),",-"),FIXED(ROUND((C2745*(1-I2745)*(1-ADD.DISCOUNT)*(1+MAT.SURCHARGE)/EXC.RATE_1),CURRENCY.FORMAT_1),CURRENCY.FORMAT_1,0)),'DICTIONARY-5'!$A$2)</f>
        <v>553,-</v>
      </c>
      <c r="M2745" s="670" t="str">
        <f>IF(EXC.RATE_2=0,"",IFERROR(IF(CURRENCY.FORMAT_2=0,CONCATENATE(TEXT(FIXED(ROUND(IF(EXC.RATE.SWITCH=1,C2745*(1-I2745)*(1-ADD.DISCOUNT)*(1+MAT.SURCHARGE)/EXC.RATE_2,C2745*(1-I2745)*(1-ADD.DISCOUNT)*(1+MAT.SURCHARGE)*EXC.RATE_2),CURRENCY.FORMAT_2),CURRENCY.FORMAT_2,1),"# ##0;-# ##0"),",-"),FIXED(ROUND(IF(EXC.RATE.SWITCH=1,C2745*(1-I2745)*(1-ADD.DISCOUNT)*(1+MAT.SURCHARGE)/EXC.RATE_2,C2745*(1-I2745)*(1-ADD.DISCOUNT)*(1+MAT.SURCHARGE)*EXC.RATE_2),CURRENCY.FORMAT_2),CURRENCY.FORMAT_2,0)),'DICTIONARY-5'!$A$2))</f>
        <v/>
      </c>
      <c r="N2745" s="535">
        <v>13</v>
      </c>
      <c r="O2745" s="535"/>
      <c r="P2745" s="731" t="str">
        <f>'DICTIONARY-3'!$A$2</f>
        <v>EKOplus</v>
      </c>
      <c r="Q2745" s="732" t="str">
        <f>'DICTIONARY-3'!$A$187</f>
        <v>Zasuwa klinowa</v>
      </c>
      <c r="R2745" s="732" t="str">
        <f>CONCATENATE('DICTIONARY-3'!$A$2," ",'DICTIONARY-6'!$A$3," ",UPPER('DICTIONARY-5'!$A$18)," ",'DICTIONARY-2'!$A$2,"125"," ",'DICTIONARY-2'!$A$3,"10/16"," ","R14",", ",'DICTIONARY-4'!$A$7,"+",'DICTIONARY-6'!$A$33)</f>
        <v>EKOplus Zasuwa GAZ DN125 PN10/16 R14, KR+wskaźnik położenia</v>
      </c>
      <c r="S2745" s="733" t="str">
        <f>'DICTIONARY-4'!$A$7</f>
        <v>KR</v>
      </c>
      <c r="T2745" s="732" t="str">
        <f>'DICTIONARY-4'!$A$23</f>
        <v>Kółko ręczne</v>
      </c>
      <c r="U2745" s="734" t="s">
        <v>5761</v>
      </c>
      <c r="V2745" s="735">
        <v>16</v>
      </c>
      <c r="W2745" s="736"/>
      <c r="X2745" s="737"/>
      <c r="Y2745" s="738"/>
      <c r="Z2745" s="739"/>
      <c r="AA2745" s="739"/>
      <c r="AB2745" s="740">
        <v>16</v>
      </c>
      <c r="AC2745" s="741" t="str">
        <f>'DICTIONARY-5'!$A$11&amp;" 14"</f>
        <v>EN 558 szereg 14</v>
      </c>
      <c r="AD2745" s="741" t="str">
        <f>'DICTIONARY-5'!$A$18</f>
        <v>gaz</v>
      </c>
      <c r="AE2745" s="742">
        <v>50</v>
      </c>
      <c r="AF2745" s="743">
        <v>28.21</v>
      </c>
      <c r="AG2745" s="741" t="str">
        <f>'DICTIONARY-5'!$A$23</f>
        <v>powłoka epoksydowa</v>
      </c>
    </row>
    <row r="2746" spans="1:33" x14ac:dyDescent="0.25">
      <c r="A2746" s="869" t="s">
        <v>2666</v>
      </c>
      <c r="B2746" s="869" t="s">
        <v>3398</v>
      </c>
      <c r="C2746" s="836">
        <v>567</v>
      </c>
      <c r="D2746" s="836"/>
      <c r="E2746" s="836"/>
      <c r="F2746" s="836"/>
      <c r="G2746" s="496" t="s">
        <v>7852</v>
      </c>
      <c r="H2746" s="797" t="str">
        <f>VLOOKUP(G2746,SETTINGS!$B$7:$D$97,2,0)</f>
        <v>EKOplus Gas</v>
      </c>
      <c r="I2746" s="796">
        <f>VLOOKUP(G2746,SETTINGS!$B$7:$D$97,3,0)</f>
        <v>0</v>
      </c>
      <c r="J2746" s="670" t="str">
        <f>IFERROR(IF(CURRENCY.FORMAT_1=0,CONCATENATE(TEXT(FIXED(ROUND((C2746/EXC.RATE_1),CURRENCY.FORMAT_1),CURRENCY.FORMAT_1,1),"# ##0;-# ##0"),",-"),FIXED(ROUND((C2746/EXC.RATE_1),CURRENCY.FORMAT_1),CURRENCY.FORMAT_1,0)),'DICTIONARY-5'!$A$2)</f>
        <v>567,-</v>
      </c>
      <c r="K2746" s="670" t="str">
        <f>IF(EXC.RATE_2=0,"",IFERROR(IF(CURRENCY.FORMAT_2=0,CONCATENATE(TEXT(FIXED(ROUND(IF(EXC.RATE.SWITCH=1,C2746/EXC.RATE_2,C2746*EXC.RATE_2),CURRENCY.FORMAT_2),CURRENCY.FORMAT_2,1),"# ##0;-# ##0"),",-"),FIXED(ROUND(IF(EXC.RATE.SWITCH=1,C2746/EXC.RATE_2,C2746*EXC.RATE_2),CURRENCY.FORMAT_2),CURRENCY.FORMAT_2,0)),'DICTIONARY-5'!$A$2))</f>
        <v/>
      </c>
      <c r="L2746" s="670" t="str">
        <f>IFERROR(IF(CURRENCY.FORMAT_1=0,CONCATENATE(TEXT(FIXED(ROUND((C2746*(1-I2746)*(1-ADD.DISCOUNT)*(1+MAT.SURCHARGE)/EXC.RATE_1),CURRENCY.FORMAT_1),CURRENCY.FORMAT_1,1),"# ##0;-# ##0"),",-"),FIXED(ROUND((C2746*(1-I2746)*(1-ADD.DISCOUNT)*(1+MAT.SURCHARGE)/EXC.RATE_1),CURRENCY.FORMAT_1),CURRENCY.FORMAT_1,0)),'DICTIONARY-5'!$A$2)</f>
        <v>589,-</v>
      </c>
      <c r="M2746" s="670" t="str">
        <f>IF(EXC.RATE_2=0,"",IFERROR(IF(CURRENCY.FORMAT_2=0,CONCATENATE(TEXT(FIXED(ROUND(IF(EXC.RATE.SWITCH=1,C2746*(1-I2746)*(1-ADD.DISCOUNT)*(1+MAT.SURCHARGE)/EXC.RATE_2,C2746*(1-I2746)*(1-ADD.DISCOUNT)*(1+MAT.SURCHARGE)*EXC.RATE_2),CURRENCY.FORMAT_2),CURRENCY.FORMAT_2,1),"# ##0;-# ##0"),",-"),FIXED(ROUND(IF(EXC.RATE.SWITCH=1,C2746*(1-I2746)*(1-ADD.DISCOUNT)*(1+MAT.SURCHARGE)/EXC.RATE_2,C2746*(1-I2746)*(1-ADD.DISCOUNT)*(1+MAT.SURCHARGE)*EXC.RATE_2),CURRENCY.FORMAT_2),CURRENCY.FORMAT_2,0)),'DICTIONARY-5'!$A$2))</f>
        <v/>
      </c>
      <c r="N2746" s="535">
        <v>13</v>
      </c>
      <c r="O2746" s="535"/>
      <c r="P2746" s="731" t="str">
        <f>'DICTIONARY-3'!$A$2</f>
        <v>EKOplus</v>
      </c>
      <c r="Q2746" s="732" t="str">
        <f>'DICTIONARY-3'!$A$187</f>
        <v>Zasuwa klinowa</v>
      </c>
      <c r="R2746" s="732" t="str">
        <f>CONCATENATE('DICTIONARY-3'!$A$2," ",'DICTIONARY-6'!$A$3," ",UPPER('DICTIONARY-5'!$A$18)," ",'DICTIONARY-2'!$A$2,"150"," ",'DICTIONARY-2'!$A$3,"10/16"," ","R14",", ",'DICTIONARY-4'!$A$7,"+",'DICTIONARY-6'!$A$33)</f>
        <v>EKOplus Zasuwa GAZ DN150 PN10/16 R14, KR+wskaźnik położenia</v>
      </c>
      <c r="S2746" s="733" t="str">
        <f>'DICTIONARY-4'!$A$7</f>
        <v>KR</v>
      </c>
      <c r="T2746" s="732" t="str">
        <f>'DICTIONARY-4'!$A$23</f>
        <v>Kółko ręczne</v>
      </c>
      <c r="U2746" s="734" t="s">
        <v>5572</v>
      </c>
      <c r="V2746" s="735">
        <v>16</v>
      </c>
      <c r="W2746" s="736"/>
      <c r="X2746" s="737"/>
      <c r="Y2746" s="738"/>
      <c r="Z2746" s="739"/>
      <c r="AA2746" s="739"/>
      <c r="AB2746" s="740">
        <v>16</v>
      </c>
      <c r="AC2746" s="741" t="str">
        <f>'DICTIONARY-5'!$A$11&amp;" 14"</f>
        <v>EN 558 szereg 14</v>
      </c>
      <c r="AD2746" s="741" t="str">
        <f>'DICTIONARY-5'!$A$18</f>
        <v>gaz</v>
      </c>
      <c r="AE2746" s="742">
        <v>50</v>
      </c>
      <c r="AF2746" s="743">
        <v>34.909999999999997</v>
      </c>
      <c r="AG2746" s="741" t="str">
        <f>'DICTIONARY-5'!$A$23</f>
        <v>powłoka epoksydowa</v>
      </c>
    </row>
    <row r="2747" spans="1:33" x14ac:dyDescent="0.25">
      <c r="A2747" s="869" t="s">
        <v>2667</v>
      </c>
      <c r="B2747" s="869" t="s">
        <v>3401</v>
      </c>
      <c r="C2747" s="836">
        <v>801</v>
      </c>
      <c r="D2747" s="836"/>
      <c r="E2747" s="836"/>
      <c r="F2747" s="836"/>
      <c r="G2747" s="496" t="s">
        <v>7852</v>
      </c>
      <c r="H2747" s="797" t="str">
        <f>VLOOKUP(G2747,SETTINGS!$B$7:$D$97,2,0)</f>
        <v>EKOplus Gas</v>
      </c>
      <c r="I2747" s="796">
        <f>VLOOKUP(G2747,SETTINGS!$B$7:$D$97,3,0)</f>
        <v>0</v>
      </c>
      <c r="J2747" s="670" t="str">
        <f>IFERROR(IF(CURRENCY.FORMAT_1=0,CONCATENATE(TEXT(FIXED(ROUND((C2747/EXC.RATE_1),CURRENCY.FORMAT_1),CURRENCY.FORMAT_1,1),"# ##0;-# ##0"),",-"),FIXED(ROUND((C2747/EXC.RATE_1),CURRENCY.FORMAT_1),CURRENCY.FORMAT_1,0)),'DICTIONARY-5'!$A$2)</f>
        <v>801,-</v>
      </c>
      <c r="K2747" s="670" t="str">
        <f>IF(EXC.RATE_2=0,"",IFERROR(IF(CURRENCY.FORMAT_2=0,CONCATENATE(TEXT(FIXED(ROUND(IF(EXC.RATE.SWITCH=1,C2747/EXC.RATE_2,C2747*EXC.RATE_2),CURRENCY.FORMAT_2),CURRENCY.FORMAT_2,1),"# ##0;-# ##0"),",-"),FIXED(ROUND(IF(EXC.RATE.SWITCH=1,C2747/EXC.RATE_2,C2747*EXC.RATE_2),CURRENCY.FORMAT_2),CURRENCY.FORMAT_2,0)),'DICTIONARY-5'!$A$2))</f>
        <v/>
      </c>
      <c r="L2747" s="670" t="str">
        <f>IFERROR(IF(CURRENCY.FORMAT_1=0,CONCATENATE(TEXT(FIXED(ROUND((C2747*(1-I2747)*(1-ADD.DISCOUNT)*(1+MAT.SURCHARGE)/EXC.RATE_1),CURRENCY.FORMAT_1),CURRENCY.FORMAT_1,1),"# ##0;-# ##0"),",-"),FIXED(ROUND((C2747*(1-I2747)*(1-ADD.DISCOUNT)*(1+MAT.SURCHARGE)/EXC.RATE_1),CURRENCY.FORMAT_1),CURRENCY.FORMAT_1,0)),'DICTIONARY-5'!$A$2)</f>
        <v>832,-</v>
      </c>
      <c r="M2747" s="670" t="str">
        <f>IF(EXC.RATE_2=0,"",IFERROR(IF(CURRENCY.FORMAT_2=0,CONCATENATE(TEXT(FIXED(ROUND(IF(EXC.RATE.SWITCH=1,C2747*(1-I2747)*(1-ADD.DISCOUNT)*(1+MAT.SURCHARGE)/EXC.RATE_2,C2747*(1-I2747)*(1-ADD.DISCOUNT)*(1+MAT.SURCHARGE)*EXC.RATE_2),CURRENCY.FORMAT_2),CURRENCY.FORMAT_2,1),"# ##0;-# ##0"),",-"),FIXED(ROUND(IF(EXC.RATE.SWITCH=1,C2747*(1-I2747)*(1-ADD.DISCOUNT)*(1+MAT.SURCHARGE)/EXC.RATE_2,C2747*(1-I2747)*(1-ADD.DISCOUNT)*(1+MAT.SURCHARGE)*EXC.RATE_2),CURRENCY.FORMAT_2),CURRENCY.FORMAT_2,0)),'DICTIONARY-5'!$A$2))</f>
        <v/>
      </c>
      <c r="N2747" s="535">
        <v>13</v>
      </c>
      <c r="O2747" s="535"/>
      <c r="P2747" s="731" t="str">
        <f>'DICTIONARY-3'!$A$2</f>
        <v>EKOplus</v>
      </c>
      <c r="Q2747" s="732" t="str">
        <f>'DICTIONARY-3'!$A$187</f>
        <v>Zasuwa klinowa</v>
      </c>
      <c r="R2747" s="732" t="str">
        <f>CONCATENATE('DICTIONARY-3'!$A$2," ",'DICTIONARY-6'!$A$3," ",UPPER('DICTIONARY-5'!$A$18)," ",'DICTIONARY-2'!$A$2,"200"," ",'DICTIONARY-2'!$A$3,"16"," ","R14",", ",'DICTIONARY-4'!$A$7,"+",'DICTIONARY-6'!$A$33)</f>
        <v>EKOplus Zasuwa GAZ DN200 PN16 R14, KR+wskaźnik położenia</v>
      </c>
      <c r="S2747" s="733" t="str">
        <f>'DICTIONARY-4'!$A$7</f>
        <v>KR</v>
      </c>
      <c r="T2747" s="732" t="str">
        <f>'DICTIONARY-4'!$A$23</f>
        <v>Kółko ręczne</v>
      </c>
      <c r="U2747" s="734" t="s">
        <v>5750</v>
      </c>
      <c r="V2747" s="735">
        <v>16</v>
      </c>
      <c r="W2747" s="736"/>
      <c r="X2747" s="737"/>
      <c r="Y2747" s="738"/>
      <c r="Z2747" s="739"/>
      <c r="AA2747" s="739"/>
      <c r="AB2747" s="740">
        <v>16</v>
      </c>
      <c r="AC2747" s="741" t="str">
        <f>'DICTIONARY-5'!$A$11&amp;" 14"</f>
        <v>EN 558 szereg 14</v>
      </c>
      <c r="AD2747" s="741" t="str">
        <f>'DICTIONARY-5'!$A$18</f>
        <v>gaz</v>
      </c>
      <c r="AE2747" s="742">
        <v>50</v>
      </c>
      <c r="AF2747" s="743">
        <v>58.85</v>
      </c>
      <c r="AG2747" s="741" t="str">
        <f>'DICTIONARY-5'!$A$23</f>
        <v>powłoka epoksydowa</v>
      </c>
    </row>
    <row r="2748" spans="1:33" x14ac:dyDescent="0.25">
      <c r="A2748" s="869" t="s">
        <v>2668</v>
      </c>
      <c r="B2748" s="869" t="s">
        <v>3404</v>
      </c>
      <c r="C2748" s="836">
        <v>1131</v>
      </c>
      <c r="D2748" s="836"/>
      <c r="E2748" s="836"/>
      <c r="F2748" s="836"/>
      <c r="G2748" s="496" t="s">
        <v>7852</v>
      </c>
      <c r="H2748" s="797" t="str">
        <f>VLOOKUP(G2748,SETTINGS!$B$7:$D$97,2,0)</f>
        <v>EKOplus Gas</v>
      </c>
      <c r="I2748" s="796">
        <f>VLOOKUP(G2748,SETTINGS!$B$7:$D$97,3,0)</f>
        <v>0</v>
      </c>
      <c r="J2748" s="670" t="str">
        <f>IFERROR(IF(CURRENCY.FORMAT_1=0,CONCATENATE(TEXT(FIXED(ROUND((C2748/EXC.RATE_1),CURRENCY.FORMAT_1),CURRENCY.FORMAT_1,1),"# ##0;-# ##0"),",-"),FIXED(ROUND((C2748/EXC.RATE_1),CURRENCY.FORMAT_1),CURRENCY.FORMAT_1,0)),'DICTIONARY-5'!$A$2)</f>
        <v>1 131,-</v>
      </c>
      <c r="K2748" s="670" t="str">
        <f>IF(EXC.RATE_2=0,"",IFERROR(IF(CURRENCY.FORMAT_2=0,CONCATENATE(TEXT(FIXED(ROUND(IF(EXC.RATE.SWITCH=1,C2748/EXC.RATE_2,C2748*EXC.RATE_2),CURRENCY.FORMAT_2),CURRENCY.FORMAT_2,1),"# ##0;-# ##0"),",-"),FIXED(ROUND(IF(EXC.RATE.SWITCH=1,C2748/EXC.RATE_2,C2748*EXC.RATE_2),CURRENCY.FORMAT_2),CURRENCY.FORMAT_2,0)),'DICTIONARY-5'!$A$2))</f>
        <v/>
      </c>
      <c r="L2748" s="670" t="str">
        <f>IFERROR(IF(CURRENCY.FORMAT_1=0,CONCATENATE(TEXT(FIXED(ROUND((C2748*(1-I2748)*(1-ADD.DISCOUNT)*(1+MAT.SURCHARGE)/EXC.RATE_1),CURRENCY.FORMAT_1),CURRENCY.FORMAT_1,1),"# ##0;-# ##0"),",-"),FIXED(ROUND((C2748*(1-I2748)*(1-ADD.DISCOUNT)*(1+MAT.SURCHARGE)/EXC.RATE_1),CURRENCY.FORMAT_1),CURRENCY.FORMAT_1,0)),'DICTIONARY-5'!$A$2)</f>
        <v>1 175,-</v>
      </c>
      <c r="M2748" s="670" t="str">
        <f>IF(EXC.RATE_2=0,"",IFERROR(IF(CURRENCY.FORMAT_2=0,CONCATENATE(TEXT(FIXED(ROUND(IF(EXC.RATE.SWITCH=1,C2748*(1-I2748)*(1-ADD.DISCOUNT)*(1+MAT.SURCHARGE)/EXC.RATE_2,C2748*(1-I2748)*(1-ADD.DISCOUNT)*(1+MAT.SURCHARGE)*EXC.RATE_2),CURRENCY.FORMAT_2),CURRENCY.FORMAT_2,1),"# ##0;-# ##0"),",-"),FIXED(ROUND(IF(EXC.RATE.SWITCH=1,C2748*(1-I2748)*(1-ADD.DISCOUNT)*(1+MAT.SURCHARGE)/EXC.RATE_2,C2748*(1-I2748)*(1-ADD.DISCOUNT)*(1+MAT.SURCHARGE)*EXC.RATE_2),CURRENCY.FORMAT_2),CURRENCY.FORMAT_2,0)),'DICTIONARY-5'!$A$2))</f>
        <v/>
      </c>
      <c r="N2748" s="535">
        <v>13</v>
      </c>
      <c r="O2748" s="535"/>
      <c r="P2748" s="731" t="str">
        <f>'DICTIONARY-3'!$A$2</f>
        <v>EKOplus</v>
      </c>
      <c r="Q2748" s="732" t="str">
        <f>'DICTIONARY-3'!$A$187</f>
        <v>Zasuwa klinowa</v>
      </c>
      <c r="R2748" s="732" t="str">
        <f>CONCATENATE('DICTIONARY-3'!$A$2," ",'DICTIONARY-6'!$A$3," ",UPPER('DICTIONARY-5'!$A$18)," ",'DICTIONARY-2'!$A$2,"250"," ",'DICTIONARY-2'!$A$3,"16"," ","R14",", ",'DICTIONARY-4'!$A$7,"+",'DICTIONARY-6'!$A$33)</f>
        <v>EKOplus Zasuwa GAZ DN250 PN16 R14, KR+wskaźnik położenia</v>
      </c>
      <c r="S2748" s="733" t="str">
        <f>'DICTIONARY-4'!$A$7</f>
        <v>KR</v>
      </c>
      <c r="T2748" s="732" t="str">
        <f>'DICTIONARY-4'!$A$23</f>
        <v>Kółko ręczne</v>
      </c>
      <c r="U2748" s="734" t="s">
        <v>5751</v>
      </c>
      <c r="V2748" s="735">
        <v>16</v>
      </c>
      <c r="W2748" s="736"/>
      <c r="X2748" s="737"/>
      <c r="Y2748" s="738"/>
      <c r="Z2748" s="739"/>
      <c r="AA2748" s="739"/>
      <c r="AB2748" s="740">
        <v>16</v>
      </c>
      <c r="AC2748" s="741" t="str">
        <f>'DICTIONARY-5'!$A$11&amp;" 14"</f>
        <v>EN 558 szereg 14</v>
      </c>
      <c r="AD2748" s="741" t="str">
        <f>'DICTIONARY-5'!$A$18</f>
        <v>gaz</v>
      </c>
      <c r="AE2748" s="742">
        <v>50</v>
      </c>
      <c r="AF2748" s="743">
        <v>104.31</v>
      </c>
      <c r="AG2748" s="741" t="str">
        <f>'DICTIONARY-5'!$A$23</f>
        <v>powłoka epoksydowa</v>
      </c>
    </row>
    <row r="2749" spans="1:33" x14ac:dyDescent="0.25">
      <c r="A2749" s="869" t="s">
        <v>2669</v>
      </c>
      <c r="B2749" s="869" t="s">
        <v>3408</v>
      </c>
      <c r="C2749" s="836">
        <v>1293</v>
      </c>
      <c r="D2749" s="836"/>
      <c r="E2749" s="836"/>
      <c r="F2749" s="836"/>
      <c r="G2749" s="496" t="s">
        <v>7852</v>
      </c>
      <c r="H2749" s="797" t="str">
        <f>VLOOKUP(G2749,SETTINGS!$B$7:$D$97,2,0)</f>
        <v>EKOplus Gas</v>
      </c>
      <c r="I2749" s="796">
        <f>VLOOKUP(G2749,SETTINGS!$B$7:$D$97,3,0)</f>
        <v>0</v>
      </c>
      <c r="J2749" s="670" t="str">
        <f>IFERROR(IF(CURRENCY.FORMAT_1=0,CONCATENATE(TEXT(FIXED(ROUND((C2749/EXC.RATE_1),CURRENCY.FORMAT_1),CURRENCY.FORMAT_1,1),"# ##0;-# ##0"),",-"),FIXED(ROUND((C2749/EXC.RATE_1),CURRENCY.FORMAT_1),CURRENCY.FORMAT_1,0)),'DICTIONARY-5'!$A$2)</f>
        <v>1 293,-</v>
      </c>
      <c r="K2749" s="670" t="str">
        <f>IF(EXC.RATE_2=0,"",IFERROR(IF(CURRENCY.FORMAT_2=0,CONCATENATE(TEXT(FIXED(ROUND(IF(EXC.RATE.SWITCH=1,C2749/EXC.RATE_2,C2749*EXC.RATE_2),CURRENCY.FORMAT_2),CURRENCY.FORMAT_2,1),"# ##0;-# ##0"),",-"),FIXED(ROUND(IF(EXC.RATE.SWITCH=1,C2749/EXC.RATE_2,C2749*EXC.RATE_2),CURRENCY.FORMAT_2),CURRENCY.FORMAT_2,0)),'DICTIONARY-5'!$A$2))</f>
        <v/>
      </c>
      <c r="L2749" s="670" t="str">
        <f>IFERROR(IF(CURRENCY.FORMAT_1=0,CONCATENATE(TEXT(FIXED(ROUND((C2749*(1-I2749)*(1-ADD.DISCOUNT)*(1+MAT.SURCHARGE)/EXC.RATE_1),CURRENCY.FORMAT_1),CURRENCY.FORMAT_1,1),"# ##0;-# ##0"),",-"),FIXED(ROUND((C2749*(1-I2749)*(1-ADD.DISCOUNT)*(1+MAT.SURCHARGE)/EXC.RATE_1),CURRENCY.FORMAT_1),CURRENCY.FORMAT_1,0)),'DICTIONARY-5'!$A$2)</f>
        <v>1 343,-</v>
      </c>
      <c r="M2749" s="670" t="str">
        <f>IF(EXC.RATE_2=0,"",IFERROR(IF(CURRENCY.FORMAT_2=0,CONCATENATE(TEXT(FIXED(ROUND(IF(EXC.RATE.SWITCH=1,C2749*(1-I2749)*(1-ADD.DISCOUNT)*(1+MAT.SURCHARGE)/EXC.RATE_2,C2749*(1-I2749)*(1-ADD.DISCOUNT)*(1+MAT.SURCHARGE)*EXC.RATE_2),CURRENCY.FORMAT_2),CURRENCY.FORMAT_2,1),"# ##0;-# ##0"),",-"),FIXED(ROUND(IF(EXC.RATE.SWITCH=1,C2749*(1-I2749)*(1-ADD.DISCOUNT)*(1+MAT.SURCHARGE)/EXC.RATE_2,C2749*(1-I2749)*(1-ADD.DISCOUNT)*(1+MAT.SURCHARGE)*EXC.RATE_2),CURRENCY.FORMAT_2),CURRENCY.FORMAT_2,0)),'DICTIONARY-5'!$A$2))</f>
        <v/>
      </c>
      <c r="N2749" s="535">
        <v>13</v>
      </c>
      <c r="O2749" s="535"/>
      <c r="P2749" s="731" t="str">
        <f>'DICTIONARY-3'!$A$2</f>
        <v>EKOplus</v>
      </c>
      <c r="Q2749" s="732" t="str">
        <f>'DICTIONARY-3'!$A$187</f>
        <v>Zasuwa klinowa</v>
      </c>
      <c r="R2749" s="732" t="str">
        <f>CONCATENATE('DICTIONARY-3'!$A$2," ",'DICTIONARY-6'!$A$3," ",UPPER('DICTIONARY-5'!$A$18)," ",'DICTIONARY-2'!$A$2,"300"," ",'DICTIONARY-2'!$A$3,"16"," ","R14",", ",'DICTIONARY-4'!$A$7,"+",'DICTIONARY-6'!$A$33)</f>
        <v>EKOplus Zasuwa GAZ DN300 PN16 R14, KR+wskaźnik położenia</v>
      </c>
      <c r="S2749" s="733" t="str">
        <f>'DICTIONARY-4'!$A$7</f>
        <v>KR</v>
      </c>
      <c r="T2749" s="732" t="str">
        <f>'DICTIONARY-4'!$A$23</f>
        <v>Kółko ręczne</v>
      </c>
      <c r="U2749" s="734" t="s">
        <v>5752</v>
      </c>
      <c r="V2749" s="735">
        <v>16</v>
      </c>
      <c r="W2749" s="736"/>
      <c r="X2749" s="737"/>
      <c r="Y2749" s="738"/>
      <c r="Z2749" s="739"/>
      <c r="AA2749" s="739"/>
      <c r="AB2749" s="740">
        <v>16</v>
      </c>
      <c r="AC2749" s="741" t="str">
        <f>'DICTIONARY-5'!$A$11&amp;" 14"</f>
        <v>EN 558 szereg 14</v>
      </c>
      <c r="AD2749" s="741" t="str">
        <f>'DICTIONARY-5'!$A$18</f>
        <v>gaz</v>
      </c>
      <c r="AE2749" s="742">
        <v>50</v>
      </c>
      <c r="AF2749" s="743">
        <v>121.5</v>
      </c>
      <c r="AG2749" s="741" t="str">
        <f>'DICTIONARY-5'!$A$23</f>
        <v>powłoka epoksydowa</v>
      </c>
    </row>
    <row r="2750" spans="1:33" x14ac:dyDescent="0.25">
      <c r="A2750" s="869" t="s">
        <v>2634</v>
      </c>
      <c r="B2750" s="869" t="s">
        <v>3423</v>
      </c>
      <c r="C2750" s="836">
        <v>491</v>
      </c>
      <c r="D2750" s="836"/>
      <c r="E2750" s="836"/>
      <c r="F2750" s="836"/>
      <c r="G2750" s="496" t="s">
        <v>7852</v>
      </c>
      <c r="H2750" s="797" t="str">
        <f>VLOOKUP(G2750,SETTINGS!$B$7:$D$97,2,0)</f>
        <v>EKOplus Gas</v>
      </c>
      <c r="I2750" s="796">
        <f>VLOOKUP(G2750,SETTINGS!$B$7:$D$97,3,0)</f>
        <v>0</v>
      </c>
      <c r="J2750" s="670" t="str">
        <f>IFERROR(IF(CURRENCY.FORMAT_1=0,CONCATENATE(TEXT(FIXED(ROUND((C2750/EXC.RATE_1),CURRENCY.FORMAT_1),CURRENCY.FORMAT_1,1),"# ##0;-# ##0"),",-"),FIXED(ROUND((C2750/EXC.RATE_1),CURRENCY.FORMAT_1),CURRENCY.FORMAT_1,0)),'DICTIONARY-5'!$A$2)</f>
        <v>491,-</v>
      </c>
      <c r="K2750" s="670" t="str">
        <f>IF(EXC.RATE_2=0,"",IFERROR(IF(CURRENCY.FORMAT_2=0,CONCATENATE(TEXT(FIXED(ROUND(IF(EXC.RATE.SWITCH=1,C2750/EXC.RATE_2,C2750*EXC.RATE_2),CURRENCY.FORMAT_2),CURRENCY.FORMAT_2,1),"# ##0;-# ##0"),",-"),FIXED(ROUND(IF(EXC.RATE.SWITCH=1,C2750/EXC.RATE_2,C2750*EXC.RATE_2),CURRENCY.FORMAT_2),CURRENCY.FORMAT_2,0)),'DICTIONARY-5'!$A$2))</f>
        <v/>
      </c>
      <c r="L2750" s="670" t="str">
        <f>IFERROR(IF(CURRENCY.FORMAT_1=0,CONCATENATE(TEXT(FIXED(ROUND((C2750*(1-I2750)*(1-ADD.DISCOUNT)*(1+MAT.SURCHARGE)/EXC.RATE_1),CURRENCY.FORMAT_1),CURRENCY.FORMAT_1,1),"# ##0;-# ##0"),",-"),FIXED(ROUND((C2750*(1-I2750)*(1-ADD.DISCOUNT)*(1+MAT.SURCHARGE)/EXC.RATE_1),CURRENCY.FORMAT_1),CURRENCY.FORMAT_1,0)),'DICTIONARY-5'!$A$2)</f>
        <v>510,-</v>
      </c>
      <c r="M2750" s="670" t="str">
        <f>IF(EXC.RATE_2=0,"",IFERROR(IF(CURRENCY.FORMAT_2=0,CONCATENATE(TEXT(FIXED(ROUND(IF(EXC.RATE.SWITCH=1,C2750*(1-I2750)*(1-ADD.DISCOUNT)*(1+MAT.SURCHARGE)/EXC.RATE_2,C2750*(1-I2750)*(1-ADD.DISCOUNT)*(1+MAT.SURCHARGE)*EXC.RATE_2),CURRENCY.FORMAT_2),CURRENCY.FORMAT_2,1),"# ##0;-# ##0"),",-"),FIXED(ROUND(IF(EXC.RATE.SWITCH=1,C2750*(1-I2750)*(1-ADD.DISCOUNT)*(1+MAT.SURCHARGE)/EXC.RATE_2,C2750*(1-I2750)*(1-ADD.DISCOUNT)*(1+MAT.SURCHARGE)*EXC.RATE_2),CURRENCY.FORMAT_2),CURRENCY.FORMAT_2,0)),'DICTIONARY-5'!$A$2))</f>
        <v/>
      </c>
      <c r="N2750" s="535">
        <v>13</v>
      </c>
      <c r="O2750" s="535"/>
      <c r="P2750" s="731" t="str">
        <f>'DICTIONARY-3'!$A$2</f>
        <v>EKOplus</v>
      </c>
      <c r="Q2750" s="732" t="str">
        <f>'DICTIONARY-3'!$A$187</f>
        <v>Zasuwa klinowa</v>
      </c>
      <c r="R2750" s="732" t="str">
        <f>CONCATENATE('DICTIONARY-3'!$A$4," ",'DICTIONARY-6'!$A$3," ",UPPER('DICTIONARY-5'!$A$18)," ",'DICTIONARY-2'!$A$2,"40"," ",'DICTIONARY-2'!$A$5,"50"," ",'DICTIONARY-5'!$A$59," ",'DICTIONARY-2'!$A$10,"10",'DICTIONARY-2'!$A$20,", ",'DICTIONARY-4'!$A$2)</f>
        <v>EKOplus PE Zasuwa GAZ DN40 Da50 SDR 11 PS10bar, WW</v>
      </c>
      <c r="S2750" s="733" t="str">
        <f>'DICTIONARY-4'!$A$2</f>
        <v>WW</v>
      </c>
      <c r="T2750" s="732" t="str">
        <f>'DICTIONARY-4'!$A$18</f>
        <v>Wolny wałek</v>
      </c>
      <c r="U2750" s="734" t="s">
        <v>5758</v>
      </c>
      <c r="V2750" s="735"/>
      <c r="W2750" s="744" t="s">
        <v>5748</v>
      </c>
      <c r="X2750" s="737"/>
      <c r="Y2750" s="738"/>
      <c r="Z2750" s="739"/>
      <c r="AA2750" s="739"/>
      <c r="AB2750" s="753">
        <v>10</v>
      </c>
      <c r="AC2750" s="741" t="s">
        <v>5570</v>
      </c>
      <c r="AD2750" s="741" t="str">
        <f>'DICTIONARY-5'!$A$18</f>
        <v>gaz</v>
      </c>
      <c r="AE2750" s="742">
        <v>50</v>
      </c>
      <c r="AF2750" s="743">
        <v>8</v>
      </c>
      <c r="AG2750" s="741" t="str">
        <f>'DICTIONARY-5'!$A$23</f>
        <v>powłoka epoksydowa</v>
      </c>
    </row>
    <row r="2751" spans="1:33" x14ac:dyDescent="0.25">
      <c r="A2751" s="869" t="s">
        <v>2636</v>
      </c>
      <c r="B2751" s="869" t="s">
        <v>3425</v>
      </c>
      <c r="C2751" s="836">
        <v>414</v>
      </c>
      <c r="D2751" s="836"/>
      <c r="E2751" s="836"/>
      <c r="F2751" s="836"/>
      <c r="G2751" s="496" t="s">
        <v>7852</v>
      </c>
      <c r="H2751" s="797" t="str">
        <f>VLOOKUP(G2751,SETTINGS!$B$7:$D$97,2,0)</f>
        <v>EKOplus Gas</v>
      </c>
      <c r="I2751" s="796">
        <f>VLOOKUP(G2751,SETTINGS!$B$7:$D$97,3,0)</f>
        <v>0</v>
      </c>
      <c r="J2751" s="670" t="str">
        <f>IFERROR(IF(CURRENCY.FORMAT_1=0,CONCATENATE(TEXT(FIXED(ROUND((C2751/EXC.RATE_1),CURRENCY.FORMAT_1),CURRENCY.FORMAT_1,1),"# ##0;-# ##0"),",-"),FIXED(ROUND((C2751/EXC.RATE_1),CURRENCY.FORMAT_1),CURRENCY.FORMAT_1,0)),'DICTIONARY-5'!$A$2)</f>
        <v>414,-</v>
      </c>
      <c r="K2751" s="670" t="str">
        <f>IF(EXC.RATE_2=0,"",IFERROR(IF(CURRENCY.FORMAT_2=0,CONCATENATE(TEXT(FIXED(ROUND(IF(EXC.RATE.SWITCH=1,C2751/EXC.RATE_2,C2751*EXC.RATE_2),CURRENCY.FORMAT_2),CURRENCY.FORMAT_2,1),"# ##0;-# ##0"),",-"),FIXED(ROUND(IF(EXC.RATE.SWITCH=1,C2751/EXC.RATE_2,C2751*EXC.RATE_2),CURRENCY.FORMAT_2),CURRENCY.FORMAT_2,0)),'DICTIONARY-5'!$A$2))</f>
        <v/>
      </c>
      <c r="L2751" s="670" t="str">
        <f>IFERROR(IF(CURRENCY.FORMAT_1=0,CONCATENATE(TEXT(FIXED(ROUND((C2751*(1-I2751)*(1-ADD.DISCOUNT)*(1+MAT.SURCHARGE)/EXC.RATE_1),CURRENCY.FORMAT_1),CURRENCY.FORMAT_1,1),"# ##0;-# ##0"),",-"),FIXED(ROUND((C2751*(1-I2751)*(1-ADD.DISCOUNT)*(1+MAT.SURCHARGE)/EXC.RATE_1),CURRENCY.FORMAT_1),CURRENCY.FORMAT_1,0)),'DICTIONARY-5'!$A$2)</f>
        <v>430,-</v>
      </c>
      <c r="M2751" s="670" t="str">
        <f>IF(EXC.RATE_2=0,"",IFERROR(IF(CURRENCY.FORMAT_2=0,CONCATENATE(TEXT(FIXED(ROUND(IF(EXC.RATE.SWITCH=1,C2751*(1-I2751)*(1-ADD.DISCOUNT)*(1+MAT.SURCHARGE)/EXC.RATE_2,C2751*(1-I2751)*(1-ADD.DISCOUNT)*(1+MAT.SURCHARGE)*EXC.RATE_2),CURRENCY.FORMAT_2),CURRENCY.FORMAT_2,1),"# ##0;-# ##0"),",-"),FIXED(ROUND(IF(EXC.RATE.SWITCH=1,C2751*(1-I2751)*(1-ADD.DISCOUNT)*(1+MAT.SURCHARGE)/EXC.RATE_2,C2751*(1-I2751)*(1-ADD.DISCOUNT)*(1+MAT.SURCHARGE)*EXC.RATE_2),CURRENCY.FORMAT_2),CURRENCY.FORMAT_2,0)),'DICTIONARY-5'!$A$2))</f>
        <v/>
      </c>
      <c r="N2751" s="535">
        <v>13</v>
      </c>
      <c r="O2751" s="535"/>
      <c r="P2751" s="731" t="str">
        <f>'DICTIONARY-3'!$A$2</f>
        <v>EKOplus</v>
      </c>
      <c r="Q2751" s="732" t="str">
        <f>'DICTIONARY-3'!$A$187</f>
        <v>Zasuwa klinowa</v>
      </c>
      <c r="R2751" s="732" t="str">
        <f>CONCATENATE('DICTIONARY-3'!$A$4," ",'DICTIONARY-6'!$A$3," ",UPPER('DICTIONARY-5'!$A$18)," ",'DICTIONARY-2'!$A$2,"50"," ",'DICTIONARY-2'!$A$5,"63"," ",'DICTIONARY-5'!$A$59," ",'DICTIONARY-2'!$A$10,"10",'DICTIONARY-2'!$A$20,", ",'DICTIONARY-4'!$A$2)</f>
        <v>EKOplus PE Zasuwa GAZ DN50 Da63 SDR 11 PS10bar, WW</v>
      </c>
      <c r="S2751" s="733" t="str">
        <f>'DICTIONARY-4'!$A$2</f>
        <v>WW</v>
      </c>
      <c r="T2751" s="732" t="str">
        <f>'DICTIONARY-4'!$A$18</f>
        <v>Wolny wałek</v>
      </c>
      <c r="U2751" s="734" t="s">
        <v>5748</v>
      </c>
      <c r="V2751" s="735"/>
      <c r="W2751" s="744" t="s">
        <v>7338</v>
      </c>
      <c r="X2751" s="737"/>
      <c r="Y2751" s="738"/>
      <c r="Z2751" s="739"/>
      <c r="AA2751" s="739"/>
      <c r="AB2751" s="740">
        <v>10</v>
      </c>
      <c r="AC2751" s="741" t="s">
        <v>5570</v>
      </c>
      <c r="AD2751" s="741" t="str">
        <f>'DICTIONARY-5'!$A$18</f>
        <v>gaz</v>
      </c>
      <c r="AE2751" s="742">
        <v>50</v>
      </c>
      <c r="AF2751" s="743">
        <v>8.1999999999999993</v>
      </c>
      <c r="AG2751" s="741" t="str">
        <f>'DICTIONARY-5'!$A$23</f>
        <v>powłoka epoksydowa</v>
      </c>
    </row>
    <row r="2752" spans="1:33" x14ac:dyDescent="0.25">
      <c r="A2752" s="869" t="s">
        <v>2638</v>
      </c>
      <c r="B2752" s="869" t="s">
        <v>3427</v>
      </c>
      <c r="C2752" s="836">
        <v>498</v>
      </c>
      <c r="D2752" s="836"/>
      <c r="E2752" s="836"/>
      <c r="F2752" s="836"/>
      <c r="G2752" s="496" t="s">
        <v>7852</v>
      </c>
      <c r="H2752" s="797" t="str">
        <f>VLOOKUP(G2752,SETTINGS!$B$7:$D$97,2,0)</f>
        <v>EKOplus Gas</v>
      </c>
      <c r="I2752" s="796">
        <f>VLOOKUP(G2752,SETTINGS!$B$7:$D$97,3,0)</f>
        <v>0</v>
      </c>
      <c r="J2752" s="670" t="str">
        <f>IFERROR(IF(CURRENCY.FORMAT_1=0,CONCATENATE(TEXT(FIXED(ROUND((C2752/EXC.RATE_1),CURRENCY.FORMAT_1),CURRENCY.FORMAT_1,1),"# ##0;-# ##0"),",-"),FIXED(ROUND((C2752/EXC.RATE_1),CURRENCY.FORMAT_1),CURRENCY.FORMAT_1,0)),'DICTIONARY-5'!$A$2)</f>
        <v>498,-</v>
      </c>
      <c r="K2752" s="670" t="str">
        <f>IF(EXC.RATE_2=0,"",IFERROR(IF(CURRENCY.FORMAT_2=0,CONCATENATE(TEXT(FIXED(ROUND(IF(EXC.RATE.SWITCH=1,C2752/EXC.RATE_2,C2752*EXC.RATE_2),CURRENCY.FORMAT_2),CURRENCY.FORMAT_2,1),"# ##0;-# ##0"),",-"),FIXED(ROUND(IF(EXC.RATE.SWITCH=1,C2752/EXC.RATE_2,C2752*EXC.RATE_2),CURRENCY.FORMAT_2),CURRENCY.FORMAT_2,0)),'DICTIONARY-5'!$A$2))</f>
        <v/>
      </c>
      <c r="L2752" s="670" t="str">
        <f>IFERROR(IF(CURRENCY.FORMAT_1=0,CONCATENATE(TEXT(FIXED(ROUND((C2752*(1-I2752)*(1-ADD.DISCOUNT)*(1+MAT.SURCHARGE)/EXC.RATE_1),CURRENCY.FORMAT_1),CURRENCY.FORMAT_1,1),"# ##0;-# ##0"),",-"),FIXED(ROUND((C2752*(1-I2752)*(1-ADD.DISCOUNT)*(1+MAT.SURCHARGE)/EXC.RATE_1),CURRENCY.FORMAT_1),CURRENCY.FORMAT_1,0)),'DICTIONARY-5'!$A$2)</f>
        <v>517,-</v>
      </c>
      <c r="M2752" s="670" t="str">
        <f>IF(EXC.RATE_2=0,"",IFERROR(IF(CURRENCY.FORMAT_2=0,CONCATENATE(TEXT(FIXED(ROUND(IF(EXC.RATE.SWITCH=1,C2752*(1-I2752)*(1-ADD.DISCOUNT)*(1+MAT.SURCHARGE)/EXC.RATE_2,C2752*(1-I2752)*(1-ADD.DISCOUNT)*(1+MAT.SURCHARGE)*EXC.RATE_2),CURRENCY.FORMAT_2),CURRENCY.FORMAT_2,1),"# ##0;-# ##0"),",-"),FIXED(ROUND(IF(EXC.RATE.SWITCH=1,C2752*(1-I2752)*(1-ADD.DISCOUNT)*(1+MAT.SURCHARGE)/EXC.RATE_2,C2752*(1-I2752)*(1-ADD.DISCOUNT)*(1+MAT.SURCHARGE)*EXC.RATE_2),CURRENCY.FORMAT_2),CURRENCY.FORMAT_2,0)),'DICTIONARY-5'!$A$2))</f>
        <v/>
      </c>
      <c r="N2752" s="535">
        <v>13</v>
      </c>
      <c r="O2752" s="535"/>
      <c r="P2752" s="731" t="str">
        <f>'DICTIONARY-3'!$A$2</f>
        <v>EKOplus</v>
      </c>
      <c r="Q2752" s="732" t="str">
        <f>'DICTIONARY-3'!$A$187</f>
        <v>Zasuwa klinowa</v>
      </c>
      <c r="R2752" s="732" t="str">
        <f>CONCATENATE('DICTIONARY-3'!$A$4," ",'DICTIONARY-6'!$A$3," ",UPPER('DICTIONARY-5'!$A$18)," ",'DICTIONARY-2'!$A$2,"80"," ",'DICTIONARY-2'!$A$5,"90"," ",'DICTIONARY-5'!$A$59," ",'DICTIONARY-2'!$A$10,"10",'DICTIONARY-2'!$A$20,", ",'DICTIONARY-4'!$A$2)</f>
        <v>EKOplus PE Zasuwa GAZ DN80 Da90 SDR 11 PS10bar, WW</v>
      </c>
      <c r="S2752" s="733" t="str">
        <f>'DICTIONARY-4'!$A$2</f>
        <v>WW</v>
      </c>
      <c r="T2752" s="732" t="str">
        <f>'DICTIONARY-4'!$A$18</f>
        <v>Wolny wałek</v>
      </c>
      <c r="U2752" s="734" t="s">
        <v>5760</v>
      </c>
      <c r="V2752" s="735"/>
      <c r="W2752" s="744" t="s">
        <v>7339</v>
      </c>
      <c r="X2752" s="737"/>
      <c r="Y2752" s="738"/>
      <c r="Z2752" s="739"/>
      <c r="AA2752" s="739"/>
      <c r="AB2752" s="740">
        <v>10</v>
      </c>
      <c r="AC2752" s="741" t="s">
        <v>5570</v>
      </c>
      <c r="AD2752" s="741" t="str">
        <f>'DICTIONARY-5'!$A$18</f>
        <v>gaz</v>
      </c>
      <c r="AE2752" s="742">
        <v>50</v>
      </c>
      <c r="AF2752" s="743">
        <v>16</v>
      </c>
      <c r="AG2752" s="741" t="str">
        <f>'DICTIONARY-5'!$A$23</f>
        <v>powłoka epoksydowa</v>
      </c>
    </row>
    <row r="2753" spans="1:33" x14ac:dyDescent="0.25">
      <c r="A2753" s="869" t="s">
        <v>2640</v>
      </c>
      <c r="B2753" s="869" t="s">
        <v>3429</v>
      </c>
      <c r="C2753" s="836">
        <v>560</v>
      </c>
      <c r="D2753" s="836"/>
      <c r="E2753" s="836"/>
      <c r="F2753" s="836"/>
      <c r="G2753" s="496" t="s">
        <v>7852</v>
      </c>
      <c r="H2753" s="797" t="str">
        <f>VLOOKUP(G2753,SETTINGS!$B$7:$D$97,2,0)</f>
        <v>EKOplus Gas</v>
      </c>
      <c r="I2753" s="796">
        <f>VLOOKUP(G2753,SETTINGS!$B$7:$D$97,3,0)</f>
        <v>0</v>
      </c>
      <c r="J2753" s="670" t="str">
        <f>IFERROR(IF(CURRENCY.FORMAT_1=0,CONCATENATE(TEXT(FIXED(ROUND((C2753/EXC.RATE_1),CURRENCY.FORMAT_1),CURRENCY.FORMAT_1,1),"# ##0;-# ##0"),",-"),FIXED(ROUND((C2753/EXC.RATE_1),CURRENCY.FORMAT_1),CURRENCY.FORMAT_1,0)),'DICTIONARY-5'!$A$2)</f>
        <v>560,-</v>
      </c>
      <c r="K2753" s="670" t="str">
        <f>IF(EXC.RATE_2=0,"",IFERROR(IF(CURRENCY.FORMAT_2=0,CONCATENATE(TEXT(FIXED(ROUND(IF(EXC.RATE.SWITCH=1,C2753/EXC.RATE_2,C2753*EXC.RATE_2),CURRENCY.FORMAT_2),CURRENCY.FORMAT_2,1),"# ##0;-# ##0"),",-"),FIXED(ROUND(IF(EXC.RATE.SWITCH=1,C2753/EXC.RATE_2,C2753*EXC.RATE_2),CURRENCY.FORMAT_2),CURRENCY.FORMAT_2,0)),'DICTIONARY-5'!$A$2))</f>
        <v/>
      </c>
      <c r="L2753" s="670" t="str">
        <f>IFERROR(IF(CURRENCY.FORMAT_1=0,CONCATENATE(TEXT(FIXED(ROUND((C2753*(1-I2753)*(1-ADD.DISCOUNT)*(1+MAT.SURCHARGE)/EXC.RATE_1),CURRENCY.FORMAT_1),CURRENCY.FORMAT_1,1),"# ##0;-# ##0"),",-"),FIXED(ROUND((C2753*(1-I2753)*(1-ADD.DISCOUNT)*(1+MAT.SURCHARGE)/EXC.RATE_1),CURRENCY.FORMAT_1),CURRENCY.FORMAT_1,0)),'DICTIONARY-5'!$A$2)</f>
        <v>582,-</v>
      </c>
      <c r="M2753" s="670" t="str">
        <f>IF(EXC.RATE_2=0,"",IFERROR(IF(CURRENCY.FORMAT_2=0,CONCATENATE(TEXT(FIXED(ROUND(IF(EXC.RATE.SWITCH=1,C2753*(1-I2753)*(1-ADD.DISCOUNT)*(1+MAT.SURCHARGE)/EXC.RATE_2,C2753*(1-I2753)*(1-ADD.DISCOUNT)*(1+MAT.SURCHARGE)*EXC.RATE_2),CURRENCY.FORMAT_2),CURRENCY.FORMAT_2,1),"# ##0;-# ##0"),",-"),FIXED(ROUND(IF(EXC.RATE.SWITCH=1,C2753*(1-I2753)*(1-ADD.DISCOUNT)*(1+MAT.SURCHARGE)/EXC.RATE_2,C2753*(1-I2753)*(1-ADD.DISCOUNT)*(1+MAT.SURCHARGE)*EXC.RATE_2),CURRENCY.FORMAT_2),CURRENCY.FORMAT_2,0)),'DICTIONARY-5'!$A$2))</f>
        <v/>
      </c>
      <c r="N2753" s="535">
        <v>13</v>
      </c>
      <c r="O2753" s="535"/>
      <c r="P2753" s="731" t="str">
        <f>'DICTIONARY-3'!$A$2</f>
        <v>EKOplus</v>
      </c>
      <c r="Q2753" s="732" t="str">
        <f>'DICTIONARY-3'!$A$187</f>
        <v>Zasuwa klinowa</v>
      </c>
      <c r="R2753" s="732" t="str">
        <f>CONCATENATE('DICTIONARY-3'!$A$4," ",'DICTIONARY-6'!$A$3," ",UPPER('DICTIONARY-5'!$A$18)," ",'DICTIONARY-2'!$A$2,"100"," ",'DICTIONARY-2'!$A$5,"110"," ",'DICTIONARY-5'!$A$59," ",'DICTIONARY-2'!$A$10,"10",'DICTIONARY-2'!$A$20,", ",'DICTIONARY-4'!$A$2)</f>
        <v>EKOplus PE Zasuwa GAZ DN100 Da110 SDR 11 PS10bar, WW</v>
      </c>
      <c r="S2753" s="733" t="str">
        <f>'DICTIONARY-4'!$A$2</f>
        <v>WW</v>
      </c>
      <c r="T2753" s="732" t="str">
        <f>'DICTIONARY-4'!$A$18</f>
        <v>Wolny wałek</v>
      </c>
      <c r="U2753" s="734" t="s">
        <v>5749</v>
      </c>
      <c r="V2753" s="735"/>
      <c r="W2753" s="744" t="s">
        <v>7340</v>
      </c>
      <c r="X2753" s="737"/>
      <c r="Y2753" s="738"/>
      <c r="Z2753" s="739"/>
      <c r="AA2753" s="739"/>
      <c r="AB2753" s="740">
        <v>10</v>
      </c>
      <c r="AC2753" s="741" t="s">
        <v>5570</v>
      </c>
      <c r="AD2753" s="741" t="str">
        <f>'DICTIONARY-5'!$A$18</f>
        <v>gaz</v>
      </c>
      <c r="AE2753" s="742">
        <v>50</v>
      </c>
      <c r="AF2753" s="743">
        <v>20.5</v>
      </c>
      <c r="AG2753" s="741" t="str">
        <f>'DICTIONARY-5'!$A$23</f>
        <v>powłoka epoksydowa</v>
      </c>
    </row>
    <row r="2754" spans="1:33" x14ac:dyDescent="0.25">
      <c r="A2754" s="869" t="s">
        <v>2642</v>
      </c>
      <c r="B2754" s="869" t="s">
        <v>3440</v>
      </c>
      <c r="C2754" s="836">
        <v>592</v>
      </c>
      <c r="D2754" s="836"/>
      <c r="E2754" s="836"/>
      <c r="F2754" s="836"/>
      <c r="G2754" s="496" t="s">
        <v>7852</v>
      </c>
      <c r="H2754" s="797" t="str">
        <f>VLOOKUP(G2754,SETTINGS!$B$7:$D$97,2,0)</f>
        <v>EKOplus Gas</v>
      </c>
      <c r="I2754" s="796">
        <f>VLOOKUP(G2754,SETTINGS!$B$7:$D$97,3,0)</f>
        <v>0</v>
      </c>
      <c r="J2754" s="670" t="str">
        <f>IFERROR(IF(CURRENCY.FORMAT_1=0,CONCATENATE(TEXT(FIXED(ROUND((C2754/EXC.RATE_1),CURRENCY.FORMAT_1),CURRENCY.FORMAT_1,1),"# ##0;-# ##0"),",-"),FIXED(ROUND((C2754/EXC.RATE_1),CURRENCY.FORMAT_1),CURRENCY.FORMAT_1,0)),'DICTIONARY-5'!$A$2)</f>
        <v>592,-</v>
      </c>
      <c r="K2754" s="670" t="str">
        <f>IF(EXC.RATE_2=0,"",IFERROR(IF(CURRENCY.FORMAT_2=0,CONCATENATE(TEXT(FIXED(ROUND(IF(EXC.RATE.SWITCH=1,C2754/EXC.RATE_2,C2754*EXC.RATE_2),CURRENCY.FORMAT_2),CURRENCY.FORMAT_2,1),"# ##0;-# ##0"),",-"),FIXED(ROUND(IF(EXC.RATE.SWITCH=1,C2754/EXC.RATE_2,C2754*EXC.RATE_2),CURRENCY.FORMAT_2),CURRENCY.FORMAT_2,0)),'DICTIONARY-5'!$A$2))</f>
        <v/>
      </c>
      <c r="L2754" s="670" t="str">
        <f>IFERROR(IF(CURRENCY.FORMAT_1=0,CONCATENATE(TEXT(FIXED(ROUND((C2754*(1-I2754)*(1-ADD.DISCOUNT)*(1+MAT.SURCHARGE)/EXC.RATE_1),CURRENCY.FORMAT_1),CURRENCY.FORMAT_1,1),"# ##0;-# ##0"),",-"),FIXED(ROUND((C2754*(1-I2754)*(1-ADD.DISCOUNT)*(1+MAT.SURCHARGE)/EXC.RATE_1),CURRENCY.FORMAT_1),CURRENCY.FORMAT_1,0)),'DICTIONARY-5'!$A$2)</f>
        <v>615,-</v>
      </c>
      <c r="M2754" s="670" t="str">
        <f>IF(EXC.RATE_2=0,"",IFERROR(IF(CURRENCY.FORMAT_2=0,CONCATENATE(TEXT(FIXED(ROUND(IF(EXC.RATE.SWITCH=1,C2754*(1-I2754)*(1-ADD.DISCOUNT)*(1+MAT.SURCHARGE)/EXC.RATE_2,C2754*(1-I2754)*(1-ADD.DISCOUNT)*(1+MAT.SURCHARGE)*EXC.RATE_2),CURRENCY.FORMAT_2),CURRENCY.FORMAT_2,1),"# ##0;-# ##0"),",-"),FIXED(ROUND(IF(EXC.RATE.SWITCH=1,C2754*(1-I2754)*(1-ADD.DISCOUNT)*(1+MAT.SURCHARGE)/EXC.RATE_2,C2754*(1-I2754)*(1-ADD.DISCOUNT)*(1+MAT.SURCHARGE)*EXC.RATE_2),CURRENCY.FORMAT_2),CURRENCY.FORMAT_2,0)),'DICTIONARY-5'!$A$2))</f>
        <v/>
      </c>
      <c r="N2754" s="535">
        <v>13</v>
      </c>
      <c r="O2754" s="535"/>
      <c r="P2754" s="731" t="str">
        <f>'DICTIONARY-3'!$A$2</f>
        <v>EKOplus</v>
      </c>
      <c r="Q2754" s="732" t="str">
        <f>'DICTIONARY-3'!$A$187</f>
        <v>Zasuwa klinowa</v>
      </c>
      <c r="R2754" s="732" t="str">
        <f>CONCATENATE('DICTIONARY-3'!$A$4," ",'DICTIONARY-6'!$A$3," ",UPPER('DICTIONARY-5'!$A$18)," ",'DICTIONARY-2'!$A$2,"100"," ",'DICTIONARY-2'!$A$5,"125"," ",'DICTIONARY-5'!$A$59," ",'DICTIONARY-2'!$A$10,"10",'DICTIONARY-2'!$A$20,", ",'DICTIONARY-4'!$A$2)</f>
        <v>EKOplus PE Zasuwa GAZ DN100 Da125 SDR 11 PS10bar, WW</v>
      </c>
      <c r="S2754" s="733" t="str">
        <f>'DICTIONARY-4'!$A$2</f>
        <v>WW</v>
      </c>
      <c r="T2754" s="732" t="str">
        <f>'DICTIONARY-4'!$A$18</f>
        <v>Wolny wałek</v>
      </c>
      <c r="U2754" s="734" t="s">
        <v>5749</v>
      </c>
      <c r="V2754" s="735"/>
      <c r="W2754" s="744" t="s">
        <v>5761</v>
      </c>
      <c r="X2754" s="737"/>
      <c r="Y2754" s="738"/>
      <c r="Z2754" s="739"/>
      <c r="AA2754" s="739"/>
      <c r="AB2754" s="740">
        <v>10</v>
      </c>
      <c r="AC2754" s="741" t="s">
        <v>5570</v>
      </c>
      <c r="AD2754" s="741" t="str">
        <f>'DICTIONARY-5'!$A$18</f>
        <v>gaz</v>
      </c>
      <c r="AE2754" s="742">
        <v>50</v>
      </c>
      <c r="AF2754" s="743">
        <v>24</v>
      </c>
      <c r="AG2754" s="741" t="str">
        <f>'DICTIONARY-5'!$A$23</f>
        <v>powłoka epoksydowa</v>
      </c>
    </row>
    <row r="2755" spans="1:33" x14ac:dyDescent="0.25">
      <c r="A2755" s="869" t="s">
        <v>2644</v>
      </c>
      <c r="B2755" s="869" t="str">
        <f>'DICTIONARY-5'!$A$2</f>
        <v>na zapytanie</v>
      </c>
      <c r="C2755" s="836" t="s">
        <v>5967</v>
      </c>
      <c r="D2755" s="836"/>
      <c r="E2755" s="836"/>
      <c r="F2755" s="836"/>
      <c r="G2755" s="496" t="s">
        <v>7852</v>
      </c>
      <c r="H2755" s="797" t="str">
        <f>VLOOKUP(G2755,SETTINGS!$B$7:$D$97,2,0)</f>
        <v>EKOplus Gas</v>
      </c>
      <c r="I2755" s="796">
        <f>VLOOKUP(G2755,SETTINGS!$B$7:$D$97,3,0)</f>
        <v>0</v>
      </c>
      <c r="J2755" s="670" t="str">
        <f>IFERROR(IF(CURRENCY.FORMAT_1=0,CONCATENATE(TEXT(FIXED(ROUND((C2755/EXC.RATE_1),CURRENCY.FORMAT_1),CURRENCY.FORMAT_1,1),"# ##0;-# ##0"),",-"),FIXED(ROUND((C2755/EXC.RATE_1),CURRENCY.FORMAT_1),CURRENCY.FORMAT_1,0)),'DICTIONARY-5'!$A$2)</f>
        <v>na zapytanie</v>
      </c>
      <c r="K2755" s="670" t="str">
        <f>IF(EXC.RATE_2=0,"",IFERROR(IF(CURRENCY.FORMAT_2=0,CONCATENATE(TEXT(FIXED(ROUND(IF(EXC.RATE.SWITCH=1,C2755/EXC.RATE_2,C2755*EXC.RATE_2),CURRENCY.FORMAT_2),CURRENCY.FORMAT_2,1),"# ##0;-# ##0"),",-"),FIXED(ROUND(IF(EXC.RATE.SWITCH=1,C2755/EXC.RATE_2,C2755*EXC.RATE_2),CURRENCY.FORMAT_2),CURRENCY.FORMAT_2,0)),'DICTIONARY-5'!$A$2))</f>
        <v/>
      </c>
      <c r="L2755" s="670" t="str">
        <f>IFERROR(IF(CURRENCY.FORMAT_1=0,CONCATENATE(TEXT(FIXED(ROUND((C2755*(1-I2755)*(1-ADD.DISCOUNT)*(1+MAT.SURCHARGE)/EXC.RATE_1),CURRENCY.FORMAT_1),CURRENCY.FORMAT_1,1),"# ##0;-# ##0"),",-"),FIXED(ROUND((C2755*(1-I2755)*(1-ADD.DISCOUNT)*(1+MAT.SURCHARGE)/EXC.RATE_1),CURRENCY.FORMAT_1),CURRENCY.FORMAT_1,0)),'DICTIONARY-5'!$A$2)</f>
        <v>na zapytanie</v>
      </c>
      <c r="M2755" s="670" t="str">
        <f>IF(EXC.RATE_2=0,"",IFERROR(IF(CURRENCY.FORMAT_2=0,CONCATENATE(TEXT(FIXED(ROUND(IF(EXC.RATE.SWITCH=1,C2755*(1-I2755)*(1-ADD.DISCOUNT)*(1+MAT.SURCHARGE)/EXC.RATE_2,C2755*(1-I2755)*(1-ADD.DISCOUNT)*(1+MAT.SURCHARGE)*EXC.RATE_2),CURRENCY.FORMAT_2),CURRENCY.FORMAT_2,1),"# ##0;-# ##0"),",-"),FIXED(ROUND(IF(EXC.RATE.SWITCH=1,C2755*(1-I2755)*(1-ADD.DISCOUNT)*(1+MAT.SURCHARGE)/EXC.RATE_2,C2755*(1-I2755)*(1-ADD.DISCOUNT)*(1+MAT.SURCHARGE)*EXC.RATE_2),CURRENCY.FORMAT_2),CURRENCY.FORMAT_2,0)),'DICTIONARY-5'!$A$2))</f>
        <v/>
      </c>
      <c r="N2755" s="535">
        <v>13</v>
      </c>
      <c r="O2755" s="535"/>
      <c r="P2755" s="731" t="str">
        <f>'DICTIONARY-3'!$A$2</f>
        <v>EKOplus</v>
      </c>
      <c r="Q2755" s="732" t="str">
        <f>'DICTIONARY-3'!$A$187</f>
        <v>Zasuwa klinowa</v>
      </c>
      <c r="R2755" s="732" t="str">
        <f>CONCATENATE('DICTIONARY-3'!$A$4," ",'DICTIONARY-6'!$A$3," ",UPPER('DICTIONARY-5'!$A$18)," ",'DICTIONARY-2'!$A$2,"125"," ",'DICTIONARY-2'!$A$5,"140"," ",'DICTIONARY-5'!$A$59," ",'DICTIONARY-2'!$A$10,"10",'DICTIONARY-2'!$A$20,", ",'DICTIONARY-4'!$A$2)</f>
        <v>EKOplus PE Zasuwa GAZ DN125 Da140 SDR 11 PS10bar, WW</v>
      </c>
      <c r="S2755" s="733" t="str">
        <f>'DICTIONARY-4'!$A$2</f>
        <v>WW</v>
      </c>
      <c r="T2755" s="732" t="str">
        <f>'DICTIONARY-4'!$A$18</f>
        <v>Wolny wałek</v>
      </c>
      <c r="U2755" s="734" t="s">
        <v>5761</v>
      </c>
      <c r="V2755" s="735"/>
      <c r="W2755" s="744" t="s">
        <v>7341</v>
      </c>
      <c r="X2755" s="737"/>
      <c r="Y2755" s="738"/>
      <c r="Z2755" s="739"/>
      <c r="AA2755" s="739"/>
      <c r="AB2755" s="740">
        <v>10</v>
      </c>
      <c r="AC2755" s="741" t="s">
        <v>5570</v>
      </c>
      <c r="AD2755" s="741" t="str">
        <f>'DICTIONARY-5'!$A$18</f>
        <v>gaz</v>
      </c>
      <c r="AE2755" s="742">
        <v>50</v>
      </c>
      <c r="AF2755" s="743"/>
      <c r="AG2755" s="741" t="str">
        <f>'DICTIONARY-5'!$A$23</f>
        <v>powłoka epoksydowa</v>
      </c>
    </row>
    <row r="2756" spans="1:33" x14ac:dyDescent="0.25">
      <c r="A2756" s="869" t="s">
        <v>2646</v>
      </c>
      <c r="B2756" s="869" t="s">
        <v>3432</v>
      </c>
      <c r="C2756" s="836">
        <v>899</v>
      </c>
      <c r="D2756" s="836"/>
      <c r="E2756" s="836"/>
      <c r="F2756" s="836"/>
      <c r="G2756" s="496" t="s">
        <v>7852</v>
      </c>
      <c r="H2756" s="797" t="str">
        <f>VLOOKUP(G2756,SETTINGS!$B$7:$D$97,2,0)</f>
        <v>EKOplus Gas</v>
      </c>
      <c r="I2756" s="796">
        <f>VLOOKUP(G2756,SETTINGS!$B$7:$D$97,3,0)</f>
        <v>0</v>
      </c>
      <c r="J2756" s="670" t="str">
        <f>IFERROR(IF(CURRENCY.FORMAT_1=0,CONCATENATE(TEXT(FIXED(ROUND((C2756/EXC.RATE_1),CURRENCY.FORMAT_1),CURRENCY.FORMAT_1,1),"# ##0;-# ##0"),",-"),FIXED(ROUND((C2756/EXC.RATE_1),CURRENCY.FORMAT_1),CURRENCY.FORMAT_1,0)),'DICTIONARY-5'!$A$2)</f>
        <v>899,-</v>
      </c>
      <c r="K2756" s="670" t="str">
        <f>IF(EXC.RATE_2=0,"",IFERROR(IF(CURRENCY.FORMAT_2=0,CONCATENATE(TEXT(FIXED(ROUND(IF(EXC.RATE.SWITCH=1,C2756/EXC.RATE_2,C2756*EXC.RATE_2),CURRENCY.FORMAT_2),CURRENCY.FORMAT_2,1),"# ##0;-# ##0"),",-"),FIXED(ROUND(IF(EXC.RATE.SWITCH=1,C2756/EXC.RATE_2,C2756*EXC.RATE_2),CURRENCY.FORMAT_2),CURRENCY.FORMAT_2,0)),'DICTIONARY-5'!$A$2))</f>
        <v/>
      </c>
      <c r="L2756" s="670" t="str">
        <f>IFERROR(IF(CURRENCY.FORMAT_1=0,CONCATENATE(TEXT(FIXED(ROUND((C2756*(1-I2756)*(1-ADD.DISCOUNT)*(1+MAT.SURCHARGE)/EXC.RATE_1),CURRENCY.FORMAT_1),CURRENCY.FORMAT_1,1),"# ##0;-# ##0"),",-"),FIXED(ROUND((C2756*(1-I2756)*(1-ADD.DISCOUNT)*(1+MAT.SURCHARGE)/EXC.RATE_1),CURRENCY.FORMAT_1),CURRENCY.FORMAT_1,0)),'DICTIONARY-5'!$A$2)</f>
        <v>934,-</v>
      </c>
      <c r="M2756" s="670" t="str">
        <f>IF(EXC.RATE_2=0,"",IFERROR(IF(CURRENCY.FORMAT_2=0,CONCATENATE(TEXT(FIXED(ROUND(IF(EXC.RATE.SWITCH=1,C2756*(1-I2756)*(1-ADD.DISCOUNT)*(1+MAT.SURCHARGE)/EXC.RATE_2,C2756*(1-I2756)*(1-ADD.DISCOUNT)*(1+MAT.SURCHARGE)*EXC.RATE_2),CURRENCY.FORMAT_2),CURRENCY.FORMAT_2,1),"# ##0;-# ##0"),",-"),FIXED(ROUND(IF(EXC.RATE.SWITCH=1,C2756*(1-I2756)*(1-ADD.DISCOUNT)*(1+MAT.SURCHARGE)/EXC.RATE_2,C2756*(1-I2756)*(1-ADD.DISCOUNT)*(1+MAT.SURCHARGE)*EXC.RATE_2),CURRENCY.FORMAT_2),CURRENCY.FORMAT_2,0)),'DICTIONARY-5'!$A$2))</f>
        <v/>
      </c>
      <c r="N2756" s="535">
        <v>13</v>
      </c>
      <c r="O2756" s="535"/>
      <c r="P2756" s="731" t="str">
        <f>'DICTIONARY-3'!$A$2</f>
        <v>EKOplus</v>
      </c>
      <c r="Q2756" s="732" t="str">
        <f>'DICTIONARY-3'!$A$187</f>
        <v>Zasuwa klinowa</v>
      </c>
      <c r="R2756" s="732" t="str">
        <f>CONCATENATE('DICTIONARY-3'!$A$4," ",'DICTIONARY-6'!$A$3," ",UPPER('DICTIONARY-5'!$A$18)," ",'DICTIONARY-2'!$A$2,"150"," ",'DICTIONARY-2'!$A$5,"160"," ",'DICTIONARY-5'!$A$59," ",'DICTIONARY-2'!$A$10,"10",'DICTIONARY-2'!$A$20,", ",'DICTIONARY-4'!$A$2)</f>
        <v>EKOplus PE Zasuwa GAZ DN150 Da160 SDR 11 PS10bar, WW</v>
      </c>
      <c r="S2756" s="733" t="str">
        <f>'DICTIONARY-4'!$A$2</f>
        <v>WW</v>
      </c>
      <c r="T2756" s="732" t="str">
        <f>'DICTIONARY-4'!$A$18</f>
        <v>Wolny wałek</v>
      </c>
      <c r="U2756" s="734" t="s">
        <v>5572</v>
      </c>
      <c r="V2756" s="735"/>
      <c r="W2756" s="744" t="s">
        <v>7342</v>
      </c>
      <c r="X2756" s="737"/>
      <c r="Y2756" s="738"/>
      <c r="Z2756" s="739"/>
      <c r="AA2756" s="739"/>
      <c r="AB2756" s="740">
        <v>10</v>
      </c>
      <c r="AC2756" s="741" t="s">
        <v>5570</v>
      </c>
      <c r="AD2756" s="741" t="str">
        <f>'DICTIONARY-5'!$A$18</f>
        <v>gaz</v>
      </c>
      <c r="AE2756" s="742">
        <v>50</v>
      </c>
      <c r="AF2756" s="743">
        <v>43.5</v>
      </c>
      <c r="AG2756" s="741" t="str">
        <f>'DICTIONARY-5'!$A$23</f>
        <v>powłoka epoksydowa</v>
      </c>
    </row>
    <row r="2757" spans="1:33" x14ac:dyDescent="0.25">
      <c r="A2757" s="869" t="s">
        <v>2648</v>
      </c>
      <c r="B2757" s="869" t="s">
        <v>3442</v>
      </c>
      <c r="C2757" s="836">
        <v>1019</v>
      </c>
      <c r="D2757" s="836"/>
      <c r="E2757" s="836"/>
      <c r="F2757" s="836"/>
      <c r="G2757" s="496" t="s">
        <v>7852</v>
      </c>
      <c r="H2757" s="797" t="str">
        <f>VLOOKUP(G2757,SETTINGS!$B$7:$D$97,2,0)</f>
        <v>EKOplus Gas</v>
      </c>
      <c r="I2757" s="796">
        <f>VLOOKUP(G2757,SETTINGS!$B$7:$D$97,3,0)</f>
        <v>0</v>
      </c>
      <c r="J2757" s="670" t="str">
        <f>IFERROR(IF(CURRENCY.FORMAT_1=0,CONCATENATE(TEXT(FIXED(ROUND((C2757/EXC.RATE_1),CURRENCY.FORMAT_1),CURRENCY.FORMAT_1,1),"# ##0;-# ##0"),",-"),FIXED(ROUND((C2757/EXC.RATE_1),CURRENCY.FORMAT_1),CURRENCY.FORMAT_1,0)),'DICTIONARY-5'!$A$2)</f>
        <v>1 019,-</v>
      </c>
      <c r="K2757" s="670" t="str">
        <f>IF(EXC.RATE_2=0,"",IFERROR(IF(CURRENCY.FORMAT_2=0,CONCATENATE(TEXT(FIXED(ROUND(IF(EXC.RATE.SWITCH=1,C2757/EXC.RATE_2,C2757*EXC.RATE_2),CURRENCY.FORMAT_2),CURRENCY.FORMAT_2,1),"# ##0;-# ##0"),",-"),FIXED(ROUND(IF(EXC.RATE.SWITCH=1,C2757/EXC.RATE_2,C2757*EXC.RATE_2),CURRENCY.FORMAT_2),CURRENCY.FORMAT_2,0)),'DICTIONARY-5'!$A$2))</f>
        <v/>
      </c>
      <c r="L2757" s="670" t="str">
        <f>IFERROR(IF(CURRENCY.FORMAT_1=0,CONCATENATE(TEXT(FIXED(ROUND((C2757*(1-I2757)*(1-ADD.DISCOUNT)*(1+MAT.SURCHARGE)/EXC.RATE_1),CURRENCY.FORMAT_1),CURRENCY.FORMAT_1,1),"# ##0;-# ##0"),",-"),FIXED(ROUND((C2757*(1-I2757)*(1-ADD.DISCOUNT)*(1+MAT.SURCHARGE)/EXC.RATE_1),CURRENCY.FORMAT_1),CURRENCY.FORMAT_1,0)),'DICTIONARY-5'!$A$2)</f>
        <v>1 059,-</v>
      </c>
      <c r="M2757" s="670" t="str">
        <f>IF(EXC.RATE_2=0,"",IFERROR(IF(CURRENCY.FORMAT_2=0,CONCATENATE(TEXT(FIXED(ROUND(IF(EXC.RATE.SWITCH=1,C2757*(1-I2757)*(1-ADD.DISCOUNT)*(1+MAT.SURCHARGE)/EXC.RATE_2,C2757*(1-I2757)*(1-ADD.DISCOUNT)*(1+MAT.SURCHARGE)*EXC.RATE_2),CURRENCY.FORMAT_2),CURRENCY.FORMAT_2,1),"# ##0;-# ##0"),",-"),FIXED(ROUND(IF(EXC.RATE.SWITCH=1,C2757*(1-I2757)*(1-ADD.DISCOUNT)*(1+MAT.SURCHARGE)/EXC.RATE_2,C2757*(1-I2757)*(1-ADD.DISCOUNT)*(1+MAT.SURCHARGE)*EXC.RATE_2),CURRENCY.FORMAT_2),CURRENCY.FORMAT_2,0)),'DICTIONARY-5'!$A$2))</f>
        <v/>
      </c>
      <c r="N2757" s="535">
        <v>13</v>
      </c>
      <c r="O2757" s="535"/>
      <c r="P2757" s="731" t="str">
        <f>'DICTIONARY-3'!$A$2</f>
        <v>EKOplus</v>
      </c>
      <c r="Q2757" s="732" t="str">
        <f>'DICTIONARY-3'!$A$187</f>
        <v>Zasuwa klinowa</v>
      </c>
      <c r="R2757" s="732" t="str">
        <f>CONCATENATE('DICTIONARY-3'!$A$4," ",'DICTIONARY-6'!$A$3," ",UPPER('DICTIONARY-5'!$A$18)," ",'DICTIONARY-2'!$A$2,"150"," ",'DICTIONARY-2'!$A$5,"180"," ",'DICTIONARY-5'!$A$59," ",'DICTIONARY-2'!$A$10,"10",'DICTIONARY-2'!$A$20,", ",'DICTIONARY-4'!$A$2)</f>
        <v>EKOplus PE Zasuwa GAZ DN150 Da180 SDR 11 PS10bar, WW</v>
      </c>
      <c r="S2757" s="733" t="str">
        <f>'DICTIONARY-4'!$A$2</f>
        <v>WW</v>
      </c>
      <c r="T2757" s="732" t="str">
        <f>'DICTIONARY-4'!$A$18</f>
        <v>Wolny wałek</v>
      </c>
      <c r="U2757" s="734" t="s">
        <v>5572</v>
      </c>
      <c r="V2757" s="735"/>
      <c r="W2757" s="744" t="s">
        <v>7343</v>
      </c>
      <c r="X2757" s="737"/>
      <c r="Y2757" s="738"/>
      <c r="Z2757" s="739"/>
      <c r="AA2757" s="739"/>
      <c r="AB2757" s="740">
        <v>10</v>
      </c>
      <c r="AC2757" s="741" t="s">
        <v>5570</v>
      </c>
      <c r="AD2757" s="741" t="str">
        <f>'DICTIONARY-5'!$A$18</f>
        <v>gaz</v>
      </c>
      <c r="AE2757" s="742">
        <v>50</v>
      </c>
      <c r="AF2757" s="743">
        <v>47.5</v>
      </c>
      <c r="AG2757" s="741" t="str">
        <f>'DICTIONARY-5'!$A$23</f>
        <v>powłoka epoksydowa</v>
      </c>
    </row>
    <row r="2758" spans="1:33" x14ac:dyDescent="0.25">
      <c r="A2758" s="869" t="s">
        <v>2650</v>
      </c>
      <c r="B2758" s="869" t="s">
        <v>3444</v>
      </c>
      <c r="C2758" s="836">
        <v>1401</v>
      </c>
      <c r="D2758" s="836"/>
      <c r="E2758" s="836"/>
      <c r="F2758" s="836"/>
      <c r="G2758" s="496" t="s">
        <v>7852</v>
      </c>
      <c r="H2758" s="797" t="str">
        <f>VLOOKUP(G2758,SETTINGS!$B$7:$D$97,2,0)</f>
        <v>EKOplus Gas</v>
      </c>
      <c r="I2758" s="796">
        <f>VLOOKUP(G2758,SETTINGS!$B$7:$D$97,3,0)</f>
        <v>0</v>
      </c>
      <c r="J2758" s="670" t="str">
        <f>IFERROR(IF(CURRENCY.FORMAT_1=0,CONCATENATE(TEXT(FIXED(ROUND((C2758/EXC.RATE_1),CURRENCY.FORMAT_1),CURRENCY.FORMAT_1,1),"# ##0;-# ##0"),",-"),FIXED(ROUND((C2758/EXC.RATE_1),CURRENCY.FORMAT_1),CURRENCY.FORMAT_1,0)),'DICTIONARY-5'!$A$2)</f>
        <v>1 401,-</v>
      </c>
      <c r="K2758" s="670" t="str">
        <f>IF(EXC.RATE_2=0,"",IFERROR(IF(CURRENCY.FORMAT_2=0,CONCATENATE(TEXT(FIXED(ROUND(IF(EXC.RATE.SWITCH=1,C2758/EXC.RATE_2,C2758*EXC.RATE_2),CURRENCY.FORMAT_2),CURRENCY.FORMAT_2,1),"# ##0;-# ##0"),",-"),FIXED(ROUND(IF(EXC.RATE.SWITCH=1,C2758/EXC.RATE_2,C2758*EXC.RATE_2),CURRENCY.FORMAT_2),CURRENCY.FORMAT_2,0)),'DICTIONARY-5'!$A$2))</f>
        <v/>
      </c>
      <c r="L2758" s="670" t="str">
        <f>IFERROR(IF(CURRENCY.FORMAT_1=0,CONCATENATE(TEXT(FIXED(ROUND((C2758*(1-I2758)*(1-ADD.DISCOUNT)*(1+MAT.SURCHARGE)/EXC.RATE_1),CURRENCY.FORMAT_1),CURRENCY.FORMAT_1,1),"# ##0;-# ##0"),",-"),FIXED(ROUND((C2758*(1-I2758)*(1-ADD.DISCOUNT)*(1+MAT.SURCHARGE)/EXC.RATE_1),CURRENCY.FORMAT_1),CURRENCY.FORMAT_1,0)),'DICTIONARY-5'!$A$2)</f>
        <v>1 456,-</v>
      </c>
      <c r="M2758" s="670" t="str">
        <f>IF(EXC.RATE_2=0,"",IFERROR(IF(CURRENCY.FORMAT_2=0,CONCATENATE(TEXT(FIXED(ROUND(IF(EXC.RATE.SWITCH=1,C2758*(1-I2758)*(1-ADD.DISCOUNT)*(1+MAT.SURCHARGE)/EXC.RATE_2,C2758*(1-I2758)*(1-ADD.DISCOUNT)*(1+MAT.SURCHARGE)*EXC.RATE_2),CURRENCY.FORMAT_2),CURRENCY.FORMAT_2,1),"# ##0;-# ##0"),",-"),FIXED(ROUND(IF(EXC.RATE.SWITCH=1,C2758*(1-I2758)*(1-ADD.DISCOUNT)*(1+MAT.SURCHARGE)/EXC.RATE_2,C2758*(1-I2758)*(1-ADD.DISCOUNT)*(1+MAT.SURCHARGE)*EXC.RATE_2),CURRENCY.FORMAT_2),CURRENCY.FORMAT_2,0)),'DICTIONARY-5'!$A$2))</f>
        <v/>
      </c>
      <c r="N2758" s="535">
        <v>13</v>
      </c>
      <c r="O2758" s="535"/>
      <c r="P2758" s="731" t="str">
        <f>'DICTIONARY-3'!$A$2</f>
        <v>EKOplus</v>
      </c>
      <c r="Q2758" s="732" t="str">
        <f>'DICTIONARY-3'!$A$187</f>
        <v>Zasuwa klinowa</v>
      </c>
      <c r="R2758" s="732" t="str">
        <f>CONCATENATE('DICTIONARY-3'!$A$4," ",'DICTIONARY-6'!$A$3," ",UPPER('DICTIONARY-5'!$A$18)," ",'DICTIONARY-2'!$A$2,"200"," ",'DICTIONARY-2'!$A$5,"200"," ",'DICTIONARY-5'!$A$59," ",'DICTIONARY-2'!$A$10,"10",'DICTIONARY-2'!$A$20,", ",'DICTIONARY-4'!$A$2)</f>
        <v>EKOplus PE Zasuwa GAZ DN200 Da200 SDR 11 PS10bar, WW</v>
      </c>
      <c r="S2758" s="733" t="str">
        <f>'DICTIONARY-4'!$A$2</f>
        <v>WW</v>
      </c>
      <c r="T2758" s="732" t="str">
        <f>'DICTIONARY-4'!$A$18</f>
        <v>Wolny wałek</v>
      </c>
      <c r="U2758" s="734" t="s">
        <v>5750</v>
      </c>
      <c r="V2758" s="735"/>
      <c r="W2758" s="744" t="s">
        <v>5750</v>
      </c>
      <c r="X2758" s="737"/>
      <c r="Y2758" s="738"/>
      <c r="Z2758" s="739"/>
      <c r="AA2758" s="739"/>
      <c r="AB2758" s="740">
        <v>10</v>
      </c>
      <c r="AC2758" s="741" t="s">
        <v>5570</v>
      </c>
      <c r="AD2758" s="741" t="str">
        <f>'DICTIONARY-5'!$A$18</f>
        <v>gaz</v>
      </c>
      <c r="AE2758" s="742">
        <v>50</v>
      </c>
      <c r="AF2758" s="743">
        <v>81.5</v>
      </c>
      <c r="AG2758" s="741" t="str">
        <f>'DICTIONARY-5'!$A$23</f>
        <v>powłoka epoksydowa</v>
      </c>
    </row>
    <row r="2759" spans="1:33" x14ac:dyDescent="0.25">
      <c r="A2759" s="869" t="s">
        <v>2652</v>
      </c>
      <c r="B2759" s="869" t="s">
        <v>3434</v>
      </c>
      <c r="C2759" s="836">
        <v>1576</v>
      </c>
      <c r="D2759" s="836"/>
      <c r="E2759" s="836"/>
      <c r="F2759" s="836"/>
      <c r="G2759" s="496" t="s">
        <v>7852</v>
      </c>
      <c r="H2759" s="797" t="str">
        <f>VLOOKUP(G2759,SETTINGS!$B$7:$D$97,2,0)</f>
        <v>EKOplus Gas</v>
      </c>
      <c r="I2759" s="796">
        <f>VLOOKUP(G2759,SETTINGS!$B$7:$D$97,3,0)</f>
        <v>0</v>
      </c>
      <c r="J2759" s="670" t="str">
        <f>IFERROR(IF(CURRENCY.FORMAT_1=0,CONCATENATE(TEXT(FIXED(ROUND((C2759/EXC.RATE_1),CURRENCY.FORMAT_1),CURRENCY.FORMAT_1,1),"# ##0;-# ##0"),",-"),FIXED(ROUND((C2759/EXC.RATE_1),CURRENCY.FORMAT_1),CURRENCY.FORMAT_1,0)),'DICTIONARY-5'!$A$2)</f>
        <v>1 576,-</v>
      </c>
      <c r="K2759" s="670" t="str">
        <f>IF(EXC.RATE_2=0,"",IFERROR(IF(CURRENCY.FORMAT_2=0,CONCATENATE(TEXT(FIXED(ROUND(IF(EXC.RATE.SWITCH=1,C2759/EXC.RATE_2,C2759*EXC.RATE_2),CURRENCY.FORMAT_2),CURRENCY.FORMAT_2,1),"# ##0;-# ##0"),",-"),FIXED(ROUND(IF(EXC.RATE.SWITCH=1,C2759/EXC.RATE_2,C2759*EXC.RATE_2),CURRENCY.FORMAT_2),CURRENCY.FORMAT_2,0)),'DICTIONARY-5'!$A$2))</f>
        <v/>
      </c>
      <c r="L2759" s="670" t="str">
        <f>IFERROR(IF(CURRENCY.FORMAT_1=0,CONCATENATE(TEXT(FIXED(ROUND((C2759*(1-I2759)*(1-ADD.DISCOUNT)*(1+MAT.SURCHARGE)/EXC.RATE_1),CURRENCY.FORMAT_1),CURRENCY.FORMAT_1,1),"# ##0;-# ##0"),",-"),FIXED(ROUND((C2759*(1-I2759)*(1-ADD.DISCOUNT)*(1+MAT.SURCHARGE)/EXC.RATE_1),CURRENCY.FORMAT_1),CURRENCY.FORMAT_1,0)),'DICTIONARY-5'!$A$2)</f>
        <v>1 637,-</v>
      </c>
      <c r="M2759" s="670" t="str">
        <f>IF(EXC.RATE_2=0,"",IFERROR(IF(CURRENCY.FORMAT_2=0,CONCATENATE(TEXT(FIXED(ROUND(IF(EXC.RATE.SWITCH=1,C2759*(1-I2759)*(1-ADD.DISCOUNT)*(1+MAT.SURCHARGE)/EXC.RATE_2,C2759*(1-I2759)*(1-ADD.DISCOUNT)*(1+MAT.SURCHARGE)*EXC.RATE_2),CURRENCY.FORMAT_2),CURRENCY.FORMAT_2,1),"# ##0;-# ##0"),",-"),FIXED(ROUND(IF(EXC.RATE.SWITCH=1,C2759*(1-I2759)*(1-ADD.DISCOUNT)*(1+MAT.SURCHARGE)/EXC.RATE_2,C2759*(1-I2759)*(1-ADD.DISCOUNT)*(1+MAT.SURCHARGE)*EXC.RATE_2),CURRENCY.FORMAT_2),CURRENCY.FORMAT_2,0)),'DICTIONARY-5'!$A$2))</f>
        <v/>
      </c>
      <c r="N2759" s="535">
        <v>13</v>
      </c>
      <c r="O2759" s="535"/>
      <c r="P2759" s="731" t="str">
        <f>'DICTIONARY-3'!$A$2</f>
        <v>EKOplus</v>
      </c>
      <c r="Q2759" s="732" t="str">
        <f>'DICTIONARY-3'!$A$187</f>
        <v>Zasuwa klinowa</v>
      </c>
      <c r="R2759" s="732" t="str">
        <f>CONCATENATE('DICTIONARY-3'!$A$4," ",'DICTIONARY-6'!$A$3," ",UPPER('DICTIONARY-5'!$A$18)," ",'DICTIONARY-2'!$A$2,"200"," ",'DICTIONARY-2'!$A$5,"225"," ",'DICTIONARY-5'!$A$59," ",'DICTIONARY-2'!$A$10,"10",'DICTIONARY-2'!$A$20,", ",'DICTIONARY-4'!$A$2)</f>
        <v>EKOplus PE Zasuwa GAZ DN200 Da225 SDR 11 PS10bar, WW</v>
      </c>
      <c r="S2759" s="733" t="str">
        <f>'DICTIONARY-4'!$A$2</f>
        <v>WW</v>
      </c>
      <c r="T2759" s="732" t="str">
        <f>'DICTIONARY-4'!$A$18</f>
        <v>Wolny wałek</v>
      </c>
      <c r="U2759" s="734" t="s">
        <v>5750</v>
      </c>
      <c r="V2759" s="735"/>
      <c r="W2759" s="744" t="s">
        <v>5833</v>
      </c>
      <c r="X2759" s="737"/>
      <c r="Y2759" s="738"/>
      <c r="Z2759" s="739"/>
      <c r="AA2759" s="739"/>
      <c r="AB2759" s="740">
        <v>10</v>
      </c>
      <c r="AC2759" s="741" t="s">
        <v>5570</v>
      </c>
      <c r="AD2759" s="741" t="str">
        <f>'DICTIONARY-5'!$A$18</f>
        <v>gaz</v>
      </c>
      <c r="AE2759" s="742">
        <v>50</v>
      </c>
      <c r="AF2759" s="743">
        <v>87.5</v>
      </c>
      <c r="AG2759" s="741" t="str">
        <f>'DICTIONARY-5'!$A$23</f>
        <v>powłoka epoksydowa</v>
      </c>
    </row>
    <row r="2760" spans="1:33" x14ac:dyDescent="0.25">
      <c r="A2760" s="869" t="s">
        <v>2654</v>
      </c>
      <c r="B2760" s="869" t="s">
        <v>3446</v>
      </c>
      <c r="C2760" s="836">
        <v>3837</v>
      </c>
      <c r="D2760" s="836"/>
      <c r="E2760" s="836"/>
      <c r="F2760" s="836"/>
      <c r="G2760" s="496" t="s">
        <v>7852</v>
      </c>
      <c r="H2760" s="797" t="str">
        <f>VLOOKUP(G2760,SETTINGS!$B$7:$D$97,2,0)</f>
        <v>EKOplus Gas</v>
      </c>
      <c r="I2760" s="796">
        <f>VLOOKUP(G2760,SETTINGS!$B$7:$D$97,3,0)</f>
        <v>0</v>
      </c>
      <c r="J2760" s="670" t="str">
        <f>IFERROR(IF(CURRENCY.FORMAT_1=0,CONCATENATE(TEXT(FIXED(ROUND((C2760/EXC.RATE_1),CURRENCY.FORMAT_1),CURRENCY.FORMAT_1,1),"# ##0;-# ##0"),",-"),FIXED(ROUND((C2760/EXC.RATE_1),CURRENCY.FORMAT_1),CURRENCY.FORMAT_1,0)),'DICTIONARY-5'!$A$2)</f>
        <v>3 837,-</v>
      </c>
      <c r="K2760" s="670" t="str">
        <f>IF(EXC.RATE_2=0,"",IFERROR(IF(CURRENCY.FORMAT_2=0,CONCATENATE(TEXT(FIXED(ROUND(IF(EXC.RATE.SWITCH=1,C2760/EXC.RATE_2,C2760*EXC.RATE_2),CURRENCY.FORMAT_2),CURRENCY.FORMAT_2,1),"# ##0;-# ##0"),",-"),FIXED(ROUND(IF(EXC.RATE.SWITCH=1,C2760/EXC.RATE_2,C2760*EXC.RATE_2),CURRENCY.FORMAT_2),CURRENCY.FORMAT_2,0)),'DICTIONARY-5'!$A$2))</f>
        <v/>
      </c>
      <c r="L2760" s="670" t="str">
        <f>IFERROR(IF(CURRENCY.FORMAT_1=0,CONCATENATE(TEXT(FIXED(ROUND((C2760*(1-I2760)*(1-ADD.DISCOUNT)*(1+MAT.SURCHARGE)/EXC.RATE_1),CURRENCY.FORMAT_1),CURRENCY.FORMAT_1,1),"# ##0;-# ##0"),",-"),FIXED(ROUND((C2760*(1-I2760)*(1-ADD.DISCOUNT)*(1+MAT.SURCHARGE)/EXC.RATE_1),CURRENCY.FORMAT_1),CURRENCY.FORMAT_1,0)),'DICTIONARY-5'!$A$2)</f>
        <v>3 987,-</v>
      </c>
      <c r="M2760" s="670" t="str">
        <f>IF(EXC.RATE_2=0,"",IFERROR(IF(CURRENCY.FORMAT_2=0,CONCATENATE(TEXT(FIXED(ROUND(IF(EXC.RATE.SWITCH=1,C2760*(1-I2760)*(1-ADD.DISCOUNT)*(1+MAT.SURCHARGE)/EXC.RATE_2,C2760*(1-I2760)*(1-ADD.DISCOUNT)*(1+MAT.SURCHARGE)*EXC.RATE_2),CURRENCY.FORMAT_2),CURRENCY.FORMAT_2,1),"# ##0;-# ##0"),",-"),FIXED(ROUND(IF(EXC.RATE.SWITCH=1,C2760*(1-I2760)*(1-ADD.DISCOUNT)*(1+MAT.SURCHARGE)/EXC.RATE_2,C2760*(1-I2760)*(1-ADD.DISCOUNT)*(1+MAT.SURCHARGE)*EXC.RATE_2),CURRENCY.FORMAT_2),CURRENCY.FORMAT_2,0)),'DICTIONARY-5'!$A$2))</f>
        <v/>
      </c>
      <c r="N2760" s="535">
        <v>13</v>
      </c>
      <c r="O2760" s="535"/>
      <c r="P2760" s="731" t="str">
        <f>'DICTIONARY-3'!$A$2</f>
        <v>EKOplus</v>
      </c>
      <c r="Q2760" s="732" t="str">
        <f>'DICTIONARY-3'!$A$187</f>
        <v>Zasuwa klinowa</v>
      </c>
      <c r="R2760" s="732" t="str">
        <f>CONCATENATE('DICTIONARY-3'!$A$4," ",'DICTIONARY-6'!$A$3," ",UPPER('DICTIONARY-5'!$A$18)," ",'DICTIONARY-2'!$A$2,"250"," ",'DICTIONARY-2'!$A$5,"250"," ",'DICTIONARY-5'!$A$59," ",'DICTIONARY-2'!$A$10,"10",'DICTIONARY-2'!$A$20,", ",'DICTIONARY-4'!$A$2)</f>
        <v>EKOplus PE Zasuwa GAZ DN250 Da250 SDR 11 PS10bar, WW</v>
      </c>
      <c r="S2760" s="733" t="str">
        <f>'DICTIONARY-4'!$A$2</f>
        <v>WW</v>
      </c>
      <c r="T2760" s="732" t="str">
        <f>'DICTIONARY-4'!$A$18</f>
        <v>Wolny wałek</v>
      </c>
      <c r="U2760" s="734" t="s">
        <v>5751</v>
      </c>
      <c r="V2760" s="735"/>
      <c r="W2760" s="744" t="s">
        <v>5751</v>
      </c>
      <c r="X2760" s="737"/>
      <c r="Y2760" s="738"/>
      <c r="Z2760" s="739"/>
      <c r="AA2760" s="739"/>
      <c r="AB2760" s="740">
        <v>10</v>
      </c>
      <c r="AC2760" s="741" t="s">
        <v>5570</v>
      </c>
      <c r="AD2760" s="741" t="str">
        <f>'DICTIONARY-5'!$A$18</f>
        <v>gaz</v>
      </c>
      <c r="AE2760" s="742">
        <v>50</v>
      </c>
      <c r="AF2760" s="743">
        <v>167</v>
      </c>
      <c r="AG2760" s="741" t="str">
        <f>'DICTIONARY-5'!$A$23</f>
        <v>powłoka epoksydowa</v>
      </c>
    </row>
    <row r="2761" spans="1:33" x14ac:dyDescent="0.25">
      <c r="A2761" s="869" t="s">
        <v>2656</v>
      </c>
      <c r="B2761" s="869" t="s">
        <v>3436</v>
      </c>
      <c r="C2761" s="836">
        <v>3449</v>
      </c>
      <c r="D2761" s="836"/>
      <c r="E2761" s="836"/>
      <c r="F2761" s="836"/>
      <c r="G2761" s="496" t="s">
        <v>7852</v>
      </c>
      <c r="H2761" s="797" t="str">
        <f>VLOOKUP(G2761,SETTINGS!$B$7:$D$97,2,0)</f>
        <v>EKOplus Gas</v>
      </c>
      <c r="I2761" s="796">
        <f>VLOOKUP(G2761,SETTINGS!$B$7:$D$97,3,0)</f>
        <v>0</v>
      </c>
      <c r="J2761" s="670" t="str">
        <f>IFERROR(IF(CURRENCY.FORMAT_1=0,CONCATENATE(TEXT(FIXED(ROUND((C2761/EXC.RATE_1),CURRENCY.FORMAT_1),CURRENCY.FORMAT_1,1),"# ##0;-# ##0"),",-"),FIXED(ROUND((C2761/EXC.RATE_1),CURRENCY.FORMAT_1),CURRENCY.FORMAT_1,0)),'DICTIONARY-5'!$A$2)</f>
        <v>3 449,-</v>
      </c>
      <c r="K2761" s="670" t="str">
        <f>IF(EXC.RATE_2=0,"",IFERROR(IF(CURRENCY.FORMAT_2=0,CONCATENATE(TEXT(FIXED(ROUND(IF(EXC.RATE.SWITCH=1,C2761/EXC.RATE_2,C2761*EXC.RATE_2),CURRENCY.FORMAT_2),CURRENCY.FORMAT_2,1),"# ##0;-# ##0"),",-"),FIXED(ROUND(IF(EXC.RATE.SWITCH=1,C2761/EXC.RATE_2,C2761*EXC.RATE_2),CURRENCY.FORMAT_2),CURRENCY.FORMAT_2,0)),'DICTIONARY-5'!$A$2))</f>
        <v/>
      </c>
      <c r="L2761" s="670" t="str">
        <f>IFERROR(IF(CURRENCY.FORMAT_1=0,CONCATENATE(TEXT(FIXED(ROUND((C2761*(1-I2761)*(1-ADD.DISCOUNT)*(1+MAT.SURCHARGE)/EXC.RATE_1),CURRENCY.FORMAT_1),CURRENCY.FORMAT_1,1),"# ##0;-# ##0"),",-"),FIXED(ROUND((C2761*(1-I2761)*(1-ADD.DISCOUNT)*(1+MAT.SURCHARGE)/EXC.RATE_1),CURRENCY.FORMAT_1),CURRENCY.FORMAT_1,0)),'DICTIONARY-5'!$A$2)</f>
        <v>3 584,-</v>
      </c>
      <c r="M2761" s="670" t="str">
        <f>IF(EXC.RATE_2=0,"",IFERROR(IF(CURRENCY.FORMAT_2=0,CONCATENATE(TEXT(FIXED(ROUND(IF(EXC.RATE.SWITCH=1,C2761*(1-I2761)*(1-ADD.DISCOUNT)*(1+MAT.SURCHARGE)/EXC.RATE_2,C2761*(1-I2761)*(1-ADD.DISCOUNT)*(1+MAT.SURCHARGE)*EXC.RATE_2),CURRENCY.FORMAT_2),CURRENCY.FORMAT_2,1),"# ##0;-# ##0"),",-"),FIXED(ROUND(IF(EXC.RATE.SWITCH=1,C2761*(1-I2761)*(1-ADD.DISCOUNT)*(1+MAT.SURCHARGE)/EXC.RATE_2,C2761*(1-I2761)*(1-ADD.DISCOUNT)*(1+MAT.SURCHARGE)*EXC.RATE_2),CURRENCY.FORMAT_2),CURRENCY.FORMAT_2,0)),'DICTIONARY-5'!$A$2))</f>
        <v/>
      </c>
      <c r="N2761" s="535">
        <v>13</v>
      </c>
      <c r="O2761" s="535"/>
      <c r="P2761" s="731" t="str">
        <f>'DICTIONARY-3'!$A$2</f>
        <v>EKOplus</v>
      </c>
      <c r="Q2761" s="732" t="str">
        <f>'DICTIONARY-3'!$A$187</f>
        <v>Zasuwa klinowa</v>
      </c>
      <c r="R2761" s="732" t="str">
        <f>CONCATENATE('DICTIONARY-3'!$A$4," ",'DICTIONARY-6'!$A$3," ",UPPER('DICTIONARY-5'!$A$18)," ",'DICTIONARY-2'!$A$2,"250"," ",'DICTIONARY-2'!$A$5,"280"," ",'DICTIONARY-5'!$A$59," ",'DICTIONARY-2'!$A$10,"10",'DICTIONARY-2'!$A$20,", ",'DICTIONARY-4'!$A$2)</f>
        <v>EKOplus PE Zasuwa GAZ DN250 Da280 SDR 11 PS10bar, WW</v>
      </c>
      <c r="S2761" s="733" t="str">
        <f>'DICTIONARY-4'!$A$2</f>
        <v>WW</v>
      </c>
      <c r="T2761" s="732" t="str">
        <f>'DICTIONARY-4'!$A$18</f>
        <v>Wolny wałek</v>
      </c>
      <c r="U2761" s="734" t="s">
        <v>5751</v>
      </c>
      <c r="V2761" s="735"/>
      <c r="W2761" s="744" t="s">
        <v>7344</v>
      </c>
      <c r="X2761" s="737"/>
      <c r="Y2761" s="738"/>
      <c r="Z2761" s="739"/>
      <c r="AA2761" s="739"/>
      <c r="AB2761" s="740">
        <v>10</v>
      </c>
      <c r="AC2761" s="741" t="s">
        <v>5570</v>
      </c>
      <c r="AD2761" s="741" t="str">
        <f>'DICTIONARY-5'!$A$18</f>
        <v>gaz</v>
      </c>
      <c r="AE2761" s="742">
        <v>50</v>
      </c>
      <c r="AF2761" s="743">
        <v>169</v>
      </c>
      <c r="AG2761" s="741" t="str">
        <f>'DICTIONARY-5'!$A$23</f>
        <v>powłoka epoksydowa</v>
      </c>
    </row>
    <row r="2762" spans="1:33" x14ac:dyDescent="0.25">
      <c r="A2762" s="869" t="s">
        <v>2658</v>
      </c>
      <c r="B2762" s="869" t="s">
        <v>3438</v>
      </c>
      <c r="C2762" s="836">
        <v>4057</v>
      </c>
      <c r="D2762" s="836"/>
      <c r="E2762" s="836"/>
      <c r="F2762" s="836"/>
      <c r="G2762" s="496" t="s">
        <v>7852</v>
      </c>
      <c r="H2762" s="797" t="str">
        <f>VLOOKUP(G2762,SETTINGS!$B$7:$D$97,2,0)</f>
        <v>EKOplus Gas</v>
      </c>
      <c r="I2762" s="796">
        <f>VLOOKUP(G2762,SETTINGS!$B$7:$D$97,3,0)</f>
        <v>0</v>
      </c>
      <c r="J2762" s="670" t="str">
        <f>IFERROR(IF(CURRENCY.FORMAT_1=0,CONCATENATE(TEXT(FIXED(ROUND((C2762/EXC.RATE_1),CURRENCY.FORMAT_1),CURRENCY.FORMAT_1,1),"# ##0;-# ##0"),",-"),FIXED(ROUND((C2762/EXC.RATE_1),CURRENCY.FORMAT_1),CURRENCY.FORMAT_1,0)),'DICTIONARY-5'!$A$2)</f>
        <v>4 057,-</v>
      </c>
      <c r="K2762" s="670" t="str">
        <f>IF(EXC.RATE_2=0,"",IFERROR(IF(CURRENCY.FORMAT_2=0,CONCATENATE(TEXT(FIXED(ROUND(IF(EXC.RATE.SWITCH=1,C2762/EXC.RATE_2,C2762*EXC.RATE_2),CURRENCY.FORMAT_2),CURRENCY.FORMAT_2,1),"# ##0;-# ##0"),",-"),FIXED(ROUND(IF(EXC.RATE.SWITCH=1,C2762/EXC.RATE_2,C2762*EXC.RATE_2),CURRENCY.FORMAT_2),CURRENCY.FORMAT_2,0)),'DICTIONARY-5'!$A$2))</f>
        <v/>
      </c>
      <c r="L2762" s="670" t="str">
        <f>IFERROR(IF(CURRENCY.FORMAT_1=0,CONCATENATE(TEXT(FIXED(ROUND((C2762*(1-I2762)*(1-ADD.DISCOUNT)*(1+MAT.SURCHARGE)/EXC.RATE_1),CURRENCY.FORMAT_1),CURRENCY.FORMAT_1,1),"# ##0;-# ##0"),",-"),FIXED(ROUND((C2762*(1-I2762)*(1-ADD.DISCOUNT)*(1+MAT.SURCHARGE)/EXC.RATE_1),CURRENCY.FORMAT_1),CURRENCY.FORMAT_1,0)),'DICTIONARY-5'!$A$2)</f>
        <v>4 215,-</v>
      </c>
      <c r="M2762" s="670" t="str">
        <f>IF(EXC.RATE_2=0,"",IFERROR(IF(CURRENCY.FORMAT_2=0,CONCATENATE(TEXT(FIXED(ROUND(IF(EXC.RATE.SWITCH=1,C2762*(1-I2762)*(1-ADD.DISCOUNT)*(1+MAT.SURCHARGE)/EXC.RATE_2,C2762*(1-I2762)*(1-ADD.DISCOUNT)*(1+MAT.SURCHARGE)*EXC.RATE_2),CURRENCY.FORMAT_2),CURRENCY.FORMAT_2,1),"# ##0;-# ##0"),",-"),FIXED(ROUND(IF(EXC.RATE.SWITCH=1,C2762*(1-I2762)*(1-ADD.DISCOUNT)*(1+MAT.SURCHARGE)/EXC.RATE_2,C2762*(1-I2762)*(1-ADD.DISCOUNT)*(1+MAT.SURCHARGE)*EXC.RATE_2),CURRENCY.FORMAT_2),CURRENCY.FORMAT_2,0)),'DICTIONARY-5'!$A$2))</f>
        <v/>
      </c>
      <c r="N2762" s="535">
        <v>13</v>
      </c>
      <c r="O2762" s="535"/>
      <c r="P2762" s="731" t="str">
        <f>'DICTIONARY-3'!$A$2</f>
        <v>EKOplus</v>
      </c>
      <c r="Q2762" s="732" t="str">
        <f>'DICTIONARY-3'!$A$187</f>
        <v>Zasuwa klinowa</v>
      </c>
      <c r="R2762" s="732" t="str">
        <f>CONCATENATE('DICTIONARY-3'!$A$4," ",'DICTIONARY-6'!$A$3," ",UPPER('DICTIONARY-5'!$A$18)," ",'DICTIONARY-2'!$A$2,"300"," ",'DICTIONARY-2'!$A$5,"315"," ",'DICTIONARY-5'!$A$59," ",'DICTIONARY-2'!$A$10,"10",'DICTIONARY-2'!$A$20,", ",'DICTIONARY-4'!$A$2)</f>
        <v>EKOplus PE Zasuwa GAZ DN300 Da315 SDR 11 PS10bar, WW</v>
      </c>
      <c r="S2762" s="733" t="str">
        <f>'DICTIONARY-4'!$A$2</f>
        <v>WW</v>
      </c>
      <c r="T2762" s="732" t="str">
        <f>'DICTIONARY-4'!$A$18</f>
        <v>Wolny wałek</v>
      </c>
      <c r="U2762" s="734" t="s">
        <v>5752</v>
      </c>
      <c r="V2762" s="735"/>
      <c r="W2762" s="744" t="s">
        <v>7345</v>
      </c>
      <c r="X2762" s="737"/>
      <c r="Y2762" s="738"/>
      <c r="Z2762" s="739"/>
      <c r="AA2762" s="739"/>
      <c r="AB2762" s="740">
        <v>10</v>
      </c>
      <c r="AC2762" s="741" t="s">
        <v>5570</v>
      </c>
      <c r="AD2762" s="741" t="str">
        <f>'DICTIONARY-5'!$A$18</f>
        <v>gaz</v>
      </c>
      <c r="AE2762" s="742">
        <v>50</v>
      </c>
      <c r="AF2762" s="743">
        <v>223</v>
      </c>
      <c r="AG2762" s="741" t="str">
        <f>'DICTIONARY-5'!$A$23</f>
        <v>powłoka epoksydowa</v>
      </c>
    </row>
    <row r="2763" spans="1:33" x14ac:dyDescent="0.25">
      <c r="A2763" s="869" t="s">
        <v>2635</v>
      </c>
      <c r="B2763" s="869" t="str">
        <f>'DICTIONARY-5'!$A$2</f>
        <v>na zapytanie</v>
      </c>
      <c r="C2763" s="836" t="s">
        <v>5967</v>
      </c>
      <c r="D2763" s="836"/>
      <c r="E2763" s="836"/>
      <c r="F2763" s="836"/>
      <c r="G2763" s="496" t="s">
        <v>7852</v>
      </c>
      <c r="H2763" s="797" t="str">
        <f>VLOOKUP(G2763,SETTINGS!$B$7:$D$97,2,0)</f>
        <v>EKOplus Gas</v>
      </c>
      <c r="I2763" s="796">
        <f>VLOOKUP(G2763,SETTINGS!$B$7:$D$97,3,0)</f>
        <v>0</v>
      </c>
      <c r="J2763" s="670" t="str">
        <f>IFERROR(IF(CURRENCY.FORMAT_1=0,CONCATENATE(TEXT(FIXED(ROUND((C2763/EXC.RATE_1),CURRENCY.FORMAT_1),CURRENCY.FORMAT_1,1),"# ##0;-# ##0"),",-"),FIXED(ROUND((C2763/EXC.RATE_1),CURRENCY.FORMAT_1),CURRENCY.FORMAT_1,0)),'DICTIONARY-5'!$A$2)</f>
        <v>na zapytanie</v>
      </c>
      <c r="K2763" s="670" t="str">
        <f>IF(EXC.RATE_2=0,"",IFERROR(IF(CURRENCY.FORMAT_2=0,CONCATENATE(TEXT(FIXED(ROUND(IF(EXC.RATE.SWITCH=1,C2763/EXC.RATE_2,C2763*EXC.RATE_2),CURRENCY.FORMAT_2),CURRENCY.FORMAT_2,1),"# ##0;-# ##0"),",-"),FIXED(ROUND(IF(EXC.RATE.SWITCH=1,C2763/EXC.RATE_2,C2763*EXC.RATE_2),CURRENCY.FORMAT_2),CURRENCY.FORMAT_2,0)),'DICTIONARY-5'!$A$2))</f>
        <v/>
      </c>
      <c r="L2763" s="670" t="str">
        <f>IFERROR(IF(CURRENCY.FORMAT_1=0,CONCATENATE(TEXT(FIXED(ROUND((C2763*(1-I2763)*(1-ADD.DISCOUNT)*(1+MAT.SURCHARGE)/EXC.RATE_1),CURRENCY.FORMAT_1),CURRENCY.FORMAT_1,1),"# ##0;-# ##0"),",-"),FIXED(ROUND((C2763*(1-I2763)*(1-ADD.DISCOUNT)*(1+MAT.SURCHARGE)/EXC.RATE_1),CURRENCY.FORMAT_1),CURRENCY.FORMAT_1,0)),'DICTIONARY-5'!$A$2)</f>
        <v>na zapytanie</v>
      </c>
      <c r="M2763" s="670" t="str">
        <f>IF(EXC.RATE_2=0,"",IFERROR(IF(CURRENCY.FORMAT_2=0,CONCATENATE(TEXT(FIXED(ROUND(IF(EXC.RATE.SWITCH=1,C2763*(1-I2763)*(1-ADD.DISCOUNT)*(1+MAT.SURCHARGE)/EXC.RATE_2,C2763*(1-I2763)*(1-ADD.DISCOUNT)*(1+MAT.SURCHARGE)*EXC.RATE_2),CURRENCY.FORMAT_2),CURRENCY.FORMAT_2,1),"# ##0;-# ##0"),",-"),FIXED(ROUND(IF(EXC.RATE.SWITCH=1,C2763*(1-I2763)*(1-ADD.DISCOUNT)*(1+MAT.SURCHARGE)/EXC.RATE_2,C2763*(1-I2763)*(1-ADD.DISCOUNT)*(1+MAT.SURCHARGE)*EXC.RATE_2),CURRENCY.FORMAT_2),CURRENCY.FORMAT_2,0)),'DICTIONARY-5'!$A$2))</f>
        <v/>
      </c>
      <c r="N2763" s="535">
        <v>13</v>
      </c>
      <c r="O2763" s="535"/>
      <c r="P2763" s="731" t="str">
        <f>'DICTIONARY-3'!$A$2</f>
        <v>EKOplus</v>
      </c>
      <c r="Q2763" s="732" t="str">
        <f>'DICTIONARY-3'!$A$187</f>
        <v>Zasuwa klinowa</v>
      </c>
      <c r="R2763" s="732" t="str">
        <f>CONCATENATE('DICTIONARY-3'!$A$4," ",'DICTIONARY-6'!$A$3," ",UPPER('DICTIONARY-5'!$A$18)," ",'DICTIONARY-2'!$A$2,"40"," ",'DICTIONARY-2'!$A$5,"50"," ",'DICTIONARY-5'!$A$59," ",'DICTIONARY-2'!$A$10,"10",'DICTIONARY-2'!$A$20,", ",'DICTIONARY-4'!$A$2)</f>
        <v>EKOplus PE Zasuwa GAZ DN40 Da50 SDR 11 PS10bar, WW</v>
      </c>
      <c r="S2763" s="733" t="str">
        <f>'DICTIONARY-4'!$A$2</f>
        <v>WW</v>
      </c>
      <c r="T2763" s="732" t="str">
        <f>'DICTIONARY-4'!$A$18</f>
        <v>Wolny wałek</v>
      </c>
      <c r="U2763" s="734" t="s">
        <v>5758</v>
      </c>
      <c r="V2763" s="735"/>
      <c r="W2763" s="744" t="s">
        <v>5748</v>
      </c>
      <c r="X2763" s="737"/>
      <c r="Y2763" s="738"/>
      <c r="Z2763" s="739"/>
      <c r="AA2763" s="739"/>
      <c r="AB2763" s="740">
        <v>10</v>
      </c>
      <c r="AC2763" s="741" t="s">
        <v>5570</v>
      </c>
      <c r="AD2763" s="741" t="str">
        <f>'DICTIONARY-5'!$A$18</f>
        <v>gaz</v>
      </c>
      <c r="AE2763" s="742">
        <v>50</v>
      </c>
      <c r="AF2763" s="743"/>
      <c r="AG2763" s="741" t="str">
        <f>'DICTIONARY-5'!$A$23</f>
        <v>powłoka epoksydowa</v>
      </c>
    </row>
    <row r="2764" spans="1:33" x14ac:dyDescent="0.25">
      <c r="A2764" s="869" t="s">
        <v>2637</v>
      </c>
      <c r="B2764" s="869" t="s">
        <v>3447</v>
      </c>
      <c r="C2764" s="836">
        <v>426</v>
      </c>
      <c r="D2764" s="836"/>
      <c r="E2764" s="836"/>
      <c r="F2764" s="836"/>
      <c r="G2764" s="496" t="s">
        <v>7852</v>
      </c>
      <c r="H2764" s="797" t="str">
        <f>VLOOKUP(G2764,SETTINGS!$B$7:$D$97,2,0)</f>
        <v>EKOplus Gas</v>
      </c>
      <c r="I2764" s="796">
        <f>VLOOKUP(G2764,SETTINGS!$B$7:$D$97,3,0)</f>
        <v>0</v>
      </c>
      <c r="J2764" s="670" t="str">
        <f>IFERROR(IF(CURRENCY.FORMAT_1=0,CONCATENATE(TEXT(FIXED(ROUND((C2764/EXC.RATE_1),CURRENCY.FORMAT_1),CURRENCY.FORMAT_1,1),"# ##0;-# ##0"),",-"),FIXED(ROUND((C2764/EXC.RATE_1),CURRENCY.FORMAT_1),CURRENCY.FORMAT_1,0)),'DICTIONARY-5'!$A$2)</f>
        <v>426,-</v>
      </c>
      <c r="K2764" s="670" t="str">
        <f>IF(EXC.RATE_2=0,"",IFERROR(IF(CURRENCY.FORMAT_2=0,CONCATENATE(TEXT(FIXED(ROUND(IF(EXC.RATE.SWITCH=1,C2764/EXC.RATE_2,C2764*EXC.RATE_2),CURRENCY.FORMAT_2),CURRENCY.FORMAT_2,1),"# ##0;-# ##0"),",-"),FIXED(ROUND(IF(EXC.RATE.SWITCH=1,C2764/EXC.RATE_2,C2764*EXC.RATE_2),CURRENCY.FORMAT_2),CURRENCY.FORMAT_2,0)),'DICTIONARY-5'!$A$2))</f>
        <v/>
      </c>
      <c r="L2764" s="670" t="str">
        <f>IFERROR(IF(CURRENCY.FORMAT_1=0,CONCATENATE(TEXT(FIXED(ROUND((C2764*(1-I2764)*(1-ADD.DISCOUNT)*(1+MAT.SURCHARGE)/EXC.RATE_1),CURRENCY.FORMAT_1),CURRENCY.FORMAT_1,1),"# ##0;-# ##0"),",-"),FIXED(ROUND((C2764*(1-I2764)*(1-ADD.DISCOUNT)*(1+MAT.SURCHARGE)/EXC.RATE_1),CURRENCY.FORMAT_1),CURRENCY.FORMAT_1,0)),'DICTIONARY-5'!$A$2)</f>
        <v>443,-</v>
      </c>
      <c r="M2764" s="670" t="str">
        <f>IF(EXC.RATE_2=0,"",IFERROR(IF(CURRENCY.FORMAT_2=0,CONCATENATE(TEXT(FIXED(ROUND(IF(EXC.RATE.SWITCH=1,C2764*(1-I2764)*(1-ADD.DISCOUNT)*(1+MAT.SURCHARGE)/EXC.RATE_2,C2764*(1-I2764)*(1-ADD.DISCOUNT)*(1+MAT.SURCHARGE)*EXC.RATE_2),CURRENCY.FORMAT_2),CURRENCY.FORMAT_2,1),"# ##0;-# ##0"),",-"),FIXED(ROUND(IF(EXC.RATE.SWITCH=1,C2764*(1-I2764)*(1-ADD.DISCOUNT)*(1+MAT.SURCHARGE)/EXC.RATE_2,C2764*(1-I2764)*(1-ADD.DISCOUNT)*(1+MAT.SURCHARGE)*EXC.RATE_2),CURRENCY.FORMAT_2),CURRENCY.FORMAT_2,0)),'DICTIONARY-5'!$A$2))</f>
        <v/>
      </c>
      <c r="N2764" s="535">
        <v>13</v>
      </c>
      <c r="O2764" s="535"/>
      <c r="P2764" s="731" t="str">
        <f>'DICTIONARY-3'!$A$2</f>
        <v>EKOplus</v>
      </c>
      <c r="Q2764" s="732" t="str">
        <f>'DICTIONARY-3'!$A$187</f>
        <v>Zasuwa klinowa</v>
      </c>
      <c r="R2764" s="732" t="str">
        <f>CONCATENATE('DICTIONARY-3'!$A$4," ",'DICTIONARY-6'!$A$3," ",UPPER('DICTIONARY-5'!$A$18)," ",'DICTIONARY-2'!$A$2,"50"," ",'DICTIONARY-2'!$A$5,"63"," ",'DICTIONARY-5'!$A$60," ",'DICTIONARY-2'!$A$10,"4",'DICTIONARY-2'!$A$20,", ",'DICTIONARY-4'!$A$2)</f>
        <v>EKOplus PE Zasuwa GAZ DN50 Da63 SDR 17 PS4bar, WW</v>
      </c>
      <c r="S2764" s="733" t="str">
        <f>'DICTIONARY-4'!$A$2</f>
        <v>WW</v>
      </c>
      <c r="T2764" s="732" t="str">
        <f>'DICTIONARY-4'!$A$18</f>
        <v>Wolny wałek</v>
      </c>
      <c r="U2764" s="734" t="s">
        <v>5748</v>
      </c>
      <c r="V2764" s="735"/>
      <c r="W2764" s="744" t="s">
        <v>7338</v>
      </c>
      <c r="X2764" s="737"/>
      <c r="Y2764" s="738"/>
      <c r="Z2764" s="739"/>
      <c r="AA2764" s="739"/>
      <c r="AB2764" s="740">
        <v>4</v>
      </c>
      <c r="AC2764" s="741" t="s">
        <v>5570</v>
      </c>
      <c r="AD2764" s="741" t="str">
        <f>'DICTIONARY-5'!$A$18</f>
        <v>gaz</v>
      </c>
      <c r="AE2764" s="742">
        <v>50</v>
      </c>
      <c r="AF2764" s="743">
        <v>8.1999999999999993</v>
      </c>
      <c r="AG2764" s="741" t="str">
        <f>'DICTIONARY-5'!$A$23</f>
        <v>powłoka epoksydowa</v>
      </c>
    </row>
    <row r="2765" spans="1:33" x14ac:dyDescent="0.25">
      <c r="A2765" s="869" t="s">
        <v>2639</v>
      </c>
      <c r="B2765" s="869" t="s">
        <v>3448</v>
      </c>
      <c r="C2765" s="836">
        <v>514</v>
      </c>
      <c r="D2765" s="836"/>
      <c r="E2765" s="836"/>
      <c r="F2765" s="836"/>
      <c r="G2765" s="496" t="s">
        <v>7852</v>
      </c>
      <c r="H2765" s="797" t="str">
        <f>VLOOKUP(G2765,SETTINGS!$B$7:$D$97,2,0)</f>
        <v>EKOplus Gas</v>
      </c>
      <c r="I2765" s="796">
        <f>VLOOKUP(G2765,SETTINGS!$B$7:$D$97,3,0)</f>
        <v>0</v>
      </c>
      <c r="J2765" s="670" t="str">
        <f>IFERROR(IF(CURRENCY.FORMAT_1=0,CONCATENATE(TEXT(FIXED(ROUND((C2765/EXC.RATE_1),CURRENCY.FORMAT_1),CURRENCY.FORMAT_1,1),"# ##0;-# ##0"),",-"),FIXED(ROUND((C2765/EXC.RATE_1),CURRENCY.FORMAT_1),CURRENCY.FORMAT_1,0)),'DICTIONARY-5'!$A$2)</f>
        <v>514,-</v>
      </c>
      <c r="K2765" s="670" t="str">
        <f>IF(EXC.RATE_2=0,"",IFERROR(IF(CURRENCY.FORMAT_2=0,CONCATENATE(TEXT(FIXED(ROUND(IF(EXC.RATE.SWITCH=1,C2765/EXC.RATE_2,C2765*EXC.RATE_2),CURRENCY.FORMAT_2),CURRENCY.FORMAT_2,1),"# ##0;-# ##0"),",-"),FIXED(ROUND(IF(EXC.RATE.SWITCH=1,C2765/EXC.RATE_2,C2765*EXC.RATE_2),CURRENCY.FORMAT_2),CURRENCY.FORMAT_2,0)),'DICTIONARY-5'!$A$2))</f>
        <v/>
      </c>
      <c r="L2765" s="670" t="str">
        <f>IFERROR(IF(CURRENCY.FORMAT_1=0,CONCATENATE(TEXT(FIXED(ROUND((C2765*(1-I2765)*(1-ADD.DISCOUNT)*(1+MAT.SURCHARGE)/EXC.RATE_1),CURRENCY.FORMAT_1),CURRENCY.FORMAT_1,1),"# ##0;-# ##0"),",-"),FIXED(ROUND((C2765*(1-I2765)*(1-ADD.DISCOUNT)*(1+MAT.SURCHARGE)/EXC.RATE_1),CURRENCY.FORMAT_1),CURRENCY.FORMAT_1,0)),'DICTIONARY-5'!$A$2)</f>
        <v>534,-</v>
      </c>
      <c r="M2765" s="670" t="str">
        <f>IF(EXC.RATE_2=0,"",IFERROR(IF(CURRENCY.FORMAT_2=0,CONCATENATE(TEXT(FIXED(ROUND(IF(EXC.RATE.SWITCH=1,C2765*(1-I2765)*(1-ADD.DISCOUNT)*(1+MAT.SURCHARGE)/EXC.RATE_2,C2765*(1-I2765)*(1-ADD.DISCOUNT)*(1+MAT.SURCHARGE)*EXC.RATE_2),CURRENCY.FORMAT_2),CURRENCY.FORMAT_2,1),"# ##0;-# ##0"),",-"),FIXED(ROUND(IF(EXC.RATE.SWITCH=1,C2765*(1-I2765)*(1-ADD.DISCOUNT)*(1+MAT.SURCHARGE)/EXC.RATE_2,C2765*(1-I2765)*(1-ADD.DISCOUNT)*(1+MAT.SURCHARGE)*EXC.RATE_2),CURRENCY.FORMAT_2),CURRENCY.FORMAT_2,0)),'DICTIONARY-5'!$A$2))</f>
        <v/>
      </c>
      <c r="N2765" s="535">
        <v>13</v>
      </c>
      <c r="O2765" s="535"/>
      <c r="P2765" s="731" t="str">
        <f>'DICTIONARY-3'!$A$2</f>
        <v>EKOplus</v>
      </c>
      <c r="Q2765" s="732" t="str">
        <f>'DICTIONARY-3'!$A$187</f>
        <v>Zasuwa klinowa</v>
      </c>
      <c r="R2765" s="732" t="str">
        <f>CONCATENATE('DICTIONARY-3'!$A$4," ",'DICTIONARY-6'!$A$3," ",UPPER('DICTIONARY-5'!$A$18)," ",'DICTIONARY-2'!$A$2,"80"," ",'DICTIONARY-2'!$A$5,"90"," ",'DICTIONARY-5'!$A$60," ",'DICTIONARY-2'!$A$10,"4",'DICTIONARY-2'!$A$20,", ",'DICTIONARY-4'!$A$2)</f>
        <v>EKOplus PE Zasuwa GAZ DN80 Da90 SDR 17 PS4bar, WW</v>
      </c>
      <c r="S2765" s="733" t="str">
        <f>'DICTIONARY-4'!$A$2</f>
        <v>WW</v>
      </c>
      <c r="T2765" s="732" t="str">
        <f>'DICTIONARY-4'!$A$18</f>
        <v>Wolny wałek</v>
      </c>
      <c r="U2765" s="734" t="s">
        <v>5760</v>
      </c>
      <c r="V2765" s="735"/>
      <c r="W2765" s="744" t="s">
        <v>7339</v>
      </c>
      <c r="X2765" s="737"/>
      <c r="Y2765" s="738"/>
      <c r="Z2765" s="739"/>
      <c r="AA2765" s="739"/>
      <c r="AB2765" s="740">
        <v>4</v>
      </c>
      <c r="AC2765" s="741" t="s">
        <v>5570</v>
      </c>
      <c r="AD2765" s="741" t="str">
        <f>'DICTIONARY-5'!$A$18</f>
        <v>gaz</v>
      </c>
      <c r="AE2765" s="742">
        <v>50</v>
      </c>
      <c r="AF2765" s="743">
        <v>16</v>
      </c>
      <c r="AG2765" s="741" t="str">
        <f>'DICTIONARY-5'!$A$23</f>
        <v>powłoka epoksydowa</v>
      </c>
    </row>
    <row r="2766" spans="1:33" x14ac:dyDescent="0.25">
      <c r="A2766" s="869" t="s">
        <v>2641</v>
      </c>
      <c r="B2766" s="869" t="s">
        <v>3449</v>
      </c>
      <c r="C2766" s="836">
        <v>577</v>
      </c>
      <c r="D2766" s="836"/>
      <c r="E2766" s="836"/>
      <c r="F2766" s="836"/>
      <c r="G2766" s="496" t="s">
        <v>7852</v>
      </c>
      <c r="H2766" s="797" t="str">
        <f>VLOOKUP(G2766,SETTINGS!$B$7:$D$97,2,0)</f>
        <v>EKOplus Gas</v>
      </c>
      <c r="I2766" s="796">
        <f>VLOOKUP(G2766,SETTINGS!$B$7:$D$97,3,0)</f>
        <v>0</v>
      </c>
      <c r="J2766" s="670" t="str">
        <f>IFERROR(IF(CURRENCY.FORMAT_1=0,CONCATENATE(TEXT(FIXED(ROUND((C2766/EXC.RATE_1),CURRENCY.FORMAT_1),CURRENCY.FORMAT_1,1),"# ##0;-# ##0"),",-"),FIXED(ROUND((C2766/EXC.RATE_1),CURRENCY.FORMAT_1),CURRENCY.FORMAT_1,0)),'DICTIONARY-5'!$A$2)</f>
        <v>577,-</v>
      </c>
      <c r="K2766" s="670" t="str">
        <f>IF(EXC.RATE_2=0,"",IFERROR(IF(CURRENCY.FORMAT_2=0,CONCATENATE(TEXT(FIXED(ROUND(IF(EXC.RATE.SWITCH=1,C2766/EXC.RATE_2,C2766*EXC.RATE_2),CURRENCY.FORMAT_2),CURRENCY.FORMAT_2,1),"# ##0;-# ##0"),",-"),FIXED(ROUND(IF(EXC.RATE.SWITCH=1,C2766/EXC.RATE_2,C2766*EXC.RATE_2),CURRENCY.FORMAT_2),CURRENCY.FORMAT_2,0)),'DICTIONARY-5'!$A$2))</f>
        <v/>
      </c>
      <c r="L2766" s="670" t="str">
        <f>IFERROR(IF(CURRENCY.FORMAT_1=0,CONCATENATE(TEXT(FIXED(ROUND((C2766*(1-I2766)*(1-ADD.DISCOUNT)*(1+MAT.SURCHARGE)/EXC.RATE_1),CURRENCY.FORMAT_1),CURRENCY.FORMAT_1,1),"# ##0;-# ##0"),",-"),FIXED(ROUND((C2766*(1-I2766)*(1-ADD.DISCOUNT)*(1+MAT.SURCHARGE)/EXC.RATE_1),CURRENCY.FORMAT_1),CURRENCY.FORMAT_1,0)),'DICTIONARY-5'!$A$2)</f>
        <v>600,-</v>
      </c>
      <c r="M2766" s="670" t="str">
        <f>IF(EXC.RATE_2=0,"",IFERROR(IF(CURRENCY.FORMAT_2=0,CONCATENATE(TEXT(FIXED(ROUND(IF(EXC.RATE.SWITCH=1,C2766*(1-I2766)*(1-ADD.DISCOUNT)*(1+MAT.SURCHARGE)/EXC.RATE_2,C2766*(1-I2766)*(1-ADD.DISCOUNT)*(1+MAT.SURCHARGE)*EXC.RATE_2),CURRENCY.FORMAT_2),CURRENCY.FORMAT_2,1),"# ##0;-# ##0"),",-"),FIXED(ROUND(IF(EXC.RATE.SWITCH=1,C2766*(1-I2766)*(1-ADD.DISCOUNT)*(1+MAT.SURCHARGE)/EXC.RATE_2,C2766*(1-I2766)*(1-ADD.DISCOUNT)*(1+MAT.SURCHARGE)*EXC.RATE_2),CURRENCY.FORMAT_2),CURRENCY.FORMAT_2,0)),'DICTIONARY-5'!$A$2))</f>
        <v/>
      </c>
      <c r="N2766" s="535">
        <v>13</v>
      </c>
      <c r="O2766" s="535"/>
      <c r="P2766" s="731" t="str">
        <f>'DICTIONARY-3'!$A$2</f>
        <v>EKOplus</v>
      </c>
      <c r="Q2766" s="732" t="str">
        <f>'DICTIONARY-3'!$A$187</f>
        <v>Zasuwa klinowa</v>
      </c>
      <c r="R2766" s="732" t="str">
        <f>CONCATENATE('DICTIONARY-3'!$A$4," ",'DICTIONARY-6'!$A$3," ",UPPER('DICTIONARY-5'!$A$18)," ",'DICTIONARY-2'!$A$2,"100"," ",'DICTIONARY-2'!$A$5,"110"," ",'DICTIONARY-5'!$A$60," ",'DICTIONARY-2'!$A$10,"4",'DICTIONARY-2'!$A$20,", ",'DICTIONARY-4'!$A$2)</f>
        <v>EKOplus PE Zasuwa GAZ DN100 Da110 SDR 17 PS4bar, WW</v>
      </c>
      <c r="S2766" s="733" t="str">
        <f>'DICTIONARY-4'!$A$2</f>
        <v>WW</v>
      </c>
      <c r="T2766" s="732" t="str">
        <f>'DICTIONARY-4'!$A$18</f>
        <v>Wolny wałek</v>
      </c>
      <c r="U2766" s="734" t="s">
        <v>5749</v>
      </c>
      <c r="V2766" s="735"/>
      <c r="W2766" s="744" t="s">
        <v>7340</v>
      </c>
      <c r="X2766" s="737"/>
      <c r="Y2766" s="738"/>
      <c r="Z2766" s="739"/>
      <c r="AA2766" s="739"/>
      <c r="AB2766" s="740">
        <v>4</v>
      </c>
      <c r="AC2766" s="741" t="s">
        <v>5570</v>
      </c>
      <c r="AD2766" s="741" t="str">
        <f>'DICTIONARY-5'!$A$18</f>
        <v>gaz</v>
      </c>
      <c r="AE2766" s="742">
        <v>50</v>
      </c>
      <c r="AF2766" s="743">
        <v>20.5</v>
      </c>
      <c r="AG2766" s="741" t="str">
        <f>'DICTIONARY-5'!$A$23</f>
        <v>powłoka epoksydowa</v>
      </c>
    </row>
    <row r="2767" spans="1:33" x14ac:dyDescent="0.25">
      <c r="A2767" s="869" t="s">
        <v>2643</v>
      </c>
      <c r="B2767" s="869" t="s">
        <v>3455</v>
      </c>
      <c r="C2767" s="836">
        <v>612</v>
      </c>
      <c r="D2767" s="836"/>
      <c r="E2767" s="836"/>
      <c r="F2767" s="836"/>
      <c r="G2767" s="496" t="s">
        <v>7852</v>
      </c>
      <c r="H2767" s="797" t="str">
        <f>VLOOKUP(G2767,SETTINGS!$B$7:$D$97,2,0)</f>
        <v>EKOplus Gas</v>
      </c>
      <c r="I2767" s="796">
        <f>VLOOKUP(G2767,SETTINGS!$B$7:$D$97,3,0)</f>
        <v>0</v>
      </c>
      <c r="J2767" s="670" t="str">
        <f>IFERROR(IF(CURRENCY.FORMAT_1=0,CONCATENATE(TEXT(FIXED(ROUND((C2767/EXC.RATE_1),CURRENCY.FORMAT_1),CURRENCY.FORMAT_1,1),"# ##0;-# ##0"),",-"),FIXED(ROUND((C2767/EXC.RATE_1),CURRENCY.FORMAT_1),CURRENCY.FORMAT_1,0)),'DICTIONARY-5'!$A$2)</f>
        <v>612,-</v>
      </c>
      <c r="K2767" s="670" t="str">
        <f>IF(EXC.RATE_2=0,"",IFERROR(IF(CURRENCY.FORMAT_2=0,CONCATENATE(TEXT(FIXED(ROUND(IF(EXC.RATE.SWITCH=1,C2767/EXC.RATE_2,C2767*EXC.RATE_2),CURRENCY.FORMAT_2),CURRENCY.FORMAT_2,1),"# ##0;-# ##0"),",-"),FIXED(ROUND(IF(EXC.RATE.SWITCH=1,C2767/EXC.RATE_2,C2767*EXC.RATE_2),CURRENCY.FORMAT_2),CURRENCY.FORMAT_2,0)),'DICTIONARY-5'!$A$2))</f>
        <v/>
      </c>
      <c r="L2767" s="670" t="str">
        <f>IFERROR(IF(CURRENCY.FORMAT_1=0,CONCATENATE(TEXT(FIXED(ROUND((C2767*(1-I2767)*(1-ADD.DISCOUNT)*(1+MAT.SURCHARGE)/EXC.RATE_1),CURRENCY.FORMAT_1),CURRENCY.FORMAT_1,1),"# ##0;-# ##0"),",-"),FIXED(ROUND((C2767*(1-I2767)*(1-ADD.DISCOUNT)*(1+MAT.SURCHARGE)/EXC.RATE_1),CURRENCY.FORMAT_1),CURRENCY.FORMAT_1,0)),'DICTIONARY-5'!$A$2)</f>
        <v>636,-</v>
      </c>
      <c r="M2767" s="670" t="str">
        <f>IF(EXC.RATE_2=0,"",IFERROR(IF(CURRENCY.FORMAT_2=0,CONCATENATE(TEXT(FIXED(ROUND(IF(EXC.RATE.SWITCH=1,C2767*(1-I2767)*(1-ADD.DISCOUNT)*(1+MAT.SURCHARGE)/EXC.RATE_2,C2767*(1-I2767)*(1-ADD.DISCOUNT)*(1+MAT.SURCHARGE)*EXC.RATE_2),CURRENCY.FORMAT_2),CURRENCY.FORMAT_2,1),"# ##0;-# ##0"),",-"),FIXED(ROUND(IF(EXC.RATE.SWITCH=1,C2767*(1-I2767)*(1-ADD.DISCOUNT)*(1+MAT.SURCHARGE)/EXC.RATE_2,C2767*(1-I2767)*(1-ADD.DISCOUNT)*(1+MAT.SURCHARGE)*EXC.RATE_2),CURRENCY.FORMAT_2),CURRENCY.FORMAT_2,0)),'DICTIONARY-5'!$A$2))</f>
        <v/>
      </c>
      <c r="N2767" s="535">
        <v>13</v>
      </c>
      <c r="O2767" s="535"/>
      <c r="P2767" s="731" t="str">
        <f>'DICTIONARY-3'!$A$2</f>
        <v>EKOplus</v>
      </c>
      <c r="Q2767" s="732" t="str">
        <f>'DICTIONARY-3'!$A$187</f>
        <v>Zasuwa klinowa</v>
      </c>
      <c r="R2767" s="732" t="str">
        <f>CONCATENATE('DICTIONARY-3'!$A$4," ",'DICTIONARY-6'!$A$3," ",UPPER('DICTIONARY-5'!$A$18)," ",'DICTIONARY-2'!$A$2,"100"," ",'DICTIONARY-2'!$A$5,"125"," ",'DICTIONARY-5'!$A$60," ",'DICTIONARY-2'!$A$10,"4",'DICTIONARY-2'!$A$20,", ",'DICTIONARY-4'!$A$2)</f>
        <v>EKOplus PE Zasuwa GAZ DN100 Da125 SDR 17 PS4bar, WW</v>
      </c>
      <c r="S2767" s="733" t="str">
        <f>'DICTIONARY-4'!$A$2</f>
        <v>WW</v>
      </c>
      <c r="T2767" s="732" t="str">
        <f>'DICTIONARY-4'!$A$18</f>
        <v>Wolny wałek</v>
      </c>
      <c r="U2767" s="734" t="s">
        <v>5749</v>
      </c>
      <c r="V2767" s="735"/>
      <c r="W2767" s="744" t="s">
        <v>5761</v>
      </c>
      <c r="X2767" s="737"/>
      <c r="Y2767" s="738"/>
      <c r="Z2767" s="739"/>
      <c r="AA2767" s="739"/>
      <c r="AB2767" s="740">
        <v>4</v>
      </c>
      <c r="AC2767" s="741" t="s">
        <v>5570</v>
      </c>
      <c r="AD2767" s="741" t="str">
        <f>'DICTIONARY-5'!$A$18</f>
        <v>gaz</v>
      </c>
      <c r="AE2767" s="742">
        <v>50</v>
      </c>
      <c r="AF2767" s="743">
        <v>24</v>
      </c>
      <c r="AG2767" s="741" t="str">
        <f>'DICTIONARY-5'!$A$23</f>
        <v>powłoka epoksydowa</v>
      </c>
    </row>
    <row r="2768" spans="1:33" x14ac:dyDescent="0.25">
      <c r="A2768" s="869" t="s">
        <v>2645</v>
      </c>
      <c r="B2768" s="869" t="s">
        <v>3450</v>
      </c>
      <c r="C2768" s="836">
        <v>784</v>
      </c>
      <c r="D2768" s="836"/>
      <c r="E2768" s="836"/>
      <c r="F2768" s="836"/>
      <c r="G2768" s="496" t="s">
        <v>7852</v>
      </c>
      <c r="H2768" s="797" t="str">
        <f>VLOOKUP(G2768,SETTINGS!$B$7:$D$97,2,0)</f>
        <v>EKOplus Gas</v>
      </c>
      <c r="I2768" s="796">
        <f>VLOOKUP(G2768,SETTINGS!$B$7:$D$97,3,0)</f>
        <v>0</v>
      </c>
      <c r="J2768" s="670" t="str">
        <f>IFERROR(IF(CURRENCY.FORMAT_1=0,CONCATENATE(TEXT(FIXED(ROUND((C2768/EXC.RATE_1),CURRENCY.FORMAT_1),CURRENCY.FORMAT_1,1),"# ##0;-# ##0"),",-"),FIXED(ROUND((C2768/EXC.RATE_1),CURRENCY.FORMAT_1),CURRENCY.FORMAT_1,0)),'DICTIONARY-5'!$A$2)</f>
        <v>784,-</v>
      </c>
      <c r="K2768" s="670" t="str">
        <f>IF(EXC.RATE_2=0,"",IFERROR(IF(CURRENCY.FORMAT_2=0,CONCATENATE(TEXT(FIXED(ROUND(IF(EXC.RATE.SWITCH=1,C2768/EXC.RATE_2,C2768*EXC.RATE_2),CURRENCY.FORMAT_2),CURRENCY.FORMAT_2,1),"# ##0;-# ##0"),",-"),FIXED(ROUND(IF(EXC.RATE.SWITCH=1,C2768/EXC.RATE_2,C2768*EXC.RATE_2),CURRENCY.FORMAT_2),CURRENCY.FORMAT_2,0)),'DICTIONARY-5'!$A$2))</f>
        <v/>
      </c>
      <c r="L2768" s="670" t="str">
        <f>IFERROR(IF(CURRENCY.FORMAT_1=0,CONCATENATE(TEXT(FIXED(ROUND((C2768*(1-I2768)*(1-ADD.DISCOUNT)*(1+MAT.SURCHARGE)/EXC.RATE_1),CURRENCY.FORMAT_1),CURRENCY.FORMAT_1,1),"# ##0;-# ##0"),",-"),FIXED(ROUND((C2768*(1-I2768)*(1-ADD.DISCOUNT)*(1+MAT.SURCHARGE)/EXC.RATE_1),CURRENCY.FORMAT_1),CURRENCY.FORMAT_1,0)),'DICTIONARY-5'!$A$2)</f>
        <v>815,-</v>
      </c>
      <c r="M2768" s="670" t="str">
        <f>IF(EXC.RATE_2=0,"",IFERROR(IF(CURRENCY.FORMAT_2=0,CONCATENATE(TEXT(FIXED(ROUND(IF(EXC.RATE.SWITCH=1,C2768*(1-I2768)*(1-ADD.DISCOUNT)*(1+MAT.SURCHARGE)/EXC.RATE_2,C2768*(1-I2768)*(1-ADD.DISCOUNT)*(1+MAT.SURCHARGE)*EXC.RATE_2),CURRENCY.FORMAT_2),CURRENCY.FORMAT_2,1),"# ##0;-# ##0"),",-"),FIXED(ROUND(IF(EXC.RATE.SWITCH=1,C2768*(1-I2768)*(1-ADD.DISCOUNT)*(1+MAT.SURCHARGE)/EXC.RATE_2,C2768*(1-I2768)*(1-ADD.DISCOUNT)*(1+MAT.SURCHARGE)*EXC.RATE_2),CURRENCY.FORMAT_2),CURRENCY.FORMAT_2,0)),'DICTIONARY-5'!$A$2))</f>
        <v/>
      </c>
      <c r="N2768" s="535">
        <v>13</v>
      </c>
      <c r="O2768" s="535"/>
      <c r="P2768" s="731" t="str">
        <f>'DICTIONARY-3'!$A$2</f>
        <v>EKOplus</v>
      </c>
      <c r="Q2768" s="732" t="str">
        <f>'DICTIONARY-3'!$A$187</f>
        <v>Zasuwa klinowa</v>
      </c>
      <c r="R2768" s="732" t="str">
        <f>CONCATENATE('DICTIONARY-3'!$A$4," ",'DICTIONARY-6'!$A$3," ",UPPER('DICTIONARY-5'!$A$18)," ",'DICTIONARY-2'!$A$2,"125"," ",'DICTIONARY-2'!$A$5,"140"," ",'DICTIONARY-5'!$A$60," ",'DICTIONARY-2'!$A$10,"4",'DICTIONARY-2'!$A$20,", ",'DICTIONARY-4'!$A$2)</f>
        <v>EKOplus PE Zasuwa GAZ DN125 Da140 SDR 17 PS4bar, WW</v>
      </c>
      <c r="S2768" s="733" t="str">
        <f>'DICTIONARY-4'!$A$2</f>
        <v>WW</v>
      </c>
      <c r="T2768" s="732" t="str">
        <f>'DICTIONARY-4'!$A$18</f>
        <v>Wolny wałek</v>
      </c>
      <c r="U2768" s="734" t="s">
        <v>5761</v>
      </c>
      <c r="V2768" s="735"/>
      <c r="W2768" s="744" t="s">
        <v>7341</v>
      </c>
      <c r="X2768" s="737"/>
      <c r="Y2768" s="738"/>
      <c r="Z2768" s="739"/>
      <c r="AA2768" s="739"/>
      <c r="AB2768" s="740">
        <v>4</v>
      </c>
      <c r="AC2768" s="741" t="s">
        <v>5570</v>
      </c>
      <c r="AD2768" s="741" t="str">
        <f>'DICTIONARY-5'!$A$18</f>
        <v>gaz</v>
      </c>
      <c r="AE2768" s="742">
        <v>50</v>
      </c>
      <c r="AF2768" s="743">
        <v>31.4</v>
      </c>
      <c r="AG2768" s="741" t="str">
        <f>'DICTIONARY-5'!$A$23</f>
        <v>powłoka epoksydowa</v>
      </c>
    </row>
    <row r="2769" spans="1:33" x14ac:dyDescent="0.25">
      <c r="A2769" s="869" t="s">
        <v>2647</v>
      </c>
      <c r="B2769" s="869" t="s">
        <v>3451</v>
      </c>
      <c r="C2769" s="836">
        <v>922</v>
      </c>
      <c r="D2769" s="836"/>
      <c r="E2769" s="836"/>
      <c r="F2769" s="836"/>
      <c r="G2769" s="496" t="s">
        <v>7852</v>
      </c>
      <c r="H2769" s="797" t="str">
        <f>VLOOKUP(G2769,SETTINGS!$B$7:$D$97,2,0)</f>
        <v>EKOplus Gas</v>
      </c>
      <c r="I2769" s="796">
        <f>VLOOKUP(G2769,SETTINGS!$B$7:$D$97,3,0)</f>
        <v>0</v>
      </c>
      <c r="J2769" s="670" t="str">
        <f>IFERROR(IF(CURRENCY.FORMAT_1=0,CONCATENATE(TEXT(FIXED(ROUND((C2769/EXC.RATE_1),CURRENCY.FORMAT_1),CURRENCY.FORMAT_1,1),"# ##0;-# ##0"),",-"),FIXED(ROUND((C2769/EXC.RATE_1),CURRENCY.FORMAT_1),CURRENCY.FORMAT_1,0)),'DICTIONARY-5'!$A$2)</f>
        <v>922,-</v>
      </c>
      <c r="K2769" s="670" t="str">
        <f>IF(EXC.RATE_2=0,"",IFERROR(IF(CURRENCY.FORMAT_2=0,CONCATENATE(TEXT(FIXED(ROUND(IF(EXC.RATE.SWITCH=1,C2769/EXC.RATE_2,C2769*EXC.RATE_2),CURRENCY.FORMAT_2),CURRENCY.FORMAT_2,1),"# ##0;-# ##0"),",-"),FIXED(ROUND(IF(EXC.RATE.SWITCH=1,C2769/EXC.RATE_2,C2769*EXC.RATE_2),CURRENCY.FORMAT_2),CURRENCY.FORMAT_2,0)),'DICTIONARY-5'!$A$2))</f>
        <v/>
      </c>
      <c r="L2769" s="670" t="str">
        <f>IFERROR(IF(CURRENCY.FORMAT_1=0,CONCATENATE(TEXT(FIXED(ROUND((C2769*(1-I2769)*(1-ADD.DISCOUNT)*(1+MAT.SURCHARGE)/EXC.RATE_1),CURRENCY.FORMAT_1),CURRENCY.FORMAT_1,1),"# ##0;-# ##0"),",-"),FIXED(ROUND((C2769*(1-I2769)*(1-ADD.DISCOUNT)*(1+MAT.SURCHARGE)/EXC.RATE_1),CURRENCY.FORMAT_1),CURRENCY.FORMAT_1,0)),'DICTIONARY-5'!$A$2)</f>
        <v>958,-</v>
      </c>
      <c r="M2769" s="670" t="str">
        <f>IF(EXC.RATE_2=0,"",IFERROR(IF(CURRENCY.FORMAT_2=0,CONCATENATE(TEXT(FIXED(ROUND(IF(EXC.RATE.SWITCH=1,C2769*(1-I2769)*(1-ADD.DISCOUNT)*(1+MAT.SURCHARGE)/EXC.RATE_2,C2769*(1-I2769)*(1-ADD.DISCOUNT)*(1+MAT.SURCHARGE)*EXC.RATE_2),CURRENCY.FORMAT_2),CURRENCY.FORMAT_2,1),"# ##0;-# ##0"),",-"),FIXED(ROUND(IF(EXC.RATE.SWITCH=1,C2769*(1-I2769)*(1-ADD.DISCOUNT)*(1+MAT.SURCHARGE)/EXC.RATE_2,C2769*(1-I2769)*(1-ADD.DISCOUNT)*(1+MAT.SURCHARGE)*EXC.RATE_2),CURRENCY.FORMAT_2),CURRENCY.FORMAT_2,0)),'DICTIONARY-5'!$A$2))</f>
        <v/>
      </c>
      <c r="N2769" s="535">
        <v>13</v>
      </c>
      <c r="O2769" s="535"/>
      <c r="P2769" s="731" t="str">
        <f>'DICTIONARY-3'!$A$2</f>
        <v>EKOplus</v>
      </c>
      <c r="Q2769" s="732" t="str">
        <f>'DICTIONARY-3'!$A$187</f>
        <v>Zasuwa klinowa</v>
      </c>
      <c r="R2769" s="732" t="str">
        <f>CONCATENATE('DICTIONARY-3'!$A$4," ",'DICTIONARY-6'!$A$3," ",UPPER('DICTIONARY-5'!$A$18)," ",'DICTIONARY-2'!$A$2,"150"," ",'DICTIONARY-2'!$A$5,"160"," ",'DICTIONARY-5'!$A$60," ",'DICTIONARY-2'!$A$10,"4",'DICTIONARY-2'!$A$20,", ",'DICTIONARY-4'!$A$2)</f>
        <v>EKOplus PE Zasuwa GAZ DN150 Da160 SDR 17 PS4bar, WW</v>
      </c>
      <c r="S2769" s="733" t="str">
        <f>'DICTIONARY-4'!$A$2</f>
        <v>WW</v>
      </c>
      <c r="T2769" s="732" t="str">
        <f>'DICTIONARY-4'!$A$18</f>
        <v>Wolny wałek</v>
      </c>
      <c r="U2769" s="734" t="s">
        <v>5572</v>
      </c>
      <c r="V2769" s="735"/>
      <c r="W2769" s="744" t="s">
        <v>7342</v>
      </c>
      <c r="X2769" s="737"/>
      <c r="Y2769" s="738"/>
      <c r="Z2769" s="739"/>
      <c r="AA2769" s="739"/>
      <c r="AB2769" s="740">
        <v>4</v>
      </c>
      <c r="AC2769" s="741" t="s">
        <v>5570</v>
      </c>
      <c r="AD2769" s="741" t="str">
        <f>'DICTIONARY-5'!$A$18</f>
        <v>gaz</v>
      </c>
      <c r="AE2769" s="742">
        <v>50</v>
      </c>
      <c r="AF2769" s="743">
        <v>44</v>
      </c>
      <c r="AG2769" s="741" t="str">
        <f>'DICTIONARY-5'!$A$23</f>
        <v>powłoka epoksydowa</v>
      </c>
    </row>
    <row r="2770" spans="1:33" x14ac:dyDescent="0.25">
      <c r="A2770" s="869" t="s">
        <v>2649</v>
      </c>
      <c r="B2770" s="869" t="s">
        <v>3456</v>
      </c>
      <c r="C2770" s="836">
        <v>1046</v>
      </c>
      <c r="D2770" s="836"/>
      <c r="E2770" s="836"/>
      <c r="F2770" s="836"/>
      <c r="G2770" s="496" t="s">
        <v>7852</v>
      </c>
      <c r="H2770" s="797" t="str">
        <f>VLOOKUP(G2770,SETTINGS!$B$7:$D$97,2,0)</f>
        <v>EKOplus Gas</v>
      </c>
      <c r="I2770" s="796">
        <f>VLOOKUP(G2770,SETTINGS!$B$7:$D$97,3,0)</f>
        <v>0</v>
      </c>
      <c r="J2770" s="670" t="str">
        <f>IFERROR(IF(CURRENCY.FORMAT_1=0,CONCATENATE(TEXT(FIXED(ROUND((C2770/EXC.RATE_1),CURRENCY.FORMAT_1),CURRENCY.FORMAT_1,1),"# ##0;-# ##0"),",-"),FIXED(ROUND((C2770/EXC.RATE_1),CURRENCY.FORMAT_1),CURRENCY.FORMAT_1,0)),'DICTIONARY-5'!$A$2)</f>
        <v>1 046,-</v>
      </c>
      <c r="K2770" s="670" t="str">
        <f>IF(EXC.RATE_2=0,"",IFERROR(IF(CURRENCY.FORMAT_2=0,CONCATENATE(TEXT(FIXED(ROUND(IF(EXC.RATE.SWITCH=1,C2770/EXC.RATE_2,C2770*EXC.RATE_2),CURRENCY.FORMAT_2),CURRENCY.FORMAT_2,1),"# ##0;-# ##0"),",-"),FIXED(ROUND(IF(EXC.RATE.SWITCH=1,C2770/EXC.RATE_2,C2770*EXC.RATE_2),CURRENCY.FORMAT_2),CURRENCY.FORMAT_2,0)),'DICTIONARY-5'!$A$2))</f>
        <v/>
      </c>
      <c r="L2770" s="670" t="str">
        <f>IFERROR(IF(CURRENCY.FORMAT_1=0,CONCATENATE(TEXT(FIXED(ROUND((C2770*(1-I2770)*(1-ADD.DISCOUNT)*(1+MAT.SURCHARGE)/EXC.RATE_1),CURRENCY.FORMAT_1),CURRENCY.FORMAT_1,1),"# ##0;-# ##0"),",-"),FIXED(ROUND((C2770*(1-I2770)*(1-ADD.DISCOUNT)*(1+MAT.SURCHARGE)/EXC.RATE_1),CURRENCY.FORMAT_1),CURRENCY.FORMAT_1,0)),'DICTIONARY-5'!$A$2)</f>
        <v>1 087,-</v>
      </c>
      <c r="M2770" s="670" t="str">
        <f>IF(EXC.RATE_2=0,"",IFERROR(IF(CURRENCY.FORMAT_2=0,CONCATENATE(TEXT(FIXED(ROUND(IF(EXC.RATE.SWITCH=1,C2770*(1-I2770)*(1-ADD.DISCOUNT)*(1+MAT.SURCHARGE)/EXC.RATE_2,C2770*(1-I2770)*(1-ADD.DISCOUNT)*(1+MAT.SURCHARGE)*EXC.RATE_2),CURRENCY.FORMAT_2),CURRENCY.FORMAT_2,1),"# ##0;-# ##0"),",-"),FIXED(ROUND(IF(EXC.RATE.SWITCH=1,C2770*(1-I2770)*(1-ADD.DISCOUNT)*(1+MAT.SURCHARGE)/EXC.RATE_2,C2770*(1-I2770)*(1-ADD.DISCOUNT)*(1+MAT.SURCHARGE)*EXC.RATE_2),CURRENCY.FORMAT_2),CURRENCY.FORMAT_2,0)),'DICTIONARY-5'!$A$2))</f>
        <v/>
      </c>
      <c r="N2770" s="535">
        <v>13</v>
      </c>
      <c r="O2770" s="535"/>
      <c r="P2770" s="731" t="str">
        <f>'DICTIONARY-3'!$A$2</f>
        <v>EKOplus</v>
      </c>
      <c r="Q2770" s="732" t="str">
        <f>'DICTIONARY-3'!$A$187</f>
        <v>Zasuwa klinowa</v>
      </c>
      <c r="R2770" s="732" t="str">
        <f>CONCATENATE('DICTIONARY-3'!$A$4," ",'DICTIONARY-6'!$A$3," ",UPPER('DICTIONARY-5'!$A$18)," ",'DICTIONARY-2'!$A$2,"150"," ",'DICTIONARY-2'!$A$5,"180"," ",'DICTIONARY-5'!$A$60," ",'DICTIONARY-2'!$A$10,"4",'DICTIONARY-2'!$A$20,", ",'DICTIONARY-4'!$A$2)</f>
        <v>EKOplus PE Zasuwa GAZ DN150 Da180 SDR 17 PS4bar, WW</v>
      </c>
      <c r="S2770" s="733" t="str">
        <f>'DICTIONARY-4'!$A$2</f>
        <v>WW</v>
      </c>
      <c r="T2770" s="732" t="str">
        <f>'DICTIONARY-4'!$A$18</f>
        <v>Wolny wałek</v>
      </c>
      <c r="U2770" s="734" t="s">
        <v>5572</v>
      </c>
      <c r="V2770" s="735"/>
      <c r="W2770" s="744" t="s">
        <v>7343</v>
      </c>
      <c r="X2770" s="737"/>
      <c r="Y2770" s="738"/>
      <c r="Z2770" s="739"/>
      <c r="AA2770" s="739"/>
      <c r="AB2770" s="740">
        <v>4</v>
      </c>
      <c r="AC2770" s="741" t="s">
        <v>5570</v>
      </c>
      <c r="AD2770" s="741" t="str">
        <f>'DICTIONARY-5'!$A$18</f>
        <v>gaz</v>
      </c>
      <c r="AE2770" s="742">
        <v>50</v>
      </c>
      <c r="AF2770" s="743">
        <v>48</v>
      </c>
      <c r="AG2770" s="741" t="str">
        <f>'DICTIONARY-5'!$A$23</f>
        <v>powłoka epoksydowa</v>
      </c>
    </row>
    <row r="2771" spans="1:33" x14ac:dyDescent="0.25">
      <c r="A2771" s="869" t="s">
        <v>2651</v>
      </c>
      <c r="B2771" s="869" t="s">
        <v>3457</v>
      </c>
      <c r="C2771" s="836">
        <v>1429</v>
      </c>
      <c r="D2771" s="836"/>
      <c r="E2771" s="836"/>
      <c r="F2771" s="836"/>
      <c r="G2771" s="496" t="s">
        <v>7852</v>
      </c>
      <c r="H2771" s="797" t="str">
        <f>VLOOKUP(G2771,SETTINGS!$B$7:$D$97,2,0)</f>
        <v>EKOplus Gas</v>
      </c>
      <c r="I2771" s="796">
        <f>VLOOKUP(G2771,SETTINGS!$B$7:$D$97,3,0)</f>
        <v>0</v>
      </c>
      <c r="J2771" s="670" t="str">
        <f>IFERROR(IF(CURRENCY.FORMAT_1=0,CONCATENATE(TEXT(FIXED(ROUND((C2771/EXC.RATE_1),CURRENCY.FORMAT_1),CURRENCY.FORMAT_1,1),"# ##0;-# ##0"),",-"),FIXED(ROUND((C2771/EXC.RATE_1),CURRENCY.FORMAT_1),CURRENCY.FORMAT_1,0)),'DICTIONARY-5'!$A$2)</f>
        <v>1 429,-</v>
      </c>
      <c r="K2771" s="670" t="str">
        <f>IF(EXC.RATE_2=0,"",IFERROR(IF(CURRENCY.FORMAT_2=0,CONCATENATE(TEXT(FIXED(ROUND(IF(EXC.RATE.SWITCH=1,C2771/EXC.RATE_2,C2771*EXC.RATE_2),CURRENCY.FORMAT_2),CURRENCY.FORMAT_2,1),"# ##0;-# ##0"),",-"),FIXED(ROUND(IF(EXC.RATE.SWITCH=1,C2771/EXC.RATE_2,C2771*EXC.RATE_2),CURRENCY.FORMAT_2),CURRENCY.FORMAT_2,0)),'DICTIONARY-5'!$A$2))</f>
        <v/>
      </c>
      <c r="L2771" s="670" t="str">
        <f>IFERROR(IF(CURRENCY.FORMAT_1=0,CONCATENATE(TEXT(FIXED(ROUND((C2771*(1-I2771)*(1-ADD.DISCOUNT)*(1+MAT.SURCHARGE)/EXC.RATE_1),CURRENCY.FORMAT_1),CURRENCY.FORMAT_1,1),"# ##0;-# ##0"),",-"),FIXED(ROUND((C2771*(1-I2771)*(1-ADD.DISCOUNT)*(1+MAT.SURCHARGE)/EXC.RATE_1),CURRENCY.FORMAT_1),CURRENCY.FORMAT_1,0)),'DICTIONARY-5'!$A$2)</f>
        <v>1 485,-</v>
      </c>
      <c r="M2771" s="670" t="str">
        <f>IF(EXC.RATE_2=0,"",IFERROR(IF(CURRENCY.FORMAT_2=0,CONCATENATE(TEXT(FIXED(ROUND(IF(EXC.RATE.SWITCH=1,C2771*(1-I2771)*(1-ADD.DISCOUNT)*(1+MAT.SURCHARGE)/EXC.RATE_2,C2771*(1-I2771)*(1-ADD.DISCOUNT)*(1+MAT.SURCHARGE)*EXC.RATE_2),CURRENCY.FORMAT_2),CURRENCY.FORMAT_2,1),"# ##0;-# ##0"),",-"),FIXED(ROUND(IF(EXC.RATE.SWITCH=1,C2771*(1-I2771)*(1-ADD.DISCOUNT)*(1+MAT.SURCHARGE)/EXC.RATE_2,C2771*(1-I2771)*(1-ADD.DISCOUNT)*(1+MAT.SURCHARGE)*EXC.RATE_2),CURRENCY.FORMAT_2),CURRENCY.FORMAT_2,0)),'DICTIONARY-5'!$A$2))</f>
        <v/>
      </c>
      <c r="N2771" s="535">
        <v>13</v>
      </c>
      <c r="O2771" s="535"/>
      <c r="P2771" s="731" t="str">
        <f>'DICTIONARY-3'!$A$2</f>
        <v>EKOplus</v>
      </c>
      <c r="Q2771" s="732" t="str">
        <f>'DICTIONARY-3'!$A$187</f>
        <v>Zasuwa klinowa</v>
      </c>
      <c r="R2771" s="732" t="str">
        <f>CONCATENATE('DICTIONARY-3'!$A$4," ",'DICTIONARY-6'!$A$3," ",UPPER('DICTIONARY-5'!$A$18)," ",'DICTIONARY-2'!$A$2,"200"," ",'DICTIONARY-2'!$A$5,"200"," ",'DICTIONARY-5'!$A$60," ",'DICTIONARY-2'!$A$10,"4",'DICTIONARY-2'!$A$20,", ",'DICTIONARY-4'!$A$2)</f>
        <v>EKOplus PE Zasuwa GAZ DN200 Da200 SDR 17 PS4bar, WW</v>
      </c>
      <c r="S2771" s="733" t="str">
        <f>'DICTIONARY-4'!$A$2</f>
        <v>WW</v>
      </c>
      <c r="T2771" s="732" t="str">
        <f>'DICTIONARY-4'!$A$18</f>
        <v>Wolny wałek</v>
      </c>
      <c r="U2771" s="734" t="s">
        <v>5750</v>
      </c>
      <c r="V2771" s="735"/>
      <c r="W2771" s="744" t="s">
        <v>5750</v>
      </c>
      <c r="X2771" s="737"/>
      <c r="Y2771" s="738"/>
      <c r="Z2771" s="739"/>
      <c r="AA2771" s="739"/>
      <c r="AB2771" s="740">
        <v>4</v>
      </c>
      <c r="AC2771" s="741" t="s">
        <v>5570</v>
      </c>
      <c r="AD2771" s="741" t="str">
        <f>'DICTIONARY-5'!$A$18</f>
        <v>gaz</v>
      </c>
      <c r="AE2771" s="742">
        <v>50</v>
      </c>
      <c r="AF2771" s="743">
        <v>82</v>
      </c>
      <c r="AG2771" s="741" t="str">
        <f>'DICTIONARY-5'!$A$23</f>
        <v>powłoka epoksydowa</v>
      </c>
    </row>
    <row r="2772" spans="1:33" x14ac:dyDescent="0.25">
      <c r="A2772" s="869" t="s">
        <v>2653</v>
      </c>
      <c r="B2772" s="869" t="s">
        <v>3452</v>
      </c>
      <c r="C2772" s="836">
        <v>1609</v>
      </c>
      <c r="D2772" s="836"/>
      <c r="E2772" s="836"/>
      <c r="F2772" s="836"/>
      <c r="G2772" s="496" t="s">
        <v>7852</v>
      </c>
      <c r="H2772" s="797" t="str">
        <f>VLOOKUP(G2772,SETTINGS!$B$7:$D$97,2,0)</f>
        <v>EKOplus Gas</v>
      </c>
      <c r="I2772" s="796">
        <f>VLOOKUP(G2772,SETTINGS!$B$7:$D$97,3,0)</f>
        <v>0</v>
      </c>
      <c r="J2772" s="670" t="str">
        <f>IFERROR(IF(CURRENCY.FORMAT_1=0,CONCATENATE(TEXT(FIXED(ROUND((C2772/EXC.RATE_1),CURRENCY.FORMAT_1),CURRENCY.FORMAT_1,1),"# ##0;-# ##0"),",-"),FIXED(ROUND((C2772/EXC.RATE_1),CURRENCY.FORMAT_1),CURRENCY.FORMAT_1,0)),'DICTIONARY-5'!$A$2)</f>
        <v>1 609,-</v>
      </c>
      <c r="K2772" s="670" t="str">
        <f>IF(EXC.RATE_2=0,"",IFERROR(IF(CURRENCY.FORMAT_2=0,CONCATENATE(TEXT(FIXED(ROUND(IF(EXC.RATE.SWITCH=1,C2772/EXC.RATE_2,C2772*EXC.RATE_2),CURRENCY.FORMAT_2),CURRENCY.FORMAT_2,1),"# ##0;-# ##0"),",-"),FIXED(ROUND(IF(EXC.RATE.SWITCH=1,C2772/EXC.RATE_2,C2772*EXC.RATE_2),CURRENCY.FORMAT_2),CURRENCY.FORMAT_2,0)),'DICTIONARY-5'!$A$2))</f>
        <v/>
      </c>
      <c r="L2772" s="670" t="str">
        <f>IFERROR(IF(CURRENCY.FORMAT_1=0,CONCATENATE(TEXT(FIXED(ROUND((C2772*(1-I2772)*(1-ADD.DISCOUNT)*(1+MAT.SURCHARGE)/EXC.RATE_1),CURRENCY.FORMAT_1),CURRENCY.FORMAT_1,1),"# ##0;-# ##0"),",-"),FIXED(ROUND((C2772*(1-I2772)*(1-ADD.DISCOUNT)*(1+MAT.SURCHARGE)/EXC.RATE_1),CURRENCY.FORMAT_1),CURRENCY.FORMAT_1,0)),'DICTIONARY-5'!$A$2)</f>
        <v>1 672,-</v>
      </c>
      <c r="M2772" s="670" t="str">
        <f>IF(EXC.RATE_2=0,"",IFERROR(IF(CURRENCY.FORMAT_2=0,CONCATENATE(TEXT(FIXED(ROUND(IF(EXC.RATE.SWITCH=1,C2772*(1-I2772)*(1-ADD.DISCOUNT)*(1+MAT.SURCHARGE)/EXC.RATE_2,C2772*(1-I2772)*(1-ADD.DISCOUNT)*(1+MAT.SURCHARGE)*EXC.RATE_2),CURRENCY.FORMAT_2),CURRENCY.FORMAT_2,1),"# ##0;-# ##0"),",-"),FIXED(ROUND(IF(EXC.RATE.SWITCH=1,C2772*(1-I2772)*(1-ADD.DISCOUNT)*(1+MAT.SURCHARGE)/EXC.RATE_2,C2772*(1-I2772)*(1-ADD.DISCOUNT)*(1+MAT.SURCHARGE)*EXC.RATE_2),CURRENCY.FORMAT_2),CURRENCY.FORMAT_2,0)),'DICTIONARY-5'!$A$2))</f>
        <v/>
      </c>
      <c r="N2772" s="535">
        <v>13</v>
      </c>
      <c r="O2772" s="535"/>
      <c r="P2772" s="731" t="str">
        <f>'DICTIONARY-3'!$A$2</f>
        <v>EKOplus</v>
      </c>
      <c r="Q2772" s="732" t="str">
        <f>'DICTIONARY-3'!$A$187</f>
        <v>Zasuwa klinowa</v>
      </c>
      <c r="R2772" s="732" t="str">
        <f>CONCATENATE('DICTIONARY-3'!$A$4," ",'DICTIONARY-6'!$A$3," ",UPPER('DICTIONARY-5'!$A$18)," ",'DICTIONARY-2'!$A$2,"200"," ",'DICTIONARY-2'!$A$5,"225"," ",'DICTIONARY-5'!$A$60," ",'DICTIONARY-2'!$A$10,"4",'DICTIONARY-2'!$A$20,", ",'DICTIONARY-4'!$A$2)</f>
        <v>EKOplus PE Zasuwa GAZ DN200 Da225 SDR 17 PS4bar, WW</v>
      </c>
      <c r="S2772" s="733" t="str">
        <f>'DICTIONARY-4'!$A$2</f>
        <v>WW</v>
      </c>
      <c r="T2772" s="732" t="str">
        <f>'DICTIONARY-4'!$A$18</f>
        <v>Wolny wałek</v>
      </c>
      <c r="U2772" s="734" t="s">
        <v>5750</v>
      </c>
      <c r="V2772" s="735"/>
      <c r="W2772" s="744" t="s">
        <v>5833</v>
      </c>
      <c r="X2772" s="737"/>
      <c r="Y2772" s="738"/>
      <c r="Z2772" s="739"/>
      <c r="AA2772" s="739"/>
      <c r="AB2772" s="740">
        <v>4</v>
      </c>
      <c r="AC2772" s="741" t="s">
        <v>5570</v>
      </c>
      <c r="AD2772" s="741" t="str">
        <f>'DICTIONARY-5'!$A$18</f>
        <v>gaz</v>
      </c>
      <c r="AE2772" s="742">
        <v>50</v>
      </c>
      <c r="AF2772" s="743">
        <v>86.5</v>
      </c>
      <c r="AG2772" s="741" t="str">
        <f>'DICTIONARY-5'!$A$23</f>
        <v>powłoka epoksydowa</v>
      </c>
    </row>
    <row r="2773" spans="1:33" x14ac:dyDescent="0.25">
      <c r="A2773" s="869" t="s">
        <v>2655</v>
      </c>
      <c r="B2773" s="869" t="s">
        <v>3458</v>
      </c>
      <c r="C2773" s="836">
        <v>3834</v>
      </c>
      <c r="D2773" s="836"/>
      <c r="E2773" s="836"/>
      <c r="F2773" s="836"/>
      <c r="G2773" s="496" t="s">
        <v>7852</v>
      </c>
      <c r="H2773" s="797" t="str">
        <f>VLOOKUP(G2773,SETTINGS!$B$7:$D$97,2,0)</f>
        <v>EKOplus Gas</v>
      </c>
      <c r="I2773" s="796">
        <f>VLOOKUP(G2773,SETTINGS!$B$7:$D$97,3,0)</f>
        <v>0</v>
      </c>
      <c r="J2773" s="670" t="str">
        <f>IFERROR(IF(CURRENCY.FORMAT_1=0,CONCATENATE(TEXT(FIXED(ROUND((C2773/EXC.RATE_1),CURRENCY.FORMAT_1),CURRENCY.FORMAT_1,1),"# ##0;-# ##0"),",-"),FIXED(ROUND((C2773/EXC.RATE_1),CURRENCY.FORMAT_1),CURRENCY.FORMAT_1,0)),'DICTIONARY-5'!$A$2)</f>
        <v>3 834,-</v>
      </c>
      <c r="K2773" s="670" t="str">
        <f>IF(EXC.RATE_2=0,"",IFERROR(IF(CURRENCY.FORMAT_2=0,CONCATENATE(TEXT(FIXED(ROUND(IF(EXC.RATE.SWITCH=1,C2773/EXC.RATE_2,C2773*EXC.RATE_2),CURRENCY.FORMAT_2),CURRENCY.FORMAT_2,1),"# ##0;-# ##0"),",-"),FIXED(ROUND(IF(EXC.RATE.SWITCH=1,C2773/EXC.RATE_2,C2773*EXC.RATE_2),CURRENCY.FORMAT_2),CURRENCY.FORMAT_2,0)),'DICTIONARY-5'!$A$2))</f>
        <v/>
      </c>
      <c r="L2773" s="670" t="str">
        <f>IFERROR(IF(CURRENCY.FORMAT_1=0,CONCATENATE(TEXT(FIXED(ROUND((C2773*(1-I2773)*(1-ADD.DISCOUNT)*(1+MAT.SURCHARGE)/EXC.RATE_1),CURRENCY.FORMAT_1),CURRENCY.FORMAT_1,1),"# ##0;-# ##0"),",-"),FIXED(ROUND((C2773*(1-I2773)*(1-ADD.DISCOUNT)*(1+MAT.SURCHARGE)/EXC.RATE_1),CURRENCY.FORMAT_1),CURRENCY.FORMAT_1,0)),'DICTIONARY-5'!$A$2)</f>
        <v>3 984,-</v>
      </c>
      <c r="M2773" s="670" t="str">
        <f>IF(EXC.RATE_2=0,"",IFERROR(IF(CURRENCY.FORMAT_2=0,CONCATENATE(TEXT(FIXED(ROUND(IF(EXC.RATE.SWITCH=1,C2773*(1-I2773)*(1-ADD.DISCOUNT)*(1+MAT.SURCHARGE)/EXC.RATE_2,C2773*(1-I2773)*(1-ADD.DISCOUNT)*(1+MAT.SURCHARGE)*EXC.RATE_2),CURRENCY.FORMAT_2),CURRENCY.FORMAT_2,1),"# ##0;-# ##0"),",-"),FIXED(ROUND(IF(EXC.RATE.SWITCH=1,C2773*(1-I2773)*(1-ADD.DISCOUNT)*(1+MAT.SURCHARGE)/EXC.RATE_2,C2773*(1-I2773)*(1-ADD.DISCOUNT)*(1+MAT.SURCHARGE)*EXC.RATE_2),CURRENCY.FORMAT_2),CURRENCY.FORMAT_2,0)),'DICTIONARY-5'!$A$2))</f>
        <v/>
      </c>
      <c r="N2773" s="535">
        <v>13</v>
      </c>
      <c r="O2773" s="535"/>
      <c r="P2773" s="731" t="str">
        <f>'DICTIONARY-3'!$A$2</f>
        <v>EKOplus</v>
      </c>
      <c r="Q2773" s="732" t="str">
        <f>'DICTIONARY-3'!$A$187</f>
        <v>Zasuwa klinowa</v>
      </c>
      <c r="R2773" s="732" t="str">
        <f>CONCATENATE('DICTIONARY-3'!$A$4," ",'DICTIONARY-6'!$A$3," ",UPPER('DICTIONARY-5'!$A$18)," ",'DICTIONARY-2'!$A$2,"250"," ",'DICTIONARY-2'!$A$5,"250"," ",'DICTIONARY-5'!$A$60," ",'DICTIONARY-2'!$A$10,"4",'DICTIONARY-2'!$A$20,", ",'DICTIONARY-4'!$A$2)</f>
        <v>EKOplus PE Zasuwa GAZ DN250 Da250 SDR 17 PS4bar, WW</v>
      </c>
      <c r="S2773" s="733" t="str">
        <f>'DICTIONARY-4'!$A$2</f>
        <v>WW</v>
      </c>
      <c r="T2773" s="732" t="str">
        <f>'DICTIONARY-4'!$A$18</f>
        <v>Wolny wałek</v>
      </c>
      <c r="U2773" s="734" t="s">
        <v>5751</v>
      </c>
      <c r="V2773" s="735"/>
      <c r="W2773" s="744" t="s">
        <v>5751</v>
      </c>
      <c r="X2773" s="737"/>
      <c r="Y2773" s="738"/>
      <c r="Z2773" s="739"/>
      <c r="AA2773" s="739"/>
      <c r="AB2773" s="740">
        <v>4</v>
      </c>
      <c r="AC2773" s="741" t="s">
        <v>5570</v>
      </c>
      <c r="AD2773" s="741" t="str">
        <f>'DICTIONARY-5'!$A$18</f>
        <v>gaz</v>
      </c>
      <c r="AE2773" s="742">
        <v>50</v>
      </c>
      <c r="AF2773" s="743">
        <v>166.2</v>
      </c>
      <c r="AG2773" s="741" t="str">
        <f>'DICTIONARY-5'!$A$23</f>
        <v>powłoka epoksydowa</v>
      </c>
    </row>
    <row r="2774" spans="1:33" x14ac:dyDescent="0.25">
      <c r="A2774" s="869" t="s">
        <v>2657</v>
      </c>
      <c r="B2774" s="869" t="s">
        <v>3453</v>
      </c>
      <c r="C2774" s="836">
        <v>3445</v>
      </c>
      <c r="D2774" s="836"/>
      <c r="E2774" s="836"/>
      <c r="F2774" s="836"/>
      <c r="G2774" s="496" t="s">
        <v>7852</v>
      </c>
      <c r="H2774" s="797" t="str">
        <f>VLOOKUP(G2774,SETTINGS!$B$7:$D$97,2,0)</f>
        <v>EKOplus Gas</v>
      </c>
      <c r="I2774" s="796">
        <f>VLOOKUP(G2774,SETTINGS!$B$7:$D$97,3,0)</f>
        <v>0</v>
      </c>
      <c r="J2774" s="670" t="str">
        <f>IFERROR(IF(CURRENCY.FORMAT_1=0,CONCATENATE(TEXT(FIXED(ROUND((C2774/EXC.RATE_1),CURRENCY.FORMAT_1),CURRENCY.FORMAT_1,1),"# ##0;-# ##0"),",-"),FIXED(ROUND((C2774/EXC.RATE_1),CURRENCY.FORMAT_1),CURRENCY.FORMAT_1,0)),'DICTIONARY-5'!$A$2)</f>
        <v>3 445,-</v>
      </c>
      <c r="K2774" s="670" t="str">
        <f>IF(EXC.RATE_2=0,"",IFERROR(IF(CURRENCY.FORMAT_2=0,CONCATENATE(TEXT(FIXED(ROUND(IF(EXC.RATE.SWITCH=1,C2774/EXC.RATE_2,C2774*EXC.RATE_2),CURRENCY.FORMAT_2),CURRENCY.FORMAT_2,1),"# ##0;-# ##0"),",-"),FIXED(ROUND(IF(EXC.RATE.SWITCH=1,C2774/EXC.RATE_2,C2774*EXC.RATE_2),CURRENCY.FORMAT_2),CURRENCY.FORMAT_2,0)),'DICTIONARY-5'!$A$2))</f>
        <v/>
      </c>
      <c r="L2774" s="670" t="str">
        <f>IFERROR(IF(CURRENCY.FORMAT_1=0,CONCATENATE(TEXT(FIXED(ROUND((C2774*(1-I2774)*(1-ADD.DISCOUNT)*(1+MAT.SURCHARGE)/EXC.RATE_1),CURRENCY.FORMAT_1),CURRENCY.FORMAT_1,1),"# ##0;-# ##0"),",-"),FIXED(ROUND((C2774*(1-I2774)*(1-ADD.DISCOUNT)*(1+MAT.SURCHARGE)/EXC.RATE_1),CURRENCY.FORMAT_1),CURRENCY.FORMAT_1,0)),'DICTIONARY-5'!$A$2)</f>
        <v>3 579,-</v>
      </c>
      <c r="M2774" s="670" t="str">
        <f>IF(EXC.RATE_2=0,"",IFERROR(IF(CURRENCY.FORMAT_2=0,CONCATENATE(TEXT(FIXED(ROUND(IF(EXC.RATE.SWITCH=1,C2774*(1-I2774)*(1-ADD.DISCOUNT)*(1+MAT.SURCHARGE)/EXC.RATE_2,C2774*(1-I2774)*(1-ADD.DISCOUNT)*(1+MAT.SURCHARGE)*EXC.RATE_2),CURRENCY.FORMAT_2),CURRENCY.FORMAT_2,1),"# ##0;-# ##0"),",-"),FIXED(ROUND(IF(EXC.RATE.SWITCH=1,C2774*(1-I2774)*(1-ADD.DISCOUNT)*(1+MAT.SURCHARGE)/EXC.RATE_2,C2774*(1-I2774)*(1-ADD.DISCOUNT)*(1+MAT.SURCHARGE)*EXC.RATE_2),CURRENCY.FORMAT_2),CURRENCY.FORMAT_2,0)),'DICTIONARY-5'!$A$2))</f>
        <v/>
      </c>
      <c r="N2774" s="535">
        <v>13</v>
      </c>
      <c r="O2774" s="535"/>
      <c r="P2774" s="731" t="str">
        <f>'DICTIONARY-3'!$A$2</f>
        <v>EKOplus</v>
      </c>
      <c r="Q2774" s="732" t="str">
        <f>'DICTIONARY-3'!$A$187</f>
        <v>Zasuwa klinowa</v>
      </c>
      <c r="R2774" s="732" t="str">
        <f>CONCATENATE('DICTIONARY-3'!$A$4," ",'DICTIONARY-6'!$A$3," ",UPPER('DICTIONARY-5'!$A$18)," ",'DICTIONARY-2'!$A$2,"250"," ",'DICTIONARY-2'!$A$5,"280"," ",'DICTIONARY-5'!$A$60," ",'DICTIONARY-2'!$A$10,"4",'DICTIONARY-2'!$A$20,", ",'DICTIONARY-4'!$A$2)</f>
        <v>EKOplus PE Zasuwa GAZ DN250 Da280 SDR 17 PS4bar, WW</v>
      </c>
      <c r="S2774" s="733" t="str">
        <f>'DICTIONARY-4'!$A$2</f>
        <v>WW</v>
      </c>
      <c r="T2774" s="732" t="str">
        <f>'DICTIONARY-4'!$A$18</f>
        <v>Wolny wałek</v>
      </c>
      <c r="U2774" s="734" t="s">
        <v>5751</v>
      </c>
      <c r="V2774" s="735"/>
      <c r="W2774" s="744" t="s">
        <v>7344</v>
      </c>
      <c r="X2774" s="737"/>
      <c r="Y2774" s="738"/>
      <c r="Z2774" s="739"/>
      <c r="AA2774" s="739"/>
      <c r="AB2774" s="740">
        <v>4</v>
      </c>
      <c r="AC2774" s="741" t="s">
        <v>5570</v>
      </c>
      <c r="AD2774" s="741" t="str">
        <f>'DICTIONARY-5'!$A$18</f>
        <v>gaz</v>
      </c>
      <c r="AE2774" s="742">
        <v>50</v>
      </c>
      <c r="AF2774" s="743">
        <v>164.2</v>
      </c>
      <c r="AG2774" s="741" t="str">
        <f>'DICTIONARY-5'!$A$23</f>
        <v>powłoka epoksydowa</v>
      </c>
    </row>
    <row r="2775" spans="1:33" x14ac:dyDescent="0.25">
      <c r="A2775" s="869" t="s">
        <v>2659</v>
      </c>
      <c r="B2775" s="869" t="s">
        <v>3454</v>
      </c>
      <c r="C2775" s="836">
        <v>4059</v>
      </c>
      <c r="D2775" s="836"/>
      <c r="E2775" s="836"/>
      <c r="F2775" s="836"/>
      <c r="G2775" s="496" t="s">
        <v>7852</v>
      </c>
      <c r="H2775" s="797" t="str">
        <f>VLOOKUP(G2775,SETTINGS!$B$7:$D$97,2,0)</f>
        <v>EKOplus Gas</v>
      </c>
      <c r="I2775" s="796">
        <f>VLOOKUP(G2775,SETTINGS!$B$7:$D$97,3,0)</f>
        <v>0</v>
      </c>
      <c r="J2775" s="670" t="str">
        <f>IFERROR(IF(CURRENCY.FORMAT_1=0,CONCATENATE(TEXT(FIXED(ROUND((C2775/EXC.RATE_1),CURRENCY.FORMAT_1),CURRENCY.FORMAT_1,1),"# ##0;-# ##0"),",-"),FIXED(ROUND((C2775/EXC.RATE_1),CURRENCY.FORMAT_1),CURRENCY.FORMAT_1,0)),'DICTIONARY-5'!$A$2)</f>
        <v>4 059,-</v>
      </c>
      <c r="K2775" s="670" t="str">
        <f>IF(EXC.RATE_2=0,"",IFERROR(IF(CURRENCY.FORMAT_2=0,CONCATENATE(TEXT(FIXED(ROUND(IF(EXC.RATE.SWITCH=1,C2775/EXC.RATE_2,C2775*EXC.RATE_2),CURRENCY.FORMAT_2),CURRENCY.FORMAT_2,1),"# ##0;-# ##0"),",-"),FIXED(ROUND(IF(EXC.RATE.SWITCH=1,C2775/EXC.RATE_2,C2775*EXC.RATE_2),CURRENCY.FORMAT_2),CURRENCY.FORMAT_2,0)),'DICTIONARY-5'!$A$2))</f>
        <v/>
      </c>
      <c r="L2775" s="670" t="str">
        <f>IFERROR(IF(CURRENCY.FORMAT_1=0,CONCATENATE(TEXT(FIXED(ROUND((C2775*(1-I2775)*(1-ADD.DISCOUNT)*(1+MAT.SURCHARGE)/EXC.RATE_1),CURRENCY.FORMAT_1),CURRENCY.FORMAT_1,1),"# ##0;-# ##0"),",-"),FIXED(ROUND((C2775*(1-I2775)*(1-ADD.DISCOUNT)*(1+MAT.SURCHARGE)/EXC.RATE_1),CURRENCY.FORMAT_1),CURRENCY.FORMAT_1,0)),'DICTIONARY-5'!$A$2)</f>
        <v>4 217,-</v>
      </c>
      <c r="M2775" s="670" t="str">
        <f>IF(EXC.RATE_2=0,"",IFERROR(IF(CURRENCY.FORMAT_2=0,CONCATENATE(TEXT(FIXED(ROUND(IF(EXC.RATE.SWITCH=1,C2775*(1-I2775)*(1-ADD.DISCOUNT)*(1+MAT.SURCHARGE)/EXC.RATE_2,C2775*(1-I2775)*(1-ADD.DISCOUNT)*(1+MAT.SURCHARGE)*EXC.RATE_2),CURRENCY.FORMAT_2),CURRENCY.FORMAT_2,1),"# ##0;-# ##0"),",-"),FIXED(ROUND(IF(EXC.RATE.SWITCH=1,C2775*(1-I2775)*(1-ADD.DISCOUNT)*(1+MAT.SURCHARGE)/EXC.RATE_2,C2775*(1-I2775)*(1-ADD.DISCOUNT)*(1+MAT.SURCHARGE)*EXC.RATE_2),CURRENCY.FORMAT_2),CURRENCY.FORMAT_2,0)),'DICTIONARY-5'!$A$2))</f>
        <v/>
      </c>
      <c r="N2775" s="535">
        <v>13</v>
      </c>
      <c r="O2775" s="535"/>
      <c r="P2775" s="731" t="str">
        <f>'DICTIONARY-3'!$A$2</f>
        <v>EKOplus</v>
      </c>
      <c r="Q2775" s="732" t="str">
        <f>'DICTIONARY-3'!$A$187</f>
        <v>Zasuwa klinowa</v>
      </c>
      <c r="R2775" s="732" t="str">
        <f>CONCATENATE('DICTIONARY-3'!$A$4," ",'DICTIONARY-6'!$A$3," ",UPPER('DICTIONARY-5'!$A$18)," ",'DICTIONARY-2'!$A$2,"300"," ",'DICTIONARY-2'!$A$5,"315"," ",'DICTIONARY-5'!$A$60," ",'DICTIONARY-2'!$A$10,"4",'DICTIONARY-2'!$A$20,", ",'DICTIONARY-4'!$A$2)</f>
        <v>EKOplus PE Zasuwa GAZ DN300 Da315 SDR 17 PS4bar, WW</v>
      </c>
      <c r="S2775" s="733" t="str">
        <f>'DICTIONARY-4'!$A$2</f>
        <v>WW</v>
      </c>
      <c r="T2775" s="732" t="str">
        <f>'DICTIONARY-4'!$A$18</f>
        <v>Wolny wałek</v>
      </c>
      <c r="U2775" s="734" t="s">
        <v>5752</v>
      </c>
      <c r="V2775" s="735"/>
      <c r="W2775" s="744" t="s">
        <v>7345</v>
      </c>
      <c r="X2775" s="737"/>
      <c r="Y2775" s="738"/>
      <c r="Z2775" s="739"/>
      <c r="AA2775" s="739"/>
      <c r="AB2775" s="740">
        <v>4</v>
      </c>
      <c r="AC2775" s="741" t="s">
        <v>5570</v>
      </c>
      <c r="AD2775" s="741" t="str">
        <f>'DICTIONARY-5'!$A$18</f>
        <v>gaz</v>
      </c>
      <c r="AE2775" s="742">
        <v>50</v>
      </c>
      <c r="AF2775" s="743">
        <v>222</v>
      </c>
      <c r="AG2775" s="741" t="str">
        <f>'DICTIONARY-5'!$A$23</f>
        <v>powłoka epoksydowa</v>
      </c>
    </row>
    <row r="2776" spans="1:33" x14ac:dyDescent="0.25">
      <c r="A2776" s="869" t="s">
        <v>2671</v>
      </c>
      <c r="B2776" s="869" t="s">
        <v>3472</v>
      </c>
      <c r="C2776" s="836">
        <v>467</v>
      </c>
      <c r="D2776" s="836"/>
      <c r="E2776" s="836"/>
      <c r="F2776" s="836"/>
      <c r="G2776" s="496" t="s">
        <v>7852</v>
      </c>
      <c r="H2776" s="797" t="str">
        <f>VLOOKUP(G2776,SETTINGS!$B$7:$D$97,2,0)</f>
        <v>EKOplus Gas</v>
      </c>
      <c r="I2776" s="796">
        <f>VLOOKUP(G2776,SETTINGS!$B$7:$D$97,3,0)</f>
        <v>0</v>
      </c>
      <c r="J2776" s="670" t="str">
        <f>IFERROR(IF(CURRENCY.FORMAT_1=0,CONCATENATE(TEXT(FIXED(ROUND((C2776/EXC.RATE_1),CURRENCY.FORMAT_1),CURRENCY.FORMAT_1,1),"# ##0;-# ##0"),",-"),FIXED(ROUND((C2776/EXC.RATE_1),CURRENCY.FORMAT_1),CURRENCY.FORMAT_1,0)),'DICTIONARY-5'!$A$2)</f>
        <v>467,-</v>
      </c>
      <c r="K2776" s="670" t="str">
        <f>IF(EXC.RATE_2=0,"",IFERROR(IF(CURRENCY.FORMAT_2=0,CONCATENATE(TEXT(FIXED(ROUND(IF(EXC.RATE.SWITCH=1,C2776/EXC.RATE_2,C2776*EXC.RATE_2),CURRENCY.FORMAT_2),CURRENCY.FORMAT_2,1),"# ##0;-# ##0"),",-"),FIXED(ROUND(IF(EXC.RATE.SWITCH=1,C2776/EXC.RATE_2,C2776*EXC.RATE_2),CURRENCY.FORMAT_2),CURRENCY.FORMAT_2,0)),'DICTIONARY-5'!$A$2))</f>
        <v/>
      </c>
      <c r="L2776" s="670" t="str">
        <f>IFERROR(IF(CURRENCY.FORMAT_1=0,CONCATENATE(TEXT(FIXED(ROUND((C2776*(1-I2776)*(1-ADD.DISCOUNT)*(1+MAT.SURCHARGE)/EXC.RATE_1),CURRENCY.FORMAT_1),CURRENCY.FORMAT_1,1),"# ##0;-# ##0"),",-"),FIXED(ROUND((C2776*(1-I2776)*(1-ADD.DISCOUNT)*(1+MAT.SURCHARGE)/EXC.RATE_1),CURRENCY.FORMAT_1),CURRENCY.FORMAT_1,0)),'DICTIONARY-5'!$A$2)</f>
        <v>485,-</v>
      </c>
      <c r="M2776" s="670" t="str">
        <f>IF(EXC.RATE_2=0,"",IFERROR(IF(CURRENCY.FORMAT_2=0,CONCATENATE(TEXT(FIXED(ROUND(IF(EXC.RATE.SWITCH=1,C2776*(1-I2776)*(1-ADD.DISCOUNT)*(1+MAT.SURCHARGE)/EXC.RATE_2,C2776*(1-I2776)*(1-ADD.DISCOUNT)*(1+MAT.SURCHARGE)*EXC.RATE_2),CURRENCY.FORMAT_2),CURRENCY.FORMAT_2,1),"# ##0;-# ##0"),",-"),FIXED(ROUND(IF(EXC.RATE.SWITCH=1,C2776*(1-I2776)*(1-ADD.DISCOUNT)*(1+MAT.SURCHARGE)/EXC.RATE_2,C2776*(1-I2776)*(1-ADD.DISCOUNT)*(1+MAT.SURCHARGE)*EXC.RATE_2),CURRENCY.FORMAT_2),CURRENCY.FORMAT_2,0)),'DICTIONARY-5'!$A$2))</f>
        <v/>
      </c>
      <c r="N2776" s="535">
        <v>13</v>
      </c>
      <c r="O2776" s="535"/>
      <c r="P2776" s="731" t="str">
        <f>'DICTIONARY-3'!$A$2</f>
        <v>EKOplus</v>
      </c>
      <c r="Q2776" s="732" t="str">
        <f>'DICTIONARY-3'!$A$187</f>
        <v>Zasuwa klinowa</v>
      </c>
      <c r="R2776" s="732" t="str">
        <f>CONCATENATE('DICTIONARY-3'!$A$2," ",'DICTIONARY-6'!$A$4," ",UPPER('DICTIONARY-5'!$A$18)," ",'DICTIONARY-2'!$A$2,"40"," ",'DICTIONARY-2'!$A$3,"10/16"," ","R14",", ",'DICTIONARY-4'!$A$7)</f>
        <v>EKOplus Zasuwa z wrzec. wznosz. się GAZ DN40 PN10/16 R14, KR</v>
      </c>
      <c r="S2776" s="733" t="str">
        <f>'DICTIONARY-4'!$A$7</f>
        <v>KR</v>
      </c>
      <c r="T2776" s="732" t="str">
        <f>'DICTIONARY-4'!$A$23</f>
        <v>Kółko ręczne</v>
      </c>
      <c r="U2776" s="734" t="s">
        <v>5758</v>
      </c>
      <c r="V2776" s="735">
        <v>16</v>
      </c>
      <c r="W2776" s="736"/>
      <c r="X2776" s="737"/>
      <c r="Y2776" s="738"/>
      <c r="Z2776" s="739"/>
      <c r="AA2776" s="739"/>
      <c r="AB2776" s="740">
        <v>16</v>
      </c>
      <c r="AC2776" s="741" t="str">
        <f>'DICTIONARY-5'!$A$11&amp;" 14"</f>
        <v>EN 558 szereg 14</v>
      </c>
      <c r="AD2776" s="741" t="str">
        <f>'DICTIONARY-5'!$A$18</f>
        <v>gaz</v>
      </c>
      <c r="AE2776" s="742">
        <v>50</v>
      </c>
      <c r="AF2776" s="743">
        <v>15.7</v>
      </c>
      <c r="AG2776" s="741" t="str">
        <f>'DICTIONARY-5'!$A$23</f>
        <v>powłoka epoksydowa</v>
      </c>
    </row>
    <row r="2777" spans="1:33" x14ac:dyDescent="0.25">
      <c r="A2777" s="869" t="s">
        <v>2673</v>
      </c>
      <c r="B2777" s="869" t="s">
        <v>3474</v>
      </c>
      <c r="C2777" s="836">
        <v>469</v>
      </c>
      <c r="D2777" s="836"/>
      <c r="E2777" s="836"/>
      <c r="F2777" s="836"/>
      <c r="G2777" s="496" t="s">
        <v>7852</v>
      </c>
      <c r="H2777" s="797" t="str">
        <f>VLOOKUP(G2777,SETTINGS!$B$7:$D$97,2,0)</f>
        <v>EKOplus Gas</v>
      </c>
      <c r="I2777" s="796">
        <f>VLOOKUP(G2777,SETTINGS!$B$7:$D$97,3,0)</f>
        <v>0</v>
      </c>
      <c r="J2777" s="670" t="str">
        <f>IFERROR(IF(CURRENCY.FORMAT_1=0,CONCATENATE(TEXT(FIXED(ROUND((C2777/EXC.RATE_1),CURRENCY.FORMAT_1),CURRENCY.FORMAT_1,1),"# ##0;-# ##0"),",-"),FIXED(ROUND((C2777/EXC.RATE_1),CURRENCY.FORMAT_1),CURRENCY.FORMAT_1,0)),'DICTIONARY-5'!$A$2)</f>
        <v>469,-</v>
      </c>
      <c r="K2777" s="670" t="str">
        <f>IF(EXC.RATE_2=0,"",IFERROR(IF(CURRENCY.FORMAT_2=0,CONCATENATE(TEXT(FIXED(ROUND(IF(EXC.RATE.SWITCH=1,C2777/EXC.RATE_2,C2777*EXC.RATE_2),CURRENCY.FORMAT_2),CURRENCY.FORMAT_2,1),"# ##0;-# ##0"),",-"),FIXED(ROUND(IF(EXC.RATE.SWITCH=1,C2777/EXC.RATE_2,C2777*EXC.RATE_2),CURRENCY.FORMAT_2),CURRENCY.FORMAT_2,0)),'DICTIONARY-5'!$A$2))</f>
        <v/>
      </c>
      <c r="L2777" s="670" t="str">
        <f>IFERROR(IF(CURRENCY.FORMAT_1=0,CONCATENATE(TEXT(FIXED(ROUND((C2777*(1-I2777)*(1-ADD.DISCOUNT)*(1+MAT.SURCHARGE)/EXC.RATE_1),CURRENCY.FORMAT_1),CURRENCY.FORMAT_1,1),"# ##0;-# ##0"),",-"),FIXED(ROUND((C2777*(1-I2777)*(1-ADD.DISCOUNT)*(1+MAT.SURCHARGE)/EXC.RATE_1),CURRENCY.FORMAT_1),CURRENCY.FORMAT_1,0)),'DICTIONARY-5'!$A$2)</f>
        <v>487,-</v>
      </c>
      <c r="M2777" s="670" t="str">
        <f>IF(EXC.RATE_2=0,"",IFERROR(IF(CURRENCY.FORMAT_2=0,CONCATENATE(TEXT(FIXED(ROUND(IF(EXC.RATE.SWITCH=1,C2777*(1-I2777)*(1-ADD.DISCOUNT)*(1+MAT.SURCHARGE)/EXC.RATE_2,C2777*(1-I2777)*(1-ADD.DISCOUNT)*(1+MAT.SURCHARGE)*EXC.RATE_2),CURRENCY.FORMAT_2),CURRENCY.FORMAT_2,1),"# ##0;-# ##0"),",-"),FIXED(ROUND(IF(EXC.RATE.SWITCH=1,C2777*(1-I2777)*(1-ADD.DISCOUNT)*(1+MAT.SURCHARGE)/EXC.RATE_2,C2777*(1-I2777)*(1-ADD.DISCOUNT)*(1+MAT.SURCHARGE)*EXC.RATE_2),CURRENCY.FORMAT_2),CURRENCY.FORMAT_2,0)),'DICTIONARY-5'!$A$2))</f>
        <v/>
      </c>
      <c r="N2777" s="535">
        <v>13</v>
      </c>
      <c r="O2777" s="535"/>
      <c r="P2777" s="731" t="str">
        <f>'DICTIONARY-3'!$A$2</f>
        <v>EKOplus</v>
      </c>
      <c r="Q2777" s="732" t="str">
        <f>'DICTIONARY-3'!$A$187</f>
        <v>Zasuwa klinowa</v>
      </c>
      <c r="R2777" s="732" t="str">
        <f>CONCATENATE('DICTIONARY-3'!$A$2," ",'DICTIONARY-6'!$A$4," ",UPPER('DICTIONARY-5'!$A$18)," ",'DICTIONARY-2'!$A$2,"50"," ",'DICTIONARY-2'!$A$3,"10/16"," ","R14",", ",'DICTIONARY-4'!$A$7)</f>
        <v>EKOplus Zasuwa z wrzec. wznosz. się GAZ DN50 PN10/16 R14, KR</v>
      </c>
      <c r="S2777" s="733" t="str">
        <f>'DICTIONARY-4'!$A$7</f>
        <v>KR</v>
      </c>
      <c r="T2777" s="732" t="str">
        <f>'DICTIONARY-4'!$A$23</f>
        <v>Kółko ręczne</v>
      </c>
      <c r="U2777" s="734" t="s">
        <v>5748</v>
      </c>
      <c r="V2777" s="735">
        <v>16</v>
      </c>
      <c r="W2777" s="736"/>
      <c r="X2777" s="737"/>
      <c r="Y2777" s="738"/>
      <c r="Z2777" s="739"/>
      <c r="AA2777" s="739"/>
      <c r="AB2777" s="740">
        <v>16</v>
      </c>
      <c r="AC2777" s="741" t="str">
        <f>'DICTIONARY-5'!$A$11&amp;" 14"</f>
        <v>EN 558 szereg 14</v>
      </c>
      <c r="AD2777" s="741" t="str">
        <f>'DICTIONARY-5'!$A$18</f>
        <v>gaz</v>
      </c>
      <c r="AE2777" s="742">
        <v>50</v>
      </c>
      <c r="AF2777" s="743">
        <v>17</v>
      </c>
      <c r="AG2777" s="741" t="str">
        <f>'DICTIONARY-5'!$A$23</f>
        <v>powłoka epoksydowa</v>
      </c>
    </row>
    <row r="2778" spans="1:33" x14ac:dyDescent="0.25">
      <c r="A2778" s="869" t="s">
        <v>2675</v>
      </c>
      <c r="B2778" s="869" t="s">
        <v>3476</v>
      </c>
      <c r="C2778" s="836">
        <v>542</v>
      </c>
      <c r="D2778" s="836"/>
      <c r="E2778" s="836"/>
      <c r="F2778" s="836"/>
      <c r="G2778" s="496" t="s">
        <v>7852</v>
      </c>
      <c r="H2778" s="797" t="str">
        <f>VLOOKUP(G2778,SETTINGS!$B$7:$D$97,2,0)</f>
        <v>EKOplus Gas</v>
      </c>
      <c r="I2778" s="796">
        <f>VLOOKUP(G2778,SETTINGS!$B$7:$D$97,3,0)</f>
        <v>0</v>
      </c>
      <c r="J2778" s="670" t="str">
        <f>IFERROR(IF(CURRENCY.FORMAT_1=0,CONCATENATE(TEXT(FIXED(ROUND((C2778/EXC.RATE_1),CURRENCY.FORMAT_1),CURRENCY.FORMAT_1,1),"# ##0;-# ##0"),",-"),FIXED(ROUND((C2778/EXC.RATE_1),CURRENCY.FORMAT_1),CURRENCY.FORMAT_1,0)),'DICTIONARY-5'!$A$2)</f>
        <v>542,-</v>
      </c>
      <c r="K2778" s="670" t="str">
        <f>IF(EXC.RATE_2=0,"",IFERROR(IF(CURRENCY.FORMAT_2=0,CONCATENATE(TEXT(FIXED(ROUND(IF(EXC.RATE.SWITCH=1,C2778/EXC.RATE_2,C2778*EXC.RATE_2),CURRENCY.FORMAT_2),CURRENCY.FORMAT_2,1),"# ##0;-# ##0"),",-"),FIXED(ROUND(IF(EXC.RATE.SWITCH=1,C2778/EXC.RATE_2,C2778*EXC.RATE_2),CURRENCY.FORMAT_2),CURRENCY.FORMAT_2,0)),'DICTIONARY-5'!$A$2))</f>
        <v/>
      </c>
      <c r="L2778" s="670" t="str">
        <f>IFERROR(IF(CURRENCY.FORMAT_1=0,CONCATENATE(TEXT(FIXED(ROUND((C2778*(1-I2778)*(1-ADD.DISCOUNT)*(1+MAT.SURCHARGE)/EXC.RATE_1),CURRENCY.FORMAT_1),CURRENCY.FORMAT_1,1),"# ##0;-# ##0"),",-"),FIXED(ROUND((C2778*(1-I2778)*(1-ADD.DISCOUNT)*(1+MAT.SURCHARGE)/EXC.RATE_1),CURRENCY.FORMAT_1),CURRENCY.FORMAT_1,0)),'DICTIONARY-5'!$A$2)</f>
        <v>563,-</v>
      </c>
      <c r="M2778" s="670" t="str">
        <f>IF(EXC.RATE_2=0,"",IFERROR(IF(CURRENCY.FORMAT_2=0,CONCATENATE(TEXT(FIXED(ROUND(IF(EXC.RATE.SWITCH=1,C2778*(1-I2778)*(1-ADD.DISCOUNT)*(1+MAT.SURCHARGE)/EXC.RATE_2,C2778*(1-I2778)*(1-ADD.DISCOUNT)*(1+MAT.SURCHARGE)*EXC.RATE_2),CURRENCY.FORMAT_2),CURRENCY.FORMAT_2,1),"# ##0;-# ##0"),",-"),FIXED(ROUND(IF(EXC.RATE.SWITCH=1,C2778*(1-I2778)*(1-ADD.DISCOUNT)*(1+MAT.SURCHARGE)/EXC.RATE_2,C2778*(1-I2778)*(1-ADD.DISCOUNT)*(1+MAT.SURCHARGE)*EXC.RATE_2),CURRENCY.FORMAT_2),CURRENCY.FORMAT_2,0)),'DICTIONARY-5'!$A$2))</f>
        <v/>
      </c>
      <c r="N2778" s="535">
        <v>13</v>
      </c>
      <c r="O2778" s="535"/>
      <c r="P2778" s="731" t="str">
        <f>'DICTIONARY-3'!$A$2</f>
        <v>EKOplus</v>
      </c>
      <c r="Q2778" s="732" t="str">
        <f>'DICTIONARY-3'!$A$187</f>
        <v>Zasuwa klinowa</v>
      </c>
      <c r="R2778" s="732" t="str">
        <f>CONCATENATE('DICTIONARY-3'!$A$2," ",'DICTIONARY-6'!$A$4," ",UPPER('DICTIONARY-5'!$A$18)," ",'DICTIONARY-2'!$A$2,"65"," ",'DICTIONARY-2'!$A$3,"10/16"," ","R14",", ",'DICTIONARY-4'!$A$7)</f>
        <v>EKOplus Zasuwa z wrzec. wznosz. się GAZ DN65 PN10/16 R14, KR</v>
      </c>
      <c r="S2778" s="733" t="str">
        <f>'DICTIONARY-4'!$A$7</f>
        <v>KR</v>
      </c>
      <c r="T2778" s="732" t="str">
        <f>'DICTIONARY-4'!$A$23</f>
        <v>Kółko ręczne</v>
      </c>
      <c r="U2778" s="734" t="s">
        <v>5759</v>
      </c>
      <c r="V2778" s="735">
        <v>16</v>
      </c>
      <c r="W2778" s="736"/>
      <c r="X2778" s="737"/>
      <c r="Y2778" s="738"/>
      <c r="Z2778" s="739"/>
      <c r="AA2778" s="739"/>
      <c r="AB2778" s="740">
        <v>16</v>
      </c>
      <c r="AC2778" s="741" t="str">
        <f>'DICTIONARY-5'!$A$11&amp;" 14"</f>
        <v>EN 558 szereg 14</v>
      </c>
      <c r="AD2778" s="741" t="str">
        <f>'DICTIONARY-5'!$A$18</f>
        <v>gaz</v>
      </c>
      <c r="AE2778" s="742">
        <v>50</v>
      </c>
      <c r="AF2778" s="743">
        <v>22.3</v>
      </c>
      <c r="AG2778" s="741" t="str">
        <f>'DICTIONARY-5'!$A$23</f>
        <v>powłoka epoksydowa</v>
      </c>
    </row>
    <row r="2779" spans="1:33" x14ac:dyDescent="0.25">
      <c r="A2779" s="869" t="s">
        <v>2677</v>
      </c>
      <c r="B2779" s="869" t="s">
        <v>3478</v>
      </c>
      <c r="C2779" s="836">
        <v>546</v>
      </c>
      <c r="D2779" s="836"/>
      <c r="E2779" s="836"/>
      <c r="F2779" s="836"/>
      <c r="G2779" s="496" t="s">
        <v>7852</v>
      </c>
      <c r="H2779" s="797" t="str">
        <f>VLOOKUP(G2779,SETTINGS!$B$7:$D$97,2,0)</f>
        <v>EKOplus Gas</v>
      </c>
      <c r="I2779" s="796">
        <f>VLOOKUP(G2779,SETTINGS!$B$7:$D$97,3,0)</f>
        <v>0</v>
      </c>
      <c r="J2779" s="670" t="str">
        <f>IFERROR(IF(CURRENCY.FORMAT_1=0,CONCATENATE(TEXT(FIXED(ROUND((C2779/EXC.RATE_1),CURRENCY.FORMAT_1),CURRENCY.FORMAT_1,1),"# ##0;-# ##0"),",-"),FIXED(ROUND((C2779/EXC.RATE_1),CURRENCY.FORMAT_1),CURRENCY.FORMAT_1,0)),'DICTIONARY-5'!$A$2)</f>
        <v>546,-</v>
      </c>
      <c r="K2779" s="670" t="str">
        <f>IF(EXC.RATE_2=0,"",IFERROR(IF(CURRENCY.FORMAT_2=0,CONCATENATE(TEXT(FIXED(ROUND(IF(EXC.RATE.SWITCH=1,C2779/EXC.RATE_2,C2779*EXC.RATE_2),CURRENCY.FORMAT_2),CURRENCY.FORMAT_2,1),"# ##0;-# ##0"),",-"),FIXED(ROUND(IF(EXC.RATE.SWITCH=1,C2779/EXC.RATE_2,C2779*EXC.RATE_2),CURRENCY.FORMAT_2),CURRENCY.FORMAT_2,0)),'DICTIONARY-5'!$A$2))</f>
        <v/>
      </c>
      <c r="L2779" s="670" t="str">
        <f>IFERROR(IF(CURRENCY.FORMAT_1=0,CONCATENATE(TEXT(FIXED(ROUND((C2779*(1-I2779)*(1-ADD.DISCOUNT)*(1+MAT.SURCHARGE)/EXC.RATE_1),CURRENCY.FORMAT_1),CURRENCY.FORMAT_1,1),"# ##0;-# ##0"),",-"),FIXED(ROUND((C2779*(1-I2779)*(1-ADD.DISCOUNT)*(1+MAT.SURCHARGE)/EXC.RATE_1),CURRENCY.FORMAT_1),CURRENCY.FORMAT_1,0)),'DICTIONARY-5'!$A$2)</f>
        <v>567,-</v>
      </c>
      <c r="M2779" s="670" t="str">
        <f>IF(EXC.RATE_2=0,"",IFERROR(IF(CURRENCY.FORMAT_2=0,CONCATENATE(TEXT(FIXED(ROUND(IF(EXC.RATE.SWITCH=1,C2779*(1-I2779)*(1-ADD.DISCOUNT)*(1+MAT.SURCHARGE)/EXC.RATE_2,C2779*(1-I2779)*(1-ADD.DISCOUNT)*(1+MAT.SURCHARGE)*EXC.RATE_2),CURRENCY.FORMAT_2),CURRENCY.FORMAT_2,1),"# ##0;-# ##0"),",-"),FIXED(ROUND(IF(EXC.RATE.SWITCH=1,C2779*(1-I2779)*(1-ADD.DISCOUNT)*(1+MAT.SURCHARGE)/EXC.RATE_2,C2779*(1-I2779)*(1-ADD.DISCOUNT)*(1+MAT.SURCHARGE)*EXC.RATE_2),CURRENCY.FORMAT_2),CURRENCY.FORMAT_2,0)),'DICTIONARY-5'!$A$2))</f>
        <v/>
      </c>
      <c r="N2779" s="535">
        <v>13</v>
      </c>
      <c r="O2779" s="535"/>
      <c r="P2779" s="731" t="str">
        <f>'DICTIONARY-3'!$A$2</f>
        <v>EKOplus</v>
      </c>
      <c r="Q2779" s="732" t="str">
        <f>'DICTIONARY-3'!$A$187</f>
        <v>Zasuwa klinowa</v>
      </c>
      <c r="R2779" s="732" t="str">
        <f>CONCATENATE('DICTIONARY-3'!$A$2," ",'DICTIONARY-6'!$A$4," ",UPPER('DICTIONARY-5'!$A$18)," ",'DICTIONARY-2'!$A$2,"80"," ",'DICTIONARY-2'!$A$3,"10/16"," ","R14",", ",'DICTIONARY-4'!$A$7)</f>
        <v>EKOplus Zasuwa z wrzec. wznosz. się GAZ DN80 PN10/16 R14, KR</v>
      </c>
      <c r="S2779" s="733" t="str">
        <f>'DICTIONARY-4'!$A$7</f>
        <v>KR</v>
      </c>
      <c r="T2779" s="732" t="str">
        <f>'DICTIONARY-4'!$A$23</f>
        <v>Kółko ręczne</v>
      </c>
      <c r="U2779" s="734" t="s">
        <v>5760</v>
      </c>
      <c r="V2779" s="735">
        <v>16</v>
      </c>
      <c r="W2779" s="736"/>
      <c r="X2779" s="737"/>
      <c r="Y2779" s="738"/>
      <c r="Z2779" s="739"/>
      <c r="AA2779" s="739"/>
      <c r="AB2779" s="740">
        <v>16</v>
      </c>
      <c r="AC2779" s="741" t="str">
        <f>'DICTIONARY-5'!$A$11&amp;" 14"</f>
        <v>EN 558 szereg 14</v>
      </c>
      <c r="AD2779" s="741" t="str">
        <f>'DICTIONARY-5'!$A$18</f>
        <v>gaz</v>
      </c>
      <c r="AE2779" s="742">
        <v>50</v>
      </c>
      <c r="AF2779" s="743">
        <v>23.8</v>
      </c>
      <c r="AG2779" s="741" t="str">
        <f>'DICTIONARY-5'!$A$23</f>
        <v>powłoka epoksydowa</v>
      </c>
    </row>
    <row r="2780" spans="1:33" x14ac:dyDescent="0.25">
      <c r="A2780" s="869" t="s">
        <v>2679</v>
      </c>
      <c r="B2780" s="869" t="s">
        <v>3480</v>
      </c>
      <c r="C2780" s="836">
        <v>632</v>
      </c>
      <c r="D2780" s="836"/>
      <c r="E2780" s="836"/>
      <c r="F2780" s="836"/>
      <c r="G2780" s="496" t="s">
        <v>7852</v>
      </c>
      <c r="H2780" s="797" t="str">
        <f>VLOOKUP(G2780,SETTINGS!$B$7:$D$97,2,0)</f>
        <v>EKOplus Gas</v>
      </c>
      <c r="I2780" s="796">
        <f>VLOOKUP(G2780,SETTINGS!$B$7:$D$97,3,0)</f>
        <v>0</v>
      </c>
      <c r="J2780" s="670" t="str">
        <f>IFERROR(IF(CURRENCY.FORMAT_1=0,CONCATENATE(TEXT(FIXED(ROUND((C2780/EXC.RATE_1),CURRENCY.FORMAT_1),CURRENCY.FORMAT_1,1),"# ##0;-# ##0"),",-"),FIXED(ROUND((C2780/EXC.RATE_1),CURRENCY.FORMAT_1),CURRENCY.FORMAT_1,0)),'DICTIONARY-5'!$A$2)</f>
        <v>632,-</v>
      </c>
      <c r="K2780" s="670" t="str">
        <f>IF(EXC.RATE_2=0,"",IFERROR(IF(CURRENCY.FORMAT_2=0,CONCATENATE(TEXT(FIXED(ROUND(IF(EXC.RATE.SWITCH=1,C2780/EXC.RATE_2,C2780*EXC.RATE_2),CURRENCY.FORMAT_2),CURRENCY.FORMAT_2,1),"# ##0;-# ##0"),",-"),FIXED(ROUND(IF(EXC.RATE.SWITCH=1,C2780/EXC.RATE_2,C2780*EXC.RATE_2),CURRENCY.FORMAT_2),CURRENCY.FORMAT_2,0)),'DICTIONARY-5'!$A$2))</f>
        <v/>
      </c>
      <c r="L2780" s="670" t="str">
        <f>IFERROR(IF(CURRENCY.FORMAT_1=0,CONCATENATE(TEXT(FIXED(ROUND((C2780*(1-I2780)*(1-ADD.DISCOUNT)*(1+MAT.SURCHARGE)/EXC.RATE_1),CURRENCY.FORMAT_1),CURRENCY.FORMAT_1,1),"# ##0;-# ##0"),",-"),FIXED(ROUND((C2780*(1-I2780)*(1-ADD.DISCOUNT)*(1+MAT.SURCHARGE)/EXC.RATE_1),CURRENCY.FORMAT_1),CURRENCY.FORMAT_1,0)),'DICTIONARY-5'!$A$2)</f>
        <v>657,-</v>
      </c>
      <c r="M2780" s="670" t="str">
        <f>IF(EXC.RATE_2=0,"",IFERROR(IF(CURRENCY.FORMAT_2=0,CONCATENATE(TEXT(FIXED(ROUND(IF(EXC.RATE.SWITCH=1,C2780*(1-I2780)*(1-ADD.DISCOUNT)*(1+MAT.SURCHARGE)/EXC.RATE_2,C2780*(1-I2780)*(1-ADD.DISCOUNT)*(1+MAT.SURCHARGE)*EXC.RATE_2),CURRENCY.FORMAT_2),CURRENCY.FORMAT_2,1),"# ##0;-# ##0"),",-"),FIXED(ROUND(IF(EXC.RATE.SWITCH=1,C2780*(1-I2780)*(1-ADD.DISCOUNT)*(1+MAT.SURCHARGE)/EXC.RATE_2,C2780*(1-I2780)*(1-ADD.DISCOUNT)*(1+MAT.SURCHARGE)*EXC.RATE_2),CURRENCY.FORMAT_2),CURRENCY.FORMAT_2,0)),'DICTIONARY-5'!$A$2))</f>
        <v/>
      </c>
      <c r="N2780" s="535">
        <v>13</v>
      </c>
      <c r="O2780" s="535"/>
      <c r="P2780" s="731" t="str">
        <f>'DICTIONARY-3'!$A$2</f>
        <v>EKOplus</v>
      </c>
      <c r="Q2780" s="732" t="str">
        <f>'DICTIONARY-3'!$A$187</f>
        <v>Zasuwa klinowa</v>
      </c>
      <c r="R2780" s="732" t="str">
        <f>CONCATENATE('DICTIONARY-3'!$A$2," ",'DICTIONARY-6'!$A$4," ",UPPER('DICTIONARY-5'!$A$18)," ",'DICTIONARY-2'!$A$2,"100"," ",'DICTIONARY-2'!$A$3,"10/16"," ","R14",", ",'DICTIONARY-4'!$A$7)</f>
        <v>EKOplus Zasuwa z wrzec. wznosz. się GAZ DN100 PN10/16 R14, KR</v>
      </c>
      <c r="S2780" s="733" t="str">
        <f>'DICTIONARY-4'!$A$7</f>
        <v>KR</v>
      </c>
      <c r="T2780" s="732" t="str">
        <f>'DICTIONARY-4'!$A$23</f>
        <v>Kółko ręczne</v>
      </c>
      <c r="U2780" s="734" t="s">
        <v>5749</v>
      </c>
      <c r="V2780" s="735">
        <v>16</v>
      </c>
      <c r="W2780" s="736"/>
      <c r="X2780" s="737"/>
      <c r="Y2780" s="738"/>
      <c r="Z2780" s="739"/>
      <c r="AA2780" s="739"/>
      <c r="AB2780" s="740">
        <v>16</v>
      </c>
      <c r="AC2780" s="741" t="str">
        <f>'DICTIONARY-5'!$A$11&amp;" 14"</f>
        <v>EN 558 szereg 14</v>
      </c>
      <c r="AD2780" s="741" t="str">
        <f>'DICTIONARY-5'!$A$18</f>
        <v>gaz</v>
      </c>
      <c r="AE2780" s="742">
        <v>50</v>
      </c>
      <c r="AF2780" s="743">
        <v>33</v>
      </c>
      <c r="AG2780" s="741" t="str">
        <f>'DICTIONARY-5'!$A$23</f>
        <v>powłoka epoksydowa</v>
      </c>
    </row>
    <row r="2781" spans="1:33" x14ac:dyDescent="0.25">
      <c r="A2781" s="869" t="s">
        <v>2681</v>
      </c>
      <c r="B2781" s="869" t="s">
        <v>3482</v>
      </c>
      <c r="C2781" s="836">
        <v>694</v>
      </c>
      <c r="D2781" s="836"/>
      <c r="E2781" s="836"/>
      <c r="F2781" s="836"/>
      <c r="G2781" s="496" t="s">
        <v>7852</v>
      </c>
      <c r="H2781" s="797" t="str">
        <f>VLOOKUP(G2781,SETTINGS!$B$7:$D$97,2,0)</f>
        <v>EKOplus Gas</v>
      </c>
      <c r="I2781" s="796">
        <f>VLOOKUP(G2781,SETTINGS!$B$7:$D$97,3,0)</f>
        <v>0</v>
      </c>
      <c r="J2781" s="670" t="str">
        <f>IFERROR(IF(CURRENCY.FORMAT_1=0,CONCATENATE(TEXT(FIXED(ROUND((C2781/EXC.RATE_1),CURRENCY.FORMAT_1),CURRENCY.FORMAT_1,1),"# ##0;-# ##0"),",-"),FIXED(ROUND((C2781/EXC.RATE_1),CURRENCY.FORMAT_1),CURRENCY.FORMAT_1,0)),'DICTIONARY-5'!$A$2)</f>
        <v>694,-</v>
      </c>
      <c r="K2781" s="670" t="str">
        <f>IF(EXC.RATE_2=0,"",IFERROR(IF(CURRENCY.FORMAT_2=0,CONCATENATE(TEXT(FIXED(ROUND(IF(EXC.RATE.SWITCH=1,C2781/EXC.RATE_2,C2781*EXC.RATE_2),CURRENCY.FORMAT_2),CURRENCY.FORMAT_2,1),"# ##0;-# ##0"),",-"),FIXED(ROUND(IF(EXC.RATE.SWITCH=1,C2781/EXC.RATE_2,C2781*EXC.RATE_2),CURRENCY.FORMAT_2),CURRENCY.FORMAT_2,0)),'DICTIONARY-5'!$A$2))</f>
        <v/>
      </c>
      <c r="L2781" s="670" t="str">
        <f>IFERROR(IF(CURRENCY.FORMAT_1=0,CONCATENATE(TEXT(FIXED(ROUND((C2781*(1-I2781)*(1-ADD.DISCOUNT)*(1+MAT.SURCHARGE)/EXC.RATE_1),CURRENCY.FORMAT_1),CURRENCY.FORMAT_1,1),"# ##0;-# ##0"),",-"),FIXED(ROUND((C2781*(1-I2781)*(1-ADD.DISCOUNT)*(1+MAT.SURCHARGE)/EXC.RATE_1),CURRENCY.FORMAT_1),CURRENCY.FORMAT_1,0)),'DICTIONARY-5'!$A$2)</f>
        <v>721,-</v>
      </c>
      <c r="M2781" s="670" t="str">
        <f>IF(EXC.RATE_2=0,"",IFERROR(IF(CURRENCY.FORMAT_2=0,CONCATENATE(TEXT(FIXED(ROUND(IF(EXC.RATE.SWITCH=1,C2781*(1-I2781)*(1-ADD.DISCOUNT)*(1+MAT.SURCHARGE)/EXC.RATE_2,C2781*(1-I2781)*(1-ADD.DISCOUNT)*(1+MAT.SURCHARGE)*EXC.RATE_2),CURRENCY.FORMAT_2),CURRENCY.FORMAT_2,1),"# ##0;-# ##0"),",-"),FIXED(ROUND(IF(EXC.RATE.SWITCH=1,C2781*(1-I2781)*(1-ADD.DISCOUNT)*(1+MAT.SURCHARGE)/EXC.RATE_2,C2781*(1-I2781)*(1-ADD.DISCOUNT)*(1+MAT.SURCHARGE)*EXC.RATE_2),CURRENCY.FORMAT_2),CURRENCY.FORMAT_2,0)),'DICTIONARY-5'!$A$2))</f>
        <v/>
      </c>
      <c r="N2781" s="535">
        <v>13</v>
      </c>
      <c r="O2781" s="535"/>
      <c r="P2781" s="731" t="str">
        <f>'DICTIONARY-3'!$A$2</f>
        <v>EKOplus</v>
      </c>
      <c r="Q2781" s="732" t="str">
        <f>'DICTIONARY-3'!$A$187</f>
        <v>Zasuwa klinowa</v>
      </c>
      <c r="R2781" s="732" t="str">
        <f>CONCATENATE('DICTIONARY-3'!$A$2," ",'DICTIONARY-6'!$A$4," ",UPPER('DICTIONARY-5'!$A$18)," ",'DICTIONARY-2'!$A$2,"125"," ",'DICTIONARY-2'!$A$3,"10/16"," ","R14",", ",'DICTIONARY-4'!$A$7)</f>
        <v>EKOplus Zasuwa z wrzec. wznosz. się GAZ DN125 PN10/16 R14, KR</v>
      </c>
      <c r="S2781" s="733" t="str">
        <f>'DICTIONARY-4'!$A$7</f>
        <v>KR</v>
      </c>
      <c r="T2781" s="732" t="str">
        <f>'DICTIONARY-4'!$A$23</f>
        <v>Kółko ręczne</v>
      </c>
      <c r="U2781" s="734" t="s">
        <v>5761</v>
      </c>
      <c r="V2781" s="735">
        <v>16</v>
      </c>
      <c r="W2781" s="736"/>
      <c r="X2781" s="737"/>
      <c r="Y2781" s="738"/>
      <c r="Z2781" s="739"/>
      <c r="AA2781" s="739"/>
      <c r="AB2781" s="740">
        <v>16</v>
      </c>
      <c r="AC2781" s="741" t="str">
        <f>'DICTIONARY-5'!$A$11&amp;" 14"</f>
        <v>EN 558 szereg 14</v>
      </c>
      <c r="AD2781" s="741" t="str">
        <f>'DICTIONARY-5'!$A$18</f>
        <v>gaz</v>
      </c>
      <c r="AE2781" s="742">
        <v>50</v>
      </c>
      <c r="AF2781" s="743">
        <v>35.5</v>
      </c>
      <c r="AG2781" s="741" t="str">
        <f>'DICTIONARY-5'!$A$23</f>
        <v>powłoka epoksydowa</v>
      </c>
    </row>
    <row r="2782" spans="1:33" x14ac:dyDescent="0.25">
      <c r="A2782" s="869" t="s">
        <v>2683</v>
      </c>
      <c r="B2782" s="869" t="s">
        <v>3484</v>
      </c>
      <c r="C2782" s="836">
        <v>724</v>
      </c>
      <c r="D2782" s="836"/>
      <c r="E2782" s="836"/>
      <c r="F2782" s="836"/>
      <c r="G2782" s="496" t="s">
        <v>7852</v>
      </c>
      <c r="H2782" s="797" t="str">
        <f>VLOOKUP(G2782,SETTINGS!$B$7:$D$97,2,0)</f>
        <v>EKOplus Gas</v>
      </c>
      <c r="I2782" s="796">
        <f>VLOOKUP(G2782,SETTINGS!$B$7:$D$97,3,0)</f>
        <v>0</v>
      </c>
      <c r="J2782" s="670" t="str">
        <f>IFERROR(IF(CURRENCY.FORMAT_1=0,CONCATENATE(TEXT(FIXED(ROUND((C2782/EXC.RATE_1),CURRENCY.FORMAT_1),CURRENCY.FORMAT_1,1),"# ##0;-# ##0"),",-"),FIXED(ROUND((C2782/EXC.RATE_1),CURRENCY.FORMAT_1),CURRENCY.FORMAT_1,0)),'DICTIONARY-5'!$A$2)</f>
        <v>724,-</v>
      </c>
      <c r="K2782" s="670" t="str">
        <f>IF(EXC.RATE_2=0,"",IFERROR(IF(CURRENCY.FORMAT_2=0,CONCATENATE(TEXT(FIXED(ROUND(IF(EXC.RATE.SWITCH=1,C2782/EXC.RATE_2,C2782*EXC.RATE_2),CURRENCY.FORMAT_2),CURRENCY.FORMAT_2,1),"# ##0;-# ##0"),",-"),FIXED(ROUND(IF(EXC.RATE.SWITCH=1,C2782/EXC.RATE_2,C2782*EXC.RATE_2),CURRENCY.FORMAT_2),CURRENCY.FORMAT_2,0)),'DICTIONARY-5'!$A$2))</f>
        <v/>
      </c>
      <c r="L2782" s="670" t="str">
        <f>IFERROR(IF(CURRENCY.FORMAT_1=0,CONCATENATE(TEXT(FIXED(ROUND((C2782*(1-I2782)*(1-ADD.DISCOUNT)*(1+MAT.SURCHARGE)/EXC.RATE_1),CURRENCY.FORMAT_1),CURRENCY.FORMAT_1,1),"# ##0;-# ##0"),",-"),FIXED(ROUND((C2782*(1-I2782)*(1-ADD.DISCOUNT)*(1+MAT.SURCHARGE)/EXC.RATE_1),CURRENCY.FORMAT_1),CURRENCY.FORMAT_1,0)),'DICTIONARY-5'!$A$2)</f>
        <v>752,-</v>
      </c>
      <c r="M2782" s="670" t="str">
        <f>IF(EXC.RATE_2=0,"",IFERROR(IF(CURRENCY.FORMAT_2=0,CONCATENATE(TEXT(FIXED(ROUND(IF(EXC.RATE.SWITCH=1,C2782*(1-I2782)*(1-ADD.DISCOUNT)*(1+MAT.SURCHARGE)/EXC.RATE_2,C2782*(1-I2782)*(1-ADD.DISCOUNT)*(1+MAT.SURCHARGE)*EXC.RATE_2),CURRENCY.FORMAT_2),CURRENCY.FORMAT_2,1),"# ##0;-# ##0"),",-"),FIXED(ROUND(IF(EXC.RATE.SWITCH=1,C2782*(1-I2782)*(1-ADD.DISCOUNT)*(1+MAT.SURCHARGE)/EXC.RATE_2,C2782*(1-I2782)*(1-ADD.DISCOUNT)*(1+MAT.SURCHARGE)*EXC.RATE_2),CURRENCY.FORMAT_2),CURRENCY.FORMAT_2,0)),'DICTIONARY-5'!$A$2))</f>
        <v/>
      </c>
      <c r="N2782" s="535">
        <v>13</v>
      </c>
      <c r="O2782" s="535"/>
      <c r="P2782" s="731" t="str">
        <f>'DICTIONARY-3'!$A$2</f>
        <v>EKOplus</v>
      </c>
      <c r="Q2782" s="732" t="str">
        <f>'DICTIONARY-3'!$A$187</f>
        <v>Zasuwa klinowa</v>
      </c>
      <c r="R2782" s="732" t="str">
        <f>CONCATENATE('DICTIONARY-3'!$A$2," ",'DICTIONARY-6'!$A$4," ",UPPER('DICTIONARY-5'!$A$18)," ",'DICTIONARY-2'!$A$2,"150"," ",'DICTIONARY-2'!$A$3,"10/16"," ","R14",", ",'DICTIONARY-4'!$A$7)</f>
        <v>EKOplus Zasuwa z wrzec. wznosz. się GAZ DN150 PN10/16 R14, KR</v>
      </c>
      <c r="S2782" s="733" t="str">
        <f>'DICTIONARY-4'!$A$7</f>
        <v>KR</v>
      </c>
      <c r="T2782" s="732" t="str">
        <f>'DICTIONARY-4'!$A$23</f>
        <v>Kółko ręczne</v>
      </c>
      <c r="U2782" s="734" t="s">
        <v>5572</v>
      </c>
      <c r="V2782" s="735">
        <v>16</v>
      </c>
      <c r="W2782" s="736"/>
      <c r="X2782" s="737"/>
      <c r="Y2782" s="738"/>
      <c r="Z2782" s="739"/>
      <c r="AA2782" s="739"/>
      <c r="AB2782" s="740">
        <v>16</v>
      </c>
      <c r="AC2782" s="741" t="str">
        <f>'DICTIONARY-5'!$A$11&amp;" 14"</f>
        <v>EN 558 szereg 14</v>
      </c>
      <c r="AD2782" s="741" t="str">
        <f>'DICTIONARY-5'!$A$18</f>
        <v>gaz</v>
      </c>
      <c r="AE2782" s="742">
        <v>50</v>
      </c>
      <c r="AF2782" s="743">
        <v>45</v>
      </c>
      <c r="AG2782" s="741" t="str">
        <f>'DICTIONARY-5'!$A$23</f>
        <v>powłoka epoksydowa</v>
      </c>
    </row>
    <row r="2783" spans="1:33" x14ac:dyDescent="0.25">
      <c r="A2783" s="869" t="s">
        <v>2685</v>
      </c>
      <c r="B2783" s="869" t="str">
        <f>'DICTIONARY-5'!$A$2</f>
        <v>na zapytanie</v>
      </c>
      <c r="C2783" s="836" t="s">
        <v>5967</v>
      </c>
      <c r="D2783" s="836"/>
      <c r="E2783" s="836"/>
      <c r="F2783" s="836"/>
      <c r="G2783" s="496" t="s">
        <v>7852</v>
      </c>
      <c r="H2783" s="797" t="str">
        <f>VLOOKUP(G2783,SETTINGS!$B$7:$D$97,2,0)</f>
        <v>EKOplus Gas</v>
      </c>
      <c r="I2783" s="796">
        <f>VLOOKUP(G2783,SETTINGS!$B$7:$D$97,3,0)</f>
        <v>0</v>
      </c>
      <c r="J2783" s="670" t="str">
        <f>IFERROR(IF(CURRENCY.FORMAT_1=0,CONCATENATE(TEXT(FIXED(ROUND((C2783/EXC.RATE_1),CURRENCY.FORMAT_1),CURRENCY.FORMAT_1,1),"# ##0;-# ##0"),",-"),FIXED(ROUND((C2783/EXC.RATE_1),CURRENCY.FORMAT_1),CURRENCY.FORMAT_1,0)),'DICTIONARY-5'!$A$2)</f>
        <v>na zapytanie</v>
      </c>
      <c r="K2783" s="670" t="str">
        <f>IF(EXC.RATE_2=0,"",IFERROR(IF(CURRENCY.FORMAT_2=0,CONCATENATE(TEXT(FIXED(ROUND(IF(EXC.RATE.SWITCH=1,C2783/EXC.RATE_2,C2783*EXC.RATE_2),CURRENCY.FORMAT_2),CURRENCY.FORMAT_2,1),"# ##0;-# ##0"),",-"),FIXED(ROUND(IF(EXC.RATE.SWITCH=1,C2783/EXC.RATE_2,C2783*EXC.RATE_2),CURRENCY.FORMAT_2),CURRENCY.FORMAT_2,0)),'DICTIONARY-5'!$A$2))</f>
        <v/>
      </c>
      <c r="L2783" s="670" t="str">
        <f>IFERROR(IF(CURRENCY.FORMAT_1=0,CONCATENATE(TEXT(FIXED(ROUND((C2783*(1-I2783)*(1-ADD.DISCOUNT)*(1+MAT.SURCHARGE)/EXC.RATE_1),CURRENCY.FORMAT_1),CURRENCY.FORMAT_1,1),"# ##0;-# ##0"),",-"),FIXED(ROUND((C2783*(1-I2783)*(1-ADD.DISCOUNT)*(1+MAT.SURCHARGE)/EXC.RATE_1),CURRENCY.FORMAT_1),CURRENCY.FORMAT_1,0)),'DICTIONARY-5'!$A$2)</f>
        <v>na zapytanie</v>
      </c>
      <c r="M2783" s="670" t="str">
        <f>IF(EXC.RATE_2=0,"",IFERROR(IF(CURRENCY.FORMAT_2=0,CONCATENATE(TEXT(FIXED(ROUND(IF(EXC.RATE.SWITCH=1,C2783*(1-I2783)*(1-ADD.DISCOUNT)*(1+MAT.SURCHARGE)/EXC.RATE_2,C2783*(1-I2783)*(1-ADD.DISCOUNT)*(1+MAT.SURCHARGE)*EXC.RATE_2),CURRENCY.FORMAT_2),CURRENCY.FORMAT_2,1),"# ##0;-# ##0"),",-"),FIXED(ROUND(IF(EXC.RATE.SWITCH=1,C2783*(1-I2783)*(1-ADD.DISCOUNT)*(1+MAT.SURCHARGE)/EXC.RATE_2,C2783*(1-I2783)*(1-ADD.DISCOUNT)*(1+MAT.SURCHARGE)*EXC.RATE_2),CURRENCY.FORMAT_2),CURRENCY.FORMAT_2,0)),'DICTIONARY-5'!$A$2))</f>
        <v/>
      </c>
      <c r="N2783" s="535">
        <v>13</v>
      </c>
      <c r="O2783" s="535"/>
      <c r="P2783" s="731" t="str">
        <f>'DICTIONARY-3'!$A$2</f>
        <v>EKOplus</v>
      </c>
      <c r="Q2783" s="732" t="str">
        <f>'DICTIONARY-3'!$A$187</f>
        <v>Zasuwa klinowa</v>
      </c>
      <c r="R2783" s="732" t="str">
        <f>CONCATENATE('DICTIONARY-3'!$A$2," ",'DICTIONARY-6'!$A$4," ",UPPER('DICTIONARY-5'!$A$18)," ",'DICTIONARY-2'!$A$2,"200"," ",'DICTIONARY-2'!$A$3,"10"," ","R14",", ",'DICTIONARY-4'!$A$7)</f>
        <v>EKOplus Zasuwa z wrzec. wznosz. się GAZ DN200 PN10 R14, KR</v>
      </c>
      <c r="S2783" s="733" t="str">
        <f>'DICTIONARY-4'!$A$7</f>
        <v>KR</v>
      </c>
      <c r="T2783" s="732" t="str">
        <f>'DICTIONARY-4'!$A$23</f>
        <v>Kółko ręczne</v>
      </c>
      <c r="U2783" s="734" t="s">
        <v>5750</v>
      </c>
      <c r="V2783" s="735">
        <v>10</v>
      </c>
      <c r="W2783" s="736"/>
      <c r="X2783" s="737"/>
      <c r="Y2783" s="738"/>
      <c r="Z2783" s="739"/>
      <c r="AA2783" s="739"/>
      <c r="AB2783" s="740">
        <v>10</v>
      </c>
      <c r="AC2783" s="741" t="str">
        <f>'DICTIONARY-5'!$A$11&amp;" 14"</f>
        <v>EN 558 szereg 14</v>
      </c>
      <c r="AD2783" s="741" t="str">
        <f>'DICTIONARY-5'!$A$18</f>
        <v>gaz</v>
      </c>
      <c r="AE2783" s="742">
        <v>50</v>
      </c>
      <c r="AF2783" s="743"/>
      <c r="AG2783" s="741" t="str">
        <f>'DICTIONARY-5'!$A$23</f>
        <v>powłoka epoksydowa</v>
      </c>
    </row>
    <row r="2784" spans="1:33" x14ac:dyDescent="0.25">
      <c r="A2784" s="869" t="s">
        <v>2687</v>
      </c>
      <c r="B2784" s="869" t="s">
        <v>3486</v>
      </c>
      <c r="C2784" s="836">
        <v>1121</v>
      </c>
      <c r="D2784" s="836"/>
      <c r="E2784" s="836"/>
      <c r="F2784" s="836"/>
      <c r="G2784" s="496" t="s">
        <v>7852</v>
      </c>
      <c r="H2784" s="797" t="str">
        <f>VLOOKUP(G2784,SETTINGS!$B$7:$D$97,2,0)</f>
        <v>EKOplus Gas</v>
      </c>
      <c r="I2784" s="796">
        <f>VLOOKUP(G2784,SETTINGS!$B$7:$D$97,3,0)</f>
        <v>0</v>
      </c>
      <c r="J2784" s="670" t="str">
        <f>IFERROR(IF(CURRENCY.FORMAT_1=0,CONCATENATE(TEXT(FIXED(ROUND((C2784/EXC.RATE_1),CURRENCY.FORMAT_1),CURRENCY.FORMAT_1,1),"# ##0;-# ##0"),",-"),FIXED(ROUND((C2784/EXC.RATE_1),CURRENCY.FORMAT_1),CURRENCY.FORMAT_1,0)),'DICTIONARY-5'!$A$2)</f>
        <v>1 121,-</v>
      </c>
      <c r="K2784" s="670" t="str">
        <f>IF(EXC.RATE_2=0,"",IFERROR(IF(CURRENCY.FORMAT_2=0,CONCATENATE(TEXT(FIXED(ROUND(IF(EXC.RATE.SWITCH=1,C2784/EXC.RATE_2,C2784*EXC.RATE_2),CURRENCY.FORMAT_2),CURRENCY.FORMAT_2,1),"# ##0;-# ##0"),",-"),FIXED(ROUND(IF(EXC.RATE.SWITCH=1,C2784/EXC.RATE_2,C2784*EXC.RATE_2),CURRENCY.FORMAT_2),CURRENCY.FORMAT_2,0)),'DICTIONARY-5'!$A$2))</f>
        <v/>
      </c>
      <c r="L2784" s="670" t="str">
        <f>IFERROR(IF(CURRENCY.FORMAT_1=0,CONCATENATE(TEXT(FIXED(ROUND((C2784*(1-I2784)*(1-ADD.DISCOUNT)*(1+MAT.SURCHARGE)/EXC.RATE_1),CURRENCY.FORMAT_1),CURRENCY.FORMAT_1,1),"# ##0;-# ##0"),",-"),FIXED(ROUND((C2784*(1-I2784)*(1-ADD.DISCOUNT)*(1+MAT.SURCHARGE)/EXC.RATE_1),CURRENCY.FORMAT_1),CURRENCY.FORMAT_1,0)),'DICTIONARY-5'!$A$2)</f>
        <v>1 165,-</v>
      </c>
      <c r="M2784" s="670" t="str">
        <f>IF(EXC.RATE_2=0,"",IFERROR(IF(CURRENCY.FORMAT_2=0,CONCATENATE(TEXT(FIXED(ROUND(IF(EXC.RATE.SWITCH=1,C2784*(1-I2784)*(1-ADD.DISCOUNT)*(1+MAT.SURCHARGE)/EXC.RATE_2,C2784*(1-I2784)*(1-ADD.DISCOUNT)*(1+MAT.SURCHARGE)*EXC.RATE_2),CURRENCY.FORMAT_2),CURRENCY.FORMAT_2,1),"# ##0;-# ##0"),",-"),FIXED(ROUND(IF(EXC.RATE.SWITCH=1,C2784*(1-I2784)*(1-ADD.DISCOUNT)*(1+MAT.SURCHARGE)/EXC.RATE_2,C2784*(1-I2784)*(1-ADD.DISCOUNT)*(1+MAT.SURCHARGE)*EXC.RATE_2),CURRENCY.FORMAT_2),CURRENCY.FORMAT_2,0)),'DICTIONARY-5'!$A$2))</f>
        <v/>
      </c>
      <c r="N2784" s="535">
        <v>13</v>
      </c>
      <c r="O2784" s="535"/>
      <c r="P2784" s="731" t="str">
        <f>'DICTIONARY-3'!$A$2</f>
        <v>EKOplus</v>
      </c>
      <c r="Q2784" s="732" t="str">
        <f>'DICTIONARY-3'!$A$187</f>
        <v>Zasuwa klinowa</v>
      </c>
      <c r="R2784" s="732" t="str">
        <f>CONCATENATE('DICTIONARY-3'!$A$2," ",'DICTIONARY-6'!$A$4," ",UPPER('DICTIONARY-5'!$A$18)," ",'DICTIONARY-2'!$A$2,"200"," ",'DICTIONARY-2'!$A$3,"16"," ","R14",", ",'DICTIONARY-4'!$A$7)</f>
        <v>EKOplus Zasuwa z wrzec. wznosz. się GAZ DN200 PN16 R14, KR</v>
      </c>
      <c r="S2784" s="733" t="str">
        <f>'DICTIONARY-4'!$A$7</f>
        <v>KR</v>
      </c>
      <c r="T2784" s="732" t="str">
        <f>'DICTIONARY-4'!$A$23</f>
        <v>Kółko ręczne</v>
      </c>
      <c r="U2784" s="734" t="s">
        <v>5750</v>
      </c>
      <c r="V2784" s="735">
        <v>16</v>
      </c>
      <c r="W2784" s="736"/>
      <c r="X2784" s="737"/>
      <c r="Y2784" s="738"/>
      <c r="Z2784" s="739"/>
      <c r="AA2784" s="739"/>
      <c r="AB2784" s="740">
        <v>16</v>
      </c>
      <c r="AC2784" s="741" t="str">
        <f>'DICTIONARY-5'!$A$11&amp;" 14"</f>
        <v>EN 558 szereg 14</v>
      </c>
      <c r="AD2784" s="741" t="str">
        <f>'DICTIONARY-5'!$A$18</f>
        <v>gaz</v>
      </c>
      <c r="AE2784" s="742">
        <v>50</v>
      </c>
      <c r="AF2784" s="743">
        <v>72</v>
      </c>
      <c r="AG2784" s="741" t="str">
        <f>'DICTIONARY-5'!$A$23</f>
        <v>powłoka epoksydowa</v>
      </c>
    </row>
    <row r="2785" spans="1:33" x14ac:dyDescent="0.25">
      <c r="A2785" s="869" t="s">
        <v>2689</v>
      </c>
      <c r="B2785" s="869" t="str">
        <f>'DICTIONARY-5'!$A$2</f>
        <v>na zapytanie</v>
      </c>
      <c r="C2785" s="836" t="s">
        <v>5967</v>
      </c>
      <c r="D2785" s="836"/>
      <c r="E2785" s="836"/>
      <c r="F2785" s="836"/>
      <c r="G2785" s="496" t="s">
        <v>7852</v>
      </c>
      <c r="H2785" s="797" t="str">
        <f>VLOOKUP(G2785,SETTINGS!$B$7:$D$97,2,0)</f>
        <v>EKOplus Gas</v>
      </c>
      <c r="I2785" s="796">
        <f>VLOOKUP(G2785,SETTINGS!$B$7:$D$97,3,0)</f>
        <v>0</v>
      </c>
      <c r="J2785" s="670" t="str">
        <f>IFERROR(IF(CURRENCY.FORMAT_1=0,CONCATENATE(TEXT(FIXED(ROUND((C2785/EXC.RATE_1),CURRENCY.FORMAT_1),CURRENCY.FORMAT_1,1),"# ##0;-# ##0"),",-"),FIXED(ROUND((C2785/EXC.RATE_1),CURRENCY.FORMAT_1),CURRENCY.FORMAT_1,0)),'DICTIONARY-5'!$A$2)</f>
        <v>na zapytanie</v>
      </c>
      <c r="K2785" s="670" t="str">
        <f>IF(EXC.RATE_2=0,"",IFERROR(IF(CURRENCY.FORMAT_2=0,CONCATENATE(TEXT(FIXED(ROUND(IF(EXC.RATE.SWITCH=1,C2785/EXC.RATE_2,C2785*EXC.RATE_2),CURRENCY.FORMAT_2),CURRENCY.FORMAT_2,1),"# ##0;-# ##0"),",-"),FIXED(ROUND(IF(EXC.RATE.SWITCH=1,C2785/EXC.RATE_2,C2785*EXC.RATE_2),CURRENCY.FORMAT_2),CURRENCY.FORMAT_2,0)),'DICTIONARY-5'!$A$2))</f>
        <v/>
      </c>
      <c r="L2785" s="670" t="str">
        <f>IFERROR(IF(CURRENCY.FORMAT_1=0,CONCATENATE(TEXT(FIXED(ROUND((C2785*(1-I2785)*(1-ADD.DISCOUNT)*(1+MAT.SURCHARGE)/EXC.RATE_1),CURRENCY.FORMAT_1),CURRENCY.FORMAT_1,1),"# ##0;-# ##0"),",-"),FIXED(ROUND((C2785*(1-I2785)*(1-ADD.DISCOUNT)*(1+MAT.SURCHARGE)/EXC.RATE_1),CURRENCY.FORMAT_1),CURRENCY.FORMAT_1,0)),'DICTIONARY-5'!$A$2)</f>
        <v>na zapytanie</v>
      </c>
      <c r="M2785" s="670" t="str">
        <f>IF(EXC.RATE_2=0,"",IFERROR(IF(CURRENCY.FORMAT_2=0,CONCATENATE(TEXT(FIXED(ROUND(IF(EXC.RATE.SWITCH=1,C2785*(1-I2785)*(1-ADD.DISCOUNT)*(1+MAT.SURCHARGE)/EXC.RATE_2,C2785*(1-I2785)*(1-ADD.DISCOUNT)*(1+MAT.SURCHARGE)*EXC.RATE_2),CURRENCY.FORMAT_2),CURRENCY.FORMAT_2,1),"# ##0;-# ##0"),",-"),FIXED(ROUND(IF(EXC.RATE.SWITCH=1,C2785*(1-I2785)*(1-ADD.DISCOUNT)*(1+MAT.SURCHARGE)/EXC.RATE_2,C2785*(1-I2785)*(1-ADD.DISCOUNT)*(1+MAT.SURCHARGE)*EXC.RATE_2),CURRENCY.FORMAT_2),CURRENCY.FORMAT_2,0)),'DICTIONARY-5'!$A$2))</f>
        <v/>
      </c>
      <c r="N2785" s="535">
        <v>13</v>
      </c>
      <c r="O2785" s="535"/>
      <c r="P2785" s="731" t="str">
        <f>'DICTIONARY-3'!$A$2</f>
        <v>EKOplus</v>
      </c>
      <c r="Q2785" s="732" t="str">
        <f>'DICTIONARY-3'!$A$187</f>
        <v>Zasuwa klinowa</v>
      </c>
      <c r="R2785" s="732" t="str">
        <f>CONCATENATE('DICTIONARY-3'!$A$2," ",'DICTIONARY-6'!$A$4," ",UPPER('DICTIONARY-5'!$A$18)," ",'DICTIONARY-2'!$A$2,"250"," ",'DICTIONARY-2'!$A$3,"10"," ","R14",", ",'DICTIONARY-4'!$A$7)</f>
        <v>EKOplus Zasuwa z wrzec. wznosz. się GAZ DN250 PN10 R14, KR</v>
      </c>
      <c r="S2785" s="733" t="str">
        <f>'DICTIONARY-4'!$A$7</f>
        <v>KR</v>
      </c>
      <c r="T2785" s="732" t="str">
        <f>'DICTIONARY-4'!$A$23</f>
        <v>Kółko ręczne</v>
      </c>
      <c r="U2785" s="734" t="s">
        <v>5751</v>
      </c>
      <c r="V2785" s="735">
        <v>10</v>
      </c>
      <c r="W2785" s="736"/>
      <c r="X2785" s="737"/>
      <c r="Y2785" s="738"/>
      <c r="Z2785" s="739"/>
      <c r="AA2785" s="739"/>
      <c r="AB2785" s="740">
        <v>10</v>
      </c>
      <c r="AC2785" s="741" t="str">
        <f>'DICTIONARY-5'!$A$11&amp;" 14"</f>
        <v>EN 558 szereg 14</v>
      </c>
      <c r="AD2785" s="741" t="str">
        <f>'DICTIONARY-5'!$A$18</f>
        <v>gaz</v>
      </c>
      <c r="AE2785" s="742">
        <v>50</v>
      </c>
      <c r="AF2785" s="743"/>
      <c r="AG2785" s="741" t="str">
        <f>'DICTIONARY-5'!$A$23</f>
        <v>powłoka epoksydowa</v>
      </c>
    </row>
    <row r="2786" spans="1:33" x14ac:dyDescent="0.25">
      <c r="A2786" s="869" t="s">
        <v>2691</v>
      </c>
      <c r="B2786" s="869" t="s">
        <v>3488</v>
      </c>
      <c r="C2786" s="836">
        <v>1929</v>
      </c>
      <c r="D2786" s="836"/>
      <c r="E2786" s="836"/>
      <c r="F2786" s="836"/>
      <c r="G2786" s="496" t="s">
        <v>7852</v>
      </c>
      <c r="H2786" s="797" t="str">
        <f>VLOOKUP(G2786,SETTINGS!$B$7:$D$97,2,0)</f>
        <v>EKOplus Gas</v>
      </c>
      <c r="I2786" s="796">
        <f>VLOOKUP(G2786,SETTINGS!$B$7:$D$97,3,0)</f>
        <v>0</v>
      </c>
      <c r="J2786" s="670" t="str">
        <f>IFERROR(IF(CURRENCY.FORMAT_1=0,CONCATENATE(TEXT(FIXED(ROUND((C2786/EXC.RATE_1),CURRENCY.FORMAT_1),CURRENCY.FORMAT_1,1),"# ##0;-# ##0"),",-"),FIXED(ROUND((C2786/EXC.RATE_1),CURRENCY.FORMAT_1),CURRENCY.FORMAT_1,0)),'DICTIONARY-5'!$A$2)</f>
        <v>1 929,-</v>
      </c>
      <c r="K2786" s="670" t="str">
        <f>IF(EXC.RATE_2=0,"",IFERROR(IF(CURRENCY.FORMAT_2=0,CONCATENATE(TEXT(FIXED(ROUND(IF(EXC.RATE.SWITCH=1,C2786/EXC.RATE_2,C2786*EXC.RATE_2),CURRENCY.FORMAT_2),CURRENCY.FORMAT_2,1),"# ##0;-# ##0"),",-"),FIXED(ROUND(IF(EXC.RATE.SWITCH=1,C2786/EXC.RATE_2,C2786*EXC.RATE_2),CURRENCY.FORMAT_2),CURRENCY.FORMAT_2,0)),'DICTIONARY-5'!$A$2))</f>
        <v/>
      </c>
      <c r="L2786" s="670" t="str">
        <f>IFERROR(IF(CURRENCY.FORMAT_1=0,CONCATENATE(TEXT(FIXED(ROUND((C2786*(1-I2786)*(1-ADD.DISCOUNT)*(1+MAT.SURCHARGE)/EXC.RATE_1),CURRENCY.FORMAT_1),CURRENCY.FORMAT_1,1),"# ##0;-# ##0"),",-"),FIXED(ROUND((C2786*(1-I2786)*(1-ADD.DISCOUNT)*(1+MAT.SURCHARGE)/EXC.RATE_1),CURRENCY.FORMAT_1),CURRENCY.FORMAT_1,0)),'DICTIONARY-5'!$A$2)</f>
        <v>2 004,-</v>
      </c>
      <c r="M2786" s="670" t="str">
        <f>IF(EXC.RATE_2=0,"",IFERROR(IF(CURRENCY.FORMAT_2=0,CONCATENATE(TEXT(FIXED(ROUND(IF(EXC.RATE.SWITCH=1,C2786*(1-I2786)*(1-ADD.DISCOUNT)*(1+MAT.SURCHARGE)/EXC.RATE_2,C2786*(1-I2786)*(1-ADD.DISCOUNT)*(1+MAT.SURCHARGE)*EXC.RATE_2),CURRENCY.FORMAT_2),CURRENCY.FORMAT_2,1),"# ##0;-# ##0"),",-"),FIXED(ROUND(IF(EXC.RATE.SWITCH=1,C2786*(1-I2786)*(1-ADD.DISCOUNT)*(1+MAT.SURCHARGE)/EXC.RATE_2,C2786*(1-I2786)*(1-ADD.DISCOUNT)*(1+MAT.SURCHARGE)*EXC.RATE_2),CURRENCY.FORMAT_2),CURRENCY.FORMAT_2,0)),'DICTIONARY-5'!$A$2))</f>
        <v/>
      </c>
      <c r="N2786" s="535">
        <v>13</v>
      </c>
      <c r="O2786" s="535"/>
      <c r="P2786" s="731" t="str">
        <f>'DICTIONARY-3'!$A$2</f>
        <v>EKOplus</v>
      </c>
      <c r="Q2786" s="732" t="str">
        <f>'DICTIONARY-3'!$A$187</f>
        <v>Zasuwa klinowa</v>
      </c>
      <c r="R2786" s="732" t="str">
        <f>CONCATENATE('DICTIONARY-3'!$A$2," ",'DICTIONARY-6'!$A$4," ",UPPER('DICTIONARY-5'!$A$18)," ",'DICTIONARY-2'!$A$2,"250"," ",'DICTIONARY-2'!$A$3,"16"," ","R14",", ",'DICTIONARY-4'!$A$7)</f>
        <v>EKOplus Zasuwa z wrzec. wznosz. się GAZ DN250 PN16 R14, KR</v>
      </c>
      <c r="S2786" s="733" t="str">
        <f>'DICTIONARY-4'!$A$7</f>
        <v>KR</v>
      </c>
      <c r="T2786" s="732" t="str">
        <f>'DICTIONARY-4'!$A$23</f>
        <v>Kółko ręczne</v>
      </c>
      <c r="U2786" s="734" t="s">
        <v>5751</v>
      </c>
      <c r="V2786" s="735">
        <v>16</v>
      </c>
      <c r="W2786" s="736"/>
      <c r="X2786" s="737"/>
      <c r="Y2786" s="738"/>
      <c r="Z2786" s="739"/>
      <c r="AA2786" s="739"/>
      <c r="AB2786" s="740">
        <v>16</v>
      </c>
      <c r="AC2786" s="741" t="str">
        <f>'DICTIONARY-5'!$A$11&amp;" 14"</f>
        <v>EN 558 szereg 14</v>
      </c>
      <c r="AD2786" s="741" t="str">
        <f>'DICTIONARY-5'!$A$18</f>
        <v>gaz</v>
      </c>
      <c r="AE2786" s="742">
        <v>50</v>
      </c>
      <c r="AF2786" s="743">
        <v>110.5</v>
      </c>
      <c r="AG2786" s="741" t="str">
        <f>'DICTIONARY-5'!$A$23</f>
        <v>powłoka epoksydowa</v>
      </c>
    </row>
    <row r="2787" spans="1:33" x14ac:dyDescent="0.25">
      <c r="A2787" s="869" t="s">
        <v>2693</v>
      </c>
      <c r="B2787" s="869" t="str">
        <f>'DICTIONARY-5'!$A$2</f>
        <v>na zapytanie</v>
      </c>
      <c r="C2787" s="836" t="s">
        <v>5967</v>
      </c>
      <c r="D2787" s="836"/>
      <c r="E2787" s="836"/>
      <c r="F2787" s="836"/>
      <c r="G2787" s="496" t="s">
        <v>7852</v>
      </c>
      <c r="H2787" s="797" t="str">
        <f>VLOOKUP(G2787,SETTINGS!$B$7:$D$97,2,0)</f>
        <v>EKOplus Gas</v>
      </c>
      <c r="I2787" s="796">
        <f>VLOOKUP(G2787,SETTINGS!$B$7:$D$97,3,0)</f>
        <v>0</v>
      </c>
      <c r="J2787" s="670" t="str">
        <f>IFERROR(IF(CURRENCY.FORMAT_1=0,CONCATENATE(TEXT(FIXED(ROUND((C2787/EXC.RATE_1),CURRENCY.FORMAT_1),CURRENCY.FORMAT_1,1),"# ##0;-# ##0"),",-"),FIXED(ROUND((C2787/EXC.RATE_1),CURRENCY.FORMAT_1),CURRENCY.FORMAT_1,0)),'DICTIONARY-5'!$A$2)</f>
        <v>na zapytanie</v>
      </c>
      <c r="K2787" s="670" t="str">
        <f>IF(EXC.RATE_2=0,"",IFERROR(IF(CURRENCY.FORMAT_2=0,CONCATENATE(TEXT(FIXED(ROUND(IF(EXC.RATE.SWITCH=1,C2787/EXC.RATE_2,C2787*EXC.RATE_2),CURRENCY.FORMAT_2),CURRENCY.FORMAT_2,1),"# ##0;-# ##0"),",-"),FIXED(ROUND(IF(EXC.RATE.SWITCH=1,C2787/EXC.RATE_2,C2787*EXC.RATE_2),CURRENCY.FORMAT_2),CURRENCY.FORMAT_2,0)),'DICTIONARY-5'!$A$2))</f>
        <v/>
      </c>
      <c r="L2787" s="670" t="str">
        <f>IFERROR(IF(CURRENCY.FORMAT_1=0,CONCATENATE(TEXT(FIXED(ROUND((C2787*(1-I2787)*(1-ADD.DISCOUNT)*(1+MAT.SURCHARGE)/EXC.RATE_1),CURRENCY.FORMAT_1),CURRENCY.FORMAT_1,1),"# ##0;-# ##0"),",-"),FIXED(ROUND((C2787*(1-I2787)*(1-ADD.DISCOUNT)*(1+MAT.SURCHARGE)/EXC.RATE_1),CURRENCY.FORMAT_1),CURRENCY.FORMAT_1,0)),'DICTIONARY-5'!$A$2)</f>
        <v>na zapytanie</v>
      </c>
      <c r="M2787" s="670" t="str">
        <f>IF(EXC.RATE_2=0,"",IFERROR(IF(CURRENCY.FORMAT_2=0,CONCATENATE(TEXT(FIXED(ROUND(IF(EXC.RATE.SWITCH=1,C2787*(1-I2787)*(1-ADD.DISCOUNT)*(1+MAT.SURCHARGE)/EXC.RATE_2,C2787*(1-I2787)*(1-ADD.DISCOUNT)*(1+MAT.SURCHARGE)*EXC.RATE_2),CURRENCY.FORMAT_2),CURRENCY.FORMAT_2,1),"# ##0;-# ##0"),",-"),FIXED(ROUND(IF(EXC.RATE.SWITCH=1,C2787*(1-I2787)*(1-ADD.DISCOUNT)*(1+MAT.SURCHARGE)/EXC.RATE_2,C2787*(1-I2787)*(1-ADD.DISCOUNT)*(1+MAT.SURCHARGE)*EXC.RATE_2),CURRENCY.FORMAT_2),CURRENCY.FORMAT_2,0)),'DICTIONARY-5'!$A$2))</f>
        <v/>
      </c>
      <c r="N2787" s="535">
        <v>13</v>
      </c>
      <c r="O2787" s="535"/>
      <c r="P2787" s="731" t="str">
        <f>'DICTIONARY-3'!$A$2</f>
        <v>EKOplus</v>
      </c>
      <c r="Q2787" s="732" t="str">
        <f>'DICTIONARY-3'!$A$187</f>
        <v>Zasuwa klinowa</v>
      </c>
      <c r="R2787" s="732" t="str">
        <f>CONCATENATE('DICTIONARY-3'!$A$2," ",'DICTIONARY-6'!$A$4," ",UPPER('DICTIONARY-5'!$A$18)," ",'DICTIONARY-2'!$A$2,"300"," ",'DICTIONARY-2'!$A$3,"10"," ","R14",", ",'DICTIONARY-4'!$A$7)</f>
        <v>EKOplus Zasuwa z wrzec. wznosz. się GAZ DN300 PN10 R14, KR</v>
      </c>
      <c r="S2787" s="733" t="str">
        <f>'DICTIONARY-4'!$A$7</f>
        <v>KR</v>
      </c>
      <c r="T2787" s="732" t="str">
        <f>'DICTIONARY-4'!$A$23</f>
        <v>Kółko ręczne</v>
      </c>
      <c r="U2787" s="734" t="s">
        <v>5752</v>
      </c>
      <c r="V2787" s="735">
        <v>10</v>
      </c>
      <c r="W2787" s="736"/>
      <c r="X2787" s="737"/>
      <c r="Y2787" s="738"/>
      <c r="Z2787" s="739"/>
      <c r="AA2787" s="739"/>
      <c r="AB2787" s="740">
        <v>10</v>
      </c>
      <c r="AC2787" s="741" t="str">
        <f>'DICTIONARY-5'!$A$11&amp;" 14"</f>
        <v>EN 558 szereg 14</v>
      </c>
      <c r="AD2787" s="741" t="str">
        <f>'DICTIONARY-5'!$A$18</f>
        <v>gaz</v>
      </c>
      <c r="AE2787" s="742">
        <v>50</v>
      </c>
      <c r="AF2787" s="743"/>
      <c r="AG2787" s="741" t="str">
        <f>'DICTIONARY-5'!$A$23</f>
        <v>powłoka epoksydowa</v>
      </c>
    </row>
    <row r="2788" spans="1:33" x14ac:dyDescent="0.25">
      <c r="A2788" s="869" t="s">
        <v>2695</v>
      </c>
      <c r="B2788" s="869" t="s">
        <v>3490</v>
      </c>
      <c r="C2788" s="836">
        <v>2112</v>
      </c>
      <c r="D2788" s="836"/>
      <c r="E2788" s="836"/>
      <c r="F2788" s="836"/>
      <c r="G2788" s="496" t="s">
        <v>7852</v>
      </c>
      <c r="H2788" s="797" t="str">
        <f>VLOOKUP(G2788,SETTINGS!$B$7:$D$97,2,0)</f>
        <v>EKOplus Gas</v>
      </c>
      <c r="I2788" s="796">
        <f>VLOOKUP(G2788,SETTINGS!$B$7:$D$97,3,0)</f>
        <v>0</v>
      </c>
      <c r="J2788" s="670" t="str">
        <f>IFERROR(IF(CURRENCY.FORMAT_1=0,CONCATENATE(TEXT(FIXED(ROUND((C2788/EXC.RATE_1),CURRENCY.FORMAT_1),CURRENCY.FORMAT_1,1),"# ##0;-# ##0"),",-"),FIXED(ROUND((C2788/EXC.RATE_1),CURRENCY.FORMAT_1),CURRENCY.FORMAT_1,0)),'DICTIONARY-5'!$A$2)</f>
        <v>2 112,-</v>
      </c>
      <c r="K2788" s="670" t="str">
        <f>IF(EXC.RATE_2=0,"",IFERROR(IF(CURRENCY.FORMAT_2=0,CONCATENATE(TEXT(FIXED(ROUND(IF(EXC.RATE.SWITCH=1,C2788/EXC.RATE_2,C2788*EXC.RATE_2),CURRENCY.FORMAT_2),CURRENCY.FORMAT_2,1),"# ##0;-# ##0"),",-"),FIXED(ROUND(IF(EXC.RATE.SWITCH=1,C2788/EXC.RATE_2,C2788*EXC.RATE_2),CURRENCY.FORMAT_2),CURRENCY.FORMAT_2,0)),'DICTIONARY-5'!$A$2))</f>
        <v/>
      </c>
      <c r="L2788" s="670" t="str">
        <f>IFERROR(IF(CURRENCY.FORMAT_1=0,CONCATENATE(TEXT(FIXED(ROUND((C2788*(1-I2788)*(1-ADD.DISCOUNT)*(1+MAT.SURCHARGE)/EXC.RATE_1),CURRENCY.FORMAT_1),CURRENCY.FORMAT_1,1),"# ##0;-# ##0"),",-"),FIXED(ROUND((C2788*(1-I2788)*(1-ADD.DISCOUNT)*(1+MAT.SURCHARGE)/EXC.RATE_1),CURRENCY.FORMAT_1),CURRENCY.FORMAT_1,0)),'DICTIONARY-5'!$A$2)</f>
        <v>2 194,-</v>
      </c>
      <c r="M2788" s="670" t="str">
        <f>IF(EXC.RATE_2=0,"",IFERROR(IF(CURRENCY.FORMAT_2=0,CONCATENATE(TEXT(FIXED(ROUND(IF(EXC.RATE.SWITCH=1,C2788*(1-I2788)*(1-ADD.DISCOUNT)*(1+MAT.SURCHARGE)/EXC.RATE_2,C2788*(1-I2788)*(1-ADD.DISCOUNT)*(1+MAT.SURCHARGE)*EXC.RATE_2),CURRENCY.FORMAT_2),CURRENCY.FORMAT_2,1),"# ##0;-# ##0"),",-"),FIXED(ROUND(IF(EXC.RATE.SWITCH=1,C2788*(1-I2788)*(1-ADD.DISCOUNT)*(1+MAT.SURCHARGE)/EXC.RATE_2,C2788*(1-I2788)*(1-ADD.DISCOUNT)*(1+MAT.SURCHARGE)*EXC.RATE_2),CURRENCY.FORMAT_2),CURRENCY.FORMAT_2,0)),'DICTIONARY-5'!$A$2))</f>
        <v/>
      </c>
      <c r="N2788" s="535">
        <v>13</v>
      </c>
      <c r="O2788" s="535"/>
      <c r="P2788" s="731" t="str">
        <f>'DICTIONARY-3'!$A$2</f>
        <v>EKOplus</v>
      </c>
      <c r="Q2788" s="732" t="str">
        <f>'DICTIONARY-3'!$A$187</f>
        <v>Zasuwa klinowa</v>
      </c>
      <c r="R2788" s="732" t="str">
        <f>CONCATENATE('DICTIONARY-3'!$A$2," ",'DICTIONARY-6'!$A$4," ",UPPER('DICTIONARY-5'!$A$18)," ",'DICTIONARY-2'!$A$2,"300"," ",'DICTIONARY-2'!$A$3,"16"," ","R14",", ",'DICTIONARY-4'!$A$7)</f>
        <v>EKOplus Zasuwa z wrzec. wznosz. się GAZ DN300 PN16 R14, KR</v>
      </c>
      <c r="S2788" s="733" t="str">
        <f>'DICTIONARY-4'!$A$7</f>
        <v>KR</v>
      </c>
      <c r="T2788" s="732" t="str">
        <f>'DICTIONARY-4'!$A$23</f>
        <v>Kółko ręczne</v>
      </c>
      <c r="U2788" s="734" t="s">
        <v>5752</v>
      </c>
      <c r="V2788" s="735">
        <v>16</v>
      </c>
      <c r="W2788" s="736"/>
      <c r="X2788" s="737"/>
      <c r="Y2788" s="738"/>
      <c r="Z2788" s="739"/>
      <c r="AA2788" s="739"/>
      <c r="AB2788" s="740">
        <v>16</v>
      </c>
      <c r="AC2788" s="741" t="str">
        <f>'DICTIONARY-5'!$A$11&amp;" 14"</f>
        <v>EN 558 szereg 14</v>
      </c>
      <c r="AD2788" s="741" t="str">
        <f>'DICTIONARY-5'!$A$18</f>
        <v>gaz</v>
      </c>
      <c r="AE2788" s="742">
        <v>50</v>
      </c>
      <c r="AF2788" s="743">
        <v>141.19999999999999</v>
      </c>
      <c r="AG2788" s="741" t="str">
        <f>'DICTIONARY-5'!$A$23</f>
        <v>powłoka epoksydowa</v>
      </c>
    </row>
    <row r="2789" spans="1:33" x14ac:dyDescent="0.25">
      <c r="A2789" s="869" t="s">
        <v>2698</v>
      </c>
      <c r="B2789" s="869" t="str">
        <f>'DICTIONARY-5'!$A$2</f>
        <v>na zapytanie</v>
      </c>
      <c r="C2789" s="836" t="s">
        <v>5967</v>
      </c>
      <c r="D2789" s="836"/>
      <c r="E2789" s="836"/>
      <c r="F2789" s="836"/>
      <c r="G2789" s="496" t="s">
        <v>7852</v>
      </c>
      <c r="H2789" s="797" t="str">
        <f>VLOOKUP(G2789,SETTINGS!$B$7:$D$97,2,0)</f>
        <v>EKOplus Gas</v>
      </c>
      <c r="I2789" s="796">
        <f>VLOOKUP(G2789,SETTINGS!$B$7:$D$97,3,0)</f>
        <v>0</v>
      </c>
      <c r="J2789" s="670" t="str">
        <f>IFERROR(IF(CURRENCY.FORMAT_1=0,CONCATENATE(TEXT(FIXED(ROUND((C2789/EXC.RATE_1),CURRENCY.FORMAT_1),CURRENCY.FORMAT_1,1),"# ##0;-# ##0"),",-"),FIXED(ROUND((C2789/EXC.RATE_1),CURRENCY.FORMAT_1),CURRENCY.FORMAT_1,0)),'DICTIONARY-5'!$A$2)</f>
        <v>na zapytanie</v>
      </c>
      <c r="K2789" s="670" t="str">
        <f>IF(EXC.RATE_2=0,"",IFERROR(IF(CURRENCY.FORMAT_2=0,CONCATENATE(TEXT(FIXED(ROUND(IF(EXC.RATE.SWITCH=1,C2789/EXC.RATE_2,C2789*EXC.RATE_2),CURRENCY.FORMAT_2),CURRENCY.FORMAT_2,1),"# ##0;-# ##0"),",-"),FIXED(ROUND(IF(EXC.RATE.SWITCH=1,C2789/EXC.RATE_2,C2789*EXC.RATE_2),CURRENCY.FORMAT_2),CURRENCY.FORMAT_2,0)),'DICTIONARY-5'!$A$2))</f>
        <v/>
      </c>
      <c r="L2789" s="670" t="str">
        <f>IFERROR(IF(CURRENCY.FORMAT_1=0,CONCATENATE(TEXT(FIXED(ROUND((C2789*(1-I2789)*(1-ADD.DISCOUNT)*(1+MAT.SURCHARGE)/EXC.RATE_1),CURRENCY.FORMAT_1),CURRENCY.FORMAT_1,1),"# ##0;-# ##0"),",-"),FIXED(ROUND((C2789*(1-I2789)*(1-ADD.DISCOUNT)*(1+MAT.SURCHARGE)/EXC.RATE_1),CURRENCY.FORMAT_1),CURRENCY.FORMAT_1,0)),'DICTIONARY-5'!$A$2)</f>
        <v>na zapytanie</v>
      </c>
      <c r="M2789" s="670" t="str">
        <f>IF(EXC.RATE_2=0,"",IFERROR(IF(CURRENCY.FORMAT_2=0,CONCATENATE(TEXT(FIXED(ROUND(IF(EXC.RATE.SWITCH=1,C2789*(1-I2789)*(1-ADD.DISCOUNT)*(1+MAT.SURCHARGE)/EXC.RATE_2,C2789*(1-I2789)*(1-ADD.DISCOUNT)*(1+MAT.SURCHARGE)*EXC.RATE_2),CURRENCY.FORMAT_2),CURRENCY.FORMAT_2,1),"# ##0;-# ##0"),",-"),FIXED(ROUND(IF(EXC.RATE.SWITCH=1,C2789*(1-I2789)*(1-ADD.DISCOUNT)*(1+MAT.SURCHARGE)/EXC.RATE_2,C2789*(1-I2789)*(1-ADD.DISCOUNT)*(1+MAT.SURCHARGE)*EXC.RATE_2),CURRENCY.FORMAT_2),CURRENCY.FORMAT_2,0)),'DICTIONARY-5'!$A$2))</f>
        <v/>
      </c>
      <c r="N2789" s="535">
        <v>13</v>
      </c>
      <c r="O2789" s="535"/>
      <c r="P2789" s="731" t="str">
        <f>'DICTIONARY-3'!$A$2</f>
        <v>EKOplus</v>
      </c>
      <c r="Q2789" s="732" t="str">
        <f>'DICTIONARY-3'!$A$187</f>
        <v>Zasuwa klinowa</v>
      </c>
      <c r="R2789" s="732" t="str">
        <f>CONCATENATE('DICTIONARY-3'!$A$2," ",'DICTIONARY-6'!$A$4," ",UPPER('DICTIONARY-5'!$A$18)," ",'DICTIONARY-2'!$A$2,"350"," ",'DICTIONARY-2'!$A$3,"10"," ","R14",", ",'DICTIONARY-4'!$A$7)</f>
        <v>EKOplus Zasuwa z wrzec. wznosz. się GAZ DN350 PN10 R14, KR</v>
      </c>
      <c r="S2789" s="733" t="str">
        <f>'DICTIONARY-4'!$A$7</f>
        <v>KR</v>
      </c>
      <c r="T2789" s="732" t="str">
        <f>'DICTIONARY-4'!$A$23</f>
        <v>Kółko ręczne</v>
      </c>
      <c r="U2789" s="734" t="s">
        <v>5753</v>
      </c>
      <c r="V2789" s="735">
        <v>10</v>
      </c>
      <c r="W2789" s="736"/>
      <c r="X2789" s="737"/>
      <c r="Y2789" s="738"/>
      <c r="Z2789" s="739"/>
      <c r="AA2789" s="739"/>
      <c r="AB2789" s="740">
        <v>10</v>
      </c>
      <c r="AC2789" s="741" t="str">
        <f>'DICTIONARY-5'!$A$11&amp;" 14"</f>
        <v>EN 558 szereg 14</v>
      </c>
      <c r="AD2789" s="741" t="str">
        <f>'DICTIONARY-5'!$A$18</f>
        <v>gaz</v>
      </c>
      <c r="AE2789" s="742">
        <v>50</v>
      </c>
      <c r="AF2789" s="743"/>
      <c r="AG2789" s="741" t="str">
        <f>'DICTIONARY-5'!$A$23</f>
        <v>powłoka epoksydowa</v>
      </c>
    </row>
    <row r="2790" spans="1:33" x14ac:dyDescent="0.25">
      <c r="A2790" s="869" t="s">
        <v>2701</v>
      </c>
      <c r="B2790" s="869" t="str">
        <f>'DICTIONARY-5'!$A$2</f>
        <v>na zapytanie</v>
      </c>
      <c r="C2790" s="836" t="s">
        <v>5967</v>
      </c>
      <c r="D2790" s="836"/>
      <c r="E2790" s="836"/>
      <c r="F2790" s="836"/>
      <c r="G2790" s="496" t="s">
        <v>7852</v>
      </c>
      <c r="H2790" s="797" t="str">
        <f>VLOOKUP(G2790,SETTINGS!$B$7:$D$97,2,0)</f>
        <v>EKOplus Gas</v>
      </c>
      <c r="I2790" s="796">
        <f>VLOOKUP(G2790,SETTINGS!$B$7:$D$97,3,0)</f>
        <v>0</v>
      </c>
      <c r="J2790" s="670" t="str">
        <f>IFERROR(IF(CURRENCY.FORMAT_1=0,CONCATENATE(TEXT(FIXED(ROUND((C2790/EXC.RATE_1),CURRENCY.FORMAT_1),CURRENCY.FORMAT_1,1),"# ##0;-# ##0"),",-"),FIXED(ROUND((C2790/EXC.RATE_1),CURRENCY.FORMAT_1),CURRENCY.FORMAT_1,0)),'DICTIONARY-5'!$A$2)</f>
        <v>na zapytanie</v>
      </c>
      <c r="K2790" s="670" t="str">
        <f>IF(EXC.RATE_2=0,"",IFERROR(IF(CURRENCY.FORMAT_2=0,CONCATENATE(TEXT(FIXED(ROUND(IF(EXC.RATE.SWITCH=1,C2790/EXC.RATE_2,C2790*EXC.RATE_2),CURRENCY.FORMAT_2),CURRENCY.FORMAT_2,1),"# ##0;-# ##0"),",-"),FIXED(ROUND(IF(EXC.RATE.SWITCH=1,C2790/EXC.RATE_2,C2790*EXC.RATE_2),CURRENCY.FORMAT_2),CURRENCY.FORMAT_2,0)),'DICTIONARY-5'!$A$2))</f>
        <v/>
      </c>
      <c r="L2790" s="670" t="str">
        <f>IFERROR(IF(CURRENCY.FORMAT_1=0,CONCATENATE(TEXT(FIXED(ROUND((C2790*(1-I2790)*(1-ADD.DISCOUNT)*(1+MAT.SURCHARGE)/EXC.RATE_1),CURRENCY.FORMAT_1),CURRENCY.FORMAT_1,1),"# ##0;-# ##0"),",-"),FIXED(ROUND((C2790*(1-I2790)*(1-ADD.DISCOUNT)*(1+MAT.SURCHARGE)/EXC.RATE_1),CURRENCY.FORMAT_1),CURRENCY.FORMAT_1,0)),'DICTIONARY-5'!$A$2)</f>
        <v>na zapytanie</v>
      </c>
      <c r="M2790" s="670" t="str">
        <f>IF(EXC.RATE_2=0,"",IFERROR(IF(CURRENCY.FORMAT_2=0,CONCATENATE(TEXT(FIXED(ROUND(IF(EXC.RATE.SWITCH=1,C2790*(1-I2790)*(1-ADD.DISCOUNT)*(1+MAT.SURCHARGE)/EXC.RATE_2,C2790*(1-I2790)*(1-ADD.DISCOUNT)*(1+MAT.SURCHARGE)*EXC.RATE_2),CURRENCY.FORMAT_2),CURRENCY.FORMAT_2,1),"# ##0;-# ##0"),",-"),FIXED(ROUND(IF(EXC.RATE.SWITCH=1,C2790*(1-I2790)*(1-ADD.DISCOUNT)*(1+MAT.SURCHARGE)/EXC.RATE_2,C2790*(1-I2790)*(1-ADD.DISCOUNT)*(1+MAT.SURCHARGE)*EXC.RATE_2),CURRENCY.FORMAT_2),CURRENCY.FORMAT_2,0)),'DICTIONARY-5'!$A$2))</f>
        <v/>
      </c>
      <c r="N2790" s="535">
        <v>13</v>
      </c>
      <c r="O2790" s="535"/>
      <c r="P2790" s="731" t="str">
        <f>'DICTIONARY-3'!$A$2</f>
        <v>EKOplus</v>
      </c>
      <c r="Q2790" s="732" t="str">
        <f>'DICTIONARY-3'!$A$187</f>
        <v>Zasuwa klinowa</v>
      </c>
      <c r="R2790" s="732" t="str">
        <f>CONCATENATE('DICTIONARY-3'!$A$2," ",'DICTIONARY-6'!$A$4," ",UPPER('DICTIONARY-5'!$A$18)," ",'DICTIONARY-2'!$A$2,"400"," ",'DICTIONARY-2'!$A$3,"10"," ","R14",", ",'DICTIONARY-4'!$A$7)</f>
        <v>EKOplus Zasuwa z wrzec. wznosz. się GAZ DN400 PN10 R14, KR</v>
      </c>
      <c r="S2790" s="733" t="str">
        <f>'DICTIONARY-4'!$A$7</f>
        <v>KR</v>
      </c>
      <c r="T2790" s="732" t="str">
        <f>'DICTIONARY-4'!$A$23</f>
        <v>Kółko ręczne</v>
      </c>
      <c r="U2790" s="734" t="s">
        <v>5754</v>
      </c>
      <c r="V2790" s="735">
        <v>10</v>
      </c>
      <c r="W2790" s="736"/>
      <c r="X2790" s="737"/>
      <c r="Y2790" s="738"/>
      <c r="Z2790" s="739"/>
      <c r="AA2790" s="739"/>
      <c r="AB2790" s="740">
        <v>10</v>
      </c>
      <c r="AC2790" s="741" t="str">
        <f>'DICTIONARY-5'!$A$11&amp;" 14"</f>
        <v>EN 558 szereg 14</v>
      </c>
      <c r="AD2790" s="741" t="str">
        <f>'DICTIONARY-5'!$A$18</f>
        <v>gaz</v>
      </c>
      <c r="AE2790" s="742">
        <v>50</v>
      </c>
      <c r="AF2790" s="743"/>
      <c r="AG2790" s="741" t="str">
        <f>'DICTIONARY-5'!$A$23</f>
        <v>powłoka epoksydowa</v>
      </c>
    </row>
    <row r="2791" spans="1:33" x14ac:dyDescent="0.25">
      <c r="A2791" s="869" t="s">
        <v>2704</v>
      </c>
      <c r="B2791" s="869" t="str">
        <f>'DICTIONARY-5'!$A$2</f>
        <v>na zapytanie</v>
      </c>
      <c r="C2791" s="836" t="s">
        <v>5967</v>
      </c>
      <c r="D2791" s="836"/>
      <c r="E2791" s="836"/>
      <c r="F2791" s="836"/>
      <c r="G2791" s="496" t="s">
        <v>7852</v>
      </c>
      <c r="H2791" s="797" t="str">
        <f>VLOOKUP(G2791,SETTINGS!$B$7:$D$97,2,0)</f>
        <v>EKOplus Gas</v>
      </c>
      <c r="I2791" s="796">
        <f>VLOOKUP(G2791,SETTINGS!$B$7:$D$97,3,0)</f>
        <v>0</v>
      </c>
      <c r="J2791" s="670" t="str">
        <f>IFERROR(IF(CURRENCY.FORMAT_1=0,CONCATENATE(TEXT(FIXED(ROUND((C2791/EXC.RATE_1),CURRENCY.FORMAT_1),CURRENCY.FORMAT_1,1),"# ##0;-# ##0"),",-"),FIXED(ROUND((C2791/EXC.RATE_1),CURRENCY.FORMAT_1),CURRENCY.FORMAT_1,0)),'DICTIONARY-5'!$A$2)</f>
        <v>na zapytanie</v>
      </c>
      <c r="K2791" s="670" t="str">
        <f>IF(EXC.RATE_2=0,"",IFERROR(IF(CURRENCY.FORMAT_2=0,CONCATENATE(TEXT(FIXED(ROUND(IF(EXC.RATE.SWITCH=1,C2791/EXC.RATE_2,C2791*EXC.RATE_2),CURRENCY.FORMAT_2),CURRENCY.FORMAT_2,1),"# ##0;-# ##0"),",-"),FIXED(ROUND(IF(EXC.RATE.SWITCH=1,C2791/EXC.RATE_2,C2791*EXC.RATE_2),CURRENCY.FORMAT_2),CURRENCY.FORMAT_2,0)),'DICTIONARY-5'!$A$2))</f>
        <v/>
      </c>
      <c r="L2791" s="670" t="str">
        <f>IFERROR(IF(CURRENCY.FORMAT_1=0,CONCATENATE(TEXT(FIXED(ROUND((C2791*(1-I2791)*(1-ADD.DISCOUNT)*(1+MAT.SURCHARGE)/EXC.RATE_1),CURRENCY.FORMAT_1),CURRENCY.FORMAT_1,1),"# ##0;-# ##0"),",-"),FIXED(ROUND((C2791*(1-I2791)*(1-ADD.DISCOUNT)*(1+MAT.SURCHARGE)/EXC.RATE_1),CURRENCY.FORMAT_1),CURRENCY.FORMAT_1,0)),'DICTIONARY-5'!$A$2)</f>
        <v>na zapytanie</v>
      </c>
      <c r="M2791" s="670" t="str">
        <f>IF(EXC.RATE_2=0,"",IFERROR(IF(CURRENCY.FORMAT_2=0,CONCATENATE(TEXT(FIXED(ROUND(IF(EXC.RATE.SWITCH=1,C2791*(1-I2791)*(1-ADD.DISCOUNT)*(1+MAT.SURCHARGE)/EXC.RATE_2,C2791*(1-I2791)*(1-ADD.DISCOUNT)*(1+MAT.SURCHARGE)*EXC.RATE_2),CURRENCY.FORMAT_2),CURRENCY.FORMAT_2,1),"# ##0;-# ##0"),",-"),FIXED(ROUND(IF(EXC.RATE.SWITCH=1,C2791*(1-I2791)*(1-ADD.DISCOUNT)*(1+MAT.SURCHARGE)/EXC.RATE_2,C2791*(1-I2791)*(1-ADD.DISCOUNT)*(1+MAT.SURCHARGE)*EXC.RATE_2),CURRENCY.FORMAT_2),CURRENCY.FORMAT_2,0)),'DICTIONARY-5'!$A$2))</f>
        <v/>
      </c>
      <c r="N2791" s="535">
        <v>13</v>
      </c>
      <c r="O2791" s="535"/>
      <c r="P2791" s="731" t="str">
        <f>'DICTIONARY-3'!$A$2</f>
        <v>EKOplus</v>
      </c>
      <c r="Q2791" s="732" t="str">
        <f>'DICTIONARY-3'!$A$187</f>
        <v>Zasuwa klinowa</v>
      </c>
      <c r="R2791" s="732" t="str">
        <f>CONCATENATE('DICTIONARY-3'!$A$2," ",'DICTIONARY-6'!$A$4," ",UPPER('DICTIONARY-5'!$A$18)," ",'DICTIONARY-2'!$A$2,"500"," ",'DICTIONARY-2'!$A$3,"10"," ","R14",", ",'DICTIONARY-4'!$A$7)</f>
        <v>EKOplus Zasuwa z wrzec. wznosz. się GAZ DN500 PN10 R14, KR</v>
      </c>
      <c r="S2791" s="733" t="str">
        <f>'DICTIONARY-4'!$A$7</f>
        <v>KR</v>
      </c>
      <c r="T2791" s="732" t="str">
        <f>'DICTIONARY-4'!$A$23</f>
        <v>Kółko ręczne</v>
      </c>
      <c r="U2791" s="734" t="s">
        <v>5756</v>
      </c>
      <c r="V2791" s="735">
        <v>10</v>
      </c>
      <c r="W2791" s="736"/>
      <c r="X2791" s="737"/>
      <c r="Y2791" s="738"/>
      <c r="Z2791" s="739"/>
      <c r="AA2791" s="739"/>
      <c r="AB2791" s="740">
        <v>10</v>
      </c>
      <c r="AC2791" s="741" t="str">
        <f>'DICTIONARY-5'!$A$11&amp;" 14"</f>
        <v>EN 558 szereg 14</v>
      </c>
      <c r="AD2791" s="741" t="str">
        <f>'DICTIONARY-5'!$A$18</f>
        <v>gaz</v>
      </c>
      <c r="AE2791" s="742">
        <v>50</v>
      </c>
      <c r="AF2791" s="743"/>
      <c r="AG2791" s="741" t="str">
        <f>'DICTIONARY-5'!$A$23</f>
        <v>powłoka epoksydowa</v>
      </c>
    </row>
    <row r="2792" spans="1:33" x14ac:dyDescent="0.25">
      <c r="A2792" s="869" t="s">
        <v>2672</v>
      </c>
      <c r="B2792" s="869" t="str">
        <f>'DICTIONARY-5'!$A$2</f>
        <v>na zapytanie</v>
      </c>
      <c r="C2792" s="836" t="s">
        <v>5967</v>
      </c>
      <c r="D2792" s="836"/>
      <c r="E2792" s="836"/>
      <c r="F2792" s="836"/>
      <c r="G2792" s="496" t="s">
        <v>7852</v>
      </c>
      <c r="H2792" s="797" t="str">
        <f>VLOOKUP(G2792,SETTINGS!$B$7:$D$97,2,0)</f>
        <v>EKOplus Gas</v>
      </c>
      <c r="I2792" s="796">
        <f>VLOOKUP(G2792,SETTINGS!$B$7:$D$97,3,0)</f>
        <v>0</v>
      </c>
      <c r="J2792" s="670" t="str">
        <f>IFERROR(IF(CURRENCY.FORMAT_1=0,CONCATENATE(TEXT(FIXED(ROUND((C2792/EXC.RATE_1),CURRENCY.FORMAT_1),CURRENCY.FORMAT_1,1),"# ##0;-# ##0"),",-"),FIXED(ROUND((C2792/EXC.RATE_1),CURRENCY.FORMAT_1),CURRENCY.FORMAT_1,0)),'DICTIONARY-5'!$A$2)</f>
        <v>na zapytanie</v>
      </c>
      <c r="K2792" s="670" t="str">
        <f>IF(EXC.RATE_2=0,"",IFERROR(IF(CURRENCY.FORMAT_2=0,CONCATENATE(TEXT(FIXED(ROUND(IF(EXC.RATE.SWITCH=1,C2792/EXC.RATE_2,C2792*EXC.RATE_2),CURRENCY.FORMAT_2),CURRENCY.FORMAT_2,1),"# ##0;-# ##0"),",-"),FIXED(ROUND(IF(EXC.RATE.SWITCH=1,C2792/EXC.RATE_2,C2792*EXC.RATE_2),CURRENCY.FORMAT_2),CURRENCY.FORMAT_2,0)),'DICTIONARY-5'!$A$2))</f>
        <v/>
      </c>
      <c r="L2792" s="670" t="str">
        <f>IFERROR(IF(CURRENCY.FORMAT_1=0,CONCATENATE(TEXT(FIXED(ROUND((C2792*(1-I2792)*(1-ADD.DISCOUNT)*(1+MAT.SURCHARGE)/EXC.RATE_1),CURRENCY.FORMAT_1),CURRENCY.FORMAT_1,1),"# ##0;-# ##0"),",-"),FIXED(ROUND((C2792*(1-I2792)*(1-ADD.DISCOUNT)*(1+MAT.SURCHARGE)/EXC.RATE_1),CURRENCY.FORMAT_1),CURRENCY.FORMAT_1,0)),'DICTIONARY-5'!$A$2)</f>
        <v>na zapytanie</v>
      </c>
      <c r="M2792" s="670" t="str">
        <f>IF(EXC.RATE_2=0,"",IFERROR(IF(CURRENCY.FORMAT_2=0,CONCATENATE(TEXT(FIXED(ROUND(IF(EXC.RATE.SWITCH=1,C2792*(1-I2792)*(1-ADD.DISCOUNT)*(1+MAT.SURCHARGE)/EXC.RATE_2,C2792*(1-I2792)*(1-ADD.DISCOUNT)*(1+MAT.SURCHARGE)*EXC.RATE_2),CURRENCY.FORMAT_2),CURRENCY.FORMAT_2,1),"# ##0;-# ##0"),",-"),FIXED(ROUND(IF(EXC.RATE.SWITCH=1,C2792*(1-I2792)*(1-ADD.DISCOUNT)*(1+MAT.SURCHARGE)/EXC.RATE_2,C2792*(1-I2792)*(1-ADD.DISCOUNT)*(1+MAT.SURCHARGE)*EXC.RATE_2),CURRENCY.FORMAT_2),CURRENCY.FORMAT_2,0)),'DICTIONARY-5'!$A$2))</f>
        <v/>
      </c>
      <c r="N2792" s="535">
        <v>13</v>
      </c>
      <c r="O2792" s="535"/>
      <c r="P2792" s="731" t="str">
        <f>'DICTIONARY-3'!$A$2</f>
        <v>EKOplus</v>
      </c>
      <c r="Q2792" s="732" t="str">
        <f>'DICTIONARY-3'!$A$187</f>
        <v>Zasuwa klinowa</v>
      </c>
      <c r="R2792" s="732" t="str">
        <f>CONCATENATE('DICTIONARY-3'!$A$2," ",'DICTIONARY-6'!$A$4," ",UPPER('DICTIONARY-5'!$A$18)," ",'DICTIONARY-2'!$A$2,"40"," ",'DICTIONARY-2'!$A$3,"10/16"," ","R15",", ",'DICTIONARY-4'!$A$7)</f>
        <v>EKOplus Zasuwa z wrzec. wznosz. się GAZ DN40 PN10/16 R15, KR</v>
      </c>
      <c r="S2792" s="733" t="str">
        <f>'DICTIONARY-4'!$A$7</f>
        <v>KR</v>
      </c>
      <c r="T2792" s="732" t="str">
        <f>'DICTIONARY-4'!$A$23</f>
        <v>Kółko ręczne</v>
      </c>
      <c r="U2792" s="734" t="s">
        <v>5758</v>
      </c>
      <c r="V2792" s="735">
        <v>16</v>
      </c>
      <c r="W2792" s="736"/>
      <c r="X2792" s="737"/>
      <c r="Y2792" s="738"/>
      <c r="Z2792" s="739"/>
      <c r="AA2792" s="739"/>
      <c r="AB2792" s="740">
        <v>16</v>
      </c>
      <c r="AC2792" s="733" t="str">
        <f>'DICTIONARY-5'!$A$11&amp;" 15"</f>
        <v>EN 558 szereg 15</v>
      </c>
      <c r="AD2792" s="741" t="str">
        <f>'DICTIONARY-5'!$A$18</f>
        <v>gaz</v>
      </c>
      <c r="AE2792" s="742">
        <v>50</v>
      </c>
      <c r="AF2792" s="743"/>
      <c r="AG2792" s="741" t="str">
        <f>'DICTIONARY-5'!$A$23</f>
        <v>powłoka epoksydowa</v>
      </c>
    </row>
    <row r="2793" spans="1:33" x14ac:dyDescent="0.25">
      <c r="A2793" s="869" t="s">
        <v>2674</v>
      </c>
      <c r="B2793" s="869" t="str">
        <f>'DICTIONARY-5'!$A$2</f>
        <v>na zapytanie</v>
      </c>
      <c r="C2793" s="836" t="s">
        <v>5967</v>
      </c>
      <c r="D2793" s="836"/>
      <c r="E2793" s="836"/>
      <c r="F2793" s="836"/>
      <c r="G2793" s="496" t="s">
        <v>7852</v>
      </c>
      <c r="H2793" s="797" t="str">
        <f>VLOOKUP(G2793,SETTINGS!$B$7:$D$97,2,0)</f>
        <v>EKOplus Gas</v>
      </c>
      <c r="I2793" s="796">
        <f>VLOOKUP(G2793,SETTINGS!$B$7:$D$97,3,0)</f>
        <v>0</v>
      </c>
      <c r="J2793" s="670" t="str">
        <f>IFERROR(IF(CURRENCY.FORMAT_1=0,CONCATENATE(TEXT(FIXED(ROUND((C2793/EXC.RATE_1),CURRENCY.FORMAT_1),CURRENCY.FORMAT_1,1),"# ##0;-# ##0"),",-"),FIXED(ROUND((C2793/EXC.RATE_1),CURRENCY.FORMAT_1),CURRENCY.FORMAT_1,0)),'DICTIONARY-5'!$A$2)</f>
        <v>na zapytanie</v>
      </c>
      <c r="K2793" s="670" t="str">
        <f>IF(EXC.RATE_2=0,"",IFERROR(IF(CURRENCY.FORMAT_2=0,CONCATENATE(TEXT(FIXED(ROUND(IF(EXC.RATE.SWITCH=1,C2793/EXC.RATE_2,C2793*EXC.RATE_2),CURRENCY.FORMAT_2),CURRENCY.FORMAT_2,1),"# ##0;-# ##0"),",-"),FIXED(ROUND(IF(EXC.RATE.SWITCH=1,C2793/EXC.RATE_2,C2793*EXC.RATE_2),CURRENCY.FORMAT_2),CURRENCY.FORMAT_2,0)),'DICTIONARY-5'!$A$2))</f>
        <v/>
      </c>
      <c r="L2793" s="670" t="str">
        <f>IFERROR(IF(CURRENCY.FORMAT_1=0,CONCATENATE(TEXT(FIXED(ROUND((C2793*(1-I2793)*(1-ADD.DISCOUNT)*(1+MAT.SURCHARGE)/EXC.RATE_1),CURRENCY.FORMAT_1),CURRENCY.FORMAT_1,1),"# ##0;-# ##0"),",-"),FIXED(ROUND((C2793*(1-I2793)*(1-ADD.DISCOUNT)*(1+MAT.SURCHARGE)/EXC.RATE_1),CURRENCY.FORMAT_1),CURRENCY.FORMAT_1,0)),'DICTIONARY-5'!$A$2)</f>
        <v>na zapytanie</v>
      </c>
      <c r="M2793" s="670" t="str">
        <f>IF(EXC.RATE_2=0,"",IFERROR(IF(CURRENCY.FORMAT_2=0,CONCATENATE(TEXT(FIXED(ROUND(IF(EXC.RATE.SWITCH=1,C2793*(1-I2793)*(1-ADD.DISCOUNT)*(1+MAT.SURCHARGE)/EXC.RATE_2,C2793*(1-I2793)*(1-ADD.DISCOUNT)*(1+MAT.SURCHARGE)*EXC.RATE_2),CURRENCY.FORMAT_2),CURRENCY.FORMAT_2,1),"# ##0;-# ##0"),",-"),FIXED(ROUND(IF(EXC.RATE.SWITCH=1,C2793*(1-I2793)*(1-ADD.DISCOUNT)*(1+MAT.SURCHARGE)/EXC.RATE_2,C2793*(1-I2793)*(1-ADD.DISCOUNT)*(1+MAT.SURCHARGE)*EXC.RATE_2),CURRENCY.FORMAT_2),CURRENCY.FORMAT_2,0)),'DICTIONARY-5'!$A$2))</f>
        <v/>
      </c>
      <c r="N2793" s="535">
        <v>13</v>
      </c>
      <c r="O2793" s="535"/>
      <c r="P2793" s="731" t="str">
        <f>'DICTIONARY-3'!$A$2</f>
        <v>EKOplus</v>
      </c>
      <c r="Q2793" s="732" t="str">
        <f>'DICTIONARY-3'!$A$187</f>
        <v>Zasuwa klinowa</v>
      </c>
      <c r="R2793" s="732" t="str">
        <f>CONCATENATE('DICTIONARY-3'!$A$2," ",'DICTIONARY-6'!$A$4," ",UPPER('DICTIONARY-5'!$A$18)," ",'DICTIONARY-2'!$A$2,"50"," ",'DICTIONARY-2'!$A$3,"10/16"," ","R15",", ",'DICTIONARY-4'!$A$7)</f>
        <v>EKOplus Zasuwa z wrzec. wznosz. się GAZ DN50 PN10/16 R15, KR</v>
      </c>
      <c r="S2793" s="733" t="str">
        <f>'DICTIONARY-4'!$A$7</f>
        <v>KR</v>
      </c>
      <c r="T2793" s="732" t="str">
        <f>'DICTIONARY-4'!$A$23</f>
        <v>Kółko ręczne</v>
      </c>
      <c r="U2793" s="734" t="s">
        <v>5748</v>
      </c>
      <c r="V2793" s="735">
        <v>16</v>
      </c>
      <c r="W2793" s="736"/>
      <c r="X2793" s="737"/>
      <c r="Y2793" s="738"/>
      <c r="Z2793" s="739"/>
      <c r="AA2793" s="739"/>
      <c r="AB2793" s="740">
        <v>16</v>
      </c>
      <c r="AC2793" s="733" t="str">
        <f>'DICTIONARY-5'!$A$11&amp;" 15"</f>
        <v>EN 558 szereg 15</v>
      </c>
      <c r="AD2793" s="741" t="str">
        <f>'DICTIONARY-5'!$A$18</f>
        <v>gaz</v>
      </c>
      <c r="AE2793" s="742">
        <v>50</v>
      </c>
      <c r="AF2793" s="743"/>
      <c r="AG2793" s="741" t="str">
        <f>'DICTIONARY-5'!$A$23</f>
        <v>powłoka epoksydowa</v>
      </c>
    </row>
    <row r="2794" spans="1:33" x14ac:dyDescent="0.25">
      <c r="A2794" s="869" t="s">
        <v>2676</v>
      </c>
      <c r="B2794" s="869" t="str">
        <f>'DICTIONARY-5'!$A$2</f>
        <v>na zapytanie</v>
      </c>
      <c r="C2794" s="836" t="s">
        <v>5967</v>
      </c>
      <c r="D2794" s="836"/>
      <c r="E2794" s="836"/>
      <c r="F2794" s="836"/>
      <c r="G2794" s="496" t="s">
        <v>7852</v>
      </c>
      <c r="H2794" s="797" t="str">
        <f>VLOOKUP(G2794,SETTINGS!$B$7:$D$97,2,0)</f>
        <v>EKOplus Gas</v>
      </c>
      <c r="I2794" s="796">
        <f>VLOOKUP(G2794,SETTINGS!$B$7:$D$97,3,0)</f>
        <v>0</v>
      </c>
      <c r="J2794" s="670" t="str">
        <f>IFERROR(IF(CURRENCY.FORMAT_1=0,CONCATENATE(TEXT(FIXED(ROUND((C2794/EXC.RATE_1),CURRENCY.FORMAT_1),CURRENCY.FORMAT_1,1),"# ##0;-# ##0"),",-"),FIXED(ROUND((C2794/EXC.RATE_1),CURRENCY.FORMAT_1),CURRENCY.FORMAT_1,0)),'DICTIONARY-5'!$A$2)</f>
        <v>na zapytanie</v>
      </c>
      <c r="K2794" s="670" t="str">
        <f>IF(EXC.RATE_2=0,"",IFERROR(IF(CURRENCY.FORMAT_2=0,CONCATENATE(TEXT(FIXED(ROUND(IF(EXC.RATE.SWITCH=1,C2794/EXC.RATE_2,C2794*EXC.RATE_2),CURRENCY.FORMAT_2),CURRENCY.FORMAT_2,1),"# ##0;-# ##0"),",-"),FIXED(ROUND(IF(EXC.RATE.SWITCH=1,C2794/EXC.RATE_2,C2794*EXC.RATE_2),CURRENCY.FORMAT_2),CURRENCY.FORMAT_2,0)),'DICTIONARY-5'!$A$2))</f>
        <v/>
      </c>
      <c r="L2794" s="670" t="str">
        <f>IFERROR(IF(CURRENCY.FORMAT_1=0,CONCATENATE(TEXT(FIXED(ROUND((C2794*(1-I2794)*(1-ADD.DISCOUNT)*(1+MAT.SURCHARGE)/EXC.RATE_1),CURRENCY.FORMAT_1),CURRENCY.FORMAT_1,1),"# ##0;-# ##0"),",-"),FIXED(ROUND((C2794*(1-I2794)*(1-ADD.DISCOUNT)*(1+MAT.SURCHARGE)/EXC.RATE_1),CURRENCY.FORMAT_1),CURRENCY.FORMAT_1,0)),'DICTIONARY-5'!$A$2)</f>
        <v>na zapytanie</v>
      </c>
      <c r="M2794" s="670" t="str">
        <f>IF(EXC.RATE_2=0,"",IFERROR(IF(CURRENCY.FORMAT_2=0,CONCATENATE(TEXT(FIXED(ROUND(IF(EXC.RATE.SWITCH=1,C2794*(1-I2794)*(1-ADD.DISCOUNT)*(1+MAT.SURCHARGE)/EXC.RATE_2,C2794*(1-I2794)*(1-ADD.DISCOUNT)*(1+MAT.SURCHARGE)*EXC.RATE_2),CURRENCY.FORMAT_2),CURRENCY.FORMAT_2,1),"# ##0;-# ##0"),",-"),FIXED(ROUND(IF(EXC.RATE.SWITCH=1,C2794*(1-I2794)*(1-ADD.DISCOUNT)*(1+MAT.SURCHARGE)/EXC.RATE_2,C2794*(1-I2794)*(1-ADD.DISCOUNT)*(1+MAT.SURCHARGE)*EXC.RATE_2),CURRENCY.FORMAT_2),CURRENCY.FORMAT_2,0)),'DICTIONARY-5'!$A$2))</f>
        <v/>
      </c>
      <c r="N2794" s="535">
        <v>13</v>
      </c>
      <c r="O2794" s="535"/>
      <c r="P2794" s="731" t="str">
        <f>'DICTIONARY-3'!$A$2</f>
        <v>EKOplus</v>
      </c>
      <c r="Q2794" s="732" t="str">
        <f>'DICTIONARY-3'!$A$187</f>
        <v>Zasuwa klinowa</v>
      </c>
      <c r="R2794" s="732" t="str">
        <f>CONCATENATE('DICTIONARY-3'!$A$2," ",'DICTIONARY-6'!$A$4," ",UPPER('DICTIONARY-5'!$A$18)," ",'DICTIONARY-2'!$A$2,"65"," ",'DICTIONARY-2'!$A$3,"10/16"," ","R15",", ",'DICTIONARY-4'!$A$7)</f>
        <v>EKOplus Zasuwa z wrzec. wznosz. się GAZ DN65 PN10/16 R15, KR</v>
      </c>
      <c r="S2794" s="733" t="str">
        <f>'DICTIONARY-4'!$A$7</f>
        <v>KR</v>
      </c>
      <c r="T2794" s="732" t="str">
        <f>'DICTIONARY-4'!$A$23</f>
        <v>Kółko ręczne</v>
      </c>
      <c r="U2794" s="734" t="s">
        <v>5759</v>
      </c>
      <c r="V2794" s="735">
        <v>16</v>
      </c>
      <c r="W2794" s="736"/>
      <c r="X2794" s="737"/>
      <c r="Y2794" s="738"/>
      <c r="Z2794" s="739"/>
      <c r="AA2794" s="739"/>
      <c r="AB2794" s="740">
        <v>16</v>
      </c>
      <c r="AC2794" s="733" t="str">
        <f>'DICTIONARY-5'!$A$11&amp;" 15"</f>
        <v>EN 558 szereg 15</v>
      </c>
      <c r="AD2794" s="741" t="str">
        <f>'DICTIONARY-5'!$A$18</f>
        <v>gaz</v>
      </c>
      <c r="AE2794" s="742">
        <v>50</v>
      </c>
      <c r="AF2794" s="743"/>
      <c r="AG2794" s="741" t="str">
        <f>'DICTIONARY-5'!$A$23</f>
        <v>powłoka epoksydowa</v>
      </c>
    </row>
    <row r="2795" spans="1:33" x14ac:dyDescent="0.25">
      <c r="A2795" s="869" t="s">
        <v>2678</v>
      </c>
      <c r="B2795" s="869" t="str">
        <f>'DICTIONARY-5'!$A$2</f>
        <v>na zapytanie</v>
      </c>
      <c r="C2795" s="836" t="s">
        <v>5967</v>
      </c>
      <c r="D2795" s="836"/>
      <c r="E2795" s="836"/>
      <c r="F2795" s="836"/>
      <c r="G2795" s="496" t="s">
        <v>7852</v>
      </c>
      <c r="H2795" s="797" t="str">
        <f>VLOOKUP(G2795,SETTINGS!$B$7:$D$97,2,0)</f>
        <v>EKOplus Gas</v>
      </c>
      <c r="I2795" s="796">
        <f>VLOOKUP(G2795,SETTINGS!$B$7:$D$97,3,0)</f>
        <v>0</v>
      </c>
      <c r="J2795" s="670" t="str">
        <f>IFERROR(IF(CURRENCY.FORMAT_1=0,CONCATENATE(TEXT(FIXED(ROUND((C2795/EXC.RATE_1),CURRENCY.FORMAT_1),CURRENCY.FORMAT_1,1),"# ##0;-# ##0"),",-"),FIXED(ROUND((C2795/EXC.RATE_1),CURRENCY.FORMAT_1),CURRENCY.FORMAT_1,0)),'DICTIONARY-5'!$A$2)</f>
        <v>na zapytanie</v>
      </c>
      <c r="K2795" s="670" t="str">
        <f>IF(EXC.RATE_2=0,"",IFERROR(IF(CURRENCY.FORMAT_2=0,CONCATENATE(TEXT(FIXED(ROUND(IF(EXC.RATE.SWITCH=1,C2795/EXC.RATE_2,C2795*EXC.RATE_2),CURRENCY.FORMAT_2),CURRENCY.FORMAT_2,1),"# ##0;-# ##0"),",-"),FIXED(ROUND(IF(EXC.RATE.SWITCH=1,C2795/EXC.RATE_2,C2795*EXC.RATE_2),CURRENCY.FORMAT_2),CURRENCY.FORMAT_2,0)),'DICTIONARY-5'!$A$2))</f>
        <v/>
      </c>
      <c r="L2795" s="670" t="str">
        <f>IFERROR(IF(CURRENCY.FORMAT_1=0,CONCATENATE(TEXT(FIXED(ROUND((C2795*(1-I2795)*(1-ADD.DISCOUNT)*(1+MAT.SURCHARGE)/EXC.RATE_1),CURRENCY.FORMAT_1),CURRENCY.FORMAT_1,1),"# ##0;-# ##0"),",-"),FIXED(ROUND((C2795*(1-I2795)*(1-ADD.DISCOUNT)*(1+MAT.SURCHARGE)/EXC.RATE_1),CURRENCY.FORMAT_1),CURRENCY.FORMAT_1,0)),'DICTIONARY-5'!$A$2)</f>
        <v>na zapytanie</v>
      </c>
      <c r="M2795" s="670" t="str">
        <f>IF(EXC.RATE_2=0,"",IFERROR(IF(CURRENCY.FORMAT_2=0,CONCATENATE(TEXT(FIXED(ROUND(IF(EXC.RATE.SWITCH=1,C2795*(1-I2795)*(1-ADD.DISCOUNT)*(1+MAT.SURCHARGE)/EXC.RATE_2,C2795*(1-I2795)*(1-ADD.DISCOUNT)*(1+MAT.SURCHARGE)*EXC.RATE_2),CURRENCY.FORMAT_2),CURRENCY.FORMAT_2,1),"# ##0;-# ##0"),",-"),FIXED(ROUND(IF(EXC.RATE.SWITCH=1,C2795*(1-I2795)*(1-ADD.DISCOUNT)*(1+MAT.SURCHARGE)/EXC.RATE_2,C2795*(1-I2795)*(1-ADD.DISCOUNT)*(1+MAT.SURCHARGE)*EXC.RATE_2),CURRENCY.FORMAT_2),CURRENCY.FORMAT_2,0)),'DICTIONARY-5'!$A$2))</f>
        <v/>
      </c>
      <c r="N2795" s="535">
        <v>13</v>
      </c>
      <c r="O2795" s="535"/>
      <c r="P2795" s="731" t="str">
        <f>'DICTIONARY-3'!$A$2</f>
        <v>EKOplus</v>
      </c>
      <c r="Q2795" s="732" t="str">
        <f>'DICTIONARY-3'!$A$187</f>
        <v>Zasuwa klinowa</v>
      </c>
      <c r="R2795" s="732" t="str">
        <f>CONCATENATE('DICTIONARY-3'!$A$2," ",'DICTIONARY-6'!$A$4," ",UPPER('DICTIONARY-5'!$A$18)," ",'DICTIONARY-2'!$A$2,"80"," ",'DICTIONARY-2'!$A$3,"10/16"," ","R15",", ",'DICTIONARY-4'!$A$7)</f>
        <v>EKOplus Zasuwa z wrzec. wznosz. się GAZ DN80 PN10/16 R15, KR</v>
      </c>
      <c r="S2795" s="733" t="str">
        <f>'DICTIONARY-4'!$A$7</f>
        <v>KR</v>
      </c>
      <c r="T2795" s="732" t="str">
        <f>'DICTIONARY-4'!$A$23</f>
        <v>Kółko ręczne</v>
      </c>
      <c r="U2795" s="734" t="s">
        <v>5760</v>
      </c>
      <c r="V2795" s="735">
        <v>16</v>
      </c>
      <c r="W2795" s="736"/>
      <c r="X2795" s="737"/>
      <c r="Y2795" s="738"/>
      <c r="Z2795" s="739"/>
      <c r="AA2795" s="739"/>
      <c r="AB2795" s="740">
        <v>16</v>
      </c>
      <c r="AC2795" s="733" t="str">
        <f>'DICTIONARY-5'!$A$11&amp;" 15"</f>
        <v>EN 558 szereg 15</v>
      </c>
      <c r="AD2795" s="741" t="str">
        <f>'DICTIONARY-5'!$A$18</f>
        <v>gaz</v>
      </c>
      <c r="AE2795" s="742">
        <v>50</v>
      </c>
      <c r="AF2795" s="743"/>
      <c r="AG2795" s="741" t="str">
        <f>'DICTIONARY-5'!$A$23</f>
        <v>powłoka epoksydowa</v>
      </c>
    </row>
    <row r="2796" spans="1:33" x14ac:dyDescent="0.25">
      <c r="A2796" s="869" t="s">
        <v>2680</v>
      </c>
      <c r="B2796" s="869" t="str">
        <f>'DICTIONARY-5'!$A$2</f>
        <v>na zapytanie</v>
      </c>
      <c r="C2796" s="836" t="s">
        <v>5967</v>
      </c>
      <c r="D2796" s="836"/>
      <c r="E2796" s="836"/>
      <c r="F2796" s="836"/>
      <c r="G2796" s="496" t="s">
        <v>7852</v>
      </c>
      <c r="H2796" s="797" t="str">
        <f>VLOOKUP(G2796,SETTINGS!$B$7:$D$97,2,0)</f>
        <v>EKOplus Gas</v>
      </c>
      <c r="I2796" s="796">
        <f>VLOOKUP(G2796,SETTINGS!$B$7:$D$97,3,0)</f>
        <v>0</v>
      </c>
      <c r="J2796" s="670" t="str">
        <f>IFERROR(IF(CURRENCY.FORMAT_1=0,CONCATENATE(TEXT(FIXED(ROUND((C2796/EXC.RATE_1),CURRENCY.FORMAT_1),CURRENCY.FORMAT_1,1),"# ##0;-# ##0"),",-"),FIXED(ROUND((C2796/EXC.RATE_1),CURRENCY.FORMAT_1),CURRENCY.FORMAT_1,0)),'DICTIONARY-5'!$A$2)</f>
        <v>na zapytanie</v>
      </c>
      <c r="K2796" s="670" t="str">
        <f>IF(EXC.RATE_2=0,"",IFERROR(IF(CURRENCY.FORMAT_2=0,CONCATENATE(TEXT(FIXED(ROUND(IF(EXC.RATE.SWITCH=1,C2796/EXC.RATE_2,C2796*EXC.RATE_2),CURRENCY.FORMAT_2),CURRENCY.FORMAT_2,1),"# ##0;-# ##0"),",-"),FIXED(ROUND(IF(EXC.RATE.SWITCH=1,C2796/EXC.RATE_2,C2796*EXC.RATE_2),CURRENCY.FORMAT_2),CURRENCY.FORMAT_2,0)),'DICTIONARY-5'!$A$2))</f>
        <v/>
      </c>
      <c r="L2796" s="670" t="str">
        <f>IFERROR(IF(CURRENCY.FORMAT_1=0,CONCATENATE(TEXT(FIXED(ROUND((C2796*(1-I2796)*(1-ADD.DISCOUNT)*(1+MAT.SURCHARGE)/EXC.RATE_1),CURRENCY.FORMAT_1),CURRENCY.FORMAT_1,1),"# ##0;-# ##0"),",-"),FIXED(ROUND((C2796*(1-I2796)*(1-ADD.DISCOUNT)*(1+MAT.SURCHARGE)/EXC.RATE_1),CURRENCY.FORMAT_1),CURRENCY.FORMAT_1,0)),'DICTIONARY-5'!$A$2)</f>
        <v>na zapytanie</v>
      </c>
      <c r="M2796" s="670" t="str">
        <f>IF(EXC.RATE_2=0,"",IFERROR(IF(CURRENCY.FORMAT_2=0,CONCATENATE(TEXT(FIXED(ROUND(IF(EXC.RATE.SWITCH=1,C2796*(1-I2796)*(1-ADD.DISCOUNT)*(1+MAT.SURCHARGE)/EXC.RATE_2,C2796*(1-I2796)*(1-ADD.DISCOUNT)*(1+MAT.SURCHARGE)*EXC.RATE_2),CURRENCY.FORMAT_2),CURRENCY.FORMAT_2,1),"# ##0;-# ##0"),",-"),FIXED(ROUND(IF(EXC.RATE.SWITCH=1,C2796*(1-I2796)*(1-ADD.DISCOUNT)*(1+MAT.SURCHARGE)/EXC.RATE_2,C2796*(1-I2796)*(1-ADD.DISCOUNT)*(1+MAT.SURCHARGE)*EXC.RATE_2),CURRENCY.FORMAT_2),CURRENCY.FORMAT_2,0)),'DICTIONARY-5'!$A$2))</f>
        <v/>
      </c>
      <c r="N2796" s="535">
        <v>13</v>
      </c>
      <c r="O2796" s="535"/>
      <c r="P2796" s="731" t="str">
        <f>'DICTIONARY-3'!$A$2</f>
        <v>EKOplus</v>
      </c>
      <c r="Q2796" s="732" t="str">
        <f>'DICTIONARY-3'!$A$187</f>
        <v>Zasuwa klinowa</v>
      </c>
      <c r="R2796" s="732" t="str">
        <f>CONCATENATE('DICTIONARY-3'!$A$2," ",'DICTIONARY-6'!$A$4," ",UPPER('DICTIONARY-5'!$A$18)," ",'DICTIONARY-2'!$A$2,"100"," ",'DICTIONARY-2'!$A$3,"10/16"," ","R15",", ",'DICTIONARY-4'!$A$7)</f>
        <v>EKOplus Zasuwa z wrzec. wznosz. się GAZ DN100 PN10/16 R15, KR</v>
      </c>
      <c r="S2796" s="733" t="str">
        <f>'DICTIONARY-4'!$A$7</f>
        <v>KR</v>
      </c>
      <c r="T2796" s="732" t="str">
        <f>'DICTIONARY-4'!$A$23</f>
        <v>Kółko ręczne</v>
      </c>
      <c r="U2796" s="734" t="s">
        <v>5749</v>
      </c>
      <c r="V2796" s="735">
        <v>16</v>
      </c>
      <c r="W2796" s="736"/>
      <c r="X2796" s="737"/>
      <c r="Y2796" s="738"/>
      <c r="Z2796" s="739"/>
      <c r="AA2796" s="739"/>
      <c r="AB2796" s="740">
        <v>16</v>
      </c>
      <c r="AC2796" s="733" t="str">
        <f>'DICTIONARY-5'!$A$11&amp;" 15"</f>
        <v>EN 558 szereg 15</v>
      </c>
      <c r="AD2796" s="741" t="str">
        <f>'DICTIONARY-5'!$A$18</f>
        <v>gaz</v>
      </c>
      <c r="AE2796" s="742">
        <v>50</v>
      </c>
      <c r="AF2796" s="743"/>
      <c r="AG2796" s="741" t="str">
        <f>'DICTIONARY-5'!$A$23</f>
        <v>powłoka epoksydowa</v>
      </c>
    </row>
    <row r="2797" spans="1:33" x14ac:dyDescent="0.25">
      <c r="A2797" s="869" t="s">
        <v>2682</v>
      </c>
      <c r="B2797" s="869" t="str">
        <f>'DICTIONARY-5'!$A$2</f>
        <v>na zapytanie</v>
      </c>
      <c r="C2797" s="836" t="s">
        <v>5967</v>
      </c>
      <c r="D2797" s="836"/>
      <c r="E2797" s="836"/>
      <c r="F2797" s="836"/>
      <c r="G2797" s="496" t="s">
        <v>7852</v>
      </c>
      <c r="H2797" s="797" t="str">
        <f>VLOOKUP(G2797,SETTINGS!$B$7:$D$97,2,0)</f>
        <v>EKOplus Gas</v>
      </c>
      <c r="I2797" s="796">
        <f>VLOOKUP(G2797,SETTINGS!$B$7:$D$97,3,0)</f>
        <v>0</v>
      </c>
      <c r="J2797" s="670" t="str">
        <f>IFERROR(IF(CURRENCY.FORMAT_1=0,CONCATENATE(TEXT(FIXED(ROUND((C2797/EXC.RATE_1),CURRENCY.FORMAT_1),CURRENCY.FORMAT_1,1),"# ##0;-# ##0"),",-"),FIXED(ROUND((C2797/EXC.RATE_1),CURRENCY.FORMAT_1),CURRENCY.FORMAT_1,0)),'DICTIONARY-5'!$A$2)</f>
        <v>na zapytanie</v>
      </c>
      <c r="K2797" s="670" t="str">
        <f>IF(EXC.RATE_2=0,"",IFERROR(IF(CURRENCY.FORMAT_2=0,CONCATENATE(TEXT(FIXED(ROUND(IF(EXC.RATE.SWITCH=1,C2797/EXC.RATE_2,C2797*EXC.RATE_2),CURRENCY.FORMAT_2),CURRENCY.FORMAT_2,1),"# ##0;-# ##0"),",-"),FIXED(ROUND(IF(EXC.RATE.SWITCH=1,C2797/EXC.RATE_2,C2797*EXC.RATE_2),CURRENCY.FORMAT_2),CURRENCY.FORMAT_2,0)),'DICTIONARY-5'!$A$2))</f>
        <v/>
      </c>
      <c r="L2797" s="670" t="str">
        <f>IFERROR(IF(CURRENCY.FORMAT_1=0,CONCATENATE(TEXT(FIXED(ROUND((C2797*(1-I2797)*(1-ADD.DISCOUNT)*(1+MAT.SURCHARGE)/EXC.RATE_1),CURRENCY.FORMAT_1),CURRENCY.FORMAT_1,1),"# ##0;-# ##0"),",-"),FIXED(ROUND((C2797*(1-I2797)*(1-ADD.DISCOUNT)*(1+MAT.SURCHARGE)/EXC.RATE_1),CURRENCY.FORMAT_1),CURRENCY.FORMAT_1,0)),'DICTIONARY-5'!$A$2)</f>
        <v>na zapytanie</v>
      </c>
      <c r="M2797" s="670" t="str">
        <f>IF(EXC.RATE_2=0,"",IFERROR(IF(CURRENCY.FORMAT_2=0,CONCATENATE(TEXT(FIXED(ROUND(IF(EXC.RATE.SWITCH=1,C2797*(1-I2797)*(1-ADD.DISCOUNT)*(1+MAT.SURCHARGE)/EXC.RATE_2,C2797*(1-I2797)*(1-ADD.DISCOUNT)*(1+MAT.SURCHARGE)*EXC.RATE_2),CURRENCY.FORMAT_2),CURRENCY.FORMAT_2,1),"# ##0;-# ##0"),",-"),FIXED(ROUND(IF(EXC.RATE.SWITCH=1,C2797*(1-I2797)*(1-ADD.DISCOUNT)*(1+MAT.SURCHARGE)/EXC.RATE_2,C2797*(1-I2797)*(1-ADD.DISCOUNT)*(1+MAT.SURCHARGE)*EXC.RATE_2),CURRENCY.FORMAT_2),CURRENCY.FORMAT_2,0)),'DICTIONARY-5'!$A$2))</f>
        <v/>
      </c>
      <c r="N2797" s="535">
        <v>13</v>
      </c>
      <c r="O2797" s="535"/>
      <c r="P2797" s="731" t="str">
        <f>'DICTIONARY-3'!$A$2</f>
        <v>EKOplus</v>
      </c>
      <c r="Q2797" s="732" t="str">
        <f>'DICTIONARY-3'!$A$187</f>
        <v>Zasuwa klinowa</v>
      </c>
      <c r="R2797" s="732" t="str">
        <f>CONCATENATE('DICTIONARY-3'!$A$2," ",'DICTIONARY-6'!$A$4," ",UPPER('DICTIONARY-5'!$A$18)," ",'DICTIONARY-2'!$A$2,"125"," ",'DICTIONARY-2'!$A$3,"10/16"," ","R15",", ",'DICTIONARY-4'!$A$7)</f>
        <v>EKOplus Zasuwa z wrzec. wznosz. się GAZ DN125 PN10/16 R15, KR</v>
      </c>
      <c r="S2797" s="733" t="str">
        <f>'DICTIONARY-4'!$A$7</f>
        <v>KR</v>
      </c>
      <c r="T2797" s="732" t="str">
        <f>'DICTIONARY-4'!$A$23</f>
        <v>Kółko ręczne</v>
      </c>
      <c r="U2797" s="734" t="s">
        <v>5761</v>
      </c>
      <c r="V2797" s="735">
        <v>16</v>
      </c>
      <c r="W2797" s="736"/>
      <c r="X2797" s="737"/>
      <c r="Y2797" s="738"/>
      <c r="Z2797" s="739"/>
      <c r="AA2797" s="739"/>
      <c r="AB2797" s="740">
        <v>16</v>
      </c>
      <c r="AC2797" s="733" t="str">
        <f>'DICTIONARY-5'!$A$11&amp;" 15"</f>
        <v>EN 558 szereg 15</v>
      </c>
      <c r="AD2797" s="741" t="str">
        <f>'DICTIONARY-5'!$A$18</f>
        <v>gaz</v>
      </c>
      <c r="AE2797" s="742">
        <v>50</v>
      </c>
      <c r="AF2797" s="743"/>
      <c r="AG2797" s="741" t="str">
        <f>'DICTIONARY-5'!$A$23</f>
        <v>powłoka epoksydowa</v>
      </c>
    </row>
    <row r="2798" spans="1:33" x14ac:dyDescent="0.25">
      <c r="A2798" s="869" t="s">
        <v>2684</v>
      </c>
      <c r="B2798" s="869" t="str">
        <f>'DICTIONARY-5'!$A$2</f>
        <v>na zapytanie</v>
      </c>
      <c r="C2798" s="836" t="s">
        <v>5967</v>
      </c>
      <c r="D2798" s="836"/>
      <c r="E2798" s="836"/>
      <c r="F2798" s="836"/>
      <c r="G2798" s="496" t="s">
        <v>7852</v>
      </c>
      <c r="H2798" s="797" t="str">
        <f>VLOOKUP(G2798,SETTINGS!$B$7:$D$97,2,0)</f>
        <v>EKOplus Gas</v>
      </c>
      <c r="I2798" s="796">
        <f>VLOOKUP(G2798,SETTINGS!$B$7:$D$97,3,0)</f>
        <v>0</v>
      </c>
      <c r="J2798" s="670" t="str">
        <f>IFERROR(IF(CURRENCY.FORMAT_1=0,CONCATENATE(TEXT(FIXED(ROUND((C2798/EXC.RATE_1),CURRENCY.FORMAT_1),CURRENCY.FORMAT_1,1),"# ##0;-# ##0"),",-"),FIXED(ROUND((C2798/EXC.RATE_1),CURRENCY.FORMAT_1),CURRENCY.FORMAT_1,0)),'DICTIONARY-5'!$A$2)</f>
        <v>na zapytanie</v>
      </c>
      <c r="K2798" s="670" t="str">
        <f>IF(EXC.RATE_2=0,"",IFERROR(IF(CURRENCY.FORMAT_2=0,CONCATENATE(TEXT(FIXED(ROUND(IF(EXC.RATE.SWITCH=1,C2798/EXC.RATE_2,C2798*EXC.RATE_2),CURRENCY.FORMAT_2),CURRENCY.FORMAT_2,1),"# ##0;-# ##0"),",-"),FIXED(ROUND(IF(EXC.RATE.SWITCH=1,C2798/EXC.RATE_2,C2798*EXC.RATE_2),CURRENCY.FORMAT_2),CURRENCY.FORMAT_2,0)),'DICTIONARY-5'!$A$2))</f>
        <v/>
      </c>
      <c r="L2798" s="670" t="str">
        <f>IFERROR(IF(CURRENCY.FORMAT_1=0,CONCATENATE(TEXT(FIXED(ROUND((C2798*(1-I2798)*(1-ADD.DISCOUNT)*(1+MAT.SURCHARGE)/EXC.RATE_1),CURRENCY.FORMAT_1),CURRENCY.FORMAT_1,1),"# ##0;-# ##0"),",-"),FIXED(ROUND((C2798*(1-I2798)*(1-ADD.DISCOUNT)*(1+MAT.SURCHARGE)/EXC.RATE_1),CURRENCY.FORMAT_1),CURRENCY.FORMAT_1,0)),'DICTIONARY-5'!$A$2)</f>
        <v>na zapytanie</v>
      </c>
      <c r="M2798" s="670" t="str">
        <f>IF(EXC.RATE_2=0,"",IFERROR(IF(CURRENCY.FORMAT_2=0,CONCATENATE(TEXT(FIXED(ROUND(IF(EXC.RATE.SWITCH=1,C2798*(1-I2798)*(1-ADD.DISCOUNT)*(1+MAT.SURCHARGE)/EXC.RATE_2,C2798*(1-I2798)*(1-ADD.DISCOUNT)*(1+MAT.SURCHARGE)*EXC.RATE_2),CURRENCY.FORMAT_2),CURRENCY.FORMAT_2,1),"# ##0;-# ##0"),",-"),FIXED(ROUND(IF(EXC.RATE.SWITCH=1,C2798*(1-I2798)*(1-ADD.DISCOUNT)*(1+MAT.SURCHARGE)/EXC.RATE_2,C2798*(1-I2798)*(1-ADD.DISCOUNT)*(1+MAT.SURCHARGE)*EXC.RATE_2),CURRENCY.FORMAT_2),CURRENCY.FORMAT_2,0)),'DICTIONARY-5'!$A$2))</f>
        <v/>
      </c>
      <c r="N2798" s="535">
        <v>13</v>
      </c>
      <c r="O2798" s="535"/>
      <c r="P2798" s="731" t="str">
        <f>'DICTIONARY-3'!$A$2</f>
        <v>EKOplus</v>
      </c>
      <c r="Q2798" s="732" t="str">
        <f>'DICTIONARY-3'!$A$187</f>
        <v>Zasuwa klinowa</v>
      </c>
      <c r="R2798" s="732" t="str">
        <f>CONCATENATE('DICTIONARY-3'!$A$2," ",'DICTIONARY-6'!$A$4," ",UPPER('DICTIONARY-5'!$A$18)," ",'DICTIONARY-2'!$A$2,"150"," ",'DICTIONARY-2'!$A$3,"10/16"," ","R15",", ",'DICTIONARY-4'!$A$7)</f>
        <v>EKOplus Zasuwa z wrzec. wznosz. się GAZ DN150 PN10/16 R15, KR</v>
      </c>
      <c r="S2798" s="733" t="str">
        <f>'DICTIONARY-4'!$A$7</f>
        <v>KR</v>
      </c>
      <c r="T2798" s="732" t="str">
        <f>'DICTIONARY-4'!$A$23</f>
        <v>Kółko ręczne</v>
      </c>
      <c r="U2798" s="734" t="s">
        <v>5572</v>
      </c>
      <c r="V2798" s="735">
        <v>16</v>
      </c>
      <c r="W2798" s="736"/>
      <c r="X2798" s="737"/>
      <c r="Y2798" s="738"/>
      <c r="Z2798" s="739"/>
      <c r="AA2798" s="739"/>
      <c r="AB2798" s="740">
        <v>16</v>
      </c>
      <c r="AC2798" s="733" t="str">
        <f>'DICTIONARY-5'!$A$11&amp;" 15"</f>
        <v>EN 558 szereg 15</v>
      </c>
      <c r="AD2798" s="741" t="str">
        <f>'DICTIONARY-5'!$A$18</f>
        <v>gaz</v>
      </c>
      <c r="AE2798" s="742">
        <v>50</v>
      </c>
      <c r="AF2798" s="743"/>
      <c r="AG2798" s="741" t="str">
        <f>'DICTIONARY-5'!$A$23</f>
        <v>powłoka epoksydowa</v>
      </c>
    </row>
    <row r="2799" spans="1:33" x14ac:dyDescent="0.25">
      <c r="A2799" s="869" t="s">
        <v>2686</v>
      </c>
      <c r="B2799" s="869" t="str">
        <f>'DICTIONARY-5'!$A$2</f>
        <v>na zapytanie</v>
      </c>
      <c r="C2799" s="836" t="s">
        <v>5967</v>
      </c>
      <c r="D2799" s="836"/>
      <c r="E2799" s="836"/>
      <c r="F2799" s="836"/>
      <c r="G2799" s="496" t="s">
        <v>7852</v>
      </c>
      <c r="H2799" s="797" t="str">
        <f>VLOOKUP(G2799,SETTINGS!$B$7:$D$97,2,0)</f>
        <v>EKOplus Gas</v>
      </c>
      <c r="I2799" s="796">
        <f>VLOOKUP(G2799,SETTINGS!$B$7:$D$97,3,0)</f>
        <v>0</v>
      </c>
      <c r="J2799" s="670" t="str">
        <f>IFERROR(IF(CURRENCY.FORMAT_1=0,CONCATENATE(TEXT(FIXED(ROUND((C2799/EXC.RATE_1),CURRENCY.FORMAT_1),CURRENCY.FORMAT_1,1),"# ##0;-# ##0"),",-"),FIXED(ROUND((C2799/EXC.RATE_1),CURRENCY.FORMAT_1),CURRENCY.FORMAT_1,0)),'DICTIONARY-5'!$A$2)</f>
        <v>na zapytanie</v>
      </c>
      <c r="K2799" s="670" t="str">
        <f>IF(EXC.RATE_2=0,"",IFERROR(IF(CURRENCY.FORMAT_2=0,CONCATENATE(TEXT(FIXED(ROUND(IF(EXC.RATE.SWITCH=1,C2799/EXC.RATE_2,C2799*EXC.RATE_2),CURRENCY.FORMAT_2),CURRENCY.FORMAT_2,1),"# ##0;-# ##0"),",-"),FIXED(ROUND(IF(EXC.RATE.SWITCH=1,C2799/EXC.RATE_2,C2799*EXC.RATE_2),CURRENCY.FORMAT_2),CURRENCY.FORMAT_2,0)),'DICTIONARY-5'!$A$2))</f>
        <v/>
      </c>
      <c r="L2799" s="670" t="str">
        <f>IFERROR(IF(CURRENCY.FORMAT_1=0,CONCATENATE(TEXT(FIXED(ROUND((C2799*(1-I2799)*(1-ADD.DISCOUNT)*(1+MAT.SURCHARGE)/EXC.RATE_1),CURRENCY.FORMAT_1),CURRENCY.FORMAT_1,1),"# ##0;-# ##0"),",-"),FIXED(ROUND((C2799*(1-I2799)*(1-ADD.DISCOUNT)*(1+MAT.SURCHARGE)/EXC.RATE_1),CURRENCY.FORMAT_1),CURRENCY.FORMAT_1,0)),'DICTIONARY-5'!$A$2)</f>
        <v>na zapytanie</v>
      </c>
      <c r="M2799" s="670" t="str">
        <f>IF(EXC.RATE_2=0,"",IFERROR(IF(CURRENCY.FORMAT_2=0,CONCATENATE(TEXT(FIXED(ROUND(IF(EXC.RATE.SWITCH=1,C2799*(1-I2799)*(1-ADD.DISCOUNT)*(1+MAT.SURCHARGE)/EXC.RATE_2,C2799*(1-I2799)*(1-ADD.DISCOUNT)*(1+MAT.SURCHARGE)*EXC.RATE_2),CURRENCY.FORMAT_2),CURRENCY.FORMAT_2,1),"# ##0;-# ##0"),",-"),FIXED(ROUND(IF(EXC.RATE.SWITCH=1,C2799*(1-I2799)*(1-ADD.DISCOUNT)*(1+MAT.SURCHARGE)/EXC.RATE_2,C2799*(1-I2799)*(1-ADD.DISCOUNT)*(1+MAT.SURCHARGE)*EXC.RATE_2),CURRENCY.FORMAT_2),CURRENCY.FORMAT_2,0)),'DICTIONARY-5'!$A$2))</f>
        <v/>
      </c>
      <c r="N2799" s="535">
        <v>13</v>
      </c>
      <c r="O2799" s="535"/>
      <c r="P2799" s="731" t="str">
        <f>'DICTIONARY-3'!$A$2</f>
        <v>EKOplus</v>
      </c>
      <c r="Q2799" s="732" t="str">
        <f>'DICTIONARY-3'!$A$187</f>
        <v>Zasuwa klinowa</v>
      </c>
      <c r="R2799" s="732" t="str">
        <f>CONCATENATE('DICTIONARY-3'!$A$2," ",'DICTIONARY-6'!$A$4," ",UPPER('DICTIONARY-5'!$A$18)," ",'DICTIONARY-2'!$A$2,"200"," ",'DICTIONARY-2'!$A$3,"10"," ","R15",", ",'DICTIONARY-4'!$A$7)</f>
        <v>EKOplus Zasuwa z wrzec. wznosz. się GAZ DN200 PN10 R15, KR</v>
      </c>
      <c r="S2799" s="733" t="str">
        <f>'DICTIONARY-4'!$A$7</f>
        <v>KR</v>
      </c>
      <c r="T2799" s="732" t="str">
        <f>'DICTIONARY-4'!$A$23</f>
        <v>Kółko ręczne</v>
      </c>
      <c r="U2799" s="734" t="s">
        <v>5750</v>
      </c>
      <c r="V2799" s="735">
        <v>10</v>
      </c>
      <c r="W2799" s="736"/>
      <c r="X2799" s="737"/>
      <c r="Y2799" s="738"/>
      <c r="Z2799" s="739"/>
      <c r="AA2799" s="739"/>
      <c r="AB2799" s="740">
        <v>10</v>
      </c>
      <c r="AC2799" s="733" t="str">
        <f>'DICTIONARY-5'!$A$11&amp;" 15"</f>
        <v>EN 558 szereg 15</v>
      </c>
      <c r="AD2799" s="741" t="str">
        <f>'DICTIONARY-5'!$A$18</f>
        <v>gaz</v>
      </c>
      <c r="AE2799" s="742">
        <v>50</v>
      </c>
      <c r="AF2799" s="743"/>
      <c r="AG2799" s="741" t="str">
        <f>'DICTIONARY-5'!$A$23</f>
        <v>powłoka epoksydowa</v>
      </c>
    </row>
    <row r="2800" spans="1:33" x14ac:dyDescent="0.25">
      <c r="A2800" s="869" t="s">
        <v>2688</v>
      </c>
      <c r="B2800" s="869" t="str">
        <f>'DICTIONARY-5'!$A$2</f>
        <v>na zapytanie</v>
      </c>
      <c r="C2800" s="836" t="s">
        <v>5967</v>
      </c>
      <c r="D2800" s="836"/>
      <c r="E2800" s="836"/>
      <c r="F2800" s="836"/>
      <c r="G2800" s="496" t="s">
        <v>7852</v>
      </c>
      <c r="H2800" s="797" t="str">
        <f>VLOOKUP(G2800,SETTINGS!$B$7:$D$97,2,0)</f>
        <v>EKOplus Gas</v>
      </c>
      <c r="I2800" s="796">
        <f>VLOOKUP(G2800,SETTINGS!$B$7:$D$97,3,0)</f>
        <v>0</v>
      </c>
      <c r="J2800" s="670" t="str">
        <f>IFERROR(IF(CURRENCY.FORMAT_1=0,CONCATENATE(TEXT(FIXED(ROUND((C2800/EXC.RATE_1),CURRENCY.FORMAT_1),CURRENCY.FORMAT_1,1),"# ##0;-# ##0"),",-"),FIXED(ROUND((C2800/EXC.RATE_1),CURRENCY.FORMAT_1),CURRENCY.FORMAT_1,0)),'DICTIONARY-5'!$A$2)</f>
        <v>na zapytanie</v>
      </c>
      <c r="K2800" s="670" t="str">
        <f>IF(EXC.RATE_2=0,"",IFERROR(IF(CURRENCY.FORMAT_2=0,CONCATENATE(TEXT(FIXED(ROUND(IF(EXC.RATE.SWITCH=1,C2800/EXC.RATE_2,C2800*EXC.RATE_2),CURRENCY.FORMAT_2),CURRENCY.FORMAT_2,1),"# ##0;-# ##0"),",-"),FIXED(ROUND(IF(EXC.RATE.SWITCH=1,C2800/EXC.RATE_2,C2800*EXC.RATE_2),CURRENCY.FORMAT_2),CURRENCY.FORMAT_2,0)),'DICTIONARY-5'!$A$2))</f>
        <v/>
      </c>
      <c r="L2800" s="670" t="str">
        <f>IFERROR(IF(CURRENCY.FORMAT_1=0,CONCATENATE(TEXT(FIXED(ROUND((C2800*(1-I2800)*(1-ADD.DISCOUNT)*(1+MAT.SURCHARGE)/EXC.RATE_1),CURRENCY.FORMAT_1),CURRENCY.FORMAT_1,1),"# ##0;-# ##0"),",-"),FIXED(ROUND((C2800*(1-I2800)*(1-ADD.DISCOUNT)*(1+MAT.SURCHARGE)/EXC.RATE_1),CURRENCY.FORMAT_1),CURRENCY.FORMAT_1,0)),'DICTIONARY-5'!$A$2)</f>
        <v>na zapytanie</v>
      </c>
      <c r="M2800" s="670" t="str">
        <f>IF(EXC.RATE_2=0,"",IFERROR(IF(CURRENCY.FORMAT_2=0,CONCATENATE(TEXT(FIXED(ROUND(IF(EXC.RATE.SWITCH=1,C2800*(1-I2800)*(1-ADD.DISCOUNT)*(1+MAT.SURCHARGE)/EXC.RATE_2,C2800*(1-I2800)*(1-ADD.DISCOUNT)*(1+MAT.SURCHARGE)*EXC.RATE_2),CURRENCY.FORMAT_2),CURRENCY.FORMAT_2,1),"# ##0;-# ##0"),",-"),FIXED(ROUND(IF(EXC.RATE.SWITCH=1,C2800*(1-I2800)*(1-ADD.DISCOUNT)*(1+MAT.SURCHARGE)/EXC.RATE_2,C2800*(1-I2800)*(1-ADD.DISCOUNT)*(1+MAT.SURCHARGE)*EXC.RATE_2),CURRENCY.FORMAT_2),CURRENCY.FORMAT_2,0)),'DICTIONARY-5'!$A$2))</f>
        <v/>
      </c>
      <c r="N2800" s="535">
        <v>13</v>
      </c>
      <c r="O2800" s="535"/>
      <c r="P2800" s="731" t="str">
        <f>'DICTIONARY-3'!$A$2</f>
        <v>EKOplus</v>
      </c>
      <c r="Q2800" s="732" t="str">
        <f>'DICTIONARY-3'!$A$187</f>
        <v>Zasuwa klinowa</v>
      </c>
      <c r="R2800" s="732" t="str">
        <f>CONCATENATE('DICTIONARY-3'!$A$2," ",'DICTIONARY-6'!$A$4," ",UPPER('DICTIONARY-5'!$A$18)," ",'DICTIONARY-2'!$A$2,"200"," ",'DICTIONARY-2'!$A$3,"16"," ","R15",", ",'DICTIONARY-4'!$A$7)</f>
        <v>EKOplus Zasuwa z wrzec. wznosz. się GAZ DN200 PN16 R15, KR</v>
      </c>
      <c r="S2800" s="733" t="str">
        <f>'DICTIONARY-4'!$A$7</f>
        <v>KR</v>
      </c>
      <c r="T2800" s="732" t="str">
        <f>'DICTIONARY-4'!$A$23</f>
        <v>Kółko ręczne</v>
      </c>
      <c r="U2800" s="734" t="s">
        <v>5750</v>
      </c>
      <c r="V2800" s="735">
        <v>16</v>
      </c>
      <c r="W2800" s="736"/>
      <c r="X2800" s="737"/>
      <c r="Y2800" s="738"/>
      <c r="Z2800" s="739"/>
      <c r="AA2800" s="739"/>
      <c r="AB2800" s="740">
        <v>16</v>
      </c>
      <c r="AC2800" s="733" t="str">
        <f>'DICTIONARY-5'!$A$11&amp;" 15"</f>
        <v>EN 558 szereg 15</v>
      </c>
      <c r="AD2800" s="741" t="str">
        <f>'DICTIONARY-5'!$A$18</f>
        <v>gaz</v>
      </c>
      <c r="AE2800" s="742">
        <v>50</v>
      </c>
      <c r="AF2800" s="743"/>
      <c r="AG2800" s="741" t="str">
        <f>'DICTIONARY-5'!$A$23</f>
        <v>powłoka epoksydowa</v>
      </c>
    </row>
    <row r="2801" spans="1:33" x14ac:dyDescent="0.25">
      <c r="A2801" s="869" t="s">
        <v>2690</v>
      </c>
      <c r="B2801" s="869" t="str">
        <f>'DICTIONARY-5'!$A$2</f>
        <v>na zapytanie</v>
      </c>
      <c r="C2801" s="836" t="s">
        <v>5967</v>
      </c>
      <c r="D2801" s="836"/>
      <c r="E2801" s="836"/>
      <c r="F2801" s="836"/>
      <c r="G2801" s="496" t="s">
        <v>7852</v>
      </c>
      <c r="H2801" s="797" t="str">
        <f>VLOOKUP(G2801,SETTINGS!$B$7:$D$97,2,0)</f>
        <v>EKOplus Gas</v>
      </c>
      <c r="I2801" s="796">
        <f>VLOOKUP(G2801,SETTINGS!$B$7:$D$97,3,0)</f>
        <v>0</v>
      </c>
      <c r="J2801" s="670" t="str">
        <f>IFERROR(IF(CURRENCY.FORMAT_1=0,CONCATENATE(TEXT(FIXED(ROUND((C2801/EXC.RATE_1),CURRENCY.FORMAT_1),CURRENCY.FORMAT_1,1),"# ##0;-# ##0"),",-"),FIXED(ROUND((C2801/EXC.RATE_1),CURRENCY.FORMAT_1),CURRENCY.FORMAT_1,0)),'DICTIONARY-5'!$A$2)</f>
        <v>na zapytanie</v>
      </c>
      <c r="K2801" s="670" t="str">
        <f>IF(EXC.RATE_2=0,"",IFERROR(IF(CURRENCY.FORMAT_2=0,CONCATENATE(TEXT(FIXED(ROUND(IF(EXC.RATE.SWITCH=1,C2801/EXC.RATE_2,C2801*EXC.RATE_2),CURRENCY.FORMAT_2),CURRENCY.FORMAT_2,1),"# ##0;-# ##0"),",-"),FIXED(ROUND(IF(EXC.RATE.SWITCH=1,C2801/EXC.RATE_2,C2801*EXC.RATE_2),CURRENCY.FORMAT_2),CURRENCY.FORMAT_2,0)),'DICTIONARY-5'!$A$2))</f>
        <v/>
      </c>
      <c r="L2801" s="670" t="str">
        <f>IFERROR(IF(CURRENCY.FORMAT_1=0,CONCATENATE(TEXT(FIXED(ROUND((C2801*(1-I2801)*(1-ADD.DISCOUNT)*(1+MAT.SURCHARGE)/EXC.RATE_1),CURRENCY.FORMAT_1),CURRENCY.FORMAT_1,1),"# ##0;-# ##0"),",-"),FIXED(ROUND((C2801*(1-I2801)*(1-ADD.DISCOUNT)*(1+MAT.SURCHARGE)/EXC.RATE_1),CURRENCY.FORMAT_1),CURRENCY.FORMAT_1,0)),'DICTIONARY-5'!$A$2)</f>
        <v>na zapytanie</v>
      </c>
      <c r="M2801" s="670" t="str">
        <f>IF(EXC.RATE_2=0,"",IFERROR(IF(CURRENCY.FORMAT_2=0,CONCATENATE(TEXT(FIXED(ROUND(IF(EXC.RATE.SWITCH=1,C2801*(1-I2801)*(1-ADD.DISCOUNT)*(1+MAT.SURCHARGE)/EXC.RATE_2,C2801*(1-I2801)*(1-ADD.DISCOUNT)*(1+MAT.SURCHARGE)*EXC.RATE_2),CURRENCY.FORMAT_2),CURRENCY.FORMAT_2,1),"# ##0;-# ##0"),",-"),FIXED(ROUND(IF(EXC.RATE.SWITCH=1,C2801*(1-I2801)*(1-ADD.DISCOUNT)*(1+MAT.SURCHARGE)/EXC.RATE_2,C2801*(1-I2801)*(1-ADD.DISCOUNT)*(1+MAT.SURCHARGE)*EXC.RATE_2),CURRENCY.FORMAT_2),CURRENCY.FORMAT_2,0)),'DICTIONARY-5'!$A$2))</f>
        <v/>
      </c>
      <c r="N2801" s="535">
        <v>13</v>
      </c>
      <c r="O2801" s="535"/>
      <c r="P2801" s="731" t="str">
        <f>'DICTIONARY-3'!$A$2</f>
        <v>EKOplus</v>
      </c>
      <c r="Q2801" s="732" t="str">
        <f>'DICTIONARY-3'!$A$187</f>
        <v>Zasuwa klinowa</v>
      </c>
      <c r="R2801" s="732" t="str">
        <f>CONCATENATE('DICTIONARY-3'!$A$2," ",'DICTIONARY-6'!$A$4," ",UPPER('DICTIONARY-5'!$A$18)," ",'DICTIONARY-2'!$A$2,"250"," ",'DICTIONARY-2'!$A$3,"10"," ","R15",", ",'DICTIONARY-4'!$A$7)</f>
        <v>EKOplus Zasuwa z wrzec. wznosz. się GAZ DN250 PN10 R15, KR</v>
      </c>
      <c r="S2801" s="733" t="str">
        <f>'DICTIONARY-4'!$A$7</f>
        <v>KR</v>
      </c>
      <c r="T2801" s="732" t="str">
        <f>'DICTIONARY-4'!$A$23</f>
        <v>Kółko ręczne</v>
      </c>
      <c r="U2801" s="734" t="s">
        <v>5751</v>
      </c>
      <c r="V2801" s="735">
        <v>10</v>
      </c>
      <c r="W2801" s="736"/>
      <c r="X2801" s="737"/>
      <c r="Y2801" s="738"/>
      <c r="Z2801" s="739"/>
      <c r="AA2801" s="739"/>
      <c r="AB2801" s="740">
        <v>10</v>
      </c>
      <c r="AC2801" s="733" t="str">
        <f>'DICTIONARY-5'!$A$11&amp;" 15"</f>
        <v>EN 558 szereg 15</v>
      </c>
      <c r="AD2801" s="741" t="str">
        <f>'DICTIONARY-5'!$A$18</f>
        <v>gaz</v>
      </c>
      <c r="AE2801" s="742">
        <v>50</v>
      </c>
      <c r="AF2801" s="743"/>
      <c r="AG2801" s="741" t="str">
        <f>'DICTIONARY-5'!$A$23</f>
        <v>powłoka epoksydowa</v>
      </c>
    </row>
    <row r="2802" spans="1:33" x14ac:dyDescent="0.25">
      <c r="A2802" s="869" t="s">
        <v>2692</v>
      </c>
      <c r="B2802" s="869" t="str">
        <f>'DICTIONARY-5'!$A$2</f>
        <v>na zapytanie</v>
      </c>
      <c r="C2802" s="836" t="s">
        <v>5967</v>
      </c>
      <c r="D2802" s="836"/>
      <c r="E2802" s="836"/>
      <c r="F2802" s="836"/>
      <c r="G2802" s="496" t="s">
        <v>7852</v>
      </c>
      <c r="H2802" s="797" t="str">
        <f>VLOOKUP(G2802,SETTINGS!$B$7:$D$97,2,0)</f>
        <v>EKOplus Gas</v>
      </c>
      <c r="I2802" s="796">
        <f>VLOOKUP(G2802,SETTINGS!$B$7:$D$97,3,0)</f>
        <v>0</v>
      </c>
      <c r="J2802" s="670" t="str">
        <f>IFERROR(IF(CURRENCY.FORMAT_1=0,CONCATENATE(TEXT(FIXED(ROUND((C2802/EXC.RATE_1),CURRENCY.FORMAT_1),CURRENCY.FORMAT_1,1),"# ##0;-# ##0"),",-"),FIXED(ROUND((C2802/EXC.RATE_1),CURRENCY.FORMAT_1),CURRENCY.FORMAT_1,0)),'DICTIONARY-5'!$A$2)</f>
        <v>na zapytanie</v>
      </c>
      <c r="K2802" s="670" t="str">
        <f>IF(EXC.RATE_2=0,"",IFERROR(IF(CURRENCY.FORMAT_2=0,CONCATENATE(TEXT(FIXED(ROUND(IF(EXC.RATE.SWITCH=1,C2802/EXC.RATE_2,C2802*EXC.RATE_2),CURRENCY.FORMAT_2),CURRENCY.FORMAT_2,1),"# ##0;-# ##0"),",-"),FIXED(ROUND(IF(EXC.RATE.SWITCH=1,C2802/EXC.RATE_2,C2802*EXC.RATE_2),CURRENCY.FORMAT_2),CURRENCY.FORMAT_2,0)),'DICTIONARY-5'!$A$2))</f>
        <v/>
      </c>
      <c r="L2802" s="670" t="str">
        <f>IFERROR(IF(CURRENCY.FORMAT_1=0,CONCATENATE(TEXT(FIXED(ROUND((C2802*(1-I2802)*(1-ADD.DISCOUNT)*(1+MAT.SURCHARGE)/EXC.RATE_1),CURRENCY.FORMAT_1),CURRENCY.FORMAT_1,1),"# ##0;-# ##0"),",-"),FIXED(ROUND((C2802*(1-I2802)*(1-ADD.DISCOUNT)*(1+MAT.SURCHARGE)/EXC.RATE_1),CURRENCY.FORMAT_1),CURRENCY.FORMAT_1,0)),'DICTIONARY-5'!$A$2)</f>
        <v>na zapytanie</v>
      </c>
      <c r="M2802" s="670" t="str">
        <f>IF(EXC.RATE_2=0,"",IFERROR(IF(CURRENCY.FORMAT_2=0,CONCATENATE(TEXT(FIXED(ROUND(IF(EXC.RATE.SWITCH=1,C2802*(1-I2802)*(1-ADD.DISCOUNT)*(1+MAT.SURCHARGE)/EXC.RATE_2,C2802*(1-I2802)*(1-ADD.DISCOUNT)*(1+MAT.SURCHARGE)*EXC.RATE_2),CURRENCY.FORMAT_2),CURRENCY.FORMAT_2,1),"# ##0;-# ##0"),",-"),FIXED(ROUND(IF(EXC.RATE.SWITCH=1,C2802*(1-I2802)*(1-ADD.DISCOUNT)*(1+MAT.SURCHARGE)/EXC.RATE_2,C2802*(1-I2802)*(1-ADD.DISCOUNT)*(1+MAT.SURCHARGE)*EXC.RATE_2),CURRENCY.FORMAT_2),CURRENCY.FORMAT_2,0)),'DICTIONARY-5'!$A$2))</f>
        <v/>
      </c>
      <c r="N2802" s="535">
        <v>13</v>
      </c>
      <c r="O2802" s="535"/>
      <c r="P2802" s="731" t="str">
        <f>'DICTIONARY-3'!$A$2</f>
        <v>EKOplus</v>
      </c>
      <c r="Q2802" s="732" t="str">
        <f>'DICTIONARY-3'!$A$187</f>
        <v>Zasuwa klinowa</v>
      </c>
      <c r="R2802" s="732" t="str">
        <f>CONCATENATE('DICTIONARY-3'!$A$2," ",'DICTIONARY-6'!$A$4," ",UPPER('DICTIONARY-5'!$A$18)," ",'DICTIONARY-2'!$A$2,"250"," ",'DICTIONARY-2'!$A$3,"16"," ","R15",", ",'DICTIONARY-4'!$A$7)</f>
        <v>EKOplus Zasuwa z wrzec. wznosz. się GAZ DN250 PN16 R15, KR</v>
      </c>
      <c r="S2802" s="733" t="str">
        <f>'DICTIONARY-4'!$A$7</f>
        <v>KR</v>
      </c>
      <c r="T2802" s="732" t="str">
        <f>'DICTIONARY-4'!$A$23</f>
        <v>Kółko ręczne</v>
      </c>
      <c r="U2802" s="734" t="s">
        <v>5751</v>
      </c>
      <c r="V2802" s="735">
        <v>16</v>
      </c>
      <c r="W2802" s="736"/>
      <c r="X2802" s="737"/>
      <c r="Y2802" s="738"/>
      <c r="Z2802" s="739"/>
      <c r="AA2802" s="739"/>
      <c r="AB2802" s="740">
        <v>16</v>
      </c>
      <c r="AC2802" s="733" t="str">
        <f>'DICTIONARY-5'!$A$11&amp;" 15"</f>
        <v>EN 558 szereg 15</v>
      </c>
      <c r="AD2802" s="741" t="str">
        <f>'DICTIONARY-5'!$A$18</f>
        <v>gaz</v>
      </c>
      <c r="AE2802" s="742">
        <v>50</v>
      </c>
      <c r="AF2802" s="743"/>
      <c r="AG2802" s="741" t="str">
        <f>'DICTIONARY-5'!$A$23</f>
        <v>powłoka epoksydowa</v>
      </c>
    </row>
    <row r="2803" spans="1:33" x14ac:dyDescent="0.25">
      <c r="A2803" s="869" t="s">
        <v>2694</v>
      </c>
      <c r="B2803" s="869" t="str">
        <f>'DICTIONARY-5'!$A$2</f>
        <v>na zapytanie</v>
      </c>
      <c r="C2803" s="836" t="s">
        <v>5967</v>
      </c>
      <c r="D2803" s="836"/>
      <c r="E2803" s="836"/>
      <c r="F2803" s="836"/>
      <c r="G2803" s="496" t="s">
        <v>7852</v>
      </c>
      <c r="H2803" s="797" t="str">
        <f>VLOOKUP(G2803,SETTINGS!$B$7:$D$97,2,0)</f>
        <v>EKOplus Gas</v>
      </c>
      <c r="I2803" s="796">
        <f>VLOOKUP(G2803,SETTINGS!$B$7:$D$97,3,0)</f>
        <v>0</v>
      </c>
      <c r="J2803" s="670" t="str">
        <f>IFERROR(IF(CURRENCY.FORMAT_1=0,CONCATENATE(TEXT(FIXED(ROUND((C2803/EXC.RATE_1),CURRENCY.FORMAT_1),CURRENCY.FORMAT_1,1),"# ##0;-# ##0"),",-"),FIXED(ROUND((C2803/EXC.RATE_1),CURRENCY.FORMAT_1),CURRENCY.FORMAT_1,0)),'DICTIONARY-5'!$A$2)</f>
        <v>na zapytanie</v>
      </c>
      <c r="K2803" s="670" t="str">
        <f>IF(EXC.RATE_2=0,"",IFERROR(IF(CURRENCY.FORMAT_2=0,CONCATENATE(TEXT(FIXED(ROUND(IF(EXC.RATE.SWITCH=1,C2803/EXC.RATE_2,C2803*EXC.RATE_2),CURRENCY.FORMAT_2),CURRENCY.FORMAT_2,1),"# ##0;-# ##0"),",-"),FIXED(ROUND(IF(EXC.RATE.SWITCH=1,C2803/EXC.RATE_2,C2803*EXC.RATE_2),CURRENCY.FORMAT_2),CURRENCY.FORMAT_2,0)),'DICTIONARY-5'!$A$2))</f>
        <v/>
      </c>
      <c r="L2803" s="670" t="str">
        <f>IFERROR(IF(CURRENCY.FORMAT_1=0,CONCATENATE(TEXT(FIXED(ROUND((C2803*(1-I2803)*(1-ADD.DISCOUNT)*(1+MAT.SURCHARGE)/EXC.RATE_1),CURRENCY.FORMAT_1),CURRENCY.FORMAT_1,1),"# ##0;-# ##0"),",-"),FIXED(ROUND((C2803*(1-I2803)*(1-ADD.DISCOUNT)*(1+MAT.SURCHARGE)/EXC.RATE_1),CURRENCY.FORMAT_1),CURRENCY.FORMAT_1,0)),'DICTIONARY-5'!$A$2)</f>
        <v>na zapytanie</v>
      </c>
      <c r="M2803" s="670" t="str">
        <f>IF(EXC.RATE_2=0,"",IFERROR(IF(CURRENCY.FORMAT_2=0,CONCATENATE(TEXT(FIXED(ROUND(IF(EXC.RATE.SWITCH=1,C2803*(1-I2803)*(1-ADD.DISCOUNT)*(1+MAT.SURCHARGE)/EXC.RATE_2,C2803*(1-I2803)*(1-ADD.DISCOUNT)*(1+MAT.SURCHARGE)*EXC.RATE_2),CURRENCY.FORMAT_2),CURRENCY.FORMAT_2,1),"# ##0;-# ##0"),",-"),FIXED(ROUND(IF(EXC.RATE.SWITCH=1,C2803*(1-I2803)*(1-ADD.DISCOUNT)*(1+MAT.SURCHARGE)/EXC.RATE_2,C2803*(1-I2803)*(1-ADD.DISCOUNT)*(1+MAT.SURCHARGE)*EXC.RATE_2),CURRENCY.FORMAT_2),CURRENCY.FORMAT_2,0)),'DICTIONARY-5'!$A$2))</f>
        <v/>
      </c>
      <c r="N2803" s="535">
        <v>13</v>
      </c>
      <c r="O2803" s="535"/>
      <c r="P2803" s="731" t="str">
        <f>'DICTIONARY-3'!$A$2</f>
        <v>EKOplus</v>
      </c>
      <c r="Q2803" s="732" t="str">
        <f>'DICTIONARY-3'!$A$187</f>
        <v>Zasuwa klinowa</v>
      </c>
      <c r="R2803" s="732" t="str">
        <f>CONCATENATE('DICTIONARY-3'!$A$2," ",'DICTIONARY-6'!$A$4," ",UPPER('DICTIONARY-5'!$A$18)," ",'DICTIONARY-2'!$A$2,"300"," ",'DICTIONARY-2'!$A$3,"10"," ","R15",", ",'DICTIONARY-4'!$A$7)</f>
        <v>EKOplus Zasuwa z wrzec. wznosz. się GAZ DN300 PN10 R15, KR</v>
      </c>
      <c r="S2803" s="733" t="str">
        <f>'DICTIONARY-4'!$A$7</f>
        <v>KR</v>
      </c>
      <c r="T2803" s="732" t="str">
        <f>'DICTIONARY-4'!$A$23</f>
        <v>Kółko ręczne</v>
      </c>
      <c r="U2803" s="734" t="s">
        <v>5752</v>
      </c>
      <c r="V2803" s="735">
        <v>10</v>
      </c>
      <c r="W2803" s="736"/>
      <c r="X2803" s="737"/>
      <c r="Y2803" s="738"/>
      <c r="Z2803" s="739"/>
      <c r="AA2803" s="739"/>
      <c r="AB2803" s="740">
        <v>10</v>
      </c>
      <c r="AC2803" s="733" t="str">
        <f>'DICTIONARY-5'!$A$11&amp;" 15"</f>
        <v>EN 558 szereg 15</v>
      </c>
      <c r="AD2803" s="741" t="str">
        <f>'DICTIONARY-5'!$A$18</f>
        <v>gaz</v>
      </c>
      <c r="AE2803" s="742">
        <v>50</v>
      </c>
      <c r="AF2803" s="743"/>
      <c r="AG2803" s="741" t="str">
        <f>'DICTIONARY-5'!$A$23</f>
        <v>powłoka epoksydowa</v>
      </c>
    </row>
    <row r="2804" spans="1:33" x14ac:dyDescent="0.25">
      <c r="A2804" s="869" t="s">
        <v>2696</v>
      </c>
      <c r="B2804" s="869" t="str">
        <f>'DICTIONARY-5'!$A$2</f>
        <v>na zapytanie</v>
      </c>
      <c r="C2804" s="836" t="s">
        <v>5967</v>
      </c>
      <c r="D2804" s="836"/>
      <c r="E2804" s="836"/>
      <c r="F2804" s="836"/>
      <c r="G2804" s="496" t="s">
        <v>7852</v>
      </c>
      <c r="H2804" s="797" t="str">
        <f>VLOOKUP(G2804,SETTINGS!$B$7:$D$97,2,0)</f>
        <v>EKOplus Gas</v>
      </c>
      <c r="I2804" s="796">
        <f>VLOOKUP(G2804,SETTINGS!$B$7:$D$97,3,0)</f>
        <v>0</v>
      </c>
      <c r="J2804" s="670" t="str">
        <f>IFERROR(IF(CURRENCY.FORMAT_1=0,CONCATENATE(TEXT(FIXED(ROUND((C2804/EXC.RATE_1),CURRENCY.FORMAT_1),CURRENCY.FORMAT_1,1),"# ##0;-# ##0"),",-"),FIXED(ROUND((C2804/EXC.RATE_1),CURRENCY.FORMAT_1),CURRENCY.FORMAT_1,0)),'DICTIONARY-5'!$A$2)</f>
        <v>na zapytanie</v>
      </c>
      <c r="K2804" s="670" t="str">
        <f>IF(EXC.RATE_2=0,"",IFERROR(IF(CURRENCY.FORMAT_2=0,CONCATENATE(TEXT(FIXED(ROUND(IF(EXC.RATE.SWITCH=1,C2804/EXC.RATE_2,C2804*EXC.RATE_2),CURRENCY.FORMAT_2),CURRENCY.FORMAT_2,1),"# ##0;-# ##0"),",-"),FIXED(ROUND(IF(EXC.RATE.SWITCH=1,C2804/EXC.RATE_2,C2804*EXC.RATE_2),CURRENCY.FORMAT_2),CURRENCY.FORMAT_2,0)),'DICTIONARY-5'!$A$2))</f>
        <v/>
      </c>
      <c r="L2804" s="670" t="str">
        <f>IFERROR(IF(CURRENCY.FORMAT_1=0,CONCATENATE(TEXT(FIXED(ROUND((C2804*(1-I2804)*(1-ADD.DISCOUNT)*(1+MAT.SURCHARGE)/EXC.RATE_1),CURRENCY.FORMAT_1),CURRENCY.FORMAT_1,1),"# ##0;-# ##0"),",-"),FIXED(ROUND((C2804*(1-I2804)*(1-ADD.DISCOUNT)*(1+MAT.SURCHARGE)/EXC.RATE_1),CURRENCY.FORMAT_1),CURRENCY.FORMAT_1,0)),'DICTIONARY-5'!$A$2)</f>
        <v>na zapytanie</v>
      </c>
      <c r="M2804" s="670" t="str">
        <f>IF(EXC.RATE_2=0,"",IFERROR(IF(CURRENCY.FORMAT_2=0,CONCATENATE(TEXT(FIXED(ROUND(IF(EXC.RATE.SWITCH=1,C2804*(1-I2804)*(1-ADD.DISCOUNT)*(1+MAT.SURCHARGE)/EXC.RATE_2,C2804*(1-I2804)*(1-ADD.DISCOUNT)*(1+MAT.SURCHARGE)*EXC.RATE_2),CURRENCY.FORMAT_2),CURRENCY.FORMAT_2,1),"# ##0;-# ##0"),",-"),FIXED(ROUND(IF(EXC.RATE.SWITCH=1,C2804*(1-I2804)*(1-ADD.DISCOUNT)*(1+MAT.SURCHARGE)/EXC.RATE_2,C2804*(1-I2804)*(1-ADD.DISCOUNT)*(1+MAT.SURCHARGE)*EXC.RATE_2),CURRENCY.FORMAT_2),CURRENCY.FORMAT_2,0)),'DICTIONARY-5'!$A$2))</f>
        <v/>
      </c>
      <c r="N2804" s="535">
        <v>13</v>
      </c>
      <c r="O2804" s="535"/>
      <c r="P2804" s="731" t="str">
        <f>'DICTIONARY-3'!$A$2</f>
        <v>EKOplus</v>
      </c>
      <c r="Q2804" s="732" t="str">
        <f>'DICTIONARY-3'!$A$187</f>
        <v>Zasuwa klinowa</v>
      </c>
      <c r="R2804" s="732" t="str">
        <f>CONCATENATE('DICTIONARY-3'!$A$2," ",'DICTIONARY-6'!$A$4," ",UPPER('DICTIONARY-5'!$A$18)," ",'DICTIONARY-2'!$A$2,"300"," ",'DICTIONARY-2'!$A$3,"16"," ","R15",", ",'DICTIONARY-4'!$A$7)</f>
        <v>EKOplus Zasuwa z wrzec. wznosz. się GAZ DN300 PN16 R15, KR</v>
      </c>
      <c r="S2804" s="733" t="str">
        <f>'DICTIONARY-4'!$A$7</f>
        <v>KR</v>
      </c>
      <c r="T2804" s="732" t="str">
        <f>'DICTIONARY-4'!$A$23</f>
        <v>Kółko ręczne</v>
      </c>
      <c r="U2804" s="734" t="s">
        <v>5752</v>
      </c>
      <c r="V2804" s="735">
        <v>16</v>
      </c>
      <c r="W2804" s="736"/>
      <c r="X2804" s="737"/>
      <c r="Y2804" s="738"/>
      <c r="Z2804" s="739"/>
      <c r="AA2804" s="739"/>
      <c r="AB2804" s="740">
        <v>16</v>
      </c>
      <c r="AC2804" s="733" t="str">
        <f>'DICTIONARY-5'!$A$11&amp;" 15"</f>
        <v>EN 558 szereg 15</v>
      </c>
      <c r="AD2804" s="741" t="str">
        <f>'DICTIONARY-5'!$A$18</f>
        <v>gaz</v>
      </c>
      <c r="AE2804" s="742">
        <v>50</v>
      </c>
      <c r="AF2804" s="743"/>
      <c r="AG2804" s="741" t="str">
        <f>'DICTIONARY-5'!$A$23</f>
        <v>powłoka epoksydowa</v>
      </c>
    </row>
    <row r="2805" spans="1:33" x14ac:dyDescent="0.25">
      <c r="A2805" s="869" t="s">
        <v>2699</v>
      </c>
      <c r="B2805" s="869" t="str">
        <f>'DICTIONARY-5'!$A$2</f>
        <v>na zapytanie</v>
      </c>
      <c r="C2805" s="836" t="s">
        <v>5967</v>
      </c>
      <c r="D2805" s="836"/>
      <c r="E2805" s="836"/>
      <c r="F2805" s="836"/>
      <c r="G2805" s="496" t="s">
        <v>7852</v>
      </c>
      <c r="H2805" s="797" t="str">
        <f>VLOOKUP(G2805,SETTINGS!$B$7:$D$97,2,0)</f>
        <v>EKOplus Gas</v>
      </c>
      <c r="I2805" s="796">
        <f>VLOOKUP(G2805,SETTINGS!$B$7:$D$97,3,0)</f>
        <v>0</v>
      </c>
      <c r="J2805" s="670" t="str">
        <f>IFERROR(IF(CURRENCY.FORMAT_1=0,CONCATENATE(TEXT(FIXED(ROUND((C2805/EXC.RATE_1),CURRENCY.FORMAT_1),CURRENCY.FORMAT_1,1),"# ##0;-# ##0"),",-"),FIXED(ROUND((C2805/EXC.RATE_1),CURRENCY.FORMAT_1),CURRENCY.FORMAT_1,0)),'DICTIONARY-5'!$A$2)</f>
        <v>na zapytanie</v>
      </c>
      <c r="K2805" s="670" t="str">
        <f>IF(EXC.RATE_2=0,"",IFERROR(IF(CURRENCY.FORMAT_2=0,CONCATENATE(TEXT(FIXED(ROUND(IF(EXC.RATE.SWITCH=1,C2805/EXC.RATE_2,C2805*EXC.RATE_2),CURRENCY.FORMAT_2),CURRENCY.FORMAT_2,1),"# ##0;-# ##0"),",-"),FIXED(ROUND(IF(EXC.RATE.SWITCH=1,C2805/EXC.RATE_2,C2805*EXC.RATE_2),CURRENCY.FORMAT_2),CURRENCY.FORMAT_2,0)),'DICTIONARY-5'!$A$2))</f>
        <v/>
      </c>
      <c r="L2805" s="670" t="str">
        <f>IFERROR(IF(CURRENCY.FORMAT_1=0,CONCATENATE(TEXT(FIXED(ROUND((C2805*(1-I2805)*(1-ADD.DISCOUNT)*(1+MAT.SURCHARGE)/EXC.RATE_1),CURRENCY.FORMAT_1),CURRENCY.FORMAT_1,1),"# ##0;-# ##0"),",-"),FIXED(ROUND((C2805*(1-I2805)*(1-ADD.DISCOUNT)*(1+MAT.SURCHARGE)/EXC.RATE_1),CURRENCY.FORMAT_1),CURRENCY.FORMAT_1,0)),'DICTIONARY-5'!$A$2)</f>
        <v>na zapytanie</v>
      </c>
      <c r="M2805" s="670" t="str">
        <f>IF(EXC.RATE_2=0,"",IFERROR(IF(CURRENCY.FORMAT_2=0,CONCATENATE(TEXT(FIXED(ROUND(IF(EXC.RATE.SWITCH=1,C2805*(1-I2805)*(1-ADD.DISCOUNT)*(1+MAT.SURCHARGE)/EXC.RATE_2,C2805*(1-I2805)*(1-ADD.DISCOUNT)*(1+MAT.SURCHARGE)*EXC.RATE_2),CURRENCY.FORMAT_2),CURRENCY.FORMAT_2,1),"# ##0;-# ##0"),",-"),FIXED(ROUND(IF(EXC.RATE.SWITCH=1,C2805*(1-I2805)*(1-ADD.DISCOUNT)*(1+MAT.SURCHARGE)/EXC.RATE_2,C2805*(1-I2805)*(1-ADD.DISCOUNT)*(1+MAT.SURCHARGE)*EXC.RATE_2),CURRENCY.FORMAT_2),CURRENCY.FORMAT_2,0)),'DICTIONARY-5'!$A$2))</f>
        <v/>
      </c>
      <c r="N2805" s="535">
        <v>13</v>
      </c>
      <c r="O2805" s="535"/>
      <c r="P2805" s="731" t="str">
        <f>'DICTIONARY-3'!$A$2</f>
        <v>EKOplus</v>
      </c>
      <c r="Q2805" s="732" t="str">
        <f>'DICTIONARY-3'!$A$187</f>
        <v>Zasuwa klinowa</v>
      </c>
      <c r="R2805" s="732" t="str">
        <f>CONCATENATE('DICTIONARY-3'!$A$2," ",'DICTIONARY-6'!$A$4," ",UPPER('DICTIONARY-5'!$A$18)," ",'DICTIONARY-2'!$A$2,"350"," ",'DICTIONARY-2'!$A$3,"10"," ","R15",", ",'DICTIONARY-4'!$A$7)</f>
        <v>EKOplus Zasuwa z wrzec. wznosz. się GAZ DN350 PN10 R15, KR</v>
      </c>
      <c r="S2805" s="733" t="str">
        <f>'DICTIONARY-4'!$A$7</f>
        <v>KR</v>
      </c>
      <c r="T2805" s="732" t="str">
        <f>'DICTIONARY-4'!$A$23</f>
        <v>Kółko ręczne</v>
      </c>
      <c r="U2805" s="734" t="s">
        <v>5753</v>
      </c>
      <c r="V2805" s="735">
        <v>10</v>
      </c>
      <c r="W2805" s="736"/>
      <c r="X2805" s="737"/>
      <c r="Y2805" s="738"/>
      <c r="Z2805" s="739"/>
      <c r="AA2805" s="739"/>
      <c r="AB2805" s="740">
        <v>10</v>
      </c>
      <c r="AC2805" s="733" t="str">
        <f>'DICTIONARY-5'!$A$11&amp;" 15"</f>
        <v>EN 558 szereg 15</v>
      </c>
      <c r="AD2805" s="741" t="str">
        <f>'DICTIONARY-5'!$A$18</f>
        <v>gaz</v>
      </c>
      <c r="AE2805" s="742">
        <v>50</v>
      </c>
      <c r="AF2805" s="743"/>
      <c r="AG2805" s="741" t="str">
        <f>'DICTIONARY-5'!$A$23</f>
        <v>powłoka epoksydowa</v>
      </c>
    </row>
    <row r="2806" spans="1:33" x14ac:dyDescent="0.25">
      <c r="A2806" s="869" t="s">
        <v>2702</v>
      </c>
      <c r="B2806" s="869" t="str">
        <f>'DICTIONARY-5'!$A$2</f>
        <v>na zapytanie</v>
      </c>
      <c r="C2806" s="836" t="s">
        <v>5967</v>
      </c>
      <c r="D2806" s="836"/>
      <c r="E2806" s="836"/>
      <c r="F2806" s="836"/>
      <c r="G2806" s="496" t="s">
        <v>7852</v>
      </c>
      <c r="H2806" s="797" t="str">
        <f>VLOOKUP(G2806,SETTINGS!$B$7:$D$97,2,0)</f>
        <v>EKOplus Gas</v>
      </c>
      <c r="I2806" s="796">
        <f>VLOOKUP(G2806,SETTINGS!$B$7:$D$97,3,0)</f>
        <v>0</v>
      </c>
      <c r="J2806" s="670" t="str">
        <f>IFERROR(IF(CURRENCY.FORMAT_1=0,CONCATENATE(TEXT(FIXED(ROUND((C2806/EXC.RATE_1),CURRENCY.FORMAT_1),CURRENCY.FORMAT_1,1),"# ##0;-# ##0"),",-"),FIXED(ROUND((C2806/EXC.RATE_1),CURRENCY.FORMAT_1),CURRENCY.FORMAT_1,0)),'DICTIONARY-5'!$A$2)</f>
        <v>na zapytanie</v>
      </c>
      <c r="K2806" s="670" t="str">
        <f>IF(EXC.RATE_2=0,"",IFERROR(IF(CURRENCY.FORMAT_2=0,CONCATENATE(TEXT(FIXED(ROUND(IF(EXC.RATE.SWITCH=1,C2806/EXC.RATE_2,C2806*EXC.RATE_2),CURRENCY.FORMAT_2),CURRENCY.FORMAT_2,1),"# ##0;-# ##0"),",-"),FIXED(ROUND(IF(EXC.RATE.SWITCH=1,C2806/EXC.RATE_2,C2806*EXC.RATE_2),CURRENCY.FORMAT_2),CURRENCY.FORMAT_2,0)),'DICTIONARY-5'!$A$2))</f>
        <v/>
      </c>
      <c r="L2806" s="670" t="str">
        <f>IFERROR(IF(CURRENCY.FORMAT_1=0,CONCATENATE(TEXT(FIXED(ROUND((C2806*(1-I2806)*(1-ADD.DISCOUNT)*(1+MAT.SURCHARGE)/EXC.RATE_1),CURRENCY.FORMAT_1),CURRENCY.FORMAT_1,1),"# ##0;-# ##0"),",-"),FIXED(ROUND((C2806*(1-I2806)*(1-ADD.DISCOUNT)*(1+MAT.SURCHARGE)/EXC.RATE_1),CURRENCY.FORMAT_1),CURRENCY.FORMAT_1,0)),'DICTIONARY-5'!$A$2)</f>
        <v>na zapytanie</v>
      </c>
      <c r="M2806" s="670" t="str">
        <f>IF(EXC.RATE_2=0,"",IFERROR(IF(CURRENCY.FORMAT_2=0,CONCATENATE(TEXT(FIXED(ROUND(IF(EXC.RATE.SWITCH=1,C2806*(1-I2806)*(1-ADD.DISCOUNT)*(1+MAT.SURCHARGE)/EXC.RATE_2,C2806*(1-I2806)*(1-ADD.DISCOUNT)*(1+MAT.SURCHARGE)*EXC.RATE_2),CURRENCY.FORMAT_2),CURRENCY.FORMAT_2,1),"# ##0;-# ##0"),",-"),FIXED(ROUND(IF(EXC.RATE.SWITCH=1,C2806*(1-I2806)*(1-ADD.DISCOUNT)*(1+MAT.SURCHARGE)/EXC.RATE_2,C2806*(1-I2806)*(1-ADD.DISCOUNT)*(1+MAT.SURCHARGE)*EXC.RATE_2),CURRENCY.FORMAT_2),CURRENCY.FORMAT_2,0)),'DICTIONARY-5'!$A$2))</f>
        <v/>
      </c>
      <c r="N2806" s="535">
        <v>13</v>
      </c>
      <c r="O2806" s="535"/>
      <c r="P2806" s="731" t="str">
        <f>'DICTIONARY-3'!$A$2</f>
        <v>EKOplus</v>
      </c>
      <c r="Q2806" s="732" t="str">
        <f>'DICTIONARY-3'!$A$187</f>
        <v>Zasuwa klinowa</v>
      </c>
      <c r="R2806" s="732" t="str">
        <f>CONCATENATE('DICTIONARY-3'!$A$2," ",'DICTIONARY-6'!$A$4," ",UPPER('DICTIONARY-5'!$A$18)," ",'DICTIONARY-2'!$A$2,"400"," ",'DICTIONARY-2'!$A$3,"10"," ","R15",", ",'DICTIONARY-4'!$A$7)</f>
        <v>EKOplus Zasuwa z wrzec. wznosz. się GAZ DN400 PN10 R15, KR</v>
      </c>
      <c r="S2806" s="733" t="str">
        <f>'DICTIONARY-4'!$A$7</f>
        <v>KR</v>
      </c>
      <c r="T2806" s="732" t="str">
        <f>'DICTIONARY-4'!$A$23</f>
        <v>Kółko ręczne</v>
      </c>
      <c r="U2806" s="734" t="s">
        <v>5754</v>
      </c>
      <c r="V2806" s="735">
        <v>10</v>
      </c>
      <c r="W2806" s="736"/>
      <c r="X2806" s="737"/>
      <c r="Y2806" s="738"/>
      <c r="Z2806" s="739"/>
      <c r="AA2806" s="739"/>
      <c r="AB2806" s="740">
        <v>10</v>
      </c>
      <c r="AC2806" s="733" t="str">
        <f>'DICTIONARY-5'!$A$11&amp;" 15"</f>
        <v>EN 558 szereg 15</v>
      </c>
      <c r="AD2806" s="741" t="str">
        <f>'DICTIONARY-5'!$A$18</f>
        <v>gaz</v>
      </c>
      <c r="AE2806" s="742">
        <v>50</v>
      </c>
      <c r="AF2806" s="743"/>
      <c r="AG2806" s="741" t="str">
        <f>'DICTIONARY-5'!$A$23</f>
        <v>powłoka epoksydowa</v>
      </c>
    </row>
    <row r="2807" spans="1:33" x14ac:dyDescent="0.25">
      <c r="A2807" s="869" t="s">
        <v>2705</v>
      </c>
      <c r="B2807" s="869" t="str">
        <f>'DICTIONARY-5'!$A$2</f>
        <v>na zapytanie</v>
      </c>
      <c r="C2807" s="836" t="s">
        <v>5967</v>
      </c>
      <c r="D2807" s="836"/>
      <c r="E2807" s="836"/>
      <c r="F2807" s="836"/>
      <c r="G2807" s="496" t="s">
        <v>7852</v>
      </c>
      <c r="H2807" s="797" t="str">
        <f>VLOOKUP(G2807,SETTINGS!$B$7:$D$97,2,0)</f>
        <v>EKOplus Gas</v>
      </c>
      <c r="I2807" s="796">
        <f>VLOOKUP(G2807,SETTINGS!$B$7:$D$97,3,0)</f>
        <v>0</v>
      </c>
      <c r="J2807" s="670" t="str">
        <f>IFERROR(IF(CURRENCY.FORMAT_1=0,CONCATENATE(TEXT(FIXED(ROUND((C2807/EXC.RATE_1),CURRENCY.FORMAT_1),CURRENCY.FORMAT_1,1),"# ##0;-# ##0"),",-"),FIXED(ROUND((C2807/EXC.RATE_1),CURRENCY.FORMAT_1),CURRENCY.FORMAT_1,0)),'DICTIONARY-5'!$A$2)</f>
        <v>na zapytanie</v>
      </c>
      <c r="K2807" s="670" t="str">
        <f>IF(EXC.RATE_2=0,"",IFERROR(IF(CURRENCY.FORMAT_2=0,CONCATENATE(TEXT(FIXED(ROUND(IF(EXC.RATE.SWITCH=1,C2807/EXC.RATE_2,C2807*EXC.RATE_2),CURRENCY.FORMAT_2),CURRENCY.FORMAT_2,1),"# ##0;-# ##0"),",-"),FIXED(ROUND(IF(EXC.RATE.SWITCH=1,C2807/EXC.RATE_2,C2807*EXC.RATE_2),CURRENCY.FORMAT_2),CURRENCY.FORMAT_2,0)),'DICTIONARY-5'!$A$2))</f>
        <v/>
      </c>
      <c r="L2807" s="670" t="str">
        <f>IFERROR(IF(CURRENCY.FORMAT_1=0,CONCATENATE(TEXT(FIXED(ROUND((C2807*(1-I2807)*(1-ADD.DISCOUNT)*(1+MAT.SURCHARGE)/EXC.RATE_1),CURRENCY.FORMAT_1),CURRENCY.FORMAT_1,1),"# ##0;-# ##0"),",-"),FIXED(ROUND((C2807*(1-I2807)*(1-ADD.DISCOUNT)*(1+MAT.SURCHARGE)/EXC.RATE_1),CURRENCY.FORMAT_1),CURRENCY.FORMAT_1,0)),'DICTIONARY-5'!$A$2)</f>
        <v>na zapytanie</v>
      </c>
      <c r="M2807" s="670" t="str">
        <f>IF(EXC.RATE_2=0,"",IFERROR(IF(CURRENCY.FORMAT_2=0,CONCATENATE(TEXT(FIXED(ROUND(IF(EXC.RATE.SWITCH=1,C2807*(1-I2807)*(1-ADD.DISCOUNT)*(1+MAT.SURCHARGE)/EXC.RATE_2,C2807*(1-I2807)*(1-ADD.DISCOUNT)*(1+MAT.SURCHARGE)*EXC.RATE_2),CURRENCY.FORMAT_2),CURRENCY.FORMAT_2,1),"# ##0;-# ##0"),",-"),FIXED(ROUND(IF(EXC.RATE.SWITCH=1,C2807*(1-I2807)*(1-ADD.DISCOUNT)*(1+MAT.SURCHARGE)/EXC.RATE_2,C2807*(1-I2807)*(1-ADD.DISCOUNT)*(1+MAT.SURCHARGE)*EXC.RATE_2),CURRENCY.FORMAT_2),CURRENCY.FORMAT_2,0)),'DICTIONARY-5'!$A$2))</f>
        <v/>
      </c>
      <c r="N2807" s="535">
        <v>13</v>
      </c>
      <c r="O2807" s="535"/>
      <c r="P2807" s="731" t="str">
        <f>'DICTIONARY-3'!$A$2</f>
        <v>EKOplus</v>
      </c>
      <c r="Q2807" s="732" t="str">
        <f>'DICTIONARY-3'!$A$187</f>
        <v>Zasuwa klinowa</v>
      </c>
      <c r="R2807" s="732" t="str">
        <f>CONCATENATE('DICTIONARY-3'!$A$2," ",'DICTIONARY-6'!$A$4," ",UPPER('DICTIONARY-5'!$A$18)," ",'DICTIONARY-2'!$A$2,"500"," ",'DICTIONARY-2'!$A$3,"10"," ","R15",", ",'DICTIONARY-4'!$A$7)</f>
        <v>EKOplus Zasuwa z wrzec. wznosz. się GAZ DN500 PN10 R15, KR</v>
      </c>
      <c r="S2807" s="733" t="str">
        <f>'DICTIONARY-4'!$A$7</f>
        <v>KR</v>
      </c>
      <c r="T2807" s="732" t="str">
        <f>'DICTIONARY-4'!$A$23</f>
        <v>Kółko ręczne</v>
      </c>
      <c r="U2807" s="734" t="s">
        <v>5756</v>
      </c>
      <c r="V2807" s="735">
        <v>10</v>
      </c>
      <c r="W2807" s="736"/>
      <c r="X2807" s="737"/>
      <c r="Y2807" s="738"/>
      <c r="Z2807" s="739"/>
      <c r="AA2807" s="739"/>
      <c r="AB2807" s="740">
        <v>10</v>
      </c>
      <c r="AC2807" s="733" t="str">
        <f>'DICTIONARY-5'!$A$11&amp;" 15"</f>
        <v>EN 558 szereg 15</v>
      </c>
      <c r="AD2807" s="741" t="str">
        <f>'DICTIONARY-5'!$A$18</f>
        <v>gaz</v>
      </c>
      <c r="AE2807" s="742">
        <v>50</v>
      </c>
      <c r="AF2807" s="743"/>
      <c r="AG2807" s="741" t="str">
        <f>'DICTIONARY-5'!$A$23</f>
        <v>powłoka epoksydowa</v>
      </c>
    </row>
    <row r="2808" spans="1:33" x14ac:dyDescent="0.25">
      <c r="A2808" s="869" t="s">
        <v>2707</v>
      </c>
      <c r="B2808" s="869" t="s">
        <v>3674</v>
      </c>
      <c r="C2808" s="836">
        <v>1200</v>
      </c>
      <c r="D2808" s="836"/>
      <c r="E2808" s="836"/>
      <c r="F2808" s="836"/>
      <c r="G2808" s="496" t="s">
        <v>7830</v>
      </c>
      <c r="H2808" s="797" t="str">
        <f>VLOOKUP(G2808,SETTINGS!$B$7:$D$97,2,0)</f>
        <v>EKN (≤DN600)</v>
      </c>
      <c r="I2808" s="796">
        <f>VLOOKUP(G2808,SETTINGS!$B$7:$D$97,3,0)</f>
        <v>0</v>
      </c>
      <c r="J2808" s="670" t="str">
        <f>IFERROR(IF(CURRENCY.FORMAT_1=0,CONCATENATE(TEXT(FIXED(ROUND((C2808/EXC.RATE_1),CURRENCY.FORMAT_1),CURRENCY.FORMAT_1,1),"# ##0;-# ##0"),",-"),FIXED(ROUND((C2808/EXC.RATE_1),CURRENCY.FORMAT_1),CURRENCY.FORMAT_1,0)),'DICTIONARY-5'!$A$2)</f>
        <v>1 200,-</v>
      </c>
      <c r="K2808" s="670" t="str">
        <f>IF(EXC.RATE_2=0,"",IFERROR(IF(CURRENCY.FORMAT_2=0,CONCATENATE(TEXT(FIXED(ROUND(IF(EXC.RATE.SWITCH=1,C2808/EXC.RATE_2,C2808*EXC.RATE_2),CURRENCY.FORMAT_2),CURRENCY.FORMAT_2,1),"# ##0;-# ##0"),",-"),FIXED(ROUND(IF(EXC.RATE.SWITCH=1,C2808/EXC.RATE_2,C2808*EXC.RATE_2),CURRENCY.FORMAT_2),CURRENCY.FORMAT_2,0)),'DICTIONARY-5'!$A$2))</f>
        <v/>
      </c>
      <c r="L2808" s="670" t="str">
        <f>IFERROR(IF(CURRENCY.FORMAT_1=0,CONCATENATE(TEXT(FIXED(ROUND((C2808*(1-I2808)*(1-ADD.DISCOUNT)*(1+MAT.SURCHARGE)/EXC.RATE_1),CURRENCY.FORMAT_1),CURRENCY.FORMAT_1,1),"# ##0;-# ##0"),",-"),FIXED(ROUND((C2808*(1-I2808)*(1-ADD.DISCOUNT)*(1+MAT.SURCHARGE)/EXC.RATE_1),CURRENCY.FORMAT_1),CURRENCY.FORMAT_1,0)),'DICTIONARY-5'!$A$2)</f>
        <v>1 247,-</v>
      </c>
      <c r="M2808" s="670" t="str">
        <f>IF(EXC.RATE_2=0,"",IFERROR(IF(CURRENCY.FORMAT_2=0,CONCATENATE(TEXT(FIXED(ROUND(IF(EXC.RATE.SWITCH=1,C2808*(1-I2808)*(1-ADD.DISCOUNT)*(1+MAT.SURCHARGE)/EXC.RATE_2,C2808*(1-I2808)*(1-ADD.DISCOUNT)*(1+MAT.SURCHARGE)*EXC.RATE_2),CURRENCY.FORMAT_2),CURRENCY.FORMAT_2,1),"# ##0;-# ##0"),",-"),FIXED(ROUND(IF(EXC.RATE.SWITCH=1,C2808*(1-I2808)*(1-ADD.DISCOUNT)*(1+MAT.SURCHARGE)/EXC.RATE_2,C2808*(1-I2808)*(1-ADD.DISCOUNT)*(1+MAT.SURCHARGE)*EXC.RATE_2),CURRENCY.FORMAT_2),CURRENCY.FORMAT_2,0)),'DICTIONARY-5'!$A$2))</f>
        <v/>
      </c>
      <c r="N2808" s="535">
        <v>13</v>
      </c>
      <c r="O2808" s="535"/>
      <c r="P2808" s="732" t="str">
        <f>'DICTIONARY-3'!$A$146</f>
        <v>EKN M</v>
      </c>
      <c r="Q2808" s="732" t="str">
        <f>'DICTIONARY-3'!$A$204</f>
        <v>Przepustnica kołnierzowa</v>
      </c>
      <c r="R2808" s="732" t="str">
        <f>CONCATENATE('DICTIONARY-3'!$A$146," ",'DICTIONARY-6'!$A$2," ",UPPER('DICTIONARY-5'!$A$18)," ",'DICTIONARY-2'!$A$2,"100"," ",'DICTIONARY-2'!$A$3,"10/16"," ","R14",", ",'DICTIONARY-4'!$A$9," GSP4462N L 6803HR PG3 d16 (",'DICTIONARY-5'!$A$7," ",'DICTIONARY-4'!$A$7," ","250)")</f>
        <v>EKN M Przep. kołnierz. GAZ DN100 PN10/16 R14, PWW GSP4462N L 6803HR PG3 d16 (dla KR 250)</v>
      </c>
      <c r="S2808" s="733" t="str">
        <f>'DICTIONARY-4'!$A$9</f>
        <v>PWW</v>
      </c>
      <c r="T2808" s="732" t="str">
        <f>'DICTIONARY-4'!$A$25</f>
        <v>Przekładnia z wolnym wałkiem</v>
      </c>
      <c r="U2808" s="734" t="s">
        <v>5749</v>
      </c>
      <c r="V2808" s="735">
        <v>16</v>
      </c>
      <c r="W2808" s="736"/>
      <c r="X2808" s="737"/>
      <c r="Y2808" s="738"/>
      <c r="Z2808" s="739"/>
      <c r="AA2808" s="739"/>
      <c r="AB2808" s="740">
        <v>16</v>
      </c>
      <c r="AC2808" s="741" t="str">
        <f>'DICTIONARY-5'!$A$11&amp;" 14"</f>
        <v>EN 558 szereg 14</v>
      </c>
      <c r="AD2808" s="741" t="str">
        <f>'DICTIONARY-5'!$A$18</f>
        <v>gaz</v>
      </c>
      <c r="AE2808" s="742">
        <v>50</v>
      </c>
      <c r="AF2808" s="743">
        <v>21</v>
      </c>
      <c r="AG2808" s="741" t="str">
        <f>'DICTIONARY-5'!$A$23</f>
        <v>powłoka epoksydowa</v>
      </c>
    </row>
    <row r="2809" spans="1:33" x14ac:dyDescent="0.25">
      <c r="A2809" s="869" t="s">
        <v>2708</v>
      </c>
      <c r="B2809" s="869" t="s">
        <v>2968</v>
      </c>
      <c r="C2809" s="836">
        <v>1492</v>
      </c>
      <c r="D2809" s="836"/>
      <c r="E2809" s="836"/>
      <c r="F2809" s="836"/>
      <c r="G2809" s="496" t="s">
        <v>7830</v>
      </c>
      <c r="H2809" s="797" t="str">
        <f>VLOOKUP(G2809,SETTINGS!$B$7:$D$97,2,0)</f>
        <v>EKN (≤DN600)</v>
      </c>
      <c r="I2809" s="796">
        <f>VLOOKUP(G2809,SETTINGS!$B$7:$D$97,3,0)</f>
        <v>0</v>
      </c>
      <c r="J2809" s="670" t="str">
        <f>IFERROR(IF(CURRENCY.FORMAT_1=0,CONCATENATE(TEXT(FIXED(ROUND((C2809/EXC.RATE_1),CURRENCY.FORMAT_1),CURRENCY.FORMAT_1,1),"# ##0;-# ##0"),",-"),FIXED(ROUND((C2809/EXC.RATE_1),CURRENCY.FORMAT_1),CURRENCY.FORMAT_1,0)),'DICTIONARY-5'!$A$2)</f>
        <v>1 492,-</v>
      </c>
      <c r="K2809" s="670" t="str">
        <f>IF(EXC.RATE_2=0,"",IFERROR(IF(CURRENCY.FORMAT_2=0,CONCATENATE(TEXT(FIXED(ROUND(IF(EXC.RATE.SWITCH=1,C2809/EXC.RATE_2,C2809*EXC.RATE_2),CURRENCY.FORMAT_2),CURRENCY.FORMAT_2,1),"# ##0;-# ##0"),",-"),FIXED(ROUND(IF(EXC.RATE.SWITCH=1,C2809/EXC.RATE_2,C2809*EXC.RATE_2),CURRENCY.FORMAT_2),CURRENCY.FORMAT_2,0)),'DICTIONARY-5'!$A$2))</f>
        <v/>
      </c>
      <c r="L2809" s="670" t="str">
        <f>IFERROR(IF(CURRENCY.FORMAT_1=0,CONCATENATE(TEXT(FIXED(ROUND((C2809*(1-I2809)*(1-ADD.DISCOUNT)*(1+MAT.SURCHARGE)/EXC.RATE_1),CURRENCY.FORMAT_1),CURRENCY.FORMAT_1,1),"# ##0;-# ##0"),",-"),FIXED(ROUND((C2809*(1-I2809)*(1-ADD.DISCOUNT)*(1+MAT.SURCHARGE)/EXC.RATE_1),CURRENCY.FORMAT_1),CURRENCY.FORMAT_1,0)),'DICTIONARY-5'!$A$2)</f>
        <v>1 550,-</v>
      </c>
      <c r="M2809" s="670" t="str">
        <f>IF(EXC.RATE_2=0,"",IFERROR(IF(CURRENCY.FORMAT_2=0,CONCATENATE(TEXT(FIXED(ROUND(IF(EXC.RATE.SWITCH=1,C2809*(1-I2809)*(1-ADD.DISCOUNT)*(1+MAT.SURCHARGE)/EXC.RATE_2,C2809*(1-I2809)*(1-ADD.DISCOUNT)*(1+MAT.SURCHARGE)*EXC.RATE_2),CURRENCY.FORMAT_2),CURRENCY.FORMAT_2,1),"# ##0;-# ##0"),",-"),FIXED(ROUND(IF(EXC.RATE.SWITCH=1,C2809*(1-I2809)*(1-ADD.DISCOUNT)*(1+MAT.SURCHARGE)/EXC.RATE_2,C2809*(1-I2809)*(1-ADD.DISCOUNT)*(1+MAT.SURCHARGE)*EXC.RATE_2),CURRENCY.FORMAT_2),CURRENCY.FORMAT_2,0)),'DICTIONARY-5'!$A$2))</f>
        <v/>
      </c>
      <c r="N2809" s="535">
        <v>13</v>
      </c>
      <c r="O2809" s="535"/>
      <c r="P2809" s="732" t="str">
        <f>'DICTIONARY-3'!$A$146</f>
        <v>EKN M</v>
      </c>
      <c r="Q2809" s="732" t="str">
        <f>'DICTIONARY-3'!$A$204</f>
        <v>Przepustnica kołnierzowa</v>
      </c>
      <c r="R2809" s="732" t="str">
        <f>CONCATENATE('DICTIONARY-3'!$A$146," ",'DICTIONARY-6'!$A$2," ",UPPER('DICTIONARY-5'!$A$18)," ",'DICTIONARY-2'!$A$2,"150"," ",'DICTIONARY-2'!$A$3,"10/16"," ","R14",", ",'DICTIONARY-4'!$A$9," GGP4021N L 6803HR PG3 d16 (",'DICTIONARY-5'!$A$7," ",'DICTIONARY-4'!$A$7," ","250)")</f>
        <v>EKN M Przep. kołnierz. GAZ DN150 PN10/16 R14, PWW GGP4021N L 6803HR PG3 d16 (dla KR 250)</v>
      </c>
      <c r="S2809" s="733" t="str">
        <f>'DICTIONARY-4'!$A$9</f>
        <v>PWW</v>
      </c>
      <c r="T2809" s="732" t="str">
        <f>'DICTIONARY-4'!$A$25</f>
        <v>Przekładnia z wolnym wałkiem</v>
      </c>
      <c r="U2809" s="734" t="s">
        <v>5572</v>
      </c>
      <c r="V2809" s="735">
        <v>16</v>
      </c>
      <c r="W2809" s="736"/>
      <c r="X2809" s="737"/>
      <c r="Y2809" s="738"/>
      <c r="Z2809" s="739"/>
      <c r="AA2809" s="739"/>
      <c r="AB2809" s="740">
        <v>16</v>
      </c>
      <c r="AC2809" s="741" t="str">
        <f>'DICTIONARY-5'!$A$11&amp;" 14"</f>
        <v>EN 558 szereg 14</v>
      </c>
      <c r="AD2809" s="741" t="str">
        <f>'DICTIONARY-5'!$A$18</f>
        <v>gaz</v>
      </c>
      <c r="AE2809" s="742">
        <v>50</v>
      </c>
      <c r="AF2809" s="743">
        <v>37</v>
      </c>
      <c r="AG2809" s="741" t="str">
        <f>'DICTIONARY-5'!$A$23</f>
        <v>powłoka epoksydowa</v>
      </c>
    </row>
    <row r="2810" spans="1:33" x14ac:dyDescent="0.25">
      <c r="A2810" s="869" t="s">
        <v>2709</v>
      </c>
      <c r="B2810" s="869" t="s">
        <v>2969</v>
      </c>
      <c r="C2810" s="836">
        <v>1593</v>
      </c>
      <c r="D2810" s="836"/>
      <c r="E2810" s="836"/>
      <c r="F2810" s="836"/>
      <c r="G2810" s="496" t="s">
        <v>7830</v>
      </c>
      <c r="H2810" s="797" t="str">
        <f>VLOOKUP(G2810,SETTINGS!$B$7:$D$97,2,0)</f>
        <v>EKN (≤DN600)</v>
      </c>
      <c r="I2810" s="796">
        <f>VLOOKUP(G2810,SETTINGS!$B$7:$D$97,3,0)</f>
        <v>0</v>
      </c>
      <c r="J2810" s="670" t="str">
        <f>IFERROR(IF(CURRENCY.FORMAT_1=0,CONCATENATE(TEXT(FIXED(ROUND((C2810/EXC.RATE_1),CURRENCY.FORMAT_1),CURRENCY.FORMAT_1,1),"# ##0;-# ##0"),",-"),FIXED(ROUND((C2810/EXC.RATE_1),CURRENCY.FORMAT_1),CURRENCY.FORMAT_1,0)),'DICTIONARY-5'!$A$2)</f>
        <v>1 593,-</v>
      </c>
      <c r="K2810" s="670" t="str">
        <f>IF(EXC.RATE_2=0,"",IFERROR(IF(CURRENCY.FORMAT_2=0,CONCATENATE(TEXT(FIXED(ROUND(IF(EXC.RATE.SWITCH=1,C2810/EXC.RATE_2,C2810*EXC.RATE_2),CURRENCY.FORMAT_2),CURRENCY.FORMAT_2,1),"# ##0;-# ##0"),",-"),FIXED(ROUND(IF(EXC.RATE.SWITCH=1,C2810/EXC.RATE_2,C2810*EXC.RATE_2),CURRENCY.FORMAT_2),CURRENCY.FORMAT_2,0)),'DICTIONARY-5'!$A$2))</f>
        <v/>
      </c>
      <c r="L2810" s="670" t="str">
        <f>IFERROR(IF(CURRENCY.FORMAT_1=0,CONCATENATE(TEXT(FIXED(ROUND((C2810*(1-I2810)*(1-ADD.DISCOUNT)*(1+MAT.SURCHARGE)/EXC.RATE_1),CURRENCY.FORMAT_1),CURRENCY.FORMAT_1,1),"# ##0;-# ##0"),",-"),FIXED(ROUND((C2810*(1-I2810)*(1-ADD.DISCOUNT)*(1+MAT.SURCHARGE)/EXC.RATE_1),CURRENCY.FORMAT_1),CURRENCY.FORMAT_1,0)),'DICTIONARY-5'!$A$2)</f>
        <v>1 655,-</v>
      </c>
      <c r="M2810" s="670" t="str">
        <f>IF(EXC.RATE_2=0,"",IFERROR(IF(CURRENCY.FORMAT_2=0,CONCATENATE(TEXT(FIXED(ROUND(IF(EXC.RATE.SWITCH=1,C2810*(1-I2810)*(1-ADD.DISCOUNT)*(1+MAT.SURCHARGE)/EXC.RATE_2,C2810*(1-I2810)*(1-ADD.DISCOUNT)*(1+MAT.SURCHARGE)*EXC.RATE_2),CURRENCY.FORMAT_2),CURRENCY.FORMAT_2,1),"# ##0;-# ##0"),",-"),FIXED(ROUND(IF(EXC.RATE.SWITCH=1,C2810*(1-I2810)*(1-ADD.DISCOUNT)*(1+MAT.SURCHARGE)/EXC.RATE_2,C2810*(1-I2810)*(1-ADD.DISCOUNT)*(1+MAT.SURCHARGE)*EXC.RATE_2),CURRENCY.FORMAT_2),CURRENCY.FORMAT_2,0)),'DICTIONARY-5'!$A$2))</f>
        <v/>
      </c>
      <c r="N2810" s="535">
        <v>13</v>
      </c>
      <c r="O2810" s="535"/>
      <c r="P2810" s="732" t="str">
        <f>'DICTIONARY-3'!$A$146</f>
        <v>EKN M</v>
      </c>
      <c r="Q2810" s="732" t="str">
        <f>'DICTIONARY-3'!$A$204</f>
        <v>Przepustnica kołnierzowa</v>
      </c>
      <c r="R2810" s="732" t="str">
        <f>CONCATENATE('DICTIONARY-3'!$A$146," ",'DICTIONARY-6'!$A$2," ",UPPER('DICTIONARY-5'!$A$18)," ",'DICTIONARY-2'!$A$2,"200"," ",'DICTIONARY-2'!$A$3,"10"," ","R14",", ",'DICTIONARY-4'!$A$9," GGP4021N L 6803HR PG3 d16 (",'DICTIONARY-5'!$A$7," ",'DICTIONARY-4'!$A$7," ","250)")</f>
        <v>EKN M Przep. kołnierz. GAZ DN200 PN10 R14, PWW GGP4021N L 6803HR PG3 d16 (dla KR 250)</v>
      </c>
      <c r="S2810" s="733" t="str">
        <f>'DICTIONARY-4'!$A$9</f>
        <v>PWW</v>
      </c>
      <c r="T2810" s="732" t="str">
        <f>'DICTIONARY-4'!$A$25</f>
        <v>Przekładnia z wolnym wałkiem</v>
      </c>
      <c r="U2810" s="734" t="s">
        <v>5750</v>
      </c>
      <c r="V2810" s="735">
        <v>10</v>
      </c>
      <c r="W2810" s="736"/>
      <c r="X2810" s="737"/>
      <c r="Y2810" s="738"/>
      <c r="Z2810" s="739"/>
      <c r="AA2810" s="739"/>
      <c r="AB2810" s="740">
        <v>10</v>
      </c>
      <c r="AC2810" s="741" t="str">
        <f>'DICTIONARY-5'!$A$11&amp;" 14"</f>
        <v>EN 558 szereg 14</v>
      </c>
      <c r="AD2810" s="741" t="str">
        <f>'DICTIONARY-5'!$A$18</f>
        <v>gaz</v>
      </c>
      <c r="AE2810" s="742">
        <v>50</v>
      </c>
      <c r="AF2810" s="743">
        <v>45.5</v>
      </c>
      <c r="AG2810" s="741" t="str">
        <f>'DICTIONARY-5'!$A$23</f>
        <v>powłoka epoksydowa</v>
      </c>
    </row>
    <row r="2811" spans="1:33" x14ac:dyDescent="0.25">
      <c r="A2811" s="869" t="s">
        <v>2717</v>
      </c>
      <c r="B2811" s="869" t="s">
        <v>2970</v>
      </c>
      <c r="C2811" s="836">
        <v>1596</v>
      </c>
      <c r="D2811" s="836"/>
      <c r="E2811" s="836"/>
      <c r="F2811" s="836"/>
      <c r="G2811" s="496" t="s">
        <v>7830</v>
      </c>
      <c r="H2811" s="797" t="str">
        <f>VLOOKUP(G2811,SETTINGS!$B$7:$D$97,2,0)</f>
        <v>EKN (≤DN600)</v>
      </c>
      <c r="I2811" s="796">
        <f>VLOOKUP(G2811,SETTINGS!$B$7:$D$97,3,0)</f>
        <v>0</v>
      </c>
      <c r="J2811" s="670" t="str">
        <f>IFERROR(IF(CURRENCY.FORMAT_1=0,CONCATENATE(TEXT(FIXED(ROUND((C2811/EXC.RATE_1),CURRENCY.FORMAT_1),CURRENCY.FORMAT_1,1),"# ##0;-# ##0"),",-"),FIXED(ROUND((C2811/EXC.RATE_1),CURRENCY.FORMAT_1),CURRENCY.FORMAT_1,0)),'DICTIONARY-5'!$A$2)</f>
        <v>1 596,-</v>
      </c>
      <c r="K2811" s="670" t="str">
        <f>IF(EXC.RATE_2=0,"",IFERROR(IF(CURRENCY.FORMAT_2=0,CONCATENATE(TEXT(FIXED(ROUND(IF(EXC.RATE.SWITCH=1,C2811/EXC.RATE_2,C2811*EXC.RATE_2),CURRENCY.FORMAT_2),CURRENCY.FORMAT_2,1),"# ##0;-# ##0"),",-"),FIXED(ROUND(IF(EXC.RATE.SWITCH=1,C2811/EXC.RATE_2,C2811*EXC.RATE_2),CURRENCY.FORMAT_2),CURRENCY.FORMAT_2,0)),'DICTIONARY-5'!$A$2))</f>
        <v/>
      </c>
      <c r="L2811" s="670" t="str">
        <f>IFERROR(IF(CURRENCY.FORMAT_1=0,CONCATENATE(TEXT(FIXED(ROUND((C2811*(1-I2811)*(1-ADD.DISCOUNT)*(1+MAT.SURCHARGE)/EXC.RATE_1),CURRENCY.FORMAT_1),CURRENCY.FORMAT_1,1),"# ##0;-# ##0"),",-"),FIXED(ROUND((C2811*(1-I2811)*(1-ADD.DISCOUNT)*(1+MAT.SURCHARGE)/EXC.RATE_1),CURRENCY.FORMAT_1),CURRENCY.FORMAT_1,0)),'DICTIONARY-5'!$A$2)</f>
        <v>1 658,-</v>
      </c>
      <c r="M2811" s="670" t="str">
        <f>IF(EXC.RATE_2=0,"",IFERROR(IF(CURRENCY.FORMAT_2=0,CONCATENATE(TEXT(FIXED(ROUND(IF(EXC.RATE.SWITCH=1,C2811*(1-I2811)*(1-ADD.DISCOUNT)*(1+MAT.SURCHARGE)/EXC.RATE_2,C2811*(1-I2811)*(1-ADD.DISCOUNT)*(1+MAT.SURCHARGE)*EXC.RATE_2),CURRENCY.FORMAT_2),CURRENCY.FORMAT_2,1),"# ##0;-# ##0"),",-"),FIXED(ROUND(IF(EXC.RATE.SWITCH=1,C2811*(1-I2811)*(1-ADD.DISCOUNT)*(1+MAT.SURCHARGE)/EXC.RATE_2,C2811*(1-I2811)*(1-ADD.DISCOUNT)*(1+MAT.SURCHARGE)*EXC.RATE_2),CURRENCY.FORMAT_2),CURRENCY.FORMAT_2,0)),'DICTIONARY-5'!$A$2))</f>
        <v/>
      </c>
      <c r="N2811" s="535">
        <v>13</v>
      </c>
      <c r="O2811" s="535"/>
      <c r="P2811" s="732" t="str">
        <f>'DICTIONARY-3'!$A$146</f>
        <v>EKN M</v>
      </c>
      <c r="Q2811" s="732" t="str">
        <f>'DICTIONARY-3'!$A$204</f>
        <v>Przepustnica kołnierzowa</v>
      </c>
      <c r="R2811" s="732" t="str">
        <f>CONCATENATE('DICTIONARY-3'!$A$146," ",'DICTIONARY-6'!$A$2," ",UPPER('DICTIONARY-5'!$A$18)," ",'DICTIONARY-2'!$A$2,"200"," ",'DICTIONARY-2'!$A$3,"16"," ","R14",", ",'DICTIONARY-4'!$A$9," GGP4021N L 6803HR PG3 d16 (",'DICTIONARY-5'!$A$7," ",'DICTIONARY-4'!$A$7," ","250)")</f>
        <v>EKN M Przep. kołnierz. GAZ DN200 PN16 R14, PWW GGP4021N L 6803HR PG3 d16 (dla KR 250)</v>
      </c>
      <c r="S2811" s="733" t="str">
        <f>'DICTIONARY-4'!$A$9</f>
        <v>PWW</v>
      </c>
      <c r="T2811" s="732" t="str">
        <f>'DICTIONARY-4'!$A$25</f>
        <v>Przekładnia z wolnym wałkiem</v>
      </c>
      <c r="U2811" s="734" t="s">
        <v>5750</v>
      </c>
      <c r="V2811" s="735">
        <v>16</v>
      </c>
      <c r="W2811" s="736"/>
      <c r="X2811" s="737"/>
      <c r="Y2811" s="738"/>
      <c r="Z2811" s="739"/>
      <c r="AA2811" s="739"/>
      <c r="AB2811" s="740">
        <v>16</v>
      </c>
      <c r="AC2811" s="741" t="str">
        <f>'DICTIONARY-5'!$A$11&amp;" 14"</f>
        <v>EN 558 szereg 14</v>
      </c>
      <c r="AD2811" s="741" t="str">
        <f>'DICTIONARY-5'!$A$18</f>
        <v>gaz</v>
      </c>
      <c r="AE2811" s="742">
        <v>50</v>
      </c>
      <c r="AF2811" s="743">
        <v>45</v>
      </c>
      <c r="AG2811" s="741" t="str">
        <f>'DICTIONARY-5'!$A$23</f>
        <v>powłoka epoksydowa</v>
      </c>
    </row>
    <row r="2812" spans="1:33" x14ac:dyDescent="0.25">
      <c r="A2812" s="869" t="s">
        <v>2710</v>
      </c>
      <c r="B2812" s="869" t="s">
        <v>2971</v>
      </c>
      <c r="C2812" s="836">
        <v>1807</v>
      </c>
      <c r="D2812" s="836"/>
      <c r="E2812" s="836"/>
      <c r="F2812" s="836"/>
      <c r="G2812" s="496" t="s">
        <v>7830</v>
      </c>
      <c r="H2812" s="797" t="str">
        <f>VLOOKUP(G2812,SETTINGS!$B$7:$D$97,2,0)</f>
        <v>EKN (≤DN600)</v>
      </c>
      <c r="I2812" s="796">
        <f>VLOOKUP(G2812,SETTINGS!$B$7:$D$97,3,0)</f>
        <v>0</v>
      </c>
      <c r="J2812" s="670" t="str">
        <f>IFERROR(IF(CURRENCY.FORMAT_1=0,CONCATENATE(TEXT(FIXED(ROUND((C2812/EXC.RATE_1),CURRENCY.FORMAT_1),CURRENCY.FORMAT_1,1),"# ##0;-# ##0"),",-"),FIXED(ROUND((C2812/EXC.RATE_1),CURRENCY.FORMAT_1),CURRENCY.FORMAT_1,0)),'DICTIONARY-5'!$A$2)</f>
        <v>1 807,-</v>
      </c>
      <c r="K2812" s="670" t="str">
        <f>IF(EXC.RATE_2=0,"",IFERROR(IF(CURRENCY.FORMAT_2=0,CONCATENATE(TEXT(FIXED(ROUND(IF(EXC.RATE.SWITCH=1,C2812/EXC.RATE_2,C2812*EXC.RATE_2),CURRENCY.FORMAT_2),CURRENCY.FORMAT_2,1),"# ##0;-# ##0"),",-"),FIXED(ROUND(IF(EXC.RATE.SWITCH=1,C2812/EXC.RATE_2,C2812*EXC.RATE_2),CURRENCY.FORMAT_2),CURRENCY.FORMAT_2,0)),'DICTIONARY-5'!$A$2))</f>
        <v/>
      </c>
      <c r="L2812" s="670" t="str">
        <f>IFERROR(IF(CURRENCY.FORMAT_1=0,CONCATENATE(TEXT(FIXED(ROUND((C2812*(1-I2812)*(1-ADD.DISCOUNT)*(1+MAT.SURCHARGE)/EXC.RATE_1),CURRENCY.FORMAT_1),CURRENCY.FORMAT_1,1),"# ##0;-# ##0"),",-"),FIXED(ROUND((C2812*(1-I2812)*(1-ADD.DISCOUNT)*(1+MAT.SURCHARGE)/EXC.RATE_1),CURRENCY.FORMAT_1),CURRENCY.FORMAT_1,0)),'DICTIONARY-5'!$A$2)</f>
        <v>1 877,-</v>
      </c>
      <c r="M2812" s="670" t="str">
        <f>IF(EXC.RATE_2=0,"",IFERROR(IF(CURRENCY.FORMAT_2=0,CONCATENATE(TEXT(FIXED(ROUND(IF(EXC.RATE.SWITCH=1,C2812*(1-I2812)*(1-ADD.DISCOUNT)*(1+MAT.SURCHARGE)/EXC.RATE_2,C2812*(1-I2812)*(1-ADD.DISCOUNT)*(1+MAT.SURCHARGE)*EXC.RATE_2),CURRENCY.FORMAT_2),CURRENCY.FORMAT_2,1),"# ##0;-# ##0"),",-"),FIXED(ROUND(IF(EXC.RATE.SWITCH=1,C2812*(1-I2812)*(1-ADD.DISCOUNT)*(1+MAT.SURCHARGE)/EXC.RATE_2,C2812*(1-I2812)*(1-ADD.DISCOUNT)*(1+MAT.SURCHARGE)*EXC.RATE_2),CURRENCY.FORMAT_2),CURRENCY.FORMAT_2,0)),'DICTIONARY-5'!$A$2))</f>
        <v/>
      </c>
      <c r="N2812" s="535">
        <v>13</v>
      </c>
      <c r="O2812" s="535"/>
      <c r="P2812" s="732" t="str">
        <f>'DICTIONARY-3'!$A$146</f>
        <v>EKN M</v>
      </c>
      <c r="Q2812" s="732" t="str">
        <f>'DICTIONARY-3'!$A$204</f>
        <v>Przepustnica kołnierzowa</v>
      </c>
      <c r="R2812" s="732" t="str">
        <f>CONCATENATE('DICTIONARY-3'!$A$146," ",'DICTIONARY-6'!$A$2," ",UPPER('DICTIONARY-5'!$A$18)," ",'DICTIONARY-2'!$A$2,"250"," ",'DICTIONARY-2'!$A$3,"10"," ","R14",", ",'DICTIONARY-4'!$A$9," GGP4021N L 6803HR PG3 d16 (",'DICTIONARY-5'!$A$7," ",'DICTIONARY-4'!$A$7," ","250)")</f>
        <v>EKN M Przep. kołnierz. GAZ DN250 PN10 R14, PWW GGP4021N L 6803HR PG3 d16 (dla KR 250)</v>
      </c>
      <c r="S2812" s="733" t="str">
        <f>'DICTIONARY-4'!$A$9</f>
        <v>PWW</v>
      </c>
      <c r="T2812" s="732" t="str">
        <f>'DICTIONARY-4'!$A$25</f>
        <v>Przekładnia z wolnym wałkiem</v>
      </c>
      <c r="U2812" s="734" t="s">
        <v>5751</v>
      </c>
      <c r="V2812" s="735">
        <v>10</v>
      </c>
      <c r="W2812" s="736"/>
      <c r="X2812" s="737"/>
      <c r="Y2812" s="738"/>
      <c r="Z2812" s="739"/>
      <c r="AA2812" s="739"/>
      <c r="AB2812" s="740">
        <v>10</v>
      </c>
      <c r="AC2812" s="741" t="str">
        <f>'DICTIONARY-5'!$A$11&amp;" 14"</f>
        <v>EN 558 szereg 14</v>
      </c>
      <c r="AD2812" s="741" t="str">
        <f>'DICTIONARY-5'!$A$18</f>
        <v>gaz</v>
      </c>
      <c r="AE2812" s="742">
        <v>50</v>
      </c>
      <c r="AF2812" s="743">
        <v>60</v>
      </c>
      <c r="AG2812" s="741" t="str">
        <f>'DICTIONARY-5'!$A$23</f>
        <v>powłoka epoksydowa</v>
      </c>
    </row>
    <row r="2813" spans="1:33" x14ac:dyDescent="0.25">
      <c r="A2813" s="869" t="s">
        <v>2718</v>
      </c>
      <c r="B2813" s="869" t="str">
        <f>'DICTIONARY-5'!$A$2</f>
        <v>na zapytanie</v>
      </c>
      <c r="C2813" s="836" t="s">
        <v>5967</v>
      </c>
      <c r="D2813" s="836"/>
      <c r="E2813" s="836"/>
      <c r="F2813" s="836"/>
      <c r="G2813" s="496" t="s">
        <v>7830</v>
      </c>
      <c r="H2813" s="797" t="str">
        <f>VLOOKUP(G2813,SETTINGS!$B$7:$D$97,2,0)</f>
        <v>EKN (≤DN600)</v>
      </c>
      <c r="I2813" s="796">
        <f>VLOOKUP(G2813,SETTINGS!$B$7:$D$97,3,0)</f>
        <v>0</v>
      </c>
      <c r="J2813" s="670" t="str">
        <f>IFERROR(IF(CURRENCY.FORMAT_1=0,CONCATENATE(TEXT(FIXED(ROUND((C2813/EXC.RATE_1),CURRENCY.FORMAT_1),CURRENCY.FORMAT_1,1),"# ##0;-# ##0"),",-"),FIXED(ROUND((C2813/EXC.RATE_1),CURRENCY.FORMAT_1),CURRENCY.FORMAT_1,0)),'DICTIONARY-5'!$A$2)</f>
        <v>na zapytanie</v>
      </c>
      <c r="K2813" s="670" t="str">
        <f>IF(EXC.RATE_2=0,"",IFERROR(IF(CURRENCY.FORMAT_2=0,CONCATENATE(TEXT(FIXED(ROUND(IF(EXC.RATE.SWITCH=1,C2813/EXC.RATE_2,C2813*EXC.RATE_2),CURRENCY.FORMAT_2),CURRENCY.FORMAT_2,1),"# ##0;-# ##0"),",-"),FIXED(ROUND(IF(EXC.RATE.SWITCH=1,C2813/EXC.RATE_2,C2813*EXC.RATE_2),CURRENCY.FORMAT_2),CURRENCY.FORMAT_2,0)),'DICTIONARY-5'!$A$2))</f>
        <v/>
      </c>
      <c r="L2813" s="670" t="str">
        <f>IFERROR(IF(CURRENCY.FORMAT_1=0,CONCATENATE(TEXT(FIXED(ROUND((C2813*(1-I2813)*(1-ADD.DISCOUNT)*(1+MAT.SURCHARGE)/EXC.RATE_1),CURRENCY.FORMAT_1),CURRENCY.FORMAT_1,1),"# ##0;-# ##0"),",-"),FIXED(ROUND((C2813*(1-I2813)*(1-ADD.DISCOUNT)*(1+MAT.SURCHARGE)/EXC.RATE_1),CURRENCY.FORMAT_1),CURRENCY.FORMAT_1,0)),'DICTIONARY-5'!$A$2)</f>
        <v>na zapytanie</v>
      </c>
      <c r="M2813" s="670" t="str">
        <f>IF(EXC.RATE_2=0,"",IFERROR(IF(CURRENCY.FORMAT_2=0,CONCATENATE(TEXT(FIXED(ROUND(IF(EXC.RATE.SWITCH=1,C2813*(1-I2813)*(1-ADD.DISCOUNT)*(1+MAT.SURCHARGE)/EXC.RATE_2,C2813*(1-I2813)*(1-ADD.DISCOUNT)*(1+MAT.SURCHARGE)*EXC.RATE_2),CURRENCY.FORMAT_2),CURRENCY.FORMAT_2,1),"# ##0;-# ##0"),",-"),FIXED(ROUND(IF(EXC.RATE.SWITCH=1,C2813*(1-I2813)*(1-ADD.DISCOUNT)*(1+MAT.SURCHARGE)/EXC.RATE_2,C2813*(1-I2813)*(1-ADD.DISCOUNT)*(1+MAT.SURCHARGE)*EXC.RATE_2),CURRENCY.FORMAT_2),CURRENCY.FORMAT_2,0)),'DICTIONARY-5'!$A$2))</f>
        <v/>
      </c>
      <c r="N2813" s="535">
        <v>13</v>
      </c>
      <c r="O2813" s="535"/>
      <c r="P2813" s="732" t="str">
        <f>'DICTIONARY-3'!$A$146</f>
        <v>EKN M</v>
      </c>
      <c r="Q2813" s="732" t="str">
        <f>'DICTIONARY-3'!$A$204</f>
        <v>Przepustnica kołnierzowa</v>
      </c>
      <c r="R2813" s="732" t="str">
        <f>CONCATENATE('DICTIONARY-3'!$A$146," ",'DICTIONARY-6'!$A$2," ",UPPER('DICTIONARY-5'!$A$18)," ",'DICTIONARY-2'!$A$2,"250"," ",'DICTIONARY-2'!$A$3,"16"," ","R14",", ",'DICTIONARY-4'!$A$9," d16 (",'DICTIONARY-5'!$A$7," ",'DICTIONARY-4'!$A$7," ","250)")</f>
        <v>EKN M Przep. kołnierz. GAZ DN250 PN16 R14, PWW d16 (dla KR 250)</v>
      </c>
      <c r="S2813" s="733" t="str">
        <f>'DICTIONARY-4'!$A$9</f>
        <v>PWW</v>
      </c>
      <c r="T2813" s="732" t="str">
        <f>'DICTIONARY-4'!$A$25</f>
        <v>Przekładnia z wolnym wałkiem</v>
      </c>
      <c r="U2813" s="734" t="s">
        <v>5751</v>
      </c>
      <c r="V2813" s="735">
        <v>16</v>
      </c>
      <c r="W2813" s="736"/>
      <c r="X2813" s="737"/>
      <c r="Y2813" s="738"/>
      <c r="Z2813" s="739"/>
      <c r="AA2813" s="739"/>
      <c r="AB2813" s="740">
        <v>16</v>
      </c>
      <c r="AC2813" s="741" t="str">
        <f>'DICTIONARY-5'!$A$11&amp;" 14"</f>
        <v>EN 558 szereg 14</v>
      </c>
      <c r="AD2813" s="741" t="str">
        <f>'DICTIONARY-5'!$A$18</f>
        <v>gaz</v>
      </c>
      <c r="AE2813" s="742">
        <v>50</v>
      </c>
      <c r="AF2813" s="743"/>
      <c r="AG2813" s="741" t="str">
        <f>'DICTIONARY-5'!$A$23</f>
        <v>powłoka epoksydowa</v>
      </c>
    </row>
    <row r="2814" spans="1:33" x14ac:dyDescent="0.25">
      <c r="A2814" s="869" t="s">
        <v>2711</v>
      </c>
      <c r="B2814" s="869" t="s">
        <v>2972</v>
      </c>
      <c r="C2814" s="836">
        <v>2094</v>
      </c>
      <c r="D2814" s="836"/>
      <c r="E2814" s="836"/>
      <c r="F2814" s="836"/>
      <c r="G2814" s="496" t="s">
        <v>7830</v>
      </c>
      <c r="H2814" s="797" t="str">
        <f>VLOOKUP(G2814,SETTINGS!$B$7:$D$97,2,0)</f>
        <v>EKN (≤DN600)</v>
      </c>
      <c r="I2814" s="796">
        <f>VLOOKUP(G2814,SETTINGS!$B$7:$D$97,3,0)</f>
        <v>0</v>
      </c>
      <c r="J2814" s="670" t="str">
        <f>IFERROR(IF(CURRENCY.FORMAT_1=0,CONCATENATE(TEXT(FIXED(ROUND((C2814/EXC.RATE_1),CURRENCY.FORMAT_1),CURRENCY.FORMAT_1,1),"# ##0;-# ##0"),",-"),FIXED(ROUND((C2814/EXC.RATE_1),CURRENCY.FORMAT_1),CURRENCY.FORMAT_1,0)),'DICTIONARY-5'!$A$2)</f>
        <v>2 094,-</v>
      </c>
      <c r="K2814" s="670" t="str">
        <f>IF(EXC.RATE_2=0,"",IFERROR(IF(CURRENCY.FORMAT_2=0,CONCATENATE(TEXT(FIXED(ROUND(IF(EXC.RATE.SWITCH=1,C2814/EXC.RATE_2,C2814*EXC.RATE_2),CURRENCY.FORMAT_2),CURRENCY.FORMAT_2,1),"# ##0;-# ##0"),",-"),FIXED(ROUND(IF(EXC.RATE.SWITCH=1,C2814/EXC.RATE_2,C2814*EXC.RATE_2),CURRENCY.FORMAT_2),CURRENCY.FORMAT_2,0)),'DICTIONARY-5'!$A$2))</f>
        <v/>
      </c>
      <c r="L2814" s="670" t="str">
        <f>IFERROR(IF(CURRENCY.FORMAT_1=0,CONCATENATE(TEXT(FIXED(ROUND((C2814*(1-I2814)*(1-ADD.DISCOUNT)*(1+MAT.SURCHARGE)/EXC.RATE_1),CURRENCY.FORMAT_1),CURRENCY.FORMAT_1,1),"# ##0;-# ##0"),",-"),FIXED(ROUND((C2814*(1-I2814)*(1-ADD.DISCOUNT)*(1+MAT.SURCHARGE)/EXC.RATE_1),CURRENCY.FORMAT_1),CURRENCY.FORMAT_1,0)),'DICTIONARY-5'!$A$2)</f>
        <v>2 176,-</v>
      </c>
      <c r="M2814" s="670" t="str">
        <f>IF(EXC.RATE_2=0,"",IFERROR(IF(CURRENCY.FORMAT_2=0,CONCATENATE(TEXT(FIXED(ROUND(IF(EXC.RATE.SWITCH=1,C2814*(1-I2814)*(1-ADD.DISCOUNT)*(1+MAT.SURCHARGE)/EXC.RATE_2,C2814*(1-I2814)*(1-ADD.DISCOUNT)*(1+MAT.SURCHARGE)*EXC.RATE_2),CURRENCY.FORMAT_2),CURRENCY.FORMAT_2,1),"# ##0;-# ##0"),",-"),FIXED(ROUND(IF(EXC.RATE.SWITCH=1,C2814*(1-I2814)*(1-ADD.DISCOUNT)*(1+MAT.SURCHARGE)/EXC.RATE_2,C2814*(1-I2814)*(1-ADD.DISCOUNT)*(1+MAT.SURCHARGE)*EXC.RATE_2),CURRENCY.FORMAT_2),CURRENCY.FORMAT_2,0)),'DICTIONARY-5'!$A$2))</f>
        <v/>
      </c>
      <c r="N2814" s="535">
        <v>13</v>
      </c>
      <c r="O2814" s="535"/>
      <c r="P2814" s="732" t="str">
        <f>'DICTIONARY-3'!$A$146</f>
        <v>EKN M</v>
      </c>
      <c r="Q2814" s="732" t="str">
        <f>'DICTIONARY-3'!$A$204</f>
        <v>Przepustnica kołnierzowa</v>
      </c>
      <c r="R2814" s="732" t="str">
        <f>CONCATENATE('DICTIONARY-3'!$A$146," ",'DICTIONARY-6'!$A$2," ",UPPER('DICTIONARY-5'!$A$18)," ",'DICTIONARY-2'!$A$2,"300"," ",'DICTIONARY-2'!$A$3,"10"," ","R14",", ",'DICTIONARY-4'!$A$9," GGP4021N L 6803HR PG3 d16 (",'DICTIONARY-5'!$A$7," ",'DICTIONARY-4'!$A$7," ","250)")</f>
        <v>EKN M Przep. kołnierz. GAZ DN300 PN10 R14, PWW GGP4021N L 6803HR PG3 d16 (dla KR 250)</v>
      </c>
      <c r="S2814" s="733" t="str">
        <f>'DICTIONARY-4'!$A$9</f>
        <v>PWW</v>
      </c>
      <c r="T2814" s="732" t="str">
        <f>'DICTIONARY-4'!$A$25</f>
        <v>Przekładnia z wolnym wałkiem</v>
      </c>
      <c r="U2814" s="734" t="s">
        <v>5752</v>
      </c>
      <c r="V2814" s="735">
        <v>10</v>
      </c>
      <c r="W2814" s="736"/>
      <c r="X2814" s="737"/>
      <c r="Y2814" s="738"/>
      <c r="Z2814" s="739"/>
      <c r="AA2814" s="739"/>
      <c r="AB2814" s="740">
        <v>10</v>
      </c>
      <c r="AC2814" s="741" t="str">
        <f>'DICTIONARY-5'!$A$11&amp;" 14"</f>
        <v>EN 558 szereg 14</v>
      </c>
      <c r="AD2814" s="741" t="str">
        <f>'DICTIONARY-5'!$A$18</f>
        <v>gaz</v>
      </c>
      <c r="AE2814" s="742">
        <v>50</v>
      </c>
      <c r="AF2814" s="743">
        <v>93</v>
      </c>
      <c r="AG2814" s="741" t="str">
        <f>'DICTIONARY-5'!$A$23</f>
        <v>powłoka epoksydowa</v>
      </c>
    </row>
    <row r="2815" spans="1:33" x14ac:dyDescent="0.25">
      <c r="A2815" s="869" t="s">
        <v>2719</v>
      </c>
      <c r="B2815" s="869" t="str">
        <f>'DICTIONARY-5'!$A$2</f>
        <v>na zapytanie</v>
      </c>
      <c r="C2815" s="836" t="s">
        <v>5967</v>
      </c>
      <c r="D2815" s="836"/>
      <c r="E2815" s="836"/>
      <c r="F2815" s="836"/>
      <c r="G2815" s="496" t="s">
        <v>7830</v>
      </c>
      <c r="H2815" s="797" t="str">
        <f>VLOOKUP(G2815,SETTINGS!$B$7:$D$97,2,0)</f>
        <v>EKN (≤DN600)</v>
      </c>
      <c r="I2815" s="796">
        <f>VLOOKUP(G2815,SETTINGS!$B$7:$D$97,3,0)</f>
        <v>0</v>
      </c>
      <c r="J2815" s="670" t="str">
        <f>IFERROR(IF(CURRENCY.FORMAT_1=0,CONCATENATE(TEXT(FIXED(ROUND((C2815/EXC.RATE_1),CURRENCY.FORMAT_1),CURRENCY.FORMAT_1,1),"# ##0;-# ##0"),",-"),FIXED(ROUND((C2815/EXC.RATE_1),CURRENCY.FORMAT_1),CURRENCY.FORMAT_1,0)),'DICTIONARY-5'!$A$2)</f>
        <v>na zapytanie</v>
      </c>
      <c r="K2815" s="670" t="str">
        <f>IF(EXC.RATE_2=0,"",IFERROR(IF(CURRENCY.FORMAT_2=0,CONCATENATE(TEXT(FIXED(ROUND(IF(EXC.RATE.SWITCH=1,C2815/EXC.RATE_2,C2815*EXC.RATE_2),CURRENCY.FORMAT_2),CURRENCY.FORMAT_2,1),"# ##0;-# ##0"),",-"),FIXED(ROUND(IF(EXC.RATE.SWITCH=1,C2815/EXC.RATE_2,C2815*EXC.RATE_2),CURRENCY.FORMAT_2),CURRENCY.FORMAT_2,0)),'DICTIONARY-5'!$A$2))</f>
        <v/>
      </c>
      <c r="L2815" s="670" t="str">
        <f>IFERROR(IF(CURRENCY.FORMAT_1=0,CONCATENATE(TEXT(FIXED(ROUND((C2815*(1-I2815)*(1-ADD.DISCOUNT)*(1+MAT.SURCHARGE)/EXC.RATE_1),CURRENCY.FORMAT_1),CURRENCY.FORMAT_1,1),"# ##0;-# ##0"),",-"),FIXED(ROUND((C2815*(1-I2815)*(1-ADD.DISCOUNT)*(1+MAT.SURCHARGE)/EXC.RATE_1),CURRENCY.FORMAT_1),CURRENCY.FORMAT_1,0)),'DICTIONARY-5'!$A$2)</f>
        <v>na zapytanie</v>
      </c>
      <c r="M2815" s="670" t="str">
        <f>IF(EXC.RATE_2=0,"",IFERROR(IF(CURRENCY.FORMAT_2=0,CONCATENATE(TEXT(FIXED(ROUND(IF(EXC.RATE.SWITCH=1,C2815*(1-I2815)*(1-ADD.DISCOUNT)*(1+MAT.SURCHARGE)/EXC.RATE_2,C2815*(1-I2815)*(1-ADD.DISCOUNT)*(1+MAT.SURCHARGE)*EXC.RATE_2),CURRENCY.FORMAT_2),CURRENCY.FORMAT_2,1),"# ##0;-# ##0"),",-"),FIXED(ROUND(IF(EXC.RATE.SWITCH=1,C2815*(1-I2815)*(1-ADD.DISCOUNT)*(1+MAT.SURCHARGE)/EXC.RATE_2,C2815*(1-I2815)*(1-ADD.DISCOUNT)*(1+MAT.SURCHARGE)*EXC.RATE_2),CURRENCY.FORMAT_2),CURRENCY.FORMAT_2,0)),'DICTIONARY-5'!$A$2))</f>
        <v/>
      </c>
      <c r="N2815" s="535">
        <v>13</v>
      </c>
      <c r="O2815" s="535"/>
      <c r="P2815" s="732" t="str">
        <f>'DICTIONARY-3'!$A$146</f>
        <v>EKN M</v>
      </c>
      <c r="Q2815" s="732" t="str">
        <f>'DICTIONARY-3'!$A$204</f>
        <v>Przepustnica kołnierzowa</v>
      </c>
      <c r="R2815" s="732" t="str">
        <f>CONCATENATE('DICTIONARY-3'!$A$146," ",'DICTIONARY-6'!$A$2," ",UPPER('DICTIONARY-5'!$A$18)," ",'DICTIONARY-2'!$A$2,"300"," ",'DICTIONARY-2'!$A$3,"16"," ","R14",", ",'DICTIONARY-4'!$A$9," d16 (",'DICTIONARY-5'!$A$7," ",'DICTIONARY-4'!$A$7," ","250)")</f>
        <v>EKN M Przep. kołnierz. GAZ DN300 PN16 R14, PWW d16 (dla KR 250)</v>
      </c>
      <c r="S2815" s="733" t="str">
        <f>'DICTIONARY-4'!$A$9</f>
        <v>PWW</v>
      </c>
      <c r="T2815" s="732" t="str">
        <f>'DICTIONARY-4'!$A$25</f>
        <v>Przekładnia z wolnym wałkiem</v>
      </c>
      <c r="U2815" s="734" t="s">
        <v>5752</v>
      </c>
      <c r="V2815" s="735">
        <v>16</v>
      </c>
      <c r="W2815" s="736"/>
      <c r="X2815" s="737"/>
      <c r="Y2815" s="738"/>
      <c r="Z2815" s="739"/>
      <c r="AA2815" s="739"/>
      <c r="AB2815" s="740">
        <v>16</v>
      </c>
      <c r="AC2815" s="741" t="str">
        <f>'DICTIONARY-5'!$A$11&amp;" 14"</f>
        <v>EN 558 szereg 14</v>
      </c>
      <c r="AD2815" s="741" t="str">
        <f>'DICTIONARY-5'!$A$18</f>
        <v>gaz</v>
      </c>
      <c r="AE2815" s="742">
        <v>50</v>
      </c>
      <c r="AF2815" s="743"/>
      <c r="AG2815" s="741" t="str">
        <f>'DICTIONARY-5'!$A$23</f>
        <v>powłoka epoksydowa</v>
      </c>
    </row>
    <row r="2816" spans="1:33" x14ac:dyDescent="0.25">
      <c r="A2816" s="869" t="s">
        <v>2712</v>
      </c>
      <c r="B2816" s="869" t="str">
        <f>'DICTIONARY-5'!$A$2</f>
        <v>na zapytanie</v>
      </c>
      <c r="C2816" s="836" t="s">
        <v>5967</v>
      </c>
      <c r="D2816" s="836"/>
      <c r="E2816" s="836"/>
      <c r="F2816" s="836"/>
      <c r="G2816" s="496" t="s">
        <v>7830</v>
      </c>
      <c r="H2816" s="797" t="str">
        <f>VLOOKUP(G2816,SETTINGS!$B$7:$D$97,2,0)</f>
        <v>EKN (≤DN600)</v>
      </c>
      <c r="I2816" s="796">
        <f>VLOOKUP(G2816,SETTINGS!$B$7:$D$97,3,0)</f>
        <v>0</v>
      </c>
      <c r="J2816" s="670" t="str">
        <f>IFERROR(IF(CURRENCY.FORMAT_1=0,CONCATENATE(TEXT(FIXED(ROUND((C2816/EXC.RATE_1),CURRENCY.FORMAT_1),CURRENCY.FORMAT_1,1),"# ##0;-# ##0"),",-"),FIXED(ROUND((C2816/EXC.RATE_1),CURRENCY.FORMAT_1),CURRENCY.FORMAT_1,0)),'DICTIONARY-5'!$A$2)</f>
        <v>na zapytanie</v>
      </c>
      <c r="K2816" s="670" t="str">
        <f>IF(EXC.RATE_2=0,"",IFERROR(IF(CURRENCY.FORMAT_2=0,CONCATENATE(TEXT(FIXED(ROUND(IF(EXC.RATE.SWITCH=1,C2816/EXC.RATE_2,C2816*EXC.RATE_2),CURRENCY.FORMAT_2),CURRENCY.FORMAT_2,1),"# ##0;-# ##0"),",-"),FIXED(ROUND(IF(EXC.RATE.SWITCH=1,C2816/EXC.RATE_2,C2816*EXC.RATE_2),CURRENCY.FORMAT_2),CURRENCY.FORMAT_2,0)),'DICTIONARY-5'!$A$2))</f>
        <v/>
      </c>
      <c r="L2816" s="670" t="str">
        <f>IFERROR(IF(CURRENCY.FORMAT_1=0,CONCATENATE(TEXT(FIXED(ROUND((C2816*(1-I2816)*(1-ADD.DISCOUNT)*(1+MAT.SURCHARGE)/EXC.RATE_1),CURRENCY.FORMAT_1),CURRENCY.FORMAT_1,1),"# ##0;-# ##0"),",-"),FIXED(ROUND((C2816*(1-I2816)*(1-ADD.DISCOUNT)*(1+MAT.SURCHARGE)/EXC.RATE_1),CURRENCY.FORMAT_1),CURRENCY.FORMAT_1,0)),'DICTIONARY-5'!$A$2)</f>
        <v>na zapytanie</v>
      </c>
      <c r="M2816" s="670" t="str">
        <f>IF(EXC.RATE_2=0,"",IFERROR(IF(CURRENCY.FORMAT_2=0,CONCATENATE(TEXT(FIXED(ROUND(IF(EXC.RATE.SWITCH=1,C2816*(1-I2816)*(1-ADD.DISCOUNT)*(1+MAT.SURCHARGE)/EXC.RATE_2,C2816*(1-I2816)*(1-ADD.DISCOUNT)*(1+MAT.SURCHARGE)*EXC.RATE_2),CURRENCY.FORMAT_2),CURRENCY.FORMAT_2,1),"# ##0;-# ##0"),",-"),FIXED(ROUND(IF(EXC.RATE.SWITCH=1,C2816*(1-I2816)*(1-ADD.DISCOUNT)*(1+MAT.SURCHARGE)/EXC.RATE_2,C2816*(1-I2816)*(1-ADD.DISCOUNT)*(1+MAT.SURCHARGE)*EXC.RATE_2),CURRENCY.FORMAT_2),CURRENCY.FORMAT_2,0)),'DICTIONARY-5'!$A$2))</f>
        <v/>
      </c>
      <c r="N2816" s="535">
        <v>13</v>
      </c>
      <c r="O2816" s="535"/>
      <c r="P2816" s="732" t="str">
        <f>'DICTIONARY-3'!$A$146</f>
        <v>EKN M</v>
      </c>
      <c r="Q2816" s="732" t="str">
        <f>'DICTIONARY-3'!$A$204</f>
        <v>Przepustnica kołnierzowa</v>
      </c>
      <c r="R2816" s="732" t="str">
        <f>CONCATENATE('DICTIONARY-3'!$A$146," ",'DICTIONARY-6'!$A$2," ",UPPER('DICTIONARY-5'!$A$18)," ",'DICTIONARY-2'!$A$2,"350"," ",'DICTIONARY-2'!$A$3,"10"," ","R14",", ",'DICTIONARY-4'!$A$9," d20 (",'DICTIONARY-5'!$A$7," ",'DICTIONARY-4'!$A$7," ","350)")</f>
        <v>EKN M Przep. kołnierz. GAZ DN350 PN10 R14, PWW d20 (dla KR 350)</v>
      </c>
      <c r="S2816" s="733" t="str">
        <f>'DICTIONARY-4'!$A$9</f>
        <v>PWW</v>
      </c>
      <c r="T2816" s="732" t="str">
        <f>'DICTIONARY-4'!$A$25</f>
        <v>Przekładnia z wolnym wałkiem</v>
      </c>
      <c r="U2816" s="734" t="s">
        <v>5753</v>
      </c>
      <c r="V2816" s="735">
        <v>10</v>
      </c>
      <c r="W2816" s="736"/>
      <c r="X2816" s="737"/>
      <c r="Y2816" s="738"/>
      <c r="Z2816" s="739"/>
      <c r="AA2816" s="739"/>
      <c r="AB2816" s="740">
        <v>10</v>
      </c>
      <c r="AC2816" s="741" t="str">
        <f>'DICTIONARY-5'!$A$11&amp;" 14"</f>
        <v>EN 558 szereg 14</v>
      </c>
      <c r="AD2816" s="741" t="str">
        <f>'DICTIONARY-5'!$A$18</f>
        <v>gaz</v>
      </c>
      <c r="AE2816" s="742">
        <v>50</v>
      </c>
      <c r="AF2816" s="743"/>
      <c r="AG2816" s="741" t="str">
        <f>'DICTIONARY-5'!$A$23</f>
        <v>powłoka epoksydowa</v>
      </c>
    </row>
    <row r="2817" spans="1:33" x14ac:dyDescent="0.25">
      <c r="A2817" s="869" t="s">
        <v>2720</v>
      </c>
      <c r="B2817" s="869" t="str">
        <f>'DICTIONARY-5'!$A$2</f>
        <v>na zapytanie</v>
      </c>
      <c r="C2817" s="836" t="s">
        <v>5967</v>
      </c>
      <c r="D2817" s="836"/>
      <c r="E2817" s="836"/>
      <c r="F2817" s="836"/>
      <c r="G2817" s="496" t="s">
        <v>7830</v>
      </c>
      <c r="H2817" s="797" t="str">
        <f>VLOOKUP(G2817,SETTINGS!$B$7:$D$97,2,0)</f>
        <v>EKN (≤DN600)</v>
      </c>
      <c r="I2817" s="796">
        <f>VLOOKUP(G2817,SETTINGS!$B$7:$D$97,3,0)</f>
        <v>0</v>
      </c>
      <c r="J2817" s="670" t="str">
        <f>IFERROR(IF(CURRENCY.FORMAT_1=0,CONCATENATE(TEXT(FIXED(ROUND((C2817/EXC.RATE_1),CURRENCY.FORMAT_1),CURRENCY.FORMAT_1,1),"# ##0;-# ##0"),",-"),FIXED(ROUND((C2817/EXC.RATE_1),CURRENCY.FORMAT_1),CURRENCY.FORMAT_1,0)),'DICTIONARY-5'!$A$2)</f>
        <v>na zapytanie</v>
      </c>
      <c r="K2817" s="670" t="str">
        <f>IF(EXC.RATE_2=0,"",IFERROR(IF(CURRENCY.FORMAT_2=0,CONCATENATE(TEXT(FIXED(ROUND(IF(EXC.RATE.SWITCH=1,C2817/EXC.RATE_2,C2817*EXC.RATE_2),CURRENCY.FORMAT_2),CURRENCY.FORMAT_2,1),"# ##0;-# ##0"),",-"),FIXED(ROUND(IF(EXC.RATE.SWITCH=1,C2817/EXC.RATE_2,C2817*EXC.RATE_2),CURRENCY.FORMAT_2),CURRENCY.FORMAT_2,0)),'DICTIONARY-5'!$A$2))</f>
        <v/>
      </c>
      <c r="L2817" s="670" t="str">
        <f>IFERROR(IF(CURRENCY.FORMAT_1=0,CONCATENATE(TEXT(FIXED(ROUND((C2817*(1-I2817)*(1-ADD.DISCOUNT)*(1+MAT.SURCHARGE)/EXC.RATE_1),CURRENCY.FORMAT_1),CURRENCY.FORMAT_1,1),"# ##0;-# ##0"),",-"),FIXED(ROUND((C2817*(1-I2817)*(1-ADD.DISCOUNT)*(1+MAT.SURCHARGE)/EXC.RATE_1),CURRENCY.FORMAT_1),CURRENCY.FORMAT_1,0)),'DICTIONARY-5'!$A$2)</f>
        <v>na zapytanie</v>
      </c>
      <c r="M2817" s="670" t="str">
        <f>IF(EXC.RATE_2=0,"",IFERROR(IF(CURRENCY.FORMAT_2=0,CONCATENATE(TEXT(FIXED(ROUND(IF(EXC.RATE.SWITCH=1,C2817*(1-I2817)*(1-ADD.DISCOUNT)*(1+MAT.SURCHARGE)/EXC.RATE_2,C2817*(1-I2817)*(1-ADD.DISCOUNT)*(1+MAT.SURCHARGE)*EXC.RATE_2),CURRENCY.FORMAT_2),CURRENCY.FORMAT_2,1),"# ##0;-# ##0"),",-"),FIXED(ROUND(IF(EXC.RATE.SWITCH=1,C2817*(1-I2817)*(1-ADD.DISCOUNT)*(1+MAT.SURCHARGE)/EXC.RATE_2,C2817*(1-I2817)*(1-ADD.DISCOUNT)*(1+MAT.SURCHARGE)*EXC.RATE_2),CURRENCY.FORMAT_2),CURRENCY.FORMAT_2,0)),'DICTIONARY-5'!$A$2))</f>
        <v/>
      </c>
      <c r="N2817" s="535">
        <v>13</v>
      </c>
      <c r="O2817" s="535"/>
      <c r="P2817" s="732" t="str">
        <f>'DICTIONARY-3'!$A$146</f>
        <v>EKN M</v>
      </c>
      <c r="Q2817" s="732" t="str">
        <f>'DICTIONARY-3'!$A$204</f>
        <v>Przepustnica kołnierzowa</v>
      </c>
      <c r="R2817" s="732" t="str">
        <f>CONCATENATE('DICTIONARY-3'!$A$146," ",'DICTIONARY-6'!$A$2," ",UPPER('DICTIONARY-5'!$A$18)," ",'DICTIONARY-2'!$A$2,"350"," ",'DICTIONARY-2'!$A$3,"16"," ","R14",", ",'DICTIONARY-4'!$A$9," d20 (",'DICTIONARY-5'!$A$7," ",'DICTIONARY-4'!$A$7," ","250)")</f>
        <v>EKN M Przep. kołnierz. GAZ DN350 PN16 R14, PWW d20 (dla KR 250)</v>
      </c>
      <c r="S2817" s="733" t="str">
        <f>'DICTIONARY-4'!$A$9</f>
        <v>PWW</v>
      </c>
      <c r="T2817" s="732" t="str">
        <f>'DICTIONARY-4'!$A$25</f>
        <v>Przekładnia z wolnym wałkiem</v>
      </c>
      <c r="U2817" s="734" t="s">
        <v>5753</v>
      </c>
      <c r="V2817" s="735">
        <v>16</v>
      </c>
      <c r="W2817" s="736"/>
      <c r="X2817" s="737"/>
      <c r="Y2817" s="738"/>
      <c r="Z2817" s="739"/>
      <c r="AA2817" s="739"/>
      <c r="AB2817" s="740">
        <v>16</v>
      </c>
      <c r="AC2817" s="741" t="str">
        <f>'DICTIONARY-5'!$A$11&amp;" 14"</f>
        <v>EN 558 szereg 14</v>
      </c>
      <c r="AD2817" s="741" t="str">
        <f>'DICTIONARY-5'!$A$18</f>
        <v>gaz</v>
      </c>
      <c r="AE2817" s="742">
        <v>50</v>
      </c>
      <c r="AF2817" s="743"/>
      <c r="AG2817" s="741" t="str">
        <f>'DICTIONARY-5'!$A$23</f>
        <v>powłoka epoksydowa</v>
      </c>
    </row>
    <row r="2818" spans="1:33" x14ac:dyDescent="0.25">
      <c r="A2818" s="869" t="s">
        <v>2713</v>
      </c>
      <c r="B2818" s="869" t="s">
        <v>2973</v>
      </c>
      <c r="C2818" s="836">
        <v>3202</v>
      </c>
      <c r="D2818" s="836"/>
      <c r="E2818" s="836"/>
      <c r="F2818" s="836"/>
      <c r="G2818" s="496" t="s">
        <v>7830</v>
      </c>
      <c r="H2818" s="797" t="str">
        <f>VLOOKUP(G2818,SETTINGS!$B$7:$D$97,2,0)</f>
        <v>EKN (≤DN600)</v>
      </c>
      <c r="I2818" s="796">
        <f>VLOOKUP(G2818,SETTINGS!$B$7:$D$97,3,0)</f>
        <v>0</v>
      </c>
      <c r="J2818" s="670" t="str">
        <f>IFERROR(IF(CURRENCY.FORMAT_1=0,CONCATENATE(TEXT(FIXED(ROUND((C2818/EXC.RATE_1),CURRENCY.FORMAT_1),CURRENCY.FORMAT_1,1),"# ##0;-# ##0"),",-"),FIXED(ROUND((C2818/EXC.RATE_1),CURRENCY.FORMAT_1),CURRENCY.FORMAT_1,0)),'DICTIONARY-5'!$A$2)</f>
        <v>3 202,-</v>
      </c>
      <c r="K2818" s="670" t="str">
        <f>IF(EXC.RATE_2=0,"",IFERROR(IF(CURRENCY.FORMAT_2=0,CONCATENATE(TEXT(FIXED(ROUND(IF(EXC.RATE.SWITCH=1,C2818/EXC.RATE_2,C2818*EXC.RATE_2),CURRENCY.FORMAT_2),CURRENCY.FORMAT_2,1),"# ##0;-# ##0"),",-"),FIXED(ROUND(IF(EXC.RATE.SWITCH=1,C2818/EXC.RATE_2,C2818*EXC.RATE_2),CURRENCY.FORMAT_2),CURRENCY.FORMAT_2,0)),'DICTIONARY-5'!$A$2))</f>
        <v/>
      </c>
      <c r="L2818" s="670" t="str">
        <f>IFERROR(IF(CURRENCY.FORMAT_1=0,CONCATENATE(TEXT(FIXED(ROUND((C2818*(1-I2818)*(1-ADD.DISCOUNT)*(1+MAT.SURCHARGE)/EXC.RATE_1),CURRENCY.FORMAT_1),CURRENCY.FORMAT_1,1),"# ##0;-# ##0"),",-"),FIXED(ROUND((C2818*(1-I2818)*(1-ADD.DISCOUNT)*(1+MAT.SURCHARGE)/EXC.RATE_1),CURRENCY.FORMAT_1),CURRENCY.FORMAT_1,0)),'DICTIONARY-5'!$A$2)</f>
        <v>3 327,-</v>
      </c>
      <c r="M2818" s="670" t="str">
        <f>IF(EXC.RATE_2=0,"",IFERROR(IF(CURRENCY.FORMAT_2=0,CONCATENATE(TEXT(FIXED(ROUND(IF(EXC.RATE.SWITCH=1,C2818*(1-I2818)*(1-ADD.DISCOUNT)*(1+MAT.SURCHARGE)/EXC.RATE_2,C2818*(1-I2818)*(1-ADD.DISCOUNT)*(1+MAT.SURCHARGE)*EXC.RATE_2),CURRENCY.FORMAT_2),CURRENCY.FORMAT_2,1),"# ##0;-# ##0"),",-"),FIXED(ROUND(IF(EXC.RATE.SWITCH=1,C2818*(1-I2818)*(1-ADD.DISCOUNT)*(1+MAT.SURCHARGE)/EXC.RATE_2,C2818*(1-I2818)*(1-ADD.DISCOUNT)*(1+MAT.SURCHARGE)*EXC.RATE_2),CURRENCY.FORMAT_2),CURRENCY.FORMAT_2,0)),'DICTIONARY-5'!$A$2))</f>
        <v/>
      </c>
      <c r="N2818" s="535">
        <v>13</v>
      </c>
      <c r="O2818" s="535"/>
      <c r="P2818" s="732" t="str">
        <f>'DICTIONARY-3'!$A$146</f>
        <v>EKN M</v>
      </c>
      <c r="Q2818" s="732" t="str">
        <f>'DICTIONARY-3'!$A$204</f>
        <v>Przepustnica kołnierzowa</v>
      </c>
      <c r="R2818" s="732" t="str">
        <f>CONCATENATE('DICTIONARY-3'!$A$146," ",'DICTIONARY-6'!$A$2," ",UPPER('DICTIONARY-5'!$A$18)," ",'DICTIONARY-2'!$A$2,"400"," ",'DICTIONARY-2'!$A$3,"10"," ","R14",", ",'DICTIONARY-4'!$A$9," GGP4021N L 6803HR PG3 d20 (",'DICTIONARY-5'!$A$7," ",'DICTIONARY-4'!$A$7," ","250)")</f>
        <v>EKN M Przep. kołnierz. GAZ DN400 PN10 R14, PWW GGP4021N L 6803HR PG3 d20 (dla KR 250)</v>
      </c>
      <c r="S2818" s="733" t="str">
        <f>'DICTIONARY-4'!$A$9</f>
        <v>PWW</v>
      </c>
      <c r="T2818" s="732" t="str">
        <f>'DICTIONARY-4'!$A$25</f>
        <v>Przekładnia z wolnym wałkiem</v>
      </c>
      <c r="U2818" s="734" t="s">
        <v>5754</v>
      </c>
      <c r="V2818" s="735">
        <v>10</v>
      </c>
      <c r="W2818" s="736"/>
      <c r="X2818" s="737"/>
      <c r="Y2818" s="738"/>
      <c r="Z2818" s="739"/>
      <c r="AA2818" s="739"/>
      <c r="AB2818" s="740">
        <v>10</v>
      </c>
      <c r="AC2818" s="741" t="str">
        <f>'DICTIONARY-5'!$A$11&amp;" 14"</f>
        <v>EN 558 szereg 14</v>
      </c>
      <c r="AD2818" s="741" t="str">
        <f>'DICTIONARY-5'!$A$18</f>
        <v>gaz</v>
      </c>
      <c r="AE2818" s="742">
        <v>50</v>
      </c>
      <c r="AF2818" s="743">
        <v>130.5</v>
      </c>
      <c r="AG2818" s="741" t="str">
        <f>'DICTIONARY-5'!$A$23</f>
        <v>powłoka epoksydowa</v>
      </c>
    </row>
    <row r="2819" spans="1:33" x14ac:dyDescent="0.25">
      <c r="A2819" s="869" t="s">
        <v>2721</v>
      </c>
      <c r="B2819" s="869" t="s">
        <v>2974</v>
      </c>
      <c r="C2819" s="836">
        <v>3891</v>
      </c>
      <c r="D2819" s="836"/>
      <c r="E2819" s="836"/>
      <c r="F2819" s="836"/>
      <c r="G2819" s="496" t="s">
        <v>7830</v>
      </c>
      <c r="H2819" s="797" t="str">
        <f>VLOOKUP(G2819,SETTINGS!$B$7:$D$97,2,0)</f>
        <v>EKN (≤DN600)</v>
      </c>
      <c r="I2819" s="796">
        <f>VLOOKUP(G2819,SETTINGS!$B$7:$D$97,3,0)</f>
        <v>0</v>
      </c>
      <c r="J2819" s="670" t="str">
        <f>IFERROR(IF(CURRENCY.FORMAT_1=0,CONCATENATE(TEXT(FIXED(ROUND((C2819/EXC.RATE_1),CURRENCY.FORMAT_1),CURRENCY.FORMAT_1,1),"# ##0;-# ##0"),",-"),FIXED(ROUND((C2819/EXC.RATE_1),CURRENCY.FORMAT_1),CURRENCY.FORMAT_1,0)),'DICTIONARY-5'!$A$2)</f>
        <v>3 891,-</v>
      </c>
      <c r="K2819" s="670" t="str">
        <f>IF(EXC.RATE_2=0,"",IFERROR(IF(CURRENCY.FORMAT_2=0,CONCATENATE(TEXT(FIXED(ROUND(IF(EXC.RATE.SWITCH=1,C2819/EXC.RATE_2,C2819*EXC.RATE_2),CURRENCY.FORMAT_2),CURRENCY.FORMAT_2,1),"# ##0;-# ##0"),",-"),FIXED(ROUND(IF(EXC.RATE.SWITCH=1,C2819/EXC.RATE_2,C2819*EXC.RATE_2),CURRENCY.FORMAT_2),CURRENCY.FORMAT_2,0)),'DICTIONARY-5'!$A$2))</f>
        <v/>
      </c>
      <c r="L2819" s="670" t="str">
        <f>IFERROR(IF(CURRENCY.FORMAT_1=0,CONCATENATE(TEXT(FIXED(ROUND((C2819*(1-I2819)*(1-ADD.DISCOUNT)*(1+MAT.SURCHARGE)/EXC.RATE_1),CURRENCY.FORMAT_1),CURRENCY.FORMAT_1,1),"# ##0;-# ##0"),",-"),FIXED(ROUND((C2819*(1-I2819)*(1-ADD.DISCOUNT)*(1+MAT.SURCHARGE)/EXC.RATE_1),CURRENCY.FORMAT_1),CURRENCY.FORMAT_1,0)),'DICTIONARY-5'!$A$2)</f>
        <v>4 043,-</v>
      </c>
      <c r="M2819" s="670" t="str">
        <f>IF(EXC.RATE_2=0,"",IFERROR(IF(CURRENCY.FORMAT_2=0,CONCATENATE(TEXT(FIXED(ROUND(IF(EXC.RATE.SWITCH=1,C2819*(1-I2819)*(1-ADD.DISCOUNT)*(1+MAT.SURCHARGE)/EXC.RATE_2,C2819*(1-I2819)*(1-ADD.DISCOUNT)*(1+MAT.SURCHARGE)*EXC.RATE_2),CURRENCY.FORMAT_2),CURRENCY.FORMAT_2,1),"# ##0;-# ##0"),",-"),FIXED(ROUND(IF(EXC.RATE.SWITCH=1,C2819*(1-I2819)*(1-ADD.DISCOUNT)*(1+MAT.SURCHARGE)/EXC.RATE_2,C2819*(1-I2819)*(1-ADD.DISCOUNT)*(1+MAT.SURCHARGE)*EXC.RATE_2),CURRENCY.FORMAT_2),CURRENCY.FORMAT_2,0)),'DICTIONARY-5'!$A$2))</f>
        <v/>
      </c>
      <c r="N2819" s="535">
        <v>13</v>
      </c>
      <c r="O2819" s="535"/>
      <c r="P2819" s="732" t="str">
        <f>'DICTIONARY-3'!$A$146</f>
        <v>EKN M</v>
      </c>
      <c r="Q2819" s="732" t="str">
        <f>'DICTIONARY-3'!$A$204</f>
        <v>Przepustnica kołnierzowa</v>
      </c>
      <c r="R2819" s="732" t="str">
        <f>CONCATENATE('DICTIONARY-3'!$A$146," ",'DICTIONARY-6'!$A$2," ",UPPER('DICTIONARY-5'!$A$18)," ",'DICTIONARY-2'!$A$2,"400"," ",'DICTIONARY-2'!$A$3,"16"," ","R14",", ",'DICTIONARY-4'!$A$9," GGP4021N L 6803HR PG3 d20 (",'DICTIONARY-5'!$A$7," ",'DICTIONARY-4'!$A$7," ","400)")</f>
        <v>EKN M Przep. kołnierz. GAZ DN400 PN16 R14, PWW GGP4021N L 6803HR PG3 d20 (dla KR 400)</v>
      </c>
      <c r="S2819" s="733" t="str">
        <f>'DICTIONARY-4'!$A$9</f>
        <v>PWW</v>
      </c>
      <c r="T2819" s="732" t="str">
        <f>'DICTIONARY-4'!$A$25</f>
        <v>Przekładnia z wolnym wałkiem</v>
      </c>
      <c r="U2819" s="734" t="s">
        <v>5754</v>
      </c>
      <c r="V2819" s="735">
        <v>16</v>
      </c>
      <c r="W2819" s="736"/>
      <c r="X2819" s="737"/>
      <c r="Y2819" s="738"/>
      <c r="Z2819" s="739"/>
      <c r="AA2819" s="739"/>
      <c r="AB2819" s="740">
        <v>16</v>
      </c>
      <c r="AC2819" s="741" t="str">
        <f>'DICTIONARY-5'!$A$11&amp;" 14"</f>
        <v>EN 558 szereg 14</v>
      </c>
      <c r="AD2819" s="741" t="str">
        <f>'DICTIONARY-5'!$A$18</f>
        <v>gaz</v>
      </c>
      <c r="AE2819" s="742">
        <v>50</v>
      </c>
      <c r="AF2819" s="743">
        <v>160.5</v>
      </c>
      <c r="AG2819" s="741" t="str">
        <f>'DICTIONARY-5'!$A$23</f>
        <v>powłoka epoksydowa</v>
      </c>
    </row>
    <row r="2820" spans="1:33" x14ac:dyDescent="0.25">
      <c r="A2820" s="869" t="s">
        <v>2714</v>
      </c>
      <c r="B2820" s="869" t="str">
        <f>'DICTIONARY-5'!$A$2</f>
        <v>na zapytanie</v>
      </c>
      <c r="C2820" s="836" t="s">
        <v>5967</v>
      </c>
      <c r="D2820" s="836"/>
      <c r="E2820" s="836"/>
      <c r="F2820" s="836"/>
      <c r="G2820" s="496" t="s">
        <v>7830</v>
      </c>
      <c r="H2820" s="797" t="str">
        <f>VLOOKUP(G2820,SETTINGS!$B$7:$D$97,2,0)</f>
        <v>EKN (≤DN600)</v>
      </c>
      <c r="I2820" s="796">
        <f>VLOOKUP(G2820,SETTINGS!$B$7:$D$97,3,0)</f>
        <v>0</v>
      </c>
      <c r="J2820" s="670" t="str">
        <f>IFERROR(IF(CURRENCY.FORMAT_1=0,CONCATENATE(TEXT(FIXED(ROUND((C2820/EXC.RATE_1),CURRENCY.FORMAT_1),CURRENCY.FORMAT_1,1),"# ##0;-# ##0"),",-"),FIXED(ROUND((C2820/EXC.RATE_1),CURRENCY.FORMAT_1),CURRENCY.FORMAT_1,0)),'DICTIONARY-5'!$A$2)</f>
        <v>na zapytanie</v>
      </c>
      <c r="K2820" s="670" t="str">
        <f>IF(EXC.RATE_2=0,"",IFERROR(IF(CURRENCY.FORMAT_2=0,CONCATENATE(TEXT(FIXED(ROUND(IF(EXC.RATE.SWITCH=1,C2820/EXC.RATE_2,C2820*EXC.RATE_2),CURRENCY.FORMAT_2),CURRENCY.FORMAT_2,1),"# ##0;-# ##0"),",-"),FIXED(ROUND(IF(EXC.RATE.SWITCH=1,C2820/EXC.RATE_2,C2820*EXC.RATE_2),CURRENCY.FORMAT_2),CURRENCY.FORMAT_2,0)),'DICTIONARY-5'!$A$2))</f>
        <v/>
      </c>
      <c r="L2820" s="670" t="str">
        <f>IFERROR(IF(CURRENCY.FORMAT_1=0,CONCATENATE(TEXT(FIXED(ROUND((C2820*(1-I2820)*(1-ADD.DISCOUNT)*(1+MAT.SURCHARGE)/EXC.RATE_1),CURRENCY.FORMAT_1),CURRENCY.FORMAT_1,1),"# ##0;-# ##0"),",-"),FIXED(ROUND((C2820*(1-I2820)*(1-ADD.DISCOUNT)*(1+MAT.SURCHARGE)/EXC.RATE_1),CURRENCY.FORMAT_1),CURRENCY.FORMAT_1,0)),'DICTIONARY-5'!$A$2)</f>
        <v>na zapytanie</v>
      </c>
      <c r="M2820" s="670" t="str">
        <f>IF(EXC.RATE_2=0,"",IFERROR(IF(CURRENCY.FORMAT_2=0,CONCATENATE(TEXT(FIXED(ROUND(IF(EXC.RATE.SWITCH=1,C2820*(1-I2820)*(1-ADD.DISCOUNT)*(1+MAT.SURCHARGE)/EXC.RATE_2,C2820*(1-I2820)*(1-ADD.DISCOUNT)*(1+MAT.SURCHARGE)*EXC.RATE_2),CURRENCY.FORMAT_2),CURRENCY.FORMAT_2,1),"# ##0;-# ##0"),",-"),FIXED(ROUND(IF(EXC.RATE.SWITCH=1,C2820*(1-I2820)*(1-ADD.DISCOUNT)*(1+MAT.SURCHARGE)/EXC.RATE_2,C2820*(1-I2820)*(1-ADD.DISCOUNT)*(1+MAT.SURCHARGE)*EXC.RATE_2),CURRENCY.FORMAT_2),CURRENCY.FORMAT_2,0)),'DICTIONARY-5'!$A$2))</f>
        <v/>
      </c>
      <c r="N2820" s="535">
        <v>13</v>
      </c>
      <c r="O2820" s="535"/>
      <c r="P2820" s="732" t="str">
        <f>'DICTIONARY-3'!$A$146</f>
        <v>EKN M</v>
      </c>
      <c r="Q2820" s="732" t="str">
        <f>'DICTIONARY-3'!$A$204</f>
        <v>Przepustnica kołnierzowa</v>
      </c>
      <c r="R2820" s="732" t="str">
        <f>CONCATENATE('DICTIONARY-3'!$A$146," ",'DICTIONARY-6'!$A$2," ",UPPER('DICTIONARY-5'!$A$18)," ",'DICTIONARY-2'!$A$2,"450"," ",'DICTIONARY-2'!$A$3,"10"," ","R14",", ",'DICTIONARY-4'!$A$9," d20 (",'DICTIONARY-5'!$A$7," ",'DICTIONARY-4'!$A$7," ","400)")</f>
        <v>EKN M Przep. kołnierz. GAZ DN450 PN10 R14, PWW d20 (dla KR 400)</v>
      </c>
      <c r="S2820" s="733" t="str">
        <f>'DICTIONARY-4'!$A$9</f>
        <v>PWW</v>
      </c>
      <c r="T2820" s="732" t="str">
        <f>'DICTIONARY-4'!$A$25</f>
        <v>Przekładnia z wolnym wałkiem</v>
      </c>
      <c r="U2820" s="734" t="s">
        <v>5755</v>
      </c>
      <c r="V2820" s="735">
        <v>10</v>
      </c>
      <c r="W2820" s="736"/>
      <c r="X2820" s="737"/>
      <c r="Y2820" s="738"/>
      <c r="Z2820" s="739"/>
      <c r="AA2820" s="739"/>
      <c r="AB2820" s="740">
        <v>10</v>
      </c>
      <c r="AC2820" s="741" t="str">
        <f>'DICTIONARY-5'!$A$11&amp;" 14"</f>
        <v>EN 558 szereg 14</v>
      </c>
      <c r="AD2820" s="741" t="str">
        <f>'DICTIONARY-5'!$A$18</f>
        <v>gaz</v>
      </c>
      <c r="AE2820" s="742">
        <v>50</v>
      </c>
      <c r="AF2820" s="743"/>
      <c r="AG2820" s="741" t="str">
        <f>'DICTIONARY-5'!$A$23</f>
        <v>powłoka epoksydowa</v>
      </c>
    </row>
    <row r="2821" spans="1:33" x14ac:dyDescent="0.25">
      <c r="A2821" s="869" t="s">
        <v>2722</v>
      </c>
      <c r="B2821" s="869" t="s">
        <v>2975</v>
      </c>
      <c r="C2821" s="836">
        <v>3795</v>
      </c>
      <c r="D2821" s="836"/>
      <c r="E2821" s="836"/>
      <c r="F2821" s="836"/>
      <c r="G2821" s="496" t="s">
        <v>7830</v>
      </c>
      <c r="H2821" s="797" t="str">
        <f>VLOOKUP(G2821,SETTINGS!$B$7:$D$97,2,0)</f>
        <v>EKN (≤DN600)</v>
      </c>
      <c r="I2821" s="796">
        <f>VLOOKUP(G2821,SETTINGS!$B$7:$D$97,3,0)</f>
        <v>0</v>
      </c>
      <c r="J2821" s="670" t="str">
        <f>IFERROR(IF(CURRENCY.FORMAT_1=0,CONCATENATE(TEXT(FIXED(ROUND((C2821/EXC.RATE_1),CURRENCY.FORMAT_1),CURRENCY.FORMAT_1,1),"# ##0;-# ##0"),",-"),FIXED(ROUND((C2821/EXC.RATE_1),CURRENCY.FORMAT_1),CURRENCY.FORMAT_1,0)),'DICTIONARY-5'!$A$2)</f>
        <v>3 795,-</v>
      </c>
      <c r="K2821" s="670" t="str">
        <f>IF(EXC.RATE_2=0,"",IFERROR(IF(CURRENCY.FORMAT_2=0,CONCATENATE(TEXT(FIXED(ROUND(IF(EXC.RATE.SWITCH=1,C2821/EXC.RATE_2,C2821*EXC.RATE_2),CURRENCY.FORMAT_2),CURRENCY.FORMAT_2,1),"# ##0;-# ##0"),",-"),FIXED(ROUND(IF(EXC.RATE.SWITCH=1,C2821/EXC.RATE_2,C2821*EXC.RATE_2),CURRENCY.FORMAT_2),CURRENCY.FORMAT_2,0)),'DICTIONARY-5'!$A$2))</f>
        <v/>
      </c>
      <c r="L2821" s="670" t="str">
        <f>IFERROR(IF(CURRENCY.FORMAT_1=0,CONCATENATE(TEXT(FIXED(ROUND((C2821*(1-I2821)*(1-ADD.DISCOUNT)*(1+MAT.SURCHARGE)/EXC.RATE_1),CURRENCY.FORMAT_1),CURRENCY.FORMAT_1,1),"# ##0;-# ##0"),",-"),FIXED(ROUND((C2821*(1-I2821)*(1-ADD.DISCOUNT)*(1+MAT.SURCHARGE)/EXC.RATE_1),CURRENCY.FORMAT_1),CURRENCY.FORMAT_1,0)),'DICTIONARY-5'!$A$2)</f>
        <v>3 943,-</v>
      </c>
      <c r="M2821" s="670" t="str">
        <f>IF(EXC.RATE_2=0,"",IFERROR(IF(CURRENCY.FORMAT_2=0,CONCATENATE(TEXT(FIXED(ROUND(IF(EXC.RATE.SWITCH=1,C2821*(1-I2821)*(1-ADD.DISCOUNT)*(1+MAT.SURCHARGE)/EXC.RATE_2,C2821*(1-I2821)*(1-ADD.DISCOUNT)*(1+MAT.SURCHARGE)*EXC.RATE_2),CURRENCY.FORMAT_2),CURRENCY.FORMAT_2,1),"# ##0;-# ##0"),",-"),FIXED(ROUND(IF(EXC.RATE.SWITCH=1,C2821*(1-I2821)*(1-ADD.DISCOUNT)*(1+MAT.SURCHARGE)/EXC.RATE_2,C2821*(1-I2821)*(1-ADD.DISCOUNT)*(1+MAT.SURCHARGE)*EXC.RATE_2),CURRENCY.FORMAT_2),CURRENCY.FORMAT_2,0)),'DICTIONARY-5'!$A$2))</f>
        <v/>
      </c>
      <c r="N2821" s="535">
        <v>13</v>
      </c>
      <c r="O2821" s="535"/>
      <c r="P2821" s="732" t="str">
        <f>'DICTIONARY-3'!$A$146</f>
        <v>EKN M</v>
      </c>
      <c r="Q2821" s="732" t="str">
        <f>'DICTIONARY-3'!$A$204</f>
        <v>Przepustnica kołnierzowa</v>
      </c>
      <c r="R2821" s="732" t="str">
        <f>CONCATENATE('DICTIONARY-3'!$A$146," ",'DICTIONARY-6'!$A$2," ",UPPER('DICTIONARY-5'!$A$18)," ",'DICTIONARY-2'!$A$2,"450"," ",'DICTIONARY-2'!$A$3,"16"," ","R14",", ",'DICTIONARY-4'!$A$9," GGP4021N L 6803HR PG3 d20 (",'DICTIONARY-5'!$A$7," ",'DICTIONARY-4'!$A$7," ","400)")</f>
        <v>EKN M Przep. kołnierz. GAZ DN450 PN16 R14, PWW GGP4021N L 6803HR PG3 d20 (dla KR 400)</v>
      </c>
      <c r="S2821" s="733" t="str">
        <f>'DICTIONARY-4'!$A$9</f>
        <v>PWW</v>
      </c>
      <c r="T2821" s="732" t="str">
        <f>'DICTIONARY-4'!$A$25</f>
        <v>Przekładnia z wolnym wałkiem</v>
      </c>
      <c r="U2821" s="734" t="s">
        <v>5755</v>
      </c>
      <c r="V2821" s="735">
        <v>16</v>
      </c>
      <c r="W2821" s="736"/>
      <c r="X2821" s="737"/>
      <c r="Y2821" s="738"/>
      <c r="Z2821" s="739"/>
      <c r="AA2821" s="739"/>
      <c r="AB2821" s="740">
        <v>16</v>
      </c>
      <c r="AC2821" s="741" t="str">
        <f>'DICTIONARY-5'!$A$11&amp;" 14"</f>
        <v>EN 558 szereg 14</v>
      </c>
      <c r="AD2821" s="741" t="str">
        <f>'DICTIONARY-5'!$A$18</f>
        <v>gaz</v>
      </c>
      <c r="AE2821" s="742">
        <v>50</v>
      </c>
      <c r="AF2821" s="743">
        <v>239</v>
      </c>
      <c r="AG2821" s="741" t="str">
        <f>'DICTIONARY-5'!$A$23</f>
        <v>powłoka epoksydowa</v>
      </c>
    </row>
    <row r="2822" spans="1:33" x14ac:dyDescent="0.25">
      <c r="A2822" s="869" t="s">
        <v>2715</v>
      </c>
      <c r="B2822" s="869" t="str">
        <f>'DICTIONARY-5'!$A$2</f>
        <v>na zapytanie</v>
      </c>
      <c r="C2822" s="836" t="s">
        <v>5967</v>
      </c>
      <c r="D2822" s="836"/>
      <c r="E2822" s="836"/>
      <c r="F2822" s="836"/>
      <c r="G2822" s="496" t="s">
        <v>7830</v>
      </c>
      <c r="H2822" s="797" t="str">
        <f>VLOOKUP(G2822,SETTINGS!$B$7:$D$97,2,0)</f>
        <v>EKN (≤DN600)</v>
      </c>
      <c r="I2822" s="796">
        <f>VLOOKUP(G2822,SETTINGS!$B$7:$D$97,3,0)</f>
        <v>0</v>
      </c>
      <c r="J2822" s="670" t="str">
        <f>IFERROR(IF(CURRENCY.FORMAT_1=0,CONCATENATE(TEXT(FIXED(ROUND((C2822/EXC.RATE_1),CURRENCY.FORMAT_1),CURRENCY.FORMAT_1,1),"# ##0;-# ##0"),",-"),FIXED(ROUND((C2822/EXC.RATE_1),CURRENCY.FORMAT_1),CURRENCY.FORMAT_1,0)),'DICTIONARY-5'!$A$2)</f>
        <v>na zapytanie</v>
      </c>
      <c r="K2822" s="670" t="str">
        <f>IF(EXC.RATE_2=0,"",IFERROR(IF(CURRENCY.FORMAT_2=0,CONCATENATE(TEXT(FIXED(ROUND(IF(EXC.RATE.SWITCH=1,C2822/EXC.RATE_2,C2822*EXC.RATE_2),CURRENCY.FORMAT_2),CURRENCY.FORMAT_2,1),"# ##0;-# ##0"),",-"),FIXED(ROUND(IF(EXC.RATE.SWITCH=1,C2822/EXC.RATE_2,C2822*EXC.RATE_2),CURRENCY.FORMAT_2),CURRENCY.FORMAT_2,0)),'DICTIONARY-5'!$A$2))</f>
        <v/>
      </c>
      <c r="L2822" s="670" t="str">
        <f>IFERROR(IF(CURRENCY.FORMAT_1=0,CONCATENATE(TEXT(FIXED(ROUND((C2822*(1-I2822)*(1-ADD.DISCOUNT)*(1+MAT.SURCHARGE)/EXC.RATE_1),CURRENCY.FORMAT_1),CURRENCY.FORMAT_1,1),"# ##0;-# ##0"),",-"),FIXED(ROUND((C2822*(1-I2822)*(1-ADD.DISCOUNT)*(1+MAT.SURCHARGE)/EXC.RATE_1),CURRENCY.FORMAT_1),CURRENCY.FORMAT_1,0)),'DICTIONARY-5'!$A$2)</f>
        <v>na zapytanie</v>
      </c>
      <c r="M2822" s="670" t="str">
        <f>IF(EXC.RATE_2=0,"",IFERROR(IF(CURRENCY.FORMAT_2=0,CONCATENATE(TEXT(FIXED(ROUND(IF(EXC.RATE.SWITCH=1,C2822*(1-I2822)*(1-ADD.DISCOUNT)*(1+MAT.SURCHARGE)/EXC.RATE_2,C2822*(1-I2822)*(1-ADD.DISCOUNT)*(1+MAT.SURCHARGE)*EXC.RATE_2),CURRENCY.FORMAT_2),CURRENCY.FORMAT_2,1),"# ##0;-# ##0"),",-"),FIXED(ROUND(IF(EXC.RATE.SWITCH=1,C2822*(1-I2822)*(1-ADD.DISCOUNT)*(1+MAT.SURCHARGE)/EXC.RATE_2,C2822*(1-I2822)*(1-ADD.DISCOUNT)*(1+MAT.SURCHARGE)*EXC.RATE_2),CURRENCY.FORMAT_2),CURRENCY.FORMAT_2,0)),'DICTIONARY-5'!$A$2))</f>
        <v/>
      </c>
      <c r="N2822" s="535">
        <v>13</v>
      </c>
      <c r="O2822" s="535"/>
      <c r="P2822" s="732" t="str">
        <f>'DICTIONARY-3'!$A$146</f>
        <v>EKN M</v>
      </c>
      <c r="Q2822" s="732" t="str">
        <f>'DICTIONARY-3'!$A$204</f>
        <v>Przepustnica kołnierzowa</v>
      </c>
      <c r="R2822" s="732" t="str">
        <f>CONCATENATE('DICTIONARY-3'!$A$146," ",'DICTIONARY-6'!$A$2," ",UPPER('DICTIONARY-5'!$A$18)," ",'DICTIONARY-2'!$A$2,"500"," ",'DICTIONARY-2'!$A$3,"10"," ","R14",", ",'DICTIONARY-4'!$A$9," d20 (",'DICTIONARY-5'!$A$7," ",'DICTIONARY-4'!$A$7," ","400)")</f>
        <v>EKN M Przep. kołnierz. GAZ DN500 PN10 R14, PWW d20 (dla KR 400)</v>
      </c>
      <c r="S2822" s="733" t="str">
        <f>'DICTIONARY-4'!$A$9</f>
        <v>PWW</v>
      </c>
      <c r="T2822" s="732" t="str">
        <f>'DICTIONARY-4'!$A$25</f>
        <v>Przekładnia z wolnym wałkiem</v>
      </c>
      <c r="U2822" s="734" t="s">
        <v>5756</v>
      </c>
      <c r="V2822" s="735">
        <v>10</v>
      </c>
      <c r="W2822" s="736"/>
      <c r="X2822" s="737"/>
      <c r="Y2822" s="738"/>
      <c r="Z2822" s="739"/>
      <c r="AA2822" s="739"/>
      <c r="AB2822" s="740">
        <v>10</v>
      </c>
      <c r="AC2822" s="741" t="str">
        <f>'DICTIONARY-5'!$A$11&amp;" 14"</f>
        <v>EN 558 szereg 14</v>
      </c>
      <c r="AD2822" s="741" t="str">
        <f>'DICTIONARY-5'!$A$18</f>
        <v>gaz</v>
      </c>
      <c r="AE2822" s="742">
        <v>50</v>
      </c>
      <c r="AF2822" s="743"/>
      <c r="AG2822" s="741" t="str">
        <f>'DICTIONARY-5'!$A$23</f>
        <v>powłoka epoksydowa</v>
      </c>
    </row>
    <row r="2823" spans="1:33" x14ac:dyDescent="0.25">
      <c r="A2823" s="869" t="s">
        <v>2723</v>
      </c>
      <c r="B2823" s="869" t="s">
        <v>2976</v>
      </c>
      <c r="C2823" s="836">
        <v>6125</v>
      </c>
      <c r="D2823" s="836"/>
      <c r="E2823" s="836"/>
      <c r="F2823" s="836"/>
      <c r="G2823" s="496" t="s">
        <v>7830</v>
      </c>
      <c r="H2823" s="797" t="str">
        <f>VLOOKUP(G2823,SETTINGS!$B$7:$D$97,2,0)</f>
        <v>EKN (≤DN600)</v>
      </c>
      <c r="I2823" s="796">
        <f>VLOOKUP(G2823,SETTINGS!$B$7:$D$97,3,0)</f>
        <v>0</v>
      </c>
      <c r="J2823" s="670" t="str">
        <f>IFERROR(IF(CURRENCY.FORMAT_1=0,CONCATENATE(TEXT(FIXED(ROUND((C2823/EXC.RATE_1),CURRENCY.FORMAT_1),CURRENCY.FORMAT_1,1),"# ##0;-# ##0"),",-"),FIXED(ROUND((C2823/EXC.RATE_1),CURRENCY.FORMAT_1),CURRENCY.FORMAT_1,0)),'DICTIONARY-5'!$A$2)</f>
        <v>6 125,-</v>
      </c>
      <c r="K2823" s="670" t="str">
        <f>IF(EXC.RATE_2=0,"",IFERROR(IF(CURRENCY.FORMAT_2=0,CONCATENATE(TEXT(FIXED(ROUND(IF(EXC.RATE.SWITCH=1,C2823/EXC.RATE_2,C2823*EXC.RATE_2),CURRENCY.FORMAT_2),CURRENCY.FORMAT_2,1),"# ##0;-# ##0"),",-"),FIXED(ROUND(IF(EXC.RATE.SWITCH=1,C2823/EXC.RATE_2,C2823*EXC.RATE_2),CURRENCY.FORMAT_2),CURRENCY.FORMAT_2,0)),'DICTIONARY-5'!$A$2))</f>
        <v/>
      </c>
      <c r="L2823" s="670" t="str">
        <f>IFERROR(IF(CURRENCY.FORMAT_1=0,CONCATENATE(TEXT(FIXED(ROUND((C2823*(1-I2823)*(1-ADD.DISCOUNT)*(1+MAT.SURCHARGE)/EXC.RATE_1),CURRENCY.FORMAT_1),CURRENCY.FORMAT_1,1),"# ##0;-# ##0"),",-"),FIXED(ROUND((C2823*(1-I2823)*(1-ADD.DISCOUNT)*(1+MAT.SURCHARGE)/EXC.RATE_1),CURRENCY.FORMAT_1),CURRENCY.FORMAT_1,0)),'DICTIONARY-5'!$A$2)</f>
        <v>6 364,-</v>
      </c>
      <c r="M2823" s="670" t="str">
        <f>IF(EXC.RATE_2=0,"",IFERROR(IF(CURRENCY.FORMAT_2=0,CONCATENATE(TEXT(FIXED(ROUND(IF(EXC.RATE.SWITCH=1,C2823*(1-I2823)*(1-ADD.DISCOUNT)*(1+MAT.SURCHARGE)/EXC.RATE_2,C2823*(1-I2823)*(1-ADD.DISCOUNT)*(1+MAT.SURCHARGE)*EXC.RATE_2),CURRENCY.FORMAT_2),CURRENCY.FORMAT_2,1),"# ##0;-# ##0"),",-"),FIXED(ROUND(IF(EXC.RATE.SWITCH=1,C2823*(1-I2823)*(1-ADD.DISCOUNT)*(1+MAT.SURCHARGE)/EXC.RATE_2,C2823*(1-I2823)*(1-ADD.DISCOUNT)*(1+MAT.SURCHARGE)*EXC.RATE_2),CURRENCY.FORMAT_2),CURRENCY.FORMAT_2,0)),'DICTIONARY-5'!$A$2))</f>
        <v/>
      </c>
      <c r="N2823" s="535">
        <v>13</v>
      </c>
      <c r="O2823" s="535"/>
      <c r="P2823" s="732" t="str">
        <f>'DICTIONARY-3'!$A$146</f>
        <v>EKN M</v>
      </c>
      <c r="Q2823" s="732" t="str">
        <f>'DICTIONARY-3'!$A$204</f>
        <v>Przepustnica kołnierzowa</v>
      </c>
      <c r="R2823" s="732" t="str">
        <f>CONCATENATE('DICTIONARY-3'!$A$146," ",'DICTIONARY-6'!$A$2," ",UPPER('DICTIONARY-5'!$A$18)," ",'DICTIONARY-2'!$A$2,"500"," ",'DICTIONARY-2'!$A$3,"16"," ","R14",", ",'DICTIONARY-4'!$A$9," GGS4021N L6803HR 3.1 PG3 d30 (",'DICTIONARY-5'!$A$7," ",'DICTIONARY-4'!$A$7," ","400)")</f>
        <v>EKN M Przep. kołnierz. GAZ DN500 PN16 R14, PWW GGS4021N L6803HR 3.1 PG3 d30 (dla KR 400)</v>
      </c>
      <c r="S2823" s="733" t="str">
        <f>'DICTIONARY-4'!$A$9</f>
        <v>PWW</v>
      </c>
      <c r="T2823" s="732" t="str">
        <f>'DICTIONARY-4'!$A$25</f>
        <v>Przekładnia z wolnym wałkiem</v>
      </c>
      <c r="U2823" s="734" t="s">
        <v>5756</v>
      </c>
      <c r="V2823" s="735">
        <v>16</v>
      </c>
      <c r="W2823" s="736"/>
      <c r="X2823" s="737"/>
      <c r="Y2823" s="738"/>
      <c r="Z2823" s="739"/>
      <c r="AA2823" s="739"/>
      <c r="AB2823" s="740">
        <v>16</v>
      </c>
      <c r="AC2823" s="741" t="str">
        <f>'DICTIONARY-5'!$A$11&amp;" 14"</f>
        <v>EN 558 szereg 14</v>
      </c>
      <c r="AD2823" s="741" t="str">
        <f>'DICTIONARY-5'!$A$18</f>
        <v>gaz</v>
      </c>
      <c r="AE2823" s="742">
        <v>50</v>
      </c>
      <c r="AF2823" s="743">
        <v>282.5</v>
      </c>
      <c r="AG2823" s="741" t="str">
        <f>'DICTIONARY-5'!$A$23</f>
        <v>powłoka epoksydowa</v>
      </c>
    </row>
    <row r="2824" spans="1:33" x14ac:dyDescent="0.25">
      <c r="A2824" s="869" t="s">
        <v>2716</v>
      </c>
      <c r="B2824" s="869" t="str">
        <f>'DICTIONARY-5'!$A$2</f>
        <v>na zapytanie</v>
      </c>
      <c r="C2824" s="836" t="s">
        <v>5967</v>
      </c>
      <c r="D2824" s="836"/>
      <c r="E2824" s="836"/>
      <c r="F2824" s="836"/>
      <c r="G2824" s="496" t="s">
        <v>7830</v>
      </c>
      <c r="H2824" s="797" t="str">
        <f>VLOOKUP(G2824,SETTINGS!$B$7:$D$97,2,0)</f>
        <v>EKN (≤DN600)</v>
      </c>
      <c r="I2824" s="796">
        <f>VLOOKUP(G2824,SETTINGS!$B$7:$D$97,3,0)</f>
        <v>0</v>
      </c>
      <c r="J2824" s="670" t="str">
        <f>IFERROR(IF(CURRENCY.FORMAT_1=0,CONCATENATE(TEXT(FIXED(ROUND((C2824/EXC.RATE_1),CURRENCY.FORMAT_1),CURRENCY.FORMAT_1,1),"# ##0;-# ##0"),",-"),FIXED(ROUND((C2824/EXC.RATE_1),CURRENCY.FORMAT_1),CURRENCY.FORMAT_1,0)),'DICTIONARY-5'!$A$2)</f>
        <v>na zapytanie</v>
      </c>
      <c r="K2824" s="670" t="str">
        <f>IF(EXC.RATE_2=0,"",IFERROR(IF(CURRENCY.FORMAT_2=0,CONCATENATE(TEXT(FIXED(ROUND(IF(EXC.RATE.SWITCH=1,C2824/EXC.RATE_2,C2824*EXC.RATE_2),CURRENCY.FORMAT_2),CURRENCY.FORMAT_2,1),"# ##0;-# ##0"),",-"),FIXED(ROUND(IF(EXC.RATE.SWITCH=1,C2824/EXC.RATE_2,C2824*EXC.RATE_2),CURRENCY.FORMAT_2),CURRENCY.FORMAT_2,0)),'DICTIONARY-5'!$A$2))</f>
        <v/>
      </c>
      <c r="L2824" s="670" t="str">
        <f>IFERROR(IF(CURRENCY.FORMAT_1=0,CONCATENATE(TEXT(FIXED(ROUND((C2824*(1-I2824)*(1-ADD.DISCOUNT)*(1+MAT.SURCHARGE)/EXC.RATE_1),CURRENCY.FORMAT_1),CURRENCY.FORMAT_1,1),"# ##0;-# ##0"),",-"),FIXED(ROUND((C2824*(1-I2824)*(1-ADD.DISCOUNT)*(1+MAT.SURCHARGE)/EXC.RATE_1),CURRENCY.FORMAT_1),CURRENCY.FORMAT_1,0)),'DICTIONARY-5'!$A$2)</f>
        <v>na zapytanie</v>
      </c>
      <c r="M2824" s="670" t="str">
        <f>IF(EXC.RATE_2=0,"",IFERROR(IF(CURRENCY.FORMAT_2=0,CONCATENATE(TEXT(FIXED(ROUND(IF(EXC.RATE.SWITCH=1,C2824*(1-I2824)*(1-ADD.DISCOUNT)*(1+MAT.SURCHARGE)/EXC.RATE_2,C2824*(1-I2824)*(1-ADD.DISCOUNT)*(1+MAT.SURCHARGE)*EXC.RATE_2),CURRENCY.FORMAT_2),CURRENCY.FORMAT_2,1),"# ##0;-# ##0"),",-"),FIXED(ROUND(IF(EXC.RATE.SWITCH=1,C2824*(1-I2824)*(1-ADD.DISCOUNT)*(1+MAT.SURCHARGE)/EXC.RATE_2,C2824*(1-I2824)*(1-ADD.DISCOUNT)*(1+MAT.SURCHARGE)*EXC.RATE_2),CURRENCY.FORMAT_2),CURRENCY.FORMAT_2,0)),'DICTIONARY-5'!$A$2))</f>
        <v/>
      </c>
      <c r="N2824" s="535">
        <v>13</v>
      </c>
      <c r="O2824" s="535"/>
      <c r="P2824" s="732" t="str">
        <f>'DICTIONARY-3'!$A$146</f>
        <v>EKN M</v>
      </c>
      <c r="Q2824" s="732" t="str">
        <f>'DICTIONARY-3'!$A$204</f>
        <v>Przepustnica kołnierzowa</v>
      </c>
      <c r="R2824" s="732" t="str">
        <f>CONCATENATE('DICTIONARY-3'!$A$146," ",'DICTIONARY-6'!$A$2," ",UPPER('DICTIONARY-5'!$A$18)," ",'DICTIONARY-2'!$A$2,"600"," ",'DICTIONARY-2'!$A$3,"10"," ","R14",", ",'DICTIONARY-4'!$A$9," d30 (",'DICTIONARY-5'!$A$7," ",'DICTIONARY-4'!$A$7," ","400)")</f>
        <v>EKN M Przep. kołnierz. GAZ DN600 PN10 R14, PWW d30 (dla KR 400)</v>
      </c>
      <c r="S2824" s="733" t="str">
        <f>'DICTIONARY-4'!$A$9</f>
        <v>PWW</v>
      </c>
      <c r="T2824" s="732" t="str">
        <f>'DICTIONARY-4'!$A$25</f>
        <v>Przekładnia z wolnym wałkiem</v>
      </c>
      <c r="U2824" s="734" t="s">
        <v>5757</v>
      </c>
      <c r="V2824" s="735">
        <v>10</v>
      </c>
      <c r="W2824" s="736"/>
      <c r="X2824" s="737"/>
      <c r="Y2824" s="738"/>
      <c r="Z2824" s="739"/>
      <c r="AA2824" s="739"/>
      <c r="AB2824" s="740">
        <v>10</v>
      </c>
      <c r="AC2824" s="741" t="str">
        <f>'DICTIONARY-5'!$A$11&amp;" 14"</f>
        <v>EN 558 szereg 14</v>
      </c>
      <c r="AD2824" s="741" t="str">
        <f>'DICTIONARY-5'!$A$18</f>
        <v>gaz</v>
      </c>
      <c r="AE2824" s="742">
        <v>50</v>
      </c>
      <c r="AF2824" s="743"/>
      <c r="AG2824" s="741" t="str">
        <f>'DICTIONARY-5'!$A$23</f>
        <v>powłoka epoksydowa</v>
      </c>
    </row>
    <row r="2825" spans="1:33" x14ac:dyDescent="0.25">
      <c r="A2825" s="869" t="s">
        <v>2724</v>
      </c>
      <c r="B2825" s="869" t="str">
        <f>'DICTIONARY-5'!$A$2</f>
        <v>na zapytanie</v>
      </c>
      <c r="C2825" s="836" t="s">
        <v>5967</v>
      </c>
      <c r="D2825" s="836"/>
      <c r="E2825" s="836"/>
      <c r="F2825" s="836"/>
      <c r="G2825" s="496" t="s">
        <v>7830</v>
      </c>
      <c r="H2825" s="797" t="str">
        <f>VLOOKUP(G2825,SETTINGS!$B$7:$D$97,2,0)</f>
        <v>EKN (≤DN600)</v>
      </c>
      <c r="I2825" s="796">
        <f>VLOOKUP(G2825,SETTINGS!$B$7:$D$97,3,0)</f>
        <v>0</v>
      </c>
      <c r="J2825" s="670" t="str">
        <f>IFERROR(IF(CURRENCY.FORMAT_1=0,CONCATENATE(TEXT(FIXED(ROUND((C2825/EXC.RATE_1),CURRENCY.FORMAT_1),CURRENCY.FORMAT_1,1),"# ##0;-# ##0"),",-"),FIXED(ROUND((C2825/EXC.RATE_1),CURRENCY.FORMAT_1),CURRENCY.FORMAT_1,0)),'DICTIONARY-5'!$A$2)</f>
        <v>na zapytanie</v>
      </c>
      <c r="K2825" s="670" t="str">
        <f>IF(EXC.RATE_2=0,"",IFERROR(IF(CURRENCY.FORMAT_2=0,CONCATENATE(TEXT(FIXED(ROUND(IF(EXC.RATE.SWITCH=1,C2825/EXC.RATE_2,C2825*EXC.RATE_2),CURRENCY.FORMAT_2),CURRENCY.FORMAT_2,1),"# ##0;-# ##0"),",-"),FIXED(ROUND(IF(EXC.RATE.SWITCH=1,C2825/EXC.RATE_2,C2825*EXC.RATE_2),CURRENCY.FORMAT_2),CURRENCY.FORMAT_2,0)),'DICTIONARY-5'!$A$2))</f>
        <v/>
      </c>
      <c r="L2825" s="670" t="str">
        <f>IFERROR(IF(CURRENCY.FORMAT_1=0,CONCATENATE(TEXT(FIXED(ROUND((C2825*(1-I2825)*(1-ADD.DISCOUNT)*(1+MAT.SURCHARGE)/EXC.RATE_1),CURRENCY.FORMAT_1),CURRENCY.FORMAT_1,1),"# ##0;-# ##0"),",-"),FIXED(ROUND((C2825*(1-I2825)*(1-ADD.DISCOUNT)*(1+MAT.SURCHARGE)/EXC.RATE_1),CURRENCY.FORMAT_1),CURRENCY.FORMAT_1,0)),'DICTIONARY-5'!$A$2)</f>
        <v>na zapytanie</v>
      </c>
      <c r="M2825" s="670" t="str">
        <f>IF(EXC.RATE_2=0,"",IFERROR(IF(CURRENCY.FORMAT_2=0,CONCATENATE(TEXT(FIXED(ROUND(IF(EXC.RATE.SWITCH=1,C2825*(1-I2825)*(1-ADD.DISCOUNT)*(1+MAT.SURCHARGE)/EXC.RATE_2,C2825*(1-I2825)*(1-ADD.DISCOUNT)*(1+MAT.SURCHARGE)*EXC.RATE_2),CURRENCY.FORMAT_2),CURRENCY.FORMAT_2,1),"# ##0;-# ##0"),",-"),FIXED(ROUND(IF(EXC.RATE.SWITCH=1,C2825*(1-I2825)*(1-ADD.DISCOUNT)*(1+MAT.SURCHARGE)/EXC.RATE_2,C2825*(1-I2825)*(1-ADD.DISCOUNT)*(1+MAT.SURCHARGE)*EXC.RATE_2),CURRENCY.FORMAT_2),CURRENCY.FORMAT_2,0)),'DICTIONARY-5'!$A$2))</f>
        <v/>
      </c>
      <c r="N2825" s="535">
        <v>13</v>
      </c>
      <c r="O2825" s="535"/>
      <c r="P2825" s="732" t="str">
        <f>'DICTIONARY-3'!$A$146</f>
        <v>EKN M</v>
      </c>
      <c r="Q2825" s="732" t="str">
        <f>'DICTIONARY-3'!$A$204</f>
        <v>Przepustnica kołnierzowa</v>
      </c>
      <c r="R2825" s="732" t="str">
        <f>CONCATENATE('DICTIONARY-3'!$A$146," ",'DICTIONARY-6'!$A$2," ",UPPER('DICTIONARY-5'!$A$18)," ",'DICTIONARY-2'!$A$2,"600"," ",'DICTIONARY-2'!$A$3,"16"," ","R14",", ",'DICTIONARY-4'!$A$9," d20 (",'DICTIONARY-5'!$A$7," ",'DICTIONARY-4'!$A$7," ","400)")</f>
        <v>EKN M Przep. kołnierz. GAZ DN600 PN16 R14, PWW d20 (dla KR 400)</v>
      </c>
      <c r="S2825" s="733" t="str">
        <f>'DICTIONARY-4'!$A$9</f>
        <v>PWW</v>
      </c>
      <c r="T2825" s="732" t="str">
        <f>'DICTIONARY-4'!$A$25</f>
        <v>Przekładnia z wolnym wałkiem</v>
      </c>
      <c r="U2825" s="734" t="s">
        <v>5757</v>
      </c>
      <c r="V2825" s="735">
        <v>16</v>
      </c>
      <c r="W2825" s="736"/>
      <c r="X2825" s="737"/>
      <c r="Y2825" s="738"/>
      <c r="Z2825" s="739"/>
      <c r="AA2825" s="739"/>
      <c r="AB2825" s="740">
        <v>16</v>
      </c>
      <c r="AC2825" s="741" t="str">
        <f>'DICTIONARY-5'!$A$11&amp;" 14"</f>
        <v>EN 558 szereg 14</v>
      </c>
      <c r="AD2825" s="741" t="str">
        <f>'DICTIONARY-5'!$A$18</f>
        <v>gaz</v>
      </c>
      <c r="AE2825" s="742">
        <v>50</v>
      </c>
      <c r="AF2825" s="743"/>
      <c r="AG2825" s="741" t="str">
        <f>'DICTIONARY-5'!$A$23</f>
        <v>powłoka epoksydowa</v>
      </c>
    </row>
    <row r="2826" spans="1:33" x14ac:dyDescent="0.25">
      <c r="A2826" s="869" t="s">
        <v>2725</v>
      </c>
      <c r="B2826" s="869" t="str">
        <f>'DICTIONARY-5'!$A$2</f>
        <v>na zapytanie</v>
      </c>
      <c r="C2826" s="836" t="s">
        <v>5967</v>
      </c>
      <c r="D2826" s="836"/>
      <c r="E2826" s="836"/>
      <c r="F2826" s="836"/>
      <c r="G2826" s="496" t="s">
        <v>7849</v>
      </c>
      <c r="H2826" s="797" t="str">
        <f>VLOOKUP(G2826,SETTINGS!$B$7:$D$97,2,0)</f>
        <v>STREET CAPS</v>
      </c>
      <c r="I2826" s="796">
        <f>VLOOKUP(G2826,SETTINGS!$B$7:$D$97,3,0)</f>
        <v>0</v>
      </c>
      <c r="J2826" s="670" t="str">
        <f>IFERROR(IF(CURRENCY.FORMAT_1=0,CONCATENATE(TEXT(FIXED(ROUND((C2826/EXC.RATE_1),CURRENCY.FORMAT_1),CURRENCY.FORMAT_1,1),"# ##0;-# ##0"),",-"),FIXED(ROUND((C2826/EXC.RATE_1),CURRENCY.FORMAT_1),CURRENCY.FORMAT_1,0)),'DICTIONARY-5'!$A$2)</f>
        <v>na zapytanie</v>
      </c>
      <c r="K2826" s="670" t="str">
        <f>IF(EXC.RATE_2=0,"",IFERROR(IF(CURRENCY.FORMAT_2=0,CONCATENATE(TEXT(FIXED(ROUND(IF(EXC.RATE.SWITCH=1,C2826/EXC.RATE_2,C2826*EXC.RATE_2),CURRENCY.FORMAT_2),CURRENCY.FORMAT_2,1),"# ##0;-# ##0"),",-"),FIXED(ROUND(IF(EXC.RATE.SWITCH=1,C2826/EXC.RATE_2,C2826*EXC.RATE_2),CURRENCY.FORMAT_2),CURRENCY.FORMAT_2,0)),'DICTIONARY-5'!$A$2))</f>
        <v/>
      </c>
      <c r="L2826" s="670" t="str">
        <f>IFERROR(IF(CURRENCY.FORMAT_1=0,CONCATENATE(TEXT(FIXED(ROUND((C2826*(1-I2826)*(1-ADD.DISCOUNT)*(1+MAT.SURCHARGE)/EXC.RATE_1),CURRENCY.FORMAT_1),CURRENCY.FORMAT_1,1),"# ##0;-# ##0"),",-"),FIXED(ROUND((C2826*(1-I2826)*(1-ADD.DISCOUNT)*(1+MAT.SURCHARGE)/EXC.RATE_1),CURRENCY.FORMAT_1),CURRENCY.FORMAT_1,0)),'DICTIONARY-5'!$A$2)</f>
        <v>na zapytanie</v>
      </c>
      <c r="M2826" s="670" t="str">
        <f>IF(EXC.RATE_2=0,"",IFERROR(IF(CURRENCY.FORMAT_2=0,CONCATENATE(TEXT(FIXED(ROUND(IF(EXC.RATE.SWITCH=1,C2826*(1-I2826)*(1-ADD.DISCOUNT)*(1+MAT.SURCHARGE)/EXC.RATE_2,C2826*(1-I2826)*(1-ADD.DISCOUNT)*(1+MAT.SURCHARGE)*EXC.RATE_2),CURRENCY.FORMAT_2),CURRENCY.FORMAT_2,1),"# ##0;-# ##0"),",-"),FIXED(ROUND(IF(EXC.RATE.SWITCH=1,C2826*(1-I2826)*(1-ADD.DISCOUNT)*(1+MAT.SURCHARGE)/EXC.RATE_2,C2826*(1-I2826)*(1-ADD.DISCOUNT)*(1+MAT.SURCHARGE)*EXC.RATE_2),CURRENCY.FORMAT_2),CURRENCY.FORMAT_2,0)),'DICTIONARY-5'!$A$2))</f>
        <v/>
      </c>
      <c r="N2826" s="534">
        <v>13</v>
      </c>
      <c r="O2826" s="534"/>
      <c r="P2826" s="732" t="str">
        <f>'DICTIONARY-3'!$A$129</f>
        <v>RAMBO</v>
      </c>
      <c r="Q2826" s="732" t="str">
        <f>'DICTIONARY-3'!$A$220</f>
        <v>Skrzynka</v>
      </c>
      <c r="R2826" s="732" t="str">
        <f>CONCATENATE('DICTIONARY-3'!$A$129," ",'DICTIONARY-3'!$A$220," ",LOWER('DICTIONARY-5'!$A$165)," ",UPPER('DICTIONARY-5'!$A$18))</f>
        <v>RAMBO Skrzynka zasuwowa GAZ</v>
      </c>
      <c r="S2826" s="733" t="s">
        <v>5569</v>
      </c>
      <c r="T2826" s="732" t="s">
        <v>5569</v>
      </c>
      <c r="U2826" s="734"/>
      <c r="V2826" s="735"/>
      <c r="W2826" s="736"/>
      <c r="X2826" s="737"/>
      <c r="Y2826" s="738"/>
      <c r="Z2826" s="739"/>
      <c r="AA2826" s="739"/>
      <c r="AB2826" s="740"/>
      <c r="AC2826" s="741"/>
      <c r="AD2826" s="741"/>
      <c r="AE2826" s="742"/>
      <c r="AF2826" s="743"/>
      <c r="AG2826" s="741"/>
    </row>
    <row r="2827" spans="1:33" x14ac:dyDescent="0.25">
      <c r="A2827" s="869" t="s">
        <v>2726</v>
      </c>
      <c r="B2827" s="869" t="s">
        <v>4874</v>
      </c>
      <c r="C2827" s="836">
        <v>23</v>
      </c>
      <c r="D2827" s="836"/>
      <c r="E2827" s="836"/>
      <c r="F2827" s="836"/>
      <c r="G2827" s="496" t="s">
        <v>7849</v>
      </c>
      <c r="H2827" s="797" t="str">
        <f>VLOOKUP(G2827,SETTINGS!$B$7:$D$97,2,0)</f>
        <v>STREET CAPS</v>
      </c>
      <c r="I2827" s="796">
        <f>VLOOKUP(G2827,SETTINGS!$B$7:$D$97,3,0)</f>
        <v>0</v>
      </c>
      <c r="J2827" s="670" t="str">
        <f>IFERROR(IF(CURRENCY.FORMAT_1=0,CONCATENATE(TEXT(FIXED(ROUND((C2827/EXC.RATE_1),CURRENCY.FORMAT_1),CURRENCY.FORMAT_1,1),"# ##0;-# ##0"),",-"),FIXED(ROUND((C2827/EXC.RATE_1),CURRENCY.FORMAT_1),CURRENCY.FORMAT_1,0)),'DICTIONARY-5'!$A$2)</f>
        <v>23,-</v>
      </c>
      <c r="K2827" s="670" t="str">
        <f>IF(EXC.RATE_2=0,"",IFERROR(IF(CURRENCY.FORMAT_2=0,CONCATENATE(TEXT(FIXED(ROUND(IF(EXC.RATE.SWITCH=1,C2827/EXC.RATE_2,C2827*EXC.RATE_2),CURRENCY.FORMAT_2),CURRENCY.FORMAT_2,1),"# ##0;-# ##0"),",-"),FIXED(ROUND(IF(EXC.RATE.SWITCH=1,C2827/EXC.RATE_2,C2827*EXC.RATE_2),CURRENCY.FORMAT_2),CURRENCY.FORMAT_2,0)),'DICTIONARY-5'!$A$2))</f>
        <v/>
      </c>
      <c r="L2827" s="670" t="str">
        <f>IFERROR(IF(CURRENCY.FORMAT_1=0,CONCATENATE(TEXT(FIXED(ROUND((C2827*(1-I2827)*(1-ADD.DISCOUNT)*(1+MAT.SURCHARGE)/EXC.RATE_1),CURRENCY.FORMAT_1),CURRENCY.FORMAT_1,1),"# ##0;-# ##0"),",-"),FIXED(ROUND((C2827*(1-I2827)*(1-ADD.DISCOUNT)*(1+MAT.SURCHARGE)/EXC.RATE_1),CURRENCY.FORMAT_1),CURRENCY.FORMAT_1,0)),'DICTIONARY-5'!$A$2)</f>
        <v>24,-</v>
      </c>
      <c r="M2827" s="670" t="str">
        <f>IF(EXC.RATE_2=0,"",IFERROR(IF(CURRENCY.FORMAT_2=0,CONCATENATE(TEXT(FIXED(ROUND(IF(EXC.RATE.SWITCH=1,C2827*(1-I2827)*(1-ADD.DISCOUNT)*(1+MAT.SURCHARGE)/EXC.RATE_2,C2827*(1-I2827)*(1-ADD.DISCOUNT)*(1+MAT.SURCHARGE)*EXC.RATE_2),CURRENCY.FORMAT_2),CURRENCY.FORMAT_2,1),"# ##0;-# ##0"),",-"),FIXED(ROUND(IF(EXC.RATE.SWITCH=1,C2827*(1-I2827)*(1-ADD.DISCOUNT)*(1+MAT.SURCHARGE)/EXC.RATE_2,C2827*(1-I2827)*(1-ADD.DISCOUNT)*(1+MAT.SURCHARGE)*EXC.RATE_2),CURRENCY.FORMAT_2),CURRENCY.FORMAT_2,0)),'DICTIONARY-5'!$A$2))</f>
        <v/>
      </c>
      <c r="N2827" s="534">
        <v>13</v>
      </c>
      <c r="O2827" s="534"/>
      <c r="P2827" s="732" t="str">
        <f>'DICTIONARY-3'!$A$129</f>
        <v>RAMBO</v>
      </c>
      <c r="Q2827" s="732" t="str">
        <f>'DICTIONARY-3'!$A$220</f>
        <v>Skrzynka</v>
      </c>
      <c r="R2827" s="732" t="str">
        <f>CONCATENATE('DICTIONARY-3'!$A$129," ",'DICTIONARY-3'!$A$220," ",LOWER('DICTIONARY-5'!$A$166)," ",UPPER('DICTIONARY-5'!$A$18))</f>
        <v>RAMBO Skrzynka zaworowa GAZ</v>
      </c>
      <c r="S2827" s="733" t="s">
        <v>5569</v>
      </c>
      <c r="T2827" s="732" t="s">
        <v>5569</v>
      </c>
      <c r="U2827" s="734"/>
      <c r="V2827" s="735" t="s">
        <v>5569</v>
      </c>
      <c r="W2827" s="736"/>
      <c r="X2827" s="737"/>
      <c r="Y2827" s="738"/>
      <c r="Z2827" s="739"/>
      <c r="AA2827" s="739"/>
      <c r="AB2827" s="740" t="s">
        <v>5569</v>
      </c>
      <c r="AC2827" s="741" t="s">
        <v>5569</v>
      </c>
      <c r="AD2827" s="741" t="s">
        <v>5569</v>
      </c>
      <c r="AE2827" s="742" t="s">
        <v>5569</v>
      </c>
      <c r="AF2827" s="743">
        <v>7.5</v>
      </c>
      <c r="AG2827" s="741"/>
    </row>
    <row r="2828" spans="1:33" x14ac:dyDescent="0.25">
      <c r="A2828" s="869" t="s">
        <v>2727</v>
      </c>
      <c r="B2828" s="869" t="s">
        <v>4875</v>
      </c>
      <c r="C2828" s="836">
        <v>92</v>
      </c>
      <c r="D2828" s="836"/>
      <c r="E2828" s="836"/>
      <c r="F2828" s="836"/>
      <c r="G2828" s="496" t="s">
        <v>7849</v>
      </c>
      <c r="H2828" s="797" t="str">
        <f>VLOOKUP(G2828,SETTINGS!$B$7:$D$97,2,0)</f>
        <v>STREET CAPS</v>
      </c>
      <c r="I2828" s="796">
        <f>VLOOKUP(G2828,SETTINGS!$B$7:$D$97,3,0)</f>
        <v>0</v>
      </c>
      <c r="J2828" s="670" t="str">
        <f>IFERROR(IF(CURRENCY.FORMAT_1=0,CONCATENATE(TEXT(FIXED(ROUND((C2828/EXC.RATE_1),CURRENCY.FORMAT_1),CURRENCY.FORMAT_1,1),"# ##0;-# ##0"),",-"),FIXED(ROUND((C2828/EXC.RATE_1),CURRENCY.FORMAT_1),CURRENCY.FORMAT_1,0)),'DICTIONARY-5'!$A$2)</f>
        <v>92,-</v>
      </c>
      <c r="K2828" s="670" t="str">
        <f>IF(EXC.RATE_2=0,"",IFERROR(IF(CURRENCY.FORMAT_2=0,CONCATENATE(TEXT(FIXED(ROUND(IF(EXC.RATE.SWITCH=1,C2828/EXC.RATE_2,C2828*EXC.RATE_2),CURRENCY.FORMAT_2),CURRENCY.FORMAT_2,1),"# ##0;-# ##0"),",-"),FIXED(ROUND(IF(EXC.RATE.SWITCH=1,C2828/EXC.RATE_2,C2828*EXC.RATE_2),CURRENCY.FORMAT_2),CURRENCY.FORMAT_2,0)),'DICTIONARY-5'!$A$2))</f>
        <v/>
      </c>
      <c r="L2828" s="670" t="str">
        <f>IFERROR(IF(CURRENCY.FORMAT_1=0,CONCATENATE(TEXT(FIXED(ROUND((C2828*(1-I2828)*(1-ADD.DISCOUNT)*(1+MAT.SURCHARGE)/EXC.RATE_1),CURRENCY.FORMAT_1),CURRENCY.FORMAT_1,1),"# ##0;-# ##0"),",-"),FIXED(ROUND((C2828*(1-I2828)*(1-ADD.DISCOUNT)*(1+MAT.SURCHARGE)/EXC.RATE_1),CURRENCY.FORMAT_1),CURRENCY.FORMAT_1,0)),'DICTIONARY-5'!$A$2)</f>
        <v>96,-</v>
      </c>
      <c r="M2828" s="670" t="str">
        <f>IF(EXC.RATE_2=0,"",IFERROR(IF(CURRENCY.FORMAT_2=0,CONCATENATE(TEXT(FIXED(ROUND(IF(EXC.RATE.SWITCH=1,C2828*(1-I2828)*(1-ADD.DISCOUNT)*(1+MAT.SURCHARGE)/EXC.RATE_2,C2828*(1-I2828)*(1-ADD.DISCOUNT)*(1+MAT.SURCHARGE)*EXC.RATE_2),CURRENCY.FORMAT_2),CURRENCY.FORMAT_2,1),"# ##0;-# ##0"),",-"),FIXED(ROUND(IF(EXC.RATE.SWITCH=1,C2828*(1-I2828)*(1-ADD.DISCOUNT)*(1+MAT.SURCHARGE)/EXC.RATE_2,C2828*(1-I2828)*(1-ADD.DISCOUNT)*(1+MAT.SURCHARGE)*EXC.RATE_2),CURRENCY.FORMAT_2),CURRENCY.FORMAT_2,0)),'DICTIONARY-5'!$A$2))</f>
        <v/>
      </c>
      <c r="N2828" s="534">
        <v>13</v>
      </c>
      <c r="O2828" s="534"/>
      <c r="P2828" s="732" t="str">
        <f>'DICTIONARY-3'!$A$129</f>
        <v>RAMBO</v>
      </c>
      <c r="Q2828" s="732" t="str">
        <f>'DICTIONARY-3'!$A$220</f>
        <v>Skrzynka</v>
      </c>
      <c r="R2828" s="732" t="str">
        <f>CONCATENATE('DICTIONARY-3'!$A$129," ",'DICTIONARY-3'!$A$220," ",LOWER('DICTIONARY-5'!$A$168)," (",LOWER('DICTIONARY-5'!$A$167),")"," ",UPPER('DICTIONARY-5'!$A$18))</f>
        <v>RAMBO Skrzynka owalna (hydrantowa) GAZ</v>
      </c>
      <c r="S2828" s="733" t="s">
        <v>5569</v>
      </c>
      <c r="T2828" s="732" t="s">
        <v>5569</v>
      </c>
      <c r="U2828" s="734"/>
      <c r="V2828" s="735" t="s">
        <v>5569</v>
      </c>
      <c r="W2828" s="736"/>
      <c r="X2828" s="737"/>
      <c r="Y2828" s="738"/>
      <c r="Z2828" s="739"/>
      <c r="AA2828" s="739"/>
      <c r="AB2828" s="740" t="s">
        <v>5569</v>
      </c>
      <c r="AC2828" s="741"/>
      <c r="AD2828" s="741" t="s">
        <v>5569</v>
      </c>
      <c r="AE2828" s="742" t="s">
        <v>5569</v>
      </c>
      <c r="AF2828" s="743">
        <v>21</v>
      </c>
      <c r="AG2828" s="741"/>
    </row>
  </sheetData>
  <sheetProtection algorithmName="SHA-512" hashValue="MN/kiFfpB3ufQfnPyh4xf1aZNnldfYc9upMPAjAAqxU1Db0KZcq81LWKny+xk9Qgtc+VRGdRJO1SKVzpBh6W7Q==" saltValue="+zYeGPxeoIg2fGYq9h4eVA==" spinCount="100000" sheet="1" objects="1" scenarios="1" autoFilter="0"/>
  <autoFilter ref="A5:AG2828" xr:uid="{00000000-0009-0000-0000-00000A000000}"/>
  <sortState xmlns:xlrd2="http://schemas.microsoft.com/office/spreadsheetml/2017/richdata2" ref="A2808:AH2825">
    <sortCondition ref="U2808:U2825"/>
    <sortCondition ref="V2808:V2825"/>
  </sortState>
  <mergeCells count="13">
    <mergeCell ref="B3:B4"/>
    <mergeCell ref="A3:A4"/>
    <mergeCell ref="L3:M3"/>
    <mergeCell ref="J3:K3"/>
    <mergeCell ref="G3:H4"/>
    <mergeCell ref="V3:V4"/>
    <mergeCell ref="AC3:AC4"/>
    <mergeCell ref="AD3:AD4"/>
    <mergeCell ref="AG3:AG4"/>
    <mergeCell ref="P3:P4"/>
    <mergeCell ref="Q3:Q4"/>
    <mergeCell ref="R3:R4"/>
    <mergeCell ref="S3:T3"/>
  </mergeCells>
  <phoneticPr fontId="87" type="noConversion"/>
  <conditionalFormatting sqref="O420:O827 O836:O896 O898:O1570 O1:O410 O1621:O1048576">
    <cfRule type="containsText" dxfId="9" priority="25" operator="containsText" text="x">
      <formula>NOT(ISERROR(SEARCH("x",O1)))</formula>
    </cfRule>
  </conditionalFormatting>
  <conditionalFormatting sqref="O897">
    <cfRule type="containsText" dxfId="8" priority="16" operator="containsText" text="x">
      <formula>NOT(ISERROR(SEARCH("x",O897)))</formula>
    </cfRule>
  </conditionalFormatting>
  <conditionalFormatting sqref="O411:O419">
    <cfRule type="containsText" dxfId="7" priority="14" operator="containsText" text="x">
      <formula>NOT(ISERROR(SEARCH("x",O411)))</formula>
    </cfRule>
  </conditionalFormatting>
  <conditionalFormatting sqref="G898:G1547 G422:G827 G836:G896 G1548:H1570 H196:H1547 G196:G400 G6:H195 G1621:H2828">
    <cfRule type="cellIs" dxfId="6" priority="11" operator="equal">
      <formula>0</formula>
    </cfRule>
  </conditionalFormatting>
  <conditionalFormatting sqref="G897">
    <cfRule type="cellIs" dxfId="5" priority="10" operator="equal">
      <formula>0</formula>
    </cfRule>
  </conditionalFormatting>
  <conditionalFormatting sqref="G401:G421">
    <cfRule type="cellIs" dxfId="4" priority="9" operator="equal">
      <formula>0</formula>
    </cfRule>
  </conditionalFormatting>
  <conditionalFormatting sqref="O828:O835">
    <cfRule type="containsText" dxfId="3" priority="8" operator="containsText" text="x">
      <formula>NOT(ISERROR(SEARCH("x",O828)))</formula>
    </cfRule>
  </conditionalFormatting>
  <conditionalFormatting sqref="G828:G835">
    <cfRule type="cellIs" dxfId="2" priority="7" operator="equal">
      <formula>0</formula>
    </cfRule>
  </conditionalFormatting>
  <conditionalFormatting sqref="O1571:O1620">
    <cfRule type="containsText" dxfId="1" priority="4" operator="containsText" text="x">
      <formula>NOT(ISERROR(SEARCH("x",O1571)))</formula>
    </cfRule>
  </conditionalFormatting>
  <conditionalFormatting sqref="G1571:H1620">
    <cfRule type="cellIs" dxfId="0" priority="3" operator="equal">
      <formula>0</formula>
    </cfRule>
  </conditionalFormatting>
  <pageMargins left="0.23622047244094491" right="0.23622047244094491" top="0.47244094488188981" bottom="0.23622047244094491" header="0.23622047244094491" footer="0"/>
  <pageSetup paperSize="9" orientation="landscape" horizontalDpi="1200" verticalDpi="1200" r:id="rId1"/>
  <headerFooter>
    <oddHeader>&amp;LVAG Pricelist 2022 | Territory: VAG-HD CZ
Date: 1. 12. 2021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0</xdr:col>
                    <xdr:colOff>57150</xdr:colOff>
                    <xdr:row>0</xdr:row>
                    <xdr:rowOff>161925</xdr:rowOff>
                  </from>
                  <to>
                    <xdr:col>1</xdr:col>
                    <xdr:colOff>0</xdr:colOff>
                    <xdr:row>0</xdr:row>
                    <xdr:rowOff>428625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0">
    <tabColor rgb="FF0F6E23"/>
  </sheetPr>
  <dimension ref="A1:K24"/>
  <sheetViews>
    <sheetView workbookViewId="0"/>
  </sheetViews>
  <sheetFormatPr defaultColWidth="9.140625" defaultRowHeight="15" x14ac:dyDescent="0.25"/>
  <cols>
    <col min="1" max="3" width="9.140625" style="278"/>
    <col min="4" max="5" width="22.140625" style="278" customWidth="1"/>
    <col min="6" max="7" width="12.85546875" style="276" customWidth="1"/>
    <col min="8" max="9" width="22.140625" style="278" customWidth="1"/>
    <col min="10" max="11" width="12.85546875" style="276" customWidth="1"/>
    <col min="12" max="16384" width="9.140625" style="277"/>
  </cols>
  <sheetData>
    <row r="1" spans="1:11" s="391" customFormat="1" ht="45" customHeight="1" thickBot="1" x14ac:dyDescent="0.3">
      <c r="A1" s="424"/>
      <c r="B1" s="424"/>
      <c r="C1" s="424"/>
      <c r="D1" s="424"/>
      <c r="E1" s="392"/>
      <c r="F1" s="393"/>
      <c r="G1" s="393"/>
      <c r="H1" s="392"/>
      <c r="I1" s="392"/>
      <c r="J1" s="393"/>
      <c r="K1" s="393"/>
    </row>
    <row r="2" spans="1:11" s="444" customFormat="1" ht="4.5" customHeight="1" x14ac:dyDescent="0.25">
      <c r="A2" s="443"/>
      <c r="B2" s="445"/>
      <c r="C2" s="445"/>
      <c r="D2" s="445"/>
      <c r="E2" s="445"/>
      <c r="F2" s="446"/>
      <c r="G2" s="446"/>
      <c r="H2" s="445"/>
      <c r="I2" s="445"/>
      <c r="J2" s="446"/>
      <c r="K2" s="446"/>
    </row>
    <row r="3" spans="1:11" ht="15.75" thickBot="1" x14ac:dyDescent="0.3">
      <c r="A3" s="294"/>
      <c r="B3" s="295"/>
      <c r="C3" s="295"/>
    </row>
    <row r="4" spans="1:11" ht="15.75" thickBot="1" x14ac:dyDescent="0.3">
      <c r="A4" s="818">
        <f>ADD.DISCOUNT</f>
        <v>0</v>
      </c>
      <c r="B4" s="933" t="str">
        <f>HYPERLINK("#'LIST'!ADD.DISCOUNT","» "&amp;'DICTIONARY-1'!$A$5)</f>
        <v>» Ustaw globalny dodatkowy rabat</v>
      </c>
      <c r="C4" s="1081"/>
      <c r="D4" s="1081"/>
      <c r="E4" s="1082"/>
    </row>
    <row r="5" spans="1:11" x14ac:dyDescent="0.25">
      <c r="A5" s="294"/>
      <c r="B5" s="295"/>
      <c r="C5" s="295"/>
    </row>
    <row r="6" spans="1:11" ht="16.5" thickBot="1" x14ac:dyDescent="0.3">
      <c r="A6" s="712" t="str">
        <f>CONCATENATE('DICTIONARY-3'!$A$148," ",'DICTIONARY-3'!$A$204," / ",'DICTIONARY-3'!$A$326," / ",UPPER('DICTIONARY-5'!$A$18))</f>
        <v>CEREX 300-L Przepustnica kołnierzowa / Z przekładnią i kółkiem ręcznym / GAZ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80" t="str">
        <f>'DICTIONARY-5'!$A$145</f>
        <v>Typ Lug z otworami centrującymi do montażu na śruby</v>
      </c>
    </row>
    <row r="8" spans="1:11" x14ac:dyDescent="0.25">
      <c r="A8" s="279" t="str">
        <f>CONCATENATE('DICTIONARY-1'!$A$10,": ",SETTINGS!$C$42)</f>
        <v>Grupa rabatowa: CEREX 300</v>
      </c>
    </row>
    <row r="9" spans="1:11" x14ac:dyDescent="0.25">
      <c r="A9" s="280"/>
    </row>
    <row r="10" spans="1:11" x14ac:dyDescent="0.25">
      <c r="A10" s="281" t="str">
        <f>'DICTIONARY-2'!$A$2</f>
        <v>DN</v>
      </c>
      <c r="B10" s="281" t="str">
        <f>'DICTIONARY-2'!$A$3</f>
        <v>PN</v>
      </c>
      <c r="C10" s="281" t="str">
        <f>'DICTIONARY-2'!$A$24</f>
        <v>L</v>
      </c>
      <c r="D10" s="1079" t="str">
        <f>'DICTIONARY-3'!$A$148</f>
        <v>CEREX 300-L</v>
      </c>
      <c r="E10" s="1079"/>
      <c r="F10" s="1079"/>
      <c r="G10" s="1079"/>
      <c r="H10" s="1079" t="str">
        <f>'DICTIONARY-3'!$A$148</f>
        <v>CEREX 300-L</v>
      </c>
      <c r="I10" s="1079"/>
      <c r="J10" s="1079"/>
      <c r="K10" s="1079"/>
    </row>
    <row r="11" spans="1:11" x14ac:dyDescent="0.25">
      <c r="A11" s="290"/>
      <c r="B11" s="290"/>
      <c r="C11" s="290"/>
      <c r="D11" s="1080" t="str">
        <f>'DICTIONARY-5'!$A$43&amp;": "&amp;'DICTIONARY-5'!$A$45&amp;", "&amp;'DICTIONARY-5'!$A$147&amp;": "&amp;'DICTIONARY-5'!$A$50</f>
        <v xml:space="preserve">guma: NBR, dysk: żeliwo sferoidalne </v>
      </c>
      <c r="E11" s="1080"/>
      <c r="F11" s="1080"/>
      <c r="G11" s="1080"/>
      <c r="H11" s="1080" t="str">
        <f>'DICTIONARY-5'!$A$43&amp;": "&amp;'DICTIONARY-5'!$A$45&amp;", "&amp;'DICTIONARY-5'!$A$147&amp;": "&amp;'DICTIONARY-5'!$A$32</f>
        <v>guma: NBR, dysk: stal nierdzewna</v>
      </c>
      <c r="I11" s="1080"/>
      <c r="J11" s="1080"/>
      <c r="K11" s="1080"/>
    </row>
    <row r="12" spans="1:11" x14ac:dyDescent="0.25">
      <c r="A12" s="282"/>
      <c r="B12" s="282"/>
      <c r="C12" s="282" t="str">
        <f>'DICTIONARY-2'!$A$18</f>
        <v>[mm]</v>
      </c>
      <c r="D12" s="283" t="str">
        <f>'DICTIONARY-2'!$A$28</f>
        <v>stary nr zamówienia</v>
      </c>
      <c r="E12" s="283" t="str">
        <f>'DICTIONARY-2'!$A$29</f>
        <v>nowy nr zamówienia</v>
      </c>
      <c r="F12" s="284" t="str">
        <f>CURRENCY.CODE_1</f>
        <v>EUR</v>
      </c>
      <c r="G12" s="284" t="str">
        <f>CURRENCY.CODE_2</f>
        <v>---</v>
      </c>
      <c r="H12" s="283" t="str">
        <f>'DICTIONARY-2'!$A$28</f>
        <v>stary nr zamówienia</v>
      </c>
      <c r="I12" s="283" t="str">
        <f>'DICTIONARY-2'!$A$29</f>
        <v>nowy nr zamówienia</v>
      </c>
      <c r="J12" s="284" t="str">
        <f>CURRENCY.CODE_1</f>
        <v>EUR</v>
      </c>
      <c r="K12" s="284" t="str">
        <f>CURRENCY.CODE_2</f>
        <v>---</v>
      </c>
    </row>
    <row r="13" spans="1:11" x14ac:dyDescent="0.25">
      <c r="A13" s="286">
        <v>50</v>
      </c>
      <c r="B13" s="286" t="s">
        <v>1614</v>
      </c>
      <c r="C13" s="286">
        <v>43</v>
      </c>
      <c r="D13" s="286" t="s">
        <v>1659</v>
      </c>
      <c r="E13" s="305" t="s">
        <v>3876</v>
      </c>
      <c r="F13" s="339" t="str">
        <f>IFERROR(IF(OR(E13='DICTIONARY-5'!$A$2,E13='DICTIONARY-5'!$A$4,ISBLANK(E13)),VLOOKUP(D13,LIST!$A$6:$L$3250,CURR_1.SEARCH.OLD,0),VLOOKUP(E13,LIST!$B$6:$L$3250,CURR_1.SEARCH.NEW,0)),'DICTIONARY-5'!$A$2)</f>
        <v>259,-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286" t="s">
        <v>1660</v>
      </c>
      <c r="I13" s="305" t="s">
        <v>3820</v>
      </c>
      <c r="J13" s="339" t="str">
        <f>IFERROR(IF(OR(I13='DICTIONARY-5'!$A$2,I13='DICTIONARY-5'!$A$4,ISBLANK(I13)),VLOOKUP(H13,LIST!$A$6:$L$3250,CURR_1.SEARCH.OLD,0),VLOOKUP(I13,LIST!$B$6:$L$3250,CURR_1.SEARCH.NEW,0)),'DICTIONARY-5'!$A$2)</f>
        <v>258,-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286">
        <v>65</v>
      </c>
      <c r="B14" s="286" t="s">
        <v>1614</v>
      </c>
      <c r="C14" s="286">
        <v>46</v>
      </c>
      <c r="D14" s="286" t="s">
        <v>1661</v>
      </c>
      <c r="E14" s="305" t="s">
        <v>3882</v>
      </c>
      <c r="F14" s="339" t="str">
        <f>IFERROR(IF(OR(E14='DICTIONARY-5'!$A$2,E14='DICTIONARY-5'!$A$4,ISBLANK(E14)),VLOOKUP(D14,LIST!$A$6:$L$3250,CURR_1.SEARCH.OLD,0),VLOOKUP(E14,LIST!$B$6:$L$3250,CURR_1.SEARCH.NEW,0)),'DICTIONARY-5'!$A$2)</f>
        <v>269,-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286" t="s">
        <v>1662</v>
      </c>
      <c r="I14" s="305" t="s">
        <v>3826</v>
      </c>
      <c r="J14" s="339" t="str">
        <f>IFERROR(IF(OR(I14='DICTIONARY-5'!$A$2,I14='DICTIONARY-5'!$A$4,ISBLANK(I14)),VLOOKUP(H14,LIST!$A$6:$L$3250,CURR_1.SEARCH.OLD,0),VLOOKUP(I14,LIST!$B$6:$L$3250,CURR_1.SEARCH.NEW,0)),'DICTIONARY-5'!$A$2)</f>
        <v>271,-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286">
        <v>80</v>
      </c>
      <c r="B15" s="286" t="s">
        <v>1614</v>
      </c>
      <c r="C15" s="286">
        <v>46</v>
      </c>
      <c r="D15" s="286" t="s">
        <v>1663</v>
      </c>
      <c r="E15" s="305" t="s">
        <v>3888</v>
      </c>
      <c r="F15" s="339" t="str">
        <f>IFERROR(IF(OR(E15='DICTIONARY-5'!$A$2,E15='DICTIONARY-5'!$A$4,ISBLANK(E15)),VLOOKUP(D15,LIST!$A$6:$L$3250,CURR_1.SEARCH.OLD,0),VLOOKUP(E15,LIST!$B$6:$L$3250,CURR_1.SEARCH.NEW,0)),'DICTIONARY-5'!$A$2)</f>
        <v>300,-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286" t="s">
        <v>1664</v>
      </c>
      <c r="I15" s="305" t="s">
        <v>3832</v>
      </c>
      <c r="J15" s="339" t="str">
        <f>IFERROR(IF(OR(I15='DICTIONARY-5'!$A$2,I15='DICTIONARY-5'!$A$4,ISBLANK(I15)),VLOOKUP(H15,LIST!$A$6:$L$3250,CURR_1.SEARCH.OLD,0),VLOOKUP(I15,LIST!$B$6:$L$3250,CURR_1.SEARCH.NEW,0)),'DICTIONARY-5'!$A$2)</f>
        <v>305,-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286">
        <v>100</v>
      </c>
      <c r="B16" s="286" t="s">
        <v>1614</v>
      </c>
      <c r="C16" s="286">
        <v>52</v>
      </c>
      <c r="D16" s="286" t="s">
        <v>1665</v>
      </c>
      <c r="E16" s="305" t="s">
        <v>3894</v>
      </c>
      <c r="F16" s="339" t="str">
        <f>IFERROR(IF(OR(E16='DICTIONARY-5'!$A$2,E16='DICTIONARY-5'!$A$4,ISBLANK(E16)),VLOOKUP(D16,LIST!$A$6:$L$3250,CURR_1.SEARCH.OLD,0),VLOOKUP(E16,LIST!$B$6:$L$3250,CURR_1.SEARCH.NEW,0)),'DICTIONARY-5'!$A$2)</f>
        <v>335,-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286" t="s">
        <v>1666</v>
      </c>
      <c r="I16" s="305" t="s">
        <v>3838</v>
      </c>
      <c r="J16" s="339" t="str">
        <f>IFERROR(IF(OR(I16='DICTIONARY-5'!$A$2,I16='DICTIONARY-5'!$A$4,ISBLANK(I16)),VLOOKUP(H16,LIST!$A$6:$L$3250,CURR_1.SEARCH.OLD,0),VLOOKUP(I16,LIST!$B$6:$L$3250,CURR_1.SEARCH.NEW,0)),'DICTIONARY-5'!$A$2)</f>
        <v>341,-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286">
        <v>125</v>
      </c>
      <c r="B17" s="286" t="s">
        <v>1614</v>
      </c>
      <c r="C17" s="286">
        <v>56</v>
      </c>
      <c r="D17" s="286" t="s">
        <v>1667</v>
      </c>
      <c r="E17" s="305" t="s">
        <v>3900</v>
      </c>
      <c r="F17" s="339" t="str">
        <f>IFERROR(IF(OR(E17='DICTIONARY-5'!$A$2,E17='DICTIONARY-5'!$A$4,ISBLANK(E17)),VLOOKUP(D17,LIST!$A$6:$L$3250,CURR_1.SEARCH.OLD,0),VLOOKUP(E17,LIST!$B$6:$L$3250,CURR_1.SEARCH.NEW,0)),'DICTIONARY-5'!$A$2)</f>
        <v>367,-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286" t="s">
        <v>1668</v>
      </c>
      <c r="I17" s="305" t="s">
        <v>3844</v>
      </c>
      <c r="J17" s="339" t="str">
        <f>IFERROR(IF(OR(I17='DICTIONARY-5'!$A$2,I17='DICTIONARY-5'!$A$4,ISBLANK(I17)),VLOOKUP(H17,LIST!$A$6:$L$3250,CURR_1.SEARCH.OLD,0),VLOOKUP(I17,LIST!$B$6:$L$3250,CURR_1.SEARCH.NEW,0)),'DICTIONARY-5'!$A$2)</f>
        <v>382,-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286">
        <v>150</v>
      </c>
      <c r="B18" s="286" t="s">
        <v>1614</v>
      </c>
      <c r="C18" s="286">
        <v>56</v>
      </c>
      <c r="D18" s="286" t="s">
        <v>1669</v>
      </c>
      <c r="E18" s="305" t="s">
        <v>3906</v>
      </c>
      <c r="F18" s="339" t="str">
        <f>IFERROR(IF(OR(E18='DICTIONARY-5'!$A$2,E18='DICTIONARY-5'!$A$4,ISBLANK(E18)),VLOOKUP(D18,LIST!$A$6:$L$3250,CURR_1.SEARCH.OLD,0),VLOOKUP(E18,LIST!$B$6:$L$3250,CURR_1.SEARCH.NEW,0)),'DICTIONARY-5'!$A$2)</f>
        <v>475,-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286" t="s">
        <v>1670</v>
      </c>
      <c r="I18" s="305" t="s">
        <v>3850</v>
      </c>
      <c r="J18" s="339" t="str">
        <f>IFERROR(IF(OR(I18='DICTIONARY-5'!$A$2,I18='DICTIONARY-5'!$A$4,ISBLANK(I18)),VLOOKUP(H18,LIST!$A$6:$L$3250,CURR_1.SEARCH.OLD,0),VLOOKUP(I18,LIST!$B$6:$L$3250,CURR_1.SEARCH.NEW,0)),'DICTIONARY-5'!$A$2)</f>
        <v>513,-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286">
        <v>200</v>
      </c>
      <c r="B19" s="286">
        <v>10</v>
      </c>
      <c r="C19" s="286">
        <v>60</v>
      </c>
      <c r="D19" s="286" t="s">
        <v>1671</v>
      </c>
      <c r="E19" s="305" t="s">
        <v>3956</v>
      </c>
      <c r="F19" s="339" t="str">
        <f>IFERROR(IF(OR(E19='DICTIONARY-5'!$A$2,E19='DICTIONARY-5'!$A$4,ISBLANK(E19)),VLOOKUP(D19,LIST!$A$6:$L$3250,CURR_1.SEARCH.OLD,0),VLOOKUP(E19,LIST!$B$6:$L$3250,CURR_1.SEARCH.NEW,0)),'DICTIONARY-5'!$A$2)</f>
        <v>621,-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286" t="s">
        <v>1672</v>
      </c>
      <c r="I19" s="305" t="s">
        <v>3932</v>
      </c>
      <c r="J19" s="339" t="str">
        <f>IFERROR(IF(OR(I19='DICTIONARY-5'!$A$2,I19='DICTIONARY-5'!$A$4,ISBLANK(I19)),VLOOKUP(H19,LIST!$A$6:$L$3250,CURR_1.SEARCH.OLD,0),VLOOKUP(I19,LIST!$B$6:$L$3250,CURR_1.SEARCH.NEW,0)),'DICTIONARY-5'!$A$2)</f>
        <v>677,-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286">
        <v>200</v>
      </c>
      <c r="B20" s="286">
        <v>16</v>
      </c>
      <c r="C20" s="286">
        <v>60</v>
      </c>
      <c r="D20" s="286" t="s">
        <v>1673</v>
      </c>
      <c r="E20" s="305" t="s">
        <v>3912</v>
      </c>
      <c r="F20" s="339" t="str">
        <f>IFERROR(IF(OR(E20='DICTIONARY-5'!$A$2,E20='DICTIONARY-5'!$A$4,ISBLANK(E20)),VLOOKUP(D20,LIST!$A$6:$L$3250,CURR_1.SEARCH.OLD,0),VLOOKUP(E20,LIST!$B$6:$L$3250,CURR_1.SEARCH.NEW,0)),'DICTIONARY-5'!$A$2)</f>
        <v>671,-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286" t="s">
        <v>1674</v>
      </c>
      <c r="I20" s="305" t="s">
        <v>3856</v>
      </c>
      <c r="J20" s="339" t="str">
        <f>IFERROR(IF(OR(I20='DICTIONARY-5'!$A$2,I20='DICTIONARY-5'!$A$4,ISBLANK(I20)),VLOOKUP(H20,LIST!$A$6:$L$3250,CURR_1.SEARCH.OLD,0),VLOOKUP(I20,LIST!$B$6:$L$3250,CURR_1.SEARCH.NEW,0)),'DICTIONARY-5'!$A$2)</f>
        <v>727,-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A21" s="286">
        <v>250</v>
      </c>
      <c r="B21" s="286">
        <v>10</v>
      </c>
      <c r="C21" s="286">
        <v>68</v>
      </c>
      <c r="D21" s="286" t="s">
        <v>1675</v>
      </c>
      <c r="E21" s="305" t="s">
        <v>3960</v>
      </c>
      <c r="F21" s="339" t="str">
        <f>IFERROR(IF(OR(E21='DICTIONARY-5'!$A$2,E21='DICTIONARY-5'!$A$4,ISBLANK(E21)),VLOOKUP(D21,LIST!$A$6:$L$3250,CURR_1.SEARCH.OLD,0),VLOOKUP(E21,LIST!$B$6:$L$3250,CURR_1.SEARCH.NEW,0)),'DICTIONARY-5'!$A$2)</f>
        <v>699,-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286" t="s">
        <v>1676</v>
      </c>
      <c r="I21" s="305" t="s">
        <v>3936</v>
      </c>
      <c r="J21" s="339" t="str">
        <f>IFERROR(IF(OR(I21='DICTIONARY-5'!$A$2,I21='DICTIONARY-5'!$A$4,ISBLANK(I21)),VLOOKUP(H21,LIST!$A$6:$L$3250,CURR_1.SEARCH.OLD,0),VLOOKUP(I21,LIST!$B$6:$L$3250,CURR_1.SEARCH.NEW,0)),'DICTIONARY-5'!$A$2)</f>
        <v>852,-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2" spans="1:11" x14ac:dyDescent="0.25">
      <c r="A22" s="286">
        <v>250</v>
      </c>
      <c r="B22" s="286">
        <v>16</v>
      </c>
      <c r="C22" s="286">
        <v>68</v>
      </c>
      <c r="D22" s="286" t="s">
        <v>1677</v>
      </c>
      <c r="E22" s="305" t="s">
        <v>3916</v>
      </c>
      <c r="F22" s="339" t="str">
        <f>IFERROR(IF(OR(E22='DICTIONARY-5'!$A$2,E22='DICTIONARY-5'!$A$4,ISBLANK(E22)),VLOOKUP(D22,LIST!$A$6:$L$3250,CURR_1.SEARCH.OLD,0),VLOOKUP(E22,LIST!$B$6:$L$3250,CURR_1.SEARCH.NEW,0)),'DICTIONARY-5'!$A$2)</f>
        <v>712,-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286" t="s">
        <v>1678</v>
      </c>
      <c r="I22" s="305" t="s">
        <v>3860</v>
      </c>
      <c r="J22" s="339" t="str">
        <f>IFERROR(IF(OR(I22='DICTIONARY-5'!$A$2,I22='DICTIONARY-5'!$A$4,ISBLANK(I22)),VLOOKUP(H22,LIST!$A$6:$L$3250,CURR_1.SEARCH.OLD,0),VLOOKUP(I22,LIST!$B$6:$L$3250,CURR_1.SEARCH.NEW,0)),'DICTIONARY-5'!$A$2)</f>
        <v>862,-</v>
      </c>
      <c r="K22" s="339" t="str">
        <f>IFERROR(IF(OR(I22='DICTIONARY-5'!$A$2,I22='DICTIONARY-5'!$A$4,ISBLANK(I22)),VLOOKUP(H22,LIST!$A$6:$M$3250,CURR_2.SEARCH.OLD,0),VLOOKUP(I22,LIST!$B$6:$M$3250,CURR_2.SEARCH.NEW,0)),'DICTIONARY-5'!$A$2)</f>
        <v/>
      </c>
    </row>
    <row r="23" spans="1:11" x14ac:dyDescent="0.25">
      <c r="A23" s="286">
        <v>300</v>
      </c>
      <c r="B23" s="286">
        <v>10</v>
      </c>
      <c r="C23" s="286">
        <v>78</v>
      </c>
      <c r="D23" s="286" t="s">
        <v>1679</v>
      </c>
      <c r="E23" s="305" t="s">
        <v>3964</v>
      </c>
      <c r="F23" s="339" t="str">
        <f>IFERROR(IF(OR(E23='DICTIONARY-5'!$A$2,E23='DICTIONARY-5'!$A$4,ISBLANK(E23)),VLOOKUP(D23,LIST!$A$6:$L$3250,CURR_1.SEARCH.OLD,0),VLOOKUP(E23,LIST!$B$6:$L$3250,CURR_1.SEARCH.NEW,0)),'DICTIONARY-5'!$A$2)</f>
        <v>947,-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286" t="s">
        <v>1680</v>
      </c>
      <c r="I23" s="305" t="s">
        <v>3940</v>
      </c>
      <c r="J23" s="339" t="str">
        <f>IFERROR(IF(OR(I23='DICTIONARY-5'!$A$2,I23='DICTIONARY-5'!$A$4,ISBLANK(I23)),VLOOKUP(H23,LIST!$A$6:$L$3250,CURR_1.SEARCH.OLD,0),VLOOKUP(I23,LIST!$B$6:$L$3250,CURR_1.SEARCH.NEW,0)),'DICTIONARY-5'!$A$2)</f>
        <v>1 172,-</v>
      </c>
      <c r="K23" s="339" t="str">
        <f>IFERROR(IF(OR(I23='DICTIONARY-5'!$A$2,I23='DICTIONARY-5'!$A$4,ISBLANK(I23)),VLOOKUP(H23,LIST!$A$6:$M$3250,CURR_2.SEARCH.OLD,0),VLOOKUP(I23,LIST!$B$6:$M$3250,CURR_2.SEARCH.NEW,0)),'DICTIONARY-5'!$A$2)</f>
        <v/>
      </c>
    </row>
    <row r="24" spans="1:11" x14ac:dyDescent="0.25">
      <c r="A24" s="286">
        <v>300</v>
      </c>
      <c r="B24" s="286">
        <v>16</v>
      </c>
      <c r="C24" s="286">
        <v>78</v>
      </c>
      <c r="D24" s="286" t="s">
        <v>1681</v>
      </c>
      <c r="E24" s="305" t="s">
        <v>3918</v>
      </c>
      <c r="F24" s="339" t="str">
        <f>IFERROR(IF(OR(E24='DICTIONARY-5'!$A$2,E24='DICTIONARY-5'!$A$4,ISBLANK(E24)),VLOOKUP(D24,LIST!$A$6:$L$3250,CURR_1.SEARCH.OLD,0),VLOOKUP(E24,LIST!$B$6:$L$3250,CURR_1.SEARCH.NEW,0)),'DICTIONARY-5'!$A$2)</f>
        <v>953,-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286" t="s">
        <v>1682</v>
      </c>
      <c r="I24" s="305" t="s">
        <v>3862</v>
      </c>
      <c r="J24" s="339" t="str">
        <f>IFERROR(IF(OR(I24='DICTIONARY-5'!$A$2,I24='DICTIONARY-5'!$A$4,ISBLANK(I24)),VLOOKUP(H24,LIST!$A$6:$L$3250,CURR_1.SEARCH.OLD,0),VLOOKUP(I24,LIST!$B$6:$L$3250,CURR_1.SEARCH.NEW,0)),'DICTIONARY-5'!$A$2)</f>
        <v>1 178,-</v>
      </c>
      <c r="K24" s="339" t="str">
        <f>IFERROR(IF(OR(I24='DICTIONARY-5'!$A$2,I24='DICTIONARY-5'!$A$4,ISBLANK(I24)),VLOOKUP(H24,LIST!$A$6:$M$3250,CURR_2.SEARCH.OLD,0),VLOOKUP(I24,LIST!$B$6:$M$3250,CURR_2.SEARCH.NEW,0)),'DICTIONARY-5'!$A$2)</f>
        <v/>
      </c>
    </row>
  </sheetData>
  <sheetProtection algorithmName="SHA-512" hashValue="Pr3AVdztj4Kgy1ZjfXCp41XEhJAcBkH1mihg5G5RFQgP9JKHSTncNrR0zrE0pyFZyedthNEE+BtIJdFdnRvtCQ==" saltValue="VjuV4ObLVIFis0zGCrm3eQ==" spinCount="100000" sheet="1" objects="1" scenarios="1" autoFilter="0"/>
  <mergeCells count="5">
    <mergeCell ref="B4:E4"/>
    <mergeCell ref="D10:G10"/>
    <mergeCell ref="H10:K10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7">
    <tabColor rgb="FF0F6E23"/>
  </sheetPr>
  <dimension ref="A1:K50"/>
  <sheetViews>
    <sheetView workbookViewId="0"/>
  </sheetViews>
  <sheetFormatPr defaultColWidth="9.140625" defaultRowHeight="15" x14ac:dyDescent="0.25"/>
  <cols>
    <col min="1" max="3" width="9.140625" style="278"/>
    <col min="4" max="5" width="22.140625" style="278" customWidth="1"/>
    <col min="6" max="7" width="12.85546875" style="276" customWidth="1"/>
    <col min="8" max="9" width="22.140625" style="278" customWidth="1"/>
    <col min="10" max="11" width="12.85546875" style="276" customWidth="1"/>
    <col min="12" max="16384" width="9.140625" style="277"/>
  </cols>
  <sheetData>
    <row r="1" spans="1:11" s="391" customFormat="1" ht="45" customHeight="1" thickBot="1" x14ac:dyDescent="0.3">
      <c r="A1" s="424"/>
      <c r="B1" s="424"/>
      <c r="C1" s="424"/>
      <c r="D1" s="424"/>
      <c r="E1" s="392"/>
      <c r="F1" s="393"/>
      <c r="G1" s="393"/>
      <c r="H1" s="392"/>
      <c r="I1" s="392"/>
      <c r="J1" s="393"/>
      <c r="K1" s="393"/>
    </row>
    <row r="2" spans="1:11" s="444" customFormat="1" ht="4.5" customHeight="1" x14ac:dyDescent="0.25">
      <c r="A2" s="443"/>
      <c r="B2" s="445"/>
      <c r="C2" s="445"/>
      <c r="D2" s="445"/>
      <c r="E2" s="445"/>
      <c r="F2" s="446"/>
      <c r="G2" s="446"/>
      <c r="H2" s="445"/>
      <c r="I2" s="445"/>
      <c r="J2" s="446"/>
      <c r="K2" s="446"/>
    </row>
    <row r="3" spans="1:11" ht="15.75" thickBot="1" x14ac:dyDescent="0.3">
      <c r="A3" s="294"/>
      <c r="B3" s="295"/>
      <c r="C3" s="295"/>
    </row>
    <row r="4" spans="1:11" ht="15.75" thickBot="1" x14ac:dyDescent="0.3">
      <c r="A4" s="818">
        <f>ADD.DISCOUNT</f>
        <v>0</v>
      </c>
      <c r="B4" s="933" t="str">
        <f>HYPERLINK("#'LIST'!ADD.DISCOUNT","» "&amp;'DICTIONARY-1'!$A$5)</f>
        <v>» Ustaw globalny dodatkowy rabat</v>
      </c>
      <c r="C4" s="1081"/>
      <c r="D4" s="1081"/>
      <c r="E4" s="1082"/>
    </row>
    <row r="5" spans="1:11" x14ac:dyDescent="0.25">
      <c r="A5" s="294"/>
      <c r="B5" s="295"/>
      <c r="C5" s="295"/>
    </row>
    <row r="6" spans="1:11" ht="16.5" thickBot="1" x14ac:dyDescent="0.3">
      <c r="A6" s="712" t="str">
        <f>CONCATENATE('DICTIONARY-3'!$A$149," ",'DICTIONARY-3'!$A$204," / ",'DICTIONARY-3'!$A$323," / ",UPPER('DICTIONARY-5'!$A$18))</f>
        <v>CEREX 300-W Przepustnica kołnierzowa / Z dźwignią stalową / GAZ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80" t="str">
        <f>'DICTIONARY-5'!$A$146</f>
        <v>Typ WAFER z otworami gwintowanymi pod śruby kołnierza</v>
      </c>
      <c r="B7" s="175"/>
      <c r="C7" s="175"/>
      <c r="D7" s="175"/>
      <c r="E7" s="175"/>
      <c r="F7" s="176"/>
      <c r="G7" s="177"/>
      <c r="H7" s="177"/>
      <c r="I7" s="177"/>
      <c r="J7" s="177"/>
      <c r="K7" s="177"/>
    </row>
    <row r="8" spans="1:11" x14ac:dyDescent="0.25">
      <c r="A8" s="279" t="str">
        <f>CONCATENATE('DICTIONARY-1'!$A$10,": ",SETTINGS!$C$42)</f>
        <v>Grupa rabatowa: CEREX 300</v>
      </c>
    </row>
    <row r="9" spans="1:11" x14ac:dyDescent="0.25">
      <c r="A9" s="280"/>
    </row>
    <row r="10" spans="1:11" x14ac:dyDescent="0.25">
      <c r="A10" s="281" t="str">
        <f>'DICTIONARY-2'!$A$2</f>
        <v>DN</v>
      </c>
      <c r="B10" s="281" t="str">
        <f>'DICTIONARY-2'!$A$3</f>
        <v>PN</v>
      </c>
      <c r="C10" s="281" t="str">
        <f>'DICTIONARY-2'!$A$24</f>
        <v>L</v>
      </c>
      <c r="D10" s="1079" t="str">
        <f>'DICTIONARY-3'!$A$149</f>
        <v>CEREX 300-W</v>
      </c>
      <c r="E10" s="1079"/>
      <c r="F10" s="1079"/>
      <c r="G10" s="1079"/>
      <c r="H10" s="1079" t="str">
        <f>'DICTIONARY-3'!$A$149</f>
        <v>CEREX 300-W</v>
      </c>
      <c r="I10" s="1079"/>
      <c r="J10" s="1079"/>
      <c r="K10" s="1079"/>
    </row>
    <row r="11" spans="1:11" x14ac:dyDescent="0.25">
      <c r="A11" s="290"/>
      <c r="B11" s="290"/>
      <c r="C11" s="290"/>
      <c r="D11" s="1080" t="str">
        <f>'DICTIONARY-5'!$A$43&amp;": "&amp;'DICTIONARY-5'!$A$45&amp;", "&amp;'DICTIONARY-5'!$A$147&amp;": "&amp;'DICTIONARY-5'!$A$50</f>
        <v xml:space="preserve">guma: NBR, dysk: żeliwo sferoidalne </v>
      </c>
      <c r="E11" s="1080"/>
      <c r="F11" s="1080"/>
      <c r="G11" s="1080"/>
      <c r="H11" s="1080" t="str">
        <f>'DICTIONARY-5'!$A$43&amp;": "&amp;'DICTIONARY-5'!$A$45&amp;", "&amp;'DICTIONARY-5'!$A$147&amp;": "&amp;'DICTIONARY-5'!$A$32</f>
        <v>guma: NBR, dysk: stal nierdzewna</v>
      </c>
      <c r="I11" s="1080"/>
      <c r="J11" s="1080"/>
      <c r="K11" s="1080"/>
    </row>
    <row r="12" spans="1:11" x14ac:dyDescent="0.25">
      <c r="A12" s="282"/>
      <c r="B12" s="282"/>
      <c r="C12" s="282" t="str">
        <f>'DICTIONARY-2'!$A$18</f>
        <v>[mm]</v>
      </c>
      <c r="D12" s="283" t="str">
        <f>'DICTIONARY-2'!$A$28</f>
        <v>stary nr zamówienia</v>
      </c>
      <c r="E12" s="283" t="str">
        <f>'DICTIONARY-2'!$A$29</f>
        <v>nowy nr zamówienia</v>
      </c>
      <c r="F12" s="284" t="str">
        <f>CURRENCY.CODE_1</f>
        <v>EUR</v>
      </c>
      <c r="G12" s="284" t="str">
        <f>CURRENCY.CODE_2</f>
        <v>---</v>
      </c>
      <c r="H12" s="283" t="str">
        <f>'DICTIONARY-2'!$A$28</f>
        <v>stary nr zamówienia</v>
      </c>
      <c r="I12" s="283" t="str">
        <f>'DICTIONARY-2'!$A$29</f>
        <v>nowy nr zamówienia</v>
      </c>
      <c r="J12" s="284" t="str">
        <f>CURRENCY.CODE_1</f>
        <v>EUR</v>
      </c>
      <c r="K12" s="284" t="str">
        <f>CURRENCY.CODE_2</f>
        <v>---</v>
      </c>
    </row>
    <row r="13" spans="1:11" x14ac:dyDescent="0.25">
      <c r="A13" s="286">
        <v>50</v>
      </c>
      <c r="B13" s="286" t="s">
        <v>85</v>
      </c>
      <c r="C13" s="286">
        <v>43</v>
      </c>
      <c r="D13" s="303" t="s">
        <v>1718</v>
      </c>
      <c r="E13" s="305" t="s">
        <v>3748</v>
      </c>
      <c r="F13" s="339" t="str">
        <f>IFERROR(IF(OR(E13='DICTIONARY-5'!$A$2,E13='DICTIONARY-5'!$A$4,ISBLANK(E13)),VLOOKUP(D13,LIST!$A$6:$L$3250,CURR_1.SEARCH.OLD,0),VLOOKUP(E13,LIST!$B$6:$L$3250,CURR_1.SEARCH.NEW,0)),'DICTIONARY-5'!$A$2)</f>
        <v>167,-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286" t="s">
        <v>1719</v>
      </c>
      <c r="I13" s="305" t="s">
        <v>3681</v>
      </c>
      <c r="J13" s="339" t="str">
        <f>IFERROR(IF(OR(I13='DICTIONARY-5'!$A$2,I13='DICTIONARY-5'!$A$4,ISBLANK(I13)),VLOOKUP(H13,LIST!$A$6:$L$3250,CURR_1.SEARCH.OLD,0),VLOOKUP(I13,LIST!$B$6:$L$3250,CURR_1.SEARCH.NEW,0)),'DICTIONARY-5'!$A$2)</f>
        <v>167,-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286">
        <v>65</v>
      </c>
      <c r="B14" s="286" t="s">
        <v>85</v>
      </c>
      <c r="C14" s="286">
        <v>46</v>
      </c>
      <c r="D14" s="286" t="s">
        <v>1720</v>
      </c>
      <c r="E14" s="305" t="s">
        <v>3755</v>
      </c>
      <c r="F14" s="339" t="str">
        <f>IFERROR(IF(OR(E14='DICTIONARY-5'!$A$2,E14='DICTIONARY-5'!$A$4,ISBLANK(E14)),VLOOKUP(D14,LIST!$A$6:$L$3250,CURR_1.SEARCH.OLD,0),VLOOKUP(E14,LIST!$B$6:$L$3250,CURR_1.SEARCH.NEW,0)),'DICTIONARY-5'!$A$2)</f>
        <v>182,-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286" t="s">
        <v>1721</v>
      </c>
      <c r="I14" s="305" t="s">
        <v>3688</v>
      </c>
      <c r="J14" s="339" t="str">
        <f>IFERROR(IF(OR(I14='DICTIONARY-5'!$A$2,I14='DICTIONARY-5'!$A$4,ISBLANK(I14)),VLOOKUP(H14,LIST!$A$6:$L$3250,CURR_1.SEARCH.OLD,0),VLOOKUP(I14,LIST!$B$6:$L$3250,CURR_1.SEARCH.NEW,0)),'DICTIONARY-5'!$A$2)</f>
        <v>183,-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286">
        <v>80</v>
      </c>
      <c r="B15" s="286" t="s">
        <v>85</v>
      </c>
      <c r="C15" s="286">
        <v>46</v>
      </c>
      <c r="D15" s="286" t="s">
        <v>1722</v>
      </c>
      <c r="E15" s="305" t="s">
        <v>3762</v>
      </c>
      <c r="F15" s="339" t="str">
        <f>IFERROR(IF(OR(E15='DICTIONARY-5'!$A$2,E15='DICTIONARY-5'!$A$4,ISBLANK(E15)),VLOOKUP(D15,LIST!$A$6:$L$3250,CURR_1.SEARCH.OLD,0),VLOOKUP(E15,LIST!$B$6:$L$3250,CURR_1.SEARCH.NEW,0)),'DICTIONARY-5'!$A$2)</f>
        <v>188,-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286" t="s">
        <v>1723</v>
      </c>
      <c r="I15" s="305" t="s">
        <v>3695</v>
      </c>
      <c r="J15" s="339" t="str">
        <f>IFERROR(IF(OR(I15='DICTIONARY-5'!$A$2,I15='DICTIONARY-5'!$A$4,ISBLANK(I15)),VLOOKUP(H15,LIST!$A$6:$L$3250,CURR_1.SEARCH.OLD,0),VLOOKUP(I15,LIST!$B$6:$L$3250,CURR_1.SEARCH.NEW,0)),'DICTIONARY-5'!$A$2)</f>
        <v>193,-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286">
        <v>100</v>
      </c>
      <c r="B16" s="286" t="s">
        <v>85</v>
      </c>
      <c r="C16" s="286">
        <v>52</v>
      </c>
      <c r="D16" s="286" t="s">
        <v>1724</v>
      </c>
      <c r="E16" s="305" t="s">
        <v>3769</v>
      </c>
      <c r="F16" s="339" t="str">
        <f>IFERROR(IF(OR(E16='DICTIONARY-5'!$A$2,E16='DICTIONARY-5'!$A$4,ISBLANK(E16)),VLOOKUP(D16,LIST!$A$6:$L$3250,CURR_1.SEARCH.OLD,0),VLOOKUP(E16,LIST!$B$6:$L$3250,CURR_1.SEARCH.NEW,0)),'DICTIONARY-5'!$A$2)</f>
        <v>230,-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286" t="s">
        <v>1725</v>
      </c>
      <c r="I16" s="305" t="s">
        <v>3702</v>
      </c>
      <c r="J16" s="339" t="str">
        <f>IFERROR(IF(OR(I16='DICTIONARY-5'!$A$2,I16='DICTIONARY-5'!$A$4,ISBLANK(I16)),VLOOKUP(H16,LIST!$A$6:$L$3250,CURR_1.SEARCH.OLD,0),VLOOKUP(I16,LIST!$B$6:$L$3250,CURR_1.SEARCH.NEW,0)),'DICTIONARY-5'!$A$2)</f>
        <v>236,-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286">
        <v>125</v>
      </c>
      <c r="B17" s="286" t="s">
        <v>85</v>
      </c>
      <c r="C17" s="286">
        <v>56</v>
      </c>
      <c r="D17" s="286" t="s">
        <v>1726</v>
      </c>
      <c r="E17" s="305" t="s">
        <v>3776</v>
      </c>
      <c r="F17" s="339" t="str">
        <f>IFERROR(IF(OR(E17='DICTIONARY-5'!$A$2,E17='DICTIONARY-5'!$A$4,ISBLANK(E17)),VLOOKUP(D17,LIST!$A$6:$L$3250,CURR_1.SEARCH.OLD,0),VLOOKUP(E17,LIST!$B$6:$L$3250,CURR_1.SEARCH.NEW,0)),'DICTIONARY-5'!$A$2)</f>
        <v>258,-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286" t="s">
        <v>1727</v>
      </c>
      <c r="I17" s="305" t="s">
        <v>3709</v>
      </c>
      <c r="J17" s="339" t="str">
        <f>IFERROR(IF(OR(I17='DICTIONARY-5'!$A$2,I17='DICTIONARY-5'!$A$4,ISBLANK(I17)),VLOOKUP(H17,LIST!$A$6:$L$3250,CURR_1.SEARCH.OLD,0),VLOOKUP(I17,LIST!$B$6:$L$3250,CURR_1.SEARCH.NEW,0)),'DICTIONARY-5'!$A$2)</f>
        <v>273,-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286">
        <v>150</v>
      </c>
      <c r="B18" s="286" t="s">
        <v>85</v>
      </c>
      <c r="C18" s="286">
        <v>56</v>
      </c>
      <c r="D18" s="286" t="s">
        <v>1728</v>
      </c>
      <c r="E18" s="305" t="s">
        <v>3783</v>
      </c>
      <c r="F18" s="339" t="str">
        <f>IFERROR(IF(OR(E18='DICTIONARY-5'!$A$2,E18='DICTIONARY-5'!$A$4,ISBLANK(E18)),VLOOKUP(D18,LIST!$A$6:$L$3250,CURR_1.SEARCH.OLD,0),VLOOKUP(E18,LIST!$B$6:$L$3250,CURR_1.SEARCH.NEW,0)),'DICTIONARY-5'!$A$2)</f>
        <v>355,-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286" t="s">
        <v>1729</v>
      </c>
      <c r="I18" s="305" t="s">
        <v>3716</v>
      </c>
      <c r="J18" s="339" t="str">
        <f>IFERROR(IF(OR(I18='DICTIONARY-5'!$A$2,I18='DICTIONARY-5'!$A$4,ISBLANK(I18)),VLOOKUP(H18,LIST!$A$6:$L$3250,CURR_1.SEARCH.OLD,0),VLOOKUP(I18,LIST!$B$6:$L$3250,CURR_1.SEARCH.NEW,0)),'DICTIONARY-5'!$A$2)</f>
        <v>394,-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286">
        <v>200</v>
      </c>
      <c r="B19" s="286" t="s">
        <v>85</v>
      </c>
      <c r="C19" s="286">
        <v>60</v>
      </c>
      <c r="D19" s="286" t="s">
        <v>1730</v>
      </c>
      <c r="E19" s="305" t="s">
        <v>3790</v>
      </c>
      <c r="F19" s="339" t="str">
        <f>IFERROR(IF(OR(E19='DICTIONARY-5'!$A$2,E19='DICTIONARY-5'!$A$4,ISBLANK(E19)),VLOOKUP(D19,LIST!$A$6:$L$3250,CURR_1.SEARCH.OLD,0),VLOOKUP(E19,LIST!$B$6:$L$3250,CURR_1.SEARCH.NEW,0)),'DICTIONARY-5'!$A$2)</f>
        <v>467,-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286" t="s">
        <v>1731</v>
      </c>
      <c r="I19" s="305" t="s">
        <v>3723</v>
      </c>
      <c r="J19" s="339" t="str">
        <f>IFERROR(IF(OR(I19='DICTIONARY-5'!$A$2,I19='DICTIONARY-5'!$A$4,ISBLANK(I19)),VLOOKUP(H19,LIST!$A$6:$L$3250,CURR_1.SEARCH.OLD,0),VLOOKUP(I19,LIST!$B$6:$L$3250,CURR_1.SEARCH.NEW,0)),'DICTIONARY-5'!$A$2)</f>
        <v>521,-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292"/>
    </row>
    <row r="23" spans="1:11" ht="16.5" thickBot="1" x14ac:dyDescent="0.3">
      <c r="A23" s="712" t="str">
        <f>CONCATENATE('DICTIONARY-3'!$A$149," ",'DICTIONARY-3'!$A$204," / ",'DICTIONARY-3'!$A$324," / ",UPPER('DICTIONARY-5'!$A$18))</f>
        <v>CEREX 300-W Przepustnica kołnierzowa / Z dźwignią ze stali nierdzewnej / GAZ</v>
      </c>
      <c r="B23" s="712"/>
      <c r="C23" s="712"/>
      <c r="D23" s="712"/>
      <c r="E23" s="712"/>
      <c r="F23" s="712"/>
      <c r="G23" s="712"/>
      <c r="H23" s="712"/>
      <c r="I23" s="712"/>
      <c r="J23" s="712"/>
      <c r="K23" s="712"/>
    </row>
    <row r="24" spans="1:11" x14ac:dyDescent="0.25">
      <c r="A24" s="180" t="str">
        <f>'DICTIONARY-5'!$A$146</f>
        <v>Typ WAFER z otworami gwintowanymi pod śruby kołnierza</v>
      </c>
      <c r="B24" s="175"/>
      <c r="C24" s="175"/>
      <c r="D24" s="175"/>
      <c r="E24" s="175"/>
      <c r="F24" s="176"/>
      <c r="G24" s="177"/>
      <c r="H24" s="177"/>
      <c r="I24" s="177"/>
      <c r="J24" s="177"/>
      <c r="K24" s="177"/>
    </row>
    <row r="25" spans="1:11" x14ac:dyDescent="0.25">
      <c r="A25" s="279" t="str">
        <f>CONCATENATE('DICTIONARY-1'!$A$10,": ",SETTINGS!$C$42)</f>
        <v>Grupa rabatowa: CEREX 300</v>
      </c>
      <c r="G25" s="277"/>
      <c r="H25" s="277"/>
      <c r="I25" s="277"/>
      <c r="J25" s="277"/>
      <c r="K25" s="277"/>
    </row>
    <row r="27" spans="1:11" x14ac:dyDescent="0.25">
      <c r="A27" s="281" t="str">
        <f>'DICTIONARY-2'!$A$2</f>
        <v>DN</v>
      </c>
      <c r="B27" s="281" t="str">
        <f>'DICTIONARY-2'!$A$3</f>
        <v>PN</v>
      </c>
      <c r="C27" s="281" t="str">
        <f>'DICTIONARY-2'!$A$24</f>
        <v>L</v>
      </c>
      <c r="D27" s="1079" t="str">
        <f>'DICTIONARY-3'!$A$149</f>
        <v>CEREX 300-W</v>
      </c>
      <c r="E27" s="1079"/>
      <c r="F27" s="1079"/>
      <c r="G27" s="1079"/>
      <c r="H27" s="1079" t="str">
        <f>'DICTIONARY-3'!$A$149</f>
        <v>CEREX 300-W</v>
      </c>
      <c r="I27" s="1079"/>
      <c r="J27" s="1079"/>
      <c r="K27" s="1079"/>
    </row>
    <row r="28" spans="1:11" x14ac:dyDescent="0.25">
      <c r="A28" s="290"/>
      <c r="B28" s="290"/>
      <c r="C28" s="290"/>
      <c r="D28" s="1080" t="str">
        <f>'DICTIONARY-5'!$A$43&amp;": "&amp;'DICTIONARY-5'!$A$45&amp;", "&amp;'DICTIONARY-5'!$A$147&amp;": "&amp;'DICTIONARY-5'!$A$50</f>
        <v xml:space="preserve">guma: NBR, dysk: żeliwo sferoidalne </v>
      </c>
      <c r="E28" s="1080"/>
      <c r="F28" s="1080"/>
      <c r="G28" s="1080"/>
      <c r="H28" s="1080" t="str">
        <f>'DICTIONARY-5'!$A$43&amp;": "&amp;'DICTIONARY-5'!$A$45&amp;", "&amp;'DICTIONARY-5'!$A$147&amp;": "&amp;'DICTIONARY-5'!$A$32</f>
        <v>guma: NBR, dysk: stal nierdzewna</v>
      </c>
      <c r="I28" s="1080"/>
      <c r="J28" s="1080"/>
      <c r="K28" s="1080"/>
    </row>
    <row r="29" spans="1:11" x14ac:dyDescent="0.25">
      <c r="A29" s="282"/>
      <c r="B29" s="282"/>
      <c r="C29" s="282" t="str">
        <f>'DICTIONARY-2'!$A$18</f>
        <v>[mm]</v>
      </c>
      <c r="D29" s="283" t="str">
        <f>'DICTIONARY-2'!$A$28</f>
        <v>stary nr zamówienia</v>
      </c>
      <c r="E29" s="283" t="str">
        <f>'DICTIONARY-2'!$A$29</f>
        <v>nowy nr zamówienia</v>
      </c>
      <c r="F29" s="284" t="str">
        <f>CURRENCY.CODE_1</f>
        <v>EUR</v>
      </c>
      <c r="G29" s="284" t="str">
        <f>CURRENCY.CODE_2</f>
        <v>---</v>
      </c>
      <c r="H29" s="283" t="str">
        <f>'DICTIONARY-2'!$A$28</f>
        <v>stary nr zamówienia</v>
      </c>
      <c r="I29" s="283" t="str">
        <f>'DICTIONARY-2'!$A$29</f>
        <v>nowy nr zamówienia</v>
      </c>
      <c r="J29" s="284" t="str">
        <f>CURRENCY.CODE_1</f>
        <v>EUR</v>
      </c>
      <c r="K29" s="284" t="str">
        <f>CURRENCY.CODE_2</f>
        <v>---</v>
      </c>
    </row>
    <row r="30" spans="1:11" x14ac:dyDescent="0.25">
      <c r="A30" s="286">
        <v>50</v>
      </c>
      <c r="B30" s="286" t="s">
        <v>85</v>
      </c>
      <c r="C30" s="286">
        <v>43</v>
      </c>
      <c r="D30" s="286" t="s">
        <v>1746</v>
      </c>
      <c r="E30" s="305" t="s">
        <v>3744</v>
      </c>
      <c r="F30" s="339" t="str">
        <f>IFERROR(IF(OR(E30='DICTIONARY-5'!$A$2,E30='DICTIONARY-5'!$A$4,ISBLANK(E30)),VLOOKUP(D30,LIST!$A$6:$L$3250,CURR_1.SEARCH.OLD,0),VLOOKUP(E30,LIST!$B$6:$L$3250,CURR_1.SEARCH.NEW,0)),'DICTIONARY-5'!$A$2)</f>
        <v>189,-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H30" s="286" t="s">
        <v>1747</v>
      </c>
      <c r="I30" s="305" t="s">
        <v>3677</v>
      </c>
      <c r="J30" s="339" t="str">
        <f>IFERROR(IF(OR(I30='DICTIONARY-5'!$A$2,I30='DICTIONARY-5'!$A$4,ISBLANK(I30)),VLOOKUP(H30,LIST!$A$6:$L$3250,CURR_1.SEARCH.OLD,0),VLOOKUP(I30,LIST!$B$6:$L$3250,CURR_1.SEARCH.NEW,0)),'DICTIONARY-5'!$A$2)</f>
        <v>189,-</v>
      </c>
      <c r="K30" s="339" t="str">
        <f>IFERROR(IF(OR(I30='DICTIONARY-5'!$A$2,I30='DICTIONARY-5'!$A$4,ISBLANK(I30)),VLOOKUP(H30,LIST!$A$6:$M$3250,CURR_2.SEARCH.OLD,0),VLOOKUP(I30,LIST!$B$6:$M$3250,CURR_2.SEARCH.NEW,0)),'DICTIONARY-5'!$A$2)</f>
        <v/>
      </c>
    </row>
    <row r="31" spans="1:11" x14ac:dyDescent="0.25">
      <c r="A31" s="286">
        <v>65</v>
      </c>
      <c r="B31" s="286" t="s">
        <v>85</v>
      </c>
      <c r="C31" s="286">
        <v>46</v>
      </c>
      <c r="D31" s="286" t="s">
        <v>1748</v>
      </c>
      <c r="E31" s="305" t="s">
        <v>3751</v>
      </c>
      <c r="F31" s="339" t="str">
        <f>IFERROR(IF(OR(E31='DICTIONARY-5'!$A$2,E31='DICTIONARY-5'!$A$4,ISBLANK(E31)),VLOOKUP(D31,LIST!$A$6:$L$3250,CURR_1.SEARCH.OLD,0),VLOOKUP(E31,LIST!$B$6:$L$3250,CURR_1.SEARCH.NEW,0)),'DICTIONARY-5'!$A$2)</f>
        <v>204,-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286" t="s">
        <v>1749</v>
      </c>
      <c r="I31" s="305" t="s">
        <v>3684</v>
      </c>
      <c r="J31" s="339" t="str">
        <f>IFERROR(IF(OR(I31='DICTIONARY-5'!$A$2,I31='DICTIONARY-5'!$A$4,ISBLANK(I31)),VLOOKUP(H31,LIST!$A$6:$L$3250,CURR_1.SEARCH.OLD,0),VLOOKUP(I31,LIST!$B$6:$L$3250,CURR_1.SEARCH.NEW,0)),'DICTIONARY-5'!$A$2)</f>
        <v>205,-</v>
      </c>
      <c r="K31" s="339" t="str">
        <f>IFERROR(IF(OR(I31='DICTIONARY-5'!$A$2,I31='DICTIONARY-5'!$A$4,ISBLANK(I31)),VLOOKUP(H31,LIST!$A$6:$M$3250,CURR_2.SEARCH.OLD,0),VLOOKUP(I31,LIST!$B$6:$M$3250,CURR_2.SEARCH.NEW,0)),'DICTIONARY-5'!$A$2)</f>
        <v/>
      </c>
    </row>
    <row r="32" spans="1:11" x14ac:dyDescent="0.25">
      <c r="A32" s="286">
        <v>80</v>
      </c>
      <c r="B32" s="286" t="s">
        <v>85</v>
      </c>
      <c r="C32" s="286">
        <v>46</v>
      </c>
      <c r="D32" s="286" t="s">
        <v>1750</v>
      </c>
      <c r="E32" s="305" t="s">
        <v>3758</v>
      </c>
      <c r="F32" s="339" t="str">
        <f>IFERROR(IF(OR(E32='DICTIONARY-5'!$A$2,E32='DICTIONARY-5'!$A$4,ISBLANK(E32)),VLOOKUP(D32,LIST!$A$6:$L$3250,CURR_1.SEARCH.OLD,0),VLOOKUP(E32,LIST!$B$6:$L$3250,CURR_1.SEARCH.NEW,0)),'DICTIONARY-5'!$A$2)</f>
        <v>210,-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H32" s="286" t="s">
        <v>1751</v>
      </c>
      <c r="I32" s="305" t="s">
        <v>3691</v>
      </c>
      <c r="J32" s="339" t="str">
        <f>IFERROR(IF(OR(I32='DICTIONARY-5'!$A$2,I32='DICTIONARY-5'!$A$4,ISBLANK(I32)),VLOOKUP(H32,LIST!$A$6:$L$3250,CURR_1.SEARCH.OLD,0),VLOOKUP(I32,LIST!$B$6:$L$3250,CURR_1.SEARCH.NEW,0)),'DICTIONARY-5'!$A$2)</f>
        <v>215,-</v>
      </c>
      <c r="K32" s="339" t="str">
        <f>IFERROR(IF(OR(I32='DICTIONARY-5'!$A$2,I32='DICTIONARY-5'!$A$4,ISBLANK(I32)),VLOOKUP(H32,LIST!$A$6:$M$3250,CURR_2.SEARCH.OLD,0),VLOOKUP(I32,LIST!$B$6:$M$3250,CURR_2.SEARCH.NEW,0)),'DICTIONARY-5'!$A$2)</f>
        <v/>
      </c>
    </row>
    <row r="33" spans="1:11" x14ac:dyDescent="0.25">
      <c r="A33" s="286">
        <v>100</v>
      </c>
      <c r="B33" s="286" t="s">
        <v>85</v>
      </c>
      <c r="C33" s="286">
        <v>52</v>
      </c>
      <c r="D33" s="286" t="s">
        <v>1752</v>
      </c>
      <c r="E33" s="305" t="s">
        <v>3765</v>
      </c>
      <c r="F33" s="339" t="str">
        <f>IFERROR(IF(OR(E33='DICTIONARY-5'!$A$2,E33='DICTIONARY-5'!$A$4,ISBLANK(E33)),VLOOKUP(D33,LIST!$A$6:$L$3250,CURR_1.SEARCH.OLD,0),VLOOKUP(E33,LIST!$B$6:$L$3250,CURR_1.SEARCH.NEW,0)),'DICTIONARY-5'!$A$2)</f>
        <v>250,-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H33" s="286" t="s">
        <v>1753</v>
      </c>
      <c r="I33" s="305" t="s">
        <v>3698</v>
      </c>
      <c r="J33" s="339" t="str">
        <f>IFERROR(IF(OR(I33='DICTIONARY-5'!$A$2,I33='DICTIONARY-5'!$A$4,ISBLANK(I33)),VLOOKUP(H33,LIST!$A$6:$L$3250,CURR_1.SEARCH.OLD,0),VLOOKUP(I33,LIST!$B$6:$L$3250,CURR_1.SEARCH.NEW,0)),'DICTIONARY-5'!$A$2)</f>
        <v>258,-</v>
      </c>
      <c r="K33" s="339" t="str">
        <f>IFERROR(IF(OR(I33='DICTIONARY-5'!$A$2,I33='DICTIONARY-5'!$A$4,ISBLANK(I33)),VLOOKUP(H33,LIST!$A$6:$M$3250,CURR_2.SEARCH.OLD,0),VLOOKUP(I33,LIST!$B$6:$M$3250,CURR_2.SEARCH.NEW,0)),'DICTIONARY-5'!$A$2)</f>
        <v/>
      </c>
    </row>
    <row r="34" spans="1:11" x14ac:dyDescent="0.25">
      <c r="A34" s="286">
        <v>125</v>
      </c>
      <c r="B34" s="286" t="s">
        <v>85</v>
      </c>
      <c r="C34" s="286">
        <v>56</v>
      </c>
      <c r="D34" s="286" t="s">
        <v>1754</v>
      </c>
      <c r="E34" s="305" t="s">
        <v>3772</v>
      </c>
      <c r="F34" s="339" t="str">
        <f>IFERROR(IF(OR(E34='DICTIONARY-5'!$A$2,E34='DICTIONARY-5'!$A$4,ISBLANK(E34)),VLOOKUP(D34,LIST!$A$6:$L$3250,CURR_1.SEARCH.OLD,0),VLOOKUP(E34,LIST!$B$6:$L$3250,CURR_1.SEARCH.NEW,0)),'DICTIONARY-5'!$A$2)</f>
        <v>279,-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H34" s="286" t="s">
        <v>1755</v>
      </c>
      <c r="I34" s="305" t="s">
        <v>3705</v>
      </c>
      <c r="J34" s="339" t="str">
        <f>IFERROR(IF(OR(I34='DICTIONARY-5'!$A$2,I34='DICTIONARY-5'!$A$4,ISBLANK(I34)),VLOOKUP(H34,LIST!$A$6:$L$3250,CURR_1.SEARCH.OLD,0),VLOOKUP(I34,LIST!$B$6:$L$3250,CURR_1.SEARCH.NEW,0)),'DICTIONARY-5'!$A$2)</f>
        <v>294,-</v>
      </c>
      <c r="K34" s="339" t="str">
        <f>IFERROR(IF(OR(I34='DICTIONARY-5'!$A$2,I34='DICTIONARY-5'!$A$4,ISBLANK(I34)),VLOOKUP(H34,LIST!$A$6:$M$3250,CURR_2.SEARCH.OLD,0),VLOOKUP(I34,LIST!$B$6:$M$3250,CURR_2.SEARCH.NEW,0)),'DICTIONARY-5'!$A$2)</f>
        <v/>
      </c>
    </row>
    <row r="35" spans="1:11" x14ac:dyDescent="0.25">
      <c r="A35" s="286">
        <v>150</v>
      </c>
      <c r="B35" s="286" t="s">
        <v>85</v>
      </c>
      <c r="C35" s="286">
        <v>56</v>
      </c>
      <c r="D35" s="286" t="s">
        <v>1756</v>
      </c>
      <c r="E35" s="305" t="s">
        <v>3779</v>
      </c>
      <c r="F35" s="339" t="str">
        <f>IFERROR(IF(OR(E35='DICTIONARY-5'!$A$2,E35='DICTIONARY-5'!$A$4,ISBLANK(E35)),VLOOKUP(D35,LIST!$A$6:$L$3250,CURR_1.SEARCH.OLD,0),VLOOKUP(E35,LIST!$B$6:$L$3250,CURR_1.SEARCH.NEW,0)),'DICTIONARY-5'!$A$2)</f>
        <v>367,-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H35" s="286" t="s">
        <v>1757</v>
      </c>
      <c r="I35" s="305" t="s">
        <v>3712</v>
      </c>
      <c r="J35" s="339" t="str">
        <f>IFERROR(IF(OR(I35='DICTIONARY-5'!$A$2,I35='DICTIONARY-5'!$A$4,ISBLANK(I35)),VLOOKUP(H35,LIST!$A$6:$L$3250,CURR_1.SEARCH.OLD,0),VLOOKUP(I35,LIST!$B$6:$L$3250,CURR_1.SEARCH.NEW,0)),'DICTIONARY-5'!$A$2)</f>
        <v>406,-</v>
      </c>
      <c r="K35" s="339" t="str">
        <f>IFERROR(IF(OR(I35='DICTIONARY-5'!$A$2,I35='DICTIONARY-5'!$A$4,ISBLANK(I35)),VLOOKUP(H35,LIST!$A$6:$M$3250,CURR_2.SEARCH.OLD,0),VLOOKUP(I35,LIST!$B$6:$M$3250,CURR_2.SEARCH.NEW,0)),'DICTIONARY-5'!$A$2)</f>
        <v/>
      </c>
    </row>
    <row r="36" spans="1:11" x14ac:dyDescent="0.25">
      <c r="A36" s="286">
        <v>200</v>
      </c>
      <c r="B36" s="286" t="s">
        <v>85</v>
      </c>
      <c r="C36" s="286">
        <v>60</v>
      </c>
      <c r="D36" s="286" t="s">
        <v>1758</v>
      </c>
      <c r="E36" s="305" t="s">
        <v>3786</v>
      </c>
      <c r="F36" s="339" t="str">
        <f>IFERROR(IF(OR(E36='DICTIONARY-5'!$A$2,E36='DICTIONARY-5'!$A$4,ISBLANK(E36)),VLOOKUP(D36,LIST!$A$6:$L$3250,CURR_1.SEARCH.OLD,0),VLOOKUP(E36,LIST!$B$6:$L$3250,CURR_1.SEARCH.NEW,0)),'DICTIONARY-5'!$A$2)</f>
        <v>477,-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H36" s="286" t="s">
        <v>1759</v>
      </c>
      <c r="I36" s="305" t="s">
        <v>3719</v>
      </c>
      <c r="J36" s="339" t="str">
        <f>IFERROR(IF(OR(I36='DICTIONARY-5'!$A$2,I36='DICTIONARY-5'!$A$4,ISBLANK(I36)),VLOOKUP(H36,LIST!$A$6:$L$3250,CURR_1.SEARCH.OLD,0),VLOOKUP(I36,LIST!$B$6:$L$3250,CURR_1.SEARCH.NEW,0)),'DICTIONARY-5'!$A$2)</f>
        <v>533,-</v>
      </c>
      <c r="K36" s="339" t="str">
        <f>IFERROR(IF(OR(I36='DICTIONARY-5'!$A$2,I36='DICTIONARY-5'!$A$4,ISBLANK(I36)),VLOOKUP(H36,LIST!$A$6:$M$3250,CURR_2.SEARCH.OLD,0),VLOOKUP(I36,LIST!$B$6:$M$3250,CURR_2.SEARCH.NEW,0)),'DICTIONARY-5'!$A$2)</f>
        <v/>
      </c>
    </row>
    <row r="40" spans="1:11" ht="16.5" thickBot="1" x14ac:dyDescent="0.3">
      <c r="A40" s="712" t="str">
        <f>CONCATENATE('DICTIONARY-3'!$A$149," ",'DICTIONARY-3'!$A$204," / ",'DICTIONARY-3'!$A$325," / ",UPPER('DICTIONARY-5'!$A$18))</f>
        <v>CEREX 300-W Przepustnica kołnierzowa / Z dźwignią żeliwną / GAZ</v>
      </c>
      <c r="B40" s="712"/>
      <c r="C40" s="712"/>
      <c r="D40" s="712"/>
      <c r="E40" s="712"/>
      <c r="F40" s="712"/>
      <c r="G40" s="712"/>
      <c r="H40" s="712"/>
      <c r="I40" s="712"/>
      <c r="J40" s="712"/>
      <c r="K40" s="712"/>
    </row>
    <row r="41" spans="1:11" x14ac:dyDescent="0.25">
      <c r="A41" s="180" t="str">
        <f>'DICTIONARY-5'!$A$146</f>
        <v>Typ WAFER z otworami gwintowanymi pod śruby kołnierza</v>
      </c>
      <c r="B41" s="175"/>
      <c r="C41" s="175"/>
      <c r="D41" s="175"/>
      <c r="E41" s="175"/>
      <c r="F41" s="176"/>
      <c r="G41" s="177"/>
      <c r="H41" s="177"/>
      <c r="I41" s="177"/>
      <c r="J41" s="177"/>
      <c r="K41" s="177"/>
    </row>
    <row r="42" spans="1:11" x14ac:dyDescent="0.25">
      <c r="A42" s="279" t="str">
        <f>CONCATENATE('DICTIONARY-1'!$A$10,": ",SETTINGS!$C$42)</f>
        <v>Grupa rabatowa: CEREX 300</v>
      </c>
      <c r="G42" s="277"/>
      <c r="H42" s="277"/>
      <c r="I42" s="277"/>
      <c r="J42" s="277"/>
      <c r="K42" s="277"/>
    </row>
    <row r="43" spans="1:11" x14ac:dyDescent="0.25">
      <c r="A43" s="277"/>
      <c r="B43" s="277"/>
      <c r="C43" s="277"/>
      <c r="D43" s="277"/>
      <c r="E43" s="277"/>
      <c r="F43" s="277"/>
      <c r="G43" s="277"/>
      <c r="H43" s="277"/>
      <c r="I43" s="277"/>
      <c r="J43" s="277"/>
      <c r="K43" s="277"/>
    </row>
    <row r="44" spans="1:11" x14ac:dyDescent="0.25">
      <c r="A44" s="281" t="str">
        <f>'DICTIONARY-2'!$A$2</f>
        <v>DN</v>
      </c>
      <c r="B44" s="281" t="str">
        <f>'DICTIONARY-2'!$A$3</f>
        <v>PN</v>
      </c>
      <c r="C44" s="281" t="str">
        <f>'DICTIONARY-2'!$A$24</f>
        <v>L</v>
      </c>
      <c r="D44" s="1079" t="str">
        <f>'DICTIONARY-3'!$A$149</f>
        <v>CEREX 300-W</v>
      </c>
      <c r="E44" s="1079"/>
      <c r="F44" s="1079"/>
      <c r="G44" s="1079"/>
      <c r="H44" s="1079" t="str">
        <f>'DICTIONARY-3'!$A$149</f>
        <v>CEREX 300-W</v>
      </c>
      <c r="I44" s="1079"/>
      <c r="J44" s="1079"/>
      <c r="K44" s="1079"/>
    </row>
    <row r="45" spans="1:11" x14ac:dyDescent="0.25">
      <c r="A45" s="290"/>
      <c r="B45" s="290"/>
      <c r="C45" s="290"/>
      <c r="D45" s="1080" t="str">
        <f>'DICTIONARY-5'!$A$43&amp;": "&amp;'DICTIONARY-5'!$A$45&amp;", "&amp;'DICTIONARY-5'!$A$147&amp;": "&amp;'DICTIONARY-5'!$A$50</f>
        <v xml:space="preserve">guma: NBR, dysk: żeliwo sferoidalne </v>
      </c>
      <c r="E45" s="1080"/>
      <c r="F45" s="1080"/>
      <c r="G45" s="1080"/>
      <c r="H45" s="1080" t="str">
        <f>'DICTIONARY-5'!$A$43&amp;": "&amp;'DICTIONARY-5'!$A$45&amp;", "&amp;'DICTIONARY-5'!$A$147&amp;": "&amp;'DICTIONARY-5'!$A$32</f>
        <v>guma: NBR, dysk: stal nierdzewna</v>
      </c>
      <c r="I45" s="1080"/>
      <c r="J45" s="1080"/>
      <c r="K45" s="1080"/>
    </row>
    <row r="46" spans="1:11" x14ac:dyDescent="0.25">
      <c r="A46" s="282"/>
      <c r="B46" s="282"/>
      <c r="C46" s="282" t="str">
        <f>'DICTIONARY-2'!$A$18</f>
        <v>[mm]</v>
      </c>
      <c r="D46" s="283" t="str">
        <f>'DICTIONARY-2'!$A$28</f>
        <v>stary nr zamówienia</v>
      </c>
      <c r="E46" s="283" t="str">
        <f>'DICTIONARY-2'!$A$29</f>
        <v>nowy nr zamówienia</v>
      </c>
      <c r="F46" s="284" t="str">
        <f>CURRENCY.CODE_1</f>
        <v>EUR</v>
      </c>
      <c r="G46" s="284" t="str">
        <f>CURRENCY.CODE_2</f>
        <v>---</v>
      </c>
      <c r="H46" s="283" t="str">
        <f>'DICTIONARY-2'!$A$28</f>
        <v>stary nr zamówienia</v>
      </c>
      <c r="I46" s="283" t="str">
        <f>'DICTIONARY-2'!$A$29</f>
        <v>nowy nr zamówienia</v>
      </c>
      <c r="J46" s="284" t="str">
        <f>CURRENCY.CODE_1</f>
        <v>EUR</v>
      </c>
      <c r="K46" s="284" t="str">
        <f>CURRENCY.CODE_2</f>
        <v>---</v>
      </c>
    </row>
    <row r="47" spans="1:11" x14ac:dyDescent="0.25">
      <c r="A47" s="286">
        <v>250</v>
      </c>
      <c r="B47" s="299" t="s">
        <v>1605</v>
      </c>
      <c r="C47" s="286">
        <v>68</v>
      </c>
      <c r="D47" s="286" t="s">
        <v>1764</v>
      </c>
      <c r="E47" s="305" t="s">
        <v>3794</v>
      </c>
      <c r="F47" s="339" t="str">
        <f>IFERROR(IF(OR(E47='DICTIONARY-5'!$A$2,E47='DICTIONARY-5'!$A$4,ISBLANK(E47)),VLOOKUP(D47,LIST!$A$6:$L$3250,CURR_1.SEARCH.OLD,0),VLOOKUP(E47,LIST!$B$6:$L$3250,CURR_1.SEARCH.NEW,0)),'DICTIONARY-5'!$A$2)</f>
        <v>555,-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286" t="s">
        <v>1765</v>
      </c>
      <c r="I47" s="305" t="s">
        <v>3727</v>
      </c>
      <c r="J47" s="339" t="str">
        <f>IFERROR(IF(OR(I47='DICTIONARY-5'!$A$2,I47='DICTIONARY-5'!$A$4,ISBLANK(I47)),VLOOKUP(H47,LIST!$A$6:$L$3250,CURR_1.SEARCH.OLD,0),VLOOKUP(I47,LIST!$B$6:$L$3250,CURR_1.SEARCH.NEW,0)),'DICTIONARY-5'!$A$2)</f>
        <v>707,-</v>
      </c>
      <c r="K47" s="339" t="str">
        <f>IFERROR(IF(OR(I47='DICTIONARY-5'!$A$2,I47='DICTIONARY-5'!$A$4,ISBLANK(I47)),VLOOKUP(H47,LIST!$A$6:$M$3250,CURR_2.SEARCH.OLD,0),VLOOKUP(I47,LIST!$B$6:$M$3250,CURR_2.SEARCH.NEW,0)),'DICTIONARY-5'!$A$2)</f>
        <v/>
      </c>
    </row>
    <row r="48" spans="1:11" x14ac:dyDescent="0.25">
      <c r="A48" s="286">
        <v>300</v>
      </c>
      <c r="B48" s="299" t="s">
        <v>1605</v>
      </c>
      <c r="C48" s="286">
        <v>78</v>
      </c>
      <c r="D48" s="286" t="s">
        <v>1766</v>
      </c>
      <c r="E48" s="305" t="s">
        <v>3798</v>
      </c>
      <c r="F48" s="339" t="str">
        <f>IFERROR(IF(OR(E48='DICTIONARY-5'!$A$2,E48='DICTIONARY-5'!$A$4,ISBLANK(E48)),VLOOKUP(D48,LIST!$A$6:$L$3250,CURR_1.SEARCH.OLD,0),VLOOKUP(E48,LIST!$B$6:$L$3250,CURR_1.SEARCH.NEW,0)),'DICTIONARY-5'!$A$2)</f>
        <v>734,-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286" t="s">
        <v>1767</v>
      </c>
      <c r="I48" s="305" t="s">
        <v>3731</v>
      </c>
      <c r="J48" s="339" t="str">
        <f>IFERROR(IF(OR(I48='DICTIONARY-5'!$A$2,I48='DICTIONARY-5'!$A$4,ISBLANK(I48)),VLOOKUP(H48,LIST!$A$6:$L$3250,CURR_1.SEARCH.OLD,0),VLOOKUP(I48,LIST!$B$6:$L$3250,CURR_1.SEARCH.NEW,0)),'DICTIONARY-5'!$A$2)</f>
        <v>959,-</v>
      </c>
      <c r="K48" s="339" t="str">
        <f>IFERROR(IF(OR(I48='DICTIONARY-5'!$A$2,I48='DICTIONARY-5'!$A$4,ISBLANK(I48)),VLOOKUP(H48,LIST!$A$6:$M$3250,CURR_2.SEARCH.OLD,0),VLOOKUP(I48,LIST!$B$6:$M$3250,CURR_2.SEARCH.NEW,0)),'DICTIONARY-5'!$A$2)</f>
        <v/>
      </c>
    </row>
    <row r="49" spans="1:11" x14ac:dyDescent="0.25">
      <c r="A49" s="300"/>
      <c r="B49" s="277"/>
      <c r="C49" s="277"/>
      <c r="D49" s="277"/>
      <c r="E49" s="277"/>
      <c r="F49" s="277"/>
      <c r="G49" s="277"/>
      <c r="H49" s="277"/>
      <c r="I49" s="277"/>
      <c r="J49" s="277"/>
      <c r="K49" s="277"/>
    </row>
    <row r="50" spans="1:11" x14ac:dyDescent="0.25">
      <c r="A50" s="570" t="str">
        <f>"1) "&amp;'DICTIONARY-5'!$A$92&amp;": max. 0,6 MPa / 6 bar"</f>
        <v>1) Ciśnienie robocze: max. 0,6 MPa / 6 bar</v>
      </c>
    </row>
  </sheetData>
  <sheetProtection algorithmName="SHA-512" hashValue="DdLk8ujrfLL1H4n0FfVfkiVXhYYeBVXhYSNi7+Rs4M4+b+rtStA0QgmB8Lxar+cfo3EMcv9oKuEDi3GZOJSBmw==" saltValue="kMZqKsH7hbGGYNhRthxRww==" spinCount="100000" sheet="1" objects="1" scenarios="1" autoFilter="0"/>
  <mergeCells count="13">
    <mergeCell ref="B4:E4"/>
    <mergeCell ref="D45:G45"/>
    <mergeCell ref="H45:K45"/>
    <mergeCell ref="D44:G44"/>
    <mergeCell ref="H44:K44"/>
    <mergeCell ref="D10:G10"/>
    <mergeCell ref="H10:K10"/>
    <mergeCell ref="D27:G27"/>
    <mergeCell ref="H27:K27"/>
    <mergeCell ref="D11:G11"/>
    <mergeCell ref="H11:K11"/>
    <mergeCell ref="D28:G28"/>
    <mergeCell ref="H28:K28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98">
    <tabColor rgb="FF0F6E23"/>
  </sheetPr>
  <dimension ref="A1:K22"/>
  <sheetViews>
    <sheetView workbookViewId="0"/>
  </sheetViews>
  <sheetFormatPr defaultColWidth="9.140625" defaultRowHeight="15" x14ac:dyDescent="0.25"/>
  <cols>
    <col min="1" max="3" width="9.140625" style="277"/>
    <col min="4" max="5" width="22.140625" style="277" customWidth="1"/>
    <col min="6" max="7" width="12.85546875" style="277" customWidth="1"/>
    <col min="8" max="9" width="22.140625" style="277" customWidth="1"/>
    <col min="10" max="11" width="12.85546875" style="277" customWidth="1"/>
    <col min="12" max="16384" width="9.140625" style="277"/>
  </cols>
  <sheetData>
    <row r="1" spans="1:11" s="391" customFormat="1" ht="45" customHeight="1" thickBot="1" x14ac:dyDescent="0.3">
      <c r="A1" s="424"/>
      <c r="B1" s="424"/>
      <c r="C1" s="424"/>
      <c r="D1" s="424"/>
    </row>
    <row r="2" spans="1:11" s="444" customFormat="1" ht="4.5" customHeight="1" x14ac:dyDescent="0.25">
      <c r="A2" s="443"/>
    </row>
    <row r="3" spans="1:11" ht="15.75" thickBot="1" x14ac:dyDescent="0.3">
      <c r="A3" s="294"/>
      <c r="B3" s="295"/>
      <c r="C3" s="295"/>
    </row>
    <row r="4" spans="1:11" ht="15.75" thickBot="1" x14ac:dyDescent="0.3">
      <c r="A4" s="818">
        <f>ADD.DISCOUNT</f>
        <v>0</v>
      </c>
      <c r="B4" s="933" t="str">
        <f>HYPERLINK("#'LIST'!ADD.DISCOUNT","» "&amp;'DICTIONARY-1'!$A$5)</f>
        <v>» Ustaw globalny dodatkowy rabat</v>
      </c>
      <c r="C4" s="1081"/>
      <c r="D4" s="1081"/>
      <c r="E4" s="1082"/>
    </row>
    <row r="5" spans="1:11" x14ac:dyDescent="0.25">
      <c r="A5" s="294"/>
      <c r="B5" s="295"/>
      <c r="C5" s="295"/>
    </row>
    <row r="6" spans="1:11" ht="16.5" thickBot="1" x14ac:dyDescent="0.3">
      <c r="A6" s="712" t="str">
        <f>CONCATENATE('DICTIONARY-3'!$A$149," ",'DICTIONARY-3'!$A$204," / ",'DICTIONARY-3'!$A$326," / ",UPPER('DICTIONARY-5'!$A$18))</f>
        <v>CEREX 300-W Przepustnica kołnierzowa / Z przekładnią i kółkiem ręcznym / GAZ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80" t="str">
        <f>'DICTIONARY-5'!$A$146</f>
        <v>Typ WAFER z otworami gwintowanymi pod śruby kołnierza</v>
      </c>
      <c r="B7" s="175"/>
      <c r="C7" s="175"/>
      <c r="D7" s="175"/>
      <c r="E7" s="175"/>
      <c r="F7" s="176"/>
      <c r="G7" s="177"/>
      <c r="H7" s="177"/>
      <c r="I7" s="177"/>
      <c r="J7" s="177"/>
      <c r="K7" s="177"/>
    </row>
    <row r="8" spans="1:11" x14ac:dyDescent="0.25">
      <c r="A8" s="279" t="str">
        <f>CONCATENATE('DICTIONARY-1'!$A$10,": ",SETTINGS!$C$42)</f>
        <v>Grupa rabatowa: CEREX 300</v>
      </c>
      <c r="B8" s="278"/>
      <c r="C8" s="278"/>
      <c r="D8" s="278"/>
      <c r="E8" s="278"/>
      <c r="F8" s="276"/>
      <c r="G8" s="276"/>
      <c r="H8" s="278"/>
      <c r="I8" s="278"/>
      <c r="J8" s="276"/>
      <c r="K8" s="276"/>
    </row>
    <row r="9" spans="1:11" x14ac:dyDescent="0.25">
      <c r="A9" s="280"/>
      <c r="B9" s="278"/>
      <c r="C9" s="278"/>
      <c r="D9" s="278"/>
      <c r="E9" s="278"/>
      <c r="F9" s="276"/>
      <c r="G9" s="276"/>
      <c r="H9" s="278"/>
      <c r="I9" s="278"/>
      <c r="J9" s="276"/>
      <c r="K9" s="276"/>
    </row>
    <row r="10" spans="1:11" x14ac:dyDescent="0.25">
      <c r="A10" s="281" t="str">
        <f>'DICTIONARY-2'!$A$2</f>
        <v>DN</v>
      </c>
      <c r="B10" s="281" t="str">
        <f>'DICTIONARY-2'!$A$3</f>
        <v>PN</v>
      </c>
      <c r="C10" s="281" t="str">
        <f>'DICTIONARY-2'!$A$24</f>
        <v>L</v>
      </c>
      <c r="D10" s="1079" t="str">
        <f>'DICTIONARY-3'!$A$149</f>
        <v>CEREX 300-W</v>
      </c>
      <c r="E10" s="1079"/>
      <c r="F10" s="1079"/>
      <c r="G10" s="1079"/>
      <c r="H10" s="1079" t="str">
        <f>'DICTIONARY-3'!$A$149</f>
        <v>CEREX 300-W</v>
      </c>
      <c r="I10" s="1079"/>
      <c r="J10" s="1079"/>
      <c r="K10" s="1079"/>
    </row>
    <row r="11" spans="1:11" x14ac:dyDescent="0.25">
      <c r="A11" s="290"/>
      <c r="B11" s="290"/>
      <c r="C11" s="290"/>
      <c r="D11" s="1080" t="str">
        <f>'DICTIONARY-5'!$A$43&amp;": "&amp;'DICTIONARY-5'!$A$45&amp;", "&amp;'DICTIONARY-5'!$A$147&amp;": "&amp;'DICTIONARY-5'!$A$50</f>
        <v xml:space="preserve">guma: NBR, dysk: żeliwo sferoidalne </v>
      </c>
      <c r="E11" s="1080"/>
      <c r="F11" s="1080"/>
      <c r="G11" s="1080"/>
      <c r="H11" s="1080" t="str">
        <f>'DICTIONARY-5'!$A$43&amp;": "&amp;'DICTIONARY-5'!$A$45&amp;", "&amp;'DICTIONARY-5'!$A$147&amp;": "&amp;'DICTIONARY-5'!$A$32</f>
        <v>guma: NBR, dysk: stal nierdzewna</v>
      </c>
      <c r="I11" s="1080"/>
      <c r="J11" s="1080"/>
      <c r="K11" s="1080"/>
    </row>
    <row r="12" spans="1:11" x14ac:dyDescent="0.25">
      <c r="A12" s="282"/>
      <c r="B12" s="282"/>
      <c r="C12" s="282" t="str">
        <f>'DICTIONARY-2'!$A$18</f>
        <v>[mm]</v>
      </c>
      <c r="D12" s="283" t="str">
        <f>'DICTIONARY-2'!$A$28</f>
        <v>stary nr zamówienia</v>
      </c>
      <c r="E12" s="283" t="str">
        <f>'DICTIONARY-2'!$A$29</f>
        <v>nowy nr zamówienia</v>
      </c>
      <c r="F12" s="284" t="str">
        <f>CURRENCY.CODE_1</f>
        <v>EUR</v>
      </c>
      <c r="G12" s="284" t="str">
        <f>CURRENCY.CODE_2</f>
        <v>---</v>
      </c>
      <c r="H12" s="283" t="str">
        <f>'DICTIONARY-2'!$A$28</f>
        <v>stary nr zamówienia</v>
      </c>
      <c r="I12" s="283" t="str">
        <f>'DICTIONARY-2'!$A$29</f>
        <v>nowy nr zamówienia</v>
      </c>
      <c r="J12" s="284" t="str">
        <f>CURRENCY.CODE_1</f>
        <v>EUR</v>
      </c>
      <c r="K12" s="284" t="str">
        <f>CURRENCY.CODE_2</f>
        <v>---</v>
      </c>
    </row>
    <row r="13" spans="1:11" x14ac:dyDescent="0.25">
      <c r="A13" s="286">
        <v>50</v>
      </c>
      <c r="B13" s="286" t="s">
        <v>85</v>
      </c>
      <c r="C13" s="286">
        <v>43</v>
      </c>
      <c r="D13" s="286" t="s">
        <v>1801</v>
      </c>
      <c r="E13" s="305" t="s">
        <v>3746</v>
      </c>
      <c r="F13" s="339" t="str">
        <f>IFERROR(IF(OR(E13='DICTIONARY-5'!$A$2,E13='DICTIONARY-5'!$A$4,ISBLANK(E13)),VLOOKUP(D13,LIST!$A$6:$L$3250,CURR_1.SEARCH.OLD,0),VLOOKUP(E13,LIST!$B$6:$L$3250,CURR_1.SEARCH.NEW,0)),'DICTIONARY-5'!$A$2)</f>
        <v>240,-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286" t="s">
        <v>1802</v>
      </c>
      <c r="I13" s="305" t="s">
        <v>3679</v>
      </c>
      <c r="J13" s="339" t="str">
        <f>IFERROR(IF(OR(I13='DICTIONARY-5'!$A$2,I13='DICTIONARY-5'!$A$4,ISBLANK(I13)),VLOOKUP(H13,LIST!$A$6:$L$3250,CURR_1.SEARCH.OLD,0),VLOOKUP(I13,LIST!$B$6:$L$3250,CURR_1.SEARCH.NEW,0)),'DICTIONARY-5'!$A$2)</f>
        <v>239,-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286">
        <v>65</v>
      </c>
      <c r="B14" s="286" t="s">
        <v>85</v>
      </c>
      <c r="C14" s="286">
        <v>46</v>
      </c>
      <c r="D14" s="286" t="s">
        <v>1803</v>
      </c>
      <c r="E14" s="305" t="s">
        <v>3753</v>
      </c>
      <c r="F14" s="339" t="str">
        <f>IFERROR(IF(OR(E14='DICTIONARY-5'!$A$2,E14='DICTIONARY-5'!$A$4,ISBLANK(E14)),VLOOKUP(D14,LIST!$A$6:$L$3250,CURR_1.SEARCH.OLD,0),VLOOKUP(E14,LIST!$B$6:$L$3250,CURR_1.SEARCH.NEW,0)),'DICTIONARY-5'!$A$2)</f>
        <v>254,-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286" t="s">
        <v>1804</v>
      </c>
      <c r="I14" s="305" t="s">
        <v>3686</v>
      </c>
      <c r="J14" s="339" t="str">
        <f>IFERROR(IF(OR(I14='DICTIONARY-5'!$A$2,I14='DICTIONARY-5'!$A$4,ISBLANK(I14)),VLOOKUP(H14,LIST!$A$6:$L$3250,CURR_1.SEARCH.OLD,0),VLOOKUP(I14,LIST!$B$6:$L$3250,CURR_1.SEARCH.NEW,0)),'DICTIONARY-5'!$A$2)</f>
        <v>257,-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286">
        <v>80</v>
      </c>
      <c r="B15" s="286" t="s">
        <v>85</v>
      </c>
      <c r="C15" s="286">
        <v>46</v>
      </c>
      <c r="D15" s="286" t="s">
        <v>1805</v>
      </c>
      <c r="E15" s="305" t="s">
        <v>3760</v>
      </c>
      <c r="F15" s="339" t="str">
        <f>IFERROR(IF(OR(E15='DICTIONARY-5'!$A$2,E15='DICTIONARY-5'!$A$4,ISBLANK(E15)),VLOOKUP(D15,LIST!$A$6:$L$3250,CURR_1.SEARCH.OLD,0),VLOOKUP(E15,LIST!$B$6:$L$3250,CURR_1.SEARCH.NEW,0)),'DICTIONARY-5'!$A$2)</f>
        <v>260,-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286" t="s">
        <v>1806</v>
      </c>
      <c r="I15" s="305" t="s">
        <v>3693</v>
      </c>
      <c r="J15" s="339" t="str">
        <f>IFERROR(IF(OR(I15='DICTIONARY-5'!$A$2,I15='DICTIONARY-5'!$A$4,ISBLANK(I15)),VLOOKUP(H15,LIST!$A$6:$L$3250,CURR_1.SEARCH.OLD,0),VLOOKUP(I15,LIST!$B$6:$L$3250,CURR_1.SEARCH.NEW,0)),'DICTIONARY-5'!$A$2)</f>
        <v>265,-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286">
        <v>100</v>
      </c>
      <c r="B16" s="286" t="s">
        <v>85</v>
      </c>
      <c r="C16" s="286">
        <v>52</v>
      </c>
      <c r="D16" s="286" t="s">
        <v>1807</v>
      </c>
      <c r="E16" s="305" t="s">
        <v>3767</v>
      </c>
      <c r="F16" s="339" t="str">
        <f>IFERROR(IF(OR(E16='DICTIONARY-5'!$A$2,E16='DICTIONARY-5'!$A$4,ISBLANK(E16)),VLOOKUP(D16,LIST!$A$6:$L$3250,CURR_1.SEARCH.OLD,0),VLOOKUP(E16,LIST!$B$6:$L$3250,CURR_1.SEARCH.NEW,0)),'DICTIONARY-5'!$A$2)</f>
        <v>305,-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286" t="s">
        <v>1808</v>
      </c>
      <c r="I16" s="305" t="s">
        <v>3700</v>
      </c>
      <c r="J16" s="339" t="str">
        <f>IFERROR(IF(OR(I16='DICTIONARY-5'!$A$2,I16='DICTIONARY-5'!$A$4,ISBLANK(I16)),VLOOKUP(H16,LIST!$A$6:$L$3250,CURR_1.SEARCH.OLD,0),VLOOKUP(I16,LIST!$B$6:$L$3250,CURR_1.SEARCH.NEW,0)),'DICTIONARY-5'!$A$2)</f>
        <v>311,-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286">
        <v>125</v>
      </c>
      <c r="B17" s="286" t="s">
        <v>85</v>
      </c>
      <c r="C17" s="286">
        <v>56</v>
      </c>
      <c r="D17" s="286" t="s">
        <v>1809</v>
      </c>
      <c r="E17" s="305" t="s">
        <v>3774</v>
      </c>
      <c r="F17" s="339" t="str">
        <f>IFERROR(IF(OR(E17='DICTIONARY-5'!$A$2,E17='DICTIONARY-5'!$A$4,ISBLANK(E17)),VLOOKUP(D17,LIST!$A$6:$L$3250,CURR_1.SEARCH.OLD,0),VLOOKUP(E17,LIST!$B$6:$L$3250,CURR_1.SEARCH.NEW,0)),'DICTIONARY-5'!$A$2)</f>
        <v>334,-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286" t="s">
        <v>1810</v>
      </c>
      <c r="I17" s="305" t="s">
        <v>3707</v>
      </c>
      <c r="J17" s="339" t="str">
        <f>IFERROR(IF(OR(I17='DICTIONARY-5'!$A$2,I17='DICTIONARY-5'!$A$4,ISBLANK(I17)),VLOOKUP(H17,LIST!$A$6:$L$3250,CURR_1.SEARCH.OLD,0),VLOOKUP(I17,LIST!$B$6:$L$3250,CURR_1.SEARCH.NEW,0)),'DICTIONARY-5'!$A$2)</f>
        <v>348,-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286">
        <v>150</v>
      </c>
      <c r="B18" s="286" t="s">
        <v>85</v>
      </c>
      <c r="C18" s="286">
        <v>56</v>
      </c>
      <c r="D18" s="286" t="s">
        <v>1811</v>
      </c>
      <c r="E18" s="305" t="s">
        <v>3781</v>
      </c>
      <c r="F18" s="339" t="str">
        <f>IFERROR(IF(OR(E18='DICTIONARY-5'!$A$2,E18='DICTIONARY-5'!$A$4,ISBLANK(E18)),VLOOKUP(D18,LIST!$A$6:$L$3250,CURR_1.SEARCH.OLD,0),VLOOKUP(E18,LIST!$B$6:$L$3250,CURR_1.SEARCH.NEW,0)),'DICTIONARY-5'!$A$2)</f>
        <v>438,-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286" t="s">
        <v>1812</v>
      </c>
      <c r="I18" s="305" t="s">
        <v>3714</v>
      </c>
      <c r="J18" s="339" t="str">
        <f>IFERROR(IF(OR(I18='DICTIONARY-5'!$A$2,I18='DICTIONARY-5'!$A$4,ISBLANK(I18)),VLOOKUP(H18,LIST!$A$6:$L$3250,CURR_1.SEARCH.OLD,0),VLOOKUP(I18,LIST!$B$6:$L$3250,CURR_1.SEARCH.NEW,0)),'DICTIONARY-5'!$A$2)</f>
        <v>477,-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286">
        <v>200</v>
      </c>
      <c r="B19" s="286" t="s">
        <v>85</v>
      </c>
      <c r="C19" s="286">
        <v>60</v>
      </c>
      <c r="D19" s="286" t="s">
        <v>1813</v>
      </c>
      <c r="E19" s="305" t="s">
        <v>3788</v>
      </c>
      <c r="F19" s="339" t="str">
        <f>IFERROR(IF(OR(E19='DICTIONARY-5'!$A$2,E19='DICTIONARY-5'!$A$4,ISBLANK(E19)),VLOOKUP(D19,LIST!$A$6:$L$3250,CURR_1.SEARCH.OLD,0),VLOOKUP(E19,LIST!$B$6:$L$3250,CURR_1.SEARCH.NEW,0)),'DICTIONARY-5'!$A$2)</f>
        <v>586,-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286" t="s">
        <v>1814</v>
      </c>
      <c r="I19" s="305" t="s">
        <v>3721</v>
      </c>
      <c r="J19" s="339" t="str">
        <f>IFERROR(IF(OR(I19='DICTIONARY-5'!$A$2,I19='DICTIONARY-5'!$A$4,ISBLANK(I19)),VLOOKUP(H19,LIST!$A$6:$L$3250,CURR_1.SEARCH.OLD,0),VLOOKUP(I19,LIST!$B$6:$L$3250,CURR_1.SEARCH.NEW,0)),'DICTIONARY-5'!$A$2)</f>
        <v>642,-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286">
        <v>250</v>
      </c>
      <c r="B20" s="286" t="s">
        <v>85</v>
      </c>
      <c r="C20" s="286">
        <v>68</v>
      </c>
      <c r="D20" s="286" t="s">
        <v>1815</v>
      </c>
      <c r="E20" s="305" t="s">
        <v>3792</v>
      </c>
      <c r="F20" s="339" t="str">
        <f>IFERROR(IF(OR(E20='DICTIONARY-5'!$A$2,E20='DICTIONARY-5'!$A$4,ISBLANK(E20)),VLOOKUP(D20,LIST!$A$6:$L$3250,CURR_1.SEARCH.OLD,0),VLOOKUP(E20,LIST!$B$6:$L$3250,CURR_1.SEARCH.NEW,0)),'DICTIONARY-5'!$A$2)</f>
        <v>608,-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286" t="s">
        <v>1816</v>
      </c>
      <c r="I20" s="305" t="s">
        <v>3725</v>
      </c>
      <c r="J20" s="339" t="str">
        <f>IFERROR(IF(OR(I20='DICTIONARY-5'!$A$2,I20='DICTIONARY-5'!$A$4,ISBLANK(I20)),VLOOKUP(H20,LIST!$A$6:$L$3250,CURR_1.SEARCH.OLD,0),VLOOKUP(I20,LIST!$B$6:$L$3250,CURR_1.SEARCH.NEW,0)),'DICTIONARY-5'!$A$2)</f>
        <v>758,-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A21" s="286">
        <v>300</v>
      </c>
      <c r="B21" s="286" t="s">
        <v>85</v>
      </c>
      <c r="C21" s="286">
        <v>78</v>
      </c>
      <c r="D21" s="286" t="s">
        <v>1817</v>
      </c>
      <c r="E21" s="305" t="s">
        <v>3796</v>
      </c>
      <c r="F21" s="339" t="str">
        <f>IFERROR(IF(OR(E21='DICTIONARY-5'!$A$2,E21='DICTIONARY-5'!$A$4,ISBLANK(E21)),VLOOKUP(D21,LIST!$A$6:$L$3250,CURR_1.SEARCH.OLD,0),VLOOKUP(E21,LIST!$B$6:$L$3250,CURR_1.SEARCH.NEW,0)),'DICTIONARY-5'!$A$2)</f>
        <v>857,-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286" t="s">
        <v>1818</v>
      </c>
      <c r="I21" s="305" t="s">
        <v>3729</v>
      </c>
      <c r="J21" s="339" t="str">
        <f>IFERROR(IF(OR(I21='DICTIONARY-5'!$A$2,I21='DICTIONARY-5'!$A$4,ISBLANK(I21)),VLOOKUP(H21,LIST!$A$6:$L$3250,CURR_1.SEARCH.OLD,0),VLOOKUP(I21,LIST!$B$6:$L$3250,CURR_1.SEARCH.NEW,0)),'DICTIONARY-5'!$A$2)</f>
        <v>1 084,-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2" spans="1:11" x14ac:dyDescent="0.25">
      <c r="A22" s="300"/>
      <c r="B22" s="278"/>
      <c r="C22" s="278"/>
      <c r="D22" s="278"/>
      <c r="E22" s="278"/>
      <c r="F22" s="276"/>
      <c r="G22" s="276"/>
      <c r="H22" s="278"/>
      <c r="I22" s="278"/>
      <c r="J22" s="276"/>
      <c r="K22" s="276"/>
    </row>
  </sheetData>
  <sheetProtection algorithmName="SHA-512" hashValue="0i6zJmKXlNzYQa8pPcQUYIFV+2ZfL09rKwcb/58tAZGaPJ5RNcxA6SuHLTsp+YVT1A5WQStQsC2Brq7848O1wg==" saltValue="QMm1Zq01u7xURqPE6Dfp2g==" spinCount="100000" sheet="1" objects="1" scenarios="1" autoFilter="0"/>
  <mergeCells count="5">
    <mergeCell ref="B4:E4"/>
    <mergeCell ref="D10:G10"/>
    <mergeCell ref="H10:K10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0F6E23"/>
  </sheetPr>
  <dimension ref="A1:I14"/>
  <sheetViews>
    <sheetView workbookViewId="0"/>
  </sheetViews>
  <sheetFormatPr defaultColWidth="9.140625" defaultRowHeight="15" x14ac:dyDescent="0.25"/>
  <cols>
    <col min="1" max="1" width="20.5703125" style="277" customWidth="1"/>
    <col min="2" max="3" width="22.140625" style="277" customWidth="1"/>
    <col min="4" max="5" width="12.85546875" style="277" customWidth="1"/>
    <col min="6" max="7" width="22.140625" style="277" customWidth="1"/>
    <col min="8" max="9" width="12.85546875" style="277" customWidth="1"/>
    <col min="10" max="16384" width="9.140625" style="277"/>
  </cols>
  <sheetData>
    <row r="1" spans="1:9" s="391" customFormat="1" ht="45" customHeight="1" thickBot="1" x14ac:dyDescent="0.3">
      <c r="A1" s="424"/>
      <c r="B1" s="424"/>
      <c r="C1" s="424"/>
    </row>
    <row r="2" spans="1:9" s="444" customFormat="1" ht="4.5" customHeight="1" x14ac:dyDescent="0.25">
      <c r="A2" s="443"/>
    </row>
    <row r="3" spans="1:9" ht="15.75" thickBot="1" x14ac:dyDescent="0.3">
      <c r="A3" s="294"/>
      <c r="B3" s="295"/>
      <c r="C3" s="295"/>
    </row>
    <row r="4" spans="1:9" ht="15.75" thickBot="1" x14ac:dyDescent="0.3">
      <c r="A4" s="818">
        <f>ADD.DISCOUNT</f>
        <v>0</v>
      </c>
      <c r="B4" s="933" t="str">
        <f>HYPERLINK("#'LIST'!ADD.DISCOUNT","» "&amp;'DICTIONARY-1'!$A$5)</f>
        <v>» Ustaw globalny dodatkowy rabat</v>
      </c>
      <c r="C4" s="1081"/>
      <c r="D4" s="1081"/>
      <c r="E4" s="1082"/>
    </row>
    <row r="5" spans="1:9" x14ac:dyDescent="0.25">
      <c r="A5" s="294"/>
      <c r="B5" s="295"/>
      <c r="C5" s="295"/>
    </row>
    <row r="6" spans="1:9" ht="16.5" thickBot="1" x14ac:dyDescent="0.3">
      <c r="A6" s="712" t="str">
        <f>CONCATENATE('DICTIONARY-3'!$A$129," ",'DICTIONARY-3'!$A$220," / ",UPPER('DICTIONARY-5'!$A$18))</f>
        <v>RAMBO Skrzynka / GAZ</v>
      </c>
      <c r="B6" s="712"/>
      <c r="C6" s="712"/>
      <c r="D6" s="712"/>
      <c r="E6" s="712"/>
      <c r="F6" s="712"/>
      <c r="G6" s="712"/>
      <c r="H6" s="712"/>
      <c r="I6" s="712"/>
    </row>
    <row r="7" spans="1:9" x14ac:dyDescent="0.25">
      <c r="A7" s="279" t="str">
        <f>CONCATENATE('DICTIONARY-1'!$A$10,": ",SETTINGS!$C$89)</f>
        <v>Grupa rabatowa: STREET CAPS</v>
      </c>
      <c r="B7" s="278"/>
      <c r="C7" s="278"/>
      <c r="D7" s="276"/>
      <c r="E7" s="276"/>
    </row>
    <row r="8" spans="1:9" x14ac:dyDescent="0.25">
      <c r="A8" s="280"/>
      <c r="B8" s="278"/>
      <c r="C8" s="278"/>
      <c r="D8" s="276"/>
      <c r="E8" s="276"/>
    </row>
    <row r="9" spans="1:9" x14ac:dyDescent="0.25">
      <c r="A9" s="237" t="str">
        <f>'DICTIONARY-2'!$A$36</f>
        <v>Typ</v>
      </c>
      <c r="B9" s="1042" t="str">
        <f>'DICTIONARY-3'!$A$129</f>
        <v>RAMBO</v>
      </c>
      <c r="C9" s="1043"/>
      <c r="D9" s="1043"/>
      <c r="E9" s="1044"/>
      <c r="F9" s="1042" t="str">
        <f>LOWER('DICTIONARY-3'!$A$221)</f>
        <v>płyta podkładowa</v>
      </c>
      <c r="G9" s="1043"/>
      <c r="H9" s="1043"/>
      <c r="I9" s="1044"/>
    </row>
    <row r="10" spans="1:9" x14ac:dyDescent="0.25">
      <c r="A10" s="290"/>
      <c r="B10" s="1083"/>
      <c r="C10" s="1084"/>
      <c r="D10" s="1084"/>
      <c r="E10" s="1085"/>
      <c r="F10" s="1083"/>
      <c r="G10" s="1084"/>
      <c r="H10" s="1084"/>
      <c r="I10" s="1085"/>
    </row>
    <row r="11" spans="1:9" x14ac:dyDescent="0.25">
      <c r="A11" s="282"/>
      <c r="B11" s="283" t="str">
        <f>'DICTIONARY-2'!$A$28</f>
        <v>stary nr zamówienia</v>
      </c>
      <c r="C11" s="283" t="str">
        <f>'DICTIONARY-2'!$A$29</f>
        <v>nowy nr zamówienia</v>
      </c>
      <c r="D11" s="284" t="str">
        <f>CURRENCY.CODE_1</f>
        <v>EUR</v>
      </c>
      <c r="E11" s="284" t="str">
        <f>CURRENCY.CODE_2</f>
        <v>---</v>
      </c>
      <c r="F11" s="283" t="str">
        <f>'DICTIONARY-2'!$A$28</f>
        <v>stary nr zamówienia</v>
      </c>
      <c r="G11" s="283" t="str">
        <f>'DICTIONARY-2'!$A$29</f>
        <v>nowy nr zamówienia</v>
      </c>
      <c r="H11" s="284" t="str">
        <f>CURRENCY.CODE_1</f>
        <v>EUR</v>
      </c>
      <c r="I11" s="284" t="str">
        <f>CURRENCY.CODE_2</f>
        <v>---</v>
      </c>
    </row>
    <row r="12" spans="1:9" x14ac:dyDescent="0.25">
      <c r="A12" s="250" t="str">
        <f>'DICTIONARY-5'!$A$165</f>
        <v>Zasuwowa</v>
      </c>
      <c r="B12" s="349" t="s">
        <v>2725</v>
      </c>
      <c r="C12" s="305" t="str">
        <f>'DICTIONARY-5'!$A$2</f>
        <v>na zapytanie</v>
      </c>
      <c r="D12" s="339" t="str">
        <f>IFERROR(IF(OR(C12='DICTIONARY-5'!$A$2,C12='DICTIONARY-5'!$A$4,ISBLANK(C12)),VLOOKUP(B12,LIST!$A$6:$L$3250,CURR_1.SEARCH.OLD,0),VLOOKUP(C12,LIST!$B$6:$L$3250,CURR_1.SEARCH.NEW,0)),'DICTIONARY-5'!$A$2)</f>
        <v>na zapytanie</v>
      </c>
      <c r="E12" s="339" t="str">
        <f>IFERROR(IF(OR(C12='DICTIONARY-5'!$A$2,C12='DICTIONARY-5'!$A$4,ISBLANK(C12)),VLOOKUP(B12,LIST!$A$6:$M$3250,CURR_2.SEARCH.OLD,0),VLOOKUP(C12,LIST!$B$6:$M$3250,CURR_2.SEARCH.NEW,0)),'DICTIONARY-5'!$A$2)</f>
        <v/>
      </c>
      <c r="F12" s="106" t="s">
        <v>7982</v>
      </c>
      <c r="G12" s="305" t="s">
        <v>7981</v>
      </c>
      <c r="H12" s="339" t="str">
        <f>IFERROR(IF(OR(G12='DICTIONARY-5'!$A$2,G12='DICTIONARY-5'!$A$4,ISBLANK(G12)),VLOOKUP(F12,LIST!$A$6:$L$3250,CURR_1.SEARCH.OLD,0),VLOOKUP(G12,LIST!$B$6:$L$3250,CURR_1.SEARCH.NEW,0)),'DICTIONARY-5'!$A$2)</f>
        <v>15,-</v>
      </c>
      <c r="I12" s="339" t="str">
        <f>IFERROR(IF(OR(G12='DICTIONARY-5'!$A$2,G12='DICTIONARY-5'!$A$4,ISBLANK(G12)),VLOOKUP(F12,LIST!$A$6:$M$3250,CURR_2.SEARCH.OLD,0),VLOOKUP(G12,LIST!$B$6:$M$3250,CURR_2.SEARCH.NEW,0)),'DICTIONARY-5'!$A$2)</f>
        <v/>
      </c>
    </row>
    <row r="13" spans="1:9" x14ac:dyDescent="0.25">
      <c r="A13" s="250" t="str">
        <f>'DICTIONARY-5'!$A$166</f>
        <v>Zaworowa</v>
      </c>
      <c r="B13" s="286" t="s">
        <v>2726</v>
      </c>
      <c r="C13" s="305" t="s">
        <v>4874</v>
      </c>
      <c r="D13" s="339" t="str">
        <f>IFERROR(IF(OR(C13='DICTIONARY-5'!$A$2,C13='DICTIONARY-5'!$A$4,ISBLANK(C13)),VLOOKUP(B13,LIST!$A$6:$L$3250,CURR_1.SEARCH.OLD,0),VLOOKUP(C13,LIST!$B$6:$L$3250,CURR_1.SEARCH.NEW,0)),'DICTIONARY-5'!$A$2)</f>
        <v>24,-</v>
      </c>
      <c r="E13" s="339" t="str">
        <f>IFERROR(IF(OR(C13='DICTIONARY-5'!$A$2,C13='DICTIONARY-5'!$A$4,ISBLANK(C13)),VLOOKUP(B13,LIST!$A$6:$M$3250,CURR_2.SEARCH.OLD,0),VLOOKUP(C13,LIST!$B$6:$M$3250,CURR_2.SEARCH.NEW,0)),'DICTIONARY-5'!$A$2)</f>
        <v/>
      </c>
      <c r="F13" s="106" t="s">
        <v>7984</v>
      </c>
      <c r="G13" s="305" t="s">
        <v>7983</v>
      </c>
      <c r="H13" s="339" t="str">
        <f>IFERROR(IF(OR(G13='DICTIONARY-5'!$A$2,G13='DICTIONARY-5'!$A$4,ISBLANK(G13)),VLOOKUP(F13,LIST!$A$6:$L$3250,CURR_1.SEARCH.OLD,0),VLOOKUP(G13,LIST!$B$6:$L$3250,CURR_1.SEARCH.NEW,0)),'DICTIONARY-5'!$A$2)</f>
        <v>5,-</v>
      </c>
      <c r="I13" s="339" t="str">
        <f>IFERROR(IF(OR(G13='DICTIONARY-5'!$A$2,G13='DICTIONARY-5'!$A$4,ISBLANK(G13)),VLOOKUP(F13,LIST!$A$6:$M$3250,CURR_2.SEARCH.OLD,0),VLOOKUP(G13,LIST!$B$6:$M$3250,CURR_2.SEARCH.NEW,0)),'DICTIONARY-5'!$A$2)</f>
        <v/>
      </c>
    </row>
    <row r="14" spans="1:9" x14ac:dyDescent="0.25">
      <c r="A14" s="301" t="str">
        <f>'DICTIONARY-5'!$A$168&amp;" ("&amp;LOWER('DICTIONARY-5'!$A$167)&amp;")"</f>
        <v>Owalna (hydrantowa)</v>
      </c>
      <c r="B14" s="286" t="s">
        <v>2727</v>
      </c>
      <c r="C14" s="305" t="s">
        <v>4875</v>
      </c>
      <c r="D14" s="339" t="str">
        <f>IFERROR(IF(OR(C14='DICTIONARY-5'!$A$2,C14='DICTIONARY-5'!$A$4,ISBLANK(C14)),VLOOKUP(B14,LIST!$A$6:$L$3250,CURR_1.SEARCH.OLD,0),VLOOKUP(C14,LIST!$B$6:$L$3250,CURR_1.SEARCH.NEW,0)),'DICTIONARY-5'!$A$2)</f>
        <v>96,-</v>
      </c>
      <c r="E14" s="339" t="str">
        <f>IFERROR(IF(OR(C14='DICTIONARY-5'!$A$2,C14='DICTIONARY-5'!$A$4,ISBLANK(C14)),VLOOKUP(B14,LIST!$A$6:$M$3250,CURR_2.SEARCH.OLD,0),VLOOKUP(C14,LIST!$B$6:$M$3250,CURR_2.SEARCH.NEW,0)),'DICTIONARY-5'!$A$2)</f>
        <v/>
      </c>
      <c r="F14" s="106" t="s">
        <v>2301</v>
      </c>
      <c r="G14" s="305" t="s">
        <v>4784</v>
      </c>
      <c r="H14" s="339" t="str">
        <f>IFERROR(IF(OR(G14='DICTIONARY-5'!$A$2,G14='DICTIONARY-5'!$A$4,ISBLANK(G14)),VLOOKUP(F14,LIST!$A$6:$L$3250,CURR_1.SEARCH.OLD,0),VLOOKUP(G14,LIST!$B$6:$L$3250,CURR_1.SEARCH.NEW,0)),'DICTIONARY-5'!$A$2)</f>
        <v>24,-</v>
      </c>
      <c r="I14" s="339" t="str">
        <f>IFERROR(IF(OR(G14='DICTIONARY-5'!$A$2,G14='DICTIONARY-5'!$A$4,ISBLANK(G14)),VLOOKUP(F14,LIST!$A$6:$M$3250,CURR_2.SEARCH.OLD,0),VLOOKUP(G14,LIST!$B$6:$M$3250,CURR_2.SEARCH.NEW,0)),'DICTIONARY-5'!$A$2)</f>
        <v/>
      </c>
    </row>
  </sheetData>
  <sheetProtection algorithmName="SHA-512" hashValue="4AmEH/lsaHzGj51wDdoWm1OboHGQQ3kv+Fo8PbMLkGBl8+WEBrLEu47Li5nO7DjQNKSO9rVl6rGAPEAc+P0CnQ==" saltValue="zpW1IogdfwBAnUXO0icmuA==" spinCount="100000" sheet="1" objects="1" scenarios="1" autoFilter="0"/>
  <mergeCells count="5">
    <mergeCell ref="B4:E4"/>
    <mergeCell ref="B9:E9"/>
    <mergeCell ref="F9:I9"/>
    <mergeCell ref="B10:E10"/>
    <mergeCell ref="F10:I10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6">
    <tabColor rgb="FFF59B00"/>
  </sheetPr>
  <dimension ref="A1:Q29"/>
  <sheetViews>
    <sheetView workbookViewId="0"/>
  </sheetViews>
  <sheetFormatPr defaultColWidth="9.140625" defaultRowHeight="15" x14ac:dyDescent="0.25"/>
  <cols>
    <col min="1" max="3" width="9.140625" style="357"/>
    <col min="4" max="5" width="22.140625" style="357" customWidth="1"/>
    <col min="6" max="7" width="12.85546875" style="358" customWidth="1"/>
    <col min="8" max="8" width="9.140625" style="358"/>
    <col min="9" max="10" width="22.140625" style="358" customWidth="1"/>
    <col min="11" max="12" width="12.85546875" style="358" customWidth="1"/>
    <col min="13" max="13" width="11.42578125" style="358" customWidth="1"/>
    <col min="14" max="15" width="22.140625" style="359" customWidth="1"/>
    <col min="16" max="17" width="12.85546875" style="359" customWidth="1"/>
    <col min="18" max="16384" width="9.140625" style="359"/>
  </cols>
  <sheetData>
    <row r="1" spans="1:17" s="389" customFormat="1" ht="45" customHeight="1" thickBot="1" x14ac:dyDescent="0.3">
      <c r="A1" s="423"/>
      <c r="B1" s="423"/>
      <c r="C1" s="423"/>
      <c r="D1" s="423"/>
      <c r="E1" s="390"/>
      <c r="F1" s="388"/>
      <c r="G1" s="388"/>
      <c r="H1" s="388"/>
      <c r="I1" s="388"/>
      <c r="J1" s="388"/>
      <c r="K1" s="388"/>
      <c r="L1" s="388"/>
      <c r="M1" s="388"/>
    </row>
    <row r="2" spans="1:17" s="442" customFormat="1" ht="4.5" customHeight="1" x14ac:dyDescent="0.25">
      <c r="A2" s="439"/>
      <c r="B2" s="440"/>
      <c r="C2" s="440"/>
      <c r="D2" s="440"/>
      <c r="E2" s="440"/>
      <c r="F2" s="441"/>
      <c r="G2" s="441"/>
      <c r="H2" s="441"/>
      <c r="I2" s="441"/>
      <c r="J2" s="441"/>
      <c r="K2" s="441"/>
      <c r="L2" s="441"/>
      <c r="M2" s="441"/>
    </row>
    <row r="3" spans="1:17" s="354" customFormat="1" ht="15.75" thickBot="1" x14ac:dyDescent="0.3">
      <c r="A3" s="355"/>
      <c r="B3" s="356"/>
      <c r="C3" s="356"/>
      <c r="D3" s="352"/>
      <c r="E3" s="352"/>
      <c r="F3" s="353"/>
      <c r="G3" s="353"/>
      <c r="H3" s="353"/>
      <c r="I3" s="353"/>
      <c r="J3" s="353"/>
      <c r="K3" s="353"/>
      <c r="L3" s="353"/>
      <c r="M3" s="353"/>
    </row>
    <row r="4" spans="1:17" s="354" customFormat="1" ht="15.75" thickBot="1" x14ac:dyDescent="0.3">
      <c r="A4" s="829">
        <f>ADD.DISCOUNT</f>
        <v>0</v>
      </c>
      <c r="B4" s="933" t="str">
        <f>HYPERLINK("#'LIST'!ADD.DISCOUNT","» "&amp;'DICTIONARY-1'!$A$5)</f>
        <v>» Ustaw globalny dodatkowy rabat</v>
      </c>
      <c r="C4" s="933"/>
      <c r="D4" s="933"/>
      <c r="E4" s="934"/>
      <c r="F4" s="353"/>
      <c r="G4" s="353"/>
      <c r="H4" s="353"/>
      <c r="I4" s="353"/>
      <c r="J4" s="353"/>
      <c r="K4" s="353"/>
      <c r="L4" s="353"/>
      <c r="M4" s="353"/>
    </row>
    <row r="5" spans="1:17" s="354" customFormat="1" x14ac:dyDescent="0.25">
      <c r="A5" s="355"/>
      <c r="B5" s="356"/>
      <c r="C5" s="356"/>
      <c r="D5" s="352"/>
      <c r="E5" s="352"/>
      <c r="F5" s="353"/>
      <c r="G5" s="353"/>
      <c r="H5" s="353"/>
      <c r="I5" s="353"/>
      <c r="J5" s="353"/>
      <c r="K5" s="353"/>
      <c r="L5" s="353"/>
      <c r="M5" s="353"/>
    </row>
    <row r="6" spans="1:17" ht="16.5" thickBot="1" x14ac:dyDescent="0.3">
      <c r="A6" s="81" t="str">
        <f>CONCATENATE('DICTIONARY-3'!$A$6," ",'DICTIONARY-3'!$A$187,)</f>
        <v>BETA 200 Zasuwa klinowa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  <c r="M6" s="712"/>
      <c r="N6" s="712"/>
      <c r="O6" s="712"/>
      <c r="P6" s="712"/>
      <c r="Q6" s="712"/>
    </row>
    <row r="7" spans="1:17" x14ac:dyDescent="0.25">
      <c r="A7" s="9" t="str">
        <f>CONCATENATE('DICTIONARY-3'!$A$243,", ",LOWER('DICTIONARY-2'!$A$12)," ",'DICTIONARY-5'!$A$9)</f>
        <v>Z wolnym końcem wałka, długość zabudowy EN 558</v>
      </c>
    </row>
    <row r="8" spans="1:17" x14ac:dyDescent="0.25">
      <c r="A8" s="360" t="str">
        <f>CONCATENATE('DICTIONARY-1'!$A$10,": ",SETTINGS!$C$10)</f>
        <v>Grupa rabatowa: BETA 200</v>
      </c>
    </row>
    <row r="9" spans="1:17" x14ac:dyDescent="0.25">
      <c r="A9" s="361"/>
      <c r="N9" s="935" t="str">
        <f>'DICTIONARY-5'!$A$5</f>
        <v xml:space="preserve">Należy zamówić oddzielnie </v>
      </c>
      <c r="O9" s="936"/>
      <c r="P9" s="936"/>
      <c r="Q9" s="937"/>
    </row>
    <row r="10" spans="1:17" x14ac:dyDescent="0.25">
      <c r="A10" s="574" t="str">
        <f>'DICTIONARY-2'!$A$2</f>
        <v>DN</v>
      </c>
      <c r="B10" s="574" t="str">
        <f>'DICTIONARY-2'!$A$3</f>
        <v>PN</v>
      </c>
      <c r="C10" s="574" t="str">
        <f>'DICTIONARY-2'!$A$24</f>
        <v>L</v>
      </c>
      <c r="D10" s="942" t="str">
        <f>'DICTIONARY-3'!$A$6</f>
        <v>BETA 200</v>
      </c>
      <c r="E10" s="942"/>
      <c r="F10" s="942"/>
      <c r="G10" s="942"/>
      <c r="H10" s="574" t="str">
        <f>'DICTIONARY-2'!$A$24</f>
        <v>L</v>
      </c>
      <c r="I10" s="942" t="str">
        <f>'DICTIONARY-3'!$A$6</f>
        <v>BETA 200</v>
      </c>
      <c r="J10" s="942"/>
      <c r="K10" s="942"/>
      <c r="L10" s="942"/>
      <c r="M10" s="359"/>
      <c r="N10" s="943" t="str">
        <f>'DICTIONARY-4'!$A$23</f>
        <v>Kółko ręczne</v>
      </c>
      <c r="O10" s="944"/>
      <c r="P10" s="944"/>
      <c r="Q10" s="945"/>
    </row>
    <row r="11" spans="1:17" x14ac:dyDescent="0.25">
      <c r="A11" s="575"/>
      <c r="B11" s="575"/>
      <c r="C11" s="575"/>
      <c r="D11" s="938" t="str">
        <f>CONCATENATE('DICTIONARY-5'!$A$66," (",'DICTIONARY-5'!$A$10," 14), ",'DICTIONARY-5'!$A$43&amp;": "&amp;'DICTIONARY-5'!$A$44)</f>
        <v>budowa krótka (szereg 14), guma: EPDM</v>
      </c>
      <c r="E11" s="938"/>
      <c r="F11" s="938"/>
      <c r="G11" s="938"/>
      <c r="H11" s="575"/>
      <c r="I11" s="938" t="str">
        <f>CONCATENATE('DICTIONARY-5'!$A$67," (",'DICTIONARY-5'!$A$10," 15), ",'DICTIONARY-5'!$A$43&amp;": "&amp;'DICTIONARY-5'!$A$44)</f>
        <v>budowa długa (szereg 15), guma: EPDM</v>
      </c>
      <c r="J11" s="938"/>
      <c r="K11" s="938"/>
      <c r="L11" s="938"/>
      <c r="M11" s="359"/>
      <c r="N11" s="939"/>
      <c r="O11" s="940"/>
      <c r="P11" s="940"/>
      <c r="Q11" s="941"/>
    </row>
    <row r="12" spans="1:17" ht="15" customHeight="1" x14ac:dyDescent="0.25">
      <c r="A12" s="576"/>
      <c r="B12" s="576"/>
      <c r="C12" s="576" t="str">
        <f>'DICTIONARY-2'!$A$18</f>
        <v>[mm]</v>
      </c>
      <c r="D12" s="565" t="str">
        <f>'DICTIONARY-2'!$A$28</f>
        <v>stary nr zamówienia</v>
      </c>
      <c r="E12" s="565" t="str">
        <f>'DICTIONARY-2'!$A$29</f>
        <v>nowy nr zamówienia</v>
      </c>
      <c r="F12" s="566" t="str">
        <f>CURRENCY.CODE_1</f>
        <v>EUR</v>
      </c>
      <c r="G12" s="566" t="str">
        <f>CURRENCY.CODE_2</f>
        <v>---</v>
      </c>
      <c r="H12" s="576" t="str">
        <f>'DICTIONARY-2'!$A$18</f>
        <v>[mm]</v>
      </c>
      <c r="I12" s="565" t="str">
        <f>'DICTIONARY-2'!$A$28</f>
        <v>stary nr zamówienia</v>
      </c>
      <c r="J12" s="565" t="str">
        <f>'DICTIONARY-2'!$A$29</f>
        <v>nowy nr zamówienia</v>
      </c>
      <c r="K12" s="566" t="str">
        <f>CURRENCY.CODE_1</f>
        <v>EUR</v>
      </c>
      <c r="L12" s="566" t="str">
        <f>CURRENCY.CODE_2</f>
        <v>---</v>
      </c>
      <c r="M12" s="359"/>
      <c r="N12" s="165" t="str">
        <f>'DICTIONARY-2'!$A$28</f>
        <v>stary nr zamówienia</v>
      </c>
      <c r="O12" s="165" t="str">
        <f>'DICTIONARY-2'!$A$29</f>
        <v>nowy nr zamówienia</v>
      </c>
      <c r="P12" s="166" t="str">
        <f>CURRENCY.CODE_1</f>
        <v>EUR</v>
      </c>
      <c r="Q12" s="166" t="str">
        <f>CURRENCY.CODE_2</f>
        <v>---</v>
      </c>
    </row>
    <row r="13" spans="1:17" x14ac:dyDescent="0.25">
      <c r="A13" s="362">
        <v>40</v>
      </c>
      <c r="B13" s="362" t="s">
        <v>85</v>
      </c>
      <c r="C13" s="362">
        <v>140</v>
      </c>
      <c r="D13" s="362" t="s">
        <v>5085</v>
      </c>
      <c r="E13" s="501" t="s">
        <v>5315</v>
      </c>
      <c r="F13" s="339" t="str">
        <f>_xlfn.IFNA(IF(OR(E13='DICTIONARY-5'!$A$2,E13='DICTIONARY-5'!$A$4,ISBLANK(E13)),VLOOKUP(D13,LIST!$A$6:$L$3250,CURR_1.SEARCH.OLD,0),VLOOKUP(E13,LIST!$B$6:$L$3250,CURR_1.SEARCH.NEW,0)),'DICTIONARY-5'!$A$2)</f>
        <v>193,-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362">
        <v>240</v>
      </c>
      <c r="I13" s="362" t="s">
        <v>5086</v>
      </c>
      <c r="J13" s="501" t="s">
        <v>5329</v>
      </c>
      <c r="K13" s="339" t="str">
        <f>IFERROR(IF(OR(J13='DICTIONARY-5'!$A$2,J13='DICTIONARY-5'!$A$4,ISBLANK(J13)),VLOOKUP(I13,LIST!$A$6:$L$3250,CURR_1.SEARCH.OLD,0),VLOOKUP(J13,LIST!$B$6:$L$3250,CURR_1.SEARCH.NEW,0)),'DICTIONARY-5'!$A$2)</f>
        <v>195,-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  <c r="M13" s="359"/>
      <c r="N13" s="139" t="s">
        <v>109</v>
      </c>
      <c r="O13" s="334" t="s">
        <v>2892</v>
      </c>
      <c r="P13" s="339" t="str">
        <f>IFERROR(IF(OR(O13='DICTIONARY-5'!$A$2,O13='DICTIONARY-5'!$A$4,ISBLANK(O13)),VLOOKUP(N13,LIST!$A$6:$L$3250,CURR_1.SEARCH.OLD,0),VLOOKUP(O13,LIST!$B$6:$L$3250,CURR_1.SEARCH.NEW,0)),'DICTIONARY-5'!$A$2)</f>
        <v>8,-</v>
      </c>
      <c r="Q13" s="339" t="str">
        <f>IFERROR(IF(OR(O13='DICTIONARY-5'!$A$2,O13='DICTIONARY-5'!$A$4,ISBLANK(O13)),VLOOKUP(N13,LIST!$A$6:$M$3250,CURR_2.SEARCH.OLD,0),VLOOKUP(O13,LIST!$B$6:$M$3250,CURR_2.SEARCH.NEW,0)),'DICTIONARY-5'!$A$2)</f>
        <v/>
      </c>
    </row>
    <row r="14" spans="1:17" x14ac:dyDescent="0.25">
      <c r="A14" s="362">
        <v>50</v>
      </c>
      <c r="B14" s="362" t="s">
        <v>85</v>
      </c>
      <c r="C14" s="362">
        <v>150</v>
      </c>
      <c r="D14" s="362" t="s">
        <v>5087</v>
      </c>
      <c r="E14" s="501" t="s">
        <v>5316</v>
      </c>
      <c r="F14" s="339" t="str">
        <f>IFERROR(IF(OR(E14='DICTIONARY-5'!$A$2,E14='DICTIONARY-5'!$A$4,ISBLANK(E14)),VLOOKUP(D14,LIST!$A$6:$L$3250,CURR_1.SEARCH.OLD,0),VLOOKUP(E14,LIST!$B$6:$L$3250,CURR_1.SEARCH.NEW,0)),'DICTIONARY-5'!$A$2)</f>
        <v>190,-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362">
        <v>250</v>
      </c>
      <c r="I14" s="362" t="s">
        <v>5088</v>
      </c>
      <c r="J14" s="501" t="s">
        <v>5330</v>
      </c>
      <c r="K14" s="339" t="str">
        <f>IFERROR(IF(OR(J14='DICTIONARY-5'!$A$2,J14='DICTIONARY-5'!$A$4,ISBLANK(J14)),VLOOKUP(I14,LIST!$A$6:$L$3250,CURR_1.SEARCH.OLD,0),VLOOKUP(J14,LIST!$B$6:$L$3250,CURR_1.SEARCH.NEW,0)),'DICTIONARY-5'!$A$2)</f>
        <v>204,-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  <c r="M14" s="359"/>
      <c r="N14" s="139" t="s">
        <v>109</v>
      </c>
      <c r="O14" s="334" t="s">
        <v>2892</v>
      </c>
      <c r="P14" s="339" t="str">
        <f>IFERROR(IF(OR(O14='DICTIONARY-5'!$A$2,O14='DICTIONARY-5'!$A$4,ISBLANK(O14)),VLOOKUP(N14,LIST!$A$6:$L$3250,CURR_1.SEARCH.OLD,0),VLOOKUP(O14,LIST!$B$6:$L$3250,CURR_1.SEARCH.NEW,0)),'DICTIONARY-5'!$A$2)</f>
        <v>8,-</v>
      </c>
      <c r="Q14" s="339" t="str">
        <f>IFERROR(IF(OR(O14='DICTIONARY-5'!$A$2,O14='DICTIONARY-5'!$A$4,ISBLANK(O14)),VLOOKUP(N14,LIST!$A$6:$M$3250,CURR_2.SEARCH.OLD,0),VLOOKUP(O14,LIST!$B$6:$M$3250,CURR_2.SEARCH.NEW,0)),'DICTIONARY-5'!$A$2)</f>
        <v/>
      </c>
    </row>
    <row r="15" spans="1:17" x14ac:dyDescent="0.25">
      <c r="A15" s="362">
        <v>65</v>
      </c>
      <c r="B15" s="362" t="s">
        <v>85</v>
      </c>
      <c r="C15" s="362">
        <v>170</v>
      </c>
      <c r="D15" s="362" t="s">
        <v>5089</v>
      </c>
      <c r="E15" s="501" t="s">
        <v>5317</v>
      </c>
      <c r="F15" s="339" t="str">
        <f>IFERROR(IF(OR(E15='DICTIONARY-5'!$A$2,E15='DICTIONARY-5'!$A$4,ISBLANK(E15)),VLOOKUP(D15,LIST!$A$6:$L$3250,CURR_1.SEARCH.OLD,0),VLOOKUP(E15,LIST!$B$6:$L$3250,CURR_1.SEARCH.NEW,0)),'DICTIONARY-5'!$A$2)</f>
        <v>232,-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362">
        <v>270</v>
      </c>
      <c r="I15" s="362" t="s">
        <v>5090</v>
      </c>
      <c r="J15" s="501" t="s">
        <v>5331</v>
      </c>
      <c r="K15" s="339" t="str">
        <f>IFERROR(IF(OR(J15='DICTIONARY-5'!$A$2,J15='DICTIONARY-5'!$A$4,ISBLANK(J15)),VLOOKUP(I15,LIST!$A$6:$L$3250,CURR_1.SEARCH.OLD,0),VLOOKUP(J15,LIST!$B$6:$L$3250,CURR_1.SEARCH.NEW,0)),'DICTIONARY-5'!$A$2)</f>
        <v>262,-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  <c r="M15" s="359"/>
      <c r="N15" s="139" t="s">
        <v>88</v>
      </c>
      <c r="O15" s="334" t="s">
        <v>2893</v>
      </c>
      <c r="P15" s="339" t="str">
        <f>IFERROR(IF(OR(O15='DICTIONARY-5'!$A$2,O15='DICTIONARY-5'!$A$4,ISBLANK(O15)),VLOOKUP(N15,LIST!$A$6:$L$3250,CURR_1.SEARCH.OLD,0),VLOOKUP(O15,LIST!$B$6:$L$3250,CURR_1.SEARCH.NEW,0)),'DICTIONARY-5'!$A$2)</f>
        <v>15,-</v>
      </c>
      <c r="Q15" s="339" t="str">
        <f>IFERROR(IF(OR(O15='DICTIONARY-5'!$A$2,O15='DICTIONARY-5'!$A$4,ISBLANK(O15)),VLOOKUP(N15,LIST!$A$6:$M$3250,CURR_2.SEARCH.OLD,0),VLOOKUP(O15,LIST!$B$6:$M$3250,CURR_2.SEARCH.NEW,0)),'DICTIONARY-5'!$A$2)</f>
        <v/>
      </c>
    </row>
    <row r="16" spans="1:17" x14ac:dyDescent="0.25">
      <c r="A16" s="362" t="s">
        <v>84</v>
      </c>
      <c r="B16" s="362" t="s">
        <v>85</v>
      </c>
      <c r="C16" s="362">
        <v>180</v>
      </c>
      <c r="D16" s="362" t="s">
        <v>5091</v>
      </c>
      <c r="E16" s="501" t="s">
        <v>5318</v>
      </c>
      <c r="F16" s="339" t="str">
        <f>IFERROR(IF(OR(E16='DICTIONARY-5'!$A$2,E16='DICTIONARY-5'!$A$4,ISBLANK(E16)),VLOOKUP(D16,LIST!$A$6:$L$3250,CURR_1.SEARCH.OLD,0),VLOOKUP(E16,LIST!$B$6:$L$3250,CURR_1.SEARCH.NEW,0)),'DICTIONARY-5'!$A$2)</f>
        <v>239,-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362">
        <v>280</v>
      </c>
      <c r="I16" s="362" t="s">
        <v>5092</v>
      </c>
      <c r="J16" s="501" t="s">
        <v>5332</v>
      </c>
      <c r="K16" s="339" t="str">
        <f>IFERROR(IF(OR(J16='DICTIONARY-5'!$A$2,J16='DICTIONARY-5'!$A$4,ISBLANK(J16)),VLOOKUP(I16,LIST!$A$6:$L$3250,CURR_1.SEARCH.OLD,0),VLOOKUP(J16,LIST!$B$6:$L$3250,CURR_1.SEARCH.NEW,0)),'DICTIONARY-5'!$A$2)</f>
        <v>271,-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  <c r="M16" s="359"/>
      <c r="N16" s="139" t="s">
        <v>88</v>
      </c>
      <c r="O16" s="334" t="s">
        <v>2893</v>
      </c>
      <c r="P16" s="339" t="str">
        <f>IFERROR(IF(OR(O16='DICTIONARY-5'!$A$2,O16='DICTIONARY-5'!$A$4,ISBLANK(O16)),VLOOKUP(N16,LIST!$A$6:$L$3250,CURR_1.SEARCH.OLD,0),VLOOKUP(O16,LIST!$B$6:$L$3250,CURR_1.SEARCH.NEW,0)),'DICTIONARY-5'!$A$2)</f>
        <v>15,-</v>
      </c>
      <c r="Q16" s="339" t="str">
        <f>IFERROR(IF(OR(O16='DICTIONARY-5'!$A$2,O16='DICTIONARY-5'!$A$4,ISBLANK(O16)),VLOOKUP(N16,LIST!$A$6:$M$3250,CURR_2.SEARCH.OLD,0),VLOOKUP(O16,LIST!$B$6:$M$3250,CURR_2.SEARCH.NEW,0)),'DICTIONARY-5'!$A$2)</f>
        <v/>
      </c>
    </row>
    <row r="17" spans="1:17" x14ac:dyDescent="0.25">
      <c r="A17" s="362">
        <v>80</v>
      </c>
      <c r="B17" s="362" t="s">
        <v>85</v>
      </c>
      <c r="C17" s="362">
        <v>180</v>
      </c>
      <c r="D17" s="362" t="s">
        <v>5093</v>
      </c>
      <c r="E17" s="501" t="s">
        <v>5319</v>
      </c>
      <c r="F17" s="339" t="str">
        <f>IFERROR(IF(OR(E17='DICTIONARY-5'!$A$2,E17='DICTIONARY-5'!$A$4,ISBLANK(E17)),VLOOKUP(D17,LIST!$A$6:$L$3250,CURR_1.SEARCH.OLD,0),VLOOKUP(E17,LIST!$B$6:$L$3250,CURR_1.SEARCH.NEW,0)),'DICTIONARY-5'!$A$2)</f>
        <v>234,-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362">
        <v>280</v>
      </c>
      <c r="I17" s="362" t="s">
        <v>5094</v>
      </c>
      <c r="J17" s="501" t="s">
        <v>5333</v>
      </c>
      <c r="K17" s="339" t="str">
        <f>IFERROR(IF(OR(J17='DICTIONARY-5'!$A$2,J17='DICTIONARY-5'!$A$4,ISBLANK(J17)),VLOOKUP(I17,LIST!$A$6:$L$3250,CURR_1.SEARCH.OLD,0),VLOOKUP(J17,LIST!$B$6:$L$3250,CURR_1.SEARCH.NEW,0)),'DICTIONARY-5'!$A$2)</f>
        <v>271,-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  <c r="M17" s="359"/>
      <c r="N17" s="139" t="s">
        <v>88</v>
      </c>
      <c r="O17" s="334" t="s">
        <v>2893</v>
      </c>
      <c r="P17" s="339" t="str">
        <f>IFERROR(IF(OR(O17='DICTIONARY-5'!$A$2,O17='DICTIONARY-5'!$A$4,ISBLANK(O17)),VLOOKUP(N17,LIST!$A$6:$L$3250,CURR_1.SEARCH.OLD,0),VLOOKUP(O17,LIST!$B$6:$L$3250,CURR_1.SEARCH.NEW,0)),'DICTIONARY-5'!$A$2)</f>
        <v>15,-</v>
      </c>
      <c r="Q17" s="339" t="str">
        <f>IFERROR(IF(OR(O17='DICTIONARY-5'!$A$2,O17='DICTIONARY-5'!$A$4,ISBLANK(O17)),VLOOKUP(N17,LIST!$A$6:$M$3250,CURR_2.SEARCH.OLD,0),VLOOKUP(O17,LIST!$B$6:$M$3250,CURR_2.SEARCH.NEW,0)),'DICTIONARY-5'!$A$2)</f>
        <v/>
      </c>
    </row>
    <row r="18" spans="1:17" x14ac:dyDescent="0.25">
      <c r="A18" s="362">
        <v>100</v>
      </c>
      <c r="B18" s="362" t="s">
        <v>85</v>
      </c>
      <c r="C18" s="362">
        <v>190</v>
      </c>
      <c r="D18" s="362" t="s">
        <v>5095</v>
      </c>
      <c r="E18" s="501" t="s">
        <v>5320</v>
      </c>
      <c r="F18" s="339" t="str">
        <f>IFERROR(IF(OR(E18='DICTIONARY-5'!$A$2,E18='DICTIONARY-5'!$A$4,ISBLANK(E18)),VLOOKUP(D18,LIST!$A$6:$L$3250,CURR_1.SEARCH.OLD,0),VLOOKUP(E18,LIST!$B$6:$L$3250,CURR_1.SEARCH.NEW,0)),'DICTIONARY-5'!$A$2)</f>
        <v>281,-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362">
        <v>300</v>
      </c>
      <c r="I18" s="362" t="s">
        <v>5096</v>
      </c>
      <c r="J18" s="501" t="s">
        <v>5334</v>
      </c>
      <c r="K18" s="339" t="str">
        <f>IFERROR(IF(OR(J18='DICTIONARY-5'!$A$2,J18='DICTIONARY-5'!$A$4,ISBLANK(J18)),VLOOKUP(I18,LIST!$A$6:$L$3250,CURR_1.SEARCH.OLD,0),VLOOKUP(J18,LIST!$B$6:$L$3250,CURR_1.SEARCH.NEW,0)),'DICTIONARY-5'!$A$2)</f>
        <v>295,-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  <c r="M18" s="359"/>
      <c r="N18" s="139" t="s">
        <v>91</v>
      </c>
      <c r="O18" s="334" t="s">
        <v>2894</v>
      </c>
      <c r="P18" s="339" t="str">
        <f>IFERROR(IF(OR(O18='DICTIONARY-5'!$A$2,O18='DICTIONARY-5'!$A$4,ISBLANK(O18)),VLOOKUP(N18,LIST!$A$6:$L$3250,CURR_1.SEARCH.OLD,0),VLOOKUP(O18,LIST!$B$6:$L$3250,CURR_1.SEARCH.NEW,0)),'DICTIONARY-5'!$A$2)</f>
        <v>20,-</v>
      </c>
      <c r="Q18" s="339" t="str">
        <f>IFERROR(IF(OR(O18='DICTIONARY-5'!$A$2,O18='DICTIONARY-5'!$A$4,ISBLANK(O18)),VLOOKUP(N18,LIST!$A$6:$M$3250,CURR_2.SEARCH.OLD,0),VLOOKUP(O18,LIST!$B$6:$M$3250,CURR_2.SEARCH.NEW,0)),'DICTIONARY-5'!$A$2)</f>
        <v/>
      </c>
    </row>
    <row r="19" spans="1:17" x14ac:dyDescent="0.25">
      <c r="A19" s="362">
        <v>125</v>
      </c>
      <c r="B19" s="362" t="s">
        <v>85</v>
      </c>
      <c r="C19" s="362">
        <v>200</v>
      </c>
      <c r="D19" s="362" t="s">
        <v>5097</v>
      </c>
      <c r="E19" s="501" t="s">
        <v>5321</v>
      </c>
      <c r="F19" s="339" t="str">
        <f>IFERROR(IF(OR(E19='DICTIONARY-5'!$A$2,E19='DICTIONARY-5'!$A$4,ISBLANK(E19)),VLOOKUP(D19,LIST!$A$6:$L$3250,CURR_1.SEARCH.OLD,0),VLOOKUP(E19,LIST!$B$6:$L$3250,CURR_1.SEARCH.NEW,0)),'DICTIONARY-5'!$A$2)</f>
        <v>377,-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362">
        <v>325</v>
      </c>
      <c r="I19" s="362" t="s">
        <v>5098</v>
      </c>
      <c r="J19" s="501" t="s">
        <v>5335</v>
      </c>
      <c r="K19" s="339" t="str">
        <f>IFERROR(IF(OR(J19='DICTIONARY-5'!$A$2,J19='DICTIONARY-5'!$A$4,ISBLANK(J19)),VLOOKUP(I19,LIST!$A$6:$L$3250,CURR_1.SEARCH.OLD,0),VLOOKUP(J19,LIST!$B$6:$L$3250,CURR_1.SEARCH.NEW,0)),'DICTIONARY-5'!$A$2)</f>
        <v>446,-</v>
      </c>
      <c r="L19" s="339" t="str">
        <f>IFERROR(IF(OR(J19='DICTIONARY-5'!$A$2,J19='DICTIONARY-5'!$A$4,ISBLANK(J19)),VLOOKUP(I19,LIST!$A$6:$M$3250,CURR_2.SEARCH.OLD,0),VLOOKUP(J19,LIST!$B$6:$M$3250,CURR_2.SEARCH.NEW,0)),'DICTIONARY-5'!$A$2)</f>
        <v/>
      </c>
      <c r="M19" s="359"/>
      <c r="N19" s="139" t="s">
        <v>91</v>
      </c>
      <c r="O19" s="334" t="s">
        <v>2894</v>
      </c>
      <c r="P19" s="339" t="str">
        <f>IFERROR(IF(OR(O19='DICTIONARY-5'!$A$2,O19='DICTIONARY-5'!$A$4,ISBLANK(O19)),VLOOKUP(N19,LIST!$A$6:$L$3250,CURR_1.SEARCH.OLD,0),VLOOKUP(O19,LIST!$B$6:$L$3250,CURR_1.SEARCH.NEW,0)),'DICTIONARY-5'!$A$2)</f>
        <v>20,-</v>
      </c>
      <c r="Q19" s="339" t="str">
        <f>IFERROR(IF(OR(O19='DICTIONARY-5'!$A$2,O19='DICTIONARY-5'!$A$4,ISBLANK(O19)),VLOOKUP(N19,LIST!$A$6:$M$3250,CURR_2.SEARCH.OLD,0),VLOOKUP(O19,LIST!$B$6:$M$3250,CURR_2.SEARCH.NEW,0)),'DICTIONARY-5'!$A$2)</f>
        <v/>
      </c>
    </row>
    <row r="20" spans="1:17" x14ac:dyDescent="0.25">
      <c r="A20" s="362">
        <v>150</v>
      </c>
      <c r="B20" s="362" t="s">
        <v>85</v>
      </c>
      <c r="C20" s="362">
        <v>210</v>
      </c>
      <c r="D20" s="362" t="s">
        <v>5099</v>
      </c>
      <c r="E20" s="501" t="s">
        <v>5322</v>
      </c>
      <c r="F20" s="339" t="str">
        <f>IFERROR(IF(OR(E20='DICTIONARY-5'!$A$2,E20='DICTIONARY-5'!$A$4,ISBLANK(E20)),VLOOKUP(D20,LIST!$A$6:$L$3250,CURR_1.SEARCH.OLD,0),VLOOKUP(E20,LIST!$B$6:$L$3250,CURR_1.SEARCH.NEW,0)),'DICTIONARY-5'!$A$2)</f>
        <v>390,-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362">
        <v>350</v>
      </c>
      <c r="I20" s="362" t="s">
        <v>5100</v>
      </c>
      <c r="J20" s="501" t="s">
        <v>5336</v>
      </c>
      <c r="K20" s="339" t="str">
        <f>IFERROR(IF(OR(J20='DICTIONARY-5'!$A$2,J20='DICTIONARY-5'!$A$4,ISBLANK(J20)),VLOOKUP(I20,LIST!$A$6:$L$3250,CURR_1.SEARCH.OLD,0),VLOOKUP(J20,LIST!$B$6:$L$3250,CURR_1.SEARCH.NEW,0)),'DICTIONARY-5'!$A$2)</f>
        <v>470,-</v>
      </c>
      <c r="L20" s="339" t="str">
        <f>IFERROR(IF(OR(J20='DICTIONARY-5'!$A$2,J20='DICTIONARY-5'!$A$4,ISBLANK(J20)),VLOOKUP(I20,LIST!$A$6:$M$3250,CURR_2.SEARCH.OLD,0),VLOOKUP(J20,LIST!$B$6:$M$3250,CURR_2.SEARCH.NEW,0)),'DICTIONARY-5'!$A$2)</f>
        <v/>
      </c>
      <c r="M20" s="359"/>
      <c r="N20" s="139" t="s">
        <v>91</v>
      </c>
      <c r="O20" s="334" t="s">
        <v>2894</v>
      </c>
      <c r="P20" s="339" t="str">
        <f>IFERROR(IF(OR(O20='DICTIONARY-5'!$A$2,O20='DICTIONARY-5'!$A$4,ISBLANK(O20)),VLOOKUP(N20,LIST!$A$6:$L$3250,CURR_1.SEARCH.OLD,0),VLOOKUP(O20,LIST!$B$6:$L$3250,CURR_1.SEARCH.NEW,0)),'DICTIONARY-5'!$A$2)</f>
        <v>20,-</v>
      </c>
      <c r="Q20" s="339" t="str">
        <f>IFERROR(IF(OR(O20='DICTIONARY-5'!$A$2,O20='DICTIONARY-5'!$A$4,ISBLANK(O20)),VLOOKUP(N20,LIST!$A$6:$M$3250,CURR_2.SEARCH.OLD,0),VLOOKUP(O20,LIST!$B$6:$M$3250,CURR_2.SEARCH.NEW,0)),'DICTIONARY-5'!$A$2)</f>
        <v/>
      </c>
    </row>
    <row r="21" spans="1:17" x14ac:dyDescent="0.25">
      <c r="A21" s="362">
        <v>200</v>
      </c>
      <c r="B21" s="362">
        <v>10</v>
      </c>
      <c r="C21" s="362">
        <v>230</v>
      </c>
      <c r="D21" s="362" t="s">
        <v>5101</v>
      </c>
      <c r="E21" s="501" t="s">
        <v>5323</v>
      </c>
      <c r="F21" s="339" t="str">
        <f>IFERROR(IF(OR(E21='DICTIONARY-5'!$A$2,E21='DICTIONARY-5'!$A$4,ISBLANK(E21)),VLOOKUP(D21,LIST!$A$6:$L$3250,CURR_1.SEARCH.OLD,0),VLOOKUP(E21,LIST!$B$6:$L$3250,CURR_1.SEARCH.NEW,0)),'DICTIONARY-5'!$A$2)</f>
        <v>780,-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362">
        <v>400</v>
      </c>
      <c r="I21" s="362" t="s">
        <v>5102</v>
      </c>
      <c r="J21" s="501" t="s">
        <v>5337</v>
      </c>
      <c r="K21" s="339" t="str">
        <f>IFERROR(IF(OR(J21='DICTIONARY-5'!$A$2,J21='DICTIONARY-5'!$A$4,ISBLANK(J21)),VLOOKUP(I21,LIST!$A$6:$L$3250,CURR_1.SEARCH.OLD,0),VLOOKUP(J21,LIST!$B$6:$L$3250,CURR_1.SEARCH.NEW,0)),'DICTIONARY-5'!$A$2)</f>
        <v>732,-</v>
      </c>
      <c r="L21" s="339" t="str">
        <f>IFERROR(IF(OR(J21='DICTIONARY-5'!$A$2,J21='DICTIONARY-5'!$A$4,ISBLANK(J21)),VLOOKUP(I21,LIST!$A$6:$M$3250,CURR_2.SEARCH.OLD,0),VLOOKUP(J21,LIST!$B$6:$M$3250,CURR_2.SEARCH.NEW,0)),'DICTIONARY-5'!$A$2)</f>
        <v/>
      </c>
      <c r="M21" s="359"/>
      <c r="N21" s="139" t="s">
        <v>98</v>
      </c>
      <c r="O21" s="334" t="s">
        <v>2895</v>
      </c>
      <c r="P21" s="339" t="str">
        <f>IFERROR(IF(OR(O21='DICTIONARY-5'!$A$2,O21='DICTIONARY-5'!$A$4,ISBLANK(O21)),VLOOKUP(N21,LIST!$A$6:$L$3250,CURR_1.SEARCH.OLD,0),VLOOKUP(O21,LIST!$B$6:$L$3250,CURR_1.SEARCH.NEW,0)),'DICTIONARY-5'!$A$2)</f>
        <v>35,-</v>
      </c>
      <c r="Q21" s="339" t="str">
        <f>IFERROR(IF(OR(O21='DICTIONARY-5'!$A$2,O21='DICTIONARY-5'!$A$4,ISBLANK(O21)),VLOOKUP(N21,LIST!$A$6:$M$3250,CURR_2.SEARCH.OLD,0),VLOOKUP(O21,LIST!$B$6:$M$3250,CURR_2.SEARCH.NEW,0)),'DICTIONARY-5'!$A$2)</f>
        <v/>
      </c>
    </row>
    <row r="22" spans="1:17" x14ac:dyDescent="0.25">
      <c r="A22" s="362">
        <v>200</v>
      </c>
      <c r="B22" s="362">
        <v>16</v>
      </c>
      <c r="C22" s="362">
        <v>230</v>
      </c>
      <c r="D22" s="362" t="s">
        <v>5103</v>
      </c>
      <c r="E22" s="501" t="s">
        <v>5324</v>
      </c>
      <c r="F22" s="339" t="str">
        <f>IFERROR(IF(OR(E22='DICTIONARY-5'!$A$2,E22='DICTIONARY-5'!$A$4,ISBLANK(E22)),VLOOKUP(D22,LIST!$A$6:$L$3250,CURR_1.SEARCH.OLD,0),VLOOKUP(E22,LIST!$B$6:$L$3250,CURR_1.SEARCH.NEW,0)),'DICTIONARY-5'!$A$2)</f>
        <v>764,-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362">
        <v>400</v>
      </c>
      <c r="I22" s="362" t="s">
        <v>5104</v>
      </c>
      <c r="J22" s="501" t="s">
        <v>5338</v>
      </c>
      <c r="K22" s="339" t="str">
        <f>IFERROR(IF(OR(J22='DICTIONARY-5'!$A$2,J22='DICTIONARY-5'!$A$4,ISBLANK(J22)),VLOOKUP(I22,LIST!$A$6:$L$3250,CURR_1.SEARCH.OLD,0),VLOOKUP(J22,LIST!$B$6:$L$3250,CURR_1.SEARCH.NEW,0)),'DICTIONARY-5'!$A$2)</f>
        <v>737,-</v>
      </c>
      <c r="L22" s="339" t="str">
        <f>IFERROR(IF(OR(J22='DICTIONARY-5'!$A$2,J22='DICTIONARY-5'!$A$4,ISBLANK(J22)),VLOOKUP(I22,LIST!$A$6:$M$3250,CURR_2.SEARCH.OLD,0),VLOOKUP(J22,LIST!$B$6:$M$3250,CURR_2.SEARCH.NEW,0)),'DICTIONARY-5'!$A$2)</f>
        <v/>
      </c>
      <c r="M22" s="359"/>
      <c r="N22" s="139" t="s">
        <v>98</v>
      </c>
      <c r="O22" s="334" t="s">
        <v>2895</v>
      </c>
      <c r="P22" s="339" t="str">
        <f>IFERROR(IF(OR(O22='DICTIONARY-5'!$A$2,O22='DICTIONARY-5'!$A$4,ISBLANK(O22)),VLOOKUP(N22,LIST!$A$6:$L$3250,CURR_1.SEARCH.OLD,0),VLOOKUP(O22,LIST!$B$6:$L$3250,CURR_1.SEARCH.NEW,0)),'DICTIONARY-5'!$A$2)</f>
        <v>35,-</v>
      </c>
      <c r="Q22" s="339" t="str">
        <f>IFERROR(IF(OR(O22='DICTIONARY-5'!$A$2,O22='DICTIONARY-5'!$A$4,ISBLANK(O22)),VLOOKUP(N22,LIST!$A$6:$M$3250,CURR_2.SEARCH.OLD,0),VLOOKUP(O22,LIST!$B$6:$M$3250,CURR_2.SEARCH.NEW,0)),'DICTIONARY-5'!$A$2)</f>
        <v/>
      </c>
    </row>
    <row r="23" spans="1:17" x14ac:dyDescent="0.25">
      <c r="A23" s="362">
        <v>250</v>
      </c>
      <c r="B23" s="362">
        <v>10</v>
      </c>
      <c r="C23" s="362">
        <v>250</v>
      </c>
      <c r="D23" s="362" t="s">
        <v>5105</v>
      </c>
      <c r="E23" s="501" t="s">
        <v>5325</v>
      </c>
      <c r="F23" s="339" t="str">
        <f>IFERROR(IF(OR(E23='DICTIONARY-5'!$A$2,E23='DICTIONARY-5'!$A$4,ISBLANK(E23)),VLOOKUP(D23,LIST!$A$6:$L$3250,CURR_1.SEARCH.OLD,0),VLOOKUP(E23,LIST!$B$6:$L$3250,CURR_1.SEARCH.NEW,0)),'DICTIONARY-5'!$A$2)</f>
        <v>1 401,-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362">
        <v>450</v>
      </c>
      <c r="I23" s="362" t="s">
        <v>5106</v>
      </c>
      <c r="J23" s="501" t="s">
        <v>5339</v>
      </c>
      <c r="K23" s="339" t="str">
        <f>IFERROR(IF(OR(J23='DICTIONARY-5'!$A$2,J23='DICTIONARY-5'!$A$4,ISBLANK(J23)),VLOOKUP(I23,LIST!$A$6:$L$3250,CURR_1.SEARCH.OLD,0),VLOOKUP(J23,LIST!$B$6:$L$3250,CURR_1.SEARCH.NEW,0)),'DICTIONARY-5'!$A$2)</f>
        <v>1 486,-</v>
      </c>
      <c r="L23" s="339" t="str">
        <f>IFERROR(IF(OR(J23='DICTIONARY-5'!$A$2,J23='DICTIONARY-5'!$A$4,ISBLANK(J23)),VLOOKUP(I23,LIST!$A$6:$M$3250,CURR_2.SEARCH.OLD,0),VLOOKUP(J23,LIST!$B$6:$M$3250,CURR_2.SEARCH.NEW,0)),'DICTIONARY-5'!$A$2)</f>
        <v/>
      </c>
      <c r="M23" s="359"/>
      <c r="N23" s="139" t="s">
        <v>102</v>
      </c>
      <c r="O23" s="334" t="s">
        <v>2896</v>
      </c>
      <c r="P23" s="339" t="str">
        <f>IFERROR(IF(OR(O23='DICTIONARY-5'!$A$2,O23='DICTIONARY-5'!$A$4,ISBLANK(O23)),VLOOKUP(N23,LIST!$A$6:$L$3250,CURR_1.SEARCH.OLD,0),VLOOKUP(O23,LIST!$B$6:$L$3250,CURR_1.SEARCH.NEW,0)),'DICTIONARY-5'!$A$2)</f>
        <v>54,-</v>
      </c>
      <c r="Q23" s="339" t="str">
        <f>IFERROR(IF(OR(O23='DICTIONARY-5'!$A$2,O23='DICTIONARY-5'!$A$4,ISBLANK(O23)),VLOOKUP(N23,LIST!$A$6:$M$3250,CURR_2.SEARCH.OLD,0),VLOOKUP(O23,LIST!$B$6:$M$3250,CURR_2.SEARCH.NEW,0)),'DICTIONARY-5'!$A$2)</f>
        <v/>
      </c>
    </row>
    <row r="24" spans="1:17" x14ac:dyDescent="0.25">
      <c r="A24" s="362">
        <v>250</v>
      </c>
      <c r="B24" s="362">
        <v>16</v>
      </c>
      <c r="C24" s="362">
        <v>250</v>
      </c>
      <c r="D24" s="362" t="s">
        <v>5107</v>
      </c>
      <c r="E24" s="501" t="s">
        <v>5326</v>
      </c>
      <c r="F24" s="339" t="str">
        <f>IFERROR(IF(OR(E24='DICTIONARY-5'!$A$2,E24='DICTIONARY-5'!$A$4,ISBLANK(E24)),VLOOKUP(D24,LIST!$A$6:$L$3250,CURR_1.SEARCH.OLD,0),VLOOKUP(E24,LIST!$B$6:$L$3250,CURR_1.SEARCH.NEW,0)),'DICTIONARY-5'!$A$2)</f>
        <v>1 403,-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362">
        <v>450</v>
      </c>
      <c r="I24" s="362" t="s">
        <v>5108</v>
      </c>
      <c r="J24" s="501" t="s">
        <v>5340</v>
      </c>
      <c r="K24" s="339" t="str">
        <f>IFERROR(IF(OR(J24='DICTIONARY-5'!$A$2,J24='DICTIONARY-5'!$A$4,ISBLANK(J24)),VLOOKUP(I24,LIST!$A$6:$L$3250,CURR_1.SEARCH.OLD,0),VLOOKUP(J24,LIST!$B$6:$L$3250,CURR_1.SEARCH.NEW,0)),'DICTIONARY-5'!$A$2)</f>
        <v>1 486,-</v>
      </c>
      <c r="L24" s="339" t="str">
        <f>IFERROR(IF(OR(J24='DICTIONARY-5'!$A$2,J24='DICTIONARY-5'!$A$4,ISBLANK(J24)),VLOOKUP(I24,LIST!$A$6:$M$3250,CURR_2.SEARCH.OLD,0),VLOOKUP(J24,LIST!$B$6:$M$3250,CURR_2.SEARCH.NEW,0)),'DICTIONARY-5'!$A$2)</f>
        <v/>
      </c>
      <c r="M24" s="359"/>
      <c r="N24" s="139" t="s">
        <v>102</v>
      </c>
      <c r="O24" s="334" t="s">
        <v>2896</v>
      </c>
      <c r="P24" s="339" t="str">
        <f>IFERROR(IF(OR(O24='DICTIONARY-5'!$A$2,O24='DICTIONARY-5'!$A$4,ISBLANK(O24)),VLOOKUP(N24,LIST!$A$6:$L$3250,CURR_1.SEARCH.OLD,0),VLOOKUP(O24,LIST!$B$6:$L$3250,CURR_1.SEARCH.NEW,0)),'DICTIONARY-5'!$A$2)</f>
        <v>54,-</v>
      </c>
      <c r="Q24" s="339" t="str">
        <f>IFERROR(IF(OR(O24='DICTIONARY-5'!$A$2,O24='DICTIONARY-5'!$A$4,ISBLANK(O24)),VLOOKUP(N24,LIST!$A$6:$M$3250,CURR_2.SEARCH.OLD,0),VLOOKUP(O24,LIST!$B$6:$M$3250,CURR_2.SEARCH.NEW,0)),'DICTIONARY-5'!$A$2)</f>
        <v/>
      </c>
    </row>
    <row r="25" spans="1:17" x14ac:dyDescent="0.25">
      <c r="A25" s="362">
        <v>300</v>
      </c>
      <c r="B25" s="362">
        <v>10</v>
      </c>
      <c r="C25" s="362">
        <v>270</v>
      </c>
      <c r="D25" s="362" t="s">
        <v>5109</v>
      </c>
      <c r="E25" s="501" t="s">
        <v>5327</v>
      </c>
      <c r="F25" s="339" t="str">
        <f>IFERROR(IF(OR(E25='DICTIONARY-5'!$A$2,E25='DICTIONARY-5'!$A$4,ISBLANK(E25)),VLOOKUP(D25,LIST!$A$6:$L$3250,CURR_1.SEARCH.OLD,0),VLOOKUP(E25,LIST!$B$6:$L$3250,CURR_1.SEARCH.NEW,0)),'DICTIONARY-5'!$A$2)</f>
        <v>2 286,-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362">
        <v>500</v>
      </c>
      <c r="I25" s="362" t="s">
        <v>5110</v>
      </c>
      <c r="J25" s="501" t="s">
        <v>5341</v>
      </c>
      <c r="K25" s="339" t="str">
        <f>IFERROR(IF(OR(J25='DICTIONARY-5'!$A$2,J25='DICTIONARY-5'!$A$4,ISBLANK(J25)),VLOOKUP(I25,LIST!$A$6:$L$3250,CURR_1.SEARCH.OLD,0),VLOOKUP(J25,LIST!$B$6:$L$3250,CURR_1.SEARCH.NEW,0)),'DICTIONARY-5'!$A$2)</f>
        <v>2 184,-</v>
      </c>
      <c r="L25" s="339" t="str">
        <f>IFERROR(IF(OR(J25='DICTIONARY-5'!$A$2,J25='DICTIONARY-5'!$A$4,ISBLANK(J25)),VLOOKUP(I25,LIST!$A$6:$M$3250,CURR_2.SEARCH.OLD,0),VLOOKUP(J25,LIST!$B$6:$M$3250,CURR_2.SEARCH.NEW,0)),'DICTIONARY-5'!$A$2)</f>
        <v/>
      </c>
      <c r="M25" s="359"/>
      <c r="N25" s="139" t="s">
        <v>102</v>
      </c>
      <c r="O25" s="334" t="s">
        <v>2896</v>
      </c>
      <c r="P25" s="339" t="str">
        <f>IFERROR(IF(OR(O25='DICTIONARY-5'!$A$2,O25='DICTIONARY-5'!$A$4,ISBLANK(O25)),VLOOKUP(N25,LIST!$A$6:$L$3250,CURR_1.SEARCH.OLD,0),VLOOKUP(O25,LIST!$B$6:$L$3250,CURR_1.SEARCH.NEW,0)),'DICTIONARY-5'!$A$2)</f>
        <v>54,-</v>
      </c>
      <c r="Q25" s="339" t="str">
        <f>IFERROR(IF(OR(O25='DICTIONARY-5'!$A$2,O25='DICTIONARY-5'!$A$4,ISBLANK(O25)),VLOOKUP(N25,LIST!$A$6:$M$3250,CURR_2.SEARCH.OLD,0),VLOOKUP(O25,LIST!$B$6:$M$3250,CURR_2.SEARCH.NEW,0)),'DICTIONARY-5'!$A$2)</f>
        <v/>
      </c>
    </row>
    <row r="26" spans="1:17" x14ac:dyDescent="0.25">
      <c r="A26" s="362">
        <v>300</v>
      </c>
      <c r="B26" s="362">
        <v>16</v>
      </c>
      <c r="C26" s="362">
        <v>270</v>
      </c>
      <c r="D26" s="362" t="s">
        <v>5111</v>
      </c>
      <c r="E26" s="501" t="s">
        <v>5328</v>
      </c>
      <c r="F26" s="339" t="str">
        <f>IFERROR(IF(OR(E26='DICTIONARY-5'!$A$2,E26='DICTIONARY-5'!$A$4,ISBLANK(E26)),VLOOKUP(D26,LIST!$A$6:$L$3250,CURR_1.SEARCH.OLD,0),VLOOKUP(E26,LIST!$B$6:$L$3250,CURR_1.SEARCH.NEW,0)),'DICTIONARY-5'!$A$2)</f>
        <v>2 289,-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362">
        <v>500</v>
      </c>
      <c r="I26" s="362" t="s">
        <v>5112</v>
      </c>
      <c r="J26" s="501" t="s">
        <v>5342</v>
      </c>
      <c r="K26" s="339" t="str">
        <f>IFERROR(IF(OR(J26='DICTIONARY-5'!$A$2,J26='DICTIONARY-5'!$A$4,ISBLANK(J26)),VLOOKUP(I26,LIST!$A$6:$L$3250,CURR_1.SEARCH.OLD,0),VLOOKUP(J26,LIST!$B$6:$L$3250,CURR_1.SEARCH.NEW,0)),'DICTIONARY-5'!$A$2)</f>
        <v>2 181,-</v>
      </c>
      <c r="L26" s="339" t="str">
        <f>IFERROR(IF(OR(J26='DICTIONARY-5'!$A$2,J26='DICTIONARY-5'!$A$4,ISBLANK(J26)),VLOOKUP(I26,LIST!$A$6:$M$3250,CURR_2.SEARCH.OLD,0),VLOOKUP(J26,LIST!$B$6:$M$3250,CURR_2.SEARCH.NEW,0)),'DICTIONARY-5'!$A$2)</f>
        <v/>
      </c>
      <c r="M26" s="359"/>
      <c r="N26" s="139" t="s">
        <v>102</v>
      </c>
      <c r="O26" s="334" t="s">
        <v>2896</v>
      </c>
      <c r="P26" s="339" t="str">
        <f>IFERROR(IF(OR(O26='DICTIONARY-5'!$A$2,O26='DICTIONARY-5'!$A$4,ISBLANK(O26)),VLOOKUP(N26,LIST!$A$6:$L$3250,CURR_1.SEARCH.OLD,0),VLOOKUP(O26,LIST!$B$6:$L$3250,CURR_1.SEARCH.NEW,0)),'DICTIONARY-5'!$A$2)</f>
        <v>54,-</v>
      </c>
      <c r="Q26" s="339" t="str">
        <f>IFERROR(IF(OR(O26='DICTIONARY-5'!$A$2,O26='DICTIONARY-5'!$A$4,ISBLANK(O26)),VLOOKUP(N26,LIST!$A$6:$M$3250,CURR_2.SEARCH.OLD,0),VLOOKUP(O26,LIST!$B$6:$M$3250,CURR_2.SEARCH.NEW,0)),'DICTIONARY-5'!$A$2)</f>
        <v/>
      </c>
    </row>
    <row r="27" spans="1:17" x14ac:dyDescent="0.25">
      <c r="M27" s="359"/>
    </row>
    <row r="28" spans="1:17" x14ac:dyDescent="0.25">
      <c r="A28" s="548" t="str">
        <f>"1) "&amp;'DICTIONARY-5'!$A$63</f>
        <v>1) Owiert kołnierza 4 otwory</v>
      </c>
      <c r="M28" s="359"/>
    </row>
    <row r="29" spans="1:17" x14ac:dyDescent="0.25">
      <c r="F29" s="893"/>
    </row>
  </sheetData>
  <sheetProtection algorithmName="SHA-512" hashValue="JpSb3vYdsE6U7rzQ7/pAk+XBocYfZGNTxaEO4WD4R9RCK4MUSyPX55ahtrRfJd8IM1al3ER9cHYf6P16XoAxkg==" saltValue="M4VKAeXguA8x4YYkx1xkbw==" spinCount="100000" sheet="1" objects="1" scenarios="1" autoFilter="0"/>
  <mergeCells count="8">
    <mergeCell ref="B4:E4"/>
    <mergeCell ref="N9:Q9"/>
    <mergeCell ref="D11:G11"/>
    <mergeCell ref="I11:L11"/>
    <mergeCell ref="N11:Q11"/>
    <mergeCell ref="D10:G10"/>
    <mergeCell ref="I10:L10"/>
    <mergeCell ref="N10:Q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FFC000"/>
  </sheetPr>
  <dimension ref="A1:M35"/>
  <sheetViews>
    <sheetView workbookViewId="0"/>
  </sheetViews>
  <sheetFormatPr defaultColWidth="9.140625" defaultRowHeight="15" x14ac:dyDescent="0.25"/>
  <cols>
    <col min="1" max="2" width="9.140625" style="6"/>
    <col min="3" max="4" width="9.140625" style="6" customWidth="1"/>
    <col min="5" max="6" width="22.140625" style="6" customWidth="1"/>
    <col min="7" max="8" width="12.85546875" style="6" customWidth="1"/>
    <col min="9" max="9" width="9.140625" style="6" customWidth="1"/>
    <col min="10" max="11" width="22.140625" style="6" customWidth="1"/>
    <col min="12" max="13" width="12.85546875" style="6" customWidth="1"/>
    <col min="14" max="16384" width="9.140625" style="6"/>
  </cols>
  <sheetData>
    <row r="1" spans="1:13" s="383" customFormat="1" ht="45" customHeight="1" thickBot="1" x14ac:dyDescent="0.3">
      <c r="A1" s="381"/>
      <c r="B1" s="381"/>
      <c r="C1" s="381"/>
      <c r="D1" s="381"/>
      <c r="E1" s="381"/>
      <c r="G1" s="666"/>
    </row>
    <row r="2" spans="1:13" s="485" customFormat="1" ht="4.5" customHeight="1" x14ac:dyDescent="0.25">
      <c r="A2" s="484"/>
    </row>
    <row r="3" spans="1:13" ht="15.75" thickBot="1" x14ac:dyDescent="0.3">
      <c r="A3" s="7"/>
      <c r="B3" s="8"/>
      <c r="C3" s="8"/>
    </row>
    <row r="4" spans="1:13" ht="15.75" thickBot="1" x14ac:dyDescent="0.3">
      <c r="A4" s="828">
        <f>ADD.DISCOUNT</f>
        <v>0</v>
      </c>
      <c r="B4" s="933" t="str">
        <f>HYPERLINK("#'LIST'!ADD.DISCOUNT","» "&amp;'DICTIONARY-1'!$A$5)</f>
        <v>» Ustaw globalny dodatkowy rabat</v>
      </c>
      <c r="C4" s="946"/>
      <c r="D4" s="946"/>
      <c r="E4" s="947"/>
    </row>
    <row r="5" spans="1:13" x14ac:dyDescent="0.25">
      <c r="A5" s="7"/>
      <c r="B5" s="8"/>
      <c r="C5" s="8"/>
    </row>
    <row r="6" spans="1:13" ht="16.5" thickBot="1" x14ac:dyDescent="0.3">
      <c r="A6" s="81" t="str">
        <f>CONCATENATE('DICTIONARY-3'!$A$7," ",'DICTIONARY-3'!$A$229)</f>
        <v>BETA 200 TS Zasuwa naprawcza</v>
      </c>
      <c r="B6" s="91"/>
      <c r="C6" s="91"/>
      <c r="D6" s="91"/>
      <c r="E6" s="91"/>
      <c r="F6" s="91"/>
      <c r="G6" s="91"/>
      <c r="H6" s="81"/>
      <c r="I6" s="81"/>
      <c r="J6" s="91"/>
      <c r="K6" s="91"/>
      <c r="L6" s="91"/>
      <c r="M6" s="91"/>
    </row>
    <row r="7" spans="1:13" x14ac:dyDescent="0.25">
      <c r="A7" s="9" t="str">
        <f>CONCATENATE('DICTIONARY-3'!$A$245,", ",LOWER('DICTIONARY-3'!$A$243))</f>
        <v>Z kołnierzem przesuwnym, z wolnym końcem wałka</v>
      </c>
      <c r="B7" s="10"/>
      <c r="C7" s="10"/>
      <c r="D7" s="10"/>
      <c r="E7" s="10"/>
      <c r="F7" s="10"/>
      <c r="G7" s="11"/>
      <c r="H7" s="11"/>
      <c r="I7" s="11"/>
    </row>
    <row r="8" spans="1:13" x14ac:dyDescent="0.25">
      <c r="A8" s="9" t="str">
        <f>CONCATENATE('DICTIONARY-1'!$A$10,": ",SETTINGS!$C$11)</f>
        <v>Grupa rabatowa: BETA 200 Exchange Valve</v>
      </c>
      <c r="B8" s="10"/>
      <c r="C8" s="10"/>
      <c r="D8" s="10"/>
      <c r="E8" s="10"/>
      <c r="F8" s="10"/>
      <c r="G8" s="11"/>
      <c r="H8" s="11"/>
      <c r="I8" s="11"/>
    </row>
    <row r="9" spans="1:13" x14ac:dyDescent="0.25">
      <c r="A9" s="12"/>
      <c r="B9" s="10"/>
      <c r="C9" s="10"/>
      <c r="D9" s="10"/>
      <c r="E9" s="10"/>
      <c r="F9" s="10"/>
      <c r="G9" s="11"/>
      <c r="H9" s="11"/>
      <c r="J9" s="935" t="str">
        <f>'DICTIONARY-5'!$A$5</f>
        <v xml:space="preserve">Należy zamówić oddzielnie </v>
      </c>
      <c r="K9" s="936"/>
      <c r="L9" s="936"/>
      <c r="M9" s="937"/>
    </row>
    <row r="10" spans="1:13" x14ac:dyDescent="0.25">
      <c r="A10" s="13" t="str">
        <f>'DICTIONARY-2'!$A$2</f>
        <v>DN</v>
      </c>
      <c r="B10" s="13" t="str">
        <f>'DICTIONARY-2'!$A$3</f>
        <v>PN</v>
      </c>
      <c r="C10" s="13" t="str">
        <f>'DICTIONARY-2'!$A$24</f>
        <v>L</v>
      </c>
      <c r="D10" s="14" t="str">
        <f>'DICTIONARY-2'!$A$25&amp;" 1)"</f>
        <v>Z 1)</v>
      </c>
      <c r="E10" s="949" t="str">
        <f>'DICTIONARY-3'!$A$7</f>
        <v>BETA 200 TS</v>
      </c>
      <c r="F10" s="949"/>
      <c r="G10" s="949"/>
      <c r="H10" s="949"/>
      <c r="J10" s="950" t="str">
        <f>'DICTIONARY-4'!$A$23</f>
        <v>Kółko ręczne</v>
      </c>
      <c r="K10" s="951"/>
      <c r="L10" s="951"/>
      <c r="M10" s="952"/>
    </row>
    <row r="11" spans="1:13" x14ac:dyDescent="0.25">
      <c r="A11" s="514"/>
      <c r="B11" s="514"/>
      <c r="C11" s="514"/>
      <c r="D11" s="515"/>
      <c r="E11" s="948" t="str">
        <f>'DICTIONARY-5'!$A$43&amp;": "&amp;'DICTIONARY-5'!$A$44</f>
        <v>guma: EPDM</v>
      </c>
      <c r="F11" s="948"/>
      <c r="G11" s="948"/>
      <c r="H11" s="948"/>
      <c r="J11" s="939"/>
      <c r="K11" s="940"/>
      <c r="L11" s="940"/>
      <c r="M11" s="941"/>
    </row>
    <row r="12" spans="1:13" x14ac:dyDescent="0.25">
      <c r="A12" s="15"/>
      <c r="B12" s="15"/>
      <c r="C12" s="15" t="str">
        <f>'DICTIONARY-2'!$A$18</f>
        <v>[mm]</v>
      </c>
      <c r="D12" s="15" t="str">
        <f>'DICTIONARY-2'!$A$18</f>
        <v>[mm]</v>
      </c>
      <c r="E12" s="16" t="str">
        <f>'DICTIONARY-2'!$A$28</f>
        <v>stary nr zamówienia</v>
      </c>
      <c r="F12" s="16" t="str">
        <f>'DICTIONARY-2'!$A$29</f>
        <v>nowy nr zamówienia</v>
      </c>
      <c r="G12" s="17" t="str">
        <f>CURRENCY.CODE_1</f>
        <v>EUR</v>
      </c>
      <c r="H12" s="17" t="str">
        <f>CURRENCY.CODE_2</f>
        <v>---</v>
      </c>
      <c r="J12" s="165" t="str">
        <f>'DICTIONARY-2'!$A$28</f>
        <v>stary nr zamówienia</v>
      </c>
      <c r="K12" s="165" t="str">
        <f>'DICTIONARY-2'!$A$29</f>
        <v>nowy nr zamówienia</v>
      </c>
      <c r="L12" s="166" t="str">
        <f>CURRENCY.CODE_1</f>
        <v>EUR</v>
      </c>
      <c r="M12" s="166" t="str">
        <f>CURRENCY.CODE_2</f>
        <v>---</v>
      </c>
    </row>
    <row r="13" spans="1:13" x14ac:dyDescent="0.25">
      <c r="A13" s="18" t="s">
        <v>84</v>
      </c>
      <c r="B13" s="18" t="s">
        <v>85</v>
      </c>
      <c r="C13" s="18">
        <v>280</v>
      </c>
      <c r="D13" s="18" t="s">
        <v>86</v>
      </c>
      <c r="E13" s="496" t="s">
        <v>87</v>
      </c>
      <c r="F13" s="333" t="s">
        <v>3509</v>
      </c>
      <c r="G13" s="339" t="str">
        <f>IFERROR(IF(OR(F13='DICTIONARY-5'!$A$2,F13='DICTIONARY-5'!$A$4,ISBLANK(F13)),VLOOKUP(E13,LIST!$A$6:$L$3250,CURR_1.SEARCH.OLD,0),VLOOKUP(F13,LIST!$B$6:$L$3250,CURR_1.SEARCH.NEW,0)),'DICTIONARY-5'!$A$2)</f>
        <v>423,-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  <c r="J13" s="139" t="s">
        <v>88</v>
      </c>
      <c r="K13" s="334" t="s">
        <v>2893</v>
      </c>
      <c r="L13" s="339" t="str">
        <f>IFERROR(IF(OR(K13='DICTIONARY-5'!$A$2,K13='DICTIONARY-5'!$A$4,ISBLANK(K13)),VLOOKUP(J13,LIST!$A$6:$L$3250,CURR_1.SEARCH.OLD,0),VLOOKUP(K13,LIST!$B$6:$L$3250,CURR_1.SEARCH.NEW,0)),'DICTIONARY-5'!$A$2)</f>
        <v>15,-</v>
      </c>
      <c r="M13" s="339" t="str">
        <f>IFERROR(IF(OR(K13='DICTIONARY-5'!$A$2,K13='DICTIONARY-5'!$A$4,ISBLANK(K13)),VLOOKUP(J13,LIST!$A$6:$M$3250,CURR_2.SEARCH.OLD,0),VLOOKUP(K13,LIST!$B$6:$M$3250,CURR_2.SEARCH.NEW,0)),'DICTIONARY-5'!$A$2)</f>
        <v/>
      </c>
    </row>
    <row r="14" spans="1:13" x14ac:dyDescent="0.25">
      <c r="A14" s="18" t="s">
        <v>89</v>
      </c>
      <c r="B14" s="18" t="s">
        <v>85</v>
      </c>
      <c r="C14" s="18">
        <v>300</v>
      </c>
      <c r="D14" s="18" t="s">
        <v>86</v>
      </c>
      <c r="E14" s="496" t="s">
        <v>90</v>
      </c>
      <c r="F14" s="333" t="s">
        <v>3510</v>
      </c>
      <c r="G14" s="339" t="str">
        <f>IFERROR(IF(OR(F14='DICTIONARY-5'!$A$2,F14='DICTIONARY-5'!$A$4,ISBLANK(F14)),VLOOKUP(E14,LIST!$A$6:$L$3250,CURR_1.SEARCH.OLD,0),VLOOKUP(F14,LIST!$B$6:$L$3250,CURR_1.SEARCH.NEW,0)),'DICTIONARY-5'!$A$2)</f>
        <v>463,-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  <c r="J14" s="139" t="s">
        <v>91</v>
      </c>
      <c r="K14" s="334" t="s">
        <v>2894</v>
      </c>
      <c r="L14" s="339" t="str">
        <f>IFERROR(IF(OR(K14='DICTIONARY-5'!$A$2,K14='DICTIONARY-5'!$A$4,ISBLANK(K14)),VLOOKUP(J14,LIST!$A$6:$L$3250,CURR_1.SEARCH.OLD,0),VLOOKUP(K14,LIST!$B$6:$L$3250,CURR_1.SEARCH.NEW,0)),'DICTIONARY-5'!$A$2)</f>
        <v>20,-</v>
      </c>
      <c r="M14" s="339" t="str">
        <f>IFERROR(IF(OR(K14='DICTIONARY-5'!$A$2,K14='DICTIONARY-5'!$A$4,ISBLANK(K14)),VLOOKUP(J14,LIST!$A$6:$M$3250,CURR_2.SEARCH.OLD,0),VLOOKUP(K14,LIST!$B$6:$M$3250,CURR_2.SEARCH.NEW,0)),'DICTIONARY-5'!$A$2)</f>
        <v/>
      </c>
    </row>
    <row r="15" spans="1:13" x14ac:dyDescent="0.25">
      <c r="A15" s="18" t="s">
        <v>92</v>
      </c>
      <c r="B15" s="18" t="s">
        <v>85</v>
      </c>
      <c r="C15" s="18">
        <v>325</v>
      </c>
      <c r="D15" s="18" t="s">
        <v>86</v>
      </c>
      <c r="E15" s="496" t="s">
        <v>93</v>
      </c>
      <c r="F15" s="333" t="s">
        <v>3511</v>
      </c>
      <c r="G15" s="339" t="str">
        <f>IFERROR(IF(OR(F15='DICTIONARY-5'!$A$2,F15='DICTIONARY-5'!$A$4,ISBLANK(F15)),VLOOKUP(E15,LIST!$A$6:$L$3250,CURR_1.SEARCH.OLD,0),VLOOKUP(F15,LIST!$B$6:$L$3250,CURR_1.SEARCH.NEW,0)),'DICTIONARY-5'!$A$2)</f>
        <v>678,-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  <c r="J15" s="139" t="s">
        <v>91</v>
      </c>
      <c r="K15" s="334" t="s">
        <v>2894</v>
      </c>
      <c r="L15" s="339" t="str">
        <f>IFERROR(IF(OR(K15='DICTIONARY-5'!$A$2,K15='DICTIONARY-5'!$A$4,ISBLANK(K15)),VLOOKUP(J15,LIST!$A$6:$L$3250,CURR_1.SEARCH.OLD,0),VLOOKUP(K15,LIST!$B$6:$L$3250,CURR_1.SEARCH.NEW,0)),'DICTIONARY-5'!$A$2)</f>
        <v>20,-</v>
      </c>
      <c r="M15" s="339" t="str">
        <f>IFERROR(IF(OR(K15='DICTIONARY-5'!$A$2,K15='DICTIONARY-5'!$A$4,ISBLANK(K15)),VLOOKUP(J15,LIST!$A$6:$M$3250,CURR_2.SEARCH.OLD,0),VLOOKUP(K15,LIST!$B$6:$M$3250,CURR_2.SEARCH.NEW,0)),'DICTIONARY-5'!$A$2)</f>
        <v/>
      </c>
    </row>
    <row r="16" spans="1:13" x14ac:dyDescent="0.25">
      <c r="A16" s="18">
        <v>150</v>
      </c>
      <c r="B16" s="18" t="s">
        <v>85</v>
      </c>
      <c r="C16" s="18">
        <v>350</v>
      </c>
      <c r="D16" s="18" t="s">
        <v>94</v>
      </c>
      <c r="E16" s="496" t="s">
        <v>95</v>
      </c>
      <c r="F16" s="333" t="s">
        <v>3512</v>
      </c>
      <c r="G16" s="339" t="str">
        <f>IFERROR(IF(OR(F16='DICTIONARY-5'!$A$2,F16='DICTIONARY-5'!$A$4,ISBLANK(F16)),VLOOKUP(E16,LIST!$A$6:$L$3250,CURR_1.SEARCH.OLD,0),VLOOKUP(F16,LIST!$B$6:$L$3250,CURR_1.SEARCH.NEW,0)),'DICTIONARY-5'!$A$2)</f>
        <v>656,-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  <c r="J16" s="139" t="s">
        <v>91</v>
      </c>
      <c r="K16" s="334" t="s">
        <v>2894</v>
      </c>
      <c r="L16" s="339" t="str">
        <f>IFERROR(IF(OR(K16='DICTIONARY-5'!$A$2,K16='DICTIONARY-5'!$A$4,ISBLANK(K16)),VLOOKUP(J16,LIST!$A$6:$L$3250,CURR_1.SEARCH.OLD,0),VLOOKUP(K16,LIST!$B$6:$L$3250,CURR_1.SEARCH.NEW,0)),'DICTIONARY-5'!$A$2)</f>
        <v>20,-</v>
      </c>
      <c r="M16" s="339" t="str">
        <f>IFERROR(IF(OR(K16='DICTIONARY-5'!$A$2,K16='DICTIONARY-5'!$A$4,ISBLANK(K16)),VLOOKUP(J16,LIST!$A$6:$M$3250,CURR_2.SEARCH.OLD,0),VLOOKUP(K16,LIST!$B$6:$M$3250,CURR_2.SEARCH.NEW,0)),'DICTIONARY-5'!$A$2)</f>
        <v/>
      </c>
    </row>
    <row r="17" spans="1:13" x14ac:dyDescent="0.25">
      <c r="A17" s="18">
        <v>200</v>
      </c>
      <c r="B17" s="18">
        <v>10</v>
      </c>
      <c r="C17" s="18">
        <v>400</v>
      </c>
      <c r="D17" s="18" t="s">
        <v>96</v>
      </c>
      <c r="E17" s="496" t="s">
        <v>97</v>
      </c>
      <c r="F17" s="333" t="s">
        <v>3516</v>
      </c>
      <c r="G17" s="339" t="str">
        <f>IFERROR(IF(OR(F17='DICTIONARY-5'!$A$2,F17='DICTIONARY-5'!$A$4,ISBLANK(F17)),VLOOKUP(E17,LIST!$A$6:$L$3250,CURR_1.SEARCH.OLD,0),VLOOKUP(F17,LIST!$B$6:$L$3250,CURR_1.SEARCH.NEW,0)),'DICTIONARY-5'!$A$2)</f>
        <v>1 036,-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  <c r="J17" s="139" t="s">
        <v>98</v>
      </c>
      <c r="K17" s="334" t="s">
        <v>2895</v>
      </c>
      <c r="L17" s="339" t="str">
        <f>IFERROR(IF(OR(K17='DICTIONARY-5'!$A$2,K17='DICTIONARY-5'!$A$4,ISBLANK(K17)),VLOOKUP(J17,LIST!$A$6:$L$3250,CURR_1.SEARCH.OLD,0),VLOOKUP(K17,LIST!$B$6:$L$3250,CURR_1.SEARCH.NEW,0)),'DICTIONARY-5'!$A$2)</f>
        <v>35,-</v>
      </c>
      <c r="M17" s="339" t="str">
        <f>IFERROR(IF(OR(K17='DICTIONARY-5'!$A$2,K17='DICTIONARY-5'!$A$4,ISBLANK(K17)),VLOOKUP(J17,LIST!$A$6:$M$3250,CURR_2.SEARCH.OLD,0),VLOOKUP(K17,LIST!$B$6:$M$3250,CURR_2.SEARCH.NEW,0)),'DICTIONARY-5'!$A$2)</f>
        <v/>
      </c>
    </row>
    <row r="18" spans="1:13" x14ac:dyDescent="0.25">
      <c r="A18" s="18">
        <v>200</v>
      </c>
      <c r="B18" s="18">
        <v>16</v>
      </c>
      <c r="C18" s="18">
        <v>400</v>
      </c>
      <c r="D18" s="18" t="s">
        <v>96</v>
      </c>
      <c r="E18" s="496" t="s">
        <v>99</v>
      </c>
      <c r="F18" s="333" t="s">
        <v>3513</v>
      </c>
      <c r="G18" s="339" t="str">
        <f>IFERROR(IF(OR(F18='DICTIONARY-5'!$A$2,F18='DICTIONARY-5'!$A$4,ISBLANK(F18)),VLOOKUP(E18,LIST!$A$6:$L$3250,CURR_1.SEARCH.OLD,0),VLOOKUP(F18,LIST!$B$6:$L$3250,CURR_1.SEARCH.NEW,0)),'DICTIONARY-5'!$A$2)</f>
        <v>1 018,-</v>
      </c>
      <c r="H18" s="339" t="str">
        <f>IFERROR(IF(OR(F18='DICTIONARY-5'!$A$2,F18='DICTIONARY-5'!$A$4,ISBLANK(F18)),VLOOKUP(E18,LIST!$A$6:$M$3250,CURR_2.SEARCH.OLD,0),VLOOKUP(F18,LIST!$B$6:$M$3250,CURR_2.SEARCH.NEW,0)),'DICTIONARY-5'!$A$2)</f>
        <v/>
      </c>
      <c r="J18" s="139" t="s">
        <v>98</v>
      </c>
      <c r="K18" s="334" t="s">
        <v>2895</v>
      </c>
      <c r="L18" s="339" t="str">
        <f>IFERROR(IF(OR(K18='DICTIONARY-5'!$A$2,K18='DICTIONARY-5'!$A$4,ISBLANK(K18)),VLOOKUP(J18,LIST!$A$6:$L$3250,CURR_1.SEARCH.OLD,0),VLOOKUP(K18,LIST!$B$6:$L$3250,CURR_1.SEARCH.NEW,0)),'DICTIONARY-5'!$A$2)</f>
        <v>35,-</v>
      </c>
      <c r="M18" s="339" t="str">
        <f>IFERROR(IF(OR(K18='DICTIONARY-5'!$A$2,K18='DICTIONARY-5'!$A$4,ISBLANK(K18)),VLOOKUP(J18,LIST!$A$6:$M$3250,CURR_2.SEARCH.OLD,0),VLOOKUP(K18,LIST!$B$6:$M$3250,CURR_2.SEARCH.NEW,0)),'DICTIONARY-5'!$A$2)</f>
        <v/>
      </c>
    </row>
    <row r="19" spans="1:13" x14ac:dyDescent="0.25">
      <c r="A19" s="18">
        <v>250</v>
      </c>
      <c r="B19" s="18">
        <v>10</v>
      </c>
      <c r="C19" s="18">
        <v>450</v>
      </c>
      <c r="D19" s="18" t="s">
        <v>100</v>
      </c>
      <c r="E19" s="496" t="s">
        <v>101</v>
      </c>
      <c r="F19" s="333" t="s">
        <v>3517</v>
      </c>
      <c r="G19" s="339" t="str">
        <f>IFERROR(IF(OR(F19='DICTIONARY-5'!$A$2,F19='DICTIONARY-5'!$A$4,ISBLANK(F19)),VLOOKUP(E19,LIST!$A$6:$L$3250,CURR_1.SEARCH.OLD,0),VLOOKUP(F19,LIST!$B$6:$L$3250,CURR_1.SEARCH.NEW,0)),'DICTIONARY-5'!$A$2)</f>
        <v>1 911,-</v>
      </c>
      <c r="H19" s="339" t="str">
        <f>IFERROR(IF(OR(F19='DICTIONARY-5'!$A$2,F19='DICTIONARY-5'!$A$4,ISBLANK(F19)),VLOOKUP(E19,LIST!$A$6:$M$3250,CURR_2.SEARCH.OLD,0),VLOOKUP(F19,LIST!$B$6:$M$3250,CURR_2.SEARCH.NEW,0)),'DICTIONARY-5'!$A$2)</f>
        <v/>
      </c>
      <c r="J19" s="139" t="s">
        <v>102</v>
      </c>
      <c r="K19" s="334" t="s">
        <v>2896</v>
      </c>
      <c r="L19" s="339" t="str">
        <f>IFERROR(IF(OR(K19='DICTIONARY-5'!$A$2,K19='DICTIONARY-5'!$A$4,ISBLANK(K19)),VLOOKUP(J19,LIST!$A$6:$L$3250,CURR_1.SEARCH.OLD,0),VLOOKUP(K19,LIST!$B$6:$L$3250,CURR_1.SEARCH.NEW,0)),'DICTIONARY-5'!$A$2)</f>
        <v>54,-</v>
      </c>
      <c r="M19" s="339" t="str">
        <f>IFERROR(IF(OR(K19='DICTIONARY-5'!$A$2,K19='DICTIONARY-5'!$A$4,ISBLANK(K19)),VLOOKUP(J19,LIST!$A$6:$M$3250,CURR_2.SEARCH.OLD,0),VLOOKUP(K19,LIST!$B$6:$M$3250,CURR_2.SEARCH.NEW,0)),'DICTIONARY-5'!$A$2)</f>
        <v/>
      </c>
    </row>
    <row r="20" spans="1:13" x14ac:dyDescent="0.25">
      <c r="A20" s="18">
        <v>250</v>
      </c>
      <c r="B20" s="18">
        <v>16</v>
      </c>
      <c r="C20" s="18">
        <v>450</v>
      </c>
      <c r="D20" s="18" t="s">
        <v>100</v>
      </c>
      <c r="E20" s="496" t="s">
        <v>103</v>
      </c>
      <c r="F20" s="333" t="s">
        <v>3514</v>
      </c>
      <c r="G20" s="339" t="str">
        <f>IFERROR(IF(OR(F20='DICTIONARY-5'!$A$2,F20='DICTIONARY-5'!$A$4,ISBLANK(F20)),VLOOKUP(E20,LIST!$A$6:$L$3250,CURR_1.SEARCH.OLD,0),VLOOKUP(F20,LIST!$B$6:$L$3250,CURR_1.SEARCH.NEW,0)),'DICTIONARY-5'!$A$2)</f>
        <v>1 911,-</v>
      </c>
      <c r="H20" s="339" t="str">
        <f>IFERROR(IF(OR(F20='DICTIONARY-5'!$A$2,F20='DICTIONARY-5'!$A$4,ISBLANK(F20)),VLOOKUP(E20,LIST!$A$6:$M$3250,CURR_2.SEARCH.OLD,0),VLOOKUP(F20,LIST!$B$6:$M$3250,CURR_2.SEARCH.NEW,0)),'DICTIONARY-5'!$A$2)</f>
        <v/>
      </c>
      <c r="J20" s="139" t="s">
        <v>102</v>
      </c>
      <c r="K20" s="334" t="s">
        <v>2896</v>
      </c>
      <c r="L20" s="339" t="str">
        <f>IFERROR(IF(OR(K20='DICTIONARY-5'!$A$2,K20='DICTIONARY-5'!$A$4,ISBLANK(K20)),VLOOKUP(J20,LIST!$A$6:$L$3250,CURR_1.SEARCH.OLD,0),VLOOKUP(K20,LIST!$B$6:$L$3250,CURR_1.SEARCH.NEW,0)),'DICTIONARY-5'!$A$2)</f>
        <v>54,-</v>
      </c>
      <c r="M20" s="339" t="str">
        <f>IFERROR(IF(OR(K20='DICTIONARY-5'!$A$2,K20='DICTIONARY-5'!$A$4,ISBLANK(K20)),VLOOKUP(J20,LIST!$A$6:$M$3250,CURR_2.SEARCH.OLD,0),VLOOKUP(K20,LIST!$B$6:$M$3250,CURR_2.SEARCH.NEW,0)),'DICTIONARY-5'!$A$2)</f>
        <v/>
      </c>
    </row>
    <row r="21" spans="1:13" x14ac:dyDescent="0.25">
      <c r="A21" s="18">
        <v>300</v>
      </c>
      <c r="B21" s="18">
        <v>10</v>
      </c>
      <c r="C21" s="18">
        <v>500</v>
      </c>
      <c r="D21" s="18" t="s">
        <v>104</v>
      </c>
      <c r="E21" s="496" t="s">
        <v>105</v>
      </c>
      <c r="F21" s="333" t="s">
        <v>3518</v>
      </c>
      <c r="G21" s="339" t="str">
        <f>IFERROR(IF(OR(F21='DICTIONARY-5'!$A$2,F21='DICTIONARY-5'!$A$4,ISBLANK(F21)),VLOOKUP(E21,LIST!$A$6:$L$3250,CURR_1.SEARCH.OLD,0),VLOOKUP(F21,LIST!$B$6:$L$3250,CURR_1.SEARCH.NEW,0)),'DICTIONARY-5'!$A$2)</f>
        <v>3 630,-</v>
      </c>
      <c r="H21" s="339" t="str">
        <f>IFERROR(IF(OR(F21='DICTIONARY-5'!$A$2,F21='DICTIONARY-5'!$A$4,ISBLANK(F21)),VLOOKUP(E21,LIST!$A$6:$M$3250,CURR_2.SEARCH.OLD,0),VLOOKUP(F21,LIST!$B$6:$M$3250,CURR_2.SEARCH.NEW,0)),'DICTIONARY-5'!$A$2)</f>
        <v/>
      </c>
      <c r="J21" s="139" t="s">
        <v>102</v>
      </c>
      <c r="K21" s="334" t="s">
        <v>2896</v>
      </c>
      <c r="L21" s="339" t="str">
        <f>IFERROR(IF(OR(K21='DICTIONARY-5'!$A$2,K21='DICTIONARY-5'!$A$4,ISBLANK(K21)),VLOOKUP(J21,LIST!$A$6:$L$3250,CURR_1.SEARCH.OLD,0),VLOOKUP(K21,LIST!$B$6:$L$3250,CURR_1.SEARCH.NEW,0)),'DICTIONARY-5'!$A$2)</f>
        <v>54,-</v>
      </c>
      <c r="M21" s="339" t="str">
        <f>IFERROR(IF(OR(K21='DICTIONARY-5'!$A$2,K21='DICTIONARY-5'!$A$4,ISBLANK(K21)),VLOOKUP(J21,LIST!$A$6:$M$3250,CURR_2.SEARCH.OLD,0),VLOOKUP(K21,LIST!$B$6:$M$3250,CURR_2.SEARCH.NEW,0)),'DICTIONARY-5'!$A$2)</f>
        <v/>
      </c>
    </row>
    <row r="22" spans="1:13" x14ac:dyDescent="0.25">
      <c r="A22" s="18">
        <v>300</v>
      </c>
      <c r="B22" s="18">
        <v>16</v>
      </c>
      <c r="C22" s="18">
        <v>500</v>
      </c>
      <c r="D22" s="18" t="s">
        <v>104</v>
      </c>
      <c r="E22" s="496" t="s">
        <v>106</v>
      </c>
      <c r="F22" s="333" t="s">
        <v>3515</v>
      </c>
      <c r="G22" s="339" t="str">
        <f>IFERROR(IF(OR(F22='DICTIONARY-5'!$A$2,F22='DICTIONARY-5'!$A$4,ISBLANK(F22)),VLOOKUP(E22,LIST!$A$6:$L$3250,CURR_1.SEARCH.OLD,0),VLOOKUP(F22,LIST!$B$6:$L$3250,CURR_1.SEARCH.NEW,0)),'DICTIONARY-5'!$A$2)</f>
        <v>3 007,-</v>
      </c>
      <c r="H22" s="339" t="str">
        <f>IFERROR(IF(OR(F22='DICTIONARY-5'!$A$2,F22='DICTIONARY-5'!$A$4,ISBLANK(F22)),VLOOKUP(E22,LIST!$A$6:$M$3250,CURR_2.SEARCH.OLD,0),VLOOKUP(F22,LIST!$B$6:$M$3250,CURR_2.SEARCH.NEW,0)),'DICTIONARY-5'!$A$2)</f>
        <v/>
      </c>
      <c r="J22" s="139" t="s">
        <v>102</v>
      </c>
      <c r="K22" s="334" t="s">
        <v>2896</v>
      </c>
      <c r="L22" s="339" t="str">
        <f>IFERROR(IF(OR(K22='DICTIONARY-5'!$A$2,K22='DICTIONARY-5'!$A$4,ISBLANK(K22)),VLOOKUP(J22,LIST!$A$6:$L$3250,CURR_1.SEARCH.OLD,0),VLOOKUP(K22,LIST!$B$6:$L$3250,CURR_1.SEARCH.NEW,0)),'DICTIONARY-5'!$A$2)</f>
        <v>54,-</v>
      </c>
      <c r="M22" s="339" t="str">
        <f>IFERROR(IF(OR(K22='DICTIONARY-5'!$A$2,K22='DICTIONARY-5'!$A$4,ISBLANK(K22)),VLOOKUP(J22,LIST!$A$6:$M$3250,CURR_2.SEARCH.OLD,0),VLOOKUP(K22,LIST!$B$6:$M$3250,CURR_2.SEARCH.NEW,0)),'DICTIONARY-5'!$A$2)</f>
        <v/>
      </c>
    </row>
    <row r="24" spans="1:13" x14ac:dyDescent="0.25">
      <c r="A24" s="533" t="str">
        <f>"1) "&amp;'DICTIONARY-5'!$A$28</f>
        <v>1) W zakresie regulacji Z – odległość można wydłużyć/skrócić długośc centralnej zabudowy L</v>
      </c>
    </row>
    <row r="25" spans="1:13" x14ac:dyDescent="0.25">
      <c r="A25" s="20" t="str">
        <f>"2) "&amp;'DICTIONARY-5'!$A$29</f>
        <v>2) Owiert kołnierza na 4 lub 8 otworów</v>
      </c>
    </row>
    <row r="28" spans="1:13" x14ac:dyDescent="0.25">
      <c r="G28" s="509"/>
    </row>
    <row r="29" spans="1:13" x14ac:dyDescent="0.25">
      <c r="G29" s="509"/>
    </row>
    <row r="35" spans="10:10" x14ac:dyDescent="0.25">
      <c r="J35" s="894"/>
    </row>
  </sheetData>
  <sheetProtection algorithmName="SHA-512" hashValue="sabfu2zgd61FRDfJEeKJulzih78aBGb1mVPaBwhgNKbzTim0nnaWDW61Z7D4XYjeqgLStISAYwcgSjPan5/S0Q==" saltValue="eaLq5Wijnf6mqEQFdACd8A==" spinCount="100000" sheet="1" objects="1" scenarios="1" autoFilter="0"/>
  <mergeCells count="6">
    <mergeCell ref="B4:E4"/>
    <mergeCell ref="E11:H11"/>
    <mergeCell ref="J11:M11"/>
    <mergeCell ref="E10:H10"/>
    <mergeCell ref="J10:M10"/>
    <mergeCell ref="J9:M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">
    <tabColor rgb="FFFFC000"/>
  </sheetPr>
  <dimension ref="A1:T90"/>
  <sheetViews>
    <sheetView workbookViewId="0"/>
  </sheetViews>
  <sheetFormatPr defaultColWidth="9.140625" defaultRowHeight="15" x14ac:dyDescent="0.25"/>
  <cols>
    <col min="1" max="3" width="9.140625" style="10"/>
    <col min="4" max="5" width="22.140625" style="10" customWidth="1"/>
    <col min="6" max="7" width="12.85546875" style="11" customWidth="1"/>
    <col min="8" max="8" width="9.140625" style="11"/>
    <col min="9" max="10" width="22.140625" style="10" customWidth="1"/>
    <col min="11" max="12" width="12.85546875" style="11" customWidth="1"/>
    <col min="13" max="13" width="9.140625" style="6" customWidth="1"/>
    <col min="14" max="15" width="22.140625" style="6" customWidth="1"/>
    <col min="16" max="17" width="12.85546875" style="6" customWidth="1"/>
    <col min="18" max="16384" width="9.140625" style="6"/>
  </cols>
  <sheetData>
    <row r="1" spans="1:20" s="383" customFormat="1" ht="45" customHeight="1" thickBot="1" x14ac:dyDescent="0.3">
      <c r="A1" s="381"/>
      <c r="B1" s="381"/>
      <c r="C1" s="381"/>
      <c r="D1" s="381"/>
      <c r="E1" s="381"/>
      <c r="F1" s="382"/>
      <c r="G1" s="382"/>
      <c r="H1" s="382"/>
      <c r="I1" s="381"/>
      <c r="J1" s="381"/>
      <c r="K1" s="382"/>
      <c r="L1" s="382"/>
    </row>
    <row r="2" spans="1:20" s="485" customFormat="1" ht="4.5" customHeight="1" x14ac:dyDescent="0.25">
      <c r="A2" s="484"/>
      <c r="B2" s="486"/>
      <c r="C2" s="486"/>
      <c r="D2" s="486"/>
      <c r="E2" s="486"/>
      <c r="F2" s="487"/>
      <c r="G2" s="487"/>
      <c r="H2" s="487"/>
      <c r="I2" s="486"/>
      <c r="J2" s="486"/>
      <c r="K2" s="487"/>
      <c r="L2" s="487"/>
    </row>
    <row r="3" spans="1:20" ht="15.75" thickBot="1" x14ac:dyDescent="0.3">
      <c r="A3" s="7"/>
      <c r="B3" s="8"/>
      <c r="C3" s="8"/>
    </row>
    <row r="4" spans="1:20" ht="15.75" thickBot="1" x14ac:dyDescent="0.3">
      <c r="A4" s="828">
        <f>ADD.DISCOUNT</f>
        <v>0</v>
      </c>
      <c r="B4" s="933" t="str">
        <f>HYPERLINK("#'LIST'!ADD.DISCOUNT","» "&amp;'DICTIONARY-1'!$A$5)</f>
        <v>» Ustaw globalny dodatkowy rabat</v>
      </c>
      <c r="C4" s="946"/>
      <c r="D4" s="946"/>
      <c r="E4" s="947"/>
    </row>
    <row r="5" spans="1:20" x14ac:dyDescent="0.25">
      <c r="A5" s="7"/>
      <c r="B5" s="8"/>
      <c r="C5" s="8"/>
    </row>
    <row r="6" spans="1:20" ht="16.5" thickBot="1" x14ac:dyDescent="0.3">
      <c r="A6" s="81" t="str">
        <f>CONCATENATE('DICTIONARY-3'!$A$2," ",'DICTIONARY-3'!$A$187,)</f>
        <v>EKOplus Zasuwa klinowa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10"/>
    </row>
    <row r="7" spans="1:20" x14ac:dyDescent="0.25">
      <c r="A7" s="9" t="str">
        <f>CONCATENATE('DICTIONARY-3'!$A$243," ",'DICTIONARY-3'!$A$244,", ",LOWER('DICTIONARY-2'!$A$12)," ",'DICTIONARY-5'!$A$9)</f>
        <v>Z wolnym końcem wałka i adapterem do podłączenia VAG obudowy ziemnej, długość zabudowy EN 558</v>
      </c>
    </row>
    <row r="8" spans="1:20" x14ac:dyDescent="0.25">
      <c r="A8" s="9" t="str">
        <f>CONCATENATE('DICTIONARY-1'!$A$10,": ",SETTINGS!$C$12)</f>
        <v>Grupa rabatowa: EKOplus</v>
      </c>
      <c r="T8" s="490"/>
    </row>
    <row r="9" spans="1:20" x14ac:dyDescent="0.25">
      <c r="A9" s="12"/>
      <c r="E9" s="20"/>
      <c r="N9" s="935" t="str">
        <f>'DICTIONARY-5'!$A$5</f>
        <v xml:space="preserve">Należy zamówić oddzielnie </v>
      </c>
      <c r="O9" s="953"/>
      <c r="P9" s="953"/>
      <c r="Q9" s="954"/>
      <c r="S9" s="551"/>
    </row>
    <row r="10" spans="1:20" x14ac:dyDescent="0.25">
      <c r="A10" s="13" t="str">
        <f>'DICTIONARY-2'!$A$2</f>
        <v>DN</v>
      </c>
      <c r="B10" s="13" t="str">
        <f>'DICTIONARY-2'!$A$3</f>
        <v>PN</v>
      </c>
      <c r="C10" s="13" t="str">
        <f>'DICTIONARY-2'!$A$24</f>
        <v>L</v>
      </c>
      <c r="D10" s="949" t="str">
        <f>'DICTIONARY-3'!$A$2</f>
        <v>EKOplus</v>
      </c>
      <c r="E10" s="949"/>
      <c r="F10" s="949"/>
      <c r="G10" s="949"/>
      <c r="H10" s="13" t="str">
        <f>'DICTIONARY-2'!$A$24</f>
        <v>L</v>
      </c>
      <c r="I10" s="949" t="str">
        <f>'DICTIONARY-3'!$A$2</f>
        <v>EKOplus</v>
      </c>
      <c r="J10" s="949"/>
      <c r="K10" s="949"/>
      <c r="L10" s="949"/>
      <c r="N10" s="950" t="str">
        <f>'DICTIONARY-4'!$A$23</f>
        <v>Kółko ręczne</v>
      </c>
      <c r="O10" s="951"/>
      <c r="P10" s="951"/>
      <c r="Q10" s="952"/>
    </row>
    <row r="11" spans="1:20" x14ac:dyDescent="0.25">
      <c r="A11" s="514"/>
      <c r="B11" s="514"/>
      <c r="C11" s="514"/>
      <c r="D11" s="948" t="str">
        <f>CONCATENATE('DICTIONARY-5'!$A$66," (",'DICTIONARY-5'!$A$10," 14), ",'DICTIONARY-5'!$A$43&amp;": "&amp;'DICTIONARY-5'!$A$44)</f>
        <v>budowa krótka (szereg 14), guma: EPDM</v>
      </c>
      <c r="E11" s="948"/>
      <c r="F11" s="948"/>
      <c r="G11" s="948"/>
      <c r="H11" s="514"/>
      <c r="I11" s="948" t="str">
        <f>CONCATENATE('DICTIONARY-5'!$A$67," (",'DICTIONARY-5'!$A$10," 15), ",'DICTIONARY-5'!$A$43&amp;": "&amp;'DICTIONARY-5'!$A$44)</f>
        <v>budowa długa (szereg 15), guma: EPDM</v>
      </c>
      <c r="J11" s="948"/>
      <c r="K11" s="948"/>
      <c r="L11" s="948"/>
      <c r="N11" s="939"/>
      <c r="O11" s="940"/>
      <c r="P11" s="940"/>
      <c r="Q11" s="941"/>
    </row>
    <row r="12" spans="1:20" x14ac:dyDescent="0.25">
      <c r="A12" s="15"/>
      <c r="B12" s="15"/>
      <c r="C12" s="15" t="str">
        <f>'DICTIONARY-2'!$A$18</f>
        <v>[mm]</v>
      </c>
      <c r="D12" s="16" t="str">
        <f>'DICTIONARY-2'!$A$28</f>
        <v>stary nr zamówienia</v>
      </c>
      <c r="E12" s="16" t="str">
        <f>'DICTIONARY-2'!$A$29</f>
        <v>nowy nr zamówienia</v>
      </c>
      <c r="F12" s="17" t="str">
        <f>CURRENCY.CODE_1</f>
        <v>EUR</v>
      </c>
      <c r="G12" s="17" t="str">
        <f>CURRENCY.CODE_2</f>
        <v>---</v>
      </c>
      <c r="H12" s="15" t="str">
        <f>'DICTIONARY-2'!$A$18</f>
        <v>[mm]</v>
      </c>
      <c r="I12" s="16" t="str">
        <f>'DICTIONARY-2'!$A$28</f>
        <v>stary nr zamówienia</v>
      </c>
      <c r="J12" s="16" t="str">
        <f>'DICTIONARY-2'!$A$29</f>
        <v>nowy nr zamówienia</v>
      </c>
      <c r="K12" s="17" t="str">
        <f>CURRENCY.CODE_1</f>
        <v>EUR</v>
      </c>
      <c r="L12" s="17" t="str">
        <f>CURRENCY.CODE_2</f>
        <v>---</v>
      </c>
      <c r="N12" s="165" t="str">
        <f>'DICTIONARY-2'!$A$28</f>
        <v>stary nr zamówienia</v>
      </c>
      <c r="O12" s="165" t="str">
        <f>'DICTIONARY-2'!$A$29</f>
        <v>nowy nr zamówienia</v>
      </c>
      <c r="P12" s="166" t="str">
        <f>CURRENCY.CODE_1</f>
        <v>EUR</v>
      </c>
      <c r="Q12" s="166" t="str">
        <f>CURRENCY.CODE_2</f>
        <v>---</v>
      </c>
    </row>
    <row r="13" spans="1:20" x14ac:dyDescent="0.25">
      <c r="A13" s="18">
        <v>40</v>
      </c>
      <c r="B13" s="18" t="s">
        <v>85</v>
      </c>
      <c r="C13" s="18">
        <v>140</v>
      </c>
      <c r="D13" s="18" t="s">
        <v>107</v>
      </c>
      <c r="E13" s="334" t="s">
        <v>4986</v>
      </c>
      <c r="F13" s="339" t="str">
        <f>IFERROR(IF(OR(E13='DICTIONARY-5'!$A$2,E13='DICTIONARY-5'!$A$4,ISBLANK(E13)),VLOOKUP(D13,LIST!$A$6:$L$3250,CURR_1.SEARCH.OLD,0),VLOOKUP(E13,LIST!$B$6:$L$3250,CURR_1.SEARCH.NEW,0)),'DICTIONARY-5'!$A$2)</f>
        <v>152,-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18">
        <v>240</v>
      </c>
      <c r="I13" s="18" t="s">
        <v>108</v>
      </c>
      <c r="J13" s="336" t="s">
        <v>4963</v>
      </c>
      <c r="K13" s="339" t="str">
        <f>IFERROR(IF(OR(J13='DICTIONARY-5'!$A$2,J13='DICTIONARY-5'!$A$4,ISBLANK(J13)),VLOOKUP(I13,LIST!$A$6:$L$3250,CURR_1.SEARCH.OLD,0),VLOOKUP(J13,LIST!$B$6:$L$3250,CURR_1.SEARCH.NEW,0)),'DICTIONARY-5'!$A$2)</f>
        <v>159,-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  <c r="N13" s="139" t="s">
        <v>109</v>
      </c>
      <c r="O13" s="334" t="s">
        <v>2892</v>
      </c>
      <c r="P13" s="339" t="str">
        <f>IFERROR(IF(OR(O13='DICTIONARY-5'!$A$2,O13='DICTIONARY-5'!$A$4,ISBLANK(O13)),VLOOKUP(N13,LIST!$A$6:$L$3250,CURR_1.SEARCH.OLD,0),VLOOKUP(O13,LIST!$B$6:$L$3250,CURR_1.SEARCH.NEW,0)),'DICTIONARY-5'!$A$2)</f>
        <v>8,-</v>
      </c>
      <c r="Q13" s="339" t="str">
        <f>IFERROR(IF(OR(O13='DICTIONARY-5'!$A$2,O13='DICTIONARY-5'!$A$4,ISBLANK(O13)),VLOOKUP(N13,LIST!$A$6:$M$3250,CURR_2.SEARCH.OLD,0),VLOOKUP(O13,LIST!$B$6:$M$3250,CURR_2.SEARCH.NEW,0)),'DICTIONARY-5'!$A$2)</f>
        <v/>
      </c>
      <c r="R13" s="21"/>
    </row>
    <row r="14" spans="1:20" x14ac:dyDescent="0.25">
      <c r="A14" s="18">
        <v>50</v>
      </c>
      <c r="B14" s="18" t="s">
        <v>85</v>
      </c>
      <c r="C14" s="18">
        <v>150</v>
      </c>
      <c r="D14" s="18" t="s">
        <v>110</v>
      </c>
      <c r="E14" s="334" t="s">
        <v>4987</v>
      </c>
      <c r="F14" s="339" t="str">
        <f>IFERROR(IF(OR(E14='DICTIONARY-5'!$A$2,E14='DICTIONARY-5'!$A$4,ISBLANK(E14)),VLOOKUP(D14,LIST!$A$6:$L$3250,CURR_1.SEARCH.OLD,0),VLOOKUP(E14,LIST!$B$6:$L$3250,CURR_1.SEARCH.NEW,0)),'DICTIONARY-5'!$A$2)</f>
        <v>152,-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8">
        <v>250</v>
      </c>
      <c r="I14" s="18" t="s">
        <v>111</v>
      </c>
      <c r="J14" s="336" t="s">
        <v>4964</v>
      </c>
      <c r="K14" s="339" t="str">
        <f>IFERROR(IF(OR(J14='DICTIONARY-5'!$A$2,J14='DICTIONARY-5'!$A$4,ISBLANK(J14)),VLOOKUP(I14,LIST!$A$6:$L$3250,CURR_1.SEARCH.OLD,0),VLOOKUP(J14,LIST!$B$6:$L$3250,CURR_1.SEARCH.NEW,0)),'DICTIONARY-5'!$A$2)</f>
        <v>175,-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  <c r="N14" s="139" t="s">
        <v>109</v>
      </c>
      <c r="O14" s="334" t="s">
        <v>2892</v>
      </c>
      <c r="P14" s="339" t="str">
        <f>IFERROR(IF(OR(O14='DICTIONARY-5'!$A$2,O14='DICTIONARY-5'!$A$4,ISBLANK(O14)),VLOOKUP(N14,LIST!$A$6:$L$3250,CURR_1.SEARCH.OLD,0),VLOOKUP(O14,LIST!$B$6:$L$3250,CURR_1.SEARCH.NEW,0)),'DICTIONARY-5'!$A$2)</f>
        <v>8,-</v>
      </c>
      <c r="Q14" s="339" t="str">
        <f>IFERROR(IF(OR(O14='DICTIONARY-5'!$A$2,O14='DICTIONARY-5'!$A$4,ISBLANK(O14)),VLOOKUP(N14,LIST!$A$6:$M$3250,CURR_2.SEARCH.OLD,0),VLOOKUP(O14,LIST!$B$6:$M$3250,CURR_2.SEARCH.NEW,0)),'DICTIONARY-5'!$A$2)</f>
        <v/>
      </c>
      <c r="R14" s="21"/>
    </row>
    <row r="15" spans="1:20" x14ac:dyDescent="0.25">
      <c r="A15" s="18">
        <v>65</v>
      </c>
      <c r="B15" s="18" t="s">
        <v>85</v>
      </c>
      <c r="C15" s="18">
        <v>170</v>
      </c>
      <c r="D15" s="18" t="s">
        <v>112</v>
      </c>
      <c r="E15" s="334" t="s">
        <v>4988</v>
      </c>
      <c r="F15" s="339" t="str">
        <f>IFERROR(IF(OR(E15='DICTIONARY-5'!$A$2,E15='DICTIONARY-5'!$A$4,ISBLANK(E15)),VLOOKUP(D15,LIST!$A$6:$L$3250,CURR_1.SEARCH.OLD,0),VLOOKUP(E15,LIST!$B$6:$L$3250,CURR_1.SEARCH.NEW,0)),'DICTIONARY-5'!$A$2)</f>
        <v>182,-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8">
        <v>270</v>
      </c>
      <c r="I15" s="18" t="s">
        <v>113</v>
      </c>
      <c r="J15" s="336" t="s">
        <v>4965</v>
      </c>
      <c r="K15" s="339" t="str">
        <f>IFERROR(IF(OR(J15='DICTIONARY-5'!$A$2,J15='DICTIONARY-5'!$A$4,ISBLANK(J15)),VLOOKUP(I15,LIST!$A$6:$L$3250,CURR_1.SEARCH.OLD,0),VLOOKUP(J15,LIST!$B$6:$L$3250,CURR_1.SEARCH.NEW,0)),'DICTIONARY-5'!$A$2)</f>
        <v>193,-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  <c r="N15" s="139" t="s">
        <v>88</v>
      </c>
      <c r="O15" s="334" t="s">
        <v>2893</v>
      </c>
      <c r="P15" s="339" t="str">
        <f>IFERROR(IF(OR(O15='DICTIONARY-5'!$A$2,O15='DICTIONARY-5'!$A$4,ISBLANK(O15)),VLOOKUP(N15,LIST!$A$6:$L$3250,CURR_1.SEARCH.OLD,0),VLOOKUP(O15,LIST!$B$6:$L$3250,CURR_1.SEARCH.NEW,0)),'DICTIONARY-5'!$A$2)</f>
        <v>15,-</v>
      </c>
      <c r="Q15" s="339" t="str">
        <f>IFERROR(IF(OR(O15='DICTIONARY-5'!$A$2,O15='DICTIONARY-5'!$A$4,ISBLANK(O15)),VLOOKUP(N15,LIST!$A$6:$M$3250,CURR_2.SEARCH.OLD,0),VLOOKUP(O15,LIST!$B$6:$M$3250,CURR_2.SEARCH.NEW,0)),'DICTIONARY-5'!$A$2)</f>
        <v/>
      </c>
      <c r="R15" s="21"/>
    </row>
    <row r="16" spans="1:20" x14ac:dyDescent="0.25">
      <c r="A16" s="18" t="s">
        <v>84</v>
      </c>
      <c r="B16" s="18">
        <v>10</v>
      </c>
      <c r="C16" s="18">
        <v>180</v>
      </c>
      <c r="D16" s="18" t="s">
        <v>114</v>
      </c>
      <c r="E16" s="334" t="s">
        <v>4990</v>
      </c>
      <c r="F16" s="339" t="str">
        <f>IFERROR(IF(OR(E16='DICTIONARY-5'!$A$2,E16='DICTIONARY-5'!$A$4,ISBLANK(E16)),VLOOKUP(D16,LIST!$A$6:$L$3250,CURR_1.SEARCH.OLD,0),VLOOKUP(E16,LIST!$B$6:$L$3250,CURR_1.SEARCH.NEW,0)),'DICTIONARY-5'!$A$2)</f>
        <v>182,-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8">
        <v>280</v>
      </c>
      <c r="I16" s="18" t="s">
        <v>115</v>
      </c>
      <c r="J16" s="336" t="s">
        <v>4967</v>
      </c>
      <c r="K16" s="339" t="str">
        <f>IFERROR(IF(OR(J16='DICTIONARY-5'!$A$2,J16='DICTIONARY-5'!$A$4,ISBLANK(J16)),VLOOKUP(I16,LIST!$A$6:$L$3250,CURR_1.SEARCH.OLD,0),VLOOKUP(J16,LIST!$B$6:$L$3250,CURR_1.SEARCH.NEW,0)),'DICTIONARY-5'!$A$2)</f>
        <v>190,-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  <c r="N16" s="139" t="s">
        <v>88</v>
      </c>
      <c r="O16" s="334" t="s">
        <v>2893</v>
      </c>
      <c r="P16" s="339" t="str">
        <f>IFERROR(IF(OR(O16='DICTIONARY-5'!$A$2,O16='DICTIONARY-5'!$A$4,ISBLANK(O16)),VLOOKUP(N16,LIST!$A$6:$L$3250,CURR_1.SEARCH.OLD,0),VLOOKUP(O16,LIST!$B$6:$L$3250,CURR_1.SEARCH.NEW,0)),'DICTIONARY-5'!$A$2)</f>
        <v>15,-</v>
      </c>
      <c r="Q16" s="339" t="str">
        <f>IFERROR(IF(OR(O16='DICTIONARY-5'!$A$2,O16='DICTIONARY-5'!$A$4,ISBLANK(O16)),VLOOKUP(N16,LIST!$A$6:$M$3250,CURR_2.SEARCH.OLD,0),VLOOKUP(O16,LIST!$B$6:$M$3250,CURR_2.SEARCH.NEW,0)),'DICTIONARY-5'!$A$2)</f>
        <v/>
      </c>
      <c r="R16" s="21"/>
    </row>
    <row r="17" spans="1:18" x14ac:dyDescent="0.25">
      <c r="A17" s="18">
        <v>80</v>
      </c>
      <c r="B17" s="18" t="s">
        <v>85</v>
      </c>
      <c r="C17" s="18">
        <v>180</v>
      </c>
      <c r="D17" s="18" t="s">
        <v>116</v>
      </c>
      <c r="E17" s="334" t="s">
        <v>4989</v>
      </c>
      <c r="F17" s="339" t="str">
        <f>IFERROR(IF(OR(E17='DICTIONARY-5'!$A$2,E17='DICTIONARY-5'!$A$4,ISBLANK(E17)),VLOOKUP(D17,LIST!$A$6:$L$3250,CURR_1.SEARCH.OLD,0),VLOOKUP(E17,LIST!$B$6:$L$3250,CURR_1.SEARCH.NEW,0)),'DICTIONARY-5'!$A$2)</f>
        <v>182,-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18">
        <v>280</v>
      </c>
      <c r="I17" s="18" t="s">
        <v>117</v>
      </c>
      <c r="J17" s="336" t="s">
        <v>4966</v>
      </c>
      <c r="K17" s="339" t="str">
        <f>IFERROR(IF(OR(J17='DICTIONARY-5'!$A$2,J17='DICTIONARY-5'!$A$4,ISBLANK(J17)),VLOOKUP(I17,LIST!$A$6:$L$3250,CURR_1.SEARCH.OLD,0),VLOOKUP(J17,LIST!$B$6:$L$3250,CURR_1.SEARCH.NEW,0)),'DICTIONARY-5'!$A$2)</f>
        <v>193,-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  <c r="N17" s="139" t="s">
        <v>88</v>
      </c>
      <c r="O17" s="334" t="s">
        <v>2893</v>
      </c>
      <c r="P17" s="339" t="str">
        <f>IFERROR(IF(OR(O17='DICTIONARY-5'!$A$2,O17='DICTIONARY-5'!$A$4,ISBLANK(O17)),VLOOKUP(N17,LIST!$A$6:$L$3250,CURR_1.SEARCH.OLD,0),VLOOKUP(O17,LIST!$B$6:$L$3250,CURR_1.SEARCH.NEW,0)),'DICTIONARY-5'!$A$2)</f>
        <v>15,-</v>
      </c>
      <c r="Q17" s="339" t="str">
        <f>IFERROR(IF(OR(O17='DICTIONARY-5'!$A$2,O17='DICTIONARY-5'!$A$4,ISBLANK(O17)),VLOOKUP(N17,LIST!$A$6:$M$3250,CURR_2.SEARCH.OLD,0),VLOOKUP(O17,LIST!$B$6:$M$3250,CURR_2.SEARCH.NEW,0)),'DICTIONARY-5'!$A$2)</f>
        <v/>
      </c>
      <c r="R17" s="21"/>
    </row>
    <row r="18" spans="1:18" x14ac:dyDescent="0.25">
      <c r="A18" s="18">
        <v>100</v>
      </c>
      <c r="B18" s="18" t="s">
        <v>85</v>
      </c>
      <c r="C18" s="18">
        <v>190</v>
      </c>
      <c r="D18" s="18" t="s">
        <v>118</v>
      </c>
      <c r="E18" s="334" t="s">
        <v>4991</v>
      </c>
      <c r="F18" s="339" t="str">
        <f>IFERROR(IF(OR(E18='DICTIONARY-5'!$A$2,E18='DICTIONARY-5'!$A$4,ISBLANK(E18)),VLOOKUP(D18,LIST!$A$6:$L$3250,CURR_1.SEARCH.OLD,0),VLOOKUP(E18,LIST!$B$6:$L$3250,CURR_1.SEARCH.NEW,0)),'DICTIONARY-5'!$A$2)</f>
        <v>204,-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18">
        <v>300</v>
      </c>
      <c r="I18" s="18" t="s">
        <v>119</v>
      </c>
      <c r="J18" s="336" t="s">
        <v>4968</v>
      </c>
      <c r="K18" s="339" t="str">
        <f>IFERROR(IF(OR(J18='DICTIONARY-5'!$A$2,J18='DICTIONARY-5'!$A$4,ISBLANK(J18)),VLOOKUP(I18,LIST!$A$6:$L$3250,CURR_1.SEARCH.OLD,0),VLOOKUP(J18,LIST!$B$6:$L$3250,CURR_1.SEARCH.NEW,0)),'DICTIONARY-5'!$A$2)</f>
        <v>222,-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  <c r="N18" s="139" t="s">
        <v>91</v>
      </c>
      <c r="O18" s="334" t="s">
        <v>2894</v>
      </c>
      <c r="P18" s="339" t="str">
        <f>IFERROR(IF(OR(O18='DICTIONARY-5'!$A$2,O18='DICTIONARY-5'!$A$4,ISBLANK(O18)),VLOOKUP(N18,LIST!$A$6:$L$3250,CURR_1.SEARCH.OLD,0),VLOOKUP(O18,LIST!$B$6:$L$3250,CURR_1.SEARCH.NEW,0)),'DICTIONARY-5'!$A$2)</f>
        <v>20,-</v>
      </c>
      <c r="Q18" s="339" t="str">
        <f>IFERROR(IF(OR(O18='DICTIONARY-5'!$A$2,O18='DICTIONARY-5'!$A$4,ISBLANK(O18)),VLOOKUP(N18,LIST!$A$6:$M$3250,CURR_2.SEARCH.OLD,0),VLOOKUP(O18,LIST!$B$6:$M$3250,CURR_2.SEARCH.NEW,0)),'DICTIONARY-5'!$A$2)</f>
        <v/>
      </c>
      <c r="R18" s="21"/>
    </row>
    <row r="19" spans="1:18" x14ac:dyDescent="0.25">
      <c r="A19" s="18">
        <v>125</v>
      </c>
      <c r="B19" s="18" t="s">
        <v>85</v>
      </c>
      <c r="C19" s="18">
        <v>200</v>
      </c>
      <c r="D19" s="18" t="s">
        <v>120</v>
      </c>
      <c r="E19" s="334" t="s">
        <v>4992</v>
      </c>
      <c r="F19" s="339" t="str">
        <f>IFERROR(IF(OR(E19='DICTIONARY-5'!$A$2,E19='DICTIONARY-5'!$A$4,ISBLANK(E19)),VLOOKUP(D19,LIST!$A$6:$L$3250,CURR_1.SEARCH.OLD,0),VLOOKUP(E19,LIST!$B$6:$L$3250,CURR_1.SEARCH.NEW,0)),'DICTIONARY-5'!$A$2)</f>
        <v>301,-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18">
        <v>325</v>
      </c>
      <c r="I19" s="18" t="s">
        <v>121</v>
      </c>
      <c r="J19" s="336" t="s">
        <v>4969</v>
      </c>
      <c r="K19" s="339" t="str">
        <f>IFERROR(IF(OR(J19='DICTIONARY-5'!$A$2,J19='DICTIONARY-5'!$A$4,ISBLANK(J19)),VLOOKUP(I19,LIST!$A$6:$L$3250,CURR_1.SEARCH.OLD,0),VLOOKUP(J19,LIST!$B$6:$L$3250,CURR_1.SEARCH.NEW,0)),'DICTIONARY-5'!$A$2)</f>
        <v>359,-</v>
      </c>
      <c r="L19" s="339" t="str">
        <f>IFERROR(IF(OR(J19='DICTIONARY-5'!$A$2,J19='DICTIONARY-5'!$A$4,ISBLANK(J19)),VLOOKUP(I19,LIST!$A$6:$M$3250,CURR_2.SEARCH.OLD,0),VLOOKUP(J19,LIST!$B$6:$M$3250,CURR_2.SEARCH.NEW,0)),'DICTIONARY-5'!$A$2)</f>
        <v/>
      </c>
      <c r="N19" s="139" t="s">
        <v>91</v>
      </c>
      <c r="O19" s="334" t="s">
        <v>2894</v>
      </c>
      <c r="P19" s="339" t="str">
        <f>IFERROR(IF(OR(O19='DICTIONARY-5'!$A$2,O19='DICTIONARY-5'!$A$4,ISBLANK(O19)),VLOOKUP(N19,LIST!$A$6:$L$3250,CURR_1.SEARCH.OLD,0),VLOOKUP(O19,LIST!$B$6:$L$3250,CURR_1.SEARCH.NEW,0)),'DICTIONARY-5'!$A$2)</f>
        <v>20,-</v>
      </c>
      <c r="Q19" s="339" t="str">
        <f>IFERROR(IF(OR(O19='DICTIONARY-5'!$A$2,O19='DICTIONARY-5'!$A$4,ISBLANK(O19)),VLOOKUP(N19,LIST!$A$6:$M$3250,CURR_2.SEARCH.OLD,0),VLOOKUP(O19,LIST!$B$6:$M$3250,CURR_2.SEARCH.NEW,0)),'DICTIONARY-5'!$A$2)</f>
        <v/>
      </c>
      <c r="R19" s="21"/>
    </row>
    <row r="20" spans="1:18" x14ac:dyDescent="0.25">
      <c r="A20" s="18">
        <v>150</v>
      </c>
      <c r="B20" s="18" t="s">
        <v>85</v>
      </c>
      <c r="C20" s="18">
        <v>210</v>
      </c>
      <c r="D20" s="18" t="s">
        <v>122</v>
      </c>
      <c r="E20" s="334" t="s">
        <v>4993</v>
      </c>
      <c r="F20" s="339" t="str">
        <f>IFERROR(IF(OR(E20='DICTIONARY-5'!$A$2,E20='DICTIONARY-5'!$A$4,ISBLANK(E20)),VLOOKUP(D20,LIST!$A$6:$L$3250,CURR_1.SEARCH.OLD,0),VLOOKUP(E20,LIST!$B$6:$L$3250,CURR_1.SEARCH.NEW,0)),'DICTIONARY-5'!$A$2)</f>
        <v>317,-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18">
        <v>350</v>
      </c>
      <c r="I20" s="18" t="s">
        <v>123</v>
      </c>
      <c r="J20" s="336" t="s">
        <v>4970</v>
      </c>
      <c r="K20" s="339" t="str">
        <f>IFERROR(IF(OR(J20='DICTIONARY-5'!$A$2,J20='DICTIONARY-5'!$A$4,ISBLANK(J20)),VLOOKUP(I20,LIST!$A$6:$L$3250,CURR_1.SEARCH.OLD,0),VLOOKUP(J20,LIST!$B$6:$L$3250,CURR_1.SEARCH.NEW,0)),'DICTIONARY-5'!$A$2)</f>
        <v>376,-</v>
      </c>
      <c r="L20" s="339" t="str">
        <f>IFERROR(IF(OR(J20='DICTIONARY-5'!$A$2,J20='DICTIONARY-5'!$A$4,ISBLANK(J20)),VLOOKUP(I20,LIST!$A$6:$M$3250,CURR_2.SEARCH.OLD,0),VLOOKUP(J20,LIST!$B$6:$M$3250,CURR_2.SEARCH.NEW,0)),'DICTIONARY-5'!$A$2)</f>
        <v/>
      </c>
      <c r="N20" s="139" t="s">
        <v>91</v>
      </c>
      <c r="O20" s="334" t="s">
        <v>2894</v>
      </c>
      <c r="P20" s="339" t="str">
        <f>IFERROR(IF(OR(O20='DICTIONARY-5'!$A$2,O20='DICTIONARY-5'!$A$4,ISBLANK(O20)),VLOOKUP(N20,LIST!$A$6:$L$3250,CURR_1.SEARCH.OLD,0),VLOOKUP(O20,LIST!$B$6:$L$3250,CURR_1.SEARCH.NEW,0)),'DICTIONARY-5'!$A$2)</f>
        <v>20,-</v>
      </c>
      <c r="Q20" s="339" t="str">
        <f>IFERROR(IF(OR(O20='DICTIONARY-5'!$A$2,O20='DICTIONARY-5'!$A$4,ISBLANK(O20)),VLOOKUP(N20,LIST!$A$6:$M$3250,CURR_2.SEARCH.OLD,0),VLOOKUP(O20,LIST!$B$6:$M$3250,CURR_2.SEARCH.NEW,0)),'DICTIONARY-5'!$A$2)</f>
        <v/>
      </c>
      <c r="R20" s="21"/>
    </row>
    <row r="21" spans="1:18" x14ac:dyDescent="0.25">
      <c r="A21" s="18">
        <v>200</v>
      </c>
      <c r="B21" s="18">
        <v>10</v>
      </c>
      <c r="C21" s="18">
        <v>230</v>
      </c>
      <c r="D21" s="18" t="s">
        <v>124</v>
      </c>
      <c r="E21" s="334" t="s">
        <v>4957</v>
      </c>
      <c r="F21" s="339" t="str">
        <f>IFERROR(IF(OR(E21='DICTIONARY-5'!$A$2,E21='DICTIONARY-5'!$A$4,ISBLANK(E21)),VLOOKUP(D21,LIST!$A$6:$L$3250,CURR_1.SEARCH.OLD,0),VLOOKUP(E21,LIST!$B$6:$L$3250,CURR_1.SEARCH.NEW,0)),'DICTIONARY-5'!$A$2)</f>
        <v>569,-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18">
        <v>400</v>
      </c>
      <c r="I21" s="18" t="s">
        <v>125</v>
      </c>
      <c r="J21" s="336" t="s">
        <v>4960</v>
      </c>
      <c r="K21" s="339" t="str">
        <f>IFERROR(IF(OR(J21='DICTIONARY-5'!$A$2,J21='DICTIONARY-5'!$A$4,ISBLANK(J21)),VLOOKUP(I21,LIST!$A$6:$L$3250,CURR_1.SEARCH.OLD,0),VLOOKUP(J21,LIST!$B$6:$L$3250,CURR_1.SEARCH.NEW,0)),'DICTIONARY-5'!$A$2)</f>
        <v>636,-</v>
      </c>
      <c r="L21" s="339" t="str">
        <f>IFERROR(IF(OR(J21='DICTIONARY-5'!$A$2,J21='DICTIONARY-5'!$A$4,ISBLANK(J21)),VLOOKUP(I21,LIST!$A$6:$M$3250,CURR_2.SEARCH.OLD,0),VLOOKUP(J21,LIST!$B$6:$M$3250,CURR_2.SEARCH.NEW,0)),'DICTIONARY-5'!$A$2)</f>
        <v/>
      </c>
      <c r="N21" s="139" t="s">
        <v>98</v>
      </c>
      <c r="O21" s="334" t="s">
        <v>2895</v>
      </c>
      <c r="P21" s="339" t="str">
        <f>IFERROR(IF(OR(O21='DICTIONARY-5'!$A$2,O21='DICTIONARY-5'!$A$4,ISBLANK(O21)),VLOOKUP(N21,LIST!$A$6:$L$3250,CURR_1.SEARCH.OLD,0),VLOOKUP(O21,LIST!$B$6:$L$3250,CURR_1.SEARCH.NEW,0)),'DICTIONARY-5'!$A$2)</f>
        <v>35,-</v>
      </c>
      <c r="Q21" s="339" t="str">
        <f>IFERROR(IF(OR(O21='DICTIONARY-5'!$A$2,O21='DICTIONARY-5'!$A$4,ISBLANK(O21)),VLOOKUP(N21,LIST!$A$6:$M$3250,CURR_2.SEARCH.OLD,0),VLOOKUP(O21,LIST!$B$6:$M$3250,CURR_2.SEARCH.NEW,0)),'DICTIONARY-5'!$A$2)</f>
        <v/>
      </c>
      <c r="R21" s="21"/>
    </row>
    <row r="22" spans="1:18" x14ac:dyDescent="0.25">
      <c r="A22" s="18">
        <v>200</v>
      </c>
      <c r="B22" s="18">
        <v>16</v>
      </c>
      <c r="C22" s="18">
        <v>230</v>
      </c>
      <c r="D22" s="18" t="s">
        <v>126</v>
      </c>
      <c r="E22" s="334" t="s">
        <v>4994</v>
      </c>
      <c r="F22" s="339" t="str">
        <f>IFERROR(IF(OR(E22='DICTIONARY-5'!$A$2,E22='DICTIONARY-5'!$A$4,ISBLANK(E22)),VLOOKUP(D22,LIST!$A$6:$L$3250,CURR_1.SEARCH.OLD,0),VLOOKUP(E22,LIST!$B$6:$L$3250,CURR_1.SEARCH.NEW,0)),'DICTIONARY-5'!$A$2)</f>
        <v>572,-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18">
        <v>400</v>
      </c>
      <c r="I22" s="18" t="s">
        <v>127</v>
      </c>
      <c r="J22" s="336" t="s">
        <v>4971</v>
      </c>
      <c r="K22" s="339" t="str">
        <f>IFERROR(IF(OR(J22='DICTIONARY-5'!$A$2,J22='DICTIONARY-5'!$A$4,ISBLANK(J22)),VLOOKUP(I22,LIST!$A$6:$L$3250,CURR_1.SEARCH.OLD,0),VLOOKUP(J22,LIST!$B$6:$L$3250,CURR_1.SEARCH.NEW,0)),'DICTIONARY-5'!$A$2)</f>
        <v>639,-</v>
      </c>
      <c r="L22" s="339" t="str">
        <f>IFERROR(IF(OR(J22='DICTIONARY-5'!$A$2,J22='DICTIONARY-5'!$A$4,ISBLANK(J22)),VLOOKUP(I22,LIST!$A$6:$M$3250,CURR_2.SEARCH.OLD,0),VLOOKUP(J22,LIST!$B$6:$M$3250,CURR_2.SEARCH.NEW,0)),'DICTIONARY-5'!$A$2)</f>
        <v/>
      </c>
      <c r="N22" s="139" t="s">
        <v>98</v>
      </c>
      <c r="O22" s="334" t="s">
        <v>2895</v>
      </c>
      <c r="P22" s="339" t="str">
        <f>IFERROR(IF(OR(O22='DICTIONARY-5'!$A$2,O22='DICTIONARY-5'!$A$4,ISBLANK(O22)),VLOOKUP(N22,LIST!$A$6:$L$3250,CURR_1.SEARCH.OLD,0),VLOOKUP(O22,LIST!$B$6:$L$3250,CURR_1.SEARCH.NEW,0)),'DICTIONARY-5'!$A$2)</f>
        <v>35,-</v>
      </c>
      <c r="Q22" s="339" t="str">
        <f>IFERROR(IF(OR(O22='DICTIONARY-5'!$A$2,O22='DICTIONARY-5'!$A$4,ISBLANK(O22)),VLOOKUP(N22,LIST!$A$6:$M$3250,CURR_2.SEARCH.OLD,0),VLOOKUP(O22,LIST!$B$6:$M$3250,CURR_2.SEARCH.NEW,0)),'DICTIONARY-5'!$A$2)</f>
        <v/>
      </c>
      <c r="R22" s="21"/>
    </row>
    <row r="23" spans="1:18" x14ac:dyDescent="0.25">
      <c r="A23" s="18">
        <v>250</v>
      </c>
      <c r="B23" s="18">
        <v>10</v>
      </c>
      <c r="C23" s="18">
        <v>250</v>
      </c>
      <c r="D23" s="18" t="s">
        <v>128</v>
      </c>
      <c r="E23" s="334" t="s">
        <v>4958</v>
      </c>
      <c r="F23" s="339" t="str">
        <f>IFERROR(IF(OR(E23='DICTIONARY-5'!$A$2,E23='DICTIONARY-5'!$A$4,ISBLANK(E23)),VLOOKUP(D23,LIST!$A$6:$L$3250,CURR_1.SEARCH.OLD,0),VLOOKUP(E23,LIST!$B$6:$L$3250,CURR_1.SEARCH.NEW,0)),'DICTIONARY-5'!$A$2)</f>
        <v>818,-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18">
        <v>450</v>
      </c>
      <c r="I23" s="18" t="s">
        <v>129</v>
      </c>
      <c r="J23" s="336" t="s">
        <v>4961</v>
      </c>
      <c r="K23" s="339" t="str">
        <f>IFERROR(IF(OR(J23='DICTIONARY-5'!$A$2,J23='DICTIONARY-5'!$A$4,ISBLANK(J23)),VLOOKUP(I23,LIST!$A$6:$L$3250,CURR_1.SEARCH.OLD,0),VLOOKUP(J23,LIST!$B$6:$L$3250,CURR_1.SEARCH.NEW,0)),'DICTIONARY-5'!$A$2)</f>
        <v>1 184,-</v>
      </c>
      <c r="L23" s="339" t="str">
        <f>IFERROR(IF(OR(J23='DICTIONARY-5'!$A$2,J23='DICTIONARY-5'!$A$4,ISBLANK(J23)),VLOOKUP(I23,LIST!$A$6:$M$3250,CURR_2.SEARCH.OLD,0),VLOOKUP(J23,LIST!$B$6:$M$3250,CURR_2.SEARCH.NEW,0)),'DICTIONARY-5'!$A$2)</f>
        <v/>
      </c>
      <c r="N23" s="139" t="s">
        <v>102</v>
      </c>
      <c r="O23" s="334" t="s">
        <v>2896</v>
      </c>
      <c r="P23" s="339" t="str">
        <f>IFERROR(IF(OR(O23='DICTIONARY-5'!$A$2,O23='DICTIONARY-5'!$A$4,ISBLANK(O23)),VLOOKUP(N23,LIST!$A$6:$L$3250,CURR_1.SEARCH.OLD,0),VLOOKUP(O23,LIST!$B$6:$L$3250,CURR_1.SEARCH.NEW,0)),'DICTIONARY-5'!$A$2)</f>
        <v>54,-</v>
      </c>
      <c r="Q23" s="339" t="str">
        <f>IFERROR(IF(OR(O23='DICTIONARY-5'!$A$2,O23='DICTIONARY-5'!$A$4,ISBLANK(O23)),VLOOKUP(N23,LIST!$A$6:$M$3250,CURR_2.SEARCH.OLD,0),VLOOKUP(O23,LIST!$B$6:$M$3250,CURR_2.SEARCH.NEW,0)),'DICTIONARY-5'!$A$2)</f>
        <v/>
      </c>
      <c r="R23" s="21"/>
    </row>
    <row r="24" spans="1:18" x14ac:dyDescent="0.25">
      <c r="A24" s="18">
        <v>250</v>
      </c>
      <c r="B24" s="18">
        <v>16</v>
      </c>
      <c r="C24" s="18">
        <v>250</v>
      </c>
      <c r="D24" s="18" t="s">
        <v>130</v>
      </c>
      <c r="E24" s="334" t="s">
        <v>4995</v>
      </c>
      <c r="F24" s="339" t="str">
        <f>IFERROR(IF(OR(E24='DICTIONARY-5'!$A$2,E24='DICTIONARY-5'!$A$4,ISBLANK(E24)),VLOOKUP(D24,LIST!$A$6:$L$3250,CURR_1.SEARCH.OLD,0),VLOOKUP(E24,LIST!$B$6:$L$3250,CURR_1.SEARCH.NEW,0)),'DICTIONARY-5'!$A$2)</f>
        <v>819,-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18">
        <v>450</v>
      </c>
      <c r="I24" s="18" t="s">
        <v>131</v>
      </c>
      <c r="J24" s="336" t="s">
        <v>4972</v>
      </c>
      <c r="K24" s="339" t="str">
        <f>IFERROR(IF(OR(J24='DICTIONARY-5'!$A$2,J24='DICTIONARY-5'!$A$4,ISBLANK(J24)),VLOOKUP(I24,LIST!$A$6:$L$3250,CURR_1.SEARCH.OLD,0),VLOOKUP(J24,LIST!$B$6:$L$3250,CURR_1.SEARCH.NEW,0)),'DICTIONARY-5'!$A$2)</f>
        <v>1 195,-</v>
      </c>
      <c r="L24" s="339" t="str">
        <f>IFERROR(IF(OR(J24='DICTIONARY-5'!$A$2,J24='DICTIONARY-5'!$A$4,ISBLANK(J24)),VLOOKUP(I24,LIST!$A$6:$M$3250,CURR_2.SEARCH.OLD,0),VLOOKUP(J24,LIST!$B$6:$M$3250,CURR_2.SEARCH.NEW,0)),'DICTIONARY-5'!$A$2)</f>
        <v/>
      </c>
      <c r="N24" s="139" t="s">
        <v>102</v>
      </c>
      <c r="O24" s="334" t="s">
        <v>2896</v>
      </c>
      <c r="P24" s="339" t="str">
        <f>IFERROR(IF(OR(O24='DICTIONARY-5'!$A$2,O24='DICTIONARY-5'!$A$4,ISBLANK(O24)),VLOOKUP(N24,LIST!$A$6:$L$3250,CURR_1.SEARCH.OLD,0),VLOOKUP(O24,LIST!$B$6:$L$3250,CURR_1.SEARCH.NEW,0)),'DICTIONARY-5'!$A$2)</f>
        <v>54,-</v>
      </c>
      <c r="Q24" s="339" t="str">
        <f>IFERROR(IF(OR(O24='DICTIONARY-5'!$A$2,O24='DICTIONARY-5'!$A$4,ISBLANK(O24)),VLOOKUP(N24,LIST!$A$6:$M$3250,CURR_2.SEARCH.OLD,0),VLOOKUP(O24,LIST!$B$6:$M$3250,CURR_2.SEARCH.NEW,0)),'DICTIONARY-5'!$A$2)</f>
        <v/>
      </c>
      <c r="R24" s="21"/>
    </row>
    <row r="25" spans="1:18" x14ac:dyDescent="0.25">
      <c r="A25" s="18">
        <v>300</v>
      </c>
      <c r="B25" s="18">
        <v>10</v>
      </c>
      <c r="C25" s="18">
        <v>270</v>
      </c>
      <c r="D25" s="18" t="s">
        <v>132</v>
      </c>
      <c r="E25" s="334" t="s">
        <v>4959</v>
      </c>
      <c r="F25" s="339" t="str">
        <f>IFERROR(IF(OR(E25='DICTIONARY-5'!$A$2,E25='DICTIONARY-5'!$A$4,ISBLANK(E25)),VLOOKUP(D25,LIST!$A$6:$L$3250,CURR_1.SEARCH.OLD,0),VLOOKUP(E25,LIST!$B$6:$L$3250,CURR_1.SEARCH.NEW,0)),'DICTIONARY-5'!$A$2)</f>
        <v>967,-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18">
        <v>500</v>
      </c>
      <c r="I25" s="18" t="s">
        <v>133</v>
      </c>
      <c r="J25" s="336" t="s">
        <v>4962</v>
      </c>
      <c r="K25" s="339" t="str">
        <f>IFERROR(IF(OR(J25='DICTIONARY-5'!$A$2,J25='DICTIONARY-5'!$A$4,ISBLANK(J25)),VLOOKUP(I25,LIST!$A$6:$L$3250,CURR_1.SEARCH.OLD,0),VLOOKUP(J25,LIST!$B$6:$L$3250,CURR_1.SEARCH.NEW,0)),'DICTIONARY-5'!$A$2)</f>
        <v>1 455,-</v>
      </c>
      <c r="L25" s="339" t="str">
        <f>IFERROR(IF(OR(J25='DICTIONARY-5'!$A$2,J25='DICTIONARY-5'!$A$4,ISBLANK(J25)),VLOOKUP(I25,LIST!$A$6:$M$3250,CURR_2.SEARCH.OLD,0),VLOOKUP(J25,LIST!$B$6:$M$3250,CURR_2.SEARCH.NEW,0)),'DICTIONARY-5'!$A$2)</f>
        <v/>
      </c>
      <c r="N25" s="139" t="s">
        <v>102</v>
      </c>
      <c r="O25" s="334" t="s">
        <v>2896</v>
      </c>
      <c r="P25" s="339" t="str">
        <f>IFERROR(IF(OR(O25='DICTIONARY-5'!$A$2,O25='DICTIONARY-5'!$A$4,ISBLANK(O25)),VLOOKUP(N25,LIST!$A$6:$L$3250,CURR_1.SEARCH.OLD,0),VLOOKUP(O25,LIST!$B$6:$L$3250,CURR_1.SEARCH.NEW,0)),'DICTIONARY-5'!$A$2)</f>
        <v>54,-</v>
      </c>
      <c r="Q25" s="339" t="str">
        <f>IFERROR(IF(OR(O25='DICTIONARY-5'!$A$2,O25='DICTIONARY-5'!$A$4,ISBLANK(O25)),VLOOKUP(N25,LIST!$A$6:$M$3250,CURR_2.SEARCH.OLD,0),VLOOKUP(O25,LIST!$B$6:$M$3250,CURR_2.SEARCH.NEW,0)),'DICTIONARY-5'!$A$2)</f>
        <v/>
      </c>
      <c r="R25" s="21"/>
    </row>
    <row r="26" spans="1:18" x14ac:dyDescent="0.25">
      <c r="A26" s="18">
        <v>300</v>
      </c>
      <c r="B26" s="18">
        <v>16</v>
      </c>
      <c r="C26" s="18">
        <v>270</v>
      </c>
      <c r="D26" s="18" t="s">
        <v>134</v>
      </c>
      <c r="E26" s="334" t="s">
        <v>4996</v>
      </c>
      <c r="F26" s="339" t="str">
        <f>IFERROR(IF(OR(E26='DICTIONARY-5'!$A$2,E26='DICTIONARY-5'!$A$4,ISBLANK(E26)),VLOOKUP(D26,LIST!$A$6:$L$3250,CURR_1.SEARCH.OLD,0),VLOOKUP(E26,LIST!$B$6:$L$3250,CURR_1.SEARCH.NEW,0)),'DICTIONARY-5'!$A$2)</f>
        <v>955,-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18">
        <v>500</v>
      </c>
      <c r="I26" s="18" t="s">
        <v>135</v>
      </c>
      <c r="J26" s="336" t="s">
        <v>4973</v>
      </c>
      <c r="K26" s="339" t="str">
        <f>IFERROR(IF(OR(J26='DICTIONARY-5'!$A$2,J26='DICTIONARY-5'!$A$4,ISBLANK(J26)),VLOOKUP(I26,LIST!$A$6:$L$3250,CURR_1.SEARCH.OLD,0),VLOOKUP(J26,LIST!$B$6:$L$3250,CURR_1.SEARCH.NEW,0)),'DICTIONARY-5'!$A$2)</f>
        <v>1 453,-</v>
      </c>
      <c r="L26" s="339" t="str">
        <f>IFERROR(IF(OR(J26='DICTIONARY-5'!$A$2,J26='DICTIONARY-5'!$A$4,ISBLANK(J26)),VLOOKUP(I26,LIST!$A$6:$M$3250,CURR_2.SEARCH.OLD,0),VLOOKUP(J26,LIST!$B$6:$M$3250,CURR_2.SEARCH.NEW,0)),'DICTIONARY-5'!$A$2)</f>
        <v/>
      </c>
      <c r="N26" s="139" t="s">
        <v>102</v>
      </c>
      <c r="O26" s="334" t="s">
        <v>2896</v>
      </c>
      <c r="P26" s="339" t="str">
        <f>IFERROR(IF(OR(O26='DICTIONARY-5'!$A$2,O26='DICTIONARY-5'!$A$4,ISBLANK(O26)),VLOOKUP(N26,LIST!$A$6:$L$3250,CURR_1.SEARCH.OLD,0),VLOOKUP(O26,LIST!$B$6:$L$3250,CURR_1.SEARCH.NEW,0)),'DICTIONARY-5'!$A$2)</f>
        <v>54,-</v>
      </c>
      <c r="Q26" s="339" t="str">
        <f>IFERROR(IF(OR(O26='DICTIONARY-5'!$A$2,O26='DICTIONARY-5'!$A$4,ISBLANK(O26)),VLOOKUP(N26,LIST!$A$6:$M$3250,CURR_2.SEARCH.OLD,0),VLOOKUP(O26,LIST!$B$6:$M$3250,CURR_2.SEARCH.NEW,0)),'DICTIONARY-5'!$A$2)</f>
        <v/>
      </c>
      <c r="R26" s="21"/>
    </row>
    <row r="27" spans="1:18" x14ac:dyDescent="0.25">
      <c r="A27" s="18">
        <v>350</v>
      </c>
      <c r="B27" s="18">
        <v>10</v>
      </c>
      <c r="C27" s="18">
        <v>290</v>
      </c>
      <c r="D27" s="18" t="s">
        <v>136</v>
      </c>
      <c r="E27" s="334" t="s">
        <v>4941</v>
      </c>
      <c r="F27" s="339" t="str">
        <f>IFERROR(IF(OR(E27='DICTIONARY-5'!$A$2,E27='DICTIONARY-5'!$A$4,ISBLANK(E27)),VLOOKUP(D27,LIST!$A$6:$L$3250,CURR_1.SEARCH.OLD,0),VLOOKUP(E27,LIST!$B$6:$L$3250,CURR_1.SEARCH.NEW,0)),'DICTIONARY-5'!$A$2)</f>
        <v>2 312,-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H27" s="18">
        <v>550</v>
      </c>
      <c r="I27" s="18" t="s">
        <v>137</v>
      </c>
      <c r="J27" s="336" t="s">
        <v>4945</v>
      </c>
      <c r="K27" s="339" t="str">
        <f>IFERROR(IF(OR(J27='DICTIONARY-5'!$A$2,J27='DICTIONARY-5'!$A$4,ISBLANK(J27)),VLOOKUP(I27,LIST!$A$6:$L$3250,CURR_1.SEARCH.OLD,0),VLOOKUP(J27,LIST!$B$6:$L$3250,CURR_1.SEARCH.NEW,0)),'DICTIONARY-5'!$A$2)</f>
        <v>2 508,-</v>
      </c>
      <c r="L27" s="339" t="str">
        <f>IFERROR(IF(OR(J27='DICTIONARY-5'!$A$2,J27='DICTIONARY-5'!$A$4,ISBLANK(J27)),VLOOKUP(I27,LIST!$A$6:$M$3250,CURR_2.SEARCH.OLD,0),VLOOKUP(J27,LIST!$B$6:$M$3250,CURR_2.SEARCH.NEW,0)),'DICTIONARY-5'!$A$2)</f>
        <v/>
      </c>
      <c r="N27" s="139" t="s">
        <v>102</v>
      </c>
      <c r="O27" s="334" t="s">
        <v>2896</v>
      </c>
      <c r="P27" s="339" t="str">
        <f>IFERROR(IF(OR(O27='DICTIONARY-5'!$A$2,O27='DICTIONARY-5'!$A$4,ISBLANK(O27)),VLOOKUP(N27,LIST!$A$6:$L$3250,CURR_1.SEARCH.OLD,0),VLOOKUP(O27,LIST!$B$6:$L$3250,CURR_1.SEARCH.NEW,0)),'DICTIONARY-5'!$A$2)</f>
        <v>54,-</v>
      </c>
      <c r="Q27" s="339" t="str">
        <f>IFERROR(IF(OR(O27='DICTIONARY-5'!$A$2,O27='DICTIONARY-5'!$A$4,ISBLANK(O27)),VLOOKUP(N27,LIST!$A$6:$M$3250,CURR_2.SEARCH.OLD,0),VLOOKUP(O27,LIST!$B$6:$M$3250,CURR_2.SEARCH.NEW,0)),'DICTIONARY-5'!$A$2)</f>
        <v/>
      </c>
      <c r="R27" s="21"/>
    </row>
    <row r="28" spans="1:18" x14ac:dyDescent="0.25">
      <c r="A28" s="18">
        <v>350</v>
      </c>
      <c r="B28" s="18">
        <v>16</v>
      </c>
      <c r="C28" s="18">
        <v>290</v>
      </c>
      <c r="D28" s="18" t="s">
        <v>138</v>
      </c>
      <c r="E28" s="334" t="s">
        <v>4953</v>
      </c>
      <c r="F28" s="339" t="str">
        <f>IFERROR(IF(OR(E28='DICTIONARY-5'!$A$2,E28='DICTIONARY-5'!$A$4,ISBLANK(E28)),VLOOKUP(D28,LIST!$A$6:$L$3250,CURR_1.SEARCH.OLD,0),VLOOKUP(E28,LIST!$B$6:$L$3250,CURR_1.SEARCH.NEW,0)),'DICTIONARY-5'!$A$2)</f>
        <v>2 233,-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18">
        <v>550</v>
      </c>
      <c r="I28" s="18" t="s">
        <v>139</v>
      </c>
      <c r="J28" s="336" t="s">
        <v>4949</v>
      </c>
      <c r="K28" s="339" t="str">
        <f>IFERROR(IF(OR(J28='DICTIONARY-5'!$A$2,J28='DICTIONARY-5'!$A$4,ISBLANK(J28)),VLOOKUP(I28,LIST!$A$6:$L$3250,CURR_1.SEARCH.OLD,0),VLOOKUP(J28,LIST!$B$6:$L$3250,CURR_1.SEARCH.NEW,0)),'DICTIONARY-5'!$A$2)</f>
        <v>2 480,-</v>
      </c>
      <c r="L28" s="339" t="str">
        <f>IFERROR(IF(OR(J28='DICTIONARY-5'!$A$2,J28='DICTIONARY-5'!$A$4,ISBLANK(J28)),VLOOKUP(I28,LIST!$A$6:$M$3250,CURR_2.SEARCH.OLD,0),VLOOKUP(J28,LIST!$B$6:$M$3250,CURR_2.SEARCH.NEW,0)),'DICTIONARY-5'!$A$2)</f>
        <v/>
      </c>
      <c r="N28" s="139" t="s">
        <v>102</v>
      </c>
      <c r="O28" s="334" t="s">
        <v>2896</v>
      </c>
      <c r="P28" s="339" t="str">
        <f>IFERROR(IF(OR(O28='DICTIONARY-5'!$A$2,O28='DICTIONARY-5'!$A$4,ISBLANK(O28)),VLOOKUP(N28,LIST!$A$6:$L$3250,CURR_1.SEARCH.OLD,0),VLOOKUP(O28,LIST!$B$6:$L$3250,CURR_1.SEARCH.NEW,0)),'DICTIONARY-5'!$A$2)</f>
        <v>54,-</v>
      </c>
      <c r="Q28" s="339" t="str">
        <f>IFERROR(IF(OR(O28='DICTIONARY-5'!$A$2,O28='DICTIONARY-5'!$A$4,ISBLANK(O28)),VLOOKUP(N28,LIST!$A$6:$M$3250,CURR_2.SEARCH.OLD,0),VLOOKUP(O28,LIST!$B$6:$M$3250,CURR_2.SEARCH.NEW,0)),'DICTIONARY-5'!$A$2)</f>
        <v/>
      </c>
      <c r="R28" s="21"/>
    </row>
    <row r="29" spans="1:18" x14ac:dyDescent="0.25">
      <c r="A29" s="18">
        <v>400</v>
      </c>
      <c r="B29" s="18">
        <v>10</v>
      </c>
      <c r="C29" s="18">
        <v>310</v>
      </c>
      <c r="D29" s="18" t="s">
        <v>140</v>
      </c>
      <c r="E29" s="334" t="s">
        <v>4942</v>
      </c>
      <c r="F29" s="339" t="str">
        <f>IFERROR(IF(OR(E29='DICTIONARY-5'!$A$2,E29='DICTIONARY-5'!$A$4,ISBLANK(E29)),VLOOKUP(D29,LIST!$A$6:$L$3250,CURR_1.SEARCH.OLD,0),VLOOKUP(E29,LIST!$B$6:$L$3250,CURR_1.SEARCH.NEW,0)),'DICTIONARY-5'!$A$2)</f>
        <v>2 912,-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H29" s="18">
        <v>600</v>
      </c>
      <c r="I29" s="18" t="s">
        <v>141</v>
      </c>
      <c r="J29" s="336" t="s">
        <v>4946</v>
      </c>
      <c r="K29" s="339" t="str">
        <f>IFERROR(IF(OR(J29='DICTIONARY-5'!$A$2,J29='DICTIONARY-5'!$A$4,ISBLANK(J29)),VLOOKUP(I29,LIST!$A$6:$L$3250,CURR_1.SEARCH.OLD,0),VLOOKUP(J29,LIST!$B$6:$L$3250,CURR_1.SEARCH.NEW,0)),'DICTIONARY-5'!$A$2)</f>
        <v>3 179,-</v>
      </c>
      <c r="L29" s="339" t="str">
        <f>IFERROR(IF(OR(J29='DICTIONARY-5'!$A$2,J29='DICTIONARY-5'!$A$4,ISBLANK(J29)),VLOOKUP(I29,LIST!$A$6:$M$3250,CURR_2.SEARCH.OLD,0),VLOOKUP(J29,LIST!$B$6:$M$3250,CURR_2.SEARCH.NEW,0)),'DICTIONARY-5'!$A$2)</f>
        <v/>
      </c>
      <c r="N29" s="139" t="s">
        <v>142</v>
      </c>
      <c r="O29" s="334" t="s">
        <v>2897</v>
      </c>
      <c r="P29" s="339" t="str">
        <f>IFERROR(IF(OR(O29='DICTIONARY-5'!$A$2,O29='DICTIONARY-5'!$A$4,ISBLANK(O29)),VLOOKUP(N29,LIST!$A$6:$L$3250,CURR_1.SEARCH.OLD,0),VLOOKUP(O29,LIST!$B$6:$L$3250,CURR_1.SEARCH.NEW,0)),'DICTIONARY-5'!$A$2)</f>
        <v>99,-</v>
      </c>
      <c r="Q29" s="339" t="str">
        <f>IFERROR(IF(OR(O29='DICTIONARY-5'!$A$2,O29='DICTIONARY-5'!$A$4,ISBLANK(O29)),VLOOKUP(N29,LIST!$A$6:$M$3250,CURR_2.SEARCH.OLD,0),VLOOKUP(O29,LIST!$B$6:$M$3250,CURR_2.SEARCH.NEW,0)),'DICTIONARY-5'!$A$2)</f>
        <v/>
      </c>
      <c r="R29" s="21"/>
    </row>
    <row r="30" spans="1:18" x14ac:dyDescent="0.25">
      <c r="A30" s="18">
        <v>400</v>
      </c>
      <c r="B30" s="18">
        <v>16</v>
      </c>
      <c r="C30" s="18">
        <v>310</v>
      </c>
      <c r="D30" s="18" t="s">
        <v>143</v>
      </c>
      <c r="E30" s="334" t="s">
        <v>4954</v>
      </c>
      <c r="F30" s="339" t="str">
        <f>IFERROR(IF(OR(E30='DICTIONARY-5'!$A$2,E30='DICTIONARY-5'!$A$4,ISBLANK(E30)),VLOOKUP(D30,LIST!$A$6:$L$3250,CURR_1.SEARCH.OLD,0),VLOOKUP(E30,LIST!$B$6:$L$3250,CURR_1.SEARCH.NEW,0)),'DICTIONARY-5'!$A$2)</f>
        <v>2 915,-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H30" s="18">
        <v>600</v>
      </c>
      <c r="I30" s="18" t="s">
        <v>144</v>
      </c>
      <c r="J30" s="336" t="s">
        <v>4950</v>
      </c>
      <c r="K30" s="339" t="str">
        <f>IFERROR(IF(OR(J30='DICTIONARY-5'!$A$2,J30='DICTIONARY-5'!$A$4,ISBLANK(J30)),VLOOKUP(I30,LIST!$A$6:$L$3250,CURR_1.SEARCH.OLD,0),VLOOKUP(J30,LIST!$B$6:$L$3250,CURR_1.SEARCH.NEW,0)),'DICTIONARY-5'!$A$2)</f>
        <v>3 175,-</v>
      </c>
      <c r="L30" s="339" t="str">
        <f>IFERROR(IF(OR(J30='DICTIONARY-5'!$A$2,J30='DICTIONARY-5'!$A$4,ISBLANK(J30)),VLOOKUP(I30,LIST!$A$6:$M$3250,CURR_2.SEARCH.OLD,0),VLOOKUP(J30,LIST!$B$6:$M$3250,CURR_2.SEARCH.NEW,0)),'DICTIONARY-5'!$A$2)</f>
        <v/>
      </c>
      <c r="N30" s="139" t="s">
        <v>142</v>
      </c>
      <c r="O30" s="334" t="s">
        <v>2897</v>
      </c>
      <c r="P30" s="339" t="str">
        <f>IFERROR(IF(OR(O30='DICTIONARY-5'!$A$2,O30='DICTIONARY-5'!$A$4,ISBLANK(O30)),VLOOKUP(N30,LIST!$A$6:$L$3250,CURR_1.SEARCH.OLD,0),VLOOKUP(O30,LIST!$B$6:$L$3250,CURR_1.SEARCH.NEW,0)),'DICTIONARY-5'!$A$2)</f>
        <v>99,-</v>
      </c>
      <c r="Q30" s="339" t="str">
        <f>IFERROR(IF(OR(O30='DICTIONARY-5'!$A$2,O30='DICTIONARY-5'!$A$4,ISBLANK(O30)),VLOOKUP(N30,LIST!$A$6:$M$3250,CURR_2.SEARCH.OLD,0),VLOOKUP(O30,LIST!$B$6:$M$3250,CURR_2.SEARCH.NEW,0)),'DICTIONARY-5'!$A$2)</f>
        <v/>
      </c>
      <c r="R30" s="21"/>
    </row>
    <row r="31" spans="1:18" x14ac:dyDescent="0.25">
      <c r="A31" s="18">
        <v>500</v>
      </c>
      <c r="B31" s="18">
        <v>10</v>
      </c>
      <c r="C31" s="18">
        <v>350</v>
      </c>
      <c r="D31" s="18" t="s">
        <v>145</v>
      </c>
      <c r="E31" s="334" t="s">
        <v>4943</v>
      </c>
      <c r="F31" s="339" t="str">
        <f>IFERROR(IF(OR(E31='DICTIONARY-5'!$A$2,E31='DICTIONARY-5'!$A$4,ISBLANK(E31)),VLOOKUP(D31,LIST!$A$6:$L$3250,CURR_1.SEARCH.OLD,0),VLOOKUP(E31,LIST!$B$6:$L$3250,CURR_1.SEARCH.NEW,0)),'DICTIONARY-5'!$A$2)</f>
        <v>4 987,-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18">
        <v>700</v>
      </c>
      <c r="I31" s="18" t="s">
        <v>146</v>
      </c>
      <c r="J31" s="336" t="s">
        <v>4947</v>
      </c>
      <c r="K31" s="339" t="str">
        <f>IFERROR(IF(OR(J31='DICTIONARY-5'!$A$2,J31='DICTIONARY-5'!$A$4,ISBLANK(J31)),VLOOKUP(I31,LIST!$A$6:$L$3250,CURR_1.SEARCH.OLD,0),VLOOKUP(J31,LIST!$B$6:$L$3250,CURR_1.SEARCH.NEW,0)),'DICTIONARY-5'!$A$2)</f>
        <v>5 285,-</v>
      </c>
      <c r="L31" s="339" t="str">
        <f>IFERROR(IF(OR(J31='DICTIONARY-5'!$A$2,J31='DICTIONARY-5'!$A$4,ISBLANK(J31)),VLOOKUP(I31,LIST!$A$6:$M$3250,CURR_2.SEARCH.OLD,0),VLOOKUP(J31,LIST!$B$6:$M$3250,CURR_2.SEARCH.NEW,0)),'DICTIONARY-5'!$A$2)</f>
        <v/>
      </c>
      <c r="N31" s="139" t="s">
        <v>142</v>
      </c>
      <c r="O31" s="334" t="s">
        <v>2897</v>
      </c>
      <c r="P31" s="339" t="str">
        <f>IFERROR(IF(OR(O31='DICTIONARY-5'!$A$2,O31='DICTIONARY-5'!$A$4,ISBLANK(O31)),VLOOKUP(N31,LIST!$A$6:$L$3250,CURR_1.SEARCH.OLD,0),VLOOKUP(O31,LIST!$B$6:$L$3250,CURR_1.SEARCH.NEW,0)),'DICTIONARY-5'!$A$2)</f>
        <v>99,-</v>
      </c>
      <c r="Q31" s="339" t="str">
        <f>IFERROR(IF(OR(O31='DICTIONARY-5'!$A$2,O31='DICTIONARY-5'!$A$4,ISBLANK(O31)),VLOOKUP(N31,LIST!$A$6:$M$3250,CURR_2.SEARCH.OLD,0),VLOOKUP(O31,LIST!$B$6:$M$3250,CURR_2.SEARCH.NEW,0)),'DICTIONARY-5'!$A$2)</f>
        <v/>
      </c>
      <c r="R31" s="21"/>
    </row>
    <row r="32" spans="1:18" x14ac:dyDescent="0.25">
      <c r="A32" s="18">
        <v>500</v>
      </c>
      <c r="B32" s="18">
        <v>16</v>
      </c>
      <c r="C32" s="18">
        <v>350</v>
      </c>
      <c r="D32" s="18" t="s">
        <v>147</v>
      </c>
      <c r="E32" s="334" t="s">
        <v>4955</v>
      </c>
      <c r="F32" s="339" t="str">
        <f>IFERROR(IF(OR(E32='DICTIONARY-5'!$A$2,E32='DICTIONARY-5'!$A$4,ISBLANK(E32)),VLOOKUP(D32,LIST!$A$6:$L$3250,CURR_1.SEARCH.OLD,0),VLOOKUP(E32,LIST!$B$6:$L$3250,CURR_1.SEARCH.NEW,0)),'DICTIONARY-5'!$A$2)</f>
        <v>5 248,-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H32" s="18">
        <v>700</v>
      </c>
      <c r="I32" s="18" t="s">
        <v>148</v>
      </c>
      <c r="J32" s="336" t="s">
        <v>4951</v>
      </c>
      <c r="K32" s="339" t="str">
        <f>IFERROR(IF(OR(J32='DICTIONARY-5'!$A$2,J32='DICTIONARY-5'!$A$4,ISBLANK(J32)),VLOOKUP(I32,LIST!$A$6:$L$3250,CURR_1.SEARCH.OLD,0),VLOOKUP(J32,LIST!$B$6:$L$3250,CURR_1.SEARCH.NEW,0)),'DICTIONARY-5'!$A$2)</f>
        <v>5 468,-</v>
      </c>
      <c r="L32" s="339" t="str">
        <f>IFERROR(IF(OR(J32='DICTIONARY-5'!$A$2,J32='DICTIONARY-5'!$A$4,ISBLANK(J32)),VLOOKUP(I32,LIST!$A$6:$M$3250,CURR_2.SEARCH.OLD,0),VLOOKUP(J32,LIST!$B$6:$M$3250,CURR_2.SEARCH.NEW,0)),'DICTIONARY-5'!$A$2)</f>
        <v/>
      </c>
      <c r="N32" s="139" t="s">
        <v>142</v>
      </c>
      <c r="O32" s="334" t="s">
        <v>2897</v>
      </c>
      <c r="P32" s="339" t="str">
        <f>IFERROR(IF(OR(O32='DICTIONARY-5'!$A$2,O32='DICTIONARY-5'!$A$4,ISBLANK(O32)),VLOOKUP(N32,LIST!$A$6:$L$3250,CURR_1.SEARCH.OLD,0),VLOOKUP(O32,LIST!$B$6:$L$3250,CURR_1.SEARCH.NEW,0)),'DICTIONARY-5'!$A$2)</f>
        <v>99,-</v>
      </c>
      <c r="Q32" s="339" t="str">
        <f>IFERROR(IF(OR(O32='DICTIONARY-5'!$A$2,O32='DICTIONARY-5'!$A$4,ISBLANK(O32)),VLOOKUP(N32,LIST!$A$6:$M$3250,CURR_2.SEARCH.OLD,0),VLOOKUP(O32,LIST!$B$6:$M$3250,CURR_2.SEARCH.NEW,0)),'DICTIONARY-5'!$A$2)</f>
        <v/>
      </c>
      <c r="R32" s="21"/>
    </row>
    <row r="33" spans="1:18" x14ac:dyDescent="0.25">
      <c r="A33" s="18" t="s">
        <v>149</v>
      </c>
      <c r="B33" s="18">
        <v>10</v>
      </c>
      <c r="C33" s="18"/>
      <c r="D33" s="18"/>
      <c r="E33" s="18"/>
      <c r="F33" s="339"/>
      <c r="G33" s="339"/>
      <c r="H33" s="18">
        <v>800</v>
      </c>
      <c r="I33" s="18" t="s">
        <v>150</v>
      </c>
      <c r="J33" s="336" t="s">
        <v>4948</v>
      </c>
      <c r="K33" s="339" t="str">
        <f>IFERROR(IF(OR(J33='DICTIONARY-5'!$A$2,J33='DICTIONARY-5'!$A$4,ISBLANK(J33)),VLOOKUP(I33,LIST!$A$6:$L$3250,CURR_1.SEARCH.OLD,0),VLOOKUP(J33,LIST!$B$6:$L$3250,CURR_1.SEARCH.NEW,0)),'DICTIONARY-5'!$A$2)</f>
        <v>5 604,-</v>
      </c>
      <c r="L33" s="339" t="str">
        <f>IFERROR(IF(OR(J33='DICTIONARY-5'!$A$2,J33='DICTIONARY-5'!$A$4,ISBLANK(J33)),VLOOKUP(I33,LIST!$A$6:$M$3250,CURR_2.SEARCH.OLD,0),VLOOKUP(J33,LIST!$B$6:$M$3250,CURR_2.SEARCH.NEW,0)),'DICTIONARY-5'!$A$2)</f>
        <v/>
      </c>
      <c r="N33" s="139" t="s">
        <v>142</v>
      </c>
      <c r="O33" s="334" t="s">
        <v>2897</v>
      </c>
      <c r="P33" s="339" t="str">
        <f>IFERROR(IF(OR(O33='DICTIONARY-5'!$A$2,O33='DICTIONARY-5'!$A$4,ISBLANK(O33)),VLOOKUP(N33,LIST!$A$6:$L$3250,CURR_1.SEARCH.OLD,0),VLOOKUP(O33,LIST!$B$6:$L$3250,CURR_1.SEARCH.NEW,0)),'DICTIONARY-5'!$A$2)</f>
        <v>99,-</v>
      </c>
      <c r="Q33" s="339" t="str">
        <f>IFERROR(IF(OR(O33='DICTIONARY-5'!$A$2,O33='DICTIONARY-5'!$A$4,ISBLANK(O33)),VLOOKUP(N33,LIST!$A$6:$M$3250,CURR_2.SEARCH.OLD,0),VLOOKUP(O33,LIST!$B$6:$M$3250,CURR_2.SEARCH.NEW,0)),'DICTIONARY-5'!$A$2)</f>
        <v/>
      </c>
      <c r="R33" s="21"/>
    </row>
    <row r="34" spans="1:18" x14ac:dyDescent="0.25">
      <c r="A34" s="18" t="s">
        <v>149</v>
      </c>
      <c r="B34" s="18">
        <v>16</v>
      </c>
      <c r="C34" s="18"/>
      <c r="D34" s="18"/>
      <c r="E34" s="18"/>
      <c r="F34" s="339"/>
      <c r="G34" s="339"/>
      <c r="H34" s="18">
        <v>800</v>
      </c>
      <c r="I34" s="18" t="s">
        <v>151</v>
      </c>
      <c r="J34" s="336" t="s">
        <v>4952</v>
      </c>
      <c r="K34" s="339" t="str">
        <f>IFERROR(IF(OR(J34='DICTIONARY-5'!$A$2,J34='DICTIONARY-5'!$A$4,ISBLANK(J34)),VLOOKUP(I34,LIST!$A$6:$L$3250,CURR_1.SEARCH.OLD,0),VLOOKUP(J34,LIST!$B$6:$L$3250,CURR_1.SEARCH.NEW,0)),'DICTIONARY-5'!$A$2)</f>
        <v>6 298,-</v>
      </c>
      <c r="L34" s="339" t="str">
        <f>IFERROR(IF(OR(J34='DICTIONARY-5'!$A$2,J34='DICTIONARY-5'!$A$4,ISBLANK(J34)),VLOOKUP(I34,LIST!$A$6:$M$3250,CURR_2.SEARCH.OLD,0),VLOOKUP(J34,LIST!$B$6:$M$3250,CURR_2.SEARCH.NEW,0)),'DICTIONARY-5'!$A$2)</f>
        <v/>
      </c>
      <c r="N34" s="139" t="s">
        <v>142</v>
      </c>
      <c r="O34" s="334" t="s">
        <v>2897</v>
      </c>
      <c r="P34" s="339" t="str">
        <f>IFERROR(IF(OR(O34='DICTIONARY-5'!$A$2,O34='DICTIONARY-5'!$A$4,ISBLANK(O34)),VLOOKUP(N34,LIST!$A$6:$L$3250,CURR_1.SEARCH.OLD,0),VLOOKUP(O34,LIST!$B$6:$L$3250,CURR_1.SEARCH.NEW,0)),'DICTIONARY-5'!$A$2)</f>
        <v>99,-</v>
      </c>
      <c r="Q34" s="339" t="str">
        <f>IFERROR(IF(OR(O34='DICTIONARY-5'!$A$2,O34='DICTIONARY-5'!$A$4,ISBLANK(O34)),VLOOKUP(N34,LIST!$A$6:$M$3250,CURR_2.SEARCH.OLD,0),VLOOKUP(O34,LIST!$B$6:$M$3250,CURR_2.SEARCH.NEW,0)),'DICTIONARY-5'!$A$2)</f>
        <v/>
      </c>
      <c r="R34" s="21"/>
    </row>
    <row r="35" spans="1:18" x14ac:dyDescent="0.25">
      <c r="A35" s="18">
        <v>600</v>
      </c>
      <c r="B35" s="18">
        <v>10</v>
      </c>
      <c r="C35" s="18">
        <v>390</v>
      </c>
      <c r="D35" s="18" t="s">
        <v>152</v>
      </c>
      <c r="E35" s="336" t="s">
        <v>4944</v>
      </c>
      <c r="F35" s="339" t="str">
        <f>IFERROR(IF(OR(E35='DICTIONARY-5'!$A$2,E35='DICTIONARY-5'!$A$4,ISBLANK(E35)),VLOOKUP(D35,LIST!$A$6:$L$3250,CURR_1.SEARCH.OLD,0),VLOOKUP(E35,LIST!$B$6:$L$3250,CURR_1.SEARCH.NEW,0)),'DICTIONARY-5'!$A$2)</f>
        <v>8 116,-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H35" s="18"/>
      <c r="I35" s="18"/>
      <c r="J35" s="18"/>
      <c r="K35" s="19"/>
      <c r="L35" s="19"/>
      <c r="N35" s="139" t="s">
        <v>153</v>
      </c>
      <c r="O35" s="334" t="s">
        <v>2898</v>
      </c>
      <c r="P35" s="339" t="str">
        <f>IFERROR(IF(OR(O35='DICTIONARY-5'!$A$2,O35='DICTIONARY-5'!$A$4,ISBLANK(O35)),VLOOKUP(N35,LIST!$A$6:$L$3250,CURR_1.SEARCH.OLD,0),VLOOKUP(O35,LIST!$B$6:$L$3250,CURR_1.SEARCH.NEW,0)),'DICTIONARY-5'!$A$2)</f>
        <v>144,-</v>
      </c>
      <c r="Q35" s="339" t="str">
        <f>IFERROR(IF(OR(O35='DICTIONARY-5'!$A$2,O35='DICTIONARY-5'!$A$4,ISBLANK(O35)),VLOOKUP(N35,LIST!$A$6:$M$3250,CURR_2.SEARCH.OLD,0),VLOOKUP(O35,LIST!$B$6:$M$3250,CURR_2.SEARCH.NEW,0)),'DICTIONARY-5'!$A$2)</f>
        <v/>
      </c>
      <c r="R35" s="21"/>
    </row>
    <row r="36" spans="1:18" x14ac:dyDescent="0.25">
      <c r="A36" s="18">
        <v>600</v>
      </c>
      <c r="B36" s="18">
        <v>16</v>
      </c>
      <c r="C36" s="18">
        <v>390</v>
      </c>
      <c r="D36" s="18" t="s">
        <v>154</v>
      </c>
      <c r="E36" s="336" t="s">
        <v>4956</v>
      </c>
      <c r="F36" s="339" t="str">
        <f>IFERROR(IF(OR(E36='DICTIONARY-5'!$A$2,E36='DICTIONARY-5'!$A$4,ISBLANK(E36)),VLOOKUP(D36,LIST!$A$6:$L$3250,CURR_1.SEARCH.OLD,0),VLOOKUP(E36,LIST!$B$6:$L$3250,CURR_1.SEARCH.NEW,0)),'DICTIONARY-5'!$A$2)</f>
        <v>8 753,-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H36" s="18"/>
      <c r="I36" s="18"/>
      <c r="J36" s="18"/>
      <c r="K36" s="19"/>
      <c r="L36" s="19"/>
      <c r="N36" s="139" t="s">
        <v>153</v>
      </c>
      <c r="O36" s="334" t="s">
        <v>2898</v>
      </c>
      <c r="P36" s="339" t="str">
        <f>IFERROR(IF(OR(O36='DICTIONARY-5'!$A$2,O36='DICTIONARY-5'!$A$4,ISBLANK(O36)),VLOOKUP(N36,LIST!$A$6:$L$3250,CURR_1.SEARCH.OLD,0),VLOOKUP(O36,LIST!$B$6:$L$3250,CURR_1.SEARCH.NEW,0)),'DICTIONARY-5'!$A$2)</f>
        <v>144,-</v>
      </c>
      <c r="Q36" s="339" t="str">
        <f>IFERROR(IF(OR(O36='DICTIONARY-5'!$A$2,O36='DICTIONARY-5'!$A$4,ISBLANK(O36)),VLOOKUP(N36,LIST!$A$6:$M$3250,CURR_2.SEARCH.OLD,0),VLOOKUP(O36,LIST!$B$6:$M$3250,CURR_2.SEARCH.NEW,0)),'DICTIONARY-5'!$A$2)</f>
        <v/>
      </c>
      <c r="R36" s="21"/>
    </row>
    <row r="37" spans="1:18" x14ac:dyDescent="0.25">
      <c r="A37" s="20"/>
    </row>
    <row r="38" spans="1:18" x14ac:dyDescent="0.25">
      <c r="A38" s="548" t="str">
        <f>"1) "&amp;'DICTIONARY-5'!$A$63</f>
        <v>1) Owiert kołnierza 4 otwory</v>
      </c>
    </row>
    <row r="39" spans="1:18" x14ac:dyDescent="0.25">
      <c r="A39" s="548" t="str">
        <f>"2) "&amp;'DICTIONARY-5'!$A$65&amp;" DN 500"</f>
        <v>2) Zredukowany przepływ DN 500</v>
      </c>
    </row>
    <row r="40" spans="1:18" x14ac:dyDescent="0.25">
      <c r="A40" s="20"/>
    </row>
    <row r="41" spans="1:18" x14ac:dyDescent="0.25">
      <c r="I41" s="935" t="str">
        <f>'DICTIONARY-5'!$A$5</f>
        <v xml:space="preserve">Należy zamówić oddzielnie </v>
      </c>
      <c r="J41" s="953"/>
      <c r="K41" s="953"/>
      <c r="L41" s="954"/>
    </row>
    <row r="42" spans="1:18" x14ac:dyDescent="0.25">
      <c r="A42" s="13" t="str">
        <f>'DICTIONARY-2'!$A$2</f>
        <v>DN</v>
      </c>
      <c r="B42" s="13" t="str">
        <f>'DICTIONARY-2'!$A$3</f>
        <v>PN</v>
      </c>
      <c r="C42" s="13" t="str">
        <f>'DICTIONARY-2'!$A$24</f>
        <v>L</v>
      </c>
      <c r="D42" s="949" t="str">
        <f>'DICTIONARY-3'!$A$2</f>
        <v>EKOplus</v>
      </c>
      <c r="E42" s="949"/>
      <c r="F42" s="949"/>
      <c r="G42" s="949"/>
      <c r="H42" s="6"/>
      <c r="I42" s="950" t="str">
        <f>'DICTIONARY-4'!$A$23</f>
        <v>Kółko ręczne</v>
      </c>
      <c r="J42" s="951"/>
      <c r="K42" s="951"/>
      <c r="L42" s="952"/>
    </row>
    <row r="43" spans="1:18" x14ac:dyDescent="0.25">
      <c r="A43" s="514"/>
      <c r="B43" s="514"/>
      <c r="C43" s="514"/>
      <c r="D43" s="948" t="str">
        <f>CONCATENATE('DICTIONARY-5'!$A$67," (",'DICTIONARY-5'!$A$10," 15), ",'DICTIONARY-5'!$A$43&amp;": "&amp;'DICTIONARY-5'!$A$44)</f>
        <v>budowa długa (szereg 15), guma: EPDM</v>
      </c>
      <c r="E43" s="948"/>
      <c r="F43" s="948"/>
      <c r="G43" s="948"/>
      <c r="H43" s="6"/>
      <c r="I43" s="939"/>
      <c r="J43" s="940"/>
      <c r="K43" s="940"/>
      <c r="L43" s="941"/>
    </row>
    <row r="44" spans="1:18" x14ac:dyDescent="0.25">
      <c r="A44" s="15"/>
      <c r="B44" s="15"/>
      <c r="C44" s="15" t="str">
        <f>'DICTIONARY-2'!$A$18</f>
        <v>[mm]</v>
      </c>
      <c r="D44" s="16" t="str">
        <f>'DICTIONARY-2'!$A$28</f>
        <v>stary nr zamówienia</v>
      </c>
      <c r="E44" s="16" t="str">
        <f>'DICTIONARY-2'!$A$29</f>
        <v>nowy nr zamówienia</v>
      </c>
      <c r="F44" s="17" t="str">
        <f>CURRENCY.CODE_1</f>
        <v>EUR</v>
      </c>
      <c r="G44" s="17" t="str">
        <f>CURRENCY.CODE_2</f>
        <v>---</v>
      </c>
      <c r="H44" s="6"/>
      <c r="I44" s="165" t="str">
        <f>'DICTIONARY-2'!$A$28</f>
        <v>stary nr zamówienia</v>
      </c>
      <c r="J44" s="165" t="str">
        <f>'DICTIONARY-2'!$A$29</f>
        <v>nowy nr zamówienia</v>
      </c>
      <c r="K44" s="166" t="str">
        <f>CURRENCY.CODE_1</f>
        <v>EUR</v>
      </c>
      <c r="L44" s="166" t="str">
        <f>CURRENCY.CODE_2</f>
        <v>---</v>
      </c>
    </row>
    <row r="45" spans="1:18" x14ac:dyDescent="0.25">
      <c r="A45" s="18">
        <v>40</v>
      </c>
      <c r="B45" s="18">
        <v>25</v>
      </c>
      <c r="C45" s="18">
        <v>240</v>
      </c>
      <c r="D45" s="18" t="s">
        <v>164</v>
      </c>
      <c r="E45" s="336" t="s">
        <v>4974</v>
      </c>
      <c r="F45" s="339" t="str">
        <f>IFERROR(IF(OR(E45='DICTIONARY-5'!$A$2,E45='DICTIONARY-5'!$A$4,ISBLANK(E45)),VLOOKUP(D45,LIST!$A$6:$L$3250,CURR_1.SEARCH.OLD,0),VLOOKUP(E45,LIST!$B$6:$L$3250,CURR_1.SEARCH.NEW,0)),'DICTIONARY-5'!$A$2)</f>
        <v>157,-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  <c r="H45" s="6"/>
      <c r="I45" s="139" t="s">
        <v>109</v>
      </c>
      <c r="J45" s="334" t="s">
        <v>2892</v>
      </c>
      <c r="K45" s="339" t="str">
        <f>IFERROR(IF(OR(J45='DICTIONARY-5'!$A$2,J45='DICTIONARY-5'!$A$4,ISBLANK(J45)),VLOOKUP(I45,LIST!$A$6:$L$3250,CURR_1.SEARCH.OLD,0),VLOOKUP(J45,LIST!$B$6:$L$3250,CURR_1.SEARCH.NEW,0)),'DICTIONARY-5'!$A$2)</f>
        <v>8,-</v>
      </c>
      <c r="L45" s="339" t="str">
        <f>IFERROR(IF(OR(J45='DICTIONARY-5'!$A$2,J45='DICTIONARY-5'!$A$4,ISBLANK(J45)),VLOOKUP(I45,LIST!$A$6:$M$3250,CURR_2.SEARCH.OLD,0),VLOOKUP(J45,LIST!$B$6:$M$3250,CURR_2.SEARCH.NEW,0)),'DICTIONARY-5'!$A$2)</f>
        <v/>
      </c>
    </row>
    <row r="46" spans="1:18" x14ac:dyDescent="0.25">
      <c r="A46" s="18">
        <v>50</v>
      </c>
      <c r="B46" s="18">
        <v>25</v>
      </c>
      <c r="C46" s="18">
        <v>250</v>
      </c>
      <c r="D46" s="18" t="s">
        <v>165</v>
      </c>
      <c r="E46" s="336" t="s">
        <v>4975</v>
      </c>
      <c r="F46" s="339" t="str">
        <f>IFERROR(IF(OR(E46='DICTIONARY-5'!$A$2,E46='DICTIONARY-5'!$A$4,ISBLANK(E46)),VLOOKUP(D46,LIST!$A$6:$L$3250,CURR_1.SEARCH.OLD,0),VLOOKUP(E46,LIST!$B$6:$L$3250,CURR_1.SEARCH.NEW,0)),'DICTIONARY-5'!$A$2)</f>
        <v>185,-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  <c r="H46" s="6"/>
      <c r="I46" s="139" t="s">
        <v>109</v>
      </c>
      <c r="J46" s="334" t="s">
        <v>2892</v>
      </c>
      <c r="K46" s="339" t="str">
        <f>IFERROR(IF(OR(J46='DICTIONARY-5'!$A$2,J46='DICTIONARY-5'!$A$4,ISBLANK(J46)),VLOOKUP(I46,LIST!$A$6:$L$3250,CURR_1.SEARCH.OLD,0),VLOOKUP(J46,LIST!$B$6:$L$3250,CURR_1.SEARCH.NEW,0)),'DICTIONARY-5'!$A$2)</f>
        <v>8,-</v>
      </c>
      <c r="L46" s="339" t="str">
        <f>IFERROR(IF(OR(J46='DICTIONARY-5'!$A$2,J46='DICTIONARY-5'!$A$4,ISBLANK(J46)),VLOOKUP(I46,LIST!$A$6:$M$3250,CURR_2.SEARCH.OLD,0),VLOOKUP(J46,LIST!$B$6:$M$3250,CURR_2.SEARCH.NEW,0)),'DICTIONARY-5'!$A$2)</f>
        <v/>
      </c>
    </row>
    <row r="47" spans="1:18" x14ac:dyDescent="0.25">
      <c r="A47" s="18">
        <v>65</v>
      </c>
      <c r="B47" s="18">
        <v>25</v>
      </c>
      <c r="C47" s="18">
        <v>270</v>
      </c>
      <c r="D47" s="18" t="s">
        <v>166</v>
      </c>
      <c r="E47" s="336" t="s">
        <v>4976</v>
      </c>
      <c r="F47" s="339" t="str">
        <f>IFERROR(IF(OR(E47='DICTIONARY-5'!$A$2,E47='DICTIONARY-5'!$A$4,ISBLANK(E47)),VLOOKUP(D47,LIST!$A$6:$L$3250,CURR_1.SEARCH.OLD,0),VLOOKUP(E47,LIST!$B$6:$L$3250,CURR_1.SEARCH.NEW,0)),'DICTIONARY-5'!$A$2)</f>
        <v>209,-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6"/>
      <c r="I47" s="139" t="s">
        <v>88</v>
      </c>
      <c r="J47" s="334" t="s">
        <v>2893</v>
      </c>
      <c r="K47" s="339" t="str">
        <f>IFERROR(IF(OR(J47='DICTIONARY-5'!$A$2,J47='DICTIONARY-5'!$A$4,ISBLANK(J47)),VLOOKUP(I47,LIST!$A$6:$L$3250,CURR_1.SEARCH.OLD,0),VLOOKUP(J47,LIST!$B$6:$L$3250,CURR_1.SEARCH.NEW,0)),'DICTIONARY-5'!$A$2)</f>
        <v>15,-</v>
      </c>
      <c r="L47" s="339" t="str">
        <f>IFERROR(IF(OR(J47='DICTIONARY-5'!$A$2,J47='DICTIONARY-5'!$A$4,ISBLANK(J47)),VLOOKUP(I47,LIST!$A$6:$M$3250,CURR_2.SEARCH.OLD,0),VLOOKUP(J47,LIST!$B$6:$M$3250,CURR_2.SEARCH.NEW,0)),'DICTIONARY-5'!$A$2)</f>
        <v/>
      </c>
    </row>
    <row r="48" spans="1:18" x14ac:dyDescent="0.25">
      <c r="A48" s="18">
        <v>80</v>
      </c>
      <c r="B48" s="18">
        <v>25</v>
      </c>
      <c r="C48" s="18">
        <v>280</v>
      </c>
      <c r="D48" s="18" t="s">
        <v>167</v>
      </c>
      <c r="E48" s="336" t="s">
        <v>4977</v>
      </c>
      <c r="F48" s="339" t="str">
        <f>IFERROR(IF(OR(E48='DICTIONARY-5'!$A$2,E48='DICTIONARY-5'!$A$4,ISBLANK(E48)),VLOOKUP(D48,LIST!$A$6:$L$3250,CURR_1.SEARCH.OLD,0),VLOOKUP(E48,LIST!$B$6:$L$3250,CURR_1.SEARCH.NEW,0)),'DICTIONARY-5'!$A$2)</f>
        <v>203,-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6"/>
      <c r="I48" s="139" t="s">
        <v>88</v>
      </c>
      <c r="J48" s="334" t="s">
        <v>2893</v>
      </c>
      <c r="K48" s="339" t="str">
        <f>IFERROR(IF(OR(J48='DICTIONARY-5'!$A$2,J48='DICTIONARY-5'!$A$4,ISBLANK(J48)),VLOOKUP(I48,LIST!$A$6:$L$3250,CURR_1.SEARCH.OLD,0),VLOOKUP(J48,LIST!$B$6:$L$3250,CURR_1.SEARCH.NEW,0)),'DICTIONARY-5'!$A$2)</f>
        <v>15,-</v>
      </c>
      <c r="L48" s="339" t="str">
        <f>IFERROR(IF(OR(J48='DICTIONARY-5'!$A$2,J48='DICTIONARY-5'!$A$4,ISBLANK(J48)),VLOOKUP(I48,LIST!$A$6:$M$3250,CURR_2.SEARCH.OLD,0),VLOOKUP(J48,LIST!$B$6:$M$3250,CURR_2.SEARCH.NEW,0)),'DICTIONARY-5'!$A$2)</f>
        <v/>
      </c>
    </row>
    <row r="49" spans="1:12" x14ac:dyDescent="0.25">
      <c r="A49" s="18">
        <v>100</v>
      </c>
      <c r="B49" s="18">
        <v>25</v>
      </c>
      <c r="C49" s="18">
        <v>300</v>
      </c>
      <c r="D49" s="18" t="s">
        <v>168</v>
      </c>
      <c r="E49" s="336" t="s">
        <v>4978</v>
      </c>
      <c r="F49" s="339" t="str">
        <f>IFERROR(IF(OR(E49='DICTIONARY-5'!$A$2,E49='DICTIONARY-5'!$A$4,ISBLANK(E49)),VLOOKUP(D49,LIST!$A$6:$L$3250,CURR_1.SEARCH.OLD,0),VLOOKUP(E49,LIST!$B$6:$L$3250,CURR_1.SEARCH.NEW,0)),'DICTIONARY-5'!$A$2)</f>
        <v>245,-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  <c r="H49" s="6"/>
      <c r="I49" s="139" t="s">
        <v>91</v>
      </c>
      <c r="J49" s="334" t="s">
        <v>2894</v>
      </c>
      <c r="K49" s="339" t="str">
        <f>IFERROR(IF(OR(J49='DICTIONARY-5'!$A$2,J49='DICTIONARY-5'!$A$4,ISBLANK(J49)),VLOOKUP(I49,LIST!$A$6:$L$3250,CURR_1.SEARCH.OLD,0),VLOOKUP(J49,LIST!$B$6:$L$3250,CURR_1.SEARCH.NEW,0)),'DICTIONARY-5'!$A$2)</f>
        <v>20,-</v>
      </c>
      <c r="L49" s="339" t="str">
        <f>IFERROR(IF(OR(J49='DICTIONARY-5'!$A$2,J49='DICTIONARY-5'!$A$4,ISBLANK(J49)),VLOOKUP(I49,LIST!$A$6:$M$3250,CURR_2.SEARCH.OLD,0),VLOOKUP(J49,LIST!$B$6:$M$3250,CURR_2.SEARCH.NEW,0)),'DICTIONARY-5'!$A$2)</f>
        <v/>
      </c>
    </row>
    <row r="50" spans="1:12" x14ac:dyDescent="0.25">
      <c r="A50" s="18">
        <v>125</v>
      </c>
      <c r="B50" s="18">
        <v>25</v>
      </c>
      <c r="C50" s="18">
        <v>325</v>
      </c>
      <c r="D50" s="18" t="s">
        <v>169</v>
      </c>
      <c r="E50" s="336" t="s">
        <v>4979</v>
      </c>
      <c r="F50" s="339" t="str">
        <f>IFERROR(IF(OR(E50='DICTIONARY-5'!$A$2,E50='DICTIONARY-5'!$A$4,ISBLANK(E50)),VLOOKUP(D50,LIST!$A$6:$L$3250,CURR_1.SEARCH.OLD,0),VLOOKUP(E50,LIST!$B$6:$L$3250,CURR_1.SEARCH.NEW,0)),'DICTIONARY-5'!$A$2)</f>
        <v>391,-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  <c r="H50" s="6"/>
      <c r="I50" s="139" t="s">
        <v>91</v>
      </c>
      <c r="J50" s="334" t="s">
        <v>2894</v>
      </c>
      <c r="K50" s="339" t="str">
        <f>IFERROR(IF(OR(J50='DICTIONARY-5'!$A$2,J50='DICTIONARY-5'!$A$4,ISBLANK(J50)),VLOOKUP(I50,LIST!$A$6:$L$3250,CURR_1.SEARCH.OLD,0),VLOOKUP(J50,LIST!$B$6:$L$3250,CURR_1.SEARCH.NEW,0)),'DICTIONARY-5'!$A$2)</f>
        <v>20,-</v>
      </c>
      <c r="L50" s="339" t="str">
        <f>IFERROR(IF(OR(J50='DICTIONARY-5'!$A$2,J50='DICTIONARY-5'!$A$4,ISBLANK(J50)),VLOOKUP(I50,LIST!$A$6:$M$3250,CURR_2.SEARCH.OLD,0),VLOOKUP(J50,LIST!$B$6:$M$3250,CURR_2.SEARCH.NEW,0)),'DICTIONARY-5'!$A$2)</f>
        <v/>
      </c>
    </row>
    <row r="51" spans="1:12" x14ac:dyDescent="0.25">
      <c r="A51" s="18">
        <v>150</v>
      </c>
      <c r="B51" s="18">
        <v>25</v>
      </c>
      <c r="C51" s="18">
        <v>350</v>
      </c>
      <c r="D51" s="18" t="s">
        <v>170</v>
      </c>
      <c r="E51" s="336" t="s">
        <v>4980</v>
      </c>
      <c r="F51" s="339" t="str">
        <f>IFERROR(IF(OR(E51='DICTIONARY-5'!$A$2,E51='DICTIONARY-5'!$A$4,ISBLANK(E51)),VLOOKUP(D51,LIST!$A$6:$L$3250,CURR_1.SEARCH.OLD,0),VLOOKUP(E51,LIST!$B$6:$L$3250,CURR_1.SEARCH.NEW,0)),'DICTIONARY-5'!$A$2)</f>
        <v>430,-</v>
      </c>
      <c r="G51" s="339" t="str">
        <f>IFERROR(IF(OR(E51='DICTIONARY-5'!$A$2,E51='DICTIONARY-5'!$A$4,ISBLANK(E51)),VLOOKUP(D51,LIST!$A$6:$M$3250,CURR_2.SEARCH.OLD,0),VLOOKUP(E51,LIST!$B$6:$M$3250,CURR_2.SEARCH.NEW,0)),'DICTIONARY-5'!$A$2)</f>
        <v/>
      </c>
      <c r="H51" s="6"/>
      <c r="I51" s="139" t="s">
        <v>91</v>
      </c>
      <c r="J51" s="334" t="s">
        <v>2894</v>
      </c>
      <c r="K51" s="339" t="str">
        <f>IFERROR(IF(OR(J51='DICTIONARY-5'!$A$2,J51='DICTIONARY-5'!$A$4,ISBLANK(J51)),VLOOKUP(I51,LIST!$A$6:$L$3250,CURR_1.SEARCH.OLD,0),VLOOKUP(J51,LIST!$B$6:$L$3250,CURR_1.SEARCH.NEW,0)),'DICTIONARY-5'!$A$2)</f>
        <v>20,-</v>
      </c>
      <c r="L51" s="339" t="str">
        <f>IFERROR(IF(OR(J51='DICTIONARY-5'!$A$2,J51='DICTIONARY-5'!$A$4,ISBLANK(J51)),VLOOKUP(I51,LIST!$A$6:$M$3250,CURR_2.SEARCH.OLD,0),VLOOKUP(J51,LIST!$B$6:$M$3250,CURR_2.SEARCH.NEW,0)),'DICTIONARY-5'!$A$2)</f>
        <v/>
      </c>
    </row>
    <row r="52" spans="1:12" x14ac:dyDescent="0.25">
      <c r="A52" s="18">
        <v>200</v>
      </c>
      <c r="B52" s="18">
        <v>25</v>
      </c>
      <c r="C52" s="18">
        <v>400</v>
      </c>
      <c r="D52" s="18" t="s">
        <v>171</v>
      </c>
      <c r="E52" s="336" t="s">
        <v>4981</v>
      </c>
      <c r="F52" s="339" t="str">
        <f>IFERROR(IF(OR(E52='DICTIONARY-5'!$A$2,E52='DICTIONARY-5'!$A$4,ISBLANK(E52)),VLOOKUP(D52,LIST!$A$6:$L$3250,CURR_1.SEARCH.OLD,0),VLOOKUP(E52,LIST!$B$6:$L$3250,CURR_1.SEARCH.NEW,0)),'DICTIONARY-5'!$A$2)</f>
        <v>661,-</v>
      </c>
      <c r="G52" s="339" t="str">
        <f>IFERROR(IF(OR(E52='DICTIONARY-5'!$A$2,E52='DICTIONARY-5'!$A$4,ISBLANK(E52)),VLOOKUP(D52,LIST!$A$6:$M$3250,CURR_2.SEARCH.OLD,0),VLOOKUP(E52,LIST!$B$6:$M$3250,CURR_2.SEARCH.NEW,0)),'DICTIONARY-5'!$A$2)</f>
        <v/>
      </c>
      <c r="H52" s="6"/>
      <c r="I52" s="139" t="s">
        <v>98</v>
      </c>
      <c r="J52" s="334" t="s">
        <v>2895</v>
      </c>
      <c r="K52" s="339" t="str">
        <f>IFERROR(IF(OR(J52='DICTIONARY-5'!$A$2,J52='DICTIONARY-5'!$A$4,ISBLANK(J52)),VLOOKUP(I52,LIST!$A$6:$L$3250,CURR_1.SEARCH.OLD,0),VLOOKUP(J52,LIST!$B$6:$L$3250,CURR_1.SEARCH.NEW,0)),'DICTIONARY-5'!$A$2)</f>
        <v>35,-</v>
      </c>
      <c r="L52" s="339" t="str">
        <f>IFERROR(IF(OR(J52='DICTIONARY-5'!$A$2,J52='DICTIONARY-5'!$A$4,ISBLANK(J52)),VLOOKUP(I52,LIST!$A$6:$M$3250,CURR_2.SEARCH.OLD,0),VLOOKUP(J52,LIST!$B$6:$M$3250,CURR_2.SEARCH.NEW,0)),'DICTIONARY-5'!$A$2)</f>
        <v/>
      </c>
    </row>
    <row r="53" spans="1:12" x14ac:dyDescent="0.25">
      <c r="A53" s="18">
        <v>250</v>
      </c>
      <c r="B53" s="18">
        <v>25</v>
      </c>
      <c r="C53" s="18">
        <v>450</v>
      </c>
      <c r="D53" s="18" t="s">
        <v>172</v>
      </c>
      <c r="E53" s="336" t="s">
        <v>4982</v>
      </c>
      <c r="F53" s="339" t="str">
        <f>IFERROR(IF(OR(E53='DICTIONARY-5'!$A$2,E53='DICTIONARY-5'!$A$4,ISBLANK(E53)),VLOOKUP(D53,LIST!$A$6:$L$3250,CURR_1.SEARCH.OLD,0),VLOOKUP(E53,LIST!$B$6:$L$3250,CURR_1.SEARCH.NEW,0)),'DICTIONARY-5'!$A$2)</f>
        <v>1 223,-</v>
      </c>
      <c r="G53" s="339" t="str">
        <f>IFERROR(IF(OR(E53='DICTIONARY-5'!$A$2,E53='DICTIONARY-5'!$A$4,ISBLANK(E53)),VLOOKUP(D53,LIST!$A$6:$M$3250,CURR_2.SEARCH.OLD,0),VLOOKUP(E53,LIST!$B$6:$M$3250,CURR_2.SEARCH.NEW,0)),'DICTIONARY-5'!$A$2)</f>
        <v/>
      </c>
      <c r="H53" s="6"/>
      <c r="I53" s="139" t="s">
        <v>102</v>
      </c>
      <c r="J53" s="334" t="s">
        <v>2896</v>
      </c>
      <c r="K53" s="339" t="str">
        <f>IFERROR(IF(OR(J53='DICTIONARY-5'!$A$2,J53='DICTIONARY-5'!$A$4,ISBLANK(J53)),VLOOKUP(I53,LIST!$A$6:$L$3250,CURR_1.SEARCH.OLD,0),VLOOKUP(J53,LIST!$B$6:$L$3250,CURR_1.SEARCH.NEW,0)),'DICTIONARY-5'!$A$2)</f>
        <v>54,-</v>
      </c>
      <c r="L53" s="339" t="str">
        <f>IFERROR(IF(OR(J53='DICTIONARY-5'!$A$2,J53='DICTIONARY-5'!$A$4,ISBLANK(J53)),VLOOKUP(I53,LIST!$A$6:$M$3250,CURR_2.SEARCH.OLD,0),VLOOKUP(J53,LIST!$B$6:$M$3250,CURR_2.SEARCH.NEW,0)),'DICTIONARY-5'!$A$2)</f>
        <v/>
      </c>
    </row>
    <row r="54" spans="1:12" x14ac:dyDescent="0.25">
      <c r="A54" s="18">
        <v>300</v>
      </c>
      <c r="B54" s="18">
        <v>25</v>
      </c>
      <c r="C54" s="18">
        <v>500</v>
      </c>
      <c r="D54" s="18" t="s">
        <v>173</v>
      </c>
      <c r="E54" s="336" t="s">
        <v>4983</v>
      </c>
      <c r="F54" s="339" t="str">
        <f>IFERROR(IF(OR(E54='DICTIONARY-5'!$A$2,E54='DICTIONARY-5'!$A$4,ISBLANK(E54)),VLOOKUP(D54,LIST!$A$6:$L$3250,CURR_1.SEARCH.OLD,0),VLOOKUP(E54,LIST!$B$6:$L$3250,CURR_1.SEARCH.NEW,0)),'DICTIONARY-5'!$A$2)</f>
        <v>1 536,-</v>
      </c>
      <c r="G54" s="339" t="str">
        <f>IFERROR(IF(OR(E54='DICTIONARY-5'!$A$2,E54='DICTIONARY-5'!$A$4,ISBLANK(E54)),VLOOKUP(D54,LIST!$A$6:$M$3250,CURR_2.SEARCH.OLD,0),VLOOKUP(E54,LIST!$B$6:$M$3250,CURR_2.SEARCH.NEW,0)),'DICTIONARY-5'!$A$2)</f>
        <v/>
      </c>
      <c r="H54" s="6"/>
      <c r="I54" s="139" t="s">
        <v>102</v>
      </c>
      <c r="J54" s="334" t="s">
        <v>2896</v>
      </c>
      <c r="K54" s="339" t="str">
        <f>IFERROR(IF(OR(J54='DICTIONARY-5'!$A$2,J54='DICTIONARY-5'!$A$4,ISBLANK(J54)),VLOOKUP(I54,LIST!$A$6:$L$3250,CURR_1.SEARCH.OLD,0),VLOOKUP(J54,LIST!$B$6:$L$3250,CURR_1.SEARCH.NEW,0)),'DICTIONARY-5'!$A$2)</f>
        <v>54,-</v>
      </c>
      <c r="L54" s="339" t="str">
        <f>IFERROR(IF(OR(J54='DICTIONARY-5'!$A$2,J54='DICTIONARY-5'!$A$4,ISBLANK(J54)),VLOOKUP(I54,LIST!$A$6:$M$3250,CURR_2.SEARCH.OLD,0),VLOOKUP(J54,LIST!$B$6:$M$3250,CURR_2.SEARCH.NEW,0)),'DICTIONARY-5'!$A$2)</f>
        <v/>
      </c>
    </row>
    <row r="55" spans="1:12" x14ac:dyDescent="0.25">
      <c r="A55" s="18">
        <v>400</v>
      </c>
      <c r="B55" s="18">
        <v>25</v>
      </c>
      <c r="C55" s="18">
        <v>600</v>
      </c>
      <c r="D55" s="18" t="s">
        <v>174</v>
      </c>
      <c r="E55" s="336" t="s">
        <v>4984</v>
      </c>
      <c r="F55" s="339" t="str">
        <f>IFERROR(IF(OR(E55='DICTIONARY-5'!$A$2,E55='DICTIONARY-5'!$A$4,ISBLANK(E55)),VLOOKUP(D55,LIST!$A$6:$L$3250,CURR_1.SEARCH.OLD,0),VLOOKUP(E55,LIST!$B$6:$L$3250,CURR_1.SEARCH.NEW,0)),'DICTIONARY-5'!$A$2)</f>
        <v>3 485,-</v>
      </c>
      <c r="G55" s="339" t="str">
        <f>IFERROR(IF(OR(E55='DICTIONARY-5'!$A$2,E55='DICTIONARY-5'!$A$4,ISBLANK(E55)),VLOOKUP(D55,LIST!$A$6:$M$3250,CURR_2.SEARCH.OLD,0),VLOOKUP(E55,LIST!$B$6:$M$3250,CURR_2.SEARCH.NEW,0)),'DICTIONARY-5'!$A$2)</f>
        <v/>
      </c>
      <c r="H55" s="6"/>
      <c r="I55" s="139" t="s">
        <v>142</v>
      </c>
      <c r="J55" s="334" t="s">
        <v>2897</v>
      </c>
      <c r="K55" s="339" t="str">
        <f>IFERROR(IF(OR(J55='DICTIONARY-5'!$A$2,J55='DICTIONARY-5'!$A$4,ISBLANK(J55)),VLOOKUP(I55,LIST!$A$6:$L$3250,CURR_1.SEARCH.OLD,0),VLOOKUP(J55,LIST!$B$6:$L$3250,CURR_1.SEARCH.NEW,0)),'DICTIONARY-5'!$A$2)</f>
        <v>99,-</v>
      </c>
      <c r="L55" s="339" t="str">
        <f>IFERROR(IF(OR(J55='DICTIONARY-5'!$A$2,J55='DICTIONARY-5'!$A$4,ISBLANK(J55)),VLOOKUP(I55,LIST!$A$6:$M$3250,CURR_2.SEARCH.OLD,0),VLOOKUP(J55,LIST!$B$6:$M$3250,CURR_2.SEARCH.NEW,0)),'DICTIONARY-5'!$A$2)</f>
        <v/>
      </c>
    </row>
    <row r="56" spans="1:12" x14ac:dyDescent="0.25">
      <c r="A56" s="18">
        <v>500</v>
      </c>
      <c r="B56" s="18">
        <v>25</v>
      </c>
      <c r="C56" s="18">
        <v>700</v>
      </c>
      <c r="D56" s="18" t="s">
        <v>175</v>
      </c>
      <c r="E56" s="336" t="s">
        <v>4985</v>
      </c>
      <c r="F56" s="339" t="str">
        <f>IFERROR(IF(OR(E56='DICTIONARY-5'!$A$2,E56='DICTIONARY-5'!$A$4,ISBLANK(E56)),VLOOKUP(D56,LIST!$A$6:$L$3250,CURR_1.SEARCH.OLD,0),VLOOKUP(E56,LIST!$B$6:$L$3250,CURR_1.SEARCH.NEW,0)),'DICTIONARY-5'!$A$2)</f>
        <v>6 097,-</v>
      </c>
      <c r="G56" s="339" t="str">
        <f>IFERROR(IF(OR(E56='DICTIONARY-5'!$A$2,E56='DICTIONARY-5'!$A$4,ISBLANK(E56)),VLOOKUP(D56,LIST!$A$6:$M$3250,CURR_2.SEARCH.OLD,0),VLOOKUP(E56,LIST!$B$6:$M$3250,CURR_2.SEARCH.NEW,0)),'DICTIONARY-5'!$A$2)</f>
        <v/>
      </c>
      <c r="H56" s="6"/>
      <c r="I56" s="139" t="s">
        <v>142</v>
      </c>
      <c r="J56" s="334" t="s">
        <v>2897</v>
      </c>
      <c r="K56" s="339" t="str">
        <f>IFERROR(IF(OR(J56='DICTIONARY-5'!$A$2,J56='DICTIONARY-5'!$A$4,ISBLANK(J56)),VLOOKUP(I56,LIST!$A$6:$L$3250,CURR_1.SEARCH.OLD,0),VLOOKUP(J56,LIST!$B$6:$L$3250,CURR_1.SEARCH.NEW,0)),'DICTIONARY-5'!$A$2)</f>
        <v>99,-</v>
      </c>
      <c r="L56" s="339" t="str">
        <f>IFERROR(IF(OR(J56='DICTIONARY-5'!$A$2,J56='DICTIONARY-5'!$A$4,ISBLANK(J56)),VLOOKUP(I56,LIST!$A$6:$M$3250,CURR_2.SEARCH.OLD,0),VLOOKUP(J56,LIST!$B$6:$M$3250,CURR_2.SEARCH.NEW,0)),'DICTIONARY-5'!$A$2)</f>
        <v/>
      </c>
    </row>
    <row r="57" spans="1:12" x14ac:dyDescent="0.25">
      <c r="H57" s="6"/>
      <c r="I57" s="6"/>
      <c r="J57" s="6"/>
      <c r="K57" s="6"/>
      <c r="L57" s="6"/>
    </row>
    <row r="58" spans="1:12" x14ac:dyDescent="0.25">
      <c r="H58" s="6"/>
      <c r="I58" s="6"/>
      <c r="J58" s="6"/>
      <c r="K58" s="6"/>
      <c r="L58" s="6"/>
    </row>
    <row r="60" spans="1:12" ht="16.5" thickBot="1" x14ac:dyDescent="0.3">
      <c r="A60" s="81" t="str">
        <f>CONCATENATE('DICTIONARY-3'!$A$2," ",'DICTIONARY-3'!$A$187," / ",'DICTIONARY-2'!$A$12," ",'DICTIONARY-5'!$A$8)</f>
        <v>EKOplus Zasuwa klinowa / Długość zabudowy ČSN</v>
      </c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</row>
    <row r="61" spans="1:12" x14ac:dyDescent="0.25">
      <c r="A61" s="9" t="str">
        <f>CONCATENATE('DICTIONARY-3'!$A$243," ",'DICTIONARY-3'!$A$244,", ",LOWER('DICTIONARY-2'!$A$12)," ",'DICTIONARY-5'!$A$8)</f>
        <v>Z wolnym końcem wałka i adapterem do podłączenia VAG obudowy ziemnej, długość zabudowy ČSN</v>
      </c>
      <c r="H61" s="6"/>
      <c r="I61" s="6"/>
      <c r="J61" s="6"/>
      <c r="L61" s="6"/>
    </row>
    <row r="62" spans="1:12" x14ac:dyDescent="0.25">
      <c r="A62" s="9" t="str">
        <f>CONCATENATE('DICTIONARY-1'!$A$10,": ",SETTINGS!$C$12)</f>
        <v>Grupa rabatowa: EKOplus</v>
      </c>
      <c r="H62" s="6"/>
      <c r="I62" s="6"/>
      <c r="J62" s="6"/>
      <c r="L62" s="6"/>
    </row>
    <row r="63" spans="1:12" x14ac:dyDescent="0.25">
      <c r="A63" s="12"/>
      <c r="H63" s="6"/>
      <c r="I63" s="935" t="str">
        <f>'DICTIONARY-5'!$A$5</f>
        <v xml:space="preserve">Należy zamówić oddzielnie </v>
      </c>
      <c r="J63" s="953"/>
      <c r="K63" s="953"/>
      <c r="L63" s="954"/>
    </row>
    <row r="64" spans="1:12" x14ac:dyDescent="0.25">
      <c r="A64" s="13" t="str">
        <f>'DICTIONARY-2'!$A$2</f>
        <v>DN</v>
      </c>
      <c r="B64" s="13" t="str">
        <f>'DICTIONARY-2'!$A$3</f>
        <v>PN</v>
      </c>
      <c r="C64" s="13" t="str">
        <f>'DICTIONARY-2'!$A$24</f>
        <v>L</v>
      </c>
      <c r="D64" s="949" t="str">
        <f>'DICTIONARY-3'!$A$2</f>
        <v>EKOplus</v>
      </c>
      <c r="E64" s="949"/>
      <c r="F64" s="949"/>
      <c r="G64" s="949"/>
      <c r="I64" s="950" t="str">
        <f>'DICTIONARY-4'!$A$23</f>
        <v>Kółko ręczne</v>
      </c>
      <c r="J64" s="951"/>
      <c r="K64" s="951"/>
      <c r="L64" s="952"/>
    </row>
    <row r="65" spans="1:12" x14ac:dyDescent="0.25">
      <c r="A65" s="514"/>
      <c r="B65" s="514"/>
      <c r="C65" s="514"/>
      <c r="D65" s="948" t="str">
        <f>'DICTIONARY-5'!$A$68&amp;", "&amp;'DICTIONARY-5'!$A$43&amp;": "&amp;'DICTIONARY-5'!$A$44</f>
        <v>budowa ČSN (norma czeska), guma: EPDM</v>
      </c>
      <c r="E65" s="948"/>
      <c r="F65" s="948"/>
      <c r="G65" s="948"/>
      <c r="I65" s="939"/>
      <c r="J65" s="940"/>
      <c r="K65" s="940"/>
      <c r="L65" s="941"/>
    </row>
    <row r="66" spans="1:12" x14ac:dyDescent="0.25">
      <c r="A66" s="15"/>
      <c r="B66" s="15"/>
      <c r="C66" s="15" t="str">
        <f>'DICTIONARY-2'!$A$18</f>
        <v>[mm]</v>
      </c>
      <c r="D66" s="16" t="str">
        <f>'DICTIONARY-2'!$A$28</f>
        <v>stary nr zamówienia</v>
      </c>
      <c r="E66" s="16" t="str">
        <f>'DICTIONARY-2'!$A$29</f>
        <v>nowy nr zamówienia</v>
      </c>
      <c r="F66" s="17" t="str">
        <f>CURRENCY.CODE_1</f>
        <v>EUR</v>
      </c>
      <c r="G66" s="17" t="str">
        <f>CURRENCY.CODE_2</f>
        <v>---</v>
      </c>
      <c r="I66" s="165" t="str">
        <f>'DICTIONARY-2'!$A$28</f>
        <v>stary nr zamówienia</v>
      </c>
      <c r="J66" s="165" t="str">
        <f>'DICTIONARY-2'!$A$29</f>
        <v>nowy nr zamówienia</v>
      </c>
      <c r="K66" s="166" t="str">
        <f>CURRENCY.CODE_1</f>
        <v>EUR</v>
      </c>
      <c r="L66" s="166" t="str">
        <f>CURRENCY.CODE_2</f>
        <v>---</v>
      </c>
    </row>
    <row r="67" spans="1:12" x14ac:dyDescent="0.25">
      <c r="A67" s="18">
        <v>40</v>
      </c>
      <c r="B67" s="18">
        <v>10</v>
      </c>
      <c r="C67" s="18">
        <v>170</v>
      </c>
      <c r="D67" s="18" t="s">
        <v>155</v>
      </c>
      <c r="E67" s="336" t="s">
        <v>3326</v>
      </c>
      <c r="F67" s="339" t="str">
        <f>IFERROR(IF(OR(E67='DICTIONARY-5'!$A$2,E67='DICTIONARY-5'!$A$4,ISBLANK(E67)),VLOOKUP(D67,LIST!$A$6:$L$3250,CURR_1.SEARCH.OLD,0),VLOOKUP(E67,LIST!$B$6:$L$3250,CURR_1.SEARCH.NEW,0)),'DICTIONARY-5'!$A$2)</f>
        <v>152,-</v>
      </c>
      <c r="G67" s="339" t="str">
        <f>IFERROR(IF(OR(E67='DICTIONARY-5'!$A$2,E67='DICTIONARY-5'!$A$4,ISBLANK(E67)),VLOOKUP(D67,LIST!$A$6:$M$3250,CURR_2.SEARCH.OLD,0),VLOOKUP(E67,LIST!$B$6:$M$3250,CURR_2.SEARCH.NEW,0)),'DICTIONARY-5'!$A$2)</f>
        <v/>
      </c>
      <c r="I67" s="139" t="s">
        <v>109</v>
      </c>
      <c r="J67" s="334" t="s">
        <v>2892</v>
      </c>
      <c r="K67" s="339" t="str">
        <f>IFERROR(IF(OR(J67='DICTIONARY-5'!$A$2,J67='DICTIONARY-5'!$A$4,ISBLANK(J67)),VLOOKUP(I67,LIST!$A$6:$L$3250,CURR_1.SEARCH.OLD,0),VLOOKUP(J67,LIST!$B$6:$L$3250,CURR_1.SEARCH.NEW,0)),'DICTIONARY-5'!$A$2)</f>
        <v>8,-</v>
      </c>
      <c r="L67" s="339" t="str">
        <f>IFERROR(IF(OR(J67='DICTIONARY-5'!$A$2,J67='DICTIONARY-5'!$A$4,ISBLANK(J67)),VLOOKUP(I67,LIST!$A$6:$M$3250,CURR_2.SEARCH.OLD,0),VLOOKUP(J67,LIST!$B$6:$M$3250,CURR_2.SEARCH.NEW,0)),'DICTIONARY-5'!$A$2)</f>
        <v/>
      </c>
    </row>
    <row r="68" spans="1:12" x14ac:dyDescent="0.25">
      <c r="A68" s="18">
        <v>50</v>
      </c>
      <c r="B68" s="18">
        <v>10</v>
      </c>
      <c r="C68" s="18">
        <v>180</v>
      </c>
      <c r="D68" s="18" t="s">
        <v>156</v>
      </c>
      <c r="E68" s="336" t="s">
        <v>3327</v>
      </c>
      <c r="F68" s="339" t="str">
        <f>IFERROR(IF(OR(E68='DICTIONARY-5'!$A$2,E68='DICTIONARY-5'!$A$4,ISBLANK(E68)),VLOOKUP(D68,LIST!$A$6:$L$3250,CURR_1.SEARCH.OLD,0),VLOOKUP(E68,LIST!$B$6:$L$3250,CURR_1.SEARCH.NEW,0)),'DICTIONARY-5'!$A$2)</f>
        <v>174,-</v>
      </c>
      <c r="G68" s="339" t="str">
        <f>IFERROR(IF(OR(E68='DICTIONARY-5'!$A$2,E68='DICTIONARY-5'!$A$4,ISBLANK(E68)),VLOOKUP(D68,LIST!$A$6:$M$3250,CURR_2.SEARCH.OLD,0),VLOOKUP(E68,LIST!$B$6:$M$3250,CURR_2.SEARCH.NEW,0)),'DICTIONARY-5'!$A$2)</f>
        <v/>
      </c>
      <c r="I68" s="139" t="s">
        <v>109</v>
      </c>
      <c r="J68" s="334" t="s">
        <v>2892</v>
      </c>
      <c r="K68" s="339" t="str">
        <f>IFERROR(IF(OR(J68='DICTIONARY-5'!$A$2,J68='DICTIONARY-5'!$A$4,ISBLANK(J68)),VLOOKUP(I68,LIST!$A$6:$L$3250,CURR_1.SEARCH.OLD,0),VLOOKUP(J68,LIST!$B$6:$L$3250,CURR_1.SEARCH.NEW,0)),'DICTIONARY-5'!$A$2)</f>
        <v>8,-</v>
      </c>
      <c r="L68" s="339" t="str">
        <f>IFERROR(IF(OR(J68='DICTIONARY-5'!$A$2,J68='DICTIONARY-5'!$A$4,ISBLANK(J68)),VLOOKUP(I68,LIST!$A$6:$M$3250,CURR_2.SEARCH.OLD,0),VLOOKUP(J68,LIST!$B$6:$M$3250,CURR_2.SEARCH.NEW,0)),'DICTIONARY-5'!$A$2)</f>
        <v/>
      </c>
    </row>
    <row r="69" spans="1:12" x14ac:dyDescent="0.25">
      <c r="A69" s="18">
        <v>65</v>
      </c>
      <c r="B69" s="18">
        <v>10</v>
      </c>
      <c r="C69" s="18">
        <v>200</v>
      </c>
      <c r="D69" s="18" t="s">
        <v>157</v>
      </c>
      <c r="E69" s="336" t="s">
        <v>3328</v>
      </c>
      <c r="F69" s="339" t="str">
        <f>IFERROR(IF(OR(E69='DICTIONARY-5'!$A$2,E69='DICTIONARY-5'!$A$4,ISBLANK(E69)),VLOOKUP(D69,LIST!$A$6:$L$3250,CURR_1.SEARCH.OLD,0),VLOOKUP(E69,LIST!$B$6:$L$3250,CURR_1.SEARCH.NEW,0)),'DICTIONARY-5'!$A$2)</f>
        <v>191,-</v>
      </c>
      <c r="G69" s="339" t="str">
        <f>IFERROR(IF(OR(E69='DICTIONARY-5'!$A$2,E69='DICTIONARY-5'!$A$4,ISBLANK(E69)),VLOOKUP(D69,LIST!$A$6:$M$3250,CURR_2.SEARCH.OLD,0),VLOOKUP(E69,LIST!$B$6:$M$3250,CURR_2.SEARCH.NEW,0)),'DICTIONARY-5'!$A$2)</f>
        <v/>
      </c>
      <c r="I69" s="139" t="s">
        <v>88</v>
      </c>
      <c r="J69" s="334" t="s">
        <v>2893</v>
      </c>
      <c r="K69" s="339" t="str">
        <f>IFERROR(IF(OR(J69='DICTIONARY-5'!$A$2,J69='DICTIONARY-5'!$A$4,ISBLANK(J69)),VLOOKUP(I69,LIST!$A$6:$L$3250,CURR_1.SEARCH.OLD,0),VLOOKUP(J69,LIST!$B$6:$L$3250,CURR_1.SEARCH.NEW,0)),'DICTIONARY-5'!$A$2)</f>
        <v>15,-</v>
      </c>
      <c r="L69" s="339" t="str">
        <f>IFERROR(IF(OR(J69='DICTIONARY-5'!$A$2,J69='DICTIONARY-5'!$A$4,ISBLANK(J69)),VLOOKUP(I69,LIST!$A$6:$M$3250,CURR_2.SEARCH.OLD,0),VLOOKUP(J69,LIST!$B$6:$M$3250,CURR_2.SEARCH.NEW,0)),'DICTIONARY-5'!$A$2)</f>
        <v/>
      </c>
    </row>
    <row r="70" spans="1:12" x14ac:dyDescent="0.25">
      <c r="A70" s="18">
        <v>80</v>
      </c>
      <c r="B70" s="18">
        <v>10</v>
      </c>
      <c r="C70" s="18">
        <v>210</v>
      </c>
      <c r="D70" s="18" t="s">
        <v>158</v>
      </c>
      <c r="E70" s="336" t="s">
        <v>3329</v>
      </c>
      <c r="F70" s="339" t="str">
        <f>IFERROR(IF(OR(E70='DICTIONARY-5'!$A$2,E70='DICTIONARY-5'!$A$4,ISBLANK(E70)),VLOOKUP(D70,LIST!$A$6:$L$3250,CURR_1.SEARCH.OLD,0),VLOOKUP(E70,LIST!$B$6:$L$3250,CURR_1.SEARCH.NEW,0)),'DICTIONARY-5'!$A$2)</f>
        <v>218,-</v>
      </c>
      <c r="G70" s="339" t="str">
        <f>IFERROR(IF(OR(E70='DICTIONARY-5'!$A$2,E70='DICTIONARY-5'!$A$4,ISBLANK(E70)),VLOOKUP(D70,LIST!$A$6:$M$3250,CURR_2.SEARCH.OLD,0),VLOOKUP(E70,LIST!$B$6:$M$3250,CURR_2.SEARCH.NEW,0)),'DICTIONARY-5'!$A$2)</f>
        <v/>
      </c>
      <c r="I70" s="139" t="s">
        <v>88</v>
      </c>
      <c r="J70" s="334" t="s">
        <v>2893</v>
      </c>
      <c r="K70" s="339" t="str">
        <f>IFERROR(IF(OR(J70='DICTIONARY-5'!$A$2,J70='DICTIONARY-5'!$A$4,ISBLANK(J70)),VLOOKUP(I70,LIST!$A$6:$L$3250,CURR_1.SEARCH.OLD,0),VLOOKUP(J70,LIST!$B$6:$L$3250,CURR_1.SEARCH.NEW,0)),'DICTIONARY-5'!$A$2)</f>
        <v>15,-</v>
      </c>
      <c r="L70" s="339" t="str">
        <f>IFERROR(IF(OR(J70='DICTIONARY-5'!$A$2,J70='DICTIONARY-5'!$A$4,ISBLANK(J70)),VLOOKUP(I70,LIST!$A$6:$M$3250,CURR_2.SEARCH.OLD,0),VLOOKUP(J70,LIST!$B$6:$M$3250,CURR_2.SEARCH.NEW,0)),'DICTIONARY-5'!$A$2)</f>
        <v/>
      </c>
    </row>
    <row r="71" spans="1:12" x14ac:dyDescent="0.25">
      <c r="A71" s="18">
        <v>100</v>
      </c>
      <c r="B71" s="18">
        <v>10</v>
      </c>
      <c r="C71" s="18">
        <v>230</v>
      </c>
      <c r="D71" s="18" t="s">
        <v>159</v>
      </c>
      <c r="E71" s="336" t="s">
        <v>3330</v>
      </c>
      <c r="F71" s="339" t="str">
        <f>IFERROR(IF(OR(E71='DICTIONARY-5'!$A$2,E71='DICTIONARY-5'!$A$4,ISBLANK(E71)),VLOOKUP(D71,LIST!$A$6:$L$3250,CURR_1.SEARCH.OLD,0),VLOOKUP(E71,LIST!$B$6:$L$3250,CURR_1.SEARCH.NEW,0)),'DICTIONARY-5'!$A$2)</f>
        <v>215,-</v>
      </c>
      <c r="G71" s="339" t="str">
        <f>IFERROR(IF(OR(E71='DICTIONARY-5'!$A$2,E71='DICTIONARY-5'!$A$4,ISBLANK(E71)),VLOOKUP(D71,LIST!$A$6:$M$3250,CURR_2.SEARCH.OLD,0),VLOOKUP(E71,LIST!$B$6:$M$3250,CURR_2.SEARCH.NEW,0)),'DICTIONARY-5'!$A$2)</f>
        <v/>
      </c>
      <c r="I71" s="139" t="s">
        <v>91</v>
      </c>
      <c r="J71" s="334" t="s">
        <v>2894</v>
      </c>
      <c r="K71" s="339" t="str">
        <f>IFERROR(IF(OR(J71='DICTIONARY-5'!$A$2,J71='DICTIONARY-5'!$A$4,ISBLANK(J71)),VLOOKUP(I71,LIST!$A$6:$L$3250,CURR_1.SEARCH.OLD,0),VLOOKUP(J71,LIST!$B$6:$L$3250,CURR_1.SEARCH.NEW,0)),'DICTIONARY-5'!$A$2)</f>
        <v>20,-</v>
      </c>
      <c r="L71" s="339" t="str">
        <f>IFERROR(IF(OR(J71='DICTIONARY-5'!$A$2,J71='DICTIONARY-5'!$A$4,ISBLANK(J71)),VLOOKUP(I71,LIST!$A$6:$M$3250,CURR_2.SEARCH.OLD,0),VLOOKUP(J71,LIST!$B$6:$M$3250,CURR_2.SEARCH.NEW,0)),'DICTIONARY-5'!$A$2)</f>
        <v/>
      </c>
    </row>
    <row r="72" spans="1:12" x14ac:dyDescent="0.25">
      <c r="A72" s="18">
        <v>125</v>
      </c>
      <c r="B72" s="18">
        <v>10</v>
      </c>
      <c r="C72" s="18">
        <v>255</v>
      </c>
      <c r="D72" s="18" t="s">
        <v>160</v>
      </c>
      <c r="E72" s="336" t="s">
        <v>3331</v>
      </c>
      <c r="F72" s="339" t="str">
        <f>IFERROR(IF(OR(E72='DICTIONARY-5'!$A$2,E72='DICTIONARY-5'!$A$4,ISBLANK(E72)),VLOOKUP(D72,LIST!$A$6:$L$3250,CURR_1.SEARCH.OLD,0),VLOOKUP(E72,LIST!$B$6:$L$3250,CURR_1.SEARCH.NEW,0)),'DICTIONARY-5'!$A$2)</f>
        <v>363,-</v>
      </c>
      <c r="G72" s="339" t="str">
        <f>IFERROR(IF(OR(E72='DICTIONARY-5'!$A$2,E72='DICTIONARY-5'!$A$4,ISBLANK(E72)),VLOOKUP(D72,LIST!$A$6:$M$3250,CURR_2.SEARCH.OLD,0),VLOOKUP(E72,LIST!$B$6:$M$3250,CURR_2.SEARCH.NEW,0)),'DICTIONARY-5'!$A$2)</f>
        <v/>
      </c>
      <c r="I72" s="139" t="s">
        <v>91</v>
      </c>
      <c r="J72" s="334" t="s">
        <v>2894</v>
      </c>
      <c r="K72" s="339" t="str">
        <f>IFERROR(IF(OR(J72='DICTIONARY-5'!$A$2,J72='DICTIONARY-5'!$A$4,ISBLANK(J72)),VLOOKUP(I72,LIST!$A$6:$L$3250,CURR_1.SEARCH.OLD,0),VLOOKUP(J72,LIST!$B$6:$L$3250,CURR_1.SEARCH.NEW,0)),'DICTIONARY-5'!$A$2)</f>
        <v>20,-</v>
      </c>
      <c r="L72" s="339" t="str">
        <f>IFERROR(IF(OR(J72='DICTIONARY-5'!$A$2,J72='DICTIONARY-5'!$A$4,ISBLANK(J72)),VLOOKUP(I72,LIST!$A$6:$M$3250,CURR_2.SEARCH.OLD,0),VLOOKUP(J72,LIST!$B$6:$M$3250,CURR_2.SEARCH.NEW,0)),'DICTIONARY-5'!$A$2)</f>
        <v/>
      </c>
    </row>
    <row r="73" spans="1:12" x14ac:dyDescent="0.25">
      <c r="A73" s="18">
        <v>150</v>
      </c>
      <c r="B73" s="18">
        <v>10</v>
      </c>
      <c r="C73" s="18">
        <v>280</v>
      </c>
      <c r="D73" s="18" t="s">
        <v>161</v>
      </c>
      <c r="E73" s="336" t="s">
        <v>3332</v>
      </c>
      <c r="F73" s="339" t="str">
        <f>IFERROR(IF(OR(E73='DICTIONARY-5'!$A$2,E73='DICTIONARY-5'!$A$4,ISBLANK(E73)),VLOOKUP(D73,LIST!$A$6:$L$3250,CURR_1.SEARCH.OLD,0),VLOOKUP(E73,LIST!$B$6:$L$3250,CURR_1.SEARCH.NEW,0)),'DICTIONARY-5'!$A$2)</f>
        <v>371,-</v>
      </c>
      <c r="G73" s="339" t="str">
        <f>IFERROR(IF(OR(E73='DICTIONARY-5'!$A$2,E73='DICTIONARY-5'!$A$4,ISBLANK(E73)),VLOOKUP(D73,LIST!$A$6:$M$3250,CURR_2.SEARCH.OLD,0),VLOOKUP(E73,LIST!$B$6:$M$3250,CURR_2.SEARCH.NEW,0)),'DICTIONARY-5'!$A$2)</f>
        <v/>
      </c>
      <c r="I73" s="139" t="s">
        <v>91</v>
      </c>
      <c r="J73" s="334" t="s">
        <v>2894</v>
      </c>
      <c r="K73" s="339" t="str">
        <f>IFERROR(IF(OR(J73='DICTIONARY-5'!$A$2,J73='DICTIONARY-5'!$A$4,ISBLANK(J73)),VLOOKUP(I73,LIST!$A$6:$L$3250,CURR_1.SEARCH.OLD,0),VLOOKUP(J73,LIST!$B$6:$L$3250,CURR_1.SEARCH.NEW,0)),'DICTIONARY-5'!$A$2)</f>
        <v>20,-</v>
      </c>
      <c r="L73" s="339" t="str">
        <f>IFERROR(IF(OR(J73='DICTIONARY-5'!$A$2,J73='DICTIONARY-5'!$A$4,ISBLANK(J73)),VLOOKUP(I73,LIST!$A$6:$M$3250,CURR_2.SEARCH.OLD,0),VLOOKUP(J73,LIST!$B$6:$M$3250,CURR_2.SEARCH.NEW,0)),'DICTIONARY-5'!$A$2)</f>
        <v/>
      </c>
    </row>
    <row r="74" spans="1:12" x14ac:dyDescent="0.25">
      <c r="A74" s="18">
        <v>200</v>
      </c>
      <c r="B74" s="550" t="s">
        <v>1605</v>
      </c>
      <c r="C74" s="18">
        <v>330</v>
      </c>
      <c r="D74" s="18" t="s">
        <v>163</v>
      </c>
      <c r="E74" s="336" t="s">
        <v>3333</v>
      </c>
      <c r="F74" s="339" t="str">
        <f>IFERROR(IF(OR(E74='DICTIONARY-5'!$A$2,E74='DICTIONARY-5'!$A$4,ISBLANK(E74)),VLOOKUP(D74,LIST!$A$6:$L$3250,CURR_1.SEARCH.OLD,0),VLOOKUP(E74,LIST!$B$6:$L$3250,CURR_1.SEARCH.NEW,0)),'DICTIONARY-5'!$A$2)</f>
        <v>664,-</v>
      </c>
      <c r="G74" s="339" t="str">
        <f>IFERROR(IF(OR(E74='DICTIONARY-5'!$A$2,E74='DICTIONARY-5'!$A$4,ISBLANK(E74)),VLOOKUP(D74,LIST!$A$6:$M$3250,CURR_2.SEARCH.OLD,0),VLOOKUP(E74,LIST!$B$6:$M$3250,CURR_2.SEARCH.NEW,0)),'DICTIONARY-5'!$A$2)</f>
        <v/>
      </c>
      <c r="I74" s="139" t="s">
        <v>98</v>
      </c>
      <c r="J74" s="334" t="s">
        <v>2895</v>
      </c>
      <c r="K74" s="339" t="str">
        <f>IFERROR(IF(OR(J74='DICTIONARY-5'!$A$2,J74='DICTIONARY-5'!$A$4,ISBLANK(J74)),VLOOKUP(I74,LIST!$A$6:$L$3250,CURR_1.SEARCH.OLD,0),VLOOKUP(J74,LIST!$B$6:$L$3250,CURR_1.SEARCH.NEW,0)),'DICTIONARY-5'!$A$2)</f>
        <v>35,-</v>
      </c>
      <c r="L74" s="339" t="str">
        <f>IFERROR(IF(OR(J74='DICTIONARY-5'!$A$2,J74='DICTIONARY-5'!$A$4,ISBLANK(J74)),VLOOKUP(I74,LIST!$A$6:$M$3250,CURR_2.SEARCH.OLD,0),VLOOKUP(J74,LIST!$B$6:$M$3250,CURR_2.SEARCH.NEW,0)),'DICTIONARY-5'!$A$2)</f>
        <v/>
      </c>
    </row>
    <row r="75" spans="1:12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</row>
    <row r="76" spans="1:12" x14ac:dyDescent="0.25">
      <c r="A76" s="549" t="str">
        <f>"1) "&amp;'DICTIONARY-5'!$A$3&amp;" PN 16"</f>
        <v>1) Na zapytanie:  PN 16</v>
      </c>
      <c r="B76" s="6"/>
      <c r="C76" s="6"/>
      <c r="D76" s="6"/>
      <c r="E76" s="6"/>
      <c r="F76" s="6"/>
      <c r="G76" s="6"/>
      <c r="H76" s="6"/>
      <c r="I76" s="6"/>
      <c r="J76" s="6"/>
    </row>
    <row r="80" spans="1:12" ht="16.5" thickBot="1" x14ac:dyDescent="0.3">
      <c r="A80" s="81" t="str">
        <f>CONCATENATE('DICTIONARY-3'!$A$2," ",'DICTIONARY-3'!$A$187," / ",'DICTIONARY-3'!$A$247)</f>
        <v xml:space="preserve">EKOplus Zasuwa klinowa / Regulowana długość zabudowy </v>
      </c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</row>
    <row r="81" spans="1:12" x14ac:dyDescent="0.25">
      <c r="A81" s="9" t="str">
        <f>CONCATENATE('DICTIONARY-3'!$A$246,", ",LOWER('DICTIONARY-3'!$A$243))</f>
        <v>Z regulowanymi kołnierzami, z wolnym końcem wałka</v>
      </c>
      <c r="H81" s="6"/>
      <c r="I81" s="6"/>
      <c r="J81" s="6"/>
    </row>
    <row r="82" spans="1:12" x14ac:dyDescent="0.25">
      <c r="A82" s="9" t="str">
        <f>CONCATENATE('DICTIONARY-1'!$A$10,": ",SETTINGS!$C$12)</f>
        <v>Grupa rabatowa: EKOplus</v>
      </c>
      <c r="H82" s="6"/>
      <c r="I82" s="6"/>
      <c r="J82" s="6"/>
    </row>
    <row r="83" spans="1:12" x14ac:dyDescent="0.25">
      <c r="A83" s="12"/>
      <c r="H83" s="6"/>
      <c r="I83" s="935" t="str">
        <f>'DICTIONARY-5'!$A$5</f>
        <v xml:space="preserve">Należy zamówić oddzielnie </v>
      </c>
      <c r="J83" s="953"/>
      <c r="K83" s="953"/>
      <c r="L83" s="954"/>
    </row>
    <row r="84" spans="1:12" x14ac:dyDescent="0.25">
      <c r="A84" s="13" t="str">
        <f>'DICTIONARY-2'!$A$2</f>
        <v>DN</v>
      </c>
      <c r="B84" s="13" t="str">
        <f>'DICTIONARY-2'!$A$3</f>
        <v>PN</v>
      </c>
      <c r="C84" s="13" t="str">
        <f>'DICTIONARY-2'!$A$24</f>
        <v>L</v>
      </c>
      <c r="D84" s="949" t="str">
        <f>'DICTIONARY-3'!$A$2</f>
        <v>EKOplus</v>
      </c>
      <c r="E84" s="949"/>
      <c r="F84" s="949"/>
      <c r="G84" s="949"/>
      <c r="I84" s="950" t="str">
        <f>'DICTIONARY-4'!$A$23</f>
        <v>Kółko ręczne</v>
      </c>
      <c r="J84" s="951"/>
      <c r="K84" s="951"/>
      <c r="L84" s="952"/>
    </row>
    <row r="85" spans="1:12" x14ac:dyDescent="0.25">
      <c r="A85" s="514"/>
      <c r="B85" s="514"/>
      <c r="C85" s="514"/>
      <c r="D85" s="948" t="str">
        <f>'DICTIONARY-5'!$A$73&amp;", "&amp;'DICTIONARY-5'!$A$43&amp;": "&amp;'DICTIONARY-5'!$A$44</f>
        <v>kołnierze przesuwne, guma: EPDM</v>
      </c>
      <c r="E85" s="948"/>
      <c r="F85" s="948"/>
      <c r="G85" s="948"/>
      <c r="I85" s="939"/>
      <c r="J85" s="940"/>
      <c r="K85" s="940"/>
      <c r="L85" s="941"/>
    </row>
    <row r="86" spans="1:12" x14ac:dyDescent="0.25">
      <c r="A86" s="15"/>
      <c r="B86" s="15"/>
      <c r="C86" s="15" t="str">
        <f>'DICTIONARY-2'!$A$18</f>
        <v>[mm]</v>
      </c>
      <c r="D86" s="16" t="str">
        <f>'DICTIONARY-2'!$A$28</f>
        <v>stary nr zamówienia</v>
      </c>
      <c r="E86" s="16" t="str">
        <f>'DICTIONARY-2'!$A$29</f>
        <v>nowy nr zamówienia</v>
      </c>
      <c r="F86" s="17" t="str">
        <f>CURRENCY.CODE_1</f>
        <v>EUR</v>
      </c>
      <c r="G86" s="17" t="str">
        <f>CURRENCY.CODE_2</f>
        <v>---</v>
      </c>
      <c r="I86" s="165" t="str">
        <f>'DICTIONARY-2'!$A$28</f>
        <v>stary nr zamówienia</v>
      </c>
      <c r="J86" s="165" t="str">
        <f>'DICTIONARY-2'!$A$29</f>
        <v>nowy nr zamówienia</v>
      </c>
      <c r="K86" s="166" t="str">
        <f>CURRENCY.CODE_1</f>
        <v>EUR</v>
      </c>
      <c r="L86" s="166" t="str">
        <f>CURRENCY.CODE_2</f>
        <v>---</v>
      </c>
    </row>
    <row r="87" spans="1:12" x14ac:dyDescent="0.25">
      <c r="A87" s="18">
        <v>80</v>
      </c>
      <c r="B87" s="18">
        <v>16</v>
      </c>
      <c r="C87" s="18" t="s">
        <v>290</v>
      </c>
      <c r="D87" s="18" t="s">
        <v>291</v>
      </c>
      <c r="E87" s="336" t="s">
        <v>3416</v>
      </c>
      <c r="F87" s="339" t="str">
        <f>IFERROR(IF(OR(E87='DICTIONARY-5'!$A$2,E87='DICTIONARY-5'!$A$4,ISBLANK(E87)),VLOOKUP(D87,LIST!$A$6:$L$3250,CURR_1.SEARCH.OLD,0),VLOOKUP(E87,LIST!$B$6:$L$3250,CURR_1.SEARCH.NEW,0)),'DICTIONARY-5'!$A$2)</f>
        <v>444,-</v>
      </c>
      <c r="G87" s="339" t="str">
        <f>IFERROR(IF(OR(E87='DICTIONARY-5'!$A$2,E87='DICTIONARY-5'!$A$4,ISBLANK(E87)),VLOOKUP(D87,LIST!$A$6:$M$3250,CURR_2.SEARCH.OLD,0),VLOOKUP(E87,LIST!$B$6:$M$3250,CURR_2.SEARCH.NEW,0)),'DICTIONARY-5'!$A$2)</f>
        <v/>
      </c>
      <c r="I87" s="139" t="s">
        <v>88</v>
      </c>
      <c r="J87" s="334" t="s">
        <v>2893</v>
      </c>
      <c r="K87" s="339" t="str">
        <f>IFERROR(IF(OR(J87='DICTIONARY-5'!$A$2,J87='DICTIONARY-5'!$A$4,ISBLANK(J87)),VLOOKUP(I87,LIST!$A$6:$L$3250,CURR_1.SEARCH.OLD,0),VLOOKUP(J87,LIST!$B$6:$L$3250,CURR_1.SEARCH.NEW,0)),'DICTIONARY-5'!$A$2)</f>
        <v>15,-</v>
      </c>
      <c r="L87" s="339" t="str">
        <f>IFERROR(IF(OR(J87='DICTIONARY-5'!$A$2,J87='DICTIONARY-5'!$A$4,ISBLANK(J87)),VLOOKUP(I87,LIST!$A$6:$M$3250,CURR_2.SEARCH.OLD,0),VLOOKUP(J87,LIST!$B$6:$M$3250,CURR_2.SEARCH.NEW,0)),'DICTIONARY-5'!$A$2)</f>
        <v/>
      </c>
    </row>
    <row r="88" spans="1:12" x14ac:dyDescent="0.25">
      <c r="A88" s="18">
        <v>100</v>
      </c>
      <c r="B88" s="18">
        <v>16</v>
      </c>
      <c r="C88" s="18" t="s">
        <v>292</v>
      </c>
      <c r="D88" s="18" t="s">
        <v>293</v>
      </c>
      <c r="E88" s="336" t="s">
        <v>3418</v>
      </c>
      <c r="F88" s="339" t="str">
        <f>IFERROR(IF(OR(E88='DICTIONARY-5'!$A$2,E88='DICTIONARY-5'!$A$4,ISBLANK(E88)),VLOOKUP(D88,LIST!$A$6:$L$3250,CURR_1.SEARCH.OLD,0),VLOOKUP(E88,LIST!$B$6:$L$3250,CURR_1.SEARCH.NEW,0)),'DICTIONARY-5'!$A$2)</f>
        <v>504,-</v>
      </c>
      <c r="G88" s="339" t="str">
        <f>IFERROR(IF(OR(E88='DICTIONARY-5'!$A$2,E88='DICTIONARY-5'!$A$4,ISBLANK(E88)),VLOOKUP(D88,LIST!$A$6:$M$3250,CURR_2.SEARCH.OLD,0),VLOOKUP(E88,LIST!$B$6:$M$3250,CURR_2.SEARCH.NEW,0)),'DICTIONARY-5'!$A$2)</f>
        <v/>
      </c>
      <c r="I88" s="139" t="s">
        <v>91</v>
      </c>
      <c r="J88" s="334" t="s">
        <v>2894</v>
      </c>
      <c r="K88" s="339" t="str">
        <f>IFERROR(IF(OR(J88='DICTIONARY-5'!$A$2,J88='DICTIONARY-5'!$A$4,ISBLANK(J88)),VLOOKUP(I88,LIST!$A$6:$L$3250,CURR_1.SEARCH.OLD,0),VLOOKUP(J88,LIST!$B$6:$L$3250,CURR_1.SEARCH.NEW,0)),'DICTIONARY-5'!$A$2)</f>
        <v>20,-</v>
      </c>
      <c r="L88" s="339" t="str">
        <f>IFERROR(IF(OR(J88='DICTIONARY-5'!$A$2,J88='DICTIONARY-5'!$A$4,ISBLANK(J88)),VLOOKUP(I88,LIST!$A$6:$M$3250,CURR_2.SEARCH.OLD,0),VLOOKUP(J88,LIST!$B$6:$M$3250,CURR_2.SEARCH.NEW,0)),'DICTIONARY-5'!$A$2)</f>
        <v/>
      </c>
    </row>
    <row r="89" spans="1:12" x14ac:dyDescent="0.25">
      <c r="A89" s="18">
        <v>150</v>
      </c>
      <c r="B89" s="18">
        <v>16</v>
      </c>
      <c r="C89" s="18" t="s">
        <v>294</v>
      </c>
      <c r="D89" s="18" t="s">
        <v>295</v>
      </c>
      <c r="E89" s="336" t="s">
        <v>3420</v>
      </c>
      <c r="F89" s="339" t="str">
        <f>IFERROR(IF(OR(E89='DICTIONARY-5'!$A$2,E89='DICTIONARY-5'!$A$4,ISBLANK(E89)),VLOOKUP(D89,LIST!$A$6:$L$3250,CURR_1.SEARCH.OLD,0),VLOOKUP(E89,LIST!$B$6:$L$3250,CURR_1.SEARCH.NEW,0)),'DICTIONARY-5'!$A$2)</f>
        <v>704,-</v>
      </c>
      <c r="G89" s="339" t="str">
        <f>IFERROR(IF(OR(E89='DICTIONARY-5'!$A$2,E89='DICTIONARY-5'!$A$4,ISBLANK(E89)),VLOOKUP(D89,LIST!$A$6:$M$3250,CURR_2.SEARCH.OLD,0),VLOOKUP(E89,LIST!$B$6:$M$3250,CURR_2.SEARCH.NEW,0)),'DICTIONARY-5'!$A$2)</f>
        <v/>
      </c>
      <c r="I89" s="139" t="s">
        <v>91</v>
      </c>
      <c r="J89" s="334" t="s">
        <v>2894</v>
      </c>
      <c r="K89" s="339" t="str">
        <f>IFERROR(IF(OR(J89='DICTIONARY-5'!$A$2,J89='DICTIONARY-5'!$A$4,ISBLANK(J89)),VLOOKUP(I89,LIST!$A$6:$L$3250,CURR_1.SEARCH.OLD,0),VLOOKUP(J89,LIST!$B$6:$L$3250,CURR_1.SEARCH.NEW,0)),'DICTIONARY-5'!$A$2)</f>
        <v>20,-</v>
      </c>
      <c r="L89" s="339" t="str">
        <f>IFERROR(IF(OR(J89='DICTIONARY-5'!$A$2,J89='DICTIONARY-5'!$A$4,ISBLANK(J89)),VLOOKUP(I89,LIST!$A$6:$M$3250,CURR_2.SEARCH.OLD,0),VLOOKUP(J89,LIST!$B$6:$M$3250,CURR_2.SEARCH.NEW,0)),'DICTIONARY-5'!$A$2)</f>
        <v/>
      </c>
    </row>
    <row r="90" spans="1:12" x14ac:dyDescent="0.25">
      <c r="A90" s="18">
        <v>200</v>
      </c>
      <c r="B90" s="18">
        <v>16</v>
      </c>
      <c r="C90" s="18" t="s">
        <v>296</v>
      </c>
      <c r="D90" s="18" t="s">
        <v>297</v>
      </c>
      <c r="E90" s="336" t="s">
        <v>3422</v>
      </c>
      <c r="F90" s="339" t="str">
        <f>IFERROR(IF(OR(E90='DICTIONARY-5'!$A$2,E90='DICTIONARY-5'!$A$4,ISBLANK(E90)),VLOOKUP(D90,LIST!$A$6:$L$3250,CURR_1.SEARCH.OLD,0),VLOOKUP(E90,LIST!$B$6:$L$3250,CURR_1.SEARCH.NEW,0)),'DICTIONARY-5'!$A$2)</f>
        <v>1 072,-</v>
      </c>
      <c r="G90" s="339" t="str">
        <f>IFERROR(IF(OR(E90='DICTIONARY-5'!$A$2,E90='DICTIONARY-5'!$A$4,ISBLANK(E90)),VLOOKUP(D90,LIST!$A$6:$M$3250,CURR_2.SEARCH.OLD,0),VLOOKUP(E90,LIST!$B$6:$M$3250,CURR_2.SEARCH.NEW,0)),'DICTIONARY-5'!$A$2)</f>
        <v/>
      </c>
      <c r="I90" s="139" t="s">
        <v>98</v>
      </c>
      <c r="J90" s="334" t="s">
        <v>2895</v>
      </c>
      <c r="K90" s="339" t="str">
        <f>IFERROR(IF(OR(J90='DICTIONARY-5'!$A$2,J90='DICTIONARY-5'!$A$4,ISBLANK(J90)),VLOOKUP(I90,LIST!$A$6:$L$3250,CURR_1.SEARCH.OLD,0),VLOOKUP(J90,LIST!$B$6:$L$3250,CURR_1.SEARCH.NEW,0)),'DICTIONARY-5'!$A$2)</f>
        <v>35,-</v>
      </c>
      <c r="L90" s="339" t="str">
        <f>IFERROR(IF(OR(J90='DICTIONARY-5'!$A$2,J90='DICTIONARY-5'!$A$4,ISBLANK(J90)),VLOOKUP(I90,LIST!$A$6:$M$3250,CURR_2.SEARCH.OLD,0),VLOOKUP(J90,LIST!$B$6:$M$3250,CURR_2.SEARCH.NEW,0)),'DICTIONARY-5'!$A$2)</f>
        <v/>
      </c>
    </row>
  </sheetData>
  <sheetProtection algorithmName="SHA-512" hashValue="CvvxDb1Ar1lrKfbx9msNVlQMgKhUCcpzFPic8vzpsjgnHx0Fu1REAcqCmSvA4jSRwRvLFsGYDRkEHPxA1QJ7jw==" saltValue="XKWSrTZSUfjjUMvQKgvN6g==" spinCount="100000" sheet="1" objects="1" scenarios="1" autoFilter="0"/>
  <mergeCells count="23">
    <mergeCell ref="B4:E4"/>
    <mergeCell ref="D42:G42"/>
    <mergeCell ref="I42:L42"/>
    <mergeCell ref="I63:L63"/>
    <mergeCell ref="I64:L64"/>
    <mergeCell ref="N9:Q9"/>
    <mergeCell ref="D11:G11"/>
    <mergeCell ref="I11:L11"/>
    <mergeCell ref="N11:Q11"/>
    <mergeCell ref="I41:L41"/>
    <mergeCell ref="D10:G10"/>
    <mergeCell ref="I10:L10"/>
    <mergeCell ref="N10:Q10"/>
    <mergeCell ref="I83:L83"/>
    <mergeCell ref="D85:G85"/>
    <mergeCell ref="I65:L65"/>
    <mergeCell ref="I85:L85"/>
    <mergeCell ref="I43:L43"/>
    <mergeCell ref="D84:G84"/>
    <mergeCell ref="I84:L84"/>
    <mergeCell ref="D43:G43"/>
    <mergeCell ref="D65:G65"/>
    <mergeCell ref="D64:G6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">
    <tabColor rgb="FFFFC000"/>
  </sheetPr>
  <dimension ref="A1:S98"/>
  <sheetViews>
    <sheetView workbookViewId="0"/>
  </sheetViews>
  <sheetFormatPr defaultColWidth="9.140625" defaultRowHeight="15" x14ac:dyDescent="0.25"/>
  <cols>
    <col min="1" max="3" width="9.140625" style="6"/>
    <col min="4" max="5" width="22.140625" style="6" customWidth="1"/>
    <col min="6" max="7" width="12.85546875" style="6" customWidth="1"/>
    <col min="8" max="8" width="9.140625" style="6"/>
    <col min="9" max="10" width="22.140625" style="6" customWidth="1"/>
    <col min="11" max="12" width="12.85546875" style="6" customWidth="1"/>
    <col min="13" max="16384" width="9.140625" style="6"/>
  </cols>
  <sheetData>
    <row r="1" spans="1:14" s="383" customFormat="1" ht="45" customHeight="1" thickBot="1" x14ac:dyDescent="0.3">
      <c r="A1" s="381"/>
      <c r="B1" s="381"/>
      <c r="C1" s="381"/>
      <c r="D1" s="381"/>
      <c r="E1" s="381"/>
    </row>
    <row r="2" spans="1:14" s="485" customFormat="1" ht="4.5" customHeight="1" x14ac:dyDescent="0.25">
      <c r="A2" s="484"/>
    </row>
    <row r="3" spans="1:14" ht="15.75" thickBot="1" x14ac:dyDescent="0.3">
      <c r="A3" s="7"/>
      <c r="B3" s="8"/>
      <c r="C3" s="8"/>
    </row>
    <row r="4" spans="1:14" ht="15.75" thickBot="1" x14ac:dyDescent="0.3">
      <c r="A4" s="828">
        <f>ADD.DISCOUNT</f>
        <v>0</v>
      </c>
      <c r="B4" s="933" t="str">
        <f>HYPERLINK("#'LIST'!ADD.DISCOUNT","» "&amp;'DICTIONARY-1'!$A$5)</f>
        <v>» Ustaw globalny dodatkowy rabat</v>
      </c>
      <c r="C4" s="946"/>
      <c r="D4" s="946"/>
      <c r="E4" s="947"/>
    </row>
    <row r="5" spans="1:14" x14ac:dyDescent="0.25">
      <c r="A5" s="7"/>
      <c r="B5" s="8"/>
      <c r="C5" s="8"/>
    </row>
    <row r="6" spans="1:14" ht="16.5" thickBot="1" x14ac:dyDescent="0.3">
      <c r="A6" s="81" t="str">
        <f>CONCATENATE('DICTIONARY-3'!$A$2," ",'DICTIONARY-3'!$A$187," / ",'DICTIONARY-3'!$A$248)</f>
        <v>EKOplus Zasuwa klinowa / Przygotowana pod napęd elektryczny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</row>
    <row r="7" spans="1:14" x14ac:dyDescent="0.25">
      <c r="A7" s="9" t="str">
        <f>CONCATENATE('DICTIONARY-2'!$A$12," ",'DICTIONARY-5'!$A$9)</f>
        <v>Długość zabudowy EN 558</v>
      </c>
      <c r="B7" s="10"/>
      <c r="C7" s="10"/>
      <c r="D7" s="10"/>
      <c r="E7" s="10"/>
      <c r="F7" s="11"/>
      <c r="G7" s="11"/>
      <c r="H7" s="11"/>
      <c r="I7" s="10"/>
      <c r="J7" s="10"/>
      <c r="K7" s="11"/>
      <c r="L7" s="11"/>
    </row>
    <row r="8" spans="1:14" x14ac:dyDescent="0.25">
      <c r="A8" s="9" t="str">
        <f>CONCATENATE('DICTIONARY-1'!$A$10,": ",SETTINGS!$C$12)</f>
        <v>Grupa rabatowa: EKOplus</v>
      </c>
      <c r="B8" s="10"/>
      <c r="C8" s="10"/>
      <c r="D8" s="10"/>
      <c r="E8" s="10"/>
      <c r="F8" s="11"/>
      <c r="G8" s="11"/>
      <c r="H8" s="11"/>
      <c r="I8" s="10"/>
      <c r="J8" s="10"/>
      <c r="K8" s="11"/>
      <c r="L8" s="11"/>
    </row>
    <row r="9" spans="1:14" x14ac:dyDescent="0.25">
      <c r="A9" s="12"/>
      <c r="B9" s="10"/>
      <c r="C9" s="10"/>
      <c r="D9" s="10"/>
      <c r="E9" s="10"/>
      <c r="F9" s="11"/>
      <c r="G9" s="11"/>
      <c r="H9" s="11"/>
      <c r="I9" s="10"/>
      <c r="J9" s="10"/>
      <c r="K9" s="11"/>
      <c r="L9" s="11"/>
    </row>
    <row r="10" spans="1:14" x14ac:dyDescent="0.25">
      <c r="A10" s="13" t="str">
        <f>'DICTIONARY-2'!$A$2</f>
        <v>DN</v>
      </c>
      <c r="B10" s="13" t="str">
        <f>'DICTIONARY-2'!$A$3</f>
        <v>PN</v>
      </c>
      <c r="C10" s="13" t="str">
        <f>'DICTIONARY-2'!$A$24</f>
        <v>L</v>
      </c>
      <c r="D10" s="949" t="str">
        <f>'DICTIONARY-3'!$A$2</f>
        <v>EKOplus</v>
      </c>
      <c r="E10" s="949"/>
      <c r="F10" s="949"/>
      <c r="G10" s="949"/>
      <c r="H10" s="13" t="str">
        <f>'DICTIONARY-2'!$A$24</f>
        <v>L</v>
      </c>
      <c r="I10" s="949" t="str">
        <f>'DICTIONARY-3'!$A$2</f>
        <v>EKOplus</v>
      </c>
      <c r="J10" s="949"/>
      <c r="K10" s="949"/>
      <c r="L10" s="949"/>
    </row>
    <row r="11" spans="1:14" x14ac:dyDescent="0.25">
      <c r="A11" s="514"/>
      <c r="B11" s="514"/>
      <c r="C11" s="514"/>
      <c r="D11" s="948" t="str">
        <f>CONCATENATE('DICTIONARY-5'!$A$66," (",'DICTIONARY-5'!$A$10," 14), ",'DICTIONARY-5'!$A$43&amp;": "&amp;'DICTIONARY-5'!$A$44)</f>
        <v>budowa krótka (szereg 14), guma: EPDM</v>
      </c>
      <c r="E11" s="948"/>
      <c r="F11" s="948"/>
      <c r="G11" s="948"/>
      <c r="H11" s="514"/>
      <c r="I11" s="948" t="str">
        <f>CONCATENATE('DICTIONARY-5'!$A$67," (",'DICTIONARY-5'!$A$10," 15), ",'DICTIONARY-5'!$A$43&amp;": "&amp;'DICTIONARY-5'!$A$44)</f>
        <v>budowa długa (szereg 15), guma: EPDM</v>
      </c>
      <c r="J11" s="948"/>
      <c r="K11" s="948"/>
      <c r="L11" s="948"/>
    </row>
    <row r="12" spans="1:14" x14ac:dyDescent="0.25">
      <c r="A12" s="15"/>
      <c r="B12" s="15"/>
      <c r="C12" s="15" t="str">
        <f>'DICTIONARY-2'!$A$18</f>
        <v>[mm]</v>
      </c>
      <c r="D12" s="16" t="str">
        <f>'DICTIONARY-2'!$A$28</f>
        <v>stary nr zamówienia</v>
      </c>
      <c r="E12" s="16" t="str">
        <f>'DICTIONARY-2'!$A$29</f>
        <v>nowy nr zamówienia</v>
      </c>
      <c r="F12" s="17" t="str">
        <f>CURRENCY.CODE_1</f>
        <v>EUR</v>
      </c>
      <c r="G12" s="17" t="str">
        <f>CURRENCY.CODE_2</f>
        <v>---</v>
      </c>
      <c r="H12" s="15" t="str">
        <f>'DICTIONARY-2'!$A$18</f>
        <v>[mm]</v>
      </c>
      <c r="I12" s="16" t="str">
        <f>'DICTIONARY-2'!$A$28</f>
        <v>stary nr zamówienia</v>
      </c>
      <c r="J12" s="16" t="str">
        <f>'DICTIONARY-2'!$A$29</f>
        <v>nowy nr zamówienia</v>
      </c>
      <c r="K12" s="17" t="str">
        <f>CURRENCY.CODE_1</f>
        <v>EUR</v>
      </c>
      <c r="L12" s="17" t="str">
        <f>CURRENCY.CODE_2</f>
        <v>---</v>
      </c>
    </row>
    <row r="13" spans="1:14" x14ac:dyDescent="0.25">
      <c r="A13" s="18">
        <v>40</v>
      </c>
      <c r="B13" s="18" t="s">
        <v>85</v>
      </c>
      <c r="C13" s="18">
        <v>140</v>
      </c>
      <c r="D13" s="18" t="s">
        <v>176</v>
      </c>
      <c r="E13" s="334" t="s">
        <v>3081</v>
      </c>
      <c r="F13" s="339" t="str">
        <f>IFERROR(IF(OR(E13='DICTIONARY-5'!$A$2,E13='DICTIONARY-5'!$A$4,ISBLANK(E13)),VLOOKUP(D13,LIST!$A$6:$L$3250,CURR_1.SEARCH.OLD,0),VLOOKUP(E13,LIST!$B$6:$L$3250,CURR_1.SEARCH.NEW,0)),'DICTIONARY-5'!$A$2)</f>
        <v>239,-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18">
        <v>240</v>
      </c>
      <c r="I13" s="18" t="s">
        <v>177</v>
      </c>
      <c r="J13" s="334" t="s">
        <v>3071</v>
      </c>
      <c r="K13" s="339" t="str">
        <f>IFERROR(IF(OR(J13='DICTIONARY-5'!$A$2,J13='DICTIONARY-5'!$A$4,ISBLANK(J13)),VLOOKUP(I13,LIST!$A$6:$L$3250,CURR_1.SEARCH.OLD,0),VLOOKUP(J13,LIST!$B$6:$L$3250,CURR_1.SEARCH.NEW,0)),'DICTIONARY-5'!$A$2)</f>
        <v>247,-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  <c r="N13" s="340"/>
    </row>
    <row r="14" spans="1:14" x14ac:dyDescent="0.25">
      <c r="A14" s="18">
        <v>50</v>
      </c>
      <c r="B14" s="18" t="s">
        <v>85</v>
      </c>
      <c r="C14" s="18">
        <v>150</v>
      </c>
      <c r="D14" s="18" t="s">
        <v>178</v>
      </c>
      <c r="E14" s="334" t="s">
        <v>3082</v>
      </c>
      <c r="F14" s="339" t="str">
        <f>IFERROR(IF(OR(E14='DICTIONARY-5'!$A$2,E14='DICTIONARY-5'!$A$4,ISBLANK(E14)),VLOOKUP(D14,LIST!$A$6:$L$3250,CURR_1.SEARCH.OLD,0),VLOOKUP(E14,LIST!$B$6:$L$3250,CURR_1.SEARCH.NEW,0)),'DICTIONARY-5'!$A$2)</f>
        <v>244,-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8">
        <v>250</v>
      </c>
      <c r="I14" s="18" t="s">
        <v>179</v>
      </c>
      <c r="J14" s="334" t="s">
        <v>3072</v>
      </c>
      <c r="K14" s="339" t="str">
        <f>IFERROR(IF(OR(J14='DICTIONARY-5'!$A$2,J14='DICTIONARY-5'!$A$4,ISBLANK(J14)),VLOOKUP(I14,LIST!$A$6:$L$3250,CURR_1.SEARCH.OLD,0),VLOOKUP(J14,LIST!$B$6:$L$3250,CURR_1.SEARCH.NEW,0)),'DICTIONARY-5'!$A$2)</f>
        <v>261,-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  <c r="N14" s="21"/>
    </row>
    <row r="15" spans="1:14" x14ac:dyDescent="0.25">
      <c r="A15" s="18">
        <v>65</v>
      </c>
      <c r="B15" s="18" t="s">
        <v>85</v>
      </c>
      <c r="C15" s="18">
        <v>170</v>
      </c>
      <c r="D15" s="18" t="s">
        <v>180</v>
      </c>
      <c r="E15" s="334" t="s">
        <v>3083</v>
      </c>
      <c r="F15" s="339" t="str">
        <f>IFERROR(IF(OR(E15='DICTIONARY-5'!$A$2,E15='DICTIONARY-5'!$A$4,ISBLANK(E15)),VLOOKUP(D15,LIST!$A$6:$L$3250,CURR_1.SEARCH.OLD,0),VLOOKUP(E15,LIST!$B$6:$L$3250,CURR_1.SEARCH.NEW,0)),'DICTIONARY-5'!$A$2)</f>
        <v>299,-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8">
        <v>270</v>
      </c>
      <c r="I15" s="18" t="s">
        <v>181</v>
      </c>
      <c r="J15" s="334" t="s">
        <v>3073</v>
      </c>
      <c r="K15" s="339" t="str">
        <f>IFERROR(IF(OR(J15='DICTIONARY-5'!$A$2,J15='DICTIONARY-5'!$A$4,ISBLANK(J15)),VLOOKUP(I15,LIST!$A$6:$L$3250,CURR_1.SEARCH.OLD,0),VLOOKUP(J15,LIST!$B$6:$L$3250,CURR_1.SEARCH.NEW,0)),'DICTIONARY-5'!$A$2)</f>
        <v>310,-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  <c r="N15" s="21"/>
    </row>
    <row r="16" spans="1:14" x14ac:dyDescent="0.25">
      <c r="A16" s="18">
        <v>80</v>
      </c>
      <c r="B16" s="18" t="s">
        <v>85</v>
      </c>
      <c r="C16" s="18">
        <v>180</v>
      </c>
      <c r="D16" s="18" t="s">
        <v>182</v>
      </c>
      <c r="E16" s="334" t="s">
        <v>3084</v>
      </c>
      <c r="F16" s="339" t="str">
        <f>IFERROR(IF(OR(E16='DICTIONARY-5'!$A$2,E16='DICTIONARY-5'!$A$4,ISBLANK(E16)),VLOOKUP(D16,LIST!$A$6:$L$3250,CURR_1.SEARCH.OLD,0),VLOOKUP(E16,LIST!$B$6:$L$3250,CURR_1.SEARCH.NEW,0)),'DICTIONARY-5'!$A$2)</f>
        <v>300,-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8">
        <v>280</v>
      </c>
      <c r="I16" s="18" t="s">
        <v>183</v>
      </c>
      <c r="J16" s="334" t="s">
        <v>3074</v>
      </c>
      <c r="K16" s="339" t="str">
        <f>IFERROR(IF(OR(J16='DICTIONARY-5'!$A$2,J16='DICTIONARY-5'!$A$4,ISBLANK(J16)),VLOOKUP(I16,LIST!$A$6:$L$3250,CURR_1.SEARCH.OLD,0),VLOOKUP(J16,LIST!$B$6:$L$3250,CURR_1.SEARCH.NEW,0)),'DICTIONARY-5'!$A$2)</f>
        <v>311,-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  <c r="N16" s="21"/>
    </row>
    <row r="17" spans="1:14" x14ac:dyDescent="0.25">
      <c r="A17" s="18">
        <v>100</v>
      </c>
      <c r="B17" s="18" t="s">
        <v>85</v>
      </c>
      <c r="C17" s="18">
        <v>190</v>
      </c>
      <c r="D17" s="18" t="s">
        <v>184</v>
      </c>
      <c r="E17" s="334" t="s">
        <v>3085</v>
      </c>
      <c r="F17" s="339" t="str">
        <f>IFERROR(IF(OR(E17='DICTIONARY-5'!$A$2,E17='DICTIONARY-5'!$A$4,ISBLANK(E17)),VLOOKUP(D17,LIST!$A$6:$L$3250,CURR_1.SEARCH.OLD,0),VLOOKUP(E17,LIST!$B$6:$L$3250,CURR_1.SEARCH.NEW,0)),'DICTIONARY-5'!$A$2)</f>
        <v>322,-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18">
        <v>300</v>
      </c>
      <c r="I17" s="18" t="s">
        <v>185</v>
      </c>
      <c r="J17" s="334" t="s">
        <v>3075</v>
      </c>
      <c r="K17" s="339" t="str">
        <f>IFERROR(IF(OR(J17='DICTIONARY-5'!$A$2,J17='DICTIONARY-5'!$A$4,ISBLANK(J17)),VLOOKUP(I17,LIST!$A$6:$L$3250,CURR_1.SEARCH.OLD,0),VLOOKUP(J17,LIST!$B$6:$L$3250,CURR_1.SEARCH.NEW,0)),'DICTIONARY-5'!$A$2)</f>
        <v>343,-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  <c r="N17" s="21"/>
    </row>
    <row r="18" spans="1:14" x14ac:dyDescent="0.25">
      <c r="A18" s="18">
        <v>125</v>
      </c>
      <c r="B18" s="18" t="s">
        <v>85</v>
      </c>
      <c r="C18" s="18">
        <v>200</v>
      </c>
      <c r="D18" s="18" t="s">
        <v>186</v>
      </c>
      <c r="E18" s="334" t="s">
        <v>3086</v>
      </c>
      <c r="F18" s="339" t="str">
        <f>IFERROR(IF(OR(E18='DICTIONARY-5'!$A$2,E18='DICTIONARY-5'!$A$4,ISBLANK(E18)),VLOOKUP(D18,LIST!$A$6:$L$3250,CURR_1.SEARCH.OLD,0),VLOOKUP(E18,LIST!$B$6:$L$3250,CURR_1.SEARCH.NEW,0)),'DICTIONARY-5'!$A$2)</f>
        <v>388,-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18">
        <v>325</v>
      </c>
      <c r="I18" s="18" t="s">
        <v>187</v>
      </c>
      <c r="J18" s="334" t="s">
        <v>3076</v>
      </c>
      <c r="K18" s="339" t="str">
        <f>IFERROR(IF(OR(J18='DICTIONARY-5'!$A$2,J18='DICTIONARY-5'!$A$4,ISBLANK(J18)),VLOOKUP(I18,LIST!$A$6:$L$3250,CURR_1.SEARCH.OLD,0),VLOOKUP(J18,LIST!$B$6:$L$3250,CURR_1.SEARCH.NEW,0)),'DICTIONARY-5'!$A$2)</f>
        <v>450,-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  <c r="N18" s="21"/>
    </row>
    <row r="19" spans="1:14" x14ac:dyDescent="0.25">
      <c r="A19" s="18">
        <v>150</v>
      </c>
      <c r="B19" s="18" t="s">
        <v>85</v>
      </c>
      <c r="C19" s="18">
        <v>210</v>
      </c>
      <c r="D19" s="18" t="s">
        <v>188</v>
      </c>
      <c r="E19" s="334" t="s">
        <v>3087</v>
      </c>
      <c r="F19" s="339" t="str">
        <f>IFERROR(IF(OR(E19='DICTIONARY-5'!$A$2,E19='DICTIONARY-5'!$A$4,ISBLANK(E19)),VLOOKUP(D19,LIST!$A$6:$L$3250,CURR_1.SEARCH.OLD,0),VLOOKUP(E19,LIST!$B$6:$L$3250,CURR_1.SEARCH.NEW,0)),'DICTIONARY-5'!$A$2)</f>
        <v>412,-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18">
        <v>350</v>
      </c>
      <c r="I19" s="18" t="s">
        <v>189</v>
      </c>
      <c r="J19" s="334" t="s">
        <v>3077</v>
      </c>
      <c r="K19" s="339" t="str">
        <f>IFERROR(IF(OR(J19='DICTIONARY-5'!$A$2,J19='DICTIONARY-5'!$A$4,ISBLANK(J19)),VLOOKUP(I19,LIST!$A$6:$L$3250,CURR_1.SEARCH.OLD,0),VLOOKUP(J19,LIST!$B$6:$L$3250,CURR_1.SEARCH.NEW,0)),'DICTIONARY-5'!$A$2)</f>
        <v>470,-</v>
      </c>
      <c r="L19" s="339" t="str">
        <f>IFERROR(IF(OR(J19='DICTIONARY-5'!$A$2,J19='DICTIONARY-5'!$A$4,ISBLANK(J19)),VLOOKUP(I19,LIST!$A$6:$M$3250,CURR_2.SEARCH.OLD,0),VLOOKUP(J19,LIST!$B$6:$M$3250,CURR_2.SEARCH.NEW,0)),'DICTIONARY-5'!$A$2)</f>
        <v/>
      </c>
      <c r="N19" s="21"/>
    </row>
    <row r="20" spans="1:14" x14ac:dyDescent="0.25">
      <c r="A20" s="18">
        <v>200</v>
      </c>
      <c r="B20" s="18">
        <v>10</v>
      </c>
      <c r="C20" s="18">
        <v>230</v>
      </c>
      <c r="D20" s="18" t="s">
        <v>190</v>
      </c>
      <c r="E20" s="334" t="s">
        <v>3065</v>
      </c>
      <c r="F20" s="339" t="str">
        <f>IFERROR(IF(OR(E20='DICTIONARY-5'!$A$2,E20='DICTIONARY-5'!$A$4,ISBLANK(E20)),VLOOKUP(D20,LIST!$A$6:$L$3250,CURR_1.SEARCH.OLD,0),VLOOKUP(E20,LIST!$B$6:$L$3250,CURR_1.SEARCH.NEW,0)),'DICTIONARY-5'!$A$2)</f>
        <v>827,-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18">
        <v>400</v>
      </c>
      <c r="I20" s="18" t="s">
        <v>191</v>
      </c>
      <c r="J20" s="334" t="s">
        <v>3068</v>
      </c>
      <c r="K20" s="339" t="str">
        <f>IFERROR(IF(OR(J20='DICTIONARY-5'!$A$2,J20='DICTIONARY-5'!$A$4,ISBLANK(J20)),VLOOKUP(I20,LIST!$A$6:$L$3250,CURR_1.SEARCH.OLD,0),VLOOKUP(J20,LIST!$B$6:$L$3250,CURR_1.SEARCH.NEW,0)),'DICTIONARY-5'!$A$2)</f>
        <v>925,-</v>
      </c>
      <c r="L20" s="339" t="str">
        <f>IFERROR(IF(OR(J20='DICTIONARY-5'!$A$2,J20='DICTIONARY-5'!$A$4,ISBLANK(J20)),VLOOKUP(I20,LIST!$A$6:$M$3250,CURR_2.SEARCH.OLD,0),VLOOKUP(J20,LIST!$B$6:$M$3250,CURR_2.SEARCH.NEW,0)),'DICTIONARY-5'!$A$2)</f>
        <v/>
      </c>
      <c r="N20" s="21"/>
    </row>
    <row r="21" spans="1:14" x14ac:dyDescent="0.25">
      <c r="A21" s="18">
        <v>200</v>
      </c>
      <c r="B21" s="18">
        <v>16</v>
      </c>
      <c r="C21" s="18">
        <v>230</v>
      </c>
      <c r="D21" s="18" t="s">
        <v>192</v>
      </c>
      <c r="E21" s="334" t="s">
        <v>3088</v>
      </c>
      <c r="F21" s="339" t="str">
        <f>IFERROR(IF(OR(E21='DICTIONARY-5'!$A$2,E21='DICTIONARY-5'!$A$4,ISBLANK(E21)),VLOOKUP(D21,LIST!$A$6:$L$3250,CURR_1.SEARCH.OLD,0),VLOOKUP(E21,LIST!$B$6:$L$3250,CURR_1.SEARCH.NEW,0)),'DICTIONARY-5'!$A$2)</f>
        <v>831,-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18">
        <v>400</v>
      </c>
      <c r="I21" s="18" t="s">
        <v>193</v>
      </c>
      <c r="J21" s="334" t="s">
        <v>3078</v>
      </c>
      <c r="K21" s="339" t="str">
        <f>IFERROR(IF(OR(J21='DICTIONARY-5'!$A$2,J21='DICTIONARY-5'!$A$4,ISBLANK(J21)),VLOOKUP(I21,LIST!$A$6:$L$3250,CURR_1.SEARCH.OLD,0),VLOOKUP(J21,LIST!$B$6:$L$3250,CURR_1.SEARCH.NEW,0)),'DICTIONARY-5'!$A$2)</f>
        <v>934,-</v>
      </c>
      <c r="L21" s="339" t="str">
        <f>IFERROR(IF(OR(J21='DICTIONARY-5'!$A$2,J21='DICTIONARY-5'!$A$4,ISBLANK(J21)),VLOOKUP(I21,LIST!$A$6:$M$3250,CURR_2.SEARCH.OLD,0),VLOOKUP(J21,LIST!$B$6:$M$3250,CURR_2.SEARCH.NEW,0)),'DICTIONARY-5'!$A$2)</f>
        <v/>
      </c>
      <c r="N21" s="21"/>
    </row>
    <row r="22" spans="1:14" x14ac:dyDescent="0.25">
      <c r="A22" s="18">
        <v>250</v>
      </c>
      <c r="B22" s="18">
        <v>10</v>
      </c>
      <c r="C22" s="18">
        <v>250</v>
      </c>
      <c r="D22" s="18" t="s">
        <v>194</v>
      </c>
      <c r="E22" s="334" t="s">
        <v>3066</v>
      </c>
      <c r="F22" s="339" t="str">
        <f>IFERROR(IF(OR(E22='DICTIONARY-5'!$A$2,E22='DICTIONARY-5'!$A$4,ISBLANK(E22)),VLOOKUP(D22,LIST!$A$6:$L$3250,CURR_1.SEARCH.OLD,0),VLOOKUP(E22,LIST!$B$6:$L$3250,CURR_1.SEARCH.NEW,0)),'DICTIONARY-5'!$A$2)</f>
        <v>1 051,-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18">
        <v>450</v>
      </c>
      <c r="I22" s="18" t="s">
        <v>195</v>
      </c>
      <c r="J22" s="334" t="s">
        <v>3069</v>
      </c>
      <c r="K22" s="339" t="str">
        <f>IFERROR(IF(OR(J22='DICTIONARY-5'!$A$2,J22='DICTIONARY-5'!$A$4,ISBLANK(J22)),VLOOKUP(I22,LIST!$A$6:$L$3250,CURR_1.SEARCH.OLD,0),VLOOKUP(J22,LIST!$B$6:$L$3250,CURR_1.SEARCH.NEW,0)),'DICTIONARY-5'!$A$2)</f>
        <v>1 444,-</v>
      </c>
      <c r="L22" s="339" t="str">
        <f>IFERROR(IF(OR(J22='DICTIONARY-5'!$A$2,J22='DICTIONARY-5'!$A$4,ISBLANK(J22)),VLOOKUP(I22,LIST!$A$6:$M$3250,CURR_2.SEARCH.OLD,0),VLOOKUP(J22,LIST!$B$6:$M$3250,CURR_2.SEARCH.NEW,0)),'DICTIONARY-5'!$A$2)</f>
        <v/>
      </c>
      <c r="N22" s="21"/>
    </row>
    <row r="23" spans="1:14" x14ac:dyDescent="0.25">
      <c r="A23" s="18">
        <v>250</v>
      </c>
      <c r="B23" s="18">
        <v>16</v>
      </c>
      <c r="C23" s="18">
        <v>250</v>
      </c>
      <c r="D23" s="18" t="s">
        <v>196</v>
      </c>
      <c r="E23" s="334" t="s">
        <v>3089</v>
      </c>
      <c r="F23" s="339" t="str">
        <f>IFERROR(IF(OR(E23='DICTIONARY-5'!$A$2,E23='DICTIONARY-5'!$A$4,ISBLANK(E23)),VLOOKUP(D23,LIST!$A$6:$L$3250,CURR_1.SEARCH.OLD,0),VLOOKUP(E23,LIST!$B$6:$L$3250,CURR_1.SEARCH.NEW,0)),'DICTIONARY-5'!$A$2)</f>
        <v>966,-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18">
        <v>450</v>
      </c>
      <c r="I23" s="18" t="s">
        <v>197</v>
      </c>
      <c r="J23" s="334" t="s">
        <v>3079</v>
      </c>
      <c r="K23" s="339" t="str">
        <f>IFERROR(IF(OR(J23='DICTIONARY-5'!$A$2,J23='DICTIONARY-5'!$A$4,ISBLANK(J23)),VLOOKUP(I23,LIST!$A$6:$L$3250,CURR_1.SEARCH.OLD,0),VLOOKUP(J23,LIST!$B$6:$L$3250,CURR_1.SEARCH.NEW,0)),'DICTIONARY-5'!$A$2)</f>
        <v>1 342,-</v>
      </c>
      <c r="L23" s="339" t="str">
        <f>IFERROR(IF(OR(J23='DICTIONARY-5'!$A$2,J23='DICTIONARY-5'!$A$4,ISBLANK(J23)),VLOOKUP(I23,LIST!$A$6:$M$3250,CURR_2.SEARCH.OLD,0),VLOOKUP(J23,LIST!$B$6:$M$3250,CURR_2.SEARCH.NEW,0)),'DICTIONARY-5'!$A$2)</f>
        <v/>
      </c>
      <c r="N23" s="21"/>
    </row>
    <row r="24" spans="1:14" x14ac:dyDescent="0.25">
      <c r="A24" s="18">
        <v>300</v>
      </c>
      <c r="B24" s="18">
        <v>10</v>
      </c>
      <c r="C24" s="18">
        <v>270</v>
      </c>
      <c r="D24" s="18" t="s">
        <v>198</v>
      </c>
      <c r="E24" s="334" t="s">
        <v>3067</v>
      </c>
      <c r="F24" s="339" t="str">
        <f>IFERROR(IF(OR(E24='DICTIONARY-5'!$A$2,E24='DICTIONARY-5'!$A$4,ISBLANK(E24)),VLOOKUP(D24,LIST!$A$6:$L$3250,CURR_1.SEARCH.OLD,0),VLOOKUP(E24,LIST!$B$6:$L$3250,CURR_1.SEARCH.NEW,0)),'DICTIONARY-5'!$A$2)</f>
        <v>1 255,-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18">
        <v>500</v>
      </c>
      <c r="I24" s="18" t="s">
        <v>199</v>
      </c>
      <c r="J24" s="334" t="s">
        <v>3070</v>
      </c>
      <c r="K24" s="339" t="str">
        <f>IFERROR(IF(OR(J24='DICTIONARY-5'!$A$2,J24='DICTIONARY-5'!$A$4,ISBLANK(J24)),VLOOKUP(I24,LIST!$A$6:$L$3250,CURR_1.SEARCH.OLD,0),VLOOKUP(J24,LIST!$B$6:$L$3250,CURR_1.SEARCH.NEW,0)),'DICTIONARY-5'!$A$2)</f>
        <v>1 749,-</v>
      </c>
      <c r="L24" s="339" t="str">
        <f>IFERROR(IF(OR(J24='DICTIONARY-5'!$A$2,J24='DICTIONARY-5'!$A$4,ISBLANK(J24)),VLOOKUP(I24,LIST!$A$6:$M$3250,CURR_2.SEARCH.OLD,0),VLOOKUP(J24,LIST!$B$6:$M$3250,CURR_2.SEARCH.NEW,0)),'DICTIONARY-5'!$A$2)</f>
        <v/>
      </c>
      <c r="N24" s="21"/>
    </row>
    <row r="25" spans="1:14" x14ac:dyDescent="0.25">
      <c r="A25" s="18">
        <v>300</v>
      </c>
      <c r="B25" s="18">
        <v>16</v>
      </c>
      <c r="C25" s="18">
        <v>270</v>
      </c>
      <c r="D25" s="18" t="s">
        <v>200</v>
      </c>
      <c r="E25" s="334" t="s">
        <v>3090</v>
      </c>
      <c r="F25" s="339" t="str">
        <f>IFERROR(IF(OR(E25='DICTIONARY-5'!$A$2,E25='DICTIONARY-5'!$A$4,ISBLANK(E25)),VLOOKUP(D25,LIST!$A$6:$L$3250,CURR_1.SEARCH.OLD,0),VLOOKUP(E25,LIST!$B$6:$L$3250,CURR_1.SEARCH.NEW,0)),'DICTIONARY-5'!$A$2)</f>
        <v>1 130,-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18">
        <v>500</v>
      </c>
      <c r="I25" s="18" t="s">
        <v>201</v>
      </c>
      <c r="J25" s="334" t="s">
        <v>3080</v>
      </c>
      <c r="K25" s="339" t="str">
        <f>IFERROR(IF(OR(J25='DICTIONARY-5'!$A$2,J25='DICTIONARY-5'!$A$4,ISBLANK(J25)),VLOOKUP(I25,LIST!$A$6:$L$3250,CURR_1.SEARCH.OLD,0),VLOOKUP(J25,LIST!$B$6:$L$3250,CURR_1.SEARCH.NEW,0)),'DICTIONARY-5'!$A$2)</f>
        <v>1 625,-</v>
      </c>
      <c r="L25" s="339" t="str">
        <f>IFERROR(IF(OR(J25='DICTIONARY-5'!$A$2,J25='DICTIONARY-5'!$A$4,ISBLANK(J25)),VLOOKUP(I25,LIST!$A$6:$M$3250,CURR_2.SEARCH.OLD,0),VLOOKUP(J25,LIST!$B$6:$M$3250,CURR_2.SEARCH.NEW,0)),'DICTIONARY-5'!$A$2)</f>
        <v/>
      </c>
      <c r="N25" s="21"/>
    </row>
    <row r="26" spans="1:14" x14ac:dyDescent="0.25">
      <c r="A26" s="18">
        <v>350</v>
      </c>
      <c r="B26" s="18">
        <v>10</v>
      </c>
      <c r="C26" s="18">
        <v>290</v>
      </c>
      <c r="D26" s="22" t="s">
        <v>202</v>
      </c>
      <c r="E26" s="334" t="s">
        <v>3052</v>
      </c>
      <c r="F26" s="339" t="str">
        <f>IFERROR(IF(OR(E26='DICTIONARY-5'!$A$2,E26='DICTIONARY-5'!$A$4,ISBLANK(E26)),VLOOKUP(D26,LIST!$A$6:$L$3250,CURR_1.SEARCH.OLD,0),VLOOKUP(E26,LIST!$B$6:$L$3250,CURR_1.SEARCH.NEW,0)),'DICTIONARY-5'!$A$2)</f>
        <v>2 372,-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18">
        <v>550</v>
      </c>
      <c r="I26" s="22" t="s">
        <v>203</v>
      </c>
      <c r="J26" s="334" t="s">
        <v>3058</v>
      </c>
      <c r="K26" s="339" t="str">
        <f>IFERROR(IF(OR(J26='DICTIONARY-5'!$A$2,J26='DICTIONARY-5'!$A$4,ISBLANK(J26)),VLOOKUP(I26,LIST!$A$6:$L$3250,CURR_1.SEARCH.OLD,0),VLOOKUP(J26,LIST!$B$6:$L$3250,CURR_1.SEARCH.NEW,0)),'DICTIONARY-5'!$A$2)</f>
        <v>2 568,-</v>
      </c>
      <c r="L26" s="339" t="str">
        <f>IFERROR(IF(OR(J26='DICTIONARY-5'!$A$2,J26='DICTIONARY-5'!$A$4,ISBLANK(J26)),VLOOKUP(I26,LIST!$A$6:$M$3250,CURR_2.SEARCH.OLD,0),VLOOKUP(J26,LIST!$B$6:$M$3250,CURR_2.SEARCH.NEW,0)),'DICTIONARY-5'!$A$2)</f>
        <v/>
      </c>
      <c r="N26" s="21"/>
    </row>
    <row r="27" spans="1:14" x14ac:dyDescent="0.25">
      <c r="A27" s="18">
        <v>350</v>
      </c>
      <c r="B27" s="18">
        <v>16</v>
      </c>
      <c r="C27" s="18">
        <v>290</v>
      </c>
      <c r="D27" s="22" t="s">
        <v>204</v>
      </c>
      <c r="E27" s="334" t="s">
        <v>3055</v>
      </c>
      <c r="F27" s="339" t="str">
        <f>IFERROR(IF(OR(E27='DICTIONARY-5'!$A$2,E27='DICTIONARY-5'!$A$4,ISBLANK(E27)),VLOOKUP(D27,LIST!$A$6:$L$3250,CURR_1.SEARCH.OLD,0),VLOOKUP(E27,LIST!$B$6:$L$3250,CURR_1.SEARCH.NEW,0)),'DICTIONARY-5'!$A$2)</f>
        <v>2 292,-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H27" s="18">
        <v>550</v>
      </c>
      <c r="I27" s="22" t="s">
        <v>205</v>
      </c>
      <c r="J27" s="334" t="s">
        <v>3062</v>
      </c>
      <c r="K27" s="339" t="str">
        <f>IFERROR(IF(OR(J27='DICTIONARY-5'!$A$2,J27='DICTIONARY-5'!$A$4,ISBLANK(J27)),VLOOKUP(I27,LIST!$A$6:$L$3250,CURR_1.SEARCH.OLD,0),VLOOKUP(J27,LIST!$B$6:$L$3250,CURR_1.SEARCH.NEW,0)),'DICTIONARY-5'!$A$2)</f>
        <v>2 540,-</v>
      </c>
      <c r="L27" s="339" t="str">
        <f>IFERROR(IF(OR(J27='DICTIONARY-5'!$A$2,J27='DICTIONARY-5'!$A$4,ISBLANK(J27)),VLOOKUP(I27,LIST!$A$6:$M$3250,CURR_2.SEARCH.OLD,0),VLOOKUP(J27,LIST!$B$6:$M$3250,CURR_2.SEARCH.NEW,0)),'DICTIONARY-5'!$A$2)</f>
        <v/>
      </c>
      <c r="N27" s="21"/>
    </row>
    <row r="28" spans="1:14" x14ac:dyDescent="0.25">
      <c r="A28" s="18">
        <v>400</v>
      </c>
      <c r="B28" s="18">
        <v>10</v>
      </c>
      <c r="C28" s="18">
        <v>310</v>
      </c>
      <c r="D28" s="22" t="s">
        <v>206</v>
      </c>
      <c r="E28" s="334" t="s">
        <v>3053</v>
      </c>
      <c r="F28" s="339" t="str">
        <f>IFERROR(IF(OR(E28='DICTIONARY-5'!$A$2,E28='DICTIONARY-5'!$A$4,ISBLANK(E28)),VLOOKUP(D28,LIST!$A$6:$L$3250,CURR_1.SEARCH.OLD,0),VLOOKUP(E28,LIST!$B$6:$L$3250,CURR_1.SEARCH.NEW,0)),'DICTIONARY-5'!$A$2)</f>
        <v>3 019,-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18">
        <v>600</v>
      </c>
      <c r="I28" s="22" t="s">
        <v>207</v>
      </c>
      <c r="J28" s="334" t="s">
        <v>3059</v>
      </c>
      <c r="K28" s="339" t="str">
        <f>IFERROR(IF(OR(J28='DICTIONARY-5'!$A$2,J28='DICTIONARY-5'!$A$4,ISBLANK(J28)),VLOOKUP(I28,LIST!$A$6:$L$3250,CURR_1.SEARCH.OLD,0),VLOOKUP(J28,LIST!$B$6:$L$3250,CURR_1.SEARCH.NEW,0)),'DICTIONARY-5'!$A$2)</f>
        <v>3 286,-</v>
      </c>
      <c r="L28" s="339" t="str">
        <f>IFERROR(IF(OR(J28='DICTIONARY-5'!$A$2,J28='DICTIONARY-5'!$A$4,ISBLANK(J28)),VLOOKUP(I28,LIST!$A$6:$M$3250,CURR_2.SEARCH.OLD,0),VLOOKUP(J28,LIST!$B$6:$M$3250,CURR_2.SEARCH.NEW,0)),'DICTIONARY-5'!$A$2)</f>
        <v/>
      </c>
      <c r="N28" s="21"/>
    </row>
    <row r="29" spans="1:14" x14ac:dyDescent="0.25">
      <c r="A29" s="18">
        <v>400</v>
      </c>
      <c r="B29" s="18">
        <v>16</v>
      </c>
      <c r="C29" s="18">
        <v>310</v>
      </c>
      <c r="D29" s="22" t="s">
        <v>208</v>
      </c>
      <c r="E29" s="334" t="s">
        <v>3056</v>
      </c>
      <c r="F29" s="339" t="str">
        <f>IFERROR(IF(OR(E29='DICTIONARY-5'!$A$2,E29='DICTIONARY-5'!$A$4,ISBLANK(E29)),VLOOKUP(D29,LIST!$A$6:$L$3250,CURR_1.SEARCH.OLD,0),VLOOKUP(E29,LIST!$B$6:$L$3250,CURR_1.SEARCH.NEW,0)),'DICTIONARY-5'!$A$2)</f>
        <v>3 023,-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H29" s="18">
        <v>600</v>
      </c>
      <c r="I29" s="22" t="s">
        <v>209</v>
      </c>
      <c r="J29" s="334" t="s">
        <v>3063</v>
      </c>
      <c r="K29" s="339" t="str">
        <f>IFERROR(IF(OR(J29='DICTIONARY-5'!$A$2,J29='DICTIONARY-5'!$A$4,ISBLANK(J29)),VLOOKUP(I29,LIST!$A$6:$L$3250,CURR_1.SEARCH.OLD,0),VLOOKUP(J29,LIST!$B$6:$L$3250,CURR_1.SEARCH.NEW,0)),'DICTIONARY-5'!$A$2)</f>
        <v>3 283,-</v>
      </c>
      <c r="L29" s="339" t="str">
        <f>IFERROR(IF(OR(J29='DICTIONARY-5'!$A$2,J29='DICTIONARY-5'!$A$4,ISBLANK(J29)),VLOOKUP(I29,LIST!$A$6:$M$3250,CURR_2.SEARCH.OLD,0),VLOOKUP(J29,LIST!$B$6:$M$3250,CURR_2.SEARCH.NEW,0)),'DICTIONARY-5'!$A$2)</f>
        <v/>
      </c>
      <c r="N29" s="21"/>
    </row>
    <row r="30" spans="1:14" x14ac:dyDescent="0.25">
      <c r="A30" s="18">
        <v>500</v>
      </c>
      <c r="B30" s="18">
        <v>10</v>
      </c>
      <c r="C30" s="18">
        <v>350</v>
      </c>
      <c r="D30" s="22" t="s">
        <v>210</v>
      </c>
      <c r="E30" s="334" t="s">
        <v>3054</v>
      </c>
      <c r="F30" s="339" t="str">
        <f>IFERROR(IF(OR(E30='DICTIONARY-5'!$A$2,E30='DICTIONARY-5'!$A$4,ISBLANK(E30)),VLOOKUP(D30,LIST!$A$6:$L$3250,CURR_1.SEARCH.OLD,0),VLOOKUP(E30,LIST!$B$6:$L$3250,CURR_1.SEARCH.NEW,0)),'DICTIONARY-5'!$A$2)</f>
        <v>4 824,-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H30" s="18">
        <v>700</v>
      </c>
      <c r="I30" s="23" t="s">
        <v>211</v>
      </c>
      <c r="J30" s="334" t="s">
        <v>3060</v>
      </c>
      <c r="K30" s="339" t="str">
        <f>IFERROR(IF(OR(J30='DICTIONARY-5'!$A$2,J30='DICTIONARY-5'!$A$4,ISBLANK(J30)),VLOOKUP(I30,LIST!$A$6:$L$3250,CURR_1.SEARCH.OLD,0),VLOOKUP(J30,LIST!$B$6:$L$3250,CURR_1.SEARCH.NEW,0)),'DICTIONARY-5'!$A$2)</f>
        <v>5 275,-</v>
      </c>
      <c r="L30" s="339" t="str">
        <f>IFERROR(IF(OR(J30='DICTIONARY-5'!$A$2,J30='DICTIONARY-5'!$A$4,ISBLANK(J30)),VLOOKUP(I30,LIST!$A$6:$M$3250,CURR_2.SEARCH.OLD,0),VLOOKUP(J30,LIST!$B$6:$M$3250,CURR_2.SEARCH.NEW,0)),'DICTIONARY-5'!$A$2)</f>
        <v/>
      </c>
      <c r="N30" s="21"/>
    </row>
    <row r="31" spans="1:14" x14ac:dyDescent="0.25">
      <c r="A31" s="18">
        <v>500</v>
      </c>
      <c r="B31" s="18">
        <v>16</v>
      </c>
      <c r="C31" s="18">
        <v>350</v>
      </c>
      <c r="D31" s="22" t="s">
        <v>212</v>
      </c>
      <c r="E31" s="334" t="s">
        <v>3057</v>
      </c>
      <c r="F31" s="339" t="str">
        <f>IFERROR(IF(OR(E31='DICTIONARY-5'!$A$2,E31='DICTIONARY-5'!$A$4,ISBLANK(E31)),VLOOKUP(D31,LIST!$A$6:$L$3250,CURR_1.SEARCH.OLD,0),VLOOKUP(E31,LIST!$B$6:$L$3250,CURR_1.SEARCH.NEW,0)),'DICTIONARY-5'!$A$2)</f>
        <v>5 057,-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18">
        <v>700</v>
      </c>
      <c r="I31" s="23" t="s">
        <v>213</v>
      </c>
      <c r="J31" s="334" t="s">
        <v>3064</v>
      </c>
      <c r="K31" s="339" t="str">
        <f>IFERROR(IF(OR(J31='DICTIONARY-5'!$A$2,J31='DICTIONARY-5'!$A$4,ISBLANK(J31)),VLOOKUP(I31,LIST!$A$6:$L$3250,CURR_1.SEARCH.OLD,0),VLOOKUP(J31,LIST!$B$6:$L$3250,CURR_1.SEARCH.NEW,0)),'DICTIONARY-5'!$A$2)</f>
        <v>5 950,-</v>
      </c>
      <c r="L31" s="339" t="str">
        <f>IFERROR(IF(OR(J31='DICTIONARY-5'!$A$2,J31='DICTIONARY-5'!$A$4,ISBLANK(J31)),VLOOKUP(I31,LIST!$A$6:$M$3250,CURR_2.SEARCH.OLD,0),VLOOKUP(J31,LIST!$B$6:$M$3250,CURR_2.SEARCH.NEW,0)),'DICTIONARY-5'!$A$2)</f>
        <v/>
      </c>
      <c r="N31" s="21"/>
    </row>
    <row r="32" spans="1:14" x14ac:dyDescent="0.25">
      <c r="A32" s="18" t="s">
        <v>214</v>
      </c>
      <c r="B32" s="18">
        <v>10</v>
      </c>
      <c r="C32" s="18"/>
      <c r="D32" s="22"/>
      <c r="E32" s="22"/>
      <c r="F32" s="339"/>
      <c r="G32" s="339"/>
      <c r="H32" s="18">
        <v>800</v>
      </c>
      <c r="I32" s="23" t="s">
        <v>215</v>
      </c>
      <c r="J32" s="334" t="s">
        <v>3061</v>
      </c>
      <c r="K32" s="339" t="str">
        <f>IFERROR(IF(OR(J32='DICTIONARY-5'!$A$2,J32='DICTIONARY-5'!$A$4,ISBLANK(J32)),VLOOKUP(I32,LIST!$A$6:$L$3250,CURR_1.SEARCH.OLD,0),VLOOKUP(J32,LIST!$B$6:$L$3250,CURR_1.SEARCH.NEW,0)),'DICTIONARY-5'!$A$2)</f>
        <v>5 394,-</v>
      </c>
      <c r="L32" s="339" t="str">
        <f>IFERROR(IF(OR(J32='DICTIONARY-5'!$A$2,J32='DICTIONARY-5'!$A$4,ISBLANK(J32)),VLOOKUP(I32,LIST!$A$6:$M$3250,CURR_2.SEARCH.OLD,0),VLOOKUP(J32,LIST!$B$6:$M$3250,CURR_2.SEARCH.NEW,0)),'DICTIONARY-5'!$A$2)</f>
        <v/>
      </c>
      <c r="N32" s="21"/>
    </row>
    <row r="33" spans="1:15" x14ac:dyDescent="0.25">
      <c r="A33" s="18" t="s">
        <v>214</v>
      </c>
      <c r="B33" s="18">
        <v>16</v>
      </c>
      <c r="C33" s="18"/>
      <c r="D33" s="22"/>
      <c r="E33" s="22"/>
      <c r="F33" s="339"/>
      <c r="G33" s="339"/>
      <c r="H33" s="18">
        <v>800</v>
      </c>
      <c r="I33" s="23" t="s">
        <v>8295</v>
      </c>
      <c r="J33" s="334" t="s">
        <v>8294</v>
      </c>
      <c r="K33" s="339" t="str">
        <f>IFERROR(IF(OR(J33='DICTIONARY-5'!$A$2,J33='DICTIONARY-5'!$A$4,ISBLANK(J33)),VLOOKUP(I33,LIST!$A$6:$L$3250,CURR_1.SEARCH.OLD,0),VLOOKUP(J33,LIST!$B$6:$L$3250,CURR_1.SEARCH.NEW,0)),'DICTIONARY-5'!$A$2)</f>
        <v>5 394,-</v>
      </c>
      <c r="L33" s="339" t="str">
        <f>IFERROR(IF(OR(J33='DICTIONARY-5'!$A$2,J33='DICTIONARY-5'!$A$4,ISBLANK(J33)),VLOOKUP(I33,LIST!$A$6:$M$3250,CURR_2.SEARCH.OLD,0),VLOOKUP(J33,LIST!$B$6:$M$3250,CURR_2.SEARCH.NEW,0)),'DICTIONARY-5'!$A$2)</f>
        <v/>
      </c>
      <c r="N33" s="21"/>
    </row>
    <row r="34" spans="1:15" x14ac:dyDescent="0.25">
      <c r="A34" s="18">
        <v>600</v>
      </c>
      <c r="B34" s="18">
        <v>10</v>
      </c>
      <c r="C34" s="18">
        <v>390</v>
      </c>
      <c r="D34" s="18" t="s">
        <v>216</v>
      </c>
      <c r="E34" s="334" t="str">
        <f>'DICTIONARY-5'!$A$2</f>
        <v>na zapytanie</v>
      </c>
      <c r="F34" s="339" t="str">
        <f>IFERROR(IF(OR(E34='DICTIONARY-5'!$A$2,E34='DICTIONARY-5'!$A$4,ISBLANK(E34)),VLOOKUP(D34,LIST!$A$6:$L$3250,CURR_1.SEARCH.OLD,0),VLOOKUP(E34,LIST!$B$6:$L$3250,CURR_1.SEARCH.NEW,0)),'DICTIONARY-5'!$A$2)</f>
        <v>na zapytanie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H34" s="18"/>
      <c r="I34" s="18"/>
      <c r="J34" s="18"/>
      <c r="K34" s="19"/>
      <c r="L34" s="19"/>
    </row>
    <row r="35" spans="1:15" x14ac:dyDescent="0.25">
      <c r="A35" s="18">
        <v>600</v>
      </c>
      <c r="B35" s="18">
        <v>16</v>
      </c>
      <c r="C35" s="18">
        <v>390</v>
      </c>
      <c r="D35" s="18" t="s">
        <v>218</v>
      </c>
      <c r="E35" s="334" t="str">
        <f>'DICTIONARY-5'!$A$2</f>
        <v>na zapytanie</v>
      </c>
      <c r="F35" s="339" t="str">
        <f>IFERROR(IF(OR(E35='DICTIONARY-5'!$A$2,E35='DICTIONARY-5'!$A$4,ISBLANK(E35)),VLOOKUP(D35,LIST!$A$6:$L$3250,CURR_1.SEARCH.OLD,0),VLOOKUP(E35,LIST!$B$6:$L$3250,CURR_1.SEARCH.NEW,0)),'DICTIONARY-5'!$A$2)</f>
        <v>na zapytanie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H35" s="18"/>
      <c r="I35" s="18"/>
      <c r="J35" s="18"/>
      <c r="K35" s="19"/>
      <c r="L35" s="19"/>
    </row>
    <row r="37" spans="1:15" x14ac:dyDescent="0.25">
      <c r="A37" s="20" t="str">
        <f>"1) "&amp;'DICTIONARY-5'!$A$65&amp;" DN 500"</f>
        <v>1) Zredukowany przepływ DN 500</v>
      </c>
    </row>
    <row r="41" spans="1:15" ht="16.5" thickBot="1" x14ac:dyDescent="0.3">
      <c r="A41" s="81" t="str">
        <f>CONCATENATE('DICTIONARY-3'!$A$2," ",'DICTIONARY-3'!$A$187," / ",'DICTIONARY-3'!$A$249," AUMA")</f>
        <v>EKOplus Zasuwa klinowa / Z napędem elektrycznym AUMA</v>
      </c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</row>
    <row r="42" spans="1:15" x14ac:dyDescent="0.25">
      <c r="A42" s="9" t="str">
        <f>CONCATENATE('DICTIONARY-2'!$A$12," ",'DICTIONARY-5'!$A$9)</f>
        <v>Długość zabudowy EN 558</v>
      </c>
      <c r="B42" s="10"/>
      <c r="C42" s="10"/>
      <c r="D42" s="10"/>
      <c r="E42" s="10"/>
      <c r="F42" s="11"/>
      <c r="G42" s="11"/>
      <c r="H42" s="11"/>
      <c r="I42" s="10"/>
      <c r="J42" s="10"/>
      <c r="K42" s="11"/>
      <c r="L42" s="11"/>
    </row>
    <row r="43" spans="1:15" x14ac:dyDescent="0.25">
      <c r="A43" s="9" t="str">
        <f>CONCATENATE('DICTIONARY-1'!$A$10,": ",SETTINGS!$C$17)</f>
        <v>Grupa rabatowa: EKOplus (with Actuator)</v>
      </c>
      <c r="B43" s="10"/>
      <c r="C43" s="10"/>
      <c r="D43" s="10"/>
      <c r="E43" s="10"/>
      <c r="F43" s="11"/>
      <c r="G43" s="11"/>
      <c r="H43" s="11"/>
      <c r="I43" s="10"/>
      <c r="J43" s="10"/>
      <c r="K43" s="11"/>
      <c r="L43" s="11"/>
    </row>
    <row r="44" spans="1:15" x14ac:dyDescent="0.25">
      <c r="A44" s="12"/>
      <c r="B44" s="10"/>
      <c r="C44" s="10"/>
      <c r="D44" s="10"/>
      <c r="E44" s="10"/>
      <c r="F44" s="11"/>
      <c r="G44" s="11"/>
      <c r="H44" s="11"/>
      <c r="I44" s="10"/>
      <c r="J44" s="10"/>
      <c r="K44" s="11"/>
      <c r="L44" s="11"/>
    </row>
    <row r="45" spans="1:15" x14ac:dyDescent="0.25">
      <c r="A45" s="13" t="str">
        <f>'DICTIONARY-2'!$A$2</f>
        <v>DN</v>
      </c>
      <c r="B45" s="13" t="str">
        <f>'DICTIONARY-2'!$A$3</f>
        <v>PN</v>
      </c>
      <c r="C45" s="13" t="str">
        <f>'DICTIONARY-2'!$A$24</f>
        <v>L</v>
      </c>
      <c r="D45" s="949" t="str">
        <f>'DICTIONARY-3'!$A$2&amp;" + AUMA"</f>
        <v>EKOplus + AUMA</v>
      </c>
      <c r="E45" s="949"/>
      <c r="F45" s="949"/>
      <c r="G45" s="949"/>
      <c r="H45" s="13" t="str">
        <f>'DICTIONARY-2'!$A$24</f>
        <v>L</v>
      </c>
      <c r="I45" s="949" t="str">
        <f>'DICTIONARY-3'!$A$2&amp;" + AUMA"</f>
        <v>EKOplus + AUMA</v>
      </c>
      <c r="J45" s="949"/>
      <c r="K45" s="949"/>
      <c r="L45" s="949"/>
    </row>
    <row r="46" spans="1:15" x14ac:dyDescent="0.25">
      <c r="A46" s="514"/>
      <c r="B46" s="514"/>
      <c r="C46" s="514"/>
      <c r="D46" s="948" t="str">
        <f>CONCATENATE('DICTIONARY-5'!$A$66," (",'DICTIONARY-5'!$A$10," 14), ",'DICTIONARY-5'!$A$43&amp;": "&amp;'DICTIONARY-5'!$A$44)</f>
        <v>budowa krótka (szereg 14), guma: EPDM</v>
      </c>
      <c r="E46" s="948"/>
      <c r="F46" s="948"/>
      <c r="G46" s="948"/>
      <c r="H46" s="514"/>
      <c r="I46" s="948" t="str">
        <f>CONCATENATE('DICTIONARY-5'!$A$67," (",'DICTIONARY-5'!$A$10," 15), ",'DICTIONARY-5'!$A$43&amp;": "&amp;'DICTIONARY-5'!$A$44)</f>
        <v>budowa długa (szereg 15), guma: EPDM</v>
      </c>
      <c r="J46" s="948"/>
      <c r="K46" s="948"/>
      <c r="L46" s="948"/>
    </row>
    <row r="47" spans="1:15" x14ac:dyDescent="0.25">
      <c r="A47" s="15"/>
      <c r="B47" s="15"/>
      <c r="C47" s="15" t="str">
        <f>'DICTIONARY-2'!$A$18</f>
        <v>[mm]</v>
      </c>
      <c r="D47" s="16" t="str">
        <f>'DICTIONARY-2'!$A$28</f>
        <v>stary nr zamówienia</v>
      </c>
      <c r="E47" s="16" t="str">
        <f>'DICTIONARY-2'!$A$29</f>
        <v>nowy nr zamówienia</v>
      </c>
      <c r="F47" s="17" t="str">
        <f>CURRENCY.CODE_1</f>
        <v>EUR</v>
      </c>
      <c r="G47" s="17" t="str">
        <f>CURRENCY.CODE_2</f>
        <v>---</v>
      </c>
      <c r="H47" s="15" t="str">
        <f>'DICTIONARY-2'!$A$18</f>
        <v>[mm]</v>
      </c>
      <c r="I47" s="16" t="str">
        <f>'DICTIONARY-2'!$A$28</f>
        <v>stary nr zamówienia</v>
      </c>
      <c r="J47" s="16" t="str">
        <f>'DICTIONARY-2'!$A$29</f>
        <v>nowy nr zamówienia</v>
      </c>
      <c r="K47" s="17" t="str">
        <f>CURRENCY.CODE_1</f>
        <v>EUR</v>
      </c>
      <c r="L47" s="17" t="str">
        <f>CURRENCY.CODE_2</f>
        <v>---</v>
      </c>
    </row>
    <row r="48" spans="1:15" x14ac:dyDescent="0.25">
      <c r="A48" s="18">
        <v>40</v>
      </c>
      <c r="B48" s="18" t="s">
        <v>85</v>
      </c>
      <c r="C48" s="18">
        <v>140</v>
      </c>
      <c r="D48" s="24" t="s">
        <v>219</v>
      </c>
      <c r="E48" s="338" t="s">
        <v>3107</v>
      </c>
      <c r="F48" s="339" t="str">
        <f>IFERROR(IF(OR(E48='DICTIONARY-5'!$A$2,E48='DICTIONARY-5'!$A$4,ISBLANK(E48)),VLOOKUP(D48,LIST!$A$6:$L$3250,CURR_1.SEARCH.OLD,0),VLOOKUP(E48,LIST!$B$6:$L$3250,CURR_1.SEARCH.NEW,0)),'DICTIONARY-5'!$A$2)</f>
        <v>2 250,-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18">
        <v>240</v>
      </c>
      <c r="I48" s="24" t="s">
        <v>220</v>
      </c>
      <c r="J48" s="338" t="s">
        <v>3097</v>
      </c>
      <c r="K48" s="339" t="str">
        <f>IFERROR(IF(OR(J48='DICTIONARY-5'!$A$2,J48='DICTIONARY-5'!$A$4,ISBLANK(J48)),VLOOKUP(I48,LIST!$A$6:$L$3250,CURR_1.SEARCH.OLD,0),VLOOKUP(J48,LIST!$B$6:$L$3250,CURR_1.SEARCH.NEW,0)),'DICTIONARY-5'!$A$2)</f>
        <v>2 258,-</v>
      </c>
      <c r="L48" s="339" t="str">
        <f>IFERROR(IF(OR(J48='DICTIONARY-5'!$A$2,J48='DICTIONARY-5'!$A$4,ISBLANK(J48)),VLOOKUP(I48,LIST!$A$6:$M$3250,CURR_2.SEARCH.OLD,0),VLOOKUP(J48,LIST!$B$6:$M$3250,CURR_2.SEARCH.NEW,0)),'DICTIONARY-5'!$A$2)</f>
        <v/>
      </c>
      <c r="O48"/>
    </row>
    <row r="49" spans="1:15" x14ac:dyDescent="0.25">
      <c r="A49" s="18">
        <v>50</v>
      </c>
      <c r="B49" s="18" t="s">
        <v>85</v>
      </c>
      <c r="C49" s="18">
        <v>150</v>
      </c>
      <c r="D49" s="18" t="s">
        <v>221</v>
      </c>
      <c r="E49" s="346" t="s">
        <v>3108</v>
      </c>
      <c r="F49" s="339" t="str">
        <f>IFERROR(IF(OR(E49='DICTIONARY-5'!$A$2,E49='DICTIONARY-5'!$A$4,ISBLANK(E49)),VLOOKUP(D49,LIST!$A$6:$L$3250,CURR_1.SEARCH.OLD,0),VLOOKUP(E49,LIST!$B$6:$L$3250,CURR_1.SEARCH.NEW,0)),'DICTIONARY-5'!$A$2)</f>
        <v>2 253,-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  <c r="H49" s="18">
        <v>250</v>
      </c>
      <c r="I49" s="18" t="s">
        <v>222</v>
      </c>
      <c r="J49" s="338" t="s">
        <v>3098</v>
      </c>
      <c r="K49" s="339" t="str">
        <f>IFERROR(IF(OR(J49='DICTIONARY-5'!$A$2,J49='DICTIONARY-5'!$A$4,ISBLANK(J49)),VLOOKUP(I49,LIST!$A$6:$L$3250,CURR_1.SEARCH.OLD,0),VLOOKUP(J49,LIST!$B$6:$L$3250,CURR_1.SEARCH.NEW,0)),'DICTIONARY-5'!$A$2)</f>
        <v>2 275,-</v>
      </c>
      <c r="L49" s="339" t="str">
        <f>IFERROR(IF(OR(J49='DICTIONARY-5'!$A$2,J49='DICTIONARY-5'!$A$4,ISBLANK(J49)),VLOOKUP(I49,LIST!$A$6:$M$3250,CURR_2.SEARCH.OLD,0),VLOOKUP(J49,LIST!$B$6:$M$3250,CURR_2.SEARCH.NEW,0)),'DICTIONARY-5'!$A$2)</f>
        <v/>
      </c>
      <c r="O49"/>
    </row>
    <row r="50" spans="1:15" x14ac:dyDescent="0.25">
      <c r="A50" s="18">
        <v>65</v>
      </c>
      <c r="B50" s="18" t="s">
        <v>85</v>
      </c>
      <c r="C50" s="18">
        <v>170</v>
      </c>
      <c r="D50" s="18" t="s">
        <v>223</v>
      </c>
      <c r="E50" s="338" t="s">
        <v>3109</v>
      </c>
      <c r="F50" s="339" t="str">
        <f>IFERROR(IF(OR(E50='DICTIONARY-5'!$A$2,E50='DICTIONARY-5'!$A$4,ISBLANK(E50)),VLOOKUP(D50,LIST!$A$6:$L$3250,CURR_1.SEARCH.OLD,0),VLOOKUP(E50,LIST!$B$6:$L$3250,CURR_1.SEARCH.NEW,0)),'DICTIONARY-5'!$A$2)</f>
        <v>2 314,-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  <c r="H50" s="18">
        <v>270</v>
      </c>
      <c r="I50" s="18" t="s">
        <v>224</v>
      </c>
      <c r="J50" s="338" t="s">
        <v>3099</v>
      </c>
      <c r="K50" s="339" t="str">
        <f>IFERROR(IF(OR(J50='DICTIONARY-5'!$A$2,J50='DICTIONARY-5'!$A$4,ISBLANK(J50)),VLOOKUP(I50,LIST!$A$6:$L$3250,CURR_1.SEARCH.OLD,0),VLOOKUP(J50,LIST!$B$6:$L$3250,CURR_1.SEARCH.NEW,0)),'DICTIONARY-5'!$A$2)</f>
        <v>2 325,-</v>
      </c>
      <c r="L50" s="339" t="str">
        <f>IFERROR(IF(OR(J50='DICTIONARY-5'!$A$2,J50='DICTIONARY-5'!$A$4,ISBLANK(J50)),VLOOKUP(I50,LIST!$A$6:$M$3250,CURR_2.SEARCH.OLD,0),VLOOKUP(J50,LIST!$B$6:$M$3250,CURR_2.SEARCH.NEW,0)),'DICTIONARY-5'!$A$2)</f>
        <v/>
      </c>
      <c r="O50"/>
    </row>
    <row r="51" spans="1:15" x14ac:dyDescent="0.25">
      <c r="A51" s="18">
        <v>80</v>
      </c>
      <c r="B51" s="18" t="s">
        <v>85</v>
      </c>
      <c r="C51" s="18">
        <v>180</v>
      </c>
      <c r="D51" s="18" t="s">
        <v>225</v>
      </c>
      <c r="E51" s="338" t="s">
        <v>3110</v>
      </c>
      <c r="F51" s="339" t="str">
        <f>IFERROR(IF(OR(E51='DICTIONARY-5'!$A$2,E51='DICTIONARY-5'!$A$4,ISBLANK(E51)),VLOOKUP(D51,LIST!$A$6:$L$3250,CURR_1.SEARCH.OLD,0),VLOOKUP(E51,LIST!$B$6:$L$3250,CURR_1.SEARCH.NEW,0)),'DICTIONARY-5'!$A$2)</f>
        <v>2 318,-</v>
      </c>
      <c r="G51" s="339" t="str">
        <f>IFERROR(IF(OR(E51='DICTIONARY-5'!$A$2,E51='DICTIONARY-5'!$A$4,ISBLANK(E51)),VLOOKUP(D51,LIST!$A$6:$M$3250,CURR_2.SEARCH.OLD,0),VLOOKUP(E51,LIST!$B$6:$M$3250,CURR_2.SEARCH.NEW,0)),'DICTIONARY-5'!$A$2)</f>
        <v/>
      </c>
      <c r="H51" s="18">
        <v>280</v>
      </c>
      <c r="I51" s="18" t="s">
        <v>226</v>
      </c>
      <c r="J51" s="338" t="s">
        <v>3100</v>
      </c>
      <c r="K51" s="339" t="str">
        <f>IFERROR(IF(OR(J51='DICTIONARY-5'!$A$2,J51='DICTIONARY-5'!$A$4,ISBLANK(J51)),VLOOKUP(I51,LIST!$A$6:$L$3250,CURR_1.SEARCH.OLD,0),VLOOKUP(J51,LIST!$B$6:$L$3250,CURR_1.SEARCH.NEW,0)),'DICTIONARY-5'!$A$2)</f>
        <v>2 329,-</v>
      </c>
      <c r="L51" s="339" t="str">
        <f>IFERROR(IF(OR(J51='DICTIONARY-5'!$A$2,J51='DICTIONARY-5'!$A$4,ISBLANK(J51)),VLOOKUP(I51,LIST!$A$6:$M$3250,CURR_2.SEARCH.OLD,0),VLOOKUP(J51,LIST!$B$6:$M$3250,CURR_2.SEARCH.NEW,0)),'DICTIONARY-5'!$A$2)</f>
        <v/>
      </c>
      <c r="O51"/>
    </row>
    <row r="52" spans="1:15" x14ac:dyDescent="0.25">
      <c r="A52" s="18">
        <v>100</v>
      </c>
      <c r="B52" s="18" t="s">
        <v>85</v>
      </c>
      <c r="C52" s="18">
        <v>190</v>
      </c>
      <c r="D52" s="18" t="s">
        <v>227</v>
      </c>
      <c r="E52" s="338" t="s">
        <v>3111</v>
      </c>
      <c r="F52" s="339" t="str">
        <f>IFERROR(IF(OR(E52='DICTIONARY-5'!$A$2,E52='DICTIONARY-5'!$A$4,ISBLANK(E52)),VLOOKUP(D52,LIST!$A$6:$L$3250,CURR_1.SEARCH.OLD,0),VLOOKUP(E52,LIST!$B$6:$L$3250,CURR_1.SEARCH.NEW,0)),'DICTIONARY-5'!$A$2)</f>
        <v>2 346,-</v>
      </c>
      <c r="G52" s="339" t="str">
        <f>IFERROR(IF(OR(E52='DICTIONARY-5'!$A$2,E52='DICTIONARY-5'!$A$4,ISBLANK(E52)),VLOOKUP(D52,LIST!$A$6:$M$3250,CURR_2.SEARCH.OLD,0),VLOOKUP(E52,LIST!$B$6:$M$3250,CURR_2.SEARCH.NEW,0)),'DICTIONARY-5'!$A$2)</f>
        <v/>
      </c>
      <c r="H52" s="18">
        <v>300</v>
      </c>
      <c r="I52" s="18" t="s">
        <v>228</v>
      </c>
      <c r="J52" s="338" t="s">
        <v>3101</v>
      </c>
      <c r="K52" s="339" t="str">
        <f>IFERROR(IF(OR(J52='DICTIONARY-5'!$A$2,J52='DICTIONARY-5'!$A$4,ISBLANK(J52)),VLOOKUP(I52,LIST!$A$6:$L$3250,CURR_1.SEARCH.OLD,0),VLOOKUP(J52,LIST!$B$6:$L$3250,CURR_1.SEARCH.NEW,0)),'DICTIONARY-5'!$A$2)</f>
        <v>2 366,-</v>
      </c>
      <c r="L52" s="339" t="str">
        <f>IFERROR(IF(OR(J52='DICTIONARY-5'!$A$2,J52='DICTIONARY-5'!$A$4,ISBLANK(J52)),VLOOKUP(I52,LIST!$A$6:$M$3250,CURR_2.SEARCH.OLD,0),VLOOKUP(J52,LIST!$B$6:$M$3250,CURR_2.SEARCH.NEW,0)),'DICTIONARY-5'!$A$2)</f>
        <v/>
      </c>
      <c r="O52"/>
    </row>
    <row r="53" spans="1:15" x14ac:dyDescent="0.25">
      <c r="A53" s="18">
        <v>125</v>
      </c>
      <c r="B53" s="18" t="s">
        <v>85</v>
      </c>
      <c r="C53" s="18">
        <v>200</v>
      </c>
      <c r="D53" s="18" t="s">
        <v>229</v>
      </c>
      <c r="E53" s="338" t="s">
        <v>3112</v>
      </c>
      <c r="F53" s="339" t="str">
        <f>IFERROR(IF(OR(E53='DICTIONARY-5'!$A$2,E53='DICTIONARY-5'!$A$4,ISBLANK(E53)),VLOOKUP(D53,LIST!$A$6:$L$3250,CURR_1.SEARCH.OLD,0),VLOOKUP(E53,LIST!$B$6:$L$3250,CURR_1.SEARCH.NEW,0)),'DICTIONARY-5'!$A$2)</f>
        <v>3 007,-</v>
      </c>
      <c r="G53" s="339" t="str">
        <f>IFERROR(IF(OR(E53='DICTIONARY-5'!$A$2,E53='DICTIONARY-5'!$A$4,ISBLANK(E53)),VLOOKUP(D53,LIST!$A$6:$M$3250,CURR_2.SEARCH.OLD,0),VLOOKUP(E53,LIST!$B$6:$M$3250,CURR_2.SEARCH.NEW,0)),'DICTIONARY-5'!$A$2)</f>
        <v/>
      </c>
      <c r="H53" s="18">
        <v>325</v>
      </c>
      <c r="I53" s="18" t="s">
        <v>230</v>
      </c>
      <c r="J53" s="338" t="s">
        <v>3102</v>
      </c>
      <c r="K53" s="339" t="str">
        <f>IFERROR(IF(OR(J53='DICTIONARY-5'!$A$2,J53='DICTIONARY-5'!$A$4,ISBLANK(J53)),VLOOKUP(I53,LIST!$A$6:$L$3250,CURR_1.SEARCH.OLD,0),VLOOKUP(J53,LIST!$B$6:$L$3250,CURR_1.SEARCH.NEW,0)),'DICTIONARY-5'!$A$2)</f>
        <v>3 069,-</v>
      </c>
      <c r="L53" s="339" t="str">
        <f>IFERROR(IF(OR(J53='DICTIONARY-5'!$A$2,J53='DICTIONARY-5'!$A$4,ISBLANK(J53)),VLOOKUP(I53,LIST!$A$6:$M$3250,CURR_2.SEARCH.OLD,0),VLOOKUP(J53,LIST!$B$6:$M$3250,CURR_2.SEARCH.NEW,0)),'DICTIONARY-5'!$A$2)</f>
        <v/>
      </c>
      <c r="O53"/>
    </row>
    <row r="54" spans="1:15" x14ac:dyDescent="0.25">
      <c r="A54" s="18">
        <v>150</v>
      </c>
      <c r="B54" s="18" t="s">
        <v>85</v>
      </c>
      <c r="C54" s="18">
        <v>210</v>
      </c>
      <c r="D54" s="18" t="s">
        <v>231</v>
      </c>
      <c r="E54" s="338" t="s">
        <v>3113</v>
      </c>
      <c r="F54" s="339" t="str">
        <f>IFERROR(IF(OR(E54='DICTIONARY-5'!$A$2,E54='DICTIONARY-5'!$A$4,ISBLANK(E54)),VLOOKUP(D54,LIST!$A$6:$L$3250,CURR_1.SEARCH.OLD,0),VLOOKUP(E54,LIST!$B$6:$L$3250,CURR_1.SEARCH.NEW,0)),'DICTIONARY-5'!$A$2)</f>
        <v>3 034,-</v>
      </c>
      <c r="G54" s="339" t="str">
        <f>IFERROR(IF(OR(E54='DICTIONARY-5'!$A$2,E54='DICTIONARY-5'!$A$4,ISBLANK(E54)),VLOOKUP(D54,LIST!$A$6:$M$3250,CURR_2.SEARCH.OLD,0),VLOOKUP(E54,LIST!$B$6:$M$3250,CURR_2.SEARCH.NEW,0)),'DICTIONARY-5'!$A$2)</f>
        <v/>
      </c>
      <c r="H54" s="18">
        <v>350</v>
      </c>
      <c r="I54" s="18" t="s">
        <v>232</v>
      </c>
      <c r="J54" s="338" t="s">
        <v>3103</v>
      </c>
      <c r="K54" s="339" t="str">
        <f>IFERROR(IF(OR(J54='DICTIONARY-5'!$A$2,J54='DICTIONARY-5'!$A$4,ISBLANK(J54)),VLOOKUP(I54,LIST!$A$6:$L$3250,CURR_1.SEARCH.OLD,0),VLOOKUP(J54,LIST!$B$6:$L$3250,CURR_1.SEARCH.NEW,0)),'DICTIONARY-5'!$A$2)</f>
        <v>3 095,-</v>
      </c>
      <c r="L54" s="339" t="str">
        <f>IFERROR(IF(OR(J54='DICTIONARY-5'!$A$2,J54='DICTIONARY-5'!$A$4,ISBLANK(J54)),VLOOKUP(I54,LIST!$A$6:$M$3250,CURR_2.SEARCH.OLD,0),VLOOKUP(J54,LIST!$B$6:$M$3250,CURR_2.SEARCH.NEW,0)),'DICTIONARY-5'!$A$2)</f>
        <v/>
      </c>
      <c r="O54"/>
    </row>
    <row r="55" spans="1:15" x14ac:dyDescent="0.25">
      <c r="A55" s="18">
        <v>200</v>
      </c>
      <c r="B55" s="18">
        <v>10</v>
      </c>
      <c r="C55" s="18">
        <v>230</v>
      </c>
      <c r="D55" s="18" t="s">
        <v>233</v>
      </c>
      <c r="E55" s="338" t="s">
        <v>3091</v>
      </c>
      <c r="F55" s="339" t="str">
        <f>IFERROR(IF(OR(E55='DICTIONARY-5'!$A$2,E55='DICTIONARY-5'!$A$4,ISBLANK(E55)),VLOOKUP(D55,LIST!$A$6:$L$3250,CURR_1.SEARCH.OLD,0),VLOOKUP(E55,LIST!$B$6:$L$3250,CURR_1.SEARCH.NEW,0)),'DICTIONARY-5'!$A$2)</f>
        <v>3 458,-</v>
      </c>
      <c r="G55" s="339" t="str">
        <f>IFERROR(IF(OR(E55='DICTIONARY-5'!$A$2,E55='DICTIONARY-5'!$A$4,ISBLANK(E55)),VLOOKUP(D55,LIST!$A$6:$M$3250,CURR_2.SEARCH.OLD,0),VLOOKUP(E55,LIST!$B$6:$M$3250,CURR_2.SEARCH.NEW,0)),'DICTIONARY-5'!$A$2)</f>
        <v/>
      </c>
      <c r="H55" s="18">
        <v>400</v>
      </c>
      <c r="I55" s="18" t="s">
        <v>234</v>
      </c>
      <c r="J55" s="338" t="s">
        <v>3094</v>
      </c>
      <c r="K55" s="339" t="str">
        <f>IFERROR(IF(OR(J55='DICTIONARY-5'!$A$2,J55='DICTIONARY-5'!$A$4,ISBLANK(J55)),VLOOKUP(I55,LIST!$A$6:$L$3250,CURR_1.SEARCH.OLD,0),VLOOKUP(J55,LIST!$B$6:$L$3250,CURR_1.SEARCH.NEW,0)),'DICTIONARY-5'!$A$2)</f>
        <v>3 556,-</v>
      </c>
      <c r="L55" s="339" t="str">
        <f>IFERROR(IF(OR(J55='DICTIONARY-5'!$A$2,J55='DICTIONARY-5'!$A$4,ISBLANK(J55)),VLOOKUP(I55,LIST!$A$6:$M$3250,CURR_2.SEARCH.OLD,0),VLOOKUP(J55,LIST!$B$6:$M$3250,CURR_2.SEARCH.NEW,0)),'DICTIONARY-5'!$A$2)</f>
        <v/>
      </c>
      <c r="O55"/>
    </row>
    <row r="56" spans="1:15" x14ac:dyDescent="0.25">
      <c r="A56" s="18">
        <v>200</v>
      </c>
      <c r="B56" s="18">
        <v>16</v>
      </c>
      <c r="C56" s="18">
        <v>230</v>
      </c>
      <c r="D56" s="18" t="s">
        <v>235</v>
      </c>
      <c r="E56" s="338" t="s">
        <v>3114</v>
      </c>
      <c r="F56" s="339" t="str">
        <f>IFERROR(IF(OR(E56='DICTIONARY-5'!$A$2,E56='DICTIONARY-5'!$A$4,ISBLANK(E56)),VLOOKUP(D56,LIST!$A$6:$L$3250,CURR_1.SEARCH.OLD,0),VLOOKUP(E56,LIST!$B$6:$L$3250,CURR_1.SEARCH.NEW,0)),'DICTIONARY-5'!$A$2)</f>
        <v>3 458,-</v>
      </c>
      <c r="G56" s="339" t="str">
        <f>IFERROR(IF(OR(E56='DICTIONARY-5'!$A$2,E56='DICTIONARY-5'!$A$4,ISBLANK(E56)),VLOOKUP(D56,LIST!$A$6:$M$3250,CURR_2.SEARCH.OLD,0),VLOOKUP(E56,LIST!$B$6:$M$3250,CURR_2.SEARCH.NEW,0)),'DICTIONARY-5'!$A$2)</f>
        <v/>
      </c>
      <c r="H56" s="18">
        <v>400</v>
      </c>
      <c r="I56" s="18" t="s">
        <v>236</v>
      </c>
      <c r="J56" s="338" t="s">
        <v>3104</v>
      </c>
      <c r="K56" s="339" t="str">
        <f>IFERROR(IF(OR(J56='DICTIONARY-5'!$A$2,J56='DICTIONARY-5'!$A$4,ISBLANK(J56)),VLOOKUP(I56,LIST!$A$6:$L$3250,CURR_1.SEARCH.OLD,0),VLOOKUP(J56,LIST!$B$6:$L$3250,CURR_1.SEARCH.NEW,0)),'DICTIONARY-5'!$A$2)</f>
        <v>3 564,-</v>
      </c>
      <c r="L56" s="339" t="str">
        <f>IFERROR(IF(OR(J56='DICTIONARY-5'!$A$2,J56='DICTIONARY-5'!$A$4,ISBLANK(J56)),VLOOKUP(I56,LIST!$A$6:$M$3250,CURR_2.SEARCH.OLD,0),VLOOKUP(J56,LIST!$B$6:$M$3250,CURR_2.SEARCH.NEW,0)),'DICTIONARY-5'!$A$2)</f>
        <v/>
      </c>
      <c r="O56"/>
    </row>
    <row r="57" spans="1:15" x14ac:dyDescent="0.25">
      <c r="A57" s="18">
        <v>250</v>
      </c>
      <c r="B57" s="18">
        <v>10</v>
      </c>
      <c r="C57" s="18">
        <v>250</v>
      </c>
      <c r="D57" s="18" t="s">
        <v>237</v>
      </c>
      <c r="E57" s="338" t="s">
        <v>3092</v>
      </c>
      <c r="F57" s="339" t="str">
        <f>IFERROR(IF(OR(E57='DICTIONARY-5'!$A$2,E57='DICTIONARY-5'!$A$4,ISBLANK(E57)),VLOOKUP(D57,LIST!$A$6:$L$3250,CURR_1.SEARCH.OLD,0),VLOOKUP(E57,LIST!$B$6:$L$3250,CURR_1.SEARCH.NEW,0)),'DICTIONARY-5'!$A$2)</f>
        <v>3 711,-</v>
      </c>
      <c r="G57" s="339" t="str">
        <f>IFERROR(IF(OR(E57='DICTIONARY-5'!$A$2,E57='DICTIONARY-5'!$A$4,ISBLANK(E57)),VLOOKUP(D57,LIST!$A$6:$M$3250,CURR_2.SEARCH.OLD,0),VLOOKUP(E57,LIST!$B$6:$M$3250,CURR_2.SEARCH.NEW,0)),'DICTIONARY-5'!$A$2)</f>
        <v/>
      </c>
      <c r="H57" s="18">
        <v>450</v>
      </c>
      <c r="I57" s="18" t="s">
        <v>238</v>
      </c>
      <c r="J57" s="338" t="s">
        <v>3095</v>
      </c>
      <c r="K57" s="339" t="str">
        <f>IFERROR(IF(OR(J57='DICTIONARY-5'!$A$2,J57='DICTIONARY-5'!$A$4,ISBLANK(J57)),VLOOKUP(I57,LIST!$A$6:$L$3250,CURR_1.SEARCH.OLD,0),VLOOKUP(J57,LIST!$B$6:$L$3250,CURR_1.SEARCH.NEW,0)),'DICTIONARY-5'!$A$2)</f>
        <v>4 076,-</v>
      </c>
      <c r="L57" s="339" t="str">
        <f>IFERROR(IF(OR(J57='DICTIONARY-5'!$A$2,J57='DICTIONARY-5'!$A$4,ISBLANK(J57)),VLOOKUP(I57,LIST!$A$6:$M$3250,CURR_2.SEARCH.OLD,0),VLOOKUP(J57,LIST!$B$6:$M$3250,CURR_2.SEARCH.NEW,0)),'DICTIONARY-5'!$A$2)</f>
        <v/>
      </c>
      <c r="O57"/>
    </row>
    <row r="58" spans="1:15" x14ac:dyDescent="0.25">
      <c r="A58" s="18">
        <v>250</v>
      </c>
      <c r="B58" s="18">
        <v>16</v>
      </c>
      <c r="C58" s="18">
        <v>250</v>
      </c>
      <c r="D58" s="18" t="s">
        <v>239</v>
      </c>
      <c r="E58" s="338" t="s">
        <v>3115</v>
      </c>
      <c r="F58" s="339" t="str">
        <f>IFERROR(IF(OR(E58='DICTIONARY-5'!$A$2,E58='DICTIONARY-5'!$A$4,ISBLANK(E58)),VLOOKUP(D58,LIST!$A$6:$L$3250,CURR_1.SEARCH.OLD,0),VLOOKUP(E58,LIST!$B$6:$L$3250,CURR_1.SEARCH.NEW,0)),'DICTIONARY-5'!$A$2)</f>
        <v>4 765,-</v>
      </c>
      <c r="G58" s="339" t="str">
        <f>IFERROR(IF(OR(E58='DICTIONARY-5'!$A$2,E58='DICTIONARY-5'!$A$4,ISBLANK(E58)),VLOOKUP(D58,LIST!$A$6:$M$3250,CURR_2.SEARCH.OLD,0),VLOOKUP(E58,LIST!$B$6:$M$3250,CURR_2.SEARCH.NEW,0)),'DICTIONARY-5'!$A$2)</f>
        <v/>
      </c>
      <c r="H58" s="18">
        <v>450</v>
      </c>
      <c r="I58" s="18" t="s">
        <v>240</v>
      </c>
      <c r="J58" s="338" t="s">
        <v>3105</v>
      </c>
      <c r="K58" s="339" t="str">
        <f>IFERROR(IF(OR(J58='DICTIONARY-5'!$A$2,J58='DICTIONARY-5'!$A$4,ISBLANK(J58)),VLOOKUP(I58,LIST!$A$6:$L$3250,CURR_1.SEARCH.OLD,0),VLOOKUP(J58,LIST!$B$6:$L$3250,CURR_1.SEARCH.NEW,0)),'DICTIONARY-5'!$A$2)</f>
        <v>5 142,-</v>
      </c>
      <c r="L58" s="339" t="str">
        <f>IFERROR(IF(OR(J58='DICTIONARY-5'!$A$2,J58='DICTIONARY-5'!$A$4,ISBLANK(J58)),VLOOKUP(I58,LIST!$A$6:$M$3250,CURR_2.SEARCH.OLD,0),VLOOKUP(J58,LIST!$B$6:$M$3250,CURR_2.SEARCH.NEW,0)),'DICTIONARY-5'!$A$2)</f>
        <v/>
      </c>
    </row>
    <row r="59" spans="1:15" x14ac:dyDescent="0.25">
      <c r="A59" s="18">
        <v>300</v>
      </c>
      <c r="B59" s="18">
        <v>10</v>
      </c>
      <c r="C59" s="18">
        <v>270</v>
      </c>
      <c r="D59" s="18" t="s">
        <v>241</v>
      </c>
      <c r="E59" s="338" t="s">
        <v>3093</v>
      </c>
      <c r="F59" s="339" t="str">
        <f>IFERROR(IF(OR(E59='DICTIONARY-5'!$A$2,E59='DICTIONARY-5'!$A$4,ISBLANK(E59)),VLOOKUP(D59,LIST!$A$6:$L$3250,CURR_1.SEARCH.OLD,0),VLOOKUP(E59,LIST!$B$6:$L$3250,CURR_1.SEARCH.NEW,0)),'DICTIONARY-5'!$A$2)</f>
        <v>3 927,-</v>
      </c>
      <c r="G59" s="339" t="str">
        <f>IFERROR(IF(OR(E59='DICTIONARY-5'!$A$2,E59='DICTIONARY-5'!$A$4,ISBLANK(E59)),VLOOKUP(D59,LIST!$A$6:$M$3250,CURR_2.SEARCH.OLD,0),VLOOKUP(E59,LIST!$B$6:$M$3250,CURR_2.SEARCH.NEW,0)),'DICTIONARY-5'!$A$2)</f>
        <v/>
      </c>
      <c r="H59" s="18">
        <v>500</v>
      </c>
      <c r="I59" s="18" t="s">
        <v>242</v>
      </c>
      <c r="J59" s="338" t="s">
        <v>3096</v>
      </c>
      <c r="K59" s="339" t="str">
        <f>IFERROR(IF(OR(J59='DICTIONARY-5'!$A$2,J59='DICTIONARY-5'!$A$4,ISBLANK(J59)),VLOOKUP(I59,LIST!$A$6:$L$3250,CURR_1.SEARCH.OLD,0),VLOOKUP(J59,LIST!$B$6:$L$3250,CURR_1.SEARCH.NEW,0)),'DICTIONARY-5'!$A$2)</f>
        <v>4 374,-</v>
      </c>
      <c r="L59" s="339" t="str">
        <f>IFERROR(IF(OR(J59='DICTIONARY-5'!$A$2,J59='DICTIONARY-5'!$A$4,ISBLANK(J59)),VLOOKUP(I59,LIST!$A$6:$M$3250,CURR_2.SEARCH.OLD,0),VLOOKUP(J59,LIST!$B$6:$M$3250,CURR_2.SEARCH.NEW,0)),'DICTIONARY-5'!$A$2)</f>
        <v/>
      </c>
      <c r="O59"/>
    </row>
    <row r="60" spans="1:15" x14ac:dyDescent="0.25">
      <c r="A60" s="18">
        <v>300</v>
      </c>
      <c r="B60" s="18">
        <v>16</v>
      </c>
      <c r="C60" s="18">
        <v>270</v>
      </c>
      <c r="D60" s="18" t="s">
        <v>243</v>
      </c>
      <c r="E60" s="338" t="s">
        <v>3116</v>
      </c>
      <c r="F60" s="339" t="str">
        <f>IFERROR(IF(OR(E60='DICTIONARY-5'!$A$2,E60='DICTIONARY-5'!$A$4,ISBLANK(E60)),VLOOKUP(D60,LIST!$A$6:$L$3250,CURR_1.SEARCH.OLD,0),VLOOKUP(E60,LIST!$B$6:$L$3250,CURR_1.SEARCH.NEW,0)),'DICTIONARY-5'!$A$2)</f>
        <v>4 971,-</v>
      </c>
      <c r="G60" s="339" t="str">
        <f>IFERROR(IF(OR(E60='DICTIONARY-5'!$A$2,E60='DICTIONARY-5'!$A$4,ISBLANK(E60)),VLOOKUP(D60,LIST!$A$6:$M$3250,CURR_2.SEARCH.OLD,0),VLOOKUP(E60,LIST!$B$6:$M$3250,CURR_2.SEARCH.NEW,0)),'DICTIONARY-5'!$A$2)</f>
        <v/>
      </c>
      <c r="H60" s="18">
        <v>500</v>
      </c>
      <c r="I60" s="18" t="s">
        <v>244</v>
      </c>
      <c r="J60" s="338" t="s">
        <v>3106</v>
      </c>
      <c r="K60" s="339" t="str">
        <f>IFERROR(IF(OR(J60='DICTIONARY-5'!$A$2,J60='DICTIONARY-5'!$A$4,ISBLANK(J60)),VLOOKUP(I60,LIST!$A$6:$L$3250,CURR_1.SEARCH.OLD,0),VLOOKUP(J60,LIST!$B$6:$L$3250,CURR_1.SEARCH.NEW,0)),'DICTIONARY-5'!$A$2)</f>
        <v>5 465,-</v>
      </c>
      <c r="L60" s="339" t="str">
        <f>IFERROR(IF(OR(J60='DICTIONARY-5'!$A$2,J60='DICTIONARY-5'!$A$4,ISBLANK(J60)),VLOOKUP(I60,LIST!$A$6:$M$3250,CURR_2.SEARCH.OLD,0),VLOOKUP(J60,LIST!$B$6:$M$3250,CURR_2.SEARCH.NEW,0)),'DICTIONARY-5'!$A$2)</f>
        <v/>
      </c>
      <c r="O60"/>
    </row>
    <row r="61" spans="1:15" x14ac:dyDescent="0.25">
      <c r="A61" s="18">
        <v>350</v>
      </c>
      <c r="B61" s="18">
        <v>10</v>
      </c>
      <c r="C61" s="18">
        <v>290</v>
      </c>
      <c r="D61" s="18" t="s">
        <v>8270</v>
      </c>
      <c r="E61" s="338" t="s">
        <v>8262</v>
      </c>
      <c r="F61" s="339" t="str">
        <f>IFERROR(IF(OR(E61='DICTIONARY-5'!$A$2,E61='DICTIONARY-5'!$A$4,ISBLANK(E61)),VLOOKUP(D61,LIST!$A$6:$L$3250,CURR_1.SEARCH.OLD,0),VLOOKUP(E61,LIST!$B$6:$L$3250,CURR_1.SEARCH.NEW,0)),'DICTIONARY-5'!$A$2)</f>
        <v>3 847,-</v>
      </c>
      <c r="G61" s="339" t="str">
        <f>IFERROR(IF(OR(E61='DICTIONARY-5'!$A$2,E61='DICTIONARY-5'!$A$4,ISBLANK(E61)),VLOOKUP(D61,LIST!$A$6:$M$3250,CURR_2.SEARCH.OLD,0),VLOOKUP(E61,LIST!$B$6:$M$3250,CURR_2.SEARCH.NEW,0)),'DICTIONARY-5'!$A$2)</f>
        <v/>
      </c>
      <c r="H61" s="18">
        <v>550</v>
      </c>
      <c r="I61" s="18" t="s">
        <v>8286</v>
      </c>
      <c r="J61" s="338" t="s">
        <v>8278</v>
      </c>
      <c r="K61" s="339" t="str">
        <f>IFERROR(IF(OR(J61='DICTIONARY-5'!$A$2,J61='DICTIONARY-5'!$A$4,ISBLANK(J61)),VLOOKUP(I61,LIST!$A$6:$L$3250,CURR_1.SEARCH.OLD,0),VLOOKUP(J61,LIST!$B$6:$L$3250,CURR_1.SEARCH.NEW,0)),'DICTIONARY-5'!$A$2)</f>
        <v>3 915,-</v>
      </c>
      <c r="L61" s="339" t="str">
        <f>IFERROR(IF(OR(J61='DICTIONARY-5'!$A$2,J61='DICTIONARY-5'!$A$4,ISBLANK(J61)),VLOOKUP(I61,LIST!$A$6:$M$3250,CURR_2.SEARCH.OLD,0),VLOOKUP(J61,LIST!$B$6:$M$3250,CURR_2.SEARCH.NEW,0)),'DICTIONARY-5'!$A$2)</f>
        <v/>
      </c>
      <c r="O61"/>
    </row>
    <row r="62" spans="1:15" x14ac:dyDescent="0.25">
      <c r="A62" s="18">
        <v>350</v>
      </c>
      <c r="B62" s="18">
        <v>16</v>
      </c>
      <c r="C62" s="18">
        <v>290</v>
      </c>
      <c r="D62" s="18" t="s">
        <v>8271</v>
      </c>
      <c r="E62" s="338" t="s">
        <v>8263</v>
      </c>
      <c r="F62" s="339" t="str">
        <f>IFERROR(IF(OR(E62='DICTIONARY-5'!$A$2,E62='DICTIONARY-5'!$A$4,ISBLANK(E62)),VLOOKUP(D62,LIST!$A$6:$L$3250,CURR_1.SEARCH.OLD,0),VLOOKUP(E62,LIST!$B$6:$L$3250,CURR_1.SEARCH.NEW,0)),'DICTIONARY-5'!$A$2)</f>
        <v>3 942,-</v>
      </c>
      <c r="G62" s="339" t="str">
        <f>IFERROR(IF(OR(E62='DICTIONARY-5'!$A$2,E62='DICTIONARY-5'!$A$4,ISBLANK(E62)),VLOOKUP(D62,LIST!$A$6:$M$3250,CURR_2.SEARCH.OLD,0),VLOOKUP(E62,LIST!$B$6:$M$3250,CURR_2.SEARCH.NEW,0)),'DICTIONARY-5'!$A$2)</f>
        <v/>
      </c>
      <c r="H62" s="18">
        <v>550</v>
      </c>
      <c r="I62" s="18" t="s">
        <v>8287</v>
      </c>
      <c r="J62" s="338" t="s">
        <v>8279</v>
      </c>
      <c r="K62" s="339" t="str">
        <f>IFERROR(IF(OR(J62='DICTIONARY-5'!$A$2,J62='DICTIONARY-5'!$A$4,ISBLANK(J62)),VLOOKUP(I62,LIST!$A$6:$L$3250,CURR_1.SEARCH.OLD,0),VLOOKUP(J62,LIST!$B$6:$L$3250,CURR_1.SEARCH.NEW,0)),'DICTIONARY-5'!$A$2)</f>
        <v>4 027,-</v>
      </c>
      <c r="L62" s="339" t="str">
        <f>IFERROR(IF(OR(J62='DICTIONARY-5'!$A$2,J62='DICTIONARY-5'!$A$4,ISBLANK(J62)),VLOOKUP(I62,LIST!$A$6:$M$3250,CURR_2.SEARCH.OLD,0),VLOOKUP(J62,LIST!$B$6:$M$3250,CURR_2.SEARCH.NEW,0)),'DICTIONARY-5'!$A$2)</f>
        <v/>
      </c>
      <c r="O62"/>
    </row>
    <row r="63" spans="1:15" x14ac:dyDescent="0.25">
      <c r="A63" s="18">
        <v>400</v>
      </c>
      <c r="B63" s="18">
        <v>10</v>
      </c>
      <c r="C63" s="18">
        <v>310</v>
      </c>
      <c r="D63" s="18" t="s">
        <v>8272</v>
      </c>
      <c r="E63" s="338" t="s">
        <v>8264</v>
      </c>
      <c r="F63" s="339" t="str">
        <f>IFERROR(IF(OR(E63='DICTIONARY-5'!$A$2,E63='DICTIONARY-5'!$A$4,ISBLANK(E63)),VLOOKUP(D63,LIST!$A$6:$L$3250,CURR_1.SEARCH.OLD,0),VLOOKUP(E63,LIST!$B$6:$L$3250,CURR_1.SEARCH.NEW,0)),'DICTIONARY-5'!$A$2)</f>
        <v>4 530,-</v>
      </c>
      <c r="G63" s="339" t="str">
        <f>IFERROR(IF(OR(E63='DICTIONARY-5'!$A$2,E63='DICTIONARY-5'!$A$4,ISBLANK(E63)),VLOOKUP(D63,LIST!$A$6:$M$3250,CURR_2.SEARCH.OLD,0),VLOOKUP(E63,LIST!$B$6:$M$3250,CURR_2.SEARCH.NEW,0)),'DICTIONARY-5'!$A$2)</f>
        <v/>
      </c>
      <c r="H63" s="18">
        <v>600</v>
      </c>
      <c r="I63" s="18" t="s">
        <v>8288</v>
      </c>
      <c r="J63" s="338" t="s">
        <v>8280</v>
      </c>
      <c r="K63" s="339" t="str">
        <f>IFERROR(IF(OR(J63='DICTIONARY-5'!$A$2,J63='DICTIONARY-5'!$A$4,ISBLANK(J63)),VLOOKUP(I63,LIST!$A$6:$L$3250,CURR_1.SEARCH.OLD,0),VLOOKUP(J63,LIST!$B$6:$L$3250,CURR_1.SEARCH.NEW,0)),'DICTIONARY-5'!$A$2)</f>
        <v>4 665,-</v>
      </c>
      <c r="L63" s="339" t="str">
        <f>IFERROR(IF(OR(J63='DICTIONARY-5'!$A$2,J63='DICTIONARY-5'!$A$4,ISBLANK(J63)),VLOOKUP(I63,LIST!$A$6:$M$3250,CURR_2.SEARCH.OLD,0),VLOOKUP(J63,LIST!$B$6:$M$3250,CURR_2.SEARCH.NEW,0)),'DICTIONARY-5'!$A$2)</f>
        <v/>
      </c>
      <c r="O63"/>
    </row>
    <row r="64" spans="1:15" x14ac:dyDescent="0.25">
      <c r="A64" s="18">
        <v>400</v>
      </c>
      <c r="B64" s="18">
        <v>16</v>
      </c>
      <c r="C64" s="18">
        <v>310</v>
      </c>
      <c r="D64" s="18" t="s">
        <v>8273</v>
      </c>
      <c r="E64" s="338" t="s">
        <v>8265</v>
      </c>
      <c r="F64" s="339" t="str">
        <f>IFERROR(IF(OR(E64='DICTIONARY-5'!$A$2,E64='DICTIONARY-5'!$A$4,ISBLANK(E64)),VLOOKUP(D64,LIST!$A$6:$L$3250,CURR_1.SEARCH.OLD,0),VLOOKUP(E64,LIST!$B$6:$L$3250,CURR_1.SEARCH.NEW,0)),'DICTIONARY-5'!$A$2)</f>
        <v>4 594,-</v>
      </c>
      <c r="G64" s="339" t="str">
        <f>IFERROR(IF(OR(E64='DICTIONARY-5'!$A$2,E64='DICTIONARY-5'!$A$4,ISBLANK(E64)),VLOOKUP(D64,LIST!$A$6:$M$3250,CURR_2.SEARCH.OLD,0),VLOOKUP(E64,LIST!$B$6:$M$3250,CURR_2.SEARCH.NEW,0)),'DICTIONARY-5'!$A$2)</f>
        <v/>
      </c>
      <c r="H64" s="18">
        <v>600</v>
      </c>
      <c r="I64" s="18" t="s">
        <v>8289</v>
      </c>
      <c r="J64" s="338" t="s">
        <v>8281</v>
      </c>
      <c r="K64" s="339" t="str">
        <f>IFERROR(IF(OR(J64='DICTIONARY-5'!$A$2,J64='DICTIONARY-5'!$A$4,ISBLANK(J64)),VLOOKUP(I64,LIST!$A$6:$L$3250,CURR_1.SEARCH.OLD,0),VLOOKUP(J64,LIST!$B$6:$L$3250,CURR_1.SEARCH.NEW,0)),'DICTIONARY-5'!$A$2)</f>
        <v>4 763,-</v>
      </c>
      <c r="L64" s="339" t="str">
        <f>IFERROR(IF(OR(J64='DICTIONARY-5'!$A$2,J64='DICTIONARY-5'!$A$4,ISBLANK(J64)),VLOOKUP(I64,LIST!$A$6:$M$3250,CURR_2.SEARCH.OLD,0),VLOOKUP(J64,LIST!$B$6:$M$3250,CURR_2.SEARCH.NEW,0)),'DICTIONARY-5'!$A$2)</f>
        <v/>
      </c>
      <c r="O64"/>
    </row>
    <row r="65" spans="1:19" x14ac:dyDescent="0.25">
      <c r="A65" s="18">
        <v>500</v>
      </c>
      <c r="B65" s="18">
        <v>10</v>
      </c>
      <c r="C65" s="18">
        <v>350</v>
      </c>
      <c r="D65" s="18" t="s">
        <v>8274</v>
      </c>
      <c r="E65" s="338" t="s">
        <v>8266</v>
      </c>
      <c r="F65" s="339" t="str">
        <f>IFERROR(IF(OR(E65='DICTIONARY-5'!$A$2,E65='DICTIONARY-5'!$A$4,ISBLANK(E65)),VLOOKUP(D65,LIST!$A$6:$L$3250,CURR_1.SEARCH.OLD,0),VLOOKUP(E65,LIST!$B$6:$L$3250,CURR_1.SEARCH.NEW,0)),'DICTIONARY-5'!$A$2)</f>
        <v>6 111,-</v>
      </c>
      <c r="G65" s="339" t="str">
        <f>IFERROR(IF(OR(E65='DICTIONARY-5'!$A$2,E65='DICTIONARY-5'!$A$4,ISBLANK(E65)),VLOOKUP(D65,LIST!$A$6:$M$3250,CURR_2.SEARCH.OLD,0),VLOOKUP(E65,LIST!$B$6:$M$3250,CURR_2.SEARCH.NEW,0)),'DICTIONARY-5'!$A$2)</f>
        <v/>
      </c>
      <c r="H65" s="18">
        <v>700</v>
      </c>
      <c r="I65" s="18" t="s">
        <v>8290</v>
      </c>
      <c r="J65" s="338" t="s">
        <v>8282</v>
      </c>
      <c r="K65" s="339" t="str">
        <f>IFERROR(IF(OR(J65='DICTIONARY-5'!$A$2,J65='DICTIONARY-5'!$A$4,ISBLANK(J65)),VLOOKUP(I65,LIST!$A$6:$L$3250,CURR_1.SEARCH.OLD,0),VLOOKUP(J65,LIST!$B$6:$L$3250,CURR_1.SEARCH.NEW,0)),'DICTIONARY-5'!$A$2)</f>
        <v>6 276,-</v>
      </c>
      <c r="L65" s="339" t="str">
        <f>IFERROR(IF(OR(J65='DICTIONARY-5'!$A$2,J65='DICTIONARY-5'!$A$4,ISBLANK(J65)),VLOOKUP(I65,LIST!$A$6:$M$3250,CURR_2.SEARCH.OLD,0),VLOOKUP(J65,LIST!$B$6:$M$3250,CURR_2.SEARCH.NEW,0)),'DICTIONARY-5'!$A$2)</f>
        <v/>
      </c>
      <c r="O65"/>
    </row>
    <row r="66" spans="1:19" x14ac:dyDescent="0.25">
      <c r="A66" s="18">
        <v>500</v>
      </c>
      <c r="B66" s="18">
        <v>16</v>
      </c>
      <c r="C66" s="18">
        <v>350</v>
      </c>
      <c r="D66" s="18" t="s">
        <v>8275</v>
      </c>
      <c r="E66" s="338" t="s">
        <v>8267</v>
      </c>
      <c r="F66" s="339" t="str">
        <f>IFERROR(IF(OR(E66='DICTIONARY-5'!$A$2,E66='DICTIONARY-5'!$A$4,ISBLANK(E66)),VLOOKUP(D66,LIST!$A$6:$L$3250,CURR_1.SEARCH.OLD,0),VLOOKUP(E66,LIST!$B$6:$L$3250,CURR_1.SEARCH.NEW,0)),'DICTIONARY-5'!$A$2)</f>
        <v>6 255,-</v>
      </c>
      <c r="G66" s="339" t="str">
        <f>IFERROR(IF(OR(E66='DICTIONARY-5'!$A$2,E66='DICTIONARY-5'!$A$4,ISBLANK(E66)),VLOOKUP(D66,LIST!$A$6:$M$3250,CURR_2.SEARCH.OLD,0),VLOOKUP(E66,LIST!$B$6:$M$3250,CURR_2.SEARCH.NEW,0)),'DICTIONARY-5'!$A$2)</f>
        <v/>
      </c>
      <c r="H66" s="18">
        <v>700</v>
      </c>
      <c r="I66" s="18" t="s">
        <v>8291</v>
      </c>
      <c r="J66" s="338" t="s">
        <v>8283</v>
      </c>
      <c r="K66" s="339" t="str">
        <f>IFERROR(IF(OR(J66='DICTIONARY-5'!$A$2,J66='DICTIONARY-5'!$A$4,ISBLANK(J66)),VLOOKUP(I66,LIST!$A$6:$L$3250,CURR_1.SEARCH.OLD,0),VLOOKUP(J66,LIST!$B$6:$L$3250,CURR_1.SEARCH.NEW,0)),'DICTIONARY-5'!$A$2)</f>
        <v>6 429,-</v>
      </c>
      <c r="L66" s="339" t="str">
        <f>IFERROR(IF(OR(J66='DICTIONARY-5'!$A$2,J66='DICTIONARY-5'!$A$4,ISBLANK(J66)),VLOOKUP(I66,LIST!$A$6:$M$3250,CURR_2.SEARCH.OLD,0),VLOOKUP(J66,LIST!$B$6:$M$3250,CURR_2.SEARCH.NEW,0)),'DICTIONARY-5'!$A$2)</f>
        <v/>
      </c>
      <c r="O66"/>
    </row>
    <row r="67" spans="1:19" x14ac:dyDescent="0.25">
      <c r="A67" s="18" t="s">
        <v>214</v>
      </c>
      <c r="B67" s="18">
        <v>10</v>
      </c>
      <c r="C67" s="18"/>
      <c r="D67" s="22"/>
      <c r="E67" s="22"/>
      <c r="F67" s="339"/>
      <c r="G67" s="339"/>
      <c r="H67" s="18">
        <v>800</v>
      </c>
      <c r="I67" s="18" t="s">
        <v>8292</v>
      </c>
      <c r="J67" s="338" t="s">
        <v>8284</v>
      </c>
      <c r="K67" s="339" t="str">
        <f>IFERROR(IF(OR(J67='DICTIONARY-5'!$A$2,J67='DICTIONARY-5'!$A$4,ISBLANK(J67)),VLOOKUP(I67,LIST!$A$6:$L$3250,CURR_1.SEARCH.OLD,0),VLOOKUP(J67,LIST!$B$6:$L$3250,CURR_1.SEARCH.NEW,0)),'DICTIONARY-5'!$A$2)</f>
        <v>7 951,-</v>
      </c>
      <c r="L67" s="339" t="str">
        <f>IFERROR(IF(OR(J67='DICTIONARY-5'!$A$2,J67='DICTIONARY-5'!$A$4,ISBLANK(J67)),VLOOKUP(I67,LIST!$A$6:$M$3250,CURR_2.SEARCH.OLD,0),VLOOKUP(J67,LIST!$B$6:$M$3250,CURR_2.SEARCH.NEW,0)),'DICTIONARY-5'!$A$2)</f>
        <v/>
      </c>
      <c r="O67"/>
    </row>
    <row r="68" spans="1:19" x14ac:dyDescent="0.25">
      <c r="A68" s="18" t="s">
        <v>214</v>
      </c>
      <c r="B68" s="18">
        <v>16</v>
      </c>
      <c r="C68" s="18"/>
      <c r="D68" s="22"/>
      <c r="E68" s="22"/>
      <c r="F68" s="339"/>
      <c r="G68" s="339"/>
      <c r="H68" s="18">
        <v>800</v>
      </c>
      <c r="I68" s="18" t="s">
        <v>8293</v>
      </c>
      <c r="J68" s="338" t="s">
        <v>8285</v>
      </c>
      <c r="K68" s="339" t="str">
        <f>IFERROR(IF(OR(J68='DICTIONARY-5'!$A$2,J68='DICTIONARY-5'!$A$4,ISBLANK(J68)),VLOOKUP(I68,LIST!$A$6:$L$3250,CURR_1.SEARCH.OLD,0),VLOOKUP(J68,LIST!$B$6:$L$3250,CURR_1.SEARCH.NEW,0)),'DICTIONARY-5'!$A$2)</f>
        <v>na zapytanie</v>
      </c>
      <c r="L68" s="339" t="str">
        <f>IFERROR(IF(OR(J68='DICTIONARY-5'!$A$2,J68='DICTIONARY-5'!$A$4,ISBLANK(J68)),VLOOKUP(I68,LIST!$A$6:$M$3250,CURR_2.SEARCH.OLD,0),VLOOKUP(J68,LIST!$B$6:$M$3250,CURR_2.SEARCH.NEW,0)),'DICTIONARY-5'!$A$2)</f>
        <v/>
      </c>
      <c r="O68"/>
    </row>
    <row r="69" spans="1:19" x14ac:dyDescent="0.25">
      <c r="A69" s="18">
        <v>600</v>
      </c>
      <c r="B69" s="18">
        <v>10</v>
      </c>
      <c r="C69" s="18">
        <v>390</v>
      </c>
      <c r="D69" s="18" t="s">
        <v>8276</v>
      </c>
      <c r="E69" s="337" t="s">
        <v>8268</v>
      </c>
      <c r="F69" s="339" t="str">
        <f>IFERROR(IF(OR(E69='DICTIONARY-5'!$A$2,E69='DICTIONARY-5'!$A$4,ISBLANK(E69)),VLOOKUP(D69,LIST!$A$6:$L$3250,CURR_1.SEARCH.OLD,0),VLOOKUP(E69,LIST!$B$6:$L$3250,CURR_1.SEARCH.NEW,0)),'DICTIONARY-5'!$A$2)</f>
        <v>8 315,-</v>
      </c>
      <c r="G69" s="339" t="str">
        <f>IFERROR(IF(OR(E69='DICTIONARY-5'!$A$2,E69='DICTIONARY-5'!$A$4,ISBLANK(E69)),VLOOKUP(D69,LIST!$A$6:$M$3250,CURR_2.SEARCH.OLD,0),VLOOKUP(E69,LIST!$B$6:$M$3250,CURR_2.SEARCH.NEW,0)),'DICTIONARY-5'!$A$2)</f>
        <v/>
      </c>
      <c r="H69" s="18"/>
      <c r="I69" s="18"/>
      <c r="J69" s="25"/>
      <c r="K69" s="955"/>
      <c r="L69" s="956"/>
      <c r="O69"/>
    </row>
    <row r="70" spans="1:19" x14ac:dyDescent="0.25">
      <c r="A70" s="18">
        <v>600</v>
      </c>
      <c r="B70" s="18">
        <v>16</v>
      </c>
      <c r="C70" s="18">
        <v>390</v>
      </c>
      <c r="D70" s="18" t="s">
        <v>8277</v>
      </c>
      <c r="E70" s="337" t="s">
        <v>8269</v>
      </c>
      <c r="F70" s="339" t="str">
        <f>IFERROR(IF(OR(E70='DICTIONARY-5'!$A$2,E70='DICTIONARY-5'!$A$4,ISBLANK(E70)),VLOOKUP(D70,LIST!$A$6:$L$3250,CURR_1.SEARCH.OLD,0),VLOOKUP(E70,LIST!$B$6:$L$3250,CURR_1.SEARCH.NEW,0)),'DICTIONARY-5'!$A$2)</f>
        <v>8 793,-</v>
      </c>
      <c r="G70" s="339" t="str">
        <f>IFERROR(IF(OR(E70='DICTIONARY-5'!$A$2,E70='DICTIONARY-5'!$A$4,ISBLANK(E70)),VLOOKUP(D70,LIST!$A$6:$M$3250,CURR_2.SEARCH.OLD,0),VLOOKUP(E70,LIST!$B$6:$M$3250,CURR_2.SEARCH.NEW,0)),'DICTIONARY-5'!$A$2)</f>
        <v/>
      </c>
      <c r="H70" s="18"/>
      <c r="I70" s="18"/>
      <c r="J70" s="25"/>
      <c r="K70" s="955"/>
      <c r="L70" s="956"/>
      <c r="O70"/>
      <c r="S70"/>
    </row>
    <row r="72" spans="1:19" x14ac:dyDescent="0.25">
      <c r="A72" s="20" t="str">
        <f>"1) "&amp;'DICTIONARY-5'!$A$65&amp;" DN 500"</f>
        <v>1) Zredukowany przepływ DN 500</v>
      </c>
    </row>
    <row r="74" spans="1:19" x14ac:dyDescent="0.25">
      <c r="A74" s="26" t="str">
        <f>'DICTIONARY-5'!$A$70</f>
        <v>Nr zamówienia odpowiada napędowi elektrycznemu AUMA, prośba o inny napęd elektryczny musi być wyraźnie zawarta w zamówieniu.</v>
      </c>
    </row>
    <row r="75" spans="1:19" x14ac:dyDescent="0.25">
      <c r="A75" s="26" t="str">
        <f>'DICTIONARY-5'!$A$72</f>
        <v>Cena zależy od wymaganych parametrów napędu.</v>
      </c>
    </row>
    <row r="79" spans="1:19" ht="16.5" thickBot="1" x14ac:dyDescent="0.3">
      <c r="A79" s="81" t="str">
        <f>CONCATENATE('DICTIONARY-3'!$A$2," ",'DICTIONARY-3'!$A$187," / ",'DICTIONARY-3'!$A$251," FESTO")</f>
        <v>EKOplus Zasuwa klinowa / Z napędem pneumatycznym FESTO</v>
      </c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</row>
    <row r="80" spans="1:19" x14ac:dyDescent="0.25">
      <c r="A80" s="9" t="str">
        <f>CONCATENATE('DICTIONARY-2'!$A$12," ",'DICTIONARY-5'!$A$9)</f>
        <v>Długość zabudowy EN 558</v>
      </c>
    </row>
    <row r="81" spans="1:12" x14ac:dyDescent="0.25">
      <c r="A81" s="9" t="str">
        <f>CONCATENATE('DICTIONARY-1'!$A$10,": ",SETTINGS!$C$17)</f>
        <v>Grupa rabatowa: EKOplus (with Actuator)</v>
      </c>
    </row>
    <row r="83" spans="1:12" x14ac:dyDescent="0.25">
      <c r="A83" s="13" t="str">
        <f>'DICTIONARY-2'!$A$2</f>
        <v>DN</v>
      </c>
      <c r="B83" s="13" t="str">
        <f>'DICTIONARY-2'!$A$3</f>
        <v>PN</v>
      </c>
      <c r="C83" s="13" t="str">
        <f>'DICTIONARY-2'!$A$24</f>
        <v>L</v>
      </c>
      <c r="D83" s="949" t="str">
        <f>'DICTIONARY-3'!$A$2&amp;" + FESTO"</f>
        <v>EKOplus + FESTO</v>
      </c>
      <c r="E83" s="949"/>
      <c r="F83" s="949"/>
      <c r="G83" s="949"/>
      <c r="H83" s="13" t="str">
        <f>'DICTIONARY-2'!$A$24</f>
        <v>L</v>
      </c>
      <c r="I83" s="949" t="str">
        <f>'DICTIONARY-3'!$A$2&amp;" + FESTO"</f>
        <v>EKOplus + FESTO</v>
      </c>
      <c r="J83" s="949"/>
      <c r="K83" s="949"/>
      <c r="L83" s="949"/>
    </row>
    <row r="84" spans="1:12" x14ac:dyDescent="0.25">
      <c r="A84" s="514"/>
      <c r="B84" s="514"/>
      <c r="C84" s="514"/>
      <c r="D84" s="948" t="str">
        <f>CONCATENATE('DICTIONARY-5'!$A$66," (",'DICTIONARY-5'!$A$10," 14), ",'DICTIONARY-5'!$A$43&amp;": "&amp;'DICTIONARY-5'!$A$44)</f>
        <v>budowa krótka (szereg 14), guma: EPDM</v>
      </c>
      <c r="E84" s="948"/>
      <c r="F84" s="948"/>
      <c r="G84" s="948"/>
      <c r="H84" s="514"/>
      <c r="I84" s="948" t="str">
        <f>CONCATENATE('DICTIONARY-5'!$A$67," (",'DICTIONARY-5'!$A$10," 15), ",'DICTIONARY-5'!$A$43&amp;": "&amp;'DICTIONARY-5'!$A$44)</f>
        <v>budowa długa (szereg 15), guma: EPDM</v>
      </c>
      <c r="J84" s="948"/>
      <c r="K84" s="948"/>
      <c r="L84" s="948"/>
    </row>
    <row r="85" spans="1:12" x14ac:dyDescent="0.25">
      <c r="A85" s="15"/>
      <c r="B85" s="15"/>
      <c r="C85" s="15" t="str">
        <f>'DICTIONARY-2'!$A$18</f>
        <v>[mm]</v>
      </c>
      <c r="D85" s="16" t="str">
        <f>'DICTIONARY-2'!$A$28</f>
        <v>stary nr zamówienia</v>
      </c>
      <c r="E85" s="16" t="str">
        <f>'DICTIONARY-2'!$A$29</f>
        <v>nowy nr zamówienia</v>
      </c>
      <c r="F85" s="17" t="str">
        <f>CURRENCY.CODE_1</f>
        <v>EUR</v>
      </c>
      <c r="G85" s="17" t="str">
        <f>CURRENCY.CODE_2</f>
        <v>---</v>
      </c>
      <c r="H85" s="15" t="str">
        <f>'DICTIONARY-2'!$A$18</f>
        <v>[mm]</v>
      </c>
      <c r="I85" s="16" t="str">
        <f>'DICTIONARY-2'!$A$28</f>
        <v>stary nr zamówienia</v>
      </c>
      <c r="J85" s="16" t="str">
        <f>'DICTIONARY-2'!$A$29</f>
        <v>nowy nr zamówienia</v>
      </c>
      <c r="K85" s="17" t="str">
        <f>CURRENCY.CODE_1</f>
        <v>EUR</v>
      </c>
      <c r="L85" s="17" t="str">
        <f>CURRENCY.CODE_2</f>
        <v>---</v>
      </c>
    </row>
    <row r="86" spans="1:12" x14ac:dyDescent="0.25">
      <c r="A86" s="18">
        <v>40</v>
      </c>
      <c r="B86" s="18">
        <v>10</v>
      </c>
      <c r="C86" s="18">
        <v>140</v>
      </c>
      <c r="D86" s="18" t="s">
        <v>247</v>
      </c>
      <c r="E86" s="337" t="s">
        <v>5017</v>
      </c>
      <c r="F86" s="339" t="str">
        <f>IFERROR(IF(OR(E86='DICTIONARY-5'!$A$2,E86='DICTIONARY-5'!$A$4,ISBLANK(E86)),VLOOKUP(D86,LIST!$A$6:$L$3250,CURR_1.SEARCH.OLD,0),VLOOKUP(E86,LIST!$B$6:$L$3250,CURR_1.SEARCH.NEW,0)),'DICTIONARY-5'!$A$2)</f>
        <v>779,-</v>
      </c>
      <c r="G86" s="339" t="str">
        <f>IFERROR(IF(OR(E86='DICTIONARY-5'!$A$2,E86='DICTIONARY-5'!$A$4,ISBLANK(E86)),VLOOKUP(D86,LIST!$A$6:$M$3250,CURR_2.SEARCH.OLD,0),VLOOKUP(E86,LIST!$B$6:$M$3250,CURR_2.SEARCH.NEW,0)),'DICTIONARY-5'!$A$2)</f>
        <v/>
      </c>
      <c r="H86" s="18">
        <v>240</v>
      </c>
      <c r="I86" s="18" t="s">
        <v>248</v>
      </c>
      <c r="J86" s="337" t="s">
        <v>5027</v>
      </c>
      <c r="K86" s="339" t="str">
        <f>IFERROR(IF(OR(J86='DICTIONARY-5'!$A$2,J86='DICTIONARY-5'!$A$4,ISBLANK(J86)),VLOOKUP(I86,LIST!$A$6:$L$3250,CURR_1.SEARCH.OLD,0),VLOOKUP(J86,LIST!$B$6:$L$3250,CURR_1.SEARCH.NEW,0)),'DICTIONARY-5'!$A$2)</f>
        <v>787,-</v>
      </c>
      <c r="L86" s="339" t="str">
        <f>IFERROR(IF(OR(J86='DICTIONARY-5'!$A$2,J86='DICTIONARY-5'!$A$4,ISBLANK(J86)),VLOOKUP(I86,LIST!$A$6:$M$3250,CURR_2.SEARCH.OLD,0),VLOOKUP(J86,LIST!$B$6:$M$3250,CURR_2.SEARCH.NEW,0)),'DICTIONARY-5'!$A$2)</f>
        <v/>
      </c>
    </row>
    <row r="87" spans="1:12" x14ac:dyDescent="0.25">
      <c r="A87" s="18">
        <v>50</v>
      </c>
      <c r="B87" s="18">
        <v>10</v>
      </c>
      <c r="C87" s="18">
        <v>150</v>
      </c>
      <c r="D87" s="18" t="s">
        <v>249</v>
      </c>
      <c r="E87" s="337" t="s">
        <v>5018</v>
      </c>
      <c r="F87" s="339" t="str">
        <f>IFERROR(IF(OR(E87='DICTIONARY-5'!$A$2,E87='DICTIONARY-5'!$A$4,ISBLANK(E87)),VLOOKUP(D87,LIST!$A$6:$L$3250,CURR_1.SEARCH.OLD,0),VLOOKUP(E87,LIST!$B$6:$L$3250,CURR_1.SEARCH.NEW,0)),'DICTIONARY-5'!$A$2)</f>
        <v>785,-</v>
      </c>
      <c r="G87" s="339" t="str">
        <f>IFERROR(IF(OR(E87='DICTIONARY-5'!$A$2,E87='DICTIONARY-5'!$A$4,ISBLANK(E87)),VLOOKUP(D87,LIST!$A$6:$M$3250,CURR_2.SEARCH.OLD,0),VLOOKUP(E87,LIST!$B$6:$M$3250,CURR_2.SEARCH.NEW,0)),'DICTIONARY-5'!$A$2)</f>
        <v/>
      </c>
      <c r="H87" s="18">
        <v>250</v>
      </c>
      <c r="I87" s="18" t="s">
        <v>250</v>
      </c>
      <c r="J87" s="337" t="s">
        <v>5028</v>
      </c>
      <c r="K87" s="339" t="str">
        <f>IFERROR(IF(OR(J87='DICTIONARY-5'!$A$2,J87='DICTIONARY-5'!$A$4,ISBLANK(J87)),VLOOKUP(I87,LIST!$A$6:$L$3250,CURR_1.SEARCH.OLD,0),VLOOKUP(J87,LIST!$B$6:$L$3250,CURR_1.SEARCH.NEW,0)),'DICTIONARY-5'!$A$2)</f>
        <v>807,-</v>
      </c>
      <c r="L87" s="339" t="str">
        <f>IFERROR(IF(OR(J87='DICTIONARY-5'!$A$2,J87='DICTIONARY-5'!$A$4,ISBLANK(J87)),VLOOKUP(I87,LIST!$A$6:$M$3250,CURR_2.SEARCH.OLD,0),VLOOKUP(J87,LIST!$B$6:$M$3250,CURR_2.SEARCH.NEW,0)),'DICTIONARY-5'!$A$2)</f>
        <v/>
      </c>
    </row>
    <row r="88" spans="1:12" x14ac:dyDescent="0.25">
      <c r="A88" s="18">
        <v>65</v>
      </c>
      <c r="B88" s="18">
        <v>10</v>
      </c>
      <c r="C88" s="18">
        <v>170</v>
      </c>
      <c r="D88" s="18" t="s">
        <v>251</v>
      </c>
      <c r="E88" s="337" t="s">
        <v>5019</v>
      </c>
      <c r="F88" s="339" t="str">
        <f>IFERROR(IF(OR(E88='DICTIONARY-5'!$A$2,E88='DICTIONARY-5'!$A$4,ISBLANK(E88)),VLOOKUP(D88,LIST!$A$6:$L$3250,CURR_1.SEARCH.OLD,0),VLOOKUP(E88,LIST!$B$6:$L$3250,CURR_1.SEARCH.NEW,0)),'DICTIONARY-5'!$A$2)</f>
        <v>1 121,-</v>
      </c>
      <c r="G88" s="339" t="str">
        <f>IFERROR(IF(OR(E88='DICTIONARY-5'!$A$2,E88='DICTIONARY-5'!$A$4,ISBLANK(E88)),VLOOKUP(D88,LIST!$A$6:$M$3250,CURR_2.SEARCH.OLD,0),VLOOKUP(E88,LIST!$B$6:$M$3250,CURR_2.SEARCH.NEW,0)),'DICTIONARY-5'!$A$2)</f>
        <v/>
      </c>
      <c r="H88" s="18">
        <v>270</v>
      </c>
      <c r="I88" s="18" t="s">
        <v>252</v>
      </c>
      <c r="J88" s="337" t="s">
        <v>5029</v>
      </c>
      <c r="K88" s="339" t="str">
        <f>IFERROR(IF(OR(J88='DICTIONARY-5'!$A$2,J88='DICTIONARY-5'!$A$4,ISBLANK(J88)),VLOOKUP(I88,LIST!$A$6:$L$3250,CURR_1.SEARCH.OLD,0),VLOOKUP(J88,LIST!$B$6:$L$3250,CURR_1.SEARCH.NEW,0)),'DICTIONARY-5'!$A$2)</f>
        <v>1 130,-</v>
      </c>
      <c r="L88" s="339" t="str">
        <f>IFERROR(IF(OR(J88='DICTIONARY-5'!$A$2,J88='DICTIONARY-5'!$A$4,ISBLANK(J88)),VLOOKUP(I88,LIST!$A$6:$M$3250,CURR_2.SEARCH.OLD,0),VLOOKUP(J88,LIST!$B$6:$M$3250,CURR_2.SEARCH.NEW,0)),'DICTIONARY-5'!$A$2)</f>
        <v/>
      </c>
    </row>
    <row r="89" spans="1:12" x14ac:dyDescent="0.25">
      <c r="A89" s="18">
        <v>80</v>
      </c>
      <c r="B89" s="18">
        <v>10</v>
      </c>
      <c r="C89" s="18">
        <v>180</v>
      </c>
      <c r="D89" s="18" t="s">
        <v>253</v>
      </c>
      <c r="E89" s="337" t="s">
        <v>5020</v>
      </c>
      <c r="F89" s="339" t="str">
        <f>IFERROR(IF(OR(E89='DICTIONARY-5'!$A$2,E89='DICTIONARY-5'!$A$4,ISBLANK(E89)),VLOOKUP(D89,LIST!$A$6:$L$3250,CURR_1.SEARCH.OLD,0),VLOOKUP(E89,LIST!$B$6:$L$3250,CURR_1.SEARCH.NEW,0)),'DICTIONARY-5'!$A$2)</f>
        <v>1 121,-</v>
      </c>
      <c r="G89" s="339" t="str">
        <f>IFERROR(IF(OR(E89='DICTIONARY-5'!$A$2,E89='DICTIONARY-5'!$A$4,ISBLANK(E89)),VLOOKUP(D89,LIST!$A$6:$M$3250,CURR_2.SEARCH.OLD,0),VLOOKUP(E89,LIST!$B$6:$M$3250,CURR_2.SEARCH.NEW,0)),'DICTIONARY-5'!$A$2)</f>
        <v/>
      </c>
      <c r="H89" s="18">
        <v>280</v>
      </c>
      <c r="I89" s="18" t="s">
        <v>254</v>
      </c>
      <c r="J89" s="337" t="s">
        <v>5030</v>
      </c>
      <c r="K89" s="339" t="str">
        <f>IFERROR(IF(OR(J89='DICTIONARY-5'!$A$2,J89='DICTIONARY-5'!$A$4,ISBLANK(J89)),VLOOKUP(I89,LIST!$A$6:$L$3250,CURR_1.SEARCH.OLD,0),VLOOKUP(J89,LIST!$B$6:$L$3250,CURR_1.SEARCH.NEW,0)),'DICTIONARY-5'!$A$2)</f>
        <v>1 130,-</v>
      </c>
      <c r="L89" s="339" t="str">
        <f>IFERROR(IF(OR(J89='DICTIONARY-5'!$A$2,J89='DICTIONARY-5'!$A$4,ISBLANK(J89)),VLOOKUP(I89,LIST!$A$6:$M$3250,CURR_2.SEARCH.OLD,0),VLOOKUP(J89,LIST!$B$6:$M$3250,CURR_2.SEARCH.NEW,0)),'DICTIONARY-5'!$A$2)</f>
        <v/>
      </c>
    </row>
    <row r="90" spans="1:12" x14ac:dyDescent="0.25">
      <c r="A90" s="18">
        <v>100</v>
      </c>
      <c r="B90" s="18">
        <v>10</v>
      </c>
      <c r="C90" s="18">
        <v>190</v>
      </c>
      <c r="D90" s="18" t="s">
        <v>255</v>
      </c>
      <c r="E90" s="337" t="s">
        <v>5021</v>
      </c>
      <c r="F90" s="339" t="str">
        <f>IFERROR(IF(OR(E90='DICTIONARY-5'!$A$2,E90='DICTIONARY-5'!$A$4,ISBLANK(E90)),VLOOKUP(D90,LIST!$A$6:$L$3250,CURR_1.SEARCH.OLD,0),VLOOKUP(E90,LIST!$B$6:$L$3250,CURR_1.SEARCH.NEW,0)),'DICTIONARY-5'!$A$2)</f>
        <v>1 135,-</v>
      </c>
      <c r="G90" s="339" t="str">
        <f>IFERROR(IF(OR(E90='DICTIONARY-5'!$A$2,E90='DICTIONARY-5'!$A$4,ISBLANK(E90)),VLOOKUP(D90,LIST!$A$6:$M$3250,CURR_2.SEARCH.OLD,0),VLOOKUP(E90,LIST!$B$6:$M$3250,CURR_2.SEARCH.NEW,0)),'DICTIONARY-5'!$A$2)</f>
        <v/>
      </c>
      <c r="H90" s="18">
        <v>300</v>
      </c>
      <c r="I90" s="18" t="s">
        <v>256</v>
      </c>
      <c r="J90" s="337" t="s">
        <v>5031</v>
      </c>
      <c r="K90" s="339" t="str">
        <f>IFERROR(IF(OR(J90='DICTIONARY-5'!$A$2,J90='DICTIONARY-5'!$A$4,ISBLANK(J90)),VLOOKUP(I90,LIST!$A$6:$L$3250,CURR_1.SEARCH.OLD,0),VLOOKUP(J90,LIST!$B$6:$L$3250,CURR_1.SEARCH.NEW,0)),'DICTIONARY-5'!$A$2)</f>
        <v>1 151,-</v>
      </c>
      <c r="L90" s="339" t="str">
        <f>IFERROR(IF(OR(J90='DICTIONARY-5'!$A$2,J90='DICTIONARY-5'!$A$4,ISBLANK(J90)),VLOOKUP(I90,LIST!$A$6:$M$3250,CURR_2.SEARCH.OLD,0),VLOOKUP(J90,LIST!$B$6:$M$3250,CURR_2.SEARCH.NEW,0)),'DICTIONARY-5'!$A$2)</f>
        <v/>
      </c>
    </row>
    <row r="91" spans="1:12" x14ac:dyDescent="0.25">
      <c r="A91" s="18">
        <v>125</v>
      </c>
      <c r="B91" s="18">
        <v>10</v>
      </c>
      <c r="C91" s="18">
        <v>200</v>
      </c>
      <c r="D91" s="18" t="s">
        <v>257</v>
      </c>
      <c r="E91" s="345" t="s">
        <v>5022</v>
      </c>
      <c r="F91" s="339" t="str">
        <f>IFERROR(IF(OR(E91='DICTIONARY-5'!$A$2,E91='DICTIONARY-5'!$A$4,ISBLANK(E91)),VLOOKUP(D91,LIST!$A$6:$L$3250,CURR_1.SEARCH.OLD,0),VLOOKUP(E91,LIST!$B$6:$L$3250,CURR_1.SEARCH.NEW,0)),'DICTIONARY-5'!$A$2)</f>
        <v>1 322,-</v>
      </c>
      <c r="G91" s="339" t="str">
        <f>IFERROR(IF(OR(E91='DICTIONARY-5'!$A$2,E91='DICTIONARY-5'!$A$4,ISBLANK(E91)),VLOOKUP(D91,LIST!$A$6:$M$3250,CURR_2.SEARCH.OLD,0),VLOOKUP(E91,LIST!$B$6:$M$3250,CURR_2.SEARCH.NEW,0)),'DICTIONARY-5'!$A$2)</f>
        <v/>
      </c>
      <c r="H91" s="18">
        <v>325</v>
      </c>
      <c r="I91" s="18" t="s">
        <v>258</v>
      </c>
      <c r="J91" s="337" t="s">
        <v>5032</v>
      </c>
      <c r="K91" s="339" t="str">
        <f>IFERROR(IF(OR(J91='DICTIONARY-5'!$A$2,J91='DICTIONARY-5'!$A$4,ISBLANK(J91)),VLOOKUP(I91,LIST!$A$6:$L$3250,CURR_1.SEARCH.OLD,0),VLOOKUP(J91,LIST!$B$6:$L$3250,CURR_1.SEARCH.NEW,0)),'DICTIONARY-5'!$A$2)</f>
        <v>1 379,-</v>
      </c>
      <c r="L91" s="339" t="str">
        <f>IFERROR(IF(OR(J91='DICTIONARY-5'!$A$2,J91='DICTIONARY-5'!$A$4,ISBLANK(J91)),VLOOKUP(I91,LIST!$A$6:$M$3250,CURR_2.SEARCH.OLD,0),VLOOKUP(J91,LIST!$B$6:$M$3250,CURR_2.SEARCH.NEW,0)),'DICTIONARY-5'!$A$2)</f>
        <v/>
      </c>
    </row>
    <row r="92" spans="1:12" x14ac:dyDescent="0.25">
      <c r="A92" s="18">
        <v>150</v>
      </c>
      <c r="B92" s="18">
        <v>10</v>
      </c>
      <c r="C92" s="18">
        <v>210</v>
      </c>
      <c r="D92" s="18" t="s">
        <v>259</v>
      </c>
      <c r="E92" s="337" t="s">
        <v>5023</v>
      </c>
      <c r="F92" s="339" t="str">
        <f>IFERROR(IF(OR(E92='DICTIONARY-5'!$A$2,E92='DICTIONARY-5'!$A$4,ISBLANK(E92)),VLOOKUP(D92,LIST!$A$6:$L$3250,CURR_1.SEARCH.OLD,0),VLOOKUP(E92,LIST!$B$6:$L$3250,CURR_1.SEARCH.NEW,0)),'DICTIONARY-5'!$A$2)</f>
        <v>1 431,-</v>
      </c>
      <c r="G92" s="339" t="str">
        <f>IFERROR(IF(OR(E92='DICTIONARY-5'!$A$2,E92='DICTIONARY-5'!$A$4,ISBLANK(E92)),VLOOKUP(D92,LIST!$A$6:$M$3250,CURR_2.SEARCH.OLD,0),VLOOKUP(E92,LIST!$B$6:$M$3250,CURR_2.SEARCH.NEW,0)),'DICTIONARY-5'!$A$2)</f>
        <v/>
      </c>
      <c r="H92" s="18">
        <v>350</v>
      </c>
      <c r="I92" s="18" t="s">
        <v>260</v>
      </c>
      <c r="J92" s="337" t="s">
        <v>5033</v>
      </c>
      <c r="K92" s="339" t="str">
        <f>IFERROR(IF(OR(J92='DICTIONARY-5'!$A$2,J92='DICTIONARY-5'!$A$4,ISBLANK(J92)),VLOOKUP(I92,LIST!$A$6:$L$3250,CURR_1.SEARCH.OLD,0),VLOOKUP(J92,LIST!$B$6:$L$3250,CURR_1.SEARCH.NEW,0)),'DICTIONARY-5'!$A$2)</f>
        <v>1 489,-</v>
      </c>
      <c r="L92" s="339" t="str">
        <f>IFERROR(IF(OR(J92='DICTIONARY-5'!$A$2,J92='DICTIONARY-5'!$A$4,ISBLANK(J92)),VLOOKUP(I92,LIST!$A$6:$M$3250,CURR_2.SEARCH.OLD,0),VLOOKUP(J92,LIST!$B$6:$M$3250,CURR_2.SEARCH.NEW,0)),'DICTIONARY-5'!$A$2)</f>
        <v/>
      </c>
    </row>
    <row r="93" spans="1:12" x14ac:dyDescent="0.25">
      <c r="A93" s="18">
        <v>200</v>
      </c>
      <c r="B93" s="18">
        <v>10</v>
      </c>
      <c r="C93" s="18">
        <v>230</v>
      </c>
      <c r="D93" s="18" t="s">
        <v>261</v>
      </c>
      <c r="E93" s="337" t="s">
        <v>5024</v>
      </c>
      <c r="F93" s="339" t="str">
        <f>IFERROR(IF(OR(E93='DICTIONARY-5'!$A$2,E93='DICTIONARY-5'!$A$4,ISBLANK(E93)),VLOOKUP(D93,LIST!$A$6:$L$3250,CURR_1.SEARCH.OLD,0),VLOOKUP(E93,LIST!$B$6:$L$3250,CURR_1.SEARCH.NEW,0)),'DICTIONARY-5'!$A$2)</f>
        <v>2 481,-</v>
      </c>
      <c r="G93" s="339" t="str">
        <f>IFERROR(IF(OR(E93='DICTIONARY-5'!$A$2,E93='DICTIONARY-5'!$A$4,ISBLANK(E93)),VLOOKUP(D93,LIST!$A$6:$M$3250,CURR_2.SEARCH.OLD,0),VLOOKUP(E93,LIST!$B$6:$M$3250,CURR_2.SEARCH.NEW,0)),'DICTIONARY-5'!$A$2)</f>
        <v/>
      </c>
      <c r="H93" s="18">
        <v>400</v>
      </c>
      <c r="I93" s="18" t="s">
        <v>262</v>
      </c>
      <c r="J93" s="337" t="s">
        <v>5034</v>
      </c>
      <c r="K93" s="339" t="str">
        <f>IFERROR(IF(OR(J93='DICTIONARY-5'!$A$2,J93='DICTIONARY-5'!$A$4,ISBLANK(J93)),VLOOKUP(I93,LIST!$A$6:$L$3250,CURR_1.SEARCH.OLD,0),VLOOKUP(J93,LIST!$B$6:$L$3250,CURR_1.SEARCH.NEW,0)),'DICTIONARY-5'!$A$2)</f>
        <v>2 582,-</v>
      </c>
      <c r="L93" s="339" t="str">
        <f>IFERROR(IF(OR(J93='DICTIONARY-5'!$A$2,J93='DICTIONARY-5'!$A$4,ISBLANK(J93)),VLOOKUP(I93,LIST!$A$6:$M$3250,CURR_2.SEARCH.OLD,0),VLOOKUP(J93,LIST!$B$6:$M$3250,CURR_2.SEARCH.NEW,0)),'DICTIONARY-5'!$A$2)</f>
        <v/>
      </c>
    </row>
    <row r="94" spans="1:12" x14ac:dyDescent="0.25">
      <c r="A94" s="18">
        <v>250</v>
      </c>
      <c r="B94" s="18">
        <v>10</v>
      </c>
      <c r="C94" s="18">
        <v>250</v>
      </c>
      <c r="D94" s="18" t="s">
        <v>263</v>
      </c>
      <c r="E94" s="337" t="s">
        <v>5025</v>
      </c>
      <c r="F94" s="339" t="str">
        <f>IFERROR(IF(OR(E94='DICTIONARY-5'!$A$2,E94='DICTIONARY-5'!$A$4,ISBLANK(E94)),VLOOKUP(D94,LIST!$A$6:$L$3250,CURR_1.SEARCH.OLD,0),VLOOKUP(E94,LIST!$B$6:$L$3250,CURR_1.SEARCH.NEW,0)),'DICTIONARY-5'!$A$2)</f>
        <v>2 792,-</v>
      </c>
      <c r="G94" s="339" t="str">
        <f>IFERROR(IF(OR(E94='DICTIONARY-5'!$A$2,E94='DICTIONARY-5'!$A$4,ISBLANK(E94)),VLOOKUP(D94,LIST!$A$6:$M$3250,CURR_2.SEARCH.OLD,0),VLOOKUP(E94,LIST!$B$6:$M$3250,CURR_2.SEARCH.NEW,0)),'DICTIONARY-5'!$A$2)</f>
        <v/>
      </c>
      <c r="H94" s="18">
        <v>450</v>
      </c>
      <c r="I94" s="18" t="s">
        <v>264</v>
      </c>
      <c r="J94" s="337" t="s">
        <v>5035</v>
      </c>
      <c r="K94" s="339" t="str">
        <f>IFERROR(IF(OR(J94='DICTIONARY-5'!$A$2,J94='DICTIONARY-5'!$A$4,ISBLANK(J94)),VLOOKUP(I94,LIST!$A$6:$L$3250,CURR_1.SEARCH.OLD,0),VLOOKUP(J94,LIST!$B$6:$L$3250,CURR_1.SEARCH.NEW,0)),'DICTIONARY-5'!$A$2)</f>
        <v>3 156,-</v>
      </c>
      <c r="L94" s="339" t="str">
        <f>IFERROR(IF(OR(J94='DICTIONARY-5'!$A$2,J94='DICTIONARY-5'!$A$4,ISBLANK(J94)),VLOOKUP(I94,LIST!$A$6:$M$3250,CURR_2.SEARCH.OLD,0),VLOOKUP(J94,LIST!$B$6:$M$3250,CURR_2.SEARCH.NEW,0)),'DICTIONARY-5'!$A$2)</f>
        <v/>
      </c>
    </row>
    <row r="95" spans="1:12" x14ac:dyDescent="0.25">
      <c r="A95" s="18">
        <v>300</v>
      </c>
      <c r="B95" s="18">
        <v>10</v>
      </c>
      <c r="C95" s="18">
        <v>270</v>
      </c>
      <c r="D95" s="18" t="s">
        <v>265</v>
      </c>
      <c r="E95" s="337" t="s">
        <v>5026</v>
      </c>
      <c r="F95" s="339" t="str">
        <f>IFERROR(IF(OR(E95='DICTIONARY-5'!$A$2,E95='DICTIONARY-5'!$A$4,ISBLANK(E95)),VLOOKUP(D95,LIST!$A$6:$L$3250,CURR_1.SEARCH.OLD,0),VLOOKUP(E95,LIST!$B$6:$L$3250,CURR_1.SEARCH.NEW,0)),'DICTIONARY-5'!$A$2)</f>
        <v>4 152,-</v>
      </c>
      <c r="G95" s="339" t="str">
        <f>IFERROR(IF(OR(E95='DICTIONARY-5'!$A$2,E95='DICTIONARY-5'!$A$4,ISBLANK(E95)),VLOOKUP(D95,LIST!$A$6:$M$3250,CURR_2.SEARCH.OLD,0),VLOOKUP(E95,LIST!$B$6:$M$3250,CURR_2.SEARCH.NEW,0)),'DICTIONARY-5'!$A$2)</f>
        <v/>
      </c>
      <c r="H95" s="18">
        <v>500</v>
      </c>
      <c r="I95" s="18" t="s">
        <v>266</v>
      </c>
      <c r="J95" s="337" t="s">
        <v>5036</v>
      </c>
      <c r="K95" s="339" t="str">
        <f>IFERROR(IF(OR(J95='DICTIONARY-5'!$A$2,J95='DICTIONARY-5'!$A$4,ISBLANK(J95)),VLOOKUP(I95,LIST!$A$6:$L$3250,CURR_1.SEARCH.OLD,0),VLOOKUP(J95,LIST!$B$6:$L$3250,CURR_1.SEARCH.NEW,0)),'DICTIONARY-5'!$A$2)</f>
        <v>4 635,-</v>
      </c>
      <c r="L95" s="339" t="str">
        <f>IFERROR(IF(OR(J95='DICTIONARY-5'!$A$2,J95='DICTIONARY-5'!$A$4,ISBLANK(J95)),VLOOKUP(I95,LIST!$A$6:$M$3250,CURR_2.SEARCH.OLD,0),VLOOKUP(J95,LIST!$B$6:$M$3250,CURR_2.SEARCH.NEW,0)),'DICTIONARY-5'!$A$2)</f>
        <v/>
      </c>
    </row>
    <row r="97" spans="1:1" x14ac:dyDescent="0.25">
      <c r="A97" s="26" t="str">
        <f>'DICTIONARY-5'!$A$71</f>
        <v>Nr zamówienia odpowiada napędowi pneumatycznemu Festo, prośba o inny napęd pneumatyczny musi być wyraźnie zawarta w zamówieniu.</v>
      </c>
    </row>
    <row r="98" spans="1:1" x14ac:dyDescent="0.25">
      <c r="A98" s="26" t="str">
        <f>'DICTIONARY-5'!$A$72</f>
        <v>Cena zależy od wymaganych parametrów napędu.</v>
      </c>
    </row>
  </sheetData>
  <sheetProtection algorithmName="SHA-512" hashValue="8QJuo65cYbfFwTzdI8unV1Vp18SVDKRUhjak5nKG824ixz1oxiDg6WBU+NaihD9A2lMiIRj4X/BflYBrngevow==" saltValue="KCZ+LunJNrRPHfa12UN2UA==" spinCount="100000" sheet="1" objects="1" scenarios="1" autoFilter="0"/>
  <mergeCells count="15">
    <mergeCell ref="B4:E4"/>
    <mergeCell ref="D84:G84"/>
    <mergeCell ref="I84:L84"/>
    <mergeCell ref="K69:L69"/>
    <mergeCell ref="K70:L70"/>
    <mergeCell ref="D83:G83"/>
    <mergeCell ref="I83:L83"/>
    <mergeCell ref="D45:G45"/>
    <mergeCell ref="I45:L45"/>
    <mergeCell ref="D46:G46"/>
    <mergeCell ref="I46:L46"/>
    <mergeCell ref="D10:G10"/>
    <mergeCell ref="I10:L10"/>
    <mergeCell ref="D11:G11"/>
    <mergeCell ref="I11:L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>
    <tabColor rgb="FFFFC000"/>
  </sheetPr>
  <dimension ref="A1:N27"/>
  <sheetViews>
    <sheetView workbookViewId="0"/>
  </sheetViews>
  <sheetFormatPr defaultColWidth="9.140625" defaultRowHeight="15" x14ac:dyDescent="0.25"/>
  <cols>
    <col min="1" max="4" width="9.140625" style="6"/>
    <col min="5" max="6" width="22.140625" style="6" customWidth="1"/>
    <col min="7" max="8" width="12.85546875" style="6" customWidth="1"/>
    <col min="9" max="9" width="9.140625" style="6" customWidth="1"/>
    <col min="10" max="11" width="22.140625" style="6" customWidth="1"/>
    <col min="12" max="13" width="12.85546875" style="6" customWidth="1"/>
    <col min="14" max="16384" width="9.140625" style="6"/>
  </cols>
  <sheetData>
    <row r="1" spans="1:14" s="383" customFormat="1" ht="45" customHeight="1" thickBot="1" x14ac:dyDescent="0.3">
      <c r="A1" s="381"/>
      <c r="B1" s="381"/>
      <c r="C1" s="381"/>
      <c r="D1" s="381"/>
      <c r="E1" s="381"/>
    </row>
    <row r="2" spans="1:14" s="485" customFormat="1" ht="4.5" customHeight="1" x14ac:dyDescent="0.25">
      <c r="A2" s="484"/>
    </row>
    <row r="3" spans="1:14" ht="15.75" thickBot="1" x14ac:dyDescent="0.3">
      <c r="A3" s="7"/>
      <c r="B3" s="8"/>
      <c r="C3" s="8"/>
    </row>
    <row r="4" spans="1:14" ht="15.75" thickBot="1" x14ac:dyDescent="0.3">
      <c r="A4" s="828">
        <f>ADD.DISCOUNT</f>
        <v>0</v>
      </c>
      <c r="B4" s="933" t="str">
        <f>HYPERLINK("#'LIST'!ADD.DISCOUNT","» "&amp;'DICTIONARY-1'!$A$5)</f>
        <v>» Ustaw globalny dodatkowy rabat</v>
      </c>
      <c r="C4" s="946"/>
      <c r="D4" s="946"/>
      <c r="E4" s="947"/>
    </row>
    <row r="5" spans="1:14" x14ac:dyDescent="0.25">
      <c r="A5" s="7"/>
      <c r="B5" s="8"/>
      <c r="C5" s="8"/>
    </row>
    <row r="6" spans="1:14" ht="16.5" thickBot="1" x14ac:dyDescent="0.3">
      <c r="A6" s="81" t="str">
        <f>CONCATENATE('DICTIONARY-3'!$A$4," ",'DICTIONARY-3'!$A$187," / ",'DICTIONARY-3'!$A$252)</f>
        <v>EKOplus PE Zasuwa klinowa / Z końcówkami PE-HD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</row>
    <row r="7" spans="1:14" x14ac:dyDescent="0.25">
      <c r="A7" s="9" t="str">
        <f>CONCATENATE('DICTIONARY-3'!$A$252,", ",LOWER('DICTIONARY-3'!$A$243)," ",'DICTIONARY-3'!$A$244)</f>
        <v>Z końcówkami PE-HD, z wolnym końcem wałka i adapterem do podłączenia VAG obudowy ziemnej</v>
      </c>
      <c r="B7" s="10"/>
      <c r="C7" s="10"/>
      <c r="D7" s="10"/>
      <c r="E7" s="10"/>
      <c r="F7" s="10"/>
      <c r="G7" s="11"/>
      <c r="H7" s="11"/>
      <c r="I7" s="11"/>
    </row>
    <row r="8" spans="1:14" x14ac:dyDescent="0.25">
      <c r="A8" s="9" t="str">
        <f>CONCATENATE('DICTIONARY-1'!$A$10,": ",SETTINGS!$C$13)</f>
        <v>Grupa rabatowa: EKOplus PE Water</v>
      </c>
      <c r="B8" s="10"/>
      <c r="C8" s="10"/>
      <c r="D8" s="10"/>
      <c r="E8" s="10"/>
      <c r="F8" s="10"/>
      <c r="G8" s="11"/>
      <c r="H8" s="11"/>
    </row>
    <row r="9" spans="1:14" x14ac:dyDescent="0.25">
      <c r="A9" s="12"/>
      <c r="B9" s="10"/>
      <c r="C9" s="10"/>
      <c r="D9" s="10"/>
      <c r="E9" s="10"/>
      <c r="F9" s="10"/>
      <c r="G9" s="11"/>
      <c r="H9" s="11"/>
      <c r="J9" s="935" t="str">
        <f>'DICTIONARY-5'!$A$5</f>
        <v xml:space="preserve">Należy zamówić oddzielnie </v>
      </c>
      <c r="K9" s="953"/>
      <c r="L9" s="953"/>
      <c r="M9" s="954"/>
    </row>
    <row r="10" spans="1:14" x14ac:dyDescent="0.25">
      <c r="A10" s="13" t="str">
        <f>'DICTIONARY-2'!$A$2</f>
        <v>DN</v>
      </c>
      <c r="B10" s="13" t="str">
        <f>'DICTIONARY-2'!$A$24</f>
        <v>L</v>
      </c>
      <c r="C10" s="13" t="str">
        <f>'DICTIONARY-2'!$A$5&amp;" 1)"</f>
        <v>Da 1)</v>
      </c>
      <c r="D10" s="281" t="str">
        <f>'DICTIONARY-2'!$A$11</f>
        <v>PS/PFA</v>
      </c>
      <c r="E10" s="949" t="str">
        <f>'DICTIONARY-3'!$A$4</f>
        <v>EKOplus PE</v>
      </c>
      <c r="F10" s="949"/>
      <c r="G10" s="949"/>
      <c r="H10" s="949"/>
      <c r="J10" s="950" t="str">
        <f>'DICTIONARY-4'!$A$23</f>
        <v>Kółko ręczne</v>
      </c>
      <c r="K10" s="951"/>
      <c r="L10" s="951"/>
      <c r="M10" s="952"/>
    </row>
    <row r="11" spans="1:14" x14ac:dyDescent="0.25">
      <c r="A11" s="514"/>
      <c r="B11" s="514"/>
      <c r="C11" s="514"/>
      <c r="D11" s="290"/>
      <c r="E11" s="948" t="str">
        <f>'DICTIONARY-5'!$A$58&amp;" "&amp;'DICTIONARY-5'!$A$59&amp;", "&amp;'DICTIONARY-5'!$A$43&amp;": "&amp;'DICTIONARY-5'!$A$44</f>
        <v>PE-HD SDR 11, guma: EPDM</v>
      </c>
      <c r="F11" s="948"/>
      <c r="G11" s="948"/>
      <c r="H11" s="948"/>
      <c r="J11" s="939"/>
      <c r="K11" s="940"/>
      <c r="L11" s="940"/>
      <c r="M11" s="941"/>
    </row>
    <row r="12" spans="1:14" ht="15" customHeight="1" x14ac:dyDescent="0.25">
      <c r="A12" s="15"/>
      <c r="B12" s="15" t="str">
        <f>'DICTIONARY-2'!$A$18</f>
        <v>[mm]</v>
      </c>
      <c r="C12" s="15" t="str">
        <f>'DICTIONARY-2'!$A$18</f>
        <v>[mm]</v>
      </c>
      <c r="D12" s="282" t="str">
        <f>'DICTIONARY-2'!$A$21</f>
        <v>[bar]</v>
      </c>
      <c r="E12" s="16" t="str">
        <f>'DICTIONARY-2'!$A$28</f>
        <v>stary nr zamówienia</v>
      </c>
      <c r="F12" s="16" t="str">
        <f>'DICTIONARY-2'!$A$29</f>
        <v>nowy nr zamówienia</v>
      </c>
      <c r="G12" s="17" t="str">
        <f>CURRENCY.CODE_1</f>
        <v>EUR</v>
      </c>
      <c r="H12" s="17" t="str">
        <f>CURRENCY.CODE_2</f>
        <v>---</v>
      </c>
      <c r="J12" s="165" t="str">
        <f>'DICTIONARY-2'!$A$28</f>
        <v>stary nr zamówienia</v>
      </c>
      <c r="K12" s="165" t="str">
        <f>'DICTIONARY-2'!$A$29</f>
        <v>nowy nr zamówienia</v>
      </c>
      <c r="L12" s="166" t="str">
        <f>CURRENCY.CODE_1</f>
        <v>EUR</v>
      </c>
      <c r="M12" s="166" t="str">
        <f>CURRENCY.CODE_2</f>
        <v>---</v>
      </c>
    </row>
    <row r="13" spans="1:14" x14ac:dyDescent="0.25">
      <c r="A13" s="23">
        <v>50</v>
      </c>
      <c r="B13" s="18">
        <v>566</v>
      </c>
      <c r="C13" s="22">
        <v>63</v>
      </c>
      <c r="D13" s="18">
        <v>16</v>
      </c>
      <c r="E13" s="18" t="s">
        <v>268</v>
      </c>
      <c r="F13" s="336" t="s">
        <v>3424</v>
      </c>
      <c r="G13" s="339" t="str">
        <f>IFERROR(IF(OR(F13='DICTIONARY-5'!$A$2,F13='DICTIONARY-5'!$A$4,ISBLANK(F13)),VLOOKUP(E13,LIST!$A$6:$L$3250,CURR_1.SEARCH.OLD,0),VLOOKUP(F13,LIST!$B$6:$L$3250,CURR_1.SEARCH.NEW,0)),'DICTIONARY-5'!$A$2)</f>
        <v>359,-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  <c r="J13" s="139" t="s">
        <v>109</v>
      </c>
      <c r="K13" s="334" t="s">
        <v>2892</v>
      </c>
      <c r="L13" s="339" t="str">
        <f>IFERROR(IF(OR(K13='DICTIONARY-5'!$A$2,K13='DICTIONARY-5'!$A$4,ISBLANK(K13)),VLOOKUP(J13,LIST!$A$6:$L$3250,CURR_1.SEARCH.OLD,0),VLOOKUP(K13,LIST!$B$6:$L$3250,CURR_1.SEARCH.NEW,0)),'DICTIONARY-5'!$A$2)</f>
        <v>8,-</v>
      </c>
      <c r="M13" s="339" t="str">
        <f>IFERROR(IF(OR(K13='DICTIONARY-5'!$A$2,K13='DICTIONARY-5'!$A$4,ISBLANK(K13)),VLOOKUP(J13,LIST!$A$6:$M$3250,CURR_2.SEARCH.OLD,0),VLOOKUP(K13,LIST!$B$6:$M$3250,CURR_2.SEARCH.NEW,0)),'DICTIONARY-5'!$A$2)</f>
        <v/>
      </c>
      <c r="N13" s="27"/>
    </row>
    <row r="14" spans="1:14" x14ac:dyDescent="0.25">
      <c r="A14" s="18">
        <v>80</v>
      </c>
      <c r="B14" s="18">
        <v>740</v>
      </c>
      <c r="C14" s="18">
        <v>90</v>
      </c>
      <c r="D14" s="18">
        <v>16</v>
      </c>
      <c r="E14" s="18" t="s">
        <v>269</v>
      </c>
      <c r="F14" s="336" t="s">
        <v>3426</v>
      </c>
      <c r="G14" s="339" t="str">
        <f>IFERROR(IF(OR(F14='DICTIONARY-5'!$A$2,F14='DICTIONARY-5'!$A$4,ISBLANK(F14)),VLOOKUP(E14,LIST!$A$6:$L$3250,CURR_1.SEARCH.OLD,0),VLOOKUP(F14,LIST!$B$6:$L$3250,CURR_1.SEARCH.NEW,0)),'DICTIONARY-5'!$A$2)</f>
        <v>438,-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  <c r="J14" s="139" t="s">
        <v>88</v>
      </c>
      <c r="K14" s="334" t="s">
        <v>2893</v>
      </c>
      <c r="L14" s="339" t="str">
        <f>IFERROR(IF(OR(K14='DICTIONARY-5'!$A$2,K14='DICTIONARY-5'!$A$4,ISBLANK(K14)),VLOOKUP(J14,LIST!$A$6:$L$3250,CURR_1.SEARCH.OLD,0),VLOOKUP(K14,LIST!$B$6:$L$3250,CURR_1.SEARCH.NEW,0)),'DICTIONARY-5'!$A$2)</f>
        <v>15,-</v>
      </c>
      <c r="M14" s="339" t="str">
        <f>IFERROR(IF(OR(K14='DICTIONARY-5'!$A$2,K14='DICTIONARY-5'!$A$4,ISBLANK(K14)),VLOOKUP(J14,LIST!$A$6:$M$3250,CURR_2.SEARCH.OLD,0),VLOOKUP(K14,LIST!$B$6:$M$3250,CURR_2.SEARCH.NEW,0)),'DICTIONARY-5'!$A$2)</f>
        <v/>
      </c>
      <c r="N14" s="27"/>
    </row>
    <row r="15" spans="1:14" x14ac:dyDescent="0.25">
      <c r="A15" s="18">
        <v>100</v>
      </c>
      <c r="B15" s="18">
        <v>775</v>
      </c>
      <c r="C15" s="18">
        <v>110</v>
      </c>
      <c r="D15" s="18">
        <v>16</v>
      </c>
      <c r="E15" s="18" t="s">
        <v>270</v>
      </c>
      <c r="F15" s="336" t="s">
        <v>3428</v>
      </c>
      <c r="G15" s="339" t="str">
        <f>IFERROR(IF(OR(F15='DICTIONARY-5'!$A$2,F15='DICTIONARY-5'!$A$4,ISBLANK(F15)),VLOOKUP(E15,LIST!$A$6:$L$3250,CURR_1.SEARCH.OLD,0),VLOOKUP(F15,LIST!$B$6:$L$3250,CURR_1.SEARCH.NEW,0)),'DICTIONARY-5'!$A$2)</f>
        <v>481,-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  <c r="J15" s="139" t="s">
        <v>91</v>
      </c>
      <c r="K15" s="334" t="s">
        <v>2894</v>
      </c>
      <c r="L15" s="339" t="str">
        <f>IFERROR(IF(OR(K15='DICTIONARY-5'!$A$2,K15='DICTIONARY-5'!$A$4,ISBLANK(K15)),VLOOKUP(J15,LIST!$A$6:$L$3250,CURR_1.SEARCH.OLD,0),VLOOKUP(K15,LIST!$B$6:$L$3250,CURR_1.SEARCH.NEW,0)),'DICTIONARY-5'!$A$2)</f>
        <v>20,-</v>
      </c>
      <c r="M15" s="339" t="str">
        <f>IFERROR(IF(OR(K15='DICTIONARY-5'!$A$2,K15='DICTIONARY-5'!$A$4,ISBLANK(K15)),VLOOKUP(J15,LIST!$A$6:$M$3250,CURR_2.SEARCH.OLD,0),VLOOKUP(K15,LIST!$B$6:$M$3250,CURR_2.SEARCH.NEW,0)),'DICTIONARY-5'!$A$2)</f>
        <v/>
      </c>
      <c r="N15" s="27"/>
    </row>
    <row r="16" spans="1:14" x14ac:dyDescent="0.25">
      <c r="A16" s="18">
        <v>100</v>
      </c>
      <c r="B16" s="18">
        <v>775</v>
      </c>
      <c r="C16" s="18">
        <v>125</v>
      </c>
      <c r="D16" s="18">
        <v>16</v>
      </c>
      <c r="E16" s="18" t="s">
        <v>271</v>
      </c>
      <c r="F16" s="336" t="s">
        <v>3439</v>
      </c>
      <c r="G16" s="339" t="str">
        <f>IFERROR(IF(OR(F16='DICTIONARY-5'!$A$2,F16='DICTIONARY-5'!$A$4,ISBLANK(F16)),VLOOKUP(E16,LIST!$A$6:$L$3250,CURR_1.SEARCH.OLD,0),VLOOKUP(F16,LIST!$B$6:$L$3250,CURR_1.SEARCH.NEW,0)),'DICTIONARY-5'!$A$2)</f>
        <v>516,-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  <c r="J16" s="139" t="s">
        <v>91</v>
      </c>
      <c r="K16" s="334" t="s">
        <v>2894</v>
      </c>
      <c r="L16" s="339" t="str">
        <f>IFERROR(IF(OR(K16='DICTIONARY-5'!$A$2,K16='DICTIONARY-5'!$A$4,ISBLANK(K16)),VLOOKUP(J16,LIST!$A$6:$L$3250,CURR_1.SEARCH.OLD,0),VLOOKUP(K16,LIST!$B$6:$L$3250,CURR_1.SEARCH.NEW,0)),'DICTIONARY-5'!$A$2)</f>
        <v>20,-</v>
      </c>
      <c r="M16" s="339" t="str">
        <f>IFERROR(IF(OR(K16='DICTIONARY-5'!$A$2,K16='DICTIONARY-5'!$A$4,ISBLANK(K16)),VLOOKUP(J16,LIST!$A$6:$M$3250,CURR_2.SEARCH.OLD,0),VLOOKUP(K16,LIST!$B$6:$M$3250,CURR_2.SEARCH.NEW,0)),'DICTIONARY-5'!$A$2)</f>
        <v/>
      </c>
      <c r="N16" s="27"/>
    </row>
    <row r="17" spans="1:14" x14ac:dyDescent="0.25">
      <c r="A17" s="18">
        <v>125</v>
      </c>
      <c r="B17" s="18">
        <v>862</v>
      </c>
      <c r="C17" s="18">
        <v>140</v>
      </c>
      <c r="D17" s="18">
        <v>16</v>
      </c>
      <c r="E17" s="18" t="s">
        <v>272</v>
      </c>
      <c r="F17" s="336" t="s">
        <v>3430</v>
      </c>
      <c r="G17" s="339" t="str">
        <f>IFERROR(IF(OR(F17='DICTIONARY-5'!$A$2,F17='DICTIONARY-5'!$A$4,ISBLANK(F17)),VLOOKUP(E17,LIST!$A$6:$L$3250,CURR_1.SEARCH.OLD,0),VLOOKUP(F17,LIST!$B$6:$L$3250,CURR_1.SEARCH.NEW,0)),'DICTIONARY-5'!$A$2)</f>
        <v>691,-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  <c r="J17" s="139" t="s">
        <v>91</v>
      </c>
      <c r="K17" s="334" t="s">
        <v>2894</v>
      </c>
      <c r="L17" s="339" t="str">
        <f>IFERROR(IF(OR(K17='DICTIONARY-5'!$A$2,K17='DICTIONARY-5'!$A$4,ISBLANK(K17)),VLOOKUP(J17,LIST!$A$6:$L$3250,CURR_1.SEARCH.OLD,0),VLOOKUP(K17,LIST!$B$6:$L$3250,CURR_1.SEARCH.NEW,0)),'DICTIONARY-5'!$A$2)</f>
        <v>20,-</v>
      </c>
      <c r="M17" s="339" t="str">
        <f>IFERROR(IF(OR(K17='DICTIONARY-5'!$A$2,K17='DICTIONARY-5'!$A$4,ISBLANK(K17)),VLOOKUP(J17,LIST!$A$6:$M$3250,CURR_2.SEARCH.OLD,0),VLOOKUP(K17,LIST!$B$6:$M$3250,CURR_2.SEARCH.NEW,0)),'DICTIONARY-5'!$A$2)</f>
        <v/>
      </c>
      <c r="N17" s="27"/>
    </row>
    <row r="18" spans="1:14" x14ac:dyDescent="0.25">
      <c r="A18" s="18">
        <v>150</v>
      </c>
      <c r="B18" s="18">
        <v>902</v>
      </c>
      <c r="C18" s="18">
        <v>160</v>
      </c>
      <c r="D18" s="18">
        <v>16</v>
      </c>
      <c r="E18" s="18" t="s">
        <v>273</v>
      </c>
      <c r="F18" s="336" t="s">
        <v>3431</v>
      </c>
      <c r="G18" s="339" t="str">
        <f>IFERROR(IF(OR(F18='DICTIONARY-5'!$A$2,F18='DICTIONARY-5'!$A$4,ISBLANK(F18)),VLOOKUP(E18,LIST!$A$6:$L$3250,CURR_1.SEARCH.OLD,0),VLOOKUP(F18,LIST!$B$6:$L$3250,CURR_1.SEARCH.NEW,0)),'DICTIONARY-5'!$A$2)</f>
        <v>834,-</v>
      </c>
      <c r="H18" s="339" t="str">
        <f>IFERROR(IF(OR(F18='DICTIONARY-5'!$A$2,F18='DICTIONARY-5'!$A$4,ISBLANK(F18)),VLOOKUP(E18,LIST!$A$6:$M$3250,CURR_2.SEARCH.OLD,0),VLOOKUP(F18,LIST!$B$6:$M$3250,CURR_2.SEARCH.NEW,0)),'DICTIONARY-5'!$A$2)</f>
        <v/>
      </c>
      <c r="J18" s="139" t="s">
        <v>91</v>
      </c>
      <c r="K18" s="334" t="s">
        <v>2894</v>
      </c>
      <c r="L18" s="339" t="str">
        <f>IFERROR(IF(OR(K18='DICTIONARY-5'!$A$2,K18='DICTIONARY-5'!$A$4,ISBLANK(K18)),VLOOKUP(J18,LIST!$A$6:$L$3250,CURR_1.SEARCH.OLD,0),VLOOKUP(K18,LIST!$B$6:$L$3250,CURR_1.SEARCH.NEW,0)),'DICTIONARY-5'!$A$2)</f>
        <v>20,-</v>
      </c>
      <c r="M18" s="339" t="str">
        <f>IFERROR(IF(OR(K18='DICTIONARY-5'!$A$2,K18='DICTIONARY-5'!$A$4,ISBLANK(K18)),VLOOKUP(J18,LIST!$A$6:$M$3250,CURR_2.SEARCH.OLD,0),VLOOKUP(K18,LIST!$B$6:$M$3250,CURR_2.SEARCH.NEW,0)),'DICTIONARY-5'!$A$2)</f>
        <v/>
      </c>
      <c r="N18" s="27"/>
    </row>
    <row r="19" spans="1:14" x14ac:dyDescent="0.25">
      <c r="A19" s="18">
        <v>150</v>
      </c>
      <c r="B19" s="18">
        <v>982</v>
      </c>
      <c r="C19" s="18">
        <v>180</v>
      </c>
      <c r="D19" s="18">
        <v>16</v>
      </c>
      <c r="E19" s="18" t="s">
        <v>274</v>
      </c>
      <c r="F19" s="336" t="s">
        <v>3441</v>
      </c>
      <c r="G19" s="339" t="str">
        <f>IFERROR(IF(OR(F19='DICTIONARY-5'!$A$2,F19='DICTIONARY-5'!$A$4,ISBLANK(F19)),VLOOKUP(E19,LIST!$A$6:$L$3250,CURR_1.SEARCH.OLD,0),VLOOKUP(F19,LIST!$B$6:$L$3250,CURR_1.SEARCH.NEW,0)),'DICTIONARY-5'!$A$2)</f>
        <v>927,-</v>
      </c>
      <c r="H19" s="339" t="str">
        <f>IFERROR(IF(OR(F19='DICTIONARY-5'!$A$2,F19='DICTIONARY-5'!$A$4,ISBLANK(F19)),VLOOKUP(E19,LIST!$A$6:$M$3250,CURR_2.SEARCH.OLD,0),VLOOKUP(F19,LIST!$B$6:$M$3250,CURR_2.SEARCH.NEW,0)),'DICTIONARY-5'!$A$2)</f>
        <v/>
      </c>
      <c r="J19" s="139" t="s">
        <v>91</v>
      </c>
      <c r="K19" s="334" t="s">
        <v>2894</v>
      </c>
      <c r="L19" s="339" t="str">
        <f>IFERROR(IF(OR(K19='DICTIONARY-5'!$A$2,K19='DICTIONARY-5'!$A$4,ISBLANK(K19)),VLOOKUP(J19,LIST!$A$6:$L$3250,CURR_1.SEARCH.OLD,0),VLOOKUP(K19,LIST!$B$6:$L$3250,CURR_1.SEARCH.NEW,0)),'DICTIONARY-5'!$A$2)</f>
        <v>20,-</v>
      </c>
      <c r="M19" s="339" t="str">
        <f>IFERROR(IF(OR(K19='DICTIONARY-5'!$A$2,K19='DICTIONARY-5'!$A$4,ISBLANK(K19)),VLOOKUP(J19,LIST!$A$6:$M$3250,CURR_2.SEARCH.OLD,0),VLOOKUP(K19,LIST!$B$6:$M$3250,CURR_2.SEARCH.NEW,0)),'DICTIONARY-5'!$A$2)</f>
        <v/>
      </c>
      <c r="N19" s="27"/>
    </row>
    <row r="20" spans="1:14" x14ac:dyDescent="0.25">
      <c r="A20" s="18">
        <v>200</v>
      </c>
      <c r="B20" s="18">
        <v>1099</v>
      </c>
      <c r="C20" s="18">
        <v>200</v>
      </c>
      <c r="D20" s="18">
        <v>16</v>
      </c>
      <c r="E20" s="18" t="s">
        <v>275</v>
      </c>
      <c r="F20" s="336" t="s">
        <v>3443</v>
      </c>
      <c r="G20" s="339" t="str">
        <f>IFERROR(IF(OR(F20='DICTIONARY-5'!$A$2,F20='DICTIONARY-5'!$A$4,ISBLANK(F20)),VLOOKUP(E20,LIST!$A$6:$L$3250,CURR_1.SEARCH.OLD,0),VLOOKUP(F20,LIST!$B$6:$L$3250,CURR_1.SEARCH.NEW,0)),'DICTIONARY-5'!$A$2)</f>
        <v>1 322,-</v>
      </c>
      <c r="H20" s="339" t="str">
        <f>IFERROR(IF(OR(F20='DICTIONARY-5'!$A$2,F20='DICTIONARY-5'!$A$4,ISBLANK(F20)),VLOOKUP(E20,LIST!$A$6:$M$3250,CURR_2.SEARCH.OLD,0),VLOOKUP(F20,LIST!$B$6:$M$3250,CURR_2.SEARCH.NEW,0)),'DICTIONARY-5'!$A$2)</f>
        <v/>
      </c>
      <c r="J20" s="139" t="s">
        <v>98</v>
      </c>
      <c r="K20" s="334" t="s">
        <v>2895</v>
      </c>
      <c r="L20" s="339" t="str">
        <f>IFERROR(IF(OR(K20='DICTIONARY-5'!$A$2,K20='DICTIONARY-5'!$A$4,ISBLANK(K20)),VLOOKUP(J20,LIST!$A$6:$L$3250,CURR_1.SEARCH.OLD,0),VLOOKUP(K20,LIST!$B$6:$L$3250,CURR_1.SEARCH.NEW,0)),'DICTIONARY-5'!$A$2)</f>
        <v>35,-</v>
      </c>
      <c r="M20" s="339" t="str">
        <f>IFERROR(IF(OR(K20='DICTIONARY-5'!$A$2,K20='DICTIONARY-5'!$A$4,ISBLANK(K20)),VLOOKUP(J20,LIST!$A$6:$M$3250,CURR_2.SEARCH.OLD,0),VLOOKUP(K20,LIST!$B$6:$M$3250,CURR_2.SEARCH.NEW,0)),'DICTIONARY-5'!$A$2)</f>
        <v/>
      </c>
      <c r="N20" s="27"/>
    </row>
    <row r="21" spans="1:14" x14ac:dyDescent="0.25">
      <c r="A21" s="18">
        <v>200</v>
      </c>
      <c r="B21" s="18">
        <v>1129</v>
      </c>
      <c r="C21" s="18">
        <v>225</v>
      </c>
      <c r="D21" s="18">
        <v>16</v>
      </c>
      <c r="E21" s="18" t="s">
        <v>276</v>
      </c>
      <c r="F21" s="336" t="s">
        <v>3433</v>
      </c>
      <c r="G21" s="339" t="str">
        <f>IFERROR(IF(OR(F21='DICTIONARY-5'!$A$2,F21='DICTIONARY-5'!$A$4,ISBLANK(F21)),VLOOKUP(E21,LIST!$A$6:$L$3250,CURR_1.SEARCH.OLD,0),VLOOKUP(F21,LIST!$B$6:$L$3250,CURR_1.SEARCH.NEW,0)),'DICTIONARY-5'!$A$2)</f>
        <v>1 548,-</v>
      </c>
      <c r="H21" s="339" t="str">
        <f>IFERROR(IF(OR(F21='DICTIONARY-5'!$A$2,F21='DICTIONARY-5'!$A$4,ISBLANK(F21)),VLOOKUP(E21,LIST!$A$6:$M$3250,CURR_2.SEARCH.OLD,0),VLOOKUP(F21,LIST!$B$6:$M$3250,CURR_2.SEARCH.NEW,0)),'DICTIONARY-5'!$A$2)</f>
        <v/>
      </c>
      <c r="J21" s="139" t="s">
        <v>98</v>
      </c>
      <c r="K21" s="334" t="s">
        <v>2895</v>
      </c>
      <c r="L21" s="339" t="str">
        <f>IFERROR(IF(OR(K21='DICTIONARY-5'!$A$2,K21='DICTIONARY-5'!$A$4,ISBLANK(K21)),VLOOKUP(J21,LIST!$A$6:$L$3250,CURR_1.SEARCH.OLD,0),VLOOKUP(K21,LIST!$B$6:$L$3250,CURR_1.SEARCH.NEW,0)),'DICTIONARY-5'!$A$2)</f>
        <v>35,-</v>
      </c>
      <c r="M21" s="339" t="str">
        <f>IFERROR(IF(OR(K21='DICTIONARY-5'!$A$2,K21='DICTIONARY-5'!$A$4,ISBLANK(K21)),VLOOKUP(J21,LIST!$A$6:$M$3250,CURR_2.SEARCH.OLD,0),VLOOKUP(K21,LIST!$B$6:$M$3250,CURR_2.SEARCH.NEW,0)),'DICTIONARY-5'!$A$2)</f>
        <v/>
      </c>
      <c r="N21" s="27"/>
    </row>
    <row r="22" spans="1:14" x14ac:dyDescent="0.25">
      <c r="A22" s="18">
        <v>250</v>
      </c>
      <c r="B22" s="18">
        <v>1388</v>
      </c>
      <c r="C22" s="18">
        <v>250</v>
      </c>
      <c r="D22" s="18">
        <v>16</v>
      </c>
      <c r="E22" s="18" t="s">
        <v>277</v>
      </c>
      <c r="F22" s="336" t="s">
        <v>3445</v>
      </c>
      <c r="G22" s="339" t="str">
        <f>IFERROR(IF(OR(F22='DICTIONARY-5'!$A$2,F22='DICTIONARY-5'!$A$4,ISBLANK(F22)),VLOOKUP(E22,LIST!$A$6:$L$3250,CURR_1.SEARCH.OLD,0),VLOOKUP(F22,LIST!$B$6:$L$3250,CURR_1.SEARCH.NEW,0)),'DICTIONARY-5'!$A$2)</f>
        <v>3 745,-</v>
      </c>
      <c r="H22" s="339" t="str">
        <f>IFERROR(IF(OR(F22='DICTIONARY-5'!$A$2,F22='DICTIONARY-5'!$A$4,ISBLANK(F22)),VLOOKUP(E22,LIST!$A$6:$M$3250,CURR_2.SEARCH.OLD,0),VLOOKUP(F22,LIST!$B$6:$M$3250,CURR_2.SEARCH.NEW,0)),'DICTIONARY-5'!$A$2)</f>
        <v/>
      </c>
      <c r="J22" s="139" t="s">
        <v>102</v>
      </c>
      <c r="K22" s="334" t="s">
        <v>2896</v>
      </c>
      <c r="L22" s="339" t="str">
        <f>IFERROR(IF(OR(K22='DICTIONARY-5'!$A$2,K22='DICTIONARY-5'!$A$4,ISBLANK(K22)),VLOOKUP(J22,LIST!$A$6:$L$3250,CURR_1.SEARCH.OLD,0),VLOOKUP(K22,LIST!$B$6:$L$3250,CURR_1.SEARCH.NEW,0)),'DICTIONARY-5'!$A$2)</f>
        <v>54,-</v>
      </c>
      <c r="M22" s="339" t="str">
        <f>IFERROR(IF(OR(K22='DICTIONARY-5'!$A$2,K22='DICTIONARY-5'!$A$4,ISBLANK(K22)),VLOOKUP(J22,LIST!$A$6:$M$3250,CURR_2.SEARCH.OLD,0),VLOOKUP(K22,LIST!$B$6:$M$3250,CURR_2.SEARCH.NEW,0)),'DICTIONARY-5'!$A$2)</f>
        <v/>
      </c>
      <c r="N22" s="27"/>
    </row>
    <row r="23" spans="1:14" x14ac:dyDescent="0.25">
      <c r="A23" s="18">
        <v>250</v>
      </c>
      <c r="B23" s="18">
        <v>1428</v>
      </c>
      <c r="C23" s="18">
        <v>280</v>
      </c>
      <c r="D23" s="18">
        <v>16</v>
      </c>
      <c r="E23" s="18" t="s">
        <v>278</v>
      </c>
      <c r="F23" s="336" t="s">
        <v>3435</v>
      </c>
      <c r="G23" s="339" t="str">
        <f>IFERROR(IF(OR(F23='DICTIONARY-5'!$A$2,F23='DICTIONARY-5'!$A$4,ISBLANK(F23)),VLOOKUP(E23,LIST!$A$6:$L$3250,CURR_1.SEARCH.OLD,0),VLOOKUP(F23,LIST!$B$6:$L$3250,CURR_1.SEARCH.NEW,0)),'DICTIONARY-5'!$A$2)</f>
        <v>3 464,-</v>
      </c>
      <c r="H23" s="339" t="str">
        <f>IFERROR(IF(OR(F23='DICTIONARY-5'!$A$2,F23='DICTIONARY-5'!$A$4,ISBLANK(F23)),VLOOKUP(E23,LIST!$A$6:$M$3250,CURR_2.SEARCH.OLD,0),VLOOKUP(F23,LIST!$B$6:$M$3250,CURR_2.SEARCH.NEW,0)),'DICTIONARY-5'!$A$2)</f>
        <v/>
      </c>
      <c r="J23" s="139" t="s">
        <v>102</v>
      </c>
      <c r="K23" s="334" t="s">
        <v>2896</v>
      </c>
      <c r="L23" s="339" t="str">
        <f>IFERROR(IF(OR(K23='DICTIONARY-5'!$A$2,K23='DICTIONARY-5'!$A$4,ISBLANK(K23)),VLOOKUP(J23,LIST!$A$6:$L$3250,CURR_1.SEARCH.OLD,0),VLOOKUP(K23,LIST!$B$6:$L$3250,CURR_1.SEARCH.NEW,0)),'DICTIONARY-5'!$A$2)</f>
        <v>54,-</v>
      </c>
      <c r="M23" s="339" t="str">
        <f>IFERROR(IF(OR(K23='DICTIONARY-5'!$A$2,K23='DICTIONARY-5'!$A$4,ISBLANK(K23)),VLOOKUP(J23,LIST!$A$6:$M$3250,CURR_2.SEARCH.OLD,0),VLOOKUP(K23,LIST!$B$6:$M$3250,CURR_2.SEARCH.NEW,0)),'DICTIONARY-5'!$A$2)</f>
        <v/>
      </c>
      <c r="N23" s="27"/>
    </row>
    <row r="24" spans="1:14" x14ac:dyDescent="0.25">
      <c r="A24" s="18">
        <v>300</v>
      </c>
      <c r="B24" s="18">
        <v>1520</v>
      </c>
      <c r="C24" s="18">
        <v>315</v>
      </c>
      <c r="D24" s="18">
        <v>16</v>
      </c>
      <c r="E24" s="18" t="s">
        <v>279</v>
      </c>
      <c r="F24" s="336" t="s">
        <v>3437</v>
      </c>
      <c r="G24" s="339" t="str">
        <f>IFERROR(IF(OR(F24='DICTIONARY-5'!$A$2,F24='DICTIONARY-5'!$A$4,ISBLANK(F24)),VLOOKUP(E24,LIST!$A$6:$L$3250,CURR_1.SEARCH.OLD,0),VLOOKUP(F24,LIST!$B$6:$L$3250,CURR_1.SEARCH.NEW,0)),'DICTIONARY-5'!$A$2)</f>
        <v>4 077,-</v>
      </c>
      <c r="H24" s="339" t="str">
        <f>IFERROR(IF(OR(F24='DICTIONARY-5'!$A$2,F24='DICTIONARY-5'!$A$4,ISBLANK(F24)),VLOOKUP(E24,LIST!$A$6:$M$3250,CURR_2.SEARCH.OLD,0),VLOOKUP(F24,LIST!$B$6:$M$3250,CURR_2.SEARCH.NEW,0)),'DICTIONARY-5'!$A$2)</f>
        <v/>
      </c>
      <c r="J24" s="139" t="s">
        <v>102</v>
      </c>
      <c r="K24" s="334" t="s">
        <v>2896</v>
      </c>
      <c r="L24" s="339" t="str">
        <f>IFERROR(IF(OR(K24='DICTIONARY-5'!$A$2,K24='DICTIONARY-5'!$A$4,ISBLANK(K24)),VLOOKUP(J24,LIST!$A$6:$L$3250,CURR_1.SEARCH.OLD,0),VLOOKUP(K24,LIST!$B$6:$L$3250,CURR_1.SEARCH.NEW,0)),'DICTIONARY-5'!$A$2)</f>
        <v>54,-</v>
      </c>
      <c r="M24" s="339" t="str">
        <f>IFERROR(IF(OR(K24='DICTIONARY-5'!$A$2,K24='DICTIONARY-5'!$A$4,ISBLANK(K24)),VLOOKUP(J24,LIST!$A$6:$M$3250,CURR_2.SEARCH.OLD,0),VLOOKUP(K24,LIST!$B$6:$M$3250,CURR_2.SEARCH.NEW,0)),'DICTIONARY-5'!$A$2)</f>
        <v/>
      </c>
      <c r="N24" s="27"/>
    </row>
    <row r="26" spans="1:14" x14ac:dyDescent="0.25">
      <c r="A26" s="6" t="str">
        <f>"1) "&amp;'DICTIONARY-5'!$A$74</f>
        <v>1) Zewnętrzna średnica rury</v>
      </c>
    </row>
    <row r="27" spans="1:14" x14ac:dyDescent="0.25">
      <c r="A27" s="549" t="str">
        <f>'DICTIONARY-5'!$A$3&amp;'DICTIONARY-5'!$A$58&amp;" "&amp;'DICTIONARY-5'!$A$60&amp;", "&amp;LOWER('DICTIONARY-5'!$A$92)&amp;": max. 1,0 MPa / 10 bar"</f>
        <v>Na zapytanie: PE-HD SDR 17, ciśnienie robocze: max. 1,0 MPa / 10 bar</v>
      </c>
    </row>
  </sheetData>
  <sheetProtection algorithmName="SHA-512" hashValue="/v7z9NlLj1cXAQ8R69EC0FF4rCIeTy5GUcL/xlHHxHH/LewtNTrkh7hwUuclH52br4wWhETSXSPpFUBAPX5Veg==" saltValue="gXWjpKYezOaJAz/n9vAe3w==" spinCount="100000" sheet="1" objects="1" scenarios="1" autoFilter="0"/>
  <mergeCells count="6">
    <mergeCell ref="B4:E4"/>
    <mergeCell ref="E10:H10"/>
    <mergeCell ref="J10:M10"/>
    <mergeCell ref="J9:M9"/>
    <mergeCell ref="E11:H11"/>
    <mergeCell ref="J11:M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FFC000"/>
  </sheetPr>
  <dimension ref="A1:P22"/>
  <sheetViews>
    <sheetView workbookViewId="0"/>
  </sheetViews>
  <sheetFormatPr defaultColWidth="9.140625" defaultRowHeight="15" x14ac:dyDescent="0.25"/>
  <cols>
    <col min="1" max="1" width="9.140625" style="6" customWidth="1"/>
    <col min="2" max="4" width="9.140625" style="6"/>
    <col min="5" max="6" width="22.140625" style="6" customWidth="1"/>
    <col min="7" max="8" width="12.85546875" style="6" customWidth="1"/>
    <col min="9" max="9" width="9.140625" style="6" customWidth="1"/>
    <col min="10" max="11" width="22.140625" style="6" customWidth="1"/>
    <col min="12" max="13" width="12.85546875" style="6" customWidth="1"/>
    <col min="14" max="15" width="9.140625" style="6"/>
    <col min="16" max="16" width="11.28515625" style="6" customWidth="1"/>
    <col min="17" max="16384" width="9.140625" style="6"/>
  </cols>
  <sheetData>
    <row r="1" spans="1:16" s="383" customFormat="1" ht="45" customHeight="1" thickBot="1" x14ac:dyDescent="0.3">
      <c r="A1" s="381"/>
      <c r="B1" s="381"/>
      <c r="C1" s="381"/>
      <c r="D1" s="381"/>
      <c r="E1" s="381"/>
    </row>
    <row r="2" spans="1:16" s="485" customFormat="1" ht="4.5" customHeight="1" x14ac:dyDescent="0.25">
      <c r="A2" s="484"/>
    </row>
    <row r="3" spans="1:16" ht="15.75" thickBot="1" x14ac:dyDescent="0.3">
      <c r="A3" s="7"/>
      <c r="B3" s="8"/>
      <c r="C3" s="8"/>
    </row>
    <row r="4" spans="1:16" ht="15.75" thickBot="1" x14ac:dyDescent="0.3">
      <c r="A4" s="828">
        <f>ADD.DISCOUNT</f>
        <v>0</v>
      </c>
      <c r="B4" s="933" t="str">
        <f>HYPERLINK("#'LIST'!ADD.DISCOUNT","» "&amp;'DICTIONARY-1'!$A$5)</f>
        <v>» Ustaw globalny dodatkowy rabat</v>
      </c>
      <c r="C4" s="946"/>
      <c r="D4" s="946"/>
      <c r="E4" s="947"/>
    </row>
    <row r="5" spans="1:16" x14ac:dyDescent="0.25">
      <c r="A5" s="7"/>
      <c r="B5" s="8"/>
      <c r="C5" s="8"/>
    </row>
    <row r="6" spans="1:16" ht="16.5" thickBot="1" x14ac:dyDescent="0.3">
      <c r="A6" s="81" t="str">
        <f>CONCATENATE('DICTIONARY-3'!$A$3," ",'DICTIONARY-3'!$A$187," / ",'DICTIONARY-3'!$A$253)</f>
        <v>BAIO EKOplus Zasuwa klinowa / Z końcówkami mufowymi BAIO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</row>
    <row r="7" spans="1:16" x14ac:dyDescent="0.25">
      <c r="A7" s="9" t="str">
        <f>'DICTIONARY-3'!$A$243</f>
        <v>Z wolnym końcem wałka</v>
      </c>
      <c r="B7" s="10"/>
      <c r="C7" s="10"/>
      <c r="D7" s="10"/>
      <c r="E7" s="10"/>
      <c r="F7" s="11"/>
      <c r="G7" s="11"/>
    </row>
    <row r="8" spans="1:16" x14ac:dyDescent="0.25">
      <c r="A8" s="9" t="str">
        <f>CONCATENATE('DICTIONARY-1'!$A$10,": ",SETTINGS!$C$12)</f>
        <v>Grupa rabatowa: EKOplus</v>
      </c>
      <c r="B8" s="10"/>
      <c r="C8" s="10"/>
      <c r="D8" s="10"/>
      <c r="E8" s="10"/>
      <c r="F8" s="10"/>
      <c r="G8" s="11"/>
      <c r="H8" s="11"/>
      <c r="I8" s="11"/>
    </row>
    <row r="9" spans="1:16" x14ac:dyDescent="0.25">
      <c r="A9" s="957" t="str">
        <f>CONCATENATE("» ",'DICTIONARY-5'!$A$6," ",'DICTIONARY-3'!$A$153," ",'DICTIONARY-3'!$A$227," (",LOWER('DICTIONARY-5'!$A$5),")")</f>
        <v>» Przejdź do produktu: BAIO Uszczelki (należy zamówić oddzielnie )</v>
      </c>
      <c r="B9" s="957"/>
      <c r="C9" s="957"/>
      <c r="D9" s="957"/>
      <c r="E9" s="957"/>
      <c r="F9" s="957"/>
      <c r="G9" s="957"/>
      <c r="H9" s="957"/>
      <c r="I9" s="957"/>
      <c r="J9" s="957"/>
      <c r="K9" s="957"/>
      <c r="L9" s="957"/>
      <c r="M9" s="957"/>
    </row>
    <row r="10" spans="1:16" x14ac:dyDescent="0.25">
      <c r="A10" s="957" t="str">
        <f>CONCATENATE("» ",'DICTIONARY-5'!$A$6," ",'DICTIONARY-3'!$A$180," ",'DICTIONARY-3'!$A$224," ",LOWER('DICTIONARY-5'!$A$210)," (",LOWER('DICTIONARY-5'!$A$5),")")</f>
        <v>» Przejdź do produktu: BAIOstop Zabezpieczenie przed wyrwaniem przeciwdziała przemieszczeniu końcówki rury w kielichu (należy zamówić oddzielnie )</v>
      </c>
      <c r="B10" s="957"/>
      <c r="C10" s="957"/>
      <c r="D10" s="957"/>
      <c r="E10" s="957"/>
      <c r="F10" s="957"/>
      <c r="G10" s="957"/>
      <c r="H10" s="957"/>
      <c r="I10" s="957"/>
      <c r="J10" s="957"/>
      <c r="K10" s="957"/>
      <c r="L10" s="957"/>
      <c r="M10" s="957"/>
    </row>
    <row r="11" spans="1:16" x14ac:dyDescent="0.25">
      <c r="A11" s="700"/>
      <c r="B11" s="700"/>
      <c r="C11" s="700"/>
      <c r="D11" s="700"/>
      <c r="E11" s="700"/>
      <c r="F11" s="700"/>
      <c r="G11" s="700"/>
      <c r="H11" s="700"/>
      <c r="I11" s="700"/>
      <c r="J11" s="700"/>
      <c r="K11" s="700"/>
      <c r="L11" s="700"/>
      <c r="M11" s="700"/>
    </row>
    <row r="12" spans="1:16" x14ac:dyDescent="0.25">
      <c r="A12" s="12"/>
      <c r="B12" s="10"/>
      <c r="C12" s="10"/>
      <c r="D12" s="10"/>
      <c r="E12" s="10"/>
      <c r="F12" s="10"/>
      <c r="G12" s="11"/>
      <c r="H12" s="11"/>
      <c r="I12" s="11"/>
      <c r="J12" s="935" t="str">
        <f>'DICTIONARY-5'!$A$5</f>
        <v xml:space="preserve">Należy zamówić oddzielnie </v>
      </c>
      <c r="K12" s="953"/>
      <c r="L12" s="953"/>
      <c r="M12" s="954"/>
    </row>
    <row r="13" spans="1:16" ht="15" customHeight="1" x14ac:dyDescent="0.25">
      <c r="A13" s="13" t="str">
        <f>'DICTIONARY-2'!$A$2</f>
        <v>DN</v>
      </c>
      <c r="B13" s="13" t="str">
        <f>'DICTIONARY-2'!$A$3</f>
        <v>PN</v>
      </c>
      <c r="C13" s="699" t="str">
        <f>'DICTIONARY-2'!$A$5&amp;" 1)"</f>
        <v>Da 1)</v>
      </c>
      <c r="D13" s="699" t="str">
        <f>'DICTIONARY-2'!$A$5&amp;" 1)"</f>
        <v>Da 1)</v>
      </c>
      <c r="E13" s="949" t="str">
        <f>'DICTIONARY-3'!$A$3</f>
        <v>BAIO EKOplus</v>
      </c>
      <c r="F13" s="949"/>
      <c r="G13" s="949"/>
      <c r="H13" s="949"/>
      <c r="J13" s="950" t="str">
        <f>'DICTIONARY-4'!$A$23</f>
        <v>Kółko ręczne</v>
      </c>
      <c r="K13" s="951"/>
      <c r="L13" s="951"/>
      <c r="M13" s="952"/>
    </row>
    <row r="14" spans="1:16" ht="45" x14ac:dyDescent="0.25">
      <c r="A14" s="514"/>
      <c r="B14" s="514"/>
      <c r="C14" s="516" t="str">
        <f>'DICTIONARY-5'!$A$53</f>
        <v>tworzywo sztuczne</v>
      </c>
      <c r="D14" s="516" t="str">
        <f>'DICTIONARY-5'!$A$48</f>
        <v>żeliwo</v>
      </c>
      <c r="E14" s="948" t="str">
        <f>'DICTIONARY-5'!$A$78&amp;", "&amp;'DICTIONARY-5'!$A$43&amp;": "&amp;'DICTIONARY-5'!$A$44</f>
        <v>z końc. mufowymi, guma: EPDM</v>
      </c>
      <c r="F14" s="948"/>
      <c r="G14" s="948"/>
      <c r="H14" s="948"/>
      <c r="J14" s="939"/>
      <c r="K14" s="940"/>
      <c r="L14" s="940"/>
      <c r="M14" s="941"/>
    </row>
    <row r="15" spans="1:16" ht="15" customHeight="1" x14ac:dyDescent="0.25">
      <c r="A15" s="15"/>
      <c r="B15" s="15"/>
      <c r="C15" s="15" t="str">
        <f>'DICTIONARY-2'!$A$18</f>
        <v>[mm]</v>
      </c>
      <c r="D15" s="15" t="str">
        <f>'DICTIONARY-2'!$A$18</f>
        <v>[mm]</v>
      </c>
      <c r="E15" s="16" t="str">
        <f>'DICTIONARY-2'!$A$28</f>
        <v>stary nr zamówienia</v>
      </c>
      <c r="F15" s="16" t="str">
        <f>'DICTIONARY-2'!$A$29</f>
        <v>nowy nr zamówienia</v>
      </c>
      <c r="G15" s="17" t="str">
        <f>CURRENCY.CODE_1</f>
        <v>EUR</v>
      </c>
      <c r="H15" s="17" t="str">
        <f>CURRENCY.CODE_2</f>
        <v>---</v>
      </c>
      <c r="J15" s="165" t="str">
        <f>'DICTIONARY-2'!$A$28</f>
        <v>stary nr zamówienia</v>
      </c>
      <c r="K15" s="165" t="str">
        <f>'DICTIONARY-2'!$A$29</f>
        <v>nowy nr zamówienia</v>
      </c>
      <c r="L15" s="166" t="str">
        <f>CURRENCY.CODE_1</f>
        <v>EUR</v>
      </c>
      <c r="M15" s="166" t="str">
        <f>CURRENCY.CODE_2</f>
        <v>---</v>
      </c>
    </row>
    <row r="16" spans="1:16" x14ac:dyDescent="0.25">
      <c r="A16" s="18">
        <v>80</v>
      </c>
      <c r="B16" s="18">
        <v>16</v>
      </c>
      <c r="C16" s="18">
        <v>90</v>
      </c>
      <c r="D16" s="18">
        <v>98</v>
      </c>
      <c r="E16" s="18" t="s">
        <v>280</v>
      </c>
      <c r="F16" s="336" t="s">
        <v>3410</v>
      </c>
      <c r="G16" s="339" t="str">
        <f>IFERROR(IF(OR(F16='DICTIONARY-5'!$A$2,F16='DICTIONARY-5'!$A$4,ISBLANK(F16)),VLOOKUP(E16,LIST!$A$6:$L$3250,CURR_1.SEARCH.OLD,0),VLOOKUP(F16,LIST!$B$6:$L$3250,CURR_1.SEARCH.NEW,0)),'DICTIONARY-5'!$A$2)</f>
        <v>230,-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  <c r="I16" s="28"/>
      <c r="J16" s="139" t="s">
        <v>88</v>
      </c>
      <c r="K16" s="334" t="s">
        <v>2893</v>
      </c>
      <c r="L16" s="339" t="str">
        <f>IFERROR(IF(OR(K16='DICTIONARY-5'!$A$2,K16='DICTIONARY-5'!$A$4,ISBLANK(K16)),VLOOKUP(J16,LIST!$A$6:$L$3250,CURR_1.SEARCH.OLD,0),VLOOKUP(K16,LIST!$B$6:$L$3250,CURR_1.SEARCH.NEW,0)),'DICTIONARY-5'!$A$2)</f>
        <v>15,-</v>
      </c>
      <c r="M16" s="339" t="str">
        <f>IFERROR(IF(OR(K16='DICTIONARY-5'!$A$2,K16='DICTIONARY-5'!$A$4,ISBLANK(K16)),VLOOKUP(J16,LIST!$A$6:$M$3250,CURR_2.SEARCH.OLD,0),VLOOKUP(K16,LIST!$B$6:$M$3250,CURR_2.SEARCH.NEW,0)),'DICTIONARY-5'!$A$2)</f>
        <v/>
      </c>
      <c r="N16" s="21"/>
      <c r="O16" s="28"/>
      <c r="P16" s="29"/>
    </row>
    <row r="17" spans="1:16" x14ac:dyDescent="0.25">
      <c r="A17" s="18">
        <v>100</v>
      </c>
      <c r="B17" s="18">
        <v>16</v>
      </c>
      <c r="C17" s="18">
        <v>110</v>
      </c>
      <c r="D17" s="18">
        <v>118</v>
      </c>
      <c r="E17" s="18" t="s">
        <v>281</v>
      </c>
      <c r="F17" s="336" t="s">
        <v>3411</v>
      </c>
      <c r="G17" s="339" t="str">
        <f>IFERROR(IF(OR(F17='DICTIONARY-5'!$A$2,F17='DICTIONARY-5'!$A$4,ISBLANK(F17)),VLOOKUP(E17,LIST!$A$6:$L$3250,CURR_1.SEARCH.OLD,0),VLOOKUP(F17,LIST!$B$6:$L$3250,CURR_1.SEARCH.NEW,0)),'DICTIONARY-5'!$A$2)</f>
        <v>252,-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  <c r="I17" s="28"/>
      <c r="J17" s="139" t="s">
        <v>91</v>
      </c>
      <c r="K17" s="334" t="s">
        <v>2894</v>
      </c>
      <c r="L17" s="339" t="str">
        <f>IFERROR(IF(OR(K17='DICTIONARY-5'!$A$2,K17='DICTIONARY-5'!$A$4,ISBLANK(K17)),VLOOKUP(J17,LIST!$A$6:$L$3250,CURR_1.SEARCH.OLD,0),VLOOKUP(K17,LIST!$B$6:$L$3250,CURR_1.SEARCH.NEW,0)),'DICTIONARY-5'!$A$2)</f>
        <v>20,-</v>
      </c>
      <c r="M17" s="339" t="str">
        <f>IFERROR(IF(OR(K17='DICTIONARY-5'!$A$2,K17='DICTIONARY-5'!$A$4,ISBLANK(K17)),VLOOKUP(J17,LIST!$A$6:$M$3250,CURR_2.SEARCH.OLD,0),VLOOKUP(K17,LIST!$B$6:$M$3250,CURR_2.SEARCH.NEW,0)),'DICTIONARY-5'!$A$2)</f>
        <v/>
      </c>
      <c r="N17" s="21"/>
      <c r="O17" s="28"/>
      <c r="P17" s="29"/>
    </row>
    <row r="18" spans="1:16" x14ac:dyDescent="0.25">
      <c r="A18" s="18">
        <v>125</v>
      </c>
      <c r="B18" s="18">
        <v>16</v>
      </c>
      <c r="C18" s="18">
        <v>140</v>
      </c>
      <c r="D18" s="18">
        <v>144</v>
      </c>
      <c r="E18" s="18" t="s">
        <v>282</v>
      </c>
      <c r="F18" s="336" t="s">
        <v>3412</v>
      </c>
      <c r="G18" s="339" t="str">
        <f>IFERROR(IF(OR(F18='DICTIONARY-5'!$A$2,F18='DICTIONARY-5'!$A$4,ISBLANK(F18)),VLOOKUP(E18,LIST!$A$6:$L$3250,CURR_1.SEARCH.OLD,0),VLOOKUP(F18,LIST!$B$6:$L$3250,CURR_1.SEARCH.NEW,0)),'DICTIONARY-5'!$A$2)</f>
        <v>506,-</v>
      </c>
      <c r="H18" s="339" t="str">
        <f>IFERROR(IF(OR(F18='DICTIONARY-5'!$A$2,F18='DICTIONARY-5'!$A$4,ISBLANK(F18)),VLOOKUP(E18,LIST!$A$6:$M$3250,CURR_2.SEARCH.OLD,0),VLOOKUP(F18,LIST!$B$6:$M$3250,CURR_2.SEARCH.NEW,0)),'DICTIONARY-5'!$A$2)</f>
        <v/>
      </c>
      <c r="I18" s="28"/>
      <c r="J18" s="139" t="s">
        <v>91</v>
      </c>
      <c r="K18" s="334" t="s">
        <v>2894</v>
      </c>
      <c r="L18" s="339" t="str">
        <f>IFERROR(IF(OR(K18='DICTIONARY-5'!$A$2,K18='DICTIONARY-5'!$A$4,ISBLANK(K18)),VLOOKUP(J18,LIST!$A$6:$L$3250,CURR_1.SEARCH.OLD,0),VLOOKUP(K18,LIST!$B$6:$L$3250,CURR_1.SEARCH.NEW,0)),'DICTIONARY-5'!$A$2)</f>
        <v>20,-</v>
      </c>
      <c r="M18" s="339" t="str">
        <f>IFERROR(IF(OR(K18='DICTIONARY-5'!$A$2,K18='DICTIONARY-5'!$A$4,ISBLANK(K18)),VLOOKUP(J18,LIST!$A$6:$M$3250,CURR_2.SEARCH.OLD,0),VLOOKUP(K18,LIST!$B$6:$M$3250,CURR_2.SEARCH.NEW,0)),'DICTIONARY-5'!$A$2)</f>
        <v/>
      </c>
      <c r="N18" s="21"/>
      <c r="O18" s="28"/>
      <c r="P18" s="29"/>
    </row>
    <row r="19" spans="1:16" x14ac:dyDescent="0.25">
      <c r="A19" s="18">
        <v>150</v>
      </c>
      <c r="B19" s="18">
        <v>16</v>
      </c>
      <c r="C19" s="18">
        <v>160</v>
      </c>
      <c r="D19" s="18">
        <v>170</v>
      </c>
      <c r="E19" s="18" t="s">
        <v>283</v>
      </c>
      <c r="F19" s="336" t="s">
        <v>3413</v>
      </c>
      <c r="G19" s="339" t="str">
        <f>IFERROR(IF(OR(F19='DICTIONARY-5'!$A$2,F19='DICTIONARY-5'!$A$4,ISBLANK(F19)),VLOOKUP(E19,LIST!$A$6:$L$3250,CURR_1.SEARCH.OLD,0),VLOOKUP(F19,LIST!$B$6:$L$3250,CURR_1.SEARCH.NEW,0)),'DICTIONARY-5'!$A$2)</f>
        <v>482,-</v>
      </c>
      <c r="H19" s="339" t="str">
        <f>IFERROR(IF(OR(F19='DICTIONARY-5'!$A$2,F19='DICTIONARY-5'!$A$4,ISBLANK(F19)),VLOOKUP(E19,LIST!$A$6:$M$3250,CURR_2.SEARCH.OLD,0),VLOOKUP(F19,LIST!$B$6:$M$3250,CURR_2.SEARCH.NEW,0)),'DICTIONARY-5'!$A$2)</f>
        <v/>
      </c>
      <c r="I19" s="28"/>
      <c r="J19" s="139" t="s">
        <v>91</v>
      </c>
      <c r="K19" s="334" t="s">
        <v>2894</v>
      </c>
      <c r="L19" s="339" t="str">
        <f>IFERROR(IF(OR(K19='DICTIONARY-5'!$A$2,K19='DICTIONARY-5'!$A$4,ISBLANK(K19)),VLOOKUP(J19,LIST!$A$6:$L$3250,CURR_1.SEARCH.OLD,0),VLOOKUP(K19,LIST!$B$6:$L$3250,CURR_1.SEARCH.NEW,0)),'DICTIONARY-5'!$A$2)</f>
        <v>20,-</v>
      </c>
      <c r="M19" s="339" t="str">
        <f>IFERROR(IF(OR(K19='DICTIONARY-5'!$A$2,K19='DICTIONARY-5'!$A$4,ISBLANK(K19)),VLOOKUP(J19,LIST!$A$6:$M$3250,CURR_2.SEARCH.OLD,0),VLOOKUP(K19,LIST!$B$6:$M$3250,CURR_2.SEARCH.NEW,0)),'DICTIONARY-5'!$A$2)</f>
        <v/>
      </c>
      <c r="N19" s="21"/>
      <c r="O19" s="28"/>
      <c r="P19" s="29"/>
    </row>
    <row r="20" spans="1:16" x14ac:dyDescent="0.25">
      <c r="A20" s="18">
        <v>200</v>
      </c>
      <c r="B20" s="18">
        <v>16</v>
      </c>
      <c r="C20" s="18">
        <v>225</v>
      </c>
      <c r="D20" s="18">
        <v>222</v>
      </c>
      <c r="E20" s="18" t="s">
        <v>284</v>
      </c>
      <c r="F20" s="336" t="s">
        <v>3414</v>
      </c>
      <c r="G20" s="339" t="str">
        <f>IFERROR(IF(OR(F20='DICTIONARY-5'!$A$2,F20='DICTIONARY-5'!$A$4,ISBLANK(F20)),VLOOKUP(E20,LIST!$A$6:$L$3250,CURR_1.SEARCH.OLD,0),VLOOKUP(F20,LIST!$B$6:$L$3250,CURR_1.SEARCH.NEW,0)),'DICTIONARY-5'!$A$2)</f>
        <v>654,-</v>
      </c>
      <c r="H20" s="339" t="str">
        <f>IFERROR(IF(OR(F20='DICTIONARY-5'!$A$2,F20='DICTIONARY-5'!$A$4,ISBLANK(F20)),VLOOKUP(E20,LIST!$A$6:$M$3250,CURR_2.SEARCH.OLD,0),VLOOKUP(F20,LIST!$B$6:$M$3250,CURR_2.SEARCH.NEW,0)),'DICTIONARY-5'!$A$2)</f>
        <v/>
      </c>
      <c r="I20" s="28"/>
      <c r="J20" s="139" t="s">
        <v>98</v>
      </c>
      <c r="K20" s="334" t="s">
        <v>2895</v>
      </c>
      <c r="L20" s="339" t="str">
        <f>IFERROR(IF(OR(K20='DICTIONARY-5'!$A$2,K20='DICTIONARY-5'!$A$4,ISBLANK(K20)),VLOOKUP(J20,LIST!$A$6:$L$3250,CURR_1.SEARCH.OLD,0),VLOOKUP(K20,LIST!$B$6:$L$3250,CURR_1.SEARCH.NEW,0)),'DICTIONARY-5'!$A$2)</f>
        <v>35,-</v>
      </c>
      <c r="M20" s="339" t="str">
        <f>IFERROR(IF(OR(K20='DICTIONARY-5'!$A$2,K20='DICTIONARY-5'!$A$4,ISBLANK(K20)),VLOOKUP(J20,LIST!$A$6:$M$3250,CURR_2.SEARCH.OLD,0),VLOOKUP(K20,LIST!$B$6:$M$3250,CURR_2.SEARCH.NEW,0)),'DICTIONARY-5'!$A$2)</f>
        <v/>
      </c>
      <c r="N20" s="21"/>
      <c r="O20" s="28"/>
      <c r="P20" s="29"/>
    </row>
    <row r="22" spans="1:16" x14ac:dyDescent="0.25">
      <c r="A22" s="6" t="str">
        <f>"1) "&amp;'DICTIONARY-5'!$A$74</f>
        <v>1) Zewnętrzna średnica rury</v>
      </c>
    </row>
  </sheetData>
  <sheetProtection algorithmName="SHA-512" hashValue="YTm4uSSZGAZHCmwozHgUXdxSo2nr67sTN399u5gUuP+tpeHd3Nf04vAuO0qp2rdEiwvTmCoPqZWcwGlNjlnipw==" saltValue="4g8cdRDD/kDMtaKSCCCskw==" spinCount="100000" sheet="1" objects="1" scenarios="1" autoFilter="0"/>
  <mergeCells count="8">
    <mergeCell ref="B4:E4"/>
    <mergeCell ref="E14:H14"/>
    <mergeCell ref="J14:M14"/>
    <mergeCell ref="A10:M10"/>
    <mergeCell ref="A9:M9"/>
    <mergeCell ref="J12:M12"/>
    <mergeCell ref="E13:H13"/>
    <mergeCell ref="J13:M13"/>
  </mergeCells>
  <hyperlinks>
    <hyperlink ref="A9" location="_11_BAIO___Sealing_rings" display="_11_BAIO___Sealing_rings" xr:uid="{00000000-0004-0000-1000-000000000000}"/>
    <hyperlink ref="A10" location="_11_BAIOstop" display="_11_BAIOstop" xr:uid="{00000000-0004-0000-1000-000001000000}"/>
  </hyperlink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>
    <tabColor rgb="FFFFC000"/>
  </sheetPr>
  <dimension ref="A1:L24"/>
  <sheetViews>
    <sheetView workbookViewId="0"/>
  </sheetViews>
  <sheetFormatPr defaultColWidth="9.140625" defaultRowHeight="15" x14ac:dyDescent="0.25"/>
  <cols>
    <col min="1" max="3" width="9.140625" style="6"/>
    <col min="4" max="5" width="22.140625" style="6" customWidth="1"/>
    <col min="6" max="7" width="12.85546875" style="6" customWidth="1"/>
    <col min="8" max="8" width="9.140625" style="6" customWidth="1"/>
    <col min="9" max="10" width="22.140625" style="6" customWidth="1"/>
    <col min="11" max="12" width="12.85546875" style="6" customWidth="1"/>
    <col min="13" max="16384" width="9.140625" style="6"/>
  </cols>
  <sheetData>
    <row r="1" spans="1:12" s="383" customFormat="1" ht="45" customHeight="1" thickBot="1" x14ac:dyDescent="0.3">
      <c r="A1" s="381"/>
      <c r="B1" s="381"/>
      <c r="C1" s="381"/>
      <c r="D1" s="381"/>
      <c r="E1" s="381"/>
    </row>
    <row r="2" spans="1:12" s="485" customFormat="1" ht="4.5" customHeight="1" x14ac:dyDescent="0.25">
      <c r="A2" s="484"/>
    </row>
    <row r="3" spans="1:12" ht="15.75" thickBot="1" x14ac:dyDescent="0.3">
      <c r="A3" s="7"/>
      <c r="B3" s="8"/>
      <c r="C3" s="8"/>
    </row>
    <row r="4" spans="1:12" ht="15.75" thickBot="1" x14ac:dyDescent="0.3">
      <c r="A4" s="828">
        <f>ADD.DISCOUNT</f>
        <v>0</v>
      </c>
      <c r="B4" s="933" t="str">
        <f>HYPERLINK("#'LIST'!ADD.DISCOUNT","» "&amp;'DICTIONARY-1'!$A$5)</f>
        <v>» Ustaw globalny dodatkowy rabat</v>
      </c>
      <c r="C4" s="946"/>
      <c r="D4" s="946"/>
      <c r="E4" s="947"/>
    </row>
    <row r="5" spans="1:12" x14ac:dyDescent="0.25">
      <c r="A5" s="7"/>
      <c r="B5" s="8"/>
      <c r="C5" s="8"/>
    </row>
    <row r="6" spans="1:12" ht="16.5" thickBot="1" x14ac:dyDescent="0.3">
      <c r="A6" s="81" t="str">
        <f>CONCATENATE('DICTIONARY-3'!$A$2," ",'DICTIONARY-3'!$A$187," / ",'DICTIONARY-3'!$A$254)</f>
        <v>EKOplus Zasuwa klinowa / Z końcówkami bosymi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</row>
    <row r="7" spans="1:12" x14ac:dyDescent="0.25">
      <c r="A7" s="9" t="str">
        <f>'DICTIONARY-3'!$A$243</f>
        <v>Z wolnym końcem wałka</v>
      </c>
      <c r="B7" s="10"/>
      <c r="C7" s="10"/>
      <c r="D7" s="10"/>
      <c r="E7" s="10"/>
      <c r="F7" s="11"/>
      <c r="G7" s="11"/>
      <c r="K7" s="11"/>
    </row>
    <row r="8" spans="1:12" x14ac:dyDescent="0.25">
      <c r="A8" s="9" t="str">
        <f>CONCATENATE('DICTIONARY-1'!$A$10,": ",SETTINGS!$C$12)</f>
        <v>Grupa rabatowa: EKOplus</v>
      </c>
      <c r="B8" s="10"/>
      <c r="C8" s="10"/>
      <c r="D8" s="10"/>
      <c r="E8" s="10"/>
      <c r="F8" s="11"/>
      <c r="G8" s="11"/>
      <c r="H8" s="11"/>
    </row>
    <row r="9" spans="1:12" x14ac:dyDescent="0.25">
      <c r="A9" s="12"/>
      <c r="B9" s="10"/>
      <c r="C9" s="10"/>
      <c r="D9" s="10"/>
      <c r="E9" s="10"/>
      <c r="F9" s="11"/>
      <c r="G9" s="11"/>
      <c r="H9" s="11"/>
      <c r="I9" s="935" t="str">
        <f>'DICTIONARY-5'!$A$5</f>
        <v xml:space="preserve">Należy zamówić oddzielnie </v>
      </c>
      <c r="J9" s="953"/>
      <c r="K9" s="953"/>
      <c r="L9" s="954"/>
    </row>
    <row r="10" spans="1:12" x14ac:dyDescent="0.25">
      <c r="A10" s="13" t="str">
        <f>'DICTIONARY-2'!$A$2</f>
        <v>DN</v>
      </c>
      <c r="B10" s="13" t="str">
        <f>'DICTIONARY-2'!$A$3</f>
        <v>PN</v>
      </c>
      <c r="C10" s="13" t="str">
        <f>'DICTIONARY-2'!$A$24</f>
        <v>L</v>
      </c>
      <c r="D10" s="949" t="str">
        <f>'DICTIONARY-3'!$A$2</f>
        <v>EKOplus</v>
      </c>
      <c r="E10" s="949"/>
      <c r="F10" s="949"/>
      <c r="G10" s="949"/>
      <c r="I10" s="950" t="str">
        <f>'DICTIONARY-4'!$A$23</f>
        <v>Kółko ręczne</v>
      </c>
      <c r="J10" s="951"/>
      <c r="K10" s="951"/>
      <c r="L10" s="952"/>
    </row>
    <row r="11" spans="1:12" x14ac:dyDescent="0.25">
      <c r="A11" s="514"/>
      <c r="B11" s="514"/>
      <c r="C11" s="514"/>
      <c r="D11" s="948" t="str">
        <f>'DICTIONARY-5'!$A$79&amp;", "&amp;'DICTIONARY-5'!$A$43&amp;": "&amp;'DICTIONARY-5'!$A$44</f>
        <v>z końc. bosymi, guma: EPDM</v>
      </c>
      <c r="E11" s="948"/>
      <c r="F11" s="948"/>
      <c r="G11" s="948"/>
      <c r="I11" s="939"/>
      <c r="J11" s="940"/>
      <c r="K11" s="940"/>
      <c r="L11" s="941"/>
    </row>
    <row r="12" spans="1:12" x14ac:dyDescent="0.25">
      <c r="A12" s="15"/>
      <c r="B12" s="15"/>
      <c r="C12" s="15" t="str">
        <f>'DICTIONARY-2'!$A$18</f>
        <v>[mm]</v>
      </c>
      <c r="D12" s="16" t="str">
        <f>'DICTIONARY-2'!$A$28</f>
        <v>stary nr zamówienia</v>
      </c>
      <c r="E12" s="16" t="str">
        <f>'DICTIONARY-2'!$A$29</f>
        <v>nowy nr zamówienia</v>
      </c>
      <c r="F12" s="17" t="str">
        <f>CURRENCY.CODE_1</f>
        <v>EUR</v>
      </c>
      <c r="G12" s="17" t="str">
        <f>CURRENCY.CODE_2</f>
        <v>---</v>
      </c>
      <c r="I12" s="165" t="str">
        <f>'DICTIONARY-2'!$A$28</f>
        <v>stary nr zamówienia</v>
      </c>
      <c r="J12" s="165" t="str">
        <f>'DICTIONARY-2'!$A$29</f>
        <v>nowy nr zamówienia</v>
      </c>
      <c r="K12" s="166" t="str">
        <f>CURRENCY.CODE_1</f>
        <v>EUR</v>
      </c>
      <c r="L12" s="166" t="str">
        <f>CURRENCY.CODE_2</f>
        <v>---</v>
      </c>
    </row>
    <row r="13" spans="1:12" x14ac:dyDescent="0.25">
      <c r="A13" s="18">
        <v>80</v>
      </c>
      <c r="B13" s="18">
        <v>16</v>
      </c>
      <c r="C13" s="18">
        <v>350</v>
      </c>
      <c r="D13" s="18" t="s">
        <v>285</v>
      </c>
      <c r="E13" s="336" t="s">
        <v>3415</v>
      </c>
      <c r="F13" s="339" t="str">
        <f>IFERROR(IF(OR(E13='DICTIONARY-5'!$A$2,E13='DICTIONARY-5'!$A$4,ISBLANK(E13)),VLOOKUP(D13,LIST!$A$6:$L$3250,CURR_1.SEARCH.OLD,0),VLOOKUP(E13,LIST!$B$6:$L$3250,CURR_1.SEARCH.NEW,0)),'DICTIONARY-5'!$A$2)</f>
        <v>315,-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I13" s="139" t="s">
        <v>88</v>
      </c>
      <c r="J13" s="334" t="s">
        <v>2893</v>
      </c>
      <c r="K13" s="339" t="str">
        <f>IFERROR(IF(OR(J13='DICTIONARY-5'!$A$2,J13='DICTIONARY-5'!$A$4,ISBLANK(J13)),VLOOKUP(I13,LIST!$A$6:$L$3250,CURR_1.SEARCH.OLD,0),VLOOKUP(J13,LIST!$B$6:$L$3250,CURR_1.SEARCH.NEW,0)),'DICTIONARY-5'!$A$2)</f>
        <v>15,-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</row>
    <row r="14" spans="1:12" x14ac:dyDescent="0.25">
      <c r="A14" s="18">
        <v>100</v>
      </c>
      <c r="B14" s="18">
        <v>16</v>
      </c>
      <c r="C14" s="18">
        <v>375</v>
      </c>
      <c r="D14" s="18" t="s">
        <v>286</v>
      </c>
      <c r="E14" s="336" t="s">
        <v>3417</v>
      </c>
      <c r="F14" s="339" t="str">
        <f>IFERROR(IF(OR(E14='DICTIONARY-5'!$A$2,E14='DICTIONARY-5'!$A$4,ISBLANK(E14)),VLOOKUP(D14,LIST!$A$6:$L$3250,CURR_1.SEARCH.OLD,0),VLOOKUP(E14,LIST!$B$6:$L$3250,CURR_1.SEARCH.NEW,0)),'DICTIONARY-5'!$A$2)</f>
        <v>378,-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I14" s="139" t="s">
        <v>91</v>
      </c>
      <c r="J14" s="334" t="s">
        <v>2894</v>
      </c>
      <c r="K14" s="339" t="str">
        <f>IFERROR(IF(OR(J14='DICTIONARY-5'!$A$2,J14='DICTIONARY-5'!$A$4,ISBLANK(J14)),VLOOKUP(I14,LIST!$A$6:$L$3250,CURR_1.SEARCH.OLD,0),VLOOKUP(J14,LIST!$B$6:$L$3250,CURR_1.SEARCH.NEW,0)),'DICTIONARY-5'!$A$2)</f>
        <v>20,-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</row>
    <row r="15" spans="1:12" x14ac:dyDescent="0.25">
      <c r="A15" s="18">
        <v>150</v>
      </c>
      <c r="B15" s="18">
        <v>16</v>
      </c>
      <c r="C15" s="18">
        <v>422</v>
      </c>
      <c r="D15" s="18" t="s">
        <v>287</v>
      </c>
      <c r="E15" s="336" t="s">
        <v>3419</v>
      </c>
      <c r="F15" s="339" t="str">
        <f>IFERROR(IF(OR(E15='DICTIONARY-5'!$A$2,E15='DICTIONARY-5'!$A$4,ISBLANK(E15)),VLOOKUP(D15,LIST!$A$6:$L$3250,CURR_1.SEARCH.OLD,0),VLOOKUP(E15,LIST!$B$6:$L$3250,CURR_1.SEARCH.NEW,0)),'DICTIONARY-5'!$A$2)</f>
        <v>556,-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I15" s="139" t="s">
        <v>91</v>
      </c>
      <c r="J15" s="334" t="s">
        <v>2894</v>
      </c>
      <c r="K15" s="339" t="str">
        <f>IFERROR(IF(OR(J15='DICTIONARY-5'!$A$2,J15='DICTIONARY-5'!$A$4,ISBLANK(J15)),VLOOKUP(I15,LIST!$A$6:$L$3250,CURR_1.SEARCH.OLD,0),VLOOKUP(J15,LIST!$B$6:$L$3250,CURR_1.SEARCH.NEW,0)),'DICTIONARY-5'!$A$2)</f>
        <v>20,-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</row>
    <row r="16" spans="1:12" x14ac:dyDescent="0.25">
      <c r="A16" s="18">
        <v>200</v>
      </c>
      <c r="B16" s="18">
        <v>16</v>
      </c>
      <c r="C16" s="18">
        <v>499</v>
      </c>
      <c r="D16" s="18" t="s">
        <v>288</v>
      </c>
      <c r="E16" s="336" t="s">
        <v>3421</v>
      </c>
      <c r="F16" s="339" t="str">
        <f>IFERROR(IF(OR(E16='DICTIONARY-5'!$A$2,E16='DICTIONARY-5'!$A$4,ISBLANK(E16)),VLOOKUP(D16,LIST!$A$6:$L$3250,CURR_1.SEARCH.OLD,0),VLOOKUP(E16,LIST!$B$6:$L$3250,CURR_1.SEARCH.NEW,0)),'DICTIONARY-5'!$A$2)</f>
        <v>878,-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I16" s="139" t="s">
        <v>98</v>
      </c>
      <c r="J16" s="334" t="s">
        <v>2895</v>
      </c>
      <c r="K16" s="339" t="str">
        <f>IFERROR(IF(OR(J16='DICTIONARY-5'!$A$2,J16='DICTIONARY-5'!$A$4,ISBLANK(J16)),VLOOKUP(I16,LIST!$A$6:$L$3250,CURR_1.SEARCH.OLD,0),VLOOKUP(J16,LIST!$B$6:$L$3250,CURR_1.SEARCH.NEW,0)),'DICTIONARY-5'!$A$2)</f>
        <v>35,-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</row>
    <row r="24" spans="5:5" x14ac:dyDescent="0.25">
      <c r="E24" s="517"/>
    </row>
  </sheetData>
  <sheetProtection algorithmName="SHA-512" hashValue="RkGn9T7bNOFUIcJhFJi3YoqStaNziaChgtm0n4DhF4yHtHXN1QOG5dZ3m7UCdRhnJwwq9DpG//TQd8qqSUvrug==" saltValue="Tx0hnzLls4nX+DLf85zzXg==" spinCount="100000" sheet="1" objects="1" scenarios="1" autoFilter="0"/>
  <mergeCells count="6">
    <mergeCell ref="B4:E4"/>
    <mergeCell ref="D10:G10"/>
    <mergeCell ref="I10:L10"/>
    <mergeCell ref="I9:L9"/>
    <mergeCell ref="D11:G11"/>
    <mergeCell ref="I11:L11"/>
  </mergeCell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>
    <tabColor rgb="FFFFC000"/>
  </sheetPr>
  <dimension ref="A1:M38"/>
  <sheetViews>
    <sheetView workbookViewId="0"/>
  </sheetViews>
  <sheetFormatPr defaultColWidth="9.140625" defaultRowHeight="15" x14ac:dyDescent="0.25"/>
  <cols>
    <col min="1" max="3" width="9.140625" style="30"/>
    <col min="4" max="5" width="22.140625" style="30" customWidth="1"/>
    <col min="6" max="7" width="12.85546875" style="31" customWidth="1"/>
    <col min="8" max="8" width="11.85546875" style="31" customWidth="1"/>
    <col min="9" max="10" width="22.140625" style="31" customWidth="1"/>
    <col min="11" max="12" width="12.85546875" style="31" customWidth="1"/>
    <col min="13" max="16384" width="9.140625" style="32"/>
  </cols>
  <sheetData>
    <row r="1" spans="1:12" s="418" customFormat="1" ht="45" customHeight="1" thickBot="1" x14ac:dyDescent="0.3">
      <c r="A1" s="381"/>
      <c r="B1" s="381"/>
      <c r="C1" s="381"/>
      <c r="D1" s="381"/>
      <c r="E1" s="381"/>
      <c r="F1" s="417"/>
      <c r="G1" s="417"/>
      <c r="H1" s="417"/>
      <c r="I1" s="417"/>
      <c r="J1" s="417"/>
      <c r="K1" s="417"/>
      <c r="L1" s="417"/>
    </row>
    <row r="2" spans="1:12" s="482" customFormat="1" ht="4.5" customHeight="1" x14ac:dyDescent="0.25">
      <c r="A2" s="479"/>
      <c r="B2" s="480"/>
      <c r="C2" s="480"/>
      <c r="D2" s="480"/>
      <c r="E2" s="480"/>
      <c r="F2" s="481"/>
      <c r="G2" s="481"/>
      <c r="H2" s="481"/>
      <c r="I2" s="481"/>
      <c r="J2" s="481"/>
      <c r="K2" s="481"/>
      <c r="L2" s="481"/>
    </row>
    <row r="3" spans="1:12" ht="15.75" thickBot="1" x14ac:dyDescent="0.3">
      <c r="A3" s="33"/>
      <c r="B3" s="34"/>
      <c r="C3" s="34"/>
    </row>
    <row r="4" spans="1:12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12" x14ac:dyDescent="0.25">
      <c r="A5" s="33"/>
      <c r="B5" s="34"/>
      <c r="C5" s="34"/>
    </row>
    <row r="6" spans="1:12" ht="15" customHeight="1" thickBot="1" x14ac:dyDescent="0.3">
      <c r="A6" s="81" t="str">
        <f>CONCATENATE('DICTIONARY-3'!$A$2," ",'DICTIONARY-3'!$A$187," / ",'DICTIONARY-3'!$A$256)</f>
        <v>EKOplus Zasuwa klinowa / Z wrzecionem wznoszącym się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</row>
    <row r="7" spans="1:12" ht="15" customHeight="1" x14ac:dyDescent="0.25">
      <c r="A7" s="36" t="str">
        <f>CONCATENATE('DICTIONARY-3'!$A$258," ",LOWER('DICTIONARY-3'!$A$242),", ",LOWER('DICTIONARY-2'!$A$12)," ",'DICTIONARY-5'!$A$9)</f>
        <v>Z wrzecionem wznoszącym się z kółkiem ręcznym, długość zabudowy EN 558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12" x14ac:dyDescent="0.25">
      <c r="A8" s="36" t="str">
        <f>CONCATENATE('DICTIONARY-1'!$A$10,": ",SETTINGS!$C$12)</f>
        <v>Grupa rabatowa: EKOplus</v>
      </c>
    </row>
    <row r="9" spans="1:12" x14ac:dyDescent="0.25">
      <c r="A9" s="37"/>
    </row>
    <row r="10" spans="1:12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960" t="str">
        <f>'DICTIONARY-3'!$A$2&amp;" "&amp;LOWER('DICTIONARY-3'!$A$256)</f>
        <v>EKOplus z wrzecionem wznoszącym się</v>
      </c>
      <c r="E10" s="960"/>
      <c r="F10" s="960"/>
      <c r="G10" s="960"/>
      <c r="H10" s="38" t="str">
        <f>'DICTIONARY-2'!$A$24</f>
        <v>L</v>
      </c>
      <c r="I10" s="960" t="str">
        <f>'DICTIONARY-3'!$A$2&amp;" "&amp;LOWER('DICTIONARY-3'!$A$256)</f>
        <v>EKOplus z wrzecionem wznoszącym się</v>
      </c>
      <c r="J10" s="960"/>
      <c r="K10" s="960"/>
      <c r="L10" s="960"/>
    </row>
    <row r="11" spans="1:12" x14ac:dyDescent="0.25">
      <c r="A11" s="57"/>
      <c r="B11" s="57"/>
      <c r="C11" s="57"/>
      <c r="D11" s="961" t="str">
        <f>CONCATENATE('DICTIONARY-5'!$A$66," (",'DICTIONARY-5'!$A$10," 14), ",'DICTIONARY-5'!$A$43&amp;": "&amp;'DICTIONARY-5'!$A$44)</f>
        <v>budowa krótka (szereg 14), guma: EPDM</v>
      </c>
      <c r="E11" s="961"/>
      <c r="F11" s="961"/>
      <c r="G11" s="961"/>
      <c r="H11" s="57"/>
      <c r="I11" s="961" t="str">
        <f>CONCATENATE('DICTIONARY-5'!$A$67," (",'DICTIONARY-5'!$A$10," 15), ",'DICTIONARY-5'!$A$43&amp;": "&amp;'DICTIONARY-5'!$A$44)</f>
        <v>budowa długa (szereg 15), guma: EPDM</v>
      </c>
      <c r="J11" s="961"/>
      <c r="K11" s="961"/>
      <c r="L11" s="961"/>
    </row>
    <row r="12" spans="1:12" x14ac:dyDescent="0.25">
      <c r="A12" s="39"/>
      <c r="B12" s="39"/>
      <c r="C12" s="39" t="str">
        <f>'DICTIONARY-2'!$A$18</f>
        <v>[mm]</v>
      </c>
      <c r="D12" s="40" t="str">
        <f>'DICTIONARY-2'!$A$28</f>
        <v>stary nr zamówienia</v>
      </c>
      <c r="E12" s="40" t="str">
        <f>'DICTIONARY-2'!$A$29</f>
        <v>nowy nr zamówienia</v>
      </c>
      <c r="F12" s="41" t="str">
        <f>CURRENCY.CODE_1</f>
        <v>EUR</v>
      </c>
      <c r="G12" s="41" t="str">
        <f>CURRENCY.CODE_2</f>
        <v>---</v>
      </c>
      <c r="H12" s="39" t="str">
        <f>'DICTIONARY-2'!$A$18</f>
        <v>[mm]</v>
      </c>
      <c r="I12" s="40" t="str">
        <f>'DICTIONARY-2'!$A$28</f>
        <v>stary nr zamówienia</v>
      </c>
      <c r="J12" s="40" t="str">
        <f>'DICTIONARY-2'!$A$29</f>
        <v>nowy nr zamówienia</v>
      </c>
      <c r="K12" s="41" t="str">
        <f>CURRENCY.CODE_1</f>
        <v>EUR</v>
      </c>
      <c r="L12" s="41" t="str">
        <f>CURRENCY.CODE_2</f>
        <v>---</v>
      </c>
    </row>
    <row r="13" spans="1:12" x14ac:dyDescent="0.25">
      <c r="A13" s="42">
        <v>40</v>
      </c>
      <c r="B13" s="42" t="s">
        <v>85</v>
      </c>
      <c r="C13" s="42">
        <v>140</v>
      </c>
      <c r="D13" s="42" t="s">
        <v>298</v>
      </c>
      <c r="E13" s="329" t="s">
        <v>3471</v>
      </c>
      <c r="F13" s="339" t="str">
        <f>IFERROR(IF(OR(E13='DICTIONARY-5'!$A$2,E13='DICTIONARY-5'!$A$4,ISBLANK(E13)),VLOOKUP(D13,LIST!$A$6:$L$3250,CURR_1.SEARCH.OLD,0),VLOOKUP(E13,LIST!$B$6:$L$3250,CURR_1.SEARCH.NEW,0)),'DICTIONARY-5'!$A$2)</f>
        <v>446,-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42">
        <v>240</v>
      </c>
      <c r="I13" s="42" t="s">
        <v>299</v>
      </c>
      <c r="J13" s="329" t="str">
        <f>'DICTIONARY-5'!$A$2</f>
        <v>na zapytanie</v>
      </c>
      <c r="K13" s="339" t="str">
        <f>IFERROR(IF(OR(J13='DICTIONARY-5'!$A$2,J13='DICTIONARY-5'!$A$4,ISBLANK(J13)),VLOOKUP(I13,LIST!$A$6:$L$3250,CURR_1.SEARCH.OLD,0),VLOOKUP(J13,LIST!$B$6:$L$3250,CURR_1.SEARCH.NEW,0)),'DICTIONARY-5'!$A$2)</f>
        <v>na zapytanie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</row>
    <row r="14" spans="1:12" x14ac:dyDescent="0.25">
      <c r="A14" s="42">
        <v>50</v>
      </c>
      <c r="B14" s="42" t="s">
        <v>85</v>
      </c>
      <c r="C14" s="42">
        <v>150</v>
      </c>
      <c r="D14" s="42" t="s">
        <v>300</v>
      </c>
      <c r="E14" s="329" t="s">
        <v>3473</v>
      </c>
      <c r="F14" s="339" t="str">
        <f>IFERROR(IF(OR(E14='DICTIONARY-5'!$A$2,E14='DICTIONARY-5'!$A$4,ISBLANK(E14)),VLOOKUP(D14,LIST!$A$6:$L$3250,CURR_1.SEARCH.OLD,0),VLOOKUP(E14,LIST!$B$6:$L$3250,CURR_1.SEARCH.NEW,0)),'DICTIONARY-5'!$A$2)</f>
        <v>446,-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42">
        <v>250</v>
      </c>
      <c r="I14" s="42" t="s">
        <v>301</v>
      </c>
      <c r="J14" s="329" t="s">
        <v>3463</v>
      </c>
      <c r="K14" s="339" t="str">
        <f>IFERROR(IF(OR(J14='DICTIONARY-5'!$A$2,J14='DICTIONARY-5'!$A$4,ISBLANK(J14)),VLOOKUP(I14,LIST!$A$6:$L$3250,CURR_1.SEARCH.OLD,0),VLOOKUP(J14,LIST!$B$6:$L$3250,CURR_1.SEARCH.NEW,0)),'DICTIONARY-5'!$A$2)</f>
        <v>475,-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</row>
    <row r="15" spans="1:12" x14ac:dyDescent="0.25">
      <c r="A15" s="42">
        <v>65</v>
      </c>
      <c r="B15" s="42" t="s">
        <v>85</v>
      </c>
      <c r="C15" s="42">
        <v>170</v>
      </c>
      <c r="D15" s="42" t="s">
        <v>302</v>
      </c>
      <c r="E15" s="329" t="s">
        <v>3475</v>
      </c>
      <c r="F15" s="339" t="str">
        <f>IFERROR(IF(OR(E15='DICTIONARY-5'!$A$2,E15='DICTIONARY-5'!$A$4,ISBLANK(E15)),VLOOKUP(D15,LIST!$A$6:$L$3250,CURR_1.SEARCH.OLD,0),VLOOKUP(E15,LIST!$B$6:$L$3250,CURR_1.SEARCH.NEW,0)),'DICTIONARY-5'!$A$2)</f>
        <v>518,-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42">
        <v>270</v>
      </c>
      <c r="I15" s="42" t="s">
        <v>303</v>
      </c>
      <c r="J15" s="329" t="s">
        <v>3464</v>
      </c>
      <c r="K15" s="339" t="str">
        <f>IFERROR(IF(OR(J15='DICTIONARY-5'!$A$2,J15='DICTIONARY-5'!$A$4,ISBLANK(J15)),VLOOKUP(I15,LIST!$A$6:$L$3250,CURR_1.SEARCH.OLD,0),VLOOKUP(J15,LIST!$B$6:$L$3250,CURR_1.SEARCH.NEW,0)),'DICTIONARY-5'!$A$2)</f>
        <v>533,-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</row>
    <row r="16" spans="1:12" x14ac:dyDescent="0.25">
      <c r="A16" s="42" t="s">
        <v>84</v>
      </c>
      <c r="B16" s="42">
        <v>10</v>
      </c>
      <c r="C16" s="42">
        <v>180</v>
      </c>
      <c r="D16" s="42" t="s">
        <v>304</v>
      </c>
      <c r="E16" s="329" t="str">
        <f>'DICTIONARY-5'!$A$2</f>
        <v>na zapytanie</v>
      </c>
      <c r="F16" s="339" t="str">
        <f>IFERROR(IF(OR(E16='DICTIONARY-5'!$A$2,E16='DICTIONARY-5'!$A$4,ISBLANK(E16)),VLOOKUP(D16,LIST!$A$6:$L$3250,CURR_1.SEARCH.OLD,0),VLOOKUP(E16,LIST!$B$6:$L$3250,CURR_1.SEARCH.NEW,0)),'DICTIONARY-5'!$A$2)</f>
        <v>na zapytanie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42">
        <v>280</v>
      </c>
      <c r="I16" s="42" t="s">
        <v>305</v>
      </c>
      <c r="J16" s="329" t="str">
        <f>'DICTIONARY-5'!$A$2</f>
        <v>na zapytanie</v>
      </c>
      <c r="K16" s="339" t="str">
        <f>IFERROR(IF(OR(J16='DICTIONARY-5'!$A$2,J16='DICTIONARY-5'!$A$4,ISBLANK(J16)),VLOOKUP(I16,LIST!$A$6:$L$3250,CURR_1.SEARCH.OLD,0),VLOOKUP(J16,LIST!$B$6:$L$3250,CURR_1.SEARCH.NEW,0)),'DICTIONARY-5'!$A$2)</f>
        <v>na zapytanie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</row>
    <row r="17" spans="1:13" x14ac:dyDescent="0.25">
      <c r="A17" s="42">
        <v>80</v>
      </c>
      <c r="B17" s="42" t="s">
        <v>85</v>
      </c>
      <c r="C17" s="42">
        <v>180</v>
      </c>
      <c r="D17" s="42" t="s">
        <v>306</v>
      </c>
      <c r="E17" s="329" t="s">
        <v>3477</v>
      </c>
      <c r="F17" s="339" t="str">
        <f>IFERROR(IF(OR(E17='DICTIONARY-5'!$A$2,E17='DICTIONARY-5'!$A$4,ISBLANK(E17)),VLOOKUP(D17,LIST!$A$6:$L$3250,CURR_1.SEARCH.OLD,0),VLOOKUP(E17,LIST!$B$6:$L$3250,CURR_1.SEARCH.NEW,0)),'DICTIONARY-5'!$A$2)</f>
        <v>525,-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42">
        <v>280</v>
      </c>
      <c r="I17" s="42" t="s">
        <v>307</v>
      </c>
      <c r="J17" s="329" t="s">
        <v>3465</v>
      </c>
      <c r="K17" s="339" t="str">
        <f>IFERROR(IF(OR(J17='DICTIONARY-5'!$A$2,J17='DICTIONARY-5'!$A$4,ISBLANK(J17)),VLOOKUP(I17,LIST!$A$6:$L$3250,CURR_1.SEARCH.OLD,0),VLOOKUP(J17,LIST!$B$6:$L$3250,CURR_1.SEARCH.NEW,0)),'DICTIONARY-5'!$A$2)</f>
        <v>533,-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</row>
    <row r="18" spans="1:13" x14ac:dyDescent="0.25">
      <c r="A18" s="42">
        <v>100</v>
      </c>
      <c r="B18" s="42" t="s">
        <v>85</v>
      </c>
      <c r="C18" s="42">
        <v>190</v>
      </c>
      <c r="D18" s="42" t="s">
        <v>308</v>
      </c>
      <c r="E18" s="329" t="s">
        <v>3479</v>
      </c>
      <c r="F18" s="339" t="str">
        <f>IFERROR(IF(OR(E18='DICTIONARY-5'!$A$2,E18='DICTIONARY-5'!$A$4,ISBLANK(E18)),VLOOKUP(D18,LIST!$A$6:$L$3250,CURR_1.SEARCH.OLD,0),VLOOKUP(E18,LIST!$B$6:$L$3250,CURR_1.SEARCH.NEW,0)),'DICTIONARY-5'!$A$2)</f>
        <v>603,-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42">
        <v>300</v>
      </c>
      <c r="I18" s="42" t="s">
        <v>309</v>
      </c>
      <c r="J18" s="329" t="s">
        <v>3466</v>
      </c>
      <c r="K18" s="339" t="str">
        <f>IFERROR(IF(OR(J18='DICTIONARY-5'!$A$2,J18='DICTIONARY-5'!$A$4,ISBLANK(J18)),VLOOKUP(I18,LIST!$A$6:$L$3250,CURR_1.SEARCH.OLD,0),VLOOKUP(J18,LIST!$B$6:$L$3250,CURR_1.SEARCH.NEW,0)),'DICTIONARY-5'!$A$2)</f>
        <v>618,-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</row>
    <row r="19" spans="1:13" x14ac:dyDescent="0.25">
      <c r="A19" s="42">
        <v>125</v>
      </c>
      <c r="B19" s="42" t="s">
        <v>85</v>
      </c>
      <c r="C19" s="42">
        <v>200</v>
      </c>
      <c r="D19" s="42" t="s">
        <v>310</v>
      </c>
      <c r="E19" s="329" t="s">
        <v>3481</v>
      </c>
      <c r="F19" s="339" t="str">
        <f>IFERROR(IF(OR(E19='DICTIONARY-5'!$A$2,E19='DICTIONARY-5'!$A$4,ISBLANK(E19)),VLOOKUP(D19,LIST!$A$6:$L$3250,CURR_1.SEARCH.OLD,0),VLOOKUP(E19,LIST!$B$6:$L$3250,CURR_1.SEARCH.NEW,0)),'DICTIONARY-5'!$A$2)</f>
        <v>667,-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42">
        <v>325</v>
      </c>
      <c r="I19" s="42" t="s">
        <v>311</v>
      </c>
      <c r="J19" s="329" t="str">
        <f>'DICTIONARY-5'!$A$2</f>
        <v>na zapytanie</v>
      </c>
      <c r="K19" s="339" t="str">
        <f>IFERROR(IF(OR(J19='DICTIONARY-5'!$A$2,J19='DICTIONARY-5'!$A$4,ISBLANK(J19)),VLOOKUP(I19,LIST!$A$6:$L$3250,CURR_1.SEARCH.OLD,0),VLOOKUP(J19,LIST!$B$6:$L$3250,CURR_1.SEARCH.NEW,0)),'DICTIONARY-5'!$A$2)</f>
        <v>na zapytanie</v>
      </c>
      <c r="L19" s="339" t="str">
        <f>IFERROR(IF(OR(J19='DICTIONARY-5'!$A$2,J19='DICTIONARY-5'!$A$4,ISBLANK(J19)),VLOOKUP(I19,LIST!$A$6:$M$3250,CURR_2.SEARCH.OLD,0),VLOOKUP(J19,LIST!$B$6:$M$3250,CURR_2.SEARCH.NEW,0)),'DICTIONARY-5'!$A$2)</f>
        <v/>
      </c>
    </row>
    <row r="20" spans="1:13" x14ac:dyDescent="0.25">
      <c r="A20" s="42">
        <v>150</v>
      </c>
      <c r="B20" s="42" t="s">
        <v>85</v>
      </c>
      <c r="C20" s="42">
        <v>210</v>
      </c>
      <c r="D20" s="42" t="s">
        <v>312</v>
      </c>
      <c r="E20" s="329" t="s">
        <v>3483</v>
      </c>
      <c r="F20" s="339" t="str">
        <f>IFERROR(IF(OR(E20='DICTIONARY-5'!$A$2,E20='DICTIONARY-5'!$A$4,ISBLANK(E20)),VLOOKUP(D20,LIST!$A$6:$L$3250,CURR_1.SEARCH.OLD,0),VLOOKUP(E20,LIST!$B$6:$L$3250,CURR_1.SEARCH.NEW,0)),'DICTIONARY-5'!$A$2)</f>
        <v>687,-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42">
        <v>350</v>
      </c>
      <c r="I20" s="42" t="s">
        <v>313</v>
      </c>
      <c r="J20" s="329" t="s">
        <v>3467</v>
      </c>
      <c r="K20" s="339" t="str">
        <f>IFERROR(IF(OR(J20='DICTIONARY-5'!$A$2,J20='DICTIONARY-5'!$A$4,ISBLANK(J20)),VLOOKUP(I20,LIST!$A$6:$L$3250,CURR_1.SEARCH.OLD,0),VLOOKUP(J20,LIST!$B$6:$L$3250,CURR_1.SEARCH.NEW,0)),'DICTIONARY-5'!$A$2)</f>
        <v>743,-</v>
      </c>
      <c r="L20" s="339" t="str">
        <f>IFERROR(IF(OR(J20='DICTIONARY-5'!$A$2,J20='DICTIONARY-5'!$A$4,ISBLANK(J20)),VLOOKUP(I20,LIST!$A$6:$M$3250,CURR_2.SEARCH.OLD,0),VLOOKUP(J20,LIST!$B$6:$M$3250,CURR_2.SEARCH.NEW,0)),'DICTIONARY-5'!$A$2)</f>
        <v/>
      </c>
    </row>
    <row r="21" spans="1:13" x14ac:dyDescent="0.25">
      <c r="A21" s="42">
        <v>200</v>
      </c>
      <c r="B21" s="42">
        <v>10</v>
      </c>
      <c r="C21" s="42">
        <v>230</v>
      </c>
      <c r="D21" s="42" t="s">
        <v>314</v>
      </c>
      <c r="E21" s="329" t="s">
        <v>3459</v>
      </c>
      <c r="F21" s="339" t="str">
        <f>IFERROR(IF(OR(E21='DICTIONARY-5'!$A$2,E21='DICTIONARY-5'!$A$4,ISBLANK(E21)),VLOOKUP(D21,LIST!$A$6:$L$3250,CURR_1.SEARCH.OLD,0),VLOOKUP(E21,LIST!$B$6:$L$3250,CURR_1.SEARCH.NEW,0)),'DICTIONARY-5'!$A$2)</f>
        <v>1 107,-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42">
        <v>400</v>
      </c>
      <c r="I21" s="42" t="s">
        <v>315</v>
      </c>
      <c r="J21" s="329" t="str">
        <f>'DICTIONARY-5'!$A$2</f>
        <v>na zapytanie</v>
      </c>
      <c r="K21" s="339" t="str">
        <f>IFERROR(IF(OR(J21='DICTIONARY-5'!$A$2,J21='DICTIONARY-5'!$A$4,ISBLANK(J21)),VLOOKUP(I21,LIST!$A$6:$L$3250,CURR_1.SEARCH.OLD,0),VLOOKUP(J21,LIST!$B$6:$L$3250,CURR_1.SEARCH.NEW,0)),'DICTIONARY-5'!$A$2)</f>
        <v>na zapytanie</v>
      </c>
      <c r="L21" s="339" t="str">
        <f>IFERROR(IF(OR(J21='DICTIONARY-5'!$A$2,J21='DICTIONARY-5'!$A$4,ISBLANK(J21)),VLOOKUP(I21,LIST!$A$6:$M$3250,CURR_2.SEARCH.OLD,0),VLOOKUP(J21,LIST!$B$6:$M$3250,CURR_2.SEARCH.NEW,0)),'DICTIONARY-5'!$A$2)</f>
        <v/>
      </c>
    </row>
    <row r="22" spans="1:13" x14ac:dyDescent="0.25">
      <c r="A22" s="42">
        <v>200</v>
      </c>
      <c r="B22" s="42">
        <v>16</v>
      </c>
      <c r="C22" s="42">
        <v>230</v>
      </c>
      <c r="D22" s="42" t="s">
        <v>316</v>
      </c>
      <c r="E22" s="329" t="s">
        <v>3485</v>
      </c>
      <c r="F22" s="339" t="str">
        <f>IFERROR(IF(OR(E22='DICTIONARY-5'!$A$2,E22='DICTIONARY-5'!$A$4,ISBLANK(E22)),VLOOKUP(D22,LIST!$A$6:$L$3250,CURR_1.SEARCH.OLD,0),VLOOKUP(E22,LIST!$B$6:$L$3250,CURR_1.SEARCH.NEW,0)),'DICTIONARY-5'!$A$2)</f>
        <v>1 101,-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42">
        <v>400</v>
      </c>
      <c r="I22" s="42" t="s">
        <v>317</v>
      </c>
      <c r="J22" s="329" t="s">
        <v>3468</v>
      </c>
      <c r="K22" s="339" t="str">
        <f>IFERROR(IF(OR(J22='DICTIONARY-5'!$A$2,J22='DICTIONARY-5'!$A$4,ISBLANK(J22)),VLOOKUP(I22,LIST!$A$6:$L$3250,CURR_1.SEARCH.OLD,0),VLOOKUP(J22,LIST!$B$6:$L$3250,CURR_1.SEARCH.NEW,0)),'DICTIONARY-5'!$A$2)</f>
        <v>1 207,-</v>
      </c>
      <c r="L22" s="339" t="str">
        <f>IFERROR(IF(OR(J22='DICTIONARY-5'!$A$2,J22='DICTIONARY-5'!$A$4,ISBLANK(J22)),VLOOKUP(I22,LIST!$A$6:$M$3250,CURR_2.SEARCH.OLD,0),VLOOKUP(J22,LIST!$B$6:$M$3250,CURR_2.SEARCH.NEW,0)),'DICTIONARY-5'!$A$2)</f>
        <v/>
      </c>
    </row>
    <row r="23" spans="1:13" x14ac:dyDescent="0.25">
      <c r="A23" s="42">
        <v>250</v>
      </c>
      <c r="B23" s="42">
        <v>10</v>
      </c>
      <c r="C23" s="42">
        <v>250</v>
      </c>
      <c r="D23" s="42" t="s">
        <v>318</v>
      </c>
      <c r="E23" s="329" t="s">
        <v>3460</v>
      </c>
      <c r="F23" s="339" t="str">
        <f>IFERROR(IF(OR(E23='DICTIONARY-5'!$A$2,E23='DICTIONARY-5'!$A$4,ISBLANK(E23)),VLOOKUP(D23,LIST!$A$6:$L$3250,CURR_1.SEARCH.OLD,0),VLOOKUP(E23,LIST!$B$6:$L$3250,CURR_1.SEARCH.NEW,0)),'DICTIONARY-5'!$A$2)</f>
        <v>1 898,-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42">
        <v>450</v>
      </c>
      <c r="I23" s="42" t="s">
        <v>319</v>
      </c>
      <c r="J23" s="329" t="str">
        <f>'DICTIONARY-5'!$A$2</f>
        <v>na zapytanie</v>
      </c>
      <c r="K23" s="339" t="str">
        <f>IFERROR(IF(OR(J23='DICTIONARY-5'!$A$2,J23='DICTIONARY-5'!$A$4,ISBLANK(J23)),VLOOKUP(I23,LIST!$A$6:$L$3250,CURR_1.SEARCH.OLD,0),VLOOKUP(J23,LIST!$B$6:$L$3250,CURR_1.SEARCH.NEW,0)),'DICTIONARY-5'!$A$2)</f>
        <v>na zapytanie</v>
      </c>
      <c r="L23" s="339" t="str">
        <f>IFERROR(IF(OR(J23='DICTIONARY-5'!$A$2,J23='DICTIONARY-5'!$A$4,ISBLANK(J23)),VLOOKUP(I23,LIST!$A$6:$M$3250,CURR_2.SEARCH.OLD,0),VLOOKUP(J23,LIST!$B$6:$M$3250,CURR_2.SEARCH.NEW,0)),'DICTIONARY-5'!$A$2)</f>
        <v/>
      </c>
    </row>
    <row r="24" spans="1:13" x14ac:dyDescent="0.25">
      <c r="A24" s="42">
        <v>250</v>
      </c>
      <c r="B24" s="42">
        <v>16</v>
      </c>
      <c r="C24" s="42">
        <v>250</v>
      </c>
      <c r="D24" s="42" t="s">
        <v>320</v>
      </c>
      <c r="E24" s="329" t="s">
        <v>3487</v>
      </c>
      <c r="F24" s="339" t="str">
        <f>IFERROR(IF(OR(E24='DICTIONARY-5'!$A$2,E24='DICTIONARY-5'!$A$4,ISBLANK(E24)),VLOOKUP(D24,LIST!$A$6:$L$3250,CURR_1.SEARCH.OLD,0),VLOOKUP(E24,LIST!$B$6:$L$3250,CURR_1.SEARCH.NEW,0)),'DICTIONARY-5'!$A$2)</f>
        <v>1 899,-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42">
        <v>450</v>
      </c>
      <c r="I24" s="42" t="s">
        <v>321</v>
      </c>
      <c r="J24" s="329" t="s">
        <v>3469</v>
      </c>
      <c r="K24" s="339" t="str">
        <f>IFERROR(IF(OR(J24='DICTIONARY-5'!$A$2,J24='DICTIONARY-5'!$A$4,ISBLANK(J24)),VLOOKUP(I24,LIST!$A$6:$L$3250,CURR_1.SEARCH.OLD,0),VLOOKUP(J24,LIST!$B$6:$L$3250,CURR_1.SEARCH.NEW,0)),'DICTIONARY-5'!$A$2)</f>
        <v>2 269,-</v>
      </c>
      <c r="L24" s="339" t="str">
        <f>IFERROR(IF(OR(J24='DICTIONARY-5'!$A$2,J24='DICTIONARY-5'!$A$4,ISBLANK(J24)),VLOOKUP(I24,LIST!$A$6:$M$3250,CURR_2.SEARCH.OLD,0),VLOOKUP(J24,LIST!$B$6:$M$3250,CURR_2.SEARCH.NEW,0)),'DICTIONARY-5'!$A$2)</f>
        <v/>
      </c>
    </row>
    <row r="25" spans="1:13" x14ac:dyDescent="0.25">
      <c r="A25" s="42">
        <v>300</v>
      </c>
      <c r="B25" s="42">
        <v>10</v>
      </c>
      <c r="C25" s="42">
        <v>270</v>
      </c>
      <c r="D25" s="42" t="s">
        <v>322</v>
      </c>
      <c r="E25" s="329" t="s">
        <v>3461</v>
      </c>
      <c r="F25" s="339" t="str">
        <f>IFERROR(IF(OR(E25='DICTIONARY-5'!$A$2,E25='DICTIONARY-5'!$A$4,ISBLANK(E25)),VLOOKUP(D25,LIST!$A$6:$L$3250,CURR_1.SEARCH.OLD,0),VLOOKUP(E25,LIST!$B$6:$L$3250,CURR_1.SEARCH.NEW,0)),'DICTIONARY-5'!$A$2)</f>
        <v>2 081,-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42">
        <v>500</v>
      </c>
      <c r="I25" s="42" t="s">
        <v>323</v>
      </c>
      <c r="J25" s="329" t="str">
        <f>'DICTIONARY-5'!$A$2</f>
        <v>na zapytanie</v>
      </c>
      <c r="K25" s="339" t="str">
        <f>IFERROR(IF(OR(J25='DICTIONARY-5'!$A$2,J25='DICTIONARY-5'!$A$4,ISBLANK(J25)),VLOOKUP(I25,LIST!$A$6:$L$3250,CURR_1.SEARCH.OLD,0),VLOOKUP(J25,LIST!$B$6:$L$3250,CURR_1.SEARCH.NEW,0)),'DICTIONARY-5'!$A$2)</f>
        <v>na zapytanie</v>
      </c>
      <c r="L25" s="339" t="str">
        <f>IFERROR(IF(OR(J25='DICTIONARY-5'!$A$2,J25='DICTIONARY-5'!$A$4,ISBLANK(J25)),VLOOKUP(I25,LIST!$A$6:$M$3250,CURR_2.SEARCH.OLD,0),VLOOKUP(J25,LIST!$B$6:$M$3250,CURR_2.SEARCH.NEW,0)),'DICTIONARY-5'!$A$2)</f>
        <v/>
      </c>
    </row>
    <row r="26" spans="1:13" x14ac:dyDescent="0.25">
      <c r="A26" s="42">
        <v>300</v>
      </c>
      <c r="B26" s="42">
        <v>16</v>
      </c>
      <c r="C26" s="42">
        <v>270</v>
      </c>
      <c r="D26" s="42" t="s">
        <v>324</v>
      </c>
      <c r="E26" s="329" t="s">
        <v>3489</v>
      </c>
      <c r="F26" s="339" t="str">
        <f>IFERROR(IF(OR(E26='DICTIONARY-5'!$A$2,E26='DICTIONARY-5'!$A$4,ISBLANK(E26)),VLOOKUP(D26,LIST!$A$6:$L$3250,CURR_1.SEARCH.OLD,0),VLOOKUP(E26,LIST!$B$6:$L$3250,CURR_1.SEARCH.NEW,0)),'DICTIONARY-5'!$A$2)</f>
        <v>2 069,-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42">
        <v>500</v>
      </c>
      <c r="I26" s="42" t="s">
        <v>325</v>
      </c>
      <c r="J26" s="329" t="s">
        <v>3470</v>
      </c>
      <c r="K26" s="339" t="str">
        <f>IFERROR(IF(OR(J26='DICTIONARY-5'!$A$2,J26='DICTIONARY-5'!$A$4,ISBLANK(J26)),VLOOKUP(I26,LIST!$A$6:$L$3250,CURR_1.SEARCH.OLD,0),VLOOKUP(J26,LIST!$B$6:$L$3250,CURR_1.SEARCH.NEW,0)),'DICTIONARY-5'!$A$2)</f>
        <v>2 559,-</v>
      </c>
      <c r="L26" s="339" t="str">
        <f>IFERROR(IF(OR(J26='DICTIONARY-5'!$A$2,J26='DICTIONARY-5'!$A$4,ISBLANK(J26)),VLOOKUP(I26,LIST!$A$6:$M$3250,CURR_2.SEARCH.OLD,0),VLOOKUP(J26,LIST!$B$6:$M$3250,CURR_2.SEARCH.NEW,0)),'DICTIONARY-5'!$A$2)</f>
        <v/>
      </c>
      <c r="M26" s="44"/>
    </row>
    <row r="27" spans="1:13" x14ac:dyDescent="0.25">
      <c r="A27" s="42">
        <v>350</v>
      </c>
      <c r="B27" s="42">
        <v>10</v>
      </c>
      <c r="C27" s="42">
        <v>290</v>
      </c>
      <c r="D27" s="42" t="s">
        <v>326</v>
      </c>
      <c r="E27" s="329" t="s">
        <v>3462</v>
      </c>
      <c r="F27" s="339" t="str">
        <f>IFERROR(IF(OR(E27='DICTIONARY-5'!$A$2,E27='DICTIONARY-5'!$A$4,ISBLANK(E27)),VLOOKUP(D27,LIST!$A$6:$L$3250,CURR_1.SEARCH.OLD,0),VLOOKUP(E27,LIST!$B$6:$L$3250,CURR_1.SEARCH.NEW,0)),'DICTIONARY-5'!$A$2)</f>
        <v>3 378,-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H27" s="42">
        <v>550</v>
      </c>
      <c r="I27" s="42" t="s">
        <v>327</v>
      </c>
      <c r="J27" s="329" t="str">
        <f>'DICTIONARY-5'!$A$2</f>
        <v>na zapytanie</v>
      </c>
      <c r="K27" s="339" t="str">
        <f>IFERROR(IF(OR(J27='DICTIONARY-5'!$A$2,J27='DICTIONARY-5'!$A$4,ISBLANK(J27)),VLOOKUP(I27,LIST!$A$6:$L$3250,CURR_1.SEARCH.OLD,0),VLOOKUP(J27,LIST!$B$6:$L$3250,CURR_1.SEARCH.NEW,0)),'DICTIONARY-5'!$A$2)</f>
        <v>na zapytanie</v>
      </c>
      <c r="L27" s="339" t="str">
        <f>IFERROR(IF(OR(J27='DICTIONARY-5'!$A$2,J27='DICTIONARY-5'!$A$4,ISBLANK(J27)),VLOOKUP(I27,LIST!$A$6:$M$3250,CURR_2.SEARCH.OLD,0),VLOOKUP(J27,LIST!$B$6:$M$3250,CURR_2.SEARCH.NEW,0)),'DICTIONARY-5'!$A$2)</f>
        <v/>
      </c>
    </row>
    <row r="28" spans="1:13" x14ac:dyDescent="0.25">
      <c r="A28" s="42">
        <v>350</v>
      </c>
      <c r="B28" s="42">
        <v>16</v>
      </c>
      <c r="C28" s="42">
        <v>290</v>
      </c>
      <c r="D28" s="42" t="s">
        <v>328</v>
      </c>
      <c r="E28" s="329" t="s">
        <v>3491</v>
      </c>
      <c r="F28" s="339" t="str">
        <f>IFERROR(IF(OR(E28='DICTIONARY-5'!$A$2,E28='DICTIONARY-5'!$A$4,ISBLANK(E28)),VLOOKUP(D28,LIST!$A$6:$L$3250,CURR_1.SEARCH.OLD,0),VLOOKUP(E28,LIST!$B$6:$L$3250,CURR_1.SEARCH.NEW,0)),'DICTIONARY-5'!$A$2)</f>
        <v>3 299,-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42">
        <v>550</v>
      </c>
      <c r="I28" s="42" t="s">
        <v>329</v>
      </c>
      <c r="J28" s="329" t="str">
        <f>'DICTIONARY-5'!$A$2</f>
        <v>na zapytanie</v>
      </c>
      <c r="K28" s="339" t="str">
        <f>IFERROR(IF(OR(J28='DICTIONARY-5'!$A$2,J28='DICTIONARY-5'!$A$4,ISBLANK(J28)),VLOOKUP(I28,LIST!$A$6:$L$3250,CURR_1.SEARCH.OLD,0),VLOOKUP(J28,LIST!$B$6:$L$3250,CURR_1.SEARCH.NEW,0)),'DICTIONARY-5'!$A$2)</f>
        <v>na zapytanie</v>
      </c>
      <c r="L28" s="339" t="str">
        <f>IFERROR(IF(OR(J28='DICTIONARY-5'!$A$2,J28='DICTIONARY-5'!$A$4,ISBLANK(J28)),VLOOKUP(I28,LIST!$A$6:$M$3250,CURR_2.SEARCH.OLD,0),VLOOKUP(J28,LIST!$B$6:$M$3250,CURR_2.SEARCH.NEW,0)),'DICTIONARY-5'!$A$2)</f>
        <v/>
      </c>
    </row>
    <row r="29" spans="1:13" x14ac:dyDescent="0.25">
      <c r="A29" s="42">
        <v>400</v>
      </c>
      <c r="B29" s="42">
        <v>10</v>
      </c>
      <c r="C29" s="42">
        <v>310</v>
      </c>
      <c r="D29" s="42" t="s">
        <v>330</v>
      </c>
      <c r="E29" s="329" t="str">
        <f>'DICTIONARY-5'!$A$2</f>
        <v>na zapytanie</v>
      </c>
      <c r="F29" s="339" t="str">
        <f>IFERROR(IF(OR(E29='DICTIONARY-5'!$A$2,E29='DICTIONARY-5'!$A$4,ISBLANK(E29)),VLOOKUP(D29,LIST!$A$6:$L$3250,CURR_1.SEARCH.OLD,0),VLOOKUP(E29,LIST!$B$6:$L$3250,CURR_1.SEARCH.NEW,0)),'DICTIONARY-5'!$A$2)</f>
        <v>na zapytanie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H29" s="42">
        <v>600</v>
      </c>
      <c r="I29" s="42" t="s">
        <v>331</v>
      </c>
      <c r="J29" s="329" t="str">
        <f>'DICTIONARY-5'!$A$2</f>
        <v>na zapytanie</v>
      </c>
      <c r="K29" s="339" t="str">
        <f>IFERROR(IF(OR(J29='DICTIONARY-5'!$A$2,J29='DICTIONARY-5'!$A$4,ISBLANK(J29)),VLOOKUP(I29,LIST!$A$6:$L$3250,CURR_1.SEARCH.OLD,0),VLOOKUP(J29,LIST!$B$6:$L$3250,CURR_1.SEARCH.NEW,0)),'DICTIONARY-5'!$A$2)</f>
        <v>na zapytanie</v>
      </c>
      <c r="L29" s="339" t="str">
        <f>IFERROR(IF(OR(J29='DICTIONARY-5'!$A$2,J29='DICTIONARY-5'!$A$4,ISBLANK(J29)),VLOOKUP(I29,LIST!$A$6:$M$3250,CURR_2.SEARCH.OLD,0),VLOOKUP(J29,LIST!$B$6:$M$3250,CURR_2.SEARCH.NEW,0)),'DICTIONARY-5'!$A$2)</f>
        <v/>
      </c>
    </row>
    <row r="30" spans="1:13" x14ac:dyDescent="0.25">
      <c r="A30" s="42">
        <v>400</v>
      </c>
      <c r="B30" s="42">
        <v>16</v>
      </c>
      <c r="C30" s="42">
        <v>310</v>
      </c>
      <c r="D30" s="42" t="s">
        <v>332</v>
      </c>
      <c r="E30" s="329" t="s">
        <v>3492</v>
      </c>
      <c r="F30" s="339" t="str">
        <f>IFERROR(IF(OR(E30='DICTIONARY-5'!$A$2,E30='DICTIONARY-5'!$A$4,ISBLANK(E30)),VLOOKUP(D30,LIST!$A$6:$L$3250,CURR_1.SEARCH.OLD,0),VLOOKUP(E30,LIST!$B$6:$L$3250,CURR_1.SEARCH.NEW,0)),'DICTIONARY-5'!$A$2)</f>
        <v>3 812,-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H30" s="42">
        <v>600</v>
      </c>
      <c r="I30" s="42" t="s">
        <v>333</v>
      </c>
      <c r="J30" s="329" t="str">
        <f>'DICTIONARY-5'!$A$2</f>
        <v>na zapytanie</v>
      </c>
      <c r="K30" s="339" t="str">
        <f>IFERROR(IF(OR(J30='DICTIONARY-5'!$A$2,J30='DICTIONARY-5'!$A$4,ISBLANK(J30)),VLOOKUP(I30,LIST!$A$6:$L$3250,CURR_1.SEARCH.OLD,0),VLOOKUP(J30,LIST!$B$6:$L$3250,CURR_1.SEARCH.NEW,0)),'DICTIONARY-5'!$A$2)</f>
        <v>na zapytanie</v>
      </c>
      <c r="L30" s="339" t="str">
        <f>IFERROR(IF(OR(J30='DICTIONARY-5'!$A$2,J30='DICTIONARY-5'!$A$4,ISBLANK(J30)),VLOOKUP(I30,LIST!$A$6:$M$3250,CURR_2.SEARCH.OLD,0),VLOOKUP(J30,LIST!$B$6:$M$3250,CURR_2.SEARCH.NEW,0)),'DICTIONARY-5'!$A$2)</f>
        <v/>
      </c>
    </row>
    <row r="31" spans="1:13" x14ac:dyDescent="0.25">
      <c r="A31" s="42">
        <v>500</v>
      </c>
      <c r="B31" s="42">
        <v>10</v>
      </c>
      <c r="C31" s="42">
        <v>350</v>
      </c>
      <c r="D31" s="42" t="s">
        <v>334</v>
      </c>
      <c r="E31" s="329" t="str">
        <f>'DICTIONARY-5'!$A$2</f>
        <v>na zapytanie</v>
      </c>
      <c r="F31" s="339" t="str">
        <f>IFERROR(IF(OR(E31='DICTIONARY-5'!$A$2,E31='DICTIONARY-5'!$A$4,ISBLANK(E31)),VLOOKUP(D31,LIST!$A$6:$L$3250,CURR_1.SEARCH.OLD,0),VLOOKUP(E31,LIST!$B$6:$L$3250,CURR_1.SEARCH.NEW,0)),'DICTIONARY-5'!$A$2)</f>
        <v>na zapytanie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42">
        <v>700</v>
      </c>
      <c r="I31" s="42" t="s">
        <v>335</v>
      </c>
      <c r="J31" s="329" t="str">
        <f>'DICTIONARY-5'!$A$2</f>
        <v>na zapytanie</v>
      </c>
      <c r="K31" s="339" t="str">
        <f>IFERROR(IF(OR(J31='DICTIONARY-5'!$A$2,J31='DICTIONARY-5'!$A$4,ISBLANK(J31)),VLOOKUP(I31,LIST!$A$6:$L$3250,CURR_1.SEARCH.OLD,0),VLOOKUP(J31,LIST!$B$6:$L$3250,CURR_1.SEARCH.NEW,0)),'DICTIONARY-5'!$A$2)</f>
        <v>na zapytanie</v>
      </c>
      <c r="L31" s="339" t="str">
        <f>IFERROR(IF(OR(J31='DICTIONARY-5'!$A$2,J31='DICTIONARY-5'!$A$4,ISBLANK(J31)),VLOOKUP(I31,LIST!$A$6:$M$3250,CURR_2.SEARCH.OLD,0),VLOOKUP(J31,LIST!$B$6:$M$3250,CURR_2.SEARCH.NEW,0)),'DICTIONARY-5'!$A$2)</f>
        <v/>
      </c>
    </row>
    <row r="32" spans="1:13" x14ac:dyDescent="0.25">
      <c r="A32" s="42">
        <v>500</v>
      </c>
      <c r="B32" s="42">
        <v>16</v>
      </c>
      <c r="C32" s="42">
        <v>350</v>
      </c>
      <c r="D32" s="42" t="s">
        <v>336</v>
      </c>
      <c r="E32" s="329" t="str">
        <f>'DICTIONARY-5'!$A$2</f>
        <v>na zapytanie</v>
      </c>
      <c r="F32" s="339" t="str">
        <f>IFERROR(IF(OR(E32='DICTIONARY-5'!$A$2,E32='DICTIONARY-5'!$A$4,ISBLANK(E32)),VLOOKUP(D32,LIST!$A$6:$L$3250,CURR_1.SEARCH.OLD,0),VLOOKUP(E32,LIST!$B$6:$L$3250,CURR_1.SEARCH.NEW,0)),'DICTIONARY-5'!$A$2)</f>
        <v>na zapytanie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H32" s="42">
        <v>700</v>
      </c>
      <c r="I32" s="42" t="s">
        <v>337</v>
      </c>
      <c r="J32" s="329" t="str">
        <f>'DICTIONARY-5'!$A$2</f>
        <v>na zapytanie</v>
      </c>
      <c r="K32" s="339" t="str">
        <f>IFERROR(IF(OR(J32='DICTIONARY-5'!$A$2,J32='DICTIONARY-5'!$A$4,ISBLANK(J32)),VLOOKUP(I32,LIST!$A$6:$L$3250,CURR_1.SEARCH.OLD,0),VLOOKUP(J32,LIST!$B$6:$L$3250,CURR_1.SEARCH.NEW,0)),'DICTIONARY-5'!$A$2)</f>
        <v>na zapytanie</v>
      </c>
      <c r="L32" s="339" t="str">
        <f>IFERROR(IF(OR(J32='DICTIONARY-5'!$A$2,J32='DICTIONARY-5'!$A$4,ISBLANK(J32)),VLOOKUP(I32,LIST!$A$6:$M$3250,CURR_2.SEARCH.OLD,0),VLOOKUP(J32,LIST!$B$6:$M$3250,CURR_2.SEARCH.NEW,0)),'DICTIONARY-5'!$A$2)</f>
        <v/>
      </c>
    </row>
    <row r="33" spans="1:12" x14ac:dyDescent="0.25">
      <c r="A33" s="42" t="s">
        <v>149</v>
      </c>
      <c r="B33" s="42">
        <v>10</v>
      </c>
      <c r="C33" s="42"/>
      <c r="D33" s="42"/>
      <c r="E33" s="42"/>
      <c r="F33" s="339"/>
      <c r="G33" s="339"/>
      <c r="H33" s="42">
        <v>800</v>
      </c>
      <c r="I33" s="42" t="s">
        <v>338</v>
      </c>
      <c r="J33" s="329" t="str">
        <f>'DICTIONARY-5'!$A$2</f>
        <v>na zapytanie</v>
      </c>
      <c r="K33" s="339" t="str">
        <f>IFERROR(IF(OR(J33='DICTIONARY-5'!$A$2,J33='DICTIONARY-5'!$A$4,ISBLANK(J33)),VLOOKUP(I33,LIST!$A$6:$L$3250,CURR_1.SEARCH.OLD,0),VLOOKUP(J33,LIST!$B$6:$L$3250,CURR_1.SEARCH.NEW,0)),'DICTIONARY-5'!$A$2)</f>
        <v>na zapytanie</v>
      </c>
      <c r="L33" s="339" t="str">
        <f>IFERROR(IF(OR(J33='DICTIONARY-5'!$A$2,J33='DICTIONARY-5'!$A$4,ISBLANK(J33)),VLOOKUP(I33,LIST!$A$6:$M$3250,CURR_2.SEARCH.OLD,0),VLOOKUP(J33,LIST!$B$6:$M$3250,CURR_2.SEARCH.NEW,0)),'DICTIONARY-5'!$A$2)</f>
        <v/>
      </c>
    </row>
    <row r="34" spans="1:12" x14ac:dyDescent="0.25">
      <c r="A34" s="42">
        <v>600</v>
      </c>
      <c r="B34" s="42">
        <v>10</v>
      </c>
      <c r="C34" s="42">
        <v>390</v>
      </c>
      <c r="D34" s="42" t="s">
        <v>339</v>
      </c>
      <c r="E34" s="330" t="str">
        <f>'DICTIONARY-5'!$A$2</f>
        <v>na zapytanie</v>
      </c>
      <c r="F34" s="339" t="str">
        <f>IFERROR(IF(OR(E34='DICTIONARY-5'!$A$2,E34='DICTIONARY-5'!$A$4,ISBLANK(E34)),VLOOKUP(D34,LIST!$A$6:$L$3250,CURR_1.SEARCH.OLD,0),VLOOKUP(E34,LIST!$B$6:$L$3250,CURR_1.SEARCH.NEW,0)),'DICTIONARY-5'!$A$2)</f>
        <v>na zapytanie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H34" s="42"/>
      <c r="I34" s="42"/>
      <c r="J34" s="42"/>
      <c r="K34" s="45"/>
      <c r="L34" s="45"/>
    </row>
    <row r="35" spans="1:12" x14ac:dyDescent="0.25">
      <c r="A35" s="42">
        <v>600</v>
      </c>
      <c r="B35" s="42">
        <v>16</v>
      </c>
      <c r="C35" s="42">
        <v>390</v>
      </c>
      <c r="D35" s="42" t="s">
        <v>340</v>
      </c>
      <c r="E35" s="330" t="str">
        <f>'DICTIONARY-5'!$A$2</f>
        <v>na zapytanie</v>
      </c>
      <c r="F35" s="339" t="str">
        <f>IFERROR(IF(OR(E35='DICTIONARY-5'!$A$2,E35='DICTIONARY-5'!$A$4,ISBLANK(E35)),VLOOKUP(D35,LIST!$A$6:$L$3250,CURR_1.SEARCH.OLD,0),VLOOKUP(E35,LIST!$B$6:$L$3250,CURR_1.SEARCH.NEW,0)),'DICTIONARY-5'!$A$2)</f>
        <v>na zapytanie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H35" s="42"/>
      <c r="I35" s="42"/>
      <c r="J35" s="42"/>
      <c r="K35" s="45"/>
      <c r="L35" s="45"/>
    </row>
    <row r="36" spans="1:12" x14ac:dyDescent="0.25">
      <c r="A36" s="46"/>
    </row>
    <row r="37" spans="1:12" x14ac:dyDescent="0.25">
      <c r="A37" s="548" t="str">
        <f>"1) "&amp;'DICTIONARY-5'!$A$63</f>
        <v>1) Owiert kołnierza 4 otwory</v>
      </c>
    </row>
    <row r="38" spans="1:12" x14ac:dyDescent="0.25">
      <c r="A38" s="548" t="str">
        <f>"2) "&amp;'DICTIONARY-5'!$A$65&amp;" DN 500"</f>
        <v>2) Zredukowany przepływ DN 500</v>
      </c>
    </row>
  </sheetData>
  <sheetProtection algorithmName="SHA-512" hashValue="oROoGIxauWgeJLb5pTtQ8fijUvU5XTWJthF5IFP61muhzRJZ/W1gtZsaufls2xyoWmnWfL50eytwiZ9bxwheDw==" saltValue="dkURqlgfH6wFU1OZaVASVA==" spinCount="100000" sheet="1" objects="1" scenarios="1" autoFilter="0"/>
  <mergeCells count="5">
    <mergeCell ref="B4:E4"/>
    <mergeCell ref="D10:G10"/>
    <mergeCell ref="I10:L10"/>
    <mergeCell ref="D11:G11"/>
    <mergeCell ref="I11:L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3">
    <tabColor theme="1"/>
  </sheetPr>
  <dimension ref="A1:G49"/>
  <sheetViews>
    <sheetView workbookViewId="0"/>
  </sheetViews>
  <sheetFormatPr defaultRowHeight="15" x14ac:dyDescent="0.25"/>
  <cols>
    <col min="1" max="1" width="34" style="508" customWidth="1"/>
    <col min="2" max="2" width="42.85546875" style="585" customWidth="1"/>
    <col min="3" max="5" width="42.85546875" style="586" customWidth="1"/>
    <col min="6" max="6" width="5.42578125" style="581" customWidth="1"/>
    <col min="7" max="7" width="23.7109375" style="582" customWidth="1"/>
  </cols>
  <sheetData>
    <row r="1" spans="1:7" s="504" customFormat="1" ht="15.75" thickBot="1" x14ac:dyDescent="0.3">
      <c r="A1" s="505" t="s">
        <v>5879</v>
      </c>
      <c r="B1" s="601" t="s">
        <v>5880</v>
      </c>
      <c r="C1" s="602" t="s">
        <v>7398</v>
      </c>
      <c r="D1" s="602" t="s">
        <v>5881</v>
      </c>
      <c r="E1" s="602" t="s">
        <v>5882</v>
      </c>
      <c r="F1" s="580" t="s">
        <v>57</v>
      </c>
      <c r="G1" s="580" t="s">
        <v>6728</v>
      </c>
    </row>
    <row r="2" spans="1:7" x14ac:dyDescent="0.25">
      <c r="A2" s="508" t="str">
        <f>IF(CHOOSE(SET.LANGUAGE,'DICTIONARY-2'!B2,'DICTIONARY-2'!C2,'DICTIONARY-2'!D2,'DICTIONARY-2'!E2,'DICTIONARY-2'!F2)=0,("??? "&amp;"DICTIONARY-2/"&amp;"LINE"&amp;(ROW(A2))),CHOOSE(SET.LANGUAGE,'DICTIONARY-2'!B2,'DICTIONARY-2'!C2,'DICTIONARY-2'!D2,'DICTIONARY-2'!E2,'DICTIONARY-2'!F2))</f>
        <v>DN</v>
      </c>
      <c r="B2" s="585" t="s">
        <v>80</v>
      </c>
      <c r="C2" s="586" t="s">
        <v>80</v>
      </c>
      <c r="D2" s="586" t="s">
        <v>80</v>
      </c>
      <c r="E2" s="586" t="s">
        <v>80</v>
      </c>
      <c r="F2" s="581" t="str">
        <f>CONCATENATE(ROW(B2),"❷",B2)</f>
        <v>2❷DN</v>
      </c>
      <c r="G2" s="582" t="str">
        <f>"'DICTIONARY-2'!$A$"&amp;ROW(A2)</f>
        <v>'DICTIONARY-2'!$A$2</v>
      </c>
    </row>
    <row r="3" spans="1:7" x14ac:dyDescent="0.25">
      <c r="A3" s="508" t="str">
        <f>IF(CHOOSE(SET.LANGUAGE,'DICTIONARY-2'!B3,'DICTIONARY-2'!C3,'DICTIONARY-2'!D3,'DICTIONARY-2'!E3,'DICTIONARY-2'!F3)=0,("??? "&amp;"DICTIONARY-2/"&amp;"LINE"&amp;(ROW(A3))),CHOOSE(SET.LANGUAGE,'DICTIONARY-2'!B3,'DICTIONARY-2'!C3,'DICTIONARY-2'!D3,'DICTIONARY-2'!E3,'DICTIONARY-2'!F3))</f>
        <v>PN</v>
      </c>
      <c r="B3" s="585" t="s">
        <v>81</v>
      </c>
      <c r="C3" s="586" t="s">
        <v>81</v>
      </c>
      <c r="D3" s="586" t="s">
        <v>81</v>
      </c>
      <c r="E3" s="586" t="s">
        <v>81</v>
      </c>
      <c r="F3" s="581" t="str">
        <f t="shared" ref="F3:F41" si="0">CONCATENATE(ROW(B3),"❷",B3)</f>
        <v>3❷PN</v>
      </c>
      <c r="G3" s="582" t="str">
        <f t="shared" ref="G3:G41" si="1">"'DICTIONARY-2'!$A$"&amp;ROW(A3)</f>
        <v>'DICTIONARY-2'!$A$3</v>
      </c>
    </row>
    <row r="4" spans="1:7" x14ac:dyDescent="0.25">
      <c r="A4" s="508" t="str">
        <f>IF(CHOOSE(SET.LANGUAGE,'DICTIONARY-2'!B4,'DICTIONARY-2'!C4,'DICTIONARY-2'!D4,'DICTIONARY-2'!E4,'DICTIONARY-2'!F4)=0,("??? "&amp;"DICTIONARY-2/"&amp;"LINE"&amp;(ROW(A4))),CHOOSE(SET.LANGUAGE,'DICTIONARY-2'!B4,'DICTIONARY-2'!C4,'DICTIONARY-2'!D4,'DICTIONARY-2'!E4,'DICTIONARY-2'!F4))</f>
        <v>PN kołnierza</v>
      </c>
      <c r="B4" s="585" t="s">
        <v>5971</v>
      </c>
      <c r="C4" s="586" t="s">
        <v>7399</v>
      </c>
      <c r="D4" s="586" t="s">
        <v>5972</v>
      </c>
      <c r="E4" s="586" t="s">
        <v>6162</v>
      </c>
      <c r="F4" s="581" t="str">
        <f t="shared" si="0"/>
        <v>4❷PN příruby</v>
      </c>
      <c r="G4" s="582" t="str">
        <f t="shared" si="1"/>
        <v>'DICTIONARY-2'!$A$4</v>
      </c>
    </row>
    <row r="5" spans="1:7" x14ac:dyDescent="0.25">
      <c r="A5" s="508" t="str">
        <f>IF(CHOOSE(SET.LANGUAGE,'DICTIONARY-2'!B5,'DICTIONARY-2'!C5,'DICTIONARY-2'!D5,'DICTIONARY-2'!E5,'DICTIONARY-2'!F5)=0,("??? "&amp;"DICTIONARY-2/"&amp;"LINE"&amp;(ROW(A5))),CHOOSE(SET.LANGUAGE,'DICTIONARY-2'!B5,'DICTIONARY-2'!C5,'DICTIONARY-2'!D5,'DICTIONARY-2'!E5,'DICTIONARY-2'!F5))</f>
        <v>Da</v>
      </c>
      <c r="B5" s="585" t="s">
        <v>5586</v>
      </c>
      <c r="C5" s="586" t="s">
        <v>5586</v>
      </c>
      <c r="D5" s="586" t="s">
        <v>5586</v>
      </c>
      <c r="E5" s="586" t="s">
        <v>5586</v>
      </c>
      <c r="F5" s="581" t="str">
        <f t="shared" si="0"/>
        <v>5❷Da</v>
      </c>
      <c r="G5" s="582" t="str">
        <f t="shared" si="1"/>
        <v>'DICTIONARY-2'!$A$5</v>
      </c>
    </row>
    <row r="6" spans="1:7" x14ac:dyDescent="0.25">
      <c r="A6" s="508" t="str">
        <f>IF(CHOOSE(SET.LANGUAGE,'DICTIONARY-2'!B6,'DICTIONARY-2'!C6,'DICTIONARY-2'!D6,'DICTIONARY-2'!E6,'DICTIONARY-2'!F6)=0,("??? "&amp;"DICTIONARY-2/"&amp;"LINE"&amp;(ROW(A6))),CHOOSE(SET.LANGUAGE,'DICTIONARY-2'!B6,'DICTIONARY-2'!C6,'DICTIONARY-2'!D6,'DICTIONARY-2'!E6,'DICTIONARY-2'!F6))</f>
        <v>Gwint</v>
      </c>
      <c r="B6" s="585" t="s">
        <v>5867</v>
      </c>
      <c r="C6" s="586" t="s">
        <v>5867</v>
      </c>
      <c r="D6" s="586" t="s">
        <v>5976</v>
      </c>
      <c r="E6" s="586" t="s">
        <v>6163</v>
      </c>
      <c r="F6" s="581" t="str">
        <f t="shared" si="0"/>
        <v>6❷Závit</v>
      </c>
      <c r="G6" s="582" t="str">
        <f t="shared" si="1"/>
        <v>'DICTIONARY-2'!$A$6</v>
      </c>
    </row>
    <row r="7" spans="1:7" x14ac:dyDescent="0.25">
      <c r="A7" s="508" t="str">
        <f>IF(CHOOSE(SET.LANGUAGE,'DICTIONARY-2'!B7,'DICTIONARY-2'!C7,'DICTIONARY-2'!D7,'DICTIONARY-2'!E7,'DICTIONARY-2'!F7)=0,("??? "&amp;"DICTIONARY-2/"&amp;"LINE"&amp;(ROW(A7))),CHOOSE(SET.LANGUAGE,'DICTIONARY-2'!B7,'DICTIONARY-2'!C7,'DICTIONARY-2'!D7,'DICTIONARY-2'!E7,'DICTIONARY-2'!F7))</f>
        <v>Rd</v>
      </c>
      <c r="B7" s="585" t="s">
        <v>5599</v>
      </c>
      <c r="C7" s="586" t="s">
        <v>5599</v>
      </c>
      <c r="D7" s="586" t="s">
        <v>5599</v>
      </c>
      <c r="E7" s="586" t="s">
        <v>5599</v>
      </c>
      <c r="F7" s="581" t="str">
        <f t="shared" si="0"/>
        <v>7❷Rd</v>
      </c>
      <c r="G7" s="582" t="str">
        <f t="shared" si="1"/>
        <v>'DICTIONARY-2'!$A$7</v>
      </c>
    </row>
    <row r="8" spans="1:7" x14ac:dyDescent="0.25">
      <c r="A8" s="508" t="str">
        <f>IF(CHOOSE(SET.LANGUAGE,'DICTIONARY-2'!B8,'DICTIONARY-2'!C8,'DICTIONARY-2'!D8,'DICTIONARY-2'!E8,'DICTIONARY-2'!F8)=0,("??? "&amp;"DICTIONARY-2/"&amp;"LINE"&amp;(ROW(A8))),CHOOSE(SET.LANGUAGE,'DICTIONARY-2'!B8,'DICTIONARY-2'!C8,'DICTIONARY-2'!D8,'DICTIONARY-2'!E8,'DICTIONARY-2'!F8))</f>
        <v>Tmin</v>
      </c>
      <c r="B8" s="585" t="s">
        <v>5807</v>
      </c>
      <c r="C8" s="586" t="s">
        <v>5807</v>
      </c>
      <c r="D8" s="586" t="s">
        <v>5807</v>
      </c>
      <c r="E8" s="586" t="s">
        <v>5807</v>
      </c>
      <c r="F8" s="581" t="str">
        <f t="shared" si="0"/>
        <v>8❷Tmin</v>
      </c>
      <c r="G8" s="582" t="str">
        <f t="shared" si="1"/>
        <v>'DICTIONARY-2'!$A$8</v>
      </c>
    </row>
    <row r="9" spans="1:7" x14ac:dyDescent="0.25">
      <c r="A9" s="508" t="str">
        <f>IF(CHOOSE(SET.LANGUAGE,'DICTIONARY-2'!B9,'DICTIONARY-2'!C9,'DICTIONARY-2'!D9,'DICTIONARY-2'!E9,'DICTIONARY-2'!F9)=0,("??? "&amp;"DICTIONARY-2/"&amp;"LINE"&amp;(ROW(A9))),CHOOSE(SET.LANGUAGE,'DICTIONARY-2'!B9,'DICTIONARY-2'!C9,'DICTIONARY-2'!D9,'DICTIONARY-2'!E9,'DICTIONARY-2'!F9))</f>
        <v>Tmax</v>
      </c>
      <c r="B9" s="585" t="s">
        <v>5814</v>
      </c>
      <c r="C9" s="586" t="s">
        <v>5814</v>
      </c>
      <c r="D9" s="586" t="s">
        <v>5814</v>
      </c>
      <c r="E9" s="586" t="s">
        <v>5814</v>
      </c>
      <c r="F9" s="581" t="str">
        <f t="shared" si="0"/>
        <v>9❷Tmax</v>
      </c>
      <c r="G9" s="582" t="str">
        <f t="shared" si="1"/>
        <v>'DICTIONARY-2'!$A$9</v>
      </c>
    </row>
    <row r="10" spans="1:7" x14ac:dyDescent="0.25">
      <c r="A10" s="508" t="str">
        <f>IF(CHOOSE(SET.LANGUAGE,'DICTIONARY-2'!B10,'DICTIONARY-2'!C10,'DICTIONARY-2'!D10,'DICTIONARY-2'!E10,'DICTIONARY-2'!F10)=0,("??? "&amp;"DICTIONARY-2/"&amp;"LINE"&amp;(ROW(A10))),CHOOSE(SET.LANGUAGE,'DICTIONARY-2'!B10,'DICTIONARY-2'!C10,'DICTIONARY-2'!D10,'DICTIONARY-2'!E10,'DICTIONARY-2'!F10))</f>
        <v>PS</v>
      </c>
      <c r="B10" s="585" t="s">
        <v>6887</v>
      </c>
      <c r="C10" s="586" t="s">
        <v>6887</v>
      </c>
      <c r="D10" s="586" t="s">
        <v>6887</v>
      </c>
      <c r="E10" s="586" t="s">
        <v>6887</v>
      </c>
      <c r="F10" s="581" t="str">
        <f t="shared" si="0"/>
        <v>10❷PS</v>
      </c>
      <c r="G10" s="582" t="str">
        <f t="shared" ref="G10" si="2">"'DICTIONARY-2'!$A$"&amp;ROW(A10)</f>
        <v>'DICTIONARY-2'!$A$10</v>
      </c>
    </row>
    <row r="11" spans="1:7" x14ac:dyDescent="0.25">
      <c r="A11" s="508" t="str">
        <f>IF(CHOOSE(SET.LANGUAGE,'DICTIONARY-2'!B11,'DICTIONARY-2'!C11,'DICTIONARY-2'!D11,'DICTIONARY-2'!E11,'DICTIONARY-2'!F11)=0,("??? "&amp;"DICTIONARY-2/"&amp;"LINE"&amp;(ROW(A11))),CHOOSE(SET.LANGUAGE,'DICTIONARY-2'!B11,'DICTIONARY-2'!C11,'DICTIONARY-2'!D11,'DICTIONARY-2'!E11,'DICTIONARY-2'!F11))</f>
        <v>PS/PFA</v>
      </c>
      <c r="B11" s="585" t="s">
        <v>5568</v>
      </c>
      <c r="C11" s="586" t="s">
        <v>7400</v>
      </c>
      <c r="D11" s="586" t="s">
        <v>5568</v>
      </c>
      <c r="E11" s="586" t="s">
        <v>5568</v>
      </c>
      <c r="F11" s="581" t="str">
        <f t="shared" si="0"/>
        <v>11❷PS/PFA</v>
      </c>
      <c r="G11" s="582" t="str">
        <f t="shared" si="1"/>
        <v>'DICTIONARY-2'!$A$11</v>
      </c>
    </row>
    <row r="12" spans="1:7" x14ac:dyDescent="0.25">
      <c r="A12" s="508" t="str">
        <f>IF(CHOOSE(SET.LANGUAGE,'DICTIONARY-2'!B12,'DICTIONARY-2'!C12,'DICTIONARY-2'!D12,'DICTIONARY-2'!E12,'DICTIONARY-2'!F12)=0,("??? "&amp;"DICTIONARY-2/"&amp;"LINE"&amp;(ROW(A12))),CHOOSE(SET.LANGUAGE,'DICTIONARY-2'!B12,'DICTIONARY-2'!C12,'DICTIONARY-2'!D12,'DICTIONARY-2'!E12,'DICTIONARY-2'!F12))</f>
        <v>Długość zabudowy</v>
      </c>
      <c r="B12" s="585" t="s">
        <v>5581</v>
      </c>
      <c r="C12" s="586" t="s">
        <v>7401</v>
      </c>
      <c r="D12" s="586" t="s">
        <v>5977</v>
      </c>
      <c r="E12" s="586" t="s">
        <v>6164</v>
      </c>
      <c r="F12" s="581" t="str">
        <f t="shared" si="0"/>
        <v>12❷Stavební délka</v>
      </c>
      <c r="G12" s="582" t="str">
        <f t="shared" si="1"/>
        <v>'DICTIONARY-2'!$A$12</v>
      </c>
    </row>
    <row r="13" spans="1:7" x14ac:dyDescent="0.25">
      <c r="A13" s="508" t="str">
        <f>IF(CHOOSE(SET.LANGUAGE,'DICTIONARY-2'!B13,'DICTIONARY-2'!C13,'DICTIONARY-2'!D13,'DICTIONARY-2'!E13,'DICTIONARY-2'!F13)=0,("??? "&amp;"DICTIONARY-2/"&amp;"LINE"&amp;(ROW(A13))),CHOOSE(SET.LANGUAGE,'DICTIONARY-2'!B13,'DICTIONARY-2'!C13,'DICTIONARY-2'!D13,'DICTIONARY-2'!E13,'DICTIONARY-2'!F13))</f>
        <v>Medium</v>
      </c>
      <c r="B13" s="585" t="s">
        <v>5582</v>
      </c>
      <c r="C13" s="586" t="s">
        <v>5582</v>
      </c>
      <c r="D13" s="586" t="s">
        <v>5978</v>
      </c>
      <c r="E13" s="586" t="s">
        <v>5978</v>
      </c>
      <c r="F13" s="581" t="str">
        <f t="shared" si="0"/>
        <v>13❷Médium</v>
      </c>
      <c r="G13" s="582" t="str">
        <f t="shared" si="1"/>
        <v>'DICTIONARY-2'!$A$13</v>
      </c>
    </row>
    <row r="14" spans="1:7" x14ac:dyDescent="0.25">
      <c r="A14" s="508" t="str">
        <f>IF(CHOOSE(SET.LANGUAGE,'DICTIONARY-2'!B14,'DICTIONARY-2'!C14,'DICTIONARY-2'!D14,'DICTIONARY-2'!E14,'DICTIONARY-2'!F14)=0,("??? "&amp;"DICTIONARY-2/"&amp;"LINE"&amp;(ROW(A14))),CHOOSE(SET.LANGUAGE,'DICTIONARY-2'!B14,'DICTIONARY-2'!C14,'DICTIONARY-2'!D14,'DICTIONARY-2'!E14,'DICTIONARY-2'!F14))</f>
        <v>Max. temp.</v>
      </c>
      <c r="B14" s="585" t="s">
        <v>6166</v>
      </c>
      <c r="C14" s="586" t="s">
        <v>6166</v>
      </c>
      <c r="D14" s="586" t="s">
        <v>6165</v>
      </c>
      <c r="E14" s="586" t="s">
        <v>6165</v>
      </c>
      <c r="F14" s="581" t="str">
        <f t="shared" si="0"/>
        <v>14❷Max. teplota</v>
      </c>
      <c r="G14" s="582" t="str">
        <f t="shared" si="1"/>
        <v>'DICTIONARY-2'!$A$14</v>
      </c>
    </row>
    <row r="15" spans="1:7" x14ac:dyDescent="0.25">
      <c r="A15" s="508" t="str">
        <f>IF(CHOOSE(SET.LANGUAGE,'DICTIONARY-2'!B15,'DICTIONARY-2'!C15,'DICTIONARY-2'!D15,'DICTIONARY-2'!E15,'DICTIONARY-2'!F15)=0,("??? "&amp;"DICTIONARY-2/"&amp;"LINE"&amp;(ROW(A15))),CHOOSE(SET.LANGUAGE,'DICTIONARY-2'!B15,'DICTIONARY-2'!C15,'DICTIONARY-2'!D15,'DICTIONARY-2'!E15,'DICTIONARY-2'!F15))</f>
        <v>Ciężar</v>
      </c>
      <c r="B15" s="585" t="s">
        <v>5583</v>
      </c>
      <c r="C15" s="586" t="s">
        <v>7403</v>
      </c>
      <c r="D15" s="586" t="s">
        <v>5979</v>
      </c>
      <c r="E15" s="586" t="s">
        <v>6167</v>
      </c>
      <c r="F15" s="581" t="str">
        <f t="shared" si="0"/>
        <v>15❷Hmotnost</v>
      </c>
      <c r="G15" s="582" t="str">
        <f t="shared" si="1"/>
        <v>'DICTIONARY-2'!$A$15</v>
      </c>
    </row>
    <row r="16" spans="1:7" x14ac:dyDescent="0.25">
      <c r="A16" s="508" t="str">
        <f>IF(CHOOSE(SET.LANGUAGE,'DICTIONARY-2'!B16,'DICTIONARY-2'!C16,'DICTIONARY-2'!D16,'DICTIONARY-2'!E16,'DICTIONARY-2'!F16)=0,("??? "&amp;"DICTIONARY-2/"&amp;"LINE"&amp;(ROW(A16))),CHOOSE(SET.LANGUAGE,'DICTIONARY-2'!B16,'DICTIONARY-2'!C16,'DICTIONARY-2'!D16,'DICTIONARY-2'!E16,'DICTIONARY-2'!F16))</f>
        <v>Ochrona przed korozją</v>
      </c>
      <c r="B16" s="585" t="s">
        <v>5592</v>
      </c>
      <c r="C16" s="586" t="s">
        <v>7404</v>
      </c>
      <c r="D16" s="586" t="s">
        <v>5980</v>
      </c>
      <c r="E16" s="586" t="s">
        <v>6168</v>
      </c>
      <c r="F16" s="581" t="str">
        <f t="shared" si="0"/>
        <v>16❷Korozní ochrana</v>
      </c>
      <c r="G16" s="582" t="str">
        <f t="shared" si="1"/>
        <v>'DICTIONARY-2'!$A$16</v>
      </c>
    </row>
    <row r="17" spans="1:7" x14ac:dyDescent="0.25">
      <c r="A17" s="508" t="str">
        <f>IF(CHOOSE(SET.LANGUAGE,'DICTIONARY-2'!B17,'DICTIONARY-2'!C17,'DICTIONARY-2'!D17,'DICTIONARY-2'!E17,'DICTIONARY-2'!F17)=0,("??? "&amp;"DICTIONARY-2/"&amp;"LINE"&amp;(ROW(A17))),CHOOSE(SET.LANGUAGE,'DICTIONARY-2'!B17,'DICTIONARY-2'!C17,'DICTIONARY-2'!D17,'DICTIONARY-2'!E17,'DICTIONARY-2'!F17))</f>
        <v>mm</v>
      </c>
      <c r="B17" s="585" t="s">
        <v>6898</v>
      </c>
      <c r="C17" s="586" t="s">
        <v>6898</v>
      </c>
      <c r="D17" s="586" t="s">
        <v>6898</v>
      </c>
      <c r="E17" s="586" t="s">
        <v>6898</v>
      </c>
      <c r="F17" s="581" t="str">
        <f t="shared" si="0"/>
        <v>17❷mm</v>
      </c>
      <c r="G17" s="582" t="str">
        <f t="shared" ref="G17" si="3">"'DICTIONARY-2'!$A$"&amp;ROW(A17)</f>
        <v>'DICTIONARY-2'!$A$17</v>
      </c>
    </row>
    <row r="18" spans="1:7" x14ac:dyDescent="0.25">
      <c r="A18" s="508" t="str">
        <f>IF(CHOOSE(SET.LANGUAGE,'DICTIONARY-2'!B18,'DICTIONARY-2'!C18,'DICTIONARY-2'!D18,'DICTIONARY-2'!E18,'DICTIONARY-2'!F18)=0,("??? "&amp;"DICTIONARY-2/"&amp;"LINE"&amp;(ROW(A18))),CHOOSE(SET.LANGUAGE,'DICTIONARY-2'!B18,'DICTIONARY-2'!C18,'DICTIONARY-2'!D18,'DICTIONARY-2'!E18,'DICTIONARY-2'!F18))</f>
        <v>[mm]</v>
      </c>
      <c r="B18" s="689" t="str">
        <f>"["&amp;B17&amp;"]"</f>
        <v>[mm]</v>
      </c>
      <c r="C18" s="584" t="str">
        <f>"["&amp;C17&amp;"]"</f>
        <v>[mm]</v>
      </c>
      <c r="D18" s="584" t="str">
        <f t="shared" ref="D18:E18" si="4">"["&amp;D17&amp;"]"</f>
        <v>[mm]</v>
      </c>
      <c r="E18" s="584" t="str">
        <f t="shared" si="4"/>
        <v>[mm]</v>
      </c>
      <c r="F18" s="581" t="str">
        <f t="shared" si="0"/>
        <v>18❷[mm]</v>
      </c>
      <c r="G18" s="582" t="str">
        <f t="shared" si="1"/>
        <v>'DICTIONARY-2'!$A$18</v>
      </c>
    </row>
    <row r="19" spans="1:7" x14ac:dyDescent="0.25">
      <c r="A19" s="508" t="str">
        <f>IF(CHOOSE(SET.LANGUAGE,'DICTIONARY-2'!B19,'DICTIONARY-2'!C19,'DICTIONARY-2'!D19,'DICTIONARY-2'!E19,'DICTIONARY-2'!F19)=0,("??? "&amp;"DICTIONARY-2/"&amp;"LINE"&amp;(ROW(A19))),CHOOSE(SET.LANGUAGE,'DICTIONARY-2'!B19,'DICTIONARY-2'!C19,'DICTIONARY-2'!D19,'DICTIONARY-2'!E19,'DICTIONARY-2'!F19))</f>
        <v>[m]</v>
      </c>
      <c r="B19" s="690" t="s">
        <v>477</v>
      </c>
      <c r="C19" s="586" t="s">
        <v>477</v>
      </c>
      <c r="D19" s="586" t="s">
        <v>477</v>
      </c>
      <c r="E19" s="586" t="s">
        <v>477</v>
      </c>
      <c r="F19" s="581" t="str">
        <f t="shared" si="0"/>
        <v>19❷[m]</v>
      </c>
      <c r="G19" s="582" t="str">
        <f t="shared" si="1"/>
        <v>'DICTIONARY-2'!$A$19</v>
      </c>
    </row>
    <row r="20" spans="1:7" x14ac:dyDescent="0.25">
      <c r="A20" s="508" t="str">
        <f>IF(CHOOSE(SET.LANGUAGE,'DICTIONARY-2'!B20,'DICTIONARY-2'!C20,'DICTIONARY-2'!D20,'DICTIONARY-2'!E20,'DICTIONARY-2'!F20)=0,("??? "&amp;"DICTIONARY-2/"&amp;"LINE"&amp;(ROW(A20))),CHOOSE(SET.LANGUAGE,'DICTIONARY-2'!B20,'DICTIONARY-2'!C20,'DICTIONARY-2'!D20,'DICTIONARY-2'!E20,'DICTIONARY-2'!F20))</f>
        <v>bar</v>
      </c>
      <c r="B20" s="690" t="s">
        <v>6886</v>
      </c>
      <c r="C20" s="586" t="s">
        <v>6886</v>
      </c>
      <c r="D20" s="586" t="s">
        <v>6886</v>
      </c>
      <c r="E20" s="586" t="s">
        <v>6886</v>
      </c>
      <c r="F20" s="581" t="str">
        <f t="shared" si="0"/>
        <v>20❷bar</v>
      </c>
      <c r="G20" s="582" t="str">
        <f t="shared" ref="G20" si="5">"'DICTIONARY-2'!$A$"&amp;ROW(A20)</f>
        <v>'DICTIONARY-2'!$A$20</v>
      </c>
    </row>
    <row r="21" spans="1:7" x14ac:dyDescent="0.25">
      <c r="A21" s="508" t="str">
        <f>IF(CHOOSE(SET.LANGUAGE,'DICTIONARY-2'!B21,'DICTIONARY-2'!C21,'DICTIONARY-2'!D21,'DICTIONARY-2'!E21,'DICTIONARY-2'!F21)=0,("??? "&amp;"DICTIONARY-2/"&amp;"LINE"&amp;(ROW(A21))),CHOOSE(SET.LANGUAGE,'DICTIONARY-2'!B21,'DICTIONARY-2'!C21,'DICTIONARY-2'!D21,'DICTIONARY-2'!E21,'DICTIONARY-2'!F21))</f>
        <v>[bar]</v>
      </c>
      <c r="B21" s="689" t="str">
        <f>"["&amp;B20&amp;"]"</f>
        <v>[bar]</v>
      </c>
      <c r="C21" s="584" t="str">
        <f>"["&amp;C20&amp;"]"</f>
        <v>[bar]</v>
      </c>
      <c r="D21" s="584" t="str">
        <f t="shared" ref="D21:E21" si="6">"["&amp;D20&amp;"]"</f>
        <v>[bar]</v>
      </c>
      <c r="E21" s="584" t="str">
        <f t="shared" si="6"/>
        <v>[bar]</v>
      </c>
      <c r="F21" s="581" t="str">
        <f t="shared" si="0"/>
        <v>21❷[bar]</v>
      </c>
      <c r="G21" s="582" t="str">
        <f t="shared" si="1"/>
        <v>'DICTIONARY-2'!$A$21</v>
      </c>
    </row>
    <row r="22" spans="1:7" x14ac:dyDescent="0.25">
      <c r="A22" s="508" t="str">
        <f>IF(CHOOSE(SET.LANGUAGE,'DICTIONARY-2'!B22,'DICTIONARY-2'!C22,'DICTIONARY-2'!D22,'DICTIONARY-2'!E22,'DICTIONARY-2'!F22)=0,("??? "&amp;"DICTIONARY-2/"&amp;"LINE"&amp;(ROW(A22))),CHOOSE(SET.LANGUAGE,'DICTIONARY-2'!B22,'DICTIONARY-2'!C22,'DICTIONARY-2'!D22,'DICTIONARY-2'!E22,'DICTIONARY-2'!F22))</f>
        <v>[°C]</v>
      </c>
      <c r="B22" s="690" t="s">
        <v>5584</v>
      </c>
      <c r="C22" s="586" t="s">
        <v>5584</v>
      </c>
      <c r="D22" s="586" t="s">
        <v>5584</v>
      </c>
      <c r="E22" s="586" t="s">
        <v>5584</v>
      </c>
      <c r="F22" s="581" t="str">
        <f t="shared" si="0"/>
        <v>22❷[°C]</v>
      </c>
      <c r="G22" s="582" t="str">
        <f t="shared" si="1"/>
        <v>'DICTIONARY-2'!$A$22</v>
      </c>
    </row>
    <row r="23" spans="1:7" x14ac:dyDescent="0.25">
      <c r="A23" s="508" t="str">
        <f>IF(CHOOSE(SET.LANGUAGE,'DICTIONARY-2'!B23,'DICTIONARY-2'!C23,'DICTIONARY-2'!D23,'DICTIONARY-2'!E23,'DICTIONARY-2'!F23)=0,("??? "&amp;"DICTIONARY-2/"&amp;"LINE"&amp;(ROW(A23))),CHOOSE(SET.LANGUAGE,'DICTIONARY-2'!B23,'DICTIONARY-2'!C23,'DICTIONARY-2'!D23,'DICTIONARY-2'!E23,'DICTIONARY-2'!F23))</f>
        <v>[kg]</v>
      </c>
      <c r="B23" s="585" t="s">
        <v>5585</v>
      </c>
      <c r="C23" s="586" t="s">
        <v>5585</v>
      </c>
      <c r="D23" s="586" t="s">
        <v>5585</v>
      </c>
      <c r="E23" s="586" t="s">
        <v>5585</v>
      </c>
      <c r="F23" s="581" t="str">
        <f t="shared" si="0"/>
        <v>23❷[kg]</v>
      </c>
      <c r="G23" s="582" t="str">
        <f t="shared" si="1"/>
        <v>'DICTIONARY-2'!$A$23</v>
      </c>
    </row>
    <row r="24" spans="1:7" x14ac:dyDescent="0.25">
      <c r="A24" s="508" t="str">
        <f>IF(CHOOSE(SET.LANGUAGE,'DICTIONARY-2'!B24,'DICTIONARY-2'!C24,'DICTIONARY-2'!D24,'DICTIONARY-2'!E24,'DICTIONARY-2'!F24)=0,("??? "&amp;"DICTIONARY-2/"&amp;"LINE"&amp;(ROW(A24))),CHOOSE(SET.LANGUAGE,'DICTIONARY-2'!B24,'DICTIONARY-2'!C24,'DICTIONARY-2'!D24,'DICTIONARY-2'!E24,'DICTIONARY-2'!F24))</f>
        <v>L</v>
      </c>
      <c r="B24" s="585" t="s">
        <v>82</v>
      </c>
      <c r="C24" s="586" t="s">
        <v>82</v>
      </c>
      <c r="D24" s="586" t="s">
        <v>82</v>
      </c>
      <c r="E24" s="586" t="s">
        <v>82</v>
      </c>
      <c r="F24" s="581" t="str">
        <f t="shared" si="0"/>
        <v>24❷L</v>
      </c>
      <c r="G24" s="582" t="str">
        <f t="shared" si="1"/>
        <v>'DICTIONARY-2'!$A$24</v>
      </c>
    </row>
    <row r="25" spans="1:7" x14ac:dyDescent="0.25">
      <c r="A25" s="508" t="str">
        <f>IF(CHOOSE(SET.LANGUAGE,'DICTIONARY-2'!B25,'DICTIONARY-2'!C25,'DICTIONARY-2'!D25,'DICTIONARY-2'!E25,'DICTIONARY-2'!F25)=0,("??? "&amp;"DICTIONARY-2/"&amp;"LINE"&amp;(ROW(A25))),CHOOSE(SET.LANGUAGE,'DICTIONARY-2'!B25,'DICTIONARY-2'!C25,'DICTIONARY-2'!D25,'DICTIONARY-2'!E25,'DICTIONARY-2'!F25))</f>
        <v>Z</v>
      </c>
      <c r="B25" s="585" t="s">
        <v>2131</v>
      </c>
      <c r="C25" s="586" t="s">
        <v>2131</v>
      </c>
      <c r="D25" s="586" t="s">
        <v>2131</v>
      </c>
      <c r="E25" s="586" t="s">
        <v>2131</v>
      </c>
      <c r="F25" s="581" t="str">
        <f t="shared" si="0"/>
        <v>25❷Z</v>
      </c>
      <c r="G25" s="582" t="str">
        <f t="shared" si="1"/>
        <v>'DICTIONARY-2'!$A$25</v>
      </c>
    </row>
    <row r="26" spans="1:7" x14ac:dyDescent="0.25">
      <c r="A26" s="508" t="str">
        <f>IF(CHOOSE(SET.LANGUAGE,'DICTIONARY-2'!B26,'DICTIONARY-2'!C26,'DICTIONARY-2'!D26,'DICTIONARY-2'!E26,'DICTIONARY-2'!F26)=0,("??? "&amp;"DICTIONARY-2/"&amp;"LINE"&amp;(ROW(A26))),CHOOSE(SET.LANGUAGE,'DICTIONARY-2'!B26,'DICTIONARY-2'!C26,'DICTIONARY-2'!D26,'DICTIONARY-2'!E26,'DICTIONARY-2'!F26))</f>
        <v>G</v>
      </c>
      <c r="B26" s="585" t="s">
        <v>856</v>
      </c>
      <c r="C26" s="586" t="s">
        <v>856</v>
      </c>
      <c r="D26" s="586" t="s">
        <v>856</v>
      </c>
      <c r="E26" s="586" t="s">
        <v>856</v>
      </c>
      <c r="F26" s="581" t="str">
        <f t="shared" si="0"/>
        <v>26❷G</v>
      </c>
      <c r="G26" s="582" t="str">
        <f t="shared" si="1"/>
        <v>'DICTIONARY-2'!$A$26</v>
      </c>
    </row>
    <row r="27" spans="1:7" x14ac:dyDescent="0.25">
      <c r="A27" s="508" t="str">
        <f>IF(CHOOSE(SET.LANGUAGE,'DICTIONARY-2'!B27,'DICTIONARY-2'!C27,'DICTIONARY-2'!D27,'DICTIONARY-2'!E27,'DICTIONARY-2'!F27)=0,("??? "&amp;"DICTIONARY-2/"&amp;"LINE"&amp;(ROW(A27))),CHOOSE(SET.LANGUAGE,'DICTIONARY-2'!B27,'DICTIONARY-2'!C27,'DICTIONARY-2'!D27,'DICTIONARY-2'!E27,'DICTIONARY-2'!F27))</f>
        <v>d</v>
      </c>
      <c r="B27" s="585" t="s">
        <v>886</v>
      </c>
      <c r="C27" s="586" t="s">
        <v>886</v>
      </c>
      <c r="D27" s="586" t="s">
        <v>886</v>
      </c>
      <c r="E27" s="586" t="s">
        <v>886</v>
      </c>
      <c r="F27" s="581" t="str">
        <f t="shared" si="0"/>
        <v>27❷d</v>
      </c>
      <c r="G27" s="582" t="str">
        <f t="shared" si="1"/>
        <v>'DICTIONARY-2'!$A$27</v>
      </c>
    </row>
    <row r="28" spans="1:7" x14ac:dyDescent="0.25">
      <c r="A28" s="508" t="str">
        <f>IF(CHOOSE(SET.LANGUAGE,'DICTIONARY-2'!B28,'DICTIONARY-2'!C28,'DICTIONARY-2'!D28,'DICTIONARY-2'!E28,'DICTIONARY-2'!F28)=0,("??? "&amp;"DICTIONARY-2/"&amp;"LINE"&amp;(ROW(A28))),CHOOSE(SET.LANGUAGE,'DICTIONARY-2'!B28,'DICTIONARY-2'!C28,'DICTIONARY-2'!D28,'DICTIONARY-2'!E28,'DICTIONARY-2'!F28))</f>
        <v>stary nr zamówienia</v>
      </c>
      <c r="B28" s="585" t="s">
        <v>2728</v>
      </c>
      <c r="C28" s="586" t="s">
        <v>2728</v>
      </c>
      <c r="D28" s="586" t="s">
        <v>6621</v>
      </c>
      <c r="E28" s="586" t="s">
        <v>6624</v>
      </c>
      <c r="F28" s="581" t="str">
        <f t="shared" si="0"/>
        <v>28❷staré obj. číslo</v>
      </c>
      <c r="G28" s="582" t="str">
        <f t="shared" si="1"/>
        <v>'DICTIONARY-2'!$A$28</v>
      </c>
    </row>
    <row r="29" spans="1:7" x14ac:dyDescent="0.25">
      <c r="A29" s="508" t="str">
        <f>IF(CHOOSE(SET.LANGUAGE,'DICTIONARY-2'!B29,'DICTIONARY-2'!C29,'DICTIONARY-2'!D29,'DICTIONARY-2'!E29,'DICTIONARY-2'!F29)=0,("??? "&amp;"DICTIONARY-2/"&amp;"LINE"&amp;(ROW(A29))),CHOOSE(SET.LANGUAGE,'DICTIONARY-2'!B29,'DICTIONARY-2'!C29,'DICTIONARY-2'!D29,'DICTIONARY-2'!E29,'DICTIONARY-2'!F29))</f>
        <v>nowy nr zamówienia</v>
      </c>
      <c r="B29" s="585" t="s">
        <v>4925</v>
      </c>
      <c r="C29" s="586" t="s">
        <v>4925</v>
      </c>
      <c r="D29" s="586" t="s">
        <v>6622</v>
      </c>
      <c r="E29" s="586" t="s">
        <v>6623</v>
      </c>
      <c r="F29" s="581" t="str">
        <f t="shared" si="0"/>
        <v>29❷nové obj. číslo</v>
      </c>
      <c r="G29" s="582" t="str">
        <f t="shared" si="1"/>
        <v>'DICTIONARY-2'!$A$29</v>
      </c>
    </row>
    <row r="30" spans="1:7" x14ac:dyDescent="0.25">
      <c r="A30" s="508" t="str">
        <f>IF(CHOOSE(SET.LANGUAGE,'DICTIONARY-2'!B30,'DICTIONARY-2'!C30,'DICTIONARY-2'!D30,'DICTIONARY-2'!E30,'DICTIONARY-2'!F30)=0,("??? "&amp;"DICTIONARY-2/"&amp;"LINE"&amp;(ROW(A30))),CHOOSE(SET.LANGUAGE,'DICTIONARY-2'!B30,'DICTIONARY-2'!C30,'DICTIONARY-2'!D30,'DICTIONARY-2'!E30,'DICTIONARY-2'!F30))</f>
        <v>numer identyfikacyjny</v>
      </c>
      <c r="B30" s="585" t="s">
        <v>733</v>
      </c>
      <c r="C30" s="586" t="s">
        <v>7402</v>
      </c>
      <c r="D30" s="586" t="s">
        <v>6266</v>
      </c>
      <c r="E30" s="586" t="s">
        <v>6267</v>
      </c>
      <c r="F30" s="581" t="str">
        <f t="shared" si="0"/>
        <v>30❷identifikační číslo</v>
      </c>
      <c r="G30" s="582" t="str">
        <f t="shared" si="1"/>
        <v>'DICTIONARY-2'!$A$30</v>
      </c>
    </row>
    <row r="31" spans="1:7" x14ac:dyDescent="0.25">
      <c r="A31" s="508" t="str">
        <f>IF(CHOOSE(SET.LANGUAGE,'DICTIONARY-2'!B31,'DICTIONARY-2'!C31,'DICTIONARY-2'!D31,'DICTIONARY-2'!E31,'DICTIONARY-2'!F31)=0,("??? "&amp;"DICTIONARY-2/"&amp;"LINE"&amp;(ROW(A31))),CHOOSE(SET.LANGUAGE,'DICTIONARY-2'!B31,'DICTIONARY-2'!C31,'DICTIONARY-2'!D31,'DICTIONARY-2'!E31,'DICTIONARY-2'!F31))</f>
        <v>Domyślna</v>
      </c>
      <c r="B31" s="585" t="s">
        <v>83</v>
      </c>
      <c r="C31" s="586" t="s">
        <v>7405</v>
      </c>
      <c r="D31" s="586" t="s">
        <v>5973</v>
      </c>
      <c r="E31" s="586" t="s">
        <v>6169</v>
      </c>
      <c r="F31" s="581" t="str">
        <f t="shared" si="0"/>
        <v>31❷Výchozí</v>
      </c>
      <c r="G31" s="582" t="str">
        <f t="shared" si="1"/>
        <v>'DICTIONARY-2'!$A$31</v>
      </c>
    </row>
    <row r="32" spans="1:7" x14ac:dyDescent="0.25">
      <c r="A32" s="508" t="str">
        <f>IF(CHOOSE(SET.LANGUAGE,'DICTIONARY-2'!B32,'DICTIONARY-2'!C32,'DICTIONARY-2'!D32,'DICTIONARY-2'!E32,'DICTIONARY-2'!F32)=0,("??? "&amp;"DICTIONARY-2/"&amp;"LINE"&amp;(ROW(A32))),CHOOSE(SET.LANGUAGE,'DICTIONARY-2'!B32,'DICTIONARY-2'!C32,'DICTIONARY-2'!D32,'DICTIONARY-2'!E32,'DICTIONARY-2'!F32))</f>
        <v>RB</v>
      </c>
      <c r="B32" s="585" t="s">
        <v>0</v>
      </c>
      <c r="C32" s="586" t="s">
        <v>0</v>
      </c>
      <c r="D32" s="586" t="s">
        <v>0</v>
      </c>
      <c r="E32" s="586" t="s">
        <v>0</v>
      </c>
      <c r="F32" s="581" t="str">
        <f t="shared" si="0"/>
        <v>32❷RB</v>
      </c>
      <c r="G32" s="582" t="str">
        <f t="shared" si="1"/>
        <v>'DICTIONARY-2'!$A$32</v>
      </c>
    </row>
    <row r="33" spans="1:7" x14ac:dyDescent="0.25">
      <c r="A33" s="508" t="str">
        <f>IF(CHOOSE(SET.LANGUAGE,'DICTIONARY-2'!B33,'DICTIONARY-2'!C33,'DICTIONARY-2'!D33,'DICTIONARY-2'!E33,'DICTIONARY-2'!F33)=0,("??? "&amp;"DICTIONARY-2/"&amp;"LINE"&amp;(ROW(A33))),CHOOSE(SET.LANGUAGE,'DICTIONARY-2'!B33,'DICTIONARY-2'!C33,'DICTIONARY-2'!D33,'DICTIONARY-2'!E33,'DICTIONARY-2'!F33))</f>
        <v>Cena brutto</v>
      </c>
      <c r="B33" s="585" t="s">
        <v>7952</v>
      </c>
      <c r="C33" s="586" t="s">
        <v>7952</v>
      </c>
      <c r="D33" s="586" t="s">
        <v>7953</v>
      </c>
      <c r="E33" s="586" t="s">
        <v>7954</v>
      </c>
      <c r="F33" s="581" t="str">
        <f t="shared" ref="F33" si="7">CONCATENATE(ROW(B33),"❷",B33)</f>
        <v>33❷Brutto cena</v>
      </c>
      <c r="G33" s="582" t="str">
        <f t="shared" ref="G33" si="8">"'DICTIONARY-2'!$A$"&amp;ROW(A33)</f>
        <v>'DICTIONARY-2'!$A$33</v>
      </c>
    </row>
    <row r="34" spans="1:7" x14ac:dyDescent="0.25">
      <c r="A34" s="508" t="str">
        <f>IF(CHOOSE(SET.LANGUAGE,'DICTIONARY-2'!B34,'DICTIONARY-2'!C34,'DICTIONARY-2'!D34,'DICTIONARY-2'!E34,'DICTIONARY-2'!F34)=0,("??? "&amp;"DICTIONARY-2/"&amp;"LINE"&amp;(ROW(A34))),CHOOSE(SET.LANGUAGE,'DICTIONARY-2'!B34,'DICTIONARY-2'!C34,'DICTIONARY-2'!D34,'DICTIONARY-2'!E34,'DICTIONARY-2'!F34))</f>
        <v>Cena sprzedaży</v>
      </c>
      <c r="B34" s="585" t="s">
        <v>7949</v>
      </c>
      <c r="C34" s="586" t="s">
        <v>7950</v>
      </c>
      <c r="D34" s="586" t="s">
        <v>8234</v>
      </c>
      <c r="E34" s="586" t="s">
        <v>7951</v>
      </c>
      <c r="F34" s="581" t="str">
        <f t="shared" si="0"/>
        <v>34❷Prodejní cena</v>
      </c>
      <c r="G34" s="582" t="str">
        <f t="shared" si="1"/>
        <v>'DICTIONARY-2'!$A$34</v>
      </c>
    </row>
    <row r="35" spans="1:7" x14ac:dyDescent="0.25">
      <c r="A35" s="508" t="str">
        <f>IF(CHOOSE(SET.LANGUAGE,'DICTIONARY-2'!B35,'DICTIONARY-2'!C35,'DICTIONARY-2'!D35,'DICTIONARY-2'!E35,'DICTIONARY-2'!F35)=0,("??? "&amp;"DICTIONARY-2/"&amp;"LINE"&amp;(ROW(A35))),CHOOSE(SET.LANGUAGE,'DICTIONARY-2'!B35,'DICTIONARY-2'!C35,'DICTIONARY-2'!D35,'DICTIONARY-2'!E35,'DICTIONARY-2'!F35))</f>
        <v>Rozdział</v>
      </c>
      <c r="B35" s="585" t="s">
        <v>6017</v>
      </c>
      <c r="C35" s="586" t="s">
        <v>6017</v>
      </c>
      <c r="D35" s="586" t="s">
        <v>6018</v>
      </c>
      <c r="E35" s="586" t="s">
        <v>6019</v>
      </c>
      <c r="F35" s="581" t="str">
        <f t="shared" si="0"/>
        <v>35❷Kapitola</v>
      </c>
      <c r="G35" s="582" t="str">
        <f t="shared" si="1"/>
        <v>'DICTIONARY-2'!$A$35</v>
      </c>
    </row>
    <row r="36" spans="1:7" x14ac:dyDescent="0.25">
      <c r="A36" s="508" t="str">
        <f>IF(CHOOSE(SET.LANGUAGE,'DICTIONARY-2'!B36,'DICTIONARY-2'!C36,'DICTIONARY-2'!D36,'DICTIONARY-2'!E36,'DICTIONARY-2'!F36)=0,("??? "&amp;"DICTIONARY-2/"&amp;"LINE"&amp;(ROW(A36))),CHOOSE(SET.LANGUAGE,'DICTIONARY-2'!B36,'DICTIONARY-2'!C36,'DICTIONARY-2'!D36,'DICTIONARY-2'!E36,'DICTIONARY-2'!F36))</f>
        <v>Typ</v>
      </c>
      <c r="B36" s="585" t="s">
        <v>2295</v>
      </c>
      <c r="C36" s="586" t="s">
        <v>2295</v>
      </c>
      <c r="D36" s="586" t="s">
        <v>5974</v>
      </c>
      <c r="E36" s="586" t="s">
        <v>2295</v>
      </c>
      <c r="F36" s="581" t="str">
        <f t="shared" si="0"/>
        <v>36❷Typ</v>
      </c>
      <c r="G36" s="582" t="str">
        <f t="shared" si="1"/>
        <v>'DICTIONARY-2'!$A$36</v>
      </c>
    </row>
    <row r="37" spans="1:7" x14ac:dyDescent="0.25">
      <c r="A37" s="508" t="str">
        <f>IF(CHOOSE(SET.LANGUAGE,'DICTIONARY-2'!B37,'DICTIONARY-2'!C37,'DICTIONARY-2'!D37,'DICTIONARY-2'!E37,'DICTIONARY-2'!F37)=0,("??? "&amp;"DICTIONARY-2/"&amp;"LINE"&amp;(ROW(A37))),CHOOSE(SET.LANGUAGE,'DICTIONARY-2'!B37,'DICTIONARY-2'!C37,'DICTIONARY-2'!D37,'DICTIONARY-2'!E37,'DICTIONARY-2'!F37))</f>
        <v>Opis produktu</v>
      </c>
      <c r="B37" s="585" t="s">
        <v>2303</v>
      </c>
      <c r="C37" s="586" t="s">
        <v>2303</v>
      </c>
      <c r="D37" s="586" t="s">
        <v>5975</v>
      </c>
      <c r="E37" s="586" t="s">
        <v>6170</v>
      </c>
      <c r="F37" s="581" t="str">
        <f t="shared" si="0"/>
        <v>37❷Popis</v>
      </c>
      <c r="G37" s="582" t="str">
        <f t="shared" si="1"/>
        <v>'DICTIONARY-2'!$A$37</v>
      </c>
    </row>
    <row r="38" spans="1:7" x14ac:dyDescent="0.25">
      <c r="A38" s="508" t="str">
        <f>IF(CHOOSE(SET.LANGUAGE,'DICTIONARY-2'!B38,'DICTIONARY-2'!C38,'DICTIONARY-2'!D38,'DICTIONARY-2'!E38,'DICTIONARY-2'!F38)=0,("??? "&amp;"DICTIONARY-2/"&amp;"LINE"&amp;(ROW(A38))),CHOOSE(SET.LANGUAGE,'DICTIONARY-2'!B38,'DICTIONARY-2'!C38,'DICTIONARY-2'!D38,'DICTIONARY-2'!E38,'DICTIONARY-2'!F38))</f>
        <v>Sterowanie</v>
      </c>
      <c r="B38" s="585" t="s">
        <v>6030</v>
      </c>
      <c r="C38" s="586" t="s">
        <v>7406</v>
      </c>
      <c r="D38" s="586" t="s">
        <v>6031</v>
      </c>
      <c r="E38" s="586" t="s">
        <v>6032</v>
      </c>
      <c r="F38" s="581" t="str">
        <f t="shared" si="0"/>
        <v>38❷Ovládání</v>
      </c>
      <c r="G38" s="582" t="str">
        <f t="shared" si="1"/>
        <v>'DICTIONARY-2'!$A$38</v>
      </c>
    </row>
    <row r="39" spans="1:7" x14ac:dyDescent="0.25">
      <c r="A39" s="508" t="str">
        <f>IF(CHOOSE(SET.LANGUAGE,'DICTIONARY-2'!B39,'DICTIONARY-2'!C39,'DICTIONARY-2'!D39,'DICTIONARY-2'!E39,'DICTIONARY-2'!F39)=0,("??? "&amp;"DICTIONARY-2/"&amp;"LINE"&amp;(ROW(A39))),CHOOSE(SET.LANGUAGE,'DICTIONARY-2'!B39,'DICTIONARY-2'!C39,'DICTIONARY-2'!D39,'DICTIONARY-2'!E39,'DICTIONARY-2'!F39))</f>
        <v>Dk</v>
      </c>
      <c r="B39" s="585" t="s">
        <v>6443</v>
      </c>
      <c r="C39" s="586" t="s">
        <v>6443</v>
      </c>
      <c r="D39" s="586" t="s">
        <v>6443</v>
      </c>
      <c r="E39" s="586" t="s">
        <v>6443</v>
      </c>
      <c r="F39" s="581" t="str">
        <f t="shared" si="0"/>
        <v>39❷Dk</v>
      </c>
      <c r="G39" s="582" t="str">
        <f t="shared" si="1"/>
        <v>'DICTIONARY-2'!$A$39</v>
      </c>
    </row>
    <row r="40" spans="1:7" x14ac:dyDescent="0.25">
      <c r="A40" s="508" t="str">
        <f>IF(CHOOSE(SET.LANGUAGE,'DICTIONARY-2'!B40,'DICTIONARY-2'!C40,'DICTIONARY-2'!D40,'DICTIONARY-2'!E40,'DICTIONARY-2'!F40)=0,("??? "&amp;"DICTIONARY-2/"&amp;"LINE"&amp;(ROW(A40))),CHOOSE(SET.LANGUAGE,'DICTIONARY-2'!B40,'DICTIONARY-2'!C40,'DICTIONARY-2'!D40,'DICTIONARY-2'!E40,'DICTIONARY-2'!F40))</f>
        <v>l</v>
      </c>
      <c r="B40" s="585" t="s">
        <v>6478</v>
      </c>
      <c r="C40" s="586" t="s">
        <v>6478</v>
      </c>
      <c r="D40" s="586" t="s">
        <v>6478</v>
      </c>
      <c r="E40" s="586" t="s">
        <v>6478</v>
      </c>
      <c r="F40" s="581" t="str">
        <f t="shared" si="0"/>
        <v>40❷l</v>
      </c>
      <c r="G40" s="582" t="str">
        <f t="shared" si="1"/>
        <v>'DICTIONARY-2'!$A$40</v>
      </c>
    </row>
    <row r="41" spans="1:7" x14ac:dyDescent="0.25">
      <c r="A41" s="508" t="str">
        <f>IF(CHOOSE(SET.LANGUAGE,'DICTIONARY-2'!B41,'DICTIONARY-2'!C41,'DICTIONARY-2'!D41,'DICTIONARY-2'!E41,'DICTIONARY-2'!F41)=0,("??? "&amp;"DICTIONARY-2/"&amp;"LINE"&amp;(ROW(A41))),CHOOSE(SET.LANGUAGE,'DICTIONARY-2'!B41,'DICTIONARY-2'!C41,'DICTIONARY-2'!D41,'DICTIONARY-2'!E41,'DICTIONARY-2'!F41))</f>
        <v>mSW</v>
      </c>
      <c r="B41" s="585" t="s">
        <v>6832</v>
      </c>
      <c r="C41" s="586" t="s">
        <v>6832</v>
      </c>
      <c r="D41" s="586" t="s">
        <v>6833</v>
      </c>
      <c r="E41" s="586" t="s">
        <v>6834</v>
      </c>
      <c r="F41" s="581" t="str">
        <f t="shared" si="0"/>
        <v>41❷mVS</v>
      </c>
      <c r="G41" s="582" t="str">
        <f t="shared" si="1"/>
        <v>'DICTIONARY-2'!$A$41</v>
      </c>
    </row>
    <row r="42" spans="1:7" x14ac:dyDescent="0.25">
      <c r="A42" s="508" t="str">
        <f>IF(CHOOSE(SET.LANGUAGE,'DICTIONARY-2'!B42,'DICTIONARY-2'!C42,'DICTIONARY-2'!D42,'DICTIONARY-2'!E42,'DICTIONARY-2'!F42)=0,("??? "&amp;"DICTIONARY-2/"&amp;"LINE"&amp;(ROW(A42))),CHOOSE(SET.LANGUAGE,'DICTIONARY-2'!B42,'DICTIONARY-2'!C42,'DICTIONARY-2'!D42,'DICTIONARY-2'!E42,'DICTIONARY-2'!F42))</f>
        <v xml:space="preserve">zg. z umową </v>
      </c>
      <c r="B42" s="585" t="s">
        <v>7380</v>
      </c>
      <c r="C42" s="586" t="s">
        <v>7387</v>
      </c>
      <c r="D42" s="586" t="s">
        <v>7381</v>
      </c>
      <c r="E42" s="586" t="s">
        <v>7382</v>
      </c>
      <c r="F42" s="581" t="str">
        <f t="shared" ref="F42" si="9">CONCATENATE(ROW(B42),"❷",B42)</f>
        <v>42❷dle smlouvy</v>
      </c>
      <c r="G42" s="582" t="str">
        <f t="shared" ref="G42" si="10">"'DICTIONARY-2'!$A$"&amp;ROW(A42)</f>
        <v>'DICTIONARY-2'!$A$42</v>
      </c>
    </row>
    <row r="46" spans="1:7" ht="15" customHeight="1" x14ac:dyDescent="0.25"/>
    <row r="47" spans="1:7" ht="15" customHeight="1" x14ac:dyDescent="0.25"/>
    <row r="48" spans="1:7" ht="15" customHeight="1" x14ac:dyDescent="0.25"/>
    <row r="49" ht="15" customHeight="1" x14ac:dyDescent="0.25"/>
  </sheetData>
  <sheetProtection algorithmName="SHA-512" hashValue="nLOXAWNdBAPig3lC+0UfilWu5kkHkSanPiUnRVV/5uoCo2VkBNe1ARplv0iSdEoQOUondyB9kI5zRLNy6J7rFg==" saltValue="58BnKvETf37H2XOWhQ36bQ==" spinCount="100000" sheet="1" objects="1" scenarios="1" autoFilter="0"/>
  <conditionalFormatting sqref="B1:E32 B34:E1048576">
    <cfRule type="containsBlanks" dxfId="22" priority="6">
      <formula>LEN(TRIM(B1))=0</formula>
    </cfRule>
  </conditionalFormatting>
  <conditionalFormatting sqref="B33:E33">
    <cfRule type="containsBlanks" dxfId="21" priority="1">
      <formula>LEN(TRIM(B33))=0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">
    <tabColor rgb="FFFFC000"/>
  </sheetPr>
  <dimension ref="A1:Q38"/>
  <sheetViews>
    <sheetView workbookViewId="0"/>
  </sheetViews>
  <sheetFormatPr defaultColWidth="9.140625" defaultRowHeight="15" x14ac:dyDescent="0.25"/>
  <cols>
    <col min="1" max="3" width="9.140625" style="30"/>
    <col min="4" max="5" width="22.140625" style="30" customWidth="1"/>
    <col min="6" max="7" width="12.85546875" style="31" customWidth="1"/>
    <col min="8" max="8" width="9.140625" style="31"/>
    <col min="9" max="10" width="22.140625" style="30" customWidth="1"/>
    <col min="11" max="12" width="12.85546875" style="31" customWidth="1"/>
    <col min="13" max="13" width="9.140625" style="31" customWidth="1"/>
    <col min="14" max="15" width="22.140625" style="32" customWidth="1"/>
    <col min="16" max="17" width="12.85546875" style="32" customWidth="1"/>
    <col min="18" max="16384" width="9.140625" style="32"/>
  </cols>
  <sheetData>
    <row r="1" spans="1:17" s="418" customFormat="1" ht="45" customHeight="1" thickBot="1" x14ac:dyDescent="0.3">
      <c r="A1" s="381"/>
      <c r="B1" s="381"/>
      <c r="C1" s="381"/>
      <c r="D1" s="381"/>
      <c r="E1" s="381"/>
      <c r="F1" s="417"/>
      <c r="G1" s="417"/>
      <c r="H1" s="417"/>
      <c r="I1" s="416"/>
      <c r="J1" s="416"/>
      <c r="K1" s="417"/>
      <c r="L1" s="417"/>
      <c r="M1" s="417"/>
    </row>
    <row r="2" spans="1:17" s="482" customFormat="1" ht="4.5" customHeight="1" x14ac:dyDescent="0.25">
      <c r="A2" s="479"/>
      <c r="B2" s="480"/>
      <c r="C2" s="480"/>
      <c r="D2" s="480"/>
      <c r="E2" s="480"/>
      <c r="F2" s="481"/>
      <c r="G2" s="481"/>
      <c r="H2" s="481"/>
      <c r="I2" s="480"/>
      <c r="J2" s="480"/>
      <c r="K2" s="481"/>
      <c r="L2" s="481"/>
      <c r="M2" s="481"/>
    </row>
    <row r="3" spans="1:17" ht="15.75" thickBot="1" x14ac:dyDescent="0.3">
      <c r="A3" s="33"/>
      <c r="B3" s="34"/>
      <c r="C3" s="34"/>
    </row>
    <row r="4" spans="1:17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17" x14ac:dyDescent="0.25">
      <c r="A5" s="33"/>
      <c r="B5" s="34"/>
      <c r="C5" s="34"/>
    </row>
    <row r="6" spans="1:17" ht="16.5" thickBot="1" x14ac:dyDescent="0.3">
      <c r="A6" s="81" t="str">
        <f>CONCATENATE('DICTIONARY-3'!$A$2," ",'DICTIONARY-3'!$A$187," / ",UPPER('DICTIONARY-5'!$A$14))</f>
        <v>EKOplus Zasuwa klinowa / ŚCIEKI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</row>
    <row r="7" spans="1:17" x14ac:dyDescent="0.25">
      <c r="A7" s="36" t="str">
        <f>CONCATENATE('DICTIONARY-3'!$A$243," ",'DICTIONARY-3'!$A$244,", ",LOWER('DICTIONARY-2'!$A$12)," ",'DICTIONARY-5'!$A$9)</f>
        <v>Z wolnym końcem wałka i adapterem do podłączenia VAG obudowy ziemnej, długość zabudowy EN 558</v>
      </c>
    </row>
    <row r="8" spans="1:17" x14ac:dyDescent="0.25">
      <c r="A8" s="36" t="str">
        <f>CONCATENATE('DICTIONARY-1'!$A$10,": ",SETTINGS!$C$16)</f>
        <v>Grupa rabatowa: EKOplus Waste Water</v>
      </c>
    </row>
    <row r="9" spans="1:17" x14ac:dyDescent="0.25">
      <c r="A9" s="37"/>
      <c r="N9" s="935" t="str">
        <f>'DICTIONARY-5'!$A$5</f>
        <v xml:space="preserve">Należy zamówić oddzielnie </v>
      </c>
      <c r="O9" s="953"/>
      <c r="P9" s="953"/>
      <c r="Q9" s="954"/>
    </row>
    <row r="10" spans="1:17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960" t="str">
        <f>'DICTIONARY-3'!$A$2</f>
        <v>EKOplus</v>
      </c>
      <c r="E10" s="960"/>
      <c r="F10" s="960"/>
      <c r="G10" s="960"/>
      <c r="H10" s="38" t="str">
        <f>'DICTIONARY-2'!$A$24</f>
        <v>L</v>
      </c>
      <c r="I10" s="960" t="str">
        <f>'DICTIONARY-3'!$A$2</f>
        <v>EKOplus</v>
      </c>
      <c r="J10" s="960"/>
      <c r="K10" s="960"/>
      <c r="L10" s="960"/>
      <c r="M10" s="32"/>
      <c r="N10" s="950" t="str">
        <f>'DICTIONARY-4'!$A$23</f>
        <v>Kółko ręczne</v>
      </c>
      <c r="O10" s="951"/>
      <c r="P10" s="951"/>
      <c r="Q10" s="952"/>
    </row>
    <row r="11" spans="1:17" x14ac:dyDescent="0.25">
      <c r="A11" s="57"/>
      <c r="B11" s="57"/>
      <c r="C11" s="57"/>
      <c r="D11" s="961" t="str">
        <f>CONCATENATE('DICTIONARY-5'!$A$66," (",'DICTIONARY-5'!$A$10," 14), ",'DICTIONARY-5'!$A$43&amp;": "&amp;'DICTIONARY-5'!$A$45)</f>
        <v>budowa krótka (szereg 14), guma: NBR</v>
      </c>
      <c r="E11" s="961"/>
      <c r="F11" s="961"/>
      <c r="G11" s="961"/>
      <c r="H11" s="57"/>
      <c r="I11" s="961" t="str">
        <f>CONCATENATE('DICTIONARY-5'!$A$67," (",'DICTIONARY-5'!$A$10," 15), ",'DICTIONARY-5'!$A$43&amp;": "&amp;'DICTIONARY-5'!$A$45)</f>
        <v>budowa długa (szereg 15), guma: NBR</v>
      </c>
      <c r="J11" s="961"/>
      <c r="K11" s="961"/>
      <c r="L11" s="961"/>
      <c r="M11" s="32"/>
      <c r="N11" s="939"/>
      <c r="O11" s="940"/>
      <c r="P11" s="940"/>
      <c r="Q11" s="941"/>
    </row>
    <row r="12" spans="1:17" x14ac:dyDescent="0.25">
      <c r="A12" s="39"/>
      <c r="B12" s="39"/>
      <c r="C12" s="39" t="str">
        <f>'DICTIONARY-2'!$A$18</f>
        <v>[mm]</v>
      </c>
      <c r="D12" s="40" t="str">
        <f>'DICTIONARY-2'!$A$28</f>
        <v>stary nr zamówienia</v>
      </c>
      <c r="E12" s="40" t="str">
        <f>'DICTIONARY-2'!$A$29</f>
        <v>nowy nr zamówienia</v>
      </c>
      <c r="F12" s="41" t="str">
        <f>CURRENCY.CODE_1</f>
        <v>EUR</v>
      </c>
      <c r="G12" s="41" t="str">
        <f>CURRENCY.CODE_2</f>
        <v>---</v>
      </c>
      <c r="H12" s="39" t="str">
        <f>'DICTIONARY-2'!$A$18</f>
        <v>[mm]</v>
      </c>
      <c r="I12" s="40" t="str">
        <f>'DICTIONARY-2'!$A$28</f>
        <v>stary nr zamówienia</v>
      </c>
      <c r="J12" s="40" t="str">
        <f>'DICTIONARY-2'!$A$29</f>
        <v>nowy nr zamówienia</v>
      </c>
      <c r="K12" s="41" t="str">
        <f>CURRENCY.CODE_1</f>
        <v>EUR</v>
      </c>
      <c r="L12" s="41" t="str">
        <f>CURRENCY.CODE_2</f>
        <v>---</v>
      </c>
      <c r="M12" s="32"/>
      <c r="N12" s="165" t="str">
        <f>'DICTIONARY-2'!$A$28</f>
        <v>stary nr zamówienia</v>
      </c>
      <c r="O12" s="165" t="str">
        <f>'DICTIONARY-2'!$A$29</f>
        <v>nowy nr zamówienia</v>
      </c>
      <c r="P12" s="166" t="str">
        <f>CURRENCY.CODE_1</f>
        <v>EUR</v>
      </c>
      <c r="Q12" s="166" t="str">
        <f>CURRENCY.CODE_2</f>
        <v>---</v>
      </c>
    </row>
    <row r="13" spans="1:17" x14ac:dyDescent="0.25">
      <c r="A13" s="42">
        <v>40</v>
      </c>
      <c r="B13" s="42" t="s">
        <v>85</v>
      </c>
      <c r="C13" s="42">
        <v>140</v>
      </c>
      <c r="D13" s="42" t="s">
        <v>380</v>
      </c>
      <c r="E13" s="329" t="s">
        <v>3373</v>
      </c>
      <c r="F13" s="339" t="str">
        <f>IFERROR(IF(OR(E13='DICTIONARY-5'!$A$2,E13='DICTIONARY-5'!$A$4,ISBLANK(E13)),VLOOKUP(D13,LIST!$A$6:$L$3250,CURR_1.SEARCH.OLD,0),VLOOKUP(E13,LIST!$B$6:$L$3250,CURR_1.SEARCH.NEW,0)),'DICTIONARY-5'!$A$2)</f>
        <v>165,-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42">
        <v>240</v>
      </c>
      <c r="I13" s="42" t="s">
        <v>381</v>
      </c>
      <c r="J13" s="329" t="s">
        <v>3353</v>
      </c>
      <c r="K13" s="339" t="str">
        <f>IFERROR(IF(OR(J13='DICTIONARY-5'!$A$2,J13='DICTIONARY-5'!$A$4,ISBLANK(J13)),VLOOKUP(I13,LIST!$A$6:$L$3250,CURR_1.SEARCH.OLD,0),VLOOKUP(J13,LIST!$B$6:$L$3250,CURR_1.SEARCH.NEW,0)),'DICTIONARY-5'!$A$2)</f>
        <v>174,-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  <c r="M13" s="32"/>
      <c r="N13" s="167" t="s">
        <v>109</v>
      </c>
      <c r="O13" s="335" t="s">
        <v>2892</v>
      </c>
      <c r="P13" s="339" t="str">
        <f>IFERROR(IF(OR(O13='DICTIONARY-5'!$A$2,O13='DICTIONARY-5'!$A$4,ISBLANK(O13)),VLOOKUP(N13,LIST!$A$6:$L$3250,CURR_1.SEARCH.OLD,0),VLOOKUP(O13,LIST!$B$6:$L$3250,CURR_1.SEARCH.NEW,0)),'DICTIONARY-5'!$A$2)</f>
        <v>8,-</v>
      </c>
      <c r="Q13" s="339" t="str">
        <f>IFERROR(IF(OR(O13='DICTIONARY-5'!$A$2,O13='DICTIONARY-5'!$A$4,ISBLANK(O13)),VLOOKUP(N13,LIST!$A$6:$M$3250,CURR_2.SEARCH.OLD,0),VLOOKUP(O13,LIST!$B$6:$M$3250,CURR_2.SEARCH.NEW,0)),'DICTIONARY-5'!$A$2)</f>
        <v/>
      </c>
    </row>
    <row r="14" spans="1:17" x14ac:dyDescent="0.25">
      <c r="A14" s="42">
        <v>50</v>
      </c>
      <c r="B14" s="42" t="s">
        <v>85</v>
      </c>
      <c r="C14" s="42">
        <v>150</v>
      </c>
      <c r="D14" s="42" t="s">
        <v>382</v>
      </c>
      <c r="E14" s="329" t="s">
        <v>3377</v>
      </c>
      <c r="F14" s="339" t="str">
        <f>IFERROR(IF(OR(E14='DICTIONARY-5'!$A$2,E14='DICTIONARY-5'!$A$4,ISBLANK(E14)),VLOOKUP(D14,LIST!$A$6:$L$3250,CURR_1.SEARCH.OLD,0),VLOOKUP(E14,LIST!$B$6:$L$3250,CURR_1.SEARCH.NEW,0)),'DICTIONARY-5'!$A$2)</f>
        <v>165,-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42">
        <v>250</v>
      </c>
      <c r="I14" s="42" t="s">
        <v>383</v>
      </c>
      <c r="J14" s="329" t="s">
        <v>3355</v>
      </c>
      <c r="K14" s="339" t="str">
        <f>IFERROR(IF(OR(J14='DICTIONARY-5'!$A$2,J14='DICTIONARY-5'!$A$4,ISBLANK(J14)),VLOOKUP(I14,LIST!$A$6:$L$3250,CURR_1.SEARCH.OLD,0),VLOOKUP(J14,LIST!$B$6:$L$3250,CURR_1.SEARCH.NEW,0)),'DICTIONARY-5'!$A$2)</f>
        <v>188,-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  <c r="M14" s="32"/>
      <c r="N14" s="167" t="s">
        <v>109</v>
      </c>
      <c r="O14" s="335" t="s">
        <v>2892</v>
      </c>
      <c r="P14" s="339" t="str">
        <f>IFERROR(IF(OR(O14='DICTIONARY-5'!$A$2,O14='DICTIONARY-5'!$A$4,ISBLANK(O14)),VLOOKUP(N14,LIST!$A$6:$L$3250,CURR_1.SEARCH.OLD,0),VLOOKUP(O14,LIST!$B$6:$L$3250,CURR_1.SEARCH.NEW,0)),'DICTIONARY-5'!$A$2)</f>
        <v>8,-</v>
      </c>
      <c r="Q14" s="339" t="str">
        <f>IFERROR(IF(OR(O14='DICTIONARY-5'!$A$2,O14='DICTIONARY-5'!$A$4,ISBLANK(O14)),VLOOKUP(N14,LIST!$A$6:$M$3250,CURR_2.SEARCH.OLD,0),VLOOKUP(O14,LIST!$B$6:$M$3250,CURR_2.SEARCH.NEW,0)),'DICTIONARY-5'!$A$2)</f>
        <v/>
      </c>
    </row>
    <row r="15" spans="1:17" x14ac:dyDescent="0.25">
      <c r="A15" s="42">
        <v>65</v>
      </c>
      <c r="B15" s="42" t="s">
        <v>85</v>
      </c>
      <c r="C15" s="42">
        <v>170</v>
      </c>
      <c r="D15" s="42" t="s">
        <v>384</v>
      </c>
      <c r="E15" s="329" t="s">
        <v>3382</v>
      </c>
      <c r="F15" s="339" t="str">
        <f>IFERROR(IF(OR(E15='DICTIONARY-5'!$A$2,E15='DICTIONARY-5'!$A$4,ISBLANK(E15)),VLOOKUP(D15,LIST!$A$6:$L$3250,CURR_1.SEARCH.OLD,0),VLOOKUP(E15,LIST!$B$6:$L$3250,CURR_1.SEARCH.NEW,0)),'DICTIONARY-5'!$A$2)</f>
        <v>193,-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42">
        <v>270</v>
      </c>
      <c r="I15" s="42" t="s">
        <v>385</v>
      </c>
      <c r="J15" s="329" t="s">
        <v>3357</v>
      </c>
      <c r="K15" s="339" t="str">
        <f>IFERROR(IF(OR(J15='DICTIONARY-5'!$A$2,J15='DICTIONARY-5'!$A$4,ISBLANK(J15)),VLOOKUP(I15,LIST!$A$6:$L$3250,CURR_1.SEARCH.OLD,0),VLOOKUP(J15,LIST!$B$6:$L$3250,CURR_1.SEARCH.NEW,0)),'DICTIONARY-5'!$A$2)</f>
        <v>204,-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  <c r="M15" s="32"/>
      <c r="N15" s="167" t="s">
        <v>88</v>
      </c>
      <c r="O15" s="335" t="s">
        <v>2893</v>
      </c>
      <c r="P15" s="339" t="str">
        <f>IFERROR(IF(OR(O15='DICTIONARY-5'!$A$2,O15='DICTIONARY-5'!$A$4,ISBLANK(O15)),VLOOKUP(N15,LIST!$A$6:$L$3250,CURR_1.SEARCH.OLD,0),VLOOKUP(O15,LIST!$B$6:$L$3250,CURR_1.SEARCH.NEW,0)),'DICTIONARY-5'!$A$2)</f>
        <v>15,-</v>
      </c>
      <c r="Q15" s="339" t="str">
        <f>IFERROR(IF(OR(O15='DICTIONARY-5'!$A$2,O15='DICTIONARY-5'!$A$4,ISBLANK(O15)),VLOOKUP(N15,LIST!$A$6:$M$3250,CURR_2.SEARCH.OLD,0),VLOOKUP(O15,LIST!$B$6:$M$3250,CURR_2.SEARCH.NEW,0)),'DICTIONARY-5'!$A$2)</f>
        <v/>
      </c>
    </row>
    <row r="16" spans="1:17" x14ac:dyDescent="0.25">
      <c r="A16" s="42">
        <v>80</v>
      </c>
      <c r="B16" s="42">
        <v>10.16</v>
      </c>
      <c r="C16" s="42">
        <v>180</v>
      </c>
      <c r="D16" s="42" t="s">
        <v>386</v>
      </c>
      <c r="E16" s="329" t="s">
        <v>3387</v>
      </c>
      <c r="F16" s="339" t="str">
        <f>IFERROR(IF(OR(E16='DICTIONARY-5'!$A$2,E16='DICTIONARY-5'!$A$4,ISBLANK(E16)),VLOOKUP(D16,LIST!$A$6:$L$3250,CURR_1.SEARCH.OLD,0),VLOOKUP(E16,LIST!$B$6:$L$3250,CURR_1.SEARCH.NEW,0)),'DICTIONARY-5'!$A$2)</f>
        <v>193,-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42">
        <v>280</v>
      </c>
      <c r="I16" s="42" t="s">
        <v>387</v>
      </c>
      <c r="J16" s="329" t="s">
        <v>3359</v>
      </c>
      <c r="K16" s="339" t="str">
        <f>IFERROR(IF(OR(J16='DICTIONARY-5'!$A$2,J16='DICTIONARY-5'!$A$4,ISBLANK(J16)),VLOOKUP(I16,LIST!$A$6:$L$3250,CURR_1.SEARCH.OLD,0),VLOOKUP(J16,LIST!$B$6:$L$3250,CURR_1.SEARCH.NEW,0)),'DICTIONARY-5'!$A$2)</f>
        <v>204,-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  <c r="M16" s="32"/>
      <c r="N16" s="167" t="s">
        <v>88</v>
      </c>
      <c r="O16" s="335" t="s">
        <v>2893</v>
      </c>
      <c r="P16" s="339" t="str">
        <f>IFERROR(IF(OR(O16='DICTIONARY-5'!$A$2,O16='DICTIONARY-5'!$A$4,ISBLANK(O16)),VLOOKUP(N16,LIST!$A$6:$L$3250,CURR_1.SEARCH.OLD,0),VLOOKUP(O16,LIST!$B$6:$L$3250,CURR_1.SEARCH.NEW,0)),'DICTIONARY-5'!$A$2)</f>
        <v>15,-</v>
      </c>
      <c r="Q16" s="339" t="str">
        <f>IFERROR(IF(OR(O16='DICTIONARY-5'!$A$2,O16='DICTIONARY-5'!$A$4,ISBLANK(O16)),VLOOKUP(N16,LIST!$A$6:$M$3250,CURR_2.SEARCH.OLD,0),VLOOKUP(O16,LIST!$B$6:$M$3250,CURR_2.SEARCH.NEW,0)),'DICTIONARY-5'!$A$2)</f>
        <v/>
      </c>
    </row>
    <row r="17" spans="1:17" x14ac:dyDescent="0.25">
      <c r="A17" s="42">
        <v>100</v>
      </c>
      <c r="B17" s="42" t="s">
        <v>85</v>
      </c>
      <c r="C17" s="42">
        <v>190</v>
      </c>
      <c r="D17" s="42" t="s">
        <v>388</v>
      </c>
      <c r="E17" s="329" t="s">
        <v>3390</v>
      </c>
      <c r="F17" s="339" t="str">
        <f>IFERROR(IF(OR(E17='DICTIONARY-5'!$A$2,E17='DICTIONARY-5'!$A$4,ISBLANK(E17)),VLOOKUP(D17,LIST!$A$6:$L$3250,CURR_1.SEARCH.OLD,0),VLOOKUP(E17,LIST!$B$6:$L$3250,CURR_1.SEARCH.NEW,0)),'DICTIONARY-5'!$A$2)</f>
        <v>218,-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42">
        <v>300</v>
      </c>
      <c r="I17" s="42" t="s">
        <v>389</v>
      </c>
      <c r="J17" s="329" t="s">
        <v>3361</v>
      </c>
      <c r="K17" s="339" t="str">
        <f>IFERROR(IF(OR(J17='DICTIONARY-5'!$A$2,J17='DICTIONARY-5'!$A$4,ISBLANK(J17)),VLOOKUP(I17,LIST!$A$6:$L$3250,CURR_1.SEARCH.OLD,0),VLOOKUP(J17,LIST!$B$6:$L$3250,CURR_1.SEARCH.NEW,0)),'DICTIONARY-5'!$A$2)</f>
        <v>237,-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  <c r="M17" s="32"/>
      <c r="N17" s="167" t="s">
        <v>91</v>
      </c>
      <c r="O17" s="335" t="s">
        <v>2894</v>
      </c>
      <c r="P17" s="339" t="str">
        <f>IFERROR(IF(OR(O17='DICTIONARY-5'!$A$2,O17='DICTIONARY-5'!$A$4,ISBLANK(O17)),VLOOKUP(N17,LIST!$A$6:$L$3250,CURR_1.SEARCH.OLD,0),VLOOKUP(O17,LIST!$B$6:$L$3250,CURR_1.SEARCH.NEW,0)),'DICTIONARY-5'!$A$2)</f>
        <v>20,-</v>
      </c>
      <c r="Q17" s="339" t="str">
        <f>IFERROR(IF(OR(O17='DICTIONARY-5'!$A$2,O17='DICTIONARY-5'!$A$4,ISBLANK(O17)),VLOOKUP(N17,LIST!$A$6:$M$3250,CURR_2.SEARCH.OLD,0),VLOOKUP(O17,LIST!$B$6:$M$3250,CURR_2.SEARCH.NEW,0)),'DICTIONARY-5'!$A$2)</f>
        <v/>
      </c>
    </row>
    <row r="18" spans="1:17" x14ac:dyDescent="0.25">
      <c r="A18" s="42">
        <v>125</v>
      </c>
      <c r="B18" s="42" t="s">
        <v>85</v>
      </c>
      <c r="C18" s="42">
        <v>200</v>
      </c>
      <c r="D18" s="42" t="s">
        <v>390</v>
      </c>
      <c r="E18" s="329" t="s">
        <v>3393</v>
      </c>
      <c r="F18" s="339" t="str">
        <f>IFERROR(IF(OR(E18='DICTIONARY-5'!$A$2,E18='DICTIONARY-5'!$A$4,ISBLANK(E18)),VLOOKUP(D18,LIST!$A$6:$L$3250,CURR_1.SEARCH.OLD,0),VLOOKUP(E18,LIST!$B$6:$L$3250,CURR_1.SEARCH.NEW,0)),'DICTIONARY-5'!$A$2)</f>
        <v>315,-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42">
        <v>325</v>
      </c>
      <c r="I18" s="42" t="s">
        <v>391</v>
      </c>
      <c r="J18" s="329" t="s">
        <v>3363</v>
      </c>
      <c r="K18" s="339" t="str">
        <f>IFERROR(IF(OR(J18='DICTIONARY-5'!$A$2,J18='DICTIONARY-5'!$A$4,ISBLANK(J18)),VLOOKUP(I18,LIST!$A$6:$L$3250,CURR_1.SEARCH.OLD,0),VLOOKUP(J18,LIST!$B$6:$L$3250,CURR_1.SEARCH.NEW,0)),'DICTIONARY-5'!$A$2)</f>
        <v>373,-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  <c r="M18" s="32"/>
      <c r="N18" s="167" t="s">
        <v>91</v>
      </c>
      <c r="O18" s="335" t="s">
        <v>2894</v>
      </c>
      <c r="P18" s="339" t="str">
        <f>IFERROR(IF(OR(O18='DICTIONARY-5'!$A$2,O18='DICTIONARY-5'!$A$4,ISBLANK(O18)),VLOOKUP(N18,LIST!$A$6:$L$3250,CURR_1.SEARCH.OLD,0),VLOOKUP(O18,LIST!$B$6:$L$3250,CURR_1.SEARCH.NEW,0)),'DICTIONARY-5'!$A$2)</f>
        <v>20,-</v>
      </c>
      <c r="Q18" s="339" t="str">
        <f>IFERROR(IF(OR(O18='DICTIONARY-5'!$A$2,O18='DICTIONARY-5'!$A$4,ISBLANK(O18)),VLOOKUP(N18,LIST!$A$6:$M$3250,CURR_2.SEARCH.OLD,0),VLOOKUP(O18,LIST!$B$6:$M$3250,CURR_2.SEARCH.NEW,0)),'DICTIONARY-5'!$A$2)</f>
        <v/>
      </c>
    </row>
    <row r="19" spans="1:17" x14ac:dyDescent="0.25">
      <c r="A19" s="42">
        <v>150</v>
      </c>
      <c r="B19" s="42" t="s">
        <v>85</v>
      </c>
      <c r="C19" s="42">
        <v>210</v>
      </c>
      <c r="D19" s="42" t="s">
        <v>392</v>
      </c>
      <c r="E19" s="329" t="s">
        <v>3396</v>
      </c>
      <c r="F19" s="339" t="str">
        <f>IFERROR(IF(OR(E19='DICTIONARY-5'!$A$2,E19='DICTIONARY-5'!$A$4,ISBLANK(E19)),VLOOKUP(D19,LIST!$A$6:$L$3250,CURR_1.SEARCH.OLD,0),VLOOKUP(E19,LIST!$B$6:$L$3250,CURR_1.SEARCH.NEW,0)),'DICTIONARY-5'!$A$2)</f>
        <v>331,-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42">
        <v>350</v>
      </c>
      <c r="I19" s="42" t="s">
        <v>393</v>
      </c>
      <c r="J19" s="329" t="s">
        <v>3365</v>
      </c>
      <c r="K19" s="339" t="str">
        <f>IFERROR(IF(OR(J19='DICTIONARY-5'!$A$2,J19='DICTIONARY-5'!$A$4,ISBLANK(J19)),VLOOKUP(I19,LIST!$A$6:$L$3250,CURR_1.SEARCH.OLD,0),VLOOKUP(J19,LIST!$B$6:$L$3250,CURR_1.SEARCH.NEW,0)),'DICTIONARY-5'!$A$2)</f>
        <v>392,-</v>
      </c>
      <c r="L19" s="339" t="str">
        <f>IFERROR(IF(OR(J19='DICTIONARY-5'!$A$2,J19='DICTIONARY-5'!$A$4,ISBLANK(J19)),VLOOKUP(I19,LIST!$A$6:$M$3250,CURR_2.SEARCH.OLD,0),VLOOKUP(J19,LIST!$B$6:$M$3250,CURR_2.SEARCH.NEW,0)),'DICTIONARY-5'!$A$2)</f>
        <v/>
      </c>
      <c r="M19" s="32"/>
      <c r="N19" s="167" t="s">
        <v>91</v>
      </c>
      <c r="O19" s="335" t="s">
        <v>2894</v>
      </c>
      <c r="P19" s="339" t="str">
        <f>IFERROR(IF(OR(O19='DICTIONARY-5'!$A$2,O19='DICTIONARY-5'!$A$4,ISBLANK(O19)),VLOOKUP(N19,LIST!$A$6:$L$3250,CURR_1.SEARCH.OLD,0),VLOOKUP(O19,LIST!$B$6:$L$3250,CURR_1.SEARCH.NEW,0)),'DICTIONARY-5'!$A$2)</f>
        <v>20,-</v>
      </c>
      <c r="Q19" s="339" t="str">
        <f>IFERROR(IF(OR(O19='DICTIONARY-5'!$A$2,O19='DICTIONARY-5'!$A$4,ISBLANK(O19)),VLOOKUP(N19,LIST!$A$6:$M$3250,CURR_2.SEARCH.OLD,0),VLOOKUP(O19,LIST!$B$6:$M$3250,CURR_2.SEARCH.NEW,0)),'DICTIONARY-5'!$A$2)</f>
        <v/>
      </c>
    </row>
    <row r="20" spans="1:17" x14ac:dyDescent="0.25">
      <c r="A20" s="42">
        <v>200</v>
      </c>
      <c r="B20" s="42">
        <v>10</v>
      </c>
      <c r="C20" s="42">
        <v>230</v>
      </c>
      <c r="D20" s="42" t="s">
        <v>394</v>
      </c>
      <c r="E20" s="329" t="s">
        <v>3334</v>
      </c>
      <c r="F20" s="339" t="str">
        <f>IFERROR(IF(OR(E20='DICTIONARY-5'!$A$2,E20='DICTIONARY-5'!$A$4,ISBLANK(E20)),VLOOKUP(D20,LIST!$A$6:$L$3250,CURR_1.SEARCH.OLD,0),VLOOKUP(E20,LIST!$B$6:$L$3250,CURR_1.SEARCH.NEW,0)),'DICTIONARY-5'!$A$2)</f>
        <v>543,-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42">
        <v>400</v>
      </c>
      <c r="I20" s="42" t="s">
        <v>395</v>
      </c>
      <c r="J20" s="329" t="s">
        <v>3345</v>
      </c>
      <c r="K20" s="339" t="str">
        <f>IFERROR(IF(OR(J20='DICTIONARY-5'!$A$2,J20='DICTIONARY-5'!$A$4,ISBLANK(J20)),VLOOKUP(I20,LIST!$A$6:$L$3250,CURR_1.SEARCH.OLD,0),VLOOKUP(J20,LIST!$B$6:$L$3250,CURR_1.SEARCH.NEW,0)),'DICTIONARY-5'!$A$2)</f>
        <v>645,-</v>
      </c>
      <c r="L20" s="339" t="str">
        <f>IFERROR(IF(OR(J20='DICTIONARY-5'!$A$2,J20='DICTIONARY-5'!$A$4,ISBLANK(J20)),VLOOKUP(I20,LIST!$A$6:$M$3250,CURR_2.SEARCH.OLD,0),VLOOKUP(J20,LIST!$B$6:$M$3250,CURR_2.SEARCH.NEW,0)),'DICTIONARY-5'!$A$2)</f>
        <v/>
      </c>
      <c r="M20" s="32"/>
      <c r="N20" s="167" t="s">
        <v>98</v>
      </c>
      <c r="O20" s="335" t="s">
        <v>2895</v>
      </c>
      <c r="P20" s="339" t="str">
        <f>IFERROR(IF(OR(O20='DICTIONARY-5'!$A$2,O20='DICTIONARY-5'!$A$4,ISBLANK(O20)),VLOOKUP(N20,LIST!$A$6:$L$3250,CURR_1.SEARCH.OLD,0),VLOOKUP(O20,LIST!$B$6:$L$3250,CURR_1.SEARCH.NEW,0)),'DICTIONARY-5'!$A$2)</f>
        <v>35,-</v>
      </c>
      <c r="Q20" s="339" t="str">
        <f>IFERROR(IF(OR(O20='DICTIONARY-5'!$A$2,O20='DICTIONARY-5'!$A$4,ISBLANK(O20)),VLOOKUP(N20,LIST!$A$6:$M$3250,CURR_2.SEARCH.OLD,0),VLOOKUP(O20,LIST!$B$6:$M$3250,CURR_2.SEARCH.NEW,0)),'DICTIONARY-5'!$A$2)</f>
        <v/>
      </c>
    </row>
    <row r="21" spans="1:17" x14ac:dyDescent="0.25">
      <c r="A21" s="42">
        <v>200</v>
      </c>
      <c r="B21" s="42">
        <v>16</v>
      </c>
      <c r="C21" s="42">
        <v>230</v>
      </c>
      <c r="D21" s="42" t="s">
        <v>396</v>
      </c>
      <c r="E21" s="329" t="s">
        <v>3399</v>
      </c>
      <c r="F21" s="339" t="str">
        <f>IFERROR(IF(OR(E21='DICTIONARY-5'!$A$2,E21='DICTIONARY-5'!$A$4,ISBLANK(E21)),VLOOKUP(D21,LIST!$A$6:$L$3250,CURR_1.SEARCH.OLD,0),VLOOKUP(E21,LIST!$B$6:$L$3250,CURR_1.SEARCH.NEW,0)),'DICTIONARY-5'!$A$2)</f>
        <v>545,-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42">
        <v>400</v>
      </c>
      <c r="I21" s="42" t="s">
        <v>397</v>
      </c>
      <c r="J21" s="329" t="s">
        <v>3367</v>
      </c>
      <c r="K21" s="339" t="str">
        <f>IFERROR(IF(OR(J21='DICTIONARY-5'!$A$2,J21='DICTIONARY-5'!$A$4,ISBLANK(J21)),VLOOKUP(I21,LIST!$A$6:$L$3250,CURR_1.SEARCH.OLD,0),VLOOKUP(J21,LIST!$B$6:$L$3250,CURR_1.SEARCH.NEW,0)),'DICTIONARY-5'!$A$2)</f>
        <v>649,-</v>
      </c>
      <c r="L21" s="339" t="str">
        <f>IFERROR(IF(OR(J21='DICTIONARY-5'!$A$2,J21='DICTIONARY-5'!$A$4,ISBLANK(J21)),VLOOKUP(I21,LIST!$A$6:$M$3250,CURR_2.SEARCH.OLD,0),VLOOKUP(J21,LIST!$B$6:$M$3250,CURR_2.SEARCH.NEW,0)),'DICTIONARY-5'!$A$2)</f>
        <v/>
      </c>
      <c r="M21" s="32"/>
      <c r="N21" s="167" t="s">
        <v>98</v>
      </c>
      <c r="O21" s="335" t="s">
        <v>2895</v>
      </c>
      <c r="P21" s="339" t="str">
        <f>IFERROR(IF(OR(O21='DICTIONARY-5'!$A$2,O21='DICTIONARY-5'!$A$4,ISBLANK(O21)),VLOOKUP(N21,LIST!$A$6:$L$3250,CURR_1.SEARCH.OLD,0),VLOOKUP(O21,LIST!$B$6:$L$3250,CURR_1.SEARCH.NEW,0)),'DICTIONARY-5'!$A$2)</f>
        <v>35,-</v>
      </c>
      <c r="Q21" s="339" t="str">
        <f>IFERROR(IF(OR(O21='DICTIONARY-5'!$A$2,O21='DICTIONARY-5'!$A$4,ISBLANK(O21)),VLOOKUP(N21,LIST!$A$6:$M$3250,CURR_2.SEARCH.OLD,0),VLOOKUP(O21,LIST!$B$6:$M$3250,CURR_2.SEARCH.NEW,0)),'DICTIONARY-5'!$A$2)</f>
        <v/>
      </c>
    </row>
    <row r="22" spans="1:17" x14ac:dyDescent="0.25">
      <c r="A22" s="42">
        <v>250</v>
      </c>
      <c r="B22" s="42">
        <v>10</v>
      </c>
      <c r="C22" s="42">
        <v>250</v>
      </c>
      <c r="D22" s="42" t="s">
        <v>398</v>
      </c>
      <c r="E22" s="329" t="s">
        <v>3336</v>
      </c>
      <c r="F22" s="339" t="str">
        <f>IFERROR(IF(OR(E22='DICTIONARY-5'!$A$2,E22='DICTIONARY-5'!$A$4,ISBLANK(E22)),VLOOKUP(D22,LIST!$A$6:$L$3250,CURR_1.SEARCH.OLD,0),VLOOKUP(E22,LIST!$B$6:$L$3250,CURR_1.SEARCH.NEW,0)),'DICTIONARY-5'!$A$2)</f>
        <v>846,-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42">
        <v>450</v>
      </c>
      <c r="I22" s="42" t="s">
        <v>399</v>
      </c>
      <c r="J22" s="329" t="s">
        <v>3347</v>
      </c>
      <c r="K22" s="339" t="str">
        <f>IFERROR(IF(OR(J22='DICTIONARY-5'!$A$2,J22='DICTIONARY-5'!$A$4,ISBLANK(J22)),VLOOKUP(I22,LIST!$A$6:$L$3250,CURR_1.SEARCH.OLD,0),VLOOKUP(J22,LIST!$B$6:$L$3250,CURR_1.SEARCH.NEW,0)),'DICTIONARY-5'!$A$2)</f>
        <v>1 213,-</v>
      </c>
      <c r="L22" s="339" t="str">
        <f>IFERROR(IF(OR(J22='DICTIONARY-5'!$A$2,J22='DICTIONARY-5'!$A$4,ISBLANK(J22)),VLOOKUP(I22,LIST!$A$6:$M$3250,CURR_2.SEARCH.OLD,0),VLOOKUP(J22,LIST!$B$6:$M$3250,CURR_2.SEARCH.NEW,0)),'DICTIONARY-5'!$A$2)</f>
        <v/>
      </c>
      <c r="M22" s="32"/>
      <c r="N22" s="167" t="s">
        <v>102</v>
      </c>
      <c r="O22" s="335" t="s">
        <v>2896</v>
      </c>
      <c r="P22" s="339" t="str">
        <f>IFERROR(IF(OR(O22='DICTIONARY-5'!$A$2,O22='DICTIONARY-5'!$A$4,ISBLANK(O22)),VLOOKUP(N22,LIST!$A$6:$L$3250,CURR_1.SEARCH.OLD,0),VLOOKUP(O22,LIST!$B$6:$L$3250,CURR_1.SEARCH.NEW,0)),'DICTIONARY-5'!$A$2)</f>
        <v>54,-</v>
      </c>
      <c r="Q22" s="339" t="str">
        <f>IFERROR(IF(OR(O22='DICTIONARY-5'!$A$2,O22='DICTIONARY-5'!$A$4,ISBLANK(O22)),VLOOKUP(N22,LIST!$A$6:$M$3250,CURR_2.SEARCH.OLD,0),VLOOKUP(O22,LIST!$B$6:$M$3250,CURR_2.SEARCH.NEW,0)),'DICTIONARY-5'!$A$2)</f>
        <v/>
      </c>
    </row>
    <row r="23" spans="1:17" x14ac:dyDescent="0.25">
      <c r="A23" s="42">
        <v>250</v>
      </c>
      <c r="B23" s="42">
        <v>16</v>
      </c>
      <c r="C23" s="42">
        <v>250</v>
      </c>
      <c r="D23" s="42" t="s">
        <v>400</v>
      </c>
      <c r="E23" s="329" t="s">
        <v>3402</v>
      </c>
      <c r="F23" s="339" t="str">
        <f>IFERROR(IF(OR(E23='DICTIONARY-5'!$A$2,E23='DICTIONARY-5'!$A$4,ISBLANK(E23)),VLOOKUP(D23,LIST!$A$6:$L$3250,CURR_1.SEARCH.OLD,0),VLOOKUP(E23,LIST!$B$6:$L$3250,CURR_1.SEARCH.NEW,0)),'DICTIONARY-5'!$A$2)</f>
        <v>847,-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42">
        <v>450</v>
      </c>
      <c r="I23" s="42" t="s">
        <v>401</v>
      </c>
      <c r="J23" s="329" t="s">
        <v>3369</v>
      </c>
      <c r="K23" s="339" t="str">
        <f>IFERROR(IF(OR(J23='DICTIONARY-5'!$A$2,J23='DICTIONARY-5'!$A$4,ISBLANK(J23)),VLOOKUP(I23,LIST!$A$6:$L$3250,CURR_1.SEARCH.OLD,0),VLOOKUP(J23,LIST!$B$6:$L$3250,CURR_1.SEARCH.NEW,0)),'DICTIONARY-5'!$A$2)</f>
        <v>1 223,-</v>
      </c>
      <c r="L23" s="339" t="str">
        <f>IFERROR(IF(OR(J23='DICTIONARY-5'!$A$2,J23='DICTIONARY-5'!$A$4,ISBLANK(J23)),VLOOKUP(I23,LIST!$A$6:$M$3250,CURR_2.SEARCH.OLD,0),VLOOKUP(J23,LIST!$B$6:$M$3250,CURR_2.SEARCH.NEW,0)),'DICTIONARY-5'!$A$2)</f>
        <v/>
      </c>
      <c r="M23" s="32"/>
      <c r="N23" s="167" t="s">
        <v>102</v>
      </c>
      <c r="O23" s="335" t="s">
        <v>2896</v>
      </c>
      <c r="P23" s="339" t="str">
        <f>IFERROR(IF(OR(O23='DICTIONARY-5'!$A$2,O23='DICTIONARY-5'!$A$4,ISBLANK(O23)),VLOOKUP(N23,LIST!$A$6:$L$3250,CURR_1.SEARCH.OLD,0),VLOOKUP(O23,LIST!$B$6:$L$3250,CURR_1.SEARCH.NEW,0)),'DICTIONARY-5'!$A$2)</f>
        <v>54,-</v>
      </c>
      <c r="Q23" s="339" t="str">
        <f>IFERROR(IF(OR(O23='DICTIONARY-5'!$A$2,O23='DICTIONARY-5'!$A$4,ISBLANK(O23)),VLOOKUP(N23,LIST!$A$6:$M$3250,CURR_2.SEARCH.OLD,0),VLOOKUP(O23,LIST!$B$6:$M$3250,CURR_2.SEARCH.NEW,0)),'DICTIONARY-5'!$A$2)</f>
        <v/>
      </c>
    </row>
    <row r="24" spans="1:17" x14ac:dyDescent="0.25">
      <c r="A24" s="42">
        <v>300</v>
      </c>
      <c r="B24" s="42">
        <v>10</v>
      </c>
      <c r="C24" s="42">
        <v>270</v>
      </c>
      <c r="D24" s="42" t="s">
        <v>402</v>
      </c>
      <c r="E24" s="329" t="s">
        <v>3339</v>
      </c>
      <c r="F24" s="339" t="str">
        <f>IFERROR(IF(OR(E24='DICTIONARY-5'!$A$2,E24='DICTIONARY-5'!$A$4,ISBLANK(E24)),VLOOKUP(D24,LIST!$A$6:$L$3250,CURR_1.SEARCH.OLD,0),VLOOKUP(E24,LIST!$B$6:$L$3250,CURR_1.SEARCH.NEW,0)),'DICTIONARY-5'!$A$2)</f>
        <v>1 001,-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42">
        <v>500</v>
      </c>
      <c r="I24" s="42" t="s">
        <v>403</v>
      </c>
      <c r="J24" s="329" t="s">
        <v>3349</v>
      </c>
      <c r="K24" s="339" t="str">
        <f>IFERROR(IF(OR(J24='DICTIONARY-5'!$A$2,J24='DICTIONARY-5'!$A$4,ISBLANK(J24)),VLOOKUP(I24,LIST!$A$6:$L$3250,CURR_1.SEARCH.OLD,0),VLOOKUP(J24,LIST!$B$6:$L$3250,CURR_1.SEARCH.NEW,0)),'DICTIONARY-5'!$A$2)</f>
        <v>1 487,-</v>
      </c>
      <c r="L24" s="339" t="str">
        <f>IFERROR(IF(OR(J24='DICTIONARY-5'!$A$2,J24='DICTIONARY-5'!$A$4,ISBLANK(J24)),VLOOKUP(I24,LIST!$A$6:$M$3250,CURR_2.SEARCH.OLD,0),VLOOKUP(J24,LIST!$B$6:$M$3250,CURR_2.SEARCH.NEW,0)),'DICTIONARY-5'!$A$2)</f>
        <v/>
      </c>
      <c r="M24" s="32"/>
      <c r="N24" s="167" t="s">
        <v>102</v>
      </c>
      <c r="O24" s="335" t="s">
        <v>2896</v>
      </c>
      <c r="P24" s="339" t="str">
        <f>IFERROR(IF(OR(O24='DICTIONARY-5'!$A$2,O24='DICTIONARY-5'!$A$4,ISBLANK(O24)),VLOOKUP(N24,LIST!$A$6:$L$3250,CURR_1.SEARCH.OLD,0),VLOOKUP(O24,LIST!$B$6:$L$3250,CURR_1.SEARCH.NEW,0)),'DICTIONARY-5'!$A$2)</f>
        <v>54,-</v>
      </c>
      <c r="Q24" s="339" t="str">
        <f>IFERROR(IF(OR(O24='DICTIONARY-5'!$A$2,O24='DICTIONARY-5'!$A$4,ISBLANK(O24)),VLOOKUP(N24,LIST!$A$6:$M$3250,CURR_2.SEARCH.OLD,0),VLOOKUP(O24,LIST!$B$6:$M$3250,CURR_2.SEARCH.NEW,0)),'DICTIONARY-5'!$A$2)</f>
        <v/>
      </c>
    </row>
    <row r="25" spans="1:17" x14ac:dyDescent="0.25">
      <c r="A25" s="42">
        <v>300</v>
      </c>
      <c r="B25" s="42">
        <v>16</v>
      </c>
      <c r="C25" s="42">
        <v>270</v>
      </c>
      <c r="D25" s="42" t="s">
        <v>404</v>
      </c>
      <c r="E25" s="329" t="s">
        <v>3406</v>
      </c>
      <c r="F25" s="339" t="str">
        <f>IFERROR(IF(OR(E25='DICTIONARY-5'!$A$2,E25='DICTIONARY-5'!$A$4,ISBLANK(E25)),VLOOKUP(D25,LIST!$A$6:$L$3250,CURR_1.SEARCH.OLD,0),VLOOKUP(E25,LIST!$B$6:$L$3250,CURR_1.SEARCH.NEW,0)),'DICTIONARY-5'!$A$2)</f>
        <v>989,-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42">
        <v>500</v>
      </c>
      <c r="I25" s="42" t="s">
        <v>405</v>
      </c>
      <c r="J25" s="329" t="s">
        <v>3371</v>
      </c>
      <c r="K25" s="339" t="str">
        <f>IFERROR(IF(OR(J25='DICTIONARY-5'!$A$2,J25='DICTIONARY-5'!$A$4,ISBLANK(J25)),VLOOKUP(I25,LIST!$A$6:$L$3250,CURR_1.SEARCH.OLD,0),VLOOKUP(J25,LIST!$B$6:$L$3250,CURR_1.SEARCH.NEW,0)),'DICTIONARY-5'!$A$2)</f>
        <v>1 487,-</v>
      </c>
      <c r="L25" s="339" t="str">
        <f>IFERROR(IF(OR(J25='DICTIONARY-5'!$A$2,J25='DICTIONARY-5'!$A$4,ISBLANK(J25)),VLOOKUP(I25,LIST!$A$6:$M$3250,CURR_2.SEARCH.OLD,0),VLOOKUP(J25,LIST!$B$6:$M$3250,CURR_2.SEARCH.NEW,0)),'DICTIONARY-5'!$A$2)</f>
        <v/>
      </c>
      <c r="M25" s="32"/>
      <c r="N25" s="167" t="s">
        <v>102</v>
      </c>
      <c r="O25" s="335" t="s">
        <v>2896</v>
      </c>
      <c r="P25" s="339" t="str">
        <f>IFERROR(IF(OR(O25='DICTIONARY-5'!$A$2,O25='DICTIONARY-5'!$A$4,ISBLANK(O25)),VLOOKUP(N25,LIST!$A$6:$L$3250,CURR_1.SEARCH.OLD,0),VLOOKUP(O25,LIST!$B$6:$L$3250,CURR_1.SEARCH.NEW,0)),'DICTIONARY-5'!$A$2)</f>
        <v>54,-</v>
      </c>
      <c r="Q25" s="339" t="str">
        <f>IFERROR(IF(OR(O25='DICTIONARY-5'!$A$2,O25='DICTIONARY-5'!$A$4,ISBLANK(O25)),VLOOKUP(N25,LIST!$A$6:$M$3250,CURR_2.SEARCH.OLD,0),VLOOKUP(O25,LIST!$B$6:$M$3250,CURR_2.SEARCH.NEW,0)),'DICTIONARY-5'!$A$2)</f>
        <v/>
      </c>
    </row>
    <row r="26" spans="1:17" x14ac:dyDescent="0.25">
      <c r="A26" s="42">
        <v>350</v>
      </c>
      <c r="B26" s="42">
        <v>10</v>
      </c>
      <c r="C26" s="42">
        <v>290</v>
      </c>
      <c r="D26" s="42" t="s">
        <v>7864</v>
      </c>
      <c r="E26" s="329" t="s">
        <v>7865</v>
      </c>
      <c r="F26" s="339" t="str">
        <f>IFERROR(IF(OR(E26='DICTIONARY-5'!$A$2,E26='DICTIONARY-5'!$A$4,ISBLANK(E26)),VLOOKUP(D26,LIST!$A$6:$L$3250,CURR_1.SEARCH.OLD,0),VLOOKUP(E26,LIST!$B$6:$L$3250,CURR_1.SEARCH.NEW,0)),'DICTIONARY-5'!$A$2)</f>
        <v>2 347,-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42">
        <v>550</v>
      </c>
      <c r="I26" s="42" t="s">
        <v>7874</v>
      </c>
      <c r="J26" s="329" t="s">
        <v>7875</v>
      </c>
      <c r="K26" s="339" t="str">
        <f>IFERROR(IF(OR(J26='DICTIONARY-5'!$A$2,J26='DICTIONARY-5'!$A$4,ISBLANK(J26)),VLOOKUP(I26,LIST!$A$6:$L$3250,CURR_1.SEARCH.OLD,0),VLOOKUP(J26,LIST!$B$6:$L$3250,CURR_1.SEARCH.NEW,0)),'DICTIONARY-5'!$A$2)</f>
        <v>2 573,-</v>
      </c>
      <c r="L26" s="339" t="str">
        <f>IFERROR(IF(OR(J26='DICTIONARY-5'!$A$2,J26='DICTIONARY-5'!$A$4,ISBLANK(J26)),VLOOKUP(I26,LIST!$A$6:$M$3250,CURR_2.SEARCH.OLD,0),VLOOKUP(J26,LIST!$B$6:$M$3250,CURR_2.SEARCH.NEW,0)),'DICTIONARY-5'!$A$2)</f>
        <v/>
      </c>
      <c r="M26" s="32"/>
      <c r="N26" s="167" t="s">
        <v>102</v>
      </c>
      <c r="O26" s="335" t="s">
        <v>2896</v>
      </c>
      <c r="P26" s="339" t="str">
        <f>IFERROR(IF(OR(O26='DICTIONARY-5'!$A$2,O26='DICTIONARY-5'!$A$4,ISBLANK(O26)),VLOOKUP(N26,LIST!$A$6:$L$3250,CURR_1.SEARCH.OLD,0),VLOOKUP(O26,LIST!$B$6:$L$3250,CURR_1.SEARCH.NEW,0)),'DICTIONARY-5'!$A$2)</f>
        <v>54,-</v>
      </c>
      <c r="Q26" s="339" t="str">
        <f>IFERROR(IF(OR(O26='DICTIONARY-5'!$A$2,O26='DICTIONARY-5'!$A$4,ISBLANK(O26)),VLOOKUP(N26,LIST!$A$6:$M$3250,CURR_2.SEARCH.OLD,0),VLOOKUP(O26,LIST!$B$6:$M$3250,CURR_2.SEARCH.NEW,0)),'DICTIONARY-5'!$A$2)</f>
        <v/>
      </c>
    </row>
    <row r="27" spans="1:17" x14ac:dyDescent="0.25">
      <c r="A27" s="42">
        <v>350</v>
      </c>
      <c r="B27" s="42">
        <v>16</v>
      </c>
      <c r="C27" s="42">
        <v>290</v>
      </c>
      <c r="D27" s="42" t="s">
        <v>7866</v>
      </c>
      <c r="E27" s="329" t="s">
        <v>7867</v>
      </c>
      <c r="F27" s="339" t="str">
        <f>IFERROR(IF(OR(E27='DICTIONARY-5'!$A$2,E27='DICTIONARY-5'!$A$4,ISBLANK(E27)),VLOOKUP(D27,LIST!$A$6:$L$3250,CURR_1.SEARCH.OLD,0),VLOOKUP(E27,LIST!$B$6:$L$3250,CURR_1.SEARCH.NEW,0)),'DICTIONARY-5'!$A$2)</f>
        <v>2 273,-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H27" s="42">
        <v>550</v>
      </c>
      <c r="I27" s="42" t="s">
        <v>7876</v>
      </c>
      <c r="J27" s="329" t="s">
        <v>7877</v>
      </c>
      <c r="K27" s="339" t="str">
        <f>IFERROR(IF(OR(J27='DICTIONARY-5'!$A$2,J27='DICTIONARY-5'!$A$4,ISBLANK(J27)),VLOOKUP(I27,LIST!$A$6:$L$3250,CURR_1.SEARCH.OLD,0),VLOOKUP(J27,LIST!$B$6:$L$3250,CURR_1.SEARCH.NEW,0)),'DICTIONARY-5'!$A$2)</f>
        <v>2 586,-</v>
      </c>
      <c r="L27" s="339" t="str">
        <f>IFERROR(IF(OR(J27='DICTIONARY-5'!$A$2,J27='DICTIONARY-5'!$A$4,ISBLANK(J27)),VLOOKUP(I27,LIST!$A$6:$M$3250,CURR_2.SEARCH.OLD,0),VLOOKUP(J27,LIST!$B$6:$M$3250,CURR_2.SEARCH.NEW,0)),'DICTIONARY-5'!$A$2)</f>
        <v/>
      </c>
      <c r="M27" s="32"/>
      <c r="N27" s="167" t="s">
        <v>102</v>
      </c>
      <c r="O27" s="335" t="s">
        <v>2896</v>
      </c>
      <c r="P27" s="339" t="str">
        <f>IFERROR(IF(OR(O27='DICTIONARY-5'!$A$2,O27='DICTIONARY-5'!$A$4,ISBLANK(O27)),VLOOKUP(N27,LIST!$A$6:$L$3250,CURR_1.SEARCH.OLD,0),VLOOKUP(O27,LIST!$B$6:$L$3250,CURR_1.SEARCH.NEW,0)),'DICTIONARY-5'!$A$2)</f>
        <v>54,-</v>
      </c>
      <c r="Q27" s="339" t="str">
        <f>IFERROR(IF(OR(O27='DICTIONARY-5'!$A$2,O27='DICTIONARY-5'!$A$4,ISBLANK(O27)),VLOOKUP(N27,LIST!$A$6:$M$3250,CURR_2.SEARCH.OLD,0),VLOOKUP(O27,LIST!$B$6:$M$3250,CURR_2.SEARCH.NEW,0)),'DICTIONARY-5'!$A$2)</f>
        <v/>
      </c>
    </row>
    <row r="28" spans="1:17" x14ac:dyDescent="0.25">
      <c r="A28" s="42">
        <v>400</v>
      </c>
      <c r="B28" s="42">
        <v>10</v>
      </c>
      <c r="C28" s="42">
        <v>310</v>
      </c>
      <c r="D28" s="42" t="s">
        <v>406</v>
      </c>
      <c r="E28" s="329" t="s">
        <v>3011</v>
      </c>
      <c r="F28" s="339" t="str">
        <f>IFERROR(IF(OR(E28='DICTIONARY-5'!$A$2,E28='DICTIONARY-5'!$A$4,ISBLANK(E28)),VLOOKUP(D28,LIST!$A$6:$L$3250,CURR_1.SEARCH.OLD,0),VLOOKUP(E28,LIST!$B$6:$L$3250,CURR_1.SEARCH.NEW,0)),'DICTIONARY-5'!$A$2)</f>
        <v>3 072,-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42">
        <v>600</v>
      </c>
      <c r="I28" s="42" t="s">
        <v>7878</v>
      </c>
      <c r="J28" s="329" t="s">
        <v>7879</v>
      </c>
      <c r="K28" s="339" t="str">
        <f>IFERROR(IF(OR(J28='DICTIONARY-5'!$A$2,J28='DICTIONARY-5'!$A$4,ISBLANK(J28)),VLOOKUP(I28,LIST!$A$6:$L$3250,CURR_1.SEARCH.OLD,0),VLOOKUP(J28,LIST!$B$6:$L$3250,CURR_1.SEARCH.NEW,0)),'DICTIONARY-5'!$A$2)</f>
        <v>3 338,-</v>
      </c>
      <c r="L28" s="339" t="str">
        <f>IFERROR(IF(OR(J28='DICTIONARY-5'!$A$2,J28='DICTIONARY-5'!$A$4,ISBLANK(J28)),VLOOKUP(I28,LIST!$A$6:$M$3250,CURR_2.SEARCH.OLD,0),VLOOKUP(J28,LIST!$B$6:$M$3250,CURR_2.SEARCH.NEW,0)),'DICTIONARY-5'!$A$2)</f>
        <v/>
      </c>
      <c r="M28" s="32"/>
      <c r="N28" s="167" t="s">
        <v>142</v>
      </c>
      <c r="O28" s="335" t="s">
        <v>2897</v>
      </c>
      <c r="P28" s="339" t="str">
        <f>IFERROR(IF(OR(O28='DICTIONARY-5'!$A$2,O28='DICTIONARY-5'!$A$4,ISBLANK(O28)),VLOOKUP(N28,LIST!$A$6:$L$3250,CURR_1.SEARCH.OLD,0),VLOOKUP(O28,LIST!$B$6:$L$3250,CURR_1.SEARCH.NEW,0)),'DICTIONARY-5'!$A$2)</f>
        <v>99,-</v>
      </c>
      <c r="Q28" s="339" t="str">
        <f>IFERROR(IF(OR(O28='DICTIONARY-5'!$A$2,O28='DICTIONARY-5'!$A$4,ISBLANK(O28)),VLOOKUP(N28,LIST!$A$6:$M$3250,CURR_2.SEARCH.OLD,0),VLOOKUP(O28,LIST!$B$6:$M$3250,CURR_2.SEARCH.NEW,0)),'DICTIONARY-5'!$A$2)</f>
        <v/>
      </c>
    </row>
    <row r="29" spans="1:17" x14ac:dyDescent="0.25">
      <c r="A29" s="42">
        <v>400</v>
      </c>
      <c r="B29" s="42">
        <v>16</v>
      </c>
      <c r="C29" s="42">
        <v>310</v>
      </c>
      <c r="D29" s="42" t="s">
        <v>7868</v>
      </c>
      <c r="E29" s="329" t="s">
        <v>7869</v>
      </c>
      <c r="F29" s="339" t="str">
        <f>IFERROR(IF(OR(E29='DICTIONARY-5'!$A$2,E29='DICTIONARY-5'!$A$4,ISBLANK(E29)),VLOOKUP(D29,LIST!$A$6:$L$3250,CURR_1.SEARCH.OLD,0),VLOOKUP(E29,LIST!$B$6:$L$3250,CURR_1.SEARCH.NEW,0)),'DICTIONARY-5'!$A$2)</f>
        <v>3 080,-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H29" s="42">
        <v>600</v>
      </c>
      <c r="I29" s="42" t="s">
        <v>7880</v>
      </c>
      <c r="J29" s="329" t="s">
        <v>7881</v>
      </c>
      <c r="K29" s="339" t="str">
        <f>IFERROR(IF(OR(J29='DICTIONARY-5'!$A$2,J29='DICTIONARY-5'!$A$4,ISBLANK(J29)),VLOOKUP(I29,LIST!$A$6:$L$3250,CURR_1.SEARCH.OLD,0),VLOOKUP(J29,LIST!$B$6:$L$3250,CURR_1.SEARCH.NEW,0)),'DICTIONARY-5'!$A$2)</f>
        <v>3 223,-</v>
      </c>
      <c r="L29" s="339" t="str">
        <f>IFERROR(IF(OR(J29='DICTIONARY-5'!$A$2,J29='DICTIONARY-5'!$A$4,ISBLANK(J29)),VLOOKUP(I29,LIST!$A$6:$M$3250,CURR_2.SEARCH.OLD,0),VLOOKUP(J29,LIST!$B$6:$M$3250,CURR_2.SEARCH.NEW,0)),'DICTIONARY-5'!$A$2)</f>
        <v/>
      </c>
      <c r="M29" s="32"/>
      <c r="N29" s="167" t="s">
        <v>142</v>
      </c>
      <c r="O29" s="335" t="s">
        <v>2897</v>
      </c>
      <c r="P29" s="339" t="str">
        <f>IFERROR(IF(OR(O29='DICTIONARY-5'!$A$2,O29='DICTIONARY-5'!$A$4,ISBLANK(O29)),VLOOKUP(N29,LIST!$A$6:$L$3250,CURR_1.SEARCH.OLD,0),VLOOKUP(O29,LIST!$B$6:$L$3250,CURR_1.SEARCH.NEW,0)),'DICTIONARY-5'!$A$2)</f>
        <v>99,-</v>
      </c>
      <c r="Q29" s="339" t="str">
        <f>IFERROR(IF(OR(O29='DICTIONARY-5'!$A$2,O29='DICTIONARY-5'!$A$4,ISBLANK(O29)),VLOOKUP(N29,LIST!$A$6:$M$3250,CURR_2.SEARCH.OLD,0),VLOOKUP(O29,LIST!$B$6:$M$3250,CURR_2.SEARCH.NEW,0)),'DICTIONARY-5'!$A$2)</f>
        <v/>
      </c>
    </row>
    <row r="30" spans="1:17" x14ac:dyDescent="0.25">
      <c r="A30" s="42">
        <v>500</v>
      </c>
      <c r="B30" s="42">
        <v>10</v>
      </c>
      <c r="C30" s="42">
        <v>350</v>
      </c>
      <c r="D30" s="42" t="s">
        <v>7870</v>
      </c>
      <c r="E30" s="329" t="s">
        <v>7871</v>
      </c>
      <c r="F30" s="339" t="str">
        <f>IFERROR(IF(OR(E30='DICTIONARY-5'!$A$2,E30='DICTIONARY-5'!$A$4,ISBLANK(E30)),VLOOKUP(D30,LIST!$A$6:$L$3250,CURR_1.SEARCH.OLD,0),VLOOKUP(E30,LIST!$B$6:$L$3250,CURR_1.SEARCH.NEW,0)),'DICTIONARY-5'!$A$2)</f>
        <v>5 238,-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H30" s="42">
        <v>700</v>
      </c>
      <c r="I30" s="42" t="s">
        <v>7882</v>
      </c>
      <c r="J30" s="329" t="s">
        <v>7883</v>
      </c>
      <c r="K30" s="339" t="str">
        <f>IFERROR(IF(OR(J30='DICTIONARY-5'!$A$2,J30='DICTIONARY-5'!$A$4,ISBLANK(J30)),VLOOKUP(I30,LIST!$A$6:$L$3250,CURR_1.SEARCH.OLD,0),VLOOKUP(J30,LIST!$B$6:$L$3250,CURR_1.SEARCH.NEW,0)),'DICTIONARY-5'!$A$2)</f>
        <v>5 523,-</v>
      </c>
      <c r="L30" s="339" t="str">
        <f>IFERROR(IF(OR(J30='DICTIONARY-5'!$A$2,J30='DICTIONARY-5'!$A$4,ISBLANK(J30)),VLOOKUP(I30,LIST!$A$6:$M$3250,CURR_2.SEARCH.OLD,0),VLOOKUP(J30,LIST!$B$6:$M$3250,CURR_2.SEARCH.NEW,0)),'DICTIONARY-5'!$A$2)</f>
        <v/>
      </c>
      <c r="M30" s="32"/>
      <c r="N30" s="167" t="s">
        <v>142</v>
      </c>
      <c r="O30" s="335" t="s">
        <v>2897</v>
      </c>
      <c r="P30" s="339" t="str">
        <f>IFERROR(IF(OR(O30='DICTIONARY-5'!$A$2,O30='DICTIONARY-5'!$A$4,ISBLANK(O30)),VLOOKUP(N30,LIST!$A$6:$L$3250,CURR_1.SEARCH.OLD,0),VLOOKUP(O30,LIST!$B$6:$L$3250,CURR_1.SEARCH.NEW,0)),'DICTIONARY-5'!$A$2)</f>
        <v>99,-</v>
      </c>
      <c r="Q30" s="339" t="str">
        <f>IFERROR(IF(OR(O30='DICTIONARY-5'!$A$2,O30='DICTIONARY-5'!$A$4,ISBLANK(O30)),VLOOKUP(N30,LIST!$A$6:$M$3250,CURR_2.SEARCH.OLD,0),VLOOKUP(O30,LIST!$B$6:$M$3250,CURR_2.SEARCH.NEW,0)),'DICTIONARY-5'!$A$2)</f>
        <v/>
      </c>
    </row>
    <row r="31" spans="1:17" x14ac:dyDescent="0.25">
      <c r="A31" s="42">
        <v>500</v>
      </c>
      <c r="B31" s="42">
        <v>16</v>
      </c>
      <c r="C31" s="42">
        <v>350</v>
      </c>
      <c r="D31" s="42" t="s">
        <v>7872</v>
      </c>
      <c r="E31" s="329" t="s">
        <v>7873</v>
      </c>
      <c r="F31" s="339" t="str">
        <f>IFERROR(IF(OR(E31='DICTIONARY-5'!$A$2,E31='DICTIONARY-5'!$A$4,ISBLANK(E31)),VLOOKUP(D31,LIST!$A$6:$L$3250,CURR_1.SEARCH.OLD,0),VLOOKUP(E31,LIST!$B$6:$L$3250,CURR_1.SEARCH.NEW,0)),'DICTIONARY-5'!$A$2)</f>
        <v>5 160,-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42">
        <v>700</v>
      </c>
      <c r="I31" s="42" t="s">
        <v>7884</v>
      </c>
      <c r="J31" s="329" t="s">
        <v>7885</v>
      </c>
      <c r="K31" s="339" t="str">
        <f>IFERROR(IF(OR(J31='DICTIONARY-5'!$A$2,J31='DICTIONARY-5'!$A$4,ISBLANK(J31)),VLOOKUP(I31,LIST!$A$6:$L$3250,CURR_1.SEARCH.OLD,0),VLOOKUP(J31,LIST!$B$6:$L$3250,CURR_1.SEARCH.NEW,0)),'DICTIONARY-5'!$A$2)</f>
        <v>6 486,-</v>
      </c>
      <c r="L31" s="339" t="str">
        <f>IFERROR(IF(OR(J31='DICTIONARY-5'!$A$2,J31='DICTIONARY-5'!$A$4,ISBLANK(J31)),VLOOKUP(I31,LIST!$A$6:$M$3250,CURR_2.SEARCH.OLD,0),VLOOKUP(J31,LIST!$B$6:$M$3250,CURR_2.SEARCH.NEW,0)),'DICTIONARY-5'!$A$2)</f>
        <v/>
      </c>
      <c r="M31" s="32"/>
      <c r="N31" s="167" t="s">
        <v>142</v>
      </c>
      <c r="O31" s="335" t="s">
        <v>2897</v>
      </c>
      <c r="P31" s="339" t="str">
        <f>IFERROR(IF(OR(O31='DICTIONARY-5'!$A$2,O31='DICTIONARY-5'!$A$4,ISBLANK(O31)),VLOOKUP(N31,LIST!$A$6:$L$3250,CURR_1.SEARCH.OLD,0),VLOOKUP(O31,LIST!$B$6:$L$3250,CURR_1.SEARCH.NEW,0)),'DICTIONARY-5'!$A$2)</f>
        <v>99,-</v>
      </c>
      <c r="Q31" s="339" t="str">
        <f>IFERROR(IF(OR(O31='DICTIONARY-5'!$A$2,O31='DICTIONARY-5'!$A$4,ISBLANK(O31)),VLOOKUP(N31,LIST!$A$6:$M$3250,CURR_2.SEARCH.OLD,0),VLOOKUP(O31,LIST!$B$6:$M$3250,CURR_2.SEARCH.NEW,0)),'DICTIONARY-5'!$A$2)</f>
        <v/>
      </c>
    </row>
    <row r="32" spans="1:17" x14ac:dyDescent="0.25">
      <c r="A32" s="42" t="s">
        <v>214</v>
      </c>
      <c r="B32" s="42"/>
      <c r="C32" s="42"/>
      <c r="D32" s="42"/>
      <c r="F32" s="45"/>
      <c r="G32" s="45"/>
      <c r="H32" s="42">
        <v>800</v>
      </c>
      <c r="I32" s="42" t="s">
        <v>7886</v>
      </c>
      <c r="J32" s="330" t="s">
        <v>7887</v>
      </c>
      <c r="K32" s="339" t="str">
        <f>IFERROR(IF(OR(J32='DICTIONARY-5'!$A$2,J32='DICTIONARY-5'!$A$4,ISBLANK(J32)),VLOOKUP(I32,LIST!$A$6:$L$3250,CURR_1.SEARCH.OLD,0),VLOOKUP(J32,LIST!$B$6:$L$3250,CURR_1.SEARCH.NEW,0)),'DICTIONARY-5'!$A$2)</f>
        <v>5 731,-</v>
      </c>
      <c r="L32" s="339" t="str">
        <f>IFERROR(IF(OR(J32='DICTIONARY-5'!$A$2,J32='DICTIONARY-5'!$A$4,ISBLANK(J32)),VLOOKUP(I32,LIST!$A$6:$M$3250,CURR_2.SEARCH.OLD,0),VLOOKUP(J32,LIST!$B$6:$M$3250,CURR_2.SEARCH.NEW,0)),'DICTIONARY-5'!$A$2)</f>
        <v/>
      </c>
      <c r="M32" s="32"/>
      <c r="N32" s="167" t="s">
        <v>142</v>
      </c>
      <c r="O32" s="335" t="s">
        <v>2897</v>
      </c>
      <c r="P32" s="339" t="str">
        <f>IFERROR(IF(OR(O32='DICTIONARY-5'!$A$2,O32='DICTIONARY-5'!$A$4,ISBLANK(O32)),VLOOKUP(N32,LIST!$A$6:$L$3250,CURR_1.SEARCH.OLD,0),VLOOKUP(O32,LIST!$B$6:$L$3250,CURR_1.SEARCH.NEW,0)),'DICTIONARY-5'!$A$2)</f>
        <v>99,-</v>
      </c>
      <c r="Q32" s="339" t="str">
        <f>IFERROR(IF(OR(O32='DICTIONARY-5'!$A$2,O32='DICTIONARY-5'!$A$4,ISBLANK(O32)),VLOOKUP(N32,LIST!$A$6:$M$3250,CURR_2.SEARCH.OLD,0),VLOOKUP(O32,LIST!$B$6:$M$3250,CURR_2.SEARCH.NEW,0)),'DICTIONARY-5'!$A$2)</f>
        <v/>
      </c>
    </row>
    <row r="33" spans="1:17" x14ac:dyDescent="0.25">
      <c r="A33" s="42">
        <v>600</v>
      </c>
      <c r="B33" s="42">
        <v>10</v>
      </c>
      <c r="C33" s="42">
        <v>390</v>
      </c>
      <c r="D33" s="42" t="s">
        <v>407</v>
      </c>
      <c r="E33" s="329" t="s">
        <v>3344</v>
      </c>
      <c r="F33" s="339" t="str">
        <f>IFERROR(IF(OR(E33='DICTIONARY-5'!$A$2,E33='DICTIONARY-5'!$A$4,ISBLANK(E33)),VLOOKUP(D33,LIST!$A$6:$L$3250,CURR_1.SEARCH.OLD,0),VLOOKUP(E33,LIST!$B$6:$L$3250,CURR_1.SEARCH.NEW,0)),'DICTIONARY-5'!$A$2)</f>
        <v>8 429,-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H33" s="42"/>
      <c r="I33" s="42"/>
      <c r="J33" s="42"/>
      <c r="K33" s="45"/>
      <c r="L33" s="45"/>
      <c r="M33" s="32"/>
      <c r="N33" s="167" t="s">
        <v>153</v>
      </c>
      <c r="O33" s="335" t="s">
        <v>2898</v>
      </c>
      <c r="P33" s="339" t="str">
        <f>IFERROR(IF(OR(O33='DICTIONARY-5'!$A$2,O33='DICTIONARY-5'!$A$4,ISBLANK(O33)),VLOOKUP(N33,LIST!$A$6:$L$3250,CURR_1.SEARCH.OLD,0),VLOOKUP(O33,LIST!$B$6:$L$3250,CURR_1.SEARCH.NEW,0)),'DICTIONARY-5'!$A$2)</f>
        <v>144,-</v>
      </c>
      <c r="Q33" s="339" t="str">
        <f>IFERROR(IF(OR(O33='DICTIONARY-5'!$A$2,O33='DICTIONARY-5'!$A$4,ISBLANK(O33)),VLOOKUP(N33,LIST!$A$6:$M$3250,CURR_2.SEARCH.OLD,0),VLOOKUP(O33,LIST!$B$6:$M$3250,CURR_2.SEARCH.NEW,0)),'DICTIONARY-5'!$A$2)</f>
        <v/>
      </c>
    </row>
    <row r="34" spans="1:17" x14ac:dyDescent="0.25">
      <c r="A34" s="42">
        <v>600</v>
      </c>
      <c r="B34" s="42">
        <v>16</v>
      </c>
      <c r="C34" s="42">
        <v>390</v>
      </c>
      <c r="D34" s="42" t="s">
        <v>408</v>
      </c>
      <c r="E34" s="329" t="s">
        <v>3409</v>
      </c>
      <c r="F34" s="339" t="str">
        <f>IFERROR(IF(OR(E34='DICTIONARY-5'!$A$2,E34='DICTIONARY-5'!$A$4,ISBLANK(E34)),VLOOKUP(D34,LIST!$A$6:$L$3250,CURR_1.SEARCH.OLD,0),VLOOKUP(E34,LIST!$B$6:$L$3250,CURR_1.SEARCH.NEW,0)),'DICTIONARY-5'!$A$2)</f>
        <v>9 095,-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H34" s="42"/>
      <c r="I34" s="42"/>
      <c r="J34" s="42"/>
      <c r="K34" s="45"/>
      <c r="L34" s="45"/>
      <c r="M34" s="32"/>
      <c r="N34" s="167" t="s">
        <v>153</v>
      </c>
      <c r="O34" s="335" t="s">
        <v>2898</v>
      </c>
      <c r="P34" s="339" t="str">
        <f>IFERROR(IF(OR(O34='DICTIONARY-5'!$A$2,O34='DICTIONARY-5'!$A$4,ISBLANK(O34)),VLOOKUP(N34,LIST!$A$6:$L$3250,CURR_1.SEARCH.OLD,0),VLOOKUP(O34,LIST!$B$6:$L$3250,CURR_1.SEARCH.NEW,0)),'DICTIONARY-5'!$A$2)</f>
        <v>144,-</v>
      </c>
      <c r="Q34" s="339" t="str">
        <f>IFERROR(IF(OR(O34='DICTIONARY-5'!$A$2,O34='DICTIONARY-5'!$A$4,ISBLANK(O34)),VLOOKUP(N34,LIST!$A$6:$M$3250,CURR_2.SEARCH.OLD,0),VLOOKUP(O34,LIST!$B$6:$M$3250,CURR_2.SEARCH.NEW,0)),'DICTIONARY-5'!$A$2)</f>
        <v/>
      </c>
    </row>
    <row r="35" spans="1:17" x14ac:dyDescent="0.25">
      <c r="A35" s="46"/>
      <c r="M35" s="32"/>
    </row>
    <row r="36" spans="1:17" x14ac:dyDescent="0.25">
      <c r="A36" s="46" t="str">
        <f>"1) "&amp;'DICTIONARY-5'!$A$65&amp;" DN 500"</f>
        <v>1) Zredukowany przepływ DN 500</v>
      </c>
      <c r="M36" s="32"/>
    </row>
    <row r="37" spans="1:17" x14ac:dyDescent="0.25">
      <c r="M37" s="32"/>
    </row>
    <row r="38" spans="1:17" x14ac:dyDescent="0.25">
      <c r="M38" s="32"/>
    </row>
  </sheetData>
  <sheetProtection algorithmName="SHA-512" hashValue="MTfnRL3AwlaWiVSV0lDYieDvQUYyt0zT7RY7Uar4Q/0gT8lmyzy2mEYff2nhSvLapbiQ+sPaBniMgYirwttjDA==" saltValue="iJWD8lO0Umx3x5SD6A/uew==" spinCount="100000" sheet="1" objects="1" scenarios="1" autoFilter="0"/>
  <mergeCells count="8">
    <mergeCell ref="B4:E4"/>
    <mergeCell ref="N9:Q9"/>
    <mergeCell ref="D11:G11"/>
    <mergeCell ref="I11:L11"/>
    <mergeCell ref="N11:Q11"/>
    <mergeCell ref="D10:G10"/>
    <mergeCell ref="I10:L10"/>
    <mergeCell ref="N10:Q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07">
    <tabColor rgb="FFFFC000"/>
  </sheetPr>
  <dimension ref="A1:O36"/>
  <sheetViews>
    <sheetView workbookViewId="0"/>
  </sheetViews>
  <sheetFormatPr defaultColWidth="9.140625" defaultRowHeight="15" x14ac:dyDescent="0.25"/>
  <cols>
    <col min="1" max="3" width="9.140625" style="363"/>
    <col min="4" max="4" width="22.140625" style="363" customWidth="1"/>
    <col min="5" max="6" width="12.85546875" style="364" customWidth="1"/>
    <col min="7" max="7" width="9.140625" style="364"/>
    <col min="8" max="8" width="22.140625" style="363" customWidth="1"/>
    <col min="9" max="10" width="12.85546875" style="364" customWidth="1"/>
    <col min="11" max="11" width="11.42578125" style="364" customWidth="1"/>
    <col min="12" max="13" width="22.140625" style="366" customWidth="1"/>
    <col min="14" max="15" width="12.85546875" style="366" customWidth="1"/>
    <col min="16" max="16384" width="9.140625" style="366"/>
  </cols>
  <sheetData>
    <row r="1" spans="1:15" s="384" customFormat="1" ht="45" customHeight="1" thickBot="1" x14ac:dyDescent="0.3">
      <c r="A1" s="422"/>
      <c r="B1" s="422"/>
      <c r="C1" s="422"/>
      <c r="D1" s="422"/>
      <c r="E1" s="386"/>
      <c r="F1" s="386"/>
      <c r="G1" s="386"/>
      <c r="H1" s="385"/>
      <c r="I1" s="386"/>
      <c r="J1" s="386"/>
      <c r="K1" s="386"/>
    </row>
    <row r="2" spans="1:15" s="435" customFormat="1" ht="4.5" customHeight="1" x14ac:dyDescent="0.25">
      <c r="A2" s="434"/>
      <c r="B2" s="436"/>
      <c r="C2" s="436"/>
      <c r="D2" s="436"/>
      <c r="E2" s="437"/>
      <c r="F2" s="437"/>
      <c r="G2" s="437"/>
      <c r="H2" s="436"/>
      <c r="I2" s="437"/>
      <c r="J2" s="437"/>
      <c r="K2" s="437"/>
    </row>
    <row r="3" spans="1:15" ht="15.75" thickBot="1" x14ac:dyDescent="0.3">
      <c r="A3" s="367"/>
      <c r="B3" s="368"/>
      <c r="C3" s="368"/>
    </row>
    <row r="4" spans="1:15" ht="15.75" thickBot="1" x14ac:dyDescent="0.3">
      <c r="A4" s="822">
        <f>ADD.DISCOUNT</f>
        <v>0</v>
      </c>
      <c r="B4" s="933" t="str">
        <f>HYPERLINK("#'LIST'!ADD.DISCOUNT","» "&amp;'DICTIONARY-1'!$A$5)</f>
        <v>» Ustaw globalny dodatkowy rabat</v>
      </c>
      <c r="C4" s="962"/>
      <c r="D4" s="962"/>
      <c r="E4" s="963"/>
    </row>
    <row r="5" spans="1:15" x14ac:dyDescent="0.25">
      <c r="A5" s="367"/>
      <c r="B5" s="368"/>
      <c r="C5" s="368"/>
    </row>
    <row r="6" spans="1:15" ht="16.5" thickBot="1" x14ac:dyDescent="0.3">
      <c r="A6" s="81" t="str">
        <f>CONCATENATE('DICTIONARY-3'!$A$2," ",'DICTIONARY-3'!$A$187," / ",UPPER('DICTIONARY-5'!$A$15))</f>
        <v>EKOplus Zasuwa klinowa / WODA MORSKA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  <c r="M6" s="712"/>
      <c r="N6" s="712"/>
      <c r="O6" s="712"/>
    </row>
    <row r="7" spans="1:15" x14ac:dyDescent="0.25">
      <c r="A7" s="9" t="str">
        <f>CONCATENATE('DICTIONARY-3'!$A$243,", ",LOWER('DICTIONARY-2'!$A$12)," ",'DICTIONARY-5'!$A$9)</f>
        <v>Z wolnym końcem wałka, długość zabudowy EN 558</v>
      </c>
    </row>
    <row r="8" spans="1:15" x14ac:dyDescent="0.25">
      <c r="A8" s="374" t="str">
        <f>CONCATENATE('DICTIONARY-1'!$A$10,": ",SETTINGS!$C$15)</f>
        <v>Grupa rabatowa: EKOplus Sea Water</v>
      </c>
      <c r="K8" s="366"/>
    </row>
    <row r="9" spans="1:15" x14ac:dyDescent="0.25">
      <c r="A9" s="370"/>
      <c r="K9" s="366"/>
      <c r="L9" s="935" t="str">
        <f>'DICTIONARY-5'!$A$5</f>
        <v xml:space="preserve">Należy zamówić oddzielnie </v>
      </c>
      <c r="M9" s="953"/>
      <c r="N9" s="953"/>
      <c r="O9" s="954"/>
    </row>
    <row r="10" spans="1:15" x14ac:dyDescent="0.25">
      <c r="A10" s="561" t="str">
        <f>'DICTIONARY-2'!$A$2</f>
        <v>DN</v>
      </c>
      <c r="B10" s="561" t="str">
        <f>'DICTIONARY-2'!$A$3</f>
        <v>PN</v>
      </c>
      <c r="C10" s="561" t="str">
        <f>'DICTIONARY-2'!$A$24</f>
        <v>L</v>
      </c>
      <c r="D10" s="967" t="str">
        <f>'DICTIONARY-3'!$A$2</f>
        <v>EKOplus</v>
      </c>
      <c r="E10" s="967"/>
      <c r="F10" s="967"/>
      <c r="G10" s="561" t="str">
        <f>'DICTIONARY-2'!$A$24</f>
        <v>L</v>
      </c>
      <c r="H10" s="967" t="str">
        <f>'DICTIONARY-3'!$A$2</f>
        <v>EKOplus</v>
      </c>
      <c r="I10" s="967"/>
      <c r="J10" s="967"/>
      <c r="K10" s="366"/>
      <c r="L10" s="943" t="str">
        <f>'DICTIONARY-4'!$A$23</f>
        <v>Kółko ręczne</v>
      </c>
      <c r="M10" s="944"/>
      <c r="N10" s="944"/>
      <c r="O10" s="945"/>
    </row>
    <row r="11" spans="1:15" ht="15" customHeight="1" x14ac:dyDescent="0.25">
      <c r="A11" s="562"/>
      <c r="B11" s="562"/>
      <c r="C11" s="562"/>
      <c r="D11" s="964" t="str">
        <f>CONCATENATE('DICTIONARY-5'!$A$66," (",'DICTIONARY-5'!$A$10," 14), ",'DICTIONARY-5'!$A$31&amp;": "&amp;'DICTIONARY-5'!$A$38)</f>
        <v>budowa krótka (szereg 14), wrzeciono: DUPLEX</v>
      </c>
      <c r="E11" s="965"/>
      <c r="F11" s="966"/>
      <c r="G11" s="562"/>
      <c r="H11" s="964" t="str">
        <f>CONCATENATE('DICTIONARY-5'!$A$67," (",'DICTIONARY-5'!$A$10," 15), ",'DICTIONARY-5'!$A$31&amp;": "&amp;'DICTIONARY-5'!$A$38)</f>
        <v>budowa długa (szereg 15), wrzeciono: DUPLEX</v>
      </c>
      <c r="I11" s="965"/>
      <c r="J11" s="966"/>
      <c r="K11" s="366"/>
      <c r="L11" s="939"/>
      <c r="M11" s="940"/>
      <c r="N11" s="940"/>
      <c r="O11" s="941"/>
    </row>
    <row r="12" spans="1:15" x14ac:dyDescent="0.25">
      <c r="A12" s="564"/>
      <c r="B12" s="564"/>
      <c r="C12" s="564" t="str">
        <f>'DICTIONARY-2'!$A$18</f>
        <v>[mm]</v>
      </c>
      <c r="D12" s="565" t="str">
        <f>'DICTIONARY-2'!$A$29</f>
        <v>nowy nr zamówienia</v>
      </c>
      <c r="E12" s="566" t="str">
        <f>CURRENCY.CODE_1</f>
        <v>EUR</v>
      </c>
      <c r="F12" s="566" t="str">
        <f>CURRENCY.CODE_2</f>
        <v>---</v>
      </c>
      <c r="G12" s="564" t="str">
        <f>'DICTIONARY-2'!$A$18</f>
        <v>[mm]</v>
      </c>
      <c r="H12" s="565" t="str">
        <f>'DICTIONARY-2'!$A$29</f>
        <v>nowy nr zamówienia</v>
      </c>
      <c r="I12" s="566" t="str">
        <f>CURRENCY.CODE_1</f>
        <v>EUR</v>
      </c>
      <c r="J12" s="566" t="str">
        <f>CURRENCY.CODE_2</f>
        <v>---</v>
      </c>
      <c r="K12" s="366"/>
      <c r="L12" s="165" t="str">
        <f>'DICTIONARY-2'!$A$28</f>
        <v>stary nr zamówienia</v>
      </c>
      <c r="M12" s="165" t="str">
        <f>'DICTIONARY-2'!$A$29</f>
        <v>nowy nr zamówienia</v>
      </c>
      <c r="N12" s="166" t="str">
        <f>CURRENCY.CODE_1</f>
        <v>EUR</v>
      </c>
      <c r="O12" s="166" t="str">
        <f>CURRENCY.CODE_2</f>
        <v>---</v>
      </c>
    </row>
    <row r="13" spans="1:15" x14ac:dyDescent="0.25">
      <c r="A13" s="371">
        <v>40</v>
      </c>
      <c r="B13" s="371" t="s">
        <v>85</v>
      </c>
      <c r="C13" s="371">
        <v>140</v>
      </c>
      <c r="D13" s="502" t="s">
        <v>5135</v>
      </c>
      <c r="E13" s="339" t="str">
        <f>IFERROR(IF(OR(D13='DICTIONARY-5'!$A$2,D13='DICTIONARY-5'!$A$4,ISBLANK(D13)),VLOOKUP(C13,LIST!$A$6:$L$3250,CURR_1.SEARCH.OLD,0),VLOOKUP(D13,LIST!$B$6:$L$3250,CURR_1.SEARCH.NEW,0)),'DICTIONARY-5'!$A$2)</f>
        <v>233,-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  <c r="G13" s="371">
        <v>240</v>
      </c>
      <c r="H13" s="502" t="s">
        <v>5136</v>
      </c>
      <c r="I13" s="339" t="str">
        <f>IFERROR(IF(OR(H13='DICTIONARY-5'!$A$2,H13='DICTIONARY-5'!$A$4,ISBLANK(H13)),VLOOKUP(G13,LIST!$A$6:$L$3250,CURR_1.SEARCH.OLD,0),VLOOKUP(H13,LIST!$B$6:$L$3250,CURR_1.SEARCH.NEW,0)),'DICTIONARY-5'!$A$2)</f>
        <v>241,-</v>
      </c>
      <c r="J13" s="339" t="str">
        <f>IFERROR(IF(OR(H13='DICTIONARY-5'!$A$2,H13='DICTIONARY-5'!$A$4,ISBLANK(H13)),VLOOKUP(G13,LIST!$A$6:$M$3250,CURR_2.SEARCH.OLD,0),VLOOKUP(H13,LIST!$B$6:$M$3250,CURR_2.SEARCH.NEW,0)),'DICTIONARY-5'!$A$2)</f>
        <v/>
      </c>
      <c r="K13" s="366"/>
      <c r="L13" s="139" t="s">
        <v>109</v>
      </c>
      <c r="M13" s="334" t="s">
        <v>2892</v>
      </c>
      <c r="N13" s="339" t="str">
        <f>IFERROR(IF(OR(M13='DICTIONARY-5'!$A$2,M13='DICTIONARY-5'!$A$4,ISBLANK(M13)),VLOOKUP(L13,LIST!$A$6:$L$3250,CURR_1.SEARCH.OLD,0),VLOOKUP(M13,LIST!$B$6:$L$3250,CURR_1.SEARCH.NEW,0)),'DICTIONARY-5'!$A$2)</f>
        <v>8,-</v>
      </c>
      <c r="O13" s="339" t="str">
        <f>IFERROR(IF(OR(M13='DICTIONARY-5'!$A$2,M13='DICTIONARY-5'!$A$4,ISBLANK(M13)),VLOOKUP(L13,LIST!$A$6:$M$3250,CURR_2.SEARCH.OLD,0),VLOOKUP(M13,LIST!$B$6:$M$3250,CURR_2.SEARCH.NEW,0)),'DICTIONARY-5'!$A$2)</f>
        <v/>
      </c>
    </row>
    <row r="14" spans="1:15" x14ac:dyDescent="0.25">
      <c r="A14" s="371">
        <v>50</v>
      </c>
      <c r="B14" s="371" t="s">
        <v>85</v>
      </c>
      <c r="C14" s="371">
        <v>150</v>
      </c>
      <c r="D14" s="502" t="s">
        <v>5137</v>
      </c>
      <c r="E14" s="339" t="str">
        <f>IFERROR(IF(OR(D14='DICTIONARY-5'!$A$2,D14='DICTIONARY-5'!$A$4,ISBLANK(D14)),VLOOKUP(C14,LIST!$A$6:$L$3250,CURR_1.SEARCH.OLD,0),VLOOKUP(D14,LIST!$B$6:$L$3250,CURR_1.SEARCH.NEW,0)),'DICTIONARY-5'!$A$2)</f>
        <v>234,-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  <c r="G14" s="371">
        <v>250</v>
      </c>
      <c r="H14" s="502" t="s">
        <v>5138</v>
      </c>
      <c r="I14" s="339" t="str">
        <f>IFERROR(IF(OR(H14='DICTIONARY-5'!$A$2,H14='DICTIONARY-5'!$A$4,ISBLANK(H14)),VLOOKUP(G14,LIST!$A$6:$L$3250,CURR_1.SEARCH.OLD,0),VLOOKUP(H14,LIST!$B$6:$L$3250,CURR_1.SEARCH.NEW,0)),'DICTIONARY-5'!$A$2)</f>
        <v>257,-</v>
      </c>
      <c r="J14" s="339" t="str">
        <f>IFERROR(IF(OR(H14='DICTIONARY-5'!$A$2,H14='DICTIONARY-5'!$A$4,ISBLANK(H14)),VLOOKUP(G14,LIST!$A$6:$M$3250,CURR_2.SEARCH.OLD,0),VLOOKUP(H14,LIST!$B$6:$M$3250,CURR_2.SEARCH.NEW,0)),'DICTIONARY-5'!$A$2)</f>
        <v/>
      </c>
      <c r="K14" s="366"/>
      <c r="L14" s="139" t="s">
        <v>109</v>
      </c>
      <c r="M14" s="334" t="s">
        <v>2892</v>
      </c>
      <c r="N14" s="339" t="str">
        <f>IFERROR(IF(OR(M14='DICTIONARY-5'!$A$2,M14='DICTIONARY-5'!$A$4,ISBLANK(M14)),VLOOKUP(L14,LIST!$A$6:$L$3250,CURR_1.SEARCH.OLD,0),VLOOKUP(M14,LIST!$B$6:$L$3250,CURR_1.SEARCH.NEW,0)),'DICTIONARY-5'!$A$2)</f>
        <v>8,-</v>
      </c>
      <c r="O14" s="339" t="str">
        <f>IFERROR(IF(OR(M14='DICTIONARY-5'!$A$2,M14='DICTIONARY-5'!$A$4,ISBLANK(M14)),VLOOKUP(L14,LIST!$A$6:$M$3250,CURR_2.SEARCH.OLD,0),VLOOKUP(M14,LIST!$B$6:$M$3250,CURR_2.SEARCH.NEW,0)),'DICTIONARY-5'!$A$2)</f>
        <v/>
      </c>
    </row>
    <row r="15" spans="1:15" x14ac:dyDescent="0.25">
      <c r="A15" s="371">
        <v>65</v>
      </c>
      <c r="B15" s="371" t="s">
        <v>85</v>
      </c>
      <c r="C15" s="371">
        <v>170</v>
      </c>
      <c r="D15" s="502" t="s">
        <v>5139</v>
      </c>
      <c r="E15" s="339" t="str">
        <f>IFERROR(IF(OR(D15='DICTIONARY-5'!$A$2,D15='DICTIONARY-5'!$A$4,ISBLANK(D15)),VLOOKUP(C15,LIST!$A$6:$L$3250,CURR_1.SEARCH.OLD,0),VLOOKUP(D15,LIST!$B$6:$L$3250,CURR_1.SEARCH.NEW,0)),'DICTIONARY-5'!$A$2)</f>
        <v>266,-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  <c r="G15" s="371">
        <v>270</v>
      </c>
      <c r="H15" s="502" t="s">
        <v>5140</v>
      </c>
      <c r="I15" s="339" t="str">
        <f>IFERROR(IF(OR(H15='DICTIONARY-5'!$A$2,H15='DICTIONARY-5'!$A$4,ISBLANK(H15)),VLOOKUP(G15,LIST!$A$6:$L$3250,CURR_1.SEARCH.OLD,0),VLOOKUP(H15,LIST!$B$6:$L$3250,CURR_1.SEARCH.NEW,0)),'DICTIONARY-5'!$A$2)</f>
        <v>277,-</v>
      </c>
      <c r="J15" s="339" t="str">
        <f>IFERROR(IF(OR(H15='DICTIONARY-5'!$A$2,H15='DICTIONARY-5'!$A$4,ISBLANK(H15)),VLOOKUP(G15,LIST!$A$6:$M$3250,CURR_2.SEARCH.OLD,0),VLOOKUP(H15,LIST!$B$6:$M$3250,CURR_2.SEARCH.NEW,0)),'DICTIONARY-5'!$A$2)</f>
        <v/>
      </c>
      <c r="K15" s="366"/>
      <c r="L15" s="139" t="s">
        <v>88</v>
      </c>
      <c r="M15" s="334" t="s">
        <v>2893</v>
      </c>
      <c r="N15" s="339" t="str">
        <f>IFERROR(IF(OR(M15='DICTIONARY-5'!$A$2,M15='DICTIONARY-5'!$A$4,ISBLANK(M15)),VLOOKUP(L15,LIST!$A$6:$L$3250,CURR_1.SEARCH.OLD,0),VLOOKUP(M15,LIST!$B$6:$L$3250,CURR_1.SEARCH.NEW,0)),'DICTIONARY-5'!$A$2)</f>
        <v>15,-</v>
      </c>
      <c r="O15" s="339" t="str">
        <f>IFERROR(IF(OR(M15='DICTIONARY-5'!$A$2,M15='DICTIONARY-5'!$A$4,ISBLANK(M15)),VLOOKUP(L15,LIST!$A$6:$M$3250,CURR_2.SEARCH.OLD,0),VLOOKUP(M15,LIST!$B$6:$M$3250,CURR_2.SEARCH.NEW,0)),'DICTIONARY-5'!$A$2)</f>
        <v/>
      </c>
    </row>
    <row r="16" spans="1:15" x14ac:dyDescent="0.25">
      <c r="A16" s="371">
        <v>80</v>
      </c>
      <c r="B16" s="371">
        <v>10.16</v>
      </c>
      <c r="C16" s="371">
        <v>180</v>
      </c>
      <c r="D16" s="502" t="s">
        <v>5141</v>
      </c>
      <c r="E16" s="339" t="str">
        <f>IFERROR(IF(OR(D16='DICTIONARY-5'!$A$2,D16='DICTIONARY-5'!$A$4,ISBLANK(D16)),VLOOKUP(C16,LIST!$A$6:$L$3250,CURR_1.SEARCH.OLD,0),VLOOKUP(D16,LIST!$B$6:$L$3250,CURR_1.SEARCH.NEW,0)),'DICTIONARY-5'!$A$2)</f>
        <v>266,-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  <c r="G16" s="371">
        <v>280</v>
      </c>
      <c r="H16" s="502" t="s">
        <v>5142</v>
      </c>
      <c r="I16" s="339" t="str">
        <f>IFERROR(IF(OR(H16='DICTIONARY-5'!$A$2,H16='DICTIONARY-5'!$A$4,ISBLANK(H16)),VLOOKUP(G16,LIST!$A$6:$L$3250,CURR_1.SEARCH.OLD,0),VLOOKUP(H16,LIST!$B$6:$L$3250,CURR_1.SEARCH.NEW,0)),'DICTIONARY-5'!$A$2)</f>
        <v>277,-</v>
      </c>
      <c r="J16" s="339" t="str">
        <f>IFERROR(IF(OR(H16='DICTIONARY-5'!$A$2,H16='DICTIONARY-5'!$A$4,ISBLANK(H16)),VLOOKUP(G16,LIST!$A$6:$M$3250,CURR_2.SEARCH.OLD,0),VLOOKUP(H16,LIST!$B$6:$M$3250,CURR_2.SEARCH.NEW,0)),'DICTIONARY-5'!$A$2)</f>
        <v/>
      </c>
      <c r="K16" s="366"/>
      <c r="L16" s="139" t="s">
        <v>88</v>
      </c>
      <c r="M16" s="334" t="s">
        <v>2893</v>
      </c>
      <c r="N16" s="339" t="str">
        <f>IFERROR(IF(OR(M16='DICTIONARY-5'!$A$2,M16='DICTIONARY-5'!$A$4,ISBLANK(M16)),VLOOKUP(L16,LIST!$A$6:$L$3250,CURR_1.SEARCH.OLD,0),VLOOKUP(M16,LIST!$B$6:$L$3250,CURR_1.SEARCH.NEW,0)),'DICTIONARY-5'!$A$2)</f>
        <v>15,-</v>
      </c>
      <c r="O16" s="339" t="str">
        <f>IFERROR(IF(OR(M16='DICTIONARY-5'!$A$2,M16='DICTIONARY-5'!$A$4,ISBLANK(M16)),VLOOKUP(L16,LIST!$A$6:$M$3250,CURR_2.SEARCH.OLD,0),VLOOKUP(M16,LIST!$B$6:$M$3250,CURR_2.SEARCH.NEW,0)),'DICTIONARY-5'!$A$2)</f>
        <v/>
      </c>
    </row>
    <row r="17" spans="1:15" x14ac:dyDescent="0.25">
      <c r="A17" s="371">
        <v>100</v>
      </c>
      <c r="B17" s="371" t="s">
        <v>85</v>
      </c>
      <c r="C17" s="371">
        <v>190</v>
      </c>
      <c r="D17" s="502" t="s">
        <v>5143</v>
      </c>
      <c r="E17" s="339" t="str">
        <f>IFERROR(IF(OR(D17='DICTIONARY-5'!$A$2,D17='DICTIONARY-5'!$A$4,ISBLANK(D17)),VLOOKUP(C17,LIST!$A$6:$L$3250,CURR_1.SEARCH.OLD,0),VLOOKUP(D17,LIST!$B$6:$L$3250,CURR_1.SEARCH.NEW,0)),'DICTIONARY-5'!$A$2)</f>
        <v>281,-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  <c r="G17" s="371">
        <v>300</v>
      </c>
      <c r="H17" s="502" t="s">
        <v>5144</v>
      </c>
      <c r="I17" s="339" t="str">
        <f>IFERROR(IF(OR(H17='DICTIONARY-5'!$A$2,H17='DICTIONARY-5'!$A$4,ISBLANK(H17)),VLOOKUP(G17,LIST!$A$6:$L$3250,CURR_1.SEARCH.OLD,0),VLOOKUP(H17,LIST!$B$6:$L$3250,CURR_1.SEARCH.NEW,0)),'DICTIONARY-5'!$A$2)</f>
        <v>299,-</v>
      </c>
      <c r="J17" s="339" t="str">
        <f>IFERROR(IF(OR(H17='DICTIONARY-5'!$A$2,H17='DICTIONARY-5'!$A$4,ISBLANK(H17)),VLOOKUP(G17,LIST!$A$6:$M$3250,CURR_2.SEARCH.OLD,0),VLOOKUP(H17,LIST!$B$6:$M$3250,CURR_2.SEARCH.NEW,0)),'DICTIONARY-5'!$A$2)</f>
        <v/>
      </c>
      <c r="K17" s="366"/>
      <c r="L17" s="139" t="s">
        <v>91</v>
      </c>
      <c r="M17" s="334" t="s">
        <v>2894</v>
      </c>
      <c r="N17" s="339" t="str">
        <f>IFERROR(IF(OR(M17='DICTIONARY-5'!$A$2,M17='DICTIONARY-5'!$A$4,ISBLANK(M17)),VLOOKUP(L17,LIST!$A$6:$L$3250,CURR_1.SEARCH.OLD,0),VLOOKUP(M17,LIST!$B$6:$L$3250,CURR_1.SEARCH.NEW,0)),'DICTIONARY-5'!$A$2)</f>
        <v>20,-</v>
      </c>
      <c r="O17" s="339" t="str">
        <f>IFERROR(IF(OR(M17='DICTIONARY-5'!$A$2,M17='DICTIONARY-5'!$A$4,ISBLANK(M17)),VLOOKUP(L17,LIST!$A$6:$M$3250,CURR_2.SEARCH.OLD,0),VLOOKUP(M17,LIST!$B$6:$M$3250,CURR_2.SEARCH.NEW,0)),'DICTIONARY-5'!$A$2)</f>
        <v/>
      </c>
    </row>
    <row r="18" spans="1:15" x14ac:dyDescent="0.25">
      <c r="A18" s="371">
        <v>125</v>
      </c>
      <c r="B18" s="371" t="s">
        <v>85</v>
      </c>
      <c r="C18" s="371">
        <v>200</v>
      </c>
      <c r="D18" s="502" t="s">
        <v>5145</v>
      </c>
      <c r="E18" s="339" t="str">
        <f>IFERROR(IF(OR(D18='DICTIONARY-5'!$A$2,D18='DICTIONARY-5'!$A$4,ISBLANK(D18)),VLOOKUP(C18,LIST!$A$6:$L$3250,CURR_1.SEARCH.OLD,0),VLOOKUP(D18,LIST!$B$6:$L$3250,CURR_1.SEARCH.NEW,0)),'DICTIONARY-5'!$A$2)</f>
        <v>432,-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  <c r="G18" s="371">
        <v>325</v>
      </c>
      <c r="H18" s="502" t="s">
        <v>5146</v>
      </c>
      <c r="I18" s="339" t="str">
        <f>IFERROR(IF(OR(H18='DICTIONARY-5'!$A$2,H18='DICTIONARY-5'!$A$4,ISBLANK(H18)),VLOOKUP(G18,LIST!$A$6:$L$3250,CURR_1.SEARCH.OLD,0),VLOOKUP(H18,LIST!$B$6:$L$3250,CURR_1.SEARCH.NEW,0)),'DICTIONARY-5'!$A$2)</f>
        <v>490,-</v>
      </c>
      <c r="J18" s="339" t="str">
        <f>IFERROR(IF(OR(H18='DICTIONARY-5'!$A$2,H18='DICTIONARY-5'!$A$4,ISBLANK(H18)),VLOOKUP(G18,LIST!$A$6:$M$3250,CURR_2.SEARCH.OLD,0),VLOOKUP(H18,LIST!$B$6:$M$3250,CURR_2.SEARCH.NEW,0)),'DICTIONARY-5'!$A$2)</f>
        <v/>
      </c>
      <c r="K18" s="366"/>
      <c r="L18" s="139" t="s">
        <v>91</v>
      </c>
      <c r="M18" s="334" t="s">
        <v>2894</v>
      </c>
      <c r="N18" s="339" t="str">
        <f>IFERROR(IF(OR(M18='DICTIONARY-5'!$A$2,M18='DICTIONARY-5'!$A$4,ISBLANK(M18)),VLOOKUP(L18,LIST!$A$6:$L$3250,CURR_1.SEARCH.OLD,0),VLOOKUP(M18,LIST!$B$6:$L$3250,CURR_1.SEARCH.NEW,0)),'DICTIONARY-5'!$A$2)</f>
        <v>20,-</v>
      </c>
      <c r="O18" s="339" t="str">
        <f>IFERROR(IF(OR(M18='DICTIONARY-5'!$A$2,M18='DICTIONARY-5'!$A$4,ISBLANK(M18)),VLOOKUP(L18,LIST!$A$6:$M$3250,CURR_2.SEARCH.OLD,0),VLOOKUP(M18,LIST!$B$6:$M$3250,CURR_2.SEARCH.NEW,0)),'DICTIONARY-5'!$A$2)</f>
        <v/>
      </c>
    </row>
    <row r="19" spans="1:15" x14ac:dyDescent="0.25">
      <c r="A19" s="371">
        <v>150</v>
      </c>
      <c r="B19" s="371" t="s">
        <v>85</v>
      </c>
      <c r="C19" s="371">
        <v>210</v>
      </c>
      <c r="D19" s="502" t="s">
        <v>5147</v>
      </c>
      <c r="E19" s="339" t="str">
        <f>IFERROR(IF(OR(D19='DICTIONARY-5'!$A$2,D19='DICTIONARY-5'!$A$4,ISBLANK(D19)),VLOOKUP(C19,LIST!$A$6:$L$3250,CURR_1.SEARCH.OLD,0),VLOOKUP(D19,LIST!$B$6:$L$3250,CURR_1.SEARCH.NEW,0)),'DICTIONARY-5'!$A$2)</f>
        <v>475,-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  <c r="G19" s="371">
        <v>350</v>
      </c>
      <c r="H19" s="502" t="s">
        <v>5148</v>
      </c>
      <c r="I19" s="339" t="str">
        <f>IFERROR(IF(OR(H19='DICTIONARY-5'!$A$2,H19='DICTIONARY-5'!$A$4,ISBLANK(H19)),VLOOKUP(G19,LIST!$A$6:$L$3250,CURR_1.SEARCH.OLD,0),VLOOKUP(H19,LIST!$B$6:$L$3250,CURR_1.SEARCH.NEW,0)),'DICTIONARY-5'!$A$2)</f>
        <v>534,-</v>
      </c>
      <c r="J19" s="339" t="str">
        <f>IFERROR(IF(OR(H19='DICTIONARY-5'!$A$2,H19='DICTIONARY-5'!$A$4,ISBLANK(H19)),VLOOKUP(G19,LIST!$A$6:$M$3250,CURR_2.SEARCH.OLD,0),VLOOKUP(H19,LIST!$B$6:$M$3250,CURR_2.SEARCH.NEW,0)),'DICTIONARY-5'!$A$2)</f>
        <v/>
      </c>
      <c r="K19" s="366"/>
      <c r="L19" s="139" t="s">
        <v>91</v>
      </c>
      <c r="M19" s="334" t="s">
        <v>2894</v>
      </c>
      <c r="N19" s="339" t="str">
        <f>IFERROR(IF(OR(M19='DICTIONARY-5'!$A$2,M19='DICTIONARY-5'!$A$4,ISBLANK(M19)),VLOOKUP(L19,LIST!$A$6:$L$3250,CURR_1.SEARCH.OLD,0),VLOOKUP(M19,LIST!$B$6:$L$3250,CURR_1.SEARCH.NEW,0)),'DICTIONARY-5'!$A$2)</f>
        <v>20,-</v>
      </c>
      <c r="O19" s="339" t="str">
        <f>IFERROR(IF(OR(M19='DICTIONARY-5'!$A$2,M19='DICTIONARY-5'!$A$4,ISBLANK(M19)),VLOOKUP(L19,LIST!$A$6:$M$3250,CURR_2.SEARCH.OLD,0),VLOOKUP(M19,LIST!$B$6:$M$3250,CURR_2.SEARCH.NEW,0)),'DICTIONARY-5'!$A$2)</f>
        <v/>
      </c>
    </row>
    <row r="20" spans="1:15" x14ac:dyDescent="0.25">
      <c r="A20" s="371">
        <v>200</v>
      </c>
      <c r="B20" s="371">
        <v>10</v>
      </c>
      <c r="C20" s="371">
        <v>230</v>
      </c>
      <c r="D20" s="502" t="s">
        <v>5149</v>
      </c>
      <c r="E20" s="339" t="str">
        <f>IFERROR(IF(OR(D20='DICTIONARY-5'!$A$2,D20='DICTIONARY-5'!$A$4,ISBLANK(D20)),VLOOKUP(C20,LIST!$A$6:$L$3250,CURR_1.SEARCH.OLD,0),VLOOKUP(D20,LIST!$B$6:$L$3250,CURR_1.SEARCH.NEW,0)),'DICTIONARY-5'!$A$2)</f>
        <v>700,-</v>
      </c>
      <c r="F20" s="339" t="str">
        <f>IFERROR(IF(OR(D20='DICTIONARY-5'!$A$2,D20='DICTIONARY-5'!$A$4,ISBLANK(D20)),VLOOKUP(C20,LIST!$A$6:$M$3250,CURR_2.SEARCH.OLD,0),VLOOKUP(D20,LIST!$B$6:$M$3250,CURR_2.SEARCH.NEW,0)),'DICTIONARY-5'!$A$2)</f>
        <v/>
      </c>
      <c r="G20" s="371">
        <v>400</v>
      </c>
      <c r="H20" s="502" t="s">
        <v>5150</v>
      </c>
      <c r="I20" s="339" t="str">
        <f>IFERROR(IF(OR(H20='DICTIONARY-5'!$A$2,H20='DICTIONARY-5'!$A$4,ISBLANK(H20)),VLOOKUP(G20,LIST!$A$6:$L$3250,CURR_1.SEARCH.OLD,0),VLOOKUP(H20,LIST!$B$6:$L$3250,CURR_1.SEARCH.NEW,0)),'DICTIONARY-5'!$A$2)</f>
        <v>801,-</v>
      </c>
      <c r="J20" s="339" t="str">
        <f>IFERROR(IF(OR(H20='DICTIONARY-5'!$A$2,H20='DICTIONARY-5'!$A$4,ISBLANK(H20)),VLOOKUP(G20,LIST!$A$6:$M$3250,CURR_2.SEARCH.OLD,0),VLOOKUP(H20,LIST!$B$6:$M$3250,CURR_2.SEARCH.NEW,0)),'DICTIONARY-5'!$A$2)</f>
        <v/>
      </c>
      <c r="K20" s="366"/>
      <c r="L20" s="139" t="s">
        <v>98</v>
      </c>
      <c r="M20" s="334" t="s">
        <v>2895</v>
      </c>
      <c r="N20" s="339" t="str">
        <f>IFERROR(IF(OR(M20='DICTIONARY-5'!$A$2,M20='DICTIONARY-5'!$A$4,ISBLANK(M20)),VLOOKUP(L20,LIST!$A$6:$L$3250,CURR_1.SEARCH.OLD,0),VLOOKUP(M20,LIST!$B$6:$L$3250,CURR_1.SEARCH.NEW,0)),'DICTIONARY-5'!$A$2)</f>
        <v>35,-</v>
      </c>
      <c r="O20" s="339" t="str">
        <f>IFERROR(IF(OR(M20='DICTIONARY-5'!$A$2,M20='DICTIONARY-5'!$A$4,ISBLANK(M20)),VLOOKUP(L20,LIST!$A$6:$M$3250,CURR_2.SEARCH.OLD,0),VLOOKUP(M20,LIST!$B$6:$M$3250,CURR_2.SEARCH.NEW,0)),'DICTIONARY-5'!$A$2)</f>
        <v/>
      </c>
    </row>
    <row r="21" spans="1:15" x14ac:dyDescent="0.25">
      <c r="A21" s="371">
        <v>200</v>
      </c>
      <c r="B21" s="371">
        <v>16</v>
      </c>
      <c r="C21" s="371">
        <v>230</v>
      </c>
      <c r="D21" s="502" t="s">
        <v>5151</v>
      </c>
      <c r="E21" s="339" t="str">
        <f>IFERROR(IF(OR(D21='DICTIONARY-5'!$A$2,D21='DICTIONARY-5'!$A$4,ISBLANK(D21)),VLOOKUP(C21,LIST!$A$6:$L$3250,CURR_1.SEARCH.OLD,0),VLOOKUP(D21,LIST!$B$6:$L$3250,CURR_1.SEARCH.NEW,0)),'DICTIONARY-5'!$A$2)</f>
        <v>702,-</v>
      </c>
      <c r="F21" s="339" t="str">
        <f>IFERROR(IF(OR(D21='DICTIONARY-5'!$A$2,D21='DICTIONARY-5'!$A$4,ISBLANK(D21)),VLOOKUP(C21,LIST!$A$6:$M$3250,CURR_2.SEARCH.OLD,0),VLOOKUP(D21,LIST!$B$6:$M$3250,CURR_2.SEARCH.NEW,0)),'DICTIONARY-5'!$A$2)</f>
        <v/>
      </c>
      <c r="G21" s="371">
        <v>400</v>
      </c>
      <c r="H21" s="502" t="s">
        <v>5152</v>
      </c>
      <c r="I21" s="339" t="str">
        <f>IFERROR(IF(OR(H21='DICTIONARY-5'!$A$2,H21='DICTIONARY-5'!$A$4,ISBLANK(H21)),VLOOKUP(G21,LIST!$A$6:$L$3250,CURR_1.SEARCH.OLD,0),VLOOKUP(H21,LIST!$B$6:$L$3250,CURR_1.SEARCH.NEW,0)),'DICTIONARY-5'!$A$2)</f>
        <v>806,-</v>
      </c>
      <c r="J21" s="339" t="str">
        <f>IFERROR(IF(OR(H21='DICTIONARY-5'!$A$2,H21='DICTIONARY-5'!$A$4,ISBLANK(H21)),VLOOKUP(G21,LIST!$A$6:$M$3250,CURR_2.SEARCH.OLD,0),VLOOKUP(H21,LIST!$B$6:$M$3250,CURR_2.SEARCH.NEW,0)),'DICTIONARY-5'!$A$2)</f>
        <v/>
      </c>
      <c r="K21" s="366"/>
      <c r="L21" s="139" t="s">
        <v>98</v>
      </c>
      <c r="M21" s="334" t="s">
        <v>2895</v>
      </c>
      <c r="N21" s="339" t="str">
        <f>IFERROR(IF(OR(M21='DICTIONARY-5'!$A$2,M21='DICTIONARY-5'!$A$4,ISBLANK(M21)),VLOOKUP(L21,LIST!$A$6:$L$3250,CURR_1.SEARCH.OLD,0),VLOOKUP(M21,LIST!$B$6:$L$3250,CURR_1.SEARCH.NEW,0)),'DICTIONARY-5'!$A$2)</f>
        <v>35,-</v>
      </c>
      <c r="O21" s="339" t="str">
        <f>IFERROR(IF(OR(M21='DICTIONARY-5'!$A$2,M21='DICTIONARY-5'!$A$4,ISBLANK(M21)),VLOOKUP(L21,LIST!$A$6:$M$3250,CURR_2.SEARCH.OLD,0),VLOOKUP(M21,LIST!$B$6:$M$3250,CURR_2.SEARCH.NEW,0)),'DICTIONARY-5'!$A$2)</f>
        <v/>
      </c>
    </row>
    <row r="22" spans="1:15" x14ac:dyDescent="0.25">
      <c r="A22" s="371">
        <v>250</v>
      </c>
      <c r="B22" s="371">
        <v>10</v>
      </c>
      <c r="C22" s="371">
        <v>250</v>
      </c>
      <c r="D22" s="502" t="s">
        <v>5153</v>
      </c>
      <c r="E22" s="339" t="str">
        <f>IFERROR(IF(OR(D22='DICTIONARY-5'!$A$2,D22='DICTIONARY-5'!$A$4,ISBLANK(D22)),VLOOKUP(C22,LIST!$A$6:$L$3250,CURR_1.SEARCH.OLD,0),VLOOKUP(D22,LIST!$B$6:$L$3250,CURR_1.SEARCH.NEW,0)),'DICTIONARY-5'!$A$2)</f>
        <v>1 093,-</v>
      </c>
      <c r="F22" s="339" t="str">
        <f>IFERROR(IF(OR(D22='DICTIONARY-5'!$A$2,D22='DICTIONARY-5'!$A$4,ISBLANK(D22)),VLOOKUP(C22,LIST!$A$6:$M$3250,CURR_2.SEARCH.OLD,0),VLOOKUP(D22,LIST!$B$6:$M$3250,CURR_2.SEARCH.NEW,0)),'DICTIONARY-5'!$A$2)</f>
        <v/>
      </c>
      <c r="G22" s="371">
        <v>450</v>
      </c>
      <c r="H22" s="502" t="s">
        <v>5154</v>
      </c>
      <c r="I22" s="339" t="str">
        <f>IFERROR(IF(OR(H22='DICTIONARY-5'!$A$2,H22='DICTIONARY-5'!$A$4,ISBLANK(H22)),VLOOKUP(G22,LIST!$A$6:$L$3250,CURR_1.SEARCH.OLD,0),VLOOKUP(H22,LIST!$B$6:$L$3250,CURR_1.SEARCH.NEW,0)),'DICTIONARY-5'!$A$2)</f>
        <v>1 461,-</v>
      </c>
      <c r="J22" s="339" t="str">
        <f>IFERROR(IF(OR(H22='DICTIONARY-5'!$A$2,H22='DICTIONARY-5'!$A$4,ISBLANK(H22)),VLOOKUP(G22,LIST!$A$6:$M$3250,CURR_2.SEARCH.OLD,0),VLOOKUP(H22,LIST!$B$6:$M$3250,CURR_2.SEARCH.NEW,0)),'DICTIONARY-5'!$A$2)</f>
        <v/>
      </c>
      <c r="K22" s="366"/>
      <c r="L22" s="139" t="s">
        <v>102</v>
      </c>
      <c r="M22" s="334" t="s">
        <v>2896</v>
      </c>
      <c r="N22" s="339" t="str">
        <f>IFERROR(IF(OR(M22='DICTIONARY-5'!$A$2,M22='DICTIONARY-5'!$A$4,ISBLANK(M22)),VLOOKUP(L22,LIST!$A$6:$L$3250,CURR_1.SEARCH.OLD,0),VLOOKUP(M22,LIST!$B$6:$L$3250,CURR_1.SEARCH.NEW,0)),'DICTIONARY-5'!$A$2)</f>
        <v>54,-</v>
      </c>
      <c r="O22" s="339" t="str">
        <f>IFERROR(IF(OR(M22='DICTIONARY-5'!$A$2,M22='DICTIONARY-5'!$A$4,ISBLANK(M22)),VLOOKUP(L22,LIST!$A$6:$M$3250,CURR_2.SEARCH.OLD,0),VLOOKUP(M22,LIST!$B$6:$M$3250,CURR_2.SEARCH.NEW,0)),'DICTIONARY-5'!$A$2)</f>
        <v/>
      </c>
    </row>
    <row r="23" spans="1:15" x14ac:dyDescent="0.25">
      <c r="A23" s="371">
        <v>250</v>
      </c>
      <c r="B23" s="371">
        <v>16</v>
      </c>
      <c r="C23" s="371">
        <v>250</v>
      </c>
      <c r="D23" s="502" t="s">
        <v>5155</v>
      </c>
      <c r="E23" s="339" t="str">
        <f>IFERROR(IF(OR(D23='DICTIONARY-5'!$A$2,D23='DICTIONARY-5'!$A$4,ISBLANK(D23)),VLOOKUP(C23,LIST!$A$6:$L$3250,CURR_1.SEARCH.OLD,0),VLOOKUP(D23,LIST!$B$6:$L$3250,CURR_1.SEARCH.NEW,0)),'DICTIONARY-5'!$A$2)</f>
        <v>1 094,-</v>
      </c>
      <c r="F23" s="339" t="str">
        <f>IFERROR(IF(OR(D23='DICTIONARY-5'!$A$2,D23='DICTIONARY-5'!$A$4,ISBLANK(D23)),VLOOKUP(C23,LIST!$A$6:$M$3250,CURR_2.SEARCH.OLD,0),VLOOKUP(D23,LIST!$B$6:$M$3250,CURR_2.SEARCH.NEW,0)),'DICTIONARY-5'!$A$2)</f>
        <v/>
      </c>
      <c r="G23" s="371">
        <v>450</v>
      </c>
      <c r="H23" s="502" t="s">
        <v>5156</v>
      </c>
      <c r="I23" s="339" t="str">
        <f>IFERROR(IF(OR(H23='DICTIONARY-5'!$A$2,H23='DICTIONARY-5'!$A$4,ISBLANK(H23)),VLOOKUP(G23,LIST!$A$6:$L$3250,CURR_1.SEARCH.OLD,0),VLOOKUP(H23,LIST!$B$6:$L$3250,CURR_1.SEARCH.NEW,0)),'DICTIONARY-5'!$A$2)</f>
        <v>1 470,-</v>
      </c>
      <c r="J23" s="339" t="str">
        <f>IFERROR(IF(OR(H23='DICTIONARY-5'!$A$2,H23='DICTIONARY-5'!$A$4,ISBLANK(H23)),VLOOKUP(G23,LIST!$A$6:$M$3250,CURR_2.SEARCH.OLD,0),VLOOKUP(H23,LIST!$B$6:$M$3250,CURR_2.SEARCH.NEW,0)),'DICTIONARY-5'!$A$2)</f>
        <v/>
      </c>
      <c r="K23" s="366"/>
      <c r="L23" s="139" t="s">
        <v>102</v>
      </c>
      <c r="M23" s="334" t="s">
        <v>2896</v>
      </c>
      <c r="N23" s="339" t="str">
        <f>IFERROR(IF(OR(M23='DICTIONARY-5'!$A$2,M23='DICTIONARY-5'!$A$4,ISBLANK(M23)),VLOOKUP(L23,LIST!$A$6:$L$3250,CURR_1.SEARCH.OLD,0),VLOOKUP(M23,LIST!$B$6:$L$3250,CURR_1.SEARCH.NEW,0)),'DICTIONARY-5'!$A$2)</f>
        <v>54,-</v>
      </c>
      <c r="O23" s="339" t="str">
        <f>IFERROR(IF(OR(M23='DICTIONARY-5'!$A$2,M23='DICTIONARY-5'!$A$4,ISBLANK(M23)),VLOOKUP(L23,LIST!$A$6:$M$3250,CURR_2.SEARCH.OLD,0),VLOOKUP(M23,LIST!$B$6:$M$3250,CURR_2.SEARCH.NEW,0)),'DICTIONARY-5'!$A$2)</f>
        <v/>
      </c>
    </row>
    <row r="24" spans="1:15" x14ac:dyDescent="0.25">
      <c r="A24" s="371">
        <v>300</v>
      </c>
      <c r="B24" s="371">
        <v>10</v>
      </c>
      <c r="C24" s="371">
        <v>270</v>
      </c>
      <c r="D24" s="502" t="s">
        <v>5157</v>
      </c>
      <c r="E24" s="339" t="str">
        <f>IFERROR(IF(OR(D24='DICTIONARY-5'!$A$2,D24='DICTIONARY-5'!$A$4,ISBLANK(D24)),VLOOKUP(C24,LIST!$A$6:$L$3250,CURR_1.SEARCH.OLD,0),VLOOKUP(D24,LIST!$B$6:$L$3250,CURR_1.SEARCH.NEW,0)),'DICTIONARY-5'!$A$2)</f>
        <v>1 291,-</v>
      </c>
      <c r="F24" s="339" t="str">
        <f>IFERROR(IF(OR(D24='DICTIONARY-5'!$A$2,D24='DICTIONARY-5'!$A$4,ISBLANK(D24)),VLOOKUP(C24,LIST!$A$6:$M$3250,CURR_2.SEARCH.OLD,0),VLOOKUP(D24,LIST!$B$6:$M$3250,CURR_2.SEARCH.NEW,0)),'DICTIONARY-5'!$A$2)</f>
        <v/>
      </c>
      <c r="G24" s="371">
        <v>500</v>
      </c>
      <c r="H24" s="502" t="s">
        <v>5158</v>
      </c>
      <c r="I24" s="339" t="str">
        <f>IFERROR(IF(OR(H24='DICTIONARY-5'!$A$2,H24='DICTIONARY-5'!$A$4,ISBLANK(H24)),VLOOKUP(G24,LIST!$A$6:$L$3250,CURR_1.SEARCH.OLD,0),VLOOKUP(H24,LIST!$B$6:$L$3250,CURR_1.SEARCH.NEW,0)),'DICTIONARY-5'!$A$2)</f>
        <v>1 779,-</v>
      </c>
      <c r="J24" s="339" t="str">
        <f>IFERROR(IF(OR(H24='DICTIONARY-5'!$A$2,H24='DICTIONARY-5'!$A$4,ISBLANK(H24)),VLOOKUP(G24,LIST!$A$6:$M$3250,CURR_2.SEARCH.OLD,0),VLOOKUP(H24,LIST!$B$6:$M$3250,CURR_2.SEARCH.NEW,0)),'DICTIONARY-5'!$A$2)</f>
        <v/>
      </c>
      <c r="K24" s="366"/>
      <c r="L24" s="139" t="s">
        <v>102</v>
      </c>
      <c r="M24" s="334" t="s">
        <v>2896</v>
      </c>
      <c r="N24" s="339" t="str">
        <f>IFERROR(IF(OR(M24='DICTIONARY-5'!$A$2,M24='DICTIONARY-5'!$A$4,ISBLANK(M24)),VLOOKUP(L24,LIST!$A$6:$L$3250,CURR_1.SEARCH.OLD,0),VLOOKUP(M24,LIST!$B$6:$L$3250,CURR_1.SEARCH.NEW,0)),'DICTIONARY-5'!$A$2)</f>
        <v>54,-</v>
      </c>
      <c r="O24" s="339" t="str">
        <f>IFERROR(IF(OR(M24='DICTIONARY-5'!$A$2,M24='DICTIONARY-5'!$A$4,ISBLANK(M24)),VLOOKUP(L24,LIST!$A$6:$M$3250,CURR_2.SEARCH.OLD,0),VLOOKUP(M24,LIST!$B$6:$M$3250,CURR_2.SEARCH.NEW,0)),'DICTIONARY-5'!$A$2)</f>
        <v/>
      </c>
    </row>
    <row r="25" spans="1:15" x14ac:dyDescent="0.25">
      <c r="A25" s="371">
        <v>300</v>
      </c>
      <c r="B25" s="371">
        <v>16</v>
      </c>
      <c r="C25" s="371">
        <v>270</v>
      </c>
      <c r="D25" s="502" t="s">
        <v>5159</v>
      </c>
      <c r="E25" s="339" t="str">
        <f>IFERROR(IF(OR(D25='DICTIONARY-5'!$A$2,D25='DICTIONARY-5'!$A$4,ISBLANK(D25)),VLOOKUP(C25,LIST!$A$6:$L$3250,CURR_1.SEARCH.OLD,0),VLOOKUP(D25,LIST!$B$6:$L$3250,CURR_1.SEARCH.NEW,0)),'DICTIONARY-5'!$A$2)</f>
        <v>1 281,-</v>
      </c>
      <c r="F25" s="339" t="str">
        <f>IFERROR(IF(OR(D25='DICTIONARY-5'!$A$2,D25='DICTIONARY-5'!$A$4,ISBLANK(D25)),VLOOKUP(C25,LIST!$A$6:$M$3250,CURR_2.SEARCH.OLD,0),VLOOKUP(D25,LIST!$B$6:$M$3250,CURR_2.SEARCH.NEW,0)),'DICTIONARY-5'!$A$2)</f>
        <v/>
      </c>
      <c r="G25" s="371">
        <v>500</v>
      </c>
      <c r="H25" s="502" t="s">
        <v>5160</v>
      </c>
      <c r="I25" s="339" t="str">
        <f>IFERROR(IF(OR(H25='DICTIONARY-5'!$A$2,H25='DICTIONARY-5'!$A$4,ISBLANK(H25)),VLOOKUP(G25,LIST!$A$6:$L$3250,CURR_1.SEARCH.OLD,0),VLOOKUP(H25,LIST!$B$6:$L$3250,CURR_1.SEARCH.NEW,0)),'DICTIONARY-5'!$A$2)</f>
        <v>1 779,-</v>
      </c>
      <c r="J25" s="339" t="str">
        <f>IFERROR(IF(OR(H25='DICTIONARY-5'!$A$2,H25='DICTIONARY-5'!$A$4,ISBLANK(H25)),VLOOKUP(G25,LIST!$A$6:$M$3250,CURR_2.SEARCH.OLD,0),VLOOKUP(H25,LIST!$B$6:$M$3250,CURR_2.SEARCH.NEW,0)),'DICTIONARY-5'!$A$2)</f>
        <v/>
      </c>
      <c r="K25" s="366"/>
      <c r="L25" s="139" t="s">
        <v>102</v>
      </c>
      <c r="M25" s="334" t="s">
        <v>2896</v>
      </c>
      <c r="N25" s="339" t="str">
        <f>IFERROR(IF(OR(M25='DICTIONARY-5'!$A$2,M25='DICTIONARY-5'!$A$4,ISBLANK(M25)),VLOOKUP(L25,LIST!$A$6:$L$3250,CURR_1.SEARCH.OLD,0),VLOOKUP(M25,LIST!$B$6:$L$3250,CURR_1.SEARCH.NEW,0)),'DICTIONARY-5'!$A$2)</f>
        <v>54,-</v>
      </c>
      <c r="O25" s="339" t="str">
        <f>IFERROR(IF(OR(M25='DICTIONARY-5'!$A$2,M25='DICTIONARY-5'!$A$4,ISBLANK(M25)),VLOOKUP(L25,LIST!$A$6:$M$3250,CURR_2.SEARCH.OLD,0),VLOOKUP(M25,LIST!$B$6:$M$3250,CURR_2.SEARCH.NEW,0)),'DICTIONARY-5'!$A$2)</f>
        <v/>
      </c>
    </row>
    <row r="26" spans="1:15" x14ac:dyDescent="0.25">
      <c r="A26" s="371">
        <v>350</v>
      </c>
      <c r="B26" s="371">
        <v>10</v>
      </c>
      <c r="C26" s="371">
        <v>290</v>
      </c>
      <c r="D26" s="502" t="s">
        <v>5161</v>
      </c>
      <c r="E26" s="339" t="str">
        <f>IFERROR(IF(OR(D26='DICTIONARY-5'!$A$2,D26='DICTIONARY-5'!$A$4,ISBLANK(D26)),VLOOKUP(C26,LIST!$A$6:$L$3250,CURR_1.SEARCH.OLD,0),VLOOKUP(D26,LIST!$B$6:$L$3250,CURR_1.SEARCH.NEW,0)),'DICTIONARY-5'!$A$2)</f>
        <v>2 701,-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  <c r="G26" s="371">
        <v>550</v>
      </c>
      <c r="H26" s="502" t="s">
        <v>5162</v>
      </c>
      <c r="I26" s="339" t="str">
        <f>IFERROR(IF(OR(H26='DICTIONARY-5'!$A$2,H26='DICTIONARY-5'!$A$4,ISBLANK(H26)),VLOOKUP(G26,LIST!$A$6:$L$3250,CURR_1.SEARCH.OLD,0),VLOOKUP(H26,LIST!$B$6:$L$3250,CURR_1.SEARCH.NEW,0)),'DICTIONARY-5'!$A$2)</f>
        <v>2 899,-</v>
      </c>
      <c r="J26" s="339" t="str">
        <f>IFERROR(IF(OR(H26='DICTIONARY-5'!$A$2,H26='DICTIONARY-5'!$A$4,ISBLANK(H26)),VLOOKUP(G26,LIST!$A$6:$M$3250,CURR_2.SEARCH.OLD,0),VLOOKUP(H26,LIST!$B$6:$M$3250,CURR_2.SEARCH.NEW,0)),'DICTIONARY-5'!$A$2)</f>
        <v/>
      </c>
      <c r="K26" s="366"/>
      <c r="L26" s="139" t="s">
        <v>102</v>
      </c>
      <c r="M26" s="334" t="s">
        <v>2896</v>
      </c>
      <c r="N26" s="339" t="str">
        <f>IFERROR(IF(OR(M26='DICTIONARY-5'!$A$2,M26='DICTIONARY-5'!$A$4,ISBLANK(M26)),VLOOKUP(L26,LIST!$A$6:$L$3250,CURR_1.SEARCH.OLD,0),VLOOKUP(M26,LIST!$B$6:$L$3250,CURR_1.SEARCH.NEW,0)),'DICTIONARY-5'!$A$2)</f>
        <v>54,-</v>
      </c>
      <c r="O26" s="339" t="str">
        <f>IFERROR(IF(OR(M26='DICTIONARY-5'!$A$2,M26='DICTIONARY-5'!$A$4,ISBLANK(M26)),VLOOKUP(L26,LIST!$A$6:$M$3250,CURR_2.SEARCH.OLD,0),VLOOKUP(M26,LIST!$B$6:$M$3250,CURR_2.SEARCH.NEW,0)),'DICTIONARY-5'!$A$2)</f>
        <v/>
      </c>
    </row>
    <row r="27" spans="1:15" x14ac:dyDescent="0.25">
      <c r="A27" s="371">
        <v>350</v>
      </c>
      <c r="B27" s="371">
        <v>16</v>
      </c>
      <c r="C27" s="371">
        <v>290</v>
      </c>
      <c r="D27" s="502" t="s">
        <v>5163</v>
      </c>
      <c r="E27" s="339" t="str">
        <f>IFERROR(IF(OR(D27='DICTIONARY-5'!$A$2,D27='DICTIONARY-5'!$A$4,ISBLANK(D27)),VLOOKUP(C27,LIST!$A$6:$L$3250,CURR_1.SEARCH.OLD,0),VLOOKUP(D27,LIST!$B$6:$L$3250,CURR_1.SEARCH.NEW,0)),'DICTIONARY-5'!$A$2)</f>
        <v>2 623,-</v>
      </c>
      <c r="F27" s="339" t="str">
        <f>IFERROR(IF(OR(D27='DICTIONARY-5'!$A$2,D27='DICTIONARY-5'!$A$4,ISBLANK(D27)),VLOOKUP(C27,LIST!$A$6:$M$3250,CURR_2.SEARCH.OLD,0),VLOOKUP(D27,LIST!$B$6:$M$3250,CURR_2.SEARCH.NEW,0)),'DICTIONARY-5'!$A$2)</f>
        <v/>
      </c>
      <c r="G27" s="371">
        <v>550</v>
      </c>
      <c r="H27" s="502" t="s">
        <v>5164</v>
      </c>
      <c r="I27" s="339" t="str">
        <f>IFERROR(IF(OR(H27='DICTIONARY-5'!$A$2,H27='DICTIONARY-5'!$A$4,ISBLANK(H27)),VLOOKUP(G27,LIST!$A$6:$L$3250,CURR_1.SEARCH.OLD,0),VLOOKUP(H27,LIST!$B$6:$L$3250,CURR_1.SEARCH.NEW,0)),'DICTIONARY-5'!$A$2)</f>
        <v>2 870,-</v>
      </c>
      <c r="J27" s="339" t="str">
        <f>IFERROR(IF(OR(H27='DICTIONARY-5'!$A$2,H27='DICTIONARY-5'!$A$4,ISBLANK(H27)),VLOOKUP(G27,LIST!$A$6:$M$3250,CURR_2.SEARCH.OLD,0),VLOOKUP(H27,LIST!$B$6:$M$3250,CURR_2.SEARCH.NEW,0)),'DICTIONARY-5'!$A$2)</f>
        <v/>
      </c>
      <c r="K27" s="366"/>
      <c r="L27" s="139" t="s">
        <v>102</v>
      </c>
      <c r="M27" s="334" t="s">
        <v>2896</v>
      </c>
      <c r="N27" s="339" t="str">
        <f>IFERROR(IF(OR(M27='DICTIONARY-5'!$A$2,M27='DICTIONARY-5'!$A$4,ISBLANK(M27)),VLOOKUP(L27,LIST!$A$6:$L$3250,CURR_1.SEARCH.OLD,0),VLOOKUP(M27,LIST!$B$6:$L$3250,CURR_1.SEARCH.NEW,0)),'DICTIONARY-5'!$A$2)</f>
        <v>54,-</v>
      </c>
      <c r="O27" s="339" t="str">
        <f>IFERROR(IF(OR(M27='DICTIONARY-5'!$A$2,M27='DICTIONARY-5'!$A$4,ISBLANK(M27)),VLOOKUP(L27,LIST!$A$6:$M$3250,CURR_2.SEARCH.OLD,0),VLOOKUP(M27,LIST!$B$6:$M$3250,CURR_2.SEARCH.NEW,0)),'DICTIONARY-5'!$A$2)</f>
        <v/>
      </c>
    </row>
    <row r="28" spans="1:15" x14ac:dyDescent="0.25">
      <c r="A28" s="371">
        <v>400</v>
      </c>
      <c r="B28" s="371">
        <v>10</v>
      </c>
      <c r="C28" s="371">
        <v>310</v>
      </c>
      <c r="D28" s="502" t="s">
        <v>5165</v>
      </c>
      <c r="E28" s="339" t="str">
        <f>IFERROR(IF(OR(D28='DICTIONARY-5'!$A$2,D28='DICTIONARY-5'!$A$4,ISBLANK(D28)),VLOOKUP(C28,LIST!$A$6:$L$3250,CURR_1.SEARCH.OLD,0),VLOOKUP(D28,LIST!$B$6:$L$3250,CURR_1.SEARCH.NEW,0)),'DICTIONARY-5'!$A$2)</f>
        <v>3 725,-</v>
      </c>
      <c r="F28" s="339" t="str">
        <f>IFERROR(IF(OR(D28='DICTIONARY-5'!$A$2,D28='DICTIONARY-5'!$A$4,ISBLANK(D28)),VLOOKUP(C28,LIST!$A$6:$M$3250,CURR_2.SEARCH.OLD,0),VLOOKUP(D28,LIST!$B$6:$M$3250,CURR_2.SEARCH.NEW,0)),'DICTIONARY-5'!$A$2)</f>
        <v/>
      </c>
      <c r="G28" s="371">
        <v>600</v>
      </c>
      <c r="H28" s="502" t="s">
        <v>5166</v>
      </c>
      <c r="I28" s="339" t="str">
        <f>IFERROR(IF(OR(H28='DICTIONARY-5'!$A$2,H28='DICTIONARY-5'!$A$4,ISBLANK(H28)),VLOOKUP(G28,LIST!$A$6:$L$3250,CURR_1.SEARCH.OLD,0),VLOOKUP(H28,LIST!$B$6:$L$3250,CURR_1.SEARCH.NEW,0)),'DICTIONARY-5'!$A$2)</f>
        <v>3 944,-</v>
      </c>
      <c r="J28" s="339" t="str">
        <f>IFERROR(IF(OR(H28='DICTIONARY-5'!$A$2,H28='DICTIONARY-5'!$A$4,ISBLANK(H28)),VLOOKUP(G28,LIST!$A$6:$M$3250,CURR_2.SEARCH.OLD,0),VLOOKUP(H28,LIST!$B$6:$M$3250,CURR_2.SEARCH.NEW,0)),'DICTIONARY-5'!$A$2)</f>
        <v/>
      </c>
      <c r="K28" s="366"/>
      <c r="L28" s="139" t="s">
        <v>142</v>
      </c>
      <c r="M28" s="334" t="s">
        <v>2897</v>
      </c>
      <c r="N28" s="339" t="str">
        <f>IFERROR(IF(OR(M28='DICTIONARY-5'!$A$2,M28='DICTIONARY-5'!$A$4,ISBLANK(M28)),VLOOKUP(L28,LIST!$A$6:$L$3250,CURR_1.SEARCH.OLD,0),VLOOKUP(M28,LIST!$B$6:$L$3250,CURR_1.SEARCH.NEW,0)),'DICTIONARY-5'!$A$2)</f>
        <v>99,-</v>
      </c>
      <c r="O28" s="339" t="str">
        <f>IFERROR(IF(OR(M28='DICTIONARY-5'!$A$2,M28='DICTIONARY-5'!$A$4,ISBLANK(M28)),VLOOKUP(L28,LIST!$A$6:$M$3250,CURR_2.SEARCH.OLD,0),VLOOKUP(M28,LIST!$B$6:$M$3250,CURR_2.SEARCH.NEW,0)),'DICTIONARY-5'!$A$2)</f>
        <v/>
      </c>
    </row>
    <row r="29" spans="1:15" x14ac:dyDescent="0.25">
      <c r="A29" s="371">
        <v>400</v>
      </c>
      <c r="B29" s="371">
        <v>16</v>
      </c>
      <c r="C29" s="371">
        <v>310</v>
      </c>
      <c r="D29" s="502" t="s">
        <v>5167</v>
      </c>
      <c r="E29" s="339" t="str">
        <f>IFERROR(IF(OR(D29='DICTIONARY-5'!$A$2,D29='DICTIONARY-5'!$A$4,ISBLANK(D29)),VLOOKUP(C29,LIST!$A$6:$L$3250,CURR_1.SEARCH.OLD,0),VLOOKUP(D29,LIST!$B$6:$L$3250,CURR_1.SEARCH.NEW,0)),'DICTIONARY-5'!$A$2)</f>
        <v>3 681,-</v>
      </c>
      <c r="F29" s="339" t="str">
        <f>IFERROR(IF(OR(D29='DICTIONARY-5'!$A$2,D29='DICTIONARY-5'!$A$4,ISBLANK(D29)),VLOOKUP(C29,LIST!$A$6:$M$3250,CURR_2.SEARCH.OLD,0),VLOOKUP(D29,LIST!$B$6:$M$3250,CURR_2.SEARCH.NEW,0)),'DICTIONARY-5'!$A$2)</f>
        <v/>
      </c>
      <c r="G29" s="371">
        <v>600</v>
      </c>
      <c r="H29" s="502" t="s">
        <v>5168</v>
      </c>
      <c r="I29" s="339" t="str">
        <f>IFERROR(IF(OR(H29='DICTIONARY-5'!$A$2,H29='DICTIONARY-5'!$A$4,ISBLANK(H29)),VLOOKUP(G29,LIST!$A$6:$L$3250,CURR_1.SEARCH.OLD,0),VLOOKUP(H29,LIST!$B$6:$L$3250,CURR_1.SEARCH.NEW,0)),'DICTIONARY-5'!$A$2)</f>
        <v>3 941,-</v>
      </c>
      <c r="J29" s="339" t="str">
        <f>IFERROR(IF(OR(H29='DICTIONARY-5'!$A$2,H29='DICTIONARY-5'!$A$4,ISBLANK(H29)),VLOOKUP(G29,LIST!$A$6:$M$3250,CURR_2.SEARCH.OLD,0),VLOOKUP(H29,LIST!$B$6:$M$3250,CURR_2.SEARCH.NEW,0)),'DICTIONARY-5'!$A$2)</f>
        <v/>
      </c>
      <c r="K29" s="366"/>
      <c r="L29" s="139" t="s">
        <v>142</v>
      </c>
      <c r="M29" s="334" t="s">
        <v>2897</v>
      </c>
      <c r="N29" s="339" t="str">
        <f>IFERROR(IF(OR(M29='DICTIONARY-5'!$A$2,M29='DICTIONARY-5'!$A$4,ISBLANK(M29)),VLOOKUP(L29,LIST!$A$6:$L$3250,CURR_1.SEARCH.OLD,0),VLOOKUP(M29,LIST!$B$6:$L$3250,CURR_1.SEARCH.NEW,0)),'DICTIONARY-5'!$A$2)</f>
        <v>99,-</v>
      </c>
      <c r="O29" s="339" t="str">
        <f>IFERROR(IF(OR(M29='DICTIONARY-5'!$A$2,M29='DICTIONARY-5'!$A$4,ISBLANK(M29)),VLOOKUP(L29,LIST!$A$6:$M$3250,CURR_2.SEARCH.OLD,0),VLOOKUP(M29,LIST!$B$6:$M$3250,CURR_2.SEARCH.NEW,0)),'DICTIONARY-5'!$A$2)</f>
        <v/>
      </c>
    </row>
    <row r="30" spans="1:15" x14ac:dyDescent="0.25">
      <c r="A30" s="371">
        <v>500</v>
      </c>
      <c r="B30" s="371">
        <v>10</v>
      </c>
      <c r="C30" s="371">
        <v>350</v>
      </c>
      <c r="D30" s="502" t="s">
        <v>5169</v>
      </c>
      <c r="E30" s="339" t="str">
        <f>IFERROR(IF(OR(D30='DICTIONARY-5'!$A$2,D30='DICTIONARY-5'!$A$4,ISBLANK(D30)),VLOOKUP(C30,LIST!$A$6:$L$3250,CURR_1.SEARCH.OLD,0),VLOOKUP(D30,LIST!$B$6:$L$3250,CURR_1.SEARCH.NEW,0)),'DICTIONARY-5'!$A$2)</f>
        <v>5 727,-</v>
      </c>
      <c r="F30" s="339" t="str">
        <f>IFERROR(IF(OR(D30='DICTIONARY-5'!$A$2,D30='DICTIONARY-5'!$A$4,ISBLANK(D30)),VLOOKUP(C30,LIST!$A$6:$M$3250,CURR_2.SEARCH.OLD,0),VLOOKUP(D30,LIST!$B$6:$M$3250,CURR_2.SEARCH.NEW,0)),'DICTIONARY-5'!$A$2)</f>
        <v/>
      </c>
      <c r="G30" s="371">
        <v>700</v>
      </c>
      <c r="H30" s="502" t="s">
        <v>5170</v>
      </c>
      <c r="I30" s="339" t="str">
        <f>IFERROR(IF(OR(H30='DICTIONARY-5'!$A$2,H30='DICTIONARY-5'!$A$4,ISBLANK(H30)),VLOOKUP(G30,LIST!$A$6:$L$3250,CURR_1.SEARCH.OLD,0),VLOOKUP(H30,LIST!$B$6:$L$3250,CURR_1.SEARCH.NEW,0)),'DICTIONARY-5'!$A$2)</f>
        <v>6 133,-</v>
      </c>
      <c r="J30" s="339" t="str">
        <f>IFERROR(IF(OR(H30='DICTIONARY-5'!$A$2,H30='DICTIONARY-5'!$A$4,ISBLANK(H30)),VLOOKUP(G30,LIST!$A$6:$M$3250,CURR_2.SEARCH.OLD,0),VLOOKUP(H30,LIST!$B$6:$M$3250,CURR_2.SEARCH.NEW,0)),'DICTIONARY-5'!$A$2)</f>
        <v/>
      </c>
      <c r="K30" s="366"/>
      <c r="L30" s="139" t="s">
        <v>142</v>
      </c>
      <c r="M30" s="334" t="s">
        <v>2897</v>
      </c>
      <c r="N30" s="339" t="str">
        <f>IFERROR(IF(OR(M30='DICTIONARY-5'!$A$2,M30='DICTIONARY-5'!$A$4,ISBLANK(M30)),VLOOKUP(L30,LIST!$A$6:$L$3250,CURR_1.SEARCH.OLD,0),VLOOKUP(M30,LIST!$B$6:$L$3250,CURR_1.SEARCH.NEW,0)),'DICTIONARY-5'!$A$2)</f>
        <v>99,-</v>
      </c>
      <c r="O30" s="339" t="str">
        <f>IFERROR(IF(OR(M30='DICTIONARY-5'!$A$2,M30='DICTIONARY-5'!$A$4,ISBLANK(M30)),VLOOKUP(L30,LIST!$A$6:$M$3250,CURR_2.SEARCH.OLD,0),VLOOKUP(M30,LIST!$B$6:$M$3250,CURR_2.SEARCH.NEW,0)),'DICTIONARY-5'!$A$2)</f>
        <v/>
      </c>
    </row>
    <row r="31" spans="1:15" x14ac:dyDescent="0.25">
      <c r="A31" s="371">
        <v>500</v>
      </c>
      <c r="B31" s="371">
        <v>16</v>
      </c>
      <c r="C31" s="371">
        <v>350</v>
      </c>
      <c r="D31" s="502" t="s">
        <v>5171</v>
      </c>
      <c r="E31" s="339" t="str">
        <f>IFERROR(IF(OR(D31='DICTIONARY-5'!$A$2,D31='DICTIONARY-5'!$A$4,ISBLANK(D31)),VLOOKUP(C31,LIST!$A$6:$L$3250,CURR_1.SEARCH.OLD,0),VLOOKUP(D31,LIST!$B$6:$L$3250,CURR_1.SEARCH.NEW,0)),'DICTIONARY-5'!$A$2)</f>
        <v>5 912,-</v>
      </c>
      <c r="F31" s="339" t="str">
        <f>IFERROR(IF(OR(D31='DICTIONARY-5'!$A$2,D31='DICTIONARY-5'!$A$4,ISBLANK(D31)),VLOOKUP(C31,LIST!$A$6:$M$3250,CURR_2.SEARCH.OLD,0),VLOOKUP(D31,LIST!$B$6:$M$3250,CURR_2.SEARCH.NEW,0)),'DICTIONARY-5'!$A$2)</f>
        <v/>
      </c>
      <c r="G31" s="371">
        <v>700</v>
      </c>
      <c r="H31" s="502" t="s">
        <v>5172</v>
      </c>
      <c r="I31" s="339" t="str">
        <f>IFERROR(IF(OR(H31='DICTIONARY-5'!$A$2,H31='DICTIONARY-5'!$A$4,ISBLANK(H31)),VLOOKUP(G31,LIST!$A$6:$L$3250,CURR_1.SEARCH.OLD,0),VLOOKUP(H31,LIST!$B$6:$L$3250,CURR_1.SEARCH.NEW,0)),'DICTIONARY-5'!$A$2)</f>
        <v>6 826,-</v>
      </c>
      <c r="J31" s="339" t="str">
        <f>IFERROR(IF(OR(H31='DICTIONARY-5'!$A$2,H31='DICTIONARY-5'!$A$4,ISBLANK(H31)),VLOOKUP(G31,LIST!$A$6:$M$3250,CURR_2.SEARCH.OLD,0),VLOOKUP(H31,LIST!$B$6:$M$3250,CURR_2.SEARCH.NEW,0)),'DICTIONARY-5'!$A$2)</f>
        <v/>
      </c>
      <c r="K31" s="366"/>
      <c r="L31" s="139" t="s">
        <v>142</v>
      </c>
      <c r="M31" s="334" t="s">
        <v>2897</v>
      </c>
      <c r="N31" s="339" t="str">
        <f>IFERROR(IF(OR(M31='DICTIONARY-5'!$A$2,M31='DICTIONARY-5'!$A$4,ISBLANK(M31)),VLOOKUP(L31,LIST!$A$6:$L$3250,CURR_1.SEARCH.OLD,0),VLOOKUP(M31,LIST!$B$6:$L$3250,CURR_1.SEARCH.NEW,0)),'DICTIONARY-5'!$A$2)</f>
        <v>99,-</v>
      </c>
      <c r="O31" s="339" t="str">
        <f>IFERROR(IF(OR(M31='DICTIONARY-5'!$A$2,M31='DICTIONARY-5'!$A$4,ISBLANK(M31)),VLOOKUP(L31,LIST!$A$6:$M$3250,CURR_2.SEARCH.OLD,0),VLOOKUP(M31,LIST!$B$6:$M$3250,CURR_2.SEARCH.NEW,0)),'DICTIONARY-5'!$A$2)</f>
        <v/>
      </c>
    </row>
    <row r="32" spans="1:15" x14ac:dyDescent="0.25">
      <c r="A32" s="371" t="s">
        <v>214</v>
      </c>
      <c r="B32" s="371">
        <v>10</v>
      </c>
      <c r="C32" s="371"/>
      <c r="D32" s="371"/>
      <c r="E32" s="372"/>
      <c r="F32" s="372"/>
      <c r="G32" s="371">
        <v>800</v>
      </c>
      <c r="H32" s="502" t="s">
        <v>5173</v>
      </c>
      <c r="I32" s="339" t="str">
        <f>IFERROR(IF(OR(H32='DICTIONARY-5'!$A$2,H32='DICTIONARY-5'!$A$4,ISBLANK(H32)),VLOOKUP(G32,LIST!$A$6:$L$3250,CURR_1.SEARCH.OLD,0),VLOOKUP(H32,LIST!$B$6:$L$3250,CURR_1.SEARCH.NEW,0)),'DICTIONARY-5'!$A$2)</f>
        <v>10 482,-</v>
      </c>
      <c r="J32" s="339" t="str">
        <f>IFERROR(IF(OR(H32='DICTIONARY-5'!$A$2,H32='DICTIONARY-5'!$A$4,ISBLANK(H32)),VLOOKUP(G32,LIST!$A$6:$M$3250,CURR_2.SEARCH.OLD,0),VLOOKUP(H32,LIST!$B$6:$M$3250,CURR_2.SEARCH.NEW,0)),'DICTIONARY-5'!$A$2)</f>
        <v/>
      </c>
      <c r="K32" s="366"/>
      <c r="L32" s="139" t="s">
        <v>142</v>
      </c>
      <c r="M32" s="334" t="s">
        <v>2897</v>
      </c>
      <c r="N32" s="339" t="str">
        <f>IFERROR(IF(OR(M32='DICTIONARY-5'!$A$2,M32='DICTIONARY-5'!$A$4,ISBLANK(M32)),VLOOKUP(L32,LIST!$A$6:$L$3250,CURR_1.SEARCH.OLD,0),VLOOKUP(M32,LIST!$B$6:$L$3250,CURR_1.SEARCH.NEW,0)),'DICTIONARY-5'!$A$2)</f>
        <v>99,-</v>
      </c>
      <c r="O32" s="339" t="str">
        <f>IFERROR(IF(OR(M32='DICTIONARY-5'!$A$2,M32='DICTIONARY-5'!$A$4,ISBLANK(M32)),VLOOKUP(L32,LIST!$A$6:$M$3250,CURR_2.SEARCH.OLD,0),VLOOKUP(M32,LIST!$B$6:$M$3250,CURR_2.SEARCH.NEW,0)),'DICTIONARY-5'!$A$2)</f>
        <v/>
      </c>
    </row>
    <row r="33" spans="1:15" x14ac:dyDescent="0.25">
      <c r="A33" s="371">
        <v>600</v>
      </c>
      <c r="B33" s="371">
        <v>10</v>
      </c>
      <c r="C33" s="371">
        <v>390</v>
      </c>
      <c r="D33" s="502" t="s">
        <v>5174</v>
      </c>
      <c r="E33" s="339" t="str">
        <f>IFERROR(IF(OR(D33='DICTIONARY-5'!$A$2,D33='DICTIONARY-5'!$A$4,ISBLANK(D33)),VLOOKUP(C33,LIST!$A$6:$L$3250,CURR_1.SEARCH.OLD,0),VLOOKUP(D33,LIST!$B$6:$L$3250,CURR_1.SEARCH.NEW,0)),'DICTIONARY-5'!$A$2)</f>
        <v>11 215,-</v>
      </c>
      <c r="F33" s="339" t="str">
        <f>IFERROR(IF(OR(D33='DICTIONARY-5'!$A$2,D33='DICTIONARY-5'!$A$4,ISBLANK(D33)),VLOOKUP(C33,LIST!$A$6:$M$3250,CURR_2.SEARCH.OLD,0),VLOOKUP(D33,LIST!$B$6:$M$3250,CURR_2.SEARCH.NEW,0)),'DICTIONARY-5'!$A$2)</f>
        <v/>
      </c>
      <c r="G33" s="371"/>
      <c r="H33" s="371"/>
      <c r="I33" s="372"/>
      <c r="J33" s="372"/>
      <c r="K33" s="366"/>
      <c r="L33" s="139" t="s">
        <v>153</v>
      </c>
      <c r="M33" s="334" t="s">
        <v>2898</v>
      </c>
      <c r="N33" s="339" t="str">
        <f>IFERROR(IF(OR(M33='DICTIONARY-5'!$A$2,M33='DICTIONARY-5'!$A$4,ISBLANK(M33)),VLOOKUP(L33,LIST!$A$6:$L$3250,CURR_1.SEARCH.OLD,0),VLOOKUP(M33,LIST!$B$6:$L$3250,CURR_1.SEARCH.NEW,0)),'DICTIONARY-5'!$A$2)</f>
        <v>144,-</v>
      </c>
      <c r="O33" s="339" t="str">
        <f>IFERROR(IF(OR(M33='DICTIONARY-5'!$A$2,M33='DICTIONARY-5'!$A$4,ISBLANK(M33)),VLOOKUP(L33,LIST!$A$6:$M$3250,CURR_2.SEARCH.OLD,0),VLOOKUP(M33,LIST!$B$6:$M$3250,CURR_2.SEARCH.NEW,0)),'DICTIONARY-5'!$A$2)</f>
        <v/>
      </c>
    </row>
    <row r="34" spans="1:15" x14ac:dyDescent="0.25">
      <c r="A34" s="371">
        <v>600</v>
      </c>
      <c r="B34" s="371">
        <v>16</v>
      </c>
      <c r="C34" s="371">
        <v>390</v>
      </c>
      <c r="D34" s="502" t="s">
        <v>5175</v>
      </c>
      <c r="E34" s="339" t="str">
        <f>IFERROR(IF(OR(D34='DICTIONARY-5'!$A$2,D34='DICTIONARY-5'!$A$4,ISBLANK(D34)),VLOOKUP(C34,LIST!$A$6:$L$3250,CURR_1.SEARCH.OLD,0),VLOOKUP(D34,LIST!$B$6:$L$3250,CURR_1.SEARCH.NEW,0)),'DICTIONARY-5'!$A$2)</f>
        <v>11 862,-</v>
      </c>
      <c r="F34" s="339" t="str">
        <f>IFERROR(IF(OR(D34='DICTIONARY-5'!$A$2,D34='DICTIONARY-5'!$A$4,ISBLANK(D34)),VLOOKUP(C34,LIST!$A$6:$M$3250,CURR_2.SEARCH.OLD,0),VLOOKUP(D34,LIST!$B$6:$M$3250,CURR_2.SEARCH.NEW,0)),'DICTIONARY-5'!$A$2)</f>
        <v/>
      </c>
      <c r="G34" s="371"/>
      <c r="H34" s="371"/>
      <c r="I34" s="372"/>
      <c r="J34" s="372"/>
      <c r="K34" s="366"/>
      <c r="L34" s="139" t="s">
        <v>153</v>
      </c>
      <c r="M34" s="334" t="s">
        <v>2898</v>
      </c>
      <c r="N34" s="339" t="str">
        <f>IFERROR(IF(OR(M34='DICTIONARY-5'!$A$2,M34='DICTIONARY-5'!$A$4,ISBLANK(M34)),VLOOKUP(L34,LIST!$A$6:$L$3250,CURR_1.SEARCH.OLD,0),VLOOKUP(M34,LIST!$B$6:$L$3250,CURR_1.SEARCH.NEW,0)),'DICTIONARY-5'!$A$2)</f>
        <v>144,-</v>
      </c>
      <c r="O34" s="339" t="str">
        <f>IFERROR(IF(OR(M34='DICTIONARY-5'!$A$2,M34='DICTIONARY-5'!$A$4,ISBLANK(M34)),VLOOKUP(L34,LIST!$A$6:$M$3250,CURR_2.SEARCH.OLD,0),VLOOKUP(M34,LIST!$B$6:$M$3250,CURR_2.SEARCH.NEW,0)),'DICTIONARY-5'!$A$2)</f>
        <v/>
      </c>
    </row>
    <row r="35" spans="1:15" x14ac:dyDescent="0.25">
      <c r="A35" s="375"/>
      <c r="K35" s="366"/>
    </row>
    <row r="36" spans="1:15" x14ac:dyDescent="0.25">
      <c r="A36" s="46" t="str">
        <f>"1) "&amp;'DICTIONARY-5'!$A$65&amp;" DN 500"</f>
        <v>1) Zredukowany przepływ DN 500</v>
      </c>
    </row>
  </sheetData>
  <sheetProtection algorithmName="SHA-512" hashValue="5X0C5Hh6n8WPFwn7RSlgp76Y5JJIYiSNronsZ7/6fa15ITDKf6v4HIgVeyRNLKRXDj6fiV1Z53mP1qXM8iiiVw==" saltValue="4Dx1dbj56jScc+QRqG6f9g==" spinCount="100000" sheet="1" objects="1" scenarios="1" autoFilter="0"/>
  <mergeCells count="8">
    <mergeCell ref="B4:E4"/>
    <mergeCell ref="L9:O9"/>
    <mergeCell ref="L11:O11"/>
    <mergeCell ref="D11:F11"/>
    <mergeCell ref="H11:J11"/>
    <mergeCell ref="D10:F10"/>
    <mergeCell ref="H10:J10"/>
    <mergeCell ref="L10:O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FFC000"/>
  </sheetPr>
  <dimension ref="A1:O27"/>
  <sheetViews>
    <sheetView workbookViewId="0"/>
  </sheetViews>
  <sheetFormatPr defaultColWidth="9.140625" defaultRowHeight="15" x14ac:dyDescent="0.25"/>
  <cols>
    <col min="1" max="3" width="9.140625" style="30"/>
    <col min="4" max="5" width="22.140625" style="30" customWidth="1"/>
    <col min="6" max="7" width="12.85546875" style="31" customWidth="1"/>
    <col min="8" max="9" width="22.140625" style="30" customWidth="1"/>
    <col min="10" max="10" width="12.85546875" style="30" customWidth="1"/>
    <col min="11" max="11" width="12.85546875" style="31" customWidth="1"/>
    <col min="12" max="13" width="22.140625" style="32" customWidth="1"/>
    <col min="14" max="15" width="12.85546875" style="32" customWidth="1"/>
    <col min="16" max="16384" width="9.140625" style="32"/>
  </cols>
  <sheetData>
    <row r="1" spans="1:15" s="418" customFormat="1" ht="45" customHeight="1" thickBot="1" x14ac:dyDescent="0.3">
      <c r="A1" s="381"/>
      <c r="B1" s="381"/>
      <c r="C1" s="381"/>
      <c r="D1" s="381"/>
      <c r="E1" s="381"/>
      <c r="F1" s="417"/>
      <c r="G1" s="417"/>
      <c r="H1" s="416"/>
      <c r="I1" s="416"/>
      <c r="J1" s="416"/>
      <c r="K1" s="417"/>
    </row>
    <row r="2" spans="1:15" s="482" customFormat="1" ht="4.5" customHeight="1" x14ac:dyDescent="0.25">
      <c r="A2" s="479"/>
      <c r="B2" s="480"/>
      <c r="C2" s="480"/>
      <c r="D2" s="480"/>
      <c r="E2" s="480"/>
      <c r="F2" s="481"/>
      <c r="G2" s="481"/>
      <c r="H2" s="480"/>
      <c r="I2" s="480"/>
      <c r="J2" s="480"/>
      <c r="K2" s="481"/>
    </row>
    <row r="3" spans="1:15" ht="15.75" thickBot="1" x14ac:dyDescent="0.3">
      <c r="A3" s="33"/>
      <c r="B3" s="34"/>
      <c r="C3" s="34"/>
    </row>
    <row r="4" spans="1:15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15" x14ac:dyDescent="0.25">
      <c r="A5" s="33"/>
      <c r="B5" s="34"/>
      <c r="C5" s="34"/>
    </row>
    <row r="6" spans="1:15" ht="16.5" thickBot="1" x14ac:dyDescent="0.3">
      <c r="A6" s="81" t="str">
        <f>CONCATENATE('DICTIONARY-3'!$A$5," ",'DICTIONARY-3'!$A$187," / ",'DICTIONARY-3'!$A$259)</f>
        <v>EKOplus Zasuwa klinowa / Sla systemów gaśniczych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</row>
    <row r="7" spans="1:15" x14ac:dyDescent="0.25">
      <c r="A7" s="36" t="str">
        <f>CONCATENATE('DICTIONARY-3'!$A$242," ",'DICTIONARY-3'!$A$260,", ",LOWER('DICTIONARY-2'!$A$12)," ",'DICTIONARY-5'!$A$9," ",'DICTIONARY-5'!$A$10," 14, ",'DICTIONARY-5'!$A$192)</f>
        <v>Z kółkiem ręcznym i ze wskaźnikiem położenia, długość zabudowy EN 558 szereg 14, kolor czerwony RAL 3000</v>
      </c>
    </row>
    <row r="8" spans="1:15" x14ac:dyDescent="0.25">
      <c r="A8" s="36" t="str">
        <f>CONCATENATE('DICTIONARY-1'!$A$10,": ",SETTINGS!$C$12)</f>
        <v>Grupa rabatowa: EKOplus</v>
      </c>
    </row>
    <row r="9" spans="1:15" x14ac:dyDescent="0.25">
      <c r="A9" s="37"/>
    </row>
    <row r="10" spans="1:15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960" t="str">
        <f>'DICTIONARY-3'!$A$5</f>
        <v>EKOplus</v>
      </c>
      <c r="E10" s="960"/>
      <c r="F10" s="960"/>
      <c r="G10" s="960"/>
      <c r="H10" s="960" t="str">
        <f>'DICTIONARY-3'!$A$5</f>
        <v>EKOplus</v>
      </c>
      <c r="I10" s="960"/>
      <c r="J10" s="960"/>
      <c r="K10" s="960"/>
      <c r="L10" s="960" t="str">
        <f>'DICTIONARY-3'!$A$5</f>
        <v>EKOplus</v>
      </c>
      <c r="M10" s="960"/>
      <c r="N10" s="960"/>
      <c r="O10" s="960"/>
    </row>
    <row r="11" spans="1:15" x14ac:dyDescent="0.25">
      <c r="A11" s="57"/>
      <c r="B11" s="57"/>
      <c r="C11" s="57"/>
      <c r="D11" s="961" t="str">
        <f>LOWER('DICTIONARY-5'!$A$80)</f>
        <v>z mechanicznym wskaźnikiem położenia</v>
      </c>
      <c r="E11" s="961"/>
      <c r="F11" s="961"/>
      <c r="G11" s="961"/>
      <c r="H11" s="961" t="str">
        <f>'DICTIONARY-5'!$A$81</f>
        <v>z czujnikami mechanicznymi</v>
      </c>
      <c r="I11" s="961"/>
      <c r="J11" s="961"/>
      <c r="K11" s="961"/>
      <c r="L11" s="961" t="str">
        <f>'DICTIONARY-5'!$A$82</f>
        <v>z czujnikami indukcyjnymi</v>
      </c>
      <c r="M11" s="961"/>
      <c r="N11" s="961"/>
      <c r="O11" s="961"/>
    </row>
    <row r="12" spans="1:15" x14ac:dyDescent="0.25">
      <c r="A12" s="39"/>
      <c r="B12" s="39"/>
      <c r="C12" s="39" t="str">
        <f>'DICTIONARY-2'!$A$18</f>
        <v>[mm]</v>
      </c>
      <c r="D12" s="40" t="str">
        <f>'DICTIONARY-2'!$A$28</f>
        <v>stary nr zamówienia</v>
      </c>
      <c r="E12" s="40" t="str">
        <f>'DICTIONARY-2'!$A$29</f>
        <v>nowy nr zamówienia</v>
      </c>
      <c r="F12" s="41" t="str">
        <f>CURRENCY.CODE_1</f>
        <v>EUR</v>
      </c>
      <c r="G12" s="41" t="str">
        <f>CURRENCY.CODE_2</f>
        <v>---</v>
      </c>
      <c r="H12" s="40" t="str">
        <f>'DICTIONARY-2'!$A$28</f>
        <v>stary nr zamówienia</v>
      </c>
      <c r="I12" s="40" t="str">
        <f>'DICTIONARY-2'!$A$29</f>
        <v>nowy nr zamówienia</v>
      </c>
      <c r="J12" s="41" t="str">
        <f>CURRENCY.CODE_1</f>
        <v>EUR</v>
      </c>
      <c r="K12" s="41" t="str">
        <f>CURRENCY.CODE_2</f>
        <v>---</v>
      </c>
      <c r="L12" s="40" t="str">
        <f>'DICTIONARY-2'!$A$28</f>
        <v>stary nr zamówienia</v>
      </c>
      <c r="M12" s="40" t="str">
        <f>'DICTIONARY-2'!$A$29</f>
        <v>nowy nr zamówienia</v>
      </c>
      <c r="N12" s="41" t="str">
        <f>CURRENCY.CODE_1</f>
        <v>EUR</v>
      </c>
      <c r="O12" s="41" t="str">
        <f>CURRENCY.CODE_2</f>
        <v>---</v>
      </c>
    </row>
    <row r="13" spans="1:15" x14ac:dyDescent="0.25">
      <c r="A13" s="42">
        <v>40</v>
      </c>
      <c r="B13" s="42" t="s">
        <v>85</v>
      </c>
      <c r="C13" s="42">
        <v>140</v>
      </c>
      <c r="D13" s="42" t="s">
        <v>341</v>
      </c>
      <c r="E13" s="329" t="str">
        <f>'DICTIONARY-5'!$A$2</f>
        <v>na zapytanie</v>
      </c>
      <c r="F13" s="339" t="str">
        <f>IFERROR(IF(OR(E13='DICTIONARY-5'!$A$2,E13='DICTIONARY-5'!$A$4,ISBLANK(E13)),VLOOKUP(D13,LIST!$A$6:$L$3250,CURR_1.SEARCH.OLD,0),VLOOKUP(E13,LIST!$B$6:$L$3250,CURR_1.SEARCH.NEW,0)),'DICTIONARY-5'!$A$2)</f>
        <v>na zapytanie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42" t="s">
        <v>342</v>
      </c>
      <c r="I13" s="330" t="str">
        <f>'DICTIONARY-5'!$A$2</f>
        <v>na zapytanie</v>
      </c>
      <c r="J13" s="339" t="str">
        <f>IFERROR(IF(OR(I13='DICTIONARY-5'!$A$2,I13='DICTIONARY-5'!$A$4,ISBLANK(I13)),VLOOKUP(H13,LIST!$A$6:$L$3250,CURR_1.SEARCH.OLD,0),VLOOKUP(I13,LIST!$B$6:$L$3250,CURR_1.SEARCH.NEW,0)),'DICTIONARY-5'!$A$2)</f>
        <v>na zapytanie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  <c r="L13" s="42" t="s">
        <v>343</v>
      </c>
      <c r="M13" s="330" t="str">
        <f>'DICTIONARY-5'!$A$2</f>
        <v>na zapytanie</v>
      </c>
      <c r="N13" s="339" t="str">
        <f>IFERROR(IF(OR(M13='DICTIONARY-5'!$A$2,M13='DICTIONARY-5'!$A$4,ISBLANK(M13)),VLOOKUP(L13,LIST!$A$6:$L$3250,CURR_1.SEARCH.OLD,0),VLOOKUP(M13,LIST!$B$6:$L$3250,CURR_1.SEARCH.NEW,0)),'DICTIONARY-5'!$A$2)</f>
        <v>na zapytanie</v>
      </c>
      <c r="O13" s="339" t="str">
        <f>IFERROR(IF(OR(M13='DICTIONARY-5'!$A$2,M13='DICTIONARY-5'!$A$4,ISBLANK(M13)),VLOOKUP(L13,LIST!$A$6:$M$3250,CURR_2.SEARCH.OLD,0),VLOOKUP(M13,LIST!$B$6:$M$3250,CURR_2.SEARCH.NEW,0)),'DICTIONARY-5'!$A$2)</f>
        <v/>
      </c>
    </row>
    <row r="14" spans="1:15" x14ac:dyDescent="0.25">
      <c r="A14" s="42">
        <v>50</v>
      </c>
      <c r="B14" s="42" t="s">
        <v>85</v>
      </c>
      <c r="C14" s="42">
        <v>150</v>
      </c>
      <c r="D14" s="42" t="s">
        <v>344</v>
      </c>
      <c r="E14" s="329" t="s">
        <v>3376</v>
      </c>
      <c r="F14" s="339" t="str">
        <f>IFERROR(IF(OR(E14='DICTIONARY-5'!$A$2,E14='DICTIONARY-5'!$A$4,ISBLANK(E14)),VLOOKUP(D14,LIST!$A$6:$L$3250,CURR_1.SEARCH.OLD,0),VLOOKUP(E14,LIST!$B$6:$L$3250,CURR_1.SEARCH.NEW,0)),'DICTIONARY-5'!$A$2)</f>
        <v>400,-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42" t="s">
        <v>345</v>
      </c>
      <c r="I14" s="330" t="str">
        <f>'DICTIONARY-5'!$A$2</f>
        <v>na zapytanie</v>
      </c>
      <c r="J14" s="339" t="str">
        <f>IFERROR(IF(OR(I14='DICTIONARY-5'!$A$2,I14='DICTIONARY-5'!$A$4,ISBLANK(I14)),VLOOKUP(H14,LIST!$A$6:$L$3250,CURR_1.SEARCH.OLD,0),VLOOKUP(I14,LIST!$B$6:$L$3250,CURR_1.SEARCH.NEW,0)),'DICTIONARY-5'!$A$2)</f>
        <v>na zapytanie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  <c r="L14" s="42" t="s">
        <v>346</v>
      </c>
      <c r="M14" s="330" t="str">
        <f>'DICTIONARY-5'!$A$2</f>
        <v>na zapytanie</v>
      </c>
      <c r="N14" s="339" t="str">
        <f>IFERROR(IF(OR(M14='DICTIONARY-5'!$A$2,M14='DICTIONARY-5'!$A$4,ISBLANK(M14)),VLOOKUP(L14,LIST!$A$6:$L$3250,CURR_1.SEARCH.OLD,0),VLOOKUP(M14,LIST!$B$6:$L$3250,CURR_1.SEARCH.NEW,0)),'DICTIONARY-5'!$A$2)</f>
        <v>na zapytanie</v>
      </c>
      <c r="O14" s="339" t="str">
        <f>IFERROR(IF(OR(M14='DICTIONARY-5'!$A$2,M14='DICTIONARY-5'!$A$4,ISBLANK(M14)),VLOOKUP(L14,LIST!$A$6:$M$3250,CURR_2.SEARCH.OLD,0),VLOOKUP(M14,LIST!$B$6:$M$3250,CURR_2.SEARCH.NEW,0)),'DICTIONARY-5'!$A$2)</f>
        <v/>
      </c>
    </row>
    <row r="15" spans="1:15" x14ac:dyDescent="0.25">
      <c r="A15" s="42">
        <v>65</v>
      </c>
      <c r="B15" s="42" t="s">
        <v>85</v>
      </c>
      <c r="C15" s="42">
        <v>170</v>
      </c>
      <c r="D15" s="42" t="s">
        <v>347</v>
      </c>
      <c r="E15" s="329" t="s">
        <v>3380</v>
      </c>
      <c r="F15" s="339" t="str">
        <f>IFERROR(IF(OR(E15='DICTIONARY-5'!$A$2,E15='DICTIONARY-5'!$A$4,ISBLANK(E15)),VLOOKUP(D15,LIST!$A$6:$L$3250,CURR_1.SEARCH.OLD,0),VLOOKUP(E15,LIST!$B$6:$L$3250,CURR_1.SEARCH.NEW,0)),'DICTIONARY-5'!$A$2)</f>
        <v>463,-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42" t="s">
        <v>348</v>
      </c>
      <c r="I15" s="330" t="s">
        <v>3381</v>
      </c>
      <c r="J15" s="339" t="str">
        <f>IFERROR(IF(OR(I15='DICTIONARY-5'!$A$2,I15='DICTIONARY-5'!$A$4,ISBLANK(I15)),VLOOKUP(H15,LIST!$A$6:$L$3250,CURR_1.SEARCH.OLD,0),VLOOKUP(I15,LIST!$B$6:$L$3250,CURR_1.SEARCH.NEW,0)),'DICTIONARY-5'!$A$2)</f>
        <v>590,-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  <c r="L15" s="42" t="s">
        <v>349</v>
      </c>
      <c r="M15" s="330" t="str">
        <f>'DICTIONARY-5'!$A$2</f>
        <v>na zapytanie</v>
      </c>
      <c r="N15" s="339" t="str">
        <f>IFERROR(IF(OR(M15='DICTIONARY-5'!$A$2,M15='DICTIONARY-5'!$A$4,ISBLANK(M15)),VLOOKUP(L15,LIST!$A$6:$L$3250,CURR_1.SEARCH.OLD,0),VLOOKUP(M15,LIST!$B$6:$L$3250,CURR_1.SEARCH.NEW,0)),'DICTIONARY-5'!$A$2)</f>
        <v>na zapytanie</v>
      </c>
      <c r="O15" s="339" t="str">
        <f>IFERROR(IF(OR(M15='DICTIONARY-5'!$A$2,M15='DICTIONARY-5'!$A$4,ISBLANK(M15)),VLOOKUP(L15,LIST!$A$6:$M$3250,CURR_2.SEARCH.OLD,0),VLOOKUP(M15,LIST!$B$6:$M$3250,CURR_2.SEARCH.NEW,0)),'DICTIONARY-5'!$A$2)</f>
        <v/>
      </c>
    </row>
    <row r="16" spans="1:15" x14ac:dyDescent="0.25">
      <c r="A16" s="42">
        <v>80</v>
      </c>
      <c r="B16" s="42" t="s">
        <v>85</v>
      </c>
      <c r="C16" s="42">
        <v>180</v>
      </c>
      <c r="D16" s="42" t="s">
        <v>350</v>
      </c>
      <c r="E16" s="329" t="s">
        <v>3385</v>
      </c>
      <c r="F16" s="339" t="str">
        <f>IFERROR(IF(OR(E16='DICTIONARY-5'!$A$2,E16='DICTIONARY-5'!$A$4,ISBLANK(E16)),VLOOKUP(D16,LIST!$A$6:$L$3250,CURR_1.SEARCH.OLD,0),VLOOKUP(E16,LIST!$B$6:$L$3250,CURR_1.SEARCH.NEW,0)),'DICTIONARY-5'!$A$2)</f>
        <v>450,-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42" t="s">
        <v>351</v>
      </c>
      <c r="I16" s="330" t="s">
        <v>3386</v>
      </c>
      <c r="J16" s="339" t="str">
        <f>IFERROR(IF(OR(I16='DICTIONARY-5'!$A$2,I16='DICTIONARY-5'!$A$4,ISBLANK(I16)),VLOOKUP(H16,LIST!$A$6:$L$3250,CURR_1.SEARCH.OLD,0),VLOOKUP(I16,LIST!$B$6:$L$3250,CURR_1.SEARCH.NEW,0)),'DICTIONARY-5'!$A$2)</f>
        <v>569,-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  <c r="L16" s="42" t="s">
        <v>352</v>
      </c>
      <c r="M16" s="330" t="str">
        <f>'DICTIONARY-5'!$A$2</f>
        <v>na zapytanie</v>
      </c>
      <c r="N16" s="339" t="str">
        <f>IFERROR(IF(OR(M16='DICTIONARY-5'!$A$2,M16='DICTIONARY-5'!$A$4,ISBLANK(M16)),VLOOKUP(L16,LIST!$A$6:$L$3250,CURR_1.SEARCH.OLD,0),VLOOKUP(M16,LIST!$B$6:$L$3250,CURR_1.SEARCH.NEW,0)),'DICTIONARY-5'!$A$2)</f>
        <v>na zapytanie</v>
      </c>
      <c r="O16" s="339" t="str">
        <f>IFERROR(IF(OR(M16='DICTIONARY-5'!$A$2,M16='DICTIONARY-5'!$A$4,ISBLANK(M16)),VLOOKUP(L16,LIST!$A$6:$M$3250,CURR_2.SEARCH.OLD,0),VLOOKUP(M16,LIST!$B$6:$M$3250,CURR_2.SEARCH.NEW,0)),'DICTIONARY-5'!$A$2)</f>
        <v/>
      </c>
    </row>
    <row r="17" spans="1:15" x14ac:dyDescent="0.25">
      <c r="A17" s="42">
        <v>100</v>
      </c>
      <c r="B17" s="42" t="s">
        <v>85</v>
      </c>
      <c r="C17" s="42">
        <v>190</v>
      </c>
      <c r="D17" s="42" t="s">
        <v>353</v>
      </c>
      <c r="E17" s="329" t="str">
        <f>'DICTIONARY-5'!$A$2</f>
        <v>na zapytanie</v>
      </c>
      <c r="F17" s="339" t="str">
        <f>IFERROR(IF(OR(E17='DICTIONARY-5'!$A$2,E17='DICTIONARY-5'!$A$4,ISBLANK(E17)),VLOOKUP(D17,LIST!$A$6:$L$3250,CURR_1.SEARCH.OLD,0),VLOOKUP(E17,LIST!$B$6:$L$3250,CURR_1.SEARCH.NEW,0)),'DICTIONARY-5'!$A$2)</f>
        <v>na zapytanie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42" t="s">
        <v>354</v>
      </c>
      <c r="I17" s="330" t="str">
        <f>'DICTIONARY-5'!$A$2</f>
        <v>na zapytanie</v>
      </c>
      <c r="J17" s="339" t="str">
        <f>IFERROR(IF(OR(I17='DICTIONARY-5'!$A$2,I17='DICTIONARY-5'!$A$4,ISBLANK(I17)),VLOOKUP(H17,LIST!$A$6:$L$3250,CURR_1.SEARCH.OLD,0),VLOOKUP(I17,LIST!$B$6:$L$3250,CURR_1.SEARCH.NEW,0)),'DICTIONARY-5'!$A$2)</f>
        <v>na zapytanie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  <c r="L17" s="42" t="s">
        <v>355</v>
      </c>
      <c r="M17" s="330" t="str">
        <f>'DICTIONARY-5'!$A$2</f>
        <v>na zapytanie</v>
      </c>
      <c r="N17" s="339" t="str">
        <f>IFERROR(IF(OR(M17='DICTIONARY-5'!$A$2,M17='DICTIONARY-5'!$A$4,ISBLANK(M17)),VLOOKUP(L17,LIST!$A$6:$L$3250,CURR_1.SEARCH.OLD,0),VLOOKUP(M17,LIST!$B$6:$L$3250,CURR_1.SEARCH.NEW,0)),'DICTIONARY-5'!$A$2)</f>
        <v>na zapytanie</v>
      </c>
      <c r="O17" s="339" t="str">
        <f>IFERROR(IF(OR(M17='DICTIONARY-5'!$A$2,M17='DICTIONARY-5'!$A$4,ISBLANK(M17)),VLOOKUP(L17,LIST!$A$6:$M$3250,CURR_2.SEARCH.OLD,0),VLOOKUP(M17,LIST!$B$6:$M$3250,CURR_2.SEARCH.NEW,0)),'DICTIONARY-5'!$A$2)</f>
        <v/>
      </c>
    </row>
    <row r="18" spans="1:15" x14ac:dyDescent="0.25">
      <c r="A18" s="42">
        <v>125</v>
      </c>
      <c r="B18" s="42" t="s">
        <v>85</v>
      </c>
      <c r="C18" s="42">
        <v>200</v>
      </c>
      <c r="D18" s="42" t="s">
        <v>356</v>
      </c>
      <c r="E18" s="329" t="str">
        <f>'DICTIONARY-5'!$A$2</f>
        <v>na zapytanie</v>
      </c>
      <c r="F18" s="339" t="str">
        <f>IFERROR(IF(OR(E18='DICTIONARY-5'!$A$2,E18='DICTIONARY-5'!$A$4,ISBLANK(E18)),VLOOKUP(D18,LIST!$A$6:$L$3250,CURR_1.SEARCH.OLD,0),VLOOKUP(E18,LIST!$B$6:$L$3250,CURR_1.SEARCH.NEW,0)),'DICTIONARY-5'!$A$2)</f>
        <v>na zapytanie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42" t="s">
        <v>357</v>
      </c>
      <c r="I18" s="330" t="str">
        <f>'DICTIONARY-5'!$A$2</f>
        <v>na zapytanie</v>
      </c>
      <c r="J18" s="339" t="str">
        <f>IFERROR(IF(OR(I18='DICTIONARY-5'!$A$2,I18='DICTIONARY-5'!$A$4,ISBLANK(I18)),VLOOKUP(H18,LIST!$A$6:$L$3250,CURR_1.SEARCH.OLD,0),VLOOKUP(I18,LIST!$B$6:$L$3250,CURR_1.SEARCH.NEW,0)),'DICTIONARY-5'!$A$2)</f>
        <v>na zapytanie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  <c r="L18" s="42" t="s">
        <v>358</v>
      </c>
      <c r="M18" s="330" t="str">
        <f>'DICTIONARY-5'!$A$2</f>
        <v>na zapytanie</v>
      </c>
      <c r="N18" s="339" t="str">
        <f>IFERROR(IF(OR(M18='DICTIONARY-5'!$A$2,M18='DICTIONARY-5'!$A$4,ISBLANK(M18)),VLOOKUP(L18,LIST!$A$6:$L$3250,CURR_1.SEARCH.OLD,0),VLOOKUP(M18,LIST!$B$6:$L$3250,CURR_1.SEARCH.NEW,0)),'DICTIONARY-5'!$A$2)</f>
        <v>na zapytanie</v>
      </c>
      <c r="O18" s="339" t="str">
        <f>IFERROR(IF(OR(M18='DICTIONARY-5'!$A$2,M18='DICTIONARY-5'!$A$4,ISBLANK(M18)),VLOOKUP(L18,LIST!$A$6:$M$3250,CURR_2.SEARCH.OLD,0),VLOOKUP(M18,LIST!$B$6:$M$3250,CURR_2.SEARCH.NEW,0)),'DICTIONARY-5'!$A$2)</f>
        <v/>
      </c>
    </row>
    <row r="19" spans="1:15" x14ac:dyDescent="0.25">
      <c r="A19" s="42">
        <v>150</v>
      </c>
      <c r="B19" s="42" t="s">
        <v>85</v>
      </c>
      <c r="C19" s="42">
        <v>210</v>
      </c>
      <c r="D19" s="42" t="s">
        <v>359</v>
      </c>
      <c r="E19" s="329" t="str">
        <f>'DICTIONARY-5'!$A$2</f>
        <v>na zapytanie</v>
      </c>
      <c r="F19" s="339" t="str">
        <f>IFERROR(IF(OR(E19='DICTIONARY-5'!$A$2,E19='DICTIONARY-5'!$A$4,ISBLANK(E19)),VLOOKUP(D19,LIST!$A$6:$L$3250,CURR_1.SEARCH.OLD,0),VLOOKUP(E19,LIST!$B$6:$L$3250,CURR_1.SEARCH.NEW,0)),'DICTIONARY-5'!$A$2)</f>
        <v>na zapytanie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42" t="s">
        <v>360</v>
      </c>
      <c r="I19" s="330" t="str">
        <f>'DICTIONARY-5'!$A$2</f>
        <v>na zapytanie</v>
      </c>
      <c r="J19" s="339" t="str">
        <f>IFERROR(IF(OR(I19='DICTIONARY-5'!$A$2,I19='DICTIONARY-5'!$A$4,ISBLANK(I19)),VLOOKUP(H19,LIST!$A$6:$L$3250,CURR_1.SEARCH.OLD,0),VLOOKUP(I19,LIST!$B$6:$L$3250,CURR_1.SEARCH.NEW,0)),'DICTIONARY-5'!$A$2)</f>
        <v>na zapytanie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  <c r="L19" s="42" t="s">
        <v>361</v>
      </c>
      <c r="M19" s="330" t="str">
        <f>'DICTIONARY-5'!$A$2</f>
        <v>na zapytanie</v>
      </c>
      <c r="N19" s="339" t="str">
        <f>IFERROR(IF(OR(M19='DICTIONARY-5'!$A$2,M19='DICTIONARY-5'!$A$4,ISBLANK(M19)),VLOOKUP(L19,LIST!$A$6:$L$3250,CURR_1.SEARCH.OLD,0),VLOOKUP(M19,LIST!$B$6:$L$3250,CURR_1.SEARCH.NEW,0)),'DICTIONARY-5'!$A$2)</f>
        <v>na zapytanie</v>
      </c>
      <c r="O19" s="339" t="str">
        <f>IFERROR(IF(OR(M19='DICTIONARY-5'!$A$2,M19='DICTIONARY-5'!$A$4,ISBLANK(M19)),VLOOKUP(L19,LIST!$A$6:$M$3250,CURR_2.SEARCH.OLD,0),VLOOKUP(M19,LIST!$B$6:$M$3250,CURR_2.SEARCH.NEW,0)),'DICTIONARY-5'!$A$2)</f>
        <v/>
      </c>
    </row>
    <row r="20" spans="1:15" x14ac:dyDescent="0.25">
      <c r="A20" s="42">
        <v>200</v>
      </c>
      <c r="B20" s="42">
        <v>10</v>
      </c>
      <c r="C20" s="42">
        <v>230</v>
      </c>
      <c r="D20" s="42" t="s">
        <v>362</v>
      </c>
      <c r="E20" s="329" t="str">
        <f>'DICTIONARY-5'!$A$2</f>
        <v>na zapytanie</v>
      </c>
      <c r="F20" s="339" t="str">
        <f>IFERROR(IF(OR(E20='DICTIONARY-5'!$A$2,E20='DICTIONARY-5'!$A$4,ISBLANK(E20)),VLOOKUP(D20,LIST!$A$6:$L$3250,CURR_1.SEARCH.OLD,0),VLOOKUP(E20,LIST!$B$6:$L$3250,CURR_1.SEARCH.NEW,0)),'DICTIONARY-5'!$A$2)</f>
        <v>na zapytanie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42" t="s">
        <v>363</v>
      </c>
      <c r="I20" s="330" t="str">
        <f>'DICTIONARY-5'!$A$2</f>
        <v>na zapytanie</v>
      </c>
      <c r="J20" s="339" t="str">
        <f>IFERROR(IF(OR(I20='DICTIONARY-5'!$A$2,I20='DICTIONARY-5'!$A$4,ISBLANK(I20)),VLOOKUP(H20,LIST!$A$6:$L$3250,CURR_1.SEARCH.OLD,0),VLOOKUP(I20,LIST!$B$6:$L$3250,CURR_1.SEARCH.NEW,0)),'DICTIONARY-5'!$A$2)</f>
        <v>na zapytanie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  <c r="L20" s="42" t="s">
        <v>364</v>
      </c>
      <c r="M20" s="330" t="str">
        <f>'DICTIONARY-5'!$A$2</f>
        <v>na zapytanie</v>
      </c>
      <c r="N20" s="339" t="str">
        <f>IFERROR(IF(OR(M20='DICTIONARY-5'!$A$2,M20='DICTIONARY-5'!$A$4,ISBLANK(M20)),VLOOKUP(L20,LIST!$A$6:$L$3250,CURR_1.SEARCH.OLD,0),VLOOKUP(M20,LIST!$B$6:$L$3250,CURR_1.SEARCH.NEW,0)),'DICTIONARY-5'!$A$2)</f>
        <v>na zapytanie</v>
      </c>
      <c r="O20" s="339" t="str">
        <f>IFERROR(IF(OR(M20='DICTIONARY-5'!$A$2,M20='DICTIONARY-5'!$A$4,ISBLANK(M20)),VLOOKUP(L20,LIST!$A$6:$M$3250,CURR_2.SEARCH.OLD,0),VLOOKUP(M20,LIST!$B$6:$M$3250,CURR_2.SEARCH.NEW,0)),'DICTIONARY-5'!$A$2)</f>
        <v/>
      </c>
    </row>
    <row r="21" spans="1:15" x14ac:dyDescent="0.25">
      <c r="A21" s="42">
        <v>200</v>
      </c>
      <c r="B21" s="42">
        <v>16</v>
      </c>
      <c r="C21" s="42">
        <v>230</v>
      </c>
      <c r="D21" s="42" t="s">
        <v>365</v>
      </c>
      <c r="E21" s="329" t="str">
        <f>'DICTIONARY-5'!$A$2</f>
        <v>na zapytanie</v>
      </c>
      <c r="F21" s="339" t="str">
        <f>IFERROR(IF(OR(E21='DICTIONARY-5'!$A$2,E21='DICTIONARY-5'!$A$4,ISBLANK(E21)),VLOOKUP(D21,LIST!$A$6:$L$3250,CURR_1.SEARCH.OLD,0),VLOOKUP(E21,LIST!$B$6:$L$3250,CURR_1.SEARCH.NEW,0)),'DICTIONARY-5'!$A$2)</f>
        <v>na zapytanie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42" t="s">
        <v>366</v>
      </c>
      <c r="I21" s="330" t="str">
        <f>'DICTIONARY-5'!$A$2</f>
        <v>na zapytanie</v>
      </c>
      <c r="J21" s="339" t="str">
        <f>IFERROR(IF(OR(I21='DICTIONARY-5'!$A$2,I21='DICTIONARY-5'!$A$4,ISBLANK(I21)),VLOOKUP(H21,LIST!$A$6:$L$3250,CURR_1.SEARCH.OLD,0),VLOOKUP(I21,LIST!$B$6:$L$3250,CURR_1.SEARCH.NEW,0)),'DICTIONARY-5'!$A$2)</f>
        <v>na zapytanie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  <c r="L21" s="42" t="s">
        <v>367</v>
      </c>
      <c r="M21" s="330" t="str">
        <f>'DICTIONARY-5'!$A$2</f>
        <v>na zapytanie</v>
      </c>
      <c r="N21" s="339" t="str">
        <f>IFERROR(IF(OR(M21='DICTIONARY-5'!$A$2,M21='DICTIONARY-5'!$A$4,ISBLANK(M21)),VLOOKUP(L21,LIST!$A$6:$L$3250,CURR_1.SEARCH.OLD,0),VLOOKUP(M21,LIST!$B$6:$L$3250,CURR_1.SEARCH.NEW,0)),'DICTIONARY-5'!$A$2)</f>
        <v>na zapytanie</v>
      </c>
      <c r="O21" s="339" t="str">
        <f>IFERROR(IF(OR(M21='DICTIONARY-5'!$A$2,M21='DICTIONARY-5'!$A$4,ISBLANK(M21)),VLOOKUP(L21,LIST!$A$6:$M$3250,CURR_2.SEARCH.OLD,0),VLOOKUP(M21,LIST!$B$6:$M$3250,CURR_2.SEARCH.NEW,0)),'DICTIONARY-5'!$A$2)</f>
        <v/>
      </c>
    </row>
    <row r="22" spans="1:15" x14ac:dyDescent="0.25">
      <c r="A22" s="42">
        <v>250</v>
      </c>
      <c r="B22" s="42">
        <v>10</v>
      </c>
      <c r="C22" s="42">
        <v>250</v>
      </c>
      <c r="D22" s="42" t="s">
        <v>368</v>
      </c>
      <c r="E22" s="329" t="str">
        <f>'DICTIONARY-5'!$A$2</f>
        <v>na zapytanie</v>
      </c>
      <c r="F22" s="339" t="str">
        <f>IFERROR(IF(OR(E22='DICTIONARY-5'!$A$2,E22='DICTIONARY-5'!$A$4,ISBLANK(E22)),VLOOKUP(D22,LIST!$A$6:$L$3250,CURR_1.SEARCH.OLD,0),VLOOKUP(E22,LIST!$B$6:$L$3250,CURR_1.SEARCH.NEW,0)),'DICTIONARY-5'!$A$2)</f>
        <v>na zapytanie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42" t="s">
        <v>369</v>
      </c>
      <c r="I22" s="330" t="str">
        <f>'DICTIONARY-5'!$A$2</f>
        <v>na zapytanie</v>
      </c>
      <c r="J22" s="339" t="str">
        <f>IFERROR(IF(OR(I22='DICTIONARY-5'!$A$2,I22='DICTIONARY-5'!$A$4,ISBLANK(I22)),VLOOKUP(H22,LIST!$A$6:$L$3250,CURR_1.SEARCH.OLD,0),VLOOKUP(I22,LIST!$B$6:$L$3250,CURR_1.SEARCH.NEW,0)),'DICTIONARY-5'!$A$2)</f>
        <v>na zapytanie</v>
      </c>
      <c r="K22" s="339" t="str">
        <f>IFERROR(IF(OR(I22='DICTIONARY-5'!$A$2,I22='DICTIONARY-5'!$A$4,ISBLANK(I22)),VLOOKUP(H22,LIST!$A$6:$M$3250,CURR_2.SEARCH.OLD,0),VLOOKUP(I22,LIST!$B$6:$M$3250,CURR_2.SEARCH.NEW,0)),'DICTIONARY-5'!$A$2)</f>
        <v/>
      </c>
      <c r="L22" s="42" t="s">
        <v>370</v>
      </c>
      <c r="M22" s="330" t="str">
        <f>'DICTIONARY-5'!$A$2</f>
        <v>na zapytanie</v>
      </c>
      <c r="N22" s="339" t="str">
        <f>IFERROR(IF(OR(M22='DICTIONARY-5'!$A$2,M22='DICTIONARY-5'!$A$4,ISBLANK(M22)),VLOOKUP(L22,LIST!$A$6:$L$3250,CURR_1.SEARCH.OLD,0),VLOOKUP(M22,LIST!$B$6:$L$3250,CURR_1.SEARCH.NEW,0)),'DICTIONARY-5'!$A$2)</f>
        <v>na zapytanie</v>
      </c>
      <c r="O22" s="339" t="str">
        <f>IFERROR(IF(OR(M22='DICTIONARY-5'!$A$2,M22='DICTIONARY-5'!$A$4,ISBLANK(M22)),VLOOKUP(L22,LIST!$A$6:$M$3250,CURR_2.SEARCH.OLD,0),VLOOKUP(M22,LIST!$B$6:$M$3250,CURR_2.SEARCH.NEW,0)),'DICTIONARY-5'!$A$2)</f>
        <v/>
      </c>
    </row>
    <row r="23" spans="1:15" x14ac:dyDescent="0.25">
      <c r="A23" s="42">
        <v>250</v>
      </c>
      <c r="B23" s="42">
        <v>16</v>
      </c>
      <c r="C23" s="42">
        <v>250</v>
      </c>
      <c r="D23" s="42" t="s">
        <v>371</v>
      </c>
      <c r="E23" s="329" t="str">
        <f>'DICTIONARY-5'!$A$2</f>
        <v>na zapytanie</v>
      </c>
      <c r="F23" s="339" t="str">
        <f>IFERROR(IF(OR(E23='DICTIONARY-5'!$A$2,E23='DICTIONARY-5'!$A$4,ISBLANK(E23)),VLOOKUP(D23,LIST!$A$6:$L$3250,CURR_1.SEARCH.OLD,0),VLOOKUP(E23,LIST!$B$6:$L$3250,CURR_1.SEARCH.NEW,0)),'DICTIONARY-5'!$A$2)</f>
        <v>na zapytanie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42" t="s">
        <v>372</v>
      </c>
      <c r="I23" s="330" t="str">
        <f>'DICTIONARY-5'!$A$2</f>
        <v>na zapytanie</v>
      </c>
      <c r="J23" s="339" t="str">
        <f>IFERROR(IF(OR(I23='DICTIONARY-5'!$A$2,I23='DICTIONARY-5'!$A$4,ISBLANK(I23)),VLOOKUP(H23,LIST!$A$6:$L$3250,CURR_1.SEARCH.OLD,0),VLOOKUP(I23,LIST!$B$6:$L$3250,CURR_1.SEARCH.NEW,0)),'DICTIONARY-5'!$A$2)</f>
        <v>na zapytanie</v>
      </c>
      <c r="K23" s="339" t="str">
        <f>IFERROR(IF(OR(I23='DICTIONARY-5'!$A$2,I23='DICTIONARY-5'!$A$4,ISBLANK(I23)),VLOOKUP(H23,LIST!$A$6:$M$3250,CURR_2.SEARCH.OLD,0),VLOOKUP(I23,LIST!$B$6:$M$3250,CURR_2.SEARCH.NEW,0)),'DICTIONARY-5'!$A$2)</f>
        <v/>
      </c>
      <c r="L23" s="42" t="s">
        <v>373</v>
      </c>
      <c r="M23" s="330" t="str">
        <f>'DICTIONARY-5'!$A$2</f>
        <v>na zapytanie</v>
      </c>
      <c r="N23" s="339" t="str">
        <f>IFERROR(IF(OR(M23='DICTIONARY-5'!$A$2,M23='DICTIONARY-5'!$A$4,ISBLANK(M23)),VLOOKUP(L23,LIST!$A$6:$L$3250,CURR_1.SEARCH.OLD,0),VLOOKUP(M23,LIST!$B$6:$L$3250,CURR_1.SEARCH.NEW,0)),'DICTIONARY-5'!$A$2)</f>
        <v>na zapytanie</v>
      </c>
      <c r="O23" s="339" t="str">
        <f>IFERROR(IF(OR(M23='DICTIONARY-5'!$A$2,M23='DICTIONARY-5'!$A$4,ISBLANK(M23)),VLOOKUP(L23,LIST!$A$6:$M$3250,CURR_2.SEARCH.OLD,0),VLOOKUP(M23,LIST!$B$6:$M$3250,CURR_2.SEARCH.NEW,0)),'DICTIONARY-5'!$A$2)</f>
        <v/>
      </c>
    </row>
    <row r="24" spans="1:15" x14ac:dyDescent="0.25">
      <c r="A24" s="42">
        <v>300</v>
      </c>
      <c r="B24" s="42">
        <v>10</v>
      </c>
      <c r="C24" s="42">
        <v>270</v>
      </c>
      <c r="D24" s="42" t="s">
        <v>374</v>
      </c>
      <c r="E24" s="329" t="s">
        <v>3338</v>
      </c>
      <c r="F24" s="339" t="str">
        <f>IFERROR(IF(OR(E24='DICTIONARY-5'!$A$2,E24='DICTIONARY-5'!$A$4,ISBLANK(E24)),VLOOKUP(D24,LIST!$A$6:$L$3250,CURR_1.SEARCH.OLD,0),VLOOKUP(E24,LIST!$B$6:$L$3250,CURR_1.SEARCH.NEW,0)),'DICTIONARY-5'!$A$2)</f>
        <v>1 437,-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42" t="s">
        <v>375</v>
      </c>
      <c r="I24" s="330" t="str">
        <f>'DICTIONARY-5'!$A$2</f>
        <v>na zapytanie</v>
      </c>
      <c r="J24" s="339" t="str">
        <f>IFERROR(IF(OR(I24='DICTIONARY-5'!$A$2,I24='DICTIONARY-5'!$A$4,ISBLANK(I24)),VLOOKUP(H24,LIST!$A$6:$L$3250,CURR_1.SEARCH.OLD,0),VLOOKUP(I24,LIST!$B$6:$L$3250,CURR_1.SEARCH.NEW,0)),'DICTIONARY-5'!$A$2)</f>
        <v>na zapytanie</v>
      </c>
      <c r="K24" s="339" t="str">
        <f>IFERROR(IF(OR(I24='DICTIONARY-5'!$A$2,I24='DICTIONARY-5'!$A$4,ISBLANK(I24)),VLOOKUP(H24,LIST!$A$6:$M$3250,CURR_2.SEARCH.OLD,0),VLOOKUP(I24,LIST!$B$6:$M$3250,CURR_2.SEARCH.NEW,0)),'DICTIONARY-5'!$A$2)</f>
        <v/>
      </c>
      <c r="L24" s="42" t="s">
        <v>376</v>
      </c>
      <c r="M24" s="330" t="str">
        <f>'DICTIONARY-5'!$A$2</f>
        <v>na zapytanie</v>
      </c>
      <c r="N24" s="339" t="str">
        <f>IFERROR(IF(OR(M24='DICTIONARY-5'!$A$2,M24='DICTIONARY-5'!$A$4,ISBLANK(M24)),VLOOKUP(L24,LIST!$A$6:$L$3250,CURR_1.SEARCH.OLD,0),VLOOKUP(M24,LIST!$B$6:$L$3250,CURR_1.SEARCH.NEW,0)),'DICTIONARY-5'!$A$2)</f>
        <v>na zapytanie</v>
      </c>
      <c r="O24" s="339" t="str">
        <f>IFERROR(IF(OR(M24='DICTIONARY-5'!$A$2,M24='DICTIONARY-5'!$A$4,ISBLANK(M24)),VLOOKUP(L24,LIST!$A$6:$M$3250,CURR_2.SEARCH.OLD,0),VLOOKUP(M24,LIST!$B$6:$M$3250,CURR_2.SEARCH.NEW,0)),'DICTIONARY-5'!$A$2)</f>
        <v/>
      </c>
    </row>
    <row r="25" spans="1:15" x14ac:dyDescent="0.25">
      <c r="A25" s="42">
        <v>300</v>
      </c>
      <c r="B25" s="42">
        <v>16</v>
      </c>
      <c r="C25" s="42">
        <v>270</v>
      </c>
      <c r="D25" s="42" t="s">
        <v>377</v>
      </c>
      <c r="E25" s="329" t="s">
        <v>3405</v>
      </c>
      <c r="F25" s="339" t="str">
        <f>IFERROR(IF(OR(E25='DICTIONARY-5'!$A$2,E25='DICTIONARY-5'!$A$4,ISBLANK(E25)),VLOOKUP(D25,LIST!$A$6:$L$3250,CURR_1.SEARCH.OLD,0),VLOOKUP(E25,LIST!$B$6:$L$3250,CURR_1.SEARCH.NEW,0)),'DICTIONARY-5'!$A$2)</f>
        <v>1 380,-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42" t="s">
        <v>378</v>
      </c>
      <c r="I25" s="330" t="str">
        <f>'DICTIONARY-5'!$A$2</f>
        <v>na zapytanie</v>
      </c>
      <c r="J25" s="339" t="str">
        <f>IFERROR(IF(OR(I25='DICTIONARY-5'!$A$2,I25='DICTIONARY-5'!$A$4,ISBLANK(I25)),VLOOKUP(H25,LIST!$A$6:$L$3250,CURR_1.SEARCH.OLD,0),VLOOKUP(I25,LIST!$B$6:$L$3250,CURR_1.SEARCH.NEW,0)),'DICTIONARY-5'!$A$2)</f>
        <v>na zapytanie</v>
      </c>
      <c r="K25" s="339" t="str">
        <f>IFERROR(IF(OR(I25='DICTIONARY-5'!$A$2,I25='DICTIONARY-5'!$A$4,ISBLANK(I25)),VLOOKUP(H25,LIST!$A$6:$M$3250,CURR_2.SEARCH.OLD,0),VLOOKUP(I25,LIST!$B$6:$M$3250,CURR_2.SEARCH.NEW,0)),'DICTIONARY-5'!$A$2)</f>
        <v/>
      </c>
      <c r="L25" s="42" t="s">
        <v>379</v>
      </c>
      <c r="M25" s="330" t="str">
        <f>'DICTIONARY-5'!$A$2</f>
        <v>na zapytanie</v>
      </c>
      <c r="N25" s="339" t="str">
        <f>IFERROR(IF(OR(M25='DICTIONARY-5'!$A$2,M25='DICTIONARY-5'!$A$4,ISBLANK(M25)),VLOOKUP(L25,LIST!$A$6:$L$3250,CURR_1.SEARCH.OLD,0),VLOOKUP(M25,LIST!$B$6:$L$3250,CURR_1.SEARCH.NEW,0)),'DICTIONARY-5'!$A$2)</f>
        <v>na zapytanie</v>
      </c>
      <c r="O25" s="339" t="str">
        <f>IFERROR(IF(OR(M25='DICTIONARY-5'!$A$2,M25='DICTIONARY-5'!$A$4,ISBLANK(M25)),VLOOKUP(L25,LIST!$A$6:$M$3250,CURR_2.SEARCH.OLD,0),VLOOKUP(M25,LIST!$B$6:$M$3250,CURR_2.SEARCH.NEW,0)),'DICTIONARY-5'!$A$2)</f>
        <v/>
      </c>
    </row>
    <row r="27" spans="1:15" x14ac:dyDescent="0.25">
      <c r="A27" s="46"/>
    </row>
  </sheetData>
  <sheetProtection algorithmName="SHA-512" hashValue="UjlLSBM0GuBR3kUteQXfhN+4B0s92nhJpccz2SHZnrt6a3jATZVC4Y09JCGXhC7ypsQ/cHtk9W5gMNlXFiECCQ==" saltValue="2EwynbiiZdoHyz0sR4wfOQ==" spinCount="100000" sheet="1" objects="1" scenarios="1" autoFilter="0"/>
  <mergeCells count="7">
    <mergeCell ref="B4:E4"/>
    <mergeCell ref="D10:G10"/>
    <mergeCell ref="H10:K10"/>
    <mergeCell ref="L10:O10"/>
    <mergeCell ref="D11:G11"/>
    <mergeCell ref="H11:K11"/>
    <mergeCell ref="L11:O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9">
    <tabColor rgb="FFFFC000"/>
  </sheetPr>
  <dimension ref="A1:I41"/>
  <sheetViews>
    <sheetView workbookViewId="0"/>
  </sheetViews>
  <sheetFormatPr defaultColWidth="9.140625" defaultRowHeight="15" x14ac:dyDescent="0.25"/>
  <cols>
    <col min="1" max="3" width="9.140625" style="32"/>
    <col min="4" max="5" width="22.140625" style="32" customWidth="1"/>
    <col min="6" max="7" width="12.85546875" style="32" customWidth="1"/>
    <col min="8" max="16384" width="9.140625" style="32"/>
  </cols>
  <sheetData>
    <row r="1" spans="1:9" s="418" customFormat="1" ht="45" customHeight="1" thickBot="1" x14ac:dyDescent="0.3">
      <c r="A1" s="381"/>
      <c r="B1" s="381"/>
      <c r="C1" s="381"/>
      <c r="D1" s="381"/>
      <c r="E1" s="381"/>
    </row>
    <row r="2" spans="1:9" s="482" customFormat="1" ht="4.5" customHeight="1" x14ac:dyDescent="0.25">
      <c r="A2" s="479"/>
    </row>
    <row r="3" spans="1:9" ht="15.75" thickBot="1" x14ac:dyDescent="0.3">
      <c r="A3" s="33"/>
      <c r="B3" s="34"/>
      <c r="C3" s="34"/>
    </row>
    <row r="4" spans="1:9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9" x14ac:dyDescent="0.25">
      <c r="A5" s="33"/>
      <c r="B5" s="34"/>
      <c r="C5" s="34"/>
    </row>
    <row r="6" spans="1:9" ht="16.5" thickBot="1" x14ac:dyDescent="0.3">
      <c r="A6" s="81" t="str">
        <f>CONCATENATE('DICTIONARY-3'!$A$8," ",'DICTIONARY-3'!$A$188," / ",REPLACE('DICTIONARY-5'!$A$23,1,1,UPPER(LEFT('DICTIONARY-5'!$A$23,1))))</f>
        <v>IKOplus Zasuwa klinowa / Powłoka epoksydowa</v>
      </c>
      <c r="B6" s="91"/>
      <c r="C6" s="91"/>
      <c r="D6" s="91"/>
      <c r="E6" s="91"/>
      <c r="F6" s="91"/>
      <c r="G6" s="91"/>
    </row>
    <row r="7" spans="1:9" x14ac:dyDescent="0.25">
      <c r="A7" s="36" t="str">
        <f>CONCATENATE('DICTIONARY-3'!$A$242,", ",'DICTIONARY-5'!$A$23)</f>
        <v>Z kółkiem ręcznym, powłoka epoksydowa</v>
      </c>
      <c r="B7" s="30"/>
      <c r="C7" s="30"/>
      <c r="D7" s="30"/>
      <c r="E7" s="30"/>
      <c r="F7" s="31"/>
      <c r="G7" s="31"/>
    </row>
    <row r="8" spans="1:9" x14ac:dyDescent="0.25">
      <c r="A8" s="36" t="str">
        <f>CONCATENATE('DICTIONARY-1'!$A$10,": ",SETTINGS!$C$18)</f>
        <v>Grupa rabatowa: IKOplus</v>
      </c>
      <c r="B8" s="30"/>
      <c r="C8" s="30"/>
      <c r="D8" s="30"/>
      <c r="E8" s="30"/>
      <c r="F8" s="31"/>
      <c r="G8" s="31"/>
    </row>
    <row r="9" spans="1:9" x14ac:dyDescent="0.25">
      <c r="A9" s="37"/>
      <c r="B9" s="30"/>
      <c r="C9" s="30"/>
      <c r="D9" s="30"/>
      <c r="E9" s="30"/>
      <c r="F9" s="31"/>
      <c r="G9" s="31"/>
    </row>
    <row r="10" spans="1:9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960" t="str">
        <f>'DICTIONARY-3'!$A$8</f>
        <v>IKOplus</v>
      </c>
      <c r="E10" s="960"/>
      <c r="F10" s="960"/>
      <c r="G10" s="960"/>
    </row>
    <row r="11" spans="1:9" x14ac:dyDescent="0.25">
      <c r="A11" s="57"/>
      <c r="B11" s="57"/>
      <c r="C11" s="57"/>
      <c r="D11" s="961" t="str">
        <f>CONCATENATE('DICTIONARY-5'!$A$66," (",'DICTIONARY-5'!$A$10," 14)")</f>
        <v>budowa krótka (szereg 14)</v>
      </c>
      <c r="E11" s="961"/>
      <c r="F11" s="961"/>
      <c r="G11" s="961"/>
    </row>
    <row r="12" spans="1:9" x14ac:dyDescent="0.25">
      <c r="A12" s="39"/>
      <c r="B12" s="39"/>
      <c r="C12" s="39" t="str">
        <f>'DICTIONARY-2'!$A$18</f>
        <v>[mm]</v>
      </c>
      <c r="D12" s="40" t="str">
        <f>'DICTIONARY-2'!$A$28</f>
        <v>stary nr zamówienia</v>
      </c>
      <c r="E12" s="40" t="str">
        <f>'DICTIONARY-2'!$A$29</f>
        <v>nowy nr zamówienia</v>
      </c>
      <c r="F12" s="41" t="str">
        <f>CURRENCY.CODE_1</f>
        <v>EUR</v>
      </c>
      <c r="G12" s="41" t="str">
        <f>CURRENCY.CODE_2</f>
        <v>---</v>
      </c>
    </row>
    <row r="13" spans="1:9" x14ac:dyDescent="0.25">
      <c r="A13" s="42">
        <v>40</v>
      </c>
      <c r="B13" s="42">
        <v>10</v>
      </c>
      <c r="C13" s="42">
        <v>140</v>
      </c>
      <c r="D13" s="42" t="s">
        <v>7993</v>
      </c>
      <c r="E13" s="343" t="s">
        <v>7985</v>
      </c>
      <c r="F13" s="339" t="str">
        <f>IFERROR(IF(OR(E13='DICTIONARY-5'!$A$2,E13='DICTIONARY-5'!$A$4,ISBLANK(E13)),VLOOKUP(D13,LIST!$A$6:$L$3250,CURR_1.SEARCH.OLD,0),VLOOKUP(E13,LIST!$B$6:$L$3250,CURR_1.SEARCH.NEW,0)),'DICTIONARY-5'!$A$2)</f>
        <v>438,-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I13" s="44"/>
    </row>
    <row r="14" spans="1:9" x14ac:dyDescent="0.25">
      <c r="A14" s="42">
        <v>50</v>
      </c>
      <c r="B14" s="42">
        <v>10</v>
      </c>
      <c r="C14" s="42">
        <v>150</v>
      </c>
      <c r="D14" s="42" t="s">
        <v>7994</v>
      </c>
      <c r="E14" s="329" t="s">
        <v>7986</v>
      </c>
      <c r="F14" s="339" t="str">
        <f>IFERROR(IF(OR(E14='DICTIONARY-5'!$A$2,E14='DICTIONARY-5'!$A$4,ISBLANK(E14)),VLOOKUP(D14,LIST!$A$6:$L$3250,CURR_1.SEARCH.OLD,0),VLOOKUP(E14,LIST!$B$6:$L$3250,CURR_1.SEARCH.NEW,0)),'DICTIONARY-5'!$A$2)</f>
        <v>456,-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I14" s="44"/>
    </row>
    <row r="15" spans="1:9" x14ac:dyDescent="0.25">
      <c r="A15" s="42">
        <v>80</v>
      </c>
      <c r="B15" s="42">
        <v>10</v>
      </c>
      <c r="C15" s="42">
        <v>180</v>
      </c>
      <c r="D15" s="42" t="s">
        <v>7995</v>
      </c>
      <c r="E15" s="329" t="s">
        <v>7987</v>
      </c>
      <c r="F15" s="339" t="str">
        <f>IFERROR(IF(OR(E15='DICTIONARY-5'!$A$2,E15='DICTIONARY-5'!$A$4,ISBLANK(E15)),VLOOKUP(D15,LIST!$A$6:$L$3250,CURR_1.SEARCH.OLD,0),VLOOKUP(E15,LIST!$B$6:$L$3250,CURR_1.SEARCH.NEW,0)),'DICTIONARY-5'!$A$2)</f>
        <v>514,-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I15" s="44"/>
    </row>
    <row r="16" spans="1:9" x14ac:dyDescent="0.25">
      <c r="A16" s="42">
        <v>100</v>
      </c>
      <c r="B16" s="42">
        <v>10</v>
      </c>
      <c r="C16" s="42">
        <v>190</v>
      </c>
      <c r="D16" s="42" t="s">
        <v>7996</v>
      </c>
      <c r="E16" s="329" t="s">
        <v>7988</v>
      </c>
      <c r="F16" s="339" t="str">
        <f>IFERROR(IF(OR(E16='DICTIONARY-5'!$A$2,E16='DICTIONARY-5'!$A$4,ISBLANK(E16)),VLOOKUP(D16,LIST!$A$6:$L$3250,CURR_1.SEARCH.OLD,0),VLOOKUP(E16,LIST!$B$6:$L$3250,CURR_1.SEARCH.NEW,0)),'DICTIONARY-5'!$A$2)</f>
        <v>533,-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I16" s="44"/>
    </row>
    <row r="17" spans="1:9" x14ac:dyDescent="0.25">
      <c r="A17" s="42">
        <v>150</v>
      </c>
      <c r="B17" s="42">
        <v>10</v>
      </c>
      <c r="C17" s="42">
        <v>210</v>
      </c>
      <c r="D17" s="42" t="s">
        <v>7997</v>
      </c>
      <c r="E17" s="329" t="s">
        <v>7989</v>
      </c>
      <c r="F17" s="339" t="str">
        <f>IFERROR(IF(OR(E17='DICTIONARY-5'!$A$2,E17='DICTIONARY-5'!$A$4,ISBLANK(E17)),VLOOKUP(D17,LIST!$A$6:$L$3250,CURR_1.SEARCH.OLD,0),VLOOKUP(E17,LIST!$B$6:$L$3250,CURR_1.SEARCH.NEW,0)),'DICTIONARY-5'!$A$2)</f>
        <v>870,-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I17" s="44"/>
    </row>
    <row r="18" spans="1:9" x14ac:dyDescent="0.25">
      <c r="A18" s="42">
        <v>200</v>
      </c>
      <c r="B18" s="42">
        <v>10</v>
      </c>
      <c r="C18" s="42">
        <v>230</v>
      </c>
      <c r="D18" s="42" t="s">
        <v>7998</v>
      </c>
      <c r="E18" s="329" t="s">
        <v>7990</v>
      </c>
      <c r="F18" s="339" t="str">
        <f>IFERROR(IF(OR(E18='DICTIONARY-5'!$A$2,E18='DICTIONARY-5'!$A$4,ISBLANK(E18)),VLOOKUP(D18,LIST!$A$6:$L$3250,CURR_1.SEARCH.OLD,0),VLOOKUP(E18,LIST!$B$6:$L$3250,CURR_1.SEARCH.NEW,0)),'DICTIONARY-5'!$A$2)</f>
        <v>1 102,-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I18" s="44"/>
    </row>
    <row r="19" spans="1:9" x14ac:dyDescent="0.25">
      <c r="A19" s="42">
        <v>250</v>
      </c>
      <c r="B19" s="42">
        <v>10</v>
      </c>
      <c r="C19" s="42">
        <v>250</v>
      </c>
      <c r="D19" s="42" t="s">
        <v>7999</v>
      </c>
      <c r="E19" s="329" t="s">
        <v>7991</v>
      </c>
      <c r="F19" s="339" t="str">
        <f>IFERROR(IF(OR(E19='DICTIONARY-5'!$A$2,E19='DICTIONARY-5'!$A$4,ISBLANK(E19)),VLOOKUP(D19,LIST!$A$6:$L$3250,CURR_1.SEARCH.OLD,0),VLOOKUP(E19,LIST!$B$6:$L$3250,CURR_1.SEARCH.NEW,0)),'DICTIONARY-5'!$A$2)</f>
        <v>1 827,-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I19" s="44"/>
    </row>
    <row r="20" spans="1:9" x14ac:dyDescent="0.25">
      <c r="A20" s="42">
        <v>300</v>
      </c>
      <c r="B20" s="42">
        <v>10</v>
      </c>
      <c r="C20" s="42">
        <v>270</v>
      </c>
      <c r="D20" s="42" t="s">
        <v>8000</v>
      </c>
      <c r="E20" s="329" t="s">
        <v>7992</v>
      </c>
      <c r="F20" s="339" t="str">
        <f>IFERROR(IF(OR(E20='DICTIONARY-5'!$A$2,E20='DICTIONARY-5'!$A$4,ISBLANK(E20)),VLOOKUP(D20,LIST!$A$6:$L$3250,CURR_1.SEARCH.OLD,0),VLOOKUP(E20,LIST!$B$6:$L$3250,CURR_1.SEARCH.NEW,0)),'DICTIONARY-5'!$A$2)</f>
        <v>2 154,-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I20" s="44"/>
    </row>
    <row r="21" spans="1:9" x14ac:dyDescent="0.25">
      <c r="A21" s="30"/>
      <c r="B21" s="30"/>
      <c r="C21" s="30"/>
      <c r="D21" s="30"/>
      <c r="E21" s="30"/>
      <c r="F21" s="31"/>
      <c r="G21" s="31"/>
    </row>
    <row r="22" spans="1:9" x14ac:dyDescent="0.25">
      <c r="A22" s="30"/>
      <c r="B22" s="30"/>
      <c r="C22" s="30"/>
      <c r="D22" s="30"/>
      <c r="E22" s="30"/>
      <c r="F22" s="31"/>
      <c r="G22" s="31"/>
    </row>
    <row r="23" spans="1:9" x14ac:dyDescent="0.25">
      <c r="A23" s="38" t="str">
        <f>'DICTIONARY-2'!$A$2</f>
        <v>DN</v>
      </c>
      <c r="B23" s="38" t="str">
        <f>'DICTIONARY-2'!$A$3</f>
        <v>PN</v>
      </c>
      <c r="C23" s="38" t="str">
        <f>'DICTIONARY-2'!$A$24</f>
        <v>L</v>
      </c>
      <c r="D23" s="960" t="str">
        <f>'DICTIONARY-3'!$A$8</f>
        <v>IKOplus</v>
      </c>
      <c r="E23" s="960"/>
      <c r="F23" s="960"/>
      <c r="G23" s="960"/>
    </row>
    <row r="24" spans="1:9" x14ac:dyDescent="0.25">
      <c r="A24" s="57"/>
      <c r="B24" s="57"/>
      <c r="C24" s="57"/>
      <c r="D24" s="961" t="str">
        <f>CONCATENATE('DICTIONARY-5'!$A$67," (",'DICTIONARY-5'!$A$10," 15)")</f>
        <v>budowa długa (szereg 15)</v>
      </c>
      <c r="E24" s="961"/>
      <c r="F24" s="961"/>
      <c r="G24" s="961"/>
    </row>
    <row r="25" spans="1:9" x14ac:dyDescent="0.25">
      <c r="A25" s="39"/>
      <c r="B25" s="39"/>
      <c r="C25" s="39" t="str">
        <f>'DICTIONARY-2'!$A$18</f>
        <v>[mm]</v>
      </c>
      <c r="D25" s="40" t="str">
        <f>'DICTIONARY-2'!$A$28</f>
        <v>stary nr zamówienia</v>
      </c>
      <c r="E25" s="40" t="str">
        <f>'DICTIONARY-2'!$A$29</f>
        <v>nowy nr zamówienia</v>
      </c>
      <c r="F25" s="41" t="str">
        <f>CURRENCY.CODE_1</f>
        <v>EUR</v>
      </c>
      <c r="G25" s="41" t="str">
        <f>CURRENCY.CODE_2</f>
        <v>---</v>
      </c>
    </row>
    <row r="26" spans="1:9" x14ac:dyDescent="0.25">
      <c r="A26" s="42">
        <v>40</v>
      </c>
      <c r="B26" s="792" t="s">
        <v>85</v>
      </c>
      <c r="C26" s="42">
        <v>240</v>
      </c>
      <c r="D26" s="42" t="s">
        <v>8014</v>
      </c>
      <c r="E26" s="329" t="s">
        <v>8001</v>
      </c>
      <c r="F26" s="339" t="str">
        <f>IFERROR(IF(OR(E26='DICTIONARY-5'!$A$2,E26='DICTIONARY-5'!$A$4,ISBLANK(E26)),VLOOKUP(D26,LIST!$A$6:$L$3250,CURR_1.SEARCH.OLD,0),VLOOKUP(E26,LIST!$B$6:$L$3250,CURR_1.SEARCH.NEW,0)),'DICTIONARY-5'!$A$2)</f>
        <v>447,-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</row>
    <row r="27" spans="1:9" x14ac:dyDescent="0.25">
      <c r="A27" s="42">
        <v>50</v>
      </c>
      <c r="B27" s="792" t="s">
        <v>85</v>
      </c>
      <c r="C27" s="42">
        <v>250</v>
      </c>
      <c r="D27" s="42" t="s">
        <v>8015</v>
      </c>
      <c r="E27" s="329" t="s">
        <v>8002</v>
      </c>
      <c r="F27" s="339" t="str">
        <f>IFERROR(IF(OR(E27='DICTIONARY-5'!$A$2,E27='DICTIONARY-5'!$A$4,ISBLANK(E27)),VLOOKUP(D27,LIST!$A$6:$L$3250,CURR_1.SEARCH.OLD,0),VLOOKUP(E27,LIST!$B$6:$L$3250,CURR_1.SEARCH.NEW,0)),'DICTIONARY-5'!$A$2)</f>
        <v>471,-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</row>
    <row r="28" spans="1:9" x14ac:dyDescent="0.25">
      <c r="A28" s="42">
        <v>65</v>
      </c>
      <c r="B28" s="792" t="s">
        <v>85</v>
      </c>
      <c r="C28" s="42">
        <v>270</v>
      </c>
      <c r="D28" s="42" t="s">
        <v>8016</v>
      </c>
      <c r="E28" s="329" t="s">
        <v>8003</v>
      </c>
      <c r="F28" s="339" t="str">
        <f>IFERROR(IF(OR(E28='DICTIONARY-5'!$A$2,E28='DICTIONARY-5'!$A$4,ISBLANK(E28)),VLOOKUP(D28,LIST!$A$6:$L$3250,CURR_1.SEARCH.OLD,0),VLOOKUP(E28,LIST!$B$6:$L$3250,CURR_1.SEARCH.NEW,0)),'DICTIONARY-5'!$A$2)</f>
        <v>533,-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</row>
    <row r="29" spans="1:9" x14ac:dyDescent="0.25">
      <c r="A29" s="42">
        <v>80</v>
      </c>
      <c r="B29" s="792" t="s">
        <v>85</v>
      </c>
      <c r="C29" s="42">
        <v>280</v>
      </c>
      <c r="D29" s="42" t="s">
        <v>8017</v>
      </c>
      <c r="E29" s="329" t="s">
        <v>8004</v>
      </c>
      <c r="F29" s="339" t="str">
        <f>IFERROR(IF(OR(E29='DICTIONARY-5'!$A$2,E29='DICTIONARY-5'!$A$4,ISBLANK(E29)),VLOOKUP(D29,LIST!$A$6:$L$3250,CURR_1.SEARCH.OLD,0),VLOOKUP(E29,LIST!$B$6:$L$3250,CURR_1.SEARCH.NEW,0)),'DICTIONARY-5'!$A$2)</f>
        <v>562,-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</row>
    <row r="30" spans="1:9" x14ac:dyDescent="0.25">
      <c r="A30" s="42">
        <v>100</v>
      </c>
      <c r="B30" s="792" t="s">
        <v>85</v>
      </c>
      <c r="C30" s="42">
        <v>300</v>
      </c>
      <c r="D30" s="42" t="s">
        <v>8018</v>
      </c>
      <c r="E30" s="329" t="s">
        <v>8005</v>
      </c>
      <c r="F30" s="339" t="str">
        <f>IFERROR(IF(OR(E30='DICTIONARY-5'!$A$2,E30='DICTIONARY-5'!$A$4,ISBLANK(E30)),VLOOKUP(D30,LIST!$A$6:$L$3250,CURR_1.SEARCH.OLD,0),VLOOKUP(E30,LIST!$B$6:$L$3250,CURR_1.SEARCH.NEW,0)),'DICTIONARY-5'!$A$2)</f>
        <v>580,-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</row>
    <row r="31" spans="1:9" x14ac:dyDescent="0.25">
      <c r="A31" s="42">
        <v>125</v>
      </c>
      <c r="B31" s="792" t="s">
        <v>85</v>
      </c>
      <c r="C31" s="42">
        <v>325</v>
      </c>
      <c r="D31" s="42" t="s">
        <v>8019</v>
      </c>
      <c r="E31" s="329" t="s">
        <v>8006</v>
      </c>
      <c r="F31" s="339" t="str">
        <f>IFERROR(IF(OR(E31='DICTIONARY-5'!$A$2,E31='DICTIONARY-5'!$A$4,ISBLANK(E31)),VLOOKUP(D31,LIST!$A$6:$L$3250,CURR_1.SEARCH.OLD,0),VLOOKUP(E31,LIST!$B$6:$L$3250,CURR_1.SEARCH.NEW,0)),'DICTIONARY-5'!$A$2)</f>
        <v>680,-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</row>
    <row r="32" spans="1:9" x14ac:dyDescent="0.25">
      <c r="A32" s="42">
        <v>150</v>
      </c>
      <c r="B32" s="792" t="s">
        <v>85</v>
      </c>
      <c r="C32" s="42">
        <v>350</v>
      </c>
      <c r="D32" s="42" t="s">
        <v>8020</v>
      </c>
      <c r="E32" s="329" t="s">
        <v>8007</v>
      </c>
      <c r="F32" s="339" t="str">
        <f>IFERROR(IF(OR(E32='DICTIONARY-5'!$A$2,E32='DICTIONARY-5'!$A$4,ISBLANK(E32)),VLOOKUP(D32,LIST!$A$6:$L$3250,CURR_1.SEARCH.OLD,0),VLOOKUP(E32,LIST!$B$6:$L$3250,CURR_1.SEARCH.NEW,0)),'DICTIONARY-5'!$A$2)</f>
        <v>943,-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</row>
    <row r="33" spans="1:7" x14ac:dyDescent="0.25">
      <c r="A33" s="42">
        <v>200</v>
      </c>
      <c r="B33" s="42">
        <v>10</v>
      </c>
      <c r="C33" s="42">
        <v>400</v>
      </c>
      <c r="D33" s="42" t="s">
        <v>8021</v>
      </c>
      <c r="E33" s="329" t="s">
        <v>8008</v>
      </c>
      <c r="F33" s="339" t="str">
        <f>IFERROR(IF(OR(E33='DICTIONARY-5'!$A$2,E33='DICTIONARY-5'!$A$4,ISBLANK(E33)),VLOOKUP(D33,LIST!$A$6:$L$3250,CURR_1.SEARCH.OLD,0),VLOOKUP(E33,LIST!$B$6:$L$3250,CURR_1.SEARCH.NEW,0)),'DICTIONARY-5'!$A$2)</f>
        <v>1 177,-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</row>
    <row r="34" spans="1:7" x14ac:dyDescent="0.25">
      <c r="A34" s="42">
        <v>200</v>
      </c>
      <c r="B34" s="42">
        <v>16</v>
      </c>
      <c r="C34" s="42">
        <v>400</v>
      </c>
      <c r="D34" s="42" t="s">
        <v>8022</v>
      </c>
      <c r="E34" s="329" t="s">
        <v>8009</v>
      </c>
      <c r="F34" s="339" t="str">
        <f>IFERROR(IF(OR(E34='DICTIONARY-5'!$A$2,E34='DICTIONARY-5'!$A$4,ISBLANK(E34)),VLOOKUP(D34,LIST!$A$6:$L$3250,CURR_1.SEARCH.OLD,0),VLOOKUP(E34,LIST!$B$6:$L$3250,CURR_1.SEARCH.NEW,0)),'DICTIONARY-5'!$A$2)</f>
        <v>1 177,-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</row>
    <row r="35" spans="1:7" x14ac:dyDescent="0.25">
      <c r="A35" s="42">
        <v>250</v>
      </c>
      <c r="B35" s="42">
        <v>10</v>
      </c>
      <c r="C35" s="42">
        <v>450</v>
      </c>
      <c r="D35" s="42" t="s">
        <v>8023</v>
      </c>
      <c r="E35" s="329" t="s">
        <v>8010</v>
      </c>
      <c r="F35" s="339" t="str">
        <f>IFERROR(IF(OR(E35='DICTIONARY-5'!$A$2,E35='DICTIONARY-5'!$A$4,ISBLANK(E35)),VLOOKUP(D35,LIST!$A$6:$L$3250,CURR_1.SEARCH.OLD,0),VLOOKUP(E35,LIST!$B$6:$L$3250,CURR_1.SEARCH.NEW,0)),'DICTIONARY-5'!$A$2)</f>
        <v>1 741,-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</row>
    <row r="36" spans="1:7" x14ac:dyDescent="0.25">
      <c r="A36" s="42">
        <v>250</v>
      </c>
      <c r="B36" s="42">
        <v>16</v>
      </c>
      <c r="C36" s="42">
        <v>450</v>
      </c>
      <c r="D36" s="42" t="s">
        <v>8024</v>
      </c>
      <c r="E36" s="329" t="s">
        <v>8011</v>
      </c>
      <c r="F36" s="339" t="str">
        <f>IFERROR(IF(OR(E36='DICTIONARY-5'!$A$2,E36='DICTIONARY-5'!$A$4,ISBLANK(E36)),VLOOKUP(D36,LIST!$A$6:$L$3250,CURR_1.SEARCH.OLD,0),VLOOKUP(E36,LIST!$B$6:$L$3250,CURR_1.SEARCH.NEW,0)),'DICTIONARY-5'!$A$2)</f>
        <v>1 741,-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</row>
    <row r="37" spans="1:7" x14ac:dyDescent="0.25">
      <c r="A37" s="42">
        <v>300</v>
      </c>
      <c r="B37" s="42">
        <v>10</v>
      </c>
      <c r="C37" s="42">
        <v>500</v>
      </c>
      <c r="D37" s="42" t="s">
        <v>8025</v>
      </c>
      <c r="E37" s="329" t="s">
        <v>8012</v>
      </c>
      <c r="F37" s="339" t="str">
        <f>IFERROR(IF(OR(E37='DICTIONARY-5'!$A$2,E37='DICTIONARY-5'!$A$4,ISBLANK(E37)),VLOOKUP(D37,LIST!$A$6:$L$3250,CURR_1.SEARCH.OLD,0),VLOOKUP(E37,LIST!$B$6:$L$3250,CURR_1.SEARCH.NEW,0)),'DICTIONARY-5'!$A$2)</f>
        <v>2 475,-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</row>
    <row r="38" spans="1:7" x14ac:dyDescent="0.25">
      <c r="A38" s="42">
        <v>300</v>
      </c>
      <c r="B38" s="42">
        <v>16</v>
      </c>
      <c r="C38" s="42">
        <v>500</v>
      </c>
      <c r="D38" s="42" t="s">
        <v>8026</v>
      </c>
      <c r="E38" s="329" t="s">
        <v>8013</v>
      </c>
      <c r="F38" s="339" t="str">
        <f>IFERROR(IF(OR(E38='DICTIONARY-5'!$A$2,E38='DICTIONARY-5'!$A$4,ISBLANK(E38)),VLOOKUP(D38,LIST!$A$6:$L$3250,CURR_1.SEARCH.OLD,0),VLOOKUP(E38,LIST!$B$6:$L$3250,CURR_1.SEARCH.NEW,0)),'DICTIONARY-5'!$A$2)</f>
        <v>2 475,-</v>
      </c>
      <c r="G38" s="339" t="str">
        <f>IFERROR(IF(OR(E38='DICTIONARY-5'!$A$2,E38='DICTIONARY-5'!$A$4,ISBLANK(E38)),VLOOKUP(D38,LIST!$A$6:$M$3250,CURR_2.SEARCH.OLD,0),VLOOKUP(E38,LIST!$B$6:$M$3250,CURR_2.SEARCH.NEW,0)),'DICTIONARY-5'!$A$2)</f>
        <v/>
      </c>
    </row>
    <row r="39" spans="1:7" x14ac:dyDescent="0.25">
      <c r="A39" s="30"/>
      <c r="B39" s="30"/>
    </row>
    <row r="40" spans="1:7" x14ac:dyDescent="0.25">
      <c r="A40" s="46"/>
      <c r="B40" s="30"/>
    </row>
    <row r="41" spans="1:7" x14ac:dyDescent="0.25">
      <c r="G41" s="30"/>
    </row>
  </sheetData>
  <sheetProtection algorithmName="SHA-512" hashValue="WqOkgNm9dpp0vRehX5YOY6ZcxkLVwEESB3PKzDhGN55GzA5wWZsSQLIgz6gZOpDVeKAWf/0qAqk3Y26b1ibjQA==" saltValue="g6bF+OY5nOfu0UACatfcEg==" spinCount="100000" sheet="1" objects="1" scenarios="1" autoFilter="0"/>
  <mergeCells count="5">
    <mergeCell ref="B4:E4"/>
    <mergeCell ref="D24:G24"/>
    <mergeCell ref="D10:G10"/>
    <mergeCell ref="D11:G11"/>
    <mergeCell ref="D23:G23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0">
    <tabColor rgb="FFFFC000"/>
  </sheetPr>
  <dimension ref="A1:P40"/>
  <sheetViews>
    <sheetView workbookViewId="0"/>
  </sheetViews>
  <sheetFormatPr defaultColWidth="9.140625" defaultRowHeight="15" x14ac:dyDescent="0.25"/>
  <cols>
    <col min="1" max="3" width="9.140625" style="32"/>
    <col min="4" max="5" width="22.140625" style="32" customWidth="1"/>
    <col min="6" max="7" width="12.85546875" style="32" customWidth="1"/>
    <col min="8" max="9" width="9.140625" style="32"/>
    <col min="10" max="11" width="22.140625" style="32" customWidth="1"/>
    <col min="12" max="13" width="12.85546875" style="32" customWidth="1"/>
    <col min="14" max="16384" width="9.140625" style="32"/>
  </cols>
  <sheetData>
    <row r="1" spans="1:16" s="418" customFormat="1" ht="45" customHeight="1" thickBot="1" x14ac:dyDescent="0.3">
      <c r="A1" s="381"/>
      <c r="B1" s="381"/>
      <c r="C1" s="381"/>
      <c r="D1" s="381"/>
      <c r="E1" s="381"/>
    </row>
    <row r="2" spans="1:16" s="482" customFormat="1" ht="4.5" customHeight="1" x14ac:dyDescent="0.25">
      <c r="A2" s="479"/>
    </row>
    <row r="3" spans="1:16" ht="15.75" thickBot="1" x14ac:dyDescent="0.3">
      <c r="A3" s="33"/>
      <c r="B3" s="34"/>
      <c r="C3" s="34"/>
    </row>
    <row r="4" spans="1:16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16" x14ac:dyDescent="0.25">
      <c r="A5" s="33"/>
      <c r="B5" s="34"/>
      <c r="C5" s="34"/>
    </row>
    <row r="6" spans="1:16" ht="16.5" thickBot="1" x14ac:dyDescent="0.3">
      <c r="A6" s="81" t="str">
        <f>CONCATENATE('DICTIONARY-3'!$A$8," ",'DICTIONARY-3'!$A$188," / ",REPLACE('DICTIONARY-5'!$A$24,1,1,UPPER(LEFT('DICTIONARY-5'!$A$24,1))))</f>
        <v>IKOplus Zasuwa klinowa / Powłoka syntetyczna</v>
      </c>
      <c r="B6" s="91"/>
      <c r="C6" s="91"/>
      <c r="D6" s="91"/>
      <c r="E6" s="91"/>
      <c r="F6" s="91"/>
      <c r="G6" s="91"/>
      <c r="H6" s="81"/>
      <c r="I6" s="91"/>
      <c r="J6" s="91"/>
      <c r="K6" s="91"/>
      <c r="L6" s="91"/>
      <c r="M6" s="91"/>
    </row>
    <row r="7" spans="1:16" x14ac:dyDescent="0.25">
      <c r="A7" s="36" t="str">
        <f>CONCATENATE('DICTIONARY-3'!$A$242,", ",'DICTIONARY-5'!$A$24)</f>
        <v>Z kółkiem ręcznym, powłoka syntetyczna</v>
      </c>
      <c r="B7" s="30"/>
      <c r="C7" s="30"/>
      <c r="D7" s="30"/>
      <c r="E7" s="30"/>
      <c r="F7" s="31"/>
      <c r="G7" s="31"/>
    </row>
    <row r="8" spans="1:16" x14ac:dyDescent="0.25">
      <c r="A8" s="36" t="str">
        <f>CONCATENATE('DICTIONARY-1'!$A$10,": ",SETTINGS!$C$18)</f>
        <v>Grupa rabatowa: IKOplus</v>
      </c>
      <c r="B8" s="30"/>
      <c r="C8" s="30"/>
      <c r="D8" s="30"/>
      <c r="E8" s="30"/>
      <c r="F8" s="31"/>
      <c r="G8" s="31"/>
    </row>
    <row r="9" spans="1:16" x14ac:dyDescent="0.25">
      <c r="A9" s="37"/>
      <c r="B9" s="30"/>
      <c r="C9" s="30"/>
      <c r="D9" s="30"/>
      <c r="E9" s="30"/>
      <c r="F9" s="31"/>
      <c r="G9" s="31"/>
    </row>
    <row r="10" spans="1:16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960" t="str">
        <f>'DICTIONARY-3'!$A$8</f>
        <v>IKOplus</v>
      </c>
      <c r="E10" s="960"/>
      <c r="F10" s="960"/>
      <c r="G10" s="960"/>
      <c r="H10" s="38" t="str">
        <f>'DICTIONARY-2'!$A$3</f>
        <v>PN</v>
      </c>
      <c r="I10" s="38" t="str">
        <f>'DICTIONARY-2'!$A$24</f>
        <v>L</v>
      </c>
      <c r="J10" s="960" t="str">
        <f>'DICTIONARY-3'!$A$8</f>
        <v>IKOplus</v>
      </c>
      <c r="K10" s="960"/>
      <c r="L10" s="960"/>
      <c r="M10" s="960"/>
    </row>
    <row r="11" spans="1:16" x14ac:dyDescent="0.25">
      <c r="A11" s="57"/>
      <c r="B11" s="57"/>
      <c r="C11" s="57"/>
      <c r="D11" s="961" t="str">
        <f>CONCATENATE('DICTIONARY-5'!$A$66," (",'DICTIONARY-5'!$A$10," 14)")</f>
        <v>budowa krótka (szereg 14)</v>
      </c>
      <c r="E11" s="961"/>
      <c r="F11" s="961"/>
      <c r="G11" s="961"/>
      <c r="H11" s="57"/>
      <c r="I11" s="57"/>
      <c r="J11" s="961" t="str">
        <f>CONCATENATE('DICTIONARY-5'!$A$66," (",'DICTIONARY-5'!$A$10," 14)")</f>
        <v>budowa krótka (szereg 14)</v>
      </c>
      <c r="K11" s="961"/>
      <c r="L11" s="961"/>
      <c r="M11" s="961"/>
    </row>
    <row r="12" spans="1:16" x14ac:dyDescent="0.25">
      <c r="A12" s="39"/>
      <c r="B12" s="39"/>
      <c r="C12" s="39" t="str">
        <f>'DICTIONARY-2'!$A$18</f>
        <v>[mm]</v>
      </c>
      <c r="D12" s="40" t="str">
        <f>'DICTIONARY-2'!$A$28</f>
        <v>stary nr zamówienia</v>
      </c>
      <c r="E12" s="40" t="str">
        <f>'DICTIONARY-2'!$A$29</f>
        <v>nowy nr zamówienia</v>
      </c>
      <c r="F12" s="41" t="str">
        <f>CURRENCY.CODE_1</f>
        <v>EUR</v>
      </c>
      <c r="G12" s="41" t="str">
        <f>CURRENCY.CODE_2</f>
        <v>---</v>
      </c>
      <c r="H12" s="39"/>
      <c r="I12" s="39" t="str">
        <f>'DICTIONARY-2'!$A$18</f>
        <v>[mm]</v>
      </c>
      <c r="J12" s="40" t="str">
        <f>'DICTIONARY-2'!$A$28</f>
        <v>stary nr zamówienia</v>
      </c>
      <c r="K12" s="40" t="str">
        <f>'DICTIONARY-2'!$A$29</f>
        <v>nowy nr zamówienia</v>
      </c>
      <c r="L12" s="41" t="str">
        <f>CURRENCY.CODE_1</f>
        <v>EUR</v>
      </c>
      <c r="M12" s="41" t="str">
        <f>CURRENCY.CODE_2</f>
        <v>---</v>
      </c>
    </row>
    <row r="13" spans="1:16" x14ac:dyDescent="0.25">
      <c r="A13" s="42">
        <v>40</v>
      </c>
      <c r="B13" s="42">
        <v>6</v>
      </c>
      <c r="C13" s="42">
        <v>140</v>
      </c>
      <c r="D13" s="42" t="s">
        <v>409</v>
      </c>
      <c r="E13" s="343" t="s">
        <v>2982</v>
      </c>
      <c r="F13" s="339" t="str">
        <f>IFERROR(IF(OR(E13='DICTIONARY-5'!$A$2,E13='DICTIONARY-5'!$A$4,ISBLANK(E13)),VLOOKUP(D13,LIST!$A$6:$L$3250,CURR_1.SEARCH.OLD,0),VLOOKUP(E13,LIST!$B$6:$L$3250,CURR_1.SEARCH.NEW,0)),'DICTIONARY-5'!$A$2)</f>
        <v>311,-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42">
        <v>10</v>
      </c>
      <c r="I13" s="42">
        <v>140</v>
      </c>
      <c r="J13" s="42" t="s">
        <v>410</v>
      </c>
      <c r="K13" s="329" t="s">
        <v>3012</v>
      </c>
      <c r="L13" s="339" t="str">
        <f>IFERROR(IF(OR(K13='DICTIONARY-5'!$A$2,K13='DICTIONARY-5'!$A$4,ISBLANK(K13)),VLOOKUP(J13,LIST!$A$6:$L$3250,CURR_1.SEARCH.OLD,0),VLOOKUP(K13,LIST!$B$6:$L$3250,CURR_1.SEARCH.NEW,0)),'DICTIONARY-5'!$A$2)</f>
        <v>311,-</v>
      </c>
      <c r="M13" s="339" t="str">
        <f>IFERROR(IF(OR(K13='DICTIONARY-5'!$A$2,K13='DICTIONARY-5'!$A$4,ISBLANK(K13)),VLOOKUP(J13,LIST!$A$6:$M$3250,CURR_2.SEARCH.OLD,0),VLOOKUP(K13,LIST!$B$6:$M$3250,CURR_2.SEARCH.NEW,0)),'DICTIONARY-5'!$A$2)</f>
        <v/>
      </c>
      <c r="O13" s="44"/>
      <c r="P13" s="44"/>
    </row>
    <row r="14" spans="1:16" x14ac:dyDescent="0.25">
      <c r="A14" s="42">
        <v>50</v>
      </c>
      <c r="B14" s="42">
        <v>6</v>
      </c>
      <c r="C14" s="42">
        <v>150</v>
      </c>
      <c r="D14" s="42" t="s">
        <v>411</v>
      </c>
      <c r="E14" s="329" t="s">
        <v>2983</v>
      </c>
      <c r="F14" s="339" t="str">
        <f>IFERROR(IF(OR(E14='DICTIONARY-5'!$A$2,E14='DICTIONARY-5'!$A$4,ISBLANK(E14)),VLOOKUP(D14,LIST!$A$6:$L$3250,CURR_1.SEARCH.OLD,0),VLOOKUP(E14,LIST!$B$6:$L$3250,CURR_1.SEARCH.NEW,0)),'DICTIONARY-5'!$A$2)</f>
        <v>320,-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42">
        <v>10</v>
      </c>
      <c r="I14" s="42">
        <v>150</v>
      </c>
      <c r="J14" s="42" t="s">
        <v>412</v>
      </c>
      <c r="K14" s="329" t="s">
        <v>3013</v>
      </c>
      <c r="L14" s="339" t="str">
        <f>IFERROR(IF(OR(K14='DICTIONARY-5'!$A$2,K14='DICTIONARY-5'!$A$4,ISBLANK(K14)),VLOOKUP(J14,LIST!$A$6:$L$3250,CURR_1.SEARCH.OLD,0),VLOOKUP(K14,LIST!$B$6:$L$3250,CURR_1.SEARCH.NEW,0)),'DICTIONARY-5'!$A$2)</f>
        <v>320,-</v>
      </c>
      <c r="M14" s="339" t="str">
        <f>IFERROR(IF(OR(K14='DICTIONARY-5'!$A$2,K14='DICTIONARY-5'!$A$4,ISBLANK(K14)),VLOOKUP(J14,LIST!$A$6:$M$3250,CURR_2.SEARCH.OLD,0),VLOOKUP(K14,LIST!$B$6:$M$3250,CURR_2.SEARCH.NEW,0)),'DICTIONARY-5'!$A$2)</f>
        <v/>
      </c>
      <c r="O14" s="44"/>
      <c r="P14" s="44"/>
    </row>
    <row r="15" spans="1:16" x14ac:dyDescent="0.25">
      <c r="A15" s="42">
        <v>65</v>
      </c>
      <c r="B15" s="42">
        <v>6</v>
      </c>
      <c r="C15" s="42">
        <v>170</v>
      </c>
      <c r="D15" s="42" t="s">
        <v>413</v>
      </c>
      <c r="E15" s="329" t="s">
        <v>2984</v>
      </c>
      <c r="F15" s="339" t="str">
        <f>IFERROR(IF(OR(E15='DICTIONARY-5'!$A$2,E15='DICTIONARY-5'!$A$4,ISBLANK(E15)),VLOOKUP(D15,LIST!$A$6:$L$3250,CURR_1.SEARCH.OLD,0),VLOOKUP(E15,LIST!$B$6:$L$3250,CURR_1.SEARCH.NEW,0)),'DICTIONARY-5'!$A$2)</f>
        <v>397,-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42">
        <v>10</v>
      </c>
      <c r="I15" s="42">
        <v>170</v>
      </c>
      <c r="J15" s="42" t="s">
        <v>414</v>
      </c>
      <c r="K15" s="329" t="s">
        <v>3014</v>
      </c>
      <c r="L15" s="339" t="str">
        <f>IFERROR(IF(OR(K15='DICTIONARY-5'!$A$2,K15='DICTIONARY-5'!$A$4,ISBLANK(K15)),VLOOKUP(J15,LIST!$A$6:$L$3250,CURR_1.SEARCH.OLD,0),VLOOKUP(K15,LIST!$B$6:$L$3250,CURR_1.SEARCH.NEW,0)),'DICTIONARY-5'!$A$2)</f>
        <v>397,-</v>
      </c>
      <c r="M15" s="339" t="str">
        <f>IFERROR(IF(OR(K15='DICTIONARY-5'!$A$2,K15='DICTIONARY-5'!$A$4,ISBLANK(K15)),VLOOKUP(J15,LIST!$A$6:$M$3250,CURR_2.SEARCH.OLD,0),VLOOKUP(K15,LIST!$B$6:$M$3250,CURR_2.SEARCH.NEW,0)),'DICTIONARY-5'!$A$2)</f>
        <v/>
      </c>
      <c r="O15" s="44"/>
      <c r="P15" s="44"/>
    </row>
    <row r="16" spans="1:16" x14ac:dyDescent="0.25">
      <c r="A16" s="42">
        <v>80</v>
      </c>
      <c r="B16" s="42">
        <v>6</v>
      </c>
      <c r="C16" s="42">
        <v>180</v>
      </c>
      <c r="D16" s="42" t="s">
        <v>415</v>
      </c>
      <c r="E16" s="329" t="s">
        <v>2985</v>
      </c>
      <c r="F16" s="339" t="str">
        <f>IFERROR(IF(OR(E16='DICTIONARY-5'!$A$2,E16='DICTIONARY-5'!$A$4,ISBLANK(E16)),VLOOKUP(D16,LIST!$A$6:$L$3250,CURR_1.SEARCH.OLD,0),VLOOKUP(E16,LIST!$B$6:$L$3250,CURR_1.SEARCH.NEW,0)),'DICTIONARY-5'!$A$2)</f>
        <v>419,-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42">
        <v>10</v>
      </c>
      <c r="I16" s="42">
        <v>180</v>
      </c>
      <c r="J16" s="42" t="s">
        <v>416</v>
      </c>
      <c r="K16" s="329" t="s">
        <v>3015</v>
      </c>
      <c r="L16" s="339" t="str">
        <f>IFERROR(IF(OR(K16='DICTIONARY-5'!$A$2,K16='DICTIONARY-5'!$A$4,ISBLANK(K16)),VLOOKUP(J16,LIST!$A$6:$L$3250,CURR_1.SEARCH.OLD,0),VLOOKUP(K16,LIST!$B$6:$L$3250,CURR_1.SEARCH.NEW,0)),'DICTIONARY-5'!$A$2)</f>
        <v>423,-</v>
      </c>
      <c r="M16" s="339" t="str">
        <f>IFERROR(IF(OR(K16='DICTIONARY-5'!$A$2,K16='DICTIONARY-5'!$A$4,ISBLANK(K16)),VLOOKUP(J16,LIST!$A$6:$M$3250,CURR_2.SEARCH.OLD,0),VLOOKUP(K16,LIST!$B$6:$M$3250,CURR_2.SEARCH.NEW,0)),'DICTIONARY-5'!$A$2)</f>
        <v/>
      </c>
      <c r="O16" s="44"/>
      <c r="P16" s="44"/>
    </row>
    <row r="17" spans="1:16" x14ac:dyDescent="0.25">
      <c r="A17" s="42">
        <v>100</v>
      </c>
      <c r="B17" s="42">
        <v>6</v>
      </c>
      <c r="C17" s="42">
        <v>190</v>
      </c>
      <c r="D17" s="42" t="s">
        <v>417</v>
      </c>
      <c r="E17" s="329" t="s">
        <v>2986</v>
      </c>
      <c r="F17" s="339" t="str">
        <f>IFERROR(IF(OR(E17='DICTIONARY-5'!$A$2,E17='DICTIONARY-5'!$A$4,ISBLANK(E17)),VLOOKUP(D17,LIST!$A$6:$L$3250,CURR_1.SEARCH.OLD,0),VLOOKUP(E17,LIST!$B$6:$L$3250,CURR_1.SEARCH.NEW,0)),'DICTIONARY-5'!$A$2)</f>
        <v>454,-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42">
        <v>10</v>
      </c>
      <c r="I17" s="42">
        <v>190</v>
      </c>
      <c r="J17" s="42" t="s">
        <v>418</v>
      </c>
      <c r="K17" s="329" t="s">
        <v>3016</v>
      </c>
      <c r="L17" s="339" t="str">
        <f>IFERROR(IF(OR(K17='DICTIONARY-5'!$A$2,K17='DICTIONARY-5'!$A$4,ISBLANK(K17)),VLOOKUP(J17,LIST!$A$6:$L$3250,CURR_1.SEARCH.OLD,0),VLOOKUP(K17,LIST!$B$6:$L$3250,CURR_1.SEARCH.NEW,0)),'DICTIONARY-5'!$A$2)</f>
        <v>464,-</v>
      </c>
      <c r="M17" s="339" t="str">
        <f>IFERROR(IF(OR(K17='DICTIONARY-5'!$A$2,K17='DICTIONARY-5'!$A$4,ISBLANK(K17)),VLOOKUP(J17,LIST!$A$6:$M$3250,CURR_2.SEARCH.OLD,0),VLOOKUP(K17,LIST!$B$6:$M$3250,CURR_2.SEARCH.NEW,0)),'DICTIONARY-5'!$A$2)</f>
        <v/>
      </c>
      <c r="O17" s="44"/>
      <c r="P17" s="44"/>
    </row>
    <row r="18" spans="1:16" x14ac:dyDescent="0.25">
      <c r="A18" s="42">
        <v>125</v>
      </c>
      <c r="B18" s="42">
        <v>6</v>
      </c>
      <c r="C18" s="42">
        <v>200</v>
      </c>
      <c r="D18" s="42" t="s">
        <v>419</v>
      </c>
      <c r="E18" s="329" t="s">
        <v>2987</v>
      </c>
      <c r="F18" s="339" t="str">
        <f>IFERROR(IF(OR(E18='DICTIONARY-5'!$A$2,E18='DICTIONARY-5'!$A$4,ISBLANK(E18)),VLOOKUP(D18,LIST!$A$6:$L$3250,CURR_1.SEARCH.OLD,0),VLOOKUP(E18,LIST!$B$6:$L$3250,CURR_1.SEARCH.NEW,0)),'DICTIONARY-5'!$A$2)</f>
        <v>631,-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42">
        <v>10</v>
      </c>
      <c r="I18" s="42">
        <v>200</v>
      </c>
      <c r="J18" s="42" t="s">
        <v>420</v>
      </c>
      <c r="K18" s="329" t="s">
        <v>3017</v>
      </c>
      <c r="L18" s="339" t="str">
        <f>IFERROR(IF(OR(K18='DICTIONARY-5'!$A$2,K18='DICTIONARY-5'!$A$4,ISBLANK(K18)),VLOOKUP(J18,LIST!$A$6:$L$3250,CURR_1.SEARCH.OLD,0),VLOOKUP(K18,LIST!$B$6:$L$3250,CURR_1.SEARCH.NEW,0)),'DICTIONARY-5'!$A$2)</f>
        <v>633,-</v>
      </c>
      <c r="M18" s="339" t="str">
        <f>IFERROR(IF(OR(K18='DICTIONARY-5'!$A$2,K18='DICTIONARY-5'!$A$4,ISBLANK(K18)),VLOOKUP(J18,LIST!$A$6:$M$3250,CURR_2.SEARCH.OLD,0),VLOOKUP(K18,LIST!$B$6:$M$3250,CURR_2.SEARCH.NEW,0)),'DICTIONARY-5'!$A$2)</f>
        <v/>
      </c>
      <c r="O18" s="44"/>
      <c r="P18" s="44"/>
    </row>
    <row r="19" spans="1:16" x14ac:dyDescent="0.25">
      <c r="A19" s="42">
        <v>150</v>
      </c>
      <c r="B19" s="42">
        <v>6</v>
      </c>
      <c r="C19" s="42">
        <v>210</v>
      </c>
      <c r="D19" s="42" t="s">
        <v>421</v>
      </c>
      <c r="E19" s="329" t="s">
        <v>2988</v>
      </c>
      <c r="F19" s="339" t="str">
        <f>IFERROR(IF(OR(E19='DICTIONARY-5'!$A$2,E19='DICTIONARY-5'!$A$4,ISBLANK(E19)),VLOOKUP(D19,LIST!$A$6:$L$3250,CURR_1.SEARCH.OLD,0),VLOOKUP(E19,LIST!$B$6:$L$3250,CURR_1.SEARCH.NEW,0)),'DICTIONARY-5'!$A$2)</f>
        <v>751,-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42">
        <v>10</v>
      </c>
      <c r="I19" s="42">
        <v>210</v>
      </c>
      <c r="J19" s="42" t="s">
        <v>422</v>
      </c>
      <c r="K19" s="329" t="s">
        <v>3018</v>
      </c>
      <c r="L19" s="339" t="str">
        <f>IFERROR(IF(OR(K19='DICTIONARY-5'!$A$2,K19='DICTIONARY-5'!$A$4,ISBLANK(K19)),VLOOKUP(J19,LIST!$A$6:$L$3250,CURR_1.SEARCH.OLD,0),VLOOKUP(K19,LIST!$B$6:$L$3250,CURR_1.SEARCH.NEW,0)),'DICTIONARY-5'!$A$2)</f>
        <v>754,-</v>
      </c>
      <c r="M19" s="339" t="str">
        <f>IFERROR(IF(OR(K19='DICTIONARY-5'!$A$2,K19='DICTIONARY-5'!$A$4,ISBLANK(K19)),VLOOKUP(J19,LIST!$A$6:$M$3250,CURR_2.SEARCH.OLD,0),VLOOKUP(K19,LIST!$B$6:$M$3250,CURR_2.SEARCH.NEW,0)),'DICTIONARY-5'!$A$2)</f>
        <v/>
      </c>
      <c r="O19" s="44"/>
      <c r="P19" s="44"/>
    </row>
    <row r="20" spans="1:16" x14ac:dyDescent="0.25">
      <c r="A20" s="42">
        <v>200</v>
      </c>
      <c r="B20" s="42">
        <v>6</v>
      </c>
      <c r="C20" s="42">
        <v>230</v>
      </c>
      <c r="D20" s="42" t="s">
        <v>423</v>
      </c>
      <c r="E20" s="329" t="s">
        <v>2989</v>
      </c>
      <c r="F20" s="339" t="str">
        <f>IFERROR(IF(OR(E20='DICTIONARY-5'!$A$2,E20='DICTIONARY-5'!$A$4,ISBLANK(E20)),VLOOKUP(D20,LIST!$A$6:$L$3250,CURR_1.SEARCH.OLD,0),VLOOKUP(E20,LIST!$B$6:$L$3250,CURR_1.SEARCH.NEW,0)),'DICTIONARY-5'!$A$2)</f>
        <v>1 002,-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42">
        <v>10</v>
      </c>
      <c r="I20" s="42">
        <v>230</v>
      </c>
      <c r="J20" s="42" t="s">
        <v>424</v>
      </c>
      <c r="K20" s="329" t="s">
        <v>3019</v>
      </c>
      <c r="L20" s="339" t="str">
        <f>IFERROR(IF(OR(K20='DICTIONARY-5'!$A$2,K20='DICTIONARY-5'!$A$4,ISBLANK(K20)),VLOOKUP(J20,LIST!$A$6:$L$3250,CURR_1.SEARCH.OLD,0),VLOOKUP(K20,LIST!$B$6:$L$3250,CURR_1.SEARCH.NEW,0)),'DICTIONARY-5'!$A$2)</f>
        <v>1 013,-</v>
      </c>
      <c r="M20" s="339" t="str">
        <f>IFERROR(IF(OR(K20='DICTIONARY-5'!$A$2,K20='DICTIONARY-5'!$A$4,ISBLANK(K20)),VLOOKUP(J20,LIST!$A$6:$M$3250,CURR_2.SEARCH.OLD,0),VLOOKUP(K20,LIST!$B$6:$M$3250,CURR_2.SEARCH.NEW,0)),'DICTIONARY-5'!$A$2)</f>
        <v/>
      </c>
      <c r="O20" s="44"/>
      <c r="P20" s="44"/>
    </row>
    <row r="21" spans="1:16" x14ac:dyDescent="0.25">
      <c r="A21" s="42">
        <v>250</v>
      </c>
      <c r="B21" s="42">
        <v>6</v>
      </c>
      <c r="C21" s="42">
        <v>250</v>
      </c>
      <c r="D21" s="42" t="s">
        <v>425</v>
      </c>
      <c r="E21" s="329" t="s">
        <v>2990</v>
      </c>
      <c r="F21" s="339" t="str">
        <f>IFERROR(IF(OR(E21='DICTIONARY-5'!$A$2,E21='DICTIONARY-5'!$A$4,ISBLANK(E21)),VLOOKUP(D21,LIST!$A$6:$L$3250,CURR_1.SEARCH.OLD,0),VLOOKUP(E21,LIST!$B$6:$L$3250,CURR_1.SEARCH.NEW,0)),'DICTIONARY-5'!$A$2)</f>
        <v>1 763,-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42">
        <v>10</v>
      </c>
      <c r="I21" s="42">
        <v>250</v>
      </c>
      <c r="J21" s="42" t="s">
        <v>426</v>
      </c>
      <c r="K21" s="329" t="s">
        <v>3020</v>
      </c>
      <c r="L21" s="339" t="str">
        <f>IFERROR(IF(OR(K21='DICTIONARY-5'!$A$2,K21='DICTIONARY-5'!$A$4,ISBLANK(K21)),VLOOKUP(J21,LIST!$A$6:$L$3250,CURR_1.SEARCH.OLD,0),VLOOKUP(K21,LIST!$B$6:$L$3250,CURR_1.SEARCH.NEW,0)),'DICTIONARY-5'!$A$2)</f>
        <v>1 799,-</v>
      </c>
      <c r="M21" s="339" t="str">
        <f>IFERROR(IF(OR(K21='DICTIONARY-5'!$A$2,K21='DICTIONARY-5'!$A$4,ISBLANK(K21)),VLOOKUP(J21,LIST!$A$6:$M$3250,CURR_2.SEARCH.OLD,0),VLOOKUP(K21,LIST!$B$6:$M$3250,CURR_2.SEARCH.NEW,0)),'DICTIONARY-5'!$A$2)</f>
        <v/>
      </c>
      <c r="O21" s="44"/>
      <c r="P21" s="44"/>
    </row>
    <row r="22" spans="1:16" x14ac:dyDescent="0.25">
      <c r="A22" s="42">
        <v>300</v>
      </c>
      <c r="B22" s="42">
        <v>6</v>
      </c>
      <c r="C22" s="42">
        <v>270</v>
      </c>
      <c r="D22" s="42" t="s">
        <v>427</v>
      </c>
      <c r="E22" s="329" t="s">
        <v>2991</v>
      </c>
      <c r="F22" s="339" t="str">
        <f>IFERROR(IF(OR(E22='DICTIONARY-5'!$A$2,E22='DICTIONARY-5'!$A$4,ISBLANK(E22)),VLOOKUP(D22,LIST!$A$6:$L$3250,CURR_1.SEARCH.OLD,0),VLOOKUP(E22,LIST!$B$6:$L$3250,CURR_1.SEARCH.NEW,0)),'DICTIONARY-5'!$A$2)</f>
        <v>2 018,-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42">
        <v>10</v>
      </c>
      <c r="I22" s="42">
        <v>270</v>
      </c>
      <c r="J22" s="42" t="s">
        <v>428</v>
      </c>
      <c r="K22" s="329" t="s">
        <v>3021</v>
      </c>
      <c r="L22" s="339" t="str">
        <f>IFERROR(IF(OR(K22='DICTIONARY-5'!$A$2,K22='DICTIONARY-5'!$A$4,ISBLANK(K22)),VLOOKUP(J22,LIST!$A$6:$L$3250,CURR_1.SEARCH.OLD,0),VLOOKUP(K22,LIST!$B$6:$L$3250,CURR_1.SEARCH.NEW,0)),'DICTIONARY-5'!$A$2)</f>
        <v>2 026,-</v>
      </c>
      <c r="M22" s="339" t="str">
        <f>IFERROR(IF(OR(K22='DICTIONARY-5'!$A$2,K22='DICTIONARY-5'!$A$4,ISBLANK(K22)),VLOOKUP(J22,LIST!$A$6:$M$3250,CURR_2.SEARCH.OLD,0),VLOOKUP(K22,LIST!$B$6:$M$3250,CURR_2.SEARCH.NEW,0)),'DICTIONARY-5'!$A$2)</f>
        <v/>
      </c>
      <c r="O22" s="44"/>
      <c r="P22" s="44"/>
    </row>
    <row r="23" spans="1:16" x14ac:dyDescent="0.25">
      <c r="A23" s="30"/>
      <c r="B23" s="30"/>
      <c r="C23" s="30"/>
      <c r="D23" s="30"/>
      <c r="E23" s="30"/>
      <c r="F23" s="31"/>
      <c r="G23" s="31"/>
    </row>
    <row r="24" spans="1:16" x14ac:dyDescent="0.25">
      <c r="A24" s="30"/>
      <c r="B24" s="30"/>
      <c r="C24" s="30"/>
      <c r="D24" s="30"/>
      <c r="E24" s="30"/>
      <c r="F24" s="31"/>
      <c r="G24" s="31"/>
    </row>
    <row r="25" spans="1:16" x14ac:dyDescent="0.25">
      <c r="A25" s="38" t="str">
        <f>'DICTIONARY-2'!$A$2</f>
        <v>DN</v>
      </c>
      <c r="B25" s="38" t="str">
        <f>'DICTIONARY-2'!$A$3</f>
        <v>PN</v>
      </c>
      <c r="C25" s="38" t="str">
        <f>'DICTIONARY-2'!$A$24</f>
        <v>L</v>
      </c>
      <c r="D25" s="960" t="str">
        <f>'DICTIONARY-3'!$A$8</f>
        <v>IKOplus</v>
      </c>
      <c r="E25" s="960"/>
      <c r="F25" s="960"/>
      <c r="G25" s="960"/>
    </row>
    <row r="26" spans="1:16" x14ac:dyDescent="0.25">
      <c r="A26" s="57"/>
      <c r="B26" s="57"/>
      <c r="C26" s="57"/>
      <c r="D26" s="961" t="str">
        <f>CONCATENATE('DICTIONARY-5'!$A$67," (",'DICTIONARY-5'!$A$10," 15)")</f>
        <v>budowa długa (szereg 15)</v>
      </c>
      <c r="E26" s="961"/>
      <c r="F26" s="961"/>
      <c r="G26" s="961"/>
    </row>
    <row r="27" spans="1:16" x14ac:dyDescent="0.25">
      <c r="A27" s="39"/>
      <c r="B27" s="39"/>
      <c r="C27" s="39" t="str">
        <f>'DICTIONARY-2'!$A$18</f>
        <v>[mm]</v>
      </c>
      <c r="D27" s="40" t="str">
        <f>'DICTIONARY-2'!$A$28</f>
        <v>stary nr zamówienia</v>
      </c>
      <c r="E27" s="40" t="str">
        <f>'DICTIONARY-2'!$A$29</f>
        <v>nowy nr zamówienia</v>
      </c>
      <c r="F27" s="41" t="str">
        <f>CURRENCY.CODE_1</f>
        <v>EUR</v>
      </c>
      <c r="G27" s="41" t="str">
        <f>CURRENCY.CODE_2</f>
        <v>---</v>
      </c>
    </row>
    <row r="28" spans="1:16" x14ac:dyDescent="0.25">
      <c r="A28" s="42">
        <v>40</v>
      </c>
      <c r="B28" s="42" t="s">
        <v>85</v>
      </c>
      <c r="C28" s="42">
        <v>240</v>
      </c>
      <c r="D28" s="42" t="s">
        <v>429</v>
      </c>
      <c r="E28" s="329" t="s">
        <v>3032</v>
      </c>
      <c r="F28" s="339" t="str">
        <f>IFERROR(IF(OR(E28='DICTIONARY-5'!$A$2,E28='DICTIONARY-5'!$A$4,ISBLANK(E28)),VLOOKUP(D28,LIST!$A$6:$L$3250,CURR_1.SEARCH.OLD,0),VLOOKUP(E28,LIST!$B$6:$L$3250,CURR_1.SEARCH.NEW,0)),'DICTIONARY-5'!$A$2)</f>
        <v>316,-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I28" s="44"/>
    </row>
    <row r="29" spans="1:16" x14ac:dyDescent="0.25">
      <c r="A29" s="42">
        <v>50</v>
      </c>
      <c r="B29" s="42" t="s">
        <v>85</v>
      </c>
      <c r="C29" s="42">
        <v>250</v>
      </c>
      <c r="D29" s="42" t="s">
        <v>430</v>
      </c>
      <c r="E29" s="329" t="s">
        <v>3033</v>
      </c>
      <c r="F29" s="339" t="str">
        <f>IFERROR(IF(OR(E29='DICTIONARY-5'!$A$2,E29='DICTIONARY-5'!$A$4,ISBLANK(E29)),VLOOKUP(D29,LIST!$A$6:$L$3250,CURR_1.SEARCH.OLD,0),VLOOKUP(E29,LIST!$B$6:$L$3250,CURR_1.SEARCH.NEW,0)),'DICTIONARY-5'!$A$2)</f>
        <v>338,-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I29" s="44"/>
    </row>
    <row r="30" spans="1:16" x14ac:dyDescent="0.25">
      <c r="A30" s="42">
        <v>65</v>
      </c>
      <c r="B30" s="42" t="s">
        <v>85</v>
      </c>
      <c r="C30" s="42">
        <v>270</v>
      </c>
      <c r="D30" s="42" t="s">
        <v>431</v>
      </c>
      <c r="E30" s="329" t="s">
        <v>3034</v>
      </c>
      <c r="F30" s="339" t="str">
        <f>IFERROR(IF(OR(E30='DICTIONARY-5'!$A$2,E30='DICTIONARY-5'!$A$4,ISBLANK(E30)),VLOOKUP(D30,LIST!$A$6:$L$3250,CURR_1.SEARCH.OLD,0),VLOOKUP(E30,LIST!$B$6:$L$3250,CURR_1.SEARCH.NEW,0)),'DICTIONARY-5'!$A$2)</f>
        <v>407,-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I30" s="44"/>
    </row>
    <row r="31" spans="1:16" x14ac:dyDescent="0.25">
      <c r="A31" s="42">
        <v>80</v>
      </c>
      <c r="B31" s="42" t="s">
        <v>85</v>
      </c>
      <c r="C31" s="42">
        <v>280</v>
      </c>
      <c r="D31" s="42" t="s">
        <v>432</v>
      </c>
      <c r="E31" s="329" t="s">
        <v>3035</v>
      </c>
      <c r="F31" s="339" t="str">
        <f>IFERROR(IF(OR(E31='DICTIONARY-5'!$A$2,E31='DICTIONARY-5'!$A$4,ISBLANK(E31)),VLOOKUP(D31,LIST!$A$6:$L$3250,CURR_1.SEARCH.OLD,0),VLOOKUP(E31,LIST!$B$6:$L$3250,CURR_1.SEARCH.NEW,0)),'DICTIONARY-5'!$A$2)</f>
        <v>463,-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I31" s="44"/>
    </row>
    <row r="32" spans="1:16" x14ac:dyDescent="0.25">
      <c r="A32" s="42">
        <v>100</v>
      </c>
      <c r="B32" s="42" t="s">
        <v>85</v>
      </c>
      <c r="C32" s="42">
        <v>300</v>
      </c>
      <c r="D32" s="42" t="s">
        <v>433</v>
      </c>
      <c r="E32" s="329" t="s">
        <v>3036</v>
      </c>
      <c r="F32" s="339" t="str">
        <f>IFERROR(IF(OR(E32='DICTIONARY-5'!$A$2,E32='DICTIONARY-5'!$A$4,ISBLANK(E32)),VLOOKUP(D32,LIST!$A$6:$L$3250,CURR_1.SEARCH.OLD,0),VLOOKUP(E32,LIST!$B$6:$L$3250,CURR_1.SEARCH.NEW,0)),'DICTIONARY-5'!$A$2)</f>
        <v>496,-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I32" s="44"/>
    </row>
    <row r="33" spans="1:9" x14ac:dyDescent="0.25">
      <c r="A33" s="42">
        <v>125</v>
      </c>
      <c r="B33" s="42" t="s">
        <v>85</v>
      </c>
      <c r="C33" s="42">
        <v>325</v>
      </c>
      <c r="D33" s="42" t="s">
        <v>434</v>
      </c>
      <c r="E33" s="329" t="s">
        <v>3037</v>
      </c>
      <c r="F33" s="339" t="str">
        <f>IFERROR(IF(OR(E33='DICTIONARY-5'!$A$2,E33='DICTIONARY-5'!$A$4,ISBLANK(E33)),VLOOKUP(D33,LIST!$A$6:$L$3250,CURR_1.SEARCH.OLD,0),VLOOKUP(E33,LIST!$B$6:$L$3250,CURR_1.SEARCH.NEW,0)),'DICTIONARY-5'!$A$2)</f>
        <v>629,-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I33" s="44"/>
    </row>
    <row r="34" spans="1:9" x14ac:dyDescent="0.25">
      <c r="A34" s="42">
        <v>150</v>
      </c>
      <c r="B34" s="42" t="s">
        <v>85</v>
      </c>
      <c r="C34" s="42">
        <v>350</v>
      </c>
      <c r="D34" s="42" t="s">
        <v>435</v>
      </c>
      <c r="E34" s="329" t="s">
        <v>3038</v>
      </c>
      <c r="F34" s="339" t="str">
        <f>IFERROR(IF(OR(E34='DICTIONARY-5'!$A$2,E34='DICTIONARY-5'!$A$4,ISBLANK(E34)),VLOOKUP(D34,LIST!$A$6:$L$3250,CURR_1.SEARCH.OLD,0),VLOOKUP(E34,LIST!$B$6:$L$3250,CURR_1.SEARCH.NEW,0)),'DICTIONARY-5'!$A$2)</f>
        <v>894,-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I34" s="44"/>
    </row>
    <row r="35" spans="1:9" x14ac:dyDescent="0.25">
      <c r="A35" s="42">
        <v>200</v>
      </c>
      <c r="B35" s="42" t="s">
        <v>436</v>
      </c>
      <c r="C35" s="42">
        <v>400</v>
      </c>
      <c r="D35" s="42" t="s">
        <v>437</v>
      </c>
      <c r="E35" s="329" t="s">
        <v>3039</v>
      </c>
      <c r="F35" s="339" t="str">
        <f>IFERROR(IF(OR(E35='DICTIONARY-5'!$A$2,E35='DICTIONARY-5'!$A$4,ISBLANK(E35)),VLOOKUP(D35,LIST!$A$6:$L$3250,CURR_1.SEARCH.OLD,0),VLOOKUP(E35,LIST!$B$6:$L$3250,CURR_1.SEARCH.NEW,0)),'DICTIONARY-5'!$A$2)</f>
        <v>1 114,-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I35" s="44"/>
    </row>
    <row r="36" spans="1:9" x14ac:dyDescent="0.25">
      <c r="A36" s="42">
        <v>250</v>
      </c>
      <c r="B36" s="42" t="s">
        <v>436</v>
      </c>
      <c r="C36" s="42">
        <v>450</v>
      </c>
      <c r="D36" s="42" t="s">
        <v>438</v>
      </c>
      <c r="E36" s="329" t="s">
        <v>3040</v>
      </c>
      <c r="F36" s="339" t="str">
        <f>IFERROR(IF(OR(E36='DICTIONARY-5'!$A$2,E36='DICTIONARY-5'!$A$4,ISBLANK(E36)),VLOOKUP(D36,LIST!$A$6:$L$3250,CURR_1.SEARCH.OLD,0),VLOOKUP(E36,LIST!$B$6:$L$3250,CURR_1.SEARCH.NEW,0)),'DICTIONARY-5'!$A$2)</f>
        <v>1 632,-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I36" s="44"/>
    </row>
    <row r="37" spans="1:9" x14ac:dyDescent="0.25">
      <c r="A37" s="42">
        <v>300</v>
      </c>
      <c r="B37" s="42" t="s">
        <v>436</v>
      </c>
      <c r="C37" s="42">
        <v>500</v>
      </c>
      <c r="D37" s="42" t="s">
        <v>439</v>
      </c>
      <c r="E37" s="329" t="s">
        <v>3041</v>
      </c>
      <c r="F37" s="339" t="str">
        <f>IFERROR(IF(OR(E37='DICTIONARY-5'!$A$2,E37='DICTIONARY-5'!$A$4,ISBLANK(E37)),VLOOKUP(D37,LIST!$A$6:$L$3250,CURR_1.SEARCH.OLD,0),VLOOKUP(E37,LIST!$B$6:$L$3250,CURR_1.SEARCH.NEW,0)),'DICTIONARY-5'!$A$2)</f>
        <v>2 359,-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  <c r="I37" s="44"/>
    </row>
    <row r="38" spans="1:9" x14ac:dyDescent="0.25">
      <c r="A38" s="30"/>
      <c r="B38" s="30"/>
    </row>
    <row r="39" spans="1:9" x14ac:dyDescent="0.25">
      <c r="A39" s="46" t="str">
        <f>"1) "&amp;'DICTIONARY-5'!$A$3&amp;'DICTIONARY-5'!$A$61&amp;" PN 10"</f>
        <v>1) Na zapytanie: owiert kołnierzy PN 10</v>
      </c>
      <c r="B39" s="30"/>
    </row>
    <row r="40" spans="1:9" x14ac:dyDescent="0.25">
      <c r="G40" s="30"/>
    </row>
  </sheetData>
  <sheetProtection algorithmName="SHA-512" hashValue="jTsvTBatpcbVmu6e0GPrBY4UMWCrllQ1WlWGKcGxvYnTajQxcwWI4mecSdOcdRPkdSBN0ZuECDUvbGMI2ABvQw==" saltValue="WU8CAkMSnWnNka/1uBz1CQ==" spinCount="100000" sheet="1" objects="1" scenarios="1" autoFilter="0"/>
  <mergeCells count="7">
    <mergeCell ref="B4:E4"/>
    <mergeCell ref="D26:G26"/>
    <mergeCell ref="D10:G10"/>
    <mergeCell ref="J10:M10"/>
    <mergeCell ref="D25:G25"/>
    <mergeCell ref="D11:G11"/>
    <mergeCell ref="J11:M11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FFC000"/>
  </sheetPr>
  <dimension ref="A1:M39"/>
  <sheetViews>
    <sheetView workbookViewId="0"/>
  </sheetViews>
  <sheetFormatPr defaultColWidth="9.140625" defaultRowHeight="15" x14ac:dyDescent="0.25"/>
  <cols>
    <col min="1" max="2" width="9.140625" style="32"/>
    <col min="3" max="3" width="9.140625" style="32" customWidth="1"/>
    <col min="4" max="5" width="22.140625" style="32" customWidth="1"/>
    <col min="6" max="7" width="12.85546875" style="32" customWidth="1"/>
    <col min="8" max="8" width="9" style="47" customWidth="1"/>
    <col min="9" max="9" width="9.140625" style="47" customWidth="1"/>
    <col min="10" max="11" width="22.140625" style="47" customWidth="1"/>
    <col min="12" max="12" width="12.85546875" style="47" customWidth="1"/>
    <col min="13" max="13" width="12.85546875" style="30" customWidth="1"/>
    <col min="14" max="16384" width="9.140625" style="32"/>
  </cols>
  <sheetData>
    <row r="1" spans="1:13" s="418" customFormat="1" ht="45" customHeight="1" thickBot="1" x14ac:dyDescent="0.3">
      <c r="A1" s="381"/>
      <c r="B1" s="381"/>
      <c r="C1" s="381"/>
      <c r="D1" s="381"/>
      <c r="E1" s="381"/>
      <c r="H1" s="419"/>
      <c r="I1" s="419"/>
      <c r="J1" s="419"/>
      <c r="K1" s="419"/>
      <c r="L1" s="419"/>
      <c r="M1" s="416"/>
    </row>
    <row r="2" spans="1:13" s="482" customFormat="1" ht="4.5" customHeight="1" x14ac:dyDescent="0.25">
      <c r="A2" s="479"/>
      <c r="H2" s="483"/>
      <c r="I2" s="483"/>
      <c r="J2" s="483"/>
      <c r="K2" s="483"/>
      <c r="L2" s="483"/>
      <c r="M2" s="480"/>
    </row>
    <row r="3" spans="1:13" ht="15.75" thickBot="1" x14ac:dyDescent="0.3">
      <c r="A3" s="33"/>
      <c r="B3" s="34"/>
      <c r="C3" s="34"/>
    </row>
    <row r="4" spans="1:13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13" x14ac:dyDescent="0.25">
      <c r="A5" s="33"/>
      <c r="B5" s="34"/>
      <c r="C5" s="34"/>
    </row>
    <row r="6" spans="1:13" ht="16.5" thickBot="1" x14ac:dyDescent="0.3">
      <c r="A6" s="81" t="str">
        <f>CONCATENATE('DICTIONARY-3'!$A$8," ",'DICTIONARY-3'!$A$188," / ",'DICTIONARY-3'!$A$256)</f>
        <v>IKOplus Zasuwa klinowa / Z wrzecionem wznoszącym się</v>
      </c>
      <c r="B6" s="91"/>
      <c r="C6" s="91"/>
      <c r="D6" s="91"/>
      <c r="E6" s="91"/>
      <c r="F6" s="91"/>
      <c r="G6" s="91"/>
      <c r="H6" s="81"/>
      <c r="I6" s="91"/>
      <c r="J6" s="91"/>
      <c r="K6" s="91"/>
      <c r="L6" s="91"/>
      <c r="M6" s="91"/>
    </row>
    <row r="7" spans="1:13" x14ac:dyDescent="0.25">
      <c r="A7" s="554" t="str">
        <f>CONCATENATE('DICTIONARY-3'!$A$258," ",LOWER('DICTIONARY-3'!$A$242))</f>
        <v>Z wrzecionem wznoszącym się z kółkiem ręcznym</v>
      </c>
      <c r="B7" s="30"/>
      <c r="C7" s="30"/>
      <c r="D7" s="30"/>
      <c r="E7" s="30"/>
      <c r="F7" s="31"/>
      <c r="G7" s="31"/>
    </row>
    <row r="8" spans="1:13" x14ac:dyDescent="0.25">
      <c r="A8" s="36" t="str">
        <f>CONCATENATE('DICTIONARY-1'!$A$10,": ",SETTINGS!$C$18)</f>
        <v>Grupa rabatowa: IKOplus</v>
      </c>
      <c r="B8" s="30"/>
      <c r="C8" s="30"/>
      <c r="D8" s="30"/>
      <c r="E8" s="30"/>
      <c r="F8" s="31"/>
      <c r="G8" s="31"/>
    </row>
    <row r="9" spans="1:13" x14ac:dyDescent="0.25">
      <c r="A9" s="37"/>
      <c r="B9" s="30"/>
      <c r="C9" s="30"/>
      <c r="D9" s="30"/>
      <c r="E9" s="30"/>
      <c r="F9" s="31"/>
      <c r="G9" s="31"/>
    </row>
    <row r="10" spans="1:13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971" t="str">
        <f>'DICTIONARY-3'!$A$8&amp;" "&amp;LOWER('DICTIONARY-3'!$A$256)</f>
        <v>IKOplus z wrzecionem wznoszącym się</v>
      </c>
      <c r="E10" s="972"/>
      <c r="F10" s="972"/>
      <c r="G10" s="973"/>
      <c r="H10" s="38" t="str">
        <f>'DICTIONARY-2'!$A$3</f>
        <v>PN</v>
      </c>
      <c r="I10" s="38" t="str">
        <f>'DICTIONARY-2'!$A$24</f>
        <v>L</v>
      </c>
      <c r="J10" s="971" t="str">
        <f>'DICTIONARY-3'!$A$8&amp;" "&amp;LOWER('DICTIONARY-3'!$A$256)</f>
        <v>IKOplus z wrzecionem wznoszącym się</v>
      </c>
      <c r="K10" s="972"/>
      <c r="L10" s="972"/>
      <c r="M10" s="973"/>
    </row>
    <row r="11" spans="1:13" x14ac:dyDescent="0.25">
      <c r="A11" s="57"/>
      <c r="B11" s="57"/>
      <c r="C11" s="57"/>
      <c r="D11" s="968" t="str">
        <f>CONCATENATE('DICTIONARY-5'!$A$66," (",'DICTIONARY-5'!$A$10," 14)")</f>
        <v>budowa krótka (szereg 14)</v>
      </c>
      <c r="E11" s="969"/>
      <c r="F11" s="969"/>
      <c r="G11" s="970"/>
      <c r="H11" s="57"/>
      <c r="I11" s="57"/>
      <c r="J11" s="968" t="str">
        <f>CONCATENATE('DICTIONARY-5'!$A$66," (",'DICTIONARY-5'!$A$10," 14)")</f>
        <v>budowa krótka (szereg 14)</v>
      </c>
      <c r="K11" s="969"/>
      <c r="L11" s="969"/>
      <c r="M11" s="970"/>
    </row>
    <row r="12" spans="1:13" x14ac:dyDescent="0.25">
      <c r="A12" s="39"/>
      <c r="B12" s="39"/>
      <c r="C12" s="39" t="str">
        <f>'DICTIONARY-2'!$A$18</f>
        <v>[mm]</v>
      </c>
      <c r="D12" s="40" t="str">
        <f>'DICTIONARY-2'!$A$28</f>
        <v>stary nr zamówienia</v>
      </c>
      <c r="E12" s="40" t="str">
        <f>'DICTIONARY-2'!$A$29</f>
        <v>nowy nr zamówienia</v>
      </c>
      <c r="F12" s="41" t="str">
        <f>CURRENCY.CODE_1</f>
        <v>EUR</v>
      </c>
      <c r="G12" s="41" t="str">
        <f>CURRENCY.CODE_2</f>
        <v>---</v>
      </c>
      <c r="H12" s="39"/>
      <c r="I12" s="39" t="str">
        <f>'DICTIONARY-2'!$A$18</f>
        <v>[mm]</v>
      </c>
      <c r="J12" s="40" t="str">
        <f>'DICTIONARY-2'!$A$28</f>
        <v>stary nr zamówienia</v>
      </c>
      <c r="K12" s="40" t="str">
        <f>'DICTIONARY-2'!$A$29</f>
        <v>nowy nr zamówienia</v>
      </c>
      <c r="L12" s="41" t="str">
        <f>CURRENCY.CODE_1</f>
        <v>EUR</v>
      </c>
      <c r="M12" s="41" t="str">
        <f>CURRENCY.CODE_2</f>
        <v>---</v>
      </c>
    </row>
    <row r="13" spans="1:13" x14ac:dyDescent="0.25">
      <c r="A13" s="42">
        <v>40</v>
      </c>
      <c r="B13" s="42">
        <v>6</v>
      </c>
      <c r="C13" s="42">
        <v>140</v>
      </c>
      <c r="D13" s="48" t="s">
        <v>440</v>
      </c>
      <c r="E13" s="332" t="s">
        <v>2992</v>
      </c>
      <c r="F13" s="339" t="str">
        <f>IFERROR(IF(OR(E13='DICTIONARY-5'!$A$2,E13='DICTIONARY-5'!$A$4,ISBLANK(E13)),VLOOKUP(D13,LIST!$A$6:$L$3250,CURR_1.SEARCH.OLD,0),VLOOKUP(E13,LIST!$B$6:$L$3250,CURR_1.SEARCH.NEW,0)),'DICTIONARY-5'!$A$2)</f>
        <v>398,-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42">
        <v>10</v>
      </c>
      <c r="I13" s="42">
        <v>140</v>
      </c>
      <c r="J13" s="42" t="s">
        <v>441</v>
      </c>
      <c r="K13" s="329" t="s">
        <v>3022</v>
      </c>
      <c r="L13" s="339" t="str">
        <f>IFERROR(IF(OR(K13='DICTIONARY-5'!$A$2,K13='DICTIONARY-5'!$A$4,ISBLANK(K13)),VLOOKUP(J13,LIST!$A$6:$L$3250,CURR_1.SEARCH.OLD,0),VLOOKUP(K13,LIST!$B$6:$L$3250,CURR_1.SEARCH.NEW,0)),'DICTIONARY-5'!$A$2)</f>
        <v>398,-</v>
      </c>
      <c r="M13" s="339" t="str">
        <f>IFERROR(IF(OR(K13='DICTIONARY-5'!$A$2,K13='DICTIONARY-5'!$A$4,ISBLANK(K13)),VLOOKUP(J13,LIST!$A$6:$M$3250,CURR_2.SEARCH.OLD,0),VLOOKUP(K13,LIST!$B$6:$M$3250,CURR_2.SEARCH.NEW,0)),'DICTIONARY-5'!$A$2)</f>
        <v/>
      </c>
    </row>
    <row r="14" spans="1:13" x14ac:dyDescent="0.25">
      <c r="A14" s="42">
        <v>50</v>
      </c>
      <c r="B14" s="42">
        <v>6</v>
      </c>
      <c r="C14" s="42">
        <v>150</v>
      </c>
      <c r="D14" s="48" t="s">
        <v>442</v>
      </c>
      <c r="E14" s="332" t="s">
        <v>2993</v>
      </c>
      <c r="F14" s="339" t="str">
        <f>IFERROR(IF(OR(E14='DICTIONARY-5'!$A$2,E14='DICTIONARY-5'!$A$4,ISBLANK(E14)),VLOOKUP(D14,LIST!$A$6:$L$3250,CURR_1.SEARCH.OLD,0),VLOOKUP(E14,LIST!$B$6:$L$3250,CURR_1.SEARCH.NEW,0)),'DICTIONARY-5'!$A$2)</f>
        <v>406,-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42">
        <v>10</v>
      </c>
      <c r="I14" s="42">
        <v>150</v>
      </c>
      <c r="J14" s="42" t="s">
        <v>443</v>
      </c>
      <c r="K14" s="329" t="s">
        <v>3023</v>
      </c>
      <c r="L14" s="339" t="str">
        <f>IFERROR(IF(OR(K14='DICTIONARY-5'!$A$2,K14='DICTIONARY-5'!$A$4,ISBLANK(K14)),VLOOKUP(J14,LIST!$A$6:$L$3250,CURR_1.SEARCH.OLD,0),VLOOKUP(K14,LIST!$B$6:$L$3250,CURR_1.SEARCH.NEW,0)),'DICTIONARY-5'!$A$2)</f>
        <v>406,-</v>
      </c>
      <c r="M14" s="339" t="str">
        <f>IFERROR(IF(OR(K14='DICTIONARY-5'!$A$2,K14='DICTIONARY-5'!$A$4,ISBLANK(K14)),VLOOKUP(J14,LIST!$A$6:$M$3250,CURR_2.SEARCH.OLD,0),VLOOKUP(K14,LIST!$B$6:$M$3250,CURR_2.SEARCH.NEW,0)),'DICTIONARY-5'!$A$2)</f>
        <v/>
      </c>
    </row>
    <row r="15" spans="1:13" x14ac:dyDescent="0.25">
      <c r="A15" s="42">
        <v>65</v>
      </c>
      <c r="B15" s="42">
        <v>6</v>
      </c>
      <c r="C15" s="42">
        <v>170</v>
      </c>
      <c r="D15" s="48" t="s">
        <v>444</v>
      </c>
      <c r="E15" s="332" t="s">
        <v>2994</v>
      </c>
      <c r="F15" s="339" t="str">
        <f>IFERROR(IF(OR(E15='DICTIONARY-5'!$A$2,E15='DICTIONARY-5'!$A$4,ISBLANK(E15)),VLOOKUP(D15,LIST!$A$6:$L$3250,CURR_1.SEARCH.OLD,0),VLOOKUP(E15,LIST!$B$6:$L$3250,CURR_1.SEARCH.NEW,0)),'DICTIONARY-5'!$A$2)</f>
        <v>479,-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42">
        <v>10</v>
      </c>
      <c r="I15" s="42">
        <v>170</v>
      </c>
      <c r="J15" s="42" t="s">
        <v>445</v>
      </c>
      <c r="K15" s="329" t="s">
        <v>3024</v>
      </c>
      <c r="L15" s="339" t="str">
        <f>IFERROR(IF(OR(K15='DICTIONARY-5'!$A$2,K15='DICTIONARY-5'!$A$4,ISBLANK(K15)),VLOOKUP(J15,LIST!$A$6:$L$3250,CURR_1.SEARCH.OLD,0),VLOOKUP(K15,LIST!$B$6:$L$3250,CURR_1.SEARCH.NEW,0)),'DICTIONARY-5'!$A$2)</f>
        <v>479,-</v>
      </c>
      <c r="M15" s="339" t="str">
        <f>IFERROR(IF(OR(K15='DICTIONARY-5'!$A$2,K15='DICTIONARY-5'!$A$4,ISBLANK(K15)),VLOOKUP(J15,LIST!$A$6:$M$3250,CURR_2.SEARCH.OLD,0),VLOOKUP(K15,LIST!$B$6:$M$3250,CURR_2.SEARCH.NEW,0)),'DICTIONARY-5'!$A$2)</f>
        <v/>
      </c>
    </row>
    <row r="16" spans="1:13" x14ac:dyDescent="0.25">
      <c r="A16" s="42">
        <v>80</v>
      </c>
      <c r="B16" s="42">
        <v>6</v>
      </c>
      <c r="C16" s="42">
        <v>180</v>
      </c>
      <c r="D16" s="48" t="s">
        <v>446</v>
      </c>
      <c r="E16" s="332" t="s">
        <v>2995</v>
      </c>
      <c r="F16" s="339" t="str">
        <f>IFERROR(IF(OR(E16='DICTIONARY-5'!$A$2,E16='DICTIONARY-5'!$A$4,ISBLANK(E16)),VLOOKUP(D16,LIST!$A$6:$L$3250,CURR_1.SEARCH.OLD,0),VLOOKUP(E16,LIST!$B$6:$L$3250,CURR_1.SEARCH.NEW,0)),'DICTIONARY-5'!$A$2)</f>
        <v>499,-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42">
        <v>10</v>
      </c>
      <c r="I16" s="42">
        <v>180</v>
      </c>
      <c r="J16" s="42" t="s">
        <v>447</v>
      </c>
      <c r="K16" s="329" t="s">
        <v>3025</v>
      </c>
      <c r="L16" s="339" t="str">
        <f>IFERROR(IF(OR(K16='DICTIONARY-5'!$A$2,K16='DICTIONARY-5'!$A$4,ISBLANK(K16)),VLOOKUP(J16,LIST!$A$6:$L$3250,CURR_1.SEARCH.OLD,0),VLOOKUP(K16,LIST!$B$6:$L$3250,CURR_1.SEARCH.NEW,0)),'DICTIONARY-5'!$A$2)</f>
        <v>503,-</v>
      </c>
      <c r="M16" s="339" t="str">
        <f>IFERROR(IF(OR(K16='DICTIONARY-5'!$A$2,K16='DICTIONARY-5'!$A$4,ISBLANK(K16)),VLOOKUP(J16,LIST!$A$6:$M$3250,CURR_2.SEARCH.OLD,0),VLOOKUP(K16,LIST!$B$6:$M$3250,CURR_2.SEARCH.NEW,0)),'DICTIONARY-5'!$A$2)</f>
        <v/>
      </c>
    </row>
    <row r="17" spans="1:13" x14ac:dyDescent="0.25">
      <c r="A17" s="42">
        <v>100</v>
      </c>
      <c r="B17" s="42">
        <v>6</v>
      </c>
      <c r="C17" s="42">
        <v>190</v>
      </c>
      <c r="D17" s="48" t="s">
        <v>448</v>
      </c>
      <c r="E17" s="332" t="s">
        <v>2996</v>
      </c>
      <c r="F17" s="339" t="str">
        <f>IFERROR(IF(OR(E17='DICTIONARY-5'!$A$2,E17='DICTIONARY-5'!$A$4,ISBLANK(E17)),VLOOKUP(D17,LIST!$A$6:$L$3250,CURR_1.SEARCH.OLD,0),VLOOKUP(E17,LIST!$B$6:$L$3250,CURR_1.SEARCH.NEW,0)),'DICTIONARY-5'!$A$2)</f>
        <v>594,-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42">
        <v>10</v>
      </c>
      <c r="I17" s="42">
        <v>190</v>
      </c>
      <c r="J17" s="42" t="s">
        <v>449</v>
      </c>
      <c r="K17" s="329" t="s">
        <v>3026</v>
      </c>
      <c r="L17" s="339" t="str">
        <f>IFERROR(IF(OR(K17='DICTIONARY-5'!$A$2,K17='DICTIONARY-5'!$A$4,ISBLANK(K17)),VLOOKUP(J17,LIST!$A$6:$L$3250,CURR_1.SEARCH.OLD,0),VLOOKUP(K17,LIST!$B$6:$L$3250,CURR_1.SEARCH.NEW,0)),'DICTIONARY-5'!$A$2)</f>
        <v>604,-</v>
      </c>
      <c r="M17" s="339" t="str">
        <f>IFERROR(IF(OR(K17='DICTIONARY-5'!$A$2,K17='DICTIONARY-5'!$A$4,ISBLANK(K17)),VLOOKUP(J17,LIST!$A$6:$M$3250,CURR_2.SEARCH.OLD,0),VLOOKUP(K17,LIST!$B$6:$M$3250,CURR_2.SEARCH.NEW,0)),'DICTIONARY-5'!$A$2)</f>
        <v/>
      </c>
    </row>
    <row r="18" spans="1:13" x14ac:dyDescent="0.25">
      <c r="A18" s="42">
        <v>125</v>
      </c>
      <c r="B18" s="42">
        <v>6</v>
      </c>
      <c r="C18" s="42">
        <v>200</v>
      </c>
      <c r="D18" s="48" t="s">
        <v>450</v>
      </c>
      <c r="E18" s="332" t="s">
        <v>2997</v>
      </c>
      <c r="F18" s="339" t="str">
        <f>IFERROR(IF(OR(E18='DICTIONARY-5'!$A$2,E18='DICTIONARY-5'!$A$4,ISBLANK(E18)),VLOOKUP(D18,LIST!$A$6:$L$3250,CURR_1.SEARCH.OLD,0),VLOOKUP(E18,LIST!$B$6:$L$3250,CURR_1.SEARCH.NEW,0)),'DICTIONARY-5'!$A$2)</f>
        <v>824,-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42">
        <v>10</v>
      </c>
      <c r="I18" s="42">
        <v>200</v>
      </c>
      <c r="J18" s="42" t="s">
        <v>451</v>
      </c>
      <c r="K18" s="329" t="s">
        <v>3027</v>
      </c>
      <c r="L18" s="339" t="str">
        <f>IFERROR(IF(OR(K18='DICTIONARY-5'!$A$2,K18='DICTIONARY-5'!$A$4,ISBLANK(K18)),VLOOKUP(J18,LIST!$A$6:$L$3250,CURR_1.SEARCH.OLD,0),VLOOKUP(K18,LIST!$B$6:$L$3250,CURR_1.SEARCH.NEW,0)),'DICTIONARY-5'!$A$2)</f>
        <v>840,-</v>
      </c>
      <c r="M18" s="339" t="str">
        <f>IFERROR(IF(OR(K18='DICTIONARY-5'!$A$2,K18='DICTIONARY-5'!$A$4,ISBLANK(K18)),VLOOKUP(J18,LIST!$A$6:$M$3250,CURR_2.SEARCH.OLD,0),VLOOKUP(K18,LIST!$B$6:$M$3250,CURR_2.SEARCH.NEW,0)),'DICTIONARY-5'!$A$2)</f>
        <v/>
      </c>
    </row>
    <row r="19" spans="1:13" x14ac:dyDescent="0.25">
      <c r="A19" s="42">
        <v>150</v>
      </c>
      <c r="B19" s="42">
        <v>6</v>
      </c>
      <c r="C19" s="42">
        <v>210</v>
      </c>
      <c r="D19" s="48" t="s">
        <v>452</v>
      </c>
      <c r="E19" s="332" t="s">
        <v>2998</v>
      </c>
      <c r="F19" s="339" t="str">
        <f>IFERROR(IF(OR(E19='DICTIONARY-5'!$A$2,E19='DICTIONARY-5'!$A$4,ISBLANK(E19)),VLOOKUP(D19,LIST!$A$6:$L$3250,CURR_1.SEARCH.OLD,0),VLOOKUP(E19,LIST!$B$6:$L$3250,CURR_1.SEARCH.NEW,0)),'DICTIONARY-5'!$A$2)</f>
        <v>962,-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42">
        <v>10</v>
      </c>
      <c r="I19" s="42">
        <v>210</v>
      </c>
      <c r="J19" s="42" t="s">
        <v>453</v>
      </c>
      <c r="K19" s="329" t="s">
        <v>3028</v>
      </c>
      <c r="L19" s="339" t="str">
        <f>IFERROR(IF(OR(K19='DICTIONARY-5'!$A$2,K19='DICTIONARY-5'!$A$4,ISBLANK(K19)),VLOOKUP(J19,LIST!$A$6:$L$3250,CURR_1.SEARCH.OLD,0),VLOOKUP(K19,LIST!$B$6:$L$3250,CURR_1.SEARCH.NEW,0)),'DICTIONARY-5'!$A$2)</f>
        <v>964,-</v>
      </c>
      <c r="M19" s="339" t="str">
        <f>IFERROR(IF(OR(K19='DICTIONARY-5'!$A$2,K19='DICTIONARY-5'!$A$4,ISBLANK(K19)),VLOOKUP(J19,LIST!$A$6:$M$3250,CURR_2.SEARCH.OLD,0),VLOOKUP(K19,LIST!$B$6:$M$3250,CURR_2.SEARCH.NEW,0)),'DICTIONARY-5'!$A$2)</f>
        <v/>
      </c>
    </row>
    <row r="20" spans="1:13" x14ac:dyDescent="0.25">
      <c r="A20" s="42">
        <v>200</v>
      </c>
      <c r="B20" s="42">
        <v>6</v>
      </c>
      <c r="C20" s="42">
        <v>230</v>
      </c>
      <c r="D20" s="48" t="s">
        <v>454</v>
      </c>
      <c r="E20" s="332" t="s">
        <v>2999</v>
      </c>
      <c r="F20" s="339" t="str">
        <f>IFERROR(IF(OR(E20='DICTIONARY-5'!$A$2,E20='DICTIONARY-5'!$A$4,ISBLANK(E20)),VLOOKUP(D20,LIST!$A$6:$L$3250,CURR_1.SEARCH.OLD,0),VLOOKUP(E20,LIST!$B$6:$L$3250,CURR_1.SEARCH.NEW,0)),'DICTIONARY-5'!$A$2)</f>
        <v>1 219,-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42">
        <v>10</v>
      </c>
      <c r="I20" s="42">
        <v>230</v>
      </c>
      <c r="J20" s="42" t="s">
        <v>455</v>
      </c>
      <c r="K20" s="329" t="s">
        <v>3029</v>
      </c>
      <c r="L20" s="339" t="str">
        <f>IFERROR(IF(OR(K20='DICTIONARY-5'!$A$2,K20='DICTIONARY-5'!$A$4,ISBLANK(K20)),VLOOKUP(J20,LIST!$A$6:$L$3250,CURR_1.SEARCH.OLD,0),VLOOKUP(K20,LIST!$B$6:$L$3250,CURR_1.SEARCH.NEW,0)),'DICTIONARY-5'!$A$2)</f>
        <v>1 217,-</v>
      </c>
      <c r="M20" s="339" t="str">
        <f>IFERROR(IF(OR(K20='DICTIONARY-5'!$A$2,K20='DICTIONARY-5'!$A$4,ISBLANK(K20)),VLOOKUP(J20,LIST!$A$6:$M$3250,CURR_2.SEARCH.OLD,0),VLOOKUP(K20,LIST!$B$6:$M$3250,CURR_2.SEARCH.NEW,0)),'DICTIONARY-5'!$A$2)</f>
        <v/>
      </c>
    </row>
    <row r="21" spans="1:13" x14ac:dyDescent="0.25">
      <c r="A21" s="42">
        <v>250</v>
      </c>
      <c r="B21" s="42">
        <v>6</v>
      </c>
      <c r="C21" s="42">
        <v>250</v>
      </c>
      <c r="D21" s="48" t="s">
        <v>456</v>
      </c>
      <c r="E21" s="332" t="s">
        <v>3000</v>
      </c>
      <c r="F21" s="339" t="str">
        <f>IFERROR(IF(OR(E21='DICTIONARY-5'!$A$2,E21='DICTIONARY-5'!$A$4,ISBLANK(E21)),VLOOKUP(D21,LIST!$A$6:$L$3250,CURR_1.SEARCH.OLD,0),VLOOKUP(E21,LIST!$B$6:$L$3250,CURR_1.SEARCH.NEW,0)),'DICTIONARY-5'!$A$2)</f>
        <v>2 056,-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42">
        <v>10</v>
      </c>
      <c r="I21" s="42">
        <v>250</v>
      </c>
      <c r="J21" s="42" t="s">
        <v>457</v>
      </c>
      <c r="K21" s="329" t="s">
        <v>3030</v>
      </c>
      <c r="L21" s="339" t="str">
        <f>IFERROR(IF(OR(K21='DICTIONARY-5'!$A$2,K21='DICTIONARY-5'!$A$4,ISBLANK(K21)),VLOOKUP(J21,LIST!$A$6:$L$3250,CURR_1.SEARCH.OLD,0),VLOOKUP(K21,LIST!$B$6:$L$3250,CURR_1.SEARCH.NEW,0)),'DICTIONARY-5'!$A$2)</f>
        <v>2 057,-</v>
      </c>
      <c r="M21" s="339" t="str">
        <f>IFERROR(IF(OR(K21='DICTIONARY-5'!$A$2,K21='DICTIONARY-5'!$A$4,ISBLANK(K21)),VLOOKUP(J21,LIST!$A$6:$M$3250,CURR_2.SEARCH.OLD,0),VLOOKUP(K21,LIST!$B$6:$M$3250,CURR_2.SEARCH.NEW,0)),'DICTIONARY-5'!$A$2)</f>
        <v/>
      </c>
    </row>
    <row r="22" spans="1:13" x14ac:dyDescent="0.25">
      <c r="A22" s="42">
        <v>300</v>
      </c>
      <c r="B22" s="42">
        <v>6</v>
      </c>
      <c r="C22" s="42">
        <v>270</v>
      </c>
      <c r="D22" s="48" t="s">
        <v>458</v>
      </c>
      <c r="E22" s="332" t="s">
        <v>3001</v>
      </c>
      <c r="F22" s="339" t="str">
        <f>IFERROR(IF(OR(E22='DICTIONARY-5'!$A$2,E22='DICTIONARY-5'!$A$4,ISBLANK(E22)),VLOOKUP(D22,LIST!$A$6:$L$3250,CURR_1.SEARCH.OLD,0),VLOOKUP(E22,LIST!$B$6:$L$3250,CURR_1.SEARCH.NEW,0)),'DICTIONARY-5'!$A$2)</f>
        <v>2 260,-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42">
        <v>10</v>
      </c>
      <c r="I22" s="42">
        <v>270</v>
      </c>
      <c r="J22" s="42" t="s">
        <v>459</v>
      </c>
      <c r="K22" s="329" t="s">
        <v>3031</v>
      </c>
      <c r="L22" s="339" t="str">
        <f>IFERROR(IF(OR(K22='DICTIONARY-5'!$A$2,K22='DICTIONARY-5'!$A$4,ISBLANK(K22)),VLOOKUP(J22,LIST!$A$6:$L$3250,CURR_1.SEARCH.OLD,0),VLOOKUP(K22,LIST!$B$6:$L$3250,CURR_1.SEARCH.NEW,0)),'DICTIONARY-5'!$A$2)</f>
        <v>2 260,-</v>
      </c>
      <c r="M22" s="339" t="str">
        <f>IFERROR(IF(OR(K22='DICTIONARY-5'!$A$2,K22='DICTIONARY-5'!$A$4,ISBLANK(K22)),VLOOKUP(J22,LIST!$A$6:$M$3250,CURR_2.SEARCH.OLD,0),VLOOKUP(K22,LIST!$B$6:$M$3250,CURR_2.SEARCH.NEW,0)),'DICTIONARY-5'!$A$2)</f>
        <v/>
      </c>
    </row>
    <row r="23" spans="1:13" x14ac:dyDescent="0.25">
      <c r="A23" s="30"/>
      <c r="B23" s="30"/>
      <c r="C23" s="30"/>
      <c r="D23" s="49"/>
      <c r="E23" s="49"/>
      <c r="F23" s="31"/>
      <c r="G23" s="31"/>
      <c r="H23" s="50"/>
      <c r="I23" s="51"/>
      <c r="L23" s="52"/>
      <c r="M23" s="53"/>
    </row>
    <row r="24" spans="1:13" x14ac:dyDescent="0.25">
      <c r="A24" s="30"/>
      <c r="B24" s="30"/>
      <c r="C24" s="30"/>
      <c r="D24" s="30"/>
      <c r="E24" s="30"/>
      <c r="F24" s="31"/>
      <c r="G24" s="31"/>
      <c r="M24" s="53"/>
    </row>
    <row r="25" spans="1:13" x14ac:dyDescent="0.25">
      <c r="A25" s="38" t="str">
        <f>'DICTIONARY-2'!$A$2</f>
        <v>DN</v>
      </c>
      <c r="B25" s="38" t="str">
        <f>'DICTIONARY-2'!$A$3</f>
        <v>PN</v>
      </c>
      <c r="C25" s="38" t="str">
        <f>'DICTIONARY-2'!$A$24</f>
        <v>L</v>
      </c>
      <c r="D25" s="971" t="str">
        <f>'DICTIONARY-3'!$A$8&amp;" "&amp;LOWER('DICTIONARY-3'!$A$256)</f>
        <v>IKOplus z wrzecionem wznoszącym się</v>
      </c>
      <c r="E25" s="972"/>
      <c r="F25" s="972"/>
      <c r="G25" s="973"/>
      <c r="H25" s="32"/>
      <c r="M25" s="53"/>
    </row>
    <row r="26" spans="1:13" x14ac:dyDescent="0.25">
      <c r="A26" s="57"/>
      <c r="B26" s="57"/>
      <c r="C26" s="57"/>
      <c r="D26" s="968" t="str">
        <f>CONCATENATE('DICTIONARY-5'!$A$67," (",'DICTIONARY-5'!$A$10," 15)")</f>
        <v>budowa długa (szereg 15)</v>
      </c>
      <c r="E26" s="969"/>
      <c r="F26" s="969"/>
      <c r="G26" s="970"/>
      <c r="H26" s="32"/>
      <c r="M26" s="53"/>
    </row>
    <row r="27" spans="1:13" x14ac:dyDescent="0.25">
      <c r="A27" s="39"/>
      <c r="B27" s="39"/>
      <c r="C27" s="39" t="str">
        <f>'DICTIONARY-2'!$A$18</f>
        <v>[mm]</v>
      </c>
      <c r="D27" s="40" t="str">
        <f>'DICTIONARY-2'!$A$28</f>
        <v>stary nr zamówienia</v>
      </c>
      <c r="E27" s="40" t="str">
        <f>'DICTIONARY-2'!$A$29</f>
        <v>nowy nr zamówienia</v>
      </c>
      <c r="F27" s="41" t="str">
        <f>CURRENCY.CODE_1</f>
        <v>EUR</v>
      </c>
      <c r="G27" s="41" t="str">
        <f>CURRENCY.CODE_2</f>
        <v>---</v>
      </c>
    </row>
    <row r="28" spans="1:13" x14ac:dyDescent="0.25">
      <c r="A28" s="42">
        <v>40</v>
      </c>
      <c r="B28" s="42" t="s">
        <v>85</v>
      </c>
      <c r="C28" s="42">
        <v>240</v>
      </c>
      <c r="D28" s="42" t="s">
        <v>460</v>
      </c>
      <c r="E28" s="329" t="s">
        <v>3042</v>
      </c>
      <c r="F28" s="339" t="str">
        <f>IFERROR(IF(OR(E28='DICTIONARY-5'!$A$2,E28='DICTIONARY-5'!$A$4,ISBLANK(E28)),VLOOKUP(D28,LIST!$A$6:$L$3250,CURR_1.SEARCH.OLD,0),VLOOKUP(E28,LIST!$B$6:$L$3250,CURR_1.SEARCH.NEW,0)),'DICTIONARY-5'!$A$2)</f>
        <v>402,-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I28" s="52"/>
    </row>
    <row r="29" spans="1:13" x14ac:dyDescent="0.25">
      <c r="A29" s="42">
        <v>50</v>
      </c>
      <c r="B29" s="42" t="s">
        <v>85</v>
      </c>
      <c r="C29" s="42">
        <v>250</v>
      </c>
      <c r="D29" s="42" t="s">
        <v>461</v>
      </c>
      <c r="E29" s="329" t="s">
        <v>3043</v>
      </c>
      <c r="F29" s="339" t="str">
        <f>IFERROR(IF(OR(E29='DICTIONARY-5'!$A$2,E29='DICTIONARY-5'!$A$4,ISBLANK(E29)),VLOOKUP(D29,LIST!$A$6:$L$3250,CURR_1.SEARCH.OLD,0),VLOOKUP(E29,LIST!$B$6:$L$3250,CURR_1.SEARCH.NEW,0)),'DICTIONARY-5'!$A$2)</f>
        <v>425,-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I29" s="52"/>
    </row>
    <row r="30" spans="1:13" x14ac:dyDescent="0.25">
      <c r="A30" s="42">
        <v>65</v>
      </c>
      <c r="B30" s="42" t="s">
        <v>85</v>
      </c>
      <c r="C30" s="42">
        <v>270</v>
      </c>
      <c r="D30" s="42" t="s">
        <v>462</v>
      </c>
      <c r="E30" s="329" t="s">
        <v>3044</v>
      </c>
      <c r="F30" s="339" t="str">
        <f>IFERROR(IF(OR(E30='DICTIONARY-5'!$A$2,E30='DICTIONARY-5'!$A$4,ISBLANK(E30)),VLOOKUP(D30,LIST!$A$6:$L$3250,CURR_1.SEARCH.OLD,0),VLOOKUP(E30,LIST!$B$6:$L$3250,CURR_1.SEARCH.NEW,0)),'DICTIONARY-5'!$A$2)</f>
        <v>490,-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I30" s="52"/>
      <c r="J30" s="518"/>
    </row>
    <row r="31" spans="1:13" x14ac:dyDescent="0.25">
      <c r="A31" s="42">
        <v>80</v>
      </c>
      <c r="B31" s="42" t="s">
        <v>85</v>
      </c>
      <c r="C31" s="42">
        <v>280</v>
      </c>
      <c r="D31" s="42" t="s">
        <v>463</v>
      </c>
      <c r="E31" s="329" t="s">
        <v>3045</v>
      </c>
      <c r="F31" s="339" t="str">
        <f>IFERROR(IF(OR(E31='DICTIONARY-5'!$A$2,E31='DICTIONARY-5'!$A$4,ISBLANK(E31)),VLOOKUP(D31,LIST!$A$6:$L$3250,CURR_1.SEARCH.OLD,0),VLOOKUP(E31,LIST!$B$6:$L$3250,CURR_1.SEARCH.NEW,0)),'DICTIONARY-5'!$A$2)</f>
        <v>543,-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I31" s="52"/>
    </row>
    <row r="32" spans="1:13" x14ac:dyDescent="0.25">
      <c r="A32" s="42">
        <v>100</v>
      </c>
      <c r="B32" s="42" t="s">
        <v>85</v>
      </c>
      <c r="C32" s="42">
        <v>300</v>
      </c>
      <c r="D32" s="42" t="s">
        <v>464</v>
      </c>
      <c r="E32" s="329" t="s">
        <v>3046</v>
      </c>
      <c r="F32" s="339" t="str">
        <f>IFERROR(IF(OR(E32='DICTIONARY-5'!$A$2,E32='DICTIONARY-5'!$A$4,ISBLANK(E32)),VLOOKUP(D32,LIST!$A$6:$L$3250,CURR_1.SEARCH.OLD,0),VLOOKUP(E32,LIST!$B$6:$L$3250,CURR_1.SEARCH.NEW,0)),'DICTIONARY-5'!$A$2)</f>
        <v>648,-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I32" s="52"/>
    </row>
    <row r="33" spans="1:13" x14ac:dyDescent="0.25">
      <c r="A33" s="42">
        <v>125</v>
      </c>
      <c r="B33" s="42" t="s">
        <v>85</v>
      </c>
      <c r="C33" s="42">
        <v>325</v>
      </c>
      <c r="D33" s="42" t="s">
        <v>465</v>
      </c>
      <c r="E33" s="329" t="s">
        <v>3047</v>
      </c>
      <c r="F33" s="339" t="str">
        <f>IFERROR(IF(OR(E33='DICTIONARY-5'!$A$2,E33='DICTIONARY-5'!$A$4,ISBLANK(E33)),VLOOKUP(D33,LIST!$A$6:$L$3250,CURR_1.SEARCH.OLD,0),VLOOKUP(E33,LIST!$B$6:$L$3250,CURR_1.SEARCH.NEW,0)),'DICTIONARY-5'!$A$2)</f>
        <v>832,-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I33" s="52"/>
    </row>
    <row r="34" spans="1:13" x14ac:dyDescent="0.25">
      <c r="A34" s="42">
        <v>150</v>
      </c>
      <c r="B34" s="42" t="s">
        <v>85</v>
      </c>
      <c r="C34" s="42">
        <v>350</v>
      </c>
      <c r="D34" s="42" t="s">
        <v>466</v>
      </c>
      <c r="E34" s="329" t="s">
        <v>3048</v>
      </c>
      <c r="F34" s="339" t="str">
        <f>IFERROR(IF(OR(E34='DICTIONARY-5'!$A$2,E34='DICTIONARY-5'!$A$4,ISBLANK(E34)),VLOOKUP(D34,LIST!$A$6:$L$3250,CURR_1.SEARCH.OLD,0),VLOOKUP(E34,LIST!$B$6:$L$3250,CURR_1.SEARCH.NEW,0)),'DICTIONARY-5'!$A$2)</f>
        <v>1 101,-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I34" s="52"/>
    </row>
    <row r="35" spans="1:13" x14ac:dyDescent="0.25">
      <c r="A35" s="42">
        <v>200</v>
      </c>
      <c r="B35" s="42" t="s">
        <v>436</v>
      </c>
      <c r="C35" s="42">
        <v>400</v>
      </c>
      <c r="D35" s="42" t="s">
        <v>467</v>
      </c>
      <c r="E35" s="329" t="s">
        <v>3049</v>
      </c>
      <c r="F35" s="339" t="str">
        <f>IFERROR(IF(OR(E35='DICTIONARY-5'!$A$2,E35='DICTIONARY-5'!$A$4,ISBLANK(E35)),VLOOKUP(D35,LIST!$A$6:$L$3250,CURR_1.SEARCH.OLD,0),VLOOKUP(E35,LIST!$B$6:$L$3250,CURR_1.SEARCH.NEW,0)),'DICTIONARY-5'!$A$2)</f>
        <v>1 357,-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I35" s="52"/>
    </row>
    <row r="36" spans="1:13" x14ac:dyDescent="0.25">
      <c r="A36" s="42">
        <v>250</v>
      </c>
      <c r="B36" s="42" t="s">
        <v>436</v>
      </c>
      <c r="C36" s="42">
        <v>450</v>
      </c>
      <c r="D36" s="42" t="s">
        <v>468</v>
      </c>
      <c r="E36" s="329" t="s">
        <v>3050</v>
      </c>
      <c r="F36" s="339" t="str">
        <f>IFERROR(IF(OR(E36='DICTIONARY-5'!$A$2,E36='DICTIONARY-5'!$A$4,ISBLANK(E36)),VLOOKUP(D36,LIST!$A$6:$L$3250,CURR_1.SEARCH.OLD,0),VLOOKUP(E36,LIST!$B$6:$L$3250,CURR_1.SEARCH.NEW,0)),'DICTIONARY-5'!$A$2)</f>
        <v>1 910,-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I36" s="52"/>
    </row>
    <row r="37" spans="1:13" x14ac:dyDescent="0.25">
      <c r="A37" s="42">
        <v>300</v>
      </c>
      <c r="B37" s="42" t="s">
        <v>436</v>
      </c>
      <c r="C37" s="42">
        <v>500</v>
      </c>
      <c r="D37" s="42" t="s">
        <v>469</v>
      </c>
      <c r="E37" s="329" t="s">
        <v>3051</v>
      </c>
      <c r="F37" s="339" t="str">
        <f>IFERROR(IF(OR(E37='DICTIONARY-5'!$A$2,E37='DICTIONARY-5'!$A$4,ISBLANK(E37)),VLOOKUP(D37,LIST!$A$6:$L$3250,CURR_1.SEARCH.OLD,0),VLOOKUP(E37,LIST!$B$6:$L$3250,CURR_1.SEARCH.NEW,0)),'DICTIONARY-5'!$A$2)</f>
        <v>2 598,-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  <c r="I37" s="52"/>
      <c r="M37" s="577"/>
    </row>
    <row r="38" spans="1:13" x14ac:dyDescent="0.25">
      <c r="A38" s="30"/>
      <c r="B38" s="30"/>
    </row>
    <row r="39" spans="1:13" x14ac:dyDescent="0.25">
      <c r="A39" s="46" t="str">
        <f>"1) "&amp;'DICTIONARY-5'!$A$3&amp;'DICTIONARY-5'!$A$61&amp;" PN 10"</f>
        <v>1) Na zapytanie: owiert kołnierzy PN 10</v>
      </c>
      <c r="B39" s="30"/>
    </row>
  </sheetData>
  <sheetProtection algorithmName="SHA-512" hashValue="dzrk4p1fcaEpNSX5CrCHTe7j0JQKF+A+uWsqYt8Rbk3wQPQ27yz6ueqdUcKhAfK3djgIWQNJTlnqbJlb/ikovA==" saltValue="Qzq00KalJ9I1zlspM8Jihg==" spinCount="100000" sheet="1" objects="1" scenarios="1" autoFilter="0"/>
  <mergeCells count="7">
    <mergeCell ref="B4:E4"/>
    <mergeCell ref="D26:G26"/>
    <mergeCell ref="D10:G10"/>
    <mergeCell ref="J10:M10"/>
    <mergeCell ref="D25:G25"/>
    <mergeCell ref="D11:G11"/>
    <mergeCell ref="J11:M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>
    <tabColor rgb="FFFFC000"/>
  </sheetPr>
  <dimension ref="A1:G23"/>
  <sheetViews>
    <sheetView workbookViewId="0"/>
  </sheetViews>
  <sheetFormatPr defaultColWidth="9.140625" defaultRowHeight="15" x14ac:dyDescent="0.25"/>
  <cols>
    <col min="1" max="3" width="9.140625" style="32"/>
    <col min="4" max="5" width="22.140625" style="32" customWidth="1"/>
    <col min="6" max="7" width="12.85546875" style="32" customWidth="1"/>
    <col min="8" max="16384" width="9.140625" style="32"/>
  </cols>
  <sheetData>
    <row r="1" spans="1:7" s="418" customFormat="1" ht="45" customHeight="1" thickBot="1" x14ac:dyDescent="0.3">
      <c r="A1" s="381"/>
      <c r="B1" s="381"/>
      <c r="C1" s="381"/>
      <c r="D1" s="381"/>
      <c r="E1" s="381"/>
    </row>
    <row r="2" spans="1:7" s="482" customFormat="1" ht="4.5" customHeight="1" x14ac:dyDescent="0.25">
      <c r="A2" s="479"/>
    </row>
    <row r="3" spans="1:7" ht="15.75" thickBot="1" x14ac:dyDescent="0.3">
      <c r="A3" s="33"/>
      <c r="B3" s="34"/>
      <c r="C3" s="34"/>
    </row>
    <row r="4" spans="1:7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7" x14ac:dyDescent="0.25">
      <c r="A5" s="33"/>
      <c r="B5" s="34"/>
      <c r="C5" s="34"/>
    </row>
    <row r="6" spans="1:7" ht="16.5" thickBot="1" x14ac:dyDescent="0.3">
      <c r="A6" s="81" t="str">
        <f>CONCATENATE('DICTIONARY-3'!$A$9," ",'DICTIONARY-3'!$A$188," / ",UPPER('DICTIONARY-5'!$A$22))</f>
        <v>IKOplus TRAFO Zasuwa klinowa / OLEJ TRANSFORMATOROWY</v>
      </c>
      <c r="B6" s="91"/>
      <c r="C6" s="91"/>
      <c r="D6" s="91"/>
      <c r="E6" s="91"/>
      <c r="F6" s="91"/>
      <c r="G6" s="91"/>
    </row>
    <row r="7" spans="1:7" x14ac:dyDescent="0.25">
      <c r="A7" s="36" t="str">
        <f>'DICTIONARY-3'!$A$242</f>
        <v>Z kółkiem ręcznym</v>
      </c>
      <c r="B7" s="30"/>
      <c r="C7" s="30"/>
      <c r="D7" s="30"/>
      <c r="E7" s="30"/>
      <c r="F7" s="31"/>
      <c r="G7" s="31"/>
    </row>
    <row r="8" spans="1:7" x14ac:dyDescent="0.25">
      <c r="A8" s="36" t="str">
        <f>CONCATENATE('DICTIONARY-1'!$A$10,": ",SETTINGS!$C$18)</f>
        <v>Grupa rabatowa: IKOplus</v>
      </c>
      <c r="B8" s="30"/>
      <c r="C8" s="30"/>
      <c r="D8" s="30"/>
      <c r="E8" s="30"/>
      <c r="F8" s="31"/>
      <c r="G8" s="31"/>
    </row>
    <row r="9" spans="1:7" x14ac:dyDescent="0.25">
      <c r="A9" s="37"/>
      <c r="B9" s="30"/>
      <c r="C9" s="30"/>
      <c r="D9" s="30"/>
      <c r="E9" s="30"/>
      <c r="F9" s="31"/>
      <c r="G9" s="31"/>
    </row>
    <row r="10" spans="1:7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960" t="str">
        <f>'DICTIONARY-3'!$A$9</f>
        <v>IKOplus TRAFO</v>
      </c>
      <c r="E10" s="960"/>
      <c r="F10" s="960"/>
      <c r="G10" s="960"/>
    </row>
    <row r="11" spans="1:7" x14ac:dyDescent="0.25">
      <c r="A11" s="57"/>
      <c r="B11" s="57"/>
      <c r="C11" s="57"/>
      <c r="D11" s="961" t="str">
        <f>'DICTIONARY-5'!$A$84</f>
        <v>z kółkiem żeliwnym</v>
      </c>
      <c r="E11" s="961"/>
      <c r="F11" s="961"/>
      <c r="G11" s="961"/>
    </row>
    <row r="12" spans="1:7" x14ac:dyDescent="0.25">
      <c r="A12" s="39"/>
      <c r="B12" s="39"/>
      <c r="C12" s="39" t="str">
        <f>'DICTIONARY-2'!$A$18</f>
        <v>[mm]</v>
      </c>
      <c r="D12" s="40" t="str">
        <f>'DICTIONARY-2'!$A$28</f>
        <v>stary nr zamówienia</v>
      </c>
      <c r="E12" s="40" t="str">
        <f>'DICTIONARY-2'!$A$29</f>
        <v>nowy nr zamówienia</v>
      </c>
      <c r="F12" s="41" t="str">
        <f>CURRENCY.CODE_1</f>
        <v>EUR</v>
      </c>
      <c r="G12" s="41" t="str">
        <f>CURRENCY.CODE_2</f>
        <v>---</v>
      </c>
    </row>
    <row r="13" spans="1:7" x14ac:dyDescent="0.25">
      <c r="A13" s="42">
        <v>40</v>
      </c>
      <c r="B13" s="42">
        <v>10</v>
      </c>
      <c r="C13" s="42">
        <v>140</v>
      </c>
      <c r="D13" s="42" t="s">
        <v>7970</v>
      </c>
      <c r="E13" s="329" t="s">
        <v>7960</v>
      </c>
      <c r="F13" s="339" t="str">
        <f>IFERROR(IF(OR(E13='DICTIONARY-5'!$A$2,E13='DICTIONARY-5'!$A$4,ISBLANK(E13)),VLOOKUP(D13,LIST!$A$6:$L$3250,CURR_1.SEARCH.OLD,0),VLOOKUP(E13,LIST!$B$6:$L$3250,CURR_1.SEARCH.NEW,0)),'DICTIONARY-5'!$A$2)</f>
        <v>530,-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42">
        <v>50</v>
      </c>
      <c r="B14" s="42">
        <v>10</v>
      </c>
      <c r="C14" s="42">
        <v>150</v>
      </c>
      <c r="D14" s="42" t="s">
        <v>7971</v>
      </c>
      <c r="E14" s="329" t="s">
        <v>7961</v>
      </c>
      <c r="F14" s="339" t="str">
        <f>IFERROR(IF(OR(E14='DICTIONARY-5'!$A$2,E14='DICTIONARY-5'!$A$4,ISBLANK(E14)),VLOOKUP(D14,LIST!$A$6:$L$3250,CURR_1.SEARCH.OLD,0),VLOOKUP(E14,LIST!$B$6:$L$3250,CURR_1.SEARCH.NEW,0)),'DICTIONARY-5'!$A$2)</f>
        <v>541,-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42">
        <v>65</v>
      </c>
      <c r="B15" s="42">
        <v>10</v>
      </c>
      <c r="C15" s="42">
        <v>170</v>
      </c>
      <c r="D15" s="42" t="s">
        <v>7972</v>
      </c>
      <c r="E15" s="329" t="s">
        <v>7962</v>
      </c>
      <c r="F15" s="339" t="str">
        <f>IFERROR(IF(OR(E15='DICTIONARY-5'!$A$2,E15='DICTIONARY-5'!$A$4,ISBLANK(E15)),VLOOKUP(D15,LIST!$A$6:$L$3250,CURR_1.SEARCH.OLD,0),VLOOKUP(E15,LIST!$B$6:$L$3250,CURR_1.SEARCH.NEW,0)),'DICTIONARY-5'!$A$2)</f>
        <v>624,-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42">
        <v>80</v>
      </c>
      <c r="B16" s="42">
        <v>10</v>
      </c>
      <c r="C16" s="42">
        <v>180</v>
      </c>
      <c r="D16" s="42" t="s">
        <v>7973</v>
      </c>
      <c r="E16" s="329" t="s">
        <v>7963</v>
      </c>
      <c r="F16" s="339" t="str">
        <f>IFERROR(IF(OR(E16='DICTIONARY-5'!$A$2,E16='DICTIONARY-5'!$A$4,ISBLANK(E16)),VLOOKUP(D16,LIST!$A$6:$L$3250,CURR_1.SEARCH.OLD,0),VLOOKUP(E16,LIST!$B$6:$L$3250,CURR_1.SEARCH.NEW,0)),'DICTIONARY-5'!$A$2)</f>
        <v>661,-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42">
        <v>100</v>
      </c>
      <c r="B17" s="42">
        <v>10</v>
      </c>
      <c r="C17" s="42">
        <v>190</v>
      </c>
      <c r="D17" s="42" t="s">
        <v>7974</v>
      </c>
      <c r="E17" s="329" t="s">
        <v>7964</v>
      </c>
      <c r="F17" s="339" t="str">
        <f>IFERROR(IF(OR(E17='DICTIONARY-5'!$A$2,E17='DICTIONARY-5'!$A$4,ISBLANK(E17)),VLOOKUP(D17,LIST!$A$6:$L$3250,CURR_1.SEARCH.OLD,0),VLOOKUP(E17,LIST!$B$6:$L$3250,CURR_1.SEARCH.NEW,0)),'DICTIONARY-5'!$A$2)</f>
        <v>726,-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42">
        <v>125</v>
      </c>
      <c r="B18" s="42">
        <v>10</v>
      </c>
      <c r="C18" s="42">
        <v>200</v>
      </c>
      <c r="D18" s="42" t="s">
        <v>7975</v>
      </c>
      <c r="E18" s="329" t="s">
        <v>7965</v>
      </c>
      <c r="F18" s="339" t="str">
        <f>IFERROR(IF(OR(E18='DICTIONARY-5'!$A$2,E18='DICTIONARY-5'!$A$4,ISBLANK(E18)),VLOOKUP(D18,LIST!$A$6:$L$3250,CURR_1.SEARCH.OLD,0),VLOOKUP(E18,LIST!$B$6:$L$3250,CURR_1.SEARCH.NEW,0)),'DICTIONARY-5'!$A$2)</f>
        <v>899,-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42">
        <v>150</v>
      </c>
      <c r="B19" s="42">
        <v>10</v>
      </c>
      <c r="C19" s="42">
        <v>210</v>
      </c>
      <c r="D19" s="42" t="s">
        <v>7976</v>
      </c>
      <c r="E19" s="329" t="s">
        <v>7966</v>
      </c>
      <c r="F19" s="339" t="str">
        <f>IFERROR(IF(OR(E19='DICTIONARY-5'!$A$2,E19='DICTIONARY-5'!$A$4,ISBLANK(E19)),VLOOKUP(D19,LIST!$A$6:$L$3250,CURR_1.SEARCH.OLD,0),VLOOKUP(E19,LIST!$B$6:$L$3250,CURR_1.SEARCH.NEW,0)),'DICTIONARY-5'!$A$2)</f>
        <v>1 070,-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0" spans="1:7" x14ac:dyDescent="0.25">
      <c r="A20" s="42">
        <v>200</v>
      </c>
      <c r="B20" s="42">
        <v>10</v>
      </c>
      <c r="C20" s="42">
        <v>230</v>
      </c>
      <c r="D20" s="42" t="s">
        <v>7977</v>
      </c>
      <c r="E20" s="329" t="s">
        <v>7967</v>
      </c>
      <c r="F20" s="339" t="str">
        <f>IFERROR(IF(OR(E20='DICTIONARY-5'!$A$2,E20='DICTIONARY-5'!$A$4,ISBLANK(E20)),VLOOKUP(D20,LIST!$A$6:$L$3250,CURR_1.SEARCH.OLD,0),VLOOKUP(E20,LIST!$B$6:$L$3250,CURR_1.SEARCH.NEW,0)),'DICTIONARY-5'!$A$2)</f>
        <v>1 343,-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</row>
    <row r="21" spans="1:7" x14ac:dyDescent="0.25">
      <c r="A21" s="42">
        <v>250</v>
      </c>
      <c r="B21" s="42">
        <v>10</v>
      </c>
      <c r="C21" s="42">
        <v>250</v>
      </c>
      <c r="D21" s="42" t="s">
        <v>7978</v>
      </c>
      <c r="E21" s="329" t="s">
        <v>7968</v>
      </c>
      <c r="F21" s="339" t="str">
        <f>IFERROR(IF(OR(E21='DICTIONARY-5'!$A$2,E21='DICTIONARY-5'!$A$4,ISBLANK(E21)),VLOOKUP(D21,LIST!$A$6:$L$3250,CURR_1.SEARCH.OLD,0),VLOOKUP(E21,LIST!$B$6:$L$3250,CURR_1.SEARCH.NEW,0)),'DICTIONARY-5'!$A$2)</f>
        <v>2 208,-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</row>
    <row r="22" spans="1:7" x14ac:dyDescent="0.25">
      <c r="A22" s="42">
        <v>300</v>
      </c>
      <c r="B22" s="42">
        <v>10</v>
      </c>
      <c r="C22" s="42">
        <v>270</v>
      </c>
      <c r="D22" s="42" t="s">
        <v>7979</v>
      </c>
      <c r="E22" s="329" t="s">
        <v>7969</v>
      </c>
      <c r="F22" s="339" t="str">
        <f>IFERROR(IF(OR(E22='DICTIONARY-5'!$A$2,E22='DICTIONARY-5'!$A$4,ISBLANK(E22)),VLOOKUP(D22,LIST!$A$6:$L$3250,CURR_1.SEARCH.OLD,0),VLOOKUP(E22,LIST!$B$6:$L$3250,CURR_1.SEARCH.NEW,0)),'DICTIONARY-5'!$A$2)</f>
        <v>2 426,-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</row>
    <row r="23" spans="1:7" x14ac:dyDescent="0.25">
      <c r="A23" s="30"/>
      <c r="B23" s="30"/>
      <c r="C23" s="30"/>
      <c r="D23" s="30"/>
      <c r="E23" s="30"/>
      <c r="F23" s="31"/>
      <c r="G23" s="31"/>
    </row>
  </sheetData>
  <sheetProtection algorithmName="SHA-512" hashValue="hBUujwl/xikkMhiLmq5Zi+ee12Wb5A3NaCpadJUPrC2e5SxDF/b2IcqJF0pIDuzi3SOz9AkP6K/FFqXgiXIIxQ==" saltValue="V+E7mnvhAtI9u4erV79q4g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5">
    <tabColor rgb="FF0F6E23"/>
  </sheetPr>
  <dimension ref="A1:M23"/>
  <sheetViews>
    <sheetView workbookViewId="0"/>
  </sheetViews>
  <sheetFormatPr defaultColWidth="9.140625" defaultRowHeight="15" x14ac:dyDescent="0.25"/>
  <cols>
    <col min="1" max="3" width="8.5703125" style="32" customWidth="1"/>
    <col min="4" max="4" width="11.85546875" style="32" customWidth="1"/>
    <col min="5" max="6" width="22.140625" style="32" customWidth="1"/>
    <col min="7" max="8" width="12.85546875" style="32" customWidth="1"/>
    <col min="9" max="9" width="12.140625" style="32" customWidth="1"/>
    <col min="10" max="11" width="22.140625" style="32" customWidth="1"/>
    <col min="12" max="13" width="12.85546875" style="32" customWidth="1"/>
    <col min="14" max="16384" width="9.140625" style="32"/>
  </cols>
  <sheetData>
    <row r="1" spans="1:13" s="418" customFormat="1" ht="45" customHeight="1" thickBot="1" x14ac:dyDescent="0.3">
      <c r="A1" s="381"/>
      <c r="B1" s="381"/>
      <c r="C1" s="381"/>
      <c r="D1" s="381"/>
      <c r="E1" s="381"/>
    </row>
    <row r="2" spans="1:13" s="482" customFormat="1" ht="4.5" customHeight="1" x14ac:dyDescent="0.25">
      <c r="A2" s="479"/>
    </row>
    <row r="3" spans="1:13" ht="15.75" thickBot="1" x14ac:dyDescent="0.3">
      <c r="A3" s="33"/>
      <c r="B3" s="34"/>
      <c r="C3" s="34"/>
    </row>
    <row r="4" spans="1:13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13" x14ac:dyDescent="0.25">
      <c r="A5" s="33"/>
      <c r="B5" s="34"/>
      <c r="C5" s="34"/>
    </row>
    <row r="6" spans="1:13" ht="16.5" thickBot="1" x14ac:dyDescent="0.3">
      <c r="A6" s="81" t="str">
        <f>CONCATENATE('DICTIONARY-3'!$A$10," ",'DICTIONARY-3'!$A$189," / ",'DICTIONARY-3'!$A$261)</f>
        <v>MONO Zasuwa nożowa / Do zabudowy w ziemi</v>
      </c>
      <c r="B6" s="91"/>
      <c r="C6" s="91"/>
      <c r="D6" s="91"/>
      <c r="E6" s="91"/>
      <c r="F6" s="91"/>
      <c r="G6" s="91"/>
      <c r="H6" s="81"/>
      <c r="I6" s="91"/>
      <c r="J6" s="91"/>
      <c r="K6" s="91"/>
      <c r="L6" s="81"/>
      <c r="M6" s="91"/>
    </row>
    <row r="7" spans="1:13" x14ac:dyDescent="0.25">
      <c r="A7" s="36" t="str">
        <f>CONCATENATE('DICTIONARY-3'!$A$262,", ",'DICTIONARY-5'!$A$93,": ",'DICTIONARY-5'!$A$32," ",'DICTIONARY-5'!$A$34)</f>
        <v>Z teleskopowym przedłużeniem wrzeciona, płyta zasuwowa: stal nierdzewna A2</v>
      </c>
    </row>
    <row r="8" spans="1:13" x14ac:dyDescent="0.25">
      <c r="A8" s="36" t="str">
        <f>CONCATENATE('DICTIONARY-1'!$A$10,": ",SETTINGS!$C$21)</f>
        <v>Grupa rabatowa: MONO</v>
      </c>
    </row>
    <row r="9" spans="1:13" x14ac:dyDescent="0.25">
      <c r="A9" s="35"/>
      <c r="B9" s="35"/>
      <c r="C9" s="30"/>
      <c r="D9" s="30"/>
      <c r="E9" s="30"/>
      <c r="F9" s="30"/>
      <c r="G9" s="31"/>
      <c r="H9" s="31"/>
      <c r="I9" s="31"/>
      <c r="J9" s="31"/>
      <c r="K9" s="31"/>
      <c r="L9" s="31"/>
      <c r="M9" s="31"/>
    </row>
    <row r="10" spans="1:13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701" t="str">
        <f>'DICTIONARY-2'!$A$7&amp;" 1)"</f>
        <v>Rd 1)</v>
      </c>
      <c r="E10" s="960" t="str">
        <f>'DICTIONARY-3'!$A$10</f>
        <v>MONO</v>
      </c>
      <c r="F10" s="960"/>
      <c r="G10" s="960"/>
      <c r="H10" s="960"/>
      <c r="I10" s="701" t="str">
        <f>'DICTIONARY-2'!$A$7&amp;" 1)"</f>
        <v>Rd 1)</v>
      </c>
      <c r="J10" s="960" t="str">
        <f>'DICTIONARY-3'!$A$10</f>
        <v>MONO</v>
      </c>
      <c r="K10" s="960"/>
      <c r="L10" s="960"/>
      <c r="M10" s="960"/>
    </row>
    <row r="11" spans="1:13" x14ac:dyDescent="0.25">
      <c r="A11" s="57"/>
      <c r="B11" s="57"/>
      <c r="C11" s="57"/>
      <c r="D11" s="704"/>
      <c r="E11" s="961" t="str">
        <f>'DICTIONARY-5'!$A$90</f>
        <v>z przedłużeniem krótkim</v>
      </c>
      <c r="F11" s="961"/>
      <c r="G11" s="961"/>
      <c r="H11" s="961"/>
      <c r="I11" s="704"/>
      <c r="J11" s="961" t="str">
        <f>'DICTIONARY-5'!$A$91</f>
        <v>z przedłużeniem długim</v>
      </c>
      <c r="K11" s="961"/>
      <c r="L11" s="961"/>
      <c r="M11" s="961"/>
    </row>
    <row r="12" spans="1:13" ht="15.75" customHeight="1" x14ac:dyDescent="0.25">
      <c r="A12" s="39"/>
      <c r="B12" s="39"/>
      <c r="C12" s="702" t="str">
        <f>'DICTIONARY-2'!$A$18</f>
        <v>[mm]</v>
      </c>
      <c r="D12" s="54" t="str">
        <f>'DICTIONARY-2'!$A$19</f>
        <v>[m]</v>
      </c>
      <c r="E12" s="40" t="str">
        <f>'DICTIONARY-2'!$A$28</f>
        <v>stary nr zamówienia</v>
      </c>
      <c r="F12" s="40" t="str">
        <f>'DICTIONARY-2'!$A$29</f>
        <v>nowy nr zamówienia</v>
      </c>
      <c r="G12" s="41" t="str">
        <f>CURRENCY.CODE_1</f>
        <v>EUR</v>
      </c>
      <c r="H12" s="41" t="str">
        <f>CURRENCY.CODE_2</f>
        <v>---</v>
      </c>
      <c r="I12" s="54" t="str">
        <f>'DICTIONARY-2'!$A$19</f>
        <v>[m]</v>
      </c>
      <c r="J12" s="40" t="str">
        <f>'DICTIONARY-2'!$A$28</f>
        <v>stary nr zamówienia</v>
      </c>
      <c r="K12" s="40" t="str">
        <f>'DICTIONARY-2'!$A$29</f>
        <v>nowy nr zamówienia</v>
      </c>
      <c r="L12" s="41" t="str">
        <f>CURRENCY.CODE_1</f>
        <v>EUR</v>
      </c>
      <c r="M12" s="41" t="str">
        <f>CURRENCY.CODE_2</f>
        <v>---</v>
      </c>
    </row>
    <row r="13" spans="1:13" x14ac:dyDescent="0.25">
      <c r="A13" s="42">
        <v>50</v>
      </c>
      <c r="B13" s="42">
        <v>10</v>
      </c>
      <c r="C13" s="42">
        <v>43</v>
      </c>
      <c r="D13" s="42" t="s">
        <v>478</v>
      </c>
      <c r="E13" s="42" t="s">
        <v>479</v>
      </c>
      <c r="F13" s="329" t="s">
        <v>3124</v>
      </c>
      <c r="G13" s="339" t="str">
        <f>IFERROR(IF(OR(F13='DICTIONARY-5'!$A$2,F13='DICTIONARY-5'!$A$4,ISBLANK(F13)),VLOOKUP(E13,LIST!$A$6:$L$3250,CURR_1.SEARCH.OLD,0),VLOOKUP(F13,LIST!$B$6:$L$3250,CURR_1.SEARCH.NEW,0)),'DICTIONARY-5'!$A$2)</f>
        <v>979,-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  <c r="I13" s="42" t="s">
        <v>480</v>
      </c>
      <c r="J13" s="42" t="s">
        <v>481</v>
      </c>
      <c r="K13" s="329" t="s">
        <v>3125</v>
      </c>
      <c r="L13" s="339" t="str">
        <f>IFERROR(IF(OR(K13='DICTIONARY-5'!$A$2,K13='DICTIONARY-5'!$A$4,ISBLANK(K13)),VLOOKUP(J13,LIST!$A$6:$L$3250,CURR_1.SEARCH.OLD,0),VLOOKUP(K13,LIST!$B$6:$L$3250,CURR_1.SEARCH.NEW,0)),'DICTIONARY-5'!$A$2)</f>
        <v>981,-</v>
      </c>
      <c r="M13" s="339" t="str">
        <f>IFERROR(IF(OR(K13='DICTIONARY-5'!$A$2,K13='DICTIONARY-5'!$A$4,ISBLANK(K13)),VLOOKUP(J13,LIST!$A$6:$M$3250,CURR_2.SEARCH.OLD,0),VLOOKUP(K13,LIST!$B$6:$M$3250,CURR_2.SEARCH.NEW,0)),'DICTIONARY-5'!$A$2)</f>
        <v/>
      </c>
    </row>
    <row r="14" spans="1:13" x14ac:dyDescent="0.25">
      <c r="A14" s="42">
        <v>65</v>
      </c>
      <c r="B14" s="42">
        <v>10</v>
      </c>
      <c r="C14" s="42">
        <v>46</v>
      </c>
      <c r="D14" s="42" t="s">
        <v>482</v>
      </c>
      <c r="E14" s="42" t="s">
        <v>483</v>
      </c>
      <c r="F14" s="329" t="s">
        <v>3126</v>
      </c>
      <c r="G14" s="339" t="str">
        <f>IFERROR(IF(OR(F14='DICTIONARY-5'!$A$2,F14='DICTIONARY-5'!$A$4,ISBLANK(F14)),VLOOKUP(E14,LIST!$A$6:$L$3250,CURR_1.SEARCH.OLD,0),VLOOKUP(F14,LIST!$B$6:$L$3250,CURR_1.SEARCH.NEW,0)),'DICTIONARY-5'!$A$2)</f>
        <v>880,-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  <c r="I14" s="42" t="s">
        <v>484</v>
      </c>
      <c r="J14" s="42" t="s">
        <v>485</v>
      </c>
      <c r="K14" s="329" t="s">
        <v>3127</v>
      </c>
      <c r="L14" s="339" t="str">
        <f>IFERROR(IF(OR(K14='DICTIONARY-5'!$A$2,K14='DICTIONARY-5'!$A$4,ISBLANK(K14)),VLOOKUP(J14,LIST!$A$6:$L$3250,CURR_1.SEARCH.OLD,0),VLOOKUP(K14,LIST!$B$6:$L$3250,CURR_1.SEARCH.NEW,0)),'DICTIONARY-5'!$A$2)</f>
        <v>882,-</v>
      </c>
      <c r="M14" s="339" t="str">
        <f>IFERROR(IF(OR(K14='DICTIONARY-5'!$A$2,K14='DICTIONARY-5'!$A$4,ISBLANK(K14)),VLOOKUP(J14,LIST!$A$6:$M$3250,CURR_2.SEARCH.OLD,0),VLOOKUP(K14,LIST!$B$6:$M$3250,CURR_2.SEARCH.NEW,0)),'DICTIONARY-5'!$A$2)</f>
        <v/>
      </c>
    </row>
    <row r="15" spans="1:13" x14ac:dyDescent="0.25">
      <c r="A15" s="42">
        <v>80</v>
      </c>
      <c r="B15" s="42">
        <v>10</v>
      </c>
      <c r="C15" s="42">
        <v>64</v>
      </c>
      <c r="D15" s="42" t="s">
        <v>486</v>
      </c>
      <c r="E15" s="42" t="s">
        <v>487</v>
      </c>
      <c r="F15" s="329" t="s">
        <v>3128</v>
      </c>
      <c r="G15" s="339" t="str">
        <f>IFERROR(IF(OR(F15='DICTIONARY-5'!$A$2,F15='DICTIONARY-5'!$A$4,ISBLANK(F15)),VLOOKUP(E15,LIST!$A$6:$L$3250,CURR_1.SEARCH.OLD,0),VLOOKUP(F15,LIST!$B$6:$L$3250,CURR_1.SEARCH.NEW,0)),'DICTIONARY-5'!$A$2)</f>
        <v>915,-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  <c r="I15" s="42" t="s">
        <v>488</v>
      </c>
      <c r="J15" s="42" t="s">
        <v>489</v>
      </c>
      <c r="K15" s="329" t="s">
        <v>3129</v>
      </c>
      <c r="L15" s="339" t="str">
        <f>IFERROR(IF(OR(K15='DICTIONARY-5'!$A$2,K15='DICTIONARY-5'!$A$4,ISBLANK(K15)),VLOOKUP(J15,LIST!$A$6:$L$3250,CURR_1.SEARCH.OLD,0),VLOOKUP(K15,LIST!$B$6:$L$3250,CURR_1.SEARCH.NEW,0)),'DICTIONARY-5'!$A$2)</f>
        <v>918,-</v>
      </c>
      <c r="M15" s="339" t="str">
        <f>IFERROR(IF(OR(K15='DICTIONARY-5'!$A$2,K15='DICTIONARY-5'!$A$4,ISBLANK(K15)),VLOOKUP(J15,LIST!$A$6:$M$3250,CURR_2.SEARCH.OLD,0),VLOOKUP(K15,LIST!$B$6:$M$3250,CURR_2.SEARCH.NEW,0)),'DICTIONARY-5'!$A$2)</f>
        <v/>
      </c>
    </row>
    <row r="16" spans="1:13" x14ac:dyDescent="0.25">
      <c r="A16" s="42">
        <v>100</v>
      </c>
      <c r="B16" s="42">
        <v>10</v>
      </c>
      <c r="C16" s="42">
        <v>64</v>
      </c>
      <c r="D16" s="42" t="s">
        <v>490</v>
      </c>
      <c r="E16" s="42" t="s">
        <v>491</v>
      </c>
      <c r="F16" s="329" t="s">
        <v>3130</v>
      </c>
      <c r="G16" s="339" t="str">
        <f>IFERROR(IF(OR(F16='DICTIONARY-5'!$A$2,F16='DICTIONARY-5'!$A$4,ISBLANK(F16)),VLOOKUP(E16,LIST!$A$6:$L$3250,CURR_1.SEARCH.OLD,0),VLOOKUP(F16,LIST!$B$6:$L$3250,CURR_1.SEARCH.NEW,0)),'DICTIONARY-5'!$A$2)</f>
        <v>927,-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  <c r="I16" s="42" t="s">
        <v>492</v>
      </c>
      <c r="J16" s="42" t="s">
        <v>493</v>
      </c>
      <c r="K16" s="329" t="s">
        <v>3131</v>
      </c>
      <c r="L16" s="339" t="str">
        <f>IFERROR(IF(OR(K16='DICTIONARY-5'!$A$2,K16='DICTIONARY-5'!$A$4,ISBLANK(K16)),VLOOKUP(J16,LIST!$A$6:$L$3250,CURR_1.SEARCH.OLD,0),VLOOKUP(K16,LIST!$B$6:$L$3250,CURR_1.SEARCH.NEW,0)),'DICTIONARY-5'!$A$2)</f>
        <v>931,-</v>
      </c>
      <c r="M16" s="339" t="str">
        <f>IFERROR(IF(OR(K16='DICTIONARY-5'!$A$2,K16='DICTIONARY-5'!$A$4,ISBLANK(K16)),VLOOKUP(J16,LIST!$A$6:$M$3250,CURR_2.SEARCH.OLD,0),VLOOKUP(K16,LIST!$B$6:$M$3250,CURR_2.SEARCH.NEW,0)),'DICTIONARY-5'!$A$2)</f>
        <v/>
      </c>
    </row>
    <row r="17" spans="1:13" x14ac:dyDescent="0.25">
      <c r="A17" s="42">
        <v>125</v>
      </c>
      <c r="B17" s="42">
        <v>10</v>
      </c>
      <c r="C17" s="42">
        <v>70</v>
      </c>
      <c r="D17" s="42" t="s">
        <v>494</v>
      </c>
      <c r="E17" s="42" t="s">
        <v>495</v>
      </c>
      <c r="F17" s="329" t="s">
        <v>3132</v>
      </c>
      <c r="G17" s="339" t="str">
        <f>IFERROR(IF(OR(F17='DICTIONARY-5'!$A$2,F17='DICTIONARY-5'!$A$4,ISBLANK(F17)),VLOOKUP(E17,LIST!$A$6:$L$3250,CURR_1.SEARCH.OLD,0),VLOOKUP(F17,LIST!$B$6:$L$3250,CURR_1.SEARCH.NEW,0)),'DICTIONARY-5'!$A$2)</f>
        <v>950,-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  <c r="I17" s="42" t="s">
        <v>496</v>
      </c>
      <c r="J17" s="42" t="s">
        <v>497</v>
      </c>
      <c r="K17" s="329" t="s">
        <v>3133</v>
      </c>
      <c r="L17" s="339" t="str">
        <f>IFERROR(IF(OR(K17='DICTIONARY-5'!$A$2,K17='DICTIONARY-5'!$A$4,ISBLANK(K17)),VLOOKUP(J17,LIST!$A$6:$L$3250,CURR_1.SEARCH.OLD,0),VLOOKUP(K17,LIST!$B$6:$L$3250,CURR_1.SEARCH.NEW,0)),'DICTIONARY-5'!$A$2)</f>
        <v>952,-</v>
      </c>
      <c r="M17" s="339" t="str">
        <f>IFERROR(IF(OR(K17='DICTIONARY-5'!$A$2,K17='DICTIONARY-5'!$A$4,ISBLANK(K17)),VLOOKUP(J17,LIST!$A$6:$M$3250,CURR_2.SEARCH.OLD,0),VLOOKUP(K17,LIST!$B$6:$M$3250,CURR_2.SEARCH.NEW,0)),'DICTIONARY-5'!$A$2)</f>
        <v/>
      </c>
    </row>
    <row r="18" spans="1:13" x14ac:dyDescent="0.25">
      <c r="A18" s="42">
        <v>150</v>
      </c>
      <c r="B18" s="42">
        <v>10</v>
      </c>
      <c r="C18" s="42">
        <v>56</v>
      </c>
      <c r="D18" s="42" t="s">
        <v>498</v>
      </c>
      <c r="E18" s="42" t="s">
        <v>499</v>
      </c>
      <c r="F18" s="329" t="s">
        <v>3134</v>
      </c>
      <c r="G18" s="339" t="str">
        <f>IFERROR(IF(OR(F18='DICTIONARY-5'!$A$2,F18='DICTIONARY-5'!$A$4,ISBLANK(F18)),VLOOKUP(E18,LIST!$A$6:$L$3250,CURR_1.SEARCH.OLD,0),VLOOKUP(F18,LIST!$B$6:$L$3250,CURR_1.SEARCH.NEW,0)),'DICTIONARY-5'!$A$2)</f>
        <v>1 017,-</v>
      </c>
      <c r="H18" s="339" t="str">
        <f>IFERROR(IF(OR(F18='DICTIONARY-5'!$A$2,F18='DICTIONARY-5'!$A$4,ISBLANK(F18)),VLOOKUP(E18,LIST!$A$6:$M$3250,CURR_2.SEARCH.OLD,0),VLOOKUP(F18,LIST!$B$6:$M$3250,CURR_2.SEARCH.NEW,0)),'DICTIONARY-5'!$A$2)</f>
        <v/>
      </c>
      <c r="I18" s="42" t="s">
        <v>500</v>
      </c>
      <c r="J18" s="42" t="s">
        <v>501</v>
      </c>
      <c r="K18" s="329" t="s">
        <v>3135</v>
      </c>
      <c r="L18" s="339" t="str">
        <f>IFERROR(IF(OR(K18='DICTIONARY-5'!$A$2,K18='DICTIONARY-5'!$A$4,ISBLANK(K18)),VLOOKUP(J18,LIST!$A$6:$L$3250,CURR_1.SEARCH.OLD,0),VLOOKUP(K18,LIST!$B$6:$L$3250,CURR_1.SEARCH.NEW,0)),'DICTIONARY-5'!$A$2)</f>
        <v>1 020,-</v>
      </c>
      <c r="M18" s="339" t="str">
        <f>IFERROR(IF(OR(K18='DICTIONARY-5'!$A$2,K18='DICTIONARY-5'!$A$4,ISBLANK(K18)),VLOOKUP(J18,LIST!$A$6:$M$3250,CURR_2.SEARCH.OLD,0),VLOOKUP(K18,LIST!$B$6:$M$3250,CURR_2.SEARCH.NEW,0)),'DICTIONARY-5'!$A$2)</f>
        <v/>
      </c>
    </row>
    <row r="19" spans="1:13" x14ac:dyDescent="0.25">
      <c r="A19" s="42">
        <v>200</v>
      </c>
      <c r="B19" s="42">
        <v>10</v>
      </c>
      <c r="C19" s="42">
        <v>60</v>
      </c>
      <c r="D19" s="42" t="s">
        <v>502</v>
      </c>
      <c r="E19" s="42" t="s">
        <v>503</v>
      </c>
      <c r="F19" s="329" t="s">
        <v>3136</v>
      </c>
      <c r="G19" s="339" t="str">
        <f>IFERROR(IF(OR(F19='DICTIONARY-5'!$A$2,F19='DICTIONARY-5'!$A$4,ISBLANK(F19)),VLOOKUP(E19,LIST!$A$6:$L$3250,CURR_1.SEARCH.OLD,0),VLOOKUP(F19,LIST!$B$6:$L$3250,CURR_1.SEARCH.NEW,0)),'DICTIONARY-5'!$A$2)</f>
        <v>1 234,-</v>
      </c>
      <c r="H19" s="339" t="str">
        <f>IFERROR(IF(OR(F19='DICTIONARY-5'!$A$2,F19='DICTIONARY-5'!$A$4,ISBLANK(F19)),VLOOKUP(E19,LIST!$A$6:$M$3250,CURR_2.SEARCH.OLD,0),VLOOKUP(F19,LIST!$B$6:$M$3250,CURR_2.SEARCH.NEW,0)),'DICTIONARY-5'!$A$2)</f>
        <v/>
      </c>
      <c r="I19" s="42" t="s">
        <v>504</v>
      </c>
      <c r="J19" s="42" t="s">
        <v>505</v>
      </c>
      <c r="K19" s="329" t="s">
        <v>3137</v>
      </c>
      <c r="L19" s="339" t="str">
        <f>IFERROR(IF(OR(K19='DICTIONARY-5'!$A$2,K19='DICTIONARY-5'!$A$4,ISBLANK(K19)),VLOOKUP(J19,LIST!$A$6:$L$3250,CURR_1.SEARCH.OLD,0),VLOOKUP(K19,LIST!$B$6:$L$3250,CURR_1.SEARCH.NEW,0)),'DICTIONARY-5'!$A$2)</f>
        <v>1 237,-</v>
      </c>
      <c r="M19" s="339" t="str">
        <f>IFERROR(IF(OR(K19='DICTIONARY-5'!$A$2,K19='DICTIONARY-5'!$A$4,ISBLANK(K19)),VLOOKUP(J19,LIST!$A$6:$M$3250,CURR_2.SEARCH.OLD,0),VLOOKUP(K19,LIST!$B$6:$M$3250,CURR_2.SEARCH.NEW,0)),'DICTIONARY-5'!$A$2)</f>
        <v/>
      </c>
    </row>
    <row r="20" spans="1:13" x14ac:dyDescent="0.25">
      <c r="A20" s="42">
        <v>250</v>
      </c>
      <c r="B20" s="42">
        <v>10</v>
      </c>
      <c r="C20" s="42">
        <v>68</v>
      </c>
      <c r="D20" s="42" t="s">
        <v>506</v>
      </c>
      <c r="E20" s="42" t="s">
        <v>507</v>
      </c>
      <c r="F20" s="329" t="s">
        <v>3138</v>
      </c>
      <c r="G20" s="339" t="str">
        <f>IFERROR(IF(OR(F20='DICTIONARY-5'!$A$2,F20='DICTIONARY-5'!$A$4,ISBLANK(F20)),VLOOKUP(E20,LIST!$A$6:$L$3250,CURR_1.SEARCH.OLD,0),VLOOKUP(F20,LIST!$B$6:$L$3250,CURR_1.SEARCH.NEW,0)),'DICTIONARY-5'!$A$2)</f>
        <v>1 790,-</v>
      </c>
      <c r="H20" s="339" t="str">
        <f>IFERROR(IF(OR(F20='DICTIONARY-5'!$A$2,F20='DICTIONARY-5'!$A$4,ISBLANK(F20)),VLOOKUP(E20,LIST!$A$6:$M$3250,CURR_2.SEARCH.OLD,0),VLOOKUP(F20,LIST!$B$6:$M$3250,CURR_2.SEARCH.NEW,0)),'DICTIONARY-5'!$A$2)</f>
        <v/>
      </c>
      <c r="I20" s="42" t="s">
        <v>508</v>
      </c>
      <c r="J20" s="42" t="s">
        <v>509</v>
      </c>
      <c r="K20" s="329" t="s">
        <v>3139</v>
      </c>
      <c r="L20" s="339" t="str">
        <f>IFERROR(IF(OR(K20='DICTIONARY-5'!$A$2,K20='DICTIONARY-5'!$A$4,ISBLANK(K20)),VLOOKUP(J20,LIST!$A$6:$L$3250,CURR_1.SEARCH.OLD,0),VLOOKUP(K20,LIST!$B$6:$L$3250,CURR_1.SEARCH.NEW,0)),'DICTIONARY-5'!$A$2)</f>
        <v>1 793,-</v>
      </c>
      <c r="M20" s="339" t="str">
        <f>IFERROR(IF(OR(K20='DICTIONARY-5'!$A$2,K20='DICTIONARY-5'!$A$4,ISBLANK(K20)),VLOOKUP(J20,LIST!$A$6:$M$3250,CURR_2.SEARCH.OLD,0),VLOOKUP(K20,LIST!$B$6:$M$3250,CURR_2.SEARCH.NEW,0)),'DICTIONARY-5'!$A$2)</f>
        <v/>
      </c>
    </row>
    <row r="21" spans="1:13" x14ac:dyDescent="0.25">
      <c r="A21" s="42">
        <v>300</v>
      </c>
      <c r="B21" s="42">
        <v>10</v>
      </c>
      <c r="C21" s="42">
        <v>78</v>
      </c>
      <c r="D21" s="42" t="s">
        <v>510</v>
      </c>
      <c r="E21" s="42" t="s">
        <v>511</v>
      </c>
      <c r="F21" s="329" t="s">
        <v>3140</v>
      </c>
      <c r="G21" s="339" t="str">
        <f>IFERROR(IF(OR(F21='DICTIONARY-5'!$A$2,F21='DICTIONARY-5'!$A$4,ISBLANK(F21)),VLOOKUP(E21,LIST!$A$6:$L$3250,CURR_1.SEARCH.OLD,0),VLOOKUP(F21,LIST!$B$6:$L$3250,CURR_1.SEARCH.NEW,0)),'DICTIONARY-5'!$A$2)</f>
        <v>2 054,-</v>
      </c>
      <c r="H21" s="339" t="str">
        <f>IFERROR(IF(OR(F21='DICTIONARY-5'!$A$2,F21='DICTIONARY-5'!$A$4,ISBLANK(F21)),VLOOKUP(E21,LIST!$A$6:$M$3250,CURR_2.SEARCH.OLD,0),VLOOKUP(F21,LIST!$B$6:$M$3250,CURR_2.SEARCH.NEW,0)),'DICTIONARY-5'!$A$2)</f>
        <v/>
      </c>
      <c r="I21" s="42" t="s">
        <v>512</v>
      </c>
      <c r="J21" s="42" t="s">
        <v>513</v>
      </c>
      <c r="K21" s="329" t="s">
        <v>3141</v>
      </c>
      <c r="L21" s="339" t="str">
        <f>IFERROR(IF(OR(K21='DICTIONARY-5'!$A$2,K21='DICTIONARY-5'!$A$4,ISBLANK(K21)),VLOOKUP(J21,LIST!$A$6:$L$3250,CURR_1.SEARCH.OLD,0),VLOOKUP(K21,LIST!$B$6:$L$3250,CURR_1.SEARCH.NEW,0)),'DICTIONARY-5'!$A$2)</f>
        <v>2 057,-</v>
      </c>
      <c r="M21" s="339" t="str">
        <f>IFERROR(IF(OR(K21='DICTIONARY-5'!$A$2,K21='DICTIONARY-5'!$A$4,ISBLANK(K21)),VLOOKUP(J21,LIST!$A$6:$M$3250,CURR_2.SEARCH.OLD,0),VLOOKUP(K21,LIST!$B$6:$M$3250,CURR_2.SEARCH.NEW,0)),'DICTIONARY-5'!$A$2)</f>
        <v/>
      </c>
    </row>
    <row r="23" spans="1:13" x14ac:dyDescent="0.25">
      <c r="A23" s="32" t="str">
        <f>"1) "&amp;'DICTIONARY-5'!$A$85&amp;" - "&amp;'DICTIONARY-5'!$A$87</f>
        <v>1) Głębokość zabudowy - mierzona od górnej krawędzi rury do wierzchu terenu</v>
      </c>
    </row>
  </sheetData>
  <sheetProtection algorithmName="SHA-512" hashValue="R4wdfrqotl7l7wsadDRaFTQpBM4byXNQPgyjrhWbEYX1z0MgKXhs4gm1ZebzfUyzxV5d7GHTsR0iSy4hnMxe5w==" saltValue="D77x4TVjqd0dFl+BJwToOw==" spinCount="100000" sheet="1" objects="1" scenarios="1" autoFilter="0"/>
  <mergeCells count="5">
    <mergeCell ref="B4:E4"/>
    <mergeCell ref="E10:H10"/>
    <mergeCell ref="J10:M10"/>
    <mergeCell ref="E11:H11"/>
    <mergeCell ref="J11:M11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4">
    <tabColor rgb="FF0F6E23"/>
  </sheetPr>
  <dimension ref="A1:G29"/>
  <sheetViews>
    <sheetView workbookViewId="0"/>
  </sheetViews>
  <sheetFormatPr defaultColWidth="9.140625" defaultRowHeight="15" x14ac:dyDescent="0.25"/>
  <cols>
    <col min="1" max="3" width="8.5703125" style="32" customWidth="1"/>
    <col min="4" max="5" width="22.140625" style="32" customWidth="1"/>
    <col min="6" max="7" width="12.85546875" style="32" customWidth="1"/>
    <col min="8" max="16384" width="9.140625" style="32"/>
  </cols>
  <sheetData>
    <row r="1" spans="1:7" s="418" customFormat="1" ht="45" customHeight="1" thickBot="1" x14ac:dyDescent="0.3">
      <c r="A1" s="381"/>
      <c r="B1" s="381"/>
      <c r="C1" s="381"/>
      <c r="D1" s="381"/>
      <c r="E1" s="381"/>
    </row>
    <row r="2" spans="1:7" s="482" customFormat="1" ht="4.5" customHeight="1" x14ac:dyDescent="0.25">
      <c r="A2" s="479"/>
    </row>
    <row r="3" spans="1:7" ht="15.75" thickBot="1" x14ac:dyDescent="0.3">
      <c r="A3" s="33"/>
      <c r="B3" s="34"/>
      <c r="C3" s="34"/>
    </row>
    <row r="4" spans="1:7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7" x14ac:dyDescent="0.25">
      <c r="A5" s="33"/>
      <c r="B5" s="34"/>
      <c r="C5" s="34"/>
    </row>
    <row r="6" spans="1:7" ht="16.5" thickBot="1" x14ac:dyDescent="0.3">
      <c r="A6" s="81" t="str">
        <f>CONCATENATE('DICTIONARY-3'!$A$10," ",'DICTIONARY-3'!$A$189," / ",'DICTIONARY-3'!$A$263)</f>
        <v>MONO Zasuwa nożowa / Z dźwignią szybkozamykającą</v>
      </c>
      <c r="B6" s="91"/>
      <c r="C6" s="91"/>
      <c r="D6" s="91"/>
      <c r="E6" s="91"/>
      <c r="F6" s="91"/>
      <c r="G6" s="91"/>
    </row>
    <row r="7" spans="1:7" x14ac:dyDescent="0.25">
      <c r="A7" s="36" t="str">
        <f>CONCATENATE(PROPER('DICTIONARY-5'!$A$93),": ",'DICTIONARY-5'!$A$32," ",'DICTIONARY-5'!$A$34)</f>
        <v>Płyta Zasuwowa: stal nierdzewna A2</v>
      </c>
    </row>
    <row r="8" spans="1:7" x14ac:dyDescent="0.25">
      <c r="A8" s="36" t="str">
        <f>CONCATENATE('DICTIONARY-1'!$A$10,": ",SETTINGS!$C$21)</f>
        <v>Grupa rabatowa: MONO</v>
      </c>
    </row>
    <row r="9" spans="1:7" x14ac:dyDescent="0.25">
      <c r="A9" s="35"/>
      <c r="B9" s="35"/>
      <c r="C9" s="30"/>
      <c r="D9" s="30"/>
      <c r="E9" s="30"/>
      <c r="F9" s="31"/>
      <c r="G9" s="31"/>
    </row>
    <row r="10" spans="1:7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960" t="str">
        <f>'DICTIONARY-3'!$A$10</f>
        <v>MONO</v>
      </c>
      <c r="E10" s="960"/>
      <c r="F10" s="960"/>
      <c r="G10" s="960"/>
    </row>
    <row r="11" spans="1:7" x14ac:dyDescent="0.25">
      <c r="A11" s="57"/>
      <c r="B11" s="57"/>
      <c r="C11" s="57"/>
      <c r="D11" s="961" t="str">
        <f>LOWER('DICTIONARY-3'!$A$263)</f>
        <v>z dźwignią szybkozamykającą</v>
      </c>
      <c r="E11" s="961"/>
      <c r="F11" s="961"/>
      <c r="G11" s="961"/>
    </row>
    <row r="12" spans="1:7" ht="15" customHeight="1" x14ac:dyDescent="0.25">
      <c r="A12" s="39"/>
      <c r="B12" s="39"/>
      <c r="C12" s="702" t="str">
        <f>'DICTIONARY-2'!$A$18</f>
        <v>[mm]</v>
      </c>
      <c r="D12" s="40" t="str">
        <f>'DICTIONARY-2'!$A$28</f>
        <v>stary nr zamówienia</v>
      </c>
      <c r="E12" s="40" t="str">
        <f>'DICTIONARY-2'!$A$29</f>
        <v>nowy nr zamówienia</v>
      </c>
      <c r="F12" s="41" t="str">
        <f>CURRENCY.CODE_1</f>
        <v>EUR</v>
      </c>
      <c r="G12" s="41" t="str">
        <f>CURRENCY.CODE_2</f>
        <v>---</v>
      </c>
    </row>
    <row r="13" spans="1:7" x14ac:dyDescent="0.25">
      <c r="A13" s="42">
        <v>50</v>
      </c>
      <c r="B13" s="553" t="s">
        <v>1605</v>
      </c>
      <c r="C13" s="42">
        <v>43</v>
      </c>
      <c r="D13" s="42" t="s">
        <v>470</v>
      </c>
      <c r="E13" s="329" t="s">
        <v>3117</v>
      </c>
      <c r="F13" s="339" t="str">
        <f>IFERROR(IF(OR(E13='DICTIONARY-5'!$A$2,E13='DICTIONARY-5'!$A$4,ISBLANK(E13)),VLOOKUP(D13,LIST!$A$6:$L$3250,CURR_1.SEARCH.OLD,0),VLOOKUP(E13,LIST!$B$6:$L$3250,CURR_1.SEARCH.NEW,0)),'DICTIONARY-5'!$A$2)</f>
        <v>414,-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42">
        <v>65</v>
      </c>
      <c r="B14" s="42" t="s">
        <v>1605</v>
      </c>
      <c r="C14" s="42">
        <v>46</v>
      </c>
      <c r="D14" s="42" t="s">
        <v>471</v>
      </c>
      <c r="E14" s="329" t="s">
        <v>3118</v>
      </c>
      <c r="F14" s="339" t="str">
        <f>IFERROR(IF(OR(E14='DICTIONARY-5'!$A$2,E14='DICTIONARY-5'!$A$4,ISBLANK(E14)),VLOOKUP(D14,LIST!$A$6:$L$3250,CURR_1.SEARCH.OLD,0),VLOOKUP(E14,LIST!$B$6:$L$3250,CURR_1.SEARCH.NEW,0)),'DICTIONARY-5'!$A$2)</f>
        <v>532,-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42">
        <v>80</v>
      </c>
      <c r="B15" s="42" t="s">
        <v>1605</v>
      </c>
      <c r="C15" s="42">
        <v>64</v>
      </c>
      <c r="D15" s="42" t="s">
        <v>472</v>
      </c>
      <c r="E15" s="329" t="s">
        <v>3119</v>
      </c>
      <c r="F15" s="339" t="str">
        <f>IFERROR(IF(OR(E15='DICTIONARY-5'!$A$2,E15='DICTIONARY-5'!$A$4,ISBLANK(E15)),VLOOKUP(D15,LIST!$A$6:$L$3250,CURR_1.SEARCH.OLD,0),VLOOKUP(E15,LIST!$B$6:$L$3250,CURR_1.SEARCH.NEW,0)),'DICTIONARY-5'!$A$2)</f>
        <v>572,-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42">
        <v>100</v>
      </c>
      <c r="B16" s="42" t="s">
        <v>1605</v>
      </c>
      <c r="C16" s="42">
        <v>64</v>
      </c>
      <c r="D16" s="42" t="s">
        <v>473</v>
      </c>
      <c r="E16" s="329" t="s">
        <v>3120</v>
      </c>
      <c r="F16" s="339" t="str">
        <f>IFERROR(IF(OR(E16='DICTIONARY-5'!$A$2,E16='DICTIONARY-5'!$A$4,ISBLANK(E16)),VLOOKUP(D16,LIST!$A$6:$L$3250,CURR_1.SEARCH.OLD,0),VLOOKUP(E16,LIST!$B$6:$L$3250,CURR_1.SEARCH.NEW,0)),'DICTIONARY-5'!$A$2)</f>
        <v>586,-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42">
        <v>125</v>
      </c>
      <c r="B17" s="42" t="s">
        <v>1605</v>
      </c>
      <c r="C17" s="42">
        <v>70</v>
      </c>
      <c r="D17" s="42" t="s">
        <v>474</v>
      </c>
      <c r="E17" s="329" t="s">
        <v>3121</v>
      </c>
      <c r="F17" s="339" t="str">
        <f>IFERROR(IF(OR(E17='DICTIONARY-5'!$A$2,E17='DICTIONARY-5'!$A$4,ISBLANK(E17)),VLOOKUP(D17,LIST!$A$6:$L$3250,CURR_1.SEARCH.OLD,0),VLOOKUP(E17,LIST!$B$6:$L$3250,CURR_1.SEARCH.NEW,0)),'DICTIONARY-5'!$A$2)</f>
        <v>732,-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42">
        <v>150</v>
      </c>
      <c r="B18" s="42" t="s">
        <v>1605</v>
      </c>
      <c r="C18" s="42">
        <v>56</v>
      </c>
      <c r="D18" s="42" t="s">
        <v>475</v>
      </c>
      <c r="E18" s="329" t="s">
        <v>3122</v>
      </c>
      <c r="F18" s="339" t="str">
        <f>IFERROR(IF(OR(E18='DICTIONARY-5'!$A$2,E18='DICTIONARY-5'!$A$4,ISBLANK(E18)),VLOOKUP(D18,LIST!$A$6:$L$3250,CURR_1.SEARCH.OLD,0),VLOOKUP(E18,LIST!$B$6:$L$3250,CURR_1.SEARCH.NEW,0)),'DICTIONARY-5'!$A$2)</f>
        <v>926,-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42">
        <v>200</v>
      </c>
      <c r="B19" s="42" t="s">
        <v>1605</v>
      </c>
      <c r="C19" s="42">
        <v>60</v>
      </c>
      <c r="D19" s="42" t="s">
        <v>476</v>
      </c>
      <c r="E19" s="329" t="s">
        <v>3123</v>
      </c>
      <c r="F19" s="339" t="str">
        <f>IFERROR(IF(OR(E19='DICTIONARY-5'!$A$2,E19='DICTIONARY-5'!$A$4,ISBLANK(E19)),VLOOKUP(D19,LIST!$A$6:$L$3250,CURR_1.SEARCH.OLD,0),VLOOKUP(E19,LIST!$B$6:$L$3250,CURR_1.SEARCH.NEW,0)),'DICTIONARY-5'!$A$2)</f>
        <v>899,-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1" spans="1:7" x14ac:dyDescent="0.25">
      <c r="A21" s="552" t="str">
        <f>"1) "&amp;'DICTIONARY-5'!$A$92&amp;": max. 0,1 MPa / 1 bar"</f>
        <v>1) Ciśnienie robocze: max. 0,1 MPa / 1 bar</v>
      </c>
    </row>
    <row r="25" spans="1:7" x14ac:dyDescent="0.25">
      <c r="B25" s="569"/>
    </row>
    <row r="28" spans="1:7" x14ac:dyDescent="0.25">
      <c r="A28" s="569"/>
    </row>
    <row r="29" spans="1:7" x14ac:dyDescent="0.25">
      <c r="A29" s="569"/>
    </row>
  </sheetData>
  <sheetProtection algorithmName="SHA-512" hashValue="UOrZ5TaVuVkiwHGK4S3wclV9cvXBsVbHCG7sBsoNomrlsf9/OnVd03t6Zw3XXb9rivNZymbFnUvHIghK0AjTsA==" saltValue="RLRb7dBJehhmV4NJ8Tx5kg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6">
    <tabColor rgb="FF0F6E23"/>
  </sheetPr>
  <dimension ref="A1:P54"/>
  <sheetViews>
    <sheetView workbookViewId="0"/>
  </sheetViews>
  <sheetFormatPr defaultColWidth="9.140625" defaultRowHeight="15" x14ac:dyDescent="0.25"/>
  <cols>
    <col min="1" max="3" width="8.5703125" style="30" customWidth="1"/>
    <col min="4" max="5" width="22.140625" style="30" customWidth="1"/>
    <col min="6" max="7" width="12.85546875" style="31" customWidth="1"/>
    <col min="8" max="9" width="22.140625" style="32" customWidth="1"/>
    <col min="10" max="11" width="12.85546875" style="32" customWidth="1"/>
    <col min="12" max="16384" width="9.140625" style="32"/>
  </cols>
  <sheetData>
    <row r="1" spans="1:13" s="418" customFormat="1" ht="45" customHeight="1" thickBot="1" x14ac:dyDescent="0.3">
      <c r="A1" s="381"/>
      <c r="B1" s="381"/>
      <c r="C1" s="381"/>
      <c r="D1" s="381"/>
      <c r="E1" s="381"/>
      <c r="F1" s="417"/>
      <c r="G1" s="417"/>
    </row>
    <row r="2" spans="1:13" s="482" customFormat="1" ht="4.5" customHeight="1" x14ac:dyDescent="0.25">
      <c r="A2" s="479"/>
      <c r="B2" s="480"/>
      <c r="C2" s="480"/>
      <c r="D2" s="480"/>
      <c r="E2" s="480"/>
      <c r="F2" s="481"/>
      <c r="G2" s="481"/>
    </row>
    <row r="3" spans="1:13" ht="15.75" thickBot="1" x14ac:dyDescent="0.3">
      <c r="A3" s="33"/>
      <c r="B3" s="34"/>
      <c r="C3" s="34"/>
    </row>
    <row r="4" spans="1:13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13" x14ac:dyDescent="0.25">
      <c r="A5" s="33"/>
      <c r="B5" s="34"/>
      <c r="C5" s="34"/>
    </row>
    <row r="6" spans="1:13" ht="16.5" thickBot="1" x14ac:dyDescent="0.3">
      <c r="A6" s="81" t="str">
        <f>CONCATENATE('DICTIONARY-3'!$A$11," ",'DICTIONARY-3'!$A$189)</f>
        <v>ZETA Zasuwa nożowa</v>
      </c>
      <c r="B6" s="91"/>
      <c r="C6" s="91"/>
      <c r="D6" s="91"/>
      <c r="E6" s="91"/>
      <c r="F6" s="91"/>
      <c r="G6" s="91"/>
      <c r="H6" s="81"/>
      <c r="I6" s="81"/>
      <c r="J6" s="91"/>
      <c r="K6" s="91"/>
    </row>
    <row r="7" spans="1:13" x14ac:dyDescent="0.25">
      <c r="A7" s="36" t="str">
        <f>CONCATENATE('DICTIONARY-3'!$A$242,", ",'DICTIONARY-5'!$A$93,": ",'DICTIONARY-5'!$A$32," ",'DICTIONARY-5'!$A$35," (DN 50 ... 150) / ",'DICTIONARY-5'!$A$34," (DN 200 ... 1400)")</f>
        <v>Z kółkiem ręcznym, płyta zasuwowa: stal nierdzewna A4 (DN 50 ... 150) / A2 (DN 200 ... 1400)</v>
      </c>
      <c r="B7" s="36"/>
      <c r="M7" s="36"/>
    </row>
    <row r="8" spans="1:13" x14ac:dyDescent="0.25">
      <c r="A8" s="36" t="str">
        <f>CONCATENATE('DICTIONARY-1'!$A$10,": ",SETTINGS!$C$22)</f>
        <v>Grupa rabatowa: ZETA</v>
      </c>
      <c r="B8" s="36"/>
    </row>
    <row r="9" spans="1:13" x14ac:dyDescent="0.25">
      <c r="A9" s="35"/>
      <c r="B9" s="35"/>
    </row>
    <row r="10" spans="1:13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960" t="str">
        <f>'DICTIONARY-3'!$A$11</f>
        <v>ZETA</v>
      </c>
      <c r="E10" s="960"/>
      <c r="F10" s="960"/>
      <c r="G10" s="960"/>
      <c r="H10" s="960" t="str">
        <f>'DICTIONARY-3'!$A$11</f>
        <v>ZETA</v>
      </c>
      <c r="I10" s="960"/>
      <c r="J10" s="960"/>
      <c r="K10" s="960"/>
    </row>
    <row r="11" spans="1:13" x14ac:dyDescent="0.25">
      <c r="A11" s="57"/>
      <c r="B11" s="57"/>
      <c r="C11" s="57"/>
      <c r="D11" s="961" t="str">
        <f>LOWER('DICTIONARY-3'!$A$242)</f>
        <v>z kółkiem ręcznym</v>
      </c>
      <c r="E11" s="961"/>
      <c r="F11" s="961"/>
      <c r="G11" s="961"/>
      <c r="H11" s="961" t="str">
        <f>LOWER('DICTIONARY-3'!$A$326)</f>
        <v>z przekładnią i kółkiem ręcznym</v>
      </c>
      <c r="I11" s="961"/>
      <c r="J11" s="961"/>
      <c r="K11" s="961"/>
    </row>
    <row r="12" spans="1:13" ht="15.75" customHeight="1" x14ac:dyDescent="0.25">
      <c r="A12" s="39"/>
      <c r="B12" s="39"/>
      <c r="C12" s="702" t="str">
        <f>'DICTIONARY-2'!$A$18</f>
        <v>[mm]</v>
      </c>
      <c r="D12" s="40" t="str">
        <f>'DICTIONARY-2'!$A$28</f>
        <v>stary nr zamówienia</v>
      </c>
      <c r="E12" s="40" t="str">
        <f>'DICTIONARY-2'!$A$29</f>
        <v>nowy nr zamówienia</v>
      </c>
      <c r="F12" s="41" t="str">
        <f>CURRENCY.CODE_1</f>
        <v>EUR</v>
      </c>
      <c r="G12" s="41" t="str">
        <f>CURRENCY.CODE_2</f>
        <v>---</v>
      </c>
      <c r="H12" s="40" t="str">
        <f>'DICTIONARY-2'!$A$28</f>
        <v>stary nr zamówienia</v>
      </c>
      <c r="I12" s="40" t="str">
        <f>'DICTIONARY-2'!$A$29</f>
        <v>nowy nr zamówienia</v>
      </c>
      <c r="J12" s="41" t="str">
        <f>CURRENCY.CODE_1</f>
        <v>EUR</v>
      </c>
      <c r="K12" s="41" t="str">
        <f>CURRENCY.CODE_2</f>
        <v>---</v>
      </c>
    </row>
    <row r="13" spans="1:13" x14ac:dyDescent="0.25">
      <c r="A13" s="42">
        <v>50</v>
      </c>
      <c r="B13" s="42">
        <v>10</v>
      </c>
      <c r="C13" s="42">
        <v>43</v>
      </c>
      <c r="D13" s="42" t="s">
        <v>514</v>
      </c>
      <c r="E13" s="329" t="s">
        <v>3149</v>
      </c>
      <c r="F13" s="339" t="str">
        <f>IFERROR(IF(OR(E13='DICTIONARY-5'!$A$2,E13='DICTIONARY-5'!$A$4,ISBLANK(E13)),VLOOKUP(D13,LIST!$A$6:$L$3250,CURR_1.SEARCH.OLD,0),VLOOKUP(E13,LIST!$B$6:$L$3250,CURR_1.SEARCH.NEW,0)),'DICTIONARY-5'!$A$2)</f>
        <v>268,-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42"/>
      <c r="I13" s="42"/>
      <c r="J13" s="45"/>
      <c r="K13" s="45"/>
    </row>
    <row r="14" spans="1:13" x14ac:dyDescent="0.25">
      <c r="A14" s="42">
        <v>65</v>
      </c>
      <c r="B14" s="42">
        <v>10</v>
      </c>
      <c r="C14" s="42">
        <v>46</v>
      </c>
      <c r="D14" s="42" t="s">
        <v>515</v>
      </c>
      <c r="E14" s="329" t="s">
        <v>3150</v>
      </c>
      <c r="F14" s="339" t="str">
        <f>IFERROR(IF(OR(E14='DICTIONARY-5'!$A$2,E14='DICTIONARY-5'!$A$4,ISBLANK(E14)),VLOOKUP(D14,LIST!$A$6:$L$3250,CURR_1.SEARCH.OLD,0),VLOOKUP(E14,LIST!$B$6:$L$3250,CURR_1.SEARCH.NEW,0)),'DICTIONARY-5'!$A$2)</f>
        <v>281,-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42"/>
      <c r="I14" s="42"/>
      <c r="J14" s="45"/>
      <c r="K14" s="45"/>
    </row>
    <row r="15" spans="1:13" x14ac:dyDescent="0.25">
      <c r="A15" s="42">
        <v>80</v>
      </c>
      <c r="B15" s="42">
        <v>10</v>
      </c>
      <c r="C15" s="42">
        <v>46</v>
      </c>
      <c r="D15" s="42" t="s">
        <v>516</v>
      </c>
      <c r="E15" s="329" t="s">
        <v>3151</v>
      </c>
      <c r="F15" s="339" t="str">
        <f>IFERROR(IF(OR(E15='DICTIONARY-5'!$A$2,E15='DICTIONARY-5'!$A$4,ISBLANK(E15)),VLOOKUP(D15,LIST!$A$6:$L$3250,CURR_1.SEARCH.OLD,0),VLOOKUP(E15,LIST!$B$6:$L$3250,CURR_1.SEARCH.NEW,0)),'DICTIONARY-5'!$A$2)</f>
        <v>322,-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42"/>
      <c r="I15" s="42"/>
      <c r="J15" s="45"/>
      <c r="K15" s="45"/>
    </row>
    <row r="16" spans="1:13" x14ac:dyDescent="0.25">
      <c r="A16" s="42">
        <v>100</v>
      </c>
      <c r="B16" s="42">
        <v>10</v>
      </c>
      <c r="C16" s="42">
        <v>52</v>
      </c>
      <c r="D16" s="42" t="s">
        <v>517</v>
      </c>
      <c r="E16" s="329" t="s">
        <v>3152</v>
      </c>
      <c r="F16" s="339" t="str">
        <f>IFERROR(IF(OR(E16='DICTIONARY-5'!$A$2,E16='DICTIONARY-5'!$A$4,ISBLANK(E16)),VLOOKUP(D16,LIST!$A$6:$L$3250,CURR_1.SEARCH.OLD,0),VLOOKUP(E16,LIST!$B$6:$L$3250,CURR_1.SEARCH.NEW,0)),'DICTIONARY-5'!$A$2)</f>
        <v>371,-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42"/>
      <c r="I16" s="42"/>
      <c r="J16" s="45"/>
      <c r="K16" s="45"/>
    </row>
    <row r="17" spans="1:11" x14ac:dyDescent="0.25">
      <c r="A17" s="42">
        <v>125</v>
      </c>
      <c r="B17" s="42">
        <v>10</v>
      </c>
      <c r="C17" s="42">
        <v>56</v>
      </c>
      <c r="D17" s="42" t="s">
        <v>518</v>
      </c>
      <c r="E17" s="329" t="s">
        <v>3154</v>
      </c>
      <c r="F17" s="339" t="str">
        <f>IFERROR(IF(OR(E17='DICTIONARY-5'!$A$2,E17='DICTIONARY-5'!$A$4,ISBLANK(E17)),VLOOKUP(D17,LIST!$A$6:$L$3250,CURR_1.SEARCH.OLD,0),VLOOKUP(E17,LIST!$B$6:$L$3250,CURR_1.SEARCH.NEW,0)),'DICTIONARY-5'!$A$2)</f>
        <v>414,-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42"/>
      <c r="I17" s="42"/>
      <c r="J17" s="45"/>
      <c r="K17" s="45"/>
    </row>
    <row r="18" spans="1:11" x14ac:dyDescent="0.25">
      <c r="A18" s="42">
        <v>150</v>
      </c>
      <c r="B18" s="42">
        <v>10</v>
      </c>
      <c r="C18" s="42">
        <v>56</v>
      </c>
      <c r="D18" s="42" t="s">
        <v>519</v>
      </c>
      <c r="E18" s="329" t="s">
        <v>3156</v>
      </c>
      <c r="F18" s="339" t="str">
        <f>IFERROR(IF(OR(E18='DICTIONARY-5'!$A$2,E18='DICTIONARY-5'!$A$4,ISBLANK(E18)),VLOOKUP(D18,LIST!$A$6:$L$3250,CURR_1.SEARCH.OLD,0),VLOOKUP(E18,LIST!$B$6:$L$3250,CURR_1.SEARCH.NEW,0)),'DICTIONARY-5'!$A$2)</f>
        <v>516,-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42"/>
      <c r="I18" s="42"/>
      <c r="J18" s="45"/>
      <c r="K18" s="45"/>
    </row>
    <row r="19" spans="1:11" x14ac:dyDescent="0.25">
      <c r="A19" s="42">
        <v>200</v>
      </c>
      <c r="B19" s="42">
        <v>10</v>
      </c>
      <c r="C19" s="42">
        <v>60</v>
      </c>
      <c r="D19" s="42" t="s">
        <v>520</v>
      </c>
      <c r="E19" s="329" t="s">
        <v>3142</v>
      </c>
      <c r="F19" s="339" t="str">
        <f>IFERROR(IF(OR(E19='DICTIONARY-5'!$A$2,E19='DICTIONARY-5'!$A$4,ISBLANK(E19)),VLOOKUP(D19,LIST!$A$6:$L$3250,CURR_1.SEARCH.OLD,0),VLOOKUP(E19,LIST!$B$6:$L$3250,CURR_1.SEARCH.NEW,0)),'DICTIONARY-5'!$A$2)</f>
        <v>673,-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42"/>
      <c r="I19" s="42"/>
      <c r="J19" s="45"/>
      <c r="K19" s="45"/>
    </row>
    <row r="20" spans="1:11" x14ac:dyDescent="0.25">
      <c r="A20" s="42">
        <v>250</v>
      </c>
      <c r="B20" s="42">
        <v>10</v>
      </c>
      <c r="C20" s="42">
        <v>68</v>
      </c>
      <c r="D20" s="42" t="s">
        <v>521</v>
      </c>
      <c r="E20" s="329" t="s">
        <v>3143</v>
      </c>
      <c r="F20" s="339" t="str">
        <f>IFERROR(IF(OR(E20='DICTIONARY-5'!$A$2,E20='DICTIONARY-5'!$A$4,ISBLANK(E20)),VLOOKUP(D20,LIST!$A$6:$L$3250,CURR_1.SEARCH.OLD,0),VLOOKUP(E20,LIST!$B$6:$L$3250,CURR_1.SEARCH.NEW,0)),'DICTIONARY-5'!$A$2)</f>
        <v>1 086,-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42"/>
      <c r="I20" s="42"/>
      <c r="J20" s="45"/>
      <c r="K20" s="45"/>
    </row>
    <row r="21" spans="1:11" x14ac:dyDescent="0.25">
      <c r="A21" s="42">
        <v>300</v>
      </c>
      <c r="B21" s="42">
        <v>10</v>
      </c>
      <c r="C21" s="42">
        <v>78</v>
      </c>
      <c r="D21" s="42" t="s">
        <v>522</v>
      </c>
      <c r="E21" s="329" t="s">
        <v>3144</v>
      </c>
      <c r="F21" s="339" t="str">
        <f>IFERROR(IF(OR(E21='DICTIONARY-5'!$A$2,E21='DICTIONARY-5'!$A$4,ISBLANK(E21)),VLOOKUP(D21,LIST!$A$6:$L$3250,CURR_1.SEARCH.OLD,0),VLOOKUP(E21,LIST!$B$6:$L$3250,CURR_1.SEARCH.NEW,0)),'DICTIONARY-5'!$A$2)</f>
        <v>1 290,-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42"/>
      <c r="I21" s="42"/>
      <c r="J21" s="45"/>
      <c r="K21" s="45"/>
    </row>
    <row r="22" spans="1:11" x14ac:dyDescent="0.25">
      <c r="A22" s="42">
        <v>350</v>
      </c>
      <c r="B22" s="42">
        <v>10</v>
      </c>
      <c r="C22" s="42">
        <v>78</v>
      </c>
      <c r="D22" s="42" t="s">
        <v>523</v>
      </c>
      <c r="E22" s="329" t="s">
        <v>3145</v>
      </c>
      <c r="F22" s="339" t="str">
        <f>IFERROR(IF(OR(E22='DICTIONARY-5'!$A$2,E22='DICTIONARY-5'!$A$4,ISBLANK(E22)),VLOOKUP(D22,LIST!$A$6:$L$3250,CURR_1.SEARCH.OLD,0),VLOOKUP(E22,LIST!$B$6:$L$3250,CURR_1.SEARCH.NEW,0)),'DICTIONARY-5'!$A$2)</f>
        <v>1 528,-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42"/>
      <c r="I22" s="42"/>
      <c r="J22" s="45"/>
      <c r="K22" s="45"/>
    </row>
    <row r="23" spans="1:11" x14ac:dyDescent="0.25">
      <c r="A23" s="42">
        <v>400</v>
      </c>
      <c r="B23" s="42">
        <v>10</v>
      </c>
      <c r="C23" s="42">
        <v>102</v>
      </c>
      <c r="D23" s="42" t="s">
        <v>524</v>
      </c>
      <c r="E23" s="329" t="s">
        <v>3146</v>
      </c>
      <c r="F23" s="339" t="str">
        <f>IFERROR(IF(OR(E23='DICTIONARY-5'!$A$2,E23='DICTIONARY-5'!$A$4,ISBLANK(E23)),VLOOKUP(D23,LIST!$A$6:$L$3250,CURR_1.SEARCH.OLD,0),VLOOKUP(E23,LIST!$B$6:$L$3250,CURR_1.SEARCH.NEW,0)),'DICTIONARY-5'!$A$2)</f>
        <v>2 297,-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42"/>
      <c r="I23" s="42"/>
      <c r="J23" s="45"/>
      <c r="K23" s="45"/>
    </row>
    <row r="24" spans="1:11" x14ac:dyDescent="0.25">
      <c r="A24" s="42">
        <v>500</v>
      </c>
      <c r="B24" s="42">
        <v>10</v>
      </c>
      <c r="C24" s="42">
        <v>127</v>
      </c>
      <c r="D24" s="42" t="s">
        <v>525</v>
      </c>
      <c r="E24" s="329" t="s">
        <v>3147</v>
      </c>
      <c r="F24" s="339" t="str">
        <f>IFERROR(IF(OR(E24='DICTIONARY-5'!$A$2,E24='DICTIONARY-5'!$A$4,ISBLANK(E24)),VLOOKUP(D24,LIST!$A$6:$L$3250,CURR_1.SEARCH.OLD,0),VLOOKUP(E24,LIST!$B$6:$L$3250,CURR_1.SEARCH.NEW,0)),'DICTIONARY-5'!$A$2)</f>
        <v>4 477,-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42"/>
      <c r="I24" s="42"/>
      <c r="J24" s="45"/>
      <c r="K24" s="45"/>
    </row>
    <row r="25" spans="1:11" x14ac:dyDescent="0.25">
      <c r="A25" s="42">
        <v>600</v>
      </c>
      <c r="B25" s="42">
        <v>10</v>
      </c>
      <c r="C25" s="42">
        <v>154</v>
      </c>
      <c r="D25" s="42" t="s">
        <v>526</v>
      </c>
      <c r="E25" s="329" t="s">
        <v>3148</v>
      </c>
      <c r="F25" s="339" t="str">
        <f>IFERROR(IF(OR(E25='DICTIONARY-5'!$A$2,E25='DICTIONARY-5'!$A$4,ISBLANK(E25)),VLOOKUP(D25,LIST!$A$6:$L$3250,CURR_1.SEARCH.OLD,0),VLOOKUP(E25,LIST!$B$6:$L$3250,CURR_1.SEARCH.NEW,0)),'DICTIONARY-5'!$A$2)</f>
        <v>6 331,-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42"/>
      <c r="I25" s="42"/>
      <c r="J25" s="45"/>
      <c r="K25" s="45"/>
    </row>
    <row r="26" spans="1:11" x14ac:dyDescent="0.25">
      <c r="A26" s="42">
        <v>700</v>
      </c>
      <c r="B26" s="42">
        <v>10</v>
      </c>
      <c r="C26" s="42">
        <v>165</v>
      </c>
      <c r="D26" s="42"/>
      <c r="E26" s="42"/>
      <c r="F26" s="45"/>
      <c r="G26" s="45"/>
      <c r="H26" s="42" t="s">
        <v>527</v>
      </c>
      <c r="I26" s="329" t="s">
        <v>3179</v>
      </c>
      <c r="J26" s="339" t="str">
        <f>IFERROR(IF(OR(I26='DICTIONARY-5'!$A$2,I26='DICTIONARY-5'!$A$4,ISBLANK(I26)),VLOOKUP(H26,LIST!$A$6:$L$3250,CURR_1.SEARCH.OLD,0),VLOOKUP(I26,LIST!$B$6:$L$3250,CURR_1.SEARCH.NEW,0)),'DICTIONARY-5'!$A$2)</f>
        <v>14 576,-</v>
      </c>
      <c r="K26" s="339" t="str">
        <f>IFERROR(IF(OR(I26='DICTIONARY-5'!$A$2,I26='DICTIONARY-5'!$A$4,ISBLANK(I26)),VLOOKUP(H26,LIST!$A$6:$M$3250,CURR_2.SEARCH.OLD,0),VLOOKUP(I26,LIST!$B$6:$M$3250,CURR_2.SEARCH.NEW,0)),'DICTIONARY-5'!$A$2)</f>
        <v/>
      </c>
    </row>
    <row r="27" spans="1:11" x14ac:dyDescent="0.25">
      <c r="A27" s="42">
        <v>800</v>
      </c>
      <c r="B27" s="42">
        <v>10</v>
      </c>
      <c r="C27" s="42">
        <v>190</v>
      </c>
      <c r="D27" s="42"/>
      <c r="E27" s="42"/>
      <c r="F27" s="45"/>
      <c r="G27" s="45"/>
      <c r="H27" s="42" t="s">
        <v>528</v>
      </c>
      <c r="I27" s="329" t="s">
        <v>3180</v>
      </c>
      <c r="J27" s="339" t="str">
        <f>IFERROR(IF(OR(I27='DICTIONARY-5'!$A$2,I27='DICTIONARY-5'!$A$4,ISBLANK(I27)),VLOOKUP(H27,LIST!$A$6:$L$3250,CURR_1.SEARCH.OLD,0),VLOOKUP(I27,LIST!$B$6:$L$3250,CURR_1.SEARCH.NEW,0)),'DICTIONARY-5'!$A$2)</f>
        <v>15 169,-</v>
      </c>
      <c r="K27" s="339" t="str">
        <f>IFERROR(IF(OR(I27='DICTIONARY-5'!$A$2,I27='DICTIONARY-5'!$A$4,ISBLANK(I27)),VLOOKUP(H27,LIST!$A$6:$M$3250,CURR_2.SEARCH.OLD,0),VLOOKUP(I27,LIST!$B$6:$M$3250,CURR_2.SEARCH.NEW,0)),'DICTIONARY-5'!$A$2)</f>
        <v/>
      </c>
    </row>
    <row r="28" spans="1:11" x14ac:dyDescent="0.25">
      <c r="A28" s="42">
        <v>900</v>
      </c>
      <c r="B28" s="42">
        <v>10</v>
      </c>
      <c r="C28" s="42">
        <v>203</v>
      </c>
      <c r="D28" s="42"/>
      <c r="E28" s="42"/>
      <c r="F28" s="45"/>
      <c r="G28" s="45"/>
      <c r="H28" s="42" t="s">
        <v>529</v>
      </c>
      <c r="I28" s="329" t="s">
        <v>3181</v>
      </c>
      <c r="J28" s="339" t="str">
        <f>IFERROR(IF(OR(I28='DICTIONARY-5'!$A$2,I28='DICTIONARY-5'!$A$4,ISBLANK(I28)),VLOOKUP(H28,LIST!$A$6:$L$3250,CURR_1.SEARCH.OLD,0),VLOOKUP(I28,LIST!$B$6:$L$3250,CURR_1.SEARCH.NEW,0)),'DICTIONARY-5'!$A$2)</f>
        <v>19 444,-</v>
      </c>
      <c r="K28" s="339" t="str">
        <f>IFERROR(IF(OR(I28='DICTIONARY-5'!$A$2,I28='DICTIONARY-5'!$A$4,ISBLANK(I28)),VLOOKUP(H28,LIST!$A$6:$M$3250,CURR_2.SEARCH.OLD,0),VLOOKUP(I28,LIST!$B$6:$M$3250,CURR_2.SEARCH.NEW,0)),'DICTIONARY-5'!$A$2)</f>
        <v/>
      </c>
    </row>
    <row r="29" spans="1:11" x14ac:dyDescent="0.25">
      <c r="A29" s="42">
        <v>1000</v>
      </c>
      <c r="B29" s="42">
        <v>10</v>
      </c>
      <c r="C29" s="42">
        <v>216</v>
      </c>
      <c r="D29" s="42"/>
      <c r="E29" s="42"/>
      <c r="F29" s="45"/>
      <c r="G29" s="45"/>
      <c r="H29" s="42" t="s">
        <v>530</v>
      </c>
      <c r="I29" s="329" t="s">
        <v>3182</v>
      </c>
      <c r="J29" s="339" t="str">
        <f>IFERROR(IF(OR(I29='DICTIONARY-5'!$A$2,I29='DICTIONARY-5'!$A$4,ISBLANK(I29)),VLOOKUP(H29,LIST!$A$6:$L$3250,CURR_1.SEARCH.OLD,0),VLOOKUP(I29,LIST!$B$6:$L$3250,CURR_1.SEARCH.NEW,0)),'DICTIONARY-5'!$A$2)</f>
        <v>21 641,-</v>
      </c>
      <c r="K29" s="339" t="str">
        <f>IFERROR(IF(OR(I29='DICTIONARY-5'!$A$2,I29='DICTIONARY-5'!$A$4,ISBLANK(I29)),VLOOKUP(H29,LIST!$A$6:$M$3250,CURR_2.SEARCH.OLD,0),VLOOKUP(I29,LIST!$B$6:$M$3250,CURR_2.SEARCH.NEW,0)),'DICTIONARY-5'!$A$2)</f>
        <v/>
      </c>
    </row>
    <row r="30" spans="1:11" x14ac:dyDescent="0.25">
      <c r="A30" s="42">
        <v>1200</v>
      </c>
      <c r="B30" s="42">
        <v>10</v>
      </c>
      <c r="C30" s="42">
        <v>254</v>
      </c>
      <c r="D30" s="42"/>
      <c r="E30" s="42"/>
      <c r="F30" s="45"/>
      <c r="G30" s="45"/>
      <c r="H30" s="42" t="s">
        <v>531</v>
      </c>
      <c r="I30" s="330" t="s">
        <v>3183</v>
      </c>
      <c r="J30" s="339" t="str">
        <f>IFERROR(IF(OR(I30='DICTIONARY-5'!$A$2,I30='DICTIONARY-5'!$A$4,ISBLANK(I30)),VLOOKUP(H30,LIST!$A$6:$L$3250,CURR_1.SEARCH.OLD,0),VLOOKUP(I30,LIST!$B$6:$L$3250,CURR_1.SEARCH.NEW,0)),'DICTIONARY-5'!$A$2)</f>
        <v>35 939,-</v>
      </c>
      <c r="K30" s="339" t="str">
        <f>IFERROR(IF(OR(I30='DICTIONARY-5'!$A$2,I30='DICTIONARY-5'!$A$4,ISBLANK(I30)),VLOOKUP(H30,LIST!$A$6:$M$3250,CURR_2.SEARCH.OLD,0),VLOOKUP(I30,LIST!$B$6:$M$3250,CURR_2.SEARCH.NEW,0)),'DICTIONARY-5'!$A$2)</f>
        <v/>
      </c>
    </row>
    <row r="31" spans="1:11" x14ac:dyDescent="0.25">
      <c r="A31" s="42">
        <v>1400</v>
      </c>
      <c r="B31" s="42">
        <v>10</v>
      </c>
      <c r="C31" s="42">
        <v>279</v>
      </c>
      <c r="D31" s="42"/>
      <c r="E31" s="42"/>
      <c r="F31" s="45"/>
      <c r="G31" s="45"/>
      <c r="H31" s="42" t="s">
        <v>532</v>
      </c>
      <c r="I31" s="330" t="s">
        <v>3184</v>
      </c>
      <c r="J31" s="339" t="str">
        <f>IFERROR(IF(OR(I31='DICTIONARY-5'!$A$2,I31='DICTIONARY-5'!$A$4,ISBLANK(I31)),VLOOKUP(H31,LIST!$A$6:$L$3250,CURR_1.SEARCH.OLD,0),VLOOKUP(I31,LIST!$B$6:$L$3250,CURR_1.SEARCH.NEW,0)),'DICTIONARY-5'!$A$2)</f>
        <v>44 338,-</v>
      </c>
      <c r="K31" s="339" t="str">
        <f>IFERROR(IF(OR(I31='DICTIONARY-5'!$A$2,I31='DICTIONARY-5'!$A$4,ISBLANK(I31)),VLOOKUP(H31,LIST!$A$6:$M$3250,CURR_2.SEARCH.OLD,0),VLOOKUP(I31,LIST!$B$6:$M$3250,CURR_2.SEARCH.NEW,0)),'DICTIONARY-5'!$A$2)</f>
        <v/>
      </c>
    </row>
    <row r="32" spans="1:11" x14ac:dyDescent="0.25">
      <c r="H32" s="30"/>
      <c r="I32" s="30"/>
      <c r="J32" s="55"/>
      <c r="K32" s="55"/>
    </row>
    <row r="33" spans="1:16" x14ac:dyDescent="0.25">
      <c r="H33" s="30"/>
      <c r="I33" s="30"/>
      <c r="J33" s="55"/>
      <c r="K33" s="55"/>
    </row>
    <row r="34" spans="1:16" x14ac:dyDescent="0.25">
      <c r="J34" s="31"/>
      <c r="K34" s="31"/>
      <c r="P34" s="519"/>
    </row>
    <row r="35" spans="1:16" ht="16.5" thickBot="1" x14ac:dyDescent="0.3">
      <c r="A35" s="81" t="str">
        <f>CONCATENATE('DICTIONARY-3'!$A$11," ",'DICTIONARY-3'!$A$189)</f>
        <v>ZETA Zasuwa nożowa</v>
      </c>
      <c r="B35" s="91"/>
      <c r="C35" s="91"/>
      <c r="D35" s="91"/>
      <c r="E35" s="91"/>
      <c r="F35" s="91"/>
      <c r="G35" s="91"/>
      <c r="H35" s="81"/>
      <c r="I35" s="81"/>
      <c r="J35" s="91"/>
      <c r="K35" s="91"/>
    </row>
    <row r="36" spans="1:16" x14ac:dyDescent="0.25">
      <c r="A36" s="36" t="str">
        <f>CONCATENATE('DICTIONARY-3'!$A$242,", ",'DICTIONARY-5'!$A$93,": ",'DICTIONARY-5'!$A$32," ",'DICTIONARY-5'!$A$35,)</f>
        <v>Z kółkiem ręcznym, płyta zasuwowa: stal nierdzewna A4</v>
      </c>
    </row>
    <row r="37" spans="1:16" x14ac:dyDescent="0.25">
      <c r="A37" s="36" t="str">
        <f>CONCATENATE('DICTIONARY-1'!$A$10,": ",SETTINGS!$C$22)</f>
        <v>Grupa rabatowa: ZETA</v>
      </c>
    </row>
    <row r="39" spans="1:16" x14ac:dyDescent="0.25">
      <c r="A39" s="38" t="str">
        <f>'DICTIONARY-2'!$A$2</f>
        <v>DN</v>
      </c>
      <c r="B39" s="38" t="str">
        <f>'DICTIONARY-2'!$A$3</f>
        <v>PN</v>
      </c>
      <c r="C39" s="38" t="str">
        <f>'DICTIONARY-2'!$A$24</f>
        <v>L</v>
      </c>
      <c r="D39" s="960" t="str">
        <f>'DICTIONARY-3'!$A$11</f>
        <v>ZETA</v>
      </c>
      <c r="E39" s="960"/>
      <c r="F39" s="960"/>
      <c r="G39" s="960"/>
      <c r="H39" s="960" t="str">
        <f>'DICTIONARY-3'!$A$11</f>
        <v>ZETA</v>
      </c>
      <c r="I39" s="960"/>
      <c r="J39" s="960"/>
      <c r="K39" s="960"/>
    </row>
    <row r="40" spans="1:16" x14ac:dyDescent="0.25">
      <c r="A40" s="57"/>
      <c r="B40" s="57"/>
      <c r="C40" s="57"/>
      <c r="D40" s="961" t="str">
        <f>LOWER('DICTIONARY-3'!$A$242)&amp;", "&amp;'DICTIONARY-5'!$A$93&amp;": "&amp;'DICTIONARY-5'!$A$32&amp;" "&amp;'DICTIONARY-5'!$A$35</f>
        <v>z kółkiem ręcznym, płyta zasuwowa: stal nierdzewna A4</v>
      </c>
      <c r="E40" s="961"/>
      <c r="F40" s="961"/>
      <c r="G40" s="961"/>
      <c r="H40" s="961" t="str">
        <f>LOWER('DICTIONARY-3'!$A$326)&amp;", "&amp;'DICTIONARY-5'!$A$93&amp;": "&amp;'DICTIONARY-5'!$A$32&amp;" "&amp;'DICTIONARY-5'!$A$35</f>
        <v>z przekładnią i kółkiem ręcznym, płyta zasuwowa: stal nierdzewna A4</v>
      </c>
      <c r="I40" s="961"/>
      <c r="J40" s="961"/>
      <c r="K40" s="961"/>
    </row>
    <row r="41" spans="1:16" ht="15.75" customHeight="1" x14ac:dyDescent="0.25">
      <c r="A41" s="39"/>
      <c r="B41" s="39"/>
      <c r="C41" s="702" t="str">
        <f>'DICTIONARY-2'!$A$18</f>
        <v>[mm]</v>
      </c>
      <c r="D41" s="40" t="str">
        <f>'DICTIONARY-2'!$A$28</f>
        <v>stary nr zamówienia</v>
      </c>
      <c r="E41" s="40" t="str">
        <f>'DICTIONARY-2'!$A$29</f>
        <v>nowy nr zamówienia</v>
      </c>
      <c r="F41" s="41" t="str">
        <f>CURRENCY.CODE_1</f>
        <v>EUR</v>
      </c>
      <c r="G41" s="41" t="str">
        <f>CURRENCY.CODE_2</f>
        <v>---</v>
      </c>
      <c r="H41" s="40" t="str">
        <f>'DICTIONARY-2'!$A$28</f>
        <v>stary nr zamówienia</v>
      </c>
      <c r="I41" s="40" t="str">
        <f>'DICTIONARY-2'!$A$29</f>
        <v>nowy nr zamówienia</v>
      </c>
      <c r="J41" s="41" t="str">
        <f>CURRENCY.CODE_1</f>
        <v>EUR</v>
      </c>
      <c r="K41" s="41" t="str">
        <f>CURRENCY.CODE_2</f>
        <v>---</v>
      </c>
    </row>
    <row r="42" spans="1:16" x14ac:dyDescent="0.25">
      <c r="A42" s="42">
        <v>200</v>
      </c>
      <c r="B42" s="42">
        <v>10</v>
      </c>
      <c r="C42" s="42">
        <v>60</v>
      </c>
      <c r="D42" s="42" t="s">
        <v>533</v>
      </c>
      <c r="E42" s="329" t="s">
        <v>3158</v>
      </c>
      <c r="F42" s="339" t="str">
        <f>IFERROR(IF(OR(E42='DICTIONARY-5'!$A$2,E42='DICTIONARY-5'!$A$4,ISBLANK(E42)),VLOOKUP(D42,LIST!$A$6:$L$3250,CURR_1.SEARCH.OLD,0),VLOOKUP(E42,LIST!$B$6:$L$3250,CURR_1.SEARCH.NEW,0)),'DICTIONARY-5'!$A$2)</f>
        <v>708,-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  <c r="H42" s="42"/>
      <c r="I42" s="42"/>
      <c r="J42" s="45"/>
      <c r="K42" s="45"/>
    </row>
    <row r="43" spans="1:16" x14ac:dyDescent="0.25">
      <c r="A43" s="42">
        <v>250</v>
      </c>
      <c r="B43" s="42">
        <v>10</v>
      </c>
      <c r="C43" s="42">
        <v>68</v>
      </c>
      <c r="D43" s="42" t="s">
        <v>534</v>
      </c>
      <c r="E43" s="329" t="s">
        <v>3160</v>
      </c>
      <c r="F43" s="339" t="str">
        <f>IFERROR(IF(OR(E43='DICTIONARY-5'!$A$2,E43='DICTIONARY-5'!$A$4,ISBLANK(E43)),VLOOKUP(D43,LIST!$A$6:$L$3250,CURR_1.SEARCH.OLD,0),VLOOKUP(E43,LIST!$B$6:$L$3250,CURR_1.SEARCH.NEW,0)),'DICTIONARY-5'!$A$2)</f>
        <v>1 163,-</v>
      </c>
      <c r="G43" s="339" t="str">
        <f>IFERROR(IF(OR(E43='DICTIONARY-5'!$A$2,E43='DICTIONARY-5'!$A$4,ISBLANK(E43)),VLOOKUP(D43,LIST!$A$6:$M$3250,CURR_2.SEARCH.OLD,0),VLOOKUP(E43,LIST!$B$6:$M$3250,CURR_2.SEARCH.NEW,0)),'DICTIONARY-5'!$A$2)</f>
        <v/>
      </c>
      <c r="H43" s="42"/>
      <c r="I43" s="42"/>
      <c r="J43" s="45"/>
      <c r="K43" s="45"/>
    </row>
    <row r="44" spans="1:16" x14ac:dyDescent="0.25">
      <c r="A44" s="42">
        <v>300</v>
      </c>
      <c r="B44" s="42">
        <v>10</v>
      </c>
      <c r="C44" s="42">
        <v>78</v>
      </c>
      <c r="D44" s="42" t="s">
        <v>535</v>
      </c>
      <c r="E44" s="329" t="s">
        <v>3162</v>
      </c>
      <c r="F44" s="339" t="str">
        <f>IFERROR(IF(OR(E44='DICTIONARY-5'!$A$2,E44='DICTIONARY-5'!$A$4,ISBLANK(E44)),VLOOKUP(D44,LIST!$A$6:$L$3250,CURR_1.SEARCH.OLD,0),VLOOKUP(E44,LIST!$B$6:$L$3250,CURR_1.SEARCH.NEW,0)),'DICTIONARY-5'!$A$2)</f>
        <v>1 387,-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  <c r="H44" s="42"/>
      <c r="I44" s="42"/>
      <c r="J44" s="45"/>
      <c r="K44" s="45"/>
    </row>
    <row r="45" spans="1:16" x14ac:dyDescent="0.25">
      <c r="A45" s="42">
        <v>350</v>
      </c>
      <c r="B45" s="42">
        <v>10</v>
      </c>
      <c r="C45" s="42">
        <v>78</v>
      </c>
      <c r="D45" s="42" t="s">
        <v>536</v>
      </c>
      <c r="E45" s="329" t="s">
        <v>3164</v>
      </c>
      <c r="F45" s="339" t="str">
        <f>IFERROR(IF(OR(E45='DICTIONARY-5'!$A$2,E45='DICTIONARY-5'!$A$4,ISBLANK(E45)),VLOOKUP(D45,LIST!$A$6:$L$3250,CURR_1.SEARCH.OLD,0),VLOOKUP(E45,LIST!$B$6:$L$3250,CURR_1.SEARCH.NEW,0)),'DICTIONARY-5'!$A$2)</f>
        <v>1 763,-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  <c r="H45" s="42"/>
      <c r="I45" s="42"/>
      <c r="J45" s="45"/>
      <c r="K45" s="45"/>
    </row>
    <row r="46" spans="1:16" x14ac:dyDescent="0.25">
      <c r="A46" s="42">
        <v>400</v>
      </c>
      <c r="B46" s="42">
        <v>10</v>
      </c>
      <c r="C46" s="42">
        <v>102</v>
      </c>
      <c r="D46" s="42" t="s">
        <v>537</v>
      </c>
      <c r="E46" s="329" t="s">
        <v>3166</v>
      </c>
      <c r="F46" s="339" t="str">
        <f>IFERROR(IF(OR(E46='DICTIONARY-5'!$A$2,E46='DICTIONARY-5'!$A$4,ISBLANK(E46)),VLOOKUP(D46,LIST!$A$6:$L$3250,CURR_1.SEARCH.OLD,0),VLOOKUP(E46,LIST!$B$6:$L$3250,CURR_1.SEARCH.NEW,0)),'DICTIONARY-5'!$A$2)</f>
        <v>2 499,-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  <c r="H46" s="42"/>
      <c r="I46" s="42"/>
      <c r="J46" s="45"/>
      <c r="K46" s="45"/>
    </row>
    <row r="47" spans="1:16" x14ac:dyDescent="0.25">
      <c r="A47" s="42">
        <v>500</v>
      </c>
      <c r="B47" s="42">
        <v>10</v>
      </c>
      <c r="C47" s="42">
        <v>127</v>
      </c>
      <c r="D47" s="42" t="s">
        <v>538</v>
      </c>
      <c r="E47" s="329" t="s">
        <v>3168</v>
      </c>
      <c r="F47" s="339" t="str">
        <f>IFERROR(IF(OR(E47='DICTIONARY-5'!$A$2,E47='DICTIONARY-5'!$A$4,ISBLANK(E47)),VLOOKUP(D47,LIST!$A$6:$L$3250,CURR_1.SEARCH.OLD,0),VLOOKUP(E47,LIST!$B$6:$L$3250,CURR_1.SEARCH.NEW,0)),'DICTIONARY-5'!$A$2)</f>
        <v>5 142,-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42"/>
      <c r="I47" s="42"/>
      <c r="J47" s="45"/>
      <c r="K47" s="45"/>
    </row>
    <row r="48" spans="1:16" x14ac:dyDescent="0.25">
      <c r="A48" s="42">
        <v>600</v>
      </c>
      <c r="B48" s="42">
        <v>10</v>
      </c>
      <c r="C48" s="42">
        <v>154</v>
      </c>
      <c r="D48" s="42" t="s">
        <v>539</v>
      </c>
      <c r="E48" s="329" t="s">
        <v>3170</v>
      </c>
      <c r="F48" s="339" t="str">
        <f>IFERROR(IF(OR(E48='DICTIONARY-5'!$A$2,E48='DICTIONARY-5'!$A$4,ISBLANK(E48)),VLOOKUP(D48,LIST!$A$6:$L$3250,CURR_1.SEARCH.OLD,0),VLOOKUP(E48,LIST!$B$6:$L$3250,CURR_1.SEARCH.NEW,0)),'DICTIONARY-5'!$A$2)</f>
        <v>7 016,-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42"/>
      <c r="I48" s="42"/>
      <c r="J48" s="45"/>
      <c r="K48" s="45"/>
    </row>
    <row r="49" spans="1:11" x14ac:dyDescent="0.25">
      <c r="A49" s="42">
        <v>700</v>
      </c>
      <c r="B49" s="42">
        <v>10</v>
      </c>
      <c r="C49" s="42">
        <v>165</v>
      </c>
      <c r="D49" s="42"/>
      <c r="E49" s="42"/>
      <c r="F49" s="45"/>
      <c r="G49" s="45"/>
      <c r="H49" s="42" t="s">
        <v>540</v>
      </c>
      <c r="I49" s="329" t="s">
        <v>3198</v>
      </c>
      <c r="J49" s="339" t="str">
        <f>IFERROR(IF(OR(I49='DICTIONARY-5'!$A$2,I49='DICTIONARY-5'!$A$4,ISBLANK(I49)),VLOOKUP(H49,LIST!$A$6:$L$3250,CURR_1.SEARCH.OLD,0),VLOOKUP(I49,LIST!$B$6:$L$3250,CURR_1.SEARCH.NEW,0)),'DICTIONARY-5'!$A$2)</f>
        <v>15 501,-</v>
      </c>
      <c r="K49" s="339" t="str">
        <f>IFERROR(IF(OR(I49='DICTIONARY-5'!$A$2,I49='DICTIONARY-5'!$A$4,ISBLANK(I49)),VLOOKUP(H49,LIST!$A$6:$M$3250,CURR_2.SEARCH.OLD,0),VLOOKUP(I49,LIST!$B$6:$M$3250,CURR_2.SEARCH.NEW,0)),'DICTIONARY-5'!$A$2)</f>
        <v/>
      </c>
    </row>
    <row r="50" spans="1:11" x14ac:dyDescent="0.25">
      <c r="A50" s="42">
        <v>800</v>
      </c>
      <c r="B50" s="42">
        <v>10</v>
      </c>
      <c r="C50" s="42">
        <v>190</v>
      </c>
      <c r="D50" s="42"/>
      <c r="E50" s="42"/>
      <c r="F50" s="45"/>
      <c r="G50" s="45"/>
      <c r="H50" s="42" t="s">
        <v>541</v>
      </c>
      <c r="I50" s="329" t="s">
        <v>3199</v>
      </c>
      <c r="J50" s="339" t="str">
        <f>IFERROR(IF(OR(I50='DICTIONARY-5'!$A$2,I50='DICTIONARY-5'!$A$4,ISBLANK(I50)),VLOOKUP(H50,LIST!$A$6:$L$3250,CURR_1.SEARCH.OLD,0),VLOOKUP(I50,LIST!$B$6:$L$3250,CURR_1.SEARCH.NEW,0)),'DICTIONARY-5'!$A$2)</f>
        <v>16 274,-</v>
      </c>
      <c r="K50" s="339" t="str">
        <f>IFERROR(IF(OR(I50='DICTIONARY-5'!$A$2,I50='DICTIONARY-5'!$A$4,ISBLANK(I50)),VLOOKUP(H50,LIST!$A$6:$M$3250,CURR_2.SEARCH.OLD,0),VLOOKUP(I50,LIST!$B$6:$M$3250,CURR_2.SEARCH.NEW,0)),'DICTIONARY-5'!$A$2)</f>
        <v/>
      </c>
    </row>
    <row r="51" spans="1:11" x14ac:dyDescent="0.25">
      <c r="A51" s="42">
        <v>900</v>
      </c>
      <c r="B51" s="42">
        <v>10</v>
      </c>
      <c r="C51" s="42">
        <v>203</v>
      </c>
      <c r="D51" s="42"/>
      <c r="E51" s="42"/>
      <c r="F51" s="45"/>
      <c r="G51" s="45"/>
      <c r="H51" s="42" t="s">
        <v>542</v>
      </c>
      <c r="I51" s="329" t="s">
        <v>3200</v>
      </c>
      <c r="J51" s="339" t="str">
        <f>IFERROR(IF(OR(I51='DICTIONARY-5'!$A$2,I51='DICTIONARY-5'!$A$4,ISBLANK(I51)),VLOOKUP(H51,LIST!$A$6:$L$3250,CURR_1.SEARCH.OLD,0),VLOOKUP(I51,LIST!$B$6:$L$3250,CURR_1.SEARCH.NEW,0)),'DICTIONARY-5'!$A$2)</f>
        <v>20 202,-</v>
      </c>
      <c r="K51" s="339" t="str">
        <f>IFERROR(IF(OR(I51='DICTIONARY-5'!$A$2,I51='DICTIONARY-5'!$A$4,ISBLANK(I51)),VLOOKUP(H51,LIST!$A$6:$M$3250,CURR_2.SEARCH.OLD,0),VLOOKUP(I51,LIST!$B$6:$M$3250,CURR_2.SEARCH.NEW,0)),'DICTIONARY-5'!$A$2)</f>
        <v/>
      </c>
    </row>
    <row r="52" spans="1:11" x14ac:dyDescent="0.25">
      <c r="A52" s="42">
        <v>1000</v>
      </c>
      <c r="B52" s="42">
        <v>10</v>
      </c>
      <c r="C52" s="42">
        <v>216</v>
      </c>
      <c r="D52" s="42"/>
      <c r="E52" s="42"/>
      <c r="F52" s="45"/>
      <c r="G52" s="45"/>
      <c r="H52" s="42" t="s">
        <v>543</v>
      </c>
      <c r="I52" s="329" t="s">
        <v>3201</v>
      </c>
      <c r="J52" s="339" t="str">
        <f>IFERROR(IF(OR(I52='DICTIONARY-5'!$A$2,I52='DICTIONARY-5'!$A$4,ISBLANK(I52)),VLOOKUP(H52,LIST!$A$6:$L$3250,CURR_1.SEARCH.OLD,0),VLOOKUP(I52,LIST!$B$6:$L$3250,CURR_1.SEARCH.NEW,0)),'DICTIONARY-5'!$A$2)</f>
        <v>23 480,-</v>
      </c>
      <c r="K52" s="339" t="str">
        <f>IFERROR(IF(OR(I52='DICTIONARY-5'!$A$2,I52='DICTIONARY-5'!$A$4,ISBLANK(I52)),VLOOKUP(H52,LIST!$A$6:$M$3250,CURR_2.SEARCH.OLD,0),VLOOKUP(I52,LIST!$B$6:$M$3250,CURR_2.SEARCH.NEW,0)),'DICTIONARY-5'!$A$2)</f>
        <v/>
      </c>
    </row>
    <row r="53" spans="1:11" x14ac:dyDescent="0.25">
      <c r="A53" s="42">
        <v>1200</v>
      </c>
      <c r="B53" s="42">
        <v>10</v>
      </c>
      <c r="C53" s="42">
        <v>254</v>
      </c>
      <c r="D53" s="42"/>
      <c r="E53" s="42"/>
      <c r="F53" s="45"/>
      <c r="G53" s="45"/>
      <c r="H53" s="42" t="s">
        <v>544</v>
      </c>
      <c r="I53" s="330" t="str">
        <f>'DICTIONARY-5'!$A$2</f>
        <v>na zapytanie</v>
      </c>
      <c r="J53" s="339" t="str">
        <f>IFERROR(IF(OR(I53='DICTIONARY-5'!$A$2,I53='DICTIONARY-5'!$A$4,ISBLANK(I53)),VLOOKUP(H53,LIST!$A$6:$L$3250,CURR_1.SEARCH.OLD,0),VLOOKUP(I53,LIST!$B$6:$L$3250,CURR_1.SEARCH.NEW,0)),'DICTIONARY-5'!$A$2)</f>
        <v>na zapytanie</v>
      </c>
      <c r="K53" s="339" t="str">
        <f>IFERROR(IF(OR(I53='DICTIONARY-5'!$A$2,I53='DICTIONARY-5'!$A$4,ISBLANK(I53)),VLOOKUP(H53,LIST!$A$6:$M$3250,CURR_2.SEARCH.OLD,0),VLOOKUP(I53,LIST!$B$6:$M$3250,CURR_2.SEARCH.NEW,0)),'DICTIONARY-5'!$A$2)</f>
        <v/>
      </c>
    </row>
    <row r="54" spans="1:11" x14ac:dyDescent="0.25">
      <c r="A54" s="42">
        <v>1400</v>
      </c>
      <c r="B54" s="42">
        <v>10</v>
      </c>
      <c r="C54" s="42">
        <v>279</v>
      </c>
      <c r="D54" s="42"/>
      <c r="E54" s="42"/>
      <c r="F54" s="45"/>
      <c r="G54" s="45"/>
      <c r="H54" s="42" t="s">
        <v>545</v>
      </c>
      <c r="I54" s="330" t="str">
        <f>'DICTIONARY-5'!$A$2</f>
        <v>na zapytanie</v>
      </c>
      <c r="J54" s="339" t="str">
        <f>IFERROR(IF(OR(I54='DICTIONARY-5'!$A$2,I54='DICTIONARY-5'!$A$4,ISBLANK(I54)),VLOOKUP(H54,LIST!$A$6:$L$3250,CURR_1.SEARCH.OLD,0),VLOOKUP(I54,LIST!$B$6:$L$3250,CURR_1.SEARCH.NEW,0)),'DICTIONARY-5'!$A$2)</f>
        <v>na zapytanie</v>
      </c>
      <c r="K54" s="339" t="str">
        <f>IFERROR(IF(OR(I54='DICTIONARY-5'!$A$2,I54='DICTIONARY-5'!$A$4,ISBLANK(I54)),VLOOKUP(H54,LIST!$A$6:$M$3250,CURR_2.SEARCH.OLD,0),VLOOKUP(I54,LIST!$B$6:$M$3250,CURR_2.SEARCH.NEW,0)),'DICTIONARY-5'!$A$2)</f>
        <v/>
      </c>
    </row>
  </sheetData>
  <sheetProtection algorithmName="SHA-512" hashValue="V+VGlYIY0xmD6AKK9z+NEvueDa1pgo/Zgk06s5MJjMvPdxfhA1iiesn87rigkyGRSMdH14e0HbYDvgmMRb4DFg==" saltValue="++MGkFCLtSN9COyL70KQjQ==" spinCount="100000" sheet="1" objects="1" scenarios="1" autoFilter="0"/>
  <mergeCells count="9">
    <mergeCell ref="B4:E4"/>
    <mergeCell ref="D40:G40"/>
    <mergeCell ref="H40:K40"/>
    <mergeCell ref="D10:G10"/>
    <mergeCell ref="H10:K10"/>
    <mergeCell ref="D39:G39"/>
    <mergeCell ref="H39:K39"/>
    <mergeCell ref="D11:G11"/>
    <mergeCell ref="H11:K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3">
    <tabColor theme="1"/>
  </sheetPr>
  <dimension ref="A1:G352"/>
  <sheetViews>
    <sheetView topLeftCell="A249" workbookViewId="0">
      <selection activeCell="B271" sqref="B271"/>
    </sheetView>
  </sheetViews>
  <sheetFormatPr defaultRowHeight="15" x14ac:dyDescent="0.25"/>
  <cols>
    <col min="1" max="1" width="56.140625" style="508" customWidth="1"/>
    <col min="2" max="2" width="58.5703125" style="585" customWidth="1"/>
    <col min="3" max="3" width="83.140625" style="586" bestFit="1" customWidth="1"/>
    <col min="4" max="4" width="49.5703125" style="586" customWidth="1"/>
    <col min="5" max="5" width="72.7109375" style="586" customWidth="1"/>
    <col min="6" max="6" width="5.42578125" style="581" customWidth="1"/>
    <col min="7" max="7" width="23.7109375" style="582" customWidth="1"/>
  </cols>
  <sheetData>
    <row r="1" spans="1:7" s="504" customFormat="1" ht="15.75" thickBot="1" x14ac:dyDescent="0.3">
      <c r="A1" s="505" t="s">
        <v>5879</v>
      </c>
      <c r="B1" s="601" t="s">
        <v>5880</v>
      </c>
      <c r="C1" s="602" t="s">
        <v>7398</v>
      </c>
      <c r="D1" s="602" t="s">
        <v>5881</v>
      </c>
      <c r="E1" s="602" t="s">
        <v>5882</v>
      </c>
      <c r="F1" s="580" t="s">
        <v>57</v>
      </c>
      <c r="G1" s="580" t="s">
        <v>6728</v>
      </c>
    </row>
    <row r="2" spans="1:7" ht="15" customHeight="1" x14ac:dyDescent="0.25">
      <c r="A2" s="508" t="str">
        <f>IF(CHOOSE(SET.LANGUAGE,'DICTIONARY-3'!B2,'DICTIONARY-3'!C2,'DICTIONARY-3'!D2,'DICTIONARY-3'!E2,'DICTIONARY-3'!F2)=0,("??? "&amp;"DICTIONARY-3/"&amp;"LINE"&amp;(ROW(A2))),CHOOSE(SET.LANGUAGE,'DICTIONARY-3'!B2,'DICTIONARY-3'!C2,'DICTIONARY-3'!D2,'DICTIONARY-3'!E2,'DICTIONARY-3'!F2))</f>
        <v>EKOplus</v>
      </c>
      <c r="B2" s="585" t="s">
        <v>1</v>
      </c>
      <c r="C2" s="586" t="s">
        <v>1</v>
      </c>
      <c r="D2" s="586" t="s">
        <v>1</v>
      </c>
      <c r="E2" s="586" t="s">
        <v>1</v>
      </c>
      <c r="F2" s="581" t="str">
        <f>CONCATENATE(ROW(B2),"❸",B2)</f>
        <v>2❸EKOplus</v>
      </c>
      <c r="G2" s="582" t="str">
        <f>"'DICTIONARY-3'!$A$"&amp;ROW(G2)</f>
        <v>'DICTIONARY-3'!$A$2</v>
      </c>
    </row>
    <row r="3" spans="1:7" ht="15" customHeight="1" x14ac:dyDescent="0.25">
      <c r="A3" s="508" t="str">
        <f>IF(CHOOSE(SET.LANGUAGE,'DICTIONARY-3'!B3,'DICTIONARY-3'!C3,'DICTIONARY-3'!D3,'DICTIONARY-3'!E3,'DICTIONARY-3'!F3)=0,("??? "&amp;"DICTIONARY-3/"&amp;"LINE"&amp;(ROW(A3))),CHOOSE(SET.LANGUAGE,'DICTIONARY-3'!B3,'DICTIONARY-3'!C3,'DICTIONARY-3'!D3,'DICTIONARY-3'!E3,'DICTIONARY-3'!F3))</f>
        <v>BAIO EKOplus</v>
      </c>
      <c r="B3" s="585" t="s">
        <v>6452</v>
      </c>
      <c r="C3" s="586" t="s">
        <v>6452</v>
      </c>
      <c r="D3" s="586" t="s">
        <v>6452</v>
      </c>
      <c r="E3" s="586" t="s">
        <v>6452</v>
      </c>
      <c r="F3" s="581" t="str">
        <f t="shared" ref="F3:F90" si="0">CONCATENATE(ROW(B3),"❸",B3)</f>
        <v>3❸BAIO EKOplus</v>
      </c>
      <c r="G3" s="582" t="str">
        <f t="shared" ref="G3:G90" si="1">"'DICTIONARY-3'!$A$"&amp;ROW(G3)</f>
        <v>'DICTIONARY-3'!$A$3</v>
      </c>
    </row>
    <row r="4" spans="1:7" ht="15" customHeight="1" x14ac:dyDescent="0.25">
      <c r="A4" s="508" t="str">
        <f>IF(CHOOSE(SET.LANGUAGE,'DICTIONARY-3'!B4,'DICTIONARY-3'!C4,'DICTIONARY-3'!D4,'DICTIONARY-3'!E4,'DICTIONARY-3'!F4)=0,("??? "&amp;"DICTIONARY-3/"&amp;"LINE"&amp;(ROW(A4))),CHOOSE(SET.LANGUAGE,'DICTIONARY-3'!B4,'DICTIONARY-3'!C4,'DICTIONARY-3'!D4,'DICTIONARY-3'!E4,'DICTIONARY-3'!F4))</f>
        <v>EKOplus PE</v>
      </c>
      <c r="B4" s="585" t="s">
        <v>5558</v>
      </c>
      <c r="C4" s="586" t="s">
        <v>5558</v>
      </c>
      <c r="D4" s="586" t="s">
        <v>5558</v>
      </c>
      <c r="E4" s="586" t="s">
        <v>5558</v>
      </c>
      <c r="F4" s="581" t="str">
        <f t="shared" si="0"/>
        <v>4❸EKOplus PE</v>
      </c>
      <c r="G4" s="582" t="str">
        <f t="shared" si="1"/>
        <v>'DICTIONARY-3'!$A$4</v>
      </c>
    </row>
    <row r="5" spans="1:7" ht="15" customHeight="1" x14ac:dyDescent="0.25">
      <c r="A5" s="508" t="str">
        <f>IF(CHOOSE(SET.LANGUAGE,'DICTIONARY-3'!B5,'DICTIONARY-3'!C5,'DICTIONARY-3'!D5,'DICTIONARY-3'!E5,'DICTIONARY-3'!F5)=0,("??? "&amp;"DICTIONARY-3/"&amp;"LINE"&amp;(ROW(A5))),CHOOSE(SET.LANGUAGE,'DICTIONARY-3'!B5,'DICTIONARY-3'!C5,'DICTIONARY-3'!D5,'DICTIONARY-3'!E5,'DICTIONARY-3'!F5))</f>
        <v>EKOplus</v>
      </c>
      <c r="B5" s="585" t="s">
        <v>6154</v>
      </c>
      <c r="C5" s="586" t="s">
        <v>6154</v>
      </c>
      <c r="D5" s="586" t="s">
        <v>1</v>
      </c>
      <c r="E5" s="586" t="s">
        <v>1</v>
      </c>
      <c r="F5" s="581" t="str">
        <f t="shared" si="0"/>
        <v>5❸EKOplus SHZ</v>
      </c>
      <c r="G5" s="582" t="str">
        <f t="shared" si="1"/>
        <v>'DICTIONARY-3'!$A$5</v>
      </c>
    </row>
    <row r="6" spans="1:7" ht="15" customHeight="1" x14ac:dyDescent="0.25">
      <c r="A6" s="508" t="str">
        <f>IF(CHOOSE(SET.LANGUAGE,'DICTIONARY-3'!B6,'DICTIONARY-3'!C6,'DICTIONARY-3'!D6,'DICTIONARY-3'!E6,'DICTIONARY-3'!F6)=0,("??? "&amp;"DICTIONARY-3/"&amp;"LINE"&amp;(ROW(A6))),CHOOSE(SET.LANGUAGE,'DICTIONARY-3'!B6,'DICTIONARY-3'!C6,'DICTIONARY-3'!D6,'DICTIONARY-3'!E6,'DICTIONARY-3'!F6))</f>
        <v>BETA 200</v>
      </c>
      <c r="B6" s="585" t="s">
        <v>3</v>
      </c>
      <c r="C6" s="586" t="s">
        <v>3</v>
      </c>
      <c r="D6" s="586" t="s">
        <v>3</v>
      </c>
      <c r="E6" s="586" t="s">
        <v>3</v>
      </c>
      <c r="F6" s="581" t="str">
        <f t="shared" si="0"/>
        <v>6❸BETA 200</v>
      </c>
      <c r="G6" s="582" t="str">
        <f t="shared" si="1"/>
        <v>'DICTIONARY-3'!$A$6</v>
      </c>
    </row>
    <row r="7" spans="1:7" ht="15" customHeight="1" x14ac:dyDescent="0.25">
      <c r="A7" s="508" t="str">
        <f>IF(CHOOSE(SET.LANGUAGE,'DICTIONARY-3'!B7,'DICTIONARY-3'!C7,'DICTIONARY-3'!D7,'DICTIONARY-3'!E7,'DICTIONARY-3'!F7)=0,("??? "&amp;"DICTIONARY-3/"&amp;"LINE"&amp;(ROW(A7))),CHOOSE(SET.LANGUAGE,'DICTIONARY-3'!B7,'DICTIONARY-3'!C7,'DICTIONARY-3'!D7,'DICTIONARY-3'!E7,'DICTIONARY-3'!F7))</f>
        <v>BETA 200 TS</v>
      </c>
      <c r="B7" s="585" t="s">
        <v>6155</v>
      </c>
      <c r="C7" s="586" t="s">
        <v>6155</v>
      </c>
      <c r="D7" s="586" t="s">
        <v>6155</v>
      </c>
      <c r="E7" s="586" t="s">
        <v>6155</v>
      </c>
      <c r="F7" s="581" t="str">
        <f t="shared" si="0"/>
        <v>7❸BETA 200 TS</v>
      </c>
      <c r="G7" s="582" t="str">
        <f t="shared" si="1"/>
        <v>'DICTIONARY-3'!$A$7</v>
      </c>
    </row>
    <row r="8" spans="1:7" x14ac:dyDescent="0.25">
      <c r="A8" s="508" t="str">
        <f>IF(CHOOSE(SET.LANGUAGE,'DICTIONARY-3'!B8,'DICTIONARY-3'!C8,'DICTIONARY-3'!D8,'DICTIONARY-3'!E8,'DICTIONARY-3'!F8)=0,("??? "&amp;"DICTIONARY-3/"&amp;"LINE"&amp;(ROW(A8))),CHOOSE(SET.LANGUAGE,'DICTIONARY-3'!B8,'DICTIONARY-3'!C8,'DICTIONARY-3'!D8,'DICTIONARY-3'!E8,'DICTIONARY-3'!F8))</f>
        <v>IKOplus</v>
      </c>
      <c r="B8" s="585" t="s">
        <v>2</v>
      </c>
      <c r="C8" s="586" t="s">
        <v>2</v>
      </c>
      <c r="D8" s="586" t="s">
        <v>2</v>
      </c>
      <c r="E8" s="586" t="s">
        <v>2</v>
      </c>
      <c r="F8" s="581" t="str">
        <f t="shared" si="0"/>
        <v>8❸IKOplus</v>
      </c>
      <c r="G8" s="582" t="str">
        <f t="shared" si="1"/>
        <v>'DICTIONARY-3'!$A$8</v>
      </c>
    </row>
    <row r="9" spans="1:7" x14ac:dyDescent="0.25">
      <c r="A9" s="508" t="str">
        <f>IF(CHOOSE(SET.LANGUAGE,'DICTIONARY-3'!B9,'DICTIONARY-3'!C9,'DICTIONARY-3'!D9,'DICTIONARY-3'!E9,'DICTIONARY-3'!F9)=0,("??? "&amp;"DICTIONARY-3/"&amp;"LINE"&amp;(ROW(A9))),CHOOSE(SET.LANGUAGE,'DICTIONARY-3'!B9,'DICTIONARY-3'!C9,'DICTIONARY-3'!D9,'DICTIONARY-3'!E9,'DICTIONARY-3'!F9))</f>
        <v>IKOplus TRAFO</v>
      </c>
      <c r="B9" s="585" t="s">
        <v>6157</v>
      </c>
      <c r="C9" s="586" t="s">
        <v>6157</v>
      </c>
      <c r="D9" s="586" t="s">
        <v>6157</v>
      </c>
      <c r="E9" s="586" t="s">
        <v>6157</v>
      </c>
      <c r="F9" s="581" t="str">
        <f t="shared" si="0"/>
        <v>9❸IKOplus TRAFO</v>
      </c>
      <c r="G9" s="582" t="str">
        <f t="shared" si="1"/>
        <v>'DICTIONARY-3'!$A$9</v>
      </c>
    </row>
    <row r="10" spans="1:7" x14ac:dyDescent="0.25">
      <c r="A10" s="508" t="str">
        <f>IF(CHOOSE(SET.LANGUAGE,'DICTIONARY-3'!B10,'DICTIONARY-3'!C10,'DICTIONARY-3'!D10,'DICTIONARY-3'!E10,'DICTIONARY-3'!F10)=0,("??? "&amp;"DICTIONARY-3/"&amp;"LINE"&amp;(ROW(A10))),CHOOSE(SET.LANGUAGE,'DICTIONARY-3'!B10,'DICTIONARY-3'!C10,'DICTIONARY-3'!D10,'DICTIONARY-3'!E10,'DICTIONARY-3'!F10))</f>
        <v>MONO</v>
      </c>
      <c r="B10" s="585" t="s">
        <v>6</v>
      </c>
      <c r="C10" s="586" t="s">
        <v>6</v>
      </c>
      <c r="D10" s="586" t="s">
        <v>6</v>
      </c>
      <c r="E10" s="586" t="s">
        <v>6</v>
      </c>
      <c r="F10" s="581" t="str">
        <f t="shared" si="0"/>
        <v>10❸MONO</v>
      </c>
      <c r="G10" s="582" t="str">
        <f t="shared" si="1"/>
        <v>'DICTIONARY-3'!$A$10</v>
      </c>
    </row>
    <row r="11" spans="1:7" x14ac:dyDescent="0.25">
      <c r="A11" s="508" t="str">
        <f>IF(CHOOSE(SET.LANGUAGE,'DICTIONARY-3'!B11,'DICTIONARY-3'!C11,'DICTIONARY-3'!D11,'DICTIONARY-3'!E11,'DICTIONARY-3'!F11)=0,("??? "&amp;"DICTIONARY-3/"&amp;"LINE"&amp;(ROW(A11))),CHOOSE(SET.LANGUAGE,'DICTIONARY-3'!B11,'DICTIONARY-3'!C11,'DICTIONARY-3'!D11,'DICTIONARY-3'!E11,'DICTIONARY-3'!F11))</f>
        <v>ZETA</v>
      </c>
      <c r="B11" s="585" t="s">
        <v>7</v>
      </c>
      <c r="C11" s="586" t="s">
        <v>7</v>
      </c>
      <c r="D11" s="586" t="s">
        <v>7</v>
      </c>
      <c r="E11" s="586" t="s">
        <v>7</v>
      </c>
      <c r="F11" s="581" t="str">
        <f t="shared" si="0"/>
        <v>11❸ZETA</v>
      </c>
      <c r="G11" s="582" t="str">
        <f t="shared" si="1"/>
        <v>'DICTIONARY-3'!$A$11</v>
      </c>
    </row>
    <row r="12" spans="1:7" x14ac:dyDescent="0.25">
      <c r="A12" s="508" t="str">
        <f>IF(CHOOSE(SET.LANGUAGE,'DICTIONARY-3'!B12,'DICTIONARY-3'!C12,'DICTIONARY-3'!D12,'DICTIONARY-3'!E12,'DICTIONARY-3'!F12)=0,("??? "&amp;"DICTIONARY-3/"&amp;"LINE"&amp;(ROW(A12))),CHOOSE(SET.LANGUAGE,'DICTIONARY-3'!B12,'DICTIONARY-3'!C12,'DICTIONARY-3'!D12,'DICTIONARY-3'!E12,'DICTIONARY-3'!F12))</f>
        <v>ZETAcontrol</v>
      </c>
      <c r="B12" s="585" t="s">
        <v>5556</v>
      </c>
      <c r="C12" s="586" t="s">
        <v>5556</v>
      </c>
      <c r="D12" s="586" t="s">
        <v>5556</v>
      </c>
      <c r="E12" s="586" t="s">
        <v>5556</v>
      </c>
      <c r="F12" s="581" t="str">
        <f t="shared" si="0"/>
        <v>12❸ZETAcontrol</v>
      </c>
      <c r="G12" s="582" t="str">
        <f t="shared" si="1"/>
        <v>'DICTIONARY-3'!$A$12</v>
      </c>
    </row>
    <row r="13" spans="1:7" x14ac:dyDescent="0.25">
      <c r="A13" s="508" t="str">
        <f>IF(CHOOSE(SET.LANGUAGE,'DICTIONARY-3'!B13,'DICTIONARY-3'!C13,'DICTIONARY-3'!D13,'DICTIONARY-3'!E13,'DICTIONARY-3'!F13)=0,("??? "&amp;"DICTIONARY-3/"&amp;"LINE"&amp;(ROW(A13))),CHOOSE(SET.LANGUAGE,'DICTIONARY-3'!B13,'DICTIONARY-3'!C13,'DICTIONARY-3'!D13,'DICTIONARY-3'!E13,'DICTIONARY-3'!F13))</f>
        <v>EROXplus</v>
      </c>
      <c r="B13" s="585" t="s">
        <v>8</v>
      </c>
      <c r="C13" s="586" t="s">
        <v>8</v>
      </c>
      <c r="D13" s="586" t="s">
        <v>8</v>
      </c>
      <c r="E13" s="586" t="s">
        <v>8</v>
      </c>
      <c r="F13" s="581" t="str">
        <f t="shared" si="0"/>
        <v>13❸EROXplus</v>
      </c>
      <c r="G13" s="582" t="str">
        <f t="shared" si="1"/>
        <v>'DICTIONARY-3'!$A$13</v>
      </c>
    </row>
    <row r="14" spans="1:7" x14ac:dyDescent="0.25">
      <c r="A14" s="508" t="str">
        <f>IF(CHOOSE(SET.LANGUAGE,'DICTIONARY-3'!B14,'DICTIONARY-3'!C14,'DICTIONARY-3'!D14,'DICTIONARY-3'!E14,'DICTIONARY-3'!F14)=0,("??? "&amp;"DICTIONARY-3/"&amp;"LINE"&amp;(ROW(A14))),CHOOSE(SET.LANGUAGE,'DICTIONARY-3'!B14,'DICTIONARY-3'!C14,'DICTIONARY-3'!D14,'DICTIONARY-3'!E14,'DICTIONARY-3'!F14))</f>
        <v>EROXplus-O</v>
      </c>
      <c r="B14" s="585" t="s">
        <v>6260</v>
      </c>
      <c r="C14" s="586" t="s">
        <v>6260</v>
      </c>
      <c r="D14" s="586" t="s">
        <v>6260</v>
      </c>
      <c r="E14" s="586" t="s">
        <v>6260</v>
      </c>
      <c r="F14" s="581" t="str">
        <f t="shared" si="0"/>
        <v>14❸EROXplus-O</v>
      </c>
      <c r="G14" s="582" t="str">
        <f t="shared" si="1"/>
        <v>'DICTIONARY-3'!$A$14</v>
      </c>
    </row>
    <row r="15" spans="1:7" x14ac:dyDescent="0.25">
      <c r="A15" s="508" t="str">
        <f>IF(CHOOSE(SET.LANGUAGE,'DICTIONARY-3'!B15,'DICTIONARY-3'!C15,'DICTIONARY-3'!D15,'DICTIONARY-3'!E15,'DICTIONARY-3'!F15)=0,("??? "&amp;"DICTIONARY-3/"&amp;"LINE"&amp;(ROW(A15))),CHOOSE(SET.LANGUAGE,'DICTIONARY-3'!B15,'DICTIONARY-3'!C15,'DICTIONARY-3'!D15,'DICTIONARY-3'!E15,'DICTIONARY-3'!F15))</f>
        <v>ERIplus</v>
      </c>
      <c r="B15" s="585" t="s">
        <v>9</v>
      </c>
      <c r="C15" s="586" t="s">
        <v>9</v>
      </c>
      <c r="D15" s="586" t="s">
        <v>9</v>
      </c>
      <c r="E15" s="586" t="s">
        <v>9</v>
      </c>
      <c r="F15" s="581" t="str">
        <f t="shared" si="0"/>
        <v>15❸ERIplus</v>
      </c>
      <c r="G15" s="582" t="str">
        <f t="shared" si="1"/>
        <v>'DICTIONARY-3'!$A$15</v>
      </c>
    </row>
    <row r="16" spans="1:7" x14ac:dyDescent="0.25">
      <c r="A16" s="508" t="str">
        <f>IF(CHOOSE(SET.LANGUAGE,'DICTIONARY-3'!B16,'DICTIONARY-3'!C16,'DICTIONARY-3'!D16,'DICTIONARY-3'!E16,'DICTIONARY-3'!F16)=0,("??? "&amp;"DICTIONARY-3/"&amp;"LINE"&amp;(ROW(A16))),CHOOSE(SET.LANGUAGE,'DICTIONARY-3'!B16,'DICTIONARY-3'!C16,'DICTIONARY-3'!D16,'DICTIONARY-3'!E16,'DICTIONARY-3'!F16))</f>
        <v>REMO</v>
      </c>
      <c r="B16" s="585" t="s">
        <v>39</v>
      </c>
      <c r="C16" s="586" t="s">
        <v>39</v>
      </c>
      <c r="D16" s="586" t="s">
        <v>39</v>
      </c>
      <c r="E16" s="586" t="s">
        <v>39</v>
      </c>
      <c r="F16" s="581" t="str">
        <f t="shared" si="0"/>
        <v>16❸REMO</v>
      </c>
      <c r="G16" s="582" t="str">
        <f t="shared" si="1"/>
        <v>'DICTIONARY-3'!$A$16</v>
      </c>
    </row>
    <row r="17" spans="1:7" x14ac:dyDescent="0.25">
      <c r="A17" s="508" t="str">
        <f>IF(CHOOSE(SET.LANGUAGE,'DICTIONARY-3'!B17,'DICTIONARY-3'!C17,'DICTIONARY-3'!D17,'DICTIONARY-3'!E17,'DICTIONARY-3'!F17)=0,("??? "&amp;"DICTIONARY-3/"&amp;"LINE"&amp;(ROW(A17))),CHOOSE(SET.LANGUAGE,'DICTIONARY-3'!B17,'DICTIONARY-3'!C17,'DICTIONARY-3'!D17,'DICTIONARY-3'!E17,'DICTIONARY-3'!F17))</f>
        <v>Zestawy</v>
      </c>
      <c r="B17" s="585" t="s">
        <v>5906</v>
      </c>
      <c r="C17" s="586" t="s">
        <v>7486</v>
      </c>
      <c r="D17" s="586" t="s">
        <v>5923</v>
      </c>
      <c r="E17" s="586" t="s">
        <v>6156</v>
      </c>
      <c r="F17" s="581" t="str">
        <f t="shared" si="0"/>
        <v>17❸Sestavy</v>
      </c>
      <c r="G17" s="582" t="str">
        <f t="shared" si="1"/>
        <v>'DICTIONARY-3'!$A$17</v>
      </c>
    </row>
    <row r="18" spans="1:7" x14ac:dyDescent="0.25">
      <c r="A18" s="508" t="str">
        <f>IF(CHOOSE(SET.LANGUAGE,'DICTIONARY-3'!B18,'DICTIONARY-3'!C18,'DICTIONARY-3'!D18,'DICTIONARY-3'!E18,'DICTIONARY-3'!F18)=0,("??? "&amp;"DICTIONARY-3/"&amp;"LINE"&amp;(ROW(A18))),CHOOSE(SET.LANGUAGE,'DICTIONARY-3'!B18,'DICTIONARY-3'!C18,'DICTIONARY-3'!D18,'DICTIONARY-3'!E18,'DICTIONARY-3'!F18))</f>
        <v>Zestaw</v>
      </c>
      <c r="B18" s="585" t="s">
        <v>6281</v>
      </c>
      <c r="C18" s="586" t="s">
        <v>7487</v>
      </c>
      <c r="D18" s="586" t="s">
        <v>6280</v>
      </c>
      <c r="E18" s="586" t="s">
        <v>6282</v>
      </c>
      <c r="F18" s="581" t="str">
        <f t="shared" si="0"/>
        <v>18❸Sestava</v>
      </c>
      <c r="G18" s="582" t="str">
        <f t="shared" si="1"/>
        <v>'DICTIONARY-3'!$A$18</v>
      </c>
    </row>
    <row r="19" spans="1:7" x14ac:dyDescent="0.25">
      <c r="A19" s="508" t="str">
        <f>IF(CHOOSE(SET.LANGUAGE,'DICTIONARY-3'!B19,'DICTIONARY-3'!C19,'DICTIONARY-3'!D19,'DICTIONARY-3'!E19,'DICTIONARY-3'!F19)=0,("??? "&amp;"DICTIONARY-3/"&amp;"LINE"&amp;(ROW(A19))),CHOOSE(SET.LANGUAGE,'DICTIONARY-3'!B19,'DICTIONARY-3'!C19,'DICTIONARY-3'!D19,'DICTIONARY-3'!E19,'DICTIONARY-3'!F19))</f>
        <v>S1</v>
      </c>
      <c r="B19" s="585" t="s">
        <v>6268</v>
      </c>
      <c r="C19" s="586" t="s">
        <v>6268</v>
      </c>
      <c r="D19" s="586" t="s">
        <v>6268</v>
      </c>
      <c r="E19" s="586" t="s">
        <v>6268</v>
      </c>
      <c r="F19" s="581" t="str">
        <f t="shared" si="0"/>
        <v>19❸S1</v>
      </c>
      <c r="G19" s="582" t="str">
        <f t="shared" si="1"/>
        <v>'DICTIONARY-3'!$A$19</v>
      </c>
    </row>
    <row r="20" spans="1:7" x14ac:dyDescent="0.25">
      <c r="A20" s="508" t="str">
        <f>IF(CHOOSE(SET.LANGUAGE,'DICTIONARY-3'!B20,'DICTIONARY-3'!C20,'DICTIONARY-3'!D20,'DICTIONARY-3'!E20,'DICTIONARY-3'!F20)=0,("??? "&amp;"DICTIONARY-3/"&amp;"LINE"&amp;(ROW(A20))),CHOOSE(SET.LANGUAGE,'DICTIONARY-3'!B20,'DICTIONARY-3'!C20,'DICTIONARY-3'!D20,'DICTIONARY-3'!E20,'DICTIONARY-3'!F20))</f>
        <v>S2</v>
      </c>
      <c r="B20" s="585" t="s">
        <v>6269</v>
      </c>
      <c r="C20" s="586" t="s">
        <v>6269</v>
      </c>
      <c r="D20" s="586" t="s">
        <v>6269</v>
      </c>
      <c r="E20" s="586" t="s">
        <v>6269</v>
      </c>
      <c r="F20" s="581" t="str">
        <f t="shared" si="0"/>
        <v>20❸S2</v>
      </c>
      <c r="G20" s="582" t="str">
        <f t="shared" si="1"/>
        <v>'DICTIONARY-3'!$A$20</v>
      </c>
    </row>
    <row r="21" spans="1:7" x14ac:dyDescent="0.25">
      <c r="A21" s="508" t="str">
        <f>IF(CHOOSE(SET.LANGUAGE,'DICTIONARY-3'!B21,'DICTIONARY-3'!C21,'DICTIONARY-3'!D21,'DICTIONARY-3'!E21,'DICTIONARY-3'!F21)=0,("??? "&amp;"DICTIONARY-3/"&amp;"LINE"&amp;(ROW(A21))),CHOOSE(SET.LANGUAGE,'DICTIONARY-3'!B21,'DICTIONARY-3'!C21,'DICTIONARY-3'!D21,'DICTIONARY-3'!E21,'DICTIONARY-3'!F21))</f>
        <v>S3</v>
      </c>
      <c r="B21" s="585" t="s">
        <v>6270</v>
      </c>
      <c r="C21" s="586" t="s">
        <v>6270</v>
      </c>
      <c r="D21" s="586" t="s">
        <v>6270</v>
      </c>
      <c r="E21" s="586" t="s">
        <v>6270</v>
      </c>
      <c r="F21" s="581" t="str">
        <f t="shared" si="0"/>
        <v>21❸S3</v>
      </c>
      <c r="G21" s="582" t="str">
        <f t="shared" si="1"/>
        <v>'DICTIONARY-3'!$A$21</v>
      </c>
    </row>
    <row r="22" spans="1:7" x14ac:dyDescent="0.25">
      <c r="A22" s="508" t="str">
        <f>IF(CHOOSE(SET.LANGUAGE,'DICTIONARY-3'!B22,'DICTIONARY-3'!C22,'DICTIONARY-3'!D22,'DICTIONARY-3'!E22,'DICTIONARY-3'!F22)=0,("??? "&amp;"DICTIONARY-3/"&amp;"LINE"&amp;(ROW(A22))),CHOOSE(SET.LANGUAGE,'DICTIONARY-3'!B22,'DICTIONARY-3'!C22,'DICTIONARY-3'!D22,'DICTIONARY-3'!E22,'DICTIONARY-3'!F22))</f>
        <v>S4</v>
      </c>
      <c r="B22" s="585" t="s">
        <v>6271</v>
      </c>
      <c r="C22" s="586" t="s">
        <v>6271</v>
      </c>
      <c r="D22" s="586" t="s">
        <v>6271</v>
      </c>
      <c r="E22" s="586" t="s">
        <v>6271</v>
      </c>
      <c r="F22" s="581" t="str">
        <f t="shared" si="0"/>
        <v>22❸S4</v>
      </c>
      <c r="G22" s="582" t="str">
        <f t="shared" si="1"/>
        <v>'DICTIONARY-3'!$A$22</v>
      </c>
    </row>
    <row r="23" spans="1:7" x14ac:dyDescent="0.25">
      <c r="A23" s="508" t="str">
        <f>IF(CHOOSE(SET.LANGUAGE,'DICTIONARY-3'!B23,'DICTIONARY-3'!C23,'DICTIONARY-3'!D23,'DICTIONARY-3'!E23,'DICTIONARY-3'!F23)=0,("??? "&amp;"DICTIONARY-3/"&amp;"LINE"&amp;(ROW(A23))),CHOOSE(SET.LANGUAGE,'DICTIONARY-3'!B23,'DICTIONARY-3'!C23,'DICTIONARY-3'!D23,'DICTIONARY-3'!E23,'DICTIONARY-3'!F23))</f>
        <v>S5</v>
      </c>
      <c r="B23" s="585" t="s">
        <v>6272</v>
      </c>
      <c r="C23" s="586" t="s">
        <v>6272</v>
      </c>
      <c r="D23" s="586" t="s">
        <v>6272</v>
      </c>
      <c r="E23" s="586" t="s">
        <v>6272</v>
      </c>
      <c r="F23" s="581" t="str">
        <f t="shared" si="0"/>
        <v>23❸S5</v>
      </c>
      <c r="G23" s="582" t="str">
        <f t="shared" si="1"/>
        <v>'DICTIONARY-3'!$A$23</v>
      </c>
    </row>
    <row r="24" spans="1:7" x14ac:dyDescent="0.25">
      <c r="A24" s="508" t="str">
        <f>IF(CHOOSE(SET.LANGUAGE,'DICTIONARY-3'!B24,'DICTIONARY-3'!C24,'DICTIONARY-3'!D24,'DICTIONARY-3'!E24,'DICTIONARY-3'!F24)=0,("??? "&amp;"DICTIONARY-3/"&amp;"LINE"&amp;(ROW(A24))),CHOOSE(SET.LANGUAGE,'DICTIONARY-3'!B24,'DICTIONARY-3'!C24,'DICTIONARY-3'!D24,'DICTIONARY-3'!E24,'DICTIONARY-3'!F24))</f>
        <v>S6</v>
      </c>
      <c r="B24" s="585" t="s">
        <v>6273</v>
      </c>
      <c r="C24" s="586" t="s">
        <v>6273</v>
      </c>
      <c r="D24" s="586" t="s">
        <v>6273</v>
      </c>
      <c r="E24" s="586" t="s">
        <v>6273</v>
      </c>
      <c r="F24" s="581" t="str">
        <f t="shared" si="0"/>
        <v>24❸S6</v>
      </c>
      <c r="G24" s="582" t="str">
        <f t="shared" si="1"/>
        <v>'DICTIONARY-3'!$A$24</v>
      </c>
    </row>
    <row r="25" spans="1:7" x14ac:dyDescent="0.25">
      <c r="A25" s="508" t="str">
        <f>IF(CHOOSE(SET.LANGUAGE,'DICTIONARY-3'!B25,'DICTIONARY-3'!C25,'DICTIONARY-3'!D25,'DICTIONARY-3'!E25,'DICTIONARY-3'!F25)=0,("??? "&amp;"DICTIONARY-3/"&amp;"LINE"&amp;(ROW(A25))),CHOOSE(SET.LANGUAGE,'DICTIONARY-3'!B25,'DICTIONARY-3'!C25,'DICTIONARY-3'!D25,'DICTIONARY-3'!E25,'DICTIONARY-3'!F25))</f>
        <v>S7</v>
      </c>
      <c r="B25" s="585" t="s">
        <v>6274</v>
      </c>
      <c r="C25" s="586" t="s">
        <v>6274</v>
      </c>
      <c r="D25" s="586" t="s">
        <v>6274</v>
      </c>
      <c r="E25" s="586" t="s">
        <v>6274</v>
      </c>
      <c r="F25" s="581" t="str">
        <f t="shared" si="0"/>
        <v>25❸S7</v>
      </c>
      <c r="G25" s="582" t="str">
        <f t="shared" si="1"/>
        <v>'DICTIONARY-3'!$A$25</v>
      </c>
    </row>
    <row r="26" spans="1:7" x14ac:dyDescent="0.25">
      <c r="A26" s="508" t="str">
        <f>IF(CHOOSE(SET.LANGUAGE,'DICTIONARY-3'!B26,'DICTIONARY-3'!C26,'DICTIONARY-3'!D26,'DICTIONARY-3'!E26,'DICTIONARY-3'!F26)=0,("??? "&amp;"DICTIONARY-3/"&amp;"LINE"&amp;(ROW(A26))),CHOOSE(SET.LANGUAGE,'DICTIONARY-3'!B26,'DICTIONARY-3'!C26,'DICTIONARY-3'!D26,'DICTIONARY-3'!E26,'DICTIONARY-3'!F26))</f>
        <v>S8</v>
      </c>
      <c r="B26" s="585" t="s">
        <v>6275</v>
      </c>
      <c r="C26" s="586" t="s">
        <v>6275</v>
      </c>
      <c r="D26" s="586" t="s">
        <v>6275</v>
      </c>
      <c r="E26" s="586" t="s">
        <v>6275</v>
      </c>
      <c r="F26" s="581" t="str">
        <f t="shared" si="0"/>
        <v>26❸S8</v>
      </c>
      <c r="G26" s="582" t="str">
        <f t="shared" si="1"/>
        <v>'DICTIONARY-3'!$A$26</v>
      </c>
    </row>
    <row r="27" spans="1:7" x14ac:dyDescent="0.25">
      <c r="A27" s="508" t="str">
        <f>IF(CHOOSE(SET.LANGUAGE,'DICTIONARY-3'!B27,'DICTIONARY-3'!C27,'DICTIONARY-3'!D27,'DICTIONARY-3'!E27,'DICTIONARY-3'!F27)=0,("??? "&amp;"DICTIONARY-3/"&amp;"LINE"&amp;(ROW(A27))),CHOOSE(SET.LANGUAGE,'DICTIONARY-3'!B27,'DICTIONARY-3'!C27,'DICTIONARY-3'!D27,'DICTIONARY-3'!E27,'DICTIONARY-3'!F27))</f>
        <v>S15</v>
      </c>
      <c r="B27" s="585" t="s">
        <v>6276</v>
      </c>
      <c r="C27" s="586" t="s">
        <v>6276</v>
      </c>
      <c r="D27" s="586" t="s">
        <v>6276</v>
      </c>
      <c r="E27" s="586" t="s">
        <v>6276</v>
      </c>
      <c r="F27" s="581" t="str">
        <f t="shared" si="0"/>
        <v>27❸S15</v>
      </c>
      <c r="G27" s="582" t="str">
        <f t="shared" si="1"/>
        <v>'DICTIONARY-3'!$A$27</v>
      </c>
    </row>
    <row r="28" spans="1:7" x14ac:dyDescent="0.25">
      <c r="A28" s="508" t="str">
        <f>IF(CHOOSE(SET.LANGUAGE,'DICTIONARY-3'!B28,'DICTIONARY-3'!C28,'DICTIONARY-3'!D28,'DICTIONARY-3'!E28,'DICTIONARY-3'!F28)=0,("??? "&amp;"DICTIONARY-3/"&amp;"LINE"&amp;(ROW(A28))),CHOOSE(SET.LANGUAGE,'DICTIONARY-3'!B28,'DICTIONARY-3'!C28,'DICTIONARY-3'!D28,'DICTIONARY-3'!E28,'DICTIONARY-3'!F28))</f>
        <v>S16</v>
      </c>
      <c r="B28" s="585" t="s">
        <v>6277</v>
      </c>
      <c r="C28" s="586" t="s">
        <v>6277</v>
      </c>
      <c r="D28" s="586" t="s">
        <v>6277</v>
      </c>
      <c r="E28" s="586" t="s">
        <v>6277</v>
      </c>
      <c r="F28" s="581" t="str">
        <f t="shared" si="0"/>
        <v>28❸S16</v>
      </c>
      <c r="G28" s="582" t="str">
        <f t="shared" si="1"/>
        <v>'DICTIONARY-3'!$A$28</v>
      </c>
    </row>
    <row r="29" spans="1:7" x14ac:dyDescent="0.25">
      <c r="A29" s="508" t="str">
        <f>IF(CHOOSE(SET.LANGUAGE,'DICTIONARY-3'!B29,'DICTIONARY-3'!C29,'DICTIONARY-3'!D29,'DICTIONARY-3'!E29,'DICTIONARY-3'!F29)=0,("??? "&amp;"DICTIONARY-3/"&amp;"LINE"&amp;(ROW(A29))),CHOOSE(SET.LANGUAGE,'DICTIONARY-3'!B29,'DICTIONARY-3'!C29,'DICTIONARY-3'!D29,'DICTIONARY-3'!E29,'DICTIONARY-3'!F29))</f>
        <v>S20</v>
      </c>
      <c r="B29" s="585" t="s">
        <v>6278</v>
      </c>
      <c r="C29" s="586" t="s">
        <v>6278</v>
      </c>
      <c r="D29" s="586" t="s">
        <v>6278</v>
      </c>
      <c r="E29" s="586" t="s">
        <v>6278</v>
      </c>
      <c r="F29" s="581" t="str">
        <f t="shared" si="0"/>
        <v>29❸S20</v>
      </c>
      <c r="G29" s="582" t="str">
        <f t="shared" si="1"/>
        <v>'DICTIONARY-3'!$A$29</v>
      </c>
    </row>
    <row r="30" spans="1:7" x14ac:dyDescent="0.25">
      <c r="A30" s="508" t="str">
        <f>IF(CHOOSE(SET.LANGUAGE,'DICTIONARY-3'!B30,'DICTIONARY-3'!C30,'DICTIONARY-3'!D30,'DICTIONARY-3'!E30,'DICTIONARY-3'!F30)=0,("??? "&amp;"DICTIONARY-3/"&amp;"LINE"&amp;(ROW(A30))),CHOOSE(SET.LANGUAGE,'DICTIONARY-3'!B30,'DICTIONARY-3'!C30,'DICTIONARY-3'!D30,'DICTIONARY-3'!E30,'DICTIONARY-3'!F30))</f>
        <v>S22</v>
      </c>
      <c r="B30" s="585" t="s">
        <v>6279</v>
      </c>
      <c r="C30" s="586" t="s">
        <v>6279</v>
      </c>
      <c r="D30" s="586" t="s">
        <v>6279</v>
      </c>
      <c r="E30" s="586" t="s">
        <v>6279</v>
      </c>
      <c r="F30" s="581" t="str">
        <f t="shared" si="0"/>
        <v>30❸S22</v>
      </c>
      <c r="G30" s="582" t="str">
        <f t="shared" si="1"/>
        <v>'DICTIONARY-3'!$A$30</v>
      </c>
    </row>
    <row r="31" spans="1:7" x14ac:dyDescent="0.25">
      <c r="A31" s="508" t="str">
        <f>IF(CHOOSE(SET.LANGUAGE,'DICTIONARY-3'!B31,'DICTIONARY-3'!C31,'DICTIONARY-3'!D31,'DICTIONARY-3'!E31,'DICTIONARY-3'!F31)=0,("??? "&amp;"DICTIONARY-3/"&amp;"LINE"&amp;(ROW(A31))),CHOOSE(SET.LANGUAGE,'DICTIONARY-3'!B31,'DICTIONARY-3'!C31,'DICTIONARY-3'!D31,'DICTIONARY-3'!E31,'DICTIONARY-3'!F31))</f>
        <v>HADE</v>
      </c>
      <c r="B31" s="585" t="s">
        <v>25</v>
      </c>
      <c r="C31" s="586" t="s">
        <v>25</v>
      </c>
      <c r="D31" s="586" t="s">
        <v>25</v>
      </c>
      <c r="E31" s="586" t="s">
        <v>25</v>
      </c>
      <c r="F31" s="581" t="str">
        <f t="shared" si="0"/>
        <v>31❸HADE</v>
      </c>
      <c r="G31" s="582" t="str">
        <f t="shared" si="1"/>
        <v>'DICTIONARY-3'!$A$31</v>
      </c>
    </row>
    <row r="32" spans="1:7" x14ac:dyDescent="0.25">
      <c r="A32" s="508" t="str">
        <f>IF(CHOOSE(SET.LANGUAGE,'DICTIONARY-3'!B32,'DICTIONARY-3'!C32,'DICTIONARY-3'!D32,'DICTIONARY-3'!E32,'DICTIONARY-3'!F32)=0,("??? "&amp;"DICTIONARY-3/"&amp;"LINE"&amp;(ROW(A32))),CHOOSE(SET.LANGUAGE,'DICTIONARY-3'!B32,'DICTIONARY-3'!C32,'DICTIONARY-3'!D32,'DICTIONARY-3'!E32,'DICTIONARY-3'!F32))</f>
        <v>HADE PTK-F</v>
      </c>
      <c r="B32" s="585" t="s">
        <v>6003</v>
      </c>
      <c r="C32" s="586" t="s">
        <v>6003</v>
      </c>
      <c r="D32" s="586" t="s">
        <v>6003</v>
      </c>
      <c r="E32" s="586" t="s">
        <v>6003</v>
      </c>
      <c r="F32" s="581" t="str">
        <f t="shared" si="0"/>
        <v>32❸HADE PTK-F</v>
      </c>
      <c r="G32" s="582" t="str">
        <f t="shared" si="1"/>
        <v>'DICTIONARY-3'!$A$32</v>
      </c>
    </row>
    <row r="33" spans="1:7" x14ac:dyDescent="0.25">
      <c r="A33" s="508" t="str">
        <f>IF(CHOOSE(SET.LANGUAGE,'DICTIONARY-3'!B33,'DICTIONARY-3'!C33,'DICTIONARY-3'!D33,'DICTIONARY-3'!E33,'DICTIONARY-3'!F33)=0,("??? "&amp;"DICTIONARY-3/"&amp;"LINE"&amp;(ROW(A33))),CHOOSE(SET.LANGUAGE,'DICTIONARY-3'!B33,'DICTIONARY-3'!C33,'DICTIONARY-3'!D33,'DICTIONARY-3'!E33,'DICTIONARY-3'!F33))</f>
        <v>HADE PWK-F</v>
      </c>
      <c r="B33" s="585" t="s">
        <v>6004</v>
      </c>
      <c r="C33" s="586" t="s">
        <v>6004</v>
      </c>
      <c r="D33" s="586" t="s">
        <v>6004</v>
      </c>
      <c r="E33" s="586" t="s">
        <v>6004</v>
      </c>
      <c r="F33" s="581" t="str">
        <f t="shared" si="0"/>
        <v>33❸HADE PWK-F</v>
      </c>
      <c r="G33" s="582" t="str">
        <f t="shared" si="1"/>
        <v>'DICTIONARY-3'!$A$33</v>
      </c>
    </row>
    <row r="34" spans="1:7" x14ac:dyDescent="0.25">
      <c r="A34" s="508" t="str">
        <f>IF(CHOOSE(SET.LANGUAGE,'DICTIONARY-3'!B34,'DICTIONARY-3'!C34,'DICTIONARY-3'!D34,'DICTIONARY-3'!E34,'DICTIONARY-3'!F34)=0,("??? "&amp;"DICTIONARY-3/"&amp;"LINE"&amp;(ROW(A34))),CHOOSE(SET.LANGUAGE,'DICTIONARY-3'!B34,'DICTIONARY-3'!C34,'DICTIONARY-3'!D34,'DICTIONARY-3'!E34,'DICTIONARY-3'!F34))</f>
        <v>HADE PTK-G</v>
      </c>
      <c r="B34" s="585" t="s">
        <v>6001</v>
      </c>
      <c r="C34" s="586" t="s">
        <v>6001</v>
      </c>
      <c r="D34" s="586" t="s">
        <v>6001</v>
      </c>
      <c r="E34" s="586" t="s">
        <v>6001</v>
      </c>
      <c r="F34" s="581" t="str">
        <f t="shared" si="0"/>
        <v>34❸HADE PTK-G</v>
      </c>
      <c r="G34" s="582" t="str">
        <f t="shared" si="1"/>
        <v>'DICTIONARY-3'!$A$34</v>
      </c>
    </row>
    <row r="35" spans="1:7" x14ac:dyDescent="0.25">
      <c r="A35" s="508" t="str">
        <f>IF(CHOOSE(SET.LANGUAGE,'DICTIONARY-3'!B35,'DICTIONARY-3'!C35,'DICTIONARY-3'!D35,'DICTIONARY-3'!E35,'DICTIONARY-3'!F35)=0,("??? "&amp;"DICTIONARY-3/"&amp;"LINE"&amp;(ROW(A35))),CHOOSE(SET.LANGUAGE,'DICTIONARY-3'!B35,'DICTIONARY-3'!C35,'DICTIONARY-3'!D35,'DICTIONARY-3'!E35,'DICTIONARY-3'!F35))</f>
        <v>HADE PTK-A</v>
      </c>
      <c r="B35" s="585" t="s">
        <v>6002</v>
      </c>
      <c r="C35" s="586" t="s">
        <v>6002</v>
      </c>
      <c r="D35" s="586" t="s">
        <v>6002</v>
      </c>
      <c r="E35" s="586" t="s">
        <v>6002</v>
      </c>
      <c r="F35" s="581" t="str">
        <f t="shared" si="0"/>
        <v>35❸HADE PTK-A</v>
      </c>
      <c r="G35" s="582" t="str">
        <f t="shared" si="1"/>
        <v>'DICTIONARY-3'!$A$35</v>
      </c>
    </row>
    <row r="36" spans="1:7" x14ac:dyDescent="0.25">
      <c r="A36" s="508" t="str">
        <f>IF(CHOOSE(SET.LANGUAGE,'DICTIONARY-3'!B36,'DICTIONARY-3'!C36,'DICTIONARY-3'!D36,'DICTIONARY-3'!E36,'DICTIONARY-3'!F36)=0,("??? "&amp;"DICTIONARY-3/"&amp;"LINE"&amp;(ROW(A36))),CHOOSE(SET.LANGUAGE,'DICTIONARY-3'!B36,'DICTIONARY-3'!C36,'DICTIONARY-3'!D36,'DICTIONARY-3'!E36,'DICTIONARY-3'!F36))</f>
        <v>HADE PTK-BS</v>
      </c>
      <c r="B36" s="585" t="s">
        <v>6000</v>
      </c>
      <c r="C36" s="586" t="s">
        <v>6000</v>
      </c>
      <c r="D36" s="586" t="s">
        <v>6000</v>
      </c>
      <c r="E36" s="586" t="s">
        <v>6000</v>
      </c>
      <c r="F36" s="581" t="str">
        <f t="shared" si="0"/>
        <v>36❸HADE PTK-BS</v>
      </c>
      <c r="G36" s="582" t="str">
        <f t="shared" si="1"/>
        <v>'DICTIONARY-3'!$A$36</v>
      </c>
    </row>
    <row r="37" spans="1:7" x14ac:dyDescent="0.25">
      <c r="A37" s="508" t="str">
        <f>IF(CHOOSE(SET.LANGUAGE,'DICTIONARY-3'!B37,'DICTIONARY-3'!C37,'DICTIONARY-3'!D37,'DICTIONARY-3'!E37,'DICTIONARY-3'!F37)=0,("??? "&amp;"DICTIONARY-3/"&amp;"LINE"&amp;(ROW(A37))),CHOOSE(SET.LANGUAGE,'DICTIONARY-3'!B37,'DICTIONARY-3'!C37,'DICTIONARY-3'!D37,'DICTIONARY-3'!E37,'DICTIONARY-3'!F37))</f>
        <v>HADE PTK-P</v>
      </c>
      <c r="B37" s="585" t="s">
        <v>5999</v>
      </c>
      <c r="C37" s="586" t="s">
        <v>5999</v>
      </c>
      <c r="D37" s="586" t="s">
        <v>5999</v>
      </c>
      <c r="E37" s="586" t="s">
        <v>5999</v>
      </c>
      <c r="F37" s="581" t="str">
        <f t="shared" si="0"/>
        <v>37❸HADE PTK-P</v>
      </c>
      <c r="G37" s="582" t="str">
        <f t="shared" si="1"/>
        <v>'DICTIONARY-3'!$A$37</v>
      </c>
    </row>
    <row r="38" spans="1:7" x14ac:dyDescent="0.25">
      <c r="A38" s="508" t="str">
        <f>IF(CHOOSE(SET.LANGUAGE,'DICTIONARY-3'!B38,'DICTIONARY-3'!C38,'DICTIONARY-3'!D38,'DICTIONARY-3'!E38,'DICTIONARY-3'!F38)=0,("??? "&amp;"DICTIONARY-3/"&amp;"LINE"&amp;(ROW(A38))),CHOOSE(SET.LANGUAGE,'DICTIONARY-3'!B38,'DICTIONARY-3'!C38,'DICTIONARY-3'!D38,'DICTIONARY-3'!E38,'DICTIONARY-3'!F38))</f>
        <v>HADE PRA-G</v>
      </c>
      <c r="B38" s="585" t="s">
        <v>5557</v>
      </c>
      <c r="C38" s="586" t="s">
        <v>5557</v>
      </c>
      <c r="D38" s="586" t="s">
        <v>5557</v>
      </c>
      <c r="E38" s="586" t="s">
        <v>5557</v>
      </c>
      <c r="F38" s="581" t="str">
        <f t="shared" si="0"/>
        <v>38❸HADE PRA-G</v>
      </c>
      <c r="G38" s="582" t="str">
        <f t="shared" si="1"/>
        <v>'DICTIONARY-3'!$A$38</v>
      </c>
    </row>
    <row r="39" spans="1:7" x14ac:dyDescent="0.25">
      <c r="A39" s="508" t="str">
        <f>IF(CHOOSE(SET.LANGUAGE,'DICTIONARY-3'!B39,'DICTIONARY-3'!C39,'DICTIONARY-3'!D39,'DICTIONARY-3'!E39,'DICTIONARY-3'!F39)=0,("??? "&amp;"DICTIONARY-3/"&amp;"LINE"&amp;(ROW(A39))),CHOOSE(SET.LANGUAGE,'DICTIONARY-3'!B39,'DICTIONARY-3'!C39,'DICTIONARY-3'!D39,'DICTIONARY-3'!E39,'DICTIONARY-3'!F39))</f>
        <v>NOVA</v>
      </c>
      <c r="B39" s="585" t="s">
        <v>10</v>
      </c>
      <c r="C39" s="586" t="s">
        <v>10</v>
      </c>
      <c r="D39" s="586" t="s">
        <v>10</v>
      </c>
      <c r="E39" s="586" t="s">
        <v>10</v>
      </c>
      <c r="F39" s="581" t="str">
        <f t="shared" si="0"/>
        <v>39❸NOVA</v>
      </c>
      <c r="G39" s="582" t="str">
        <f t="shared" si="1"/>
        <v>'DICTIONARY-3'!$A$39</v>
      </c>
    </row>
    <row r="40" spans="1:7" x14ac:dyDescent="0.25">
      <c r="A40" s="508" t="str">
        <f>IF(CHOOSE(SET.LANGUAGE,'DICTIONARY-3'!B40,'DICTIONARY-3'!C40,'DICTIONARY-3'!D40,'DICTIONARY-3'!E40,'DICTIONARY-3'!F40)=0,("??? "&amp;"DICTIONARY-3/"&amp;"LINE"&amp;(ROW(A40))),CHOOSE(SET.LANGUAGE,'DICTIONARY-3'!B40,'DICTIONARY-3'!C40,'DICTIONARY-3'!D40,'DICTIONARY-3'!E40,'DICTIONARY-3'!F40))</f>
        <v>NOVA 284</v>
      </c>
      <c r="B40" s="585" t="s">
        <v>5577</v>
      </c>
      <c r="C40" s="586" t="s">
        <v>5577</v>
      </c>
      <c r="D40" s="586" t="s">
        <v>5577</v>
      </c>
      <c r="E40" s="586" t="s">
        <v>5577</v>
      </c>
      <c r="F40" s="581" t="str">
        <f t="shared" si="0"/>
        <v>40❸NOVA 284</v>
      </c>
      <c r="G40" s="582" t="str">
        <f t="shared" si="1"/>
        <v>'DICTIONARY-3'!$A$40</v>
      </c>
    </row>
    <row r="41" spans="1:7" x14ac:dyDescent="0.25">
      <c r="A41" s="508" t="str">
        <f>IF(CHOOSE(SET.LANGUAGE,'DICTIONARY-3'!B41,'DICTIONARY-3'!C41,'DICTIONARY-3'!D41,'DICTIONARY-3'!E41,'DICTIONARY-3'!F41)=0,("??? "&amp;"DICTIONARY-3/"&amp;"LINE"&amp;(ROW(A41))),CHOOSE(SET.LANGUAGE,'DICTIONARY-3'!B41,'DICTIONARY-3'!C41,'DICTIONARY-3'!D41,'DICTIONARY-3'!E41,'DICTIONARY-3'!F41))</f>
        <v>NOVA 150</v>
      </c>
      <c r="B41" s="585" t="s">
        <v>848</v>
      </c>
      <c r="C41" s="586" t="s">
        <v>848</v>
      </c>
      <c r="D41" s="586" t="s">
        <v>848</v>
      </c>
      <c r="E41" s="586" t="s">
        <v>848</v>
      </c>
      <c r="F41" s="581" t="str">
        <f t="shared" si="0"/>
        <v>41❸NOVA 150</v>
      </c>
      <c r="G41" s="582" t="str">
        <f t="shared" si="1"/>
        <v>'DICTIONARY-3'!$A$41</v>
      </c>
    </row>
    <row r="42" spans="1:7" x14ac:dyDescent="0.25">
      <c r="A42" s="508" t="str">
        <f>IF(CHOOSE(SET.LANGUAGE,'DICTIONARY-3'!B42,'DICTIONARY-3'!C42,'DICTIONARY-3'!D42,'DICTIONARY-3'!E42,'DICTIONARY-3'!F42)=0,("??? "&amp;"DICTIONARY-3/"&amp;"LINE"&amp;(ROW(A42))),CHOOSE(SET.LANGUAGE,'DICTIONARY-3'!B42,'DICTIONARY-3'!C42,'DICTIONARY-3'!D42,'DICTIONARY-3'!E42,'DICTIONARY-3'!F42))</f>
        <v>NOVA 1885</v>
      </c>
      <c r="B42" s="585" t="s">
        <v>5578</v>
      </c>
      <c r="C42" s="586" t="s">
        <v>5578</v>
      </c>
      <c r="D42" s="586" t="s">
        <v>5578</v>
      </c>
      <c r="E42" s="586" t="s">
        <v>5578</v>
      </c>
      <c r="F42" s="581" t="str">
        <f t="shared" si="0"/>
        <v>42❸NOVA 1885</v>
      </c>
      <c r="G42" s="582" t="str">
        <f t="shared" si="1"/>
        <v>'DICTIONARY-3'!$A$42</v>
      </c>
    </row>
    <row r="43" spans="1:7" x14ac:dyDescent="0.25">
      <c r="A43" s="508" t="str">
        <f>IF(CHOOSE(SET.LANGUAGE,'DICTIONARY-3'!B43,'DICTIONARY-3'!C43,'DICTIONARY-3'!D43,'DICTIONARY-3'!E43,'DICTIONARY-3'!F43)=0,("??? "&amp;"DICTIONARY-3/"&amp;"LINE"&amp;(ROW(A43))),CHOOSE(SET.LANGUAGE,'DICTIONARY-3'!B43,'DICTIONARY-3'!C43,'DICTIONARY-3'!D43,'DICTIONARY-3'!E43,'DICTIONARY-3'!F43))</f>
        <v>NOVA NIRO</v>
      </c>
      <c r="B43" s="585" t="s">
        <v>5579</v>
      </c>
      <c r="C43" s="586" t="s">
        <v>5579</v>
      </c>
      <c r="D43" s="586" t="s">
        <v>5579</v>
      </c>
      <c r="E43" s="586" t="s">
        <v>5579</v>
      </c>
      <c r="F43" s="581" t="str">
        <f t="shared" si="0"/>
        <v>43❸NOVA NIRO</v>
      </c>
      <c r="G43" s="582" t="str">
        <f t="shared" si="1"/>
        <v>'DICTIONARY-3'!$A$43</v>
      </c>
    </row>
    <row r="44" spans="1:7" x14ac:dyDescent="0.25">
      <c r="A44" s="508" t="str">
        <f>IF(CHOOSE(SET.LANGUAGE,'DICTIONARY-3'!B44,'DICTIONARY-3'!C44,'DICTIONARY-3'!D44,'DICTIONARY-3'!E44,'DICTIONARY-3'!F44)=0,("??? "&amp;"DICTIONARY-3/"&amp;"LINE"&amp;(ROW(A44))),CHOOSE(SET.LANGUAGE,'DICTIONARY-3'!B44,'DICTIONARY-3'!C44,'DICTIONARY-3'!D44,'DICTIONARY-3'!E44,'DICTIONARY-3'!F44))</f>
        <v>NOVA NIRO 365</v>
      </c>
      <c r="B44" s="585" t="s">
        <v>5580</v>
      </c>
      <c r="C44" s="586" t="s">
        <v>5580</v>
      </c>
      <c r="D44" s="586" t="s">
        <v>5580</v>
      </c>
      <c r="E44" s="586" t="s">
        <v>5580</v>
      </c>
      <c r="F44" s="581" t="str">
        <f t="shared" si="0"/>
        <v>44❸NOVA NIRO 365</v>
      </c>
      <c r="G44" s="582" t="str">
        <f t="shared" si="1"/>
        <v>'DICTIONARY-3'!$A$44</v>
      </c>
    </row>
    <row r="45" spans="1:7" x14ac:dyDescent="0.25">
      <c r="A45" s="508" t="str">
        <f>IF(CHOOSE(SET.LANGUAGE,'DICTIONARY-3'!B45,'DICTIONARY-3'!C45,'DICTIONARY-3'!D45,'DICTIONARY-3'!E45,'DICTIONARY-3'!F45)=0,("??? "&amp;"DICTIONARY-3/"&amp;"LINE"&amp;(ROW(A45))),CHOOSE(SET.LANGUAGE,'DICTIONARY-3'!B45,'DICTIONARY-3'!C45,'DICTIONARY-3'!D45,'DICTIONARY-3'!E45,'DICTIONARY-3'!F45))</f>
        <v>RIGUS</v>
      </c>
      <c r="B45" s="585" t="s">
        <v>11</v>
      </c>
      <c r="C45" s="586" t="s">
        <v>11</v>
      </c>
      <c r="D45" s="586" t="s">
        <v>11</v>
      </c>
      <c r="E45" s="586" t="s">
        <v>11</v>
      </c>
      <c r="F45" s="581" t="str">
        <f t="shared" si="0"/>
        <v>45❸RIGUS</v>
      </c>
      <c r="G45" s="582" t="str">
        <f t="shared" si="1"/>
        <v>'DICTIONARY-3'!$A$45</v>
      </c>
    </row>
    <row r="46" spans="1:7" x14ac:dyDescent="0.25">
      <c r="A46" s="508" t="str">
        <f>IF(CHOOSE(SET.LANGUAGE,'DICTIONARY-3'!B46,'DICTIONARY-3'!C46,'DICTIONARY-3'!D46,'DICTIONARY-3'!E46,'DICTIONARY-3'!F46)=0,("??? "&amp;"DICTIONARY-3/"&amp;"LINE"&amp;(ROW(A46))),CHOOSE(SET.LANGUAGE,'DICTIONARY-3'!B46,'DICTIONARY-3'!C46,'DICTIONARY-3'!D46,'DICTIONARY-3'!E46,'DICTIONARY-3'!F46))</f>
        <v>HYDRUS G</v>
      </c>
      <c r="B46" s="585" t="s">
        <v>55</v>
      </c>
      <c r="C46" s="586" t="s">
        <v>55</v>
      </c>
      <c r="D46" s="586" t="s">
        <v>55</v>
      </c>
      <c r="E46" s="586" t="s">
        <v>55</v>
      </c>
      <c r="F46" s="581" t="str">
        <f t="shared" si="0"/>
        <v>46❸HYDRUS G</v>
      </c>
      <c r="G46" s="582" t="str">
        <f t="shared" si="1"/>
        <v>'DICTIONARY-3'!$A$46</v>
      </c>
    </row>
    <row r="47" spans="1:7" x14ac:dyDescent="0.25">
      <c r="A47" s="508" t="str">
        <f>IF(CHOOSE(SET.LANGUAGE,'DICTIONARY-3'!B47,'DICTIONARY-3'!C47,'DICTIONARY-3'!D47,'DICTIONARY-3'!E47,'DICTIONARY-3'!F47)=0,("??? "&amp;"DICTIONARY-3/"&amp;"LINE"&amp;(ROW(A47))),CHOOSE(SET.LANGUAGE,'DICTIONARY-3'!B47,'DICTIONARY-3'!C47,'DICTIONARY-3'!D47,'DICTIONARY-3'!E47,'DICTIONARY-3'!F47))</f>
        <v>HYDRUS G1</v>
      </c>
      <c r="B47" s="583" t="str">
        <f>B$46&amp;"1"</f>
        <v>HYDRUS G1</v>
      </c>
      <c r="C47" s="584" t="str">
        <f>C$46&amp;"1"</f>
        <v>HYDRUS G1</v>
      </c>
      <c r="D47" s="584" t="str">
        <f>D$46&amp;"1"</f>
        <v>HYDRUS G1</v>
      </c>
      <c r="E47" s="584" t="str">
        <f>E$46&amp;"1"</f>
        <v>HYDRUS G1</v>
      </c>
      <c r="F47" s="581" t="str">
        <f t="shared" si="0"/>
        <v>47❸HYDRUS G1</v>
      </c>
      <c r="G47" s="582" t="str">
        <f t="shared" si="1"/>
        <v>'DICTIONARY-3'!$A$47</v>
      </c>
    </row>
    <row r="48" spans="1:7" x14ac:dyDescent="0.25">
      <c r="A48" s="508" t="str">
        <f>IF(CHOOSE(SET.LANGUAGE,'DICTIONARY-3'!B48,'DICTIONARY-3'!C48,'DICTIONARY-3'!D48,'DICTIONARY-3'!E48,'DICTIONARY-3'!F48)=0,("??? "&amp;"DICTIONARY-3/"&amp;"LINE"&amp;(ROW(A48))),CHOOSE(SET.LANGUAGE,'DICTIONARY-3'!B48,'DICTIONARY-3'!C48,'DICTIONARY-3'!D48,'DICTIONARY-3'!E48,'DICTIONARY-3'!F48))</f>
        <v>HYDRUS G2</v>
      </c>
      <c r="B48" s="583" t="str">
        <f>B$46&amp;"2"</f>
        <v>HYDRUS G2</v>
      </c>
      <c r="C48" s="584" t="str">
        <f>C$46&amp;"2"</f>
        <v>HYDRUS G2</v>
      </c>
      <c r="D48" s="584" t="str">
        <f>D$46&amp;"2"</f>
        <v>HYDRUS G2</v>
      </c>
      <c r="E48" s="584" t="str">
        <f>E$46&amp;"2"</f>
        <v>HYDRUS G2</v>
      </c>
      <c r="F48" s="581" t="str">
        <f t="shared" si="0"/>
        <v>48❸HYDRUS G2</v>
      </c>
      <c r="G48" s="582" t="str">
        <f t="shared" si="1"/>
        <v>'DICTIONARY-3'!$A$48</v>
      </c>
    </row>
    <row r="49" spans="1:7" x14ac:dyDescent="0.25">
      <c r="A49" s="508" t="str">
        <f>IF(CHOOSE(SET.LANGUAGE,'DICTIONARY-3'!B49,'DICTIONARY-3'!C49,'DICTIONARY-3'!D49,'DICTIONARY-3'!E49,'DICTIONARY-3'!F49)=0,("??? "&amp;"DICTIONARY-3/"&amp;"LINE"&amp;(ROW(A49))),CHOOSE(SET.LANGUAGE,'DICTIONARY-3'!B49,'DICTIONARY-3'!C49,'DICTIONARY-3'!D49,'DICTIONARY-3'!E49,'DICTIONARY-3'!F49))</f>
        <v>Akcesoria dla hydrantów</v>
      </c>
      <c r="B49" s="585" t="s">
        <v>72</v>
      </c>
      <c r="C49" s="586" t="s">
        <v>7417</v>
      </c>
      <c r="D49" s="586" t="s">
        <v>5924</v>
      </c>
      <c r="E49" s="586" t="s">
        <v>5945</v>
      </c>
      <c r="F49" s="581" t="str">
        <f t="shared" si="0"/>
        <v>49❸Příslušenství hydrantů</v>
      </c>
      <c r="G49" s="582" t="str">
        <f t="shared" si="1"/>
        <v>'DICTIONARY-3'!$A$49</v>
      </c>
    </row>
    <row r="50" spans="1:7" x14ac:dyDescent="0.25">
      <c r="A50" s="508" t="str">
        <f>IF(CHOOSE(SET.LANGUAGE,'DICTIONARY-3'!B50,'DICTIONARY-3'!C50,'DICTIONARY-3'!D50,'DICTIONARY-3'!E50,'DICTIONARY-3'!F50)=0,("??? "&amp;"DICTIONARY-3/"&amp;"LINE"&amp;(ROW(A50))),CHOOSE(SET.LANGUAGE,'DICTIONARY-3'!B50,'DICTIONARY-3'!C50,'DICTIONARY-3'!D50,'DICTIONARY-3'!E50,'DICTIONARY-3'!F50))</f>
        <v>N</v>
      </c>
      <c r="B50" s="585" t="s">
        <v>6835</v>
      </c>
      <c r="C50" s="586" t="s">
        <v>6835</v>
      </c>
      <c r="D50" s="586" t="s">
        <v>6835</v>
      </c>
      <c r="E50" s="586" t="s">
        <v>6835</v>
      </c>
      <c r="F50" s="581" t="str">
        <f t="shared" si="0"/>
        <v>50❸N</v>
      </c>
      <c r="G50" s="582" t="str">
        <f t="shared" si="1"/>
        <v>'DICTIONARY-3'!$A$50</v>
      </c>
    </row>
    <row r="51" spans="1:7" x14ac:dyDescent="0.25">
      <c r="A51" s="508" t="str">
        <f>IF(CHOOSE(SET.LANGUAGE,'DICTIONARY-3'!B51,'DICTIONARY-3'!C51,'DICTIONARY-3'!D51,'DICTIONARY-3'!E51,'DICTIONARY-3'!F51)=0,("??? "&amp;"DICTIONARY-3/"&amp;"LINE"&amp;(ROW(A51))),CHOOSE(SET.LANGUAGE,'DICTIONARY-3'!B51,'DICTIONARY-3'!C51,'DICTIONARY-3'!D51,'DICTIONARY-3'!E51,'DICTIONARY-3'!F51))</f>
        <v>Blok drenażowy</v>
      </c>
      <c r="B51" s="585" t="s">
        <v>843</v>
      </c>
      <c r="C51" s="586" t="s">
        <v>7488</v>
      </c>
      <c r="D51" s="586" t="s">
        <v>6160</v>
      </c>
      <c r="E51" s="586" t="s">
        <v>6158</v>
      </c>
      <c r="F51" s="581" t="str">
        <f t="shared" si="0"/>
        <v>51❸Drenážní blok</v>
      </c>
      <c r="G51" s="582" t="str">
        <f t="shared" si="1"/>
        <v>'DICTIONARY-3'!$A$51</v>
      </c>
    </row>
    <row r="52" spans="1:7" x14ac:dyDescent="0.25">
      <c r="A52" s="508" t="str">
        <f>IF(CHOOSE(SET.LANGUAGE,'DICTIONARY-3'!B52,'DICTIONARY-3'!C52,'DICTIONARY-3'!D52,'DICTIONARY-3'!E52,'DICTIONARY-3'!F52)=0,("??? "&amp;"DICTIONARY-3/"&amp;"LINE"&amp;(ROW(A52))),CHOOSE(SET.LANGUAGE,'DICTIONARY-3'!B52,'DICTIONARY-3'!C52,'DICTIONARY-3'!D52,'DICTIONARY-3'!E52,'DICTIONARY-3'!F52))</f>
        <v>Ochrona przed zamarzaniem</v>
      </c>
      <c r="B52" s="585" t="s">
        <v>850</v>
      </c>
      <c r="C52" s="586" t="s">
        <v>7418</v>
      </c>
      <c r="D52" s="586" t="s">
        <v>6161</v>
      </c>
      <c r="E52" s="586" t="s">
        <v>6159</v>
      </c>
      <c r="F52" s="581" t="str">
        <f t="shared" si="0"/>
        <v>52❸Ochrana proti zamrznutí</v>
      </c>
      <c r="G52" s="582" t="str">
        <f t="shared" si="1"/>
        <v>'DICTIONARY-3'!$A$52</v>
      </c>
    </row>
    <row r="53" spans="1:7" x14ac:dyDescent="0.25">
      <c r="A53" s="508" t="str">
        <f>IF(CHOOSE(SET.LANGUAGE,'DICTIONARY-3'!B53,'DICTIONARY-3'!C53,'DICTIONARY-3'!D53,'DICTIONARY-3'!E53,'DICTIONARY-3'!F53)=0,("??? "&amp;"DICTIONARY-3/"&amp;"LINE"&amp;(ROW(A53))),CHOOSE(SET.LANGUAGE,'DICTIONARY-3'!B53,'DICTIONARY-3'!C53,'DICTIONARY-3'!D53,'DICTIONARY-3'!E53,'DICTIONARY-3'!F53))</f>
        <v>Stojak hydrantowy</v>
      </c>
      <c r="B53" s="585" t="s">
        <v>7955</v>
      </c>
      <c r="C53" s="586" t="s">
        <v>7955</v>
      </c>
      <c r="D53" s="586" t="s">
        <v>7957</v>
      </c>
      <c r="E53" s="586" t="s">
        <v>7956</v>
      </c>
      <c r="F53" s="581" t="str">
        <f t="shared" ref="F53" si="2">CONCATENATE(ROW(B53),"❸",B53)</f>
        <v>53❸Hydrantový nástavec</v>
      </c>
      <c r="G53" s="582" t="str">
        <f t="shared" si="1"/>
        <v>'DICTIONARY-3'!$A$53</v>
      </c>
    </row>
    <row r="54" spans="1:7" x14ac:dyDescent="0.25">
      <c r="A54" s="508" t="str">
        <f>IF(CHOOSE(SET.LANGUAGE,'DICTIONARY-3'!B54,'DICTIONARY-3'!C54,'DICTIONARY-3'!D54,'DICTIONARY-3'!E54,'DICTIONARY-3'!F54)=0,("??? "&amp;"DICTIONARY-3/"&amp;"LINE"&amp;(ROW(A54))),CHOOSE(SET.LANGUAGE,'DICTIONARY-3'!B54,'DICTIONARY-3'!C54,'DICTIONARY-3'!D54,'DICTIONARY-3'!E54,'DICTIONARY-3'!F54))</f>
        <v>Zestawy nawiertowe</v>
      </c>
      <c r="B54" s="585" t="s">
        <v>13</v>
      </c>
      <c r="C54" s="586" t="s">
        <v>7489</v>
      </c>
      <c r="D54" s="586" t="s">
        <v>5925</v>
      </c>
      <c r="E54" s="586" t="s">
        <v>5946</v>
      </c>
      <c r="F54" s="581" t="str">
        <f t="shared" si="0"/>
        <v>54❸Navrtávací soupravy</v>
      </c>
      <c r="G54" s="582" t="str">
        <f t="shared" si="1"/>
        <v>'DICTIONARY-3'!$A$54</v>
      </c>
    </row>
    <row r="55" spans="1:7" x14ac:dyDescent="0.25">
      <c r="A55" s="508" t="str">
        <f>IF(CHOOSE(SET.LANGUAGE,'DICTIONARY-3'!B55,'DICTIONARY-3'!C55,'DICTIONARY-3'!D55,'DICTIONARY-3'!E55,'DICTIONARY-3'!F55)=0,("??? "&amp;"DICTIONARY-3/"&amp;"LINE"&amp;(ROW(A55))),CHOOSE(SET.LANGUAGE,'DICTIONARY-3'!B55,'DICTIONARY-3'!C55,'DICTIONARY-3'!D55,'DICTIONARY-3'!E55,'DICTIONARY-3'!F55))</f>
        <v>HOD</v>
      </c>
      <c r="B55" s="690" t="s">
        <v>14</v>
      </c>
      <c r="C55" s="586" t="s">
        <v>14</v>
      </c>
      <c r="D55" s="586" t="s">
        <v>14</v>
      </c>
      <c r="E55" s="586" t="s">
        <v>14</v>
      </c>
      <c r="F55" s="581" t="str">
        <f t="shared" si="0"/>
        <v>55❸HOD</v>
      </c>
      <c r="G55" s="582" t="str">
        <f t="shared" si="1"/>
        <v>'DICTIONARY-3'!$A$55</v>
      </c>
    </row>
    <row r="56" spans="1:7" x14ac:dyDescent="0.25">
      <c r="A56" s="508" t="str">
        <f>IF(CHOOSE(SET.LANGUAGE,'DICTIONARY-3'!B56,'DICTIONARY-3'!C56,'DICTIONARY-3'!D56,'DICTIONARY-3'!E56,'DICTIONARY-3'!F56)=0,("??? "&amp;"DICTIONARY-3/"&amp;"LINE"&amp;(ROW(A56))),CHOOSE(SET.LANGUAGE,'DICTIONARY-3'!B56,'DICTIONARY-3'!C56,'DICTIONARY-3'!D56,'DICTIONARY-3'!E56,'DICTIONARY-3'!F56))</f>
        <v>HOD-M</v>
      </c>
      <c r="B56" s="690" t="s">
        <v>6152</v>
      </c>
      <c r="C56" s="586" t="s">
        <v>6152</v>
      </c>
      <c r="D56" s="586" t="s">
        <v>6152</v>
      </c>
      <c r="E56" s="586" t="s">
        <v>6152</v>
      </c>
      <c r="F56" s="581" t="str">
        <f t="shared" si="0"/>
        <v>56❸HOD-M</v>
      </c>
      <c r="G56" s="582" t="str">
        <f t="shared" si="1"/>
        <v>'DICTIONARY-3'!$A$56</v>
      </c>
    </row>
    <row r="57" spans="1:7" x14ac:dyDescent="0.25">
      <c r="A57" s="508" t="str">
        <f>IF(CHOOSE(SET.LANGUAGE,'DICTIONARY-3'!B57,'DICTIONARY-3'!C57,'DICTIONARY-3'!D57,'DICTIONARY-3'!E57,'DICTIONARY-3'!F57)=0,("??? "&amp;"DICTIONARY-3/"&amp;"LINE"&amp;(ROW(A57))),CHOOSE(SET.LANGUAGE,'DICTIONARY-3'!B57,'DICTIONARY-3'!C57,'DICTIONARY-3'!D57,'DICTIONARY-3'!E57,'DICTIONARY-3'!F57))</f>
        <v>HOD-G</v>
      </c>
      <c r="B57" s="690" t="s">
        <v>6151</v>
      </c>
      <c r="C57" s="586" t="s">
        <v>6151</v>
      </c>
      <c r="D57" s="586" t="s">
        <v>6151</v>
      </c>
      <c r="E57" s="586" t="s">
        <v>6151</v>
      </c>
      <c r="F57" s="581" t="str">
        <f t="shared" si="0"/>
        <v>57❸HOD-G</v>
      </c>
      <c r="G57" s="582" t="str">
        <f t="shared" si="1"/>
        <v>'DICTIONARY-3'!$A$57</v>
      </c>
    </row>
    <row r="58" spans="1:7" x14ac:dyDescent="0.25">
      <c r="A58" s="508" t="str">
        <f>IF(CHOOSE(SET.LANGUAGE,'DICTIONARY-3'!B58,'DICTIONARY-3'!C58,'DICTIONARY-3'!D58,'DICTIONARY-3'!E58,'DICTIONARY-3'!F58)=0,("??? "&amp;"DICTIONARY-3/"&amp;"LINE"&amp;(ROW(A58))),CHOOSE(SET.LANGUAGE,'DICTIONARY-3'!B58,'DICTIONARY-3'!C58,'DICTIONARY-3'!D58,'DICTIONARY-3'!E58,'DICTIONARY-3'!F58))</f>
        <v>HOD-K</v>
      </c>
      <c r="B58" s="690" t="s">
        <v>6150</v>
      </c>
      <c r="C58" s="586" t="s">
        <v>6150</v>
      </c>
      <c r="D58" s="586" t="s">
        <v>6150</v>
      </c>
      <c r="E58" s="586" t="s">
        <v>6150</v>
      </c>
      <c r="F58" s="581" t="str">
        <f t="shared" si="0"/>
        <v>58❸HOD-K</v>
      </c>
      <c r="G58" s="582" t="str">
        <f t="shared" si="1"/>
        <v>'DICTIONARY-3'!$A$58</v>
      </c>
    </row>
    <row r="59" spans="1:7" x14ac:dyDescent="0.25">
      <c r="A59" s="508" t="str">
        <f>IF(CHOOSE(SET.LANGUAGE,'DICTIONARY-3'!B59,'DICTIONARY-3'!C59,'DICTIONARY-3'!D59,'DICTIONARY-3'!E59,'DICTIONARY-3'!F59)=0,("??? "&amp;"DICTIONARY-3/"&amp;"LINE"&amp;(ROW(A59))),CHOOSE(SET.LANGUAGE,'DICTIONARY-3'!B59,'DICTIONARY-3'!C59,'DICTIONARY-3'!D59,'DICTIONARY-3'!E59,'DICTIONARY-3'!F59))</f>
        <v>TERRA</v>
      </c>
      <c r="B59" s="690" t="s">
        <v>5772</v>
      </c>
      <c r="C59" s="586" t="s">
        <v>5772</v>
      </c>
      <c r="D59" s="586" t="s">
        <v>5772</v>
      </c>
      <c r="E59" s="586" t="s">
        <v>5772</v>
      </c>
      <c r="F59" s="581" t="str">
        <f t="shared" si="0"/>
        <v>59❸TERRA</v>
      </c>
      <c r="G59" s="582" t="str">
        <f t="shared" si="1"/>
        <v>'DICTIONARY-3'!$A$59</v>
      </c>
    </row>
    <row r="60" spans="1:7" x14ac:dyDescent="0.25">
      <c r="A60" s="508" t="str">
        <f>IF(CHOOSE(SET.LANGUAGE,'DICTIONARY-3'!B60,'DICTIONARY-3'!C60,'DICTIONARY-3'!D60,'DICTIONARY-3'!E60,'DICTIONARY-3'!F60)=0,("??? "&amp;"DICTIONARY-3/"&amp;"LINE"&amp;(ROW(A60))),CHOOSE(SET.LANGUAGE,'DICTIONARY-3'!B60,'DICTIONARY-3'!C60,'DICTIONARY-3'!D60,'DICTIONARY-3'!E60,'DICTIONARY-3'!F60))</f>
        <v>TERRA-M</v>
      </c>
      <c r="B60" s="690" t="s">
        <v>6310</v>
      </c>
      <c r="C60" s="586" t="s">
        <v>6310</v>
      </c>
      <c r="D60" s="586" t="s">
        <v>6310</v>
      </c>
      <c r="E60" s="586" t="s">
        <v>6310</v>
      </c>
      <c r="F60" s="581" t="str">
        <f t="shared" si="0"/>
        <v>60❸TERRA-M</v>
      </c>
      <c r="G60" s="582" t="str">
        <f t="shared" si="1"/>
        <v>'DICTIONARY-3'!$A$60</v>
      </c>
    </row>
    <row r="61" spans="1:7" x14ac:dyDescent="0.25">
      <c r="A61" s="508" t="str">
        <f>IF(CHOOSE(SET.LANGUAGE,'DICTIONARY-3'!B61,'DICTIONARY-3'!C61,'DICTIONARY-3'!D61,'DICTIONARY-3'!E61,'DICTIONARY-3'!F61)=0,("??? "&amp;"DICTIONARY-3/"&amp;"LINE"&amp;(ROW(A61))),CHOOSE(SET.LANGUAGE,'DICTIONARY-3'!B61,'DICTIONARY-3'!C61,'DICTIONARY-3'!D61,'DICTIONARY-3'!E61,'DICTIONARY-3'!F61))</f>
        <v>TERRA-K</v>
      </c>
      <c r="B61" s="690" t="s">
        <v>6311</v>
      </c>
      <c r="C61" s="586" t="s">
        <v>6311</v>
      </c>
      <c r="D61" s="586" t="s">
        <v>6311</v>
      </c>
      <c r="E61" s="586" t="s">
        <v>6311</v>
      </c>
      <c r="F61" s="581" t="str">
        <f t="shared" si="0"/>
        <v>61❸TERRA-K</v>
      </c>
      <c r="G61" s="582" t="str">
        <f t="shared" si="1"/>
        <v>'DICTIONARY-3'!$A$61</v>
      </c>
    </row>
    <row r="62" spans="1:7" x14ac:dyDescent="0.25">
      <c r="A62" s="508" t="str">
        <f>IF(CHOOSE(SET.LANGUAGE,'DICTIONARY-3'!B62,'DICTIONARY-3'!C62,'DICTIONARY-3'!D62,'DICTIONARY-3'!E62,'DICTIONARY-3'!F62)=0,("??? "&amp;"DICTIONARY-3/"&amp;"LINE"&amp;(ROW(A62))),CHOOSE(SET.LANGUAGE,'DICTIONARY-3'!B62,'DICTIONARY-3'!C62,'DICTIONARY-3'!D62,'DICTIONARY-3'!E62,'DICTIONARY-3'!F62))</f>
        <v>HODlock</v>
      </c>
      <c r="B62" s="690" t="s">
        <v>5574</v>
      </c>
      <c r="C62" s="586" t="s">
        <v>5574</v>
      </c>
      <c r="D62" s="586" t="s">
        <v>5574</v>
      </c>
      <c r="E62" s="586" t="s">
        <v>5574</v>
      </c>
      <c r="F62" s="581" t="str">
        <f t="shared" si="0"/>
        <v>62❸HODlock</v>
      </c>
      <c r="G62" s="582" t="str">
        <f t="shared" si="1"/>
        <v>'DICTIONARY-3'!$A$62</v>
      </c>
    </row>
    <row r="63" spans="1:7" x14ac:dyDescent="0.25">
      <c r="A63" s="508" t="str">
        <f>IF(CHOOSE(SET.LANGUAGE,'DICTIONARY-3'!B63,'DICTIONARY-3'!C63,'DICTIONARY-3'!D63,'DICTIONARY-3'!E63,'DICTIONARY-3'!F63)=0,("??? "&amp;"DICTIONARY-3/"&amp;"LINE"&amp;(ROW(A63))),CHOOSE(SET.LANGUAGE,'DICTIONARY-3'!B63,'DICTIONARY-3'!C63,'DICTIONARY-3'!D63,'DICTIONARY-3'!E63,'DICTIONARY-3'!F63))</f>
        <v>TERRAlock</v>
      </c>
      <c r="B63" s="690" t="s">
        <v>5573</v>
      </c>
      <c r="C63" s="586" t="s">
        <v>5573</v>
      </c>
      <c r="D63" s="586" t="s">
        <v>5573</v>
      </c>
      <c r="E63" s="586" t="s">
        <v>5573</v>
      </c>
      <c r="F63" s="581" t="str">
        <f t="shared" si="0"/>
        <v>63❸TERRAlock</v>
      </c>
      <c r="G63" s="582" t="str">
        <f t="shared" si="1"/>
        <v>'DICTIONARY-3'!$A$63</v>
      </c>
    </row>
    <row r="64" spans="1:7" x14ac:dyDescent="0.25">
      <c r="A64" s="508" t="str">
        <f>IF(CHOOSE(SET.LANGUAGE,'DICTIONARY-3'!B64,'DICTIONARY-3'!C64,'DICTIONARY-3'!D64,'DICTIONARY-3'!E64,'DICTIONARY-3'!F64)=0,("??? "&amp;"DICTIONARY-3/"&amp;"LINE"&amp;(ROW(A64))),CHOOSE(SET.LANGUAGE,'DICTIONARY-3'!B64,'DICTIONARY-3'!C64,'DICTIONARY-3'!D64,'DICTIONARY-3'!E64,'DICTIONARY-3'!F64))</f>
        <v>HODlock/TERRAlock</v>
      </c>
      <c r="B64" s="690" t="s">
        <v>6148</v>
      </c>
      <c r="C64" s="586" t="s">
        <v>6148</v>
      </c>
      <c r="D64" s="586" t="s">
        <v>6148</v>
      </c>
      <c r="E64" s="586" t="s">
        <v>6148</v>
      </c>
      <c r="F64" s="581" t="str">
        <f t="shared" si="0"/>
        <v>64❸HODlock/TERRAlock</v>
      </c>
      <c r="G64" s="582" t="str">
        <f t="shared" si="1"/>
        <v>'DICTIONARY-3'!$A$64</v>
      </c>
    </row>
    <row r="65" spans="1:7" x14ac:dyDescent="0.25">
      <c r="A65" s="508" t="str">
        <f>IF(CHOOSE(SET.LANGUAGE,'DICTIONARY-3'!B65,'DICTIONARY-3'!C65,'DICTIONARY-3'!D65,'DICTIONARY-3'!E65,'DICTIONARY-3'!F65)=0,("??? "&amp;"DICTIONARY-3/"&amp;"LINE"&amp;(ROW(A65))),CHOOSE(SET.LANGUAGE,'DICTIONARY-3'!B65,'DICTIONARY-3'!C65,'DICTIONARY-3'!D65,'DICTIONARY-3'!E65,'DICTIONARY-3'!F65))</f>
        <v>-M505</v>
      </c>
      <c r="B65" s="690" t="s">
        <v>6327</v>
      </c>
      <c r="C65" s="586" t="s">
        <v>6327</v>
      </c>
      <c r="D65" s="586" t="s">
        <v>6327</v>
      </c>
      <c r="E65" s="586" t="s">
        <v>6327</v>
      </c>
      <c r="F65" s="581" t="str">
        <f t="shared" ref="F65:F87" si="3">CONCATENATE(ROW(B65),"❸",B65)</f>
        <v>65❸-M505</v>
      </c>
      <c r="G65" s="582" t="str">
        <f t="shared" ref="G65:G87" si="4">"'DICTIONARY-3'!$A$"&amp;ROW(G65)</f>
        <v>'DICTIONARY-3'!$A$65</v>
      </c>
    </row>
    <row r="66" spans="1:7" x14ac:dyDescent="0.25">
      <c r="A66" s="508" t="str">
        <f>IF(CHOOSE(SET.LANGUAGE,'DICTIONARY-3'!B66,'DICTIONARY-3'!C66,'DICTIONARY-3'!D66,'DICTIONARY-3'!E66,'DICTIONARY-3'!F66)=0,("??? "&amp;"DICTIONARY-3/"&amp;"LINE"&amp;(ROW(A66))),CHOOSE(SET.LANGUAGE,'DICTIONARY-3'!B66,'DICTIONARY-3'!C66,'DICTIONARY-3'!D66,'DICTIONARY-3'!E66,'DICTIONARY-3'!F66))</f>
        <v>-M508</v>
      </c>
      <c r="B66" s="690" t="s">
        <v>6328</v>
      </c>
      <c r="C66" s="586" t="s">
        <v>6328</v>
      </c>
      <c r="D66" s="586" t="s">
        <v>6328</v>
      </c>
      <c r="E66" s="586" t="s">
        <v>6328</v>
      </c>
      <c r="F66" s="581" t="str">
        <f t="shared" si="3"/>
        <v>66❸-M508</v>
      </c>
      <c r="G66" s="582" t="str">
        <f t="shared" si="4"/>
        <v>'DICTIONARY-3'!$A$66</v>
      </c>
    </row>
    <row r="67" spans="1:7" x14ac:dyDescent="0.25">
      <c r="A67" s="508" t="str">
        <f>IF(CHOOSE(SET.LANGUAGE,'DICTIONARY-3'!B67,'DICTIONARY-3'!C67,'DICTIONARY-3'!D67,'DICTIONARY-3'!E67,'DICTIONARY-3'!F67)=0,("??? "&amp;"DICTIONARY-3/"&amp;"LINE"&amp;(ROW(A67))),CHOOSE(SET.LANGUAGE,'DICTIONARY-3'!B67,'DICTIONARY-3'!C67,'DICTIONARY-3'!D67,'DICTIONARY-3'!E67,'DICTIONARY-3'!F67))</f>
        <v>-M509</v>
      </c>
      <c r="B67" s="690" t="s">
        <v>6329</v>
      </c>
      <c r="C67" s="586" t="s">
        <v>6329</v>
      </c>
      <c r="D67" s="586" t="s">
        <v>6329</v>
      </c>
      <c r="E67" s="586" t="s">
        <v>6329</v>
      </c>
      <c r="F67" s="581" t="str">
        <f t="shared" si="3"/>
        <v>67❸-M509</v>
      </c>
      <c r="G67" s="582" t="str">
        <f t="shared" si="4"/>
        <v>'DICTIONARY-3'!$A$67</v>
      </c>
    </row>
    <row r="68" spans="1:7" x14ac:dyDescent="0.25">
      <c r="A68" s="508" t="str">
        <f>IF(CHOOSE(SET.LANGUAGE,'DICTIONARY-3'!B68,'DICTIONARY-3'!C68,'DICTIONARY-3'!D68,'DICTIONARY-3'!E68,'DICTIONARY-3'!F68)=0,("??? "&amp;"DICTIONARY-3/"&amp;"LINE"&amp;(ROW(A68))),CHOOSE(SET.LANGUAGE,'DICTIONARY-3'!B68,'DICTIONARY-3'!C68,'DICTIONARY-3'!D68,'DICTIONARY-3'!E68,'DICTIONARY-3'!F68))</f>
        <v>-M513</v>
      </c>
      <c r="B68" s="690" t="s">
        <v>6330</v>
      </c>
      <c r="C68" s="586" t="s">
        <v>6330</v>
      </c>
      <c r="D68" s="586" t="s">
        <v>6330</v>
      </c>
      <c r="E68" s="586" t="s">
        <v>6330</v>
      </c>
      <c r="F68" s="581" t="str">
        <f t="shared" si="3"/>
        <v>68❸-M513</v>
      </c>
      <c r="G68" s="582" t="str">
        <f t="shared" si="4"/>
        <v>'DICTIONARY-3'!$A$68</v>
      </c>
    </row>
    <row r="69" spans="1:7" x14ac:dyDescent="0.25">
      <c r="A69" s="508" t="str">
        <f>IF(CHOOSE(SET.LANGUAGE,'DICTIONARY-3'!B69,'DICTIONARY-3'!C69,'DICTIONARY-3'!D69,'DICTIONARY-3'!E69,'DICTIONARY-3'!F69)=0,("??? "&amp;"DICTIONARY-3/"&amp;"LINE"&amp;(ROW(A69))),CHOOSE(SET.LANGUAGE,'DICTIONARY-3'!B69,'DICTIONARY-3'!C69,'DICTIONARY-3'!D69,'DICTIONARY-3'!E69,'DICTIONARY-3'!F69))</f>
        <v>-M514</v>
      </c>
      <c r="B69" s="690" t="s">
        <v>6331</v>
      </c>
      <c r="C69" s="586" t="s">
        <v>6331</v>
      </c>
      <c r="D69" s="586" t="s">
        <v>6331</v>
      </c>
      <c r="E69" s="586" t="s">
        <v>6331</v>
      </c>
      <c r="F69" s="581" t="str">
        <f t="shared" si="3"/>
        <v>69❸-M514</v>
      </c>
      <c r="G69" s="582" t="str">
        <f t="shared" si="4"/>
        <v>'DICTIONARY-3'!$A$69</v>
      </c>
    </row>
    <row r="70" spans="1:7" x14ac:dyDescent="0.25">
      <c r="A70" s="508" t="str">
        <f>IF(CHOOSE(SET.LANGUAGE,'DICTIONARY-3'!B70,'DICTIONARY-3'!C70,'DICTIONARY-3'!D70,'DICTIONARY-3'!E70,'DICTIONARY-3'!F70)=0,("??? "&amp;"DICTIONARY-3/"&amp;"LINE"&amp;(ROW(A70))),CHOOSE(SET.LANGUAGE,'DICTIONARY-3'!B70,'DICTIONARY-3'!C70,'DICTIONARY-3'!D70,'DICTIONARY-3'!E70,'DICTIONARY-3'!F70))</f>
        <v>-M518</v>
      </c>
      <c r="B70" s="690" t="s">
        <v>6332</v>
      </c>
      <c r="C70" s="586" t="s">
        <v>6332</v>
      </c>
      <c r="D70" s="586" t="s">
        <v>6332</v>
      </c>
      <c r="E70" s="586" t="s">
        <v>6332</v>
      </c>
      <c r="F70" s="581" t="str">
        <f t="shared" si="3"/>
        <v>70❸-M518</v>
      </c>
      <c r="G70" s="582" t="str">
        <f t="shared" si="4"/>
        <v>'DICTIONARY-3'!$A$70</v>
      </c>
    </row>
    <row r="71" spans="1:7" x14ac:dyDescent="0.25">
      <c r="A71" s="508" t="str">
        <f>IF(CHOOSE(SET.LANGUAGE,'DICTIONARY-3'!B71,'DICTIONARY-3'!C71,'DICTIONARY-3'!D71,'DICTIONARY-3'!E71,'DICTIONARY-3'!F71)=0,("??? "&amp;"DICTIONARY-3/"&amp;"LINE"&amp;(ROW(A71))),CHOOSE(SET.LANGUAGE,'DICTIONARY-3'!B71,'DICTIONARY-3'!C71,'DICTIONARY-3'!D71,'DICTIONARY-3'!E71,'DICTIONARY-3'!F71))</f>
        <v>-G501</v>
      </c>
      <c r="B71" s="690" t="s">
        <v>6335</v>
      </c>
      <c r="C71" s="586" t="s">
        <v>6335</v>
      </c>
      <c r="D71" s="586" t="s">
        <v>6335</v>
      </c>
      <c r="E71" s="586" t="s">
        <v>6335</v>
      </c>
      <c r="F71" s="581" t="str">
        <f t="shared" si="3"/>
        <v>71❸-G501</v>
      </c>
      <c r="G71" s="582" t="str">
        <f t="shared" si="4"/>
        <v>'DICTIONARY-3'!$A$71</v>
      </c>
    </row>
    <row r="72" spans="1:7" x14ac:dyDescent="0.25">
      <c r="A72" s="508" t="str">
        <f>IF(CHOOSE(SET.LANGUAGE,'DICTIONARY-3'!B72,'DICTIONARY-3'!C72,'DICTIONARY-3'!D72,'DICTIONARY-3'!E72,'DICTIONARY-3'!F72)=0,("??? "&amp;"DICTIONARY-3/"&amp;"LINE"&amp;(ROW(A72))),CHOOSE(SET.LANGUAGE,'DICTIONARY-3'!B72,'DICTIONARY-3'!C72,'DICTIONARY-3'!D72,'DICTIONARY-3'!E72,'DICTIONARY-3'!F72))</f>
        <v>-G502</v>
      </c>
      <c r="B72" s="690" t="s">
        <v>6336</v>
      </c>
      <c r="C72" s="586" t="s">
        <v>6336</v>
      </c>
      <c r="D72" s="586" t="s">
        <v>6336</v>
      </c>
      <c r="E72" s="586" t="s">
        <v>6336</v>
      </c>
      <c r="F72" s="581" t="str">
        <f t="shared" si="3"/>
        <v>72❸-G502</v>
      </c>
      <c r="G72" s="582" t="str">
        <f t="shared" si="4"/>
        <v>'DICTIONARY-3'!$A$72</v>
      </c>
    </row>
    <row r="73" spans="1:7" x14ac:dyDescent="0.25">
      <c r="A73" s="508" t="str">
        <f>IF(CHOOSE(SET.LANGUAGE,'DICTIONARY-3'!B73,'DICTIONARY-3'!C73,'DICTIONARY-3'!D73,'DICTIONARY-3'!E73,'DICTIONARY-3'!F73)=0,("??? "&amp;"DICTIONARY-3/"&amp;"LINE"&amp;(ROW(A73))),CHOOSE(SET.LANGUAGE,'DICTIONARY-3'!B73,'DICTIONARY-3'!C73,'DICTIONARY-3'!D73,'DICTIONARY-3'!E73,'DICTIONARY-3'!F73))</f>
        <v>-G503</v>
      </c>
      <c r="B73" s="690" t="s">
        <v>6337</v>
      </c>
      <c r="C73" s="586" t="s">
        <v>6337</v>
      </c>
      <c r="D73" s="586" t="s">
        <v>6337</v>
      </c>
      <c r="E73" s="586" t="s">
        <v>6337</v>
      </c>
      <c r="F73" s="581" t="str">
        <f t="shared" si="3"/>
        <v>73❸-G503</v>
      </c>
      <c r="G73" s="582" t="str">
        <f t="shared" si="4"/>
        <v>'DICTIONARY-3'!$A$73</v>
      </c>
    </row>
    <row r="74" spans="1:7" x14ac:dyDescent="0.25">
      <c r="A74" s="508" t="str">
        <f>IF(CHOOSE(SET.LANGUAGE,'DICTIONARY-3'!B74,'DICTIONARY-3'!C74,'DICTIONARY-3'!D74,'DICTIONARY-3'!E74,'DICTIONARY-3'!F74)=0,("??? "&amp;"DICTIONARY-3/"&amp;"LINE"&amp;(ROW(A74))),CHOOSE(SET.LANGUAGE,'DICTIONARY-3'!B74,'DICTIONARY-3'!C74,'DICTIONARY-3'!D74,'DICTIONARY-3'!E74,'DICTIONARY-3'!F74))</f>
        <v>-G511</v>
      </c>
      <c r="B74" s="690" t="s">
        <v>6338</v>
      </c>
      <c r="C74" s="586" t="s">
        <v>6338</v>
      </c>
      <c r="D74" s="586" t="s">
        <v>6338</v>
      </c>
      <c r="E74" s="586" t="s">
        <v>6338</v>
      </c>
      <c r="F74" s="581" t="str">
        <f t="shared" si="3"/>
        <v>74❸-G511</v>
      </c>
      <c r="G74" s="582" t="str">
        <f t="shared" si="4"/>
        <v>'DICTIONARY-3'!$A$74</v>
      </c>
    </row>
    <row r="75" spans="1:7" x14ac:dyDescent="0.25">
      <c r="A75" s="508" t="str">
        <f>IF(CHOOSE(SET.LANGUAGE,'DICTIONARY-3'!B75,'DICTIONARY-3'!C75,'DICTIONARY-3'!D75,'DICTIONARY-3'!E75,'DICTIONARY-3'!F75)=0,("??? "&amp;"DICTIONARY-3/"&amp;"LINE"&amp;(ROW(A75))),CHOOSE(SET.LANGUAGE,'DICTIONARY-3'!B75,'DICTIONARY-3'!C75,'DICTIONARY-3'!D75,'DICTIONARY-3'!E75,'DICTIONARY-3'!F75))</f>
        <v>-G512</v>
      </c>
      <c r="B75" s="690" t="s">
        <v>6339</v>
      </c>
      <c r="C75" s="586" t="s">
        <v>6339</v>
      </c>
      <c r="D75" s="586" t="s">
        <v>6339</v>
      </c>
      <c r="E75" s="586" t="s">
        <v>6339</v>
      </c>
      <c r="F75" s="581" t="str">
        <f t="shared" si="3"/>
        <v>75❸-G512</v>
      </c>
      <c r="G75" s="582" t="str">
        <f t="shared" si="4"/>
        <v>'DICTIONARY-3'!$A$75</v>
      </c>
    </row>
    <row r="76" spans="1:7" x14ac:dyDescent="0.25">
      <c r="A76" s="508" t="str">
        <f>IF(CHOOSE(SET.LANGUAGE,'DICTIONARY-3'!B76,'DICTIONARY-3'!C76,'DICTIONARY-3'!D76,'DICTIONARY-3'!E76,'DICTIONARY-3'!F76)=0,("??? "&amp;"DICTIONARY-3/"&amp;"LINE"&amp;(ROW(A76))),CHOOSE(SET.LANGUAGE,'DICTIONARY-3'!B76,'DICTIONARY-3'!C76,'DICTIONARY-3'!D76,'DICTIONARY-3'!E76,'DICTIONARY-3'!F76))</f>
        <v>-G517</v>
      </c>
      <c r="B76" s="690" t="s">
        <v>6340</v>
      </c>
      <c r="C76" s="586" t="s">
        <v>6340</v>
      </c>
      <c r="D76" s="586" t="s">
        <v>6340</v>
      </c>
      <c r="E76" s="586" t="s">
        <v>6340</v>
      </c>
      <c r="F76" s="581" t="str">
        <f t="shared" si="3"/>
        <v>76❸-G517</v>
      </c>
      <c r="G76" s="582" t="str">
        <f t="shared" si="4"/>
        <v>'DICTIONARY-3'!$A$76</v>
      </c>
    </row>
    <row r="77" spans="1:7" x14ac:dyDescent="0.25">
      <c r="A77" s="508" t="str">
        <f>IF(CHOOSE(SET.LANGUAGE,'DICTIONARY-3'!B77,'DICTIONARY-3'!C77,'DICTIONARY-3'!D77,'DICTIONARY-3'!E77,'DICTIONARY-3'!F77)=0,("??? "&amp;"DICTIONARY-3/"&amp;"LINE"&amp;(ROW(A77))),CHOOSE(SET.LANGUAGE,'DICTIONARY-3'!B77,'DICTIONARY-3'!C77,'DICTIONARY-3'!D77,'DICTIONARY-3'!E77,'DICTIONARY-3'!F77))</f>
        <v>-K504</v>
      </c>
      <c r="B77" s="690" t="s">
        <v>6341</v>
      </c>
      <c r="C77" s="586" t="s">
        <v>6341</v>
      </c>
      <c r="D77" s="586" t="s">
        <v>6341</v>
      </c>
      <c r="E77" s="586" t="s">
        <v>6341</v>
      </c>
      <c r="F77" s="581" t="str">
        <f t="shared" si="3"/>
        <v>77❸-K504</v>
      </c>
      <c r="G77" s="582" t="str">
        <f t="shared" si="4"/>
        <v>'DICTIONARY-3'!$A$77</v>
      </c>
    </row>
    <row r="78" spans="1:7" x14ac:dyDescent="0.25">
      <c r="A78" s="508" t="str">
        <f>IF(CHOOSE(SET.LANGUAGE,'DICTIONARY-3'!B78,'DICTIONARY-3'!C78,'DICTIONARY-3'!D78,'DICTIONARY-3'!E78,'DICTIONARY-3'!F78)=0,("??? "&amp;"DICTIONARY-3/"&amp;"LINE"&amp;(ROW(A78))),CHOOSE(SET.LANGUAGE,'DICTIONARY-3'!B78,'DICTIONARY-3'!C78,'DICTIONARY-3'!D78,'DICTIONARY-3'!E78,'DICTIONARY-3'!F78))</f>
        <v>-K506</v>
      </c>
      <c r="B78" s="690" t="s">
        <v>6342</v>
      </c>
      <c r="C78" s="586" t="s">
        <v>6342</v>
      </c>
      <c r="D78" s="586" t="s">
        <v>6342</v>
      </c>
      <c r="E78" s="586" t="s">
        <v>6342</v>
      </c>
      <c r="F78" s="581" t="str">
        <f t="shared" si="3"/>
        <v>78❸-K506</v>
      </c>
      <c r="G78" s="582" t="str">
        <f t="shared" si="4"/>
        <v>'DICTIONARY-3'!$A$78</v>
      </c>
    </row>
    <row r="79" spans="1:7" x14ac:dyDescent="0.25">
      <c r="A79" s="508" t="str">
        <f>IF(CHOOSE(SET.LANGUAGE,'DICTIONARY-3'!B79,'DICTIONARY-3'!C79,'DICTIONARY-3'!D79,'DICTIONARY-3'!E79,'DICTIONARY-3'!F79)=0,("??? "&amp;"DICTIONARY-3/"&amp;"LINE"&amp;(ROW(A79))),CHOOSE(SET.LANGUAGE,'DICTIONARY-3'!B79,'DICTIONARY-3'!C79,'DICTIONARY-3'!D79,'DICTIONARY-3'!E79,'DICTIONARY-3'!F79))</f>
        <v>-K507</v>
      </c>
      <c r="B79" s="690" t="s">
        <v>6343</v>
      </c>
      <c r="C79" s="586" t="s">
        <v>6343</v>
      </c>
      <c r="D79" s="586" t="s">
        <v>6343</v>
      </c>
      <c r="E79" s="586" t="s">
        <v>6343</v>
      </c>
      <c r="F79" s="581" t="str">
        <f t="shared" si="3"/>
        <v>79❸-K507</v>
      </c>
      <c r="G79" s="582" t="str">
        <f t="shared" si="4"/>
        <v>'DICTIONARY-3'!$A$79</v>
      </c>
    </row>
    <row r="80" spans="1:7" x14ac:dyDescent="0.25">
      <c r="A80" s="508" t="str">
        <f>IF(CHOOSE(SET.LANGUAGE,'DICTIONARY-3'!B80,'DICTIONARY-3'!C80,'DICTIONARY-3'!D80,'DICTIONARY-3'!E80,'DICTIONARY-3'!F80)=0,("??? "&amp;"DICTIONARY-3/"&amp;"LINE"&amp;(ROW(A80))),CHOOSE(SET.LANGUAGE,'DICTIONARY-3'!B80,'DICTIONARY-3'!C80,'DICTIONARY-3'!D80,'DICTIONARY-3'!E80,'DICTIONARY-3'!F80))</f>
        <v>-K510</v>
      </c>
      <c r="B80" s="690" t="s">
        <v>6344</v>
      </c>
      <c r="C80" s="586" t="s">
        <v>6344</v>
      </c>
      <c r="D80" s="586" t="s">
        <v>6344</v>
      </c>
      <c r="E80" s="586" t="s">
        <v>6344</v>
      </c>
      <c r="F80" s="581" t="str">
        <f t="shared" si="3"/>
        <v>80❸-K510</v>
      </c>
      <c r="G80" s="582" t="str">
        <f t="shared" si="4"/>
        <v>'DICTIONARY-3'!$A$80</v>
      </c>
    </row>
    <row r="81" spans="1:7" x14ac:dyDescent="0.25">
      <c r="A81" s="508" t="str">
        <f>IF(CHOOSE(SET.LANGUAGE,'DICTIONARY-3'!B81,'DICTIONARY-3'!C81,'DICTIONARY-3'!D81,'DICTIONARY-3'!E81,'DICTIONARY-3'!F81)=0,("??? "&amp;"DICTIONARY-3/"&amp;"LINE"&amp;(ROW(A81))),CHOOSE(SET.LANGUAGE,'DICTIONARY-3'!B81,'DICTIONARY-3'!C81,'DICTIONARY-3'!D81,'DICTIONARY-3'!E81,'DICTIONARY-3'!F81))</f>
        <v>-K515</v>
      </c>
      <c r="B81" s="690" t="s">
        <v>6345</v>
      </c>
      <c r="C81" s="586" t="s">
        <v>6345</v>
      </c>
      <c r="D81" s="586" t="s">
        <v>6345</v>
      </c>
      <c r="E81" s="586" t="s">
        <v>6345</v>
      </c>
      <c r="F81" s="581" t="str">
        <f t="shared" si="3"/>
        <v>81❸-K515</v>
      </c>
      <c r="G81" s="582" t="str">
        <f t="shared" si="4"/>
        <v>'DICTIONARY-3'!$A$81</v>
      </c>
    </row>
    <row r="82" spans="1:7" x14ac:dyDescent="0.25">
      <c r="A82" s="508" t="str">
        <f>IF(CHOOSE(SET.LANGUAGE,'DICTIONARY-3'!B82,'DICTIONARY-3'!C82,'DICTIONARY-3'!D82,'DICTIONARY-3'!E82,'DICTIONARY-3'!F82)=0,("??? "&amp;"DICTIONARY-3/"&amp;"LINE"&amp;(ROW(A82))),CHOOSE(SET.LANGUAGE,'DICTIONARY-3'!B82,'DICTIONARY-3'!C82,'DICTIONARY-3'!D82,'DICTIONARY-3'!E82,'DICTIONARY-3'!F82))</f>
        <v>-K516</v>
      </c>
      <c r="B82" s="690" t="s">
        <v>6346</v>
      </c>
      <c r="C82" s="586" t="s">
        <v>6346</v>
      </c>
      <c r="D82" s="586" t="s">
        <v>6346</v>
      </c>
      <c r="E82" s="586" t="s">
        <v>6346</v>
      </c>
      <c r="F82" s="581" t="str">
        <f t="shared" si="3"/>
        <v>82❸-K516</v>
      </c>
      <c r="G82" s="582" t="str">
        <f t="shared" si="4"/>
        <v>'DICTIONARY-3'!$A$82</v>
      </c>
    </row>
    <row r="83" spans="1:7" x14ac:dyDescent="0.25">
      <c r="A83" s="508" t="str">
        <f>IF(CHOOSE(SET.LANGUAGE,'DICTIONARY-3'!B83,'DICTIONARY-3'!C83,'DICTIONARY-3'!D83,'DICTIONARY-3'!E83,'DICTIONARY-3'!F83)=0,("??? "&amp;"DICTIONARY-3/"&amp;"LINE"&amp;(ROW(A83))),CHOOSE(SET.LANGUAGE,'DICTIONARY-3'!B83,'DICTIONARY-3'!C83,'DICTIONARY-3'!D83,'DICTIONARY-3'!E83,'DICTIONARY-3'!F83))</f>
        <v>-M1</v>
      </c>
      <c r="B83" s="690" t="s">
        <v>6333</v>
      </c>
      <c r="C83" s="586" t="s">
        <v>6333</v>
      </c>
      <c r="D83" s="586" t="s">
        <v>6333</v>
      </c>
      <c r="E83" s="586" t="s">
        <v>6333</v>
      </c>
      <c r="F83" s="581" t="str">
        <f t="shared" si="3"/>
        <v>83❸-M1</v>
      </c>
      <c r="G83" s="582" t="str">
        <f t="shared" si="4"/>
        <v>'DICTIONARY-3'!$A$83</v>
      </c>
    </row>
    <row r="84" spans="1:7" x14ac:dyDescent="0.25">
      <c r="A84" s="508" t="str">
        <f>IF(CHOOSE(SET.LANGUAGE,'DICTIONARY-3'!B84,'DICTIONARY-3'!C84,'DICTIONARY-3'!D84,'DICTIONARY-3'!E84,'DICTIONARY-3'!F84)=0,("??? "&amp;"DICTIONARY-3/"&amp;"LINE"&amp;(ROW(A84))),CHOOSE(SET.LANGUAGE,'DICTIONARY-3'!B84,'DICTIONARY-3'!C84,'DICTIONARY-3'!D84,'DICTIONARY-3'!E84,'DICTIONARY-3'!F84))</f>
        <v>-M11</v>
      </c>
      <c r="B84" s="690" t="s">
        <v>6334</v>
      </c>
      <c r="C84" s="586" t="s">
        <v>6334</v>
      </c>
      <c r="D84" s="586" t="s">
        <v>6334</v>
      </c>
      <c r="E84" s="586" t="s">
        <v>6334</v>
      </c>
      <c r="F84" s="581" t="str">
        <f t="shared" si="3"/>
        <v>84❸-M11</v>
      </c>
      <c r="G84" s="582" t="str">
        <f t="shared" si="4"/>
        <v>'DICTIONARY-3'!$A$84</v>
      </c>
    </row>
    <row r="85" spans="1:7" x14ac:dyDescent="0.25">
      <c r="A85" s="508" t="str">
        <f>IF(CHOOSE(SET.LANGUAGE,'DICTIONARY-3'!B85,'DICTIONARY-3'!C85,'DICTIONARY-3'!D85,'DICTIONARY-3'!E85,'DICTIONARY-3'!F85)=0,("??? "&amp;"DICTIONARY-3/"&amp;"LINE"&amp;(ROW(A85))),CHOOSE(SET.LANGUAGE,'DICTIONARY-3'!B85,'DICTIONARY-3'!C85,'DICTIONARY-3'!D85,'DICTIONARY-3'!E85,'DICTIONARY-3'!F85))</f>
        <v>-K1</v>
      </c>
      <c r="B85" s="690" t="s">
        <v>6347</v>
      </c>
      <c r="C85" s="586" t="s">
        <v>6347</v>
      </c>
      <c r="D85" s="586" t="s">
        <v>6347</v>
      </c>
      <c r="E85" s="586" t="s">
        <v>6347</v>
      </c>
      <c r="F85" s="581" t="str">
        <f t="shared" si="3"/>
        <v>85❸-K1</v>
      </c>
      <c r="G85" s="582" t="str">
        <f t="shared" si="4"/>
        <v>'DICTIONARY-3'!$A$85</v>
      </c>
    </row>
    <row r="86" spans="1:7" x14ac:dyDescent="0.25">
      <c r="A86" s="508" t="str">
        <f>IF(CHOOSE(SET.LANGUAGE,'DICTIONARY-3'!B86,'DICTIONARY-3'!C86,'DICTIONARY-3'!D86,'DICTIONARY-3'!E86,'DICTIONARY-3'!F86)=0,("??? "&amp;"DICTIONARY-3/"&amp;"LINE"&amp;(ROW(A86))),CHOOSE(SET.LANGUAGE,'DICTIONARY-3'!B86,'DICTIONARY-3'!C86,'DICTIONARY-3'!D86,'DICTIONARY-3'!E86,'DICTIONARY-3'!F86))</f>
        <v>-K3</v>
      </c>
      <c r="B86" s="690" t="s">
        <v>6349</v>
      </c>
      <c r="C86" s="586" t="s">
        <v>6349</v>
      </c>
      <c r="D86" s="586" t="s">
        <v>6349</v>
      </c>
      <c r="E86" s="586" t="s">
        <v>6349</v>
      </c>
      <c r="F86" s="581" t="str">
        <f t="shared" si="3"/>
        <v>86❸-K3</v>
      </c>
      <c r="G86" s="582" t="str">
        <f t="shared" si="4"/>
        <v>'DICTIONARY-3'!$A$86</v>
      </c>
    </row>
    <row r="87" spans="1:7" x14ac:dyDescent="0.25">
      <c r="A87" s="508" t="str">
        <f>IF(CHOOSE(SET.LANGUAGE,'DICTIONARY-3'!B87,'DICTIONARY-3'!C87,'DICTIONARY-3'!D87,'DICTIONARY-3'!E87,'DICTIONARY-3'!F87)=0,("??? "&amp;"DICTIONARY-3/"&amp;"LINE"&amp;(ROW(A87))),CHOOSE(SET.LANGUAGE,'DICTIONARY-3'!B87,'DICTIONARY-3'!C87,'DICTIONARY-3'!D87,'DICTIONARY-3'!E87,'DICTIONARY-3'!F87))</f>
        <v>-K12</v>
      </c>
      <c r="B87" s="690" t="s">
        <v>6348</v>
      </c>
      <c r="C87" s="586" t="s">
        <v>6348</v>
      </c>
      <c r="D87" s="586" t="s">
        <v>6348</v>
      </c>
      <c r="E87" s="586" t="s">
        <v>6348</v>
      </c>
      <c r="F87" s="581" t="str">
        <f t="shared" si="3"/>
        <v>87❸-K12</v>
      </c>
      <c r="G87" s="582" t="str">
        <f t="shared" si="4"/>
        <v>'DICTIONARY-3'!$A$87</v>
      </c>
    </row>
    <row r="88" spans="1:7" x14ac:dyDescent="0.25">
      <c r="A88" s="508" t="str">
        <f>IF(CHOOSE(SET.LANGUAGE,'DICTIONARY-3'!B88,'DICTIONARY-3'!C88,'DICTIONARY-3'!D88,'DICTIONARY-3'!E88,'DICTIONARY-3'!F88)=0,("??? "&amp;"DICTIONARY-3/"&amp;"LINE"&amp;(ROW(A88))),CHOOSE(SET.LANGUAGE,'DICTIONARY-3'!B88,'DICTIONARY-3'!C88,'DICTIONARY-3'!D88,'DICTIONARY-3'!E88,'DICTIONARY-3'!F88))</f>
        <v>Obejma</v>
      </c>
      <c r="B88" s="585" t="s">
        <v>15</v>
      </c>
      <c r="C88" s="586" t="s">
        <v>7490</v>
      </c>
      <c r="D88" s="586" t="s">
        <v>5926</v>
      </c>
      <c r="E88" s="586" t="s">
        <v>6842</v>
      </c>
      <c r="F88" s="581" t="str">
        <f t="shared" si="0"/>
        <v>88❸Třmen</v>
      </c>
      <c r="G88" s="582" t="str">
        <f t="shared" si="1"/>
        <v>'DICTIONARY-3'!$A$88</v>
      </c>
    </row>
    <row r="89" spans="1:7" x14ac:dyDescent="0.25">
      <c r="A89" s="508" t="str">
        <f>IF(CHOOSE(SET.LANGUAGE,'DICTIONARY-3'!B89,'DICTIONARY-3'!C89,'DICTIONARY-3'!D89,'DICTIONARY-3'!E89,'DICTIONARY-3'!F89)=0,("??? "&amp;"DICTIONARY-3/"&amp;"LINE"&amp;(ROW(A89))),CHOOSE(SET.LANGUAGE,'DICTIONARY-3'!B89,'DICTIONARY-3'!C89,'DICTIONARY-3'!D89,'DICTIONARY-3'!E89,'DICTIONARY-3'!F89))</f>
        <v>PE obejma</v>
      </c>
      <c r="B89" s="585" t="s">
        <v>5909</v>
      </c>
      <c r="C89" s="586" t="s">
        <v>5909</v>
      </c>
      <c r="D89" s="586" t="s">
        <v>5948</v>
      </c>
      <c r="E89" s="586" t="s">
        <v>5947</v>
      </c>
      <c r="F89" s="581" t="str">
        <f t="shared" si="0"/>
        <v>89❸PE objímka</v>
      </c>
      <c r="G89" s="582" t="str">
        <f t="shared" si="1"/>
        <v>'DICTIONARY-3'!$A$89</v>
      </c>
    </row>
    <row r="90" spans="1:7" x14ac:dyDescent="0.25">
      <c r="A90" s="508" t="str">
        <f>IF(CHOOSE(SET.LANGUAGE,'DICTIONARY-3'!B90,'DICTIONARY-3'!C90,'DICTIONARY-3'!D90,'DICTIONARY-3'!E90,'DICTIONARY-3'!F90)=0,("??? "&amp;"DICTIONARY-3/"&amp;"LINE"&amp;(ROW(A90))),CHOOSE(SET.LANGUAGE,'DICTIONARY-3'!B90,'DICTIONARY-3'!C90,'DICTIONARY-3'!D90,'DICTIONARY-3'!E90,'DICTIONARY-3'!F90))</f>
        <v>BETA</v>
      </c>
      <c r="B90" s="585" t="s">
        <v>5908</v>
      </c>
      <c r="C90" s="586" t="s">
        <v>5908</v>
      </c>
      <c r="D90" s="586" t="s">
        <v>5908</v>
      </c>
      <c r="E90" s="586" t="s">
        <v>5908</v>
      </c>
      <c r="F90" s="581" t="str">
        <f t="shared" si="0"/>
        <v>90❸BETA</v>
      </c>
      <c r="G90" s="582" t="str">
        <f t="shared" si="1"/>
        <v>'DICTIONARY-3'!$A$90</v>
      </c>
    </row>
    <row r="91" spans="1:7" x14ac:dyDescent="0.25">
      <c r="A91" s="508" t="str">
        <f>IF(CHOOSE(SET.LANGUAGE,'DICTIONARY-3'!B91,'DICTIONARY-3'!C91,'DICTIONARY-3'!D91,'DICTIONARY-3'!E91,'DICTIONARY-3'!F91)=0,("??? "&amp;"DICTIONARY-3/"&amp;"LINE"&amp;(ROW(A91))),CHOOSE(SET.LANGUAGE,'DICTIONARY-3'!B91,'DICTIONARY-3'!C91,'DICTIONARY-3'!D91,'DICTIONARY-3'!E91,'DICTIONARY-3'!F91))</f>
        <v>-HA</v>
      </c>
      <c r="B91" s="690" t="s">
        <v>5964</v>
      </c>
      <c r="C91" s="586" t="s">
        <v>5964</v>
      </c>
      <c r="D91" s="586" t="s">
        <v>5962</v>
      </c>
      <c r="E91" s="586" t="s">
        <v>5962</v>
      </c>
      <c r="F91" s="581" t="str">
        <f t="shared" ref="F91:F154" si="5">CONCATENATE(ROW(B91),"❸",B91)</f>
        <v>91❸-Z</v>
      </c>
      <c r="G91" s="582" t="str">
        <f t="shared" ref="G91:G154" si="6">"'DICTIONARY-3'!$A$"&amp;ROW(G91)</f>
        <v>'DICTIONARY-3'!$A$91</v>
      </c>
    </row>
    <row r="92" spans="1:7" x14ac:dyDescent="0.25">
      <c r="A92" s="508" t="str">
        <f>IF(CHOOSE(SET.LANGUAGE,'DICTIONARY-3'!B92,'DICTIONARY-3'!C92,'DICTIONARY-3'!D92,'DICTIONARY-3'!E92,'DICTIONARY-3'!F92)=0,("??? "&amp;"DICTIONARY-3/"&amp;"LINE"&amp;(ROW(A92))),CHOOSE(SET.LANGUAGE,'DICTIONARY-3'!B92,'DICTIONARY-3'!C92,'DICTIONARY-3'!D92,'DICTIONARY-3'!E92,'DICTIONARY-3'!F92))</f>
        <v>-HA</v>
      </c>
      <c r="B92" s="690" t="s">
        <v>5963</v>
      </c>
      <c r="C92" s="586" t="s">
        <v>5963</v>
      </c>
      <c r="D92" s="586" t="s">
        <v>5962</v>
      </c>
      <c r="E92" s="586" t="s">
        <v>5962</v>
      </c>
      <c r="F92" s="581" t="str">
        <f t="shared" si="5"/>
        <v>92❸-Zz</v>
      </c>
      <c r="G92" s="582" t="str">
        <f t="shared" si="6"/>
        <v>'DICTIONARY-3'!$A$92</v>
      </c>
    </row>
    <row r="93" spans="1:7" x14ac:dyDescent="0.25">
      <c r="A93" s="508" t="str">
        <f>IF(CHOOSE(SET.LANGUAGE,'DICTIONARY-3'!B93,'DICTIONARY-3'!C93,'DICTIONARY-3'!D93,'DICTIONARY-3'!E93,'DICTIONARY-3'!F93)=0,("??? "&amp;"DICTIONARY-3/"&amp;"LINE"&amp;(ROW(A93))),CHOOSE(SET.LANGUAGE,'DICTIONARY-3'!B93,'DICTIONARY-3'!C93,'DICTIONARY-3'!D93,'DICTIONARY-3'!E93,'DICTIONARY-3'!F93))</f>
        <v>-HA</v>
      </c>
      <c r="B93" s="690" t="s">
        <v>5965</v>
      </c>
      <c r="C93" s="586" t="s">
        <v>5965</v>
      </c>
      <c r="D93" s="586" t="s">
        <v>5962</v>
      </c>
      <c r="E93" s="586" t="s">
        <v>5962</v>
      </c>
      <c r="F93" s="581" t="str">
        <f t="shared" si="5"/>
        <v>93❸-Zz, -Z</v>
      </c>
      <c r="G93" s="582" t="str">
        <f t="shared" si="6"/>
        <v>'DICTIONARY-3'!$A$93</v>
      </c>
    </row>
    <row r="94" spans="1:7" x14ac:dyDescent="0.25">
      <c r="A94" s="508" t="str">
        <f>IF(CHOOSE(SET.LANGUAGE,'DICTIONARY-3'!B94,'DICTIONARY-3'!C94,'DICTIONARY-3'!D94,'DICTIONARY-3'!E94,'DICTIONARY-3'!F94)=0,("??? "&amp;"DICTIONARY-3/"&amp;"LINE"&amp;(ROW(A94))),CHOOSE(SET.LANGUAGE,'DICTIONARY-3'!B94,'DICTIONARY-3'!C94,'DICTIONARY-3'!D94,'DICTIONARY-3'!E94,'DICTIONARY-3'!F94))</f>
        <v>-HA</v>
      </c>
      <c r="B94" s="690" t="s">
        <v>6149</v>
      </c>
      <c r="C94" s="586" t="s">
        <v>6149</v>
      </c>
      <c r="D94" s="586" t="s">
        <v>5962</v>
      </c>
      <c r="E94" s="586" t="s">
        <v>5962</v>
      </c>
      <c r="F94" s="581" t="str">
        <f t="shared" si="5"/>
        <v>94❸-K</v>
      </c>
      <c r="G94" s="582" t="str">
        <f t="shared" si="6"/>
        <v>'DICTIONARY-3'!$A$94</v>
      </c>
    </row>
    <row r="95" spans="1:7" x14ac:dyDescent="0.25">
      <c r="A95" s="508" t="str">
        <f>IF(CHOOSE(SET.LANGUAGE,'DICTIONARY-3'!B95,'DICTIONARY-3'!C95,'DICTIONARY-3'!D95,'DICTIONARY-3'!E95,'DICTIONARY-3'!F95)=0,("??? "&amp;"DICTIONARY-3/"&amp;"LINE"&amp;(ROW(A95))),CHOOSE(SET.LANGUAGE,'DICTIONARY-3'!B95,'DICTIONARY-3'!C95,'DICTIONARY-3'!D95,'DICTIONARY-3'!E95,'DICTIONARY-3'!F95))</f>
        <v>K248-Z</v>
      </c>
      <c r="B95" s="690" t="s">
        <v>5745</v>
      </c>
      <c r="C95" s="586" t="s">
        <v>5745</v>
      </c>
      <c r="D95" s="586" t="s">
        <v>5745</v>
      </c>
      <c r="E95" s="586" t="s">
        <v>5745</v>
      </c>
      <c r="F95" s="581" t="str">
        <f t="shared" si="5"/>
        <v>95❸K248-Z</v>
      </c>
      <c r="G95" s="582" t="str">
        <f t="shared" si="6"/>
        <v>'DICTIONARY-3'!$A$95</v>
      </c>
    </row>
    <row r="96" spans="1:7" x14ac:dyDescent="0.25">
      <c r="A96" s="508" t="str">
        <f>IF(CHOOSE(SET.LANGUAGE,'DICTIONARY-3'!B96,'DICTIONARY-3'!C96,'DICTIONARY-3'!D96,'DICTIONARY-3'!E96,'DICTIONARY-3'!F96)=0,("??? "&amp;"DICTIONARY-3/"&amp;"LINE"&amp;(ROW(A96))),CHOOSE(SET.LANGUAGE,'DICTIONARY-3'!B96,'DICTIONARY-3'!C96,'DICTIONARY-3'!D96,'DICTIONARY-3'!E96,'DICTIONARY-3'!F96))</f>
        <v>K246-K</v>
      </c>
      <c r="B96" s="690" t="s">
        <v>5746</v>
      </c>
      <c r="C96" s="586" t="s">
        <v>5746</v>
      </c>
      <c r="D96" s="586" t="s">
        <v>5746</v>
      </c>
      <c r="E96" s="586" t="s">
        <v>5746</v>
      </c>
      <c r="F96" s="581" t="str">
        <f t="shared" si="5"/>
        <v>96❸K246-K</v>
      </c>
      <c r="G96" s="582" t="str">
        <f t="shared" si="6"/>
        <v>'DICTIONARY-3'!$A$96</v>
      </c>
    </row>
    <row r="97" spans="1:7" x14ac:dyDescent="0.25">
      <c r="A97" s="508" t="str">
        <f>IF(CHOOSE(SET.LANGUAGE,'DICTIONARY-3'!B97,'DICTIONARY-3'!C97,'DICTIONARY-3'!D97,'DICTIONARY-3'!E97,'DICTIONARY-3'!F97)=0,("??? "&amp;"DICTIONARY-3/"&amp;"LINE"&amp;(ROW(A97))),CHOOSE(SET.LANGUAGE,'DICTIONARY-3'!B97,'DICTIONARY-3'!C97,'DICTIONARY-3'!D97,'DICTIONARY-3'!E97,'DICTIONARY-3'!F97))</f>
        <v>SKR</v>
      </c>
      <c r="B97" s="690" t="s">
        <v>17</v>
      </c>
      <c r="C97" s="586" t="s">
        <v>17</v>
      </c>
      <c r="D97" s="586" t="s">
        <v>17</v>
      </c>
      <c r="E97" s="586" t="s">
        <v>17</v>
      </c>
      <c r="F97" s="581" t="str">
        <f t="shared" si="5"/>
        <v>97❸SKR</v>
      </c>
      <c r="G97" s="582" t="str">
        <f t="shared" si="6"/>
        <v>'DICTIONARY-3'!$A$97</v>
      </c>
    </row>
    <row r="98" spans="1:7" x14ac:dyDescent="0.25">
      <c r="A98" s="508" t="str">
        <f>IF(CHOOSE(SET.LANGUAGE,'DICTIONARY-3'!B98,'DICTIONARY-3'!C98,'DICTIONARY-3'!D98,'DICTIONARY-3'!E98,'DICTIONARY-3'!F98)=0,("??? "&amp;"DICTIONARY-3/"&amp;"LINE"&amp;(ROW(A98))),CHOOSE(SET.LANGUAGE,'DICTIONARY-3'!B98,'DICTIONARY-3'!C98,'DICTIONARY-3'!D98,'DICTIONARY-3'!E98,'DICTIONARY-3'!F98))</f>
        <v>RETO-STOP</v>
      </c>
      <c r="B98" s="690" t="s">
        <v>18</v>
      </c>
      <c r="C98" s="586" t="s">
        <v>18</v>
      </c>
      <c r="D98" s="586" t="s">
        <v>18</v>
      </c>
      <c r="E98" s="586" t="s">
        <v>18</v>
      </c>
      <c r="F98" s="581" t="str">
        <f t="shared" si="5"/>
        <v>98❸RETO-STOP</v>
      </c>
      <c r="G98" s="582" t="str">
        <f t="shared" si="6"/>
        <v>'DICTIONARY-3'!$A$98</v>
      </c>
    </row>
    <row r="99" spans="1:7" x14ac:dyDescent="0.25">
      <c r="A99" s="508" t="str">
        <f>IF(CHOOSE(SET.LANGUAGE,'DICTIONARY-3'!B99,'DICTIONARY-3'!C99,'DICTIONARY-3'!D99,'DICTIONARY-3'!E99,'DICTIONARY-3'!F99)=0,("??? "&amp;"DICTIONARY-3/"&amp;"LINE"&amp;(ROW(A99))),CHOOSE(SET.LANGUAGE,'DICTIONARY-3'!B99,'DICTIONARY-3'!C99,'DICTIONARY-3'!D99,'DICTIONARY-3'!E99,'DICTIONARY-3'!F99))</f>
        <v>RETA</v>
      </c>
      <c r="B99" s="690" t="s">
        <v>19</v>
      </c>
      <c r="C99" s="586" t="s">
        <v>19</v>
      </c>
      <c r="D99" s="586" t="s">
        <v>19</v>
      </c>
      <c r="E99" s="586" t="s">
        <v>19</v>
      </c>
      <c r="F99" s="581" t="str">
        <f t="shared" si="5"/>
        <v>99❸RETA</v>
      </c>
      <c r="G99" s="582" t="str">
        <f t="shared" si="6"/>
        <v>'DICTIONARY-3'!$A$99</v>
      </c>
    </row>
    <row r="100" spans="1:7" x14ac:dyDescent="0.25">
      <c r="A100" s="508" t="str">
        <f>IF(CHOOSE(SET.LANGUAGE,'DICTIONARY-3'!B100,'DICTIONARY-3'!C100,'DICTIONARY-3'!D100,'DICTIONARY-3'!E100,'DICTIONARY-3'!F100)=0,("??? "&amp;"DICTIONARY-3/"&amp;"LINE"&amp;(ROW(A100))),CHOOSE(SET.LANGUAGE,'DICTIONARY-3'!B100,'DICTIONARY-3'!C100,'DICTIONARY-3'!D100,'DICTIONARY-3'!E100,'DICTIONARY-3'!F100))</f>
        <v>LIMU-STOP</v>
      </c>
      <c r="B100" s="690" t="s">
        <v>20</v>
      </c>
      <c r="C100" s="586" t="s">
        <v>20</v>
      </c>
      <c r="D100" s="586" t="s">
        <v>20</v>
      </c>
      <c r="E100" s="586" t="s">
        <v>20</v>
      </c>
      <c r="F100" s="581" t="str">
        <f t="shared" si="5"/>
        <v>100❸LIMU-STOP</v>
      </c>
      <c r="G100" s="582" t="str">
        <f t="shared" si="6"/>
        <v>'DICTIONARY-3'!$A$100</v>
      </c>
    </row>
    <row r="101" spans="1:7" x14ac:dyDescent="0.25">
      <c r="A101" s="508" t="str">
        <f>IF(CHOOSE(SET.LANGUAGE,'DICTIONARY-3'!B101,'DICTIONARY-3'!C101,'DICTIONARY-3'!D101,'DICTIONARY-3'!E101,'DICTIONARY-3'!F101)=0,("??? "&amp;"DICTIONARY-3/"&amp;"LINE"&amp;(ROW(A101))),CHOOSE(SET.LANGUAGE,'DICTIONARY-3'!B101,'DICTIONARY-3'!C101,'DICTIONARY-3'!D101,'DICTIONARY-3'!E101,'DICTIONARY-3'!F101))</f>
        <v>KRV</v>
      </c>
      <c r="B101" s="690" t="s">
        <v>21</v>
      </c>
      <c r="C101" s="586" t="s">
        <v>21</v>
      </c>
      <c r="D101" s="586" t="s">
        <v>21</v>
      </c>
      <c r="E101" s="586" t="s">
        <v>21</v>
      </c>
      <c r="F101" s="581" t="str">
        <f t="shared" si="5"/>
        <v>101❸KRV</v>
      </c>
      <c r="G101" s="582" t="str">
        <f t="shared" si="6"/>
        <v>'DICTIONARY-3'!$A$101</v>
      </c>
    </row>
    <row r="102" spans="1:7" x14ac:dyDescent="0.25">
      <c r="A102" s="508" t="str">
        <f>IF(CHOOSE(SET.LANGUAGE,'DICTIONARY-3'!B102,'DICTIONARY-3'!C102,'DICTIONARY-3'!D102,'DICTIONARY-3'!E102,'DICTIONARY-3'!F102)=0,("??? "&amp;"DICTIONARY-3/"&amp;"LINE"&amp;(ROW(A102))),CHOOSE(SET.LANGUAGE,'DICTIONARY-3'!B102,'DICTIONARY-3'!C102,'DICTIONARY-3'!D102,'DICTIONARY-3'!E102,'DICTIONARY-3'!F102))</f>
        <v>TOP-STOP</v>
      </c>
      <c r="B102" s="690" t="s">
        <v>22</v>
      </c>
      <c r="C102" s="586" t="s">
        <v>22</v>
      </c>
      <c r="D102" s="586" t="s">
        <v>22</v>
      </c>
      <c r="E102" s="586" t="s">
        <v>22</v>
      </c>
      <c r="F102" s="581" t="str">
        <f t="shared" si="5"/>
        <v>102❸TOP-STOP</v>
      </c>
      <c r="G102" s="582" t="str">
        <f t="shared" si="6"/>
        <v>'DICTIONARY-3'!$A$102</v>
      </c>
    </row>
    <row r="103" spans="1:7" x14ac:dyDescent="0.25">
      <c r="A103" s="508" t="str">
        <f>IF(CHOOSE(SET.LANGUAGE,'DICTIONARY-3'!B103,'DICTIONARY-3'!C103,'DICTIONARY-3'!D103,'DICTIONARY-3'!E103,'DICTIONARY-3'!F103)=0,("??? "&amp;"DICTIONARY-3/"&amp;"LINE"&amp;(ROW(A103))),CHOOSE(SET.LANGUAGE,'DICTIONARY-3'!B103,'DICTIONARY-3'!C103,'DICTIONARY-3'!D103,'DICTIONARY-3'!E103,'DICTIONARY-3'!F103))</f>
        <v>ZETKA</v>
      </c>
      <c r="B103" s="690" t="s">
        <v>23</v>
      </c>
      <c r="C103" s="586" t="s">
        <v>23</v>
      </c>
      <c r="D103" s="586" t="s">
        <v>23</v>
      </c>
      <c r="E103" s="586" t="s">
        <v>23</v>
      </c>
      <c r="F103" s="581" t="str">
        <f t="shared" si="5"/>
        <v>103❸ZETKA</v>
      </c>
      <c r="G103" s="582" t="str">
        <f t="shared" si="6"/>
        <v>'DICTIONARY-3'!$A$103</v>
      </c>
    </row>
    <row r="104" spans="1:7" x14ac:dyDescent="0.25">
      <c r="A104" s="508" t="str">
        <f>IF(CHOOSE(SET.LANGUAGE,'DICTIONARY-3'!B104,'DICTIONARY-3'!C104,'DICTIONARY-3'!D104,'DICTIONARY-3'!E104,'DICTIONARY-3'!F104)=0,("??? "&amp;"DICTIONARY-3/"&amp;"LINE"&amp;(ROW(A104))),CHOOSE(SET.LANGUAGE,'DICTIONARY-3'!B104,'DICTIONARY-3'!C104,'DICTIONARY-3'!D104,'DICTIONARY-3'!E104,'DICTIONARY-3'!F104))</f>
        <v>ZAKA</v>
      </c>
      <c r="B104" s="690" t="s">
        <v>24</v>
      </c>
      <c r="C104" s="586" t="s">
        <v>24</v>
      </c>
      <c r="D104" s="586" t="s">
        <v>24</v>
      </c>
      <c r="E104" s="586" t="s">
        <v>24</v>
      </c>
      <c r="F104" s="581" t="str">
        <f t="shared" si="5"/>
        <v>104❸ZAKA</v>
      </c>
      <c r="G104" s="582" t="str">
        <f t="shared" si="6"/>
        <v>'DICTIONARY-3'!$A$104</v>
      </c>
    </row>
    <row r="105" spans="1:7" x14ac:dyDescent="0.25">
      <c r="A105" s="508" t="str">
        <f>IF(CHOOSE(SET.LANGUAGE,'DICTIONARY-3'!B105,'DICTIONARY-3'!C105,'DICTIONARY-3'!D105,'DICTIONARY-3'!E105,'DICTIONARY-3'!F105)=0,("??? "&amp;"DICTIONARY-3/"&amp;"LINE"&amp;(ROW(A105))),CHOOSE(SET.LANGUAGE,'DICTIONARY-3'!B105,'DICTIONARY-3'!C105,'DICTIONARY-3'!D105,'DICTIONARY-3'!E105,'DICTIONARY-3'!F105))</f>
        <v>Przeciwkołnierz</v>
      </c>
      <c r="B105" s="585" t="s">
        <v>26</v>
      </c>
      <c r="C105" s="586" t="s">
        <v>7491</v>
      </c>
      <c r="D105" s="586" t="s">
        <v>5927</v>
      </c>
      <c r="E105" s="586" t="s">
        <v>5949</v>
      </c>
      <c r="F105" s="581" t="str">
        <f t="shared" si="5"/>
        <v>105❸Protipříruba</v>
      </c>
      <c r="G105" s="582" t="str">
        <f t="shared" si="6"/>
        <v>'DICTIONARY-3'!$A$105</v>
      </c>
    </row>
    <row r="106" spans="1:7" x14ac:dyDescent="0.25">
      <c r="A106" s="508" t="str">
        <f>IF(CHOOSE(SET.LANGUAGE,'DICTIONARY-3'!B106,'DICTIONARY-3'!C106,'DICTIONARY-3'!D106,'DICTIONARY-3'!E106,'DICTIONARY-3'!F106)=0,("??? "&amp;"DICTIONARY-3/"&amp;"LINE"&amp;(ROW(A106))),CHOOSE(SET.LANGUAGE,'DICTIONARY-3'!B106,'DICTIONARY-3'!C106,'DICTIONARY-3'!D106,'DICTIONARY-3'!E106,'DICTIONARY-3'!F106))</f>
        <v>ALKA</v>
      </c>
      <c r="B106" s="585" t="s">
        <v>27</v>
      </c>
      <c r="C106" s="586" t="s">
        <v>27</v>
      </c>
      <c r="D106" s="586" t="s">
        <v>27</v>
      </c>
      <c r="E106" s="586" t="s">
        <v>27</v>
      </c>
      <c r="F106" s="581" t="str">
        <f t="shared" si="5"/>
        <v>106❸ALKA</v>
      </c>
      <c r="G106" s="582" t="str">
        <f t="shared" si="6"/>
        <v>'DICTIONARY-3'!$A$106</v>
      </c>
    </row>
    <row r="107" spans="1:7" x14ac:dyDescent="0.25">
      <c r="A107" s="508" t="str">
        <f>IF(CHOOSE(SET.LANGUAGE,'DICTIONARY-3'!B107,'DICTIONARY-3'!C107,'DICTIONARY-3'!D107,'DICTIONARY-3'!E107,'DICTIONARY-3'!F107)=0,("??? "&amp;"DICTIONARY-3/"&amp;"LINE"&amp;(ROW(A107))),CHOOSE(SET.LANGUAGE,'DICTIONARY-3'!B107,'DICTIONARY-3'!C107,'DICTIONARY-3'!D107,'DICTIONARY-3'!E107,'DICTIONARY-3'!F107))</f>
        <v>DUOJET</v>
      </c>
      <c r="B107" s="585" t="s">
        <v>28</v>
      </c>
      <c r="C107" s="586" t="s">
        <v>28</v>
      </c>
      <c r="D107" s="586" t="s">
        <v>28</v>
      </c>
      <c r="E107" s="586" t="s">
        <v>28</v>
      </c>
      <c r="F107" s="581" t="str">
        <f t="shared" si="5"/>
        <v>107❸DUOJET</v>
      </c>
      <c r="G107" s="582" t="str">
        <f t="shared" si="6"/>
        <v>'DICTIONARY-3'!$A$107</v>
      </c>
    </row>
    <row r="108" spans="1:7" x14ac:dyDescent="0.25">
      <c r="A108" s="508" t="str">
        <f>IF(CHOOSE(SET.LANGUAGE,'DICTIONARY-3'!B108,'DICTIONARY-3'!C108,'DICTIONARY-3'!D108,'DICTIONARY-3'!E108,'DICTIONARY-3'!F108)=0,("??? "&amp;"DICTIONARY-3/"&amp;"LINE"&amp;(ROW(A108))),CHOOSE(SET.LANGUAGE,'DICTIONARY-3'!B108,'DICTIONARY-3'!C108,'DICTIONARY-3'!D108,'DICTIONARY-3'!E108,'DICTIONARY-3'!F108))</f>
        <v>DUOJET-P</v>
      </c>
      <c r="B108" s="585" t="s">
        <v>5575</v>
      </c>
      <c r="C108" s="586" t="s">
        <v>5575</v>
      </c>
      <c r="D108" s="586" t="s">
        <v>5575</v>
      </c>
      <c r="E108" s="586" t="s">
        <v>5575</v>
      </c>
      <c r="F108" s="581" t="str">
        <f t="shared" si="5"/>
        <v>108❸DUOJET-P</v>
      </c>
      <c r="G108" s="582" t="str">
        <f t="shared" si="6"/>
        <v>'DICTIONARY-3'!$A$108</v>
      </c>
    </row>
    <row r="109" spans="1:7" x14ac:dyDescent="0.25">
      <c r="A109" s="508" t="str">
        <f>IF(CHOOSE(SET.LANGUAGE,'DICTIONARY-3'!B109,'DICTIONARY-3'!C109,'DICTIONARY-3'!D109,'DICTIONARY-3'!E109,'DICTIONARY-3'!F109)=0,("??? "&amp;"DICTIONARY-3/"&amp;"LINE"&amp;(ROW(A109))),CHOOSE(SET.LANGUAGE,'DICTIONARY-3'!B109,'DICTIONARY-3'!C109,'DICTIONARY-3'!D109,'DICTIONARY-3'!E109,'DICTIONARY-3'!F109))</f>
        <v>TWINJET</v>
      </c>
      <c r="B109" s="585" t="s">
        <v>65</v>
      </c>
      <c r="C109" s="586" t="s">
        <v>65</v>
      </c>
      <c r="D109" s="586" t="s">
        <v>65</v>
      </c>
      <c r="E109" s="586" t="s">
        <v>65</v>
      </c>
      <c r="F109" s="581" t="str">
        <f t="shared" si="5"/>
        <v>109❸TWINJET</v>
      </c>
      <c r="G109" s="582" t="str">
        <f t="shared" si="6"/>
        <v>'DICTIONARY-3'!$A$109</v>
      </c>
    </row>
    <row r="110" spans="1:7" x14ac:dyDescent="0.25">
      <c r="A110" s="508" t="str">
        <f>IF(CHOOSE(SET.LANGUAGE,'DICTIONARY-3'!B110,'DICTIONARY-3'!C110,'DICTIONARY-3'!D110,'DICTIONARY-3'!E110,'DICTIONARY-3'!F110)=0,("??? "&amp;"DICTIONARY-3/"&amp;"LINE"&amp;(ROW(A110))),CHOOSE(SET.LANGUAGE,'DICTIONARY-3'!B110,'DICTIONARY-3'!C110,'DICTIONARY-3'!D110,'DICTIONARY-3'!E110,'DICTIONARY-3'!F110))</f>
        <v>BEV</v>
      </c>
      <c r="B110" s="585" t="s">
        <v>29</v>
      </c>
      <c r="C110" s="586" t="s">
        <v>29</v>
      </c>
      <c r="D110" s="586" t="s">
        <v>29</v>
      </c>
      <c r="E110" s="586" t="s">
        <v>29</v>
      </c>
      <c r="F110" s="581" t="str">
        <f t="shared" si="5"/>
        <v>110❸BEV</v>
      </c>
      <c r="G110" s="582" t="str">
        <f t="shared" si="6"/>
        <v>'DICTIONARY-3'!$A$110</v>
      </c>
    </row>
    <row r="111" spans="1:7" x14ac:dyDescent="0.25">
      <c r="A111" s="508" t="str">
        <f>IF(CHOOSE(SET.LANGUAGE,'DICTIONARY-3'!B111,'DICTIONARY-3'!C111,'DICTIONARY-3'!D111,'DICTIONARY-3'!E111,'DICTIONARY-3'!F111)=0,("??? "&amp;"DICTIONARY-3/"&amp;"LINE"&amp;(ROW(A111))),CHOOSE(SET.LANGUAGE,'DICTIONARY-3'!B111,'DICTIONARY-3'!C111,'DICTIONARY-3'!D111,'DICTIONARY-3'!E111,'DICTIONARY-3'!F111))</f>
        <v>BEV-E</v>
      </c>
      <c r="B111" s="585" t="s">
        <v>5576</v>
      </c>
      <c r="C111" s="586" t="s">
        <v>5576</v>
      </c>
      <c r="D111" s="586" t="s">
        <v>5576</v>
      </c>
      <c r="E111" s="586" t="s">
        <v>5576</v>
      </c>
      <c r="F111" s="581" t="str">
        <f t="shared" si="5"/>
        <v>111❸BEV-E</v>
      </c>
      <c r="G111" s="582" t="str">
        <f t="shared" si="6"/>
        <v>'DICTIONARY-3'!$A$111</v>
      </c>
    </row>
    <row r="112" spans="1:7" x14ac:dyDescent="0.25">
      <c r="A112" s="508" t="str">
        <f>IF(CHOOSE(SET.LANGUAGE,'DICTIONARY-3'!B112,'DICTIONARY-3'!C112,'DICTIONARY-3'!D112,'DICTIONARY-3'!E112,'DICTIONARY-3'!F112)=0,("??? "&amp;"DICTIONARY-3/"&amp;"LINE"&amp;(ROW(A112))),CHOOSE(SET.LANGUAGE,'DICTIONARY-3'!B112,'DICTIONARY-3'!C112,'DICTIONARY-3'!D112,'DICTIONARY-3'!E112,'DICTIONARY-3'!F112))</f>
        <v>HILL</v>
      </c>
      <c r="B112" s="585" t="s">
        <v>30</v>
      </c>
      <c r="C112" s="586" t="s">
        <v>30</v>
      </c>
      <c r="D112" s="586" t="s">
        <v>30</v>
      </c>
      <c r="E112" s="586" t="s">
        <v>30</v>
      </c>
      <c r="F112" s="581" t="str">
        <f t="shared" si="5"/>
        <v>112❸HILL</v>
      </c>
      <c r="G112" s="582" t="str">
        <f t="shared" si="6"/>
        <v>'DICTIONARY-3'!$A$112</v>
      </c>
    </row>
    <row r="113" spans="1:7" x14ac:dyDescent="0.25">
      <c r="A113" s="508" t="str">
        <f>IF(CHOOSE(SET.LANGUAGE,'DICTIONARY-3'!B113,'DICTIONARY-3'!C113,'DICTIONARY-3'!D113,'DICTIONARY-3'!E113,'DICTIONARY-3'!F113)=0,("??? "&amp;"DICTIONARY-3/"&amp;"LINE"&amp;(ROW(A113))),CHOOSE(SET.LANGUAGE,'DICTIONARY-3'!B113,'DICTIONARY-3'!C113,'DICTIONARY-3'!D113,'DICTIONARY-3'!E113,'DICTIONARY-3'!F113))</f>
        <v>FLOWJET PE</v>
      </c>
      <c r="B113" s="585" t="s">
        <v>6153</v>
      </c>
      <c r="C113" s="586" t="s">
        <v>6153</v>
      </c>
      <c r="D113" s="586" t="s">
        <v>6153</v>
      </c>
      <c r="E113" s="586" t="s">
        <v>6153</v>
      </c>
      <c r="F113" s="581" t="str">
        <f t="shared" si="5"/>
        <v>113❸FLOWJET PE</v>
      </c>
      <c r="G113" s="582" t="str">
        <f t="shared" si="6"/>
        <v>'DICTIONARY-3'!$A$113</v>
      </c>
    </row>
    <row r="114" spans="1:7" x14ac:dyDescent="0.25">
      <c r="A114" s="508" t="str">
        <f>IF(CHOOSE(SET.LANGUAGE,'DICTIONARY-3'!B114,'DICTIONARY-3'!C114,'DICTIONARY-3'!D114,'DICTIONARY-3'!E114,'DICTIONARY-3'!F114)=0,("??? "&amp;"DICTIONARY-3/"&amp;"LINE"&amp;(ROW(A114))),CHOOSE(SET.LANGUAGE,'DICTIONARY-3'!B114,'DICTIONARY-3'!C114,'DICTIONARY-3'!D114,'DICTIONARY-3'!E114,'DICTIONARY-3'!F114))</f>
        <v>FLOWJET NIRO</v>
      </c>
      <c r="B114" s="585" t="s">
        <v>8300</v>
      </c>
      <c r="C114" s="586" t="s">
        <v>8300</v>
      </c>
      <c r="D114" s="586" t="s">
        <v>8300</v>
      </c>
      <c r="E114" s="586" t="s">
        <v>8300</v>
      </c>
      <c r="F114" s="581" t="str">
        <f t="shared" ref="F114:F115" si="7">CONCATENATE(ROW(B114),"❸",B114)</f>
        <v>114❸FLOWJET NIRO</v>
      </c>
      <c r="G114" s="582" t="str">
        <f t="shared" si="6"/>
        <v>'DICTIONARY-3'!$A$114</v>
      </c>
    </row>
    <row r="115" spans="1:7" x14ac:dyDescent="0.25">
      <c r="A115" s="508" t="str">
        <f>IF(CHOOSE(SET.LANGUAGE,'DICTIONARY-3'!B115,'DICTIONARY-3'!C115,'DICTIONARY-3'!D115,'DICTIONARY-3'!E115,'DICTIONARY-3'!F115)=0,("??? "&amp;"DICTIONARY-3/"&amp;"LINE"&amp;(ROW(A115))),CHOOSE(SET.LANGUAGE,'DICTIONARY-3'!B115,'DICTIONARY-3'!C115,'DICTIONARY-3'!D115,'DICTIONARY-3'!E115,'DICTIONARY-3'!F115))</f>
        <v>FLOWJET</v>
      </c>
      <c r="B115" s="585" t="s">
        <v>31</v>
      </c>
      <c r="C115" s="586" t="s">
        <v>31</v>
      </c>
      <c r="D115" s="586" t="s">
        <v>31</v>
      </c>
      <c r="E115" s="586" t="s">
        <v>31</v>
      </c>
      <c r="F115" s="581" t="str">
        <f t="shared" si="7"/>
        <v>115❸FLOWJET</v>
      </c>
      <c r="G115" s="582" t="str">
        <f t="shared" si="6"/>
        <v>'DICTIONARY-3'!$A$115</v>
      </c>
    </row>
    <row r="116" spans="1:7" x14ac:dyDescent="0.25">
      <c r="A116" s="508" t="str">
        <f>IF(CHOOSE(SET.LANGUAGE,'DICTIONARY-3'!B116,'DICTIONARY-3'!C116,'DICTIONARY-3'!D116,'DICTIONARY-3'!E116,'DICTIONARY-3'!F116)=0,("??? "&amp;"DICTIONARY-3/"&amp;"LINE"&amp;(ROW(A116))),CHOOSE(SET.LANGUAGE,'DICTIONARY-3'!B116,'DICTIONARY-3'!C116,'DICTIONARY-3'!D116,'DICTIONARY-3'!E116,'DICTIONARY-3'!F116))</f>
        <v>PICO H</v>
      </c>
      <c r="B116" s="585" t="s">
        <v>70</v>
      </c>
      <c r="C116" s="586" t="s">
        <v>70</v>
      </c>
      <c r="D116" s="586" t="s">
        <v>5559</v>
      </c>
      <c r="E116" s="586" t="s">
        <v>5559</v>
      </c>
      <c r="F116" s="581" t="str">
        <f t="shared" si="5"/>
        <v>116❸PICO-H</v>
      </c>
      <c r="G116" s="582" t="str">
        <f t="shared" si="6"/>
        <v>'DICTIONARY-3'!$A$116</v>
      </c>
    </row>
    <row r="117" spans="1:7" x14ac:dyDescent="0.25">
      <c r="A117" s="508" t="str">
        <f>IF(CHOOSE(SET.LANGUAGE,'DICTIONARY-3'!B117,'DICTIONARY-3'!C117,'DICTIONARY-3'!D117,'DICTIONARY-3'!E117,'DICTIONARY-3'!F117)=0,("??? "&amp;"DICTIONARY-3/"&amp;"LINE"&amp;(ROW(A117))),CHOOSE(SET.LANGUAGE,'DICTIONARY-3'!B117,'DICTIONARY-3'!C117,'DICTIONARY-3'!D117,'DICTIONARY-3'!E117,'DICTIONARY-3'!F117))</f>
        <v>PICO M</v>
      </c>
      <c r="B117" s="585" t="s">
        <v>71</v>
      </c>
      <c r="C117" s="586" t="s">
        <v>71</v>
      </c>
      <c r="D117" s="586" t="s">
        <v>5560</v>
      </c>
      <c r="E117" s="586" t="s">
        <v>5560</v>
      </c>
      <c r="F117" s="581" t="str">
        <f t="shared" si="5"/>
        <v>117❸PICO-M</v>
      </c>
      <c r="G117" s="582" t="str">
        <f t="shared" si="6"/>
        <v>'DICTIONARY-3'!$A$117</v>
      </c>
    </row>
    <row r="118" spans="1:7" x14ac:dyDescent="0.25">
      <c r="A118" s="508" t="str">
        <f>IF(CHOOSE(SET.LANGUAGE,'DICTIONARY-3'!B118,'DICTIONARY-3'!C118,'DICTIONARY-3'!D118,'DICTIONARY-3'!E118,'DICTIONARY-3'!F118)=0,("??? "&amp;"DICTIONARY-3/"&amp;"LINE"&amp;(ROW(A118))),CHOOSE(SET.LANGUAGE,'DICTIONARY-3'!B118,'DICTIONARY-3'!C118,'DICTIONARY-3'!D118,'DICTIONARY-3'!E118,'DICTIONARY-3'!F118))</f>
        <v>DURA</v>
      </c>
      <c r="B118" s="585" t="s">
        <v>32</v>
      </c>
      <c r="C118" s="586" t="s">
        <v>32</v>
      </c>
      <c r="D118" s="586" t="s">
        <v>32</v>
      </c>
      <c r="E118" s="586" t="s">
        <v>32</v>
      </c>
      <c r="F118" s="581" t="str">
        <f t="shared" si="5"/>
        <v>118❸DURA</v>
      </c>
      <c r="G118" s="582" t="str">
        <f t="shared" si="6"/>
        <v>'DICTIONARY-3'!$A$118</v>
      </c>
    </row>
    <row r="119" spans="1:7" x14ac:dyDescent="0.25">
      <c r="A119" s="508" t="str">
        <f>IF(CHOOSE(SET.LANGUAGE,'DICTIONARY-3'!B119,'DICTIONARY-3'!C119,'DICTIONARY-3'!D119,'DICTIONARY-3'!E119,'DICTIONARY-3'!F119)=0,("??? "&amp;"DICTIONARY-3/"&amp;"LINE"&amp;(ROW(A119))),CHOOSE(SET.LANGUAGE,'DICTIONARY-3'!B119,'DICTIONARY-3'!C119,'DICTIONARY-3'!D119,'DICTIONARY-3'!E119,'DICTIONARY-3'!F119))</f>
        <v>RIKO</v>
      </c>
      <c r="B119" s="585" t="s">
        <v>33</v>
      </c>
      <c r="C119" s="586" t="s">
        <v>33</v>
      </c>
      <c r="D119" s="586" t="s">
        <v>33</v>
      </c>
      <c r="E119" s="586" t="s">
        <v>33</v>
      </c>
      <c r="F119" s="581" t="str">
        <f t="shared" si="5"/>
        <v>119❸RIKO</v>
      </c>
      <c r="G119" s="582" t="str">
        <f t="shared" si="6"/>
        <v>'DICTIONARY-3'!$A$119</v>
      </c>
    </row>
    <row r="120" spans="1:7" x14ac:dyDescent="0.25">
      <c r="A120" s="508" t="str">
        <f>IF(CHOOSE(SET.LANGUAGE,'DICTIONARY-3'!B120,'DICTIONARY-3'!C120,'DICTIONARY-3'!D120,'DICTIONARY-3'!E120,'DICTIONARY-3'!F120)=0,("??? "&amp;"DICTIONARY-3/"&amp;"LINE"&amp;(ROW(A120))),CHOOSE(SET.LANGUAGE,'DICTIONARY-3'!B120,'DICTIONARY-3'!C120,'DICTIONARY-3'!D120,'DICTIONARY-3'!E120,'DICTIONARY-3'!F120))</f>
        <v>KSSplus</v>
      </c>
      <c r="B120" s="585" t="s">
        <v>64</v>
      </c>
      <c r="C120" s="586" t="s">
        <v>64</v>
      </c>
      <c r="D120" s="586" t="s">
        <v>64</v>
      </c>
      <c r="E120" s="586" t="s">
        <v>64</v>
      </c>
      <c r="F120" s="581" t="str">
        <f t="shared" si="5"/>
        <v>120❸KSSplus</v>
      </c>
      <c r="G120" s="582" t="str">
        <f t="shared" si="6"/>
        <v>'DICTIONARY-3'!$A$120</v>
      </c>
    </row>
    <row r="121" spans="1:7" x14ac:dyDescent="0.25">
      <c r="A121" s="508" t="str">
        <f>IF(CHOOSE(SET.LANGUAGE,'DICTIONARY-3'!B121,'DICTIONARY-3'!C121,'DICTIONARY-3'!D121,'DICTIONARY-3'!E121,'DICTIONARY-3'!F121)=0,("??? "&amp;"DICTIONARY-3/"&amp;"LINE"&amp;(ROW(A121))),CHOOSE(SET.LANGUAGE,'DICTIONARY-3'!B121,'DICTIONARY-3'!C121,'DICTIONARY-3'!D121,'DICTIONARY-3'!E121,'DICTIONARY-3'!F121))</f>
        <v>FORTE</v>
      </c>
      <c r="B121" s="585" t="s">
        <v>34</v>
      </c>
      <c r="C121" s="586" t="s">
        <v>34</v>
      </c>
      <c r="D121" s="586" t="s">
        <v>34</v>
      </c>
      <c r="E121" s="586" t="s">
        <v>34</v>
      </c>
      <c r="F121" s="581" t="str">
        <f t="shared" si="5"/>
        <v>121❸FORTE</v>
      </c>
      <c r="G121" s="582" t="str">
        <f t="shared" si="6"/>
        <v>'DICTIONARY-3'!$A$121</v>
      </c>
    </row>
    <row r="122" spans="1:7" x14ac:dyDescent="0.25">
      <c r="A122" s="508" t="str">
        <f>IF(CHOOSE(SET.LANGUAGE,'DICTIONARY-3'!B122,'DICTIONARY-3'!C122,'DICTIONARY-3'!D122,'DICTIONARY-3'!E122,'DICTIONARY-3'!F122)=0,("??? "&amp;"DICTIONARY-3/"&amp;"LINE"&amp;(ROW(A122))),CHOOSE(SET.LANGUAGE,'DICTIONARY-3'!B122,'DICTIONARY-3'!C122,'DICTIONARY-3'!D122,'DICTIONARY-3'!E122,'DICTIONARY-3'!F122))</f>
        <v>SAK</v>
      </c>
      <c r="B122" s="585" t="s">
        <v>35</v>
      </c>
      <c r="C122" s="586" t="s">
        <v>35</v>
      </c>
      <c r="D122" s="586" t="s">
        <v>35</v>
      </c>
      <c r="E122" s="586" t="s">
        <v>35</v>
      </c>
      <c r="F122" s="581" t="str">
        <f t="shared" si="5"/>
        <v>122❸SAK</v>
      </c>
      <c r="G122" s="582" t="str">
        <f t="shared" si="6"/>
        <v>'DICTIONARY-3'!$A$122</v>
      </c>
    </row>
    <row r="123" spans="1:7" x14ac:dyDescent="0.25">
      <c r="A123" s="508" t="str">
        <f>IF(CHOOSE(SET.LANGUAGE,'DICTIONARY-3'!B123,'DICTIONARY-3'!C123,'DICTIONARY-3'!D123,'DICTIONARY-3'!E123,'DICTIONARY-3'!F123)=0,("??? "&amp;"DICTIONARY-3/"&amp;"LINE"&amp;(ROW(A123))),CHOOSE(SET.LANGUAGE,'DICTIONARY-3'!B123,'DICTIONARY-3'!C123,'DICTIONARY-3'!D123,'DICTIONARY-3'!E123,'DICTIONARY-3'!F123))</f>
        <v>VARIplus</v>
      </c>
      <c r="B123" s="585" t="s">
        <v>5905</v>
      </c>
      <c r="C123" s="586" t="s">
        <v>5905</v>
      </c>
      <c r="D123" s="586" t="s">
        <v>5905</v>
      </c>
      <c r="E123" s="586" t="s">
        <v>5905</v>
      </c>
      <c r="F123" s="581" t="str">
        <f t="shared" si="5"/>
        <v>123❸VARIplus</v>
      </c>
      <c r="G123" s="582" t="str">
        <f t="shared" si="6"/>
        <v>'DICTIONARY-3'!$A$123</v>
      </c>
    </row>
    <row r="124" spans="1:7" x14ac:dyDescent="0.25">
      <c r="A124" s="508" t="str">
        <f>IF(CHOOSE(SET.LANGUAGE,'DICTIONARY-3'!B124,'DICTIONARY-3'!C124,'DICTIONARY-3'!D124,'DICTIONARY-3'!E124,'DICTIONARY-3'!F124)=0,("??? "&amp;"DICTIONARY-3/"&amp;"LINE"&amp;(ROW(A124))),CHOOSE(SET.LANGUAGE,'DICTIONARY-3'!B124,'DICTIONARY-3'!C124,'DICTIONARY-3'!D124,'DICTIONARY-3'!E124,'DICTIONARY-3'!F124))</f>
        <v>VARIplus-DJ</v>
      </c>
      <c r="B124" s="585" t="s">
        <v>5561</v>
      </c>
      <c r="C124" s="586" t="s">
        <v>5561</v>
      </c>
      <c r="D124" s="586" t="s">
        <v>5561</v>
      </c>
      <c r="E124" s="586" t="s">
        <v>5561</v>
      </c>
      <c r="F124" s="581" t="str">
        <f t="shared" si="5"/>
        <v>124❸VARIplus-DJ</v>
      </c>
      <c r="G124" s="582" t="str">
        <f t="shared" si="6"/>
        <v>'DICTIONARY-3'!$A$124</v>
      </c>
    </row>
    <row r="125" spans="1:7" x14ac:dyDescent="0.25">
      <c r="A125" s="508" t="str">
        <f>IF(CHOOSE(SET.LANGUAGE,'DICTIONARY-3'!B125,'DICTIONARY-3'!C125,'DICTIONARY-3'!D125,'DICTIONARY-3'!E125,'DICTIONARY-3'!F125)=0,("??? "&amp;"DICTIONARY-3/"&amp;"LINE"&amp;(ROW(A125))),CHOOSE(SET.LANGUAGE,'DICTIONARY-3'!B125,'DICTIONARY-3'!C125,'DICTIONARY-3'!D125,'DICTIONARY-3'!E125,'DICTIONARY-3'!F125))</f>
        <v>VARIplus-RFA</v>
      </c>
      <c r="B125" s="585" t="s">
        <v>5562</v>
      </c>
      <c r="C125" s="586" t="s">
        <v>5562</v>
      </c>
      <c r="D125" s="586" t="s">
        <v>5562</v>
      </c>
      <c r="E125" s="586" t="s">
        <v>5562</v>
      </c>
      <c r="F125" s="581" t="str">
        <f t="shared" si="5"/>
        <v>125❸VARIplus-RFA</v>
      </c>
      <c r="G125" s="582" t="str">
        <f t="shared" si="6"/>
        <v>'DICTIONARY-3'!$A$125</v>
      </c>
    </row>
    <row r="126" spans="1:7" x14ac:dyDescent="0.25">
      <c r="A126" s="508" t="str">
        <f>IF(CHOOSE(SET.LANGUAGE,'DICTIONARY-3'!B126,'DICTIONARY-3'!C126,'DICTIONARY-3'!D126,'DICTIONARY-3'!E126,'DICTIONARY-3'!F126)=0,("??? "&amp;"DICTIONARY-3/"&amp;"LINE"&amp;(ROW(A126))),CHOOSE(SET.LANGUAGE,'DICTIONARY-3'!B126,'DICTIONARY-3'!C126,'DICTIONARY-3'!D126,'DICTIONARY-3'!E126,'DICTIONARY-3'!F126))</f>
        <v>VARIplus-RC</v>
      </c>
      <c r="B126" s="585" t="s">
        <v>5563</v>
      </c>
      <c r="C126" s="586" t="s">
        <v>5563</v>
      </c>
      <c r="D126" s="586" t="s">
        <v>5563</v>
      </c>
      <c r="E126" s="586" t="s">
        <v>5563</v>
      </c>
      <c r="F126" s="581" t="str">
        <f t="shared" si="5"/>
        <v>126❸VARIplus-RC</v>
      </c>
      <c r="G126" s="582" t="str">
        <f t="shared" si="6"/>
        <v>'DICTIONARY-3'!$A$126</v>
      </c>
    </row>
    <row r="127" spans="1:7" x14ac:dyDescent="0.25">
      <c r="A127" s="508" t="str">
        <f>IF(CHOOSE(SET.LANGUAGE,'DICTIONARY-3'!B127,'DICTIONARY-3'!C127,'DICTIONARY-3'!D127,'DICTIONARY-3'!E127,'DICTIONARY-3'!F127)=0,("??? "&amp;"DICTIONARY-3/"&amp;"LINE"&amp;(ROW(A127))),CHOOSE(SET.LANGUAGE,'DICTIONARY-3'!B127,'DICTIONARY-3'!C127,'DICTIONARY-3'!D127,'DICTIONARY-3'!E127,'DICTIONARY-3'!F127))</f>
        <v>MONTY</v>
      </c>
      <c r="B127" s="690" t="s">
        <v>37</v>
      </c>
      <c r="C127" s="586" t="s">
        <v>37</v>
      </c>
      <c r="D127" s="586" t="s">
        <v>37</v>
      </c>
      <c r="E127" s="586" t="s">
        <v>37</v>
      </c>
      <c r="F127" s="581" t="str">
        <f t="shared" si="5"/>
        <v>127❸MONTY</v>
      </c>
      <c r="G127" s="582" t="str">
        <f t="shared" si="6"/>
        <v>'DICTIONARY-3'!$A$127</v>
      </c>
    </row>
    <row r="128" spans="1:7" x14ac:dyDescent="0.25">
      <c r="A128" s="508" t="str">
        <f>IF(CHOOSE(SET.LANGUAGE,'DICTIONARY-3'!B128,'DICTIONARY-3'!C128,'DICTIONARY-3'!D128,'DICTIONARY-3'!E128,'DICTIONARY-3'!F128)=0,("??? "&amp;"DICTIONARY-3/"&amp;"LINE"&amp;(ROW(A128))),CHOOSE(SET.LANGUAGE,'DICTIONARY-3'!B128,'DICTIONARY-3'!C128,'DICTIONARY-3'!D128,'DICTIONARY-3'!E128,'DICTIONARY-3'!F128))</f>
        <v>VAF</v>
      </c>
      <c r="B128" s="690" t="s">
        <v>38</v>
      </c>
      <c r="C128" s="586" t="s">
        <v>38</v>
      </c>
      <c r="D128" s="586" t="s">
        <v>38</v>
      </c>
      <c r="E128" s="586" t="s">
        <v>38</v>
      </c>
      <c r="F128" s="581" t="str">
        <f t="shared" si="5"/>
        <v>128❸VAF</v>
      </c>
      <c r="G128" s="582" t="str">
        <f t="shared" si="6"/>
        <v>'DICTIONARY-3'!$A$128</v>
      </c>
    </row>
    <row r="129" spans="1:7" x14ac:dyDescent="0.25">
      <c r="A129" s="508" t="str">
        <f>IF(CHOOSE(SET.LANGUAGE,'DICTIONARY-3'!B129,'DICTIONARY-3'!C129,'DICTIONARY-3'!D129,'DICTIONARY-3'!E129,'DICTIONARY-3'!F129)=0,("??? "&amp;"DICTIONARY-3/"&amp;"LINE"&amp;(ROW(A129))),CHOOSE(SET.LANGUAGE,'DICTIONARY-3'!B129,'DICTIONARY-3'!C129,'DICTIONARY-3'!D129,'DICTIONARY-3'!E129,'DICTIONARY-3'!F129))</f>
        <v>RAMBO</v>
      </c>
      <c r="B129" s="690" t="s">
        <v>2296</v>
      </c>
      <c r="C129" s="586" t="s">
        <v>2296</v>
      </c>
      <c r="D129" s="586" t="s">
        <v>2296</v>
      </c>
      <c r="E129" s="586" t="s">
        <v>2296</v>
      </c>
      <c r="F129" s="581" t="str">
        <f t="shared" si="5"/>
        <v>129❸RAMBO</v>
      </c>
      <c r="G129" s="582" t="str">
        <f t="shared" si="6"/>
        <v>'DICTIONARY-3'!$A$129</v>
      </c>
    </row>
    <row r="130" spans="1:7" x14ac:dyDescent="0.25">
      <c r="A130" s="508" t="str">
        <f>IF(CHOOSE(SET.LANGUAGE,'DICTIONARY-3'!B130,'DICTIONARY-3'!C130,'DICTIONARY-3'!D130,'DICTIONARY-3'!E130,'DICTIONARY-3'!F130)=0,("??? "&amp;"DICTIONARY-3/"&amp;"LINE"&amp;(ROW(A130))),CHOOSE(SET.LANGUAGE,'DICTIONARY-3'!B130,'DICTIONARY-3'!C130,'DICTIONARY-3'!D130,'DICTIONARY-3'!E130,'DICTIONARY-3'!F130))</f>
        <v>LADA</v>
      </c>
      <c r="B130" s="690" t="s">
        <v>40</v>
      </c>
      <c r="C130" s="586" t="s">
        <v>40</v>
      </c>
      <c r="D130" s="586" t="s">
        <v>40</v>
      </c>
      <c r="E130" s="586" t="s">
        <v>40</v>
      </c>
      <c r="F130" s="581" t="str">
        <f t="shared" si="5"/>
        <v>130❸LADA</v>
      </c>
      <c r="G130" s="582" t="str">
        <f t="shared" si="6"/>
        <v>'DICTIONARY-3'!$A$130</v>
      </c>
    </row>
    <row r="131" spans="1:7" x14ac:dyDescent="0.25">
      <c r="A131" s="508" t="str">
        <f>IF(CHOOSE(SET.LANGUAGE,'DICTIONARY-3'!B131,'DICTIONARY-3'!C131,'DICTIONARY-3'!D131,'DICTIONARY-3'!E131,'DICTIONARY-3'!F131)=0,("??? "&amp;"DICTIONARY-3/"&amp;"LINE"&amp;(ROW(A131))),CHOOSE(SET.LANGUAGE,'DICTIONARY-3'!B131,'DICTIONARY-3'!C131,'DICTIONARY-3'!D131,'DICTIONARY-3'!E131,'DICTIONARY-3'!F131))</f>
        <v>LADA-A</v>
      </c>
      <c r="B131" s="690" t="s">
        <v>6417</v>
      </c>
      <c r="C131" s="586" t="s">
        <v>6417</v>
      </c>
      <c r="D131" s="586" t="s">
        <v>6417</v>
      </c>
      <c r="E131" s="586" t="s">
        <v>6417</v>
      </c>
      <c r="F131" s="581" t="str">
        <f t="shared" si="5"/>
        <v>131❸LADA-A</v>
      </c>
      <c r="G131" s="582" t="str">
        <f t="shared" si="6"/>
        <v>'DICTIONARY-3'!$A$131</v>
      </c>
    </row>
    <row r="132" spans="1:7" x14ac:dyDescent="0.25">
      <c r="A132" s="508" t="str">
        <f>IF(CHOOSE(SET.LANGUAGE,'DICTIONARY-3'!B132,'DICTIONARY-3'!C132,'DICTIONARY-3'!D132,'DICTIONARY-3'!E132,'DICTIONARY-3'!F132)=0,("??? "&amp;"DICTIONARY-3/"&amp;"LINE"&amp;(ROW(A132))),CHOOSE(SET.LANGUAGE,'DICTIONARY-3'!B132,'DICTIONARY-3'!C132,'DICTIONARY-3'!D132,'DICTIONARY-3'!E132,'DICTIONARY-3'!F132))</f>
        <v>LADA-B</v>
      </c>
      <c r="B132" s="690" t="s">
        <v>6418</v>
      </c>
      <c r="C132" s="586" t="s">
        <v>6418</v>
      </c>
      <c r="D132" s="586" t="s">
        <v>6418</v>
      </c>
      <c r="E132" s="586" t="s">
        <v>6418</v>
      </c>
      <c r="F132" s="581" t="str">
        <f t="shared" si="5"/>
        <v>132❸LADA-B</v>
      </c>
      <c r="G132" s="582" t="str">
        <f t="shared" si="6"/>
        <v>'DICTIONARY-3'!$A$132</v>
      </c>
    </row>
    <row r="133" spans="1:7" x14ac:dyDescent="0.25">
      <c r="A133" s="508" t="str">
        <f>IF(CHOOSE(SET.LANGUAGE,'DICTIONARY-3'!B133,'DICTIONARY-3'!C133,'DICTIONARY-3'!D133,'DICTIONARY-3'!E133,'DICTIONARY-3'!F133)=0,("??? "&amp;"DICTIONARY-3/"&amp;"LINE"&amp;(ROW(A133))),CHOOSE(SET.LANGUAGE,'DICTIONARY-3'!B133,'DICTIONARY-3'!C133,'DICTIONARY-3'!D133,'DICTIONARY-3'!E133,'DICTIONARY-3'!F133))</f>
        <v>LADA-C</v>
      </c>
      <c r="B133" s="690" t="s">
        <v>6419</v>
      </c>
      <c r="C133" s="586" t="s">
        <v>6419</v>
      </c>
      <c r="D133" s="586" t="s">
        <v>6419</v>
      </c>
      <c r="E133" s="586" t="s">
        <v>6419</v>
      </c>
      <c r="F133" s="581" t="str">
        <f t="shared" si="5"/>
        <v>133❸LADA-C</v>
      </c>
      <c r="G133" s="582" t="str">
        <f t="shared" si="6"/>
        <v>'DICTIONARY-3'!$A$133</v>
      </c>
    </row>
    <row r="134" spans="1:7" x14ac:dyDescent="0.25">
      <c r="A134" s="508" t="str">
        <f>IF(CHOOSE(SET.LANGUAGE,'DICTIONARY-3'!B134,'DICTIONARY-3'!C134,'DICTIONARY-3'!D134,'DICTIONARY-3'!E134,'DICTIONARY-3'!F134)=0,("??? "&amp;"DICTIONARY-3/"&amp;"LINE"&amp;(ROW(A134))),CHOOSE(SET.LANGUAGE,'DICTIONARY-3'!B134,'DICTIONARY-3'!C134,'DICTIONARY-3'!D134,'DICTIONARY-3'!E134,'DICTIONARY-3'!F134))</f>
        <v>PATENTplus</v>
      </c>
      <c r="B134" s="690" t="s">
        <v>41</v>
      </c>
      <c r="C134" s="586" t="s">
        <v>41</v>
      </c>
      <c r="D134" s="586" t="s">
        <v>41</v>
      </c>
      <c r="E134" s="586" t="s">
        <v>41</v>
      </c>
      <c r="F134" s="581" t="str">
        <f t="shared" si="5"/>
        <v>134❸PATENTplus</v>
      </c>
      <c r="G134" s="582" t="str">
        <f t="shared" si="6"/>
        <v>'DICTIONARY-3'!$A$134</v>
      </c>
    </row>
    <row r="135" spans="1:7" x14ac:dyDescent="0.25">
      <c r="A135" s="508" t="str">
        <f>IF(CHOOSE(SET.LANGUAGE,'DICTIONARY-3'!B135,'DICTIONARY-3'!C135,'DICTIONARY-3'!D135,'DICTIONARY-3'!E135,'DICTIONARY-3'!F135)=0,("??? "&amp;"DICTIONARY-3/"&amp;"LINE"&amp;(ROW(A135))),CHOOSE(SET.LANGUAGE,'DICTIONARY-3'!B135,'DICTIONARY-3'!C135,'DICTIONARY-3'!D135,'DICTIONARY-3'!E135,'DICTIONARY-3'!F135))</f>
        <v>PATENTplus-AT</v>
      </c>
      <c r="B135" s="690" t="s">
        <v>6428</v>
      </c>
      <c r="C135" s="586" t="s">
        <v>6428</v>
      </c>
      <c r="D135" s="586" t="s">
        <v>6428</v>
      </c>
      <c r="E135" s="586" t="s">
        <v>6428</v>
      </c>
      <c r="F135" s="581" t="str">
        <f t="shared" si="5"/>
        <v>135❸PATENTplus-AT</v>
      </c>
      <c r="G135" s="582" t="str">
        <f t="shared" si="6"/>
        <v>'DICTIONARY-3'!$A$135</v>
      </c>
    </row>
    <row r="136" spans="1:7" x14ac:dyDescent="0.25">
      <c r="A136" s="508" t="str">
        <f>IF(CHOOSE(SET.LANGUAGE,'DICTIONARY-3'!B136,'DICTIONARY-3'!C136,'DICTIONARY-3'!D136,'DICTIONARY-3'!E136,'DICTIONARY-3'!F136)=0,("??? "&amp;"DICTIONARY-3/"&amp;"LINE"&amp;(ROW(A136))),CHOOSE(SET.LANGUAGE,'DICTIONARY-3'!B136,'DICTIONARY-3'!C136,'DICTIONARY-3'!D136,'DICTIONARY-3'!E136,'DICTIONARY-3'!F136))</f>
        <v>PATENTplus-BT</v>
      </c>
      <c r="B136" s="690" t="s">
        <v>6429</v>
      </c>
      <c r="C136" s="586" t="s">
        <v>6429</v>
      </c>
      <c r="D136" s="586" t="s">
        <v>6429</v>
      </c>
      <c r="E136" s="586" t="s">
        <v>6429</v>
      </c>
      <c r="F136" s="581" t="str">
        <f t="shared" si="5"/>
        <v>136❸PATENTplus-BT</v>
      </c>
      <c r="G136" s="582" t="str">
        <f t="shared" si="6"/>
        <v>'DICTIONARY-3'!$A$136</v>
      </c>
    </row>
    <row r="137" spans="1:7" x14ac:dyDescent="0.25">
      <c r="A137" s="508" t="str">
        <f>IF(CHOOSE(SET.LANGUAGE,'DICTIONARY-3'!B137,'DICTIONARY-3'!C137,'DICTIONARY-3'!D137,'DICTIONARY-3'!E137,'DICTIONARY-3'!F137)=0,("??? "&amp;"DICTIONARY-3/"&amp;"LINE"&amp;(ROW(A137))),CHOOSE(SET.LANGUAGE,'DICTIONARY-3'!B137,'DICTIONARY-3'!C137,'DICTIONARY-3'!D137,'DICTIONARY-3'!E137,'DICTIONARY-3'!F137))</f>
        <v>TELEMAX EG</v>
      </c>
      <c r="B137" s="690" t="s">
        <v>2350</v>
      </c>
      <c r="C137" s="586" t="s">
        <v>2350</v>
      </c>
      <c r="D137" s="586" t="s">
        <v>2350</v>
      </c>
      <c r="E137" s="586" t="s">
        <v>2350</v>
      </c>
      <c r="F137" s="581" t="str">
        <f t="shared" si="5"/>
        <v>137❸TELEMAX EG</v>
      </c>
      <c r="G137" s="582" t="str">
        <f t="shared" si="6"/>
        <v>'DICTIONARY-3'!$A$137</v>
      </c>
    </row>
    <row r="138" spans="1:7" x14ac:dyDescent="0.25">
      <c r="A138" s="508" t="str">
        <f>IF(CHOOSE(SET.LANGUAGE,'DICTIONARY-3'!B138,'DICTIONARY-3'!C138,'DICTIONARY-3'!D138,'DICTIONARY-3'!E138,'DICTIONARY-3'!F138)=0,("??? "&amp;"DICTIONARY-3/"&amp;"LINE"&amp;(ROW(A138))),CHOOSE(SET.LANGUAGE,'DICTIONARY-3'!B138,'DICTIONARY-3'!C138,'DICTIONARY-3'!D138,'DICTIONARY-3'!E138,'DICTIONARY-3'!F138))</f>
        <v>VA-TELESKOP</v>
      </c>
      <c r="B138" s="690" t="s">
        <v>42</v>
      </c>
      <c r="C138" s="586" t="s">
        <v>42</v>
      </c>
      <c r="D138" s="586" t="s">
        <v>42</v>
      </c>
      <c r="E138" s="586" t="s">
        <v>42</v>
      </c>
      <c r="F138" s="581" t="str">
        <f t="shared" si="5"/>
        <v>138❸VA-TELESKOP</v>
      </c>
      <c r="G138" s="582" t="str">
        <f t="shared" si="6"/>
        <v>'DICTIONARY-3'!$A$138</v>
      </c>
    </row>
    <row r="139" spans="1:7" x14ac:dyDescent="0.25">
      <c r="A139" s="508" t="str">
        <f>IF(CHOOSE(SET.LANGUAGE,'DICTIONARY-3'!B139,'DICTIONARY-3'!C139,'DICTIONARY-3'!D139,'DICTIONARY-3'!E139,'DICTIONARY-3'!F139)=0,("??? "&amp;"DICTIONARY-3/"&amp;"LINE"&amp;(ROW(A139))),CHOOSE(SET.LANGUAGE,'DICTIONARY-3'!B139,'DICTIONARY-3'!C139,'DICTIONARY-3'!D139,'DICTIONARY-3'!E139,'DICTIONARY-3'!F139))</f>
        <v>SERIOplus</v>
      </c>
      <c r="B139" s="690" t="s">
        <v>43</v>
      </c>
      <c r="C139" s="586" t="s">
        <v>43</v>
      </c>
      <c r="D139" s="586" t="s">
        <v>43</v>
      </c>
      <c r="E139" s="586" t="s">
        <v>43</v>
      </c>
      <c r="F139" s="581" t="str">
        <f t="shared" si="5"/>
        <v>139❸SERIOplus</v>
      </c>
      <c r="G139" s="582" t="str">
        <f t="shared" si="6"/>
        <v>'DICTIONARY-3'!$A$139</v>
      </c>
    </row>
    <row r="140" spans="1:7" x14ac:dyDescent="0.25">
      <c r="A140" s="508" t="str">
        <f>IF(CHOOSE(SET.LANGUAGE,'DICTIONARY-3'!B140,'DICTIONARY-3'!C140,'DICTIONARY-3'!D140,'DICTIONARY-3'!E140,'DICTIONARY-3'!F140)=0,("??? "&amp;"DICTIONARY-3/"&amp;"LINE"&amp;(ROW(A140))),CHOOSE(SET.LANGUAGE,'DICTIONARY-3'!B140,'DICTIONARY-3'!C140,'DICTIONARY-3'!D140,'DICTIONARY-3'!E140,'DICTIONARY-3'!F140))</f>
        <v>Klucze</v>
      </c>
      <c r="B140" s="585" t="s">
        <v>2334</v>
      </c>
      <c r="C140" s="586" t="s">
        <v>7419</v>
      </c>
      <c r="D140" s="586" t="s">
        <v>5929</v>
      </c>
      <c r="E140" s="586" t="s">
        <v>5952</v>
      </c>
      <c r="F140" s="581" t="str">
        <f t="shared" si="5"/>
        <v>140❸Ovládací klíče</v>
      </c>
      <c r="G140" s="582" t="str">
        <f t="shared" si="6"/>
        <v>'DICTIONARY-3'!$A$140</v>
      </c>
    </row>
    <row r="141" spans="1:7" x14ac:dyDescent="0.25">
      <c r="A141" s="508" t="str">
        <f>IF(CHOOSE(SET.LANGUAGE,'DICTIONARY-3'!B141,'DICTIONARY-3'!C141,'DICTIONARY-3'!D141,'DICTIONARY-3'!E141,'DICTIONARY-3'!F141)=0,("??? "&amp;"DICTIONARY-3/"&amp;"LINE"&amp;(ROW(A141))),CHOOSE(SET.LANGUAGE,'DICTIONARY-3'!B141,'DICTIONARY-3'!C141,'DICTIONARY-3'!D141,'DICTIONARY-3'!E141,'DICTIONARY-3'!F141))</f>
        <v>Klucz hydrantowy</v>
      </c>
      <c r="B141" s="585" t="s">
        <v>6448</v>
      </c>
      <c r="C141" s="586" t="s">
        <v>7420</v>
      </c>
      <c r="D141" s="586" t="s">
        <v>6142</v>
      </c>
      <c r="E141" s="586" t="s">
        <v>6516</v>
      </c>
      <c r="F141" s="581" t="str">
        <f t="shared" si="5"/>
        <v>141❸Hydrantový klíč</v>
      </c>
      <c r="G141" s="582" t="str">
        <f t="shared" si="6"/>
        <v>'DICTIONARY-3'!$A$141</v>
      </c>
    </row>
    <row r="142" spans="1:7" x14ac:dyDescent="0.25">
      <c r="A142" s="508" t="str">
        <f>IF(CHOOSE(SET.LANGUAGE,'DICTIONARY-3'!B142,'DICTIONARY-3'!C142,'DICTIONARY-3'!D142,'DICTIONARY-3'!E142,'DICTIONARY-3'!F142)=0,("??? "&amp;"DICTIONARY-3/"&amp;"LINE"&amp;(ROW(A142))),CHOOSE(SET.LANGUAGE,'DICTIONARY-3'!B142,'DICTIONARY-3'!C142,'DICTIONARY-3'!D142,'DICTIONARY-3'!E142,'DICTIONARY-3'!F142))</f>
        <v>Klucz-T</v>
      </c>
      <c r="B142" s="585" t="s">
        <v>6138</v>
      </c>
      <c r="C142" s="586" t="s">
        <v>7421</v>
      </c>
      <c r="D142" s="586" t="s">
        <v>6139</v>
      </c>
      <c r="E142" s="586" t="s">
        <v>6140</v>
      </c>
      <c r="F142" s="581" t="str">
        <f t="shared" si="5"/>
        <v>142❸T-klíč</v>
      </c>
      <c r="G142" s="582" t="str">
        <f t="shared" si="6"/>
        <v>'DICTIONARY-3'!$A$142</v>
      </c>
    </row>
    <row r="143" spans="1:7" x14ac:dyDescent="0.25">
      <c r="A143" s="508" t="str">
        <f>IF(CHOOSE(SET.LANGUAGE,'DICTIONARY-3'!B143,'DICTIONARY-3'!C143,'DICTIONARY-3'!D143,'DICTIONARY-3'!E143,'DICTIONARY-3'!F143)=0,("??? "&amp;"DICTIONARY-3/"&amp;"LINE"&amp;(ROW(A143))),CHOOSE(SET.LANGUAGE,'DICTIONARY-3'!B143,'DICTIONARY-3'!C143,'DICTIONARY-3'!D143,'DICTIONARY-3'!E143,'DICTIONARY-3'!F143))</f>
        <v>Klucz</v>
      </c>
      <c r="B143" s="585" t="s">
        <v>6141</v>
      </c>
      <c r="C143" s="586" t="s">
        <v>7656</v>
      </c>
      <c r="D143" s="586" t="s">
        <v>6142</v>
      </c>
      <c r="E143" s="586" t="s">
        <v>6143</v>
      </c>
      <c r="F143" s="581" t="str">
        <f t="shared" si="5"/>
        <v>143❸Klíč</v>
      </c>
      <c r="G143" s="582" t="str">
        <f t="shared" si="6"/>
        <v>'DICTIONARY-3'!$A$143</v>
      </c>
    </row>
    <row r="144" spans="1:7" x14ac:dyDescent="0.25">
      <c r="A144" s="508" t="str">
        <f>IF(CHOOSE(SET.LANGUAGE,'DICTIONARY-3'!B144,'DICTIONARY-3'!C144,'DICTIONARY-3'!D144,'DICTIONARY-3'!E144,'DICTIONARY-3'!F144)=0,("??? "&amp;"DICTIONARY-3/"&amp;"LINE"&amp;(ROW(A144))),CHOOSE(SET.LANGUAGE,'DICTIONARY-3'!B144,'DICTIONARY-3'!C144,'DICTIONARY-3'!D144,'DICTIONARY-3'!E144,'DICTIONARY-3'!F144))</f>
        <v>EKN</v>
      </c>
      <c r="B144" s="585" t="s">
        <v>5</v>
      </c>
      <c r="C144" s="586" t="s">
        <v>5</v>
      </c>
      <c r="D144" s="586" t="s">
        <v>5</v>
      </c>
      <c r="E144" s="586" t="s">
        <v>5</v>
      </c>
      <c r="F144" s="581" t="str">
        <f t="shared" si="5"/>
        <v>144❸EKN</v>
      </c>
      <c r="G144" s="582" t="str">
        <f t="shared" si="6"/>
        <v>'DICTIONARY-3'!$A$144</v>
      </c>
    </row>
    <row r="145" spans="1:7" x14ac:dyDescent="0.25">
      <c r="A145" s="508" t="str">
        <f>IF(CHOOSE(SET.LANGUAGE,'DICTIONARY-3'!B145,'DICTIONARY-3'!C145,'DICTIONARY-3'!D145,'DICTIONARY-3'!E145,'DICTIONARY-3'!F145)=0,("??? "&amp;"DICTIONARY-3/"&amp;"LINE"&amp;(ROW(A145))),CHOOSE(SET.LANGUAGE,'DICTIONARY-3'!B145,'DICTIONARY-3'!C145,'DICTIONARY-3'!D145,'DICTIONARY-3'!E145,'DICTIONARY-3'!F145))</f>
        <v>EKN H</v>
      </c>
      <c r="B145" s="585" t="s">
        <v>5728</v>
      </c>
      <c r="C145" s="586" t="s">
        <v>5728</v>
      </c>
      <c r="D145" s="586" t="s">
        <v>5728</v>
      </c>
      <c r="E145" s="586" t="s">
        <v>5728</v>
      </c>
      <c r="F145" s="581" t="str">
        <f t="shared" si="5"/>
        <v>145❸EKN H</v>
      </c>
      <c r="G145" s="582" t="str">
        <f t="shared" si="6"/>
        <v>'DICTIONARY-3'!$A$145</v>
      </c>
    </row>
    <row r="146" spans="1:7" x14ac:dyDescent="0.25">
      <c r="A146" s="508" t="str">
        <f>IF(CHOOSE(SET.LANGUAGE,'DICTIONARY-3'!B146,'DICTIONARY-3'!C146,'DICTIONARY-3'!D146,'DICTIONARY-3'!E146,'DICTIONARY-3'!F146)=0,("??? "&amp;"DICTIONARY-3/"&amp;"LINE"&amp;(ROW(A146))),CHOOSE(SET.LANGUAGE,'DICTIONARY-3'!B146,'DICTIONARY-3'!C146,'DICTIONARY-3'!D146,'DICTIONARY-3'!E146,'DICTIONARY-3'!F146))</f>
        <v>EKN M</v>
      </c>
      <c r="B146" s="585" t="s">
        <v>5567</v>
      </c>
      <c r="C146" s="586" t="s">
        <v>5567</v>
      </c>
      <c r="D146" s="586" t="s">
        <v>5567</v>
      </c>
      <c r="E146" s="586" t="s">
        <v>5567</v>
      </c>
      <c r="F146" s="581" t="str">
        <f t="shared" si="5"/>
        <v>146❸EKN M</v>
      </c>
      <c r="G146" s="582" t="str">
        <f t="shared" si="6"/>
        <v>'DICTIONARY-3'!$A$146</v>
      </c>
    </row>
    <row r="147" spans="1:7" x14ac:dyDescent="0.25">
      <c r="A147" s="508" t="str">
        <f>IF(CHOOSE(SET.LANGUAGE,'DICTIONARY-3'!B147,'DICTIONARY-3'!C147,'DICTIONARY-3'!D147,'DICTIONARY-3'!E147,'DICTIONARY-3'!F147)=0,("??? "&amp;"DICTIONARY-3/"&amp;"LINE"&amp;(ROW(A147))),CHOOSE(SET.LANGUAGE,'DICTIONARY-3'!B147,'DICTIONARY-3'!C147,'DICTIONARY-3'!D147,'DICTIONARY-3'!E147,'DICTIONARY-3'!F147))</f>
        <v>CEREX 300-L, -W</v>
      </c>
      <c r="B147" s="690" t="s">
        <v>6145</v>
      </c>
      <c r="C147" s="586" t="s">
        <v>6145</v>
      </c>
      <c r="D147" s="586" t="s">
        <v>6145</v>
      </c>
      <c r="E147" s="586" t="s">
        <v>6145</v>
      </c>
      <c r="F147" s="581" t="str">
        <f t="shared" si="5"/>
        <v>147❸CEREX 300-L, -W</v>
      </c>
      <c r="G147" s="582" t="str">
        <f t="shared" si="6"/>
        <v>'DICTIONARY-3'!$A$147</v>
      </c>
    </row>
    <row r="148" spans="1:7" x14ac:dyDescent="0.25">
      <c r="A148" s="508" t="str">
        <f>IF(CHOOSE(SET.LANGUAGE,'DICTIONARY-3'!B148,'DICTIONARY-3'!C148,'DICTIONARY-3'!D148,'DICTIONARY-3'!E148,'DICTIONARY-3'!F148)=0,("??? "&amp;"DICTIONARY-3/"&amp;"LINE"&amp;(ROW(A148))),CHOOSE(SET.LANGUAGE,'DICTIONARY-3'!B148,'DICTIONARY-3'!C148,'DICTIONARY-3'!D148,'DICTIONARY-3'!E148,'DICTIONARY-3'!F148))</f>
        <v>CEREX 300-L</v>
      </c>
      <c r="B148" s="690" t="s">
        <v>5587</v>
      </c>
      <c r="C148" s="586" t="s">
        <v>5587</v>
      </c>
      <c r="D148" s="586" t="s">
        <v>5587</v>
      </c>
      <c r="E148" s="586" t="s">
        <v>5587</v>
      </c>
      <c r="F148" s="581" t="str">
        <f t="shared" si="5"/>
        <v>148❸CEREX 300-L</v>
      </c>
      <c r="G148" s="582" t="str">
        <f t="shared" si="6"/>
        <v>'DICTIONARY-3'!$A$148</v>
      </c>
    </row>
    <row r="149" spans="1:7" x14ac:dyDescent="0.25">
      <c r="A149" s="508" t="str">
        <f>IF(CHOOSE(SET.LANGUAGE,'DICTIONARY-3'!B149,'DICTIONARY-3'!C149,'DICTIONARY-3'!D149,'DICTIONARY-3'!E149,'DICTIONARY-3'!F149)=0,("??? "&amp;"DICTIONARY-3/"&amp;"LINE"&amp;(ROW(A149))),CHOOSE(SET.LANGUAGE,'DICTIONARY-3'!B149,'DICTIONARY-3'!C149,'DICTIONARY-3'!D149,'DICTIONARY-3'!E149,'DICTIONARY-3'!F149))</f>
        <v>CEREX 300-W</v>
      </c>
      <c r="B149" s="690" t="s">
        <v>5588</v>
      </c>
      <c r="C149" s="586" t="s">
        <v>5588</v>
      </c>
      <c r="D149" s="586" t="s">
        <v>5588</v>
      </c>
      <c r="E149" s="586" t="s">
        <v>5588</v>
      </c>
      <c r="F149" s="581" t="str">
        <f t="shared" si="5"/>
        <v>149❸CEREX 300-W</v>
      </c>
      <c r="G149" s="582" t="str">
        <f t="shared" si="6"/>
        <v>'DICTIONARY-3'!$A$149</v>
      </c>
    </row>
    <row r="150" spans="1:7" x14ac:dyDescent="0.25">
      <c r="A150" s="508" t="str">
        <f>IF(CHOOSE(SET.LANGUAGE,'DICTIONARY-3'!B150,'DICTIONARY-3'!C150,'DICTIONARY-3'!D150,'DICTIONARY-3'!E150,'DICTIONARY-3'!F150)=0,("??? "&amp;"DICTIONARY-3/"&amp;"LINE"&amp;(ROW(A150))),CHOOSE(SET.LANGUAGE,'DICTIONARY-3'!B150,'DICTIONARY-3'!C150,'DICTIONARY-3'!D150,'DICTIONARY-3'!E150,'DICTIONARY-3'!F150))</f>
        <v>Pływak</v>
      </c>
      <c r="B150" s="585" t="s">
        <v>5727</v>
      </c>
      <c r="C150" s="586" t="s">
        <v>7492</v>
      </c>
      <c r="D150" s="586" t="s">
        <v>5931</v>
      </c>
      <c r="E150" s="586" t="s">
        <v>5954</v>
      </c>
      <c r="F150" s="581" t="str">
        <f t="shared" si="5"/>
        <v>150❸Plovák</v>
      </c>
      <c r="G150" s="582" t="str">
        <f t="shared" si="6"/>
        <v>'DICTIONARY-3'!$A$150</v>
      </c>
    </row>
    <row r="151" spans="1:7" x14ac:dyDescent="0.25">
      <c r="A151" s="508" t="str">
        <f>IF(CHOOSE(SET.LANGUAGE,'DICTIONARY-3'!B151,'DICTIONARY-3'!C151,'DICTIONARY-3'!D151,'DICTIONARY-3'!E151,'DICTIONARY-3'!F151)=0,("??? "&amp;"DICTIONARY-3/"&amp;"LINE"&amp;(ROW(A151))),CHOOSE(SET.LANGUAGE,'DICTIONARY-3'!B151,'DICTIONARY-3'!C151,'DICTIONARY-3'!D151,'DICTIONARY-3'!E151,'DICTIONARY-3'!F151))</f>
        <v>KOŁO</v>
      </c>
      <c r="B151" s="585" t="s">
        <v>5605</v>
      </c>
      <c r="C151" s="586" t="s">
        <v>5605</v>
      </c>
      <c r="D151" s="586" t="s">
        <v>5928</v>
      </c>
      <c r="E151" s="586" t="s">
        <v>6144</v>
      </c>
      <c r="F151" s="581" t="str">
        <f t="shared" si="5"/>
        <v>151❸KOLO</v>
      </c>
      <c r="G151" s="582" t="str">
        <f t="shared" si="6"/>
        <v>'DICTIONARY-3'!$A$151</v>
      </c>
    </row>
    <row r="152" spans="1:7" x14ac:dyDescent="0.25">
      <c r="A152" s="508" t="str">
        <f>IF(CHOOSE(SET.LANGUAGE,'DICTIONARY-3'!B152,'DICTIONARY-3'!C152,'DICTIONARY-3'!D152,'DICTIONARY-3'!E152,'DICTIONARY-3'!F152)=0,("??? "&amp;"DICTIONARY-3/"&amp;"LINE"&amp;(ROW(A152))),CHOOSE(SET.LANGUAGE,'DICTIONARY-3'!B152,'DICTIONARY-3'!C152,'DICTIONARY-3'!D152,'DICTIONARY-3'!E152,'DICTIONARY-3'!F152))</f>
        <v>ROTOP MOBITORQ</v>
      </c>
      <c r="B152" s="585" t="s">
        <v>5564</v>
      </c>
      <c r="C152" s="586" t="s">
        <v>5564</v>
      </c>
      <c r="D152" s="586" t="s">
        <v>5564</v>
      </c>
      <c r="E152" s="586" t="s">
        <v>5564</v>
      </c>
      <c r="F152" s="581" t="str">
        <f t="shared" si="5"/>
        <v>152❸ROTOP MOBITORQ</v>
      </c>
      <c r="G152" s="582" t="str">
        <f t="shared" si="6"/>
        <v>'DICTIONARY-3'!$A$152</v>
      </c>
    </row>
    <row r="153" spans="1:7" x14ac:dyDescent="0.25">
      <c r="A153" s="508" t="str">
        <f>IF(CHOOSE(SET.LANGUAGE,'DICTIONARY-3'!B153,'DICTIONARY-3'!C153,'DICTIONARY-3'!D153,'DICTIONARY-3'!E153,'DICTIONARY-3'!F153)=0,("??? "&amp;"DICTIONARY-3/"&amp;"LINE"&amp;(ROW(A153))),CHOOSE(SET.LANGUAGE,'DICTIONARY-3'!B153,'DICTIONARY-3'!C153,'DICTIONARY-3'!D153,'DICTIONARY-3'!E153,'DICTIONARY-3'!F153))</f>
        <v>BAIO</v>
      </c>
      <c r="B153" s="585" t="s">
        <v>5571</v>
      </c>
      <c r="C153" s="586" t="s">
        <v>5571</v>
      </c>
      <c r="D153" s="586" t="s">
        <v>5571</v>
      </c>
      <c r="E153" s="586" t="s">
        <v>5571</v>
      </c>
      <c r="F153" s="581" t="str">
        <f t="shared" si="5"/>
        <v>153❸BAIO</v>
      </c>
      <c r="G153" s="582" t="str">
        <f t="shared" si="6"/>
        <v>'DICTIONARY-3'!$A$153</v>
      </c>
    </row>
    <row r="154" spans="1:7" x14ac:dyDescent="0.25">
      <c r="A154" s="508" t="str">
        <f>IF(CHOOSE(SET.LANGUAGE,'DICTIONARY-3'!B154,'DICTIONARY-3'!C154,'DICTIONARY-3'!D154,'DICTIONARY-3'!E154,'DICTIONARY-3'!F154)=0,("??? "&amp;"DICTIONARY-3/"&amp;"LINE"&amp;(ROW(A154))),CHOOSE(SET.LANGUAGE,'DICTIONARY-3'!B154,'DICTIONARY-3'!C154,'DICTIONARY-3'!D154,'DICTIONARY-3'!E154,'DICTIONARY-3'!F154))</f>
        <v>BAIO Kształtki</v>
      </c>
      <c r="B154" s="585" t="s">
        <v>6146</v>
      </c>
      <c r="C154" s="586" t="s">
        <v>6146</v>
      </c>
      <c r="D154" s="586" t="s">
        <v>5930</v>
      </c>
      <c r="E154" s="586" t="s">
        <v>5953</v>
      </c>
      <c r="F154" s="581" t="str">
        <f t="shared" si="5"/>
        <v>154❸Tvarovky</v>
      </c>
      <c r="G154" s="582" t="str">
        <f t="shared" si="6"/>
        <v>'DICTIONARY-3'!$A$154</v>
      </c>
    </row>
    <row r="155" spans="1:7" x14ac:dyDescent="0.25">
      <c r="A155" s="508" t="str">
        <f>IF(CHOOSE(SET.LANGUAGE,'DICTIONARY-3'!B155,'DICTIONARY-3'!C155,'DICTIONARY-3'!D155,'DICTIONARY-3'!E155,'DICTIONARY-3'!F155)=0,("??? "&amp;"DICTIONARY-3/"&amp;"LINE"&amp;(ROW(A155))),CHOOSE(SET.LANGUAGE,'DICTIONARY-3'!B155,'DICTIONARY-3'!C155,'DICTIONARY-3'!D155,'DICTIONARY-3'!E155,'DICTIONARY-3'!F155))</f>
        <v>B</v>
      </c>
      <c r="B155" s="585" t="s">
        <v>6455</v>
      </c>
      <c r="C155" s="586" t="s">
        <v>6455</v>
      </c>
      <c r="D155" s="586" t="s">
        <v>6455</v>
      </c>
      <c r="E155" s="586" t="s">
        <v>6455</v>
      </c>
      <c r="F155" s="581" t="str">
        <f t="shared" ref="F155:F220" si="8">CONCATENATE(ROW(B155),"❸",B155)</f>
        <v>155❸B</v>
      </c>
      <c r="G155" s="582" t="str">
        <f t="shared" ref="G155:G220" si="9">"'DICTIONARY-3'!$A$"&amp;ROW(G155)</f>
        <v>'DICTIONARY-3'!$A$155</v>
      </c>
    </row>
    <row r="156" spans="1:7" x14ac:dyDescent="0.25">
      <c r="A156" s="508" t="str">
        <f>IF(CHOOSE(SET.LANGUAGE,'DICTIONARY-3'!B156,'DICTIONARY-3'!C156,'DICTIONARY-3'!D156,'DICTIONARY-3'!E156,'DICTIONARY-3'!F156)=0,("??? "&amp;"DICTIONARY-3/"&amp;"LINE"&amp;(ROW(A156))),CHOOSE(SET.LANGUAGE,'DICTIONARY-3'!B156,'DICTIONARY-3'!C156,'DICTIONARY-3'!D156,'DICTIONARY-3'!E156,'DICTIONARY-3'!F156))</f>
        <v>S</v>
      </c>
      <c r="B156" s="585" t="s">
        <v>6456</v>
      </c>
      <c r="C156" s="586" t="s">
        <v>6456</v>
      </c>
      <c r="D156" s="586" t="s">
        <v>6456</v>
      </c>
      <c r="E156" s="586" t="s">
        <v>6456</v>
      </c>
      <c r="F156" s="581" t="str">
        <f t="shared" si="8"/>
        <v>156❸S</v>
      </c>
      <c r="G156" s="582" t="str">
        <f t="shared" si="9"/>
        <v>'DICTIONARY-3'!$A$156</v>
      </c>
    </row>
    <row r="157" spans="1:7" x14ac:dyDescent="0.25">
      <c r="A157" s="508" t="str">
        <f>IF(CHOOSE(SET.LANGUAGE,'DICTIONARY-3'!B157,'DICTIONARY-3'!C157,'DICTIONARY-3'!D157,'DICTIONARY-3'!E157,'DICTIONARY-3'!F157)=0,("??? "&amp;"DICTIONARY-3/"&amp;"LINE"&amp;(ROW(A157))),CHOOSE(SET.LANGUAGE,'DICTIONARY-3'!B157,'DICTIONARY-3'!C157,'DICTIONARY-3'!D157,'DICTIONARY-3'!E157,'DICTIONARY-3'!F157))</f>
        <v>SM</v>
      </c>
      <c r="B157" s="585" t="s">
        <v>6457</v>
      </c>
      <c r="C157" s="586" t="s">
        <v>6457</v>
      </c>
      <c r="D157" s="586" t="s">
        <v>6457</v>
      </c>
      <c r="E157" s="586" t="s">
        <v>6457</v>
      </c>
      <c r="F157" s="581" t="str">
        <f t="shared" si="8"/>
        <v>157❸SM</v>
      </c>
      <c r="G157" s="582" t="str">
        <f t="shared" si="9"/>
        <v>'DICTIONARY-3'!$A$157</v>
      </c>
    </row>
    <row r="158" spans="1:7" x14ac:dyDescent="0.25">
      <c r="A158" s="508" t="str">
        <f>IF(CHOOSE(SET.LANGUAGE,'DICTIONARY-3'!B158,'DICTIONARY-3'!C158,'DICTIONARY-3'!D158,'DICTIONARY-3'!E158,'DICTIONARY-3'!F158)=0,("??? "&amp;"DICTIONARY-3/"&amp;"LINE"&amp;(ROW(A158))),CHOOSE(SET.LANGUAGE,'DICTIONARY-3'!B158,'DICTIONARY-3'!C158,'DICTIONARY-3'!D158,'DICTIONARY-3'!E158,'DICTIONARY-3'!F158))</f>
        <v>EMS</v>
      </c>
      <c r="B158" s="585" t="s">
        <v>6458</v>
      </c>
      <c r="C158" s="586" t="s">
        <v>6458</v>
      </c>
      <c r="D158" s="586" t="s">
        <v>6458</v>
      </c>
      <c r="E158" s="586" t="s">
        <v>6458</v>
      </c>
      <c r="F158" s="581" t="str">
        <f t="shared" si="8"/>
        <v>158❸EMS</v>
      </c>
      <c r="G158" s="582" t="str">
        <f t="shared" si="9"/>
        <v>'DICTIONARY-3'!$A$158</v>
      </c>
    </row>
    <row r="159" spans="1:7" x14ac:dyDescent="0.25">
      <c r="A159" s="508" t="str">
        <f>IF(CHOOSE(SET.LANGUAGE,'DICTIONARY-3'!B159,'DICTIONARY-3'!C159,'DICTIONARY-3'!D159,'DICTIONARY-3'!E159,'DICTIONARY-3'!F159)=0,("??? "&amp;"DICTIONARY-3/"&amp;"LINE"&amp;(ROW(A159))),CHOOSE(SET.LANGUAGE,'DICTIONARY-3'!B159,'DICTIONARY-3'!C159,'DICTIONARY-3'!D159,'DICTIONARY-3'!E159,'DICTIONARY-3'!F159))</f>
        <v>R</v>
      </c>
      <c r="B159" s="585" t="s">
        <v>6459</v>
      </c>
      <c r="C159" s="586" t="s">
        <v>6459</v>
      </c>
      <c r="D159" s="586" t="s">
        <v>6459</v>
      </c>
      <c r="E159" s="586" t="s">
        <v>6459</v>
      </c>
      <c r="F159" s="581" t="str">
        <f t="shared" si="8"/>
        <v>159❸R</v>
      </c>
      <c r="G159" s="582" t="str">
        <f t="shared" si="9"/>
        <v>'DICTIONARY-3'!$A$159</v>
      </c>
    </row>
    <row r="160" spans="1:7" x14ac:dyDescent="0.25">
      <c r="A160" s="508" t="str">
        <f>IF(CHOOSE(SET.LANGUAGE,'DICTIONARY-3'!B160,'DICTIONARY-3'!C160,'DICTIONARY-3'!D160,'DICTIONARY-3'!E160,'DICTIONARY-3'!F160)=0,("??? "&amp;"DICTIONARY-3/"&amp;"LINE"&amp;(ROW(A160))),CHOOSE(SET.LANGUAGE,'DICTIONARY-3'!B160,'DICTIONARY-3'!C160,'DICTIONARY-3'!D160,'DICTIONARY-3'!E160,'DICTIONARY-3'!F160))</f>
        <v>RU</v>
      </c>
      <c r="B160" s="585" t="s">
        <v>6460</v>
      </c>
      <c r="C160" s="586" t="s">
        <v>6460</v>
      </c>
      <c r="D160" s="586" t="s">
        <v>6460</v>
      </c>
      <c r="E160" s="586" t="s">
        <v>6460</v>
      </c>
      <c r="F160" s="581" t="str">
        <f t="shared" si="8"/>
        <v>160❸RU</v>
      </c>
      <c r="G160" s="582" t="str">
        <f t="shared" si="9"/>
        <v>'DICTIONARY-3'!$A$160</v>
      </c>
    </row>
    <row r="161" spans="1:7" x14ac:dyDescent="0.25">
      <c r="A161" s="508" t="str">
        <f>IF(CHOOSE(SET.LANGUAGE,'DICTIONARY-3'!B161,'DICTIONARY-3'!C161,'DICTIONARY-3'!D161,'DICTIONARY-3'!E161,'DICTIONARY-3'!F161)=0,("??? "&amp;"DICTIONARY-3/"&amp;"LINE"&amp;(ROW(A161))),CHOOSE(SET.LANGUAGE,'DICTIONARY-3'!B161,'DICTIONARY-3'!C161,'DICTIONARY-3'!D161,'DICTIONARY-3'!E161,'DICTIONARY-3'!F161))</f>
        <v>X</v>
      </c>
      <c r="B161" s="585" t="s">
        <v>6461</v>
      </c>
      <c r="C161" s="586" t="s">
        <v>6461</v>
      </c>
      <c r="D161" s="586" t="s">
        <v>6461</v>
      </c>
      <c r="E161" s="586" t="s">
        <v>6461</v>
      </c>
      <c r="F161" s="581" t="str">
        <f t="shared" si="8"/>
        <v>161❸X</v>
      </c>
      <c r="G161" s="582" t="str">
        <f t="shared" si="9"/>
        <v>'DICTIONARY-3'!$A$161</v>
      </c>
    </row>
    <row r="162" spans="1:7" x14ac:dyDescent="0.25">
      <c r="A162" s="508" t="str">
        <f>IF(CHOOSE(SET.LANGUAGE,'DICTIONARY-3'!B162,'DICTIONARY-3'!C162,'DICTIONARY-3'!D162,'DICTIONARY-3'!E162,'DICTIONARY-3'!F162)=0,("??? "&amp;"DICTIONARY-3/"&amp;"LINE"&amp;(ROW(A162))),CHOOSE(SET.LANGUAGE,'DICTIONARY-3'!B162,'DICTIONARY-3'!C162,'DICTIONARY-3'!D162,'DICTIONARY-3'!E162,'DICTIONARY-3'!F162))</f>
        <v>P</v>
      </c>
      <c r="B162" s="585" t="s">
        <v>6462</v>
      </c>
      <c r="C162" s="586" t="s">
        <v>6462</v>
      </c>
      <c r="D162" s="586" t="s">
        <v>6462</v>
      </c>
      <c r="E162" s="586" t="s">
        <v>6462</v>
      </c>
      <c r="F162" s="581" t="str">
        <f t="shared" si="8"/>
        <v>162❸P</v>
      </c>
      <c r="G162" s="582" t="str">
        <f t="shared" si="9"/>
        <v>'DICTIONARY-3'!$A$162</v>
      </c>
    </row>
    <row r="163" spans="1:7" x14ac:dyDescent="0.25">
      <c r="A163" s="508" t="str">
        <f>IF(CHOOSE(SET.LANGUAGE,'DICTIONARY-3'!B163,'DICTIONARY-3'!C163,'DICTIONARY-3'!D163,'DICTIONARY-3'!E163,'DICTIONARY-3'!F163)=0,("??? "&amp;"DICTIONARY-3/"&amp;"LINE"&amp;(ROW(A163))),CHOOSE(SET.LANGUAGE,'DICTIONARY-3'!B163,'DICTIONARY-3'!C163,'DICTIONARY-3'!D163,'DICTIONARY-3'!E163,'DICTIONARY-3'!F163))</f>
        <v>U</v>
      </c>
      <c r="B163" s="585" t="s">
        <v>6463</v>
      </c>
      <c r="C163" s="586" t="s">
        <v>6463</v>
      </c>
      <c r="D163" s="586" t="s">
        <v>6463</v>
      </c>
      <c r="E163" s="586" t="s">
        <v>6463</v>
      </c>
      <c r="F163" s="581" t="str">
        <f t="shared" si="8"/>
        <v>163❸U</v>
      </c>
      <c r="G163" s="582" t="str">
        <f t="shared" si="9"/>
        <v>'DICTIONARY-3'!$A$163</v>
      </c>
    </row>
    <row r="164" spans="1:7" x14ac:dyDescent="0.25">
      <c r="A164" s="508" t="str">
        <f>IF(CHOOSE(SET.LANGUAGE,'DICTIONARY-3'!B164,'DICTIONARY-3'!C164,'DICTIONARY-3'!D164,'DICTIONARY-3'!E164,'DICTIONARY-3'!F164)=0,("??? "&amp;"DICTIONARY-3/"&amp;"LINE"&amp;(ROW(A164))),CHOOSE(SET.LANGUAGE,'DICTIONARY-3'!B164,'DICTIONARY-3'!C164,'DICTIONARY-3'!D164,'DICTIONARY-3'!E164,'DICTIONARY-3'!F164))</f>
        <v>DVS</v>
      </c>
      <c r="B164" s="585" t="s">
        <v>6464</v>
      </c>
      <c r="C164" s="586" t="s">
        <v>6464</v>
      </c>
      <c r="D164" s="586" t="s">
        <v>6464</v>
      </c>
      <c r="E164" s="586" t="s">
        <v>6464</v>
      </c>
      <c r="F164" s="581" t="str">
        <f t="shared" si="8"/>
        <v>164❸DVS</v>
      </c>
      <c r="G164" s="582" t="str">
        <f t="shared" si="9"/>
        <v>'DICTIONARY-3'!$A$164</v>
      </c>
    </row>
    <row r="165" spans="1:7" x14ac:dyDescent="0.25">
      <c r="A165" s="508" t="str">
        <f>IF(CHOOSE(SET.LANGUAGE,'DICTIONARY-3'!B165,'DICTIONARY-3'!C165,'DICTIONARY-3'!D165,'DICTIONARY-3'!E165,'DICTIONARY-3'!F165)=0,("??? "&amp;"DICTIONARY-3/"&amp;"LINE"&amp;(ROW(A165))),CHOOSE(SET.LANGUAGE,'DICTIONARY-3'!B165,'DICTIONARY-3'!C165,'DICTIONARY-3'!D165,'DICTIONARY-3'!E165,'DICTIONARY-3'!F165))</f>
        <v>MTT</v>
      </c>
      <c r="B165" s="585" t="s">
        <v>6465</v>
      </c>
      <c r="C165" s="586" t="s">
        <v>6465</v>
      </c>
      <c r="D165" s="586" t="s">
        <v>6465</v>
      </c>
      <c r="E165" s="586" t="s">
        <v>6465</v>
      </c>
      <c r="F165" s="581" t="str">
        <f t="shared" si="8"/>
        <v>165❸MTT</v>
      </c>
      <c r="G165" s="582" t="str">
        <f t="shared" si="9"/>
        <v>'DICTIONARY-3'!$A$165</v>
      </c>
    </row>
    <row r="166" spans="1:7" x14ac:dyDescent="0.25">
      <c r="A166" s="508" t="str">
        <f>IF(CHOOSE(SET.LANGUAGE,'DICTIONARY-3'!B166,'DICTIONARY-3'!C166,'DICTIONARY-3'!D166,'DICTIONARY-3'!E166,'DICTIONARY-3'!F166)=0,("??? "&amp;"DICTIONARY-3/"&amp;"LINE"&amp;(ROW(A166))),CHOOSE(SET.LANGUAGE,'DICTIONARY-3'!B166,'DICTIONARY-3'!C166,'DICTIONARY-3'!D166,'DICTIONARY-3'!E166,'DICTIONARY-3'!F166))</f>
        <v>MMB</v>
      </c>
      <c r="B166" s="585" t="s">
        <v>6466</v>
      </c>
      <c r="C166" s="586" t="s">
        <v>6466</v>
      </c>
      <c r="D166" s="586" t="s">
        <v>6466</v>
      </c>
      <c r="E166" s="586" t="s">
        <v>6466</v>
      </c>
      <c r="F166" s="581" t="str">
        <f t="shared" si="8"/>
        <v>166❸MMB</v>
      </c>
      <c r="G166" s="582" t="str">
        <f t="shared" si="9"/>
        <v>'DICTIONARY-3'!$A$166</v>
      </c>
    </row>
    <row r="167" spans="1:7" x14ac:dyDescent="0.25">
      <c r="A167" s="508" t="str">
        <f>IF(CHOOSE(SET.LANGUAGE,'DICTIONARY-3'!B167,'DICTIONARY-3'!C167,'DICTIONARY-3'!D167,'DICTIONARY-3'!E167,'DICTIONARY-3'!F167)=0,("??? "&amp;"DICTIONARY-3/"&amp;"LINE"&amp;(ROW(A167))),CHOOSE(SET.LANGUAGE,'DICTIONARY-3'!B167,'DICTIONARY-3'!C167,'DICTIONARY-3'!D167,'DICTIONARY-3'!E167,'DICTIONARY-3'!F167))</f>
        <v>EN</v>
      </c>
      <c r="B167" s="585" t="s">
        <v>5881</v>
      </c>
      <c r="C167" s="586" t="s">
        <v>5881</v>
      </c>
      <c r="D167" s="586" t="s">
        <v>5881</v>
      </c>
      <c r="E167" s="586" t="s">
        <v>5881</v>
      </c>
      <c r="F167" s="581" t="str">
        <f t="shared" si="8"/>
        <v>167❸EN</v>
      </c>
      <c r="G167" s="582" t="str">
        <f t="shared" si="9"/>
        <v>'DICTIONARY-3'!$A$167</v>
      </c>
    </row>
    <row r="168" spans="1:7" x14ac:dyDescent="0.25">
      <c r="A168" s="508" t="str">
        <f>IF(CHOOSE(SET.LANGUAGE,'DICTIONARY-3'!B168,'DICTIONARY-3'!C168,'DICTIONARY-3'!D168,'DICTIONARY-3'!E168,'DICTIONARY-3'!F168)=0,("??? "&amp;"DICTIONARY-3/"&amp;"LINE"&amp;(ROW(A168))),CHOOSE(SET.LANGUAGE,'DICTIONARY-3'!B168,'DICTIONARY-3'!C168,'DICTIONARY-3'!D168,'DICTIONARY-3'!E168,'DICTIONARY-3'!F168))</f>
        <v>MMN</v>
      </c>
      <c r="B168" s="585" t="s">
        <v>6467</v>
      </c>
      <c r="C168" s="586" t="s">
        <v>6467</v>
      </c>
      <c r="D168" s="586" t="s">
        <v>6467</v>
      </c>
      <c r="E168" s="586" t="s">
        <v>6467</v>
      </c>
      <c r="F168" s="581" t="str">
        <f t="shared" si="8"/>
        <v>168❸MMN</v>
      </c>
      <c r="G168" s="582" t="str">
        <f t="shared" si="9"/>
        <v>'DICTIONARY-3'!$A$168</v>
      </c>
    </row>
    <row r="169" spans="1:7" x14ac:dyDescent="0.25">
      <c r="A169" s="508" t="str">
        <f>IF(CHOOSE(SET.LANGUAGE,'DICTIONARY-3'!B169,'DICTIONARY-3'!C169,'DICTIONARY-3'!D169,'DICTIONARY-3'!E169,'DICTIONARY-3'!F169)=0,("??? "&amp;"DICTIONARY-3/"&amp;"LINE"&amp;(ROW(A169))),CHOOSE(SET.LANGUAGE,'DICTIONARY-3'!B169,'DICTIONARY-3'!C169,'DICTIONARY-3'!D169,'DICTIONARY-3'!E169,'DICTIONARY-3'!F169))</f>
        <v>EU</v>
      </c>
      <c r="B169" s="690" t="s">
        <v>6468</v>
      </c>
      <c r="C169" s="586" t="s">
        <v>6468</v>
      </c>
      <c r="D169" s="586" t="s">
        <v>6468</v>
      </c>
      <c r="E169" s="586" t="s">
        <v>6468</v>
      </c>
      <c r="F169" s="581" t="str">
        <f t="shared" si="8"/>
        <v>169❸EU</v>
      </c>
      <c r="G169" s="582" t="str">
        <f t="shared" si="9"/>
        <v>'DICTIONARY-3'!$A$169</v>
      </c>
    </row>
    <row r="170" spans="1:7" x14ac:dyDescent="0.25">
      <c r="A170" s="508" t="str">
        <f>IF(CHOOSE(SET.LANGUAGE,'DICTIONARY-3'!B170,'DICTIONARY-3'!C170,'DICTIONARY-3'!D170,'DICTIONARY-3'!E170,'DICTIONARY-3'!F170)=0,("??? "&amp;"DICTIONARY-3/"&amp;"LINE"&amp;(ROW(A170))),CHOOSE(SET.LANGUAGE,'DICTIONARY-3'!B170,'DICTIONARY-3'!C170,'DICTIONARY-3'!D170,'DICTIONARY-3'!E170,'DICTIONARY-3'!F170))</f>
        <v>F</v>
      </c>
      <c r="B170" s="585" t="s">
        <v>6469</v>
      </c>
      <c r="C170" s="586" t="s">
        <v>6469</v>
      </c>
      <c r="D170" s="586" t="s">
        <v>6469</v>
      </c>
      <c r="E170" s="586" t="s">
        <v>6469</v>
      </c>
      <c r="F170" s="581" t="str">
        <f t="shared" si="8"/>
        <v>170❸F</v>
      </c>
      <c r="G170" s="582" t="str">
        <f t="shared" si="9"/>
        <v>'DICTIONARY-3'!$A$170</v>
      </c>
    </row>
    <row r="171" spans="1:7" x14ac:dyDescent="0.25">
      <c r="A171" s="508" t="str">
        <f>IF(CHOOSE(SET.LANGUAGE,'DICTIONARY-3'!B171,'DICTIONARY-3'!C171,'DICTIONARY-3'!D171,'DICTIONARY-3'!E171,'DICTIONARY-3'!F171)=0,("??? "&amp;"DICTIONARY-3/"&amp;"LINE"&amp;(ROW(A171))),CHOOSE(SET.LANGUAGE,'DICTIONARY-3'!B171,'DICTIONARY-3'!C171,'DICTIONARY-3'!D171,'DICTIONARY-3'!E171,'DICTIONARY-3'!F171))</f>
        <v>MMQ</v>
      </c>
      <c r="B171" s="585" t="s">
        <v>6470</v>
      </c>
      <c r="C171" s="586" t="s">
        <v>6470</v>
      </c>
      <c r="D171" s="586" t="s">
        <v>6470</v>
      </c>
      <c r="E171" s="586" t="s">
        <v>6470</v>
      </c>
      <c r="F171" s="581" t="str">
        <f t="shared" si="8"/>
        <v>171❸MMQ</v>
      </c>
      <c r="G171" s="582" t="str">
        <f t="shared" si="9"/>
        <v>'DICTIONARY-3'!$A$171</v>
      </c>
    </row>
    <row r="172" spans="1:7" x14ac:dyDescent="0.25">
      <c r="A172" s="508" t="str">
        <f>IF(CHOOSE(SET.LANGUAGE,'DICTIONARY-3'!B172,'DICTIONARY-3'!C172,'DICTIONARY-3'!D172,'DICTIONARY-3'!E172,'DICTIONARY-3'!F172)=0,("??? "&amp;"DICTIONARY-3/"&amp;"LINE"&amp;(ROW(A172))),CHOOSE(SET.LANGUAGE,'DICTIONARY-3'!B172,'DICTIONARY-3'!C172,'DICTIONARY-3'!D172,'DICTIONARY-3'!E172,'DICTIONARY-3'!F172))</f>
        <v>MMK</v>
      </c>
      <c r="B172" s="585" t="s">
        <v>6471</v>
      </c>
      <c r="C172" s="586" t="s">
        <v>6471</v>
      </c>
      <c r="D172" s="586" t="s">
        <v>6471</v>
      </c>
      <c r="E172" s="586" t="s">
        <v>6471</v>
      </c>
      <c r="F172" s="581" t="str">
        <f t="shared" si="8"/>
        <v>172❸MMK</v>
      </c>
      <c r="G172" s="582" t="str">
        <f t="shared" si="9"/>
        <v>'DICTIONARY-3'!$A$172</v>
      </c>
    </row>
    <row r="173" spans="1:7" x14ac:dyDescent="0.25">
      <c r="A173" s="508" t="str">
        <f>IF(CHOOSE(SET.LANGUAGE,'DICTIONARY-3'!B173,'DICTIONARY-3'!C173,'DICTIONARY-3'!D173,'DICTIONARY-3'!E173,'DICTIONARY-3'!F173)=0,("??? "&amp;"DICTIONARY-3/"&amp;"LINE"&amp;(ROW(A173))),CHOOSE(SET.LANGUAGE,'DICTIONARY-3'!B173,'DICTIONARY-3'!C173,'DICTIONARY-3'!D173,'DICTIONARY-3'!E173,'DICTIONARY-3'!F173))</f>
        <v>MSK</v>
      </c>
      <c r="B173" s="585" t="s">
        <v>6472</v>
      </c>
      <c r="C173" s="586" t="s">
        <v>6472</v>
      </c>
      <c r="D173" s="586" t="s">
        <v>6472</v>
      </c>
      <c r="E173" s="586" t="s">
        <v>6472</v>
      </c>
      <c r="F173" s="581" t="str">
        <f t="shared" si="8"/>
        <v>173❸MSK</v>
      </c>
      <c r="G173" s="582" t="str">
        <f t="shared" si="9"/>
        <v>'DICTIONARY-3'!$A$173</v>
      </c>
    </row>
    <row r="174" spans="1:7" x14ac:dyDescent="0.25">
      <c r="A174" s="508" t="str">
        <f>IF(CHOOSE(SET.LANGUAGE,'DICTIONARY-3'!B174,'DICTIONARY-3'!C174,'DICTIONARY-3'!D174,'DICTIONARY-3'!E174,'DICTIONARY-3'!F174)=0,("??? "&amp;"DICTIONARY-3/"&amp;"LINE"&amp;(ROW(A174))),CHOOSE(SET.LANGUAGE,'DICTIONARY-3'!B174,'DICTIONARY-3'!C174,'DICTIONARY-3'!D174,'DICTIONARY-3'!E174,'DICTIONARY-3'!F174))</f>
        <v>‎</v>
      </c>
      <c r="B174" s="690" t="s">
        <v>6474</v>
      </c>
      <c r="C174" s="586" t="s">
        <v>6474</v>
      </c>
      <c r="D174" s="586" t="s">
        <v>6475</v>
      </c>
      <c r="E174" s="584" t="s">
        <v>6477</v>
      </c>
      <c r="F174" s="581" t="str">
        <f t="shared" si="8"/>
        <v>174❸-kus</v>
      </c>
      <c r="G174" s="582" t="str">
        <f t="shared" si="9"/>
        <v>'DICTIONARY-3'!$A$174</v>
      </c>
    </row>
    <row r="175" spans="1:7" x14ac:dyDescent="0.25">
      <c r="A175" s="508" t="str">
        <f>IF(CHOOSE(SET.LANGUAGE,'DICTIONARY-3'!B175,'DICTIONARY-3'!C175,'DICTIONARY-3'!D175,'DICTIONARY-3'!E175,'DICTIONARY-3'!F175)=0,("??? "&amp;"DICTIONARY-3/"&amp;"LINE"&amp;(ROW(A175))),CHOOSE(SET.LANGUAGE,'DICTIONARY-3'!B175,'DICTIONARY-3'!C175,'DICTIONARY-3'!D175,'DICTIONARY-3'!E175,'DICTIONARY-3'!F175))</f>
        <v>Kształtka-</v>
      </c>
      <c r="B175" s="689" t="s">
        <v>6477</v>
      </c>
      <c r="C175" s="584" t="s">
        <v>6477</v>
      </c>
      <c r="D175" s="584" t="s">
        <v>6477</v>
      </c>
      <c r="E175" s="586" t="s">
        <v>6476</v>
      </c>
      <c r="F175" s="581" t="str">
        <f t="shared" si="8"/>
        <v>175❸‎</v>
      </c>
      <c r="G175" s="582" t="str">
        <f t="shared" si="9"/>
        <v>'DICTIONARY-3'!$A$175</v>
      </c>
    </row>
    <row r="176" spans="1:7" x14ac:dyDescent="0.25">
      <c r="A176" s="508" t="str">
        <f>IF(CHOOSE(SET.LANGUAGE,'DICTIONARY-3'!B176,'DICTIONARY-3'!C176,'DICTIONARY-3'!D176,'DICTIONARY-3'!E176,'DICTIONARY-3'!F176)=0,("??? "&amp;"DICTIONARY-3/"&amp;"LINE"&amp;(ROW(A176))),CHOOSE(SET.LANGUAGE,'DICTIONARY-3'!B176,'DICTIONARY-3'!C176,'DICTIONARY-3'!D176,'DICTIONARY-3'!E176,'DICTIONARY-3'!F176))</f>
        <v>PEa</v>
      </c>
      <c r="B176" s="690" t="s">
        <v>5875</v>
      </c>
      <c r="C176" s="586" t="s">
        <v>5875</v>
      </c>
      <c r="D176" s="586" t="s">
        <v>6473</v>
      </c>
      <c r="E176" s="586" t="s">
        <v>6473</v>
      </c>
      <c r="F176" s="581" t="str">
        <f t="shared" si="8"/>
        <v>176❸BAIO PEa</v>
      </c>
      <c r="G176" s="582" t="str">
        <f t="shared" si="9"/>
        <v>'DICTIONARY-3'!$A$176</v>
      </c>
    </row>
    <row r="177" spans="1:7" x14ac:dyDescent="0.25">
      <c r="A177" s="508" t="str">
        <f>IF(CHOOSE(SET.LANGUAGE,'DICTIONARY-3'!B177,'DICTIONARY-3'!C177,'DICTIONARY-3'!D177,'DICTIONARY-3'!E177,'DICTIONARY-3'!F177)=0,("??? "&amp;"DICTIONARY-3/"&amp;"LINE"&amp;(ROW(A177))),CHOOSE(SET.LANGUAGE,'DICTIONARY-3'!B177,'DICTIONARY-3'!C177,'DICTIONARY-3'!D177,'DICTIONARY-3'!E177,'DICTIONARY-3'!F177))</f>
        <v>BAIOanti-twist</v>
      </c>
      <c r="B177" s="690" t="s">
        <v>5566</v>
      </c>
      <c r="C177" s="586" t="s">
        <v>5566</v>
      </c>
      <c r="D177" s="586" t="s">
        <v>5566</v>
      </c>
      <c r="E177" s="586" t="s">
        <v>5566</v>
      </c>
      <c r="F177" s="581" t="str">
        <f t="shared" si="8"/>
        <v>177❸BAIOanti-twist</v>
      </c>
      <c r="G177" s="582" t="str">
        <f t="shared" si="9"/>
        <v>'DICTIONARY-3'!$A$177</v>
      </c>
    </row>
    <row r="178" spans="1:7" x14ac:dyDescent="0.25">
      <c r="A178" s="508" t="str">
        <f>IF(CHOOSE(SET.LANGUAGE,'DICTIONARY-3'!B178,'DICTIONARY-3'!C178,'DICTIONARY-3'!D178,'DICTIONARY-3'!E178,'DICTIONARY-3'!F178)=0,("??? "&amp;"DICTIONARY-3/"&amp;"LINE"&amp;(ROW(A178))),CHOOSE(SET.LANGUAGE,'DICTIONARY-3'!B178,'DICTIONARY-3'!C178,'DICTIONARY-3'!D178,'DICTIONARY-3'!E178,'DICTIONARY-3'!F178))</f>
        <v>BAIO GKS</v>
      </c>
      <c r="B178" s="690" t="s">
        <v>5595</v>
      </c>
      <c r="C178" s="586" t="s">
        <v>5595</v>
      </c>
      <c r="D178" s="586" t="s">
        <v>5595</v>
      </c>
      <c r="E178" s="586" t="s">
        <v>5595</v>
      </c>
      <c r="F178" s="581" t="str">
        <f t="shared" si="8"/>
        <v>178❸BAIO GKS</v>
      </c>
      <c r="G178" s="582" t="str">
        <f t="shared" si="9"/>
        <v>'DICTIONARY-3'!$A$178</v>
      </c>
    </row>
    <row r="179" spans="1:7" x14ac:dyDescent="0.25">
      <c r="A179" s="508" t="str">
        <f>IF(CHOOSE(SET.LANGUAGE,'DICTIONARY-3'!B179,'DICTIONARY-3'!C179,'DICTIONARY-3'!D179,'DICTIONARY-3'!E179,'DICTIONARY-3'!F179)=0,("??? "&amp;"DICTIONARY-3/"&amp;"LINE"&amp;(ROW(A179))),CHOOSE(SET.LANGUAGE,'DICTIONARY-3'!B179,'DICTIONARY-3'!C179,'DICTIONARY-3'!D179,'DICTIONARY-3'!E179,'DICTIONARY-3'!F179))</f>
        <v>BAIO TYTON</v>
      </c>
      <c r="B179" s="690" t="s">
        <v>5596</v>
      </c>
      <c r="C179" s="586" t="s">
        <v>5596</v>
      </c>
      <c r="D179" s="586" t="s">
        <v>5596</v>
      </c>
      <c r="E179" s="586" t="s">
        <v>5596</v>
      </c>
      <c r="F179" s="581" t="str">
        <f t="shared" si="8"/>
        <v>179❸BAIO TYTON</v>
      </c>
      <c r="G179" s="582" t="str">
        <f t="shared" si="9"/>
        <v>'DICTIONARY-3'!$A$179</v>
      </c>
    </row>
    <row r="180" spans="1:7" x14ac:dyDescent="0.25">
      <c r="A180" s="508" t="str">
        <f>IF(CHOOSE(SET.LANGUAGE,'DICTIONARY-3'!B180,'DICTIONARY-3'!C180,'DICTIONARY-3'!D180,'DICTIONARY-3'!E180,'DICTIONARY-3'!F180)=0,("??? "&amp;"DICTIONARY-3/"&amp;"LINE"&amp;(ROW(A180))),CHOOSE(SET.LANGUAGE,'DICTIONARY-3'!B180,'DICTIONARY-3'!C180,'DICTIONARY-3'!D180,'DICTIONARY-3'!E180,'DICTIONARY-3'!F180))</f>
        <v>BAIOstop</v>
      </c>
      <c r="B180" s="690" t="s">
        <v>5565</v>
      </c>
      <c r="C180" s="586" t="s">
        <v>5565</v>
      </c>
      <c r="D180" s="586" t="s">
        <v>5565</v>
      </c>
      <c r="E180" s="586" t="s">
        <v>5565</v>
      </c>
      <c r="F180" s="581" t="str">
        <f t="shared" si="8"/>
        <v>180❸BAIOstop</v>
      </c>
      <c r="G180" s="582" t="str">
        <f t="shared" si="9"/>
        <v>'DICTIONARY-3'!$A$180</v>
      </c>
    </row>
    <row r="181" spans="1:7" x14ac:dyDescent="0.25">
      <c r="A181" s="508" t="str">
        <f>IF(CHOOSE(SET.LANGUAGE,'DICTIONARY-3'!B181,'DICTIONARY-3'!C181,'DICTIONARY-3'!D181,'DICTIONARY-3'!E181,'DICTIONARY-3'!F181)=0,("??? "&amp;"DICTIONARY-3/"&amp;"LINE"&amp;(ROW(A181))),CHOOSE(SET.LANGUAGE,'DICTIONARY-3'!B181,'DICTIONARY-3'!C181,'DICTIONARY-3'!D181,'DICTIONARY-3'!E181,'DICTIONARY-3'!F181))</f>
        <v>BAIO BEV</v>
      </c>
      <c r="B181" s="690" t="s">
        <v>69</v>
      </c>
      <c r="C181" s="586" t="s">
        <v>69</v>
      </c>
      <c r="D181" s="586" t="s">
        <v>69</v>
      </c>
      <c r="E181" s="586" t="s">
        <v>69</v>
      </c>
      <c r="F181" s="581" t="str">
        <f t="shared" si="8"/>
        <v>181❸BAIO BEV</v>
      </c>
      <c r="G181" s="582" t="str">
        <f t="shared" si="9"/>
        <v>'DICTIONARY-3'!$A$181</v>
      </c>
    </row>
    <row r="182" spans="1:7" x14ac:dyDescent="0.25">
      <c r="A182" s="508" t="str">
        <f>IF(CHOOSE(SET.LANGUAGE,'DICTIONARY-3'!B182,'DICTIONARY-3'!C182,'DICTIONARY-3'!D182,'DICTIONARY-3'!E182,'DICTIONARY-3'!F182)=0,("??? "&amp;"DICTIONARY-3/"&amp;"LINE"&amp;(ROW(A182))),CHOOSE(SET.LANGUAGE,'DICTIONARY-3'!B182,'DICTIONARY-3'!C182,'DICTIONARY-3'!D182,'DICTIONARY-3'!E182,'DICTIONARY-3'!F182))</f>
        <v>BAIO HYDRUS G</v>
      </c>
      <c r="B182" s="690" t="s">
        <v>6147</v>
      </c>
      <c r="C182" s="586" t="s">
        <v>6147</v>
      </c>
      <c r="D182" s="586" t="s">
        <v>6147</v>
      </c>
      <c r="E182" s="586" t="s">
        <v>6147</v>
      </c>
      <c r="F182" s="581" t="str">
        <f t="shared" si="8"/>
        <v>182❸BAIO HYDRUS G</v>
      </c>
      <c r="G182" s="582" t="str">
        <f t="shared" si="9"/>
        <v>'DICTIONARY-3'!$A$182</v>
      </c>
    </row>
    <row r="183" spans="1:7" x14ac:dyDescent="0.25">
      <c r="A183" s="508" t="str">
        <f>IF(CHOOSE(SET.LANGUAGE,'DICTIONARY-3'!B183,'DICTIONARY-3'!C183,'DICTIONARY-3'!D183,'DICTIONARY-3'!E183,'DICTIONARY-3'!F183)=0,("??? "&amp;"DICTIONARY-3/"&amp;"LINE"&amp;(ROW(A183))),CHOOSE(SET.LANGUAGE,'DICTIONARY-3'!B183,'DICTIONARY-3'!C183,'DICTIONARY-3'!D183,'DICTIONARY-3'!E183,'DICTIONARY-3'!F183))</f>
        <v>BAIO HYDRUS G2</v>
      </c>
      <c r="B183" s="690" t="s">
        <v>6453</v>
      </c>
      <c r="C183" s="586" t="s">
        <v>6453</v>
      </c>
      <c r="D183" s="586" t="s">
        <v>6453</v>
      </c>
      <c r="E183" s="586" t="s">
        <v>6453</v>
      </c>
      <c r="F183" s="581" t="str">
        <f t="shared" si="8"/>
        <v>183❸BAIO HYDRUS G2</v>
      </c>
      <c r="G183" s="582" t="str">
        <f t="shared" si="9"/>
        <v>'DICTIONARY-3'!$A$183</v>
      </c>
    </row>
    <row r="184" spans="1:7" x14ac:dyDescent="0.25">
      <c r="A184" s="508" t="str">
        <f>IF(CHOOSE(SET.LANGUAGE,'DICTIONARY-3'!B184,'DICTIONARY-3'!C184,'DICTIONARY-3'!D184,'DICTIONARY-3'!E184,'DICTIONARY-3'!F184)=0,("??? "&amp;"DICTIONARY-3/"&amp;"LINE"&amp;(ROW(A184))),CHOOSE(SET.LANGUAGE,'DICTIONARY-3'!B184,'DICTIONARY-3'!C184,'DICTIONARY-3'!D184,'DICTIONARY-3'!E184,'DICTIONARY-3'!F184))</f>
        <v>BAIO BETA 200</v>
      </c>
      <c r="B184" s="690" t="s">
        <v>68</v>
      </c>
      <c r="C184" s="586" t="s">
        <v>68</v>
      </c>
      <c r="D184" s="586" t="s">
        <v>68</v>
      </c>
      <c r="E184" s="586" t="s">
        <v>68</v>
      </c>
      <c r="F184" s="581" t="str">
        <f t="shared" si="8"/>
        <v>184❸BAIO BETA 200</v>
      </c>
      <c r="G184" s="582" t="str">
        <f t="shared" si="9"/>
        <v>'DICTIONARY-3'!$A$184</v>
      </c>
    </row>
    <row r="185" spans="1:7" x14ac:dyDescent="0.25">
      <c r="A185" s="508" t="str">
        <f>IF(CHOOSE(SET.LANGUAGE,'DICTIONARY-3'!B185,'DICTIONARY-3'!C185,'DICTIONARY-3'!D185,'DICTIONARY-3'!E185,'DICTIONARY-3'!F185)=0,("??? "&amp;"DICTIONARY-3/"&amp;"LINE"&amp;(ROW(A185))),CHOOSE(SET.LANGUAGE,'DICTIONARY-3'!B185,'DICTIONARY-3'!C185,'DICTIONARY-3'!D185,'DICTIONARY-3'!E185,'DICTIONARY-3'!F185))</f>
        <v>VODOREGULA</v>
      </c>
      <c r="B185" s="690" t="s">
        <v>852</v>
      </c>
      <c r="C185" s="586" t="s">
        <v>852</v>
      </c>
      <c r="D185" s="586" t="s">
        <v>852</v>
      </c>
      <c r="E185" s="586" t="s">
        <v>852</v>
      </c>
      <c r="F185" s="581" t="str">
        <f t="shared" si="8"/>
        <v>185❸VODOREGULA</v>
      </c>
      <c r="G185" s="582" t="str">
        <f t="shared" si="9"/>
        <v>'DICTIONARY-3'!$A$185</v>
      </c>
    </row>
    <row r="186" spans="1:7" x14ac:dyDescent="0.25">
      <c r="A186" s="508" t="str">
        <f>IF(CHOOSE(SET.LANGUAGE,'DICTIONARY-3'!B186,'DICTIONARY-3'!C186,'DICTIONARY-3'!D186,'DICTIONARY-3'!E186,'DICTIONARY-3'!F186)=0,("??? "&amp;"DICTIONARY-3/"&amp;"LINE"&amp;(ROW(A186))),CHOOSE(SET.LANGUAGE,'DICTIONARY-3'!B186,'DICTIONARY-3'!C186,'DICTIONARY-3'!D186,'DICTIONARY-3'!E186,'DICTIONARY-3'!F186))</f>
        <v>BOBR</v>
      </c>
      <c r="B186" s="690" t="s">
        <v>854</v>
      </c>
      <c r="C186" s="586" t="s">
        <v>854</v>
      </c>
      <c r="D186" s="586" t="s">
        <v>854</v>
      </c>
      <c r="E186" s="586" t="s">
        <v>854</v>
      </c>
      <c r="F186" s="581" t="str">
        <f t="shared" si="8"/>
        <v>186❸BOBR</v>
      </c>
      <c r="G186" s="582" t="str">
        <f t="shared" si="9"/>
        <v>'DICTIONARY-3'!$A$186</v>
      </c>
    </row>
    <row r="187" spans="1:7" x14ac:dyDescent="0.25">
      <c r="A187" s="508" t="str">
        <f>IF(CHOOSE(SET.LANGUAGE,'DICTIONARY-3'!B187,'DICTIONARY-3'!C187,'DICTIONARY-3'!D187,'DICTIONARY-3'!E187,'DICTIONARY-3'!F187)=0,("??? "&amp;"DICTIONARY-3/"&amp;"LINE"&amp;(ROW(A187))),CHOOSE(SET.LANGUAGE,'DICTIONARY-3'!B187,'DICTIONARY-3'!C187,'DICTIONARY-3'!D187,'DICTIONARY-3'!E187,'DICTIONARY-3'!F187))</f>
        <v>Zasuwa klinowa</v>
      </c>
      <c r="B187" s="603" t="s">
        <v>5602</v>
      </c>
      <c r="C187" s="586" t="s">
        <v>7744</v>
      </c>
      <c r="D187" s="586" t="s">
        <v>6753</v>
      </c>
      <c r="E187" s="586" t="s">
        <v>6990</v>
      </c>
      <c r="F187" s="581" t="str">
        <f t="shared" si="8"/>
        <v>187❸Měkkotěsnicí šoupátko</v>
      </c>
      <c r="G187" s="582" t="str">
        <f t="shared" si="9"/>
        <v>'DICTIONARY-3'!$A$187</v>
      </c>
    </row>
    <row r="188" spans="1:7" x14ac:dyDescent="0.25">
      <c r="A188" s="508" t="str">
        <f>IF(CHOOSE(SET.LANGUAGE,'DICTIONARY-3'!B188,'DICTIONARY-3'!C188,'DICTIONARY-3'!D188,'DICTIONARY-3'!E188,'DICTIONARY-3'!F188)=0,("??? "&amp;"DICTIONARY-3/"&amp;"LINE"&amp;(ROW(A188))),CHOOSE(SET.LANGUAGE,'DICTIONARY-3'!B188,'DICTIONARY-3'!C188,'DICTIONARY-3'!D188,'DICTIONARY-3'!E188,'DICTIONARY-3'!F188))</f>
        <v>Zasuwa klinowa</v>
      </c>
      <c r="B188" s="603" t="s">
        <v>5825</v>
      </c>
      <c r="C188" s="586" t="s">
        <v>7745</v>
      </c>
      <c r="D188" s="586" t="s">
        <v>6753</v>
      </c>
      <c r="E188" s="586" t="s">
        <v>6990</v>
      </c>
      <c r="F188" s="581" t="str">
        <f t="shared" si="8"/>
        <v>188❸Kovotěsnicí šoupátko</v>
      </c>
      <c r="G188" s="582" t="str">
        <f t="shared" si="9"/>
        <v>'DICTIONARY-3'!$A$188</v>
      </c>
    </row>
    <row r="189" spans="1:7" x14ac:dyDescent="0.25">
      <c r="A189" s="508" t="str">
        <f>IF(CHOOSE(SET.LANGUAGE,'DICTIONARY-3'!B189,'DICTIONARY-3'!C189,'DICTIONARY-3'!D189,'DICTIONARY-3'!E189,'DICTIONARY-3'!F189)=0,("??? "&amp;"DICTIONARY-3/"&amp;"LINE"&amp;(ROW(A189))),CHOOSE(SET.LANGUAGE,'DICTIONARY-3'!B189,'DICTIONARY-3'!C189,'DICTIONARY-3'!D189,'DICTIONARY-3'!E189,'DICTIONARY-3'!F189))</f>
        <v>Zasuwa nożowa</v>
      </c>
      <c r="B189" s="603" t="s">
        <v>5815</v>
      </c>
      <c r="C189" s="586" t="s">
        <v>7493</v>
      </c>
      <c r="D189" s="586" t="s">
        <v>6765</v>
      </c>
      <c r="E189" s="586" t="s">
        <v>6991</v>
      </c>
      <c r="F189" s="581" t="str">
        <f t="shared" si="8"/>
        <v>189❸Nožové šoupátko</v>
      </c>
      <c r="G189" s="582" t="str">
        <f t="shared" si="9"/>
        <v>'DICTIONARY-3'!$A$189</v>
      </c>
    </row>
    <row r="190" spans="1:7" x14ac:dyDescent="0.25">
      <c r="A190" s="508" t="str">
        <f>IF(CHOOSE(SET.LANGUAGE,'DICTIONARY-3'!B190,'DICTIONARY-3'!C190,'DICTIONARY-3'!D190,'DICTIONARY-3'!E190,'DICTIONARY-3'!F190)=0,("??? "&amp;"DICTIONARY-3/"&amp;"LINE"&amp;(ROW(A190))),CHOOSE(SET.LANGUAGE,'DICTIONARY-3'!B190,'DICTIONARY-3'!C190,'DICTIONARY-3'!D190,'DICTIONARY-3'!E190,'DICTIONARY-3'!F190))</f>
        <v>Zasuwa wrzecionowa</v>
      </c>
      <c r="B190" s="603" t="s">
        <v>5806</v>
      </c>
      <c r="C190" s="586" t="s">
        <v>7494</v>
      </c>
      <c r="D190" s="586" t="s">
        <v>6506</v>
      </c>
      <c r="E190" s="586" t="s">
        <v>6992</v>
      </c>
      <c r="F190" s="581" t="str">
        <f t="shared" si="8"/>
        <v>190❸Vřetenové šoupátko</v>
      </c>
      <c r="G190" s="582" t="str">
        <f t="shared" si="9"/>
        <v>'DICTIONARY-3'!$A$190</v>
      </c>
    </row>
    <row r="191" spans="1:7" x14ac:dyDescent="0.25">
      <c r="A191" s="508" t="str">
        <f>IF(CHOOSE(SET.LANGUAGE,'DICTIONARY-3'!B191,'DICTIONARY-3'!C191,'DICTIONARY-3'!D191,'DICTIONARY-3'!E191,'DICTIONARY-3'!F191)=0,("??? "&amp;"DICTIONARY-3/"&amp;"LINE"&amp;(ROW(A191))),CHOOSE(SET.LANGUAGE,'DICTIONARY-3'!B191,'DICTIONARY-3'!C191,'DICTIONARY-3'!D191,'DICTIONARY-3'!E191,'DICTIONARY-3'!F191))</f>
        <v>Zestaw sterowania</v>
      </c>
      <c r="B191" s="603" t="s">
        <v>5813</v>
      </c>
      <c r="C191" s="586" t="s">
        <v>7746</v>
      </c>
      <c r="D191" s="586" t="s">
        <v>6764</v>
      </c>
      <c r="E191" s="586" t="s">
        <v>6993</v>
      </c>
      <c r="F191" s="581" t="str">
        <f t="shared" si="8"/>
        <v>191❸Ovládací sestava</v>
      </c>
      <c r="G191" s="582" t="str">
        <f t="shared" si="9"/>
        <v>'DICTIONARY-3'!$A$191</v>
      </c>
    </row>
    <row r="192" spans="1:7" x14ac:dyDescent="0.25">
      <c r="A192" s="508" t="str">
        <f>IF(CHOOSE(SET.LANGUAGE,'DICTIONARY-3'!B192,'DICTIONARY-3'!C192,'DICTIONARY-3'!D192,'DICTIONARY-3'!E192,'DICTIONARY-3'!F192)=0,("??? "&amp;"DICTIONARY-3/"&amp;"LINE"&amp;(ROW(A192))),CHOOSE(SET.LANGUAGE,'DICTIONARY-3'!B192,'DICTIONARY-3'!C192,'DICTIONARY-3'!D192,'DICTIONARY-3'!E192,'DICTIONARY-3'!F192))</f>
        <v>Hydrant</v>
      </c>
      <c r="B192" s="603" t="s">
        <v>844</v>
      </c>
      <c r="C192" s="586" t="s">
        <v>844</v>
      </c>
      <c r="D192" s="586" t="s">
        <v>844</v>
      </c>
      <c r="E192" s="586" t="s">
        <v>844</v>
      </c>
      <c r="F192" s="581" t="str">
        <f t="shared" si="8"/>
        <v>192❸Hydrant</v>
      </c>
      <c r="G192" s="582" t="str">
        <f t="shared" si="9"/>
        <v>'DICTIONARY-3'!$A$192</v>
      </c>
    </row>
    <row r="193" spans="1:7" x14ac:dyDescent="0.25">
      <c r="A193" s="508" t="str">
        <f>IF(CHOOSE(SET.LANGUAGE,'DICTIONARY-3'!B193,'DICTIONARY-3'!C193,'DICTIONARY-3'!D193,'DICTIONARY-3'!E193,'DICTIONARY-3'!F193)=0,("??? "&amp;"DICTIONARY-3/"&amp;"LINE"&amp;(ROW(A193))),CHOOSE(SET.LANGUAGE,'DICTIONARY-3'!B193,'DICTIONARY-3'!C193,'DICTIONARY-3'!D193,'DICTIONARY-3'!E193,'DICTIONARY-3'!F193))</f>
        <v>Hydrant podziemny</v>
      </c>
      <c r="B193" s="603" t="s">
        <v>5802</v>
      </c>
      <c r="C193" s="586" t="s">
        <v>7495</v>
      </c>
      <c r="D193" s="586" t="s">
        <v>6763</v>
      </c>
      <c r="E193" s="586" t="s">
        <v>6994</v>
      </c>
      <c r="F193" s="581" t="str">
        <f t="shared" si="8"/>
        <v>193❸Podzemní hydrant</v>
      </c>
      <c r="G193" s="582" t="str">
        <f t="shared" si="9"/>
        <v>'DICTIONARY-3'!$A$193</v>
      </c>
    </row>
    <row r="194" spans="1:7" x14ac:dyDescent="0.25">
      <c r="A194" s="508" t="str">
        <f>IF(CHOOSE(SET.LANGUAGE,'DICTIONARY-3'!B194,'DICTIONARY-3'!C194,'DICTIONARY-3'!D194,'DICTIONARY-3'!E194,'DICTIONARY-3'!F194)=0,("??? "&amp;"DICTIONARY-3/"&amp;"LINE"&amp;(ROW(A194))),CHOOSE(SET.LANGUAGE,'DICTIONARY-3'!B194,'DICTIONARY-3'!C194,'DICTIONARY-3'!D194,'DICTIONARY-3'!E194,'DICTIONARY-3'!F194))</f>
        <v>Hydrant nadziemny</v>
      </c>
      <c r="B194" s="603" t="s">
        <v>5805</v>
      </c>
      <c r="C194" s="586" t="s">
        <v>7496</v>
      </c>
      <c r="D194" s="586" t="s">
        <v>6762</v>
      </c>
      <c r="E194" s="586" t="s">
        <v>6995</v>
      </c>
      <c r="F194" s="581" t="str">
        <f t="shared" si="8"/>
        <v>194❸Nadzemní hydrant</v>
      </c>
      <c r="G194" s="582" t="str">
        <f t="shared" si="9"/>
        <v>'DICTIONARY-3'!$A$194</v>
      </c>
    </row>
    <row r="195" spans="1:7" x14ac:dyDescent="0.25">
      <c r="A195" s="508" t="str">
        <f>IF(CHOOSE(SET.LANGUAGE,'DICTIONARY-3'!B195,'DICTIONARY-3'!C195,'DICTIONARY-3'!D195,'DICTIONARY-3'!E195,'DICTIONARY-3'!F195)=0,("??? "&amp;"DICTIONARY-3/"&amp;"LINE"&amp;(ROW(A195))),CHOOSE(SET.LANGUAGE,'DICTIONARY-3'!B195,'DICTIONARY-3'!C195,'DICTIONARY-3'!D195,'DICTIONARY-3'!E195,'DICTIONARY-3'!F195))</f>
        <v>Urządzenie do nawiercania</v>
      </c>
      <c r="B195" s="603" t="s">
        <v>6308</v>
      </c>
      <c r="C195" s="586" t="s">
        <v>7747</v>
      </c>
      <c r="D195" s="586" t="s">
        <v>6508</v>
      </c>
      <c r="E195" s="586" t="s">
        <v>6998</v>
      </c>
      <c r="F195" s="581" t="str">
        <f t="shared" si="8"/>
        <v>195❸Navrtávač potrubí</v>
      </c>
      <c r="G195" s="582" t="str">
        <f t="shared" si="9"/>
        <v>'DICTIONARY-3'!$A$195</v>
      </c>
    </row>
    <row r="196" spans="1:7" x14ac:dyDescent="0.25">
      <c r="A196" s="508" t="str">
        <f>IF(CHOOSE(SET.LANGUAGE,'DICTIONARY-3'!B196,'DICTIONARY-3'!C196,'DICTIONARY-3'!D196,'DICTIONARY-3'!E196,'DICTIONARY-3'!F196)=0,("??? "&amp;"DICTIONARY-3/"&amp;"LINE"&amp;(ROW(A196))),CHOOSE(SET.LANGUAGE,'DICTIONARY-3'!B196,'DICTIONARY-3'!C196,'DICTIONARY-3'!D196,'DICTIONARY-3'!E196,'DICTIONARY-3'!F196))</f>
        <v>Mostek nawiertowy</v>
      </c>
      <c r="B196" s="603" t="s">
        <v>5735</v>
      </c>
      <c r="C196" s="586" t="s">
        <v>7748</v>
      </c>
      <c r="D196" s="586" t="s">
        <v>6761</v>
      </c>
      <c r="E196" s="586" t="s">
        <v>6997</v>
      </c>
      <c r="F196" s="581" t="str">
        <f t="shared" si="8"/>
        <v>196❸Navrtávací pas</v>
      </c>
      <c r="G196" s="582" t="str">
        <f t="shared" si="9"/>
        <v>'DICTIONARY-3'!$A$196</v>
      </c>
    </row>
    <row r="197" spans="1:7" x14ac:dyDescent="0.25">
      <c r="A197" s="508" t="str">
        <f>IF(CHOOSE(SET.LANGUAGE,'DICTIONARY-3'!B197,'DICTIONARY-3'!C197,'DICTIONARY-3'!D197,'DICTIONARY-3'!E197,'DICTIONARY-3'!F197)=0,("??? "&amp;"DICTIONARY-3/"&amp;"LINE"&amp;(ROW(A197))),CHOOSE(SET.LANGUAGE,'DICTIONARY-3'!B197,'DICTIONARY-3'!C197,'DICTIONARY-3'!D197,'DICTIONARY-3'!E197,'DICTIONARY-3'!F197))</f>
        <v>Obejma</v>
      </c>
      <c r="B197" s="603" t="s">
        <v>6690</v>
      </c>
      <c r="C197" s="586" t="s">
        <v>7749</v>
      </c>
      <c r="D197" s="586" t="s">
        <v>5554</v>
      </c>
      <c r="E197" s="586" t="s">
        <v>6842</v>
      </c>
      <c r="F197" s="581" t="str">
        <f t="shared" si="8"/>
        <v>197❸Třmen pro navrt. pas</v>
      </c>
      <c r="G197" s="582" t="str">
        <f t="shared" si="9"/>
        <v>'DICTIONARY-3'!$A$197</v>
      </c>
    </row>
    <row r="198" spans="1:7" x14ac:dyDescent="0.25">
      <c r="A198" s="508" t="str">
        <f>IF(CHOOSE(SET.LANGUAGE,'DICTIONARY-3'!B198,'DICTIONARY-3'!C198,'DICTIONARY-3'!D198,'DICTIONARY-3'!E198,'DICTIONARY-3'!F198)=0,("??? "&amp;"DICTIONARY-3/"&amp;"LINE"&amp;(ROW(A198))),CHOOSE(SET.LANGUAGE,'DICTIONARY-3'!B198,'DICTIONARY-3'!C198,'DICTIONARY-3'!D198,'DICTIONARY-3'!E198,'DICTIONARY-3'!F198))</f>
        <v>Zestaw nawiertowy</v>
      </c>
      <c r="B198" s="603" t="s">
        <v>5801</v>
      </c>
      <c r="C198" s="586" t="s">
        <v>7750</v>
      </c>
      <c r="D198" s="586" t="s">
        <v>6507</v>
      </c>
      <c r="E198" s="586" t="s">
        <v>6996</v>
      </c>
      <c r="F198" s="581" t="str">
        <f t="shared" si="8"/>
        <v>198❸Navrtávací souprava</v>
      </c>
      <c r="G198" s="582" t="str">
        <f t="shared" si="9"/>
        <v>'DICTIONARY-3'!$A$198</v>
      </c>
    </row>
    <row r="199" spans="1:7" x14ac:dyDescent="0.25">
      <c r="A199" s="508" t="str">
        <f>IF(CHOOSE(SET.LANGUAGE,'DICTIONARY-3'!B199,'DICTIONARY-3'!C199,'DICTIONARY-3'!D199,'DICTIONARY-3'!E199,'DICTIONARY-3'!F199)=0,("??? "&amp;"DICTIONARY-3/"&amp;"LINE"&amp;(ROW(A199))),CHOOSE(SET.LANGUAGE,'DICTIONARY-3'!B199,'DICTIONARY-3'!C199,'DICTIONARY-3'!D199,'DICTIONARY-3'!E199,'DICTIONARY-3'!F199))</f>
        <v>PE obejma</v>
      </c>
      <c r="B199" s="603" t="s">
        <v>1119</v>
      </c>
      <c r="C199" s="586" t="s">
        <v>7751</v>
      </c>
      <c r="D199" s="586" t="s">
        <v>6760</v>
      </c>
      <c r="E199" s="586" t="s">
        <v>5947</v>
      </c>
      <c r="F199" s="581" t="str">
        <f t="shared" si="8"/>
        <v>199❸Navařovací PE objímka</v>
      </c>
      <c r="G199" s="582" t="str">
        <f t="shared" si="9"/>
        <v>'DICTIONARY-3'!$A$199</v>
      </c>
    </row>
    <row r="200" spans="1:7" x14ac:dyDescent="0.25">
      <c r="A200" s="508" t="str">
        <f>IF(CHOOSE(SET.LANGUAGE,'DICTIONARY-3'!B200,'DICTIONARY-3'!C200,'DICTIONARY-3'!D200,'DICTIONARY-3'!E200,'DICTIONARY-3'!F200)=0,("??? "&amp;"DICTIONARY-3/"&amp;"LINE"&amp;(ROW(A200))),CHOOSE(SET.LANGUAGE,'DICTIONARY-3'!B200,'DICTIONARY-3'!C200,'DICTIONARY-3'!D200,'DICTIONARY-3'!E200,'DICTIONARY-3'!F200))</f>
        <v>Zawór zwrotny</v>
      </c>
      <c r="B200" s="603" t="s">
        <v>5731</v>
      </c>
      <c r="C200" s="586" t="s">
        <v>7497</v>
      </c>
      <c r="D200" s="586" t="s">
        <v>6759</v>
      </c>
      <c r="E200" s="586" t="s">
        <v>6999</v>
      </c>
      <c r="F200" s="581" t="str">
        <f t="shared" si="8"/>
        <v>200❸Zpětná klapka</v>
      </c>
      <c r="G200" s="582" t="str">
        <f t="shared" si="9"/>
        <v>'DICTIONARY-3'!$A$200</v>
      </c>
    </row>
    <row r="201" spans="1:7" x14ac:dyDescent="0.25">
      <c r="A201" s="508" t="str">
        <f>IF(CHOOSE(SET.LANGUAGE,'DICTIONARY-3'!B201,'DICTIONARY-3'!C201,'DICTIONARY-3'!D201,'DICTIONARY-3'!E201,'DICTIONARY-3'!F201)=0,("??? "&amp;"DICTIONARY-3/"&amp;"LINE"&amp;(ROW(A201))),CHOOSE(SET.LANGUAGE,'DICTIONARY-3'!B201,'DICTIONARY-3'!C201,'DICTIONARY-3'!D201,'DICTIONARY-3'!E201,'DICTIONARY-3'!F201))</f>
        <v>Zawór zwrotny</v>
      </c>
      <c r="B201" s="603" t="s">
        <v>6368</v>
      </c>
      <c r="C201" s="586" t="s">
        <v>7422</v>
      </c>
      <c r="D201" s="586" t="s">
        <v>6758</v>
      </c>
      <c r="E201" s="584" t="str">
        <f>$E$200</f>
        <v>Zawór zwrotny</v>
      </c>
      <c r="F201" s="581" t="str">
        <f t="shared" si="8"/>
        <v>201❸Zpětný ventil s koulí</v>
      </c>
      <c r="G201" s="582" t="str">
        <f t="shared" si="9"/>
        <v>'DICTIONARY-3'!$A$201</v>
      </c>
    </row>
    <row r="202" spans="1:7" x14ac:dyDescent="0.25">
      <c r="A202" s="508" t="str">
        <f>IF(CHOOSE(SET.LANGUAGE,'DICTIONARY-3'!B202,'DICTIONARY-3'!C202,'DICTIONARY-3'!D202,'DICTIONARY-3'!E202,'DICTIONARY-3'!F202)=0,("??? "&amp;"DICTIONARY-3/"&amp;"LINE"&amp;(ROW(A202))),CHOOSE(SET.LANGUAGE,'DICTIONARY-3'!B202,'DICTIONARY-3'!C202,'DICTIONARY-3'!D202,'DICTIONARY-3'!E202,'DICTIONARY-3'!F202))</f>
        <v>Zawór zwrotny</v>
      </c>
      <c r="B202" s="603" t="s">
        <v>6369</v>
      </c>
      <c r="C202" s="586" t="s">
        <v>7498</v>
      </c>
      <c r="D202" s="586" t="s">
        <v>6757</v>
      </c>
      <c r="E202" s="584" t="str">
        <f>$E$200</f>
        <v>Zawór zwrotny</v>
      </c>
      <c r="F202" s="581" t="str">
        <f t="shared" si="8"/>
        <v>202❸Zpětný mebránový ventil</v>
      </c>
      <c r="G202" s="582" t="str">
        <f t="shared" si="9"/>
        <v>'DICTIONARY-3'!$A$202</v>
      </c>
    </row>
    <row r="203" spans="1:7" x14ac:dyDescent="0.25">
      <c r="A203" s="508" t="str">
        <f>IF(CHOOSE(SET.LANGUAGE,'DICTIONARY-3'!B203,'DICTIONARY-3'!C203,'DICTIONARY-3'!D203,'DICTIONARY-3'!E203,'DICTIONARY-3'!F203)=0,("??? "&amp;"DICTIONARY-3/"&amp;"LINE"&amp;(ROW(A203))),CHOOSE(SET.LANGUAGE,'DICTIONARY-3'!B203,'DICTIONARY-3'!C203,'DICTIONARY-3'!D203,'DICTIONARY-3'!E203,'DICTIONARY-3'!F203))</f>
        <v>Klapa przeciwcofkowa</v>
      </c>
      <c r="B203" s="603" t="s">
        <v>5729</v>
      </c>
      <c r="C203" s="586" t="s">
        <v>5729</v>
      </c>
      <c r="D203" s="586" t="s">
        <v>6754</v>
      </c>
      <c r="E203" s="586" t="s">
        <v>7000</v>
      </c>
      <c r="F203" s="581" t="str">
        <f t="shared" si="8"/>
        <v>203❸Koncová klapka</v>
      </c>
      <c r="G203" s="582" t="str">
        <f t="shared" si="9"/>
        <v>'DICTIONARY-3'!$A$203</v>
      </c>
    </row>
    <row r="204" spans="1:7" x14ac:dyDescent="0.25">
      <c r="A204" s="508" t="str">
        <f>IF(CHOOSE(SET.LANGUAGE,'DICTIONARY-3'!B204,'DICTIONARY-3'!C204,'DICTIONARY-3'!D204,'DICTIONARY-3'!E204,'DICTIONARY-3'!F204)=0,("??? "&amp;"DICTIONARY-3/"&amp;"LINE"&amp;(ROW(A204))),CHOOSE(SET.LANGUAGE,'DICTIONARY-3'!B204,'DICTIONARY-3'!C204,'DICTIONARY-3'!D204,'DICTIONARY-3'!E204,'DICTIONARY-3'!F204))</f>
        <v>Przepustnica kołnierzowa</v>
      </c>
      <c r="B204" s="603" t="s">
        <v>5589</v>
      </c>
      <c r="C204" s="586" t="s">
        <v>7499</v>
      </c>
      <c r="D204" s="586" t="s">
        <v>6755</v>
      </c>
      <c r="E204" s="586" t="s">
        <v>7001</v>
      </c>
      <c r="F204" s="581" t="str">
        <f t="shared" si="8"/>
        <v>204❸Uzavírací klapka</v>
      </c>
      <c r="G204" s="582" t="str">
        <f t="shared" si="9"/>
        <v>'DICTIONARY-3'!$A$204</v>
      </c>
    </row>
    <row r="205" spans="1:7" x14ac:dyDescent="0.25">
      <c r="A205" s="508" t="str">
        <f>IF(CHOOSE(SET.LANGUAGE,'DICTIONARY-3'!B205,'DICTIONARY-3'!C205,'DICTIONARY-3'!D205,'DICTIONARY-3'!E205,'DICTIONARY-3'!F205)=0,("??? "&amp;"DICTIONARY-3/"&amp;"LINE"&amp;(ROW(A205))),CHOOSE(SET.LANGUAGE,'DICTIONARY-3'!B205,'DICTIONARY-3'!C205,'DICTIONARY-3'!D205,'DICTIONARY-3'!E205,'DICTIONARY-3'!F205))</f>
        <v>Zawór kulowy</v>
      </c>
      <c r="B205" s="603" t="s">
        <v>5724</v>
      </c>
      <c r="C205" s="586" t="s">
        <v>7500</v>
      </c>
      <c r="D205" s="586" t="s">
        <v>6756</v>
      </c>
      <c r="E205" s="586" t="s">
        <v>7002</v>
      </c>
      <c r="F205" s="581" t="str">
        <f t="shared" si="8"/>
        <v>205❸Kulový kohout</v>
      </c>
      <c r="G205" s="582" t="str">
        <f t="shared" si="9"/>
        <v>'DICTIONARY-3'!$A$205</v>
      </c>
    </row>
    <row r="206" spans="1:7" x14ac:dyDescent="0.25">
      <c r="A206" s="508" t="str">
        <f>IF(CHOOSE(SET.LANGUAGE,'DICTIONARY-3'!B206,'DICTIONARY-3'!C206,'DICTIONARY-3'!D206,'DICTIONARY-3'!E206,'DICTIONARY-3'!F206)=0,("??? "&amp;"DICTIONARY-3/"&amp;"LINE"&amp;(ROW(A206))),CHOOSE(SET.LANGUAGE,'DICTIONARY-3'!B206,'DICTIONARY-3'!C206,'DICTIONARY-3'!D206,'DICTIONARY-3'!E206,'DICTIONARY-3'!F206))</f>
        <v>Zawór na- i odpowietrzający</v>
      </c>
      <c r="B206" s="603" t="s">
        <v>5723</v>
      </c>
      <c r="C206" s="586" t="s">
        <v>5723</v>
      </c>
      <c r="D206" s="586" t="s">
        <v>6752</v>
      </c>
      <c r="E206" s="586" t="s">
        <v>7003</v>
      </c>
      <c r="F206" s="581" t="str">
        <f t="shared" si="8"/>
        <v>206❸Od- a zavzdušňovací ventil</v>
      </c>
      <c r="G206" s="582" t="str">
        <f t="shared" si="9"/>
        <v>'DICTIONARY-3'!$A$206</v>
      </c>
    </row>
    <row r="207" spans="1:7" x14ac:dyDescent="0.25">
      <c r="A207" s="508" t="str">
        <f>IF(CHOOSE(SET.LANGUAGE,'DICTIONARY-3'!B207,'DICTIONARY-3'!C207,'DICTIONARY-3'!D207,'DICTIONARY-3'!E207,'DICTIONARY-3'!F207)=0,("??? "&amp;"DICTIONARY-3/"&amp;"LINE"&amp;(ROW(A207))),CHOOSE(SET.LANGUAGE,'DICTIONARY-3'!B207,'DICTIONARY-3'!C207,'DICTIONARY-3'!D207,'DICTIONARY-3'!E207,'DICTIONARY-3'!F207))</f>
        <v>Zawór na- i odpowietrzający</v>
      </c>
      <c r="B207" s="603" t="s">
        <v>5600</v>
      </c>
      <c r="C207" s="586" t="s">
        <v>7423</v>
      </c>
      <c r="D207" s="584" t="str">
        <f>$D$206</f>
        <v>Automatic air valve</v>
      </c>
      <c r="E207" s="584" t="str">
        <f>$E$206</f>
        <v>Zawór na- i odpowietrzający</v>
      </c>
      <c r="F207" s="581" t="str">
        <f t="shared" si="8"/>
        <v>207❸Od- a zavzdušňovací souprava</v>
      </c>
      <c r="G207" s="582" t="str">
        <f t="shared" si="9"/>
        <v>'DICTIONARY-3'!$A$207</v>
      </c>
    </row>
    <row r="208" spans="1:7" x14ac:dyDescent="0.25">
      <c r="A208" s="508" t="str">
        <f>IF(CHOOSE(SET.LANGUAGE,'DICTIONARY-3'!B208,'DICTIONARY-3'!C208,'DICTIONARY-3'!D208,'DICTIONARY-3'!E208,'DICTIONARY-3'!F208)=0,("??? "&amp;"DICTIONARY-3/"&amp;"LINE"&amp;(ROW(A208))),CHOOSE(SET.LANGUAGE,'DICTIONARY-3'!B208,'DICTIONARY-3'!C208,'DICTIONARY-3'!D208,'DICTIONARY-3'!E208,'DICTIONARY-3'!F208))</f>
        <v>Zawór powietrzny</v>
      </c>
      <c r="B208" s="603" t="s">
        <v>5722</v>
      </c>
      <c r="C208" s="586" t="s">
        <v>5722</v>
      </c>
      <c r="D208" s="584" t="str">
        <f>$D$206</f>
        <v>Automatic air valve</v>
      </c>
      <c r="E208" s="586" t="s">
        <v>7005</v>
      </c>
      <c r="F208" s="581" t="str">
        <f t="shared" si="8"/>
        <v>208❸Odvzdušňovací ventil</v>
      </c>
      <c r="G208" s="582" t="str">
        <f t="shared" si="9"/>
        <v>'DICTIONARY-3'!$A$208</v>
      </c>
    </row>
    <row r="209" spans="1:7" x14ac:dyDescent="0.25">
      <c r="A209" s="508" t="str">
        <f>IF(CHOOSE(SET.LANGUAGE,'DICTIONARY-3'!B209,'DICTIONARY-3'!C209,'DICTIONARY-3'!D209,'DICTIONARY-3'!E209,'DICTIONARY-3'!F209)=0,("??? "&amp;"DICTIONARY-3/"&amp;"LINE"&amp;(ROW(A209))),CHOOSE(SET.LANGUAGE,'DICTIONARY-3'!B209,'DICTIONARY-3'!C209,'DICTIONARY-3'!D209,'DICTIONARY-3'!E209,'DICTIONARY-3'!F209))</f>
        <v>Zawór regulacyjny</v>
      </c>
      <c r="B209" s="603" t="s">
        <v>6400</v>
      </c>
      <c r="C209" s="586" t="s">
        <v>7424</v>
      </c>
      <c r="D209" s="586" t="s">
        <v>6751</v>
      </c>
      <c r="E209" s="586" t="s">
        <v>7004</v>
      </c>
      <c r="F209" s="581" t="str">
        <f t="shared" si="8"/>
        <v>209❸Membránový regulační ventil</v>
      </c>
      <c r="G209" s="582" t="str">
        <f t="shared" si="9"/>
        <v>'DICTIONARY-3'!$A$209</v>
      </c>
    </row>
    <row r="210" spans="1:7" x14ac:dyDescent="0.25">
      <c r="A210" s="508" t="str">
        <f>IF(CHOOSE(SET.LANGUAGE,'DICTIONARY-3'!B210,'DICTIONARY-3'!C210,'DICTIONARY-3'!D210,'DICTIONARY-3'!E210,'DICTIONARY-3'!F210)=0,("??? "&amp;"DICTIONARY-3/"&amp;"LINE"&amp;(ROW(A210))),CHOOSE(SET.LANGUAGE,'DICTIONARY-3'!B210,'DICTIONARY-3'!C210,'DICTIONARY-3'!D210,'DICTIONARY-3'!E210,'DICTIONARY-3'!F210))</f>
        <v>Zawór regulacyjny</v>
      </c>
      <c r="B210" s="603" t="s">
        <v>5721</v>
      </c>
      <c r="C210" s="586" t="s">
        <v>7501</v>
      </c>
      <c r="D210" s="586" t="s">
        <v>6750</v>
      </c>
      <c r="E210" s="586" t="s">
        <v>7004</v>
      </c>
      <c r="F210" s="581" t="str">
        <f t="shared" si="8"/>
        <v>210❸Regulační ventil</v>
      </c>
      <c r="G210" s="582" t="str">
        <f t="shared" si="9"/>
        <v>'DICTIONARY-3'!$A$210</v>
      </c>
    </row>
    <row r="211" spans="1:7" x14ac:dyDescent="0.25">
      <c r="A211" s="508" t="str">
        <f>IF(CHOOSE(SET.LANGUAGE,'DICTIONARY-3'!B211,'DICTIONARY-3'!C211,'DICTIONARY-3'!D211,'DICTIONARY-3'!E211,'DICTIONARY-3'!F211)=0,("??? "&amp;"DICTIONARY-3/"&amp;"LINE"&amp;(ROW(A211))),CHOOSE(SET.LANGUAGE,'DICTIONARY-3'!B211,'DICTIONARY-3'!C211,'DICTIONARY-3'!D211,'DICTIONARY-3'!E211,'DICTIONARY-3'!F211))</f>
        <v>Filtr siatkowy</v>
      </c>
      <c r="B211" s="603" t="s">
        <v>5719</v>
      </c>
      <c r="C211" s="586" t="s">
        <v>7502</v>
      </c>
      <c r="D211" s="586" t="s">
        <v>6509</v>
      </c>
      <c r="E211" s="586" t="s">
        <v>7006</v>
      </c>
      <c r="F211" s="581" t="str">
        <f t="shared" si="8"/>
        <v>211❸Filtr</v>
      </c>
      <c r="G211" s="582" t="str">
        <f t="shared" si="9"/>
        <v>'DICTIONARY-3'!$A$211</v>
      </c>
    </row>
    <row r="212" spans="1:7" x14ac:dyDescent="0.25">
      <c r="A212" s="508" t="str">
        <f>IF(CHOOSE(SET.LANGUAGE,'DICTIONARY-3'!B212,'DICTIONARY-3'!C212,'DICTIONARY-3'!D212,'DICTIONARY-3'!E212,'DICTIONARY-3'!F212)=0,("??? "&amp;"DICTIONARY-3/"&amp;"LINE"&amp;(ROW(A212))),CHOOSE(SET.LANGUAGE,'DICTIONARY-3'!B212,'DICTIONARY-3'!C212,'DICTIONARY-3'!D212,'DICTIONARY-3'!E212,'DICTIONARY-3'!F212))</f>
        <v>Wymienny wkład filtrujący</v>
      </c>
      <c r="B212" s="603" t="s">
        <v>6404</v>
      </c>
      <c r="C212" s="586" t="s">
        <v>7425</v>
      </c>
      <c r="D212" s="586" t="s">
        <v>6510</v>
      </c>
      <c r="E212" s="586" t="s">
        <v>7007</v>
      </c>
      <c r="F212" s="581" t="str">
        <f t="shared" si="8"/>
        <v>212❸Náhradní síto</v>
      </c>
      <c r="G212" s="582" t="str">
        <f t="shared" si="9"/>
        <v>'DICTIONARY-3'!$A$212</v>
      </c>
    </row>
    <row r="213" spans="1:7" x14ac:dyDescent="0.25">
      <c r="A213" s="508" t="str">
        <f>IF(CHOOSE(SET.LANGUAGE,'DICTIONARY-3'!B213,'DICTIONARY-3'!C213,'DICTIONARY-3'!D213,'DICTIONARY-3'!E213,'DICTIONARY-3'!F213)=0,("??? "&amp;"DICTIONARY-3/"&amp;"LINE"&amp;(ROW(A213))),CHOOSE(SET.LANGUAGE,'DICTIONARY-3'!B213,'DICTIONARY-3'!C213,'DICTIONARY-3'!D213,'DICTIONARY-3'!E213,'DICTIONARY-3'!F213))</f>
        <v>Kosz ssący</v>
      </c>
      <c r="B213" s="603" t="s">
        <v>5718</v>
      </c>
      <c r="C213" s="586" t="s">
        <v>7426</v>
      </c>
      <c r="D213" s="586" t="s">
        <v>6749</v>
      </c>
      <c r="E213" s="586" t="s">
        <v>7008</v>
      </c>
      <c r="F213" s="581" t="str">
        <f t="shared" si="8"/>
        <v>213❸Sací koš</v>
      </c>
      <c r="G213" s="582" t="str">
        <f t="shared" si="9"/>
        <v>'DICTIONARY-3'!$A$213</v>
      </c>
    </row>
    <row r="214" spans="1:7" x14ac:dyDescent="0.25">
      <c r="A214" s="508" t="str">
        <f>IF(CHOOSE(SET.LANGUAGE,'DICTIONARY-3'!B214,'DICTIONARY-3'!C214,'DICTIONARY-3'!D214,'DICTIONARY-3'!E214,'DICTIONARY-3'!F214)=0,("??? "&amp;"DICTIONARY-3/"&amp;"LINE"&amp;(ROW(A214))),CHOOSE(SET.LANGUAGE,'DICTIONARY-3'!B214,'DICTIONARY-3'!C214,'DICTIONARY-3'!D214,'DICTIONARY-3'!E214,'DICTIONARY-3'!F214))</f>
        <v>Wstawka montażowa</v>
      </c>
      <c r="B214" s="603" t="s">
        <v>5693</v>
      </c>
      <c r="C214" s="586" t="s">
        <v>7503</v>
      </c>
      <c r="D214" s="586" t="s">
        <v>6748</v>
      </c>
      <c r="E214" s="586" t="s">
        <v>7009</v>
      </c>
      <c r="F214" s="581" t="str">
        <f t="shared" si="8"/>
        <v>214❸Montážní vložka</v>
      </c>
      <c r="G214" s="582" t="str">
        <f t="shared" si="9"/>
        <v>'DICTIONARY-3'!$A$214</v>
      </c>
    </row>
    <row r="215" spans="1:7" x14ac:dyDescent="0.25">
      <c r="A215" s="508" t="str">
        <f>IF(CHOOSE(SET.LANGUAGE,'DICTIONARY-3'!B215,'DICTIONARY-3'!C215,'DICTIONARY-3'!D215,'DICTIONARY-3'!E215,'DICTIONARY-3'!F215)=0,("??? "&amp;"DICTIONARY-3/"&amp;"LINE"&amp;(ROW(A215))),CHOOSE(SET.LANGUAGE,'DICTIONARY-3'!B215,'DICTIONARY-3'!C215,'DICTIONARY-3'!D215,'DICTIONARY-3'!E215,'DICTIONARY-3'!F215))</f>
        <v>Adapter kołnierzowy</v>
      </c>
      <c r="B215" s="603" t="s">
        <v>5691</v>
      </c>
      <c r="C215" s="586" t="s">
        <v>7504</v>
      </c>
      <c r="D215" s="586" t="s">
        <v>6747</v>
      </c>
      <c r="E215" s="586" t="s">
        <v>7010</v>
      </c>
      <c r="F215" s="581" t="str">
        <f t="shared" si="8"/>
        <v>215❸Přírubový adaptér</v>
      </c>
      <c r="G215" s="582" t="str">
        <f t="shared" si="9"/>
        <v>'DICTIONARY-3'!$A$215</v>
      </c>
    </row>
    <row r="216" spans="1:7" x14ac:dyDescent="0.25">
      <c r="A216" s="508" t="str">
        <f>IF(CHOOSE(SET.LANGUAGE,'DICTIONARY-3'!B216,'DICTIONARY-3'!C216,'DICTIONARY-3'!D216,'DICTIONARY-3'!E216,'DICTIONARY-3'!F216)=0,("??? "&amp;"DICTIONARY-3/"&amp;"LINE"&amp;(ROW(A216))),CHOOSE(SET.LANGUAGE,'DICTIONARY-3'!B216,'DICTIONARY-3'!C216,'DICTIONARY-3'!D216,'DICTIONARY-3'!E216,'DICTIONARY-3'!F216))</f>
        <v xml:space="preserve">Łącznik </v>
      </c>
      <c r="B216" s="603" t="s">
        <v>5690</v>
      </c>
      <c r="C216" s="586" t="s">
        <v>7505</v>
      </c>
      <c r="D216" s="586" t="s">
        <v>6511</v>
      </c>
      <c r="E216" s="586" t="s">
        <v>7011</v>
      </c>
      <c r="F216" s="581" t="str">
        <f t="shared" si="8"/>
        <v>216❸Potrubní spojka</v>
      </c>
      <c r="G216" s="582" t="str">
        <f t="shared" si="9"/>
        <v>'DICTIONARY-3'!$A$216</v>
      </c>
    </row>
    <row r="217" spans="1:7" x14ac:dyDescent="0.25">
      <c r="A217" s="508" t="str">
        <f>IF(CHOOSE(SET.LANGUAGE,'DICTIONARY-3'!B217,'DICTIONARY-3'!C217,'DICTIONARY-3'!D217,'DICTIONARY-3'!E217,'DICTIONARY-3'!F217)=0,("??? "&amp;"DICTIONARY-3/"&amp;"LINE"&amp;(ROW(A217))),CHOOSE(SET.LANGUAGE,'DICTIONARY-3'!B217,'DICTIONARY-3'!C217,'DICTIONARY-3'!D217,'DICTIONARY-3'!E217,'DICTIONARY-3'!F217))</f>
        <v>Kształtka</v>
      </c>
      <c r="B217" s="603" t="s">
        <v>5690</v>
      </c>
      <c r="C217" s="586" t="s">
        <v>7505</v>
      </c>
      <c r="D217" s="586" t="s">
        <v>6813</v>
      </c>
      <c r="E217" s="586" t="s">
        <v>7012</v>
      </c>
      <c r="F217" s="581" t="str">
        <f t="shared" ref="F217" si="10">CONCATENATE(ROW(B217),"❸",B217)</f>
        <v>217❸Potrubní spojka</v>
      </c>
      <c r="G217" s="582" t="str">
        <f t="shared" si="9"/>
        <v>'DICTIONARY-3'!$A$217</v>
      </c>
    </row>
    <row r="218" spans="1:7" x14ac:dyDescent="0.25">
      <c r="A218" s="508" t="str">
        <f>IF(CHOOSE(SET.LANGUAGE,'DICTIONARY-3'!B218,'DICTIONARY-3'!C218,'DICTIONARY-3'!D218,'DICTIONARY-3'!E218,'DICTIONARY-3'!F218)=0,("??? "&amp;"DICTIONARY-3/"&amp;"LINE"&amp;(ROW(A218))),CHOOSE(SET.LANGUAGE,'DICTIONARY-3'!B218,'DICTIONARY-3'!C218,'DICTIONARY-3'!D218,'DICTIONARY-3'!E218,'DICTIONARY-3'!F218))</f>
        <v>Kształtki</v>
      </c>
      <c r="B218" s="603" t="s">
        <v>5648</v>
      </c>
      <c r="C218" s="586" t="s">
        <v>5648</v>
      </c>
      <c r="D218" s="586" t="s">
        <v>6814</v>
      </c>
      <c r="E218" s="586" t="s">
        <v>7013</v>
      </c>
      <c r="F218" s="581" t="str">
        <f t="shared" ref="F218" si="11">CONCATENATE(ROW(B218),"❸",B218)</f>
        <v>218❸Spojky</v>
      </c>
      <c r="G218" s="582" t="str">
        <f t="shared" si="9"/>
        <v>'DICTIONARY-3'!$A$218</v>
      </c>
    </row>
    <row r="219" spans="1:7" x14ac:dyDescent="0.25">
      <c r="A219" s="508" t="str">
        <f>IF(CHOOSE(SET.LANGUAGE,'DICTIONARY-3'!B219,'DICTIONARY-3'!C219,'DICTIONARY-3'!D219,'DICTIONARY-3'!E219,'DICTIONARY-3'!F219)=0,("??? "&amp;"DICTIONARY-3/"&amp;"LINE"&amp;(ROW(A219))),CHOOSE(SET.LANGUAGE,'DICTIONARY-3'!B219,'DICTIONARY-3'!C219,'DICTIONARY-3'!D219,'DICTIONARY-3'!E219,'DICTIONARY-3'!F219))</f>
        <v>Obudowa ziemna</v>
      </c>
      <c r="B219" s="603" t="s">
        <v>5651</v>
      </c>
      <c r="C219" s="586" t="s">
        <v>7506</v>
      </c>
      <c r="D219" s="586" t="s">
        <v>6746</v>
      </c>
      <c r="E219" s="586" t="s">
        <v>7014</v>
      </c>
      <c r="F219" s="581" t="str">
        <f t="shared" si="8"/>
        <v>219❸Zemní souprava</v>
      </c>
      <c r="G219" s="582" t="str">
        <f t="shared" si="9"/>
        <v>'DICTIONARY-3'!$A$219</v>
      </c>
    </row>
    <row r="220" spans="1:7" x14ac:dyDescent="0.25">
      <c r="A220" s="508" t="str">
        <f>IF(CHOOSE(SET.LANGUAGE,'DICTIONARY-3'!B220,'DICTIONARY-3'!C220,'DICTIONARY-3'!D220,'DICTIONARY-3'!E220,'DICTIONARY-3'!F220)=0,("??? "&amp;"DICTIONARY-3/"&amp;"LINE"&amp;(ROW(A220))),CHOOSE(SET.LANGUAGE,'DICTIONARY-3'!B220,'DICTIONARY-3'!C220,'DICTIONARY-3'!D220,'DICTIONARY-3'!E220,'DICTIONARY-3'!F220))</f>
        <v>Skrzynka</v>
      </c>
      <c r="B220" s="585" t="s">
        <v>5591</v>
      </c>
      <c r="C220" s="586" t="s">
        <v>5591</v>
      </c>
      <c r="D220" s="586" t="s">
        <v>6739</v>
      </c>
      <c r="E220" s="586" t="s">
        <v>5950</v>
      </c>
      <c r="F220" s="581" t="str">
        <f t="shared" si="8"/>
        <v>220❸Poklop</v>
      </c>
      <c r="G220" s="582" t="str">
        <f t="shared" si="9"/>
        <v>'DICTIONARY-3'!$A$220</v>
      </c>
    </row>
    <row r="221" spans="1:7" x14ac:dyDescent="0.25">
      <c r="A221" s="508" t="str">
        <f>IF(CHOOSE(SET.LANGUAGE,'DICTIONARY-3'!B221,'DICTIONARY-3'!C221,'DICTIONARY-3'!D221,'DICTIONARY-3'!E221,'DICTIONARY-3'!F221)=0,("??? "&amp;"DICTIONARY-3/"&amp;"LINE"&amp;(ROW(A221))),CHOOSE(SET.LANGUAGE,'DICTIONARY-3'!B221,'DICTIONARY-3'!C221,'DICTIONARY-3'!D221,'DICTIONARY-3'!E221,'DICTIONARY-3'!F221))</f>
        <v>Płyta podkładowa</v>
      </c>
      <c r="B221" s="585" t="s">
        <v>5590</v>
      </c>
      <c r="C221" s="586" t="s">
        <v>7507</v>
      </c>
      <c r="D221" s="586" t="s">
        <v>6740</v>
      </c>
      <c r="E221" s="586" t="s">
        <v>5951</v>
      </c>
      <c r="F221" s="581" t="str">
        <f t="shared" ref="F221:F286" si="12">CONCATENATE(ROW(B221),"❸",B221)</f>
        <v>221❸Podkladová deska</v>
      </c>
      <c r="G221" s="582" t="str">
        <f t="shared" ref="G221:G286" si="13">"'DICTIONARY-3'!$A$"&amp;ROW(G221)</f>
        <v>'DICTIONARY-3'!$A$221</v>
      </c>
    </row>
    <row r="222" spans="1:7" x14ac:dyDescent="0.25">
      <c r="A222" s="508" t="str">
        <f>IF(CHOOSE(SET.LANGUAGE,'DICTIONARY-3'!B222,'DICTIONARY-3'!C222,'DICTIONARY-3'!D222,'DICTIONARY-3'!E222,'DICTIONARY-3'!F222)=0,("??? "&amp;"DICTIONARY-3/"&amp;"LINE"&amp;(ROW(A222))),CHOOSE(SET.LANGUAGE,'DICTIONARY-3'!B222,'DICTIONARY-3'!C222,'DICTIONARY-3'!D222,'DICTIONARY-3'!E222,'DICTIONARY-3'!F222))</f>
        <v>Klucz do obsługi</v>
      </c>
      <c r="B222" s="603" t="s">
        <v>5606</v>
      </c>
      <c r="C222" s="586" t="s">
        <v>7427</v>
      </c>
      <c r="D222" s="586" t="s">
        <v>6512</v>
      </c>
      <c r="E222" s="586" t="s">
        <v>7015</v>
      </c>
      <c r="F222" s="581" t="str">
        <f t="shared" si="12"/>
        <v>222❸Ovládací klíč</v>
      </c>
      <c r="G222" s="582" t="str">
        <f t="shared" si="13"/>
        <v>'DICTIONARY-3'!$A$222</v>
      </c>
    </row>
    <row r="223" spans="1:7" x14ac:dyDescent="0.25">
      <c r="A223" s="508" t="str">
        <f>IF(CHOOSE(SET.LANGUAGE,'DICTIONARY-3'!B223,'DICTIONARY-3'!C223,'DICTIONARY-3'!D223,'DICTIONARY-3'!E223,'DICTIONARY-3'!F223)=0,("??? "&amp;"DICTIONARY-3/"&amp;"LINE"&amp;(ROW(A223))),CHOOSE(SET.LANGUAGE,'DICTIONARY-3'!B223,'DICTIONARY-3'!C223,'DICTIONARY-3'!D223,'DICTIONARY-3'!E223,'DICTIONARY-3'!F223))</f>
        <v>Kształtka</v>
      </c>
      <c r="B223" s="603" t="s">
        <v>5603</v>
      </c>
      <c r="C223" s="586" t="s">
        <v>5603</v>
      </c>
      <c r="D223" s="586" t="s">
        <v>6513</v>
      </c>
      <c r="E223" s="584" t="str">
        <f>$E$217</f>
        <v>Kształtka</v>
      </c>
      <c r="F223" s="581" t="str">
        <f t="shared" si="12"/>
        <v>223❸Tvarovka</v>
      </c>
      <c r="G223" s="582" t="str">
        <f t="shared" si="13"/>
        <v>'DICTIONARY-3'!$A$223</v>
      </c>
    </row>
    <row r="224" spans="1:7" x14ac:dyDescent="0.25">
      <c r="A224" s="508" t="str">
        <f>IF(CHOOSE(SET.LANGUAGE,'DICTIONARY-3'!B224,'DICTIONARY-3'!C224,'DICTIONARY-3'!D224,'DICTIONARY-3'!E224,'DICTIONARY-3'!F224)=0,("??? "&amp;"DICTIONARY-3/"&amp;"LINE"&amp;(ROW(A224))),CHOOSE(SET.LANGUAGE,'DICTIONARY-3'!B224,'DICTIONARY-3'!C224,'DICTIONARY-3'!D224,'DICTIONARY-3'!E224,'DICTIONARY-3'!F224))</f>
        <v>Zabezpieczenie przed wyrwaniem</v>
      </c>
      <c r="B224" s="603" t="s">
        <v>5601</v>
      </c>
      <c r="C224" s="586" t="s">
        <v>7752</v>
      </c>
      <c r="D224" s="586" t="s">
        <v>6514</v>
      </c>
      <c r="E224" s="586" t="s">
        <v>6549</v>
      </c>
      <c r="F224" s="581" t="str">
        <f t="shared" si="12"/>
        <v>224❸Jisticí segment</v>
      </c>
      <c r="G224" s="582" t="str">
        <f t="shared" si="13"/>
        <v>'DICTIONARY-3'!$A$224</v>
      </c>
    </row>
    <row r="225" spans="1:7" x14ac:dyDescent="0.25">
      <c r="A225" s="508" t="str">
        <f>IF(CHOOSE(SET.LANGUAGE,'DICTIONARY-3'!B225,'DICTIONARY-3'!C225,'DICTIONARY-3'!D225,'DICTIONARY-3'!E225,'DICTIONARY-3'!F225)=0,("??? "&amp;"DICTIONARY-3/"&amp;"LINE"&amp;(ROW(A225))),CHOOSE(SET.LANGUAGE,'DICTIONARY-3'!B225,'DICTIONARY-3'!C225,'DICTIONARY-3'!D225,'DICTIONARY-3'!E225,'DICTIONARY-3'!F225))</f>
        <v>Zabezpieczenie przed wykręcaniem</v>
      </c>
      <c r="B225" s="604" t="str">
        <f>B224</f>
        <v>Jisticí segment</v>
      </c>
      <c r="C225" s="584" t="str">
        <f>C224</f>
        <v>Istiaci segment</v>
      </c>
      <c r="D225" s="586" t="s">
        <v>6515</v>
      </c>
      <c r="E225" s="586" t="s">
        <v>6548</v>
      </c>
      <c r="F225" s="581" t="str">
        <f t="shared" si="12"/>
        <v>225❸Jisticí segment</v>
      </c>
      <c r="G225" s="582" t="str">
        <f t="shared" si="13"/>
        <v>'DICTIONARY-3'!$A$225</v>
      </c>
    </row>
    <row r="226" spans="1:7" x14ac:dyDescent="0.25">
      <c r="A226" s="508" t="str">
        <f>IF(CHOOSE(SET.LANGUAGE,'DICTIONARY-3'!B226,'DICTIONARY-3'!C226,'DICTIONARY-3'!D226,'DICTIONARY-3'!E226,'DICTIONARY-3'!F226)=0,("??? "&amp;"DICTIONARY-3/"&amp;"LINE"&amp;(ROW(A226))),CHOOSE(SET.LANGUAGE,'DICTIONARY-3'!B226,'DICTIONARY-3'!C226,'DICTIONARY-3'!D226,'DICTIONARY-3'!E226,'DICTIONARY-3'!F226))</f>
        <v>Tuleja wsporcza</v>
      </c>
      <c r="B226" s="603" t="s">
        <v>5594</v>
      </c>
      <c r="C226" s="586" t="s">
        <v>7508</v>
      </c>
      <c r="D226" s="586" t="s">
        <v>6831</v>
      </c>
      <c r="E226" s="586" t="s">
        <v>6547</v>
      </c>
      <c r="F226" s="581" t="str">
        <f t="shared" si="12"/>
        <v>226❸Opěrná vložka</v>
      </c>
      <c r="G226" s="582" t="str">
        <f t="shared" si="13"/>
        <v>'DICTIONARY-3'!$A$226</v>
      </c>
    </row>
    <row r="227" spans="1:7" x14ac:dyDescent="0.25">
      <c r="A227" s="508" t="str">
        <f>IF(CHOOSE(SET.LANGUAGE,'DICTIONARY-3'!B227,'DICTIONARY-3'!C227,'DICTIONARY-3'!D227,'DICTIONARY-3'!E227,'DICTIONARY-3'!F227)=0,("??? "&amp;"DICTIONARY-3/"&amp;"LINE"&amp;(ROW(A227))),CHOOSE(SET.LANGUAGE,'DICTIONARY-3'!B227,'DICTIONARY-3'!C227,'DICTIONARY-3'!D227,'DICTIONARY-3'!E227,'DICTIONARY-3'!F227))</f>
        <v>Uszczelki</v>
      </c>
      <c r="B227" s="603" t="s">
        <v>5593</v>
      </c>
      <c r="C227" s="586" t="s">
        <v>7509</v>
      </c>
      <c r="D227" s="586" t="s">
        <v>6745</v>
      </c>
      <c r="E227" s="586" t="s">
        <v>6546</v>
      </c>
      <c r="F227" s="581" t="str">
        <f t="shared" si="12"/>
        <v>227❸Těsnění</v>
      </c>
      <c r="G227" s="582" t="str">
        <f t="shared" si="13"/>
        <v>'DICTIONARY-3'!$A$227</v>
      </c>
    </row>
    <row r="228" spans="1:7" x14ac:dyDescent="0.25">
      <c r="A228" s="508" t="str">
        <f>IF(CHOOSE(SET.LANGUAGE,'DICTIONARY-3'!B228,'DICTIONARY-3'!C228,'DICTIONARY-3'!D228,'DICTIONARY-3'!E228,'DICTIONARY-3'!F228)=0,("??? "&amp;"DICTIONARY-3/"&amp;"LINE"&amp;(ROW(A228))),CHOOSE(SET.LANGUAGE,'DICTIONARY-3'!B228,'DICTIONARY-3'!C228,'DICTIONARY-3'!D228,'DICTIONARY-3'!E228,'DICTIONARY-3'!F228))</f>
        <v>Końcówka do zgrzewania</v>
      </c>
      <c r="B228" s="603" t="s">
        <v>5604</v>
      </c>
      <c r="C228" s="586" t="s">
        <v>7753</v>
      </c>
      <c r="D228" s="586" t="s">
        <v>6744</v>
      </c>
      <c r="E228" s="586" t="s">
        <v>7016</v>
      </c>
      <c r="F228" s="581" t="str">
        <f t="shared" si="12"/>
        <v>228❸Navařovací konec</v>
      </c>
      <c r="G228" s="582" t="str">
        <f t="shared" si="13"/>
        <v>'DICTIONARY-3'!$A$228</v>
      </c>
    </row>
    <row r="229" spans="1:7" x14ac:dyDescent="0.25">
      <c r="A229" s="508" t="str">
        <f>IF(CHOOSE(SET.LANGUAGE,'DICTIONARY-3'!B229,'DICTIONARY-3'!C229,'DICTIONARY-3'!D229,'DICTIONARY-3'!E229,'DICTIONARY-3'!F229)=0,("??? "&amp;"DICTIONARY-3/"&amp;"LINE"&amp;(ROW(A229))),CHOOSE(SET.LANGUAGE,'DICTIONARY-3'!B229,'DICTIONARY-3'!C229,'DICTIONARY-3'!D229,'DICTIONARY-3'!E229,'DICTIONARY-3'!F229))</f>
        <v>Zasuwa naprawcza</v>
      </c>
      <c r="B229" s="585" t="s">
        <v>6171</v>
      </c>
      <c r="C229" s="586" t="s">
        <v>7510</v>
      </c>
      <c r="D229" s="586" t="s">
        <v>6743</v>
      </c>
      <c r="E229" s="586" t="s">
        <v>6194</v>
      </c>
      <c r="F229" s="581" t="str">
        <f t="shared" si="12"/>
        <v>229❸Výměnné šoupátko</v>
      </c>
      <c r="G229" s="582" t="str">
        <f t="shared" si="13"/>
        <v>'DICTIONARY-3'!$A$229</v>
      </c>
    </row>
    <row r="230" spans="1:7" x14ac:dyDescent="0.25">
      <c r="A230" s="508" t="str">
        <f>IF(CHOOSE(SET.LANGUAGE,'DICTIONARY-3'!B230,'DICTIONARY-3'!C230,'DICTIONARY-3'!D230,'DICTIONARY-3'!E230,'DICTIONARY-3'!F230)=0,("??? "&amp;"DICTIONARY-3/"&amp;"LINE"&amp;(ROW(A230))),CHOOSE(SET.LANGUAGE,'DICTIONARY-3'!B230,'DICTIONARY-3'!C230,'DICTIONARY-3'!D230,'DICTIONARY-3'!E230,'DICTIONARY-3'!F230))</f>
        <v>Zawór kątowy</v>
      </c>
      <c r="B230" s="603" t="s">
        <v>5733</v>
      </c>
      <c r="C230" s="586" t="s">
        <v>5733</v>
      </c>
      <c r="D230" s="586" t="s">
        <v>6742</v>
      </c>
      <c r="E230" s="586" t="s">
        <v>7017</v>
      </c>
      <c r="F230" s="581" t="str">
        <f t="shared" si="12"/>
        <v>230❸Rohový ventil</v>
      </c>
      <c r="G230" s="582" t="str">
        <f t="shared" si="13"/>
        <v>'DICTIONARY-3'!$A$230</v>
      </c>
    </row>
    <row r="231" spans="1:7" x14ac:dyDescent="0.25">
      <c r="A231" s="508" t="str">
        <f>IF(CHOOSE(SET.LANGUAGE,'DICTIONARY-3'!B231,'DICTIONARY-3'!C231,'DICTIONARY-3'!D231,'DICTIONARY-3'!E231,'DICTIONARY-3'!F231)=0,("??? "&amp;"DICTIONARY-3/"&amp;"LINE"&amp;(ROW(A231))),CHOOSE(SET.LANGUAGE,'DICTIONARY-3'!B231,'DICTIONARY-3'!C231,'DICTIONARY-3'!D231,'DICTIONARY-3'!E231,'DICTIONARY-3'!F231))</f>
        <v>Zestaw kotwiący</v>
      </c>
      <c r="B231" s="603" t="s">
        <v>5730</v>
      </c>
      <c r="C231" s="586" t="s">
        <v>7754</v>
      </c>
      <c r="D231" s="586" t="s">
        <v>6517</v>
      </c>
      <c r="E231" s="586" t="s">
        <v>7018</v>
      </c>
      <c r="F231" s="581" t="str">
        <f t="shared" si="12"/>
        <v>231❸Kotvicí sada</v>
      </c>
      <c r="G231" s="582" t="str">
        <f t="shared" si="13"/>
        <v>'DICTIONARY-3'!$A$231</v>
      </c>
    </row>
    <row r="232" spans="1:7" x14ac:dyDescent="0.25">
      <c r="A232" s="508" t="str">
        <f>IF(CHOOSE(SET.LANGUAGE,'DICTIONARY-3'!B232,'DICTIONARY-3'!C232,'DICTIONARY-3'!D232,'DICTIONARY-3'!E232,'DICTIONARY-3'!F232)=0,("??? "&amp;"DICTIONARY-3/"&amp;"LINE"&amp;(ROW(A232))),CHOOSE(SET.LANGUAGE,'DICTIONARY-3'!B232,'DICTIONARY-3'!C232,'DICTIONARY-3'!D232,'DICTIONARY-3'!E232,'DICTIONARY-3'!F232))</f>
        <v>Dysk wymienny</v>
      </c>
      <c r="B232" s="603" t="s">
        <v>6029</v>
      </c>
      <c r="C232" s="586" t="s">
        <v>7511</v>
      </c>
      <c r="D232" s="586" t="s">
        <v>6518</v>
      </c>
      <c r="E232" s="586" t="s">
        <v>7019</v>
      </c>
      <c r="F232" s="581" t="str">
        <f t="shared" si="12"/>
        <v>232❸Náhradní disk</v>
      </c>
      <c r="G232" s="582" t="str">
        <f t="shared" si="13"/>
        <v>'DICTIONARY-3'!$A$232</v>
      </c>
    </row>
    <row r="233" spans="1:7" x14ac:dyDescent="0.25">
      <c r="A233" s="508" t="str">
        <f>IF(CHOOSE(SET.LANGUAGE,'DICTIONARY-3'!B233,'DICTIONARY-3'!C233,'DICTIONARY-3'!D233,'DICTIONARY-3'!E233,'DICTIONARY-3'!F233)=0,("??? "&amp;"DICTIONARY-3/"&amp;"LINE"&amp;(ROW(A233))),CHOOSE(SET.LANGUAGE,'DICTIONARY-3'!B233,'DICTIONARY-3'!C233,'DICTIONARY-3'!D233,'DICTIONARY-3'!E233,'DICTIONARY-3'!F233))</f>
        <v>Przenośny napęd elektryczny</v>
      </c>
      <c r="B233" s="603" t="s">
        <v>5647</v>
      </c>
      <c r="C233" s="586" t="s">
        <v>7512</v>
      </c>
      <c r="D233" s="586" t="s">
        <v>6741</v>
      </c>
      <c r="E233" s="586" t="s">
        <v>7020</v>
      </c>
      <c r="F233" s="581" t="str">
        <f t="shared" si="12"/>
        <v>233❸Přenosný ovladač</v>
      </c>
      <c r="G233" s="582" t="str">
        <f t="shared" si="13"/>
        <v>'DICTIONARY-3'!$A$233</v>
      </c>
    </row>
    <row r="234" spans="1:7" x14ac:dyDescent="0.25">
      <c r="A234" s="508" t="str">
        <f>IF(CHOOSE(SET.LANGUAGE,'DICTIONARY-3'!B234,'DICTIONARY-3'!C234,'DICTIONARY-3'!D234,'DICTIONARY-3'!E234,'DICTIONARY-3'!F234)=0,("??? "&amp;"DICTIONARY-3/"&amp;"LINE"&amp;(ROW(A234))),CHOOSE(SET.LANGUAGE,'DICTIONARY-3'!B234,'DICTIONARY-3'!C234,'DICTIONARY-3'!D234,'DICTIONARY-3'!E234,'DICTIONARY-3'!F234))</f>
        <v xml:space="preserve">Zestaw sprzęgieł </v>
      </c>
      <c r="B234" s="603" t="s">
        <v>5648</v>
      </c>
      <c r="C234" s="586" t="s">
        <v>5648</v>
      </c>
      <c r="D234" s="586" t="s">
        <v>6519</v>
      </c>
      <c r="E234" s="586" t="s">
        <v>7021</v>
      </c>
      <c r="F234" s="581" t="str">
        <f t="shared" si="12"/>
        <v>234❸Spojky</v>
      </c>
      <c r="G234" s="582" t="str">
        <f t="shared" si="13"/>
        <v>'DICTIONARY-3'!$A$234</v>
      </c>
    </row>
    <row r="235" spans="1:7" x14ac:dyDescent="0.25">
      <c r="A235" s="508" t="str">
        <f>IF(CHOOSE(SET.LANGUAGE,'DICTIONARY-3'!B235,'DICTIONARY-3'!C235,'DICTIONARY-3'!D235,'DICTIONARY-3'!E235,'DICTIONARY-3'!F235)=0,("??? "&amp;"DICTIONARY-3/"&amp;"LINE"&amp;(ROW(A235))),CHOOSE(SET.LANGUAGE,'DICTIONARY-3'!B235,'DICTIONARY-3'!C235,'DICTIONARY-3'!D235,'DICTIONARY-3'!E235,'DICTIONARY-3'!F235))</f>
        <v>Walizka transportowa</v>
      </c>
      <c r="B235" s="603" t="s">
        <v>5649</v>
      </c>
      <c r="C235" s="586" t="s">
        <v>7513</v>
      </c>
      <c r="D235" s="586" t="s">
        <v>6520</v>
      </c>
      <c r="E235" s="586" t="s">
        <v>7022</v>
      </c>
      <c r="F235" s="581" t="str">
        <f t="shared" si="12"/>
        <v>235❸Transportní kufr</v>
      </c>
      <c r="G235" s="582" t="str">
        <f t="shared" si="13"/>
        <v>'DICTIONARY-3'!$A$235</v>
      </c>
    </row>
    <row r="236" spans="1:7" x14ac:dyDescent="0.25">
      <c r="A236" s="508" t="str">
        <f>IF(CHOOSE(SET.LANGUAGE,'DICTIONARY-3'!B236,'DICTIONARY-3'!C236,'DICTIONARY-3'!D236,'DICTIONARY-3'!E236,'DICTIONARY-3'!F236)=0,("??? "&amp;"DICTIONARY-3/"&amp;"LINE"&amp;(ROW(A236))),CHOOSE(SET.LANGUAGE,'DICTIONARY-3'!B236,'DICTIONARY-3'!C236,'DICTIONARY-3'!D236,'DICTIONARY-3'!E236,'DICTIONARY-3'!F236))</f>
        <v xml:space="preserve">Agregat prądotwórczy </v>
      </c>
      <c r="B236" s="603" t="s">
        <v>5650</v>
      </c>
      <c r="C236" s="586" t="s">
        <v>5650</v>
      </c>
      <c r="D236" s="586" t="s">
        <v>6521</v>
      </c>
      <c r="E236" s="586" t="s">
        <v>7023</v>
      </c>
      <c r="F236" s="581" t="str">
        <f t="shared" si="12"/>
        <v>236❸Elektrický agregát</v>
      </c>
      <c r="G236" s="582" t="str">
        <f t="shared" si="13"/>
        <v>'DICTIONARY-3'!$A$236</v>
      </c>
    </row>
    <row r="237" spans="1:7" x14ac:dyDescent="0.25">
      <c r="A237" s="508" t="str">
        <f>IF(CHOOSE(SET.LANGUAGE,'DICTIONARY-3'!B237,'DICTIONARY-3'!C237,'DICTIONARY-3'!D237,'DICTIONARY-3'!E237,'DICTIONARY-3'!F237)=0,("??? "&amp;"DICTIONARY-3/"&amp;"LINE"&amp;(ROW(A237))),CHOOSE(SET.LANGUAGE,'DICTIONARY-3'!B237,'DICTIONARY-3'!C237,'DICTIONARY-3'!D237,'DICTIONARY-3'!E237,'DICTIONARY-3'!F237))</f>
        <v>Kwadrat pod klucz</v>
      </c>
      <c r="B237" s="603" t="s">
        <v>6449</v>
      </c>
      <c r="C237" s="586" t="s">
        <v>6449</v>
      </c>
      <c r="D237" s="586" t="s">
        <v>6554</v>
      </c>
      <c r="E237" s="586" t="s">
        <v>7024</v>
      </c>
      <c r="F237" s="581" t="str">
        <f t="shared" si="12"/>
        <v>237❸Nástavec</v>
      </c>
      <c r="G237" s="582" t="str">
        <f t="shared" si="13"/>
        <v>'DICTIONARY-3'!$A$237</v>
      </c>
    </row>
    <row r="238" spans="1:7" x14ac:dyDescent="0.25">
      <c r="A238" s="508" t="str">
        <f>IF(CHOOSE(SET.LANGUAGE,'DICTIONARY-3'!B238,'DICTIONARY-3'!C238,'DICTIONARY-3'!D238,'DICTIONARY-3'!E238,'DICTIONARY-3'!F238)=0,("??? "&amp;"DICTIONARY-3/"&amp;"LINE"&amp;(ROW(A238))),CHOOSE(SET.LANGUAGE,'DICTIONARY-3'!B238,'DICTIONARY-3'!C238,'DICTIONARY-3'!D238,'DICTIONARY-3'!E238,'DICTIONARY-3'!F238))</f>
        <v>kwadrat pod klucz</v>
      </c>
      <c r="B238" s="604" t="str">
        <f>LOWER($B$237)</f>
        <v>nástavec</v>
      </c>
      <c r="C238" s="584" t="str">
        <f>LOWER($B$237)</f>
        <v>nástavec</v>
      </c>
      <c r="D238" s="584" t="str">
        <f>LOWER($D$237)</f>
        <v>false spindle cap</v>
      </c>
      <c r="E238" s="584" t="str">
        <f>LOWER($E$237)</f>
        <v>kwadrat pod klucz</v>
      </c>
      <c r="F238" s="581" t="str">
        <f t="shared" ref="F238" si="14">CONCATENATE(ROW(B238),"❸",B238)</f>
        <v>238❸nástavec</v>
      </c>
      <c r="G238" s="582" t="str">
        <f t="shared" si="13"/>
        <v>'DICTIONARY-3'!$A$238</v>
      </c>
    </row>
    <row r="239" spans="1:7" x14ac:dyDescent="0.25">
      <c r="A239" s="508" t="str">
        <f>IF(CHOOSE(SET.LANGUAGE,'DICTIONARY-3'!B239,'DICTIONARY-3'!C239,'DICTIONARY-3'!D239,'DICTIONARY-3'!E239,'DICTIONARY-3'!F239)=0,("??? "&amp;"DICTIONARY-3/"&amp;"LINE"&amp;(ROW(A239))),CHOOSE(SET.LANGUAGE,'DICTIONARY-3'!B239,'DICTIONARY-3'!C239,'DICTIONARY-3'!D239,'DICTIONARY-3'!E239,'DICTIONARY-3'!F239))</f>
        <v>Zestaw z pływakiem</v>
      </c>
      <c r="B239" s="603" t="s">
        <v>5725</v>
      </c>
      <c r="C239" s="586" t="s">
        <v>7514</v>
      </c>
      <c r="D239" s="586" t="s">
        <v>6522</v>
      </c>
      <c r="E239" s="586" t="s">
        <v>7025</v>
      </c>
      <c r="F239" s="581" t="str">
        <f t="shared" si="12"/>
        <v>239❸Plováková sada</v>
      </c>
      <c r="G239" s="582" t="str">
        <f t="shared" si="13"/>
        <v>'DICTIONARY-3'!$A$239</v>
      </c>
    </row>
    <row r="240" spans="1:7" x14ac:dyDescent="0.25">
      <c r="A240" s="508" t="str">
        <f>IF(CHOOSE(SET.LANGUAGE,'DICTIONARY-3'!B240,'DICTIONARY-3'!C240,'DICTIONARY-3'!D240,'DICTIONARY-3'!E240,'DICTIONARY-3'!F240)=0,("??? "&amp;"DICTIONARY-3/"&amp;"LINE"&amp;(ROW(A240))),CHOOSE(SET.LANGUAGE,'DICTIONARY-3'!B240,'DICTIONARY-3'!C240,'DICTIONARY-3'!D240,'DICTIONARY-3'!E240,'DICTIONARY-3'!F240))</f>
        <v>Filtr</v>
      </c>
      <c r="B240" s="603" t="s">
        <v>5720</v>
      </c>
      <c r="C240" s="586" t="s">
        <v>7515</v>
      </c>
      <c r="D240" s="586" t="s">
        <v>6509</v>
      </c>
      <c r="E240" s="586" t="s">
        <v>5719</v>
      </c>
      <c r="F240" s="581" t="str">
        <f t="shared" si="12"/>
        <v>240❸Síto</v>
      </c>
      <c r="G240" s="582" t="str">
        <f t="shared" si="13"/>
        <v>'DICTIONARY-3'!$A$240</v>
      </c>
    </row>
    <row r="241" spans="1:7" x14ac:dyDescent="0.25">
      <c r="A241" s="508" t="str">
        <f>IF(CHOOSE(SET.LANGUAGE,'DICTIONARY-3'!B241,'DICTIONARY-3'!C241,'DICTIONARY-3'!D241,'DICTIONARY-3'!E241,'DICTIONARY-3'!F241)=0,("??? "&amp;"DICTIONARY-3/"&amp;"LINE"&amp;(ROW(A241))),CHOOSE(SET.LANGUAGE,'DICTIONARY-3'!B241,'DICTIONARY-3'!C241,'DICTIONARY-3'!D241,'DICTIONARY-3'!E241,'DICTIONARY-3'!F241))</f>
        <v>Kołnierz</v>
      </c>
      <c r="B241" s="603" t="s">
        <v>5726</v>
      </c>
      <c r="C241" s="586" t="s">
        <v>7516</v>
      </c>
      <c r="D241" s="586" t="s">
        <v>6523</v>
      </c>
      <c r="E241" s="586" t="s">
        <v>7026</v>
      </c>
      <c r="F241" s="581" t="str">
        <f t="shared" si="12"/>
        <v>241❸Příruba</v>
      </c>
      <c r="G241" s="582" t="str">
        <f t="shared" si="13"/>
        <v>'DICTIONARY-3'!$A$241</v>
      </c>
    </row>
    <row r="242" spans="1:7" x14ac:dyDescent="0.25">
      <c r="A242" s="508" t="str">
        <f>IF(CHOOSE(SET.LANGUAGE,'DICTIONARY-3'!B242,'DICTIONARY-3'!C242,'DICTIONARY-3'!D242,'DICTIONARY-3'!E242,'DICTIONARY-3'!F242)=0,("??? "&amp;"DICTIONARY-3/"&amp;"LINE"&amp;(ROW(A242))),CHOOSE(SET.LANGUAGE,'DICTIONARY-3'!B242,'DICTIONARY-3'!C242,'DICTIONARY-3'!D242,'DICTIONARY-3'!E242,'DICTIONARY-3'!F242))</f>
        <v>Z kółkiem ręcznym</v>
      </c>
      <c r="B242" s="585" t="s">
        <v>2706</v>
      </c>
      <c r="C242" s="586" t="s">
        <v>7517</v>
      </c>
      <c r="D242" s="586" t="s">
        <v>6525</v>
      </c>
      <c r="E242" s="586" t="s">
        <v>7095</v>
      </c>
      <c r="F242" s="581" t="str">
        <f t="shared" si="12"/>
        <v>242❸S ručním kolem</v>
      </c>
      <c r="G242" s="582" t="str">
        <f t="shared" si="13"/>
        <v>'DICTIONARY-3'!$A$242</v>
      </c>
    </row>
    <row r="243" spans="1:7" x14ac:dyDescent="0.25">
      <c r="A243" s="508" t="str">
        <f>IF(CHOOSE(SET.LANGUAGE,'DICTIONARY-3'!B243,'DICTIONARY-3'!C243,'DICTIONARY-3'!D243,'DICTIONARY-3'!E243,'DICTIONARY-3'!F243)=0,("??? "&amp;"DICTIONARY-3/"&amp;"LINE"&amp;(ROW(A243))),CHOOSE(SET.LANGUAGE,'DICTIONARY-3'!B243,'DICTIONARY-3'!C243,'DICTIONARY-3'!D243,'DICTIONARY-3'!E243,'DICTIONARY-3'!F243))</f>
        <v>Z wolnym końcem wałka</v>
      </c>
      <c r="B243" s="585" t="s">
        <v>6244</v>
      </c>
      <c r="C243" s="586" t="s">
        <v>7429</v>
      </c>
      <c r="D243" s="586" t="s">
        <v>6526</v>
      </c>
      <c r="E243" s="586" t="s">
        <v>7096</v>
      </c>
      <c r="F243" s="581" t="str">
        <f t="shared" si="12"/>
        <v>243❸S volným koncem vřetene</v>
      </c>
      <c r="G243" s="582" t="str">
        <f t="shared" si="13"/>
        <v>'DICTIONARY-3'!$A$243</v>
      </c>
    </row>
    <row r="244" spans="1:7" x14ac:dyDescent="0.25">
      <c r="A244" s="508" t="str">
        <f>IF(CHOOSE(SET.LANGUAGE,'DICTIONARY-3'!B244,'DICTIONARY-3'!C244,'DICTIONARY-3'!D244,'DICTIONARY-3'!E244,'DICTIONARY-3'!F244)=0,("??? "&amp;"DICTIONARY-3/"&amp;"LINE"&amp;(ROW(A244))),CHOOSE(SET.LANGUAGE,'DICTIONARY-3'!B244,'DICTIONARY-3'!C244,'DICTIONARY-3'!D244,'DICTIONARY-3'!E244,'DICTIONARY-3'!F244))</f>
        <v>i adapterem do podłączenia VAG obudowy ziemnej</v>
      </c>
      <c r="B244" s="585" t="s">
        <v>7099</v>
      </c>
      <c r="C244" s="586" t="s">
        <v>7518</v>
      </c>
      <c r="D244" s="586" t="s">
        <v>7098</v>
      </c>
      <c r="E244" s="586" t="s">
        <v>7097</v>
      </c>
      <c r="F244" s="581" t="str">
        <f t="shared" si="12"/>
        <v>244❸a adaptérem pro VAG zemní soupravu</v>
      </c>
      <c r="G244" s="582" t="str">
        <f t="shared" si="13"/>
        <v>'DICTIONARY-3'!$A$244</v>
      </c>
    </row>
    <row r="245" spans="1:7" x14ac:dyDescent="0.25">
      <c r="A245" s="508" t="str">
        <f>IF(CHOOSE(SET.LANGUAGE,'DICTIONARY-3'!B245,'DICTIONARY-3'!C245,'DICTIONARY-3'!D245,'DICTIONARY-3'!E245,'DICTIONARY-3'!F245)=0,("??? "&amp;"DICTIONARY-3/"&amp;"LINE"&amp;(ROW(A245))),CHOOSE(SET.LANGUAGE,'DICTIONARY-3'!B245,'DICTIONARY-3'!C245,'DICTIONARY-3'!D245,'DICTIONARY-3'!E245,'DICTIONARY-3'!F245))</f>
        <v>Z kołnierzem przesuwnym</v>
      </c>
      <c r="B245" s="585" t="s">
        <v>79</v>
      </c>
      <c r="C245" s="586" t="s">
        <v>7430</v>
      </c>
      <c r="D245" s="586" t="s">
        <v>6524</v>
      </c>
      <c r="E245" s="586" t="s">
        <v>7101</v>
      </c>
      <c r="F245" s="581" t="str">
        <f>CONCATENATE(ROW(B245),"❸",B245)</f>
        <v>245❸S posuvnou přírubou</v>
      </c>
      <c r="G245" s="582" t="str">
        <f t="shared" si="13"/>
        <v>'DICTIONARY-3'!$A$245</v>
      </c>
    </row>
    <row r="246" spans="1:7" x14ac:dyDescent="0.25">
      <c r="A246" s="508" t="str">
        <f>IF(CHOOSE(SET.LANGUAGE,'DICTIONARY-3'!B246,'DICTIONARY-3'!C246,'DICTIONARY-3'!D246,'DICTIONARY-3'!E246,'DICTIONARY-3'!F246)=0,("??? "&amp;"DICTIONARY-3/"&amp;"LINE"&amp;(ROW(A246))),CHOOSE(SET.LANGUAGE,'DICTIONARY-3'!B246,'DICTIONARY-3'!C246,'DICTIONARY-3'!D246,'DICTIONARY-3'!E246,'DICTIONARY-3'!F246))</f>
        <v>Z regulowanymi kołnierzami</v>
      </c>
      <c r="B246" s="585" t="s">
        <v>289</v>
      </c>
      <c r="C246" s="586" t="s">
        <v>7431</v>
      </c>
      <c r="D246" s="586" t="s">
        <v>6527</v>
      </c>
      <c r="E246" s="586" t="s">
        <v>7100</v>
      </c>
      <c r="F246" s="581" t="str">
        <f t="shared" si="12"/>
        <v>246❸S nastavitelnými přírubami</v>
      </c>
      <c r="G246" s="582" t="str">
        <f t="shared" si="13"/>
        <v>'DICTIONARY-3'!$A$246</v>
      </c>
    </row>
    <row r="247" spans="1:7" x14ac:dyDescent="0.25">
      <c r="A247" s="508" t="str">
        <f>IF(CHOOSE(SET.LANGUAGE,'DICTIONARY-3'!B247,'DICTIONARY-3'!C247,'DICTIONARY-3'!D247,'DICTIONARY-3'!E247,'DICTIONARY-3'!F247)=0,("??? "&amp;"DICTIONARY-3/"&amp;"LINE"&amp;(ROW(A247))),CHOOSE(SET.LANGUAGE,'DICTIONARY-3'!B247,'DICTIONARY-3'!C247,'DICTIONARY-3'!D247,'DICTIONARY-3'!E247,'DICTIONARY-3'!F247))</f>
        <v xml:space="preserve">Regulowana długość zabudowy </v>
      </c>
      <c r="B247" s="585" t="s">
        <v>6230</v>
      </c>
      <c r="C247" s="586" t="s">
        <v>7525</v>
      </c>
      <c r="D247" s="586" t="s">
        <v>6528</v>
      </c>
      <c r="E247" s="586" t="s">
        <v>7102</v>
      </c>
      <c r="F247" s="581" t="str">
        <f t="shared" si="12"/>
        <v>247❸Nastavitelná stavební délka</v>
      </c>
      <c r="G247" s="582" t="str">
        <f t="shared" si="13"/>
        <v>'DICTIONARY-3'!$A$247</v>
      </c>
    </row>
    <row r="248" spans="1:7" x14ac:dyDescent="0.25">
      <c r="A248" s="508" t="str">
        <f>IF(CHOOSE(SET.LANGUAGE,'DICTIONARY-3'!B248,'DICTIONARY-3'!C248,'DICTIONARY-3'!D248,'DICTIONARY-3'!E248,'DICTIONARY-3'!F248)=0,("??? "&amp;"DICTIONARY-3/"&amp;"LINE"&amp;(ROW(A248))),CHOOSE(SET.LANGUAGE,'DICTIONARY-3'!B248,'DICTIONARY-3'!C248,'DICTIONARY-3'!D248,'DICTIONARY-3'!E248,'DICTIONARY-3'!F248))</f>
        <v>Przygotowana pod napęd elektryczny</v>
      </c>
      <c r="B248" s="585" t="s">
        <v>6231</v>
      </c>
      <c r="C248" s="586" t="s">
        <v>7432</v>
      </c>
      <c r="D248" s="586" t="s">
        <v>6529</v>
      </c>
      <c r="E248" s="586" t="s">
        <v>7103</v>
      </c>
      <c r="F248" s="581" t="str">
        <f t="shared" si="12"/>
        <v>248❸S přípravou pro elektrický servopohon</v>
      </c>
      <c r="G248" s="582" t="str">
        <f t="shared" si="13"/>
        <v>'DICTIONARY-3'!$A$248</v>
      </c>
    </row>
    <row r="249" spans="1:7" x14ac:dyDescent="0.25">
      <c r="A249" s="508" t="str">
        <f>IF(CHOOSE(SET.LANGUAGE,'DICTIONARY-3'!B249,'DICTIONARY-3'!C249,'DICTIONARY-3'!D249,'DICTIONARY-3'!E249,'DICTIONARY-3'!F249)=0,("??? "&amp;"DICTIONARY-3/"&amp;"LINE"&amp;(ROW(A249))),CHOOSE(SET.LANGUAGE,'DICTIONARY-3'!B249,'DICTIONARY-3'!C249,'DICTIONARY-3'!D249,'DICTIONARY-3'!E249,'DICTIONARY-3'!F249))</f>
        <v>Z napędem elektrycznym</v>
      </c>
      <c r="B249" s="585" t="s">
        <v>6806</v>
      </c>
      <c r="C249" s="586" t="s">
        <v>7433</v>
      </c>
      <c r="D249" s="586" t="s">
        <v>6807</v>
      </c>
      <c r="E249" s="586" t="s">
        <v>7104</v>
      </c>
      <c r="F249" s="581" t="str">
        <f t="shared" si="12"/>
        <v>249❸S el. servopohonem</v>
      </c>
      <c r="G249" s="582" t="str">
        <f t="shared" si="13"/>
        <v>'DICTIONARY-3'!$A$249</v>
      </c>
    </row>
    <row r="250" spans="1:7" x14ac:dyDescent="0.25">
      <c r="A250" s="508" t="str">
        <f>IF(CHOOSE(SET.LANGUAGE,'DICTIONARY-3'!B250,'DICTIONARY-3'!C250,'DICTIONARY-3'!D250,'DICTIONARY-3'!E250,'DICTIONARY-3'!F250)=0,("??? "&amp;"DICTIONARY-3/"&amp;"LINE"&amp;(ROW(A250))),CHOOSE(SET.LANGUAGE,'DICTIONARY-3'!B250,'DICTIONARY-3'!C250,'DICTIONARY-3'!D250,'DICTIONARY-3'!E250,'DICTIONARY-3'!F250))</f>
        <v>Przygotowana pod napęd pneumatyczny</v>
      </c>
      <c r="B250" s="585" t="s">
        <v>6243</v>
      </c>
      <c r="C250" s="586" t="s">
        <v>7519</v>
      </c>
      <c r="D250" s="586" t="s">
        <v>6530</v>
      </c>
      <c r="E250" s="586" t="s">
        <v>7106</v>
      </c>
      <c r="F250" s="581" t="str">
        <f t="shared" si="12"/>
        <v>250❸S přípravou pro pneupohon</v>
      </c>
      <c r="G250" s="582" t="str">
        <f t="shared" si="13"/>
        <v>'DICTIONARY-3'!$A$250</v>
      </c>
    </row>
    <row r="251" spans="1:7" x14ac:dyDescent="0.25">
      <c r="A251" s="508" t="str">
        <f>IF(CHOOSE(SET.LANGUAGE,'DICTIONARY-3'!B251,'DICTIONARY-3'!C251,'DICTIONARY-3'!D251,'DICTIONARY-3'!E251,'DICTIONARY-3'!F251)=0,("??? "&amp;"DICTIONARY-3/"&amp;"LINE"&amp;(ROW(A251))),CHOOSE(SET.LANGUAGE,'DICTIONARY-3'!B251,'DICTIONARY-3'!C251,'DICTIONARY-3'!D251,'DICTIONARY-3'!E251,'DICTIONARY-3'!F251))</f>
        <v>Z napędem pneumatycznym</v>
      </c>
      <c r="B251" s="585" t="s">
        <v>6808</v>
      </c>
      <c r="C251" s="586" t="s">
        <v>7434</v>
      </c>
      <c r="D251" s="586" t="s">
        <v>6809</v>
      </c>
      <c r="E251" s="586" t="s">
        <v>7105</v>
      </c>
      <c r="F251" s="581" t="str">
        <f t="shared" si="12"/>
        <v>251❸S pneupohonem</v>
      </c>
      <c r="G251" s="582" t="str">
        <f t="shared" si="13"/>
        <v>'DICTIONARY-3'!$A$251</v>
      </c>
    </row>
    <row r="252" spans="1:7" x14ac:dyDescent="0.25">
      <c r="A252" s="508" t="str">
        <f>IF(CHOOSE(SET.LANGUAGE,'DICTIONARY-3'!B252,'DICTIONARY-3'!C252,'DICTIONARY-3'!D252,'DICTIONARY-3'!E252,'DICTIONARY-3'!F252)=0,("??? "&amp;"DICTIONARY-3/"&amp;"LINE"&amp;(ROW(A252))),CHOOSE(SET.LANGUAGE,'DICTIONARY-3'!B252,'DICTIONARY-3'!C252,'DICTIONARY-3'!D252,'DICTIONARY-3'!E252,'DICTIONARY-3'!F252))</f>
        <v>Z końcówkami PE-HD</v>
      </c>
      <c r="B252" s="585" t="s">
        <v>6232</v>
      </c>
      <c r="C252" s="586" t="s">
        <v>6232</v>
      </c>
      <c r="D252" s="586" t="s">
        <v>6531</v>
      </c>
      <c r="E252" s="586" t="s">
        <v>7107</v>
      </c>
      <c r="F252" s="581" t="str">
        <f t="shared" si="12"/>
        <v>252❸S PE-HD konci</v>
      </c>
      <c r="G252" s="582" t="str">
        <f t="shared" si="13"/>
        <v>'DICTIONARY-3'!$A$252</v>
      </c>
    </row>
    <row r="253" spans="1:7" x14ac:dyDescent="0.25">
      <c r="A253" s="508" t="str">
        <f>IF(CHOOSE(SET.LANGUAGE,'DICTIONARY-3'!B253,'DICTIONARY-3'!C253,'DICTIONARY-3'!D253,'DICTIONARY-3'!E253,'DICTIONARY-3'!F253)=0,("??? "&amp;"DICTIONARY-3/"&amp;"LINE"&amp;(ROW(A253))),CHOOSE(SET.LANGUAGE,'DICTIONARY-3'!B253,'DICTIONARY-3'!C253,'DICTIONARY-3'!D253,'DICTIONARY-3'!E253,'DICTIONARY-3'!F253))</f>
        <v>Z końcówkami mufowymi BAIO</v>
      </c>
      <c r="B253" s="585" t="s">
        <v>6233</v>
      </c>
      <c r="C253" s="586" t="s">
        <v>7520</v>
      </c>
      <c r="D253" s="586" t="s">
        <v>6532</v>
      </c>
      <c r="E253" s="586" t="s">
        <v>7108</v>
      </c>
      <c r="F253" s="581" t="str">
        <f t="shared" si="12"/>
        <v>253❸S BAIO hrdly</v>
      </c>
      <c r="G253" s="582" t="str">
        <f t="shared" si="13"/>
        <v>'DICTIONARY-3'!$A$253</v>
      </c>
    </row>
    <row r="254" spans="1:7" x14ac:dyDescent="0.25">
      <c r="A254" s="508" t="str">
        <f>IF(CHOOSE(SET.LANGUAGE,'DICTIONARY-3'!B254,'DICTIONARY-3'!C254,'DICTIONARY-3'!D254,'DICTIONARY-3'!E254,'DICTIONARY-3'!F254)=0,("??? "&amp;"DICTIONARY-3/"&amp;"LINE"&amp;(ROW(A254))),CHOOSE(SET.LANGUAGE,'DICTIONARY-3'!B254,'DICTIONARY-3'!C254,'DICTIONARY-3'!D254,'DICTIONARY-3'!E254,'DICTIONARY-3'!F254))</f>
        <v>Z końcówkami bosymi</v>
      </c>
      <c r="B254" s="585" t="s">
        <v>6234</v>
      </c>
      <c r="C254" s="586" t="s">
        <v>7526</v>
      </c>
      <c r="D254" s="586" t="s">
        <v>6533</v>
      </c>
      <c r="E254" s="586" t="s">
        <v>6235</v>
      </c>
      <c r="F254" s="581" t="str">
        <f t="shared" si="12"/>
        <v>254❸S nátrubky</v>
      </c>
      <c r="G254" s="582" t="str">
        <f t="shared" si="13"/>
        <v>'DICTIONARY-3'!$A$254</v>
      </c>
    </row>
    <row r="255" spans="1:7" x14ac:dyDescent="0.25">
      <c r="A255" s="508" t="str">
        <f>IF(CHOOSE(SET.LANGUAGE,'DICTIONARY-3'!B255,'DICTIONARY-3'!C255,'DICTIONARY-3'!D255,'DICTIONARY-3'!E255,'DICTIONARY-3'!F255)=0,("??? "&amp;"DICTIONARY-3/"&amp;"LINE"&amp;(ROW(A255))),CHOOSE(SET.LANGUAGE,'DICTIONARY-3'!B255,'DICTIONARY-3'!C255,'DICTIONARY-3'!D255,'DICTIONARY-3'!E255,'DICTIONARY-3'!F255))</f>
        <v>Z wrzecionem niewznoszącym się</v>
      </c>
      <c r="B255" s="585" t="s">
        <v>6438</v>
      </c>
      <c r="C255" s="586" t="s">
        <v>7527</v>
      </c>
      <c r="D255" s="586" t="s">
        <v>6439</v>
      </c>
      <c r="E255" s="586" t="s">
        <v>6440</v>
      </c>
      <c r="F255" s="581" t="str">
        <f t="shared" si="12"/>
        <v>255❸Víkové</v>
      </c>
      <c r="G255" s="582" t="str">
        <f t="shared" si="13"/>
        <v>'DICTIONARY-3'!$A$255</v>
      </c>
    </row>
    <row r="256" spans="1:7" x14ac:dyDescent="0.25">
      <c r="A256" s="508" t="str">
        <f>IF(CHOOSE(SET.LANGUAGE,'DICTIONARY-3'!B256,'DICTIONARY-3'!C256,'DICTIONARY-3'!D256,'DICTIONARY-3'!E256,'DICTIONARY-3'!F256)=0,("??? "&amp;"DICTIONARY-3/"&amp;"LINE"&amp;(ROW(A256))),CHOOSE(SET.LANGUAGE,'DICTIONARY-3'!B256,'DICTIONARY-3'!C256,'DICTIONARY-3'!D256,'DICTIONARY-3'!E256,'DICTIONARY-3'!F256))</f>
        <v>Z wrzecionem wznoszącym się</v>
      </c>
      <c r="B256" s="585" t="s">
        <v>6217</v>
      </c>
      <c r="C256" s="586" t="s">
        <v>7528</v>
      </c>
      <c r="D256" s="586" t="s">
        <v>6218</v>
      </c>
      <c r="E256" s="586" t="s">
        <v>6219</v>
      </c>
      <c r="F256" s="581" t="str">
        <f t="shared" si="12"/>
        <v>256❸Třmenové</v>
      </c>
      <c r="G256" s="582" t="str">
        <f t="shared" si="13"/>
        <v>'DICTIONARY-3'!$A$256</v>
      </c>
    </row>
    <row r="257" spans="1:7" x14ac:dyDescent="0.25">
      <c r="A257" s="508" t="str">
        <f>IF(CHOOSE(SET.LANGUAGE,'DICTIONARY-3'!B257,'DICTIONARY-3'!C257,'DICTIONARY-3'!D257,'DICTIONARY-3'!E257,'DICTIONARY-3'!F257)=0,("??? "&amp;"DICTIONARY-3/"&amp;"LINE"&amp;(ROW(A257))),CHOOSE(SET.LANGUAGE,'DICTIONARY-3'!B257,'DICTIONARY-3'!C257,'DICTIONARY-3'!D257,'DICTIONARY-3'!E257,'DICTIONARY-3'!F257))</f>
        <v>Z wrzecionem niewznoszącym się</v>
      </c>
      <c r="B257" s="585" t="s">
        <v>6502</v>
      </c>
      <c r="C257" s="586" t="s">
        <v>7521</v>
      </c>
      <c r="D257" s="584" t="str">
        <f>D$255</f>
        <v>With non-rising stem</v>
      </c>
      <c r="E257" s="584" t="str">
        <f>E$255</f>
        <v>Z wrzecionem niewznoszącym się</v>
      </c>
      <c r="F257" s="581" t="str">
        <f t="shared" si="12"/>
        <v>257❸S nestoupajícím vřetenem</v>
      </c>
      <c r="G257" s="582" t="str">
        <f t="shared" si="13"/>
        <v>'DICTIONARY-3'!$A$257</v>
      </c>
    </row>
    <row r="258" spans="1:7" x14ac:dyDescent="0.25">
      <c r="A258" s="508" t="str">
        <f>IF(CHOOSE(SET.LANGUAGE,'DICTIONARY-3'!B258,'DICTIONARY-3'!C258,'DICTIONARY-3'!D258,'DICTIONARY-3'!E258,'DICTIONARY-3'!F258)=0,("??? "&amp;"DICTIONARY-3/"&amp;"LINE"&amp;(ROW(A258))),CHOOSE(SET.LANGUAGE,'DICTIONARY-3'!B258,'DICTIONARY-3'!C258,'DICTIONARY-3'!D258,'DICTIONARY-3'!E258,'DICTIONARY-3'!F258))</f>
        <v>Z wrzecionem wznoszącym się</v>
      </c>
      <c r="B258" s="585" t="s">
        <v>6247</v>
      </c>
      <c r="C258" s="586" t="s">
        <v>7435</v>
      </c>
      <c r="D258" s="584" t="str">
        <f>D$256</f>
        <v>With rising stem</v>
      </c>
      <c r="E258" s="584" t="str">
        <f>E$256</f>
        <v>Z wrzecionem wznoszącym się</v>
      </c>
      <c r="F258" s="581" t="str">
        <f t="shared" si="12"/>
        <v>258❸Se stoupajícím vřetenem</v>
      </c>
      <c r="G258" s="582" t="str">
        <f t="shared" si="13"/>
        <v>'DICTIONARY-3'!$A$258</v>
      </c>
    </row>
    <row r="259" spans="1:7" x14ac:dyDescent="0.25">
      <c r="A259" s="508" t="str">
        <f>IF(CHOOSE(SET.LANGUAGE,'DICTIONARY-3'!B259,'DICTIONARY-3'!C259,'DICTIONARY-3'!D259,'DICTIONARY-3'!E259,'DICTIONARY-3'!F259)=0,("??? "&amp;"DICTIONARY-3/"&amp;"LINE"&amp;(ROW(A259))),CHOOSE(SET.LANGUAGE,'DICTIONARY-3'!B259,'DICTIONARY-3'!C259,'DICTIONARY-3'!D259,'DICTIONARY-3'!E259,'DICTIONARY-3'!F259))</f>
        <v>Sla systemów gaśniczych</v>
      </c>
      <c r="B259" s="585" t="s">
        <v>6236</v>
      </c>
      <c r="C259" s="586" t="s">
        <v>7436</v>
      </c>
      <c r="D259" s="586" t="s">
        <v>6534</v>
      </c>
      <c r="E259" s="586" t="s">
        <v>7109</v>
      </c>
      <c r="F259" s="581" t="str">
        <f t="shared" si="12"/>
        <v>259❸Pro stabilní hasicí zařízení</v>
      </c>
      <c r="G259" s="582" t="str">
        <f t="shared" si="13"/>
        <v>'DICTIONARY-3'!$A$259</v>
      </c>
    </row>
    <row r="260" spans="1:7" x14ac:dyDescent="0.25">
      <c r="A260" s="508" t="str">
        <f>IF(CHOOSE(SET.LANGUAGE,'DICTIONARY-3'!B260,'DICTIONARY-3'!C260,'DICTIONARY-3'!D260,'DICTIONARY-3'!E260,'DICTIONARY-3'!F260)=0,("??? "&amp;"DICTIONARY-3/"&amp;"LINE"&amp;(ROW(A260))),CHOOSE(SET.LANGUAGE,'DICTIONARY-3'!B260,'DICTIONARY-3'!C260,'DICTIONARY-3'!D260,'DICTIONARY-3'!E260,'DICTIONARY-3'!F260))</f>
        <v>i ze wskaźnikiem położenia</v>
      </c>
      <c r="B260" s="585" t="s">
        <v>6246</v>
      </c>
      <c r="C260" s="586" t="s">
        <v>7437</v>
      </c>
      <c r="D260" s="586" t="s">
        <v>6535</v>
      </c>
      <c r="E260" s="586" t="s">
        <v>7110</v>
      </c>
      <c r="F260" s="581" t="str">
        <f t="shared" si="12"/>
        <v>260❸a ukazatelem polohy</v>
      </c>
      <c r="G260" s="582" t="str">
        <f t="shared" si="13"/>
        <v>'DICTIONARY-3'!$A$260</v>
      </c>
    </row>
    <row r="261" spans="1:7" x14ac:dyDescent="0.25">
      <c r="A261" s="508" t="str">
        <f>IF(CHOOSE(SET.LANGUAGE,'DICTIONARY-3'!B261,'DICTIONARY-3'!C261,'DICTIONARY-3'!D261,'DICTIONARY-3'!E261,'DICTIONARY-3'!F261)=0,("??? "&amp;"DICTIONARY-3/"&amp;"LINE"&amp;(ROW(A261))),CHOOSE(SET.LANGUAGE,'DICTIONARY-3'!B261,'DICTIONARY-3'!C261,'DICTIONARY-3'!D261,'DICTIONARY-3'!E261,'DICTIONARY-3'!F261))</f>
        <v>Do zabudowy w ziemi</v>
      </c>
      <c r="B261" s="585" t="s">
        <v>6238</v>
      </c>
      <c r="C261" s="586" t="s">
        <v>7438</v>
      </c>
      <c r="D261" s="586" t="s">
        <v>6536</v>
      </c>
      <c r="E261" s="586" t="s">
        <v>7111</v>
      </c>
      <c r="F261" s="581" t="str">
        <f t="shared" si="12"/>
        <v>261❸Pro zakopání do země</v>
      </c>
      <c r="G261" s="582" t="str">
        <f t="shared" si="13"/>
        <v>'DICTIONARY-3'!$A$261</v>
      </c>
    </row>
    <row r="262" spans="1:7" x14ac:dyDescent="0.25">
      <c r="A262" s="508" t="str">
        <f>IF(CHOOSE(SET.LANGUAGE,'DICTIONARY-3'!B262,'DICTIONARY-3'!C262,'DICTIONARY-3'!D262,'DICTIONARY-3'!E262,'DICTIONARY-3'!F262)=0,("??? "&amp;"DICTIONARY-3/"&amp;"LINE"&amp;(ROW(A262))),CHOOSE(SET.LANGUAGE,'DICTIONARY-3'!B262,'DICTIONARY-3'!C262,'DICTIONARY-3'!D262,'DICTIONARY-3'!E262,'DICTIONARY-3'!F262))</f>
        <v>Z teleskopowym przedłużeniem wrzeciona</v>
      </c>
      <c r="B262" s="585" t="s">
        <v>6239</v>
      </c>
      <c r="C262" s="586" t="s">
        <v>7522</v>
      </c>
      <c r="D262" s="586" t="s">
        <v>6537</v>
      </c>
      <c r="E262" s="586" t="s">
        <v>7288</v>
      </c>
      <c r="F262" s="581" t="str">
        <f t="shared" si="12"/>
        <v>262❸S teleskopickou zemní soupravou</v>
      </c>
      <c r="G262" s="582" t="str">
        <f t="shared" si="13"/>
        <v>'DICTIONARY-3'!$A$262</v>
      </c>
    </row>
    <row r="263" spans="1:7" x14ac:dyDescent="0.25">
      <c r="A263" s="508" t="str">
        <f>IF(CHOOSE(SET.LANGUAGE,'DICTIONARY-3'!B263,'DICTIONARY-3'!C263,'DICTIONARY-3'!D263,'DICTIONARY-3'!E263,'DICTIONARY-3'!F263)=0,("??? "&amp;"DICTIONARY-3/"&amp;"LINE"&amp;(ROW(A263))),CHOOSE(SET.LANGUAGE,'DICTIONARY-3'!B263,'DICTIONARY-3'!C263,'DICTIONARY-3'!D263,'DICTIONARY-3'!E263,'DICTIONARY-3'!F263))</f>
        <v>Z dźwignią szybkozamykającą</v>
      </c>
      <c r="B263" s="585" t="s">
        <v>6228</v>
      </c>
      <c r="C263" s="586" t="s">
        <v>7523</v>
      </c>
      <c r="D263" s="586" t="s">
        <v>6538</v>
      </c>
      <c r="E263" s="586" t="s">
        <v>6229</v>
      </c>
      <c r="F263" s="581" t="str">
        <f t="shared" si="12"/>
        <v>263❸S rychlouzavírací pákou</v>
      </c>
      <c r="G263" s="582" t="str">
        <f t="shared" si="13"/>
        <v>'DICTIONARY-3'!$A$263</v>
      </c>
    </row>
    <row r="264" spans="1:7" x14ac:dyDescent="0.25">
      <c r="A264" s="508" t="str">
        <f>IF(CHOOSE(SET.LANGUAGE,'DICTIONARY-3'!B264,'DICTIONARY-3'!C264,'DICTIONARY-3'!D264,'DICTIONARY-3'!E264,'DICTIONARY-3'!F264)=0,("??? "&amp;"DICTIONARY-3/"&amp;"LINE"&amp;(ROW(A264))),CHOOSE(SET.LANGUAGE,'DICTIONARY-3'!B264,'DICTIONARY-3'!C264,'DICTIONARY-3'!D264,'DICTIONARY-3'!E264,'DICTIONARY-3'!F264))</f>
        <v>Z przesłoną regulacyjną</v>
      </c>
      <c r="B264" s="585" t="s">
        <v>6252</v>
      </c>
      <c r="C264" s="586" t="s">
        <v>7524</v>
      </c>
      <c r="D264" s="586" t="s">
        <v>6539</v>
      </c>
      <c r="E264" s="586" t="s">
        <v>7112</v>
      </c>
      <c r="F264" s="581" t="str">
        <f t="shared" si="12"/>
        <v>264❸S regulační clonou</v>
      </c>
      <c r="G264" s="582" t="str">
        <f t="shared" si="13"/>
        <v>'DICTIONARY-3'!$A$264</v>
      </c>
    </row>
    <row r="265" spans="1:7" x14ac:dyDescent="0.25">
      <c r="A265" s="508" t="str">
        <f>IF(CHOOSE(SET.LANGUAGE,'DICTIONARY-3'!B265,'DICTIONARY-3'!C265,'DICTIONARY-3'!D265,'DICTIONARY-3'!E265,'DICTIONARY-3'!F265)=0,("??? "&amp;"DICTIONARY-3/"&amp;"LINE"&amp;(ROW(A265))),CHOOSE(SET.LANGUAGE,'DICTIONARY-3'!B265,'DICTIONARY-3'!C265,'DICTIONARY-3'!D265,'DICTIONARY-3'!E265,'DICTIONARY-3'!F265))</f>
        <v xml:space="preserve">Obszar przepływu </v>
      </c>
      <c r="B265" s="585" t="s">
        <v>657</v>
      </c>
      <c r="C265" s="586" t="s">
        <v>7529</v>
      </c>
      <c r="D265" s="586" t="s">
        <v>6540</v>
      </c>
      <c r="E265" s="586" t="s">
        <v>7113</v>
      </c>
      <c r="F265" s="581" t="str">
        <f t="shared" si="12"/>
        <v>265❸Průtočná plocha</v>
      </c>
      <c r="G265" s="582" t="str">
        <f t="shared" si="13"/>
        <v>'DICTIONARY-3'!$A$265</v>
      </c>
    </row>
    <row r="266" spans="1:7" x14ac:dyDescent="0.25">
      <c r="A266" s="508" t="str">
        <f>IF(CHOOSE(SET.LANGUAGE,'DICTIONARY-3'!B266,'DICTIONARY-3'!C266,'DICTIONARY-3'!D266,'DICTIONARY-3'!E266,'DICTIONARY-3'!F266)=0,("??? "&amp;"DICTIONARY-3/"&amp;"LINE"&amp;(ROW(A266))),CHOOSE(SET.LANGUAGE,'DICTIONARY-3'!B266,'DICTIONARY-3'!C266,'DICTIONARY-3'!D266,'DICTIONARY-3'!E266,'DICTIONARY-3'!F266))</f>
        <v>Montaż na ścianie</v>
      </c>
      <c r="B266" s="585" t="s">
        <v>6819</v>
      </c>
      <c r="C266" s="586" t="s">
        <v>7439</v>
      </c>
      <c r="D266" s="586" t="s">
        <v>6820</v>
      </c>
      <c r="E266" s="586" t="s">
        <v>7114</v>
      </c>
      <c r="F266" s="581" t="str">
        <f t="shared" si="12"/>
        <v>266❸Montáž na stěnu</v>
      </c>
      <c r="G266" s="582" t="str">
        <f t="shared" si="13"/>
        <v>'DICTIONARY-3'!$A$266</v>
      </c>
    </row>
    <row r="267" spans="1:7" x14ac:dyDescent="0.25">
      <c r="A267" s="508" t="str">
        <f>IF(CHOOSE(SET.LANGUAGE,'DICTIONARY-3'!B267,'DICTIONARY-3'!C267,'DICTIONARY-3'!D267,'DICTIONARY-3'!E267,'DICTIONARY-3'!F267)=0,("??? "&amp;"DICTIONARY-3/"&amp;"LINE"&amp;(ROW(A267))),CHOOSE(SET.LANGUAGE,'DICTIONARY-3'!B267,'DICTIONARY-3'!C267,'DICTIONARY-3'!D267,'DICTIONARY-3'!E267,'DICTIONARY-3'!F267))</f>
        <v>montaż na ścianie</v>
      </c>
      <c r="B267" s="585" t="s">
        <v>7115</v>
      </c>
      <c r="C267" s="586" t="s">
        <v>7440</v>
      </c>
      <c r="D267" s="584" t="str">
        <f>LOWER($D$266)</f>
        <v>wall-mounted</v>
      </c>
      <c r="E267" s="586" t="str">
        <f>LOWER($E$266)</f>
        <v>montaż na ścianie</v>
      </c>
      <c r="F267" s="581" t="str">
        <f t="shared" ref="F267" si="15">CONCATENATE(ROW(B267),"❸",B267)</f>
        <v>267❸mont. na stěnu</v>
      </c>
      <c r="G267" s="582" t="str">
        <f t="shared" si="13"/>
        <v>'DICTIONARY-3'!$A$267</v>
      </c>
    </row>
    <row r="268" spans="1:7" x14ac:dyDescent="0.25">
      <c r="A268" s="508" t="str">
        <f>IF(CHOOSE(SET.LANGUAGE,'DICTIONARY-3'!B268,'DICTIONARY-3'!C268,'DICTIONARY-3'!D268,'DICTIONARY-3'!E268,'DICTIONARY-3'!F268)=0,("??? "&amp;"DICTIONARY-3/"&amp;"LINE"&amp;(ROW(A268))),CHOOSE(SET.LANGUAGE,'DICTIONARY-3'!B268,'DICTIONARY-3'!C268,'DICTIONARY-3'!D268,'DICTIONARY-3'!E268,'DICTIONARY-3'!F268))</f>
        <v>montaż w kanale</v>
      </c>
      <c r="B268" s="585" t="s">
        <v>5988</v>
      </c>
      <c r="C268" s="586" t="s">
        <v>7441</v>
      </c>
      <c r="D268" s="586" t="s">
        <v>6541</v>
      </c>
      <c r="E268" s="586" t="s">
        <v>7116</v>
      </c>
      <c r="F268" s="581" t="str">
        <f t="shared" si="12"/>
        <v>268❸zabudování do koryta</v>
      </c>
      <c r="G268" s="582" t="str">
        <f t="shared" si="13"/>
        <v>'DICTIONARY-3'!$A$268</v>
      </c>
    </row>
    <row r="269" spans="1:7" x14ac:dyDescent="0.25">
      <c r="A269" s="508" t="str">
        <f>IF(CHOOSE(SET.LANGUAGE,'DICTIONARY-3'!B269,'DICTIONARY-3'!C269,'DICTIONARY-3'!D269,'DICTIONARY-3'!E269,'DICTIONARY-3'!F269)=0,("??? "&amp;"DICTIONARY-3/"&amp;"LINE"&amp;(ROW(A269))),CHOOSE(SET.LANGUAGE,'DICTIONARY-3'!B269,'DICTIONARY-3'!C269,'DICTIONARY-3'!D269,'DICTIONARY-3'!E269,'DICTIONARY-3'!F269))</f>
        <v xml:space="preserve">Do tego wymiaru polecamy </v>
      </c>
      <c r="B269" s="585" t="s">
        <v>6542</v>
      </c>
      <c r="C269" s="586" t="s">
        <v>7442</v>
      </c>
      <c r="D269" s="586" t="s">
        <v>6543</v>
      </c>
      <c r="E269" s="586" t="s">
        <v>7117</v>
      </c>
      <c r="F269" s="581" t="str">
        <f t="shared" si="12"/>
        <v>269❸Pro tento rozměr doporučujeme</v>
      </c>
      <c r="G269" s="582" t="str">
        <f t="shared" si="13"/>
        <v>'DICTIONARY-3'!$A$269</v>
      </c>
    </row>
    <row r="270" spans="1:7" x14ac:dyDescent="0.25">
      <c r="A270" s="508" t="str">
        <f>IF(CHOOSE(SET.LANGUAGE,'DICTIONARY-3'!B270,'DICTIONARY-3'!C270,'DICTIONARY-3'!D270,'DICTIONARY-3'!E270,'DICTIONARY-3'!F270)=0,("??? "&amp;"DICTIONARY-3/"&amp;"LINE"&amp;(ROW(A270))),CHOOSE(SET.LANGUAGE,'DICTIONARY-3'!B270,'DICTIONARY-3'!C270,'DICTIONARY-3'!D270,'DICTIONARY-3'!E270,'DICTIONARY-3'!F270))</f>
        <v>Z ramą zamkniętą i wrzecionem niewznoszącym się</v>
      </c>
      <c r="B270" s="585" t="s">
        <v>656</v>
      </c>
      <c r="C270" s="586" t="s">
        <v>7530</v>
      </c>
      <c r="D270" s="586" t="s">
        <v>6544</v>
      </c>
      <c r="E270" s="586" t="s">
        <v>7289</v>
      </c>
      <c r="F270" s="581" t="str">
        <f t="shared" si="12"/>
        <v>270❸S uzavřeným rámem a nestoupajicím vřetenem</v>
      </c>
      <c r="G270" s="582" t="str">
        <f t="shared" si="13"/>
        <v>'DICTIONARY-3'!$A$270</v>
      </c>
    </row>
    <row r="271" spans="1:7" x14ac:dyDescent="0.25">
      <c r="A271" s="508" t="str">
        <f>IF(CHOOSE(SET.LANGUAGE,'DICTIONARY-3'!B271,'DICTIONARY-3'!C271,'DICTIONARY-3'!D271,'DICTIONARY-3'!E271,'DICTIONARY-3'!F271)=0,("??? "&amp;"DICTIONARY-3/"&amp;"LINE"&amp;(ROW(A271))),CHOOSE(SET.LANGUAGE,'DICTIONARY-3'!B271,'DICTIONARY-3'!C271,'DICTIONARY-3'!D271,'DICTIONARY-3'!E271,'DICTIONARY-3'!F271))</f>
        <v>Z ramą otwartą dla wrzeciona wznoszącego się</v>
      </c>
      <c r="B271" s="585" t="s">
        <v>5084</v>
      </c>
      <c r="C271" s="586" t="s">
        <v>7531</v>
      </c>
      <c r="D271" s="586" t="s">
        <v>6545</v>
      </c>
      <c r="E271" s="586" t="s">
        <v>7290</v>
      </c>
      <c r="F271" s="581" t="str">
        <f t="shared" si="12"/>
        <v>271❸S otevřeným rámem a přípravou pro stoupajicí vřeteno s táhlem</v>
      </c>
      <c r="G271" s="582" t="str">
        <f t="shared" si="13"/>
        <v>'DICTIONARY-3'!$A$271</v>
      </c>
    </row>
    <row r="272" spans="1:7" x14ac:dyDescent="0.25">
      <c r="A272" s="508" t="str">
        <f>IF(CHOOSE(SET.LANGUAGE,'DICTIONARY-3'!B272,'DICTIONARY-3'!C272,'DICTIONARY-3'!D272,'DICTIONARY-3'!E272,'DICTIONARY-3'!F272)=0,("??? "&amp;"DICTIONARY-3/"&amp;"LINE"&amp;(ROW(A272))),CHOOSE(SET.LANGUAGE,'DICTIONARY-3'!B272,'DICTIONARY-3'!C272,'DICTIONARY-3'!D272,'DICTIONARY-3'!E272,'DICTIONARY-3'!F272))</f>
        <v>Kwadratowa końcówka do operowania kluczem T</v>
      </c>
      <c r="B272" s="585" t="s">
        <v>8315</v>
      </c>
      <c r="C272" s="586" t="s">
        <v>8316</v>
      </c>
      <c r="D272" s="586" t="s">
        <v>8317</v>
      </c>
      <c r="E272" s="586" t="s">
        <v>8318</v>
      </c>
      <c r="F272" s="581" t="str">
        <f t="shared" si="12"/>
        <v>272❸Nástavec pro ovládání T-klíčem</v>
      </c>
      <c r="G272" s="582" t="str">
        <f t="shared" si="13"/>
        <v>'DICTIONARY-3'!$A$272</v>
      </c>
    </row>
    <row r="273" spans="1:7" x14ac:dyDescent="0.25">
      <c r="A273" s="508" t="str">
        <f>IF(CHOOSE(SET.LANGUAGE,'DICTIONARY-3'!B273,'DICTIONARY-3'!C273,'DICTIONARY-3'!D273,'DICTIONARY-3'!E273,'DICTIONARY-3'!F273)=0,("??? "&amp;"DICTIONARY-3/"&amp;"LINE"&amp;(ROW(A273))),CHOOSE(SET.LANGUAGE,'DICTIONARY-3'!B273,'DICTIONARY-3'!C273,'DICTIONARY-3'!D273,'DICTIONARY-3'!E273,'DICTIONARY-3'!F273))</f>
        <v>Sztywne przedłużenie wrzeciona</v>
      </c>
      <c r="B273" s="585" t="s">
        <v>8319</v>
      </c>
      <c r="C273" s="586" t="s">
        <v>8320</v>
      </c>
      <c r="D273" s="586" t="s">
        <v>8321</v>
      </c>
      <c r="E273" s="586" t="s">
        <v>8322</v>
      </c>
      <c r="F273" s="581" t="str">
        <f t="shared" si="12"/>
        <v>273❸Tuhé prodloužení</v>
      </c>
      <c r="G273" s="582" t="str">
        <f t="shared" si="13"/>
        <v>'DICTIONARY-3'!$A$273</v>
      </c>
    </row>
    <row r="274" spans="1:7" x14ac:dyDescent="0.25">
      <c r="A274" s="508" t="str">
        <f>IF(CHOOSE(SET.LANGUAGE,'DICTIONARY-3'!B274,'DICTIONARY-3'!C274,'DICTIONARY-3'!D274,'DICTIONARY-3'!E274,'DICTIONARY-3'!F274)=0,("??? "&amp;"DICTIONARY-3/"&amp;"LINE"&amp;(ROW(A274))),CHOOSE(SET.LANGUAGE,'DICTIONARY-3'!B274,'DICTIONARY-3'!C274,'DICTIONARY-3'!D274,'DICTIONARY-3'!E274,'DICTIONARY-3'!F274))</f>
        <v>Teleskopowe przedłużenie wrzeciona</v>
      </c>
      <c r="B274" s="585" t="s">
        <v>8323</v>
      </c>
      <c r="C274" s="586" t="s">
        <v>8324</v>
      </c>
      <c r="D274" s="586" t="s">
        <v>8325</v>
      </c>
      <c r="E274" s="586" t="s">
        <v>8326</v>
      </c>
      <c r="F274" s="581" t="str">
        <f t="shared" si="12"/>
        <v>274❸Teleskopické prodloužení</v>
      </c>
      <c r="G274" s="582" t="str">
        <f t="shared" si="13"/>
        <v>'DICTIONARY-3'!$A$274</v>
      </c>
    </row>
    <row r="275" spans="1:7" x14ac:dyDescent="0.25">
      <c r="A275" s="508" t="str">
        <f>IF(CHOOSE(SET.LANGUAGE,'DICTIONARY-3'!B275,'DICTIONARY-3'!C275,'DICTIONARY-3'!D275,'DICTIONARY-3'!E275,'DICTIONARY-3'!F275)=0,("??? "&amp;"DICTIONARY-3/"&amp;"LINE"&amp;(ROW(A275))),CHOOSE(SET.LANGUAGE,'DICTIONARY-3'!B275,'DICTIONARY-3'!C275,'DICTIONARY-3'!D275,'DICTIONARY-3'!E275,'DICTIONARY-3'!F275))</f>
        <v>do operowania kluczem T</v>
      </c>
      <c r="B275" s="585" t="s">
        <v>6503</v>
      </c>
      <c r="C275" s="586" t="s">
        <v>7443</v>
      </c>
      <c r="D275" s="586" t="s">
        <v>6550</v>
      </c>
      <c r="E275" s="586" t="s">
        <v>7119</v>
      </c>
      <c r="F275" s="581" t="str">
        <f t="shared" si="12"/>
        <v>275❸pro ovládání T-klíčem</v>
      </c>
      <c r="G275" s="582" t="str">
        <f t="shared" si="13"/>
        <v>'DICTIONARY-3'!$A$275</v>
      </c>
    </row>
    <row r="276" spans="1:7" x14ac:dyDescent="0.25">
      <c r="A276" s="508" t="str">
        <f>IF(CHOOSE(SET.LANGUAGE,'DICTIONARY-3'!B276,'DICTIONARY-3'!C276,'DICTIONARY-3'!D276,'DICTIONARY-3'!E276,'DICTIONARY-3'!F276)=0,("??? "&amp;"DICTIONARY-3/"&amp;"LINE"&amp;(ROW(A276))),CHOOSE(SET.LANGUAGE,'DICTIONARY-3'!B276,'DICTIONARY-3'!C276,'DICTIONARY-3'!D276,'DICTIONARY-3'!E276,'DICTIONARY-3'!F276))</f>
        <v>do operowania kluczem T w skrzynce</v>
      </c>
      <c r="B276" s="585" t="s">
        <v>6504</v>
      </c>
      <c r="C276" s="586" t="s">
        <v>7444</v>
      </c>
      <c r="D276" s="586" t="s">
        <v>6766</v>
      </c>
      <c r="E276" s="586" t="s">
        <v>7120</v>
      </c>
      <c r="F276" s="581" t="str">
        <f t="shared" si="12"/>
        <v>276❸pro ovládáním T-klíčem v poklopu</v>
      </c>
      <c r="G276" s="582" t="str">
        <f t="shared" si="13"/>
        <v>'DICTIONARY-3'!$A$276</v>
      </c>
    </row>
    <row r="277" spans="1:7" x14ac:dyDescent="0.25">
      <c r="A277" s="508" t="str">
        <f>IF(CHOOSE(SET.LANGUAGE,'DICTIONARY-3'!B277,'DICTIONARY-3'!C277,'DICTIONARY-3'!D277,'DICTIONARY-3'!E277,'DICTIONARY-3'!F277)=0,("??? "&amp;"DICTIONARY-3/"&amp;"LINE"&amp;(ROW(A277))),CHOOSE(SET.LANGUAGE,'DICTIONARY-3'!B277,'DICTIONARY-3'!C277,'DICTIONARY-3'!D277,'DICTIONARY-3'!E277,'DICTIONARY-3'!F277))</f>
        <v>i konsolą ścienną z kolumienką i kółkiem</v>
      </c>
      <c r="B277" s="585" t="s">
        <v>8327</v>
      </c>
      <c r="C277" s="586" t="s">
        <v>8328</v>
      </c>
      <c r="D277" s="586" t="s">
        <v>6551</v>
      </c>
      <c r="E277" s="586" t="s">
        <v>7125</v>
      </c>
      <c r="F277" s="581" t="str">
        <f t="shared" si="12"/>
        <v>277❸s konzolovým stojanem s ručním kolem</v>
      </c>
      <c r="G277" s="582" t="str">
        <f t="shared" si="13"/>
        <v>'DICTIONARY-3'!$A$277</v>
      </c>
    </row>
    <row r="278" spans="1:7" x14ac:dyDescent="0.25">
      <c r="A278" s="508" t="str">
        <f>IF(CHOOSE(SET.LANGUAGE,'DICTIONARY-3'!B278,'DICTIONARY-3'!C278,'DICTIONARY-3'!D278,'DICTIONARY-3'!E278,'DICTIONARY-3'!F278)=0,("??? "&amp;"DICTIONARY-3/"&amp;"LINE"&amp;(ROW(A278))),CHOOSE(SET.LANGUAGE,'DICTIONARY-3'!B278,'DICTIONARY-3'!C278,'DICTIONARY-3'!D278,'DICTIONARY-3'!E278,'DICTIONARY-3'!F278))</f>
        <v>i konsolą ścienną z kolumienką przygotowaną pod napęd elektryczny</v>
      </c>
      <c r="B278" s="585" t="s">
        <v>8329</v>
      </c>
      <c r="C278" s="586" t="s">
        <v>8330</v>
      </c>
      <c r="D278" s="586" t="s">
        <v>6552</v>
      </c>
      <c r="E278" s="586" t="s">
        <v>7124</v>
      </c>
      <c r="F278" s="581" t="str">
        <f t="shared" si="12"/>
        <v>278❸s konzolovým stojanem pro EP</v>
      </c>
      <c r="G278" s="582" t="str">
        <f t="shared" si="13"/>
        <v>'DICTIONARY-3'!$A$278</v>
      </c>
    </row>
    <row r="279" spans="1:7" x14ac:dyDescent="0.25">
      <c r="A279" s="508" t="str">
        <f>IF(CHOOSE(SET.LANGUAGE,'DICTIONARY-3'!B279,'DICTIONARY-3'!C279,'DICTIONARY-3'!D279,'DICTIONARY-3'!E279,'DICTIONARY-3'!F279)=0,("??? "&amp;"DICTIONARY-3/"&amp;"LINE"&amp;(ROW(A279))),CHOOSE(SET.LANGUAGE,'DICTIONARY-3'!B279,'DICTIONARY-3'!C279,'DICTIONARY-3'!D279,'DICTIONARY-3'!E279,'DICTIONARY-3'!F279))</f>
        <v>i konsolą przygotowaną pod napęd elektryczny</v>
      </c>
      <c r="B279" s="585" t="s">
        <v>8331</v>
      </c>
      <c r="C279" s="586" t="s">
        <v>8332</v>
      </c>
      <c r="D279" s="586" t="s">
        <v>6553</v>
      </c>
      <c r="E279" s="586" t="s">
        <v>7121</v>
      </c>
      <c r="F279" s="581" t="str">
        <f t="shared" si="12"/>
        <v>279❸s konzolou pro EP</v>
      </c>
      <c r="G279" s="582" t="str">
        <f t="shared" si="13"/>
        <v>'DICTIONARY-3'!$A$279</v>
      </c>
    </row>
    <row r="280" spans="1:7" x14ac:dyDescent="0.25">
      <c r="A280" s="508" t="str">
        <f>IF(CHOOSE(SET.LANGUAGE,'DICTIONARY-3'!B280,'DICTIONARY-3'!C280,'DICTIONARY-3'!D280,'DICTIONARY-3'!E280,'DICTIONARY-3'!F280)=0,("??? "&amp;"DICTIONARY-3/"&amp;"LINE"&amp;(ROW(A280))),CHOOSE(SET.LANGUAGE,'DICTIONARY-3'!B280,'DICTIONARY-3'!C280,'DICTIONARY-3'!D280,'DICTIONARY-3'!E280,'DICTIONARY-3'!F280))</f>
        <v>i kolumienką i kółkiem</v>
      </c>
      <c r="B280" s="585" t="s">
        <v>8333</v>
      </c>
      <c r="C280" s="586" t="s">
        <v>8334</v>
      </c>
      <c r="D280" s="586" t="s">
        <v>6555</v>
      </c>
      <c r="E280" s="586" t="s">
        <v>7122</v>
      </c>
      <c r="F280" s="581" t="str">
        <f t="shared" si="12"/>
        <v>280❸se stojanem s ručním kolem</v>
      </c>
      <c r="G280" s="582" t="str">
        <f t="shared" si="13"/>
        <v>'DICTIONARY-3'!$A$280</v>
      </c>
    </row>
    <row r="281" spans="1:7" x14ac:dyDescent="0.25">
      <c r="A281" s="508" t="str">
        <f>IF(CHOOSE(SET.LANGUAGE,'DICTIONARY-3'!B281,'DICTIONARY-3'!C281,'DICTIONARY-3'!D281,'DICTIONARY-3'!E281,'DICTIONARY-3'!F281)=0,("??? "&amp;"DICTIONARY-3/"&amp;"LINE"&amp;(ROW(A281))),CHOOSE(SET.LANGUAGE,'DICTIONARY-3'!B281,'DICTIONARY-3'!C281,'DICTIONARY-3'!D281,'DICTIONARY-3'!E281,'DICTIONARY-3'!F281))</f>
        <v>i kolumienką przygotowaną pod napęd elektryczny</v>
      </c>
      <c r="B281" s="585" t="s">
        <v>8335</v>
      </c>
      <c r="C281" s="586" t="s">
        <v>8336</v>
      </c>
      <c r="D281" s="586" t="s">
        <v>6556</v>
      </c>
      <c r="E281" s="586" t="s">
        <v>7123</v>
      </c>
      <c r="F281" s="581" t="str">
        <f t="shared" si="12"/>
        <v>281❸se stojanem pro EP</v>
      </c>
      <c r="G281" s="582" t="str">
        <f t="shared" si="13"/>
        <v>'DICTIONARY-3'!$A$281</v>
      </c>
    </row>
    <row r="282" spans="1:7" x14ac:dyDescent="0.25">
      <c r="A282" s="508" t="str">
        <f>IF(CHOOSE(SET.LANGUAGE,'DICTIONARY-3'!B282,'DICTIONARY-3'!C282,'DICTIONARY-3'!D282,'DICTIONARY-3'!E282,'DICTIONARY-3'!F282)=0,("??? "&amp;"DICTIONARY-3/"&amp;"LINE"&amp;(ROW(A282))),CHOOSE(SET.LANGUAGE,'DICTIONARY-3'!B282,'DICTIONARY-3'!C282,'DICTIONARY-3'!D282,'DICTIONARY-3'!E282,'DICTIONARY-3'!F282))</f>
        <v>Z plastikową pokrywą wylotu</v>
      </c>
      <c r="B282" s="585" t="s">
        <v>6290</v>
      </c>
      <c r="C282" s="586" t="s">
        <v>7445</v>
      </c>
      <c r="D282" s="586" t="s">
        <v>6557</v>
      </c>
      <c r="E282" s="586" t="s">
        <v>7127</v>
      </c>
      <c r="F282" s="581" t="str">
        <f t="shared" si="12"/>
        <v>282❸S plastovým víčkem</v>
      </c>
      <c r="G282" s="582" t="str">
        <f t="shared" si="13"/>
        <v>'DICTIONARY-3'!$A$282</v>
      </c>
    </row>
    <row r="283" spans="1:7" x14ac:dyDescent="0.25">
      <c r="A283" s="508" t="str">
        <f>IF(CHOOSE(SET.LANGUAGE,'DICTIONARY-3'!B283,'DICTIONARY-3'!C283,'DICTIONARY-3'!D283,'DICTIONARY-3'!E283,'DICTIONARY-3'!F283)=0,("??? "&amp;"DICTIONARY-3/"&amp;"LINE"&amp;(ROW(A283))),CHOOSE(SET.LANGUAGE,'DICTIONARY-3'!B283,'DICTIONARY-3'!C283,'DICTIONARY-3'!D283,'DICTIONARY-3'!E283,'DICTIONARY-3'!F283))</f>
        <v>Z samozamykającą się pokrywą wylotu</v>
      </c>
      <c r="B283" s="585" t="s">
        <v>6291</v>
      </c>
      <c r="C283" s="586" t="s">
        <v>7755</v>
      </c>
      <c r="D283" s="586" t="s">
        <v>6558</v>
      </c>
      <c r="E283" s="586" t="s">
        <v>7126</v>
      </c>
      <c r="F283" s="581" t="str">
        <f t="shared" si="12"/>
        <v>283❸Se samouzavíracím víčkem</v>
      </c>
      <c r="G283" s="582" t="str">
        <f t="shared" si="13"/>
        <v>'DICTIONARY-3'!$A$283</v>
      </c>
    </row>
    <row r="284" spans="1:7" x14ac:dyDescent="0.25">
      <c r="A284" s="508" t="str">
        <f>IF(CHOOSE(SET.LANGUAGE,'DICTIONARY-3'!B284,'DICTIONARY-3'!C284,'DICTIONARY-3'!D284,'DICTIONARY-3'!E284,'DICTIONARY-3'!F284)=0,("??? "&amp;"DICTIONARY-3/"&amp;"LINE"&amp;(ROW(A284))),CHOOSE(SET.LANGUAGE,'DICTIONARY-3'!B284,'DICTIONARY-3'!C284,'DICTIONARY-3'!D284,'DICTIONARY-3'!E284,'DICTIONARY-3'!F284))</f>
        <v>Wysokociśnieniowy</v>
      </c>
      <c r="B284" s="585" t="s">
        <v>804</v>
      </c>
      <c r="C284" s="586" t="s">
        <v>7532</v>
      </c>
      <c r="D284" s="586" t="s">
        <v>6559</v>
      </c>
      <c r="E284" s="586" t="s">
        <v>7128</v>
      </c>
      <c r="F284" s="581" t="str">
        <f t="shared" si="12"/>
        <v>284❸Velkoobjemový</v>
      </c>
      <c r="G284" s="582" t="str">
        <f t="shared" si="13"/>
        <v>'DICTIONARY-3'!$A$284</v>
      </c>
    </row>
    <row r="285" spans="1:7" x14ac:dyDescent="0.25">
      <c r="A285" s="508" t="str">
        <f>IF(CHOOSE(SET.LANGUAGE,'DICTIONARY-3'!B285,'DICTIONARY-3'!C285,'DICTIONARY-3'!D285,'DICTIONARY-3'!E285,'DICTIONARY-3'!F285)=0,("??? "&amp;"DICTIONARY-3/"&amp;"LINE"&amp;(ROW(A285))),CHOOSE(SET.LANGUAGE,'DICTIONARY-3'!B285,'DICTIONARY-3'!C285,'DICTIONARY-3'!D285,'DICTIONARY-3'!E285,'DICTIONARY-3'!F285))</f>
        <v>Replika historycznego hydrantu</v>
      </c>
      <c r="B285" s="585" t="s">
        <v>783</v>
      </c>
      <c r="C285" s="586" t="s">
        <v>7446</v>
      </c>
      <c r="D285" s="586" t="s">
        <v>6560</v>
      </c>
      <c r="E285" s="586" t="s">
        <v>7129</v>
      </c>
      <c r="F285" s="581" t="str">
        <f t="shared" si="12"/>
        <v>285❸Staroměstský</v>
      </c>
      <c r="G285" s="582" t="str">
        <f t="shared" si="13"/>
        <v>'DICTIONARY-3'!$A$285</v>
      </c>
    </row>
    <row r="286" spans="1:7" x14ac:dyDescent="0.25">
      <c r="A286" s="508" t="str">
        <f>IF(CHOOSE(SET.LANGUAGE,'DICTIONARY-3'!B286,'DICTIONARY-3'!C286,'DICTIONARY-3'!D286,'DICTIONARY-3'!E286,'DICTIONARY-3'!F286)=0,("??? "&amp;"DICTIONARY-3/"&amp;"LINE"&amp;(ROW(A286))),CHOOSE(SET.LANGUAGE,'DICTIONARY-3'!B286,'DICTIONARY-3'!C286,'DICTIONARY-3'!D286,'DICTIONARY-3'!E286,'DICTIONARY-3'!F286))</f>
        <v xml:space="preserve">Z kolumną górną ze stali nierdzewnej </v>
      </c>
      <c r="B286" s="585" t="s">
        <v>789</v>
      </c>
      <c r="C286" s="586" t="s">
        <v>7447</v>
      </c>
      <c r="D286" s="586" t="s">
        <v>6561</v>
      </c>
      <c r="E286" s="586" t="s">
        <v>7130</v>
      </c>
      <c r="F286" s="581" t="str">
        <f t="shared" si="12"/>
        <v>286❸S nerezovým sloupem</v>
      </c>
      <c r="G286" s="582" t="str">
        <f t="shared" si="13"/>
        <v>'DICTIONARY-3'!$A$286</v>
      </c>
    </row>
    <row r="287" spans="1:7" x14ac:dyDescent="0.25">
      <c r="A287" s="508" t="str">
        <f>IF(CHOOSE(SET.LANGUAGE,'DICTIONARY-3'!B287,'DICTIONARY-3'!C287,'DICTIONARY-3'!D287,'DICTIONARY-3'!E287,'DICTIONARY-3'!F287)=0,("??? "&amp;"DICTIONARY-3/"&amp;"LINE"&amp;(ROW(A287))),CHOOSE(SET.LANGUAGE,'DICTIONARY-3'!B287,'DICTIONARY-3'!C287,'DICTIONARY-3'!D287,'DICTIONARY-3'!E287,'DICTIONARY-3'!F287))</f>
        <v>Z kolumną górną ze stali nierdzewnej, podwójnym odwodnieniem i bezobsługowym samosmarującym się wrzecionem</v>
      </c>
      <c r="B287" s="585" t="s">
        <v>838</v>
      </c>
      <c r="C287" s="586" t="s">
        <v>7448</v>
      </c>
      <c r="D287" s="586" t="s">
        <v>6562</v>
      </c>
      <c r="E287" s="586" t="s">
        <v>7291</v>
      </c>
      <c r="F287" s="581" t="str">
        <f t="shared" ref="F287:F328" si="16">CONCATENATE(ROW(B287),"❸",B287)</f>
        <v>287❸S nerezovým sloupem, dvojitou drenáží a bezúdržbovým samomazným vřetenem</v>
      </c>
      <c r="G287" s="582" t="str">
        <f t="shared" ref="G287:G330" si="17">"'DICTIONARY-3'!$A$"&amp;ROW(G287)</f>
        <v>'DICTIONARY-3'!$A$287</v>
      </c>
    </row>
    <row r="288" spans="1:7" x14ac:dyDescent="0.25">
      <c r="A288" s="508" t="str">
        <f>IF(CHOOSE(SET.LANGUAGE,'DICTIONARY-3'!B288,'DICTIONARY-3'!C288,'DICTIONARY-3'!D288,'DICTIONARY-3'!E288,'DICTIONARY-3'!F288)=0,("??? "&amp;"DICTIONARY-3/"&amp;"LINE"&amp;(ROW(A288))),CHOOSE(SET.LANGUAGE,'DICTIONARY-3'!B288,'DICTIONARY-3'!C288,'DICTIONARY-3'!D288,'DICTIONARY-3'!E288,'DICTIONARY-3'!F288))</f>
        <v>Z siodłem gumowanym</v>
      </c>
      <c r="B288" s="585" t="s">
        <v>1053</v>
      </c>
      <c r="C288" s="586" t="s">
        <v>7449</v>
      </c>
      <c r="D288" s="586" t="s">
        <v>6563</v>
      </c>
      <c r="E288" s="586" t="s">
        <v>7292</v>
      </c>
      <c r="F288" s="581" t="str">
        <f t="shared" si="16"/>
        <v>288❸S pryžovou podložkou</v>
      </c>
      <c r="G288" s="582" t="str">
        <f t="shared" si="17"/>
        <v>'DICTIONARY-3'!$A$288</v>
      </c>
    </row>
    <row r="289" spans="1:7" x14ac:dyDescent="0.25">
      <c r="A289" s="508" t="str">
        <f>IF(CHOOSE(SET.LANGUAGE,'DICTIONARY-3'!B289,'DICTIONARY-3'!C289,'DICTIONARY-3'!D289,'DICTIONARY-3'!E289,'DICTIONARY-3'!F289)=0,("??? "&amp;"DICTIONARY-3/"&amp;"LINE"&amp;(ROW(A289))),CHOOSE(SET.LANGUAGE,'DICTIONARY-3'!B289,'DICTIONARY-3'!C289,'DICTIONARY-3'!D289,'DICTIONARY-3'!E289,'DICTIONARY-3'!F289))</f>
        <v>Armatura</v>
      </c>
      <c r="B289" s="585" t="s">
        <v>6816</v>
      </c>
      <c r="C289" s="586" t="s">
        <v>7533</v>
      </c>
      <c r="D289" s="586" t="s">
        <v>6815</v>
      </c>
      <c r="E289" s="586" t="s">
        <v>7379</v>
      </c>
      <c r="F289" s="581" t="str">
        <f t="shared" ref="F289" si="18">CONCATENATE(ROW(B289),"❸",B289)</f>
        <v>289❸Uzávěry</v>
      </c>
      <c r="G289" s="582" t="str">
        <f t="shared" si="17"/>
        <v>'DICTIONARY-3'!$A$289</v>
      </c>
    </row>
    <row r="290" spans="1:7" x14ac:dyDescent="0.25">
      <c r="A290" s="508" t="str">
        <f>IF(CHOOSE(SET.LANGUAGE,'DICTIONARY-3'!B290,'DICTIONARY-3'!C290,'DICTIONARY-3'!D290,'DICTIONARY-3'!E290,'DICTIONARY-3'!F290)=0,("??? "&amp;"DICTIONARY-3/"&amp;"LINE"&amp;(ROW(A290))),CHOOSE(SET.LANGUAGE,'DICTIONARY-3'!B290,'DICTIONARY-3'!C290,'DICTIONARY-3'!D290,'DICTIONARY-3'!E290,'DICTIONARY-3'!F290))</f>
        <v>Bez zaworu</v>
      </c>
      <c r="B290" s="585" t="s">
        <v>6309</v>
      </c>
      <c r="C290" s="586" t="s">
        <v>7534</v>
      </c>
      <c r="D290" s="586" t="s">
        <v>6565</v>
      </c>
      <c r="E290" s="586" t="s">
        <v>7131</v>
      </c>
      <c r="F290" s="581" t="str">
        <f t="shared" si="16"/>
        <v>290❸Bez uzávěru</v>
      </c>
      <c r="G290" s="582" t="str">
        <f t="shared" si="17"/>
        <v>'DICTIONARY-3'!$A$290</v>
      </c>
    </row>
    <row r="291" spans="1:7" x14ac:dyDescent="0.25">
      <c r="A291" s="508" t="str">
        <f>IF(CHOOSE(SET.LANGUAGE,'DICTIONARY-3'!B291,'DICTIONARY-3'!C291,'DICTIONARY-3'!D291,'DICTIONARY-3'!E291,'DICTIONARY-3'!F291)=0,("??? "&amp;"DICTIONARY-3/"&amp;"LINE"&amp;(ROW(A291))),CHOOSE(SET.LANGUAGE,'DICTIONARY-3'!B291,'DICTIONARY-3'!C291,'DICTIONARY-3'!D291,'DICTIONARY-3'!E291,'DICTIONARY-3'!F291))</f>
        <v xml:space="preserve">Z zaworem </v>
      </c>
      <c r="B291" s="585" t="s">
        <v>1170</v>
      </c>
      <c r="C291" s="586" t="s">
        <v>7450</v>
      </c>
      <c r="D291" s="586" t="s">
        <v>6564</v>
      </c>
      <c r="E291" s="586" t="s">
        <v>7132</v>
      </c>
      <c r="F291" s="581" t="str">
        <f t="shared" si="16"/>
        <v>291❸S uzávěrem</v>
      </c>
      <c r="G291" s="582" t="str">
        <f t="shared" si="17"/>
        <v>'DICTIONARY-3'!$A$291</v>
      </c>
    </row>
    <row r="292" spans="1:7" x14ac:dyDescent="0.25">
      <c r="A292" s="508" t="str">
        <f>IF(CHOOSE(SET.LANGUAGE,'DICTIONARY-3'!B292,'DICTIONARY-3'!C292,'DICTIONARY-3'!D292,'DICTIONARY-3'!E292,'DICTIONARY-3'!F292)=0,("??? "&amp;"DICTIONARY-3/"&amp;"LINE"&amp;(ROW(A292))),CHOOSE(SET.LANGUAGE,'DICTIONARY-3'!B292,'DICTIONARY-3'!C292,'DICTIONARY-3'!D292,'DICTIONARY-3'!E292,'DICTIONARY-3'!F292))</f>
        <v xml:space="preserve">Konstrukcja gwintowana </v>
      </c>
      <c r="B292" s="585" t="s">
        <v>6925</v>
      </c>
      <c r="C292" s="586" t="s">
        <v>7451</v>
      </c>
      <c r="D292" s="586" t="s">
        <v>6926</v>
      </c>
      <c r="E292" s="586" t="s">
        <v>7133</v>
      </c>
      <c r="F292" s="581" t="str">
        <f t="shared" ref="F292" si="19">CONCATENATE(ROW(B292),"❸",B292)</f>
        <v>292❸Závitové provedení</v>
      </c>
      <c r="G292" s="582" t="str">
        <f t="shared" si="17"/>
        <v>'DICTIONARY-3'!$A$292</v>
      </c>
    </row>
    <row r="293" spans="1:7" x14ac:dyDescent="0.25">
      <c r="A293" s="508" t="str">
        <f>IF(CHOOSE(SET.LANGUAGE,'DICTIONARY-3'!B293,'DICTIONARY-3'!C293,'DICTIONARY-3'!D293,'DICTIONARY-3'!E293,'DICTIONARY-3'!F293)=0,("??? "&amp;"DICTIONARY-3/"&amp;"LINE"&amp;(ROW(A293))),CHOOSE(SET.LANGUAGE,'DICTIONARY-3'!B293,'DICTIONARY-3'!C293,'DICTIONARY-3'!D293,'DICTIONARY-3'!E293,'DICTIONARY-3'!F293))</f>
        <v>Z gwintem wewnętrznym</v>
      </c>
      <c r="B293" s="585" t="s">
        <v>7372</v>
      </c>
      <c r="C293" s="586" t="s">
        <v>7452</v>
      </c>
      <c r="D293" s="586" t="s">
        <v>7373</v>
      </c>
      <c r="E293" s="586" t="s">
        <v>7134</v>
      </c>
      <c r="F293" s="581" t="str">
        <f t="shared" si="16"/>
        <v>293❸S vnitřním závitem</v>
      </c>
      <c r="G293" s="582" t="str">
        <f t="shared" si="17"/>
        <v>'DICTIONARY-3'!$A$293</v>
      </c>
    </row>
    <row r="294" spans="1:7" x14ac:dyDescent="0.25">
      <c r="A294" s="508" t="str">
        <f>IF(CHOOSE(SET.LANGUAGE,'DICTIONARY-3'!B294,'DICTIONARY-3'!C294,'DICTIONARY-3'!D294,'DICTIONARY-3'!E294,'DICTIONARY-3'!F294)=0,("??? "&amp;"DICTIONARY-3/"&amp;"LINE"&amp;(ROW(A294))),CHOOSE(SET.LANGUAGE,'DICTIONARY-3'!B294,'DICTIONARY-3'!C294,'DICTIONARY-3'!D294,'DICTIONARY-3'!E294,'DICTIONARY-3'!F294))</f>
        <v>Z gwintem wewnętrznym i zewnętrznym</v>
      </c>
      <c r="B294" s="585" t="s">
        <v>1137</v>
      </c>
      <c r="C294" s="586" t="s">
        <v>7453</v>
      </c>
      <c r="D294" s="586" t="s">
        <v>6566</v>
      </c>
      <c r="E294" s="586" t="s">
        <v>7135</v>
      </c>
      <c r="F294" s="581" t="str">
        <f t="shared" si="16"/>
        <v>294❸S vnitřním i vnějším závitem</v>
      </c>
      <c r="G294" s="582" t="str">
        <f t="shared" si="17"/>
        <v>'DICTIONARY-3'!$A$294</v>
      </c>
    </row>
    <row r="295" spans="1:7" x14ac:dyDescent="0.25">
      <c r="A295" s="508" t="str">
        <f>IF(CHOOSE(SET.LANGUAGE,'DICTIONARY-3'!B295,'DICTIONARY-3'!C295,'DICTIONARY-3'!D295,'DICTIONARY-3'!E295,'DICTIONARY-3'!F295)=0,("??? "&amp;"DICTIONARY-3/"&amp;"LINE"&amp;(ROW(A295))),CHOOSE(SET.LANGUAGE,'DICTIONARY-3'!B295,'DICTIONARY-3'!C295,'DICTIONARY-3'!D295,'DICTIONARY-3'!E295,'DICTIONARY-3'!F295))</f>
        <v>Z końcówką</v>
      </c>
      <c r="B295" s="585" t="s">
        <v>6325</v>
      </c>
      <c r="C295" s="586" t="s">
        <v>6325</v>
      </c>
      <c r="D295" s="586" t="s">
        <v>6567</v>
      </c>
      <c r="E295" s="586" t="s">
        <v>7137</v>
      </c>
      <c r="F295" s="581" t="str">
        <f t="shared" si="16"/>
        <v>295❸S koncovkou</v>
      </c>
      <c r="G295" s="582" t="str">
        <f t="shared" si="17"/>
        <v>'DICTIONARY-3'!$A$295</v>
      </c>
    </row>
    <row r="296" spans="1:7" x14ac:dyDescent="0.25">
      <c r="A296" s="508" t="str">
        <f>IF(CHOOSE(SET.LANGUAGE,'DICTIONARY-3'!B296,'DICTIONARY-3'!C296,'DICTIONARY-3'!D296,'DICTIONARY-3'!E296,'DICTIONARY-3'!F296)=0,("??? "&amp;"DICTIONARY-3/"&amp;"LINE"&amp;(ROW(A296))),CHOOSE(SET.LANGUAGE,'DICTIONARY-3'!B296,'DICTIONARY-3'!C296,'DICTIONARY-3'!D296,'DICTIONARY-3'!E296,'DICTIONARY-3'!F296))</f>
        <v>Z końcówkami</v>
      </c>
      <c r="B296" s="585" t="s">
        <v>6324</v>
      </c>
      <c r="C296" s="586" t="s">
        <v>6324</v>
      </c>
      <c r="D296" s="586" t="s">
        <v>6568</v>
      </c>
      <c r="E296" s="586" t="s">
        <v>7136</v>
      </c>
      <c r="F296" s="581" t="str">
        <f t="shared" si="16"/>
        <v>296❸S koncovkami</v>
      </c>
      <c r="G296" s="582" t="str">
        <f t="shared" si="17"/>
        <v>'DICTIONARY-3'!$A$296</v>
      </c>
    </row>
    <row r="297" spans="1:7" x14ac:dyDescent="0.25">
      <c r="A297" s="508" t="str">
        <f>IF(CHOOSE(SET.LANGUAGE,'DICTIONARY-3'!B297,'DICTIONARY-3'!C297,'DICTIONARY-3'!D297,'DICTIONARY-3'!E297,'DICTIONARY-3'!F297)=0,("??? "&amp;"DICTIONARY-3/"&amp;"LINE"&amp;(ROW(A297))),CHOOSE(SET.LANGUAGE,'DICTIONARY-3'!B297,'DICTIONARY-3'!C297,'DICTIONARY-3'!D297,'DICTIONARY-3'!E297,'DICTIONARY-3'!F297))</f>
        <v>Z szybkozłączem na wcisk</v>
      </c>
      <c r="B297" s="585" t="s">
        <v>6357</v>
      </c>
      <c r="C297" s="586" t="s">
        <v>7535</v>
      </c>
      <c r="D297" s="586" t="s">
        <v>6569</v>
      </c>
      <c r="E297" s="586" t="s">
        <v>7293</v>
      </c>
      <c r="F297" s="581" t="str">
        <f t="shared" si="16"/>
        <v>297❸Se spojkami</v>
      </c>
      <c r="G297" s="582" t="str">
        <f t="shared" si="17"/>
        <v>'DICTIONARY-3'!$A$297</v>
      </c>
    </row>
    <row r="298" spans="1:7" x14ac:dyDescent="0.25">
      <c r="A298" s="508" t="str">
        <f>IF(CHOOSE(SET.LANGUAGE,'DICTIONARY-3'!B298,'DICTIONARY-3'!C298,'DICTIONARY-3'!D298,'DICTIONARY-3'!E298,'DICTIONARY-3'!F298)=0,("??? "&amp;"DICTIONARY-3/"&amp;"LINE"&amp;(ROW(A298))),CHOOSE(SET.LANGUAGE,'DICTIONARY-3'!B298,'DICTIONARY-3'!C298,'DICTIONARY-3'!D298,'DICTIONARY-3'!E298,'DICTIONARY-3'!F298))</f>
        <v>dla rur PE, PP i PEX</v>
      </c>
      <c r="B298" s="585" t="s">
        <v>6323</v>
      </c>
      <c r="C298" s="586" t="s">
        <v>7454</v>
      </c>
      <c r="D298" s="586" t="s">
        <v>6570</v>
      </c>
      <c r="E298" s="586" t="s">
        <v>7138</v>
      </c>
      <c r="F298" s="581" t="str">
        <f t="shared" si="16"/>
        <v>298❸pro PE, PP a PEX potrubí</v>
      </c>
      <c r="G298" s="582" t="str">
        <f t="shared" si="17"/>
        <v>'DICTIONARY-3'!$A$298</v>
      </c>
    </row>
    <row r="299" spans="1:7" x14ac:dyDescent="0.25">
      <c r="A299" s="508" t="str">
        <f>IF(CHOOSE(SET.LANGUAGE,'DICTIONARY-3'!B299,'DICTIONARY-3'!C299,'DICTIONARY-3'!D299,'DICTIONARY-3'!E299,'DICTIONARY-3'!F299)=0,("??? "&amp;"DICTIONARY-3/"&amp;"LINE"&amp;(ROW(A299))),CHOOSE(SET.LANGUAGE,'DICTIONARY-3'!B299,'DICTIONARY-3'!C299,'DICTIONARY-3'!D299,'DICTIONARY-3'!E299,'DICTIONARY-3'!F299))</f>
        <v>Ze zintegrowanym wiertłem i zaworem</v>
      </c>
      <c r="B299" s="585" t="s">
        <v>6312</v>
      </c>
      <c r="C299" s="586" t="s">
        <v>7455</v>
      </c>
      <c r="D299" s="586" t="s">
        <v>6571</v>
      </c>
      <c r="E299" s="586" t="s">
        <v>7139</v>
      </c>
      <c r="F299" s="581" t="str">
        <f t="shared" si="16"/>
        <v>299❸S integrovaným vrtákem a uzávěrem</v>
      </c>
      <c r="G299" s="582" t="str">
        <f t="shared" si="17"/>
        <v>'DICTIONARY-3'!$A$299</v>
      </c>
    </row>
    <row r="300" spans="1:7" x14ac:dyDescent="0.25">
      <c r="A300" s="508" t="str">
        <f>IF(CHOOSE(SET.LANGUAGE,'DICTIONARY-3'!B300,'DICTIONARY-3'!C300,'DICTIONARY-3'!D300,'DICTIONARY-3'!E300,'DICTIONARY-3'!F300)=0,("??? "&amp;"DICTIONARY-3/"&amp;"LINE"&amp;(ROW(A300))),CHOOSE(SET.LANGUAGE,'DICTIONARY-3'!B300,'DICTIONARY-3'!C300,'DICTIONARY-3'!D300,'DICTIONARY-3'!E300,'DICTIONARY-3'!F300))</f>
        <v>Dla rur ze stali, żeliwa i betonu</v>
      </c>
      <c r="B300" s="585" t="s">
        <v>1172</v>
      </c>
      <c r="C300" s="586" t="s">
        <v>7456</v>
      </c>
      <c r="D300" s="586" t="s">
        <v>6572</v>
      </c>
      <c r="E300" s="586" t="s">
        <v>7140</v>
      </c>
      <c r="F300" s="581" t="str">
        <f t="shared" si="16"/>
        <v>300❸Pro potrubí z oceli, litiny a betonu</v>
      </c>
      <c r="G300" s="582" t="str">
        <f t="shared" si="17"/>
        <v>'DICTIONARY-3'!$A$300</v>
      </c>
    </row>
    <row r="301" spans="1:7" x14ac:dyDescent="0.25">
      <c r="A301" s="508" t="str">
        <f>IF(CHOOSE(SET.LANGUAGE,'DICTIONARY-3'!B301,'DICTIONARY-3'!C301,'DICTIONARY-3'!D301,'DICTIONARY-3'!E301,'DICTIONARY-3'!F301)=0,("??? "&amp;"DICTIONARY-3/"&amp;"LINE"&amp;(ROW(A301))),CHOOSE(SET.LANGUAGE,'DICTIONARY-3'!B301,'DICTIONARY-3'!C301,'DICTIONARY-3'!D301,'DICTIONARY-3'!E301,'DICTIONARY-3'!F301))</f>
        <v>Dla rur z żeliwa sferoidalnego</v>
      </c>
      <c r="B301" s="585" t="s">
        <v>6314</v>
      </c>
      <c r="C301" s="586" t="s">
        <v>7457</v>
      </c>
      <c r="D301" s="586" t="s">
        <v>6573</v>
      </c>
      <c r="E301" s="586" t="s">
        <v>7141</v>
      </c>
      <c r="F301" s="581" t="str">
        <f t="shared" si="16"/>
        <v>301❸Pro potrubí z tvárné litiny</v>
      </c>
      <c r="G301" s="582" t="str">
        <f t="shared" si="17"/>
        <v>'DICTIONARY-3'!$A$301</v>
      </c>
    </row>
    <row r="302" spans="1:7" x14ac:dyDescent="0.25">
      <c r="A302" s="508" t="str">
        <f>IF(CHOOSE(SET.LANGUAGE,'DICTIONARY-3'!B302,'DICTIONARY-3'!C302,'DICTIONARY-3'!D302,'DICTIONARY-3'!E302,'DICTIONARY-3'!F302)=0,("??? "&amp;"DICTIONARY-3/"&amp;"LINE"&amp;(ROW(A302))),CHOOSE(SET.LANGUAGE,'DICTIONARY-3'!B302,'DICTIONARY-3'!C302,'DICTIONARY-3'!D302,'DICTIONARY-3'!E302,'DICTIONARY-3'!F302))</f>
        <v>Dla rur z PE</v>
      </c>
      <c r="B302" s="585" t="s">
        <v>6493</v>
      </c>
      <c r="C302" s="586" t="s">
        <v>7458</v>
      </c>
      <c r="D302" s="586" t="s">
        <v>6574</v>
      </c>
      <c r="E302" s="586" t="s">
        <v>7283</v>
      </c>
      <c r="F302" s="581" t="str">
        <f t="shared" si="16"/>
        <v>302❸Pro potrubí z PE</v>
      </c>
      <c r="G302" s="582" t="str">
        <f t="shared" si="17"/>
        <v>'DICTIONARY-3'!$A$302</v>
      </c>
    </row>
    <row r="303" spans="1:7" x14ac:dyDescent="0.25">
      <c r="A303" s="508" t="str">
        <f>IF(CHOOSE(SET.LANGUAGE,'DICTIONARY-3'!B303,'DICTIONARY-3'!C303,'DICTIONARY-3'!D303,'DICTIONARY-3'!E303,'DICTIONARY-3'!F303)=0,("??? "&amp;"DICTIONARY-3/"&amp;"LINE"&amp;(ROW(A303))),CHOOSE(SET.LANGUAGE,'DICTIONARY-3'!B303,'DICTIONARY-3'!C303,'DICTIONARY-3'!D303,'DICTIONARY-3'!E303,'DICTIONARY-3'!F303))</f>
        <v>Dla rur z PVC i PE</v>
      </c>
      <c r="B303" s="585" t="s">
        <v>6492</v>
      </c>
      <c r="C303" s="586" t="s">
        <v>7459</v>
      </c>
      <c r="D303" s="586" t="s">
        <v>6575</v>
      </c>
      <c r="E303" s="586" t="s">
        <v>7142</v>
      </c>
      <c r="F303" s="581" t="str">
        <f t="shared" si="16"/>
        <v>303❸Pro potrubí z PVC a PE</v>
      </c>
      <c r="G303" s="582" t="str">
        <f t="shared" si="17"/>
        <v>'DICTIONARY-3'!$A$303</v>
      </c>
    </row>
    <row r="304" spans="1:7" x14ac:dyDescent="0.25">
      <c r="A304" s="508" t="str">
        <f>IF(CHOOSE(SET.LANGUAGE,'DICTIONARY-3'!B304,'DICTIONARY-3'!C304,'DICTIONARY-3'!D304,'DICTIONARY-3'!E304,'DICTIONARY-3'!F304)=0,("??? "&amp;"DICTIONARY-3/"&amp;"LINE"&amp;(ROW(A304))),CHOOSE(SET.LANGUAGE,'DICTIONARY-3'!B304,'DICTIONARY-3'!C304,'DICTIONARY-3'!D304,'DICTIONARY-3'!E304,'DICTIONARY-3'!F304))</f>
        <v>Ze zintegrowanym zaworem kulowym</v>
      </c>
      <c r="B304" s="585" t="s">
        <v>6398</v>
      </c>
      <c r="C304" s="586" t="s">
        <v>7460</v>
      </c>
      <c r="D304" s="586" t="s">
        <v>6576</v>
      </c>
      <c r="E304" s="586" t="s">
        <v>7785</v>
      </c>
      <c r="F304" s="581" t="str">
        <f t="shared" si="16"/>
        <v>304❸S integrovaným kulovým kohoutem</v>
      </c>
      <c r="G304" s="582" t="str">
        <f t="shared" si="17"/>
        <v>'DICTIONARY-3'!$A$304</v>
      </c>
    </row>
    <row r="305" spans="1:7" x14ac:dyDescent="0.25">
      <c r="A305" s="508" t="str">
        <f>IF(CHOOSE(SET.LANGUAGE,'DICTIONARY-3'!B305,'DICTIONARY-3'!C305,'DICTIONARY-3'!D305,'DICTIONARY-3'!E305,'DICTIONARY-3'!F305)=0,("??? "&amp;"DICTIONARY-3/"&amp;"LINE"&amp;(ROW(A305))),CHOOSE(SET.LANGUAGE,'DICTIONARY-3'!B305,'DICTIONARY-3'!C305,'DICTIONARY-3'!D305,'DICTIONARY-3'!E305,'DICTIONARY-3'!F305))</f>
        <v>Z blokadą przed przemieszczaniem</v>
      </c>
      <c r="B305" s="585" t="s">
        <v>6351</v>
      </c>
      <c r="C305" s="586" t="s">
        <v>7461</v>
      </c>
      <c r="D305" s="586" t="s">
        <v>6577</v>
      </c>
      <c r="E305" s="586" t="s">
        <v>7143</v>
      </c>
      <c r="F305" s="581" t="str">
        <f t="shared" si="16"/>
        <v>305❸S jištěním proti vytržení</v>
      </c>
      <c r="G305" s="582" t="str">
        <f t="shared" si="17"/>
        <v>'DICTIONARY-3'!$A$305</v>
      </c>
    </row>
    <row r="306" spans="1:7" x14ac:dyDescent="0.25">
      <c r="A306" s="508" t="str">
        <f>IF(CHOOSE(SET.LANGUAGE,'DICTIONARY-3'!B306,'DICTIONARY-3'!C306,'DICTIONARY-3'!D306,'DICTIONARY-3'!E306,'DICTIONARY-3'!F306)=0,("??? "&amp;"DICTIONARY-3/"&amp;"LINE"&amp;(ROW(A306))),CHOOSE(SET.LANGUAGE,'DICTIONARY-3'!B306,'DICTIONARY-3'!C306,'DICTIONARY-3'!D306,'DICTIONARY-3'!E306,'DICTIONARY-3'!F306))</f>
        <v>Do spawania z PE</v>
      </c>
      <c r="B306" s="585" t="s">
        <v>6352</v>
      </c>
      <c r="C306" s="586" t="s">
        <v>7462</v>
      </c>
      <c r="D306" s="586" t="s">
        <v>6578</v>
      </c>
      <c r="E306" s="586" t="s">
        <v>7144</v>
      </c>
      <c r="F306" s="581" t="str">
        <f t="shared" si="16"/>
        <v>306❸S PE koncem pro přivaření</v>
      </c>
      <c r="G306" s="582" t="str">
        <f t="shared" si="17"/>
        <v>'DICTIONARY-3'!$A$306</v>
      </c>
    </row>
    <row r="307" spans="1:7" x14ac:dyDescent="0.25">
      <c r="A307" s="508" t="str">
        <f>IF(CHOOSE(SET.LANGUAGE,'DICTIONARY-3'!B307,'DICTIONARY-3'!C307,'DICTIONARY-3'!D307,'DICTIONARY-3'!E307,'DICTIONARY-3'!F307)=0,("??? "&amp;"DICTIONARY-3/"&amp;"LINE"&amp;(ROW(A307))),CHOOSE(SET.LANGUAGE,'DICTIONARY-3'!B307,'DICTIONARY-3'!C307,'DICTIONARY-3'!D307,'DICTIONARY-3'!E307,'DICTIONARY-3'!F307))</f>
        <v>Ze skośnym siedziskiem</v>
      </c>
      <c r="B307" s="585" t="s">
        <v>1173</v>
      </c>
      <c r="C307" s="586" t="s">
        <v>7463</v>
      </c>
      <c r="D307" s="586" t="s">
        <v>6579</v>
      </c>
      <c r="E307" s="586" t="s">
        <v>7145</v>
      </c>
      <c r="F307" s="581" t="str">
        <f t="shared" si="16"/>
        <v>307❸Se šikmým sedlem</v>
      </c>
      <c r="G307" s="582" t="str">
        <f t="shared" si="17"/>
        <v>'DICTIONARY-3'!$A$307</v>
      </c>
    </row>
    <row r="308" spans="1:7" x14ac:dyDescent="0.25">
      <c r="A308" s="508" t="str">
        <f>IF(CHOOSE(SET.LANGUAGE,'DICTIONARY-3'!B308,'DICTIONARY-3'!C308,'DICTIONARY-3'!D308,'DICTIONARY-3'!E308,'DICTIONARY-3'!F308)=0,("??? "&amp;"DICTIONARY-3/"&amp;"LINE"&amp;(ROW(A308))),CHOOSE(SET.LANGUAGE,'DICTIONARY-3'!B308,'DICTIONARY-3'!C308,'DICTIONARY-3'!D308,'DICTIONARY-3'!E308,'DICTIONARY-3'!F308))</f>
        <v xml:space="preserve">Z siedziskiem pionowym </v>
      </c>
      <c r="B308" s="585" t="s">
        <v>6360</v>
      </c>
      <c r="C308" s="586" t="s">
        <v>7464</v>
      </c>
      <c r="D308" s="586" t="s">
        <v>6580</v>
      </c>
      <c r="E308" s="586" t="s">
        <v>7146</v>
      </c>
      <c r="F308" s="581" t="str">
        <f t="shared" si="16"/>
        <v>308❸Se svislým sedlem</v>
      </c>
      <c r="G308" s="582" t="str">
        <f t="shared" si="17"/>
        <v>'DICTIONARY-3'!$A$308</v>
      </c>
    </row>
    <row r="309" spans="1:7" x14ac:dyDescent="0.25">
      <c r="A309" s="508" t="str">
        <f>IF(CHOOSE(SET.LANGUAGE,'DICTIONARY-3'!B309,'DICTIONARY-3'!C309,'DICTIONARY-3'!D309,'DICTIONARY-3'!E309,'DICTIONARY-3'!F309)=0,("??? "&amp;"DICTIONARY-3/"&amp;"LINE"&amp;(ROW(A309))),CHOOSE(SET.LANGUAGE,'DICTIONARY-3'!B309,'DICTIONARY-3'!C309,'DICTIONARY-3'!D309,'DICTIONARY-3'!E309,'DICTIONARY-3'!F309))</f>
        <v>Ze skośną płytą</v>
      </c>
      <c r="B309" s="585" t="s">
        <v>6375</v>
      </c>
      <c r="C309" s="586" t="s">
        <v>7465</v>
      </c>
      <c r="D309" s="586" t="s">
        <v>6582</v>
      </c>
      <c r="E309" s="586" t="s">
        <v>7147</v>
      </c>
      <c r="F309" s="581" t="str">
        <f t="shared" si="16"/>
        <v>309❸Se šikmým talířem</v>
      </c>
      <c r="G309" s="582" t="str">
        <f t="shared" si="17"/>
        <v>'DICTIONARY-3'!$A$309</v>
      </c>
    </row>
    <row r="310" spans="1:7" x14ac:dyDescent="0.25">
      <c r="A310" s="508" t="str">
        <f>IF(CHOOSE(SET.LANGUAGE,'DICTIONARY-3'!B310,'DICTIONARY-3'!C310,'DICTIONARY-3'!D310,'DICTIONARY-3'!E310,'DICTIONARY-3'!F310)=0,("??? "&amp;"DICTIONARY-3/"&amp;"LINE"&amp;(ROW(A310))),CHOOSE(SET.LANGUAGE,'DICTIONARY-3'!B310,'DICTIONARY-3'!C310,'DICTIONARY-3'!D310,'DICTIONARY-3'!E310,'DICTIONARY-3'!F310))</f>
        <v>Z płytą pionową</v>
      </c>
      <c r="B310" s="585" t="s">
        <v>6376</v>
      </c>
      <c r="C310" s="586" t="s">
        <v>7466</v>
      </c>
      <c r="D310" s="586" t="s">
        <v>6581</v>
      </c>
      <c r="E310" s="586" t="s">
        <v>7148</v>
      </c>
      <c r="F310" s="581" t="str">
        <f t="shared" si="16"/>
        <v>310❸Se svislým talířem</v>
      </c>
      <c r="G310" s="582" t="str">
        <f t="shared" si="17"/>
        <v>'DICTIONARY-3'!$A$310</v>
      </c>
    </row>
    <row r="311" spans="1:7" x14ac:dyDescent="0.25">
      <c r="A311" s="508" t="str">
        <f>IF(CHOOSE(SET.LANGUAGE,'DICTIONARY-3'!B311,'DICTIONARY-3'!C311,'DICTIONARY-3'!D311,'DICTIONARY-3'!E311,'DICTIONARY-3'!F311)=0,("??? "&amp;"DICTIONARY-3/"&amp;"LINE"&amp;(ROW(A311))),CHOOSE(SET.LANGUAGE,'DICTIONARY-3'!B311,'DICTIONARY-3'!C311,'DICTIONARY-3'!D311,'DICTIONARY-3'!E311,'DICTIONARY-3'!F311))</f>
        <v>Z korkiem do czyszczenia</v>
      </c>
      <c r="B311" s="585" t="s">
        <v>6358</v>
      </c>
      <c r="C311" s="586" t="s">
        <v>7536</v>
      </c>
      <c r="D311" s="586" t="s">
        <v>6583</v>
      </c>
      <c r="E311" s="586" t="s">
        <v>7786</v>
      </c>
      <c r="F311" s="581" t="str">
        <f t="shared" si="16"/>
        <v>311❸S čisticí zátkou</v>
      </c>
      <c r="G311" s="582" t="str">
        <f t="shared" si="17"/>
        <v>'DICTIONARY-3'!$A$311</v>
      </c>
    </row>
    <row r="312" spans="1:7" x14ac:dyDescent="0.25">
      <c r="A312" s="508" t="str">
        <f>IF(CHOOSE(SET.LANGUAGE,'DICTIONARY-3'!B312,'DICTIONARY-3'!C312,'DICTIONARY-3'!D312,'DICTIONARY-3'!E312,'DICTIONARY-3'!F312)=0,("??? "&amp;"DICTIONARY-3/"&amp;"LINE"&amp;(ROW(A312))),CHOOSE(SET.LANGUAGE,'DICTIONARY-3'!B312,'DICTIONARY-3'!C312,'DICTIONARY-3'!D312,'DICTIONARY-3'!E312,'DICTIONARY-3'!F312))</f>
        <v>Z urządzeniem do podnoszenia dysku</v>
      </c>
      <c r="B312" s="585" t="s">
        <v>6359</v>
      </c>
      <c r="C312" s="586" t="s">
        <v>7467</v>
      </c>
      <c r="D312" s="586" t="s">
        <v>6584</v>
      </c>
      <c r="E312" s="586" t="s">
        <v>7149</v>
      </c>
      <c r="F312" s="581" t="str">
        <f t="shared" si="16"/>
        <v>312❸Se zvedacím zařízením disku</v>
      </c>
      <c r="G312" s="582" t="str">
        <f t="shared" si="17"/>
        <v>'DICTIONARY-3'!$A$312</v>
      </c>
    </row>
    <row r="313" spans="1:7" x14ac:dyDescent="0.25">
      <c r="A313" s="508" t="str">
        <f>IF(CHOOSE(SET.LANGUAGE,'DICTIONARY-3'!B313,'DICTIONARY-3'!C313,'DICTIONARY-3'!D313,'DICTIONARY-3'!E313,'DICTIONARY-3'!F313)=0,("??? "&amp;"DICTIONARY-3/"&amp;"LINE"&amp;(ROW(A313))),CHOOSE(SET.LANGUAGE,'DICTIONARY-3'!B313,'DICTIONARY-3'!C313,'DICTIONARY-3'!D313,'DICTIONARY-3'!E313,'DICTIONARY-3'!F313))</f>
        <v>urządz. do podnos. dysku</v>
      </c>
      <c r="B313" s="585" t="s">
        <v>6977</v>
      </c>
      <c r="C313" s="586" t="s">
        <v>6977</v>
      </c>
      <c r="D313" s="586" t="s">
        <v>6978</v>
      </c>
      <c r="E313" s="586" t="s">
        <v>7150</v>
      </c>
      <c r="F313" s="581" t="str">
        <f t="shared" ref="F313" si="20">CONCATENATE(ROW(B313),"❸",B313)</f>
        <v>313❸zved.disku</v>
      </c>
      <c r="G313" s="582" t="str">
        <f t="shared" si="17"/>
        <v>'DICTIONARY-3'!$A$313</v>
      </c>
    </row>
    <row r="314" spans="1:7" x14ac:dyDescent="0.25">
      <c r="A314" s="508" t="str">
        <f>IF(CHOOSE(SET.LANGUAGE,'DICTIONARY-3'!B314,'DICTIONARY-3'!C314,'DICTIONARY-3'!D314,'DICTIONARY-3'!E314,'DICTIONARY-3'!F314)=0,("??? "&amp;"DICTIONARY-3/"&amp;"LINE"&amp;(ROW(A314))),CHOOSE(SET.LANGUAGE,'DICTIONARY-3'!B314,'DICTIONARY-3'!C314,'DICTIONARY-3'!D314,'DICTIONARY-3'!E314,'DICTIONARY-3'!F314))</f>
        <v>Z dźwignią i ciężarkiem</v>
      </c>
      <c r="B314" s="585" t="s">
        <v>6361</v>
      </c>
      <c r="C314" s="586" t="s">
        <v>6361</v>
      </c>
      <c r="D314" s="586" t="s">
        <v>6585</v>
      </c>
      <c r="E314" s="586" t="s">
        <v>7151</v>
      </c>
      <c r="F314" s="581" t="str">
        <f t="shared" si="16"/>
        <v>314❸S pákou a závažím</v>
      </c>
      <c r="G314" s="582" t="str">
        <f t="shared" si="17"/>
        <v>'DICTIONARY-3'!$A$314</v>
      </c>
    </row>
    <row r="315" spans="1:7" x14ac:dyDescent="0.25">
      <c r="A315" s="508" t="str">
        <f>IF(CHOOSE(SET.LANGUAGE,'DICTIONARY-3'!B315,'DICTIONARY-3'!C315,'DICTIONARY-3'!D315,'DICTIONARY-3'!E315,'DICTIONARY-3'!F315)=0,("??? "&amp;"DICTIONARY-3/"&amp;"LINE"&amp;(ROW(A315))),CHOOSE(SET.LANGUAGE,'DICTIONARY-3'!B315,'DICTIONARY-3'!C315,'DICTIONARY-3'!D315,'DICTIONARY-3'!E315,'DICTIONARY-3'!F315))</f>
        <v>i klatką ochronną</v>
      </c>
      <c r="B315" s="585" t="s">
        <v>6365</v>
      </c>
      <c r="C315" s="586" t="s">
        <v>7468</v>
      </c>
      <c r="D315" s="586" t="s">
        <v>6586</v>
      </c>
      <c r="E315" s="586" t="s">
        <v>7152</v>
      </c>
      <c r="F315" s="581" t="str">
        <f t="shared" si="16"/>
        <v>315❸a ochrannou klecí</v>
      </c>
      <c r="G315" s="582" t="str">
        <f t="shared" si="17"/>
        <v>'DICTIONARY-3'!$A$315</v>
      </c>
    </row>
    <row r="316" spans="1:7" x14ac:dyDescent="0.25">
      <c r="A316" s="508" t="str">
        <f>IF(CHOOSE(SET.LANGUAGE,'DICTIONARY-3'!B316,'DICTIONARY-3'!C316,'DICTIONARY-3'!D316,'DICTIONARY-3'!E316,'DICTIONARY-3'!F316)=0,("??? "&amp;"DICTIONARY-3/"&amp;"LINE"&amp;(ROW(A316))),CHOOSE(SET.LANGUAGE,'DICTIONARY-3'!B316,'DICTIONARY-3'!C316,'DICTIONARY-3'!D316,'DICTIONARY-3'!E316,'DICTIONARY-3'!F316))</f>
        <v>Do montażu między kołnierzami</v>
      </c>
      <c r="B316" s="585" t="s">
        <v>6370</v>
      </c>
      <c r="C316" s="586" t="s">
        <v>7537</v>
      </c>
      <c r="D316" s="586" t="s">
        <v>6587</v>
      </c>
      <c r="E316" s="586" t="s">
        <v>7153</v>
      </c>
      <c r="F316" s="581" t="str">
        <f t="shared" si="16"/>
        <v>316❸Bezpřírubová</v>
      </c>
      <c r="G316" s="582" t="str">
        <f t="shared" si="17"/>
        <v>'DICTIONARY-3'!$A$316</v>
      </c>
    </row>
    <row r="317" spans="1:7" x14ac:dyDescent="0.25">
      <c r="A317" s="508" t="str">
        <f>IF(CHOOSE(SET.LANGUAGE,'DICTIONARY-3'!B317,'DICTIONARY-3'!C317,'DICTIONARY-3'!D317,'DICTIONARY-3'!E317,'DICTIONARY-3'!F317)=0,("??? "&amp;"DICTIONARY-3/"&amp;"LINE"&amp;(ROW(A317))),CHOOSE(SET.LANGUAGE,'DICTIONARY-3'!B317,'DICTIONARY-3'!C317,'DICTIONARY-3'!D317,'DICTIONARY-3'!E317,'DICTIONARY-3'!F317))</f>
        <v>Typ kielichowy</v>
      </c>
      <c r="B317" s="585" t="s">
        <v>1410</v>
      </c>
      <c r="C317" s="586" t="s">
        <v>1410</v>
      </c>
      <c r="D317" s="586" t="s">
        <v>6588</v>
      </c>
      <c r="E317" s="586" t="s">
        <v>7299</v>
      </c>
      <c r="F317" s="581" t="str">
        <f t="shared" si="16"/>
        <v>317❸Hrdlová</v>
      </c>
      <c r="G317" s="582" t="str">
        <f t="shared" si="17"/>
        <v>'DICTIONARY-3'!$A$317</v>
      </c>
    </row>
    <row r="318" spans="1:7" x14ac:dyDescent="0.25">
      <c r="A318" s="508" t="str">
        <f>IF(CHOOSE(SET.LANGUAGE,'DICTIONARY-3'!B318,'DICTIONARY-3'!C318,'DICTIONARY-3'!D318,'DICTIONARY-3'!E318,'DICTIONARY-3'!F318)=0,("??? "&amp;"DICTIONARY-3/"&amp;"LINE"&amp;(ROW(A318))),CHOOSE(SET.LANGUAGE,'DICTIONARY-3'!B318,'DICTIONARY-3'!C318,'DICTIONARY-3'!D318,'DICTIONARY-3'!E318,'DICTIONARY-3'!F318))</f>
        <v xml:space="preserve">Montaż na wolnym końcu rury </v>
      </c>
      <c r="B318" s="585" t="s">
        <v>6371</v>
      </c>
      <c r="C318" s="586" t="s">
        <v>7469</v>
      </c>
      <c r="D318" s="586" t="s">
        <v>6589</v>
      </c>
      <c r="E318" s="586" t="s">
        <v>7183</v>
      </c>
      <c r="F318" s="581" t="str">
        <f t="shared" si="16"/>
        <v>318❸Montáž na volný konec potrubí</v>
      </c>
      <c r="G318" s="582" t="str">
        <f t="shared" si="17"/>
        <v>'DICTIONARY-3'!$A$318</v>
      </c>
    </row>
    <row r="319" spans="1:7" x14ac:dyDescent="0.25">
      <c r="A319" s="508" t="str">
        <f>IF(CHOOSE(SET.LANGUAGE,'DICTIONARY-3'!B319,'DICTIONARY-3'!C319,'DICTIONARY-3'!D319,'DICTIONARY-3'!E319,'DICTIONARY-3'!F319)=0,("??? "&amp;"DICTIONARY-3/"&amp;"LINE"&amp;(ROW(A319))),CHOOSE(SET.LANGUAGE,'DICTIONARY-3'!B319,'DICTIONARY-3'!C319,'DICTIONARY-3'!D319,'DICTIONARY-3'!E319,'DICTIONARY-3'!F319))</f>
        <v>Montaż na pionowej betonowej ścianie</v>
      </c>
      <c r="B319" s="585" t="s">
        <v>6590</v>
      </c>
      <c r="C319" s="586" t="s">
        <v>7470</v>
      </c>
      <c r="D319" s="586" t="s">
        <v>6620</v>
      </c>
      <c r="E319" s="586" t="s">
        <v>7155</v>
      </c>
      <c r="F319" s="581" t="str">
        <f t="shared" si="16"/>
        <v>319❸Montáž na kolmou stěnu</v>
      </c>
      <c r="G319" s="582" t="str">
        <f t="shared" si="17"/>
        <v>'DICTIONARY-3'!$A$319</v>
      </c>
    </row>
    <row r="320" spans="1:7" x14ac:dyDescent="0.25">
      <c r="A320" s="508" t="str">
        <f>IF(CHOOSE(SET.LANGUAGE,'DICTIONARY-3'!B320,'DICTIONARY-3'!C320,'DICTIONARY-3'!D320,'DICTIONARY-3'!E320,'DICTIONARY-3'!F320)=0,("??? "&amp;"DICTIONARY-3/"&amp;"LINE"&amp;(ROW(A320))),CHOOSE(SET.LANGUAGE,'DICTIONARY-3'!B320,'DICTIONARY-3'!C320,'DICTIONARY-3'!D320,'DICTIONARY-3'!E320,'DICTIONARY-3'!F320))</f>
        <v>Montaż na kołnierz</v>
      </c>
      <c r="B320" s="585" t="s">
        <v>6373</v>
      </c>
      <c r="C320" s="586" t="s">
        <v>7471</v>
      </c>
      <c r="D320" s="586" t="s">
        <v>6591</v>
      </c>
      <c r="E320" s="586" t="s">
        <v>7156</v>
      </c>
      <c r="F320" s="581" t="str">
        <f t="shared" si="16"/>
        <v>320❸Montáž na přírubu</v>
      </c>
      <c r="G320" s="582" t="str">
        <f t="shared" si="17"/>
        <v>'DICTIONARY-3'!$A$320</v>
      </c>
    </row>
    <row r="321" spans="1:7" x14ac:dyDescent="0.25">
      <c r="A321" s="508" t="str">
        <f>IF(CHOOSE(SET.LANGUAGE,'DICTIONARY-3'!B321,'DICTIONARY-3'!C321,'DICTIONARY-3'!D321,'DICTIONARY-3'!E321,'DICTIONARY-3'!F321)=0,("??? "&amp;"DICTIONARY-3/"&amp;"LINE"&amp;(ROW(A321))),CHOOSE(SET.LANGUAGE,'DICTIONARY-3'!B321,'DICTIONARY-3'!C321,'DICTIONARY-3'!D321,'DICTIONARY-3'!E321,'DICTIONARY-3'!F321))</f>
        <v>Ze wskaźnikiem położenia pod kółko ręczne</v>
      </c>
      <c r="B321" s="585" t="s">
        <v>6379</v>
      </c>
      <c r="C321" s="586" t="s">
        <v>7538</v>
      </c>
      <c r="D321" s="586" t="s">
        <v>6625</v>
      </c>
      <c r="E321" s="586" t="s">
        <v>7294</v>
      </c>
      <c r="F321" s="581" t="str">
        <f t="shared" si="16"/>
        <v>321❸S ukazatelem polohy a přípravou pro osazení ručním kolem</v>
      </c>
      <c r="G321" s="582" t="str">
        <f t="shared" si="17"/>
        <v>'DICTIONARY-3'!$A$321</v>
      </c>
    </row>
    <row r="322" spans="1:7" x14ac:dyDescent="0.25">
      <c r="A322" s="508" t="str">
        <f>IF(CHOOSE(SET.LANGUAGE,'DICTIONARY-3'!B322,'DICTIONARY-3'!C322,'DICTIONARY-3'!D322,'DICTIONARY-3'!E322,'DICTIONARY-3'!F322)=0,("??? "&amp;"DICTIONARY-3/"&amp;"LINE"&amp;(ROW(A322))),CHOOSE(SET.LANGUAGE,'DICTIONARY-3'!B322,'DICTIONARY-3'!C322,'DICTIONARY-3'!D322,'DICTIONARY-3'!E322,'DICTIONARY-3'!F322))</f>
        <v xml:space="preserve">Przygotowana do podłączenia obudowy teleskopowej VA-TELESKOP i zabudowy podziemnej </v>
      </c>
      <c r="B322" s="585" t="s">
        <v>1539</v>
      </c>
      <c r="C322" s="586" t="s">
        <v>7756</v>
      </c>
      <c r="D322" s="586" t="s">
        <v>6626</v>
      </c>
      <c r="E322" s="608" t="s">
        <v>7295</v>
      </c>
      <c r="F322" s="581" t="str">
        <f t="shared" si="16"/>
        <v>322❸S přípravou pro připojení teleskopické VA-TELESKOP Zemní soupravy a zakopání do země</v>
      </c>
      <c r="G322" s="582" t="str">
        <f t="shared" si="17"/>
        <v>'DICTIONARY-3'!$A$322</v>
      </c>
    </row>
    <row r="323" spans="1:7" x14ac:dyDescent="0.25">
      <c r="A323" s="508" t="str">
        <f>IF(CHOOSE(SET.LANGUAGE,'DICTIONARY-3'!B323,'DICTIONARY-3'!C323,'DICTIONARY-3'!D323,'DICTIONARY-3'!E323,'DICTIONARY-3'!F323)=0,("??? "&amp;"DICTIONARY-3/"&amp;"LINE"&amp;(ROW(A323))),CHOOSE(SET.LANGUAGE,'DICTIONARY-3'!B323,'DICTIONARY-3'!C323,'DICTIONARY-3'!D323,'DICTIONARY-3'!E323,'DICTIONARY-3'!F323))</f>
        <v>Z dźwignią stalową</v>
      </c>
      <c r="B323" s="585" t="s">
        <v>6380</v>
      </c>
      <c r="C323" s="586" t="s">
        <v>7472</v>
      </c>
      <c r="D323" s="586" t="s">
        <v>6592</v>
      </c>
      <c r="E323" s="586" t="s">
        <v>7157</v>
      </c>
      <c r="F323" s="581" t="str">
        <f t="shared" si="16"/>
        <v>323❸S ocelovou pákou</v>
      </c>
      <c r="G323" s="582" t="str">
        <f t="shared" si="17"/>
        <v>'DICTIONARY-3'!$A$323</v>
      </c>
    </row>
    <row r="324" spans="1:7" x14ac:dyDescent="0.25">
      <c r="A324" s="508" t="str">
        <f>IF(CHOOSE(SET.LANGUAGE,'DICTIONARY-3'!B324,'DICTIONARY-3'!C324,'DICTIONARY-3'!D324,'DICTIONARY-3'!E324,'DICTIONARY-3'!F324)=0,("??? "&amp;"DICTIONARY-3/"&amp;"LINE"&amp;(ROW(A324))),CHOOSE(SET.LANGUAGE,'DICTIONARY-3'!B324,'DICTIONARY-3'!C324,'DICTIONARY-3'!D324,'DICTIONARY-3'!E324,'DICTIONARY-3'!F324))</f>
        <v>Z dźwignią ze stali nierdzewnej</v>
      </c>
      <c r="B324" s="585" t="s">
        <v>6381</v>
      </c>
      <c r="C324" s="586" t="s">
        <v>6381</v>
      </c>
      <c r="D324" s="586" t="s">
        <v>6593</v>
      </c>
      <c r="E324" s="586" t="s">
        <v>7158</v>
      </c>
      <c r="F324" s="581" t="str">
        <f t="shared" si="16"/>
        <v>324❸S nerezovou pákou</v>
      </c>
      <c r="G324" s="582" t="str">
        <f t="shared" si="17"/>
        <v>'DICTIONARY-3'!$A$324</v>
      </c>
    </row>
    <row r="325" spans="1:7" x14ac:dyDescent="0.25">
      <c r="A325" s="508" t="str">
        <f>IF(CHOOSE(SET.LANGUAGE,'DICTIONARY-3'!B325,'DICTIONARY-3'!C325,'DICTIONARY-3'!D325,'DICTIONARY-3'!E325,'DICTIONARY-3'!F325)=0,("??? "&amp;"DICTIONARY-3/"&amp;"LINE"&amp;(ROW(A325))),CHOOSE(SET.LANGUAGE,'DICTIONARY-3'!B325,'DICTIONARY-3'!C325,'DICTIONARY-3'!D325,'DICTIONARY-3'!E325,'DICTIONARY-3'!F325))</f>
        <v>Z dźwignią żeliwną</v>
      </c>
      <c r="B325" s="585" t="s">
        <v>6382</v>
      </c>
      <c r="C325" s="586" t="s">
        <v>7539</v>
      </c>
      <c r="D325" s="586" t="s">
        <v>6594</v>
      </c>
      <c r="E325" s="586" t="s">
        <v>7159</v>
      </c>
      <c r="F325" s="581" t="str">
        <f t="shared" si="16"/>
        <v>325❸S litinovou pákou</v>
      </c>
      <c r="G325" s="582" t="str">
        <f t="shared" si="17"/>
        <v>'DICTIONARY-3'!$A$325</v>
      </c>
    </row>
    <row r="326" spans="1:7" x14ac:dyDescent="0.25">
      <c r="A326" s="508" t="str">
        <f>IF(CHOOSE(SET.LANGUAGE,'DICTIONARY-3'!B326,'DICTIONARY-3'!C326,'DICTIONARY-3'!D326,'DICTIONARY-3'!E326,'DICTIONARY-3'!F326)=0,("??? "&amp;"DICTIONARY-3/"&amp;"LINE"&amp;(ROW(A326))),CHOOSE(SET.LANGUAGE,'DICTIONARY-3'!B326,'DICTIONARY-3'!C326,'DICTIONARY-3'!D326,'DICTIONARY-3'!E326,'DICTIONARY-3'!F326))</f>
        <v>Z przekładnią i kółkiem ręcznym</v>
      </c>
      <c r="B326" s="585" t="s">
        <v>6250</v>
      </c>
      <c r="C326" s="586" t="s">
        <v>7540</v>
      </c>
      <c r="D326" s="586" t="s">
        <v>6595</v>
      </c>
      <c r="E326" s="586" t="s">
        <v>7160</v>
      </c>
      <c r="F326" s="581" t="str">
        <f t="shared" si="16"/>
        <v>326❸S převodovkou a ručním kolem</v>
      </c>
      <c r="G326" s="582" t="str">
        <f t="shared" si="17"/>
        <v>'DICTIONARY-3'!$A$326</v>
      </c>
    </row>
    <row r="327" spans="1:7" x14ac:dyDescent="0.25">
      <c r="A327" s="508" t="str">
        <f>IF(CHOOSE(SET.LANGUAGE,'DICTIONARY-3'!B327,'DICTIONARY-3'!C327,'DICTIONARY-3'!D327,'DICTIONARY-3'!E327,'DICTIONARY-3'!F327)=0,("??? "&amp;"DICTIONARY-3/"&amp;"LINE"&amp;(ROW(A327))),CHOOSE(SET.LANGUAGE,'DICTIONARY-3'!B327,'DICTIONARY-3'!C327,'DICTIONARY-3'!D327,'DICTIONARY-3'!E327,'DICTIONARY-3'!F327))</f>
        <v>Z wolnym wałkiem do przyłaczenia zestawu pływaka</v>
      </c>
      <c r="B327" s="585" t="s">
        <v>6394</v>
      </c>
      <c r="C327" s="586" t="s">
        <v>7473</v>
      </c>
      <c r="D327" s="586" t="s">
        <v>7161</v>
      </c>
      <c r="E327" s="586" t="s">
        <v>7296</v>
      </c>
      <c r="F327" s="581" t="str">
        <f t="shared" si="16"/>
        <v>327❸S volným koncem pro připojení plovákové sady</v>
      </c>
      <c r="G327" s="582" t="str">
        <f t="shared" si="17"/>
        <v>'DICTIONARY-3'!$A$327</v>
      </c>
    </row>
    <row r="328" spans="1:7" x14ac:dyDescent="0.25">
      <c r="A328" s="508" t="str">
        <f>IF(CHOOSE(SET.LANGUAGE,'DICTIONARY-3'!B328,'DICTIONARY-3'!C328,'DICTIONARY-3'!D328,'DICTIONARY-3'!E328,'DICTIONARY-3'!F328)=0,("??? "&amp;"DICTIONARY-3/"&amp;"LINE"&amp;(ROW(A328))),CHOOSE(SET.LANGUAGE,'DICTIONARY-3'!B328,'DICTIONARY-3'!C328,'DICTIONARY-3'!D328,'DICTIONARY-3'!E328,'DICTIONARY-3'!F328))</f>
        <v xml:space="preserve">Ze zintegrowanym zaworem zwrotnym </v>
      </c>
      <c r="B328" s="585" t="s">
        <v>2012</v>
      </c>
      <c r="C328" s="586" t="s">
        <v>7474</v>
      </c>
      <c r="D328" s="586" t="s">
        <v>6596</v>
      </c>
      <c r="E328" s="586" t="s">
        <v>7162</v>
      </c>
      <c r="F328" s="581" t="str">
        <f t="shared" si="16"/>
        <v>328❸S integrovanou zpětnou klapkou</v>
      </c>
      <c r="G328" s="582" t="str">
        <f t="shared" si="17"/>
        <v>'DICTIONARY-3'!$A$328</v>
      </c>
    </row>
    <row r="329" spans="1:7" x14ac:dyDescent="0.25">
      <c r="A329" s="508" t="str">
        <f>IF(CHOOSE(SET.LANGUAGE,'DICTIONARY-3'!B329,'DICTIONARY-3'!C329,'DICTIONARY-3'!D329,'DICTIONARY-3'!E329,'DICTIONARY-3'!F329)=0,("??? "&amp;"DICTIONARY-3/"&amp;"LINE"&amp;(ROW(A329))),CHOOSE(SET.LANGUAGE,'DICTIONARY-3'!B329,'DICTIONARY-3'!C329,'DICTIONARY-3'!D329,'DICTIONARY-3'!E329,'DICTIONARY-3'!F329))</f>
        <v>Z galwanizowanymi gwintowanymi kołkami kotwiącymi</v>
      </c>
      <c r="B329" s="585" t="s">
        <v>6409</v>
      </c>
      <c r="C329" s="586" t="s">
        <v>7475</v>
      </c>
      <c r="D329" s="586" t="s">
        <v>6597</v>
      </c>
      <c r="E329" s="586" t="s">
        <v>7297</v>
      </c>
      <c r="F329" s="581" t="str">
        <f t="shared" ref="F329:F350" si="21">CONCATENATE(ROW(B329),"❸",B329)</f>
        <v>329❸S pozinkovanými závitovými tyčemi</v>
      </c>
      <c r="G329" s="582" t="str">
        <f t="shared" si="17"/>
        <v>'DICTIONARY-3'!$A$329</v>
      </c>
    </row>
    <row r="330" spans="1:7" x14ac:dyDescent="0.25">
      <c r="A330" s="508" t="str">
        <f>IF(CHOOSE(SET.LANGUAGE,'DICTIONARY-3'!B330,'DICTIONARY-3'!C330,'DICTIONARY-3'!D330,'DICTIONARY-3'!E330,'DICTIONARY-3'!F330)=0,("??? "&amp;"DICTIONARY-3/"&amp;"LINE"&amp;(ROW(A330))),CHOOSE(SET.LANGUAGE,'DICTIONARY-3'!B330,'DICTIONARY-3'!C330,'DICTIONARY-3'!D330,'DICTIONARY-3'!E330,'DICTIONARY-3'!F330))</f>
        <v>Z nierdzewnymi gwintowanymi kołkami kotwiącymi</v>
      </c>
      <c r="B330" s="585" t="s">
        <v>6410</v>
      </c>
      <c r="C330" s="586" t="s">
        <v>7476</v>
      </c>
      <c r="D330" s="586" t="s">
        <v>6598</v>
      </c>
      <c r="E330" s="586" t="s">
        <v>7298</v>
      </c>
      <c r="F330" s="581" t="str">
        <f t="shared" si="21"/>
        <v>330❸S nerezovými závitovými tyčemi</v>
      </c>
      <c r="G330" s="582" t="str">
        <f t="shared" si="17"/>
        <v>'DICTIONARY-3'!$A$330</v>
      </c>
    </row>
    <row r="331" spans="1:7" x14ac:dyDescent="0.25">
      <c r="A331" s="508" t="str">
        <f>IF(CHOOSE(SET.LANGUAGE,'DICTIONARY-3'!B331,'DICTIONARY-3'!C331,'DICTIONARY-3'!D331,'DICTIONARY-3'!E331,'DICTIONARY-3'!F331)=0,("??? "&amp;"DICTIONARY-3/"&amp;"LINE"&amp;(ROW(A331))),CHOOSE(SET.LANGUAGE,'DICTIONARY-3'!B331,'DICTIONARY-3'!C331,'DICTIONARY-3'!D331,'DICTIONARY-3'!E331,'DICTIONARY-3'!F331))</f>
        <v>Bez zabezpieczenia przeciw wyrwaniu</v>
      </c>
      <c r="B331" s="585" t="s">
        <v>2148</v>
      </c>
      <c r="C331" s="586" t="s">
        <v>7757</v>
      </c>
      <c r="D331" s="586" t="s">
        <v>6599</v>
      </c>
      <c r="E331" s="586" t="s">
        <v>7163</v>
      </c>
      <c r="F331" s="581" t="str">
        <f t="shared" si="21"/>
        <v>331❸Bez jištění proti posuvu</v>
      </c>
      <c r="G331" s="582" t="str">
        <f t="shared" ref="G331:G352" si="22">"'DICTIONARY-3'!$A$"&amp;ROW(G331)</f>
        <v>'DICTIONARY-3'!$A$331</v>
      </c>
    </row>
    <row r="332" spans="1:7" x14ac:dyDescent="0.25">
      <c r="A332" s="508" t="str">
        <f>IF(CHOOSE(SET.LANGUAGE,'DICTIONARY-3'!B332,'DICTIONARY-3'!C332,'DICTIONARY-3'!D332,'DICTIONARY-3'!E332,'DICTIONARY-3'!F332)=0,("??? "&amp;"DICTIONARY-3/"&amp;"LINE"&amp;(ROW(A332))),CHOOSE(SET.LANGUAGE,'DICTIONARY-3'!B332,'DICTIONARY-3'!C332,'DICTIONARY-3'!D332,'DICTIONARY-3'!E332,'DICTIONARY-3'!F332))</f>
        <v>Dla zasuw</v>
      </c>
      <c r="B332" s="585" t="s">
        <v>6420</v>
      </c>
      <c r="C332" s="586" t="s">
        <v>7541</v>
      </c>
      <c r="D332" s="586" t="s">
        <v>6600</v>
      </c>
      <c r="E332" s="586" t="s">
        <v>7164</v>
      </c>
      <c r="F332" s="581" t="str">
        <f t="shared" si="21"/>
        <v>332❸Pro šoupátka</v>
      </c>
      <c r="G332" s="582" t="str">
        <f t="shared" si="22"/>
        <v>'DICTIONARY-3'!$A$332</v>
      </c>
    </row>
    <row r="333" spans="1:7" x14ac:dyDescent="0.25">
      <c r="A333" s="508" t="str">
        <f>IF(CHOOSE(SET.LANGUAGE,'DICTIONARY-3'!B333,'DICTIONARY-3'!C333,'DICTIONARY-3'!D333,'DICTIONARY-3'!E333,'DICTIONARY-3'!F333)=0,("??? "&amp;"DICTIONARY-3/"&amp;"LINE"&amp;(ROW(A333))),CHOOSE(SET.LANGUAGE,'DICTIONARY-3'!B333,'DICTIONARY-3'!C333,'DICTIONARY-3'!D333,'DICTIONARY-3'!E333,'DICTIONARY-3'!F333))</f>
        <v xml:space="preserve">i hydrantów podziemnych </v>
      </c>
      <c r="B333" s="585" t="s">
        <v>6447</v>
      </c>
      <c r="C333" s="586" t="s">
        <v>7477</v>
      </c>
      <c r="D333" s="586" t="s">
        <v>6601</v>
      </c>
      <c r="E333" s="586" t="s">
        <v>7166</v>
      </c>
      <c r="F333" s="581" t="str">
        <f t="shared" si="21"/>
        <v>333❸a podzemní hydranty</v>
      </c>
      <c r="G333" s="582" t="str">
        <f t="shared" si="22"/>
        <v>'DICTIONARY-3'!$A$333</v>
      </c>
    </row>
    <row r="334" spans="1:7" x14ac:dyDescent="0.25">
      <c r="A334" s="508" t="str">
        <f>IF(CHOOSE(SET.LANGUAGE,'DICTIONARY-3'!B334,'DICTIONARY-3'!C334,'DICTIONARY-3'!D334,'DICTIONARY-3'!E334,'DICTIONARY-3'!F334)=0,("??? "&amp;"DICTIONARY-3/"&amp;"LINE"&amp;(ROW(A334))),CHOOSE(SET.LANGUAGE,'DICTIONARY-3'!B334,'DICTIONARY-3'!C334,'DICTIONARY-3'!D334,'DICTIONARY-3'!E334,'DICTIONARY-3'!F334))</f>
        <v>Dla hydrantów nadziemnych</v>
      </c>
      <c r="B334" s="585" t="s">
        <v>6450</v>
      </c>
      <c r="C334" s="586" t="s">
        <v>7478</v>
      </c>
      <c r="D334" s="586" t="s">
        <v>6602</v>
      </c>
      <c r="E334" s="586" t="s">
        <v>7165</v>
      </c>
      <c r="F334" s="581" t="str">
        <f t="shared" si="21"/>
        <v>334❸Pro nadzemní hydranty</v>
      </c>
      <c r="G334" s="582" t="str">
        <f t="shared" si="22"/>
        <v>'DICTIONARY-3'!$A$334</v>
      </c>
    </row>
    <row r="335" spans="1:7" x14ac:dyDescent="0.25">
      <c r="A335" s="508" t="str">
        <f>IF(CHOOSE(SET.LANGUAGE,'DICTIONARY-3'!B335,'DICTIONARY-3'!C335,'DICTIONARY-3'!D335,'DICTIONARY-3'!E335,'DICTIONARY-3'!F335)=0,("??? "&amp;"DICTIONARY-3/"&amp;"LINE"&amp;(ROW(A335))),CHOOSE(SET.LANGUAGE,'DICTIONARY-3'!B335,'DICTIONARY-3'!C335,'DICTIONARY-3'!D335,'DICTIONARY-3'!E335,'DICTIONARY-3'!F335))</f>
        <v>Dla mostków nawiertowych</v>
      </c>
      <c r="B335" s="585" t="s">
        <v>6430</v>
      </c>
      <c r="C335" s="586" t="s">
        <v>7758</v>
      </c>
      <c r="D335" s="586" t="s">
        <v>6603</v>
      </c>
      <c r="E335" s="586" t="s">
        <v>7167</v>
      </c>
      <c r="F335" s="581" t="str">
        <f t="shared" si="21"/>
        <v>335❸Pro navrtávací pasy s uzávěrem</v>
      </c>
      <c r="G335" s="582" t="str">
        <f t="shared" si="22"/>
        <v>'DICTIONARY-3'!$A$335</v>
      </c>
    </row>
    <row r="336" spans="1:7" x14ac:dyDescent="0.25">
      <c r="A336" s="508" t="str">
        <f>IF(CHOOSE(SET.LANGUAGE,'DICTIONARY-3'!B336,'DICTIONARY-3'!C336,'DICTIONARY-3'!D336,'DICTIONARY-3'!E336,'DICTIONARY-3'!F336)=0,("??? "&amp;"DICTIONARY-3/"&amp;"LINE"&amp;(ROW(A336))),CHOOSE(SET.LANGUAGE,'DICTIONARY-3'!B336,'DICTIONARY-3'!C336,'DICTIONARY-3'!D336,'DICTIONARY-3'!E336,'DICTIONARY-3'!F336))</f>
        <v>Dla mostków nawiertowych z zasuwa</v>
      </c>
      <c r="B336" s="585" t="s">
        <v>6421</v>
      </c>
      <c r="C336" s="586" t="s">
        <v>7759</v>
      </c>
      <c r="D336" s="586" t="s">
        <v>6604</v>
      </c>
      <c r="E336" s="586" t="s">
        <v>7168</v>
      </c>
      <c r="F336" s="581" t="str">
        <f t="shared" si="21"/>
        <v>336❸Pro navrtávací pasy se šoupátkem</v>
      </c>
      <c r="G336" s="582" t="str">
        <f t="shared" si="22"/>
        <v>'DICTIONARY-3'!$A$336</v>
      </c>
    </row>
    <row r="337" spans="1:7" x14ac:dyDescent="0.25">
      <c r="A337" s="508" t="str">
        <f>IF(CHOOSE(SET.LANGUAGE,'DICTIONARY-3'!B337,'DICTIONARY-3'!C337,'DICTIONARY-3'!D337,'DICTIONARY-3'!E337,'DICTIONARY-3'!F337)=0,("??? "&amp;"DICTIONARY-3/"&amp;"LINE"&amp;(ROW(A337))),CHOOSE(SET.LANGUAGE,'DICTIONARY-3'!B337,'DICTIONARY-3'!C337,'DICTIONARY-3'!D337,'DICTIONARY-3'!E337,'DICTIONARY-3'!F337))</f>
        <v>Dla mostków nawiertowych z zaworem kulowym</v>
      </c>
      <c r="B337" s="585" t="s">
        <v>6422</v>
      </c>
      <c r="C337" s="586" t="s">
        <v>7760</v>
      </c>
      <c r="D337" s="586" t="s">
        <v>6605</v>
      </c>
      <c r="E337" s="586" t="s">
        <v>7169</v>
      </c>
      <c r="F337" s="581" t="str">
        <f t="shared" si="21"/>
        <v>337❸Pro navrtávací pasy s kulovým kohoutem</v>
      </c>
      <c r="G337" s="582" t="str">
        <f t="shared" si="22"/>
        <v>'DICTIONARY-3'!$A$337</v>
      </c>
    </row>
    <row r="338" spans="1:7" x14ac:dyDescent="0.25">
      <c r="A338" s="508" t="str">
        <f>IF(CHOOSE(SET.LANGUAGE,'DICTIONARY-3'!B338,'DICTIONARY-3'!C338,'DICTIONARY-3'!D338,'DICTIONARY-3'!E338,'DICTIONARY-3'!F338)=0,("??? "&amp;"DICTIONARY-3/"&amp;"LINE"&amp;(ROW(A338))),CHOOSE(SET.LANGUAGE,'DICTIONARY-3'!B338,'DICTIONARY-3'!C338,'DICTIONARY-3'!D338,'DICTIONARY-3'!E338,'DICTIONARY-3'!F338))</f>
        <v>Trójnik odgałęzieniem mufowym</v>
      </c>
      <c r="B338" s="585" t="s">
        <v>6481</v>
      </c>
      <c r="C338" s="586" t="s">
        <v>6481</v>
      </c>
      <c r="D338" s="586" t="s">
        <v>6606</v>
      </c>
      <c r="E338" s="586" t="s">
        <v>7170</v>
      </c>
      <c r="F338" s="581" t="str">
        <f t="shared" si="21"/>
        <v>338❸S hrdlovou odbočkou</v>
      </c>
      <c r="G338" s="582" t="str">
        <f t="shared" si="22"/>
        <v>'DICTIONARY-3'!$A$338</v>
      </c>
    </row>
    <row r="339" spans="1:7" x14ac:dyDescent="0.25">
      <c r="A339" s="508" t="str">
        <f>IF(CHOOSE(SET.LANGUAGE,'DICTIONARY-3'!B339,'DICTIONARY-3'!C339,'DICTIONARY-3'!D339,'DICTIONARY-3'!E339,'DICTIONARY-3'!F339)=0,("??? "&amp;"DICTIONARY-3/"&amp;"LINE"&amp;(ROW(A339))),CHOOSE(SET.LANGUAGE,'DICTIONARY-3'!B339,'DICTIONARY-3'!C339,'DICTIONARY-3'!D339,'DICTIONARY-3'!E339,'DICTIONARY-3'!F339))</f>
        <v>Z możliwością przesuwu koncówki rury w mufie śrubowej UNION</v>
      </c>
      <c r="B339" s="585" t="s">
        <v>6482</v>
      </c>
      <c r="C339" s="586" t="s">
        <v>7479</v>
      </c>
      <c r="D339" s="586" t="s">
        <v>6607</v>
      </c>
      <c r="E339" s="586" t="s">
        <v>7171</v>
      </c>
      <c r="F339" s="581" t="str">
        <f t="shared" si="21"/>
        <v>339❸S možností posuvu konce potrubí v hrdle</v>
      </c>
      <c r="G339" s="582" t="str">
        <f t="shared" si="22"/>
        <v>'DICTIONARY-3'!$A$339</v>
      </c>
    </row>
    <row r="340" spans="1:7" x14ac:dyDescent="0.25">
      <c r="A340" s="508" t="str">
        <f>IF(CHOOSE(SET.LANGUAGE,'DICTIONARY-3'!B340,'DICTIONARY-3'!C340,'DICTIONARY-3'!D340,'DICTIONARY-3'!E340,'DICTIONARY-3'!F340)=0,("??? "&amp;"DICTIONARY-3/"&amp;"LINE"&amp;(ROW(A340))),CHOOSE(SET.LANGUAGE,'DICTIONARY-3'!B340,'DICTIONARY-3'!C340,'DICTIONARY-3'!D340,'DICTIONARY-3'!E340,'DICTIONARY-3'!F340))</f>
        <v>Z przejściem na większą średnicę DN</v>
      </c>
      <c r="B340" s="585" t="s">
        <v>6483</v>
      </c>
      <c r="C340" s="586" t="s">
        <v>7480</v>
      </c>
      <c r="D340" s="586" t="s">
        <v>6608</v>
      </c>
      <c r="E340" s="586" t="s">
        <v>7172</v>
      </c>
      <c r="F340" s="581" t="str">
        <f t="shared" si="21"/>
        <v>340❸Pro redukci nahoru</v>
      </c>
      <c r="G340" s="582" t="str">
        <f t="shared" si="22"/>
        <v>'DICTIONARY-3'!$A$340</v>
      </c>
    </row>
    <row r="341" spans="1:7" x14ac:dyDescent="0.25">
      <c r="A341" s="508" t="str">
        <f>IF(CHOOSE(SET.LANGUAGE,'DICTIONARY-3'!B341,'DICTIONARY-3'!C341,'DICTIONARY-3'!D341,'DICTIONARY-3'!E341,'DICTIONARY-3'!F341)=0,("??? "&amp;"DICTIONARY-3/"&amp;"LINE"&amp;(ROW(A341))),CHOOSE(SET.LANGUAGE,'DICTIONARY-3'!B341,'DICTIONARY-3'!C341,'DICTIONARY-3'!D341,'DICTIONARY-3'!E341,'DICTIONARY-3'!F341))</f>
        <v>Z prześciem na mniejszą średnicę DN</v>
      </c>
      <c r="B341" s="585" t="s">
        <v>6484</v>
      </c>
      <c r="C341" s="586" t="s">
        <v>7481</v>
      </c>
      <c r="D341" s="586" t="s">
        <v>6609</v>
      </c>
      <c r="E341" s="586" t="s">
        <v>7173</v>
      </c>
      <c r="F341" s="581" t="str">
        <f t="shared" si="21"/>
        <v>341❸Pro redukci dolů</v>
      </c>
      <c r="G341" s="582" t="str">
        <f t="shared" si="22"/>
        <v>'DICTIONARY-3'!$A$341</v>
      </c>
    </row>
    <row r="342" spans="1:7" x14ac:dyDescent="0.25">
      <c r="A342" s="508" t="str">
        <f>IF(CHOOSE(SET.LANGUAGE,'DICTIONARY-3'!B342,'DICTIONARY-3'!C342,'DICTIONARY-3'!D342,'DICTIONARY-3'!E342,'DICTIONARY-3'!F342)=0,("??? "&amp;"DICTIONARY-3/"&amp;"LINE"&amp;(ROW(A342))),CHOOSE(SET.LANGUAGE,'DICTIONARY-3'!B342,'DICTIONARY-3'!C342,'DICTIONARY-3'!D342,'DICTIONARY-3'!E342,'DICTIONARY-3'!F342))</f>
        <v>Zaślepka</v>
      </c>
      <c r="B342" s="585" t="s">
        <v>6613</v>
      </c>
      <c r="C342" s="586" t="s">
        <v>6613</v>
      </c>
      <c r="D342" s="586" t="s">
        <v>6611</v>
      </c>
      <c r="E342" s="586" t="s">
        <v>7174</v>
      </c>
      <c r="F342" s="581" t="str">
        <f t="shared" si="21"/>
        <v>342❸Záslepka</v>
      </c>
      <c r="G342" s="582" t="str">
        <f t="shared" si="22"/>
        <v>'DICTIONARY-3'!$A$342</v>
      </c>
    </row>
    <row r="343" spans="1:7" x14ac:dyDescent="0.25">
      <c r="A343" s="508" t="str">
        <f>IF(CHOOSE(SET.LANGUAGE,'DICTIONARY-3'!B343,'DICTIONARY-3'!C343,'DICTIONARY-3'!D343,'DICTIONARY-3'!E343,'DICTIONARY-3'!F343)=0,("??? "&amp;"DICTIONARY-3/"&amp;"LINE"&amp;(ROW(A343))),CHOOSE(SET.LANGUAGE,'DICTIONARY-3'!B343,'DICTIONARY-3'!C343,'DICTIONARY-3'!D343,'DICTIONARY-3'!E343,'DICTIONARY-3'!F343))</f>
        <v>korek</v>
      </c>
      <c r="B343" s="585" t="s">
        <v>6884</v>
      </c>
      <c r="C343" s="586" t="s">
        <v>6884</v>
      </c>
      <c r="D343" s="586" t="s">
        <v>6885</v>
      </c>
      <c r="E343" s="586" t="s">
        <v>7175</v>
      </c>
      <c r="F343" s="581" t="str">
        <f t="shared" ref="F343" si="23">CONCATENATE(ROW(B343),"❸",B343)</f>
        <v>343❸zátka</v>
      </c>
      <c r="G343" s="582" t="str">
        <f t="shared" si="22"/>
        <v>'DICTIONARY-3'!$A$343</v>
      </c>
    </row>
    <row r="344" spans="1:7" x14ac:dyDescent="0.25">
      <c r="A344" s="508" t="str">
        <f>IF(CHOOSE(SET.LANGUAGE,'DICTIONARY-3'!B344,'DICTIONARY-3'!C344,'DICTIONARY-3'!D344,'DICTIONARY-3'!E344,'DICTIONARY-3'!F344)=0,("??? "&amp;"DICTIONARY-3/"&amp;"LINE"&amp;(ROW(A344))),CHOOSE(SET.LANGUAGE,'DICTIONARY-3'!B344,'DICTIONARY-3'!C344,'DICTIONARY-3'!D344,'DICTIONARY-3'!E344,'DICTIONARY-3'!F344))</f>
        <v>Z korkiem dla prób i odpowietrzania</v>
      </c>
      <c r="B344" s="585" t="s">
        <v>6612</v>
      </c>
      <c r="C344" s="586" t="s">
        <v>7482</v>
      </c>
      <c r="D344" s="586" t="s">
        <v>6610</v>
      </c>
      <c r="E344" s="586" t="s">
        <v>7176</v>
      </c>
      <c r="F344" s="581" t="str">
        <f t="shared" si="21"/>
        <v>344❸Se závitovými zátkami</v>
      </c>
      <c r="G344" s="582" t="str">
        <f t="shared" si="22"/>
        <v>'DICTIONARY-3'!$A$344</v>
      </c>
    </row>
    <row r="345" spans="1:7" x14ac:dyDescent="0.25">
      <c r="A345" s="508" t="str">
        <f>IF(CHOOSE(SET.LANGUAGE,'DICTIONARY-3'!B345,'DICTIONARY-3'!C345,'DICTIONARY-3'!D345,'DICTIONARY-3'!E345,'DICTIONARY-3'!F345)=0,("??? "&amp;"DICTIONARY-3/"&amp;"LINE"&amp;(ROW(A345))),CHOOSE(SET.LANGUAGE,'DICTIONARY-3'!B345,'DICTIONARY-3'!C345,'DICTIONARY-3'!D345,'DICTIONARY-3'!E345,'DICTIONARY-3'!F345))</f>
        <v>Bez gwintowanego owiertu</v>
      </c>
      <c r="B345" s="585" t="s">
        <v>6485</v>
      </c>
      <c r="C345" s="586" t="s">
        <v>7542</v>
      </c>
      <c r="D345" s="586" t="s">
        <v>6614</v>
      </c>
      <c r="E345" s="586" t="s">
        <v>7177</v>
      </c>
      <c r="F345" s="581" t="str">
        <f t="shared" si="21"/>
        <v>345❸Bez vrtání</v>
      </c>
      <c r="G345" s="582" t="str">
        <f t="shared" si="22"/>
        <v>'DICTIONARY-3'!$A$345</v>
      </c>
    </row>
    <row r="346" spans="1:7" x14ac:dyDescent="0.25">
      <c r="A346" s="508" t="str">
        <f>IF(CHOOSE(SET.LANGUAGE,'DICTIONARY-3'!B346,'DICTIONARY-3'!C346,'DICTIONARY-3'!D346,'DICTIONARY-3'!E346,'DICTIONARY-3'!F346)=0,("??? "&amp;"DICTIONARY-3/"&amp;"LINE"&amp;(ROW(A346))),CHOOSE(SET.LANGUAGE,'DICTIONARY-3'!B346,'DICTIONARY-3'!C346,'DICTIONARY-3'!D346,'DICTIONARY-3'!E346,'DICTIONARY-3'!F346))</f>
        <v>Kolano</v>
      </c>
      <c r="B346" s="585" t="s">
        <v>6488</v>
      </c>
      <c r="C346" s="586" t="s">
        <v>6488</v>
      </c>
      <c r="D346" s="586" t="s">
        <v>6615</v>
      </c>
      <c r="E346" s="586" t="s">
        <v>7178</v>
      </c>
      <c r="F346" s="581" t="str">
        <f t="shared" si="21"/>
        <v>346❸Koleno</v>
      </c>
      <c r="G346" s="582" t="str">
        <f t="shared" si="22"/>
        <v>'DICTIONARY-3'!$A$346</v>
      </c>
    </row>
    <row r="347" spans="1:7" x14ac:dyDescent="0.25">
      <c r="A347" s="508" t="str">
        <f>IF(CHOOSE(SET.LANGUAGE,'DICTIONARY-3'!B347,'DICTIONARY-3'!C347,'DICTIONARY-3'!D347,'DICTIONARY-3'!E347,'DICTIONARY-3'!F347)=0,("??? "&amp;"DICTIONARY-3/"&amp;"LINE"&amp;(ROW(A347))),CHOOSE(SET.LANGUAGE,'DICTIONARY-3'!B347,'DICTIONARY-3'!C347,'DICTIONARY-3'!D347,'DICTIONARY-3'!E347,'DICTIONARY-3'!F347))</f>
        <v>Kolano stopowe</v>
      </c>
      <c r="B347" s="585" t="s">
        <v>6489</v>
      </c>
      <c r="C347" s="586" t="s">
        <v>7543</v>
      </c>
      <c r="D347" s="586" t="s">
        <v>6616</v>
      </c>
      <c r="E347" s="586" t="s">
        <v>7179</v>
      </c>
      <c r="F347" s="581" t="str">
        <f t="shared" si="21"/>
        <v>347❸Patkové koleno</v>
      </c>
      <c r="G347" s="582" t="str">
        <f t="shared" si="22"/>
        <v>'DICTIONARY-3'!$A$347</v>
      </c>
    </row>
    <row r="348" spans="1:7" x14ac:dyDescent="0.25">
      <c r="A348" s="508" t="str">
        <f>IF(CHOOSE(SET.LANGUAGE,'DICTIONARY-3'!B348,'DICTIONARY-3'!C348,'DICTIONARY-3'!D348,'DICTIONARY-3'!E348,'DICTIONARY-3'!F348)=0,("??? "&amp;"DICTIONARY-3/"&amp;"LINE"&amp;(ROW(A348))),CHOOSE(SET.LANGUAGE,'DICTIONARY-3'!B348,'DICTIONARY-3'!C348,'DICTIONARY-3'!D348,'DICTIONARY-3'!E348,'DICTIONARY-3'!F348))</f>
        <v>Z pierścieniem blokującym</v>
      </c>
      <c r="B348" s="585" t="s">
        <v>6486</v>
      </c>
      <c r="C348" s="586" t="s">
        <v>7483</v>
      </c>
      <c r="D348" s="586" t="s">
        <v>6617</v>
      </c>
      <c r="E348" s="586" t="s">
        <v>7180</v>
      </c>
      <c r="F348" s="581" t="str">
        <f t="shared" si="21"/>
        <v>348❸S uzamykatelným prstencem</v>
      </c>
      <c r="G348" s="582" t="str">
        <f t="shared" si="22"/>
        <v>'DICTIONARY-3'!$A$348</v>
      </c>
    </row>
    <row r="349" spans="1:7" x14ac:dyDescent="0.25">
      <c r="A349" s="508" t="str">
        <f>IF(CHOOSE(SET.LANGUAGE,'DICTIONARY-3'!B349,'DICTIONARY-3'!C349,'DICTIONARY-3'!D349,'DICTIONARY-3'!E349,'DICTIONARY-3'!F349)=0,("??? "&amp;"DICTIONARY-3/"&amp;"LINE"&amp;(ROW(A349))),CHOOSE(SET.LANGUAGE,'DICTIONARY-3'!B349,'DICTIONARY-3'!C349,'DICTIONARY-3'!D349,'DICTIONARY-3'!E349,'DICTIONARY-3'!F349))</f>
        <v>Krzyżak</v>
      </c>
      <c r="B349" s="585" t="s">
        <v>6487</v>
      </c>
      <c r="C349" s="586" t="s">
        <v>7544</v>
      </c>
      <c r="D349" s="586" t="s">
        <v>6618</v>
      </c>
      <c r="E349" s="586" t="s">
        <v>7181</v>
      </c>
      <c r="F349" s="581" t="str">
        <f t="shared" si="21"/>
        <v>349❸Kříž</v>
      </c>
      <c r="G349" s="582" t="str">
        <f t="shared" si="22"/>
        <v>'DICTIONARY-3'!$A$349</v>
      </c>
    </row>
    <row r="350" spans="1:7" x14ac:dyDescent="0.25">
      <c r="A350" s="508" t="str">
        <f>IF(CHOOSE(SET.LANGUAGE,'DICTIONARY-3'!B350,'DICTIONARY-3'!C350,'DICTIONARY-3'!D350,'DICTIONARY-3'!E350,'DICTIONARY-3'!F350)=0,("??? "&amp;"DICTIONARY-3/"&amp;"LINE"&amp;(ROW(A350))),CHOOSE(SET.LANGUAGE,'DICTIONARY-3'!B350,'DICTIONARY-3'!C350,'DICTIONARY-3'!D350,'DICTIONARY-3'!E350,'DICTIONARY-3'!F350))</f>
        <v>Z napędem, przygotowana pod napęd</v>
      </c>
      <c r="B350" s="585" t="s">
        <v>6505</v>
      </c>
      <c r="C350" s="586" t="s">
        <v>7484</v>
      </c>
      <c r="D350" s="586" t="s">
        <v>6619</v>
      </c>
      <c r="E350" s="586" t="s">
        <v>7182</v>
      </c>
      <c r="F350" s="581" t="str">
        <f t="shared" si="21"/>
        <v>350❸S pohonem, pro pohon</v>
      </c>
      <c r="G350" s="582" t="str">
        <f t="shared" si="22"/>
        <v>'DICTIONARY-3'!$A$350</v>
      </c>
    </row>
    <row r="351" spans="1:7" x14ac:dyDescent="0.25">
      <c r="A351" s="508" t="str">
        <f>IF(CHOOSE(SET.LANGUAGE,'DICTIONARY-3'!B351,'DICTIONARY-3'!C351,'DICTIONARY-3'!D351,'DICTIONARY-3'!E351,'DICTIONARY-3'!F351)=0,("??? "&amp;"DICTIONARY-3/"&amp;"LINE"&amp;(ROW(A351))),CHOOSE(SET.LANGUAGE,'DICTIONARY-3'!B351,'DICTIONARY-3'!C351,'DICTIONARY-3'!D351,'DICTIONARY-3'!E351,'DICTIONARY-3'!F351))</f>
        <v>Montaż na rurze</v>
      </c>
      <c r="B351" s="585" t="s">
        <v>6818</v>
      </c>
      <c r="C351" s="586" t="s">
        <v>7485</v>
      </c>
      <c r="D351" s="586" t="s">
        <v>6817</v>
      </c>
      <c r="E351" s="586" t="s">
        <v>7154</v>
      </c>
      <c r="F351" s="581" t="str">
        <f t="shared" ref="F351" si="24">CONCATENATE(ROW(B351),"❸",B351)</f>
        <v>351❸Montáž na potrubí</v>
      </c>
      <c r="G351" s="582" t="str">
        <f t="shared" si="22"/>
        <v>'DICTIONARY-3'!$A$351</v>
      </c>
    </row>
    <row r="352" spans="1:7" x14ac:dyDescent="0.25">
      <c r="A352" s="508" t="str">
        <f>IF(CHOOSE(SET.LANGUAGE,'DICTIONARY-3'!B352,'DICTIONARY-3'!C352,'DICTIONARY-3'!D352,'DICTIONARY-3'!E352,'DICTIONARY-3'!F352)=0,("??? "&amp;"DICTIONARY-3/"&amp;"LINE"&amp;(ROW(A352))),CHOOSE(SET.LANGUAGE,'DICTIONARY-3'!B352,'DICTIONARY-3'!C352,'DICTIONARY-3'!D352,'DICTIONARY-3'!E352,'DICTIONARY-3'!F352))</f>
        <v>Przekładnia</v>
      </c>
      <c r="B352" s="690" t="s">
        <v>7936</v>
      </c>
      <c r="C352" s="586" t="s">
        <v>7937</v>
      </c>
      <c r="D352" s="586" t="s">
        <v>7938</v>
      </c>
      <c r="E352" s="586" t="s">
        <v>7939</v>
      </c>
      <c r="F352" s="581" t="str">
        <f t="shared" ref="F352" si="25">CONCATENATE(ROW(B352),"❸",B352)</f>
        <v>352❸Převodovka</v>
      </c>
      <c r="G352" s="582" t="str">
        <f t="shared" si="22"/>
        <v>'DICTIONARY-3'!$A$352</v>
      </c>
    </row>
  </sheetData>
  <sheetProtection algorithmName="SHA-512" hashValue="axXHrT830NuSUXxtVVBRoLgDGeAztWypZvj/C1D6TBFuANdCxxsTHZiY6WyjkWnY/G6Hlmi0js4vTWPP6KGIQg==" saltValue="wWHNwx6U4pRznWkPp2mE2Q==" spinCount="100000" sheet="1" objects="1" scenarios="1" autoFilter="0"/>
  <sortState xmlns:xlrd2="http://schemas.microsoft.com/office/spreadsheetml/2017/richdata2" ref="A257:E262">
    <sortCondition ref="B257:B262"/>
  </sortState>
  <conditionalFormatting sqref="A1">
    <cfRule type="expression" dxfId="20" priority="19">
      <formula>CODE(LEFT(A1,1))&gt;90</formula>
    </cfRule>
  </conditionalFormatting>
  <conditionalFormatting sqref="B1:E52 B54:E1048576">
    <cfRule type="containsBlanks" dxfId="19" priority="16">
      <formula>LEN(TRIM(B1))=0</formula>
    </cfRule>
  </conditionalFormatting>
  <conditionalFormatting sqref="B53:E53">
    <cfRule type="containsBlanks" dxfId="18" priority="1">
      <formula>LEN(TRIM(B53))=0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0F6E23"/>
  </sheetPr>
  <dimension ref="A1:K141"/>
  <sheetViews>
    <sheetView workbookViewId="0"/>
  </sheetViews>
  <sheetFormatPr defaultColWidth="9.140625" defaultRowHeight="15" x14ac:dyDescent="0.25"/>
  <cols>
    <col min="1" max="3" width="8.5703125" style="32" customWidth="1"/>
    <col min="4" max="5" width="22.140625" style="32" customWidth="1"/>
    <col min="6" max="7" width="12.85546875" style="32" customWidth="1"/>
    <col min="8" max="9" width="22.140625" style="32" customWidth="1"/>
    <col min="10" max="11" width="12.85546875" style="32" customWidth="1"/>
    <col min="12" max="16384" width="9.140625" style="32"/>
  </cols>
  <sheetData>
    <row r="1" spans="1:11" s="418" customFormat="1" ht="45" customHeight="1" thickBot="1" x14ac:dyDescent="0.3">
      <c r="A1" s="381"/>
      <c r="B1" s="381"/>
      <c r="C1" s="381"/>
      <c r="D1" s="381"/>
      <c r="E1" s="381"/>
    </row>
    <row r="2" spans="1:11" s="482" customFormat="1" ht="4.5" customHeight="1" x14ac:dyDescent="0.25">
      <c r="A2" s="479"/>
    </row>
    <row r="3" spans="1:11" ht="15.75" thickBot="1" x14ac:dyDescent="0.3">
      <c r="A3" s="33"/>
      <c r="B3" s="34"/>
      <c r="C3" s="34"/>
    </row>
    <row r="4" spans="1:11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11" x14ac:dyDescent="0.25">
      <c r="A5" s="33"/>
      <c r="B5" s="34"/>
      <c r="C5" s="34"/>
    </row>
    <row r="6" spans="1:11" ht="16.5" thickBot="1" x14ac:dyDescent="0.3">
      <c r="A6" s="81" t="str">
        <f>CONCATENATE('DICTIONARY-3'!$A$11," ",'DICTIONARY-3'!$A$189," / ",'DICTIONARY-3'!$A$248)</f>
        <v>ZETA Zasuwa nożowa / Przygotowana pod napęd elektryczny</v>
      </c>
      <c r="B6" s="91"/>
      <c r="C6" s="91"/>
      <c r="D6" s="91"/>
      <c r="E6" s="91"/>
      <c r="F6" s="91"/>
      <c r="G6" s="91"/>
      <c r="H6" s="91"/>
      <c r="I6" s="91"/>
      <c r="J6" s="91"/>
      <c r="K6" s="91"/>
    </row>
    <row r="7" spans="1:11" x14ac:dyDescent="0.25">
      <c r="A7" s="36" t="str">
        <f>CONCATENATE('DICTIONARY-1'!$A$10,": ",SETTINGS!$C$22)</f>
        <v>Grupa rabatowa: ZETA</v>
      </c>
    </row>
    <row r="8" spans="1:11" x14ac:dyDescent="0.25">
      <c r="A8" s="35"/>
      <c r="B8" s="35"/>
      <c r="C8" s="30"/>
      <c r="D8" s="30"/>
      <c r="E8" s="30"/>
      <c r="F8" s="31"/>
      <c r="G8" s="31"/>
    </row>
    <row r="9" spans="1:11" x14ac:dyDescent="0.25">
      <c r="A9" s="38" t="str">
        <f>'DICTIONARY-2'!$A$2</f>
        <v>DN</v>
      </c>
      <c r="B9" s="38" t="str">
        <f>'DICTIONARY-2'!$A$3</f>
        <v>PN</v>
      </c>
      <c r="C9" s="38" t="str">
        <f>'DICTIONARY-2'!$A$24</f>
        <v>L</v>
      </c>
      <c r="D9" s="960" t="str">
        <f>'DICTIONARY-3'!$A$11</f>
        <v>ZETA</v>
      </c>
      <c r="E9" s="960"/>
      <c r="F9" s="960"/>
      <c r="G9" s="960"/>
      <c r="H9" s="960" t="str">
        <f>'DICTIONARY-3'!$A$11</f>
        <v>ZETA</v>
      </c>
      <c r="I9" s="960"/>
      <c r="J9" s="960"/>
      <c r="K9" s="960"/>
    </row>
    <row r="10" spans="1:11" x14ac:dyDescent="0.25">
      <c r="A10" s="57"/>
      <c r="B10" s="57"/>
      <c r="C10" s="57"/>
      <c r="D10" s="961" t="str">
        <f>'DICTIONARY-5'!$A$93&amp;": "&amp;'DICTIONARY-5'!$A$32&amp;" "&amp;'DICTIONARY-5'!$A$34</f>
        <v>płyta zasuwowa: stal nierdzewna A2</v>
      </c>
      <c r="E10" s="961"/>
      <c r="F10" s="961"/>
      <c r="G10" s="961"/>
      <c r="H10" s="961" t="str">
        <f>'DICTIONARY-5'!$A$93&amp;": "&amp;'DICTIONARY-5'!$A$32&amp;" "&amp;'DICTIONARY-5'!$A$35</f>
        <v>płyta zasuwowa: stal nierdzewna A4</v>
      </c>
      <c r="I10" s="961"/>
      <c r="J10" s="961"/>
      <c r="K10" s="961"/>
    </row>
    <row r="11" spans="1:11" ht="15" customHeight="1" x14ac:dyDescent="0.25">
      <c r="A11" s="39"/>
      <c r="B11" s="39"/>
      <c r="C11" s="702" t="str">
        <f>'DICTIONARY-2'!$A$18</f>
        <v>[mm]</v>
      </c>
      <c r="D11" s="40" t="str">
        <f>'DICTIONARY-2'!$A$28</f>
        <v>stary nr zamówienia</v>
      </c>
      <c r="E11" s="40" t="str">
        <f>'DICTIONARY-2'!$A$29</f>
        <v>nowy nr zamówienia</v>
      </c>
      <c r="F11" s="41" t="str">
        <f>CURRENCY.CODE_1</f>
        <v>EUR</v>
      </c>
      <c r="G11" s="41" t="str">
        <f>CURRENCY.CODE_2</f>
        <v>---</v>
      </c>
      <c r="H11" s="40" t="str">
        <f>'DICTIONARY-2'!$A$28</f>
        <v>stary nr zamówienia</v>
      </c>
      <c r="I11" s="40" t="str">
        <f>'DICTIONARY-2'!$A$29</f>
        <v>nowy nr zamówienia</v>
      </c>
      <c r="J11" s="41" t="str">
        <f>CURRENCY.CODE_1</f>
        <v>EUR</v>
      </c>
      <c r="K11" s="41" t="str">
        <f>CURRENCY.CODE_2</f>
        <v>---</v>
      </c>
    </row>
    <row r="12" spans="1:11" x14ac:dyDescent="0.25">
      <c r="A12" s="42">
        <v>50</v>
      </c>
      <c r="B12" s="42">
        <v>10</v>
      </c>
      <c r="C12" s="42">
        <v>43</v>
      </c>
      <c r="D12" s="42"/>
      <c r="E12" s="329"/>
      <c r="F12" s="43"/>
      <c r="G12" s="43"/>
      <c r="H12" s="42" t="s">
        <v>546</v>
      </c>
      <c r="I12" s="329" t="s">
        <v>3185</v>
      </c>
      <c r="J12" s="339" t="str">
        <f>IFERROR(IF(OR(I12='DICTIONARY-5'!$A$2,I12='DICTIONARY-5'!$A$4,ISBLANK(I12)),VLOOKUP(H12,LIST!$A$6:$L$3250,CURR_1.SEARCH.OLD,0),VLOOKUP(I12,LIST!$B$6:$L$3250,CURR_1.SEARCH.NEW,0)),'DICTIONARY-5'!$A$2)</f>
        <v>296,-</v>
      </c>
      <c r="K12" s="339" t="str">
        <f>IFERROR(IF(OR(I12='DICTIONARY-5'!$A$2,I12='DICTIONARY-5'!$A$4,ISBLANK(I12)),VLOOKUP(H12,LIST!$A$6:$M$3250,CURR_2.SEARCH.OLD,0),VLOOKUP(I12,LIST!$B$6:$M$3250,CURR_2.SEARCH.NEW,0)),'DICTIONARY-5'!$A$2)</f>
        <v/>
      </c>
    </row>
    <row r="13" spans="1:11" x14ac:dyDescent="0.25">
      <c r="A13" s="42">
        <v>65</v>
      </c>
      <c r="B13" s="42">
        <v>10</v>
      </c>
      <c r="C13" s="42">
        <v>46</v>
      </c>
      <c r="D13" s="42"/>
      <c r="E13" s="329"/>
      <c r="F13" s="43"/>
      <c r="G13" s="43"/>
      <c r="H13" s="42" t="s">
        <v>547</v>
      </c>
      <c r="I13" s="329" t="s">
        <v>3186</v>
      </c>
      <c r="J13" s="339" t="str">
        <f>IFERROR(IF(OR(I13='DICTIONARY-5'!$A$2,I13='DICTIONARY-5'!$A$4,ISBLANK(I13)),VLOOKUP(H13,LIST!$A$6:$L$3250,CURR_1.SEARCH.OLD,0),VLOOKUP(I13,LIST!$B$6:$L$3250,CURR_1.SEARCH.NEW,0)),'DICTIONARY-5'!$A$2)</f>
        <v>303,-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42">
        <v>80</v>
      </c>
      <c r="B14" s="42">
        <v>10</v>
      </c>
      <c r="C14" s="42">
        <v>46</v>
      </c>
      <c r="D14" s="42"/>
      <c r="E14" s="329"/>
      <c r="F14" s="43"/>
      <c r="G14" s="43"/>
      <c r="H14" s="42" t="s">
        <v>548</v>
      </c>
      <c r="I14" s="329" t="s">
        <v>3187</v>
      </c>
      <c r="J14" s="339" t="str">
        <f>IFERROR(IF(OR(I14='DICTIONARY-5'!$A$2,I14='DICTIONARY-5'!$A$4,ISBLANK(I14)),VLOOKUP(H14,LIST!$A$6:$L$3250,CURR_1.SEARCH.OLD,0),VLOOKUP(I14,LIST!$B$6:$L$3250,CURR_1.SEARCH.NEW,0)),'DICTIONARY-5'!$A$2)</f>
        <v>343,-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42">
        <v>100</v>
      </c>
      <c r="B15" s="42">
        <v>10</v>
      </c>
      <c r="C15" s="42">
        <v>52</v>
      </c>
      <c r="D15" s="42"/>
      <c r="E15" s="329"/>
      <c r="F15" s="43"/>
      <c r="G15" s="43"/>
      <c r="H15" s="42" t="s">
        <v>549</v>
      </c>
      <c r="I15" s="329" t="s">
        <v>3188</v>
      </c>
      <c r="J15" s="339" t="str">
        <f>IFERROR(IF(OR(I15='DICTIONARY-5'!$A$2,I15='DICTIONARY-5'!$A$4,ISBLANK(I15)),VLOOKUP(H15,LIST!$A$6:$L$3250,CURR_1.SEARCH.OLD,0),VLOOKUP(I15,LIST!$B$6:$L$3250,CURR_1.SEARCH.NEW,0)),'DICTIONARY-5'!$A$2)</f>
        <v>378,-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42">
        <v>125</v>
      </c>
      <c r="B16" s="42">
        <v>10</v>
      </c>
      <c r="C16" s="42">
        <v>56</v>
      </c>
      <c r="D16" s="42"/>
      <c r="E16" s="329"/>
      <c r="F16" s="43"/>
      <c r="G16" s="43"/>
      <c r="H16" s="42" t="s">
        <v>550</v>
      </c>
      <c r="I16" s="329" t="s">
        <v>3189</v>
      </c>
      <c r="J16" s="339" t="str">
        <f>IFERROR(IF(OR(I16='DICTIONARY-5'!$A$2,I16='DICTIONARY-5'!$A$4,ISBLANK(I16)),VLOOKUP(H16,LIST!$A$6:$L$3250,CURR_1.SEARCH.OLD,0),VLOOKUP(I16,LIST!$B$6:$L$3250,CURR_1.SEARCH.NEW,0)),'DICTIONARY-5'!$A$2)</f>
        <v>422,-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42">
        <v>150</v>
      </c>
      <c r="B17" s="42">
        <v>10</v>
      </c>
      <c r="C17" s="42">
        <v>56</v>
      </c>
      <c r="D17" s="42"/>
      <c r="E17" s="329"/>
      <c r="F17" s="43"/>
      <c r="G17" s="43"/>
      <c r="H17" s="42" t="s">
        <v>551</v>
      </c>
      <c r="I17" s="329" t="s">
        <v>3190</v>
      </c>
      <c r="J17" s="339" t="str">
        <f>IFERROR(IF(OR(I17='DICTIONARY-5'!$A$2,I17='DICTIONARY-5'!$A$4,ISBLANK(I17)),VLOOKUP(H17,LIST!$A$6:$L$3250,CURR_1.SEARCH.OLD,0),VLOOKUP(I17,LIST!$B$6:$L$3250,CURR_1.SEARCH.NEW,0)),'DICTIONARY-5'!$A$2)</f>
        <v>539,-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42">
        <v>200</v>
      </c>
      <c r="B18" s="42">
        <v>10</v>
      </c>
      <c r="C18" s="42">
        <v>60</v>
      </c>
      <c r="D18" s="42" t="s">
        <v>552</v>
      </c>
      <c r="E18" s="329" t="s">
        <v>3172</v>
      </c>
      <c r="F18" s="339" t="str">
        <f>IFERROR(IF(OR(E18='DICTIONARY-5'!$A$2,E18='DICTIONARY-5'!$A$4,ISBLANK(E18)),VLOOKUP(D18,LIST!$A$6:$L$3250,CURR_1.SEARCH.OLD,0),VLOOKUP(E18,LIST!$B$6:$L$3250,CURR_1.SEARCH.NEW,0)),'DICTIONARY-5'!$A$2)</f>
        <v>685,-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42" t="s">
        <v>559</v>
      </c>
      <c r="I18" s="329" t="s">
        <v>3191</v>
      </c>
      <c r="J18" s="339" t="str">
        <f>IFERROR(IF(OR(I18='DICTIONARY-5'!$A$2,I18='DICTIONARY-5'!$A$4,ISBLANK(I18)),VLOOKUP(H18,LIST!$A$6:$L$3250,CURR_1.SEARCH.OLD,0),VLOOKUP(I18,LIST!$B$6:$L$3250,CURR_1.SEARCH.NEW,0)),'DICTIONARY-5'!$A$2)</f>
        <v>710,-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42">
        <v>250</v>
      </c>
      <c r="B19" s="42">
        <v>10</v>
      </c>
      <c r="C19" s="42">
        <v>68</v>
      </c>
      <c r="D19" s="42" t="s">
        <v>553</v>
      </c>
      <c r="E19" s="329" t="s">
        <v>3173</v>
      </c>
      <c r="F19" s="339" t="str">
        <f>IFERROR(IF(OR(E19='DICTIONARY-5'!$A$2,E19='DICTIONARY-5'!$A$4,ISBLANK(E19)),VLOOKUP(D19,LIST!$A$6:$L$3250,CURR_1.SEARCH.OLD,0),VLOOKUP(E19,LIST!$B$6:$L$3250,CURR_1.SEARCH.NEW,0)),'DICTIONARY-5'!$A$2)</f>
        <v>1 051,-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42" t="s">
        <v>560</v>
      </c>
      <c r="I19" s="329" t="s">
        <v>3192</v>
      </c>
      <c r="J19" s="339" t="str">
        <f>IFERROR(IF(OR(I19='DICTIONARY-5'!$A$2,I19='DICTIONARY-5'!$A$4,ISBLANK(I19)),VLOOKUP(H19,LIST!$A$6:$L$3250,CURR_1.SEARCH.OLD,0),VLOOKUP(I19,LIST!$B$6:$L$3250,CURR_1.SEARCH.NEW,0)),'DICTIONARY-5'!$A$2)</f>
        <v>1 123,-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42">
        <v>300</v>
      </c>
      <c r="B20" s="42">
        <v>10</v>
      </c>
      <c r="C20" s="42">
        <v>78</v>
      </c>
      <c r="D20" s="42" t="s">
        <v>554</v>
      </c>
      <c r="E20" s="329" t="s">
        <v>3174</v>
      </c>
      <c r="F20" s="339" t="str">
        <f>IFERROR(IF(OR(E20='DICTIONARY-5'!$A$2,E20='DICTIONARY-5'!$A$4,ISBLANK(E20)),VLOOKUP(D20,LIST!$A$6:$L$3250,CURR_1.SEARCH.OLD,0),VLOOKUP(E20,LIST!$B$6:$L$3250,CURR_1.SEARCH.NEW,0)),'DICTIONARY-5'!$A$2)</f>
        <v>1 245,-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42" t="s">
        <v>561</v>
      </c>
      <c r="I20" s="329" t="s">
        <v>3193</v>
      </c>
      <c r="J20" s="339" t="str">
        <f>IFERROR(IF(OR(I20='DICTIONARY-5'!$A$2,I20='DICTIONARY-5'!$A$4,ISBLANK(I20)),VLOOKUP(H20,LIST!$A$6:$L$3250,CURR_1.SEARCH.OLD,0),VLOOKUP(I20,LIST!$B$6:$L$3250,CURR_1.SEARCH.NEW,0)),'DICTIONARY-5'!$A$2)</f>
        <v>1 347,-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A21" s="42">
        <v>350</v>
      </c>
      <c r="B21" s="42">
        <v>10</v>
      </c>
      <c r="C21" s="42">
        <v>78</v>
      </c>
      <c r="D21" s="42" t="s">
        <v>555</v>
      </c>
      <c r="E21" s="329" t="s">
        <v>3175</v>
      </c>
      <c r="F21" s="339" t="str">
        <f>IFERROR(IF(OR(E21='DICTIONARY-5'!$A$2,E21='DICTIONARY-5'!$A$4,ISBLANK(E21)),VLOOKUP(D21,LIST!$A$6:$L$3250,CURR_1.SEARCH.OLD,0),VLOOKUP(E21,LIST!$B$6:$L$3250,CURR_1.SEARCH.NEW,0)),'DICTIONARY-5'!$A$2)</f>
        <v>1 657,-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42" t="s">
        <v>562</v>
      </c>
      <c r="I21" s="329" t="s">
        <v>3194</v>
      </c>
      <c r="J21" s="339" t="str">
        <f>IFERROR(IF(OR(I21='DICTIONARY-5'!$A$2,I21='DICTIONARY-5'!$A$4,ISBLANK(I21)),VLOOKUP(H21,LIST!$A$6:$L$3250,CURR_1.SEARCH.OLD,0),VLOOKUP(I21,LIST!$B$6:$L$3250,CURR_1.SEARCH.NEW,0)),'DICTIONARY-5'!$A$2)</f>
        <v>1 898,-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2" spans="1:11" x14ac:dyDescent="0.25">
      <c r="A22" s="42">
        <v>400</v>
      </c>
      <c r="B22" s="42">
        <v>10</v>
      </c>
      <c r="C22" s="42">
        <v>102</v>
      </c>
      <c r="D22" s="42" t="s">
        <v>556</v>
      </c>
      <c r="E22" s="329" t="s">
        <v>3176</v>
      </c>
      <c r="F22" s="339" t="str">
        <f>IFERROR(IF(OR(E22='DICTIONARY-5'!$A$2,E22='DICTIONARY-5'!$A$4,ISBLANK(E22)),VLOOKUP(D22,LIST!$A$6:$L$3250,CURR_1.SEARCH.OLD,0),VLOOKUP(E22,LIST!$B$6:$L$3250,CURR_1.SEARCH.NEW,0)),'DICTIONARY-5'!$A$2)</f>
        <v>2 318,-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42" t="s">
        <v>563</v>
      </c>
      <c r="I22" s="329" t="s">
        <v>3195</v>
      </c>
      <c r="J22" s="339" t="str">
        <f>IFERROR(IF(OR(I22='DICTIONARY-5'!$A$2,I22='DICTIONARY-5'!$A$4,ISBLANK(I22)),VLOOKUP(H22,LIST!$A$6:$L$3250,CURR_1.SEARCH.OLD,0),VLOOKUP(I22,LIST!$B$6:$L$3250,CURR_1.SEARCH.NEW,0)),'DICTIONARY-5'!$A$2)</f>
        <v>2 612,-</v>
      </c>
      <c r="K22" s="339" t="str">
        <f>IFERROR(IF(OR(I22='DICTIONARY-5'!$A$2,I22='DICTIONARY-5'!$A$4,ISBLANK(I22)),VLOOKUP(H22,LIST!$A$6:$M$3250,CURR_2.SEARCH.OLD,0),VLOOKUP(I22,LIST!$B$6:$M$3250,CURR_2.SEARCH.NEW,0)),'DICTIONARY-5'!$A$2)</f>
        <v/>
      </c>
    </row>
    <row r="23" spans="1:11" x14ac:dyDescent="0.25">
      <c r="A23" s="42">
        <v>500</v>
      </c>
      <c r="B23" s="42">
        <v>10</v>
      </c>
      <c r="C23" s="42">
        <v>127</v>
      </c>
      <c r="D23" s="42" t="s">
        <v>557</v>
      </c>
      <c r="E23" s="329" t="s">
        <v>3177</v>
      </c>
      <c r="F23" s="339" t="str">
        <f>IFERROR(IF(OR(E23='DICTIONARY-5'!$A$2,E23='DICTIONARY-5'!$A$4,ISBLANK(E23)),VLOOKUP(D23,LIST!$A$6:$L$3250,CURR_1.SEARCH.OLD,0),VLOOKUP(E23,LIST!$B$6:$L$3250,CURR_1.SEARCH.NEW,0)),'DICTIONARY-5'!$A$2)</f>
        <v>4 471,-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42" t="s">
        <v>564</v>
      </c>
      <c r="I23" s="329" t="s">
        <v>3196</v>
      </c>
      <c r="J23" s="339" t="str">
        <f>IFERROR(IF(OR(I23='DICTIONARY-5'!$A$2,I23='DICTIONARY-5'!$A$4,ISBLANK(I23)),VLOOKUP(H23,LIST!$A$6:$L$3250,CURR_1.SEARCH.OLD,0),VLOOKUP(I23,LIST!$B$6:$L$3250,CURR_1.SEARCH.NEW,0)),'DICTIONARY-5'!$A$2)</f>
        <v>5 164,-</v>
      </c>
      <c r="K23" s="339" t="str">
        <f>IFERROR(IF(OR(I23='DICTIONARY-5'!$A$2,I23='DICTIONARY-5'!$A$4,ISBLANK(I23)),VLOOKUP(H23,LIST!$A$6:$M$3250,CURR_2.SEARCH.OLD,0),VLOOKUP(I23,LIST!$B$6:$M$3250,CURR_2.SEARCH.NEW,0)),'DICTIONARY-5'!$A$2)</f>
        <v/>
      </c>
    </row>
    <row r="24" spans="1:11" x14ac:dyDescent="0.25">
      <c r="A24" s="42">
        <v>600</v>
      </c>
      <c r="B24" s="42">
        <v>10</v>
      </c>
      <c r="C24" s="42">
        <v>154</v>
      </c>
      <c r="D24" s="42" t="s">
        <v>558</v>
      </c>
      <c r="E24" s="329" t="s">
        <v>3178</v>
      </c>
      <c r="F24" s="339" t="str">
        <f>IFERROR(IF(OR(E24='DICTIONARY-5'!$A$2,E24='DICTIONARY-5'!$A$4,ISBLANK(E24)),VLOOKUP(D24,LIST!$A$6:$L$3250,CURR_1.SEARCH.OLD,0),VLOOKUP(E24,LIST!$B$6:$L$3250,CURR_1.SEARCH.NEW,0)),'DICTIONARY-5'!$A$2)</f>
        <v>6 293,-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42" t="s">
        <v>565</v>
      </c>
      <c r="I24" s="329" t="s">
        <v>3197</v>
      </c>
      <c r="J24" s="339" t="str">
        <f>IFERROR(IF(OR(I24='DICTIONARY-5'!$A$2,I24='DICTIONARY-5'!$A$4,ISBLANK(I24)),VLOOKUP(H24,LIST!$A$6:$L$3250,CURR_1.SEARCH.OLD,0),VLOOKUP(I24,LIST!$B$6:$L$3250,CURR_1.SEARCH.NEW,0)),'DICTIONARY-5'!$A$2)</f>
        <v>7 011,-</v>
      </c>
      <c r="K24" s="339" t="str">
        <f>IFERROR(IF(OR(I24='DICTIONARY-5'!$A$2,I24='DICTIONARY-5'!$A$4,ISBLANK(I24)),VLOOKUP(H24,LIST!$A$6:$M$3250,CURR_2.SEARCH.OLD,0),VLOOKUP(I24,LIST!$B$6:$M$3250,CURR_2.SEARCH.NEW,0)),'DICTIONARY-5'!$A$2)</f>
        <v/>
      </c>
    </row>
    <row r="26" spans="1:11" x14ac:dyDescent="0.25">
      <c r="A26" s="32" t="str">
        <f>'DICTIONARY-5'!$A$3&amp;"DN 700 ... 1400"</f>
        <v>Na zapytanie: DN 700 ... 1400</v>
      </c>
    </row>
    <row r="30" spans="1:11" ht="16.5" thickBot="1" x14ac:dyDescent="0.3">
      <c r="A30" s="81" t="str">
        <f>CONCATENATE('DICTIONARY-3'!$A$11," ",'DICTIONARY-3'!$A$189," / ",'DICTIONARY-3'!$A$249," AUMA")</f>
        <v>ZETA Zasuwa nożowa / Z napędem elektrycznym AUMA</v>
      </c>
      <c r="B30" s="91"/>
      <c r="C30" s="91"/>
      <c r="D30" s="91"/>
      <c r="E30" s="91"/>
      <c r="F30" s="81"/>
      <c r="G30" s="91"/>
      <c r="H30" s="91"/>
      <c r="I30" s="91"/>
      <c r="J30" s="91"/>
      <c r="K30" s="91"/>
    </row>
    <row r="31" spans="1:11" x14ac:dyDescent="0.25">
      <c r="A31" s="36" t="str">
        <f>CONCATENATE('DICTIONARY-1'!$A$10,": ",SETTINGS!$C$24)</f>
        <v>Grupa rabatowa: ZETA (with E-Actuator)</v>
      </c>
    </row>
    <row r="32" spans="1:11" x14ac:dyDescent="0.25">
      <c r="A32" s="35"/>
      <c r="B32" s="35"/>
      <c r="C32" s="30"/>
      <c r="D32" s="30"/>
      <c r="E32" s="30"/>
    </row>
    <row r="33" spans="1:11" x14ac:dyDescent="0.25">
      <c r="A33" s="38" t="str">
        <f>'DICTIONARY-2'!$A$2</f>
        <v>DN</v>
      </c>
      <c r="B33" s="38" t="str">
        <f>'DICTIONARY-2'!$A$3</f>
        <v>PN</v>
      </c>
      <c r="C33" s="38" t="str">
        <f>'DICTIONARY-2'!$A$24</f>
        <v>L</v>
      </c>
      <c r="D33" s="960" t="str">
        <f>'DICTIONARY-3'!$A$11&amp;" + AUMA"</f>
        <v>ZETA + AUMA</v>
      </c>
      <c r="E33" s="960"/>
      <c r="F33" s="960"/>
      <c r="G33" s="960"/>
      <c r="H33" s="960" t="str">
        <f>'DICTIONARY-3'!$A$11&amp;" + AUMA"</f>
        <v>ZETA + AUMA</v>
      </c>
      <c r="I33" s="960"/>
      <c r="J33" s="960"/>
      <c r="K33" s="960"/>
    </row>
    <row r="34" spans="1:11" x14ac:dyDescent="0.25">
      <c r="A34" s="57"/>
      <c r="B34" s="57"/>
      <c r="C34" s="57"/>
      <c r="D34" s="961" t="str">
        <f>'DICTIONARY-5'!$A$93&amp;": "&amp;'DICTIONARY-5'!$A$32&amp;" "&amp;'DICTIONARY-5'!$A$34</f>
        <v>płyta zasuwowa: stal nierdzewna A2</v>
      </c>
      <c r="E34" s="961"/>
      <c r="F34" s="961"/>
      <c r="G34" s="961"/>
      <c r="H34" s="961" t="str">
        <f>'DICTIONARY-5'!$A$93&amp;": "&amp;'DICTIONARY-5'!$A$32&amp;" "&amp;'DICTIONARY-5'!$A$35</f>
        <v>płyta zasuwowa: stal nierdzewna A4</v>
      </c>
      <c r="I34" s="961"/>
      <c r="J34" s="961"/>
      <c r="K34" s="961"/>
    </row>
    <row r="35" spans="1:11" x14ac:dyDescent="0.25">
      <c r="A35" s="39"/>
      <c r="B35" s="39"/>
      <c r="C35" s="702" t="str">
        <f>'DICTIONARY-2'!$A$18</f>
        <v>[mm]</v>
      </c>
      <c r="D35" s="40" t="str">
        <f>'DICTIONARY-2'!$A$28</f>
        <v>stary nr zamówienia</v>
      </c>
      <c r="E35" s="40" t="str">
        <f>'DICTIONARY-2'!$A$29</f>
        <v>nowy nr zamówienia</v>
      </c>
      <c r="F35" s="41" t="str">
        <f>CURRENCY.CODE_1</f>
        <v>EUR</v>
      </c>
      <c r="G35" s="41" t="str">
        <f>CURRENCY.CODE_2</f>
        <v>---</v>
      </c>
      <c r="H35" s="40" t="str">
        <f>'DICTIONARY-2'!$A$28</f>
        <v>stary nr zamówienia</v>
      </c>
      <c r="I35" s="40" t="str">
        <f>'DICTIONARY-2'!$A$29</f>
        <v>nowy nr zamówienia</v>
      </c>
      <c r="J35" s="41" t="str">
        <f>CURRENCY.CODE_1</f>
        <v>EUR</v>
      </c>
      <c r="K35" s="41" t="str">
        <f>CURRENCY.CODE_2</f>
        <v>---</v>
      </c>
    </row>
    <row r="36" spans="1:11" x14ac:dyDescent="0.25">
      <c r="A36" s="42">
        <v>50</v>
      </c>
      <c r="B36" s="42">
        <v>10</v>
      </c>
      <c r="C36" s="42">
        <v>43</v>
      </c>
      <c r="D36" s="344"/>
      <c r="E36" s="343"/>
      <c r="F36" s="974"/>
      <c r="G36" s="975"/>
      <c r="H36" s="344" t="s">
        <v>5057</v>
      </c>
      <c r="I36" s="343" t="s">
        <v>5037</v>
      </c>
      <c r="J36" s="339" t="str">
        <f>IFERROR(IF(OR(I36='DICTIONARY-5'!$A$2,I36='DICTIONARY-5'!$A$4,ISBLANK(I36)),VLOOKUP(H36,LIST!$A$6:$L$3250,CURR_1.SEARCH.OLD,0),VLOOKUP(I36,LIST!$B$6:$L$3250,CURR_1.SEARCH.NEW,0)),'DICTIONARY-5'!$A$2)</f>
        <v>2 653,-</v>
      </c>
      <c r="K36" s="339" t="str">
        <f>IFERROR(IF(OR(I36='DICTIONARY-5'!$A$2,I36='DICTIONARY-5'!$A$4,ISBLANK(I36)),VLOOKUP(H36,LIST!$A$6:$M$3250,CURR_2.SEARCH.OLD,0),VLOOKUP(I36,LIST!$B$6:$M$3250,CURR_2.SEARCH.NEW,0)),'DICTIONARY-5'!$A$2)</f>
        <v/>
      </c>
    </row>
    <row r="37" spans="1:11" x14ac:dyDescent="0.25">
      <c r="A37" s="42">
        <v>65</v>
      </c>
      <c r="B37" s="42">
        <v>10</v>
      </c>
      <c r="C37" s="42">
        <v>46</v>
      </c>
      <c r="D37" s="344"/>
      <c r="E37" s="343"/>
      <c r="F37" s="974"/>
      <c r="G37" s="975"/>
      <c r="H37" s="344" t="s">
        <v>5058</v>
      </c>
      <c r="I37" s="343" t="s">
        <v>5038</v>
      </c>
      <c r="J37" s="339" t="str">
        <f>IFERROR(IF(OR(I37='DICTIONARY-5'!$A$2,I37='DICTIONARY-5'!$A$4,ISBLANK(I37)),VLOOKUP(H37,LIST!$A$6:$L$3250,CURR_1.SEARCH.OLD,0),VLOOKUP(I37,LIST!$B$6:$L$3250,CURR_1.SEARCH.NEW,0)),'DICTIONARY-5'!$A$2)</f>
        <v>2 660,-</v>
      </c>
      <c r="K37" s="339" t="str">
        <f>IFERROR(IF(OR(I37='DICTIONARY-5'!$A$2,I37='DICTIONARY-5'!$A$4,ISBLANK(I37)),VLOOKUP(H37,LIST!$A$6:$M$3250,CURR_2.SEARCH.OLD,0),VLOOKUP(I37,LIST!$B$6:$M$3250,CURR_2.SEARCH.NEW,0)),'DICTIONARY-5'!$A$2)</f>
        <v/>
      </c>
    </row>
    <row r="38" spans="1:11" x14ac:dyDescent="0.25">
      <c r="A38" s="42">
        <v>80</v>
      </c>
      <c r="B38" s="42">
        <v>10</v>
      </c>
      <c r="C38" s="42">
        <v>46</v>
      </c>
      <c r="D38" s="344"/>
      <c r="E38" s="343"/>
      <c r="F38" s="974"/>
      <c r="G38" s="975"/>
      <c r="H38" s="344" t="s">
        <v>5059</v>
      </c>
      <c r="I38" s="343" t="s">
        <v>5039</v>
      </c>
      <c r="J38" s="339" t="str">
        <f>IFERROR(IF(OR(I38='DICTIONARY-5'!$A$2,I38='DICTIONARY-5'!$A$4,ISBLANK(I38)),VLOOKUP(H38,LIST!$A$6:$L$3250,CURR_1.SEARCH.OLD,0),VLOOKUP(I38,LIST!$B$6:$L$3250,CURR_1.SEARCH.NEW,0)),'DICTIONARY-5'!$A$2)</f>
        <v>2 701,-</v>
      </c>
      <c r="K38" s="339" t="str">
        <f>IFERROR(IF(OR(I38='DICTIONARY-5'!$A$2,I38='DICTIONARY-5'!$A$4,ISBLANK(I38)),VLOOKUP(H38,LIST!$A$6:$M$3250,CURR_2.SEARCH.OLD,0),VLOOKUP(I38,LIST!$B$6:$M$3250,CURR_2.SEARCH.NEW,0)),'DICTIONARY-5'!$A$2)</f>
        <v/>
      </c>
    </row>
    <row r="39" spans="1:11" x14ac:dyDescent="0.25">
      <c r="A39" s="42">
        <v>100</v>
      </c>
      <c r="B39" s="42">
        <v>10</v>
      </c>
      <c r="C39" s="42">
        <v>52</v>
      </c>
      <c r="D39" s="344"/>
      <c r="E39" s="343"/>
      <c r="F39" s="974"/>
      <c r="G39" s="975"/>
      <c r="H39" s="344" t="s">
        <v>5060</v>
      </c>
      <c r="I39" s="343" t="s">
        <v>5040</v>
      </c>
      <c r="J39" s="339" t="str">
        <f>IFERROR(IF(OR(I39='DICTIONARY-5'!$A$2,I39='DICTIONARY-5'!$A$4,ISBLANK(I39)),VLOOKUP(H39,LIST!$A$6:$L$3250,CURR_1.SEARCH.OLD,0),VLOOKUP(I39,LIST!$B$6:$L$3250,CURR_1.SEARCH.NEW,0)),'DICTIONARY-5'!$A$2)</f>
        <v>2 720,-</v>
      </c>
      <c r="K39" s="339" t="str">
        <f>IFERROR(IF(OR(I39='DICTIONARY-5'!$A$2,I39='DICTIONARY-5'!$A$4,ISBLANK(I39)),VLOOKUP(H39,LIST!$A$6:$M$3250,CURR_2.SEARCH.OLD,0),VLOOKUP(I39,LIST!$B$6:$M$3250,CURR_2.SEARCH.NEW,0)),'DICTIONARY-5'!$A$2)</f>
        <v/>
      </c>
    </row>
    <row r="40" spans="1:11" x14ac:dyDescent="0.25">
      <c r="A40" s="42">
        <v>125</v>
      </c>
      <c r="B40" s="42">
        <v>10</v>
      </c>
      <c r="C40" s="42">
        <v>56</v>
      </c>
      <c r="D40" s="344"/>
      <c r="E40" s="343"/>
      <c r="F40" s="974"/>
      <c r="G40" s="975"/>
      <c r="H40" s="344" t="s">
        <v>5061</v>
      </c>
      <c r="I40" s="343" t="s">
        <v>5041</v>
      </c>
      <c r="J40" s="339" t="str">
        <f>IFERROR(IF(OR(I40='DICTIONARY-5'!$A$2,I40='DICTIONARY-5'!$A$4,ISBLANK(I40)),VLOOKUP(H40,LIST!$A$6:$L$3250,CURR_1.SEARCH.OLD,0),VLOOKUP(I40,LIST!$B$6:$L$3250,CURR_1.SEARCH.NEW,0)),'DICTIONARY-5'!$A$2)</f>
        <v>2 795,-</v>
      </c>
      <c r="K40" s="339" t="str">
        <f>IFERROR(IF(OR(I40='DICTIONARY-5'!$A$2,I40='DICTIONARY-5'!$A$4,ISBLANK(I40)),VLOOKUP(H40,LIST!$A$6:$M$3250,CURR_2.SEARCH.OLD,0),VLOOKUP(I40,LIST!$B$6:$M$3250,CURR_2.SEARCH.NEW,0)),'DICTIONARY-5'!$A$2)</f>
        <v/>
      </c>
    </row>
    <row r="41" spans="1:11" x14ac:dyDescent="0.25">
      <c r="A41" s="42">
        <v>150</v>
      </c>
      <c r="B41" s="42">
        <v>10</v>
      </c>
      <c r="C41" s="42">
        <v>56</v>
      </c>
      <c r="D41" s="344"/>
      <c r="E41" s="343"/>
      <c r="F41" s="974"/>
      <c r="G41" s="975"/>
      <c r="H41" s="344" t="s">
        <v>5062</v>
      </c>
      <c r="I41" s="343" t="s">
        <v>5042</v>
      </c>
      <c r="J41" s="339" t="str">
        <f>IFERROR(IF(OR(I41='DICTIONARY-5'!$A$2,I41='DICTIONARY-5'!$A$4,ISBLANK(I41)),VLOOKUP(H41,LIST!$A$6:$L$3250,CURR_1.SEARCH.OLD,0),VLOOKUP(I41,LIST!$B$6:$L$3250,CURR_1.SEARCH.NEW,0)),'DICTIONARY-5'!$A$2)</f>
        <v>2 889,-</v>
      </c>
      <c r="K41" s="339" t="str">
        <f>IFERROR(IF(OR(I41='DICTIONARY-5'!$A$2,I41='DICTIONARY-5'!$A$4,ISBLANK(I41)),VLOOKUP(H41,LIST!$A$6:$M$3250,CURR_2.SEARCH.OLD,0),VLOOKUP(I41,LIST!$B$6:$M$3250,CURR_2.SEARCH.NEW,0)),'DICTIONARY-5'!$A$2)</f>
        <v/>
      </c>
    </row>
    <row r="42" spans="1:11" x14ac:dyDescent="0.25">
      <c r="A42" s="42">
        <v>200</v>
      </c>
      <c r="B42" s="42">
        <v>10</v>
      </c>
      <c r="C42" s="42">
        <v>60</v>
      </c>
      <c r="D42" s="344" t="s">
        <v>5063</v>
      </c>
      <c r="E42" s="343" t="s">
        <v>5050</v>
      </c>
      <c r="F42" s="339" t="str">
        <f>IFERROR(IF(OR(E42='DICTIONARY-5'!$A$2,E42='DICTIONARY-5'!$A$4,ISBLANK(E42)),VLOOKUP(D42,LIST!$A$6:$L$3250,CURR_1.SEARCH.OLD,0),VLOOKUP(E42,LIST!$B$6:$L$3250,CURR_1.SEARCH.NEW,0)),'DICTIONARY-5'!$A$2)</f>
        <v>3 030,-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  <c r="H42" s="344" t="s">
        <v>5064</v>
      </c>
      <c r="I42" s="343" t="s">
        <v>5043</v>
      </c>
      <c r="J42" s="339" t="str">
        <f>IFERROR(IF(OR(I42='DICTIONARY-5'!$A$2,I42='DICTIONARY-5'!$A$4,ISBLANK(I42)),VLOOKUP(H42,LIST!$A$6:$L$3250,CURR_1.SEARCH.OLD,0),VLOOKUP(I42,LIST!$B$6:$L$3250,CURR_1.SEARCH.NEW,0)),'DICTIONARY-5'!$A$2)</f>
        <v>3 054,-</v>
      </c>
      <c r="K42" s="339" t="str">
        <f>IFERROR(IF(OR(I42='DICTIONARY-5'!$A$2,I42='DICTIONARY-5'!$A$4,ISBLANK(I42)),VLOOKUP(H42,LIST!$A$6:$M$3250,CURR_2.SEARCH.OLD,0),VLOOKUP(I42,LIST!$B$6:$M$3250,CURR_2.SEARCH.NEW,0)),'DICTIONARY-5'!$A$2)</f>
        <v/>
      </c>
    </row>
    <row r="43" spans="1:11" x14ac:dyDescent="0.25">
      <c r="A43" s="42">
        <v>250</v>
      </c>
      <c r="B43" s="42">
        <v>10</v>
      </c>
      <c r="C43" s="42">
        <v>68</v>
      </c>
      <c r="D43" s="344" t="s">
        <v>5065</v>
      </c>
      <c r="E43" s="343" t="s">
        <v>5051</v>
      </c>
      <c r="F43" s="339" t="str">
        <f>IFERROR(IF(OR(E43='DICTIONARY-5'!$A$2,E43='DICTIONARY-5'!$A$4,ISBLANK(E43)),VLOOKUP(D43,LIST!$A$6:$L$3250,CURR_1.SEARCH.OLD,0),VLOOKUP(E43,LIST!$B$6:$L$3250,CURR_1.SEARCH.NEW,0)),'DICTIONARY-5'!$A$2)</f>
        <v>3 422,-</v>
      </c>
      <c r="G43" s="339" t="str">
        <f>IFERROR(IF(OR(E43='DICTIONARY-5'!$A$2,E43='DICTIONARY-5'!$A$4,ISBLANK(E43)),VLOOKUP(D43,LIST!$A$6:$M$3250,CURR_2.SEARCH.OLD,0),VLOOKUP(E43,LIST!$B$6:$M$3250,CURR_2.SEARCH.NEW,0)),'DICTIONARY-5'!$A$2)</f>
        <v/>
      </c>
      <c r="H43" s="344" t="s">
        <v>5066</v>
      </c>
      <c r="I43" s="343" t="s">
        <v>5044</v>
      </c>
      <c r="J43" s="339" t="str">
        <f>IFERROR(IF(OR(I43='DICTIONARY-5'!$A$2,I43='DICTIONARY-5'!$A$4,ISBLANK(I43)),VLOOKUP(H43,LIST!$A$6:$L$3250,CURR_1.SEARCH.OLD,0),VLOOKUP(I43,LIST!$B$6:$L$3250,CURR_1.SEARCH.NEW,0)),'DICTIONARY-5'!$A$2)</f>
        <v>3 454,-</v>
      </c>
      <c r="K43" s="339" t="str">
        <f>IFERROR(IF(OR(I43='DICTIONARY-5'!$A$2,I43='DICTIONARY-5'!$A$4,ISBLANK(I43)),VLOOKUP(H43,LIST!$A$6:$M$3250,CURR_2.SEARCH.OLD,0),VLOOKUP(I43,LIST!$B$6:$M$3250,CURR_2.SEARCH.NEW,0)),'DICTIONARY-5'!$A$2)</f>
        <v/>
      </c>
    </row>
    <row r="44" spans="1:11" x14ac:dyDescent="0.25">
      <c r="A44" s="42">
        <v>300</v>
      </c>
      <c r="B44" s="42">
        <v>10</v>
      </c>
      <c r="C44" s="42">
        <v>78</v>
      </c>
      <c r="D44" s="344" t="s">
        <v>5067</v>
      </c>
      <c r="E44" s="343" t="s">
        <v>5052</v>
      </c>
      <c r="F44" s="339" t="str">
        <f>IFERROR(IF(OR(E44='DICTIONARY-5'!$A$2,E44='DICTIONARY-5'!$A$4,ISBLANK(E44)),VLOOKUP(D44,LIST!$A$6:$L$3250,CURR_1.SEARCH.OLD,0),VLOOKUP(E44,LIST!$B$6:$L$3250,CURR_1.SEARCH.NEW,0)),'DICTIONARY-5'!$A$2)</f>
        <v>3 625,-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  <c r="H44" s="344" t="s">
        <v>5068</v>
      </c>
      <c r="I44" s="343" t="s">
        <v>5045</v>
      </c>
      <c r="J44" s="339" t="str">
        <f>IFERROR(IF(OR(I44='DICTIONARY-5'!$A$2,I44='DICTIONARY-5'!$A$4,ISBLANK(I44)),VLOOKUP(H44,LIST!$A$6:$L$3250,CURR_1.SEARCH.OLD,0),VLOOKUP(I44,LIST!$B$6:$L$3250,CURR_1.SEARCH.NEW,0)),'DICTIONARY-5'!$A$2)</f>
        <v>3 681,-</v>
      </c>
      <c r="K44" s="339" t="str">
        <f>IFERROR(IF(OR(I44='DICTIONARY-5'!$A$2,I44='DICTIONARY-5'!$A$4,ISBLANK(I44)),VLOOKUP(H44,LIST!$A$6:$M$3250,CURR_2.SEARCH.OLD,0),VLOOKUP(I44,LIST!$B$6:$M$3250,CURR_2.SEARCH.NEW,0)),'DICTIONARY-5'!$A$2)</f>
        <v/>
      </c>
    </row>
    <row r="45" spans="1:11" x14ac:dyDescent="0.25">
      <c r="A45" s="42">
        <v>350</v>
      </c>
      <c r="B45" s="42">
        <v>10</v>
      </c>
      <c r="C45" s="42">
        <v>78</v>
      </c>
      <c r="D45" s="344" t="s">
        <v>5069</v>
      </c>
      <c r="E45" s="343" t="s">
        <v>5053</v>
      </c>
      <c r="F45" s="339" t="str">
        <f>IFERROR(IF(OR(E45='DICTIONARY-5'!$A$2,E45='DICTIONARY-5'!$A$4,ISBLANK(E45)),VLOOKUP(D45,LIST!$A$6:$L$3250,CURR_1.SEARCH.OLD,0),VLOOKUP(E45,LIST!$B$6:$L$3250,CURR_1.SEARCH.NEW,0)),'DICTIONARY-5'!$A$2)</f>
        <v>5 730,-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  <c r="H45" s="344" t="s">
        <v>5070</v>
      </c>
      <c r="I45" s="343" t="s">
        <v>5046</v>
      </c>
      <c r="J45" s="339" t="str">
        <f>IFERROR(IF(OR(I45='DICTIONARY-5'!$A$2,I45='DICTIONARY-5'!$A$4,ISBLANK(I45)),VLOOKUP(H45,LIST!$A$6:$L$3250,CURR_1.SEARCH.OLD,0),VLOOKUP(I45,LIST!$B$6:$L$3250,CURR_1.SEARCH.NEW,0)),'DICTIONARY-5'!$A$2)</f>
        <v>5 934,-</v>
      </c>
      <c r="K45" s="339" t="str">
        <f>IFERROR(IF(OR(I45='DICTIONARY-5'!$A$2,I45='DICTIONARY-5'!$A$4,ISBLANK(I45)),VLOOKUP(H45,LIST!$A$6:$M$3250,CURR_2.SEARCH.OLD,0),VLOOKUP(I45,LIST!$B$6:$M$3250,CURR_2.SEARCH.NEW,0)),'DICTIONARY-5'!$A$2)</f>
        <v/>
      </c>
    </row>
    <row r="46" spans="1:11" x14ac:dyDescent="0.25">
      <c r="A46" s="42">
        <v>400</v>
      </c>
      <c r="B46" s="42">
        <v>10</v>
      </c>
      <c r="C46" s="42">
        <v>102</v>
      </c>
      <c r="D46" s="344" t="s">
        <v>5071</v>
      </c>
      <c r="E46" s="343" t="s">
        <v>5054</v>
      </c>
      <c r="F46" s="339" t="str">
        <f>IFERROR(IF(OR(E46='DICTIONARY-5'!$A$2,E46='DICTIONARY-5'!$A$4,ISBLANK(E46)),VLOOKUP(D46,LIST!$A$6:$L$3250,CURR_1.SEARCH.OLD,0),VLOOKUP(E46,LIST!$B$6:$L$3250,CURR_1.SEARCH.NEW,0)),'DICTIONARY-5'!$A$2)</f>
        <v>6 355,-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  <c r="H46" s="344" t="s">
        <v>5072</v>
      </c>
      <c r="I46" s="343" t="s">
        <v>5047</v>
      </c>
      <c r="J46" s="339" t="str">
        <f>IFERROR(IF(OR(I46='DICTIONARY-5'!$A$2,I46='DICTIONARY-5'!$A$4,ISBLANK(I46)),VLOOKUP(H46,LIST!$A$6:$L$3250,CURR_1.SEARCH.OLD,0),VLOOKUP(I46,LIST!$B$6:$L$3250,CURR_1.SEARCH.NEW,0)),'DICTIONARY-5'!$A$2)</f>
        <v>6 626,-</v>
      </c>
      <c r="K46" s="339" t="str">
        <f>IFERROR(IF(OR(I46='DICTIONARY-5'!$A$2,I46='DICTIONARY-5'!$A$4,ISBLANK(I46)),VLOOKUP(H46,LIST!$A$6:$M$3250,CURR_2.SEARCH.OLD,0),VLOOKUP(I46,LIST!$B$6:$M$3250,CURR_2.SEARCH.NEW,0)),'DICTIONARY-5'!$A$2)</f>
        <v/>
      </c>
    </row>
    <row r="47" spans="1:11" x14ac:dyDescent="0.25">
      <c r="A47" s="42">
        <v>500</v>
      </c>
      <c r="B47" s="42">
        <v>10</v>
      </c>
      <c r="C47" s="42">
        <v>127</v>
      </c>
      <c r="D47" s="344" t="s">
        <v>5073</v>
      </c>
      <c r="E47" s="343" t="s">
        <v>5055</v>
      </c>
      <c r="F47" s="339" t="str">
        <f>IFERROR(IF(OR(E47='DICTIONARY-5'!$A$2,E47='DICTIONARY-5'!$A$4,ISBLANK(E47)),VLOOKUP(D47,LIST!$A$6:$L$3250,CURR_1.SEARCH.OLD,0),VLOOKUP(E47,LIST!$B$6:$L$3250,CURR_1.SEARCH.NEW,0)),'DICTIONARY-5'!$A$2)</f>
        <v>8 558,-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344" t="s">
        <v>5074</v>
      </c>
      <c r="I47" s="343" t="s">
        <v>5048</v>
      </c>
      <c r="J47" s="339" t="str">
        <f>IFERROR(IF(OR(I47='DICTIONARY-5'!$A$2,I47='DICTIONARY-5'!$A$4,ISBLANK(I47)),VLOOKUP(H47,LIST!$A$6:$L$3250,CURR_1.SEARCH.OLD,0),VLOOKUP(I47,LIST!$B$6:$L$3250,CURR_1.SEARCH.NEW,0)),'DICTIONARY-5'!$A$2)</f>
        <v>9 239,-</v>
      </c>
      <c r="K47" s="339" t="str">
        <f>IFERROR(IF(OR(I47='DICTIONARY-5'!$A$2,I47='DICTIONARY-5'!$A$4,ISBLANK(I47)),VLOOKUP(H47,LIST!$A$6:$M$3250,CURR_2.SEARCH.OLD,0),VLOOKUP(I47,LIST!$B$6:$M$3250,CURR_2.SEARCH.NEW,0)),'DICTIONARY-5'!$A$2)</f>
        <v/>
      </c>
    </row>
    <row r="48" spans="1:11" x14ac:dyDescent="0.25">
      <c r="A48" s="42">
        <v>600</v>
      </c>
      <c r="B48" s="42">
        <v>10</v>
      </c>
      <c r="C48" s="42">
        <v>154</v>
      </c>
      <c r="D48" s="344" t="s">
        <v>5075</v>
      </c>
      <c r="E48" s="343" t="s">
        <v>5056</v>
      </c>
      <c r="F48" s="339" t="str">
        <f>IFERROR(IF(OR(E48='DICTIONARY-5'!$A$2,E48='DICTIONARY-5'!$A$4,ISBLANK(E48)),VLOOKUP(D48,LIST!$A$6:$L$3250,CURR_1.SEARCH.OLD,0),VLOOKUP(E48,LIST!$B$6:$L$3250,CURR_1.SEARCH.NEW,0)),'DICTIONARY-5'!$A$2)</f>
        <v>10 806,-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344" t="s">
        <v>5076</v>
      </c>
      <c r="I48" s="343" t="s">
        <v>5049</v>
      </c>
      <c r="J48" s="339" t="str">
        <f>IFERROR(IF(OR(I48='DICTIONARY-5'!$A$2,I48='DICTIONARY-5'!$A$4,ISBLANK(I48)),VLOOKUP(H48,LIST!$A$6:$L$3250,CURR_1.SEARCH.OLD,0),VLOOKUP(I48,LIST!$B$6:$L$3250,CURR_1.SEARCH.NEW,0)),'DICTIONARY-5'!$A$2)</f>
        <v>11 488,-</v>
      </c>
      <c r="K48" s="339" t="str">
        <f>IFERROR(IF(OR(I48='DICTIONARY-5'!$A$2,I48='DICTIONARY-5'!$A$4,ISBLANK(I48)),VLOOKUP(H48,LIST!$A$6:$M$3250,CURR_2.SEARCH.OLD,0),VLOOKUP(I48,LIST!$B$6:$M$3250,CURR_2.SEARCH.NEW,0)),'DICTIONARY-5'!$A$2)</f>
        <v/>
      </c>
    </row>
    <row r="50" spans="1:11" x14ac:dyDescent="0.25">
      <c r="A50" s="32" t="str">
        <f>'DICTIONARY-5'!$A$3&amp;"DN 700 ... 1400"</f>
        <v>Na zapytanie: DN 700 ... 1400</v>
      </c>
    </row>
    <row r="51" spans="1:11" x14ac:dyDescent="0.25">
      <c r="A51" s="488" t="str">
        <f>'DICTIONARY-5'!$A$3&amp;'DICTIONARY-5'!$A$95</f>
        <v>Na zapytanie: Inny napęd elektryczny</v>
      </c>
    </row>
    <row r="55" spans="1:11" ht="16.5" thickBot="1" x14ac:dyDescent="0.3">
      <c r="A55" s="81" t="str">
        <f>CONCATENATE('DICTIONARY-3'!$A$11," ",'DICTIONARY-3'!$A$189," / ",'DICTIONARY-3'!$A$250)</f>
        <v>ZETA Zasuwa nożowa / Przygotowana pod napęd pneumatyczny</v>
      </c>
      <c r="B55" s="91"/>
      <c r="C55" s="91"/>
      <c r="D55" s="91"/>
      <c r="E55" s="91"/>
      <c r="F55" s="91"/>
      <c r="G55" s="91"/>
      <c r="H55" s="91"/>
      <c r="I55" s="91"/>
      <c r="J55" s="91"/>
      <c r="K55" s="91"/>
    </row>
    <row r="56" spans="1:11" x14ac:dyDescent="0.25">
      <c r="A56" s="36" t="str">
        <f>CONCATENATE('DICTIONARY-1'!$A$10,": ",SETTINGS!$C$22)</f>
        <v>Grupa rabatowa: ZETA</v>
      </c>
    </row>
    <row r="57" spans="1:11" x14ac:dyDescent="0.25">
      <c r="A57" s="35"/>
      <c r="B57" s="35"/>
      <c r="C57" s="30"/>
      <c r="D57" s="30"/>
      <c r="E57" s="30"/>
      <c r="F57" s="31"/>
      <c r="G57" s="31"/>
    </row>
    <row r="58" spans="1:11" x14ac:dyDescent="0.25">
      <c r="A58" s="38" t="str">
        <f>'DICTIONARY-2'!$A$2</f>
        <v>DN</v>
      </c>
      <c r="B58" s="38" t="str">
        <f>'DICTIONARY-2'!$A$3</f>
        <v>PN</v>
      </c>
      <c r="C58" s="38" t="str">
        <f>'DICTIONARY-2'!$A$24</f>
        <v>L</v>
      </c>
      <c r="D58" s="960" t="str">
        <f>'DICTIONARY-3'!$A$11</f>
        <v>ZETA</v>
      </c>
      <c r="E58" s="960"/>
      <c r="F58" s="960"/>
      <c r="G58" s="960"/>
      <c r="H58" s="960" t="str">
        <f>'DICTIONARY-3'!$A$11</f>
        <v>ZETA</v>
      </c>
      <c r="I58" s="960"/>
      <c r="J58" s="960"/>
      <c r="K58" s="960"/>
    </row>
    <row r="59" spans="1:11" x14ac:dyDescent="0.25">
      <c r="A59" s="57"/>
      <c r="B59" s="57"/>
      <c r="C59" s="57"/>
      <c r="D59" s="961" t="str">
        <f>'DICTIONARY-5'!$A$93&amp;": "&amp;'DICTIONARY-5'!$A$32&amp;" "&amp;'DICTIONARY-5'!$A$34</f>
        <v>płyta zasuwowa: stal nierdzewna A2</v>
      </c>
      <c r="E59" s="961"/>
      <c r="F59" s="961"/>
      <c r="G59" s="961"/>
      <c r="H59" s="961" t="str">
        <f>'DICTIONARY-5'!$A$93&amp;": "&amp;'DICTIONARY-5'!$A$32&amp;" "&amp;'DICTIONARY-5'!$A$35</f>
        <v>płyta zasuwowa: stal nierdzewna A4</v>
      </c>
      <c r="I59" s="961"/>
      <c r="J59" s="961"/>
      <c r="K59" s="961"/>
    </row>
    <row r="60" spans="1:11" x14ac:dyDescent="0.25">
      <c r="A60" s="39"/>
      <c r="B60" s="39"/>
      <c r="C60" s="702" t="str">
        <f>'DICTIONARY-2'!$A$18</f>
        <v>[mm]</v>
      </c>
      <c r="D60" s="40" t="str">
        <f>'DICTIONARY-2'!$A$28</f>
        <v>stary nr zamówienia</v>
      </c>
      <c r="E60" s="40" t="str">
        <f>'DICTIONARY-2'!$A$29</f>
        <v>nowy nr zamówienia</v>
      </c>
      <c r="F60" s="41" t="str">
        <f>CURRENCY.CODE_1</f>
        <v>EUR</v>
      </c>
      <c r="G60" s="41" t="str">
        <f>CURRENCY.CODE_2</f>
        <v>---</v>
      </c>
      <c r="H60" s="40" t="str">
        <f>'DICTIONARY-2'!$A$28</f>
        <v>stary nr zamówienia</v>
      </c>
      <c r="I60" s="40" t="str">
        <f>'DICTIONARY-2'!$A$29</f>
        <v>nowy nr zamówienia</v>
      </c>
      <c r="J60" s="41" t="str">
        <f>CURRENCY.CODE_1</f>
        <v>EUR</v>
      </c>
      <c r="K60" s="41" t="str">
        <f>CURRENCY.CODE_2</f>
        <v>---</v>
      </c>
    </row>
    <row r="61" spans="1:11" x14ac:dyDescent="0.25">
      <c r="A61" s="42">
        <v>50</v>
      </c>
      <c r="B61" s="42">
        <v>10</v>
      </c>
      <c r="C61" s="42">
        <v>43</v>
      </c>
      <c r="D61" s="42"/>
      <c r="E61" s="329"/>
      <c r="F61" s="43"/>
      <c r="G61" s="43"/>
      <c r="H61" s="42" t="s">
        <v>566</v>
      </c>
      <c r="I61" s="329" t="s">
        <v>3230</v>
      </c>
      <c r="J61" s="339" t="str">
        <f>IFERROR(IF(OR(I61='DICTIONARY-5'!$A$2,I61='DICTIONARY-5'!$A$4,ISBLANK(I61)),VLOOKUP(H61,LIST!$A$6:$L$3250,CURR_1.SEARCH.OLD,0),VLOOKUP(I61,LIST!$B$6:$L$3250,CURR_1.SEARCH.NEW,0)),'DICTIONARY-5'!$A$2)</f>
        <v>310,-</v>
      </c>
      <c r="K61" s="339" t="str">
        <f>IFERROR(IF(OR(I61='DICTIONARY-5'!$A$2,I61='DICTIONARY-5'!$A$4,ISBLANK(I61)),VLOOKUP(H61,LIST!$A$6:$M$3250,CURR_2.SEARCH.OLD,0),VLOOKUP(I61,LIST!$B$6:$M$3250,CURR_2.SEARCH.NEW,0)),'DICTIONARY-5'!$A$2)</f>
        <v/>
      </c>
    </row>
    <row r="62" spans="1:11" x14ac:dyDescent="0.25">
      <c r="A62" s="42">
        <v>65</v>
      </c>
      <c r="B62" s="42">
        <v>10</v>
      </c>
      <c r="C62" s="42">
        <v>46</v>
      </c>
      <c r="D62" s="42"/>
      <c r="E62" s="329"/>
      <c r="F62" s="43"/>
      <c r="G62" s="43"/>
      <c r="H62" s="42" t="s">
        <v>567</v>
      </c>
      <c r="I62" s="329" t="s">
        <v>3234</v>
      </c>
      <c r="J62" s="339" t="str">
        <f>IFERROR(IF(OR(I62='DICTIONARY-5'!$A$2,I62='DICTIONARY-5'!$A$4,ISBLANK(I62)),VLOOKUP(H62,LIST!$A$6:$L$3250,CURR_1.SEARCH.OLD,0),VLOOKUP(I62,LIST!$B$6:$L$3250,CURR_1.SEARCH.NEW,0)),'DICTIONARY-5'!$A$2)</f>
        <v>317,-</v>
      </c>
      <c r="K62" s="339" t="str">
        <f>IFERROR(IF(OR(I62='DICTIONARY-5'!$A$2,I62='DICTIONARY-5'!$A$4,ISBLANK(I62)),VLOOKUP(H62,LIST!$A$6:$M$3250,CURR_2.SEARCH.OLD,0),VLOOKUP(I62,LIST!$B$6:$M$3250,CURR_2.SEARCH.NEW,0)),'DICTIONARY-5'!$A$2)</f>
        <v/>
      </c>
    </row>
    <row r="63" spans="1:11" x14ac:dyDescent="0.25">
      <c r="A63" s="42">
        <v>80</v>
      </c>
      <c r="B63" s="42">
        <v>10</v>
      </c>
      <c r="C63" s="42">
        <v>46</v>
      </c>
      <c r="D63" s="42"/>
      <c r="E63" s="329"/>
      <c r="F63" s="43"/>
      <c r="G63" s="43"/>
      <c r="H63" s="42" t="s">
        <v>568</v>
      </c>
      <c r="I63" s="329" t="s">
        <v>3238</v>
      </c>
      <c r="J63" s="339" t="str">
        <f>IFERROR(IF(OR(I63='DICTIONARY-5'!$A$2,I63='DICTIONARY-5'!$A$4,ISBLANK(I63)),VLOOKUP(H63,LIST!$A$6:$L$3250,CURR_1.SEARCH.OLD,0),VLOOKUP(I63,LIST!$B$6:$L$3250,CURR_1.SEARCH.NEW,0)),'DICTIONARY-5'!$A$2)</f>
        <v>358,-</v>
      </c>
      <c r="K63" s="339" t="str">
        <f>IFERROR(IF(OR(I63='DICTIONARY-5'!$A$2,I63='DICTIONARY-5'!$A$4,ISBLANK(I63)),VLOOKUP(H63,LIST!$A$6:$M$3250,CURR_2.SEARCH.OLD,0),VLOOKUP(I63,LIST!$B$6:$M$3250,CURR_2.SEARCH.NEW,0)),'DICTIONARY-5'!$A$2)</f>
        <v/>
      </c>
    </row>
    <row r="64" spans="1:11" x14ac:dyDescent="0.25">
      <c r="A64" s="42">
        <v>100</v>
      </c>
      <c r="B64" s="42">
        <v>10</v>
      </c>
      <c r="C64" s="42">
        <v>52</v>
      </c>
      <c r="D64" s="42"/>
      <c r="E64" s="329"/>
      <c r="F64" s="43"/>
      <c r="G64" s="43"/>
      <c r="H64" s="42" t="s">
        <v>569</v>
      </c>
      <c r="I64" s="329" t="s">
        <v>3242</v>
      </c>
      <c r="J64" s="339" t="str">
        <f>IFERROR(IF(OR(I64='DICTIONARY-5'!$A$2,I64='DICTIONARY-5'!$A$4,ISBLANK(I64)),VLOOKUP(H64,LIST!$A$6:$L$3250,CURR_1.SEARCH.OLD,0),VLOOKUP(I64,LIST!$B$6:$L$3250,CURR_1.SEARCH.NEW,0)),'DICTIONARY-5'!$A$2)</f>
        <v>393,-</v>
      </c>
      <c r="K64" s="339" t="str">
        <f>IFERROR(IF(OR(I64='DICTIONARY-5'!$A$2,I64='DICTIONARY-5'!$A$4,ISBLANK(I64)),VLOOKUP(H64,LIST!$A$6:$M$3250,CURR_2.SEARCH.OLD,0),VLOOKUP(I64,LIST!$B$6:$M$3250,CURR_2.SEARCH.NEW,0)),'DICTIONARY-5'!$A$2)</f>
        <v/>
      </c>
    </row>
    <row r="65" spans="1:11" x14ac:dyDescent="0.25">
      <c r="A65" s="42">
        <v>125</v>
      </c>
      <c r="B65" s="42">
        <v>10</v>
      </c>
      <c r="C65" s="42">
        <v>56</v>
      </c>
      <c r="D65" s="42"/>
      <c r="E65" s="329"/>
      <c r="F65" s="43"/>
      <c r="G65" s="43"/>
      <c r="H65" s="42" t="s">
        <v>570</v>
      </c>
      <c r="I65" s="329" t="s">
        <v>3246</v>
      </c>
      <c r="J65" s="339" t="str">
        <f>IFERROR(IF(OR(I65='DICTIONARY-5'!$A$2,I65='DICTIONARY-5'!$A$4,ISBLANK(I65)),VLOOKUP(H65,LIST!$A$6:$L$3250,CURR_1.SEARCH.OLD,0),VLOOKUP(I65,LIST!$B$6:$L$3250,CURR_1.SEARCH.NEW,0)),'DICTIONARY-5'!$A$2)</f>
        <v>462,-</v>
      </c>
      <c r="K65" s="339" t="str">
        <f>IFERROR(IF(OR(I65='DICTIONARY-5'!$A$2,I65='DICTIONARY-5'!$A$4,ISBLANK(I65)),VLOOKUP(H65,LIST!$A$6:$M$3250,CURR_2.SEARCH.OLD,0),VLOOKUP(I65,LIST!$B$6:$M$3250,CURR_2.SEARCH.NEW,0)),'DICTIONARY-5'!$A$2)</f>
        <v/>
      </c>
    </row>
    <row r="66" spans="1:11" x14ac:dyDescent="0.25">
      <c r="A66" s="42">
        <v>150</v>
      </c>
      <c r="B66" s="42">
        <v>10</v>
      </c>
      <c r="C66" s="42">
        <v>56</v>
      </c>
      <c r="D66" s="42"/>
      <c r="E66" s="329"/>
      <c r="F66" s="43"/>
      <c r="G66" s="43"/>
      <c r="H66" s="42" t="s">
        <v>571</v>
      </c>
      <c r="I66" s="329" t="s">
        <v>3250</v>
      </c>
      <c r="J66" s="339" t="str">
        <f>IFERROR(IF(OR(I66='DICTIONARY-5'!$A$2,I66='DICTIONARY-5'!$A$4,ISBLANK(I66)),VLOOKUP(H66,LIST!$A$6:$L$3250,CURR_1.SEARCH.OLD,0),VLOOKUP(I66,LIST!$B$6:$L$3250,CURR_1.SEARCH.NEW,0)),'DICTIONARY-5'!$A$2)</f>
        <v>575,-</v>
      </c>
      <c r="K66" s="339" t="str">
        <f>IFERROR(IF(OR(I66='DICTIONARY-5'!$A$2,I66='DICTIONARY-5'!$A$4,ISBLANK(I66)),VLOOKUP(H66,LIST!$A$6:$M$3250,CURR_2.SEARCH.OLD,0),VLOOKUP(I66,LIST!$B$6:$M$3250,CURR_2.SEARCH.NEW,0)),'DICTIONARY-5'!$A$2)</f>
        <v/>
      </c>
    </row>
    <row r="67" spans="1:11" x14ac:dyDescent="0.25">
      <c r="A67" s="42">
        <v>200</v>
      </c>
      <c r="B67" s="42">
        <v>10</v>
      </c>
      <c r="C67" s="42">
        <v>60</v>
      </c>
      <c r="D67" s="42" t="s">
        <v>572</v>
      </c>
      <c r="E67" s="329" t="s">
        <v>3202</v>
      </c>
      <c r="F67" s="339" t="str">
        <f>IFERROR(IF(OR(E67='DICTIONARY-5'!$A$2,E67='DICTIONARY-5'!$A$4,ISBLANK(E67)),VLOOKUP(D67,LIST!$A$6:$L$3250,CURR_1.SEARCH.OLD,0),VLOOKUP(E67,LIST!$B$6:$L$3250,CURR_1.SEARCH.NEW,0)),'DICTIONARY-5'!$A$2)</f>
        <v>719,-</v>
      </c>
      <c r="G67" s="339" t="str">
        <f>IFERROR(IF(OR(E67='DICTIONARY-5'!$A$2,E67='DICTIONARY-5'!$A$4,ISBLANK(E67)),VLOOKUP(D67,LIST!$A$6:$M$3250,CURR_2.SEARCH.OLD,0),VLOOKUP(E67,LIST!$B$6:$M$3250,CURR_2.SEARCH.NEW,0)),'DICTIONARY-5'!$A$2)</f>
        <v/>
      </c>
      <c r="H67" s="42" t="s">
        <v>579</v>
      </c>
      <c r="I67" s="329" t="s">
        <v>3254</v>
      </c>
      <c r="J67" s="339" t="str">
        <f>IFERROR(IF(OR(I67='DICTIONARY-5'!$A$2,I67='DICTIONARY-5'!$A$4,ISBLANK(I67)),VLOOKUP(H67,LIST!$A$6:$L$3250,CURR_1.SEARCH.OLD,0),VLOOKUP(I67,LIST!$B$6:$L$3250,CURR_1.SEARCH.NEW,0)),'DICTIONARY-5'!$A$2)</f>
        <v>740,-</v>
      </c>
      <c r="K67" s="339" t="str">
        <f>IFERROR(IF(OR(I67='DICTIONARY-5'!$A$2,I67='DICTIONARY-5'!$A$4,ISBLANK(I67)),VLOOKUP(H67,LIST!$A$6:$M$3250,CURR_2.SEARCH.OLD,0),VLOOKUP(I67,LIST!$B$6:$M$3250,CURR_2.SEARCH.NEW,0)),'DICTIONARY-5'!$A$2)</f>
        <v/>
      </c>
    </row>
    <row r="68" spans="1:11" x14ac:dyDescent="0.25">
      <c r="A68" s="42">
        <v>250</v>
      </c>
      <c r="B68" s="42">
        <v>10</v>
      </c>
      <c r="C68" s="42">
        <v>68</v>
      </c>
      <c r="D68" s="42" t="s">
        <v>573</v>
      </c>
      <c r="E68" s="329" t="s">
        <v>3206</v>
      </c>
      <c r="F68" s="339" t="str">
        <f>IFERROR(IF(OR(E68='DICTIONARY-5'!$A$2,E68='DICTIONARY-5'!$A$4,ISBLANK(E68)),VLOOKUP(D68,LIST!$A$6:$L$3250,CURR_1.SEARCH.OLD,0),VLOOKUP(E68,LIST!$B$6:$L$3250,CURR_1.SEARCH.NEW,0)),'DICTIONARY-5'!$A$2)</f>
        <v>1 072,-</v>
      </c>
      <c r="G68" s="339" t="str">
        <f>IFERROR(IF(OR(E68='DICTIONARY-5'!$A$2,E68='DICTIONARY-5'!$A$4,ISBLANK(E68)),VLOOKUP(D68,LIST!$A$6:$M$3250,CURR_2.SEARCH.OLD,0),VLOOKUP(E68,LIST!$B$6:$M$3250,CURR_2.SEARCH.NEW,0)),'DICTIONARY-5'!$A$2)</f>
        <v/>
      </c>
      <c r="H68" s="42" t="s">
        <v>580</v>
      </c>
      <c r="I68" s="329" t="s">
        <v>3258</v>
      </c>
      <c r="J68" s="339" t="str">
        <f>IFERROR(IF(OR(I68='DICTIONARY-5'!$A$2,I68='DICTIONARY-5'!$A$4,ISBLANK(I68)),VLOOKUP(H68,LIST!$A$6:$L$3250,CURR_1.SEARCH.OLD,0),VLOOKUP(I68,LIST!$B$6:$L$3250,CURR_1.SEARCH.NEW,0)),'DICTIONARY-5'!$A$2)</f>
        <v>1 137,-</v>
      </c>
      <c r="K68" s="339" t="str">
        <f>IFERROR(IF(OR(I68='DICTIONARY-5'!$A$2,I68='DICTIONARY-5'!$A$4,ISBLANK(I68)),VLOOKUP(H68,LIST!$A$6:$M$3250,CURR_2.SEARCH.OLD,0),VLOOKUP(I68,LIST!$B$6:$M$3250,CURR_2.SEARCH.NEW,0)),'DICTIONARY-5'!$A$2)</f>
        <v/>
      </c>
    </row>
    <row r="69" spans="1:11" x14ac:dyDescent="0.25">
      <c r="A69" s="42">
        <v>300</v>
      </c>
      <c r="B69" s="42">
        <v>10</v>
      </c>
      <c r="C69" s="42">
        <v>78</v>
      </c>
      <c r="D69" s="42" t="s">
        <v>574</v>
      </c>
      <c r="E69" s="329" t="s">
        <v>3210</v>
      </c>
      <c r="F69" s="339" t="str">
        <f>IFERROR(IF(OR(E69='DICTIONARY-5'!$A$2,E69='DICTIONARY-5'!$A$4,ISBLANK(E69)),VLOOKUP(D69,LIST!$A$6:$L$3250,CURR_1.SEARCH.OLD,0),VLOOKUP(E69,LIST!$B$6:$L$3250,CURR_1.SEARCH.NEW,0)),'DICTIONARY-5'!$A$2)</f>
        <v>1 279,-</v>
      </c>
      <c r="G69" s="339" t="str">
        <f>IFERROR(IF(OR(E69='DICTIONARY-5'!$A$2,E69='DICTIONARY-5'!$A$4,ISBLANK(E69)),VLOOKUP(D69,LIST!$A$6:$M$3250,CURR_2.SEARCH.OLD,0),VLOOKUP(E69,LIST!$B$6:$M$3250,CURR_2.SEARCH.NEW,0)),'DICTIONARY-5'!$A$2)</f>
        <v/>
      </c>
      <c r="H69" s="42" t="s">
        <v>581</v>
      </c>
      <c r="I69" s="329" t="s">
        <v>3262</v>
      </c>
      <c r="J69" s="339" t="str">
        <f>IFERROR(IF(OR(I69='DICTIONARY-5'!$A$2,I69='DICTIONARY-5'!$A$4,ISBLANK(I69)),VLOOKUP(H69,LIST!$A$6:$L$3250,CURR_1.SEARCH.OLD,0),VLOOKUP(I69,LIST!$B$6:$L$3250,CURR_1.SEARCH.NEW,0)),'DICTIONARY-5'!$A$2)</f>
        <v>1 367,-</v>
      </c>
      <c r="K69" s="339" t="str">
        <f>IFERROR(IF(OR(I69='DICTIONARY-5'!$A$2,I69='DICTIONARY-5'!$A$4,ISBLANK(I69)),VLOOKUP(H69,LIST!$A$6:$M$3250,CURR_2.SEARCH.OLD,0),VLOOKUP(I69,LIST!$B$6:$M$3250,CURR_2.SEARCH.NEW,0)),'DICTIONARY-5'!$A$2)</f>
        <v/>
      </c>
    </row>
    <row r="70" spans="1:11" x14ac:dyDescent="0.25">
      <c r="A70" s="42">
        <v>350</v>
      </c>
      <c r="B70" s="42">
        <v>10</v>
      </c>
      <c r="C70" s="42">
        <v>78</v>
      </c>
      <c r="D70" s="42" t="s">
        <v>575</v>
      </c>
      <c r="E70" s="329" t="s">
        <v>3214</v>
      </c>
      <c r="F70" s="339" t="str">
        <f>IFERROR(IF(OR(E70='DICTIONARY-5'!$A$2,E70='DICTIONARY-5'!$A$4,ISBLANK(E70)),VLOOKUP(D70,LIST!$A$6:$L$3250,CURR_1.SEARCH.OLD,0),VLOOKUP(E70,LIST!$B$6:$L$3250,CURR_1.SEARCH.NEW,0)),'DICTIONARY-5'!$A$2)</f>
        <v>1 630,-</v>
      </c>
      <c r="G70" s="339" t="str">
        <f>IFERROR(IF(OR(E70='DICTIONARY-5'!$A$2,E70='DICTIONARY-5'!$A$4,ISBLANK(E70)),VLOOKUP(D70,LIST!$A$6:$M$3250,CURR_2.SEARCH.OLD,0),VLOOKUP(E70,LIST!$B$6:$M$3250,CURR_2.SEARCH.NEW,0)),'DICTIONARY-5'!$A$2)</f>
        <v/>
      </c>
      <c r="H70" s="42" t="s">
        <v>582</v>
      </c>
      <c r="I70" s="329" t="s">
        <v>3266</v>
      </c>
      <c r="J70" s="339" t="str">
        <f>IFERROR(IF(OR(I70='DICTIONARY-5'!$A$2,I70='DICTIONARY-5'!$A$4,ISBLANK(I70)),VLOOKUP(H70,LIST!$A$6:$L$3250,CURR_1.SEARCH.OLD,0),VLOOKUP(I70,LIST!$B$6:$L$3250,CURR_1.SEARCH.NEW,0)),'DICTIONARY-5'!$A$2)</f>
        <v>1 822,-</v>
      </c>
      <c r="K70" s="339" t="str">
        <f>IFERROR(IF(OR(I70='DICTIONARY-5'!$A$2,I70='DICTIONARY-5'!$A$4,ISBLANK(I70)),VLOOKUP(H70,LIST!$A$6:$M$3250,CURR_2.SEARCH.OLD,0),VLOOKUP(I70,LIST!$B$6:$M$3250,CURR_2.SEARCH.NEW,0)),'DICTIONARY-5'!$A$2)</f>
        <v/>
      </c>
    </row>
    <row r="71" spans="1:11" x14ac:dyDescent="0.25">
      <c r="A71" s="42">
        <v>400</v>
      </c>
      <c r="B71" s="42">
        <v>10</v>
      </c>
      <c r="C71" s="42">
        <v>102</v>
      </c>
      <c r="D71" s="42" t="s">
        <v>576</v>
      </c>
      <c r="E71" s="329" t="s">
        <v>3218</v>
      </c>
      <c r="F71" s="339" t="str">
        <f>IFERROR(IF(OR(E71='DICTIONARY-5'!$A$2,E71='DICTIONARY-5'!$A$4,ISBLANK(E71)),VLOOKUP(D71,LIST!$A$6:$L$3250,CURR_1.SEARCH.OLD,0),VLOOKUP(E71,LIST!$B$6:$L$3250,CURR_1.SEARCH.NEW,0)),'DICTIONARY-5'!$A$2)</f>
        <v>2 297,-</v>
      </c>
      <c r="G71" s="339" t="str">
        <f>IFERROR(IF(OR(E71='DICTIONARY-5'!$A$2,E71='DICTIONARY-5'!$A$4,ISBLANK(E71)),VLOOKUP(D71,LIST!$A$6:$M$3250,CURR_2.SEARCH.OLD,0),VLOOKUP(E71,LIST!$B$6:$M$3250,CURR_2.SEARCH.NEW,0)),'DICTIONARY-5'!$A$2)</f>
        <v/>
      </c>
      <c r="H71" s="42" t="s">
        <v>583</v>
      </c>
      <c r="I71" s="329" t="s">
        <v>3270</v>
      </c>
      <c r="J71" s="339" t="str">
        <f>IFERROR(IF(OR(I71='DICTIONARY-5'!$A$2,I71='DICTIONARY-5'!$A$4,ISBLANK(I71)),VLOOKUP(H71,LIST!$A$6:$L$3250,CURR_1.SEARCH.OLD,0),VLOOKUP(I71,LIST!$B$6:$L$3250,CURR_1.SEARCH.NEW,0)),'DICTIONARY-5'!$A$2)</f>
        <v>2 499,-</v>
      </c>
      <c r="K71" s="339" t="str">
        <f>IFERROR(IF(OR(I71='DICTIONARY-5'!$A$2,I71='DICTIONARY-5'!$A$4,ISBLANK(I71)),VLOOKUP(H71,LIST!$A$6:$M$3250,CURR_2.SEARCH.OLD,0),VLOOKUP(I71,LIST!$B$6:$M$3250,CURR_2.SEARCH.NEW,0)),'DICTIONARY-5'!$A$2)</f>
        <v/>
      </c>
    </row>
    <row r="72" spans="1:11" x14ac:dyDescent="0.25">
      <c r="A72" s="42">
        <v>500</v>
      </c>
      <c r="B72" s="42">
        <v>10</v>
      </c>
      <c r="C72" s="42">
        <v>127</v>
      </c>
      <c r="D72" s="42" t="s">
        <v>577</v>
      </c>
      <c r="E72" s="329" t="s">
        <v>3222</v>
      </c>
      <c r="F72" s="339" t="str">
        <f>IFERROR(IF(OR(E72='DICTIONARY-5'!$A$2,E72='DICTIONARY-5'!$A$4,ISBLANK(E72)),VLOOKUP(D72,LIST!$A$6:$L$3250,CURR_1.SEARCH.OLD,0),VLOOKUP(E72,LIST!$B$6:$L$3250,CURR_1.SEARCH.NEW,0)),'DICTIONARY-5'!$A$2)</f>
        <v>4 310,-</v>
      </c>
      <c r="G72" s="339" t="str">
        <f>IFERROR(IF(OR(E72='DICTIONARY-5'!$A$2,E72='DICTIONARY-5'!$A$4,ISBLANK(E72)),VLOOKUP(D72,LIST!$A$6:$M$3250,CURR_2.SEARCH.OLD,0),VLOOKUP(E72,LIST!$B$6:$M$3250,CURR_2.SEARCH.NEW,0)),'DICTIONARY-5'!$A$2)</f>
        <v/>
      </c>
      <c r="H72" s="42" t="s">
        <v>584</v>
      </c>
      <c r="I72" s="329" t="s">
        <v>3274</v>
      </c>
      <c r="J72" s="339" t="str">
        <f>IFERROR(IF(OR(I72='DICTIONARY-5'!$A$2,I72='DICTIONARY-5'!$A$4,ISBLANK(I72)),VLOOKUP(H72,LIST!$A$6:$L$3250,CURR_1.SEARCH.OLD,0),VLOOKUP(I72,LIST!$B$6:$L$3250,CURR_1.SEARCH.NEW,0)),'DICTIONARY-5'!$A$2)</f>
        <v>4 975,-</v>
      </c>
      <c r="K72" s="339" t="str">
        <f>IFERROR(IF(OR(I72='DICTIONARY-5'!$A$2,I72='DICTIONARY-5'!$A$4,ISBLANK(I72)),VLOOKUP(H72,LIST!$A$6:$M$3250,CURR_2.SEARCH.OLD,0),VLOOKUP(I72,LIST!$B$6:$M$3250,CURR_2.SEARCH.NEW,0)),'DICTIONARY-5'!$A$2)</f>
        <v/>
      </c>
    </row>
    <row r="73" spans="1:11" x14ac:dyDescent="0.25">
      <c r="A73" s="42">
        <v>600</v>
      </c>
      <c r="B73" s="42">
        <v>10</v>
      </c>
      <c r="C73" s="42">
        <v>154</v>
      </c>
      <c r="D73" s="42" t="s">
        <v>578</v>
      </c>
      <c r="E73" s="329" t="s">
        <v>3226</v>
      </c>
      <c r="F73" s="339" t="str">
        <f>IFERROR(IF(OR(E73='DICTIONARY-5'!$A$2,E73='DICTIONARY-5'!$A$4,ISBLANK(E73)),VLOOKUP(D73,LIST!$A$6:$L$3250,CURR_1.SEARCH.OLD,0),VLOOKUP(E73,LIST!$B$6:$L$3250,CURR_1.SEARCH.NEW,0)),'DICTIONARY-5'!$A$2)</f>
        <v>6 088,-</v>
      </c>
      <c r="G73" s="339" t="str">
        <f>IFERROR(IF(OR(E73='DICTIONARY-5'!$A$2,E73='DICTIONARY-5'!$A$4,ISBLANK(E73)),VLOOKUP(D73,LIST!$A$6:$M$3250,CURR_2.SEARCH.OLD,0),VLOOKUP(E73,LIST!$B$6:$M$3250,CURR_2.SEARCH.NEW,0)),'DICTIONARY-5'!$A$2)</f>
        <v/>
      </c>
      <c r="H73" s="42" t="s">
        <v>585</v>
      </c>
      <c r="I73" s="329" t="s">
        <v>3278</v>
      </c>
      <c r="J73" s="339" t="str">
        <f>IFERROR(IF(OR(I73='DICTIONARY-5'!$A$2,I73='DICTIONARY-5'!$A$4,ISBLANK(I73)),VLOOKUP(H73,LIST!$A$6:$L$3250,CURR_1.SEARCH.OLD,0),VLOOKUP(I73,LIST!$B$6:$L$3250,CURR_1.SEARCH.NEW,0)),'DICTIONARY-5'!$A$2)</f>
        <v>6 760,-</v>
      </c>
      <c r="K73" s="339" t="str">
        <f>IFERROR(IF(OR(I73='DICTIONARY-5'!$A$2,I73='DICTIONARY-5'!$A$4,ISBLANK(I73)),VLOOKUP(H73,LIST!$A$6:$M$3250,CURR_2.SEARCH.OLD,0),VLOOKUP(I73,LIST!$B$6:$M$3250,CURR_2.SEARCH.NEW,0)),'DICTIONARY-5'!$A$2)</f>
        <v/>
      </c>
    </row>
    <row r="75" spans="1:11" x14ac:dyDescent="0.25">
      <c r="A75" s="32" t="str">
        <f>'DICTIONARY-5'!$A$3&amp;"DN 700 ... 1400"</f>
        <v>Na zapytanie: DN 700 ... 1400</v>
      </c>
    </row>
    <row r="79" spans="1:11" ht="16.5" thickBot="1" x14ac:dyDescent="0.3">
      <c r="A79" s="81" t="str">
        <f>CONCATENATE('DICTIONARY-3'!$A$11," ",'DICTIONARY-3'!$A$189," / ",'DICTIONARY-3'!$A$251," FESTO")</f>
        <v>ZETA Zasuwa nożowa / Z napędem pneumatycznym FESTO</v>
      </c>
      <c r="B79" s="91"/>
      <c r="C79" s="91"/>
      <c r="D79" s="91"/>
      <c r="E79" s="91"/>
      <c r="F79" s="91"/>
      <c r="G79" s="91"/>
      <c r="H79" s="91"/>
      <c r="I79" s="91"/>
      <c r="J79" s="91"/>
      <c r="K79" s="91"/>
    </row>
    <row r="80" spans="1:11" x14ac:dyDescent="0.25">
      <c r="A80" s="36" t="str">
        <f>CONCATENATE('DICTIONARY-1'!$A$10,": ",SETTINGS!$C$25)</f>
        <v>Grupa rabatowa: ZETA (with Pneumatic Actuator)</v>
      </c>
    </row>
    <row r="81" spans="1:11" x14ac:dyDescent="0.25">
      <c r="A81" s="36"/>
    </row>
    <row r="82" spans="1:11" x14ac:dyDescent="0.25">
      <c r="A82" s="552" t="str">
        <f>'DICTIONARY-5'!$A$96&amp;" 1 - "&amp;'DICTIONARY-5'!$A$97</f>
        <v>Standard 1 - Napęd bez akcesoriów</v>
      </c>
    </row>
    <row r="83" spans="1:11" x14ac:dyDescent="0.25">
      <c r="A83" s="35"/>
      <c r="B83" s="35"/>
      <c r="C83" s="30"/>
      <c r="D83" s="30"/>
      <c r="E83" s="30"/>
      <c r="F83" s="31"/>
      <c r="G83" s="31"/>
    </row>
    <row r="84" spans="1:11" x14ac:dyDescent="0.25">
      <c r="A84" s="38" t="str">
        <f>'DICTIONARY-2'!$A$2</f>
        <v>DN</v>
      </c>
      <c r="B84" s="38" t="str">
        <f>'DICTIONARY-2'!$A$3</f>
        <v>PN</v>
      </c>
      <c r="C84" s="38" t="str">
        <f>'DICTIONARY-2'!$A$24</f>
        <v>L</v>
      </c>
      <c r="D84" s="960" t="str">
        <f>'DICTIONARY-3'!$A$11&amp;" + FESTO"&amp;" / "&amp;'DICTIONARY-5'!$A$96&amp;" 1"</f>
        <v>ZETA + FESTO / Standard 1</v>
      </c>
      <c r="E84" s="960"/>
      <c r="F84" s="960"/>
      <c r="G84" s="960"/>
      <c r="H84" s="960" t="str">
        <f>'DICTIONARY-3'!$A$11&amp;" + FESTO"&amp;" / "&amp;'DICTIONARY-5'!$A$96&amp;" 1"</f>
        <v>ZETA + FESTO / Standard 1</v>
      </c>
      <c r="I84" s="960"/>
      <c r="J84" s="960"/>
      <c r="K84" s="960"/>
    </row>
    <row r="85" spans="1:11" x14ac:dyDescent="0.25">
      <c r="A85" s="57"/>
      <c r="B85" s="57"/>
      <c r="C85" s="57"/>
      <c r="D85" s="961" t="str">
        <f>'DICTIONARY-5'!$A$93&amp;": "&amp;'DICTIONARY-5'!$A$32&amp;" "&amp;'DICTIONARY-5'!$A$34</f>
        <v>płyta zasuwowa: stal nierdzewna A2</v>
      </c>
      <c r="E85" s="961"/>
      <c r="F85" s="961"/>
      <c r="G85" s="961"/>
      <c r="H85" s="961" t="str">
        <f>'DICTIONARY-5'!$A$93&amp;": "&amp;'DICTIONARY-5'!$A$32&amp;" "&amp;'DICTIONARY-5'!$A$35</f>
        <v>płyta zasuwowa: stal nierdzewna A4</v>
      </c>
      <c r="I85" s="961"/>
      <c r="J85" s="961"/>
      <c r="K85" s="961"/>
    </row>
    <row r="86" spans="1:11" x14ac:dyDescent="0.25">
      <c r="A86" s="39"/>
      <c r="B86" s="39"/>
      <c r="C86" s="702" t="str">
        <f>'DICTIONARY-2'!$A$18</f>
        <v>[mm]</v>
      </c>
      <c r="D86" s="40" t="str">
        <f>'DICTIONARY-2'!$A$28</f>
        <v>stary nr zamówienia</v>
      </c>
      <c r="E86" s="40" t="str">
        <f>'DICTIONARY-2'!$A$29</f>
        <v>nowy nr zamówienia</v>
      </c>
      <c r="F86" s="41" t="str">
        <f>CURRENCY.CODE_1</f>
        <v>EUR</v>
      </c>
      <c r="G86" s="41" t="str">
        <f>CURRENCY.CODE_2</f>
        <v>---</v>
      </c>
      <c r="H86" s="40" t="str">
        <f>'DICTIONARY-2'!$A$28</f>
        <v>stary nr zamówienia</v>
      </c>
      <c r="I86" s="40" t="str">
        <f>'DICTIONARY-2'!$A$29</f>
        <v>nowy nr zamówienia</v>
      </c>
      <c r="J86" s="41" t="str">
        <f>CURRENCY.CODE_1</f>
        <v>EUR</v>
      </c>
      <c r="K86" s="41" t="str">
        <f>CURRENCY.CODE_2</f>
        <v>---</v>
      </c>
    </row>
    <row r="87" spans="1:11" x14ac:dyDescent="0.25">
      <c r="A87" s="42">
        <v>50</v>
      </c>
      <c r="B87" s="42">
        <v>10</v>
      </c>
      <c r="C87" s="42">
        <v>43</v>
      </c>
      <c r="D87" s="42"/>
      <c r="E87" s="329"/>
      <c r="F87" s="43"/>
      <c r="G87" s="43"/>
      <c r="H87" s="42" t="s">
        <v>586</v>
      </c>
      <c r="I87" s="329" t="s">
        <v>3231</v>
      </c>
      <c r="J87" s="339" t="str">
        <f>IFERROR(IF(OR(I87='DICTIONARY-5'!$A$2,I87='DICTIONARY-5'!$A$4,ISBLANK(I87)),VLOOKUP(H87,LIST!$A$6:$L$3250,CURR_1.SEARCH.OLD,0),VLOOKUP(I87,LIST!$B$6:$L$3250,CURR_1.SEARCH.NEW,0)),'DICTIONARY-5'!$A$2)</f>
        <v>702,-</v>
      </c>
      <c r="K87" s="339" t="str">
        <f>IFERROR(IF(OR(I87='DICTIONARY-5'!$A$2,I87='DICTIONARY-5'!$A$4,ISBLANK(I87)),VLOOKUP(H87,LIST!$A$6:$M$3250,CURR_2.SEARCH.OLD,0),VLOOKUP(I87,LIST!$B$6:$M$3250,CURR_2.SEARCH.NEW,0)),'DICTIONARY-5'!$A$2)</f>
        <v/>
      </c>
    </row>
    <row r="88" spans="1:11" x14ac:dyDescent="0.25">
      <c r="A88" s="42">
        <v>65</v>
      </c>
      <c r="B88" s="42">
        <v>10</v>
      </c>
      <c r="C88" s="42">
        <v>46</v>
      </c>
      <c r="D88" s="42"/>
      <c r="E88" s="329"/>
      <c r="F88" s="43"/>
      <c r="G88" s="43"/>
      <c r="H88" s="42" t="s">
        <v>589</v>
      </c>
      <c r="I88" s="329" t="s">
        <v>3235</v>
      </c>
      <c r="J88" s="339" t="str">
        <f>IFERROR(IF(OR(I88='DICTIONARY-5'!$A$2,I88='DICTIONARY-5'!$A$4,ISBLANK(I88)),VLOOKUP(H88,LIST!$A$6:$L$3250,CURR_1.SEARCH.OLD,0),VLOOKUP(I88,LIST!$B$6:$L$3250,CURR_1.SEARCH.NEW,0)),'DICTIONARY-5'!$A$2)</f>
        <v>700,-</v>
      </c>
      <c r="K88" s="339" t="str">
        <f>IFERROR(IF(OR(I88='DICTIONARY-5'!$A$2,I88='DICTIONARY-5'!$A$4,ISBLANK(I88)),VLOOKUP(H88,LIST!$A$6:$M$3250,CURR_2.SEARCH.OLD,0),VLOOKUP(I88,LIST!$B$6:$M$3250,CURR_2.SEARCH.NEW,0)),'DICTIONARY-5'!$A$2)</f>
        <v/>
      </c>
    </row>
    <row r="89" spans="1:11" x14ac:dyDescent="0.25">
      <c r="A89" s="42">
        <v>80</v>
      </c>
      <c r="B89" s="42">
        <v>10</v>
      </c>
      <c r="C89" s="42">
        <v>46</v>
      </c>
      <c r="D89" s="42"/>
      <c r="E89" s="329"/>
      <c r="F89" s="43"/>
      <c r="G89" s="43"/>
      <c r="H89" s="42" t="s">
        <v>592</v>
      </c>
      <c r="I89" s="329" t="s">
        <v>3239</v>
      </c>
      <c r="J89" s="339" t="str">
        <f>IFERROR(IF(OR(I89='DICTIONARY-5'!$A$2,I89='DICTIONARY-5'!$A$4,ISBLANK(I89)),VLOOKUP(H89,LIST!$A$6:$L$3250,CURR_1.SEARCH.OLD,0),VLOOKUP(I89,LIST!$B$6:$L$3250,CURR_1.SEARCH.NEW,0)),'DICTIONARY-5'!$A$2)</f>
        <v>747,-</v>
      </c>
      <c r="K89" s="339" t="str">
        <f>IFERROR(IF(OR(I89='DICTIONARY-5'!$A$2,I89='DICTIONARY-5'!$A$4,ISBLANK(I89)),VLOOKUP(H89,LIST!$A$6:$M$3250,CURR_2.SEARCH.OLD,0),VLOOKUP(I89,LIST!$B$6:$M$3250,CURR_2.SEARCH.NEW,0)),'DICTIONARY-5'!$A$2)</f>
        <v/>
      </c>
    </row>
    <row r="90" spans="1:11" x14ac:dyDescent="0.25">
      <c r="A90" s="42">
        <v>100</v>
      </c>
      <c r="B90" s="42">
        <v>10</v>
      </c>
      <c r="C90" s="42">
        <v>52</v>
      </c>
      <c r="D90" s="42"/>
      <c r="E90" s="329"/>
      <c r="F90" s="43"/>
      <c r="G90" s="43"/>
      <c r="H90" s="42" t="s">
        <v>595</v>
      </c>
      <c r="I90" s="329" t="s">
        <v>3243</v>
      </c>
      <c r="J90" s="339" t="str">
        <f>IFERROR(IF(OR(I90='DICTIONARY-5'!$A$2,I90='DICTIONARY-5'!$A$4,ISBLANK(I90)),VLOOKUP(H90,LIST!$A$6:$L$3250,CURR_1.SEARCH.OLD,0),VLOOKUP(I90,LIST!$B$6:$L$3250,CURR_1.SEARCH.NEW,0)),'DICTIONARY-5'!$A$2)</f>
        <v>848,-</v>
      </c>
      <c r="K90" s="339" t="str">
        <f>IFERROR(IF(OR(I90='DICTIONARY-5'!$A$2,I90='DICTIONARY-5'!$A$4,ISBLANK(I90)),VLOOKUP(H90,LIST!$A$6:$M$3250,CURR_2.SEARCH.OLD,0),VLOOKUP(I90,LIST!$B$6:$M$3250,CURR_2.SEARCH.NEW,0)),'DICTIONARY-5'!$A$2)</f>
        <v/>
      </c>
    </row>
    <row r="91" spans="1:11" x14ac:dyDescent="0.25">
      <c r="A91" s="42">
        <v>125</v>
      </c>
      <c r="B91" s="42">
        <v>10</v>
      </c>
      <c r="C91" s="42">
        <v>56</v>
      </c>
      <c r="D91" s="42"/>
      <c r="E91" s="329"/>
      <c r="F91" s="43"/>
      <c r="G91" s="43"/>
      <c r="H91" s="42" t="s">
        <v>598</v>
      </c>
      <c r="I91" s="329" t="s">
        <v>3247</v>
      </c>
      <c r="J91" s="339" t="str">
        <f>IFERROR(IF(OR(I91='DICTIONARY-5'!$A$2,I91='DICTIONARY-5'!$A$4,ISBLANK(I91)),VLOOKUP(H91,LIST!$A$6:$L$3250,CURR_1.SEARCH.OLD,0),VLOOKUP(I91,LIST!$B$6:$L$3250,CURR_1.SEARCH.NEW,0)),'DICTIONARY-5'!$A$2)</f>
        <v>1 197,-</v>
      </c>
      <c r="K91" s="339" t="str">
        <f>IFERROR(IF(OR(I91='DICTIONARY-5'!$A$2,I91='DICTIONARY-5'!$A$4,ISBLANK(I91)),VLOOKUP(H91,LIST!$A$6:$M$3250,CURR_2.SEARCH.OLD,0),VLOOKUP(I91,LIST!$B$6:$M$3250,CURR_2.SEARCH.NEW,0)),'DICTIONARY-5'!$A$2)</f>
        <v/>
      </c>
    </row>
    <row r="92" spans="1:11" x14ac:dyDescent="0.25">
      <c r="A92" s="42">
        <v>150</v>
      </c>
      <c r="B92" s="42">
        <v>10</v>
      </c>
      <c r="C92" s="42">
        <v>56</v>
      </c>
      <c r="D92" s="42"/>
      <c r="E92" s="329"/>
      <c r="F92" s="43"/>
      <c r="G92" s="43"/>
      <c r="H92" s="42" t="s">
        <v>601</v>
      </c>
      <c r="I92" s="329" t="s">
        <v>3251</v>
      </c>
      <c r="J92" s="339" t="str">
        <f>IFERROR(IF(OR(I92='DICTIONARY-5'!$A$2,I92='DICTIONARY-5'!$A$4,ISBLANK(I92)),VLOOKUP(H92,LIST!$A$6:$L$3250,CURR_1.SEARCH.OLD,0),VLOOKUP(I92,LIST!$B$6:$L$3250,CURR_1.SEARCH.NEW,0)),'DICTIONARY-5'!$A$2)</f>
        <v>1 468,-</v>
      </c>
      <c r="K92" s="339" t="str">
        <f>IFERROR(IF(OR(I92='DICTIONARY-5'!$A$2,I92='DICTIONARY-5'!$A$4,ISBLANK(I92)),VLOOKUP(H92,LIST!$A$6:$M$3250,CURR_2.SEARCH.OLD,0),VLOOKUP(I92,LIST!$B$6:$M$3250,CURR_2.SEARCH.NEW,0)),'DICTIONARY-5'!$A$2)</f>
        <v/>
      </c>
    </row>
    <row r="93" spans="1:11" x14ac:dyDescent="0.25">
      <c r="A93" s="42">
        <v>200</v>
      </c>
      <c r="B93" s="42">
        <v>10</v>
      </c>
      <c r="C93" s="42">
        <v>60</v>
      </c>
      <c r="D93" s="42" t="s">
        <v>604</v>
      </c>
      <c r="E93" s="329" t="s">
        <v>3203</v>
      </c>
      <c r="F93" s="339" t="str">
        <f>IFERROR(IF(OR(E93='DICTIONARY-5'!$A$2,E93='DICTIONARY-5'!$A$4,ISBLANK(E93)),VLOOKUP(D93,LIST!$A$6:$L$3250,CURR_1.SEARCH.OLD,0),VLOOKUP(E93,LIST!$B$6:$L$3250,CURR_1.SEARCH.NEW,0)),'DICTIONARY-5'!$A$2)</f>
        <v>1 592,-</v>
      </c>
      <c r="G93" s="339" t="str">
        <f>IFERROR(IF(OR(E93='DICTIONARY-5'!$A$2,E93='DICTIONARY-5'!$A$4,ISBLANK(E93)),VLOOKUP(D93,LIST!$A$6:$M$3250,CURR_2.SEARCH.OLD,0),VLOOKUP(E93,LIST!$B$6:$M$3250,CURR_2.SEARCH.NEW,0)),'DICTIONARY-5'!$A$2)</f>
        <v/>
      </c>
      <c r="H93" s="42" t="s">
        <v>625</v>
      </c>
      <c r="I93" s="329" t="s">
        <v>3255</v>
      </c>
      <c r="J93" s="339" t="str">
        <f>IFERROR(IF(OR(I93='DICTIONARY-5'!$A$2,I93='DICTIONARY-5'!$A$4,ISBLANK(I93)),VLOOKUP(H93,LIST!$A$6:$L$3250,CURR_1.SEARCH.OLD,0),VLOOKUP(I93,LIST!$B$6:$L$3250,CURR_1.SEARCH.NEW,0)),'DICTIONARY-5'!$A$2)</f>
        <v>1 662,-</v>
      </c>
      <c r="K93" s="339" t="str">
        <f>IFERROR(IF(OR(I93='DICTIONARY-5'!$A$2,I93='DICTIONARY-5'!$A$4,ISBLANK(I93)),VLOOKUP(H93,LIST!$A$6:$M$3250,CURR_2.SEARCH.OLD,0),VLOOKUP(I93,LIST!$B$6:$M$3250,CURR_2.SEARCH.NEW,0)),'DICTIONARY-5'!$A$2)</f>
        <v/>
      </c>
    </row>
    <row r="94" spans="1:11" x14ac:dyDescent="0.25">
      <c r="A94" s="42">
        <v>250</v>
      </c>
      <c r="B94" s="42">
        <v>10</v>
      </c>
      <c r="C94" s="42">
        <v>68</v>
      </c>
      <c r="D94" s="42" t="s">
        <v>607</v>
      </c>
      <c r="E94" s="329" t="s">
        <v>3207</v>
      </c>
      <c r="F94" s="339" t="str">
        <f>IFERROR(IF(OR(E94='DICTIONARY-5'!$A$2,E94='DICTIONARY-5'!$A$4,ISBLANK(E94)),VLOOKUP(D94,LIST!$A$6:$L$3250,CURR_1.SEARCH.OLD,0),VLOOKUP(E94,LIST!$B$6:$L$3250,CURR_1.SEARCH.NEW,0)),'DICTIONARY-5'!$A$2)</f>
        <v>2 012,-</v>
      </c>
      <c r="G94" s="339" t="str">
        <f>IFERROR(IF(OR(E94='DICTIONARY-5'!$A$2,E94='DICTIONARY-5'!$A$4,ISBLANK(E94)),VLOOKUP(D94,LIST!$A$6:$M$3250,CURR_2.SEARCH.OLD,0),VLOOKUP(E94,LIST!$B$6:$M$3250,CURR_2.SEARCH.NEW,0)),'DICTIONARY-5'!$A$2)</f>
        <v/>
      </c>
      <c r="H94" s="42" t="s">
        <v>628</v>
      </c>
      <c r="I94" s="329" t="s">
        <v>3259</v>
      </c>
      <c r="J94" s="339" t="str">
        <f>IFERROR(IF(OR(I94='DICTIONARY-5'!$A$2,I94='DICTIONARY-5'!$A$4,ISBLANK(I94)),VLOOKUP(H94,LIST!$A$6:$L$3250,CURR_1.SEARCH.OLD,0),VLOOKUP(I94,LIST!$B$6:$L$3250,CURR_1.SEARCH.NEW,0)),'DICTIONARY-5'!$A$2)</f>
        <v>2 039,-</v>
      </c>
      <c r="K94" s="339" t="str">
        <f>IFERROR(IF(OR(I94='DICTIONARY-5'!$A$2,I94='DICTIONARY-5'!$A$4,ISBLANK(I94)),VLOOKUP(H94,LIST!$A$6:$M$3250,CURR_2.SEARCH.OLD,0),VLOOKUP(I94,LIST!$B$6:$M$3250,CURR_2.SEARCH.NEW,0)),'DICTIONARY-5'!$A$2)</f>
        <v/>
      </c>
    </row>
    <row r="95" spans="1:11" x14ac:dyDescent="0.25">
      <c r="A95" s="42">
        <v>300</v>
      </c>
      <c r="B95" s="42">
        <v>10</v>
      </c>
      <c r="C95" s="42">
        <v>78</v>
      </c>
      <c r="D95" s="42" t="s">
        <v>610</v>
      </c>
      <c r="E95" s="329" t="s">
        <v>3211</v>
      </c>
      <c r="F95" s="339" t="str">
        <f>IFERROR(IF(OR(E95='DICTIONARY-5'!$A$2,E95='DICTIONARY-5'!$A$4,ISBLANK(E95)),VLOOKUP(D95,LIST!$A$6:$L$3250,CURR_1.SEARCH.OLD,0),VLOOKUP(E95,LIST!$B$6:$L$3250,CURR_1.SEARCH.NEW,0)),'DICTIONARY-5'!$A$2)</f>
        <v>3 124,-</v>
      </c>
      <c r="G95" s="339" t="str">
        <f>IFERROR(IF(OR(E95='DICTIONARY-5'!$A$2,E95='DICTIONARY-5'!$A$4,ISBLANK(E95)),VLOOKUP(D95,LIST!$A$6:$M$3250,CURR_2.SEARCH.OLD,0),VLOOKUP(E95,LIST!$B$6:$M$3250,CURR_2.SEARCH.NEW,0)),'DICTIONARY-5'!$A$2)</f>
        <v/>
      </c>
      <c r="H95" s="42" t="s">
        <v>631</v>
      </c>
      <c r="I95" s="329" t="s">
        <v>3263</v>
      </c>
      <c r="J95" s="339" t="str">
        <f>IFERROR(IF(OR(I95='DICTIONARY-5'!$A$2,I95='DICTIONARY-5'!$A$4,ISBLANK(I95)),VLOOKUP(H95,LIST!$A$6:$L$3250,CURR_1.SEARCH.OLD,0),VLOOKUP(I95,LIST!$B$6:$L$3250,CURR_1.SEARCH.NEW,0)),'DICTIONARY-5'!$A$2)</f>
        <v>3 199,-</v>
      </c>
      <c r="K95" s="339" t="str">
        <f>IFERROR(IF(OR(I95='DICTIONARY-5'!$A$2,I95='DICTIONARY-5'!$A$4,ISBLANK(I95)),VLOOKUP(H95,LIST!$A$6:$M$3250,CURR_2.SEARCH.OLD,0),VLOOKUP(I95,LIST!$B$6:$M$3250,CURR_2.SEARCH.NEW,0)),'DICTIONARY-5'!$A$2)</f>
        <v/>
      </c>
    </row>
    <row r="96" spans="1:11" x14ac:dyDescent="0.25">
      <c r="A96" s="42">
        <v>350</v>
      </c>
      <c r="B96" s="42">
        <v>10</v>
      </c>
      <c r="C96" s="42">
        <v>78</v>
      </c>
      <c r="D96" s="42" t="s">
        <v>613</v>
      </c>
      <c r="E96" s="329" t="s">
        <v>3215</v>
      </c>
      <c r="F96" s="339" t="str">
        <f>IFERROR(IF(OR(E96='DICTIONARY-5'!$A$2,E96='DICTIONARY-5'!$A$4,ISBLANK(E96)),VLOOKUP(D96,LIST!$A$6:$L$3250,CURR_1.SEARCH.OLD,0),VLOOKUP(E96,LIST!$B$6:$L$3250,CURR_1.SEARCH.NEW,0)),'DICTIONARY-5'!$A$2)</f>
        <v>3 538,-</v>
      </c>
      <c r="G96" s="339" t="str">
        <f>IFERROR(IF(OR(E96='DICTIONARY-5'!$A$2,E96='DICTIONARY-5'!$A$4,ISBLANK(E96)),VLOOKUP(D96,LIST!$A$6:$M$3250,CURR_2.SEARCH.OLD,0),VLOOKUP(E96,LIST!$B$6:$M$3250,CURR_2.SEARCH.NEW,0)),'DICTIONARY-5'!$A$2)</f>
        <v/>
      </c>
      <c r="H96" s="42" t="s">
        <v>634</v>
      </c>
      <c r="I96" s="329" t="s">
        <v>3267</v>
      </c>
      <c r="J96" s="339" t="str">
        <f>IFERROR(IF(OR(I96='DICTIONARY-5'!$A$2,I96='DICTIONARY-5'!$A$4,ISBLANK(I96)),VLOOKUP(H96,LIST!$A$6:$L$3250,CURR_1.SEARCH.OLD,0),VLOOKUP(I96,LIST!$B$6:$L$3250,CURR_1.SEARCH.NEW,0)),'DICTIONARY-5'!$A$2)</f>
        <v>3 731,-</v>
      </c>
      <c r="K96" s="339" t="str">
        <f>IFERROR(IF(OR(I96='DICTIONARY-5'!$A$2,I96='DICTIONARY-5'!$A$4,ISBLANK(I96)),VLOOKUP(H96,LIST!$A$6:$M$3250,CURR_2.SEARCH.OLD,0),VLOOKUP(I96,LIST!$B$6:$M$3250,CURR_2.SEARCH.NEW,0)),'DICTIONARY-5'!$A$2)</f>
        <v/>
      </c>
    </row>
    <row r="97" spans="1:11" x14ac:dyDescent="0.25">
      <c r="A97" s="42">
        <v>400</v>
      </c>
      <c r="B97" s="42">
        <v>10</v>
      </c>
      <c r="C97" s="42">
        <v>102</v>
      </c>
      <c r="D97" s="42" t="s">
        <v>616</v>
      </c>
      <c r="E97" s="329" t="s">
        <v>3219</v>
      </c>
      <c r="F97" s="339" t="str">
        <f>IFERROR(IF(OR(E97='DICTIONARY-5'!$A$2,E97='DICTIONARY-5'!$A$4,ISBLANK(E97)),VLOOKUP(D97,LIST!$A$6:$L$3250,CURR_1.SEARCH.OLD,0),VLOOKUP(E97,LIST!$B$6:$L$3250,CURR_1.SEARCH.NEW,0)),'DICTIONARY-5'!$A$2)</f>
        <v>4 243,-</v>
      </c>
      <c r="G97" s="339" t="str">
        <f>IFERROR(IF(OR(E97='DICTIONARY-5'!$A$2,E97='DICTIONARY-5'!$A$4,ISBLANK(E97)),VLOOKUP(D97,LIST!$A$6:$M$3250,CURR_2.SEARCH.OLD,0),VLOOKUP(E97,LIST!$B$6:$M$3250,CURR_2.SEARCH.NEW,0)),'DICTIONARY-5'!$A$2)</f>
        <v/>
      </c>
      <c r="H97" s="42" t="s">
        <v>637</v>
      </c>
      <c r="I97" s="329" t="s">
        <v>3271</v>
      </c>
      <c r="J97" s="339" t="str">
        <f>IFERROR(IF(OR(I97='DICTIONARY-5'!$A$2,I97='DICTIONARY-5'!$A$4,ISBLANK(I97)),VLOOKUP(H97,LIST!$A$6:$L$3250,CURR_1.SEARCH.OLD,0),VLOOKUP(I97,LIST!$B$6:$L$3250,CURR_1.SEARCH.NEW,0)),'DICTIONARY-5'!$A$2)</f>
        <v>4 445,-</v>
      </c>
      <c r="K97" s="339" t="str">
        <f>IFERROR(IF(OR(I97='DICTIONARY-5'!$A$2,I97='DICTIONARY-5'!$A$4,ISBLANK(I97)),VLOOKUP(H97,LIST!$A$6:$M$3250,CURR_2.SEARCH.OLD,0),VLOOKUP(I97,LIST!$B$6:$M$3250,CURR_2.SEARCH.NEW,0)),'DICTIONARY-5'!$A$2)</f>
        <v/>
      </c>
    </row>
    <row r="98" spans="1:11" x14ac:dyDescent="0.25">
      <c r="A98" s="42">
        <v>500</v>
      </c>
      <c r="B98" s="42">
        <v>10</v>
      </c>
      <c r="C98" s="42">
        <v>127</v>
      </c>
      <c r="D98" s="42" t="s">
        <v>619</v>
      </c>
      <c r="E98" s="329" t="s">
        <v>3223</v>
      </c>
      <c r="F98" s="339" t="str">
        <f>IFERROR(IF(OR(E98='DICTIONARY-5'!$A$2,E98='DICTIONARY-5'!$A$4,ISBLANK(E98)),VLOOKUP(D98,LIST!$A$6:$L$3250,CURR_1.SEARCH.OLD,0),VLOOKUP(E98,LIST!$B$6:$L$3250,CURR_1.SEARCH.NEW,0)),'DICTIONARY-5'!$A$2)</f>
        <v>7 351,-</v>
      </c>
      <c r="G98" s="339" t="str">
        <f>IFERROR(IF(OR(E98='DICTIONARY-5'!$A$2,E98='DICTIONARY-5'!$A$4,ISBLANK(E98)),VLOOKUP(D98,LIST!$A$6:$M$3250,CURR_2.SEARCH.OLD,0),VLOOKUP(E98,LIST!$B$6:$M$3250,CURR_2.SEARCH.NEW,0)),'DICTIONARY-5'!$A$2)</f>
        <v/>
      </c>
      <c r="H98" s="42" t="s">
        <v>640</v>
      </c>
      <c r="I98" s="329" t="s">
        <v>3275</v>
      </c>
      <c r="J98" s="339" t="str">
        <f>IFERROR(IF(OR(I98='DICTIONARY-5'!$A$2,I98='DICTIONARY-5'!$A$4,ISBLANK(I98)),VLOOKUP(H98,LIST!$A$6:$L$3250,CURR_1.SEARCH.OLD,0),VLOOKUP(I98,LIST!$B$6:$L$3250,CURR_1.SEARCH.NEW,0)),'DICTIONARY-5'!$A$2)</f>
        <v>8 016,-</v>
      </c>
      <c r="K98" s="339" t="str">
        <f>IFERROR(IF(OR(I98='DICTIONARY-5'!$A$2,I98='DICTIONARY-5'!$A$4,ISBLANK(I98)),VLOOKUP(H98,LIST!$A$6:$M$3250,CURR_2.SEARCH.OLD,0),VLOOKUP(I98,LIST!$B$6:$M$3250,CURR_2.SEARCH.NEW,0)),'DICTIONARY-5'!$A$2)</f>
        <v/>
      </c>
    </row>
    <row r="99" spans="1:11" x14ac:dyDescent="0.25">
      <c r="A99" s="42">
        <v>600</v>
      </c>
      <c r="B99" s="42">
        <v>10</v>
      </c>
      <c r="C99" s="42">
        <v>154</v>
      </c>
      <c r="D99" s="42" t="s">
        <v>622</v>
      </c>
      <c r="E99" s="329" t="s">
        <v>3227</v>
      </c>
      <c r="F99" s="339" t="str">
        <f>IFERROR(IF(OR(E99='DICTIONARY-5'!$A$2,E99='DICTIONARY-5'!$A$4,ISBLANK(E99)),VLOOKUP(D99,LIST!$A$6:$L$3250,CURR_1.SEARCH.OLD,0),VLOOKUP(E99,LIST!$B$6:$L$3250,CURR_1.SEARCH.NEW,0)),'DICTIONARY-5'!$A$2)</f>
        <v>12 111,-</v>
      </c>
      <c r="G99" s="339" t="str">
        <f>IFERROR(IF(OR(E99='DICTIONARY-5'!$A$2,E99='DICTIONARY-5'!$A$4,ISBLANK(E99)),VLOOKUP(D99,LIST!$A$6:$M$3250,CURR_2.SEARCH.OLD,0),VLOOKUP(E99,LIST!$B$6:$M$3250,CURR_2.SEARCH.NEW,0)),'DICTIONARY-5'!$A$2)</f>
        <v/>
      </c>
      <c r="H99" s="42" t="s">
        <v>643</v>
      </c>
      <c r="I99" s="329" t="s">
        <v>3279</v>
      </c>
      <c r="J99" s="339" t="str">
        <f>IFERROR(IF(OR(I99='DICTIONARY-5'!$A$2,I99='DICTIONARY-5'!$A$4,ISBLANK(I99)),VLOOKUP(H99,LIST!$A$6:$L$3250,CURR_1.SEARCH.OLD,0),VLOOKUP(I99,LIST!$B$6:$L$3250,CURR_1.SEARCH.NEW,0)),'DICTIONARY-5'!$A$2)</f>
        <v>12 796,-</v>
      </c>
      <c r="K99" s="339" t="str">
        <f>IFERROR(IF(OR(I99='DICTIONARY-5'!$A$2,I99='DICTIONARY-5'!$A$4,ISBLANK(I99)),VLOOKUP(H99,LIST!$A$6:$M$3250,CURR_2.SEARCH.OLD,0),VLOOKUP(I99,LIST!$B$6:$M$3250,CURR_2.SEARCH.NEW,0)),'DICTIONARY-5'!$A$2)</f>
        <v/>
      </c>
    </row>
    <row r="102" spans="1:11" x14ac:dyDescent="0.25">
      <c r="A102" s="552" t="str">
        <f>'DICTIONARY-5'!$A$96&amp;" 2 - "&amp;'DICTIONARY-5'!$A$98</f>
        <v>Standard 2 - Napęd z czujnikami połóżenia krańcowego SMT i zaworem dławiącym GRLA</v>
      </c>
    </row>
    <row r="103" spans="1:11" x14ac:dyDescent="0.25">
      <c r="A103" s="35"/>
      <c r="B103" s="35"/>
      <c r="C103" s="30"/>
      <c r="D103" s="30"/>
      <c r="E103" s="30"/>
      <c r="F103" s="31"/>
      <c r="G103" s="31"/>
    </row>
    <row r="104" spans="1:11" x14ac:dyDescent="0.25">
      <c r="A104" s="38" t="str">
        <f>'DICTIONARY-2'!$A$2</f>
        <v>DN</v>
      </c>
      <c r="B104" s="38" t="str">
        <f>'DICTIONARY-2'!$A$3</f>
        <v>PN</v>
      </c>
      <c r="C104" s="38" t="str">
        <f>'DICTIONARY-2'!$A$24</f>
        <v>L</v>
      </c>
      <c r="D104" s="960" t="str">
        <f>'DICTIONARY-3'!$A$11&amp;" + FESTO"&amp;" / "&amp;'DICTIONARY-5'!$A$96&amp;" 2"</f>
        <v>ZETA + FESTO / Standard 2</v>
      </c>
      <c r="E104" s="960"/>
      <c r="F104" s="960"/>
      <c r="G104" s="960"/>
      <c r="H104" s="960" t="str">
        <f>'DICTIONARY-3'!$A$11&amp;" + FESTO"&amp;" / "&amp;'DICTIONARY-5'!$A$96&amp;" 2"</f>
        <v>ZETA + FESTO / Standard 2</v>
      </c>
      <c r="I104" s="960"/>
      <c r="J104" s="960"/>
      <c r="K104" s="960"/>
    </row>
    <row r="105" spans="1:11" x14ac:dyDescent="0.25">
      <c r="A105" s="57"/>
      <c r="B105" s="57"/>
      <c r="C105" s="57"/>
      <c r="D105" s="961" t="str">
        <f>'DICTIONARY-5'!$A$93&amp;": "&amp;'DICTIONARY-5'!$A$32&amp;" "&amp;'DICTIONARY-5'!$A$34</f>
        <v>płyta zasuwowa: stal nierdzewna A2</v>
      </c>
      <c r="E105" s="961"/>
      <c r="F105" s="961"/>
      <c r="G105" s="961"/>
      <c r="H105" s="961" t="str">
        <f>'DICTIONARY-5'!$A$93&amp;": "&amp;'DICTIONARY-5'!$A$32&amp;" "&amp;'DICTIONARY-5'!$A$35</f>
        <v>płyta zasuwowa: stal nierdzewna A4</v>
      </c>
      <c r="I105" s="961"/>
      <c r="J105" s="961"/>
      <c r="K105" s="961"/>
    </row>
    <row r="106" spans="1:11" x14ac:dyDescent="0.25">
      <c r="A106" s="39"/>
      <c r="B106" s="39"/>
      <c r="C106" s="702" t="str">
        <f>'DICTIONARY-2'!$A$18</f>
        <v>[mm]</v>
      </c>
      <c r="D106" s="40" t="str">
        <f>'DICTIONARY-2'!$A$28</f>
        <v>stary nr zamówienia</v>
      </c>
      <c r="E106" s="40" t="str">
        <f>'DICTIONARY-2'!$A$29</f>
        <v>nowy nr zamówienia</v>
      </c>
      <c r="F106" s="41" t="str">
        <f>CURRENCY.CODE_1</f>
        <v>EUR</v>
      </c>
      <c r="G106" s="41" t="str">
        <f>CURRENCY.CODE_2</f>
        <v>---</v>
      </c>
      <c r="H106" s="40" t="str">
        <f>'DICTIONARY-2'!$A$28</f>
        <v>stary nr zamówienia</v>
      </c>
      <c r="I106" s="40" t="str">
        <f>'DICTIONARY-2'!$A$29</f>
        <v>nowy nr zamówienia</v>
      </c>
      <c r="J106" s="41" t="str">
        <f>CURRENCY.CODE_1</f>
        <v>EUR</v>
      </c>
      <c r="K106" s="41" t="str">
        <f>CURRENCY.CODE_2</f>
        <v>---</v>
      </c>
    </row>
    <row r="107" spans="1:11" x14ac:dyDescent="0.25">
      <c r="A107" s="42">
        <v>50</v>
      </c>
      <c r="B107" s="42">
        <v>10</v>
      </c>
      <c r="C107" s="42">
        <v>43</v>
      </c>
      <c r="D107" s="42"/>
      <c r="E107" s="329"/>
      <c r="F107" s="43"/>
      <c r="G107" s="43"/>
      <c r="H107" s="42" t="s">
        <v>587</v>
      </c>
      <c r="I107" s="329" t="s">
        <v>3232</v>
      </c>
      <c r="J107" s="339" t="str">
        <f>IFERROR(IF(OR(I107='DICTIONARY-5'!$A$2,I107='DICTIONARY-5'!$A$4,ISBLANK(I107)),VLOOKUP(H107,LIST!$A$6:$L$3250,CURR_1.SEARCH.OLD,0),VLOOKUP(I107,LIST!$B$6:$L$3250,CURR_1.SEARCH.NEW,0)),'DICTIONARY-5'!$A$2)</f>
        <v>912,-</v>
      </c>
      <c r="K107" s="339" t="str">
        <f>IFERROR(IF(OR(I107='DICTIONARY-5'!$A$2,I107='DICTIONARY-5'!$A$4,ISBLANK(I107)),VLOOKUP(H107,LIST!$A$6:$M$3250,CURR_2.SEARCH.OLD,0),VLOOKUP(I107,LIST!$B$6:$M$3250,CURR_2.SEARCH.NEW,0)),'DICTIONARY-5'!$A$2)</f>
        <v/>
      </c>
    </row>
    <row r="108" spans="1:11" x14ac:dyDescent="0.25">
      <c r="A108" s="42">
        <v>65</v>
      </c>
      <c r="B108" s="42">
        <v>10</v>
      </c>
      <c r="C108" s="42">
        <v>46</v>
      </c>
      <c r="D108" s="42"/>
      <c r="E108" s="329"/>
      <c r="F108" s="43"/>
      <c r="G108" s="43"/>
      <c r="H108" s="42" t="s">
        <v>590</v>
      </c>
      <c r="I108" s="329" t="s">
        <v>3236</v>
      </c>
      <c r="J108" s="339" t="str">
        <f>IFERROR(IF(OR(I108='DICTIONARY-5'!$A$2,I108='DICTIONARY-5'!$A$4,ISBLANK(I108)),VLOOKUP(H108,LIST!$A$6:$L$3250,CURR_1.SEARCH.OLD,0),VLOOKUP(I108,LIST!$B$6:$L$3250,CURR_1.SEARCH.NEW,0)),'DICTIONARY-5'!$A$2)</f>
        <v>911,-</v>
      </c>
      <c r="K108" s="339" t="str">
        <f>IFERROR(IF(OR(I108='DICTIONARY-5'!$A$2,I108='DICTIONARY-5'!$A$4,ISBLANK(I108)),VLOOKUP(H108,LIST!$A$6:$M$3250,CURR_2.SEARCH.OLD,0),VLOOKUP(I108,LIST!$B$6:$M$3250,CURR_2.SEARCH.NEW,0)),'DICTIONARY-5'!$A$2)</f>
        <v/>
      </c>
    </row>
    <row r="109" spans="1:11" x14ac:dyDescent="0.25">
      <c r="A109" s="42">
        <v>80</v>
      </c>
      <c r="B109" s="42">
        <v>10</v>
      </c>
      <c r="C109" s="42">
        <v>46</v>
      </c>
      <c r="D109" s="42"/>
      <c r="E109" s="329"/>
      <c r="F109" s="43"/>
      <c r="G109" s="43"/>
      <c r="H109" s="42" t="s">
        <v>593</v>
      </c>
      <c r="I109" s="329" t="s">
        <v>3240</v>
      </c>
      <c r="J109" s="339" t="str">
        <f>IFERROR(IF(OR(I109='DICTIONARY-5'!$A$2,I109='DICTIONARY-5'!$A$4,ISBLANK(I109)),VLOOKUP(H109,LIST!$A$6:$L$3250,CURR_1.SEARCH.OLD,0),VLOOKUP(I109,LIST!$B$6:$L$3250,CURR_1.SEARCH.NEW,0)),'DICTIONARY-5'!$A$2)</f>
        <v>960,-</v>
      </c>
      <c r="K109" s="339" t="str">
        <f>IFERROR(IF(OR(I109='DICTIONARY-5'!$A$2,I109='DICTIONARY-5'!$A$4,ISBLANK(I109)),VLOOKUP(H109,LIST!$A$6:$M$3250,CURR_2.SEARCH.OLD,0),VLOOKUP(I109,LIST!$B$6:$M$3250,CURR_2.SEARCH.NEW,0)),'DICTIONARY-5'!$A$2)</f>
        <v/>
      </c>
    </row>
    <row r="110" spans="1:11" x14ac:dyDescent="0.25">
      <c r="A110" s="42">
        <v>100</v>
      </c>
      <c r="B110" s="42">
        <v>10</v>
      </c>
      <c r="C110" s="42">
        <v>52</v>
      </c>
      <c r="D110" s="42"/>
      <c r="E110" s="329"/>
      <c r="F110" s="43"/>
      <c r="G110" s="43"/>
      <c r="H110" s="42" t="s">
        <v>596</v>
      </c>
      <c r="I110" s="329" t="s">
        <v>3244</v>
      </c>
      <c r="J110" s="339" t="str">
        <f>IFERROR(IF(OR(I110='DICTIONARY-5'!$A$2,I110='DICTIONARY-5'!$A$4,ISBLANK(I110)),VLOOKUP(H110,LIST!$A$6:$L$3250,CURR_1.SEARCH.OLD,0),VLOOKUP(I110,LIST!$B$6:$L$3250,CURR_1.SEARCH.NEW,0)),'DICTIONARY-5'!$A$2)</f>
        <v>1 066,-</v>
      </c>
      <c r="K110" s="339" t="str">
        <f>IFERROR(IF(OR(I110='DICTIONARY-5'!$A$2,I110='DICTIONARY-5'!$A$4,ISBLANK(I110)),VLOOKUP(H110,LIST!$A$6:$M$3250,CURR_2.SEARCH.OLD,0),VLOOKUP(I110,LIST!$B$6:$M$3250,CURR_2.SEARCH.NEW,0)),'DICTIONARY-5'!$A$2)</f>
        <v/>
      </c>
    </row>
    <row r="111" spans="1:11" x14ac:dyDescent="0.25">
      <c r="A111" s="42">
        <v>125</v>
      </c>
      <c r="B111" s="42">
        <v>10</v>
      </c>
      <c r="C111" s="42">
        <v>56</v>
      </c>
      <c r="D111" s="42"/>
      <c r="E111" s="329"/>
      <c r="F111" s="43"/>
      <c r="G111" s="43"/>
      <c r="H111" s="42" t="s">
        <v>599</v>
      </c>
      <c r="I111" s="329" t="s">
        <v>3248</v>
      </c>
      <c r="J111" s="339" t="str">
        <f>IFERROR(IF(OR(I111='DICTIONARY-5'!$A$2,I111='DICTIONARY-5'!$A$4,ISBLANK(I111)),VLOOKUP(H111,LIST!$A$6:$L$3250,CURR_1.SEARCH.OLD,0),VLOOKUP(I111,LIST!$B$6:$L$3250,CURR_1.SEARCH.NEW,0)),'DICTIONARY-5'!$A$2)</f>
        <v>1 412,-</v>
      </c>
      <c r="K111" s="339" t="str">
        <f>IFERROR(IF(OR(I111='DICTIONARY-5'!$A$2,I111='DICTIONARY-5'!$A$4,ISBLANK(I111)),VLOOKUP(H111,LIST!$A$6:$M$3250,CURR_2.SEARCH.OLD,0),VLOOKUP(I111,LIST!$B$6:$M$3250,CURR_2.SEARCH.NEW,0)),'DICTIONARY-5'!$A$2)</f>
        <v/>
      </c>
    </row>
    <row r="112" spans="1:11" x14ac:dyDescent="0.25">
      <c r="A112" s="42">
        <v>150</v>
      </c>
      <c r="B112" s="42">
        <v>10</v>
      </c>
      <c r="C112" s="42">
        <v>56</v>
      </c>
      <c r="D112" s="42"/>
      <c r="E112" s="329"/>
      <c r="F112" s="43"/>
      <c r="G112" s="43"/>
      <c r="H112" s="42" t="s">
        <v>602</v>
      </c>
      <c r="I112" s="329" t="s">
        <v>3252</v>
      </c>
      <c r="J112" s="339" t="str">
        <f>IFERROR(IF(OR(I112='DICTIONARY-5'!$A$2,I112='DICTIONARY-5'!$A$4,ISBLANK(I112)),VLOOKUP(H112,LIST!$A$6:$L$3250,CURR_1.SEARCH.OLD,0),VLOOKUP(I112,LIST!$B$6:$L$3250,CURR_1.SEARCH.NEW,0)),'DICTIONARY-5'!$A$2)</f>
        <v>1 636,-</v>
      </c>
      <c r="K112" s="339" t="str">
        <f>IFERROR(IF(OR(I112='DICTIONARY-5'!$A$2,I112='DICTIONARY-5'!$A$4,ISBLANK(I112)),VLOOKUP(H112,LIST!$A$6:$M$3250,CURR_2.SEARCH.OLD,0),VLOOKUP(I112,LIST!$B$6:$M$3250,CURR_2.SEARCH.NEW,0)),'DICTIONARY-5'!$A$2)</f>
        <v/>
      </c>
    </row>
    <row r="113" spans="1:11" x14ac:dyDescent="0.25">
      <c r="A113" s="42">
        <v>200</v>
      </c>
      <c r="B113" s="42">
        <v>10</v>
      </c>
      <c r="C113" s="42">
        <v>60</v>
      </c>
      <c r="D113" s="42" t="s">
        <v>605</v>
      </c>
      <c r="E113" s="329" t="s">
        <v>3204</v>
      </c>
      <c r="F113" s="339" t="str">
        <f>IFERROR(IF(OR(E113='DICTIONARY-5'!$A$2,E113='DICTIONARY-5'!$A$4,ISBLANK(E113)),VLOOKUP(D113,LIST!$A$6:$L$3250,CURR_1.SEARCH.OLD,0),VLOOKUP(E113,LIST!$B$6:$L$3250,CURR_1.SEARCH.NEW,0)),'DICTIONARY-5'!$A$2)</f>
        <v>1 807,-</v>
      </c>
      <c r="G113" s="339" t="str">
        <f>IFERROR(IF(OR(E113='DICTIONARY-5'!$A$2,E113='DICTIONARY-5'!$A$4,ISBLANK(E113)),VLOOKUP(D113,LIST!$A$6:$M$3250,CURR_2.SEARCH.OLD,0),VLOOKUP(E113,LIST!$B$6:$M$3250,CURR_2.SEARCH.NEW,0)),'DICTIONARY-5'!$A$2)</f>
        <v/>
      </c>
      <c r="H113" s="42" t="s">
        <v>626</v>
      </c>
      <c r="I113" s="329" t="s">
        <v>3256</v>
      </c>
      <c r="J113" s="339" t="str">
        <f>IFERROR(IF(OR(I113='DICTIONARY-5'!$A$2,I113='DICTIONARY-5'!$A$4,ISBLANK(I113)),VLOOKUP(H113,LIST!$A$6:$L$3250,CURR_1.SEARCH.OLD,0),VLOOKUP(I113,LIST!$B$6:$L$3250,CURR_1.SEARCH.NEW,0)),'DICTIONARY-5'!$A$2)</f>
        <v>1 828,-</v>
      </c>
      <c r="K113" s="339" t="str">
        <f>IFERROR(IF(OR(I113='DICTIONARY-5'!$A$2,I113='DICTIONARY-5'!$A$4,ISBLANK(I113)),VLOOKUP(H113,LIST!$A$6:$M$3250,CURR_2.SEARCH.OLD,0),VLOOKUP(I113,LIST!$B$6:$M$3250,CURR_2.SEARCH.NEW,0)),'DICTIONARY-5'!$A$2)</f>
        <v/>
      </c>
    </row>
    <row r="114" spans="1:11" x14ac:dyDescent="0.25">
      <c r="A114" s="42">
        <v>250</v>
      </c>
      <c r="B114" s="42">
        <v>10</v>
      </c>
      <c r="C114" s="42">
        <v>68</v>
      </c>
      <c r="D114" s="42" t="s">
        <v>608</v>
      </c>
      <c r="E114" s="329" t="s">
        <v>3208</v>
      </c>
      <c r="F114" s="339" t="str">
        <f>IFERROR(IF(OR(E114='DICTIONARY-5'!$A$2,E114='DICTIONARY-5'!$A$4,ISBLANK(E114)),VLOOKUP(D114,LIST!$A$6:$L$3250,CURR_1.SEARCH.OLD,0),VLOOKUP(E114,LIST!$B$6:$L$3250,CURR_1.SEARCH.NEW,0)),'DICTIONARY-5'!$A$2)</f>
        <v>2 229,-</v>
      </c>
      <c r="G114" s="339" t="str">
        <f>IFERROR(IF(OR(E114='DICTIONARY-5'!$A$2,E114='DICTIONARY-5'!$A$4,ISBLANK(E114)),VLOOKUP(D114,LIST!$A$6:$M$3250,CURR_2.SEARCH.OLD,0),VLOOKUP(E114,LIST!$B$6:$M$3250,CURR_2.SEARCH.NEW,0)),'DICTIONARY-5'!$A$2)</f>
        <v/>
      </c>
      <c r="H114" s="42" t="s">
        <v>629</v>
      </c>
      <c r="I114" s="329" t="s">
        <v>3260</v>
      </c>
      <c r="J114" s="339" t="str">
        <f>IFERROR(IF(OR(I114='DICTIONARY-5'!$A$2,I114='DICTIONARY-5'!$A$4,ISBLANK(I114)),VLOOKUP(H114,LIST!$A$6:$L$3250,CURR_1.SEARCH.OLD,0),VLOOKUP(I114,LIST!$B$6:$L$3250,CURR_1.SEARCH.NEW,0)),'DICTIONARY-5'!$A$2)</f>
        <v>2 294,-</v>
      </c>
      <c r="K114" s="339" t="str">
        <f>IFERROR(IF(OR(I114='DICTIONARY-5'!$A$2,I114='DICTIONARY-5'!$A$4,ISBLANK(I114)),VLOOKUP(H114,LIST!$A$6:$M$3250,CURR_2.SEARCH.OLD,0),VLOOKUP(I114,LIST!$B$6:$M$3250,CURR_2.SEARCH.NEW,0)),'DICTIONARY-5'!$A$2)</f>
        <v/>
      </c>
    </row>
    <row r="115" spans="1:11" x14ac:dyDescent="0.25">
      <c r="A115" s="42">
        <v>300</v>
      </c>
      <c r="B115" s="42">
        <v>10</v>
      </c>
      <c r="C115" s="42">
        <v>78</v>
      </c>
      <c r="D115" s="42" t="s">
        <v>611</v>
      </c>
      <c r="E115" s="329" t="s">
        <v>3212</v>
      </c>
      <c r="F115" s="339" t="str">
        <f>IFERROR(IF(OR(E115='DICTIONARY-5'!$A$2,E115='DICTIONARY-5'!$A$4,ISBLANK(E115)),VLOOKUP(D115,LIST!$A$6:$L$3250,CURR_1.SEARCH.OLD,0),VLOOKUP(E115,LIST!$B$6:$L$3250,CURR_1.SEARCH.NEW,0)),'DICTIONARY-5'!$A$2)</f>
        <v>3 338,-</v>
      </c>
      <c r="G115" s="339" t="str">
        <f>IFERROR(IF(OR(E115='DICTIONARY-5'!$A$2,E115='DICTIONARY-5'!$A$4,ISBLANK(E115)),VLOOKUP(D115,LIST!$A$6:$M$3250,CURR_2.SEARCH.OLD,0),VLOOKUP(E115,LIST!$B$6:$M$3250,CURR_2.SEARCH.NEW,0)),'DICTIONARY-5'!$A$2)</f>
        <v/>
      </c>
      <c r="H115" s="42" t="s">
        <v>632</v>
      </c>
      <c r="I115" s="329" t="s">
        <v>3264</v>
      </c>
      <c r="J115" s="339" t="str">
        <f>IFERROR(IF(OR(I115='DICTIONARY-5'!$A$2,I115='DICTIONARY-5'!$A$4,ISBLANK(I115)),VLOOKUP(H115,LIST!$A$6:$L$3250,CURR_1.SEARCH.OLD,0),VLOOKUP(I115,LIST!$B$6:$L$3250,CURR_1.SEARCH.NEW,0)),'DICTIONARY-5'!$A$2)</f>
        <v>3 426,-</v>
      </c>
      <c r="K115" s="339" t="str">
        <f>IFERROR(IF(OR(I115='DICTIONARY-5'!$A$2,I115='DICTIONARY-5'!$A$4,ISBLANK(I115)),VLOOKUP(H115,LIST!$A$6:$M$3250,CURR_2.SEARCH.OLD,0),VLOOKUP(I115,LIST!$B$6:$M$3250,CURR_2.SEARCH.NEW,0)),'DICTIONARY-5'!$A$2)</f>
        <v/>
      </c>
    </row>
    <row r="116" spans="1:11" x14ac:dyDescent="0.25">
      <c r="A116" s="42">
        <v>350</v>
      </c>
      <c r="B116" s="42">
        <v>10</v>
      </c>
      <c r="C116" s="42">
        <v>78</v>
      </c>
      <c r="D116" s="42" t="s">
        <v>614</v>
      </c>
      <c r="E116" s="329" t="s">
        <v>3216</v>
      </c>
      <c r="F116" s="339" t="str">
        <f>IFERROR(IF(OR(E116='DICTIONARY-5'!$A$2,E116='DICTIONARY-5'!$A$4,ISBLANK(E116)),VLOOKUP(D116,LIST!$A$6:$L$3250,CURR_1.SEARCH.OLD,0),VLOOKUP(E116,LIST!$B$6:$L$3250,CURR_1.SEARCH.NEW,0)),'DICTIONARY-5'!$A$2)</f>
        <v>3 752,-</v>
      </c>
      <c r="G116" s="339" t="str">
        <f>IFERROR(IF(OR(E116='DICTIONARY-5'!$A$2,E116='DICTIONARY-5'!$A$4,ISBLANK(E116)),VLOOKUP(D116,LIST!$A$6:$M$3250,CURR_2.SEARCH.OLD,0),VLOOKUP(E116,LIST!$B$6:$M$3250,CURR_2.SEARCH.NEW,0)),'DICTIONARY-5'!$A$2)</f>
        <v/>
      </c>
      <c r="H116" s="42" t="s">
        <v>635</v>
      </c>
      <c r="I116" s="329" t="s">
        <v>3268</v>
      </c>
      <c r="J116" s="339" t="str">
        <f>IFERROR(IF(OR(I116='DICTIONARY-5'!$A$2,I116='DICTIONARY-5'!$A$4,ISBLANK(I116)),VLOOKUP(H116,LIST!$A$6:$L$3250,CURR_1.SEARCH.OLD,0),VLOOKUP(I116,LIST!$B$6:$L$3250,CURR_1.SEARCH.NEW,0)),'DICTIONARY-5'!$A$2)</f>
        <v>3 942,-</v>
      </c>
      <c r="K116" s="339" t="str">
        <f>IFERROR(IF(OR(I116='DICTIONARY-5'!$A$2,I116='DICTIONARY-5'!$A$4,ISBLANK(I116)),VLOOKUP(H116,LIST!$A$6:$M$3250,CURR_2.SEARCH.OLD,0),VLOOKUP(I116,LIST!$B$6:$M$3250,CURR_2.SEARCH.NEW,0)),'DICTIONARY-5'!$A$2)</f>
        <v/>
      </c>
    </row>
    <row r="117" spans="1:11" x14ac:dyDescent="0.25">
      <c r="A117" s="42">
        <v>400</v>
      </c>
      <c r="B117" s="42">
        <v>10</v>
      </c>
      <c r="C117" s="42">
        <v>102</v>
      </c>
      <c r="D117" s="42" t="s">
        <v>617</v>
      </c>
      <c r="E117" s="329" t="s">
        <v>3220</v>
      </c>
      <c r="F117" s="339" t="str">
        <f>IFERROR(IF(OR(E117='DICTIONARY-5'!$A$2,E117='DICTIONARY-5'!$A$4,ISBLANK(E117)),VLOOKUP(D117,LIST!$A$6:$L$3250,CURR_1.SEARCH.OLD,0),VLOOKUP(E117,LIST!$B$6:$L$3250,CURR_1.SEARCH.NEW,0)),'DICTIONARY-5'!$A$2)</f>
        <v>4 455,-</v>
      </c>
      <c r="G117" s="339" t="str">
        <f>IFERROR(IF(OR(E117='DICTIONARY-5'!$A$2,E117='DICTIONARY-5'!$A$4,ISBLANK(E117)),VLOOKUP(D117,LIST!$A$6:$M$3250,CURR_2.SEARCH.OLD,0),VLOOKUP(E117,LIST!$B$6:$M$3250,CURR_2.SEARCH.NEW,0)),'DICTIONARY-5'!$A$2)</f>
        <v/>
      </c>
      <c r="H117" s="42" t="s">
        <v>638</v>
      </c>
      <c r="I117" s="329" t="s">
        <v>3272</v>
      </c>
      <c r="J117" s="339" t="str">
        <f>IFERROR(IF(OR(I117='DICTIONARY-5'!$A$2,I117='DICTIONARY-5'!$A$4,ISBLANK(I117)),VLOOKUP(H117,LIST!$A$6:$L$3250,CURR_1.SEARCH.OLD,0),VLOOKUP(I117,LIST!$B$6:$L$3250,CURR_1.SEARCH.NEW,0)),'DICTIONARY-5'!$A$2)</f>
        <v>4 655,-</v>
      </c>
      <c r="K117" s="339" t="str">
        <f>IFERROR(IF(OR(I117='DICTIONARY-5'!$A$2,I117='DICTIONARY-5'!$A$4,ISBLANK(I117)),VLOOKUP(H117,LIST!$A$6:$M$3250,CURR_2.SEARCH.OLD,0),VLOOKUP(I117,LIST!$B$6:$M$3250,CURR_2.SEARCH.NEW,0)),'DICTIONARY-5'!$A$2)</f>
        <v/>
      </c>
    </row>
    <row r="118" spans="1:11" x14ac:dyDescent="0.25">
      <c r="A118" s="42">
        <v>500</v>
      </c>
      <c r="B118" s="42">
        <v>10</v>
      </c>
      <c r="C118" s="42">
        <v>127</v>
      </c>
      <c r="D118" s="42" t="s">
        <v>620</v>
      </c>
      <c r="E118" s="329" t="s">
        <v>3224</v>
      </c>
      <c r="F118" s="339" t="str">
        <f>IFERROR(IF(OR(E118='DICTIONARY-5'!$A$2,E118='DICTIONARY-5'!$A$4,ISBLANK(E118)),VLOOKUP(D118,LIST!$A$6:$L$3250,CURR_1.SEARCH.OLD,0),VLOOKUP(E118,LIST!$B$6:$L$3250,CURR_1.SEARCH.NEW,0)),'DICTIONARY-5'!$A$2)</f>
        <v>7 559,-</v>
      </c>
      <c r="G118" s="339" t="str">
        <f>IFERROR(IF(OR(E118='DICTIONARY-5'!$A$2,E118='DICTIONARY-5'!$A$4,ISBLANK(E118)),VLOOKUP(D118,LIST!$A$6:$M$3250,CURR_2.SEARCH.OLD,0),VLOOKUP(E118,LIST!$B$6:$M$3250,CURR_2.SEARCH.NEW,0)),'DICTIONARY-5'!$A$2)</f>
        <v/>
      </c>
      <c r="H118" s="42" t="s">
        <v>641</v>
      </c>
      <c r="I118" s="329" t="s">
        <v>3276</v>
      </c>
      <c r="J118" s="339" t="str">
        <f>IFERROR(IF(OR(I118='DICTIONARY-5'!$A$2,I118='DICTIONARY-5'!$A$4,ISBLANK(I118)),VLOOKUP(H118,LIST!$A$6:$L$3250,CURR_1.SEARCH.OLD,0),VLOOKUP(I118,LIST!$B$6:$L$3250,CURR_1.SEARCH.NEW,0)),'DICTIONARY-5'!$A$2)</f>
        <v>8 224,-</v>
      </c>
      <c r="K118" s="339" t="str">
        <f>IFERROR(IF(OR(I118='DICTIONARY-5'!$A$2,I118='DICTIONARY-5'!$A$4,ISBLANK(I118)),VLOOKUP(H118,LIST!$A$6:$M$3250,CURR_2.SEARCH.OLD,0),VLOOKUP(I118,LIST!$B$6:$M$3250,CURR_2.SEARCH.NEW,0)),'DICTIONARY-5'!$A$2)</f>
        <v/>
      </c>
    </row>
    <row r="119" spans="1:11" x14ac:dyDescent="0.25">
      <c r="A119" s="42">
        <v>600</v>
      </c>
      <c r="B119" s="42">
        <v>10</v>
      </c>
      <c r="C119" s="42">
        <v>154</v>
      </c>
      <c r="D119" s="42" t="s">
        <v>623</v>
      </c>
      <c r="E119" s="329" t="s">
        <v>3228</v>
      </c>
      <c r="F119" s="339" t="str">
        <f>IFERROR(IF(OR(E119='DICTIONARY-5'!$A$2,E119='DICTIONARY-5'!$A$4,ISBLANK(E119)),VLOOKUP(D119,LIST!$A$6:$L$3250,CURR_1.SEARCH.OLD,0),VLOOKUP(E119,LIST!$B$6:$L$3250,CURR_1.SEARCH.NEW,0)),'DICTIONARY-5'!$A$2)</f>
        <v>12 314,-</v>
      </c>
      <c r="G119" s="339" t="str">
        <f>IFERROR(IF(OR(E119='DICTIONARY-5'!$A$2,E119='DICTIONARY-5'!$A$4,ISBLANK(E119)),VLOOKUP(D119,LIST!$A$6:$M$3250,CURR_2.SEARCH.OLD,0),VLOOKUP(E119,LIST!$B$6:$M$3250,CURR_2.SEARCH.NEW,0)),'DICTIONARY-5'!$A$2)</f>
        <v/>
      </c>
      <c r="H119" s="42" t="s">
        <v>644</v>
      </c>
      <c r="I119" s="329" t="s">
        <v>3280</v>
      </c>
      <c r="J119" s="339" t="str">
        <f>IFERROR(IF(OR(I119='DICTIONARY-5'!$A$2,I119='DICTIONARY-5'!$A$4,ISBLANK(I119)),VLOOKUP(H119,LIST!$A$6:$L$3250,CURR_1.SEARCH.OLD,0),VLOOKUP(I119,LIST!$B$6:$L$3250,CURR_1.SEARCH.NEW,0)),'DICTIONARY-5'!$A$2)</f>
        <v>13 000,-</v>
      </c>
      <c r="K119" s="339" t="str">
        <f>IFERROR(IF(OR(I119='DICTIONARY-5'!$A$2,I119='DICTIONARY-5'!$A$4,ISBLANK(I119)),VLOOKUP(H119,LIST!$A$6:$M$3250,CURR_2.SEARCH.OLD,0),VLOOKUP(I119,LIST!$B$6:$M$3250,CURR_2.SEARCH.NEW,0)),'DICTIONARY-5'!$A$2)</f>
        <v/>
      </c>
    </row>
    <row r="122" spans="1:11" x14ac:dyDescent="0.25">
      <c r="A122" s="552" t="str">
        <f>'DICTIONARY-5'!$A$96&amp;" 3 - "&amp;'DICTIONARY-5'!$A$99</f>
        <v>Standard 3 - Napęd z czujnikami połóżenia krańcowego SMT, zaworem dławiącym GRE i solenoidowym zaworem NVF 3</v>
      </c>
    </row>
    <row r="123" spans="1:11" x14ac:dyDescent="0.25">
      <c r="A123" s="35"/>
      <c r="B123" s="35"/>
      <c r="C123" s="30"/>
      <c r="D123" s="30"/>
      <c r="E123" s="30"/>
      <c r="F123" s="31"/>
      <c r="G123" s="31"/>
    </row>
    <row r="124" spans="1:11" x14ac:dyDescent="0.25">
      <c r="A124" s="38" t="str">
        <f>'DICTIONARY-2'!$A$2</f>
        <v>DN</v>
      </c>
      <c r="B124" s="38" t="str">
        <f>'DICTIONARY-2'!$A$3</f>
        <v>PN</v>
      </c>
      <c r="C124" s="38" t="str">
        <f>'DICTIONARY-2'!$A$24</f>
        <v>L</v>
      </c>
      <c r="D124" s="960" t="str">
        <f>'DICTIONARY-3'!$A$11&amp;" + FESTO"&amp;" / "&amp;'DICTIONARY-5'!$A$96&amp;" 3"</f>
        <v>ZETA + FESTO / Standard 3</v>
      </c>
      <c r="E124" s="960"/>
      <c r="F124" s="960"/>
      <c r="G124" s="960"/>
      <c r="H124" s="960" t="str">
        <f>'DICTIONARY-3'!$A$11&amp;" + FESTO"&amp;" / "&amp;'DICTIONARY-5'!$A$96&amp;" 3"</f>
        <v>ZETA + FESTO / Standard 3</v>
      </c>
      <c r="I124" s="960"/>
      <c r="J124" s="960"/>
      <c r="K124" s="960"/>
    </row>
    <row r="125" spans="1:11" x14ac:dyDescent="0.25">
      <c r="A125" s="57"/>
      <c r="B125" s="57"/>
      <c r="C125" s="57"/>
      <c r="D125" s="961" t="str">
        <f>'DICTIONARY-5'!$A$93&amp;": "&amp;'DICTIONARY-5'!$A$32&amp;" "&amp;'DICTIONARY-5'!$A$34</f>
        <v>płyta zasuwowa: stal nierdzewna A2</v>
      </c>
      <c r="E125" s="961"/>
      <c r="F125" s="961"/>
      <c r="G125" s="961"/>
      <c r="H125" s="961" t="str">
        <f>'DICTIONARY-5'!$A$93&amp;": "&amp;'DICTIONARY-5'!$A$32&amp;" "&amp;'DICTIONARY-5'!$A$35</f>
        <v>płyta zasuwowa: stal nierdzewna A4</v>
      </c>
      <c r="I125" s="961"/>
      <c r="J125" s="961"/>
      <c r="K125" s="961"/>
    </row>
    <row r="126" spans="1:11" x14ac:dyDescent="0.25">
      <c r="A126" s="39"/>
      <c r="B126" s="39"/>
      <c r="C126" s="702" t="str">
        <f>'DICTIONARY-2'!$A$18</f>
        <v>[mm]</v>
      </c>
      <c r="D126" s="40" t="str">
        <f>'DICTIONARY-2'!$A$28</f>
        <v>stary nr zamówienia</v>
      </c>
      <c r="E126" s="40" t="str">
        <f>'DICTIONARY-2'!$A$29</f>
        <v>nowy nr zamówienia</v>
      </c>
      <c r="F126" s="41" t="str">
        <f>CURRENCY.CODE_1</f>
        <v>EUR</v>
      </c>
      <c r="G126" s="41" t="str">
        <f>CURRENCY.CODE_2</f>
        <v>---</v>
      </c>
      <c r="H126" s="40" t="str">
        <f>'DICTIONARY-2'!$A$28</f>
        <v>stary nr zamówienia</v>
      </c>
      <c r="I126" s="40" t="str">
        <f>'DICTIONARY-2'!$A$29</f>
        <v>nowy nr zamówienia</v>
      </c>
      <c r="J126" s="41" t="str">
        <f>CURRENCY.CODE_1</f>
        <v>EUR</v>
      </c>
      <c r="K126" s="41" t="str">
        <f>CURRENCY.CODE_2</f>
        <v>---</v>
      </c>
    </row>
    <row r="127" spans="1:11" x14ac:dyDescent="0.25">
      <c r="A127" s="42">
        <v>50</v>
      </c>
      <c r="B127" s="42">
        <v>10</v>
      </c>
      <c r="C127" s="42">
        <v>43</v>
      </c>
      <c r="D127" s="42"/>
      <c r="E127" s="329"/>
      <c r="F127" s="43"/>
      <c r="G127" s="43"/>
      <c r="H127" s="42" t="s">
        <v>588</v>
      </c>
      <c r="I127" s="329" t="s">
        <v>3233</v>
      </c>
      <c r="J127" s="339" t="str">
        <f>IFERROR(IF(OR(I127='DICTIONARY-5'!$A$2,I127='DICTIONARY-5'!$A$4,ISBLANK(I127)),VLOOKUP(H127,LIST!$A$6:$L$3250,CURR_1.SEARCH.OLD,0),VLOOKUP(I127,LIST!$B$6:$L$3250,CURR_1.SEARCH.NEW,0)),'DICTIONARY-5'!$A$2)</f>
        <v>1 032,-</v>
      </c>
      <c r="K127" s="339" t="str">
        <f>IFERROR(IF(OR(I127='DICTIONARY-5'!$A$2,I127='DICTIONARY-5'!$A$4,ISBLANK(I127)),VLOOKUP(H127,LIST!$A$6:$M$3250,CURR_2.SEARCH.OLD,0),VLOOKUP(I127,LIST!$B$6:$M$3250,CURR_2.SEARCH.NEW,0)),'DICTIONARY-5'!$A$2)</f>
        <v/>
      </c>
    </row>
    <row r="128" spans="1:11" x14ac:dyDescent="0.25">
      <c r="A128" s="42">
        <v>65</v>
      </c>
      <c r="B128" s="42">
        <v>10</v>
      </c>
      <c r="C128" s="42">
        <v>46</v>
      </c>
      <c r="D128" s="42"/>
      <c r="E128" s="329"/>
      <c r="F128" s="43"/>
      <c r="G128" s="43"/>
      <c r="H128" s="42" t="s">
        <v>591</v>
      </c>
      <c r="I128" s="329" t="s">
        <v>3237</v>
      </c>
      <c r="J128" s="339" t="str">
        <f>IFERROR(IF(OR(I128='DICTIONARY-5'!$A$2,I128='DICTIONARY-5'!$A$4,ISBLANK(I128)),VLOOKUP(H128,LIST!$A$6:$L$3250,CURR_1.SEARCH.OLD,0),VLOOKUP(I128,LIST!$B$6:$L$3250,CURR_1.SEARCH.NEW,0)),'DICTIONARY-5'!$A$2)</f>
        <v>1 030,-</v>
      </c>
      <c r="K128" s="339" t="str">
        <f>IFERROR(IF(OR(I128='DICTIONARY-5'!$A$2,I128='DICTIONARY-5'!$A$4,ISBLANK(I128)),VLOOKUP(H128,LIST!$A$6:$M$3250,CURR_2.SEARCH.OLD,0),VLOOKUP(I128,LIST!$B$6:$M$3250,CURR_2.SEARCH.NEW,0)),'DICTIONARY-5'!$A$2)</f>
        <v/>
      </c>
    </row>
    <row r="129" spans="1:11" x14ac:dyDescent="0.25">
      <c r="A129" s="42">
        <v>80</v>
      </c>
      <c r="B129" s="42">
        <v>10</v>
      </c>
      <c r="C129" s="42">
        <v>46</v>
      </c>
      <c r="D129" s="42"/>
      <c r="E129" s="329"/>
      <c r="F129" s="43"/>
      <c r="G129" s="43"/>
      <c r="H129" s="42" t="s">
        <v>594</v>
      </c>
      <c r="I129" s="329" t="s">
        <v>3241</v>
      </c>
      <c r="J129" s="339" t="str">
        <f>IFERROR(IF(OR(I129='DICTIONARY-5'!$A$2,I129='DICTIONARY-5'!$A$4,ISBLANK(I129)),VLOOKUP(H129,LIST!$A$6:$L$3250,CURR_1.SEARCH.OLD,0),VLOOKUP(I129,LIST!$B$6:$L$3250,CURR_1.SEARCH.NEW,0)),'DICTIONARY-5'!$A$2)</f>
        <v>1 078,-</v>
      </c>
      <c r="K129" s="339" t="str">
        <f>IFERROR(IF(OR(I129='DICTIONARY-5'!$A$2,I129='DICTIONARY-5'!$A$4,ISBLANK(I129)),VLOOKUP(H129,LIST!$A$6:$M$3250,CURR_2.SEARCH.OLD,0),VLOOKUP(I129,LIST!$B$6:$M$3250,CURR_2.SEARCH.NEW,0)),'DICTIONARY-5'!$A$2)</f>
        <v/>
      </c>
    </row>
    <row r="130" spans="1:11" x14ac:dyDescent="0.25">
      <c r="A130" s="42">
        <v>100</v>
      </c>
      <c r="B130" s="42">
        <v>10</v>
      </c>
      <c r="C130" s="42">
        <v>52</v>
      </c>
      <c r="D130" s="42"/>
      <c r="E130" s="329"/>
      <c r="F130" s="43"/>
      <c r="G130" s="43"/>
      <c r="H130" s="42" t="s">
        <v>597</v>
      </c>
      <c r="I130" s="329" t="s">
        <v>3245</v>
      </c>
      <c r="J130" s="339" t="str">
        <f>IFERROR(IF(OR(I130='DICTIONARY-5'!$A$2,I130='DICTIONARY-5'!$A$4,ISBLANK(I130)),VLOOKUP(H130,LIST!$A$6:$L$3250,CURR_1.SEARCH.OLD,0),VLOOKUP(I130,LIST!$B$6:$L$3250,CURR_1.SEARCH.NEW,0)),'DICTIONARY-5'!$A$2)</f>
        <v>1 185,-</v>
      </c>
      <c r="K130" s="339" t="str">
        <f>IFERROR(IF(OR(I130='DICTIONARY-5'!$A$2,I130='DICTIONARY-5'!$A$4,ISBLANK(I130)),VLOOKUP(H130,LIST!$A$6:$M$3250,CURR_2.SEARCH.OLD,0),VLOOKUP(I130,LIST!$B$6:$M$3250,CURR_2.SEARCH.NEW,0)),'DICTIONARY-5'!$A$2)</f>
        <v/>
      </c>
    </row>
    <row r="131" spans="1:11" x14ac:dyDescent="0.25">
      <c r="A131" s="42">
        <v>125</v>
      </c>
      <c r="B131" s="42">
        <v>10</v>
      </c>
      <c r="C131" s="42">
        <v>56</v>
      </c>
      <c r="D131" s="42"/>
      <c r="E131" s="329"/>
      <c r="F131" s="43"/>
      <c r="G131" s="43"/>
      <c r="H131" s="42" t="s">
        <v>600</v>
      </c>
      <c r="I131" s="329" t="s">
        <v>3249</v>
      </c>
      <c r="J131" s="339" t="str">
        <f>IFERROR(IF(OR(I131='DICTIONARY-5'!$A$2,I131='DICTIONARY-5'!$A$4,ISBLANK(I131)),VLOOKUP(H131,LIST!$A$6:$L$3250,CURR_1.SEARCH.OLD,0),VLOOKUP(I131,LIST!$B$6:$L$3250,CURR_1.SEARCH.NEW,0)),'DICTIONARY-5'!$A$2)</f>
        <v>1 531,-</v>
      </c>
      <c r="K131" s="339" t="str">
        <f>IFERROR(IF(OR(I131='DICTIONARY-5'!$A$2,I131='DICTIONARY-5'!$A$4,ISBLANK(I131)),VLOOKUP(H131,LIST!$A$6:$M$3250,CURR_2.SEARCH.OLD,0),VLOOKUP(I131,LIST!$B$6:$M$3250,CURR_2.SEARCH.NEW,0)),'DICTIONARY-5'!$A$2)</f>
        <v/>
      </c>
    </row>
    <row r="132" spans="1:11" x14ac:dyDescent="0.25">
      <c r="A132" s="42">
        <v>150</v>
      </c>
      <c r="B132" s="42">
        <v>10</v>
      </c>
      <c r="C132" s="42">
        <v>56</v>
      </c>
      <c r="D132" s="42"/>
      <c r="E132" s="329"/>
      <c r="F132" s="43"/>
      <c r="G132" s="43"/>
      <c r="H132" s="42" t="s">
        <v>603</v>
      </c>
      <c r="I132" s="329" t="s">
        <v>3253</v>
      </c>
      <c r="J132" s="339" t="str">
        <f>IFERROR(IF(OR(I132='DICTIONARY-5'!$A$2,I132='DICTIONARY-5'!$A$4,ISBLANK(I132)),VLOOKUP(H132,LIST!$A$6:$L$3250,CURR_1.SEARCH.OLD,0),VLOOKUP(I132,LIST!$B$6:$L$3250,CURR_1.SEARCH.NEW,0)),'DICTIONARY-5'!$A$2)</f>
        <v>1 755,-</v>
      </c>
      <c r="K132" s="339" t="str">
        <f>IFERROR(IF(OR(I132='DICTIONARY-5'!$A$2,I132='DICTIONARY-5'!$A$4,ISBLANK(I132)),VLOOKUP(H132,LIST!$A$6:$M$3250,CURR_2.SEARCH.OLD,0),VLOOKUP(I132,LIST!$B$6:$M$3250,CURR_2.SEARCH.NEW,0)),'DICTIONARY-5'!$A$2)</f>
        <v/>
      </c>
    </row>
    <row r="133" spans="1:11" x14ac:dyDescent="0.25">
      <c r="A133" s="42">
        <v>200</v>
      </c>
      <c r="B133" s="42">
        <v>10</v>
      </c>
      <c r="C133" s="42">
        <v>60</v>
      </c>
      <c r="D133" s="42" t="s">
        <v>606</v>
      </c>
      <c r="E133" s="329" t="s">
        <v>3205</v>
      </c>
      <c r="F133" s="339" t="str">
        <f>IFERROR(IF(OR(E133='DICTIONARY-5'!$A$2,E133='DICTIONARY-5'!$A$4,ISBLANK(E133)),VLOOKUP(D133,LIST!$A$6:$L$3250,CURR_1.SEARCH.OLD,0),VLOOKUP(E133,LIST!$B$6:$L$3250,CURR_1.SEARCH.NEW,0)),'DICTIONARY-5'!$A$2)</f>
        <v>1 925,-</v>
      </c>
      <c r="G133" s="339" t="str">
        <f>IFERROR(IF(OR(E133='DICTIONARY-5'!$A$2,E133='DICTIONARY-5'!$A$4,ISBLANK(E133)),VLOOKUP(D133,LIST!$A$6:$M$3250,CURR_2.SEARCH.OLD,0),VLOOKUP(E133,LIST!$B$6:$M$3250,CURR_2.SEARCH.NEW,0)),'DICTIONARY-5'!$A$2)</f>
        <v/>
      </c>
      <c r="H133" s="42" t="s">
        <v>627</v>
      </c>
      <c r="I133" s="329" t="s">
        <v>3257</v>
      </c>
      <c r="J133" s="339" t="str">
        <f>IFERROR(IF(OR(I133='DICTIONARY-5'!$A$2,I133='DICTIONARY-5'!$A$4,ISBLANK(I133)),VLOOKUP(H133,LIST!$A$6:$L$3250,CURR_1.SEARCH.OLD,0),VLOOKUP(I133,LIST!$B$6:$L$3250,CURR_1.SEARCH.NEW,0)),'DICTIONARY-5'!$A$2)</f>
        <v>1 947,-</v>
      </c>
      <c r="K133" s="339" t="str">
        <f>IFERROR(IF(OR(I133='DICTIONARY-5'!$A$2,I133='DICTIONARY-5'!$A$4,ISBLANK(I133)),VLOOKUP(H133,LIST!$A$6:$M$3250,CURR_2.SEARCH.OLD,0),VLOOKUP(I133,LIST!$B$6:$M$3250,CURR_2.SEARCH.NEW,0)),'DICTIONARY-5'!$A$2)</f>
        <v/>
      </c>
    </row>
    <row r="134" spans="1:11" x14ac:dyDescent="0.25">
      <c r="A134" s="42">
        <v>250</v>
      </c>
      <c r="B134" s="42">
        <v>10</v>
      </c>
      <c r="C134" s="42">
        <v>68</v>
      </c>
      <c r="D134" s="42" t="s">
        <v>609</v>
      </c>
      <c r="E134" s="329" t="s">
        <v>3209</v>
      </c>
      <c r="F134" s="339" t="str">
        <f>IFERROR(IF(OR(E134='DICTIONARY-5'!$A$2,E134='DICTIONARY-5'!$A$4,ISBLANK(E134)),VLOOKUP(D134,LIST!$A$6:$L$3250,CURR_1.SEARCH.OLD,0),VLOOKUP(E134,LIST!$B$6:$L$3250,CURR_1.SEARCH.NEW,0)),'DICTIONARY-5'!$A$2)</f>
        <v>2 347,-</v>
      </c>
      <c r="G134" s="339" t="str">
        <f>IFERROR(IF(OR(E134='DICTIONARY-5'!$A$2,E134='DICTIONARY-5'!$A$4,ISBLANK(E134)),VLOOKUP(D134,LIST!$A$6:$M$3250,CURR_2.SEARCH.OLD,0),VLOOKUP(E134,LIST!$B$6:$M$3250,CURR_2.SEARCH.NEW,0)),'DICTIONARY-5'!$A$2)</f>
        <v/>
      </c>
      <c r="H134" s="42" t="s">
        <v>630</v>
      </c>
      <c r="I134" s="329" t="s">
        <v>3261</v>
      </c>
      <c r="J134" s="339" t="str">
        <f>IFERROR(IF(OR(I134='DICTIONARY-5'!$A$2,I134='DICTIONARY-5'!$A$4,ISBLANK(I134)),VLOOKUP(H134,LIST!$A$6:$L$3250,CURR_1.SEARCH.OLD,0),VLOOKUP(I134,LIST!$B$6:$L$3250,CURR_1.SEARCH.NEW,0)),'DICTIONARY-5'!$A$2)</f>
        <v>2 412,-</v>
      </c>
      <c r="K134" s="339" t="str">
        <f>IFERROR(IF(OR(I134='DICTIONARY-5'!$A$2,I134='DICTIONARY-5'!$A$4,ISBLANK(I134)),VLOOKUP(H134,LIST!$A$6:$M$3250,CURR_2.SEARCH.OLD,0),VLOOKUP(I134,LIST!$B$6:$M$3250,CURR_2.SEARCH.NEW,0)),'DICTIONARY-5'!$A$2)</f>
        <v/>
      </c>
    </row>
    <row r="135" spans="1:11" x14ac:dyDescent="0.25">
      <c r="A135" s="42">
        <v>300</v>
      </c>
      <c r="B135" s="42">
        <v>10</v>
      </c>
      <c r="C135" s="42">
        <v>78</v>
      </c>
      <c r="D135" s="42" t="s">
        <v>612</v>
      </c>
      <c r="E135" s="329" t="s">
        <v>3213</v>
      </c>
      <c r="F135" s="339" t="str">
        <f>IFERROR(IF(OR(E135='DICTIONARY-5'!$A$2,E135='DICTIONARY-5'!$A$4,ISBLANK(E135)),VLOOKUP(D135,LIST!$A$6:$L$3250,CURR_1.SEARCH.OLD,0),VLOOKUP(E135,LIST!$B$6:$L$3250,CURR_1.SEARCH.NEW,0)),'DICTIONARY-5'!$A$2)</f>
        <v>3 458,-</v>
      </c>
      <c r="G135" s="339" t="str">
        <f>IFERROR(IF(OR(E135='DICTIONARY-5'!$A$2,E135='DICTIONARY-5'!$A$4,ISBLANK(E135)),VLOOKUP(D135,LIST!$A$6:$M$3250,CURR_2.SEARCH.OLD,0),VLOOKUP(E135,LIST!$B$6:$M$3250,CURR_2.SEARCH.NEW,0)),'DICTIONARY-5'!$A$2)</f>
        <v/>
      </c>
      <c r="H135" s="42" t="s">
        <v>633</v>
      </c>
      <c r="I135" s="329" t="s">
        <v>3265</v>
      </c>
      <c r="J135" s="339" t="str">
        <f>IFERROR(IF(OR(I135='DICTIONARY-5'!$A$2,I135='DICTIONARY-5'!$A$4,ISBLANK(I135)),VLOOKUP(H135,LIST!$A$6:$L$3250,CURR_1.SEARCH.OLD,0),VLOOKUP(I135,LIST!$B$6:$L$3250,CURR_1.SEARCH.NEW,0)),'DICTIONARY-5'!$A$2)</f>
        <v>3 545,-</v>
      </c>
      <c r="K135" s="339" t="str">
        <f>IFERROR(IF(OR(I135='DICTIONARY-5'!$A$2,I135='DICTIONARY-5'!$A$4,ISBLANK(I135)),VLOOKUP(H135,LIST!$A$6:$M$3250,CURR_2.SEARCH.OLD,0),VLOOKUP(I135,LIST!$B$6:$M$3250,CURR_2.SEARCH.NEW,0)),'DICTIONARY-5'!$A$2)</f>
        <v/>
      </c>
    </row>
    <row r="136" spans="1:11" x14ac:dyDescent="0.25">
      <c r="A136" s="42">
        <v>350</v>
      </c>
      <c r="B136" s="42">
        <v>10</v>
      </c>
      <c r="C136" s="42">
        <v>78</v>
      </c>
      <c r="D136" s="42" t="s">
        <v>615</v>
      </c>
      <c r="E136" s="329" t="s">
        <v>3217</v>
      </c>
      <c r="F136" s="339" t="str">
        <f>IFERROR(IF(OR(E136='DICTIONARY-5'!$A$2,E136='DICTIONARY-5'!$A$4,ISBLANK(E136)),VLOOKUP(D136,LIST!$A$6:$L$3250,CURR_1.SEARCH.OLD,0),VLOOKUP(E136,LIST!$B$6:$L$3250,CURR_1.SEARCH.NEW,0)),'DICTIONARY-5'!$A$2)</f>
        <v>3 870,-</v>
      </c>
      <c r="G136" s="339" t="str">
        <f>IFERROR(IF(OR(E136='DICTIONARY-5'!$A$2,E136='DICTIONARY-5'!$A$4,ISBLANK(E136)),VLOOKUP(D136,LIST!$A$6:$M$3250,CURR_2.SEARCH.OLD,0),VLOOKUP(E136,LIST!$B$6:$M$3250,CURR_2.SEARCH.NEW,0)),'DICTIONARY-5'!$A$2)</f>
        <v/>
      </c>
      <c r="H136" s="42" t="s">
        <v>636</v>
      </c>
      <c r="I136" s="329" t="s">
        <v>3269</v>
      </c>
      <c r="J136" s="339" t="str">
        <f>IFERROR(IF(OR(I136='DICTIONARY-5'!$A$2,I136='DICTIONARY-5'!$A$4,ISBLANK(I136)),VLOOKUP(H136,LIST!$A$6:$L$3250,CURR_1.SEARCH.OLD,0),VLOOKUP(I136,LIST!$B$6:$L$3250,CURR_1.SEARCH.NEW,0)),'DICTIONARY-5'!$A$2)</f>
        <v>4 061,-</v>
      </c>
      <c r="K136" s="339" t="str">
        <f>IFERROR(IF(OR(I136='DICTIONARY-5'!$A$2,I136='DICTIONARY-5'!$A$4,ISBLANK(I136)),VLOOKUP(H136,LIST!$A$6:$M$3250,CURR_2.SEARCH.OLD,0),VLOOKUP(I136,LIST!$B$6:$M$3250,CURR_2.SEARCH.NEW,0)),'DICTIONARY-5'!$A$2)</f>
        <v/>
      </c>
    </row>
    <row r="137" spans="1:11" x14ac:dyDescent="0.25">
      <c r="A137" s="42">
        <v>400</v>
      </c>
      <c r="B137" s="42">
        <v>10</v>
      </c>
      <c r="C137" s="42">
        <v>102</v>
      </c>
      <c r="D137" s="42" t="s">
        <v>618</v>
      </c>
      <c r="E137" s="329" t="s">
        <v>3221</v>
      </c>
      <c r="F137" s="339" t="str">
        <f>IFERROR(IF(OR(E137='DICTIONARY-5'!$A$2,E137='DICTIONARY-5'!$A$4,ISBLANK(E137)),VLOOKUP(D137,LIST!$A$6:$L$3250,CURR_1.SEARCH.OLD,0),VLOOKUP(E137,LIST!$B$6:$L$3250,CURR_1.SEARCH.NEW,0)),'DICTIONARY-5'!$A$2)</f>
        <v>4 573,-</v>
      </c>
      <c r="G137" s="339" t="str">
        <f>IFERROR(IF(OR(E137='DICTIONARY-5'!$A$2,E137='DICTIONARY-5'!$A$4,ISBLANK(E137)),VLOOKUP(D137,LIST!$A$6:$M$3250,CURR_2.SEARCH.OLD,0),VLOOKUP(E137,LIST!$B$6:$M$3250,CURR_2.SEARCH.NEW,0)),'DICTIONARY-5'!$A$2)</f>
        <v/>
      </c>
      <c r="H137" s="42" t="s">
        <v>639</v>
      </c>
      <c r="I137" s="329" t="s">
        <v>3273</v>
      </c>
      <c r="J137" s="339" t="str">
        <f>IFERROR(IF(OR(I137='DICTIONARY-5'!$A$2,I137='DICTIONARY-5'!$A$4,ISBLANK(I137)),VLOOKUP(H137,LIST!$A$6:$L$3250,CURR_1.SEARCH.OLD,0),VLOOKUP(I137,LIST!$B$6:$L$3250,CURR_1.SEARCH.NEW,0)),'DICTIONARY-5'!$A$2)</f>
        <v>4 776,-</v>
      </c>
      <c r="K137" s="339" t="str">
        <f>IFERROR(IF(OR(I137='DICTIONARY-5'!$A$2,I137='DICTIONARY-5'!$A$4,ISBLANK(I137)),VLOOKUP(H137,LIST!$A$6:$M$3250,CURR_2.SEARCH.OLD,0),VLOOKUP(I137,LIST!$B$6:$M$3250,CURR_2.SEARCH.NEW,0)),'DICTIONARY-5'!$A$2)</f>
        <v/>
      </c>
    </row>
    <row r="138" spans="1:11" x14ac:dyDescent="0.25">
      <c r="A138" s="42">
        <v>500</v>
      </c>
      <c r="B138" s="42">
        <v>10</v>
      </c>
      <c r="C138" s="42">
        <v>127</v>
      </c>
      <c r="D138" s="42" t="s">
        <v>621</v>
      </c>
      <c r="E138" s="329" t="s">
        <v>3225</v>
      </c>
      <c r="F138" s="339" t="str">
        <f>IFERROR(IF(OR(E138='DICTIONARY-5'!$A$2,E138='DICTIONARY-5'!$A$4,ISBLANK(E138)),VLOOKUP(D138,LIST!$A$6:$L$3250,CURR_1.SEARCH.OLD,0),VLOOKUP(E138,LIST!$B$6:$L$3250,CURR_1.SEARCH.NEW,0)),'DICTIONARY-5'!$A$2)</f>
        <v>7 678,-</v>
      </c>
      <c r="G138" s="339" t="str">
        <f>IFERROR(IF(OR(E138='DICTIONARY-5'!$A$2,E138='DICTIONARY-5'!$A$4,ISBLANK(E138)),VLOOKUP(D138,LIST!$A$6:$M$3250,CURR_2.SEARCH.OLD,0),VLOOKUP(E138,LIST!$B$6:$M$3250,CURR_2.SEARCH.NEW,0)),'DICTIONARY-5'!$A$2)</f>
        <v/>
      </c>
      <c r="H138" s="42" t="s">
        <v>642</v>
      </c>
      <c r="I138" s="329" t="s">
        <v>3277</v>
      </c>
      <c r="J138" s="339" t="str">
        <f>IFERROR(IF(OR(I138='DICTIONARY-5'!$A$2,I138='DICTIONARY-5'!$A$4,ISBLANK(I138)),VLOOKUP(H138,LIST!$A$6:$L$3250,CURR_1.SEARCH.OLD,0),VLOOKUP(I138,LIST!$B$6:$L$3250,CURR_1.SEARCH.NEW,0)),'DICTIONARY-5'!$A$2)</f>
        <v>8 343,-</v>
      </c>
      <c r="K138" s="339" t="str">
        <f>IFERROR(IF(OR(I138='DICTIONARY-5'!$A$2,I138='DICTIONARY-5'!$A$4,ISBLANK(I138)),VLOOKUP(H138,LIST!$A$6:$M$3250,CURR_2.SEARCH.OLD,0),VLOOKUP(I138,LIST!$B$6:$M$3250,CURR_2.SEARCH.NEW,0)),'DICTIONARY-5'!$A$2)</f>
        <v/>
      </c>
    </row>
    <row r="139" spans="1:11" x14ac:dyDescent="0.25">
      <c r="A139" s="42">
        <v>600</v>
      </c>
      <c r="B139" s="42">
        <v>10</v>
      </c>
      <c r="C139" s="42">
        <v>154</v>
      </c>
      <c r="D139" s="42" t="s">
        <v>624</v>
      </c>
      <c r="E139" s="329" t="s">
        <v>3229</v>
      </c>
      <c r="F139" s="339" t="str">
        <f>IFERROR(IF(OR(E139='DICTIONARY-5'!$A$2,E139='DICTIONARY-5'!$A$4,ISBLANK(E139)),VLOOKUP(D139,LIST!$A$6:$L$3250,CURR_1.SEARCH.OLD,0),VLOOKUP(E139,LIST!$B$6:$L$3250,CURR_1.SEARCH.NEW,0)),'DICTIONARY-5'!$A$2)</f>
        <v>12 435,-</v>
      </c>
      <c r="G139" s="339" t="str">
        <f>IFERROR(IF(OR(E139='DICTIONARY-5'!$A$2,E139='DICTIONARY-5'!$A$4,ISBLANK(E139)),VLOOKUP(D139,LIST!$A$6:$M$3250,CURR_2.SEARCH.OLD,0),VLOOKUP(E139,LIST!$B$6:$M$3250,CURR_2.SEARCH.NEW,0)),'DICTIONARY-5'!$A$2)</f>
        <v/>
      </c>
      <c r="H139" s="42" t="s">
        <v>645</v>
      </c>
      <c r="I139" s="329" t="s">
        <v>3281</v>
      </c>
      <c r="J139" s="339" t="str">
        <f>IFERROR(IF(OR(I139='DICTIONARY-5'!$A$2,I139='DICTIONARY-5'!$A$4,ISBLANK(I139)),VLOOKUP(H139,LIST!$A$6:$L$3250,CURR_1.SEARCH.OLD,0),VLOOKUP(I139,LIST!$B$6:$L$3250,CURR_1.SEARCH.NEW,0)),'DICTIONARY-5'!$A$2)</f>
        <v>13 119,-</v>
      </c>
      <c r="K139" s="339" t="str">
        <f>IFERROR(IF(OR(I139='DICTIONARY-5'!$A$2,I139='DICTIONARY-5'!$A$4,ISBLANK(I139)),VLOOKUP(H139,LIST!$A$6:$M$3250,CURR_2.SEARCH.OLD,0),VLOOKUP(I139,LIST!$B$6:$M$3250,CURR_2.SEARCH.NEW,0)),'DICTIONARY-5'!$A$2)</f>
        <v/>
      </c>
    </row>
    <row r="141" spans="1:11" x14ac:dyDescent="0.25">
      <c r="A141" s="32" t="str">
        <f>'DICTIONARY-5'!$A$3&amp;"DN 700 ... 1200"</f>
        <v>Na zapytanie: DN 700 ... 1200</v>
      </c>
    </row>
  </sheetData>
  <sheetProtection algorithmName="SHA-512" hashValue="/qAcrdHk+XWaJlR46HOImKwggiBVGnZPok9+ZqdDYuarnodivg2sFaZQzWAaEFjZgEAs4Umnwvjxq2nbxbtdHg==" saltValue="a3KLlWpwNwNn7roxPxxWmw==" spinCount="100000" sheet="1" objects="1" scenarios="1" autoFilter="0"/>
  <mergeCells count="31">
    <mergeCell ref="B4:E4"/>
    <mergeCell ref="D9:G9"/>
    <mergeCell ref="D10:G10"/>
    <mergeCell ref="D58:G58"/>
    <mergeCell ref="H58:K58"/>
    <mergeCell ref="D33:G33"/>
    <mergeCell ref="D34:G34"/>
    <mergeCell ref="F36:G36"/>
    <mergeCell ref="F37:G37"/>
    <mergeCell ref="F38:G38"/>
    <mergeCell ref="F39:G39"/>
    <mergeCell ref="F40:G40"/>
    <mergeCell ref="F41:G41"/>
    <mergeCell ref="H9:K9"/>
    <mergeCell ref="H10:K10"/>
    <mergeCell ref="H33:K33"/>
    <mergeCell ref="H34:K34"/>
    <mergeCell ref="D85:G85"/>
    <mergeCell ref="H85:K85"/>
    <mergeCell ref="D59:G59"/>
    <mergeCell ref="H59:K59"/>
    <mergeCell ref="D84:G84"/>
    <mergeCell ref="H84:K84"/>
    <mergeCell ref="D125:G125"/>
    <mergeCell ref="H125:K125"/>
    <mergeCell ref="D104:G104"/>
    <mergeCell ref="H104:K104"/>
    <mergeCell ref="D105:G105"/>
    <mergeCell ref="H105:K105"/>
    <mergeCell ref="D124:G124"/>
    <mergeCell ref="H124:K124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1">
    <tabColor rgb="FF0F6E23"/>
  </sheetPr>
  <dimension ref="A1:G22"/>
  <sheetViews>
    <sheetView workbookViewId="0"/>
  </sheetViews>
  <sheetFormatPr defaultColWidth="9.140625" defaultRowHeight="15" x14ac:dyDescent="0.25"/>
  <cols>
    <col min="1" max="3" width="8.5703125" style="32" customWidth="1"/>
    <col min="4" max="5" width="22.140625" style="32" customWidth="1"/>
    <col min="6" max="7" width="12.85546875" style="32" customWidth="1"/>
    <col min="8" max="16384" width="9.140625" style="32"/>
  </cols>
  <sheetData>
    <row r="1" spans="1:7" s="418" customFormat="1" ht="45" customHeight="1" thickBot="1" x14ac:dyDescent="0.3">
      <c r="A1" s="381"/>
      <c r="B1" s="381"/>
      <c r="C1" s="381"/>
      <c r="D1" s="381"/>
      <c r="E1" s="381"/>
    </row>
    <row r="2" spans="1:7" s="482" customFormat="1" ht="4.5" customHeight="1" x14ac:dyDescent="0.25">
      <c r="A2" s="479"/>
    </row>
    <row r="3" spans="1:7" ht="15.75" thickBot="1" x14ac:dyDescent="0.3">
      <c r="A3" s="33"/>
      <c r="B3" s="34"/>
      <c r="C3" s="34"/>
    </row>
    <row r="4" spans="1:7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7" x14ac:dyDescent="0.25">
      <c r="A5" s="33"/>
      <c r="B5" s="34"/>
      <c r="C5" s="34"/>
    </row>
    <row r="6" spans="1:7" ht="16.5" thickBot="1" x14ac:dyDescent="0.3">
      <c r="A6" s="81" t="str">
        <f>CONCATENATE('DICTIONARY-3'!$A$12," ",'DICTIONARY-3'!$A$189," / ",'DICTIONARY-3'!$A$264)</f>
        <v>ZETAcontrol Zasuwa nożowa / Z przesłoną regulacyjną</v>
      </c>
      <c r="B6" s="91"/>
      <c r="C6" s="91"/>
      <c r="D6" s="91"/>
      <c r="E6" s="91"/>
      <c r="F6" s="91"/>
      <c r="G6" s="91"/>
    </row>
    <row r="7" spans="1:7" x14ac:dyDescent="0.25">
      <c r="A7" s="36" t="str">
        <f>CONCATENATE('DICTIONARY-3'!$A$242,", ",'DICTIONARY-5'!$A$93&amp;": "&amp;'DICTIONARY-5'!$A$32&amp;" "&amp;'DICTIONARY-5'!$A$35)</f>
        <v>Z kółkiem ręcznym, płyta zasuwowa: stal nierdzewna A4</v>
      </c>
    </row>
    <row r="8" spans="1:7" x14ac:dyDescent="0.25">
      <c r="A8" s="36" t="str">
        <f>CONCATENATE('DICTIONARY-1'!$A$10,": ",SETTINGS!$C$23)</f>
        <v>Grupa rabatowa: ZETAcontrol</v>
      </c>
    </row>
    <row r="9" spans="1:7" x14ac:dyDescent="0.25">
      <c r="A9" s="35"/>
      <c r="B9" s="35"/>
      <c r="C9" s="30"/>
      <c r="D9" s="30"/>
      <c r="E9" s="30"/>
      <c r="F9" s="31"/>
      <c r="G9" s="31"/>
    </row>
    <row r="10" spans="1:7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976" t="str">
        <f>'DICTIONARY-3'!$A$12</f>
        <v>ZETAcontrol</v>
      </c>
      <c r="E10" s="960"/>
      <c r="F10" s="960"/>
      <c r="G10" s="960"/>
    </row>
    <row r="11" spans="1:7" x14ac:dyDescent="0.25">
      <c r="A11" s="57"/>
      <c r="B11" s="57"/>
      <c r="C11" s="57"/>
      <c r="D11" s="961" t="str">
        <f>LOWER('DICTIONARY-3'!$A$264)&amp;", "&amp;'DICTIONARY-5'!$A$93&amp;": "&amp;'DICTIONARY-5'!$A$32&amp;" "&amp;'DICTIONARY-5'!$A$35</f>
        <v>z przesłoną regulacyjną, płyta zasuwowa: stal nierdzewna A4</v>
      </c>
      <c r="E11" s="961"/>
      <c r="F11" s="961"/>
      <c r="G11" s="961"/>
    </row>
    <row r="12" spans="1:7" ht="15" customHeight="1" x14ac:dyDescent="0.25">
      <c r="A12" s="39"/>
      <c r="B12" s="39"/>
      <c r="C12" s="702" t="str">
        <f>'DICTIONARY-2'!$A$18</f>
        <v>[mm]</v>
      </c>
      <c r="D12" s="40" t="str">
        <f>'DICTIONARY-2'!$A$28</f>
        <v>stary nr zamówienia</v>
      </c>
      <c r="E12" s="40" t="str">
        <f>'DICTIONARY-2'!$A$29</f>
        <v>nowy nr zamówienia</v>
      </c>
      <c r="F12" s="41" t="str">
        <f>CURRENCY.CODE_1</f>
        <v>EUR</v>
      </c>
      <c r="G12" s="41" t="str">
        <f>CURRENCY.CODE_2</f>
        <v>---</v>
      </c>
    </row>
    <row r="13" spans="1:7" x14ac:dyDescent="0.25">
      <c r="A13" s="42">
        <v>100</v>
      </c>
      <c r="B13" s="42">
        <v>10</v>
      </c>
      <c r="C13" s="42">
        <v>52</v>
      </c>
      <c r="D13" s="56" t="s">
        <v>646</v>
      </c>
      <c r="E13" s="331" t="s">
        <v>3153</v>
      </c>
      <c r="F13" s="339" t="str">
        <f>IFERROR(IF(OR(E13='DICTIONARY-5'!$A$2,E13='DICTIONARY-5'!$A$4,ISBLANK(E13)),VLOOKUP(D13,LIST!$A$6:$L$3250,CURR_1.SEARCH.OLD,0),VLOOKUP(E13,LIST!$B$6:$L$3250,CURR_1.SEARCH.NEW,0)),'DICTIONARY-5'!$A$2)</f>
        <v>451,-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42">
        <v>125</v>
      </c>
      <c r="B14" s="42">
        <v>10</v>
      </c>
      <c r="C14" s="42">
        <v>56</v>
      </c>
      <c r="D14" s="56" t="s">
        <v>647</v>
      </c>
      <c r="E14" s="331" t="s">
        <v>3155</v>
      </c>
      <c r="F14" s="339" t="str">
        <f>IFERROR(IF(OR(E14='DICTIONARY-5'!$A$2,E14='DICTIONARY-5'!$A$4,ISBLANK(E14)),VLOOKUP(D14,LIST!$A$6:$L$3250,CURR_1.SEARCH.OLD,0),VLOOKUP(E14,LIST!$B$6:$L$3250,CURR_1.SEARCH.NEW,0)),'DICTIONARY-5'!$A$2)</f>
        <v>502,-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42">
        <v>150</v>
      </c>
      <c r="B15" s="42">
        <v>10</v>
      </c>
      <c r="C15" s="42">
        <v>56</v>
      </c>
      <c r="D15" s="56" t="s">
        <v>648</v>
      </c>
      <c r="E15" s="331" t="s">
        <v>3157</v>
      </c>
      <c r="F15" s="339" t="str">
        <f>IFERROR(IF(OR(E15='DICTIONARY-5'!$A$2,E15='DICTIONARY-5'!$A$4,ISBLANK(E15)),VLOOKUP(D15,LIST!$A$6:$L$3250,CURR_1.SEARCH.OLD,0),VLOOKUP(E15,LIST!$B$6:$L$3250,CURR_1.SEARCH.NEW,0)),'DICTIONARY-5'!$A$2)</f>
        <v>631,-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42">
        <v>200</v>
      </c>
      <c r="B16" s="42">
        <v>10</v>
      </c>
      <c r="C16" s="42">
        <v>60</v>
      </c>
      <c r="D16" s="56" t="s">
        <v>649</v>
      </c>
      <c r="E16" s="331" t="s">
        <v>3159</v>
      </c>
      <c r="F16" s="339" t="str">
        <f>IFERROR(IF(OR(E16='DICTIONARY-5'!$A$2,E16='DICTIONARY-5'!$A$4,ISBLANK(E16)),VLOOKUP(D16,LIST!$A$6:$L$3250,CURR_1.SEARCH.OLD,0),VLOOKUP(E16,LIST!$B$6:$L$3250,CURR_1.SEARCH.NEW,0)),'DICTIONARY-5'!$A$2)</f>
        <v>846,-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42">
        <v>250</v>
      </c>
      <c r="B17" s="42">
        <v>10</v>
      </c>
      <c r="C17" s="42">
        <v>68</v>
      </c>
      <c r="D17" s="56" t="s">
        <v>650</v>
      </c>
      <c r="E17" s="331" t="s">
        <v>3161</v>
      </c>
      <c r="F17" s="339" t="str">
        <f>IFERROR(IF(OR(E17='DICTIONARY-5'!$A$2,E17='DICTIONARY-5'!$A$4,ISBLANK(E17)),VLOOKUP(D17,LIST!$A$6:$L$3250,CURR_1.SEARCH.OLD,0),VLOOKUP(E17,LIST!$B$6:$L$3250,CURR_1.SEARCH.NEW,0)),'DICTIONARY-5'!$A$2)</f>
        <v>1 336,-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42">
        <v>300</v>
      </c>
      <c r="B18" s="42">
        <v>10</v>
      </c>
      <c r="C18" s="42">
        <v>78</v>
      </c>
      <c r="D18" s="56" t="s">
        <v>651</v>
      </c>
      <c r="E18" s="331" t="s">
        <v>3163</v>
      </c>
      <c r="F18" s="339" t="str">
        <f>IFERROR(IF(OR(E18='DICTIONARY-5'!$A$2,E18='DICTIONARY-5'!$A$4,ISBLANK(E18)),VLOOKUP(D18,LIST!$A$6:$L$3250,CURR_1.SEARCH.OLD,0),VLOOKUP(E18,LIST!$B$6:$L$3250,CURR_1.SEARCH.NEW,0)),'DICTIONARY-5'!$A$2)</f>
        <v>1 634,-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42">
        <v>350</v>
      </c>
      <c r="B19" s="42">
        <v>10</v>
      </c>
      <c r="C19" s="42">
        <v>78</v>
      </c>
      <c r="D19" s="56" t="s">
        <v>652</v>
      </c>
      <c r="E19" s="331" t="s">
        <v>3165</v>
      </c>
      <c r="F19" s="339" t="str">
        <f>IFERROR(IF(OR(E19='DICTIONARY-5'!$A$2,E19='DICTIONARY-5'!$A$4,ISBLANK(E19)),VLOOKUP(D19,LIST!$A$6:$L$3250,CURR_1.SEARCH.OLD,0),VLOOKUP(E19,LIST!$B$6:$L$3250,CURR_1.SEARCH.NEW,0)),'DICTIONARY-5'!$A$2)</f>
        <v>2 012,-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0" spans="1:7" x14ac:dyDescent="0.25">
      <c r="A20" s="42">
        <v>400</v>
      </c>
      <c r="B20" s="42">
        <v>10</v>
      </c>
      <c r="C20" s="42">
        <v>102</v>
      </c>
      <c r="D20" s="56" t="s">
        <v>653</v>
      </c>
      <c r="E20" s="331" t="s">
        <v>3167</v>
      </c>
      <c r="F20" s="339" t="str">
        <f>IFERROR(IF(OR(E20='DICTIONARY-5'!$A$2,E20='DICTIONARY-5'!$A$4,ISBLANK(E20)),VLOOKUP(D20,LIST!$A$6:$L$3250,CURR_1.SEARCH.OLD,0),VLOOKUP(E20,LIST!$B$6:$L$3250,CURR_1.SEARCH.NEW,0)),'DICTIONARY-5'!$A$2)</f>
        <v>2 799,-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</row>
    <row r="21" spans="1:7" x14ac:dyDescent="0.25">
      <c r="A21" s="42">
        <v>500</v>
      </c>
      <c r="B21" s="42">
        <v>10</v>
      </c>
      <c r="C21" s="42">
        <v>127</v>
      </c>
      <c r="D21" s="56" t="s">
        <v>654</v>
      </c>
      <c r="E21" s="331" t="s">
        <v>3169</v>
      </c>
      <c r="F21" s="339" t="str">
        <f>IFERROR(IF(OR(E21='DICTIONARY-5'!$A$2,E21='DICTIONARY-5'!$A$4,ISBLANK(E21)),VLOOKUP(D21,LIST!$A$6:$L$3250,CURR_1.SEARCH.OLD,0),VLOOKUP(E21,LIST!$B$6:$L$3250,CURR_1.SEARCH.NEW,0)),'DICTIONARY-5'!$A$2)</f>
        <v>5 584,-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</row>
    <row r="22" spans="1:7" x14ac:dyDescent="0.25">
      <c r="A22" s="42">
        <v>600</v>
      </c>
      <c r="B22" s="42">
        <v>10</v>
      </c>
      <c r="C22" s="42">
        <v>154</v>
      </c>
      <c r="D22" s="56" t="s">
        <v>655</v>
      </c>
      <c r="E22" s="331" t="s">
        <v>3171</v>
      </c>
      <c r="F22" s="339" t="str">
        <f>IFERROR(IF(OR(E22='DICTIONARY-5'!$A$2,E22='DICTIONARY-5'!$A$4,ISBLANK(E22)),VLOOKUP(D22,LIST!$A$6:$L$3250,CURR_1.SEARCH.OLD,0),VLOOKUP(E22,LIST!$B$6:$L$3250,CURR_1.SEARCH.NEW,0)),'DICTIONARY-5'!$A$2)</f>
        <v>7 512,-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</row>
  </sheetData>
  <sheetProtection algorithmName="SHA-512" hashValue="SOnkAWnEpCF2shhNp9S6gPkLUqYuTSTcXA8Ojt6u1Y19VWeREptAbdTq92jC4EqvoCcMqLVpBDUn2qgGUFkXKw==" saltValue="Cbt08IhYhedYrsJ8mJb7YA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3">
    <tabColor rgb="FF0F6E23"/>
  </sheetPr>
  <dimension ref="A1:K30"/>
  <sheetViews>
    <sheetView workbookViewId="0"/>
  </sheetViews>
  <sheetFormatPr defaultColWidth="9.140625" defaultRowHeight="15" x14ac:dyDescent="0.25"/>
  <cols>
    <col min="1" max="2" width="11.42578125" style="30" customWidth="1"/>
    <col min="3" max="4" width="22.140625" style="30" customWidth="1"/>
    <col min="5" max="6" width="12.85546875" style="31" customWidth="1"/>
    <col min="7" max="8" width="22.140625" style="31" customWidth="1"/>
    <col min="9" max="10" width="12.85546875" style="31" customWidth="1"/>
    <col min="11" max="16384" width="9.140625" style="32"/>
  </cols>
  <sheetData>
    <row r="1" spans="1:11" s="418" customFormat="1" ht="45" customHeight="1" thickBot="1" x14ac:dyDescent="0.3">
      <c r="A1" s="381"/>
      <c r="B1" s="381"/>
      <c r="C1" s="381"/>
      <c r="D1" s="381"/>
      <c r="E1" s="417"/>
      <c r="F1" s="417"/>
      <c r="G1" s="417"/>
      <c r="H1" s="417"/>
      <c r="I1" s="417"/>
      <c r="J1" s="417"/>
    </row>
    <row r="2" spans="1:11" s="482" customFormat="1" ht="4.5" customHeight="1" x14ac:dyDescent="0.25">
      <c r="A2" s="479"/>
      <c r="B2" s="480"/>
      <c r="C2" s="480"/>
      <c r="D2" s="480"/>
      <c r="E2" s="481"/>
      <c r="F2" s="481"/>
      <c r="G2" s="481"/>
      <c r="H2" s="481"/>
      <c r="I2" s="481"/>
      <c r="J2" s="481"/>
    </row>
    <row r="3" spans="1:11" ht="15.75" thickBot="1" x14ac:dyDescent="0.3">
      <c r="A3" s="33"/>
      <c r="B3" s="34"/>
      <c r="C3" s="34"/>
      <c r="D3" s="34"/>
    </row>
    <row r="4" spans="1:11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11" x14ac:dyDescent="0.25">
      <c r="A5" s="33"/>
      <c r="B5" s="34"/>
      <c r="C5" s="34"/>
      <c r="D5" s="34"/>
    </row>
    <row r="6" spans="1:11" s="87" customFormat="1" ht="16.5" thickBot="1" x14ac:dyDescent="0.3">
      <c r="A6" s="81" t="str">
        <f>CONCATENATE('DICTIONARY-3'!$A$15," ",'DICTIONARY-3'!$A$190)</f>
        <v>ERIplus Zasuwa wrzecionowa</v>
      </c>
      <c r="B6" s="82"/>
      <c r="C6" s="82"/>
      <c r="D6" s="82"/>
      <c r="E6" s="83"/>
      <c r="F6" s="83"/>
      <c r="G6" s="83"/>
      <c r="H6" s="83"/>
      <c r="I6" s="83"/>
      <c r="J6" s="83"/>
    </row>
    <row r="7" spans="1:11" x14ac:dyDescent="0.25">
      <c r="A7" s="36" t="str">
        <f>'DICTIONARY-3'!$A$243</f>
        <v>Z wolnym końcem wałka</v>
      </c>
    </row>
    <row r="8" spans="1:11" x14ac:dyDescent="0.25">
      <c r="A8" s="36" t="str">
        <f>CONCATENATE('DICTIONARY-1'!$A$10,": ",SETTINGS!$C$19)</f>
        <v>Grupa rabatowa: ERIplus</v>
      </c>
    </row>
    <row r="9" spans="1:11" x14ac:dyDescent="0.25">
      <c r="A9" s="35"/>
    </row>
    <row r="10" spans="1:11" x14ac:dyDescent="0.25">
      <c r="A10" s="960" t="str">
        <f>'DICTIONARY-3'!$A$265</f>
        <v xml:space="preserve">Obszar przepływu </v>
      </c>
      <c r="B10" s="701" t="str">
        <f>'DICTIONARY-2'!$A$8&amp;" 1)"</f>
        <v>Tmin 1)</v>
      </c>
      <c r="C10" s="976" t="str">
        <f>'DICTIONARY-3'!$A$15</f>
        <v>ERIplus</v>
      </c>
      <c r="D10" s="960"/>
      <c r="E10" s="960"/>
      <c r="F10" s="960"/>
      <c r="G10" s="960" t="str">
        <f>'DICTIONARY-3'!$A$15</f>
        <v>ERIplus</v>
      </c>
      <c r="H10" s="960"/>
      <c r="I10" s="960"/>
      <c r="J10" s="960"/>
    </row>
    <row r="11" spans="1:11" x14ac:dyDescent="0.25">
      <c r="A11" s="977"/>
      <c r="B11" s="704"/>
      <c r="C11" s="961" t="str">
        <f>LOWER('DICTIONARY-3'!$A$266)</f>
        <v>montaż na ścianie</v>
      </c>
      <c r="D11" s="961"/>
      <c r="E11" s="961"/>
      <c r="F11" s="961"/>
      <c r="G11" s="961" t="str">
        <f>'DICTIONARY-3'!$A$268</f>
        <v>montaż w kanale</v>
      </c>
      <c r="H11" s="961"/>
      <c r="I11" s="961"/>
      <c r="J11" s="961"/>
    </row>
    <row r="12" spans="1:11" x14ac:dyDescent="0.25">
      <c r="A12" s="57"/>
      <c r="B12" s="704" t="str">
        <f>'DICTIONARY-2'!$A$18</f>
        <v>[mm]</v>
      </c>
      <c r="C12" s="58" t="str">
        <f>'DICTIONARY-2'!$A$28</f>
        <v>stary nr zamówienia</v>
      </c>
      <c r="D12" s="58" t="str">
        <f>'DICTIONARY-2'!$A$29</f>
        <v>nowy nr zamówienia</v>
      </c>
      <c r="E12" s="41" t="str">
        <f>CURRENCY.CODE_1</f>
        <v>EUR</v>
      </c>
      <c r="F12" s="41" t="str">
        <f>CURRENCY.CODE_2</f>
        <v>---</v>
      </c>
      <c r="G12" s="58" t="str">
        <f>'DICTIONARY-2'!$A$28</f>
        <v>stary nr zamówienia</v>
      </c>
      <c r="H12" s="58" t="str">
        <f>'DICTIONARY-2'!$A$29</f>
        <v>nowy nr zamówienia</v>
      </c>
      <c r="I12" s="41" t="str">
        <f>CURRENCY.CODE_1</f>
        <v>EUR</v>
      </c>
      <c r="J12" s="41" t="str">
        <f>CURRENCY.CODE_2</f>
        <v>---</v>
      </c>
    </row>
    <row r="13" spans="1:11" x14ac:dyDescent="0.25">
      <c r="A13" s="62" t="s">
        <v>706</v>
      </c>
      <c r="B13" s="63">
        <v>596</v>
      </c>
      <c r="C13" s="42" t="s">
        <v>707</v>
      </c>
      <c r="D13" s="329" t="s">
        <v>3314</v>
      </c>
      <c r="E13" s="339" t="str">
        <f>IFERROR(IF(OR(D13='DICTIONARY-5'!$A$2,D13='DICTIONARY-5'!$A$4,ISBLANK(D13)),VLOOKUP(C13,LIST!$A$6:$L$3250,CURR_1.SEARCH.OLD,0),VLOOKUP(D13,LIST!$B$6:$L$3250,CURR_1.SEARCH.NEW,0)),'DICTIONARY-5'!$A$2)</f>
        <v>1 064,-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  <c r="G13" s="42" t="s">
        <v>708</v>
      </c>
      <c r="H13" s="329" t="str">
        <f>'DICTIONARY-5'!$A$2</f>
        <v>na zapytanie</v>
      </c>
      <c r="I13" s="339" t="str">
        <f>IFERROR(IF(OR(H13='DICTIONARY-5'!$A$2,H13='DICTIONARY-5'!$A$4,ISBLANK(H13)),VLOOKUP(G13,LIST!$A$6:$L$3250,CURR_1.SEARCH.OLD,0),VLOOKUP(H13,LIST!$B$6:$L$3250,CURR_1.SEARCH.NEW,0)),'DICTIONARY-5'!$A$2)</f>
        <v>na zapytanie</v>
      </c>
      <c r="J13" s="339" t="str">
        <f>IFERROR(IF(OR(H13='DICTIONARY-5'!$A$2,H13='DICTIONARY-5'!$A$4,ISBLANK(H13)),VLOOKUP(G13,LIST!$A$6:$M$3250,CURR_2.SEARCH.OLD,0),VLOOKUP(H13,LIST!$B$6:$M$3250,CURR_2.SEARCH.NEW,0)),'DICTIONARY-5'!$A$2)</f>
        <v/>
      </c>
      <c r="K13" s="30"/>
    </row>
    <row r="14" spans="1:11" x14ac:dyDescent="0.25">
      <c r="A14" s="62" t="s">
        <v>709</v>
      </c>
      <c r="B14" s="63">
        <v>696</v>
      </c>
      <c r="C14" s="42" t="s">
        <v>710</v>
      </c>
      <c r="D14" s="329" t="s">
        <v>3315</v>
      </c>
      <c r="E14" s="339" t="str">
        <f>IFERROR(IF(OR(D14='DICTIONARY-5'!$A$2,D14='DICTIONARY-5'!$A$4,ISBLANK(D14)),VLOOKUP(C14,LIST!$A$6:$L$3250,CURR_1.SEARCH.OLD,0),VLOOKUP(D14,LIST!$B$6:$L$3250,CURR_1.SEARCH.NEW,0)),'DICTIONARY-5'!$A$2)</f>
        <v>1 193,-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  <c r="G14" s="42" t="s">
        <v>711</v>
      </c>
      <c r="H14" s="329" t="str">
        <f>'DICTIONARY-5'!$A$2</f>
        <v>na zapytanie</v>
      </c>
      <c r="I14" s="339" t="str">
        <f>IFERROR(IF(OR(H14='DICTIONARY-5'!$A$2,H14='DICTIONARY-5'!$A$4,ISBLANK(H14)),VLOOKUP(G14,LIST!$A$6:$L$3250,CURR_1.SEARCH.OLD,0),VLOOKUP(H14,LIST!$B$6:$L$3250,CURR_1.SEARCH.NEW,0)),'DICTIONARY-5'!$A$2)</f>
        <v>na zapytanie</v>
      </c>
      <c r="J14" s="339" t="str">
        <f>IFERROR(IF(OR(H14='DICTIONARY-5'!$A$2,H14='DICTIONARY-5'!$A$4,ISBLANK(H14)),VLOOKUP(G14,LIST!$A$6:$M$3250,CURR_2.SEARCH.OLD,0),VLOOKUP(H14,LIST!$B$6:$M$3250,CURR_2.SEARCH.NEW,0)),'DICTIONARY-5'!$A$2)</f>
        <v/>
      </c>
      <c r="K14" s="30"/>
    </row>
    <row r="15" spans="1:11" x14ac:dyDescent="0.25">
      <c r="A15" s="62" t="s">
        <v>712</v>
      </c>
      <c r="B15" s="63">
        <v>796</v>
      </c>
      <c r="C15" s="42" t="s">
        <v>713</v>
      </c>
      <c r="D15" s="329" t="s">
        <v>3316</v>
      </c>
      <c r="E15" s="339" t="str">
        <f>IFERROR(IF(OR(D15='DICTIONARY-5'!$A$2,D15='DICTIONARY-5'!$A$4,ISBLANK(D15)),VLOOKUP(C15,LIST!$A$6:$L$3250,CURR_1.SEARCH.OLD,0),VLOOKUP(D15,LIST!$B$6:$L$3250,CURR_1.SEARCH.NEW,0)),'DICTIONARY-5'!$A$2)</f>
        <v>1 357,-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  <c r="G15" s="42" t="s">
        <v>714</v>
      </c>
      <c r="H15" s="329" t="str">
        <f>'DICTIONARY-5'!$A$2</f>
        <v>na zapytanie</v>
      </c>
      <c r="I15" s="339" t="str">
        <f>IFERROR(IF(OR(H15='DICTIONARY-5'!$A$2,H15='DICTIONARY-5'!$A$4,ISBLANK(H15)),VLOOKUP(G15,LIST!$A$6:$L$3250,CURR_1.SEARCH.OLD,0),VLOOKUP(H15,LIST!$B$6:$L$3250,CURR_1.SEARCH.NEW,0)),'DICTIONARY-5'!$A$2)</f>
        <v>na zapytanie</v>
      </c>
      <c r="J15" s="339" t="str">
        <f>IFERROR(IF(OR(H15='DICTIONARY-5'!$A$2,H15='DICTIONARY-5'!$A$4,ISBLANK(H15)),VLOOKUP(G15,LIST!$A$6:$M$3250,CURR_2.SEARCH.OLD,0),VLOOKUP(H15,LIST!$B$6:$M$3250,CURR_2.SEARCH.NEW,0)),'DICTIONARY-5'!$A$2)</f>
        <v/>
      </c>
    </row>
    <row r="16" spans="1:11" x14ac:dyDescent="0.25">
      <c r="A16" s="62" t="s">
        <v>715</v>
      </c>
      <c r="B16" s="63">
        <v>896</v>
      </c>
      <c r="C16" s="42" t="s">
        <v>716</v>
      </c>
      <c r="D16" s="329" t="s">
        <v>3317</v>
      </c>
      <c r="E16" s="339" t="str">
        <f>IFERROR(IF(OR(D16='DICTIONARY-5'!$A$2,D16='DICTIONARY-5'!$A$4,ISBLANK(D16)),VLOOKUP(C16,LIST!$A$6:$L$3250,CURR_1.SEARCH.OLD,0),VLOOKUP(D16,LIST!$B$6:$L$3250,CURR_1.SEARCH.NEW,0)),'DICTIONARY-5'!$A$2)</f>
        <v>1 508,-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  <c r="G16" s="42" t="s">
        <v>717</v>
      </c>
      <c r="H16" s="329" t="str">
        <f>'DICTIONARY-5'!$A$2</f>
        <v>na zapytanie</v>
      </c>
      <c r="I16" s="339" t="str">
        <f>IFERROR(IF(OR(H16='DICTIONARY-5'!$A$2,H16='DICTIONARY-5'!$A$4,ISBLANK(H16)),VLOOKUP(G16,LIST!$A$6:$L$3250,CURR_1.SEARCH.OLD,0),VLOOKUP(H16,LIST!$B$6:$L$3250,CURR_1.SEARCH.NEW,0)),'DICTIONARY-5'!$A$2)</f>
        <v>na zapytanie</v>
      </c>
      <c r="J16" s="339" t="str">
        <f>IFERROR(IF(OR(H16='DICTIONARY-5'!$A$2,H16='DICTIONARY-5'!$A$4,ISBLANK(H16)),VLOOKUP(G16,LIST!$A$6:$M$3250,CURR_2.SEARCH.OLD,0),VLOOKUP(H16,LIST!$B$6:$M$3250,CURR_2.SEARCH.NEW,0)),'DICTIONARY-5'!$A$2)</f>
        <v/>
      </c>
      <c r="K16" s="30"/>
    </row>
    <row r="17" spans="1:11" x14ac:dyDescent="0.25">
      <c r="A17" s="62" t="s">
        <v>664</v>
      </c>
      <c r="B17" s="63">
        <v>1096</v>
      </c>
      <c r="C17" s="42" t="s">
        <v>718</v>
      </c>
      <c r="D17" s="329" t="s">
        <v>3318</v>
      </c>
      <c r="E17" s="339" t="str">
        <f>IFERROR(IF(OR(D17='DICTIONARY-5'!$A$2,D17='DICTIONARY-5'!$A$4,ISBLANK(D17)),VLOOKUP(C17,LIST!$A$6:$L$3250,CURR_1.SEARCH.OLD,0),VLOOKUP(D17,LIST!$B$6:$L$3250,CURR_1.SEARCH.NEW,0)),'DICTIONARY-5'!$A$2)</f>
        <v>1 983,-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  <c r="G17" s="42" t="s">
        <v>719</v>
      </c>
      <c r="H17" s="329" t="str">
        <f>'DICTIONARY-5'!$A$2</f>
        <v>na zapytanie</v>
      </c>
      <c r="I17" s="339" t="str">
        <f>IFERROR(IF(OR(H17='DICTIONARY-5'!$A$2,H17='DICTIONARY-5'!$A$4,ISBLANK(H17)),VLOOKUP(G17,LIST!$A$6:$L$3250,CURR_1.SEARCH.OLD,0),VLOOKUP(H17,LIST!$B$6:$L$3250,CURR_1.SEARCH.NEW,0)),'DICTIONARY-5'!$A$2)</f>
        <v>na zapytanie</v>
      </c>
      <c r="J17" s="339" t="str">
        <f>IFERROR(IF(OR(H17='DICTIONARY-5'!$A$2,H17='DICTIONARY-5'!$A$4,ISBLANK(H17)),VLOOKUP(G17,LIST!$A$6:$M$3250,CURR_2.SEARCH.OLD,0),VLOOKUP(H17,LIST!$B$6:$M$3250,CURR_2.SEARCH.NEW,0)),'DICTIONARY-5'!$A$2)</f>
        <v/>
      </c>
      <c r="K17" s="31"/>
    </row>
    <row r="18" spans="1:11" x14ac:dyDescent="0.25">
      <c r="A18" s="62" t="s">
        <v>666</v>
      </c>
      <c r="B18" s="63">
        <v>1291</v>
      </c>
      <c r="C18" s="42" t="s">
        <v>720</v>
      </c>
      <c r="D18" s="329" t="s">
        <v>3319</v>
      </c>
      <c r="E18" s="339" t="str">
        <f>IFERROR(IF(OR(D18='DICTIONARY-5'!$A$2,D18='DICTIONARY-5'!$A$4,ISBLANK(D18)),VLOOKUP(C18,LIST!$A$6:$L$3250,CURR_1.SEARCH.OLD,0),VLOOKUP(D18,LIST!$B$6:$L$3250,CURR_1.SEARCH.NEW,0)),'DICTIONARY-5'!$A$2)</f>
        <v>2 500,-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  <c r="G18" s="42" t="s">
        <v>721</v>
      </c>
      <c r="H18" s="329" t="s">
        <v>3325</v>
      </c>
      <c r="I18" s="339" t="str">
        <f>IFERROR(IF(OR(H18='DICTIONARY-5'!$A$2,H18='DICTIONARY-5'!$A$4,ISBLANK(H18)),VLOOKUP(G18,LIST!$A$6:$L$3250,CURR_1.SEARCH.OLD,0),VLOOKUP(H18,LIST!$B$6:$L$3250,CURR_1.SEARCH.NEW,0)),'DICTIONARY-5'!$A$2)</f>
        <v>3 014,-</v>
      </c>
      <c r="J18" s="339" t="str">
        <f>IFERROR(IF(OR(H18='DICTIONARY-5'!$A$2,H18='DICTIONARY-5'!$A$4,ISBLANK(H18)),VLOOKUP(G18,LIST!$A$6:$M$3250,CURR_2.SEARCH.OLD,0),VLOOKUP(H18,LIST!$B$6:$M$3250,CURR_2.SEARCH.NEW,0)),'DICTIONARY-5'!$A$2)</f>
        <v/>
      </c>
      <c r="K18" s="31"/>
    </row>
    <row r="19" spans="1:11" x14ac:dyDescent="0.25">
      <c r="A19" s="62" t="s">
        <v>668</v>
      </c>
      <c r="B19" s="63">
        <v>1486</v>
      </c>
      <c r="C19" s="42" t="s">
        <v>722</v>
      </c>
      <c r="D19" s="329" t="s">
        <v>3320</v>
      </c>
      <c r="E19" s="339" t="str">
        <f>IFERROR(IF(OR(D19='DICTIONARY-5'!$A$2,D19='DICTIONARY-5'!$A$4,ISBLANK(D19)),VLOOKUP(C19,LIST!$A$6:$L$3250,CURR_1.SEARCH.OLD,0),VLOOKUP(D19,LIST!$B$6:$L$3250,CURR_1.SEARCH.NEW,0)),'DICTIONARY-5'!$A$2)</f>
        <v>2 857,-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  <c r="G19" s="42" t="s">
        <v>723</v>
      </c>
      <c r="H19" s="329" t="str">
        <f>'DICTIONARY-5'!$A$2</f>
        <v>na zapytanie</v>
      </c>
      <c r="I19" s="339" t="str">
        <f>IFERROR(IF(OR(H19='DICTIONARY-5'!$A$2,H19='DICTIONARY-5'!$A$4,ISBLANK(H19)),VLOOKUP(G19,LIST!$A$6:$L$3250,CURR_1.SEARCH.OLD,0),VLOOKUP(H19,LIST!$B$6:$L$3250,CURR_1.SEARCH.NEW,0)),'DICTIONARY-5'!$A$2)</f>
        <v>na zapytanie</v>
      </c>
      <c r="J19" s="339" t="str">
        <f>IFERROR(IF(OR(H19='DICTIONARY-5'!$A$2,H19='DICTIONARY-5'!$A$4,ISBLANK(H19)),VLOOKUP(G19,LIST!$A$6:$M$3250,CURR_2.SEARCH.OLD,0),VLOOKUP(H19,LIST!$B$6:$M$3250,CURR_2.SEARCH.NEW,0)),'DICTIONARY-5'!$A$2)</f>
        <v/>
      </c>
      <c r="K19" s="31"/>
    </row>
    <row r="20" spans="1:11" x14ac:dyDescent="0.25">
      <c r="A20" s="62" t="s">
        <v>670</v>
      </c>
      <c r="B20" s="63">
        <v>1720</v>
      </c>
      <c r="C20" s="42" t="s">
        <v>724</v>
      </c>
      <c r="D20" s="329" t="s">
        <v>3321</v>
      </c>
      <c r="E20" s="339" t="str">
        <f>IFERROR(IF(OR(D20='DICTIONARY-5'!$A$2,D20='DICTIONARY-5'!$A$4,ISBLANK(D20)),VLOOKUP(C20,LIST!$A$6:$L$3250,CURR_1.SEARCH.OLD,0),VLOOKUP(D20,LIST!$B$6:$L$3250,CURR_1.SEARCH.NEW,0)),'DICTIONARY-5'!$A$2)</f>
        <v>3 760,-</v>
      </c>
      <c r="F20" s="339" t="str">
        <f>IFERROR(IF(OR(D20='DICTIONARY-5'!$A$2,D20='DICTIONARY-5'!$A$4,ISBLANK(D20)),VLOOKUP(C20,LIST!$A$6:$M$3250,CURR_2.SEARCH.OLD,0),VLOOKUP(D20,LIST!$B$6:$M$3250,CURR_2.SEARCH.NEW,0)),'DICTIONARY-5'!$A$2)</f>
        <v/>
      </c>
      <c r="G20" s="42" t="s">
        <v>725</v>
      </c>
      <c r="H20" s="329" t="str">
        <f>'DICTIONARY-5'!$A$2</f>
        <v>na zapytanie</v>
      </c>
      <c r="I20" s="339" t="str">
        <f>IFERROR(IF(OR(H20='DICTIONARY-5'!$A$2,H20='DICTIONARY-5'!$A$4,ISBLANK(H20)),VLOOKUP(G20,LIST!$A$6:$L$3250,CURR_1.SEARCH.OLD,0),VLOOKUP(H20,LIST!$B$6:$L$3250,CURR_1.SEARCH.NEW,0)),'DICTIONARY-5'!$A$2)</f>
        <v>na zapytanie</v>
      </c>
      <c r="J20" s="339" t="str">
        <f>IFERROR(IF(OR(H20='DICTIONARY-5'!$A$2,H20='DICTIONARY-5'!$A$4,ISBLANK(H20)),VLOOKUP(G20,LIST!$A$6:$M$3250,CURR_2.SEARCH.OLD,0),VLOOKUP(H20,LIST!$B$6:$M$3250,CURR_2.SEARCH.NEW,0)),'DICTIONARY-5'!$A$2)</f>
        <v/>
      </c>
      <c r="K20" s="31"/>
    </row>
    <row r="21" spans="1:11" x14ac:dyDescent="0.25">
      <c r="A21" s="62" t="s">
        <v>672</v>
      </c>
      <c r="B21" s="63">
        <v>1920</v>
      </c>
      <c r="C21" s="42" t="s">
        <v>726</v>
      </c>
      <c r="D21" s="329" t="s">
        <v>3322</v>
      </c>
      <c r="E21" s="339" t="str">
        <f>IFERROR(IF(OR(D21='DICTIONARY-5'!$A$2,D21='DICTIONARY-5'!$A$4,ISBLANK(D21)),VLOOKUP(C21,LIST!$A$6:$L$3250,CURR_1.SEARCH.OLD,0),VLOOKUP(D21,LIST!$B$6:$L$3250,CURR_1.SEARCH.NEW,0)),'DICTIONARY-5'!$A$2)</f>
        <v>4 216,-</v>
      </c>
      <c r="F21" s="339" t="str">
        <f>IFERROR(IF(OR(D21='DICTIONARY-5'!$A$2,D21='DICTIONARY-5'!$A$4,ISBLANK(D21)),VLOOKUP(C21,LIST!$A$6:$M$3250,CURR_2.SEARCH.OLD,0),VLOOKUP(D21,LIST!$B$6:$M$3250,CURR_2.SEARCH.NEW,0)),'DICTIONARY-5'!$A$2)</f>
        <v/>
      </c>
      <c r="G21" s="42" t="s">
        <v>727</v>
      </c>
      <c r="H21" s="329" t="str">
        <f>'DICTIONARY-5'!$A$2</f>
        <v>na zapytanie</v>
      </c>
      <c r="I21" s="339" t="str">
        <f>IFERROR(IF(OR(H21='DICTIONARY-5'!$A$2,H21='DICTIONARY-5'!$A$4,ISBLANK(H21)),VLOOKUP(G21,LIST!$A$6:$L$3250,CURR_1.SEARCH.OLD,0),VLOOKUP(H21,LIST!$B$6:$L$3250,CURR_1.SEARCH.NEW,0)),'DICTIONARY-5'!$A$2)</f>
        <v>na zapytanie</v>
      </c>
      <c r="J21" s="339" t="str">
        <f>IFERROR(IF(OR(H21='DICTIONARY-5'!$A$2,H21='DICTIONARY-5'!$A$4,ISBLANK(H21)),VLOOKUP(G21,LIST!$A$6:$M$3250,CURR_2.SEARCH.OLD,0),VLOOKUP(H21,LIST!$B$6:$M$3250,CURR_2.SEARCH.NEW,0)),'DICTIONARY-5'!$A$2)</f>
        <v/>
      </c>
      <c r="K21" s="31"/>
    </row>
    <row r="22" spans="1:11" x14ac:dyDescent="0.25">
      <c r="A22" s="62" t="s">
        <v>674</v>
      </c>
      <c r="B22" s="63">
        <v>2120</v>
      </c>
      <c r="C22" s="42" t="s">
        <v>728</v>
      </c>
      <c r="D22" s="329" t="s">
        <v>3323</v>
      </c>
      <c r="E22" s="339" t="str">
        <f>IFERROR(IF(OR(D22='DICTIONARY-5'!$A$2,D22='DICTIONARY-5'!$A$4,ISBLANK(D22)),VLOOKUP(C22,LIST!$A$6:$L$3250,CURR_1.SEARCH.OLD,0),VLOOKUP(D22,LIST!$B$6:$L$3250,CURR_1.SEARCH.NEW,0)),'DICTIONARY-5'!$A$2)</f>
        <v>4 480,-</v>
      </c>
      <c r="F22" s="339" t="str">
        <f>IFERROR(IF(OR(D22='DICTIONARY-5'!$A$2,D22='DICTIONARY-5'!$A$4,ISBLANK(D22)),VLOOKUP(C22,LIST!$A$6:$M$3250,CURR_2.SEARCH.OLD,0),VLOOKUP(D22,LIST!$B$6:$M$3250,CURR_2.SEARCH.NEW,0)),'DICTIONARY-5'!$A$2)</f>
        <v/>
      </c>
      <c r="G22" s="42" t="s">
        <v>729</v>
      </c>
      <c r="H22" s="329" t="str">
        <f>'DICTIONARY-5'!$A$2</f>
        <v>na zapytanie</v>
      </c>
      <c r="I22" s="339" t="str">
        <f>IFERROR(IF(OR(H22='DICTIONARY-5'!$A$2,H22='DICTIONARY-5'!$A$4,ISBLANK(H22)),VLOOKUP(G22,LIST!$A$6:$L$3250,CURR_1.SEARCH.OLD,0),VLOOKUP(H22,LIST!$B$6:$L$3250,CURR_1.SEARCH.NEW,0)),'DICTIONARY-5'!$A$2)</f>
        <v>na zapytanie</v>
      </c>
      <c r="J22" s="339" t="str">
        <f>IFERROR(IF(OR(H22='DICTIONARY-5'!$A$2,H22='DICTIONARY-5'!$A$4,ISBLANK(H22)),VLOOKUP(G22,LIST!$A$6:$M$3250,CURR_2.SEARCH.OLD,0),VLOOKUP(H22,LIST!$B$6:$M$3250,CURR_2.SEARCH.NEW,0)),'DICTIONARY-5'!$A$2)</f>
        <v/>
      </c>
    </row>
    <row r="23" spans="1:11" x14ac:dyDescent="0.25">
      <c r="A23" s="62" t="s">
        <v>676</v>
      </c>
      <c r="B23" s="63">
        <v>2320</v>
      </c>
      <c r="C23" s="42" t="s">
        <v>730</v>
      </c>
      <c r="D23" s="329" t="s">
        <v>3324</v>
      </c>
      <c r="E23" s="339" t="str">
        <f>IFERROR(IF(OR(D23='DICTIONARY-5'!$A$2,D23='DICTIONARY-5'!$A$4,ISBLANK(D23)),VLOOKUP(C23,LIST!$A$6:$L$3250,CURR_1.SEARCH.OLD,0),VLOOKUP(D23,LIST!$B$6:$L$3250,CURR_1.SEARCH.NEW,0)),'DICTIONARY-5'!$A$2)</f>
        <v>5 516,-</v>
      </c>
      <c r="F23" s="339" t="str">
        <f>IFERROR(IF(OR(D23='DICTIONARY-5'!$A$2,D23='DICTIONARY-5'!$A$4,ISBLANK(D23)),VLOOKUP(C23,LIST!$A$6:$M$3250,CURR_2.SEARCH.OLD,0),VLOOKUP(D23,LIST!$B$6:$M$3250,CURR_2.SEARCH.NEW,0)),'DICTIONARY-5'!$A$2)</f>
        <v/>
      </c>
      <c r="G23" s="42" t="s">
        <v>731</v>
      </c>
      <c r="H23" s="329" t="str">
        <f>'DICTIONARY-5'!$A$2</f>
        <v>na zapytanie</v>
      </c>
      <c r="I23" s="339" t="str">
        <f>IFERROR(IF(OR(H23='DICTIONARY-5'!$A$2,H23='DICTIONARY-5'!$A$4,ISBLANK(H23)),VLOOKUP(G23,LIST!$A$6:$L$3250,CURR_1.SEARCH.OLD,0),VLOOKUP(H23,LIST!$B$6:$L$3250,CURR_1.SEARCH.NEW,0)),'DICTIONARY-5'!$A$2)</f>
        <v>na zapytanie</v>
      </c>
      <c r="J23" s="339" t="str">
        <f>IFERROR(IF(OR(H23='DICTIONARY-5'!$A$2,H23='DICTIONARY-5'!$A$4,ISBLANK(H23)),VLOOKUP(G23,LIST!$A$6:$M$3250,CURR_2.SEARCH.OLD,0),VLOOKUP(H23,LIST!$B$6:$M$3250,CURR_2.SEARCH.NEW,0)),'DICTIONARY-5'!$A$2)</f>
        <v/>
      </c>
    </row>
    <row r="25" spans="1:11" x14ac:dyDescent="0.25">
      <c r="A25" s="46" t="str">
        <f>"1) "&amp;'DICTIONARY-5'!$A$86&amp;" - "&amp;'DICTIONARY-5'!$A$89</f>
        <v>1) Głębokość zabudowy - odległość od dna rurociągu / kanału do poziomu operacyjnego</v>
      </c>
    </row>
    <row r="27" spans="1:11" x14ac:dyDescent="0.25">
      <c r="A27" s="46"/>
    </row>
    <row r="30" spans="1:11" x14ac:dyDescent="0.25">
      <c r="E30" s="520"/>
    </row>
  </sheetData>
  <sheetProtection algorithmName="SHA-512" hashValue="/uNWO4S3Y7S/Qcr3TQYM0O4gPBCm5lnYhq8EzOlMfGrqWVm3GzUNsTR5Llca1gEqic19/P6pwWE7cCvKMbfUxA==" saltValue="mvBJeYOpzqwu3y+FVmLClQ==" spinCount="100000" sheet="1" objects="1" scenarios="1" autoFilter="0"/>
  <mergeCells count="6">
    <mergeCell ref="B4:E4"/>
    <mergeCell ref="A10:A11"/>
    <mergeCell ref="C10:F10"/>
    <mergeCell ref="G10:J10"/>
    <mergeCell ref="C11:F11"/>
    <mergeCell ref="G11:J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0F6E23"/>
  </sheetPr>
  <dimension ref="A1:F31"/>
  <sheetViews>
    <sheetView workbookViewId="0"/>
  </sheetViews>
  <sheetFormatPr defaultColWidth="9.140625" defaultRowHeight="15" x14ac:dyDescent="0.25"/>
  <cols>
    <col min="1" max="2" width="11.42578125" style="30" customWidth="1"/>
    <col min="3" max="4" width="22.140625" style="30" customWidth="1"/>
    <col min="5" max="6" width="12.85546875" style="31" customWidth="1"/>
    <col min="7" max="16384" width="9.140625" style="32"/>
  </cols>
  <sheetData>
    <row r="1" spans="1:6" s="418" customFormat="1" ht="45" customHeight="1" thickBot="1" x14ac:dyDescent="0.3">
      <c r="A1" s="381"/>
      <c r="B1" s="381"/>
      <c r="C1" s="381"/>
      <c r="D1" s="381"/>
      <c r="E1" s="417"/>
      <c r="F1" s="417"/>
    </row>
    <row r="2" spans="1:6" s="482" customFormat="1" ht="4.5" customHeight="1" x14ac:dyDescent="0.25">
      <c r="A2" s="479"/>
      <c r="B2" s="480"/>
      <c r="C2" s="480"/>
      <c r="D2" s="480"/>
      <c r="E2" s="481"/>
      <c r="F2" s="481"/>
    </row>
    <row r="3" spans="1:6" ht="15.75" thickBot="1" x14ac:dyDescent="0.3">
      <c r="A3" s="33"/>
      <c r="B3" s="34"/>
      <c r="C3" s="34"/>
      <c r="D3" s="34"/>
    </row>
    <row r="4" spans="1:6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6" x14ac:dyDescent="0.25">
      <c r="A5" s="33"/>
      <c r="B5" s="34"/>
      <c r="C5" s="34"/>
      <c r="D5" s="34"/>
    </row>
    <row r="6" spans="1:6" s="87" customFormat="1" ht="16.5" thickBot="1" x14ac:dyDescent="0.3">
      <c r="A6" s="81" t="str">
        <f>CONCATENATE('DICTIONARY-3'!$A$13," ",'DICTIONARY-3'!$A$190)</f>
        <v>EROXplus Zasuwa wrzecionowa</v>
      </c>
      <c r="B6" s="82"/>
      <c r="C6" s="82"/>
      <c r="D6" s="82"/>
      <c r="E6" s="83"/>
      <c r="F6" s="83"/>
    </row>
    <row r="7" spans="1:6" x14ac:dyDescent="0.25">
      <c r="A7" s="36" t="str">
        <f>'DICTIONARY-3'!$A$270</f>
        <v>Z ramą zamkniętą i wrzecionem niewznoszącym się</v>
      </c>
    </row>
    <row r="8" spans="1:6" x14ac:dyDescent="0.25">
      <c r="A8" s="36" t="str">
        <f>CONCATENATE('DICTIONARY-1'!$A$10,": ",SETTINGS!$C$20)</f>
        <v>Grupa rabatowa: EROXplus</v>
      </c>
    </row>
    <row r="9" spans="1:6" x14ac:dyDescent="0.25">
      <c r="A9" s="37"/>
    </row>
    <row r="10" spans="1:6" x14ac:dyDescent="0.25">
      <c r="A10" s="960" t="str">
        <f>'DICTIONARY-3'!$A$265</f>
        <v xml:space="preserve">Obszar przepływu </v>
      </c>
      <c r="B10" s="701" t="str">
        <f>'DICTIONARY-2'!$A$8&amp;" 1)"</f>
        <v>Tmin 1)</v>
      </c>
      <c r="C10" s="960" t="str">
        <f>'DICTIONARY-3'!$A$13</f>
        <v>EROXplus</v>
      </c>
      <c r="D10" s="960"/>
      <c r="E10" s="960"/>
      <c r="F10" s="960"/>
    </row>
    <row r="11" spans="1:6" x14ac:dyDescent="0.25">
      <c r="A11" s="977"/>
      <c r="B11" s="704"/>
      <c r="C11" s="961" t="str">
        <f>'DICTIONARY-5'!$A$100&amp;", "&amp;LOWER('DICTIONARY-3'!$A$257)</f>
        <v>rama zamknięta, z wrzecionem niewznoszącym się</v>
      </c>
      <c r="D11" s="961"/>
      <c r="E11" s="961"/>
      <c r="F11" s="961"/>
    </row>
    <row r="12" spans="1:6" ht="15.75" customHeight="1" x14ac:dyDescent="0.25">
      <c r="A12" s="57"/>
      <c r="B12" s="704" t="str">
        <f>'DICTIONARY-2'!$A$18</f>
        <v>[mm]</v>
      </c>
      <c r="C12" s="58" t="str">
        <f>'DICTIONARY-2'!$A$28</f>
        <v>stary nr zamówienia</v>
      </c>
      <c r="D12" s="58" t="str">
        <f>'DICTIONARY-2'!$A$29</f>
        <v>nowy nr zamówienia</v>
      </c>
      <c r="E12" s="41" t="str">
        <f>CURRENCY.CODE_1</f>
        <v>EUR</v>
      </c>
      <c r="F12" s="41" t="str">
        <f>CURRENCY.CODE_2</f>
        <v>---</v>
      </c>
    </row>
    <row r="13" spans="1:6" x14ac:dyDescent="0.25">
      <c r="A13" s="59" t="s">
        <v>658</v>
      </c>
      <c r="B13" s="60">
        <v>596</v>
      </c>
      <c r="C13" s="61" t="s">
        <v>659</v>
      </c>
      <c r="D13" s="61" t="s">
        <v>3298</v>
      </c>
      <c r="E13" s="665" t="str">
        <f>IFERROR(IF(OR(D13='DICTIONARY-5'!$A$2,D13='DICTIONARY-5'!$A$4,ISBLANK(D13)),VLOOKUP(C13,LIST!$A$6:$L$3250,CURR_1.SEARCH.OLD,0),VLOOKUP(D13,LIST!$B$6:$L$3250,CURR_1.SEARCH.NEW,0)),'DICTIONARY-5'!$A$2)</f>
        <v>1 022,-</v>
      </c>
      <c r="F13" s="665" t="str">
        <f>IFERROR(IF(OR(D13='DICTIONARY-5'!$A$2,D13='DICTIONARY-5'!$A$4,ISBLANK(D13)),VLOOKUP(C13,LIST!$A$6:$M$3250,CURR_2.SEARCH.OLD,0),VLOOKUP(D13,LIST!$B$6:$M$3250,CURR_2.SEARCH.NEW,0)),'DICTIONARY-5'!$A$2)</f>
        <v/>
      </c>
    </row>
    <row r="14" spans="1:6" x14ac:dyDescent="0.25">
      <c r="A14" s="59" t="s">
        <v>660</v>
      </c>
      <c r="B14" s="60">
        <v>696</v>
      </c>
      <c r="C14" s="61" t="s">
        <v>661</v>
      </c>
      <c r="D14" s="61" t="s">
        <v>3299</v>
      </c>
      <c r="E14" s="665" t="str">
        <f>IFERROR(IF(OR(D14='DICTIONARY-5'!$A$2,D14='DICTIONARY-5'!$A$4,ISBLANK(D14)),VLOOKUP(C14,LIST!$A$6:$L$3250,CURR_1.SEARCH.OLD,0),VLOOKUP(D14,LIST!$B$6:$L$3250,CURR_1.SEARCH.NEW,0)),'DICTIONARY-5'!$A$2)</f>
        <v>1 091,-</v>
      </c>
      <c r="F14" s="665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6" x14ac:dyDescent="0.25">
      <c r="A15" s="59" t="s">
        <v>662</v>
      </c>
      <c r="B15" s="60">
        <v>896</v>
      </c>
      <c r="C15" s="61" t="s">
        <v>663</v>
      </c>
      <c r="D15" s="61" t="s">
        <v>3300</v>
      </c>
      <c r="E15" s="665" t="str">
        <f>IFERROR(IF(OR(D15='DICTIONARY-5'!$A$2,D15='DICTIONARY-5'!$A$4,ISBLANK(D15)),VLOOKUP(C15,LIST!$A$6:$L$3250,CURR_1.SEARCH.OLD,0),VLOOKUP(D15,LIST!$B$6:$L$3250,CURR_1.SEARCH.NEW,0)),'DICTIONARY-5'!$A$2)</f>
        <v>1 543,-</v>
      </c>
      <c r="F15" s="665" t="str">
        <f>IFERROR(IF(OR(D15='DICTIONARY-5'!$A$2,D15='DICTIONARY-5'!$A$4,ISBLANK(D15)),VLOOKUP(C15,LIST!$A$6:$M$3250,CURR_2.SEARCH.OLD,0),VLOOKUP(D15,LIST!$B$6:$M$3250,CURR_2.SEARCH.NEW,0)),'DICTIONARY-5'!$A$2)</f>
        <v/>
      </c>
    </row>
    <row r="16" spans="1:6" x14ac:dyDescent="0.25">
      <c r="A16" s="62" t="s">
        <v>664</v>
      </c>
      <c r="B16" s="63">
        <v>1096</v>
      </c>
      <c r="C16" s="42" t="s">
        <v>665</v>
      </c>
      <c r="D16" s="329" t="s">
        <v>3301</v>
      </c>
      <c r="E16" s="339" t="str">
        <f>IFERROR(IF(OR(D16='DICTIONARY-5'!$A$2,D16='DICTIONARY-5'!$A$4,ISBLANK(D16)),VLOOKUP(C16,LIST!$A$6:$L$3250,CURR_1.SEARCH.OLD,0),VLOOKUP(D16,LIST!$B$6:$L$3250,CURR_1.SEARCH.NEW,0)),'DICTIONARY-5'!$A$2)</f>
        <v>2 432,-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</row>
    <row r="17" spans="1:6" x14ac:dyDescent="0.25">
      <c r="A17" s="62" t="s">
        <v>666</v>
      </c>
      <c r="B17" s="63">
        <v>1291</v>
      </c>
      <c r="C17" s="42" t="s">
        <v>667</v>
      </c>
      <c r="D17" s="329" t="s">
        <v>3302</v>
      </c>
      <c r="E17" s="339" t="str">
        <f>IFERROR(IF(OR(D17='DICTIONARY-5'!$A$2,D17='DICTIONARY-5'!$A$4,ISBLANK(D17)),VLOOKUP(C17,LIST!$A$6:$L$3250,CURR_1.SEARCH.OLD,0),VLOOKUP(D17,LIST!$B$6:$L$3250,CURR_1.SEARCH.NEW,0)),'DICTIONARY-5'!$A$2)</f>
        <v>3 195,-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</row>
    <row r="18" spans="1:6" x14ac:dyDescent="0.25">
      <c r="A18" s="62" t="s">
        <v>668</v>
      </c>
      <c r="B18" s="63">
        <v>1486</v>
      </c>
      <c r="C18" s="42" t="s">
        <v>669</v>
      </c>
      <c r="D18" s="329" t="s">
        <v>3303</v>
      </c>
      <c r="E18" s="339" t="str">
        <f>IFERROR(IF(OR(D18='DICTIONARY-5'!$A$2,D18='DICTIONARY-5'!$A$4,ISBLANK(D18)),VLOOKUP(C18,LIST!$A$6:$L$3250,CURR_1.SEARCH.OLD,0),VLOOKUP(D18,LIST!$B$6:$L$3250,CURR_1.SEARCH.NEW,0)),'DICTIONARY-5'!$A$2)</f>
        <v>3 385,-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</row>
    <row r="19" spans="1:6" x14ac:dyDescent="0.25">
      <c r="A19" s="62" t="s">
        <v>670</v>
      </c>
      <c r="B19" s="63">
        <v>1720</v>
      </c>
      <c r="C19" s="42" t="s">
        <v>671</v>
      </c>
      <c r="D19" s="329" t="s">
        <v>3304</v>
      </c>
      <c r="E19" s="339" t="str">
        <f>IFERROR(IF(OR(D19='DICTIONARY-5'!$A$2,D19='DICTIONARY-5'!$A$4,ISBLANK(D19)),VLOOKUP(C19,LIST!$A$6:$L$3250,CURR_1.SEARCH.OLD,0),VLOOKUP(D19,LIST!$B$6:$L$3250,CURR_1.SEARCH.NEW,0)),'DICTIONARY-5'!$A$2)</f>
        <v>4 910,-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</row>
    <row r="20" spans="1:6" x14ac:dyDescent="0.25">
      <c r="A20" s="62" t="s">
        <v>672</v>
      </c>
      <c r="B20" s="63">
        <v>1920</v>
      </c>
      <c r="C20" s="42" t="s">
        <v>673</v>
      </c>
      <c r="D20" s="329" t="s">
        <v>3305</v>
      </c>
      <c r="E20" s="339" t="str">
        <f>IFERROR(IF(OR(D20='DICTIONARY-5'!$A$2,D20='DICTIONARY-5'!$A$4,ISBLANK(D20)),VLOOKUP(C20,LIST!$A$6:$L$3250,CURR_1.SEARCH.OLD,0),VLOOKUP(D20,LIST!$B$6:$L$3250,CURR_1.SEARCH.NEW,0)),'DICTIONARY-5'!$A$2)</f>
        <v>5 727,-</v>
      </c>
      <c r="F20" s="339" t="str">
        <f>IFERROR(IF(OR(D20='DICTIONARY-5'!$A$2,D20='DICTIONARY-5'!$A$4,ISBLANK(D20)),VLOOKUP(C20,LIST!$A$6:$M$3250,CURR_2.SEARCH.OLD,0),VLOOKUP(D20,LIST!$B$6:$M$3250,CURR_2.SEARCH.NEW,0)),'DICTIONARY-5'!$A$2)</f>
        <v/>
      </c>
    </row>
    <row r="21" spans="1:6" x14ac:dyDescent="0.25">
      <c r="A21" s="62" t="s">
        <v>674</v>
      </c>
      <c r="B21" s="63">
        <v>2120</v>
      </c>
      <c r="C21" s="42" t="s">
        <v>675</v>
      </c>
      <c r="D21" s="329" t="s">
        <v>3306</v>
      </c>
      <c r="E21" s="339" t="str">
        <f>IFERROR(IF(OR(D21='DICTIONARY-5'!$A$2,D21='DICTIONARY-5'!$A$4,ISBLANK(D21)),VLOOKUP(C21,LIST!$A$6:$L$3250,CURR_1.SEARCH.OLD,0),VLOOKUP(D21,LIST!$B$6:$L$3250,CURR_1.SEARCH.NEW,0)),'DICTIONARY-5'!$A$2)</f>
        <v>6 286,-</v>
      </c>
      <c r="F21" s="339" t="str">
        <f>IFERROR(IF(OR(D21='DICTIONARY-5'!$A$2,D21='DICTIONARY-5'!$A$4,ISBLANK(D21)),VLOOKUP(C21,LIST!$A$6:$M$3250,CURR_2.SEARCH.OLD,0),VLOOKUP(D21,LIST!$B$6:$M$3250,CURR_2.SEARCH.NEW,0)),'DICTIONARY-5'!$A$2)</f>
        <v/>
      </c>
    </row>
    <row r="22" spans="1:6" x14ac:dyDescent="0.25">
      <c r="A22" s="62" t="s">
        <v>676</v>
      </c>
      <c r="B22" s="63">
        <v>2320</v>
      </c>
      <c r="C22" s="42" t="s">
        <v>677</v>
      </c>
      <c r="D22" s="329" t="s">
        <v>3307</v>
      </c>
      <c r="E22" s="339" t="str">
        <f>IFERROR(IF(OR(D22='DICTIONARY-5'!$A$2,D22='DICTIONARY-5'!$A$4,ISBLANK(D22)),VLOOKUP(C22,LIST!$A$6:$L$3250,CURR_1.SEARCH.OLD,0),VLOOKUP(D22,LIST!$B$6:$L$3250,CURR_1.SEARCH.NEW,0)),'DICTIONARY-5'!$A$2)</f>
        <v>6 677,-</v>
      </c>
      <c r="F22" s="339" t="str">
        <f>IFERROR(IF(OR(D22='DICTIONARY-5'!$A$2,D22='DICTIONARY-5'!$A$4,ISBLANK(D22)),VLOOKUP(C22,LIST!$A$6:$M$3250,CURR_2.SEARCH.OLD,0),VLOOKUP(D22,LIST!$B$6:$M$3250,CURR_2.SEARCH.NEW,0)),'DICTIONARY-5'!$A$2)</f>
        <v/>
      </c>
    </row>
    <row r="23" spans="1:6" x14ac:dyDescent="0.25">
      <c r="A23" s="62" t="s">
        <v>678</v>
      </c>
      <c r="B23" s="63">
        <v>2720</v>
      </c>
      <c r="C23" s="42" t="s">
        <v>679</v>
      </c>
      <c r="D23" s="329" t="s">
        <v>3308</v>
      </c>
      <c r="E23" s="339" t="str">
        <f>IFERROR(IF(OR(D23='DICTIONARY-5'!$A$2,D23='DICTIONARY-5'!$A$4,ISBLANK(D23)),VLOOKUP(C23,LIST!$A$6:$L$3250,CURR_1.SEARCH.OLD,0),VLOOKUP(D23,LIST!$B$6:$L$3250,CURR_1.SEARCH.NEW,0)),'DICTIONARY-5'!$A$2)</f>
        <v>8 265,-</v>
      </c>
      <c r="F23" s="339" t="str">
        <f>IFERROR(IF(OR(D23='DICTIONARY-5'!$A$2,D23='DICTIONARY-5'!$A$4,ISBLANK(D23)),VLOOKUP(C23,LIST!$A$6:$M$3250,CURR_2.SEARCH.OLD,0),VLOOKUP(D23,LIST!$B$6:$M$3250,CURR_2.SEARCH.NEW,0)),'DICTIONARY-5'!$A$2)</f>
        <v/>
      </c>
    </row>
    <row r="24" spans="1:6" x14ac:dyDescent="0.25">
      <c r="A24" s="42" t="s">
        <v>680</v>
      </c>
      <c r="B24" s="42">
        <v>3280</v>
      </c>
      <c r="C24" s="42" t="s">
        <v>681</v>
      </c>
      <c r="D24" s="330" t="s">
        <v>3309</v>
      </c>
      <c r="E24" s="339" t="str">
        <f>IFERROR(IF(OR(D24='DICTIONARY-5'!$A$2,D24='DICTIONARY-5'!$A$4,ISBLANK(D24)),VLOOKUP(C24,LIST!$A$6:$L$3250,CURR_1.SEARCH.OLD,0),VLOOKUP(D24,LIST!$B$6:$L$3250,CURR_1.SEARCH.NEW,0)),'DICTIONARY-5'!$A$2)</f>
        <v>na zapytanie</v>
      </c>
      <c r="F24" s="339" t="str">
        <f>IFERROR(IF(OR(D24='DICTIONARY-5'!$A$2,D24='DICTIONARY-5'!$A$4,ISBLANK(D24)),VLOOKUP(C24,LIST!$A$6:$M$3250,CURR_2.SEARCH.OLD,0),VLOOKUP(D24,LIST!$B$6:$M$3250,CURR_2.SEARCH.NEW,0)),'DICTIONARY-5'!$A$2)</f>
        <v/>
      </c>
    </row>
    <row r="25" spans="1:6" x14ac:dyDescent="0.25">
      <c r="A25" s="42" t="s">
        <v>682</v>
      </c>
      <c r="B25" s="42">
        <v>3480</v>
      </c>
      <c r="C25" s="42" t="s">
        <v>683</v>
      </c>
      <c r="D25" s="330" t="s">
        <v>3310</v>
      </c>
      <c r="E25" s="339" t="str">
        <f>IFERROR(IF(OR(D25='DICTIONARY-5'!$A$2,D25='DICTIONARY-5'!$A$4,ISBLANK(D25)),VLOOKUP(C25,LIST!$A$6:$L$3250,CURR_1.SEARCH.OLD,0),VLOOKUP(D25,LIST!$B$6:$L$3250,CURR_1.SEARCH.NEW,0)),'DICTIONARY-5'!$A$2)</f>
        <v>na zapytanie</v>
      </c>
      <c r="F25" s="339" t="str">
        <f>IFERROR(IF(OR(D25='DICTIONARY-5'!$A$2,D25='DICTIONARY-5'!$A$4,ISBLANK(D25)),VLOOKUP(C25,LIST!$A$6:$M$3250,CURR_2.SEARCH.OLD,0),VLOOKUP(D25,LIST!$B$6:$M$3250,CURR_2.SEARCH.NEW,0)),'DICTIONARY-5'!$A$2)</f>
        <v/>
      </c>
    </row>
    <row r="26" spans="1:6" x14ac:dyDescent="0.25">
      <c r="A26" s="42" t="s">
        <v>684</v>
      </c>
      <c r="B26" s="42">
        <v>3680</v>
      </c>
      <c r="C26" s="42" t="s">
        <v>685</v>
      </c>
      <c r="D26" s="330" t="s">
        <v>3311</v>
      </c>
      <c r="E26" s="339" t="str">
        <f>IFERROR(IF(OR(D26='DICTIONARY-5'!$A$2,D26='DICTIONARY-5'!$A$4,ISBLANK(D26)),VLOOKUP(C26,LIST!$A$6:$L$3250,CURR_1.SEARCH.OLD,0),VLOOKUP(D26,LIST!$B$6:$L$3250,CURR_1.SEARCH.NEW,0)),'DICTIONARY-5'!$A$2)</f>
        <v>na zapytanie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</row>
    <row r="27" spans="1:6" x14ac:dyDescent="0.25">
      <c r="A27" s="42" t="s">
        <v>686</v>
      </c>
      <c r="B27" s="42">
        <v>3880</v>
      </c>
      <c r="C27" s="42" t="s">
        <v>687</v>
      </c>
      <c r="D27" s="330" t="s">
        <v>3312</v>
      </c>
      <c r="E27" s="339" t="str">
        <f>IFERROR(IF(OR(D27='DICTIONARY-5'!$A$2,D27='DICTIONARY-5'!$A$4,ISBLANK(D27)),VLOOKUP(C27,LIST!$A$6:$L$3250,CURR_1.SEARCH.OLD,0),VLOOKUP(D27,LIST!$B$6:$L$3250,CURR_1.SEARCH.NEW,0)),'DICTIONARY-5'!$A$2)</f>
        <v>na zapytanie</v>
      </c>
      <c r="F27" s="339" t="str">
        <f>IFERROR(IF(OR(D27='DICTIONARY-5'!$A$2,D27='DICTIONARY-5'!$A$4,ISBLANK(D27)),VLOOKUP(C27,LIST!$A$6:$M$3250,CURR_2.SEARCH.OLD,0),VLOOKUP(D27,LIST!$B$6:$M$3250,CURR_2.SEARCH.NEW,0)),'DICTIONARY-5'!$A$2)</f>
        <v/>
      </c>
    </row>
    <row r="28" spans="1:6" x14ac:dyDescent="0.25">
      <c r="A28" s="42" t="s">
        <v>688</v>
      </c>
      <c r="B28" s="42">
        <v>4080</v>
      </c>
      <c r="C28" s="42" t="s">
        <v>689</v>
      </c>
      <c r="D28" s="330" t="s">
        <v>3313</v>
      </c>
      <c r="E28" s="339" t="str">
        <f>IFERROR(IF(OR(D28='DICTIONARY-5'!$A$2,D28='DICTIONARY-5'!$A$4,ISBLANK(D28)),VLOOKUP(C28,LIST!$A$6:$L$3250,CURR_1.SEARCH.OLD,0),VLOOKUP(D28,LIST!$B$6:$L$3250,CURR_1.SEARCH.NEW,0)),'DICTIONARY-5'!$A$2)</f>
        <v>na zapytanie</v>
      </c>
      <c r="F28" s="339" t="str">
        <f>IFERROR(IF(OR(D28='DICTIONARY-5'!$A$2,D28='DICTIONARY-5'!$A$4,ISBLANK(D28)),VLOOKUP(C28,LIST!$A$6:$M$3250,CURR_2.SEARCH.OLD,0),VLOOKUP(D28,LIST!$B$6:$M$3250,CURR_2.SEARCH.NEW,0)),'DICTIONARY-5'!$A$2)</f>
        <v/>
      </c>
    </row>
    <row r="29" spans="1:6" x14ac:dyDescent="0.25">
      <c r="A29" s="46"/>
    </row>
    <row r="30" spans="1:6" x14ac:dyDescent="0.25">
      <c r="A30" s="46" t="str">
        <f>"1) "&amp;'DICTIONARY-5'!$A$86&amp;" - "&amp;'DICTIONARY-5'!$A$89</f>
        <v>1) Głębokość zabudowy - odległość od dna rurociągu / kanału do poziomu operacyjnego</v>
      </c>
    </row>
    <row r="31" spans="1:6" x14ac:dyDescent="0.25">
      <c r="A31" s="46" t="str">
        <f>"2) "&amp;'DICTIONARY-3'!$A$269&amp;" "&amp;'DICTIONARY-3'!$A$15&amp;" "&amp;'DICTIONARY-3'!$A$190</f>
        <v>2) Do tego wymiaru polecamy  ERIplus Zasuwa wrzecionowa</v>
      </c>
    </row>
  </sheetData>
  <sheetProtection algorithmName="SHA-512" hashValue="FDwzdTseEn2WU5GDp/J8c4AcIjlt//D5MJ9IDRStnF4WF2Hi3CQ8U+sqoTr7euPD1icTE+y3yk5Fhzw8aOhFBQ==" saltValue="6HVfXk+5IUw2QEAvnTd7hg==" spinCount="100000" sheet="1" objects="1" scenarios="1" autoFilter="0"/>
  <mergeCells count="4">
    <mergeCell ref="A10:A11"/>
    <mergeCell ref="C10:F10"/>
    <mergeCell ref="C11:F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8">
    <tabColor rgb="FF0F6E23"/>
  </sheetPr>
  <dimension ref="A1:F31"/>
  <sheetViews>
    <sheetView workbookViewId="0"/>
  </sheetViews>
  <sheetFormatPr defaultColWidth="9.140625" defaultRowHeight="15" x14ac:dyDescent="0.25"/>
  <cols>
    <col min="1" max="2" width="11.42578125" style="30" customWidth="1"/>
    <col min="3" max="4" width="22.140625" style="30" customWidth="1"/>
    <col min="5" max="6" width="12.85546875" style="31" customWidth="1"/>
    <col min="7" max="16384" width="9.140625" style="32"/>
  </cols>
  <sheetData>
    <row r="1" spans="1:6" s="418" customFormat="1" ht="45" customHeight="1" thickBot="1" x14ac:dyDescent="0.3">
      <c r="A1" s="381"/>
      <c r="B1" s="381"/>
      <c r="C1" s="381"/>
      <c r="D1" s="381"/>
      <c r="E1" s="417"/>
      <c r="F1" s="417"/>
    </row>
    <row r="2" spans="1:6" s="482" customFormat="1" ht="4.5" customHeight="1" x14ac:dyDescent="0.25">
      <c r="A2" s="479"/>
      <c r="B2" s="480"/>
      <c r="C2" s="480"/>
      <c r="D2" s="480"/>
      <c r="E2" s="481"/>
      <c r="F2" s="481"/>
    </row>
    <row r="3" spans="1:6" ht="15.75" thickBot="1" x14ac:dyDescent="0.3">
      <c r="A3" s="33"/>
      <c r="B3" s="34"/>
      <c r="C3" s="34"/>
      <c r="D3" s="34"/>
    </row>
    <row r="4" spans="1:6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6" x14ac:dyDescent="0.25">
      <c r="A5" s="33"/>
      <c r="B5" s="34"/>
      <c r="C5" s="34"/>
      <c r="D5" s="34"/>
    </row>
    <row r="6" spans="1:6" ht="16.5" thickBot="1" x14ac:dyDescent="0.3">
      <c r="A6" s="81" t="str">
        <f>CONCATENATE('DICTIONARY-3'!$A$14," ",'DICTIONARY-3'!$A$190)</f>
        <v>EROXplus-O Zasuwa wrzecionowa</v>
      </c>
      <c r="B6" s="82"/>
      <c r="C6" s="83"/>
      <c r="D6" s="83"/>
      <c r="E6" s="83"/>
      <c r="F6" s="83"/>
    </row>
    <row r="7" spans="1:6" x14ac:dyDescent="0.25">
      <c r="A7" s="36" t="str">
        <f>'DICTIONARY-3'!$A$271</f>
        <v>Z ramą otwartą dla wrzeciona wznoszącego się</v>
      </c>
      <c r="C7" s="31"/>
      <c r="D7" s="31"/>
    </row>
    <row r="8" spans="1:6" x14ac:dyDescent="0.25">
      <c r="A8" s="36" t="str">
        <f>CONCATENATE('DICTIONARY-1'!$A$10,": ",SETTINGS!$C$20)</f>
        <v>Grupa rabatowa: EROXplus</v>
      </c>
      <c r="C8" s="31"/>
      <c r="D8" s="31"/>
    </row>
    <row r="9" spans="1:6" x14ac:dyDescent="0.25">
      <c r="A9" s="37"/>
      <c r="C9" s="31"/>
      <c r="D9" s="31"/>
    </row>
    <row r="10" spans="1:6" x14ac:dyDescent="0.25">
      <c r="A10" s="960" t="str">
        <f>'DICTIONARY-3'!$A$265</f>
        <v xml:space="preserve">Obszar przepływu </v>
      </c>
      <c r="B10" s="701" t="str">
        <f>'DICTIONARY-2'!$A$8&amp;" 1)"</f>
        <v>Tmin 1)</v>
      </c>
      <c r="C10" s="960" t="str">
        <f>'DICTIONARY-3'!$A$14</f>
        <v>EROXplus-O</v>
      </c>
      <c r="D10" s="960"/>
      <c r="E10" s="960"/>
      <c r="F10" s="960"/>
    </row>
    <row r="11" spans="1:6" x14ac:dyDescent="0.25">
      <c r="A11" s="977"/>
      <c r="B11" s="704"/>
      <c r="C11" s="961" t="str">
        <f>'DICTIONARY-5'!$A$101&amp;", "&amp;'DICTIONARY-5'!$A$102</f>
        <v>rama otwarta, dla wrzeciona wznoszącego się</v>
      </c>
      <c r="D11" s="961"/>
      <c r="E11" s="961"/>
      <c r="F11" s="961"/>
    </row>
    <row r="12" spans="1:6" x14ac:dyDescent="0.25">
      <c r="A12" s="57"/>
      <c r="B12" s="704" t="str">
        <f>'DICTIONARY-2'!$A$18</f>
        <v>[mm]</v>
      </c>
      <c r="C12" s="58" t="str">
        <f>'DICTIONARY-2'!$A$28</f>
        <v>stary nr zamówienia</v>
      </c>
      <c r="D12" s="58" t="str">
        <f>'DICTIONARY-2'!$A$29</f>
        <v>nowy nr zamówienia</v>
      </c>
      <c r="E12" s="41" t="str">
        <f>CURRENCY.CODE_1</f>
        <v>EUR</v>
      </c>
      <c r="F12" s="41" t="str">
        <f>CURRENCY.CODE_2</f>
        <v>---</v>
      </c>
    </row>
    <row r="13" spans="1:6" x14ac:dyDescent="0.25">
      <c r="A13" s="59" t="s">
        <v>658</v>
      </c>
      <c r="B13" s="60">
        <v>596</v>
      </c>
      <c r="C13" s="61" t="s">
        <v>690</v>
      </c>
      <c r="D13" s="61" t="s">
        <v>3282</v>
      </c>
      <c r="E13" s="665" t="str">
        <f>IFERROR(IF(OR(D13='DICTIONARY-5'!$A$2,D13='DICTIONARY-5'!$A$4,ISBLANK(D13)),VLOOKUP(C13,LIST!$A$6:$L$3250,CURR_1.SEARCH.OLD,0),VLOOKUP(D13,LIST!$B$6:$L$3250,CURR_1.SEARCH.NEW,0)),'DICTIONARY-5'!$A$2)</f>
        <v>713,-</v>
      </c>
      <c r="F13" s="665" t="str">
        <f>IFERROR(IF(OR(D13='DICTIONARY-5'!$A$2,D13='DICTIONARY-5'!$A$4,ISBLANK(D13)),VLOOKUP(C13,LIST!$A$6:$M$3250,CURR_2.SEARCH.OLD,0),VLOOKUP(D13,LIST!$B$6:$M$3250,CURR_2.SEARCH.NEW,0)),'DICTIONARY-5'!$A$2)</f>
        <v/>
      </c>
    </row>
    <row r="14" spans="1:6" x14ac:dyDescent="0.25">
      <c r="A14" s="59" t="s">
        <v>660</v>
      </c>
      <c r="B14" s="60">
        <v>696</v>
      </c>
      <c r="C14" s="61" t="s">
        <v>691</v>
      </c>
      <c r="D14" s="61" t="s">
        <v>3283</v>
      </c>
      <c r="E14" s="665" t="str">
        <f>IFERROR(IF(OR(D14='DICTIONARY-5'!$A$2,D14='DICTIONARY-5'!$A$4,ISBLANK(D14)),VLOOKUP(C14,LIST!$A$6:$L$3250,CURR_1.SEARCH.OLD,0),VLOOKUP(D14,LIST!$B$6:$L$3250,CURR_1.SEARCH.NEW,0)),'DICTIONARY-5'!$A$2)</f>
        <v>761,-</v>
      </c>
      <c r="F14" s="665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6" x14ac:dyDescent="0.25">
      <c r="A15" s="59" t="s">
        <v>662</v>
      </c>
      <c r="B15" s="60">
        <v>896</v>
      </c>
      <c r="C15" s="61" t="s">
        <v>692</v>
      </c>
      <c r="D15" s="61" t="s">
        <v>3284</v>
      </c>
      <c r="E15" s="665" t="str">
        <f>IFERROR(IF(OR(D15='DICTIONARY-5'!$A$2,D15='DICTIONARY-5'!$A$4,ISBLANK(D15)),VLOOKUP(C15,LIST!$A$6:$L$3250,CURR_1.SEARCH.OLD,0),VLOOKUP(D15,LIST!$B$6:$L$3250,CURR_1.SEARCH.NEW,0)),'DICTIONARY-5'!$A$2)</f>
        <v>1 179,-</v>
      </c>
      <c r="F15" s="665" t="str">
        <f>IFERROR(IF(OR(D15='DICTIONARY-5'!$A$2,D15='DICTIONARY-5'!$A$4,ISBLANK(D15)),VLOOKUP(C15,LIST!$A$6:$M$3250,CURR_2.SEARCH.OLD,0),VLOOKUP(D15,LIST!$B$6:$M$3250,CURR_2.SEARCH.NEW,0)),'DICTIONARY-5'!$A$2)</f>
        <v/>
      </c>
    </row>
    <row r="16" spans="1:6" x14ac:dyDescent="0.25">
      <c r="A16" s="62" t="s">
        <v>664</v>
      </c>
      <c r="B16" s="63">
        <v>1096</v>
      </c>
      <c r="C16" s="42" t="s">
        <v>693</v>
      </c>
      <c r="D16" s="329" t="s">
        <v>3285</v>
      </c>
      <c r="E16" s="339" t="str">
        <f>IFERROR(IF(OR(D16='DICTIONARY-5'!$A$2,D16='DICTIONARY-5'!$A$4,ISBLANK(D16)),VLOOKUP(C16,LIST!$A$6:$L$3250,CURR_1.SEARCH.OLD,0),VLOOKUP(D16,LIST!$B$6:$L$3250,CURR_1.SEARCH.NEW,0)),'DICTIONARY-5'!$A$2)</f>
        <v>2 013,-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</row>
    <row r="17" spans="1:6" x14ac:dyDescent="0.25">
      <c r="A17" s="62" t="s">
        <v>666</v>
      </c>
      <c r="B17" s="63">
        <v>1291</v>
      </c>
      <c r="C17" s="42" t="s">
        <v>694</v>
      </c>
      <c r="D17" s="329" t="s">
        <v>3286</v>
      </c>
      <c r="E17" s="339" t="str">
        <f>IFERROR(IF(OR(D17='DICTIONARY-5'!$A$2,D17='DICTIONARY-5'!$A$4,ISBLANK(D17)),VLOOKUP(C17,LIST!$A$6:$L$3250,CURR_1.SEARCH.OLD,0),VLOOKUP(D17,LIST!$B$6:$L$3250,CURR_1.SEARCH.NEW,0)),'DICTIONARY-5'!$A$2)</f>
        <v>2 759,-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</row>
    <row r="18" spans="1:6" x14ac:dyDescent="0.25">
      <c r="A18" s="62" t="s">
        <v>668</v>
      </c>
      <c r="B18" s="63">
        <v>1486</v>
      </c>
      <c r="C18" s="42" t="s">
        <v>695</v>
      </c>
      <c r="D18" s="329" t="s">
        <v>3287</v>
      </c>
      <c r="E18" s="339" t="str">
        <f>IFERROR(IF(OR(D18='DICTIONARY-5'!$A$2,D18='DICTIONARY-5'!$A$4,ISBLANK(D18)),VLOOKUP(C18,LIST!$A$6:$L$3250,CURR_1.SEARCH.OLD,0),VLOOKUP(D18,LIST!$B$6:$L$3250,CURR_1.SEARCH.NEW,0)),'DICTIONARY-5'!$A$2)</f>
        <v>2 744,-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</row>
    <row r="19" spans="1:6" x14ac:dyDescent="0.25">
      <c r="A19" s="62" t="s">
        <v>670</v>
      </c>
      <c r="B19" s="63">
        <v>1720</v>
      </c>
      <c r="C19" s="42" t="s">
        <v>696</v>
      </c>
      <c r="D19" s="329" t="s">
        <v>3288</v>
      </c>
      <c r="E19" s="339" t="str">
        <f>IFERROR(IF(OR(D19='DICTIONARY-5'!$A$2,D19='DICTIONARY-5'!$A$4,ISBLANK(D19)),VLOOKUP(C19,LIST!$A$6:$L$3250,CURR_1.SEARCH.OLD,0),VLOOKUP(D19,LIST!$B$6:$L$3250,CURR_1.SEARCH.NEW,0)),'DICTIONARY-5'!$A$2)</f>
        <v>4 097,-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</row>
    <row r="20" spans="1:6" x14ac:dyDescent="0.25">
      <c r="A20" s="62" t="s">
        <v>672</v>
      </c>
      <c r="B20" s="63">
        <v>1920</v>
      </c>
      <c r="C20" s="42" t="s">
        <v>697</v>
      </c>
      <c r="D20" s="329" t="s">
        <v>3289</v>
      </c>
      <c r="E20" s="339" t="str">
        <f>IFERROR(IF(OR(D20='DICTIONARY-5'!$A$2,D20='DICTIONARY-5'!$A$4,ISBLANK(D20)),VLOOKUP(C20,LIST!$A$6:$L$3250,CURR_1.SEARCH.OLD,0),VLOOKUP(D20,LIST!$B$6:$L$3250,CURR_1.SEARCH.NEW,0)),'DICTIONARY-5'!$A$2)</f>
        <v>4 804,-</v>
      </c>
      <c r="F20" s="339" t="str">
        <f>IFERROR(IF(OR(D20='DICTIONARY-5'!$A$2,D20='DICTIONARY-5'!$A$4,ISBLANK(D20)),VLOOKUP(C20,LIST!$A$6:$M$3250,CURR_2.SEARCH.OLD,0),VLOOKUP(D20,LIST!$B$6:$M$3250,CURR_2.SEARCH.NEW,0)),'DICTIONARY-5'!$A$2)</f>
        <v/>
      </c>
    </row>
    <row r="21" spans="1:6" x14ac:dyDescent="0.25">
      <c r="A21" s="62" t="s">
        <v>674</v>
      </c>
      <c r="B21" s="63">
        <v>2120</v>
      </c>
      <c r="C21" s="42" t="s">
        <v>698</v>
      </c>
      <c r="D21" s="329" t="s">
        <v>3290</v>
      </c>
      <c r="E21" s="339" t="str">
        <f>IFERROR(IF(OR(D21='DICTIONARY-5'!$A$2,D21='DICTIONARY-5'!$A$4,ISBLANK(D21)),VLOOKUP(C21,LIST!$A$6:$L$3250,CURR_1.SEARCH.OLD,0),VLOOKUP(D21,LIST!$B$6:$L$3250,CURR_1.SEARCH.NEW,0)),'DICTIONARY-5'!$A$2)</f>
        <v>5 278,-</v>
      </c>
      <c r="F21" s="339" t="str">
        <f>IFERROR(IF(OR(D21='DICTIONARY-5'!$A$2,D21='DICTIONARY-5'!$A$4,ISBLANK(D21)),VLOOKUP(C21,LIST!$A$6:$M$3250,CURR_2.SEARCH.OLD,0),VLOOKUP(D21,LIST!$B$6:$M$3250,CURR_2.SEARCH.NEW,0)),'DICTIONARY-5'!$A$2)</f>
        <v/>
      </c>
    </row>
    <row r="22" spans="1:6" x14ac:dyDescent="0.25">
      <c r="A22" s="62" t="s">
        <v>676</v>
      </c>
      <c r="B22" s="63">
        <v>2320</v>
      </c>
      <c r="C22" s="42" t="s">
        <v>699</v>
      </c>
      <c r="D22" s="329" t="s">
        <v>3291</v>
      </c>
      <c r="E22" s="339" t="str">
        <f>IFERROR(IF(OR(D22='DICTIONARY-5'!$A$2,D22='DICTIONARY-5'!$A$4,ISBLANK(D22)),VLOOKUP(C22,LIST!$A$6:$L$3250,CURR_1.SEARCH.OLD,0),VLOOKUP(D22,LIST!$B$6:$L$3250,CURR_1.SEARCH.NEW,0)),'DICTIONARY-5'!$A$2)</f>
        <v>5 566,-</v>
      </c>
      <c r="F22" s="339" t="str">
        <f>IFERROR(IF(OR(D22='DICTIONARY-5'!$A$2,D22='DICTIONARY-5'!$A$4,ISBLANK(D22)),VLOOKUP(C22,LIST!$A$6:$M$3250,CURR_2.SEARCH.OLD,0),VLOOKUP(D22,LIST!$B$6:$M$3250,CURR_2.SEARCH.NEW,0)),'DICTIONARY-5'!$A$2)</f>
        <v/>
      </c>
    </row>
    <row r="23" spans="1:6" x14ac:dyDescent="0.25">
      <c r="A23" s="62" t="s">
        <v>678</v>
      </c>
      <c r="B23" s="63">
        <v>2720</v>
      </c>
      <c r="C23" s="42" t="s">
        <v>700</v>
      </c>
      <c r="D23" s="329" t="s">
        <v>3292</v>
      </c>
      <c r="E23" s="339" t="str">
        <f>IFERROR(IF(OR(D23='DICTIONARY-5'!$A$2,D23='DICTIONARY-5'!$A$4,ISBLANK(D23)),VLOOKUP(C23,LIST!$A$6:$L$3250,CURR_1.SEARCH.OLD,0),VLOOKUP(D23,LIST!$B$6:$L$3250,CURR_1.SEARCH.NEW,0)),'DICTIONARY-5'!$A$2)</f>
        <v>7 075,-</v>
      </c>
      <c r="F23" s="339" t="str">
        <f>IFERROR(IF(OR(D23='DICTIONARY-5'!$A$2,D23='DICTIONARY-5'!$A$4,ISBLANK(D23)),VLOOKUP(C23,LIST!$A$6:$M$3250,CURR_2.SEARCH.OLD,0),VLOOKUP(D23,LIST!$B$6:$M$3250,CURR_2.SEARCH.NEW,0)),'DICTIONARY-5'!$A$2)</f>
        <v/>
      </c>
    </row>
    <row r="24" spans="1:6" x14ac:dyDescent="0.25">
      <c r="A24" s="42" t="s">
        <v>680</v>
      </c>
      <c r="B24" s="42">
        <v>3280</v>
      </c>
      <c r="C24" s="42" t="s">
        <v>701</v>
      </c>
      <c r="D24" s="330" t="s">
        <v>3293</v>
      </c>
      <c r="E24" s="339" t="str">
        <f>IFERROR(IF(OR(D24='DICTIONARY-5'!$A$2,D24='DICTIONARY-5'!$A$4,ISBLANK(D24)),VLOOKUP(C24,LIST!$A$6:$L$3250,CURR_1.SEARCH.OLD,0),VLOOKUP(D24,LIST!$B$6:$L$3250,CURR_1.SEARCH.NEW,0)),'DICTIONARY-5'!$A$2)</f>
        <v>na zapytanie</v>
      </c>
      <c r="F24" s="339" t="str">
        <f>IFERROR(IF(OR(D24='DICTIONARY-5'!$A$2,D24='DICTIONARY-5'!$A$4,ISBLANK(D24)),VLOOKUP(C24,LIST!$A$6:$M$3250,CURR_2.SEARCH.OLD,0),VLOOKUP(D24,LIST!$B$6:$M$3250,CURR_2.SEARCH.NEW,0)),'DICTIONARY-5'!$A$2)</f>
        <v/>
      </c>
    </row>
    <row r="25" spans="1:6" x14ac:dyDescent="0.25">
      <c r="A25" s="42" t="s">
        <v>682</v>
      </c>
      <c r="B25" s="42">
        <v>3480</v>
      </c>
      <c r="C25" s="42" t="s">
        <v>702</v>
      </c>
      <c r="D25" s="330" t="s">
        <v>3294</v>
      </c>
      <c r="E25" s="339" t="str">
        <f>IFERROR(IF(OR(D25='DICTIONARY-5'!$A$2,D25='DICTIONARY-5'!$A$4,ISBLANK(D25)),VLOOKUP(C25,LIST!$A$6:$L$3250,CURR_1.SEARCH.OLD,0),VLOOKUP(D25,LIST!$B$6:$L$3250,CURR_1.SEARCH.NEW,0)),'DICTIONARY-5'!$A$2)</f>
        <v>na zapytanie</v>
      </c>
      <c r="F25" s="339" t="str">
        <f>IFERROR(IF(OR(D25='DICTIONARY-5'!$A$2,D25='DICTIONARY-5'!$A$4,ISBLANK(D25)),VLOOKUP(C25,LIST!$A$6:$M$3250,CURR_2.SEARCH.OLD,0),VLOOKUP(D25,LIST!$B$6:$M$3250,CURR_2.SEARCH.NEW,0)),'DICTIONARY-5'!$A$2)</f>
        <v/>
      </c>
    </row>
    <row r="26" spans="1:6" x14ac:dyDescent="0.25">
      <c r="A26" s="42" t="s">
        <v>684</v>
      </c>
      <c r="B26" s="42">
        <v>3680</v>
      </c>
      <c r="C26" s="42" t="s">
        <v>703</v>
      </c>
      <c r="D26" s="330" t="s">
        <v>3295</v>
      </c>
      <c r="E26" s="339" t="str">
        <f>IFERROR(IF(OR(D26='DICTIONARY-5'!$A$2,D26='DICTIONARY-5'!$A$4,ISBLANK(D26)),VLOOKUP(C26,LIST!$A$6:$L$3250,CURR_1.SEARCH.OLD,0),VLOOKUP(D26,LIST!$B$6:$L$3250,CURR_1.SEARCH.NEW,0)),'DICTIONARY-5'!$A$2)</f>
        <v>na zapytanie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</row>
    <row r="27" spans="1:6" x14ac:dyDescent="0.25">
      <c r="A27" s="42" t="s">
        <v>686</v>
      </c>
      <c r="B27" s="42">
        <v>3880</v>
      </c>
      <c r="C27" s="42" t="s">
        <v>704</v>
      </c>
      <c r="D27" s="330" t="s">
        <v>3296</v>
      </c>
      <c r="E27" s="339" t="str">
        <f>IFERROR(IF(OR(D27='DICTIONARY-5'!$A$2,D27='DICTIONARY-5'!$A$4,ISBLANK(D27)),VLOOKUP(C27,LIST!$A$6:$L$3250,CURR_1.SEARCH.OLD,0),VLOOKUP(D27,LIST!$B$6:$L$3250,CURR_1.SEARCH.NEW,0)),'DICTIONARY-5'!$A$2)</f>
        <v>na zapytanie</v>
      </c>
      <c r="F27" s="339" t="str">
        <f>IFERROR(IF(OR(D27='DICTIONARY-5'!$A$2,D27='DICTIONARY-5'!$A$4,ISBLANK(D27)),VLOOKUP(C27,LIST!$A$6:$M$3250,CURR_2.SEARCH.OLD,0),VLOOKUP(D27,LIST!$B$6:$M$3250,CURR_2.SEARCH.NEW,0)),'DICTIONARY-5'!$A$2)</f>
        <v/>
      </c>
    </row>
    <row r="28" spans="1:6" x14ac:dyDescent="0.25">
      <c r="A28" s="42" t="s">
        <v>688</v>
      </c>
      <c r="B28" s="42">
        <v>4080</v>
      </c>
      <c r="C28" s="42" t="s">
        <v>705</v>
      </c>
      <c r="D28" s="330" t="s">
        <v>3297</v>
      </c>
      <c r="E28" s="339" t="str">
        <f>IFERROR(IF(OR(D28='DICTIONARY-5'!$A$2,D28='DICTIONARY-5'!$A$4,ISBLANK(D28)),VLOOKUP(C28,LIST!$A$6:$L$3250,CURR_1.SEARCH.OLD,0),VLOOKUP(D28,LIST!$B$6:$L$3250,CURR_1.SEARCH.NEW,0)),'DICTIONARY-5'!$A$2)</f>
        <v>na zapytanie</v>
      </c>
      <c r="F28" s="339" t="str">
        <f>IFERROR(IF(OR(D28='DICTIONARY-5'!$A$2,D28='DICTIONARY-5'!$A$4,ISBLANK(D28)),VLOOKUP(C28,LIST!$A$6:$M$3250,CURR_2.SEARCH.OLD,0),VLOOKUP(D28,LIST!$B$6:$M$3250,CURR_2.SEARCH.NEW,0)),'DICTIONARY-5'!$A$2)</f>
        <v/>
      </c>
    </row>
    <row r="29" spans="1:6" x14ac:dyDescent="0.25">
      <c r="A29" s="46"/>
      <c r="C29" s="31"/>
      <c r="D29" s="31"/>
    </row>
    <row r="30" spans="1:6" x14ac:dyDescent="0.25">
      <c r="A30" s="46" t="str">
        <f>"1) "&amp;'DICTIONARY-5'!$A$86&amp;" - "&amp;'DICTIONARY-5'!$A$89</f>
        <v>1) Głębokość zabudowy - odległość od dna rurociągu / kanału do poziomu operacyjnego</v>
      </c>
      <c r="C30" s="31"/>
      <c r="D30" s="31"/>
    </row>
    <row r="31" spans="1:6" x14ac:dyDescent="0.25">
      <c r="A31" s="46" t="str">
        <f>"2) "&amp;'DICTIONARY-3'!$A$269&amp;" "&amp;'DICTIONARY-3'!$A$15&amp;" "&amp;'DICTIONARY-3'!$A$190</f>
        <v>2) Do tego wymiaru polecamy  ERIplus Zasuwa wrzecionowa</v>
      </c>
      <c r="C31" s="31"/>
      <c r="D31" s="31"/>
    </row>
  </sheetData>
  <sheetProtection algorithmName="SHA-512" hashValue="/aKeO4nHGH5v0wjvdR9fGpVbKoooMHIpJ5IiUaKDnDu68LU+/wZIZlttShGHASum9eCT9w3EC7ragycSnu4tCQ==" saltValue="UDUTn7NxvE5IVjp2drHcXQ==" spinCount="100000" sheet="1" objects="1" scenarios="1" autoFilter="0"/>
  <mergeCells count="4">
    <mergeCell ref="A10:A11"/>
    <mergeCell ref="C10:F10"/>
    <mergeCell ref="C11:F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>
    <tabColor rgb="FF0F6E23"/>
  </sheetPr>
  <dimension ref="A1:R197"/>
  <sheetViews>
    <sheetView zoomScaleNormal="100" workbookViewId="0"/>
  </sheetViews>
  <sheetFormatPr defaultColWidth="9.140625" defaultRowHeight="15" x14ac:dyDescent="0.25"/>
  <cols>
    <col min="1" max="1" width="12.85546875" style="32" customWidth="1"/>
    <col min="2" max="2" width="9.140625" style="32"/>
    <col min="3" max="3" width="22.140625" style="32" customWidth="1"/>
    <col min="4" max="5" width="12.85546875" style="32" customWidth="1"/>
    <col min="6" max="6" width="9.140625" style="32"/>
    <col min="7" max="7" width="22.140625" style="32" customWidth="1"/>
    <col min="8" max="9" width="12.85546875" style="32" customWidth="1"/>
    <col min="10" max="10" width="9.140625" style="32"/>
    <col min="11" max="11" width="22.140625" style="32" customWidth="1"/>
    <col min="12" max="13" width="12.85546875" style="32" customWidth="1"/>
    <col min="14" max="16384" width="9.140625" style="32"/>
  </cols>
  <sheetData>
    <row r="1" spans="1:6" s="418" customFormat="1" ht="45" customHeight="1" thickBot="1" x14ac:dyDescent="0.3">
      <c r="A1" s="381"/>
      <c r="B1" s="381"/>
      <c r="C1" s="381"/>
      <c r="D1" s="381"/>
    </row>
    <row r="2" spans="1:6" s="482" customFormat="1" ht="4.5" customHeight="1" x14ac:dyDescent="0.25">
      <c r="A2" s="479"/>
    </row>
    <row r="3" spans="1:6" ht="15.75" thickBot="1" x14ac:dyDescent="0.3">
      <c r="A3" s="33"/>
      <c r="B3" s="34"/>
      <c r="C3" s="34"/>
    </row>
    <row r="4" spans="1:6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6" x14ac:dyDescent="0.25">
      <c r="A5" s="33"/>
      <c r="B5" s="34"/>
      <c r="C5" s="34"/>
    </row>
    <row r="6" spans="1:6" s="87" customFormat="1" ht="16.5" thickBot="1" x14ac:dyDescent="0.3">
      <c r="A6" s="81" t="str">
        <f>CONCATENATE('DICTIONARY-3'!$A$18," ",'DICTIONARY-3'!$A$19," / ",'DICTIONARY-3'!$A$272)</f>
        <v>Zestaw S1 / Kwadratowa końcówka do operowania kluczem T</v>
      </c>
      <c r="B6" s="88"/>
      <c r="C6" s="88"/>
      <c r="D6" s="89"/>
      <c r="E6" s="89"/>
    </row>
    <row r="7" spans="1:6" x14ac:dyDescent="0.25">
      <c r="A7" s="36" t="str">
        <f>CONCATENATE(PROPER('DICTIONARY-5'!$A$7)," ",'DICTIONARY-3'!$A$13,"/",'DICTIONARY-3'!$A$15," ",'DICTIONARY-3'!$A$190," ",LOWER('DICTIONARY-3'!$A$257))</f>
        <v>Dla EROXplus/ERIplus Zasuwa wrzecionowa z wrzecionem niewznoszącym się</v>
      </c>
      <c r="B7" s="30"/>
      <c r="C7" s="30"/>
      <c r="D7" s="31"/>
      <c r="E7" s="31"/>
    </row>
    <row r="8" spans="1:6" x14ac:dyDescent="0.25">
      <c r="A8" s="36" t="str">
        <f>CONCATENATE('DICTIONARY-1'!$A$10,": ",SETTINGS!$C$88)</f>
        <v>Grupa rabatowa: REMO</v>
      </c>
      <c r="B8" s="30"/>
      <c r="C8" s="30"/>
      <c r="D8" s="31"/>
      <c r="E8" s="31"/>
    </row>
    <row r="9" spans="1:6" x14ac:dyDescent="0.25">
      <c r="A9" s="36"/>
      <c r="B9" s="30"/>
      <c r="C9" s="30"/>
      <c r="D9" s="31"/>
      <c r="E9" s="31"/>
    </row>
    <row r="10" spans="1:6" x14ac:dyDescent="0.25">
      <c r="A10" s="960" t="str">
        <f>'DICTIONARY-3'!$A$265</f>
        <v xml:space="preserve">Obszar przepływu </v>
      </c>
      <c r="B10" s="38" t="str">
        <f>'DICTIONARY-2'!$A$8&amp;" 1)"</f>
        <v>Tmin 1)</v>
      </c>
      <c r="C10" s="960" t="str">
        <f>'DICTIONARY-3'!$A$18&amp;" "&amp;'DICTIONARY-3'!$A$19</f>
        <v>Zestaw S1</v>
      </c>
      <c r="D10" s="960"/>
      <c r="E10" s="960"/>
    </row>
    <row r="11" spans="1:6" x14ac:dyDescent="0.25">
      <c r="A11" s="977"/>
      <c r="B11" s="57"/>
      <c r="C11" s="961"/>
      <c r="D11" s="961"/>
      <c r="E11" s="961"/>
    </row>
    <row r="12" spans="1:6" x14ac:dyDescent="0.25">
      <c r="A12" s="39" t="str">
        <f>'DICTIONARY-2'!$A$18</f>
        <v>[mm]</v>
      </c>
      <c r="B12" s="39" t="str">
        <f>'DICTIONARY-2'!$A$18</f>
        <v>[mm]</v>
      </c>
      <c r="C12" s="58" t="str">
        <f>'DICTIONARY-2'!$A$30</f>
        <v>numer identyfikacyjny</v>
      </c>
      <c r="D12" s="41" t="str">
        <f>CURRENCY.CODE_1</f>
        <v>EUR</v>
      </c>
      <c r="E12" s="41" t="str">
        <f>CURRENCY.CODE_2</f>
        <v>---</v>
      </c>
    </row>
    <row r="13" spans="1:6" x14ac:dyDescent="0.25">
      <c r="A13" s="62" t="s">
        <v>734</v>
      </c>
      <c r="B13" s="63">
        <v>593</v>
      </c>
      <c r="C13" s="42" t="s">
        <v>8031</v>
      </c>
      <c r="D13" s="339" t="str">
        <f>IFERROR(IF(OR(C13='DICTIONARY-5'!$A$2,C13='DICTIONARY-5'!$A$4,ISBLANK(C13)),VLOOKUP(B13,LIST!$A$6:$L$3250,CURR_1.SEARCH.OLD,0),VLOOKUP(C13,LIST!$B$6:$L$3250,CURR_1.SEARCH.NEW,0)),'DICTIONARY-5'!$A$2)</f>
        <v>11,-</v>
      </c>
      <c r="E13" s="339" t="str">
        <f>IFERROR(IF(OR(C13='DICTIONARY-5'!$A$2,C13='DICTIONARY-5'!$A$4,ISBLANK(C13)),VLOOKUP(B13,LIST!$A$6:$M$3250,CURR_2.SEARCH.OLD,0),VLOOKUP(C13,LIST!$B$6:$M$3250,CURR_2.SEARCH.NEW,0)),'DICTIONARY-5'!$A$2)</f>
        <v/>
      </c>
      <c r="F13" s="44"/>
    </row>
    <row r="14" spans="1:6" x14ac:dyDescent="0.25">
      <c r="A14" s="62" t="s">
        <v>735</v>
      </c>
      <c r="B14" s="63">
        <v>693</v>
      </c>
      <c r="C14" s="42" t="s">
        <v>8031</v>
      </c>
      <c r="D14" s="339" t="str">
        <f>IFERROR(IF(OR(C14='DICTIONARY-5'!$A$2,C14='DICTIONARY-5'!$A$4,ISBLANK(C14)),VLOOKUP(B14,LIST!$A$6:$L$3250,CURR_1.SEARCH.OLD,0),VLOOKUP(C14,LIST!$B$6:$L$3250,CURR_1.SEARCH.NEW,0)),'DICTIONARY-5'!$A$2)</f>
        <v>11,-</v>
      </c>
      <c r="E14" s="339" t="str">
        <f>IFERROR(IF(OR(C14='DICTIONARY-5'!$A$2,C14='DICTIONARY-5'!$A$4,ISBLANK(C14)),VLOOKUP(B14,LIST!$A$6:$M$3250,CURR_2.SEARCH.OLD,0),VLOOKUP(C14,LIST!$B$6:$M$3250,CURR_2.SEARCH.NEW,0)),'DICTIONARY-5'!$A$2)</f>
        <v/>
      </c>
    </row>
    <row r="15" spans="1:6" x14ac:dyDescent="0.25">
      <c r="A15" s="62" t="s">
        <v>712</v>
      </c>
      <c r="B15" s="63">
        <v>793</v>
      </c>
      <c r="C15" s="42" t="s">
        <v>8031</v>
      </c>
      <c r="D15" s="339" t="str">
        <f>IFERROR(IF(OR(C15='DICTIONARY-5'!$A$2,C15='DICTIONARY-5'!$A$4,ISBLANK(C15)),VLOOKUP(B15,LIST!$A$6:$L$3250,CURR_1.SEARCH.OLD,0),VLOOKUP(C15,LIST!$B$6:$L$3250,CURR_1.SEARCH.NEW,0)),'DICTIONARY-5'!$A$2)</f>
        <v>11,-</v>
      </c>
      <c r="E15" s="339" t="str">
        <f>IFERROR(IF(OR(C15='DICTIONARY-5'!$A$2,C15='DICTIONARY-5'!$A$4,ISBLANK(C15)),VLOOKUP(B15,LIST!$A$6:$M$3250,CURR_2.SEARCH.OLD,0),VLOOKUP(C15,LIST!$B$6:$M$3250,CURR_2.SEARCH.NEW,0)),'DICTIONARY-5'!$A$2)</f>
        <v/>
      </c>
    </row>
    <row r="16" spans="1:6" x14ac:dyDescent="0.25">
      <c r="A16" s="62" t="s">
        <v>736</v>
      </c>
      <c r="B16" s="63">
        <v>893</v>
      </c>
      <c r="C16" s="42" t="s">
        <v>8031</v>
      </c>
      <c r="D16" s="339" t="str">
        <f>IFERROR(IF(OR(C16='DICTIONARY-5'!$A$2,C16='DICTIONARY-5'!$A$4,ISBLANK(C16)),VLOOKUP(B16,LIST!$A$6:$L$3250,CURR_1.SEARCH.OLD,0),VLOOKUP(C16,LIST!$B$6:$L$3250,CURR_1.SEARCH.NEW,0)),'DICTIONARY-5'!$A$2)</f>
        <v>11,-</v>
      </c>
      <c r="E16" s="339" t="str">
        <f>IFERROR(IF(OR(C16='DICTIONARY-5'!$A$2,C16='DICTIONARY-5'!$A$4,ISBLANK(C16)),VLOOKUP(B16,LIST!$A$6:$M$3250,CURR_2.SEARCH.OLD,0),VLOOKUP(C16,LIST!$B$6:$M$3250,CURR_2.SEARCH.NEW,0)),'DICTIONARY-5'!$A$2)</f>
        <v/>
      </c>
    </row>
    <row r="17" spans="1:13" x14ac:dyDescent="0.25">
      <c r="A17" s="62" t="s">
        <v>664</v>
      </c>
      <c r="B17" s="63">
        <v>1092</v>
      </c>
      <c r="C17" s="42" t="s">
        <v>8031</v>
      </c>
      <c r="D17" s="339" t="str">
        <f>IFERROR(IF(OR(C17='DICTIONARY-5'!$A$2,C17='DICTIONARY-5'!$A$4,ISBLANK(C17)),VLOOKUP(B17,LIST!$A$6:$L$3250,CURR_1.SEARCH.OLD,0),VLOOKUP(C17,LIST!$B$6:$L$3250,CURR_1.SEARCH.NEW,0)),'DICTIONARY-5'!$A$2)</f>
        <v>11,-</v>
      </c>
      <c r="E17" s="339" t="str">
        <f>IFERROR(IF(OR(C17='DICTIONARY-5'!$A$2,C17='DICTIONARY-5'!$A$4,ISBLANK(C17)),VLOOKUP(B17,LIST!$A$6:$M$3250,CURR_2.SEARCH.OLD,0),VLOOKUP(C17,LIST!$B$6:$M$3250,CURR_2.SEARCH.NEW,0)),'DICTIONARY-5'!$A$2)</f>
        <v/>
      </c>
    </row>
    <row r="18" spans="1:13" x14ac:dyDescent="0.25">
      <c r="A18" s="62" t="s">
        <v>666</v>
      </c>
      <c r="B18" s="63">
        <v>1288</v>
      </c>
      <c r="C18" s="42" t="s">
        <v>8031</v>
      </c>
      <c r="D18" s="339" t="str">
        <f>IFERROR(IF(OR(C18='DICTIONARY-5'!$A$2,C18='DICTIONARY-5'!$A$4,ISBLANK(C18)),VLOOKUP(B18,LIST!$A$6:$L$3250,CURR_1.SEARCH.OLD,0),VLOOKUP(C18,LIST!$B$6:$L$3250,CURR_1.SEARCH.NEW,0)),'DICTIONARY-5'!$A$2)</f>
        <v>11,-</v>
      </c>
      <c r="E18" s="339" t="str">
        <f>IFERROR(IF(OR(C18='DICTIONARY-5'!$A$2,C18='DICTIONARY-5'!$A$4,ISBLANK(C18)),VLOOKUP(B18,LIST!$A$6:$M$3250,CURR_2.SEARCH.OLD,0),VLOOKUP(C18,LIST!$B$6:$M$3250,CURR_2.SEARCH.NEW,0)),'DICTIONARY-5'!$A$2)</f>
        <v/>
      </c>
    </row>
    <row r="19" spans="1:13" x14ac:dyDescent="0.25">
      <c r="A19" s="62" t="s">
        <v>668</v>
      </c>
      <c r="B19" s="63">
        <v>1483</v>
      </c>
      <c r="C19" s="42" t="s">
        <v>8031</v>
      </c>
      <c r="D19" s="339" t="str">
        <f>IFERROR(IF(OR(C19='DICTIONARY-5'!$A$2,C19='DICTIONARY-5'!$A$4,ISBLANK(C19)),VLOOKUP(B19,LIST!$A$6:$L$3250,CURR_1.SEARCH.OLD,0),VLOOKUP(C19,LIST!$B$6:$L$3250,CURR_1.SEARCH.NEW,0)),'DICTIONARY-5'!$A$2)</f>
        <v>11,-</v>
      </c>
      <c r="E19" s="339" t="str">
        <f>IFERROR(IF(OR(C19='DICTIONARY-5'!$A$2,C19='DICTIONARY-5'!$A$4,ISBLANK(C19)),VLOOKUP(B19,LIST!$A$6:$M$3250,CURR_2.SEARCH.OLD,0),VLOOKUP(C19,LIST!$B$6:$M$3250,CURR_2.SEARCH.NEW,0)),'DICTIONARY-5'!$A$2)</f>
        <v/>
      </c>
    </row>
    <row r="20" spans="1:13" x14ac:dyDescent="0.25">
      <c r="A20" s="62" t="s">
        <v>670</v>
      </c>
      <c r="B20" s="63">
        <v>1714</v>
      </c>
      <c r="C20" s="42" t="s">
        <v>8032</v>
      </c>
      <c r="D20" s="339" t="str">
        <f>IFERROR(IF(OR(C20='DICTIONARY-5'!$A$2,C20='DICTIONARY-5'!$A$4,ISBLANK(C20)),VLOOKUP(B20,LIST!$A$6:$L$3250,CURR_1.SEARCH.OLD,0),VLOOKUP(C20,LIST!$B$6:$L$3250,CURR_1.SEARCH.NEW,0)),'DICTIONARY-5'!$A$2)</f>
        <v>51,-</v>
      </c>
      <c r="E20" s="339" t="str">
        <f>IFERROR(IF(OR(C20='DICTIONARY-5'!$A$2,C20='DICTIONARY-5'!$A$4,ISBLANK(C20)),VLOOKUP(B20,LIST!$A$6:$M$3250,CURR_2.SEARCH.OLD,0),VLOOKUP(C20,LIST!$B$6:$M$3250,CURR_2.SEARCH.NEW,0)),'DICTIONARY-5'!$A$2)</f>
        <v/>
      </c>
    </row>
    <row r="21" spans="1:13" x14ac:dyDescent="0.25">
      <c r="A21" s="62" t="s">
        <v>672</v>
      </c>
      <c r="B21" s="63">
        <v>1914</v>
      </c>
      <c r="C21" s="42" t="s">
        <v>8032</v>
      </c>
      <c r="D21" s="339" t="str">
        <f>IFERROR(IF(OR(C21='DICTIONARY-5'!$A$2,C21='DICTIONARY-5'!$A$4,ISBLANK(C21)),VLOOKUP(B21,LIST!$A$6:$L$3250,CURR_1.SEARCH.OLD,0),VLOOKUP(C21,LIST!$B$6:$L$3250,CURR_1.SEARCH.NEW,0)),'DICTIONARY-5'!$A$2)</f>
        <v>51,-</v>
      </c>
      <c r="E21" s="339" t="str">
        <f>IFERROR(IF(OR(C21='DICTIONARY-5'!$A$2,C21='DICTIONARY-5'!$A$4,ISBLANK(C21)),VLOOKUP(B21,LIST!$A$6:$M$3250,CURR_2.SEARCH.OLD,0),VLOOKUP(C21,LIST!$B$6:$M$3250,CURR_2.SEARCH.NEW,0)),'DICTIONARY-5'!$A$2)</f>
        <v/>
      </c>
    </row>
    <row r="22" spans="1:13" x14ac:dyDescent="0.25">
      <c r="A22" s="62" t="s">
        <v>674</v>
      </c>
      <c r="B22" s="63">
        <v>2114</v>
      </c>
      <c r="C22" s="42" t="s">
        <v>8032</v>
      </c>
      <c r="D22" s="339" t="str">
        <f>IFERROR(IF(OR(C22='DICTIONARY-5'!$A$2,C22='DICTIONARY-5'!$A$4,ISBLANK(C22)),VLOOKUP(B22,LIST!$A$6:$L$3250,CURR_1.SEARCH.OLD,0),VLOOKUP(C22,LIST!$B$6:$L$3250,CURR_1.SEARCH.NEW,0)),'DICTIONARY-5'!$A$2)</f>
        <v>51,-</v>
      </c>
      <c r="E22" s="339" t="str">
        <f>IFERROR(IF(OR(C22='DICTIONARY-5'!$A$2,C22='DICTIONARY-5'!$A$4,ISBLANK(C22)),VLOOKUP(B22,LIST!$A$6:$M$3250,CURR_2.SEARCH.OLD,0),VLOOKUP(C22,LIST!$B$6:$M$3250,CURR_2.SEARCH.NEW,0)),'DICTIONARY-5'!$A$2)</f>
        <v/>
      </c>
    </row>
    <row r="23" spans="1:13" x14ac:dyDescent="0.25">
      <c r="A23" s="62" t="s">
        <v>676</v>
      </c>
      <c r="B23" s="63">
        <v>2314</v>
      </c>
      <c r="C23" s="42" t="s">
        <v>8032</v>
      </c>
      <c r="D23" s="339" t="str">
        <f>IFERROR(IF(OR(C23='DICTIONARY-5'!$A$2,C23='DICTIONARY-5'!$A$4,ISBLANK(C23)),VLOOKUP(B23,LIST!$A$6:$L$3250,CURR_1.SEARCH.OLD,0),VLOOKUP(C23,LIST!$B$6:$L$3250,CURR_1.SEARCH.NEW,0)),'DICTIONARY-5'!$A$2)</f>
        <v>51,-</v>
      </c>
      <c r="E23" s="339" t="str">
        <f>IFERROR(IF(OR(C23='DICTIONARY-5'!$A$2,C23='DICTIONARY-5'!$A$4,ISBLANK(C23)),VLOOKUP(B23,LIST!$A$6:$M$3250,CURR_2.SEARCH.OLD,0),VLOOKUP(C23,LIST!$B$6:$M$3250,CURR_2.SEARCH.NEW,0)),'DICTIONARY-5'!$A$2)</f>
        <v/>
      </c>
    </row>
    <row r="24" spans="1:13" x14ac:dyDescent="0.25">
      <c r="A24" s="62" t="s">
        <v>678</v>
      </c>
      <c r="B24" s="63">
        <v>2714</v>
      </c>
      <c r="C24" s="42" t="s">
        <v>8032</v>
      </c>
      <c r="D24" s="339" t="str">
        <f>IFERROR(IF(OR(C24='DICTIONARY-5'!$A$2,C24='DICTIONARY-5'!$A$4,ISBLANK(C24)),VLOOKUP(B24,LIST!$A$6:$L$3250,CURR_1.SEARCH.OLD,0),VLOOKUP(C24,LIST!$B$6:$L$3250,CURR_1.SEARCH.NEW,0)),'DICTIONARY-5'!$A$2)</f>
        <v>51,-</v>
      </c>
      <c r="E24" s="339" t="str">
        <f>IFERROR(IF(OR(C24='DICTIONARY-5'!$A$2,C24='DICTIONARY-5'!$A$4,ISBLANK(C24)),VLOOKUP(B24,LIST!$A$6:$M$3250,CURR_2.SEARCH.OLD,0),VLOOKUP(C24,LIST!$B$6:$M$3250,CURR_2.SEARCH.NEW,0)),'DICTIONARY-5'!$A$2)</f>
        <v/>
      </c>
    </row>
    <row r="25" spans="1:13" x14ac:dyDescent="0.25">
      <c r="A25" s="555"/>
      <c r="B25" s="556"/>
      <c r="C25" s="30"/>
      <c r="D25" s="557"/>
      <c r="E25" s="557"/>
    </row>
    <row r="26" spans="1:13" x14ac:dyDescent="0.25">
      <c r="A26" s="64" t="str">
        <f>"1) "&amp;'DICTIONARY-5'!$A$86&amp;" - "&amp;'DICTIONARY-5'!$A$89</f>
        <v>1) Głębokość zabudowy - odległość od dna rurociągu / kanału do poziomu operacyjnego</v>
      </c>
      <c r="B26" s="30"/>
      <c r="C26" s="30"/>
      <c r="D26" s="31"/>
      <c r="E26" s="31"/>
    </row>
    <row r="27" spans="1:13" x14ac:dyDescent="0.25">
      <c r="A27" s="33"/>
      <c r="B27" s="34"/>
      <c r="C27" s="34"/>
    </row>
    <row r="28" spans="1:13" x14ac:dyDescent="0.25">
      <c r="A28" s="33"/>
      <c r="B28" s="34"/>
      <c r="C28" s="34"/>
    </row>
    <row r="29" spans="1:13" x14ac:dyDescent="0.25">
      <c r="A29" s="33"/>
      <c r="B29" s="34"/>
      <c r="C29" s="34"/>
    </row>
    <row r="30" spans="1:13" s="87" customFormat="1" ht="16.5" thickBot="1" x14ac:dyDescent="0.3">
      <c r="A30" s="81" t="str">
        <f>CONCATENATE('DICTIONARY-3'!$A$18," ",'DICTIONARY-3'!$A$20," / ",'DICTIONARY-3'!$A$274," ",'DICTIONARY-3'!$A$275)</f>
        <v>Zestaw S2 / Teleskopowe przedłużenie wrzeciona do operowania kluczem T</v>
      </c>
      <c r="B30" s="81"/>
      <c r="C30" s="81"/>
      <c r="D30" s="81"/>
      <c r="E30" s="81"/>
      <c r="F30" s="90"/>
      <c r="G30" s="90"/>
      <c r="H30" s="90"/>
      <c r="I30" s="90"/>
      <c r="J30" s="90"/>
      <c r="K30" s="90"/>
      <c r="L30" s="90"/>
      <c r="M30" s="90"/>
    </row>
    <row r="31" spans="1:13" x14ac:dyDescent="0.25">
      <c r="A31" s="36" t="str">
        <f>CONCATENATE(PROPER('DICTIONARY-5'!$A$7)," ",'DICTIONARY-3'!$A$13,"/",'DICTIONARY-3'!$A$15," ",'DICTIONARY-3'!$A$190," ",LOWER('DICTIONARY-3'!$A$257))</f>
        <v>Dla EROXplus/ERIplus Zasuwa wrzecionowa z wrzecionem niewznoszącym się</v>
      </c>
      <c r="B31" s="36"/>
      <c r="C31" s="36"/>
      <c r="D31" s="36"/>
      <c r="E31" s="36"/>
      <c r="F31" s="30"/>
      <c r="G31" s="30"/>
      <c r="H31" s="31"/>
      <c r="I31" s="31"/>
      <c r="J31" s="30"/>
    </row>
    <row r="32" spans="1:13" x14ac:dyDescent="0.25">
      <c r="A32" s="36" t="str">
        <f>CONCATENATE('DICTIONARY-1'!$A$10,": ",SETTINGS!$C$88)</f>
        <v>Grupa rabatowa: REMO</v>
      </c>
      <c r="B32" s="36"/>
      <c r="C32" s="36"/>
      <c r="D32" s="36"/>
      <c r="E32" s="36"/>
      <c r="F32" s="30"/>
      <c r="G32" s="30"/>
      <c r="H32" s="31"/>
      <c r="I32" s="31"/>
      <c r="J32" s="30"/>
    </row>
    <row r="33" spans="1:18" x14ac:dyDescent="0.25">
      <c r="A33" s="36"/>
      <c r="B33" s="36"/>
      <c r="C33" s="36"/>
      <c r="D33" s="36"/>
      <c r="E33" s="36"/>
      <c r="F33" s="30"/>
      <c r="G33" s="30"/>
      <c r="H33" s="31"/>
      <c r="I33" s="31"/>
      <c r="J33" s="30"/>
    </row>
    <row r="34" spans="1:18" ht="15" customHeight="1" x14ac:dyDescent="0.25">
      <c r="A34" s="960" t="str">
        <f>'DICTIONARY-3'!$A$265</f>
        <v xml:space="preserve">Obszar przepływu </v>
      </c>
      <c r="B34" s="38" t="str">
        <f>'DICTIONARY-2'!$A$9&amp;" 1)"</f>
        <v>Tmax 1)</v>
      </c>
      <c r="C34" s="960" t="str">
        <f>'DICTIONARY-3'!$A$18&amp;" "&amp;'DICTIONARY-3'!$A$20</f>
        <v>Zestaw S2</v>
      </c>
      <c r="D34" s="960"/>
      <c r="E34" s="960"/>
      <c r="F34" s="38" t="str">
        <f>'DICTIONARY-2'!$A$9&amp;" 1)"</f>
        <v>Tmax 1)</v>
      </c>
      <c r="G34" s="960" t="str">
        <f>'DICTIONARY-3'!$A$18&amp;" "&amp;'DICTIONARY-3'!$A$20</f>
        <v>Zestaw S2</v>
      </c>
      <c r="H34" s="960"/>
      <c r="I34" s="960"/>
      <c r="J34" s="38" t="str">
        <f>'DICTIONARY-2'!$A$9&amp;" 1)"</f>
        <v>Tmax 1)</v>
      </c>
      <c r="K34" s="960" t="str">
        <f>'DICTIONARY-3'!$A$18&amp;" "&amp;'DICTIONARY-3'!$A$20</f>
        <v>Zestaw S2</v>
      </c>
      <c r="L34" s="960"/>
      <c r="M34" s="960"/>
      <c r="R34" s="793"/>
    </row>
    <row r="35" spans="1:18" ht="15" customHeight="1" x14ac:dyDescent="0.25">
      <c r="A35" s="977"/>
      <c r="B35" s="57"/>
      <c r="C35" s="961" t="str">
        <f>'DICTIONARY-5'!$A$103&amp;" A (0,85 - 1,5 m)"</f>
        <v>przedłużenie wrzeciona A (0,85 - 1,5 m)</v>
      </c>
      <c r="D35" s="961"/>
      <c r="E35" s="961"/>
      <c r="F35" s="57"/>
      <c r="G35" s="961" t="str">
        <f>'DICTIONARY-5'!$A$103&amp;" B (1,5 - 2,7 m)"</f>
        <v>przedłużenie wrzeciona B (1,5 - 2,7 m)</v>
      </c>
      <c r="H35" s="961"/>
      <c r="I35" s="961"/>
      <c r="J35" s="57"/>
      <c r="K35" s="961" t="str">
        <f>'DICTIONARY-5'!$A$103&amp;" C (2,7 - 5,0 m)"</f>
        <v>przedłużenie wrzeciona C (2,7 - 5,0 m)</v>
      </c>
      <c r="L35" s="961"/>
      <c r="M35" s="961"/>
    </row>
    <row r="36" spans="1:18" ht="15" customHeight="1" x14ac:dyDescent="0.25">
      <c r="A36" s="39" t="str">
        <f>'DICTIONARY-2'!$A$18</f>
        <v>[mm]</v>
      </c>
      <c r="B36" s="39" t="str">
        <f>'DICTIONARY-2'!$A$18</f>
        <v>[mm]</v>
      </c>
      <c r="C36" s="58" t="str">
        <f>'DICTIONARY-2'!$A$30</f>
        <v>numer identyfikacyjny</v>
      </c>
      <c r="D36" s="41" t="str">
        <f>CURRENCY.CODE_1</f>
        <v>EUR</v>
      </c>
      <c r="E36" s="41" t="str">
        <f>CURRENCY.CODE_2</f>
        <v>---</v>
      </c>
      <c r="F36" s="39" t="str">
        <f>'DICTIONARY-2'!$A$18</f>
        <v>[mm]</v>
      </c>
      <c r="G36" s="58" t="str">
        <f>'DICTIONARY-2'!$A$30</f>
        <v>numer identyfikacyjny</v>
      </c>
      <c r="H36" s="41" t="str">
        <f>CURRENCY.CODE_1</f>
        <v>EUR</v>
      </c>
      <c r="I36" s="41" t="str">
        <f>CURRENCY.CODE_2</f>
        <v>---</v>
      </c>
      <c r="J36" s="39" t="str">
        <f>'DICTIONARY-2'!$A$18</f>
        <v>[mm]</v>
      </c>
      <c r="K36" s="58" t="str">
        <f>'DICTIONARY-2'!$A$30</f>
        <v>numer identyfikacyjny</v>
      </c>
      <c r="L36" s="41" t="str">
        <f>CURRENCY.CODE_1</f>
        <v>EUR</v>
      </c>
      <c r="M36" s="41" t="str">
        <f>CURRENCY.CODE_2</f>
        <v>---</v>
      </c>
      <c r="R36" s="793"/>
    </row>
    <row r="37" spans="1:18" ht="15" customHeight="1" x14ac:dyDescent="0.25">
      <c r="A37" s="62" t="s">
        <v>734</v>
      </c>
      <c r="B37" s="62">
        <v>2133</v>
      </c>
      <c r="C37" s="42" t="s">
        <v>8033</v>
      </c>
      <c r="D37" s="339" t="str">
        <f>IFERROR(IF(OR(C37='DICTIONARY-5'!$A$2,C37='DICTIONARY-5'!$A$4,ISBLANK(C37)),VLOOKUP(B37,LIST!$A$6:$L$3250,CURR_1.SEARCH.OLD,0),VLOOKUP(C37,LIST!$B$6:$L$3250,CURR_1.SEARCH.NEW,0)),'DICTIONARY-5'!$A$2)</f>
        <v>275,-</v>
      </c>
      <c r="E37" s="339" t="str">
        <f>IFERROR(IF(OR(C37='DICTIONARY-5'!$A$2,C37='DICTIONARY-5'!$A$4,ISBLANK(C37)),VLOOKUP(B37,LIST!$A$6:$M$3250,CURR_2.SEARCH.OLD,0),VLOOKUP(C37,LIST!$B$6:$M$3250,CURR_2.SEARCH.NEW,0)),'DICTIONARY-5'!$A$2)</f>
        <v/>
      </c>
      <c r="F37" s="42">
        <v>3333</v>
      </c>
      <c r="G37" s="42" t="s">
        <v>8035</v>
      </c>
      <c r="H37" s="339" t="str">
        <f>IFERROR(IF(OR(G37='DICTIONARY-5'!$A$2,G37='DICTIONARY-5'!$A$4,ISBLANK(G37)),VLOOKUP(F37,LIST!$A$6:$L$3250,CURR_1.SEARCH.OLD,0),VLOOKUP(G37,LIST!$B$6:$L$3250,CURR_1.SEARCH.NEW,0)),'DICTIONARY-5'!$A$2)</f>
        <v>598,-</v>
      </c>
      <c r="I37" s="339" t="str">
        <f>IFERROR(IF(OR(G37='DICTIONARY-5'!$A$2,G37='DICTIONARY-5'!$A$4,ISBLANK(G37)),VLOOKUP(F37,LIST!$A$6:$M$3250,CURR_2.SEARCH.OLD,0),VLOOKUP(G37,LIST!$B$6:$M$3250,CURR_2.SEARCH.NEW,0)),'DICTIONARY-5'!$A$2)</f>
        <v/>
      </c>
      <c r="J37" s="42">
        <v>5633</v>
      </c>
      <c r="K37" s="42" t="s">
        <v>8037</v>
      </c>
      <c r="L37" s="339" t="str">
        <f>IFERROR(IF(OR(K37='DICTIONARY-5'!$A$2,K37='DICTIONARY-5'!$A$4,ISBLANK(K37)),VLOOKUP(J37,LIST!$A$6:$L$3250,CURR_1.SEARCH.OLD,0),VLOOKUP(K37,LIST!$B$6:$L$3250,CURR_1.SEARCH.NEW,0)),'DICTIONARY-5'!$A$2)</f>
        <v>994,-</v>
      </c>
      <c r="M37" s="339" t="str">
        <f>IFERROR(IF(OR(K37='DICTIONARY-5'!$A$2,K37='DICTIONARY-5'!$A$4,ISBLANK(K37)),VLOOKUP(J37,LIST!$A$6:$M$3250,CURR_2.SEARCH.OLD,0),VLOOKUP(K37,LIST!$B$6:$M$3250,CURR_2.SEARCH.NEW,0)),'DICTIONARY-5'!$A$2)</f>
        <v/>
      </c>
    </row>
    <row r="38" spans="1:18" x14ac:dyDescent="0.25">
      <c r="A38" s="62" t="s">
        <v>735</v>
      </c>
      <c r="B38" s="62">
        <v>2233</v>
      </c>
      <c r="C38" s="42" t="s">
        <v>8033</v>
      </c>
      <c r="D38" s="339" t="str">
        <f>IFERROR(IF(OR(C38='DICTIONARY-5'!$A$2,C38='DICTIONARY-5'!$A$4,ISBLANK(C38)),VLOOKUP(B38,LIST!$A$6:$L$3250,CURR_1.SEARCH.OLD,0),VLOOKUP(C38,LIST!$B$6:$L$3250,CURR_1.SEARCH.NEW,0)),'DICTIONARY-5'!$A$2)</f>
        <v>275,-</v>
      </c>
      <c r="E38" s="339" t="str">
        <f>IFERROR(IF(OR(C38='DICTIONARY-5'!$A$2,C38='DICTIONARY-5'!$A$4,ISBLANK(C38)),VLOOKUP(B38,LIST!$A$6:$M$3250,CURR_2.SEARCH.OLD,0),VLOOKUP(C38,LIST!$B$6:$M$3250,CURR_2.SEARCH.NEW,0)),'DICTIONARY-5'!$A$2)</f>
        <v/>
      </c>
      <c r="F38" s="42">
        <v>3433</v>
      </c>
      <c r="G38" s="42" t="s">
        <v>8035</v>
      </c>
      <c r="H38" s="339" t="str">
        <f>IFERROR(IF(OR(G38='DICTIONARY-5'!$A$2,G38='DICTIONARY-5'!$A$4,ISBLANK(G38)),VLOOKUP(F38,LIST!$A$6:$L$3250,CURR_1.SEARCH.OLD,0),VLOOKUP(G38,LIST!$B$6:$L$3250,CURR_1.SEARCH.NEW,0)),'DICTIONARY-5'!$A$2)</f>
        <v>598,-</v>
      </c>
      <c r="I38" s="339" t="str">
        <f>IFERROR(IF(OR(G38='DICTIONARY-5'!$A$2,G38='DICTIONARY-5'!$A$4,ISBLANK(G38)),VLOOKUP(F38,LIST!$A$6:$M$3250,CURR_2.SEARCH.OLD,0),VLOOKUP(G38,LIST!$B$6:$M$3250,CURR_2.SEARCH.NEW,0)),'DICTIONARY-5'!$A$2)</f>
        <v/>
      </c>
      <c r="J38" s="42">
        <v>5733</v>
      </c>
      <c r="K38" s="42" t="s">
        <v>8037</v>
      </c>
      <c r="L38" s="339" t="str">
        <f>IFERROR(IF(OR(K38='DICTIONARY-5'!$A$2,K38='DICTIONARY-5'!$A$4,ISBLANK(K38)),VLOOKUP(J38,LIST!$A$6:$L$3250,CURR_1.SEARCH.OLD,0),VLOOKUP(K38,LIST!$B$6:$L$3250,CURR_1.SEARCH.NEW,0)),'DICTIONARY-5'!$A$2)</f>
        <v>994,-</v>
      </c>
      <c r="M38" s="339" t="str">
        <f>IFERROR(IF(OR(K38='DICTIONARY-5'!$A$2,K38='DICTIONARY-5'!$A$4,ISBLANK(K38)),VLOOKUP(J38,LIST!$A$6:$M$3250,CURR_2.SEARCH.OLD,0),VLOOKUP(K38,LIST!$B$6:$M$3250,CURR_2.SEARCH.NEW,0)),'DICTIONARY-5'!$A$2)</f>
        <v/>
      </c>
      <c r="R38" s="793"/>
    </row>
    <row r="39" spans="1:18" x14ac:dyDescent="0.25">
      <c r="A39" s="62" t="s">
        <v>737</v>
      </c>
      <c r="B39" s="62">
        <v>2333</v>
      </c>
      <c r="C39" s="42" t="s">
        <v>8033</v>
      </c>
      <c r="D39" s="339" t="str">
        <f>IFERROR(IF(OR(C39='DICTIONARY-5'!$A$2,C39='DICTIONARY-5'!$A$4,ISBLANK(C39)),VLOOKUP(B39,LIST!$A$6:$L$3250,CURR_1.SEARCH.OLD,0),VLOOKUP(C39,LIST!$B$6:$L$3250,CURR_1.SEARCH.NEW,0)),'DICTIONARY-5'!$A$2)</f>
        <v>275,-</v>
      </c>
      <c r="E39" s="339" t="str">
        <f>IFERROR(IF(OR(C39='DICTIONARY-5'!$A$2,C39='DICTIONARY-5'!$A$4,ISBLANK(C39)),VLOOKUP(B39,LIST!$A$6:$M$3250,CURR_2.SEARCH.OLD,0),VLOOKUP(C39,LIST!$B$6:$M$3250,CURR_2.SEARCH.NEW,0)),'DICTIONARY-5'!$A$2)</f>
        <v/>
      </c>
      <c r="F39" s="42">
        <v>3533</v>
      </c>
      <c r="G39" s="42" t="s">
        <v>8035</v>
      </c>
      <c r="H39" s="339" t="str">
        <f>IFERROR(IF(OR(G39='DICTIONARY-5'!$A$2,G39='DICTIONARY-5'!$A$4,ISBLANK(G39)),VLOOKUP(F39,LIST!$A$6:$L$3250,CURR_1.SEARCH.OLD,0),VLOOKUP(G39,LIST!$B$6:$L$3250,CURR_1.SEARCH.NEW,0)),'DICTIONARY-5'!$A$2)</f>
        <v>598,-</v>
      </c>
      <c r="I39" s="339" t="str">
        <f>IFERROR(IF(OR(G39='DICTIONARY-5'!$A$2,G39='DICTIONARY-5'!$A$4,ISBLANK(G39)),VLOOKUP(F39,LIST!$A$6:$M$3250,CURR_2.SEARCH.OLD,0),VLOOKUP(G39,LIST!$B$6:$M$3250,CURR_2.SEARCH.NEW,0)),'DICTIONARY-5'!$A$2)</f>
        <v/>
      </c>
      <c r="J39" s="42">
        <v>5833</v>
      </c>
      <c r="K39" s="42" t="s">
        <v>8037</v>
      </c>
      <c r="L39" s="339" t="str">
        <f>IFERROR(IF(OR(K39='DICTIONARY-5'!$A$2,K39='DICTIONARY-5'!$A$4,ISBLANK(K39)),VLOOKUP(J39,LIST!$A$6:$L$3250,CURR_1.SEARCH.OLD,0),VLOOKUP(K39,LIST!$B$6:$L$3250,CURR_1.SEARCH.NEW,0)),'DICTIONARY-5'!$A$2)</f>
        <v>994,-</v>
      </c>
      <c r="M39" s="339" t="str">
        <f>IFERROR(IF(OR(K39='DICTIONARY-5'!$A$2,K39='DICTIONARY-5'!$A$4,ISBLANK(K39)),VLOOKUP(J39,LIST!$A$6:$M$3250,CURR_2.SEARCH.OLD,0),VLOOKUP(K39,LIST!$B$6:$M$3250,CURR_2.SEARCH.NEW,0)),'DICTIONARY-5'!$A$2)</f>
        <v/>
      </c>
    </row>
    <row r="40" spans="1:18" x14ac:dyDescent="0.25">
      <c r="A40" s="62" t="s">
        <v>736</v>
      </c>
      <c r="B40" s="62">
        <v>2433</v>
      </c>
      <c r="C40" s="42" t="s">
        <v>8033</v>
      </c>
      <c r="D40" s="339" t="str">
        <f>IFERROR(IF(OR(C40='DICTIONARY-5'!$A$2,C40='DICTIONARY-5'!$A$4,ISBLANK(C40)),VLOOKUP(B40,LIST!$A$6:$L$3250,CURR_1.SEARCH.OLD,0),VLOOKUP(C40,LIST!$B$6:$L$3250,CURR_1.SEARCH.NEW,0)),'DICTIONARY-5'!$A$2)</f>
        <v>275,-</v>
      </c>
      <c r="E40" s="339" t="str">
        <f>IFERROR(IF(OR(C40='DICTIONARY-5'!$A$2,C40='DICTIONARY-5'!$A$4,ISBLANK(C40)),VLOOKUP(B40,LIST!$A$6:$M$3250,CURR_2.SEARCH.OLD,0),VLOOKUP(C40,LIST!$B$6:$M$3250,CURR_2.SEARCH.NEW,0)),'DICTIONARY-5'!$A$2)</f>
        <v/>
      </c>
      <c r="F40" s="42">
        <v>3633</v>
      </c>
      <c r="G40" s="42" t="s">
        <v>8035</v>
      </c>
      <c r="H40" s="339" t="str">
        <f>IFERROR(IF(OR(G40='DICTIONARY-5'!$A$2,G40='DICTIONARY-5'!$A$4,ISBLANK(G40)),VLOOKUP(F40,LIST!$A$6:$L$3250,CURR_1.SEARCH.OLD,0),VLOOKUP(G40,LIST!$B$6:$L$3250,CURR_1.SEARCH.NEW,0)),'DICTIONARY-5'!$A$2)</f>
        <v>598,-</v>
      </c>
      <c r="I40" s="339" t="str">
        <f>IFERROR(IF(OR(G40='DICTIONARY-5'!$A$2,G40='DICTIONARY-5'!$A$4,ISBLANK(G40)),VLOOKUP(F40,LIST!$A$6:$M$3250,CURR_2.SEARCH.OLD,0),VLOOKUP(G40,LIST!$B$6:$M$3250,CURR_2.SEARCH.NEW,0)),'DICTIONARY-5'!$A$2)</f>
        <v/>
      </c>
      <c r="J40" s="42">
        <v>5933</v>
      </c>
      <c r="K40" s="42" t="s">
        <v>8037</v>
      </c>
      <c r="L40" s="339" t="str">
        <f>IFERROR(IF(OR(K40='DICTIONARY-5'!$A$2,K40='DICTIONARY-5'!$A$4,ISBLANK(K40)),VLOOKUP(J40,LIST!$A$6:$L$3250,CURR_1.SEARCH.OLD,0),VLOOKUP(K40,LIST!$B$6:$L$3250,CURR_1.SEARCH.NEW,0)),'DICTIONARY-5'!$A$2)</f>
        <v>994,-</v>
      </c>
      <c r="M40" s="339" t="str">
        <f>IFERROR(IF(OR(K40='DICTIONARY-5'!$A$2,K40='DICTIONARY-5'!$A$4,ISBLANK(K40)),VLOOKUP(J40,LIST!$A$6:$M$3250,CURR_2.SEARCH.OLD,0),VLOOKUP(K40,LIST!$B$6:$M$3250,CURR_2.SEARCH.NEW,0)),'DICTIONARY-5'!$A$2)</f>
        <v/>
      </c>
    </row>
    <row r="41" spans="1:18" x14ac:dyDescent="0.25">
      <c r="A41" s="62" t="s">
        <v>664</v>
      </c>
      <c r="B41" s="62">
        <v>2632</v>
      </c>
      <c r="C41" s="42" t="s">
        <v>8033</v>
      </c>
      <c r="D41" s="339" t="str">
        <f>IFERROR(IF(OR(C41='DICTIONARY-5'!$A$2,C41='DICTIONARY-5'!$A$4,ISBLANK(C41)),VLOOKUP(B41,LIST!$A$6:$L$3250,CURR_1.SEARCH.OLD,0),VLOOKUP(C41,LIST!$B$6:$L$3250,CURR_1.SEARCH.NEW,0)),'DICTIONARY-5'!$A$2)</f>
        <v>275,-</v>
      </c>
      <c r="E41" s="339" t="str">
        <f>IFERROR(IF(OR(C41='DICTIONARY-5'!$A$2,C41='DICTIONARY-5'!$A$4,ISBLANK(C41)),VLOOKUP(B41,LIST!$A$6:$M$3250,CURR_2.SEARCH.OLD,0),VLOOKUP(C41,LIST!$B$6:$M$3250,CURR_2.SEARCH.NEW,0)),'DICTIONARY-5'!$A$2)</f>
        <v/>
      </c>
      <c r="F41" s="42">
        <v>3832</v>
      </c>
      <c r="G41" s="42" t="s">
        <v>8035</v>
      </c>
      <c r="H41" s="339" t="str">
        <f>IFERROR(IF(OR(G41='DICTIONARY-5'!$A$2,G41='DICTIONARY-5'!$A$4,ISBLANK(G41)),VLOOKUP(F41,LIST!$A$6:$L$3250,CURR_1.SEARCH.OLD,0),VLOOKUP(G41,LIST!$B$6:$L$3250,CURR_1.SEARCH.NEW,0)),'DICTIONARY-5'!$A$2)</f>
        <v>598,-</v>
      </c>
      <c r="I41" s="339" t="str">
        <f>IFERROR(IF(OR(G41='DICTIONARY-5'!$A$2,G41='DICTIONARY-5'!$A$4,ISBLANK(G41)),VLOOKUP(F41,LIST!$A$6:$M$3250,CURR_2.SEARCH.OLD,0),VLOOKUP(G41,LIST!$B$6:$M$3250,CURR_2.SEARCH.NEW,0)),'DICTIONARY-5'!$A$2)</f>
        <v/>
      </c>
      <c r="J41" s="42">
        <v>6132</v>
      </c>
      <c r="K41" s="42" t="s">
        <v>8037</v>
      </c>
      <c r="L41" s="339" t="str">
        <f>IFERROR(IF(OR(K41='DICTIONARY-5'!$A$2,K41='DICTIONARY-5'!$A$4,ISBLANK(K41)),VLOOKUP(J41,LIST!$A$6:$L$3250,CURR_1.SEARCH.OLD,0),VLOOKUP(K41,LIST!$B$6:$L$3250,CURR_1.SEARCH.NEW,0)),'DICTIONARY-5'!$A$2)</f>
        <v>994,-</v>
      </c>
      <c r="M41" s="339" t="str">
        <f>IFERROR(IF(OR(K41='DICTIONARY-5'!$A$2,K41='DICTIONARY-5'!$A$4,ISBLANK(K41)),VLOOKUP(J41,LIST!$A$6:$M$3250,CURR_2.SEARCH.OLD,0),VLOOKUP(K41,LIST!$B$6:$M$3250,CURR_2.SEARCH.NEW,0)),'DICTIONARY-5'!$A$2)</f>
        <v/>
      </c>
    </row>
    <row r="42" spans="1:18" x14ac:dyDescent="0.25">
      <c r="A42" s="62" t="s">
        <v>666</v>
      </c>
      <c r="B42" s="62">
        <v>2828</v>
      </c>
      <c r="C42" s="42" t="s">
        <v>8033</v>
      </c>
      <c r="D42" s="339" t="str">
        <f>IFERROR(IF(OR(C42='DICTIONARY-5'!$A$2,C42='DICTIONARY-5'!$A$4,ISBLANK(C42)),VLOOKUP(B42,LIST!$A$6:$L$3250,CURR_1.SEARCH.OLD,0),VLOOKUP(C42,LIST!$B$6:$L$3250,CURR_1.SEARCH.NEW,0)),'DICTIONARY-5'!$A$2)</f>
        <v>275,-</v>
      </c>
      <c r="E42" s="339" t="str">
        <f>IFERROR(IF(OR(C42='DICTIONARY-5'!$A$2,C42='DICTIONARY-5'!$A$4,ISBLANK(C42)),VLOOKUP(B42,LIST!$A$6:$M$3250,CURR_2.SEARCH.OLD,0),VLOOKUP(C42,LIST!$B$6:$M$3250,CURR_2.SEARCH.NEW,0)),'DICTIONARY-5'!$A$2)</f>
        <v/>
      </c>
      <c r="F42" s="42">
        <v>4028</v>
      </c>
      <c r="G42" s="42" t="s">
        <v>8035</v>
      </c>
      <c r="H42" s="339" t="str">
        <f>IFERROR(IF(OR(G42='DICTIONARY-5'!$A$2,G42='DICTIONARY-5'!$A$4,ISBLANK(G42)),VLOOKUP(F42,LIST!$A$6:$L$3250,CURR_1.SEARCH.OLD,0),VLOOKUP(G42,LIST!$B$6:$L$3250,CURR_1.SEARCH.NEW,0)),'DICTIONARY-5'!$A$2)</f>
        <v>598,-</v>
      </c>
      <c r="I42" s="339" t="str">
        <f>IFERROR(IF(OR(G42='DICTIONARY-5'!$A$2,G42='DICTIONARY-5'!$A$4,ISBLANK(G42)),VLOOKUP(F42,LIST!$A$6:$M$3250,CURR_2.SEARCH.OLD,0),VLOOKUP(G42,LIST!$B$6:$M$3250,CURR_2.SEARCH.NEW,0)),'DICTIONARY-5'!$A$2)</f>
        <v/>
      </c>
      <c r="J42" s="42">
        <v>6328</v>
      </c>
      <c r="K42" s="42" t="s">
        <v>8037</v>
      </c>
      <c r="L42" s="339" t="str">
        <f>IFERROR(IF(OR(K42='DICTIONARY-5'!$A$2,K42='DICTIONARY-5'!$A$4,ISBLANK(K42)),VLOOKUP(J42,LIST!$A$6:$L$3250,CURR_1.SEARCH.OLD,0),VLOOKUP(K42,LIST!$B$6:$L$3250,CURR_1.SEARCH.NEW,0)),'DICTIONARY-5'!$A$2)</f>
        <v>994,-</v>
      </c>
      <c r="M42" s="339" t="str">
        <f>IFERROR(IF(OR(K42='DICTIONARY-5'!$A$2,K42='DICTIONARY-5'!$A$4,ISBLANK(K42)),VLOOKUP(J42,LIST!$A$6:$M$3250,CURR_2.SEARCH.OLD,0),VLOOKUP(K42,LIST!$B$6:$M$3250,CURR_2.SEARCH.NEW,0)),'DICTIONARY-5'!$A$2)</f>
        <v/>
      </c>
    </row>
    <row r="43" spans="1:18" x14ac:dyDescent="0.25">
      <c r="A43" s="62" t="s">
        <v>668</v>
      </c>
      <c r="B43" s="62">
        <v>3023</v>
      </c>
      <c r="C43" s="42" t="s">
        <v>8033</v>
      </c>
      <c r="D43" s="339" t="str">
        <f>IFERROR(IF(OR(C43='DICTIONARY-5'!$A$2,C43='DICTIONARY-5'!$A$4,ISBLANK(C43)),VLOOKUP(B43,LIST!$A$6:$L$3250,CURR_1.SEARCH.OLD,0),VLOOKUP(C43,LIST!$B$6:$L$3250,CURR_1.SEARCH.NEW,0)),'DICTIONARY-5'!$A$2)</f>
        <v>275,-</v>
      </c>
      <c r="E43" s="339" t="str">
        <f>IFERROR(IF(OR(C43='DICTIONARY-5'!$A$2,C43='DICTIONARY-5'!$A$4,ISBLANK(C43)),VLOOKUP(B43,LIST!$A$6:$M$3250,CURR_2.SEARCH.OLD,0),VLOOKUP(C43,LIST!$B$6:$M$3250,CURR_2.SEARCH.NEW,0)),'DICTIONARY-5'!$A$2)</f>
        <v/>
      </c>
      <c r="F43" s="42">
        <v>4223</v>
      </c>
      <c r="G43" s="42" t="s">
        <v>8035</v>
      </c>
      <c r="H43" s="339" t="str">
        <f>IFERROR(IF(OR(G43='DICTIONARY-5'!$A$2,G43='DICTIONARY-5'!$A$4,ISBLANK(G43)),VLOOKUP(F43,LIST!$A$6:$L$3250,CURR_1.SEARCH.OLD,0),VLOOKUP(G43,LIST!$B$6:$L$3250,CURR_1.SEARCH.NEW,0)),'DICTIONARY-5'!$A$2)</f>
        <v>598,-</v>
      </c>
      <c r="I43" s="339" t="str">
        <f>IFERROR(IF(OR(G43='DICTIONARY-5'!$A$2,G43='DICTIONARY-5'!$A$4,ISBLANK(G43)),VLOOKUP(F43,LIST!$A$6:$M$3250,CURR_2.SEARCH.OLD,0),VLOOKUP(G43,LIST!$B$6:$M$3250,CURR_2.SEARCH.NEW,0)),'DICTIONARY-5'!$A$2)</f>
        <v/>
      </c>
      <c r="J43" s="42">
        <v>6523</v>
      </c>
      <c r="K43" s="42" t="s">
        <v>8037</v>
      </c>
      <c r="L43" s="339" t="str">
        <f>IFERROR(IF(OR(K43='DICTIONARY-5'!$A$2,K43='DICTIONARY-5'!$A$4,ISBLANK(K43)),VLOOKUP(J43,LIST!$A$6:$L$3250,CURR_1.SEARCH.OLD,0),VLOOKUP(K43,LIST!$B$6:$L$3250,CURR_1.SEARCH.NEW,0)),'DICTIONARY-5'!$A$2)</f>
        <v>994,-</v>
      </c>
      <c r="M43" s="339" t="str">
        <f>IFERROR(IF(OR(K43='DICTIONARY-5'!$A$2,K43='DICTIONARY-5'!$A$4,ISBLANK(K43)),VLOOKUP(J43,LIST!$A$6:$M$3250,CURR_2.SEARCH.OLD,0),VLOOKUP(K43,LIST!$B$6:$M$3250,CURR_2.SEARCH.NEW,0)),'DICTIONARY-5'!$A$2)</f>
        <v/>
      </c>
    </row>
    <row r="44" spans="1:18" x14ac:dyDescent="0.25">
      <c r="A44" s="62" t="s">
        <v>670</v>
      </c>
      <c r="B44" s="62">
        <v>3254</v>
      </c>
      <c r="C44" s="42" t="s">
        <v>8034</v>
      </c>
      <c r="D44" s="339" t="str">
        <f>IFERROR(IF(OR(C44='DICTIONARY-5'!$A$2,C44='DICTIONARY-5'!$A$4,ISBLANK(C44)),VLOOKUP(B44,LIST!$A$6:$L$3250,CURR_1.SEARCH.OLD,0),VLOOKUP(C44,LIST!$B$6:$L$3250,CURR_1.SEARCH.NEW,0)),'DICTIONARY-5'!$A$2)</f>
        <v>283,-</v>
      </c>
      <c r="E44" s="339" t="str">
        <f>IFERROR(IF(OR(C44='DICTIONARY-5'!$A$2,C44='DICTIONARY-5'!$A$4,ISBLANK(C44)),VLOOKUP(B44,LIST!$A$6:$M$3250,CURR_2.SEARCH.OLD,0),VLOOKUP(C44,LIST!$B$6:$M$3250,CURR_2.SEARCH.NEW,0)),'DICTIONARY-5'!$A$2)</f>
        <v/>
      </c>
      <c r="F44" s="42">
        <v>4454</v>
      </c>
      <c r="G44" s="42" t="s">
        <v>8036</v>
      </c>
      <c r="H44" s="339" t="str">
        <f>IFERROR(IF(OR(G44='DICTIONARY-5'!$A$2,G44='DICTIONARY-5'!$A$4,ISBLANK(G44)),VLOOKUP(F44,LIST!$A$6:$L$3250,CURR_1.SEARCH.OLD,0),VLOOKUP(G44,LIST!$B$6:$L$3250,CURR_1.SEARCH.NEW,0)),'DICTIONARY-5'!$A$2)</f>
        <v>632,-</v>
      </c>
      <c r="I44" s="339" t="str">
        <f>IFERROR(IF(OR(G44='DICTIONARY-5'!$A$2,G44='DICTIONARY-5'!$A$4,ISBLANK(G44)),VLOOKUP(F44,LIST!$A$6:$M$3250,CURR_2.SEARCH.OLD,0),VLOOKUP(G44,LIST!$B$6:$M$3250,CURR_2.SEARCH.NEW,0)),'DICTIONARY-5'!$A$2)</f>
        <v/>
      </c>
      <c r="J44" s="42">
        <v>6754</v>
      </c>
      <c r="K44" s="42" t="s">
        <v>8038</v>
      </c>
      <c r="L44" s="339" t="str">
        <f>IFERROR(IF(OR(K44='DICTIONARY-5'!$A$2,K44='DICTIONARY-5'!$A$4,ISBLANK(K44)),VLOOKUP(J44,LIST!$A$6:$L$3250,CURR_1.SEARCH.OLD,0),VLOOKUP(K44,LIST!$B$6:$L$3250,CURR_1.SEARCH.NEW,0)),'DICTIONARY-5'!$A$2)</f>
        <v>1 105,-</v>
      </c>
      <c r="M44" s="339" t="str">
        <f>IFERROR(IF(OR(K44='DICTIONARY-5'!$A$2,K44='DICTIONARY-5'!$A$4,ISBLANK(K44)),VLOOKUP(J44,LIST!$A$6:$M$3250,CURR_2.SEARCH.OLD,0),VLOOKUP(K44,LIST!$B$6:$M$3250,CURR_2.SEARCH.NEW,0)),'DICTIONARY-5'!$A$2)</f>
        <v/>
      </c>
    </row>
    <row r="45" spans="1:18" x14ac:dyDescent="0.25">
      <c r="A45" s="62" t="s">
        <v>672</v>
      </c>
      <c r="B45" s="62">
        <v>3454</v>
      </c>
      <c r="C45" s="42" t="s">
        <v>8034</v>
      </c>
      <c r="D45" s="339" t="str">
        <f>IFERROR(IF(OR(C45='DICTIONARY-5'!$A$2,C45='DICTIONARY-5'!$A$4,ISBLANK(C45)),VLOOKUP(B45,LIST!$A$6:$L$3250,CURR_1.SEARCH.OLD,0),VLOOKUP(C45,LIST!$B$6:$L$3250,CURR_1.SEARCH.NEW,0)),'DICTIONARY-5'!$A$2)</f>
        <v>283,-</v>
      </c>
      <c r="E45" s="339" t="str">
        <f>IFERROR(IF(OR(C45='DICTIONARY-5'!$A$2,C45='DICTIONARY-5'!$A$4,ISBLANK(C45)),VLOOKUP(B45,LIST!$A$6:$M$3250,CURR_2.SEARCH.OLD,0),VLOOKUP(C45,LIST!$B$6:$M$3250,CURR_2.SEARCH.NEW,0)),'DICTIONARY-5'!$A$2)</f>
        <v/>
      </c>
      <c r="F45" s="42">
        <v>4654</v>
      </c>
      <c r="G45" s="42" t="s">
        <v>8036</v>
      </c>
      <c r="H45" s="339" t="str">
        <f>IFERROR(IF(OR(G45='DICTIONARY-5'!$A$2,G45='DICTIONARY-5'!$A$4,ISBLANK(G45)),VLOOKUP(F45,LIST!$A$6:$L$3250,CURR_1.SEARCH.OLD,0),VLOOKUP(G45,LIST!$B$6:$L$3250,CURR_1.SEARCH.NEW,0)),'DICTIONARY-5'!$A$2)</f>
        <v>632,-</v>
      </c>
      <c r="I45" s="339" t="str">
        <f>IFERROR(IF(OR(G45='DICTIONARY-5'!$A$2,G45='DICTIONARY-5'!$A$4,ISBLANK(G45)),VLOOKUP(F45,LIST!$A$6:$M$3250,CURR_2.SEARCH.OLD,0),VLOOKUP(G45,LIST!$B$6:$M$3250,CURR_2.SEARCH.NEW,0)),'DICTIONARY-5'!$A$2)</f>
        <v/>
      </c>
      <c r="J45" s="42">
        <v>6954</v>
      </c>
      <c r="K45" s="42" t="s">
        <v>8038</v>
      </c>
      <c r="L45" s="339" t="str">
        <f>IFERROR(IF(OR(K45='DICTIONARY-5'!$A$2,K45='DICTIONARY-5'!$A$4,ISBLANK(K45)),VLOOKUP(J45,LIST!$A$6:$L$3250,CURR_1.SEARCH.OLD,0),VLOOKUP(K45,LIST!$B$6:$L$3250,CURR_1.SEARCH.NEW,0)),'DICTIONARY-5'!$A$2)</f>
        <v>1 105,-</v>
      </c>
      <c r="M45" s="339" t="str">
        <f>IFERROR(IF(OR(K45='DICTIONARY-5'!$A$2,K45='DICTIONARY-5'!$A$4,ISBLANK(K45)),VLOOKUP(J45,LIST!$A$6:$M$3250,CURR_2.SEARCH.OLD,0),VLOOKUP(K45,LIST!$B$6:$M$3250,CURR_2.SEARCH.NEW,0)),'DICTIONARY-5'!$A$2)</f>
        <v/>
      </c>
    </row>
    <row r="46" spans="1:18" x14ac:dyDescent="0.25">
      <c r="A46" s="62" t="s">
        <v>674</v>
      </c>
      <c r="B46" s="62">
        <v>3654</v>
      </c>
      <c r="C46" s="42" t="s">
        <v>8034</v>
      </c>
      <c r="D46" s="339" t="str">
        <f>IFERROR(IF(OR(C46='DICTIONARY-5'!$A$2,C46='DICTIONARY-5'!$A$4,ISBLANK(C46)),VLOOKUP(B46,LIST!$A$6:$L$3250,CURR_1.SEARCH.OLD,0),VLOOKUP(C46,LIST!$B$6:$L$3250,CURR_1.SEARCH.NEW,0)),'DICTIONARY-5'!$A$2)</f>
        <v>283,-</v>
      </c>
      <c r="E46" s="339" t="str">
        <f>IFERROR(IF(OR(C46='DICTIONARY-5'!$A$2,C46='DICTIONARY-5'!$A$4,ISBLANK(C46)),VLOOKUP(B46,LIST!$A$6:$M$3250,CURR_2.SEARCH.OLD,0),VLOOKUP(C46,LIST!$B$6:$M$3250,CURR_2.SEARCH.NEW,0)),'DICTIONARY-5'!$A$2)</f>
        <v/>
      </c>
      <c r="F46" s="42">
        <v>4854</v>
      </c>
      <c r="G46" s="42" t="s">
        <v>8036</v>
      </c>
      <c r="H46" s="339" t="str">
        <f>IFERROR(IF(OR(G46='DICTIONARY-5'!$A$2,G46='DICTIONARY-5'!$A$4,ISBLANK(G46)),VLOOKUP(F46,LIST!$A$6:$L$3250,CURR_1.SEARCH.OLD,0),VLOOKUP(G46,LIST!$B$6:$L$3250,CURR_1.SEARCH.NEW,0)),'DICTIONARY-5'!$A$2)</f>
        <v>632,-</v>
      </c>
      <c r="I46" s="339" t="str">
        <f>IFERROR(IF(OR(G46='DICTIONARY-5'!$A$2,G46='DICTIONARY-5'!$A$4,ISBLANK(G46)),VLOOKUP(F46,LIST!$A$6:$M$3250,CURR_2.SEARCH.OLD,0),VLOOKUP(G46,LIST!$B$6:$M$3250,CURR_2.SEARCH.NEW,0)),'DICTIONARY-5'!$A$2)</f>
        <v/>
      </c>
      <c r="J46" s="42">
        <v>7154</v>
      </c>
      <c r="K46" s="42" t="s">
        <v>8038</v>
      </c>
      <c r="L46" s="339" t="str">
        <f>IFERROR(IF(OR(K46='DICTIONARY-5'!$A$2,K46='DICTIONARY-5'!$A$4,ISBLANK(K46)),VLOOKUP(J46,LIST!$A$6:$L$3250,CURR_1.SEARCH.OLD,0),VLOOKUP(K46,LIST!$B$6:$L$3250,CURR_1.SEARCH.NEW,0)),'DICTIONARY-5'!$A$2)</f>
        <v>1 105,-</v>
      </c>
      <c r="M46" s="339" t="str">
        <f>IFERROR(IF(OR(K46='DICTIONARY-5'!$A$2,K46='DICTIONARY-5'!$A$4,ISBLANK(K46)),VLOOKUP(J46,LIST!$A$6:$M$3250,CURR_2.SEARCH.OLD,0),VLOOKUP(K46,LIST!$B$6:$M$3250,CURR_2.SEARCH.NEW,0)),'DICTIONARY-5'!$A$2)</f>
        <v/>
      </c>
    </row>
    <row r="47" spans="1:18" x14ac:dyDescent="0.25">
      <c r="A47" s="62" t="s">
        <v>676</v>
      </c>
      <c r="B47" s="62">
        <v>3854</v>
      </c>
      <c r="C47" s="42" t="s">
        <v>8034</v>
      </c>
      <c r="D47" s="339" t="str">
        <f>IFERROR(IF(OR(C47='DICTIONARY-5'!$A$2,C47='DICTIONARY-5'!$A$4,ISBLANK(C47)),VLOOKUP(B47,LIST!$A$6:$L$3250,CURR_1.SEARCH.OLD,0),VLOOKUP(C47,LIST!$B$6:$L$3250,CURR_1.SEARCH.NEW,0)),'DICTIONARY-5'!$A$2)</f>
        <v>283,-</v>
      </c>
      <c r="E47" s="339" t="str">
        <f>IFERROR(IF(OR(C47='DICTIONARY-5'!$A$2,C47='DICTIONARY-5'!$A$4,ISBLANK(C47)),VLOOKUP(B47,LIST!$A$6:$M$3250,CURR_2.SEARCH.OLD,0),VLOOKUP(C47,LIST!$B$6:$M$3250,CURR_2.SEARCH.NEW,0)),'DICTIONARY-5'!$A$2)</f>
        <v/>
      </c>
      <c r="F47" s="42">
        <v>5054</v>
      </c>
      <c r="G47" s="42" t="s">
        <v>8036</v>
      </c>
      <c r="H47" s="339" t="str">
        <f>IFERROR(IF(OR(G47='DICTIONARY-5'!$A$2,G47='DICTIONARY-5'!$A$4,ISBLANK(G47)),VLOOKUP(F47,LIST!$A$6:$L$3250,CURR_1.SEARCH.OLD,0),VLOOKUP(G47,LIST!$B$6:$L$3250,CURR_1.SEARCH.NEW,0)),'DICTIONARY-5'!$A$2)</f>
        <v>632,-</v>
      </c>
      <c r="I47" s="339" t="str">
        <f>IFERROR(IF(OR(G47='DICTIONARY-5'!$A$2,G47='DICTIONARY-5'!$A$4,ISBLANK(G47)),VLOOKUP(F47,LIST!$A$6:$M$3250,CURR_2.SEARCH.OLD,0),VLOOKUP(G47,LIST!$B$6:$M$3250,CURR_2.SEARCH.NEW,0)),'DICTIONARY-5'!$A$2)</f>
        <v/>
      </c>
      <c r="J47" s="42">
        <v>7354</v>
      </c>
      <c r="K47" s="42" t="s">
        <v>8038</v>
      </c>
      <c r="L47" s="339" t="str">
        <f>IFERROR(IF(OR(K47='DICTIONARY-5'!$A$2,K47='DICTIONARY-5'!$A$4,ISBLANK(K47)),VLOOKUP(J47,LIST!$A$6:$L$3250,CURR_1.SEARCH.OLD,0),VLOOKUP(K47,LIST!$B$6:$L$3250,CURR_1.SEARCH.NEW,0)),'DICTIONARY-5'!$A$2)</f>
        <v>1 105,-</v>
      </c>
      <c r="M47" s="339" t="str">
        <f>IFERROR(IF(OR(K47='DICTIONARY-5'!$A$2,K47='DICTIONARY-5'!$A$4,ISBLANK(K47)),VLOOKUP(J47,LIST!$A$6:$M$3250,CURR_2.SEARCH.OLD,0),VLOOKUP(K47,LIST!$B$6:$M$3250,CURR_2.SEARCH.NEW,0)),'DICTIONARY-5'!$A$2)</f>
        <v/>
      </c>
    </row>
    <row r="48" spans="1:18" x14ac:dyDescent="0.25">
      <c r="A48" s="62" t="s">
        <v>678</v>
      </c>
      <c r="B48" s="62">
        <v>4254</v>
      </c>
      <c r="C48" s="42" t="s">
        <v>8034</v>
      </c>
      <c r="D48" s="339" t="str">
        <f>IFERROR(IF(OR(C48='DICTIONARY-5'!$A$2,C48='DICTIONARY-5'!$A$4,ISBLANK(C48)),VLOOKUP(B48,LIST!$A$6:$L$3250,CURR_1.SEARCH.OLD,0),VLOOKUP(C48,LIST!$B$6:$L$3250,CURR_1.SEARCH.NEW,0)),'DICTIONARY-5'!$A$2)</f>
        <v>283,-</v>
      </c>
      <c r="E48" s="339" t="str">
        <f>IFERROR(IF(OR(C48='DICTIONARY-5'!$A$2,C48='DICTIONARY-5'!$A$4,ISBLANK(C48)),VLOOKUP(B48,LIST!$A$6:$M$3250,CURR_2.SEARCH.OLD,0),VLOOKUP(C48,LIST!$B$6:$M$3250,CURR_2.SEARCH.NEW,0)),'DICTIONARY-5'!$A$2)</f>
        <v/>
      </c>
      <c r="F48" s="42">
        <v>5454</v>
      </c>
      <c r="G48" s="42" t="s">
        <v>8036</v>
      </c>
      <c r="H48" s="339" t="str">
        <f>IFERROR(IF(OR(G48='DICTIONARY-5'!$A$2,G48='DICTIONARY-5'!$A$4,ISBLANK(G48)),VLOOKUP(F48,LIST!$A$6:$L$3250,CURR_1.SEARCH.OLD,0),VLOOKUP(G48,LIST!$B$6:$L$3250,CURR_1.SEARCH.NEW,0)),'DICTIONARY-5'!$A$2)</f>
        <v>632,-</v>
      </c>
      <c r="I48" s="339" t="str">
        <f>IFERROR(IF(OR(G48='DICTIONARY-5'!$A$2,G48='DICTIONARY-5'!$A$4,ISBLANK(G48)),VLOOKUP(F48,LIST!$A$6:$M$3250,CURR_2.SEARCH.OLD,0),VLOOKUP(G48,LIST!$B$6:$M$3250,CURR_2.SEARCH.NEW,0)),'DICTIONARY-5'!$A$2)</f>
        <v/>
      </c>
      <c r="J48" s="42">
        <v>7754</v>
      </c>
      <c r="K48" s="42" t="s">
        <v>8038</v>
      </c>
      <c r="L48" s="339" t="str">
        <f>IFERROR(IF(OR(K48='DICTIONARY-5'!$A$2,K48='DICTIONARY-5'!$A$4,ISBLANK(K48)),VLOOKUP(J48,LIST!$A$6:$L$3250,CURR_1.SEARCH.OLD,0),VLOOKUP(K48,LIST!$B$6:$L$3250,CURR_1.SEARCH.NEW,0)),'DICTIONARY-5'!$A$2)</f>
        <v>1 105,-</v>
      </c>
      <c r="M48" s="339" t="str">
        <f>IFERROR(IF(OR(K48='DICTIONARY-5'!$A$2,K48='DICTIONARY-5'!$A$4,ISBLANK(K48)),VLOOKUP(J48,LIST!$A$6:$M$3250,CURR_2.SEARCH.OLD,0),VLOOKUP(K48,LIST!$B$6:$M$3250,CURR_2.SEARCH.NEW,0)),'DICTIONARY-5'!$A$2)</f>
        <v/>
      </c>
    </row>
    <row r="49" spans="1:13" x14ac:dyDescent="0.25">
      <c r="A49" s="555"/>
      <c r="B49" s="555"/>
      <c r="C49" s="30"/>
      <c r="D49" s="557"/>
      <c r="E49" s="557"/>
      <c r="F49" s="30"/>
      <c r="G49" s="30"/>
      <c r="H49" s="557"/>
      <c r="I49" s="557"/>
      <c r="J49" s="30"/>
      <c r="K49" s="30"/>
      <c r="L49" s="557"/>
      <c r="M49" s="557"/>
    </row>
    <row r="50" spans="1:13" x14ac:dyDescent="0.25">
      <c r="A50" s="64" t="str">
        <f>"1) "&amp;'DICTIONARY-5'!$A$86&amp;" - "&amp;'DICTIONARY-5'!$A$89</f>
        <v>1) Głębokość zabudowy - odległość od dna rurociągu / kanału do poziomu operacyjnego</v>
      </c>
      <c r="B50" s="64"/>
      <c r="C50" s="64"/>
      <c r="D50" s="64"/>
      <c r="E50" s="64"/>
      <c r="F50" s="30"/>
      <c r="G50" s="30"/>
      <c r="H50" s="31"/>
      <c r="I50" s="31"/>
      <c r="J50" s="30"/>
    </row>
    <row r="51" spans="1:13" x14ac:dyDescent="0.25">
      <c r="A51" s="64"/>
      <c r="B51" s="64"/>
      <c r="C51" s="64"/>
      <c r="D51" s="64"/>
      <c r="E51" s="64"/>
      <c r="F51" s="30"/>
      <c r="G51" s="30"/>
      <c r="H51" s="31"/>
      <c r="I51" s="31"/>
      <c r="J51" s="30"/>
    </row>
    <row r="54" spans="1:13" s="87" customFormat="1" ht="16.5" thickBot="1" x14ac:dyDescent="0.3">
      <c r="A54" s="81" t="str">
        <f>CONCATENATE('DICTIONARY-3'!$A$18," ",'DICTIONARY-3'!$A$21," / ",'DICTIONARY-3'!$A$274," ",'DICTIONARY-3'!$A$276)</f>
        <v>Zestaw S3 / Teleskopowe przedłużenie wrzeciona do operowania kluczem T w skrzynce</v>
      </c>
      <c r="B54" s="81"/>
      <c r="C54" s="81"/>
      <c r="D54" s="81"/>
      <c r="E54" s="81"/>
      <c r="F54" s="90"/>
      <c r="G54" s="90"/>
      <c r="H54" s="90"/>
      <c r="I54" s="90"/>
      <c r="J54" s="90"/>
      <c r="K54" s="90"/>
      <c r="L54" s="90"/>
      <c r="M54" s="90"/>
    </row>
    <row r="55" spans="1:13" x14ac:dyDescent="0.25">
      <c r="A55" s="36" t="str">
        <f>CONCATENATE(PROPER('DICTIONARY-5'!$A$7)," ",'DICTIONARY-3'!$A$13,"/",'DICTIONARY-3'!$A$15," ",'DICTIONARY-3'!$A$190," ",LOWER('DICTIONARY-3'!$A$257))</f>
        <v>Dla EROXplus/ERIplus Zasuwa wrzecionowa z wrzecionem niewznoszącym się</v>
      </c>
      <c r="B55" s="36"/>
      <c r="C55" s="36"/>
      <c r="D55" s="36"/>
      <c r="E55" s="36"/>
    </row>
    <row r="56" spans="1:13" x14ac:dyDescent="0.25">
      <c r="A56" s="36" t="str">
        <f>CONCATENATE('DICTIONARY-1'!$A$10,": ",SETTINGS!$C$88)</f>
        <v>Grupa rabatowa: REMO</v>
      </c>
      <c r="B56" s="36"/>
      <c r="C56" s="36"/>
      <c r="D56" s="36"/>
      <c r="E56" s="36"/>
    </row>
    <row r="57" spans="1:13" x14ac:dyDescent="0.25">
      <c r="A57" s="36"/>
      <c r="B57" s="36"/>
      <c r="C57" s="36"/>
      <c r="D57" s="36"/>
      <c r="E57" s="36"/>
      <c r="F57" s="30"/>
      <c r="G57" s="30"/>
      <c r="H57" s="30"/>
      <c r="I57" s="31"/>
      <c r="J57" s="31"/>
    </row>
    <row r="58" spans="1:13" x14ac:dyDescent="0.25">
      <c r="A58" s="960" t="str">
        <f>'DICTIONARY-3'!$A$265</f>
        <v xml:space="preserve">Obszar przepływu </v>
      </c>
      <c r="B58" s="38" t="str">
        <f>'DICTIONARY-2'!$A$9&amp;" 1)"</f>
        <v>Tmax 1)</v>
      </c>
      <c r="C58" s="960" t="str">
        <f>'DICTIONARY-3'!$A$18&amp;" "&amp;'DICTIONARY-3'!$A$21</f>
        <v>Zestaw S3</v>
      </c>
      <c r="D58" s="960"/>
      <c r="E58" s="960"/>
      <c r="F58" s="38" t="str">
        <f>'DICTIONARY-2'!$A$9&amp;" 1)"</f>
        <v>Tmax 1)</v>
      </c>
      <c r="G58" s="960" t="str">
        <f>'DICTIONARY-3'!$A$18&amp;" "&amp;'DICTIONARY-3'!$A$21</f>
        <v>Zestaw S3</v>
      </c>
      <c r="H58" s="960"/>
      <c r="I58" s="960"/>
      <c r="J58" s="38" t="str">
        <f>'DICTIONARY-2'!$A$9&amp;" 1)"</f>
        <v>Tmax 1)</v>
      </c>
      <c r="K58" s="960" t="str">
        <f>'DICTIONARY-3'!$A$18&amp;" "&amp;'DICTIONARY-3'!$A$21</f>
        <v>Zestaw S3</v>
      </c>
      <c r="L58" s="960"/>
      <c r="M58" s="960"/>
    </row>
    <row r="59" spans="1:13" ht="15" customHeight="1" x14ac:dyDescent="0.25">
      <c r="A59" s="977"/>
      <c r="B59" s="57"/>
      <c r="C59" s="961" t="str">
        <f>'DICTIONARY-5'!$A$103&amp;" A (0,85 - 1,5 m)"</f>
        <v>przedłużenie wrzeciona A (0,85 - 1,5 m)</v>
      </c>
      <c r="D59" s="961"/>
      <c r="E59" s="961"/>
      <c r="F59" s="57"/>
      <c r="G59" s="961" t="str">
        <f>'DICTIONARY-5'!$A$103&amp;" B (1,5 - 2,7 m)"</f>
        <v>przedłużenie wrzeciona B (1,5 - 2,7 m)</v>
      </c>
      <c r="H59" s="961"/>
      <c r="I59" s="961"/>
      <c r="J59" s="57"/>
      <c r="K59" s="961" t="str">
        <f>'DICTIONARY-5'!$A$103&amp;" C (2,7 - 5,0 m)"</f>
        <v>przedłużenie wrzeciona C (2,7 - 5,0 m)</v>
      </c>
      <c r="L59" s="961"/>
      <c r="M59" s="961"/>
    </row>
    <row r="60" spans="1:13" x14ac:dyDescent="0.25">
      <c r="A60" s="39" t="str">
        <f>'DICTIONARY-2'!$A$18</f>
        <v>[mm]</v>
      </c>
      <c r="B60" s="39" t="str">
        <f>'DICTIONARY-2'!$A$18</f>
        <v>[mm]</v>
      </c>
      <c r="C60" s="58" t="str">
        <f>'DICTIONARY-2'!$A$30</f>
        <v>numer identyfikacyjny</v>
      </c>
      <c r="D60" s="41" t="str">
        <f>CURRENCY.CODE_1</f>
        <v>EUR</v>
      </c>
      <c r="E60" s="41" t="str">
        <f>CURRENCY.CODE_2</f>
        <v>---</v>
      </c>
      <c r="F60" s="39" t="str">
        <f>'DICTIONARY-2'!$A$18</f>
        <v>[mm]</v>
      </c>
      <c r="G60" s="58" t="str">
        <f>'DICTIONARY-2'!$A$30</f>
        <v>numer identyfikacyjny</v>
      </c>
      <c r="H60" s="41" t="str">
        <f>CURRENCY.CODE_1</f>
        <v>EUR</v>
      </c>
      <c r="I60" s="41" t="str">
        <f>CURRENCY.CODE_2</f>
        <v>---</v>
      </c>
      <c r="J60" s="39" t="str">
        <f>'DICTIONARY-2'!$A$18</f>
        <v>[mm]</v>
      </c>
      <c r="K60" s="58" t="str">
        <f>'DICTIONARY-2'!$A$30</f>
        <v>numer identyfikacyjny</v>
      </c>
      <c r="L60" s="41" t="str">
        <f>CURRENCY.CODE_1</f>
        <v>EUR</v>
      </c>
      <c r="M60" s="41" t="str">
        <f>CURRENCY.CODE_2</f>
        <v>---</v>
      </c>
    </row>
    <row r="61" spans="1:13" x14ac:dyDescent="0.25">
      <c r="A61" s="62" t="s">
        <v>706</v>
      </c>
      <c r="B61" s="62">
        <v>2183</v>
      </c>
      <c r="C61" s="42" t="s">
        <v>8039</v>
      </c>
      <c r="D61" s="339" t="str">
        <f>IFERROR(IF(OR(C61='DICTIONARY-5'!$A$2,C61='DICTIONARY-5'!$A$4,ISBLANK(C61)),VLOOKUP(B61,LIST!$A$6:$L$3250,CURR_1.SEARCH.OLD,0),VLOOKUP(C61,LIST!$B$6:$L$3250,CURR_1.SEARCH.NEW,0)),'DICTIONARY-5'!$A$2)</f>
        <v>237,-</v>
      </c>
      <c r="E61" s="339" t="str">
        <f>IFERROR(IF(OR(C61='DICTIONARY-5'!$A$2,C61='DICTIONARY-5'!$A$4,ISBLANK(C61)),VLOOKUP(B61,LIST!$A$6:$M$3250,CURR_2.SEARCH.OLD,0),VLOOKUP(C61,LIST!$B$6:$M$3250,CURR_2.SEARCH.NEW,0)),'DICTIONARY-5'!$A$2)</f>
        <v/>
      </c>
      <c r="F61" s="42">
        <v>3383</v>
      </c>
      <c r="G61" s="42" t="s">
        <v>8041</v>
      </c>
      <c r="H61" s="339" t="str">
        <f>IFERROR(IF(OR(G61='DICTIONARY-5'!$A$2,G61='DICTIONARY-5'!$A$4,ISBLANK(G61)),VLOOKUP(F61,LIST!$A$6:$L$3250,CURR_1.SEARCH.OLD,0),VLOOKUP(G61,LIST!$B$6:$L$3250,CURR_1.SEARCH.NEW,0)),'DICTIONARY-5'!$A$2)</f>
        <v>417,-</v>
      </c>
      <c r="I61" s="339" t="str">
        <f>IFERROR(IF(OR(G61='DICTIONARY-5'!$A$2,G61='DICTIONARY-5'!$A$4,ISBLANK(G61)),VLOOKUP(F61,LIST!$A$6:$M$3250,CURR_2.SEARCH.OLD,0),VLOOKUP(G61,LIST!$B$6:$M$3250,CURR_2.SEARCH.NEW,0)),'DICTIONARY-5'!$A$2)</f>
        <v/>
      </c>
      <c r="J61" s="42">
        <v>5683</v>
      </c>
      <c r="K61" s="42" t="s">
        <v>8043</v>
      </c>
      <c r="L61" s="339" t="str">
        <f>IFERROR(IF(OR(K61='DICTIONARY-5'!$A$2,K61='DICTIONARY-5'!$A$4,ISBLANK(K61)),VLOOKUP(J61,LIST!$A$6:$L$3250,CURR_1.SEARCH.OLD,0),VLOOKUP(K61,LIST!$B$6:$L$3250,CURR_1.SEARCH.NEW,0)),'DICTIONARY-5'!$A$2)</f>
        <v>638,-</v>
      </c>
      <c r="M61" s="339" t="str">
        <f>IFERROR(IF(OR(K61='DICTIONARY-5'!$A$2,K61='DICTIONARY-5'!$A$4,ISBLANK(K61)),VLOOKUP(J61,LIST!$A$6:$M$3250,CURR_2.SEARCH.OLD,0),VLOOKUP(K61,LIST!$B$6:$M$3250,CURR_2.SEARCH.NEW,0)),'DICTIONARY-5'!$A$2)</f>
        <v/>
      </c>
    </row>
    <row r="62" spans="1:13" x14ac:dyDescent="0.25">
      <c r="A62" s="62" t="s">
        <v>709</v>
      </c>
      <c r="B62" s="62">
        <v>2283</v>
      </c>
      <c r="C62" s="42" t="s">
        <v>8039</v>
      </c>
      <c r="D62" s="339" t="str">
        <f>IFERROR(IF(OR(C62='DICTIONARY-5'!$A$2,C62='DICTIONARY-5'!$A$4,ISBLANK(C62)),VLOOKUP(B62,LIST!$A$6:$L$3250,CURR_1.SEARCH.OLD,0),VLOOKUP(C62,LIST!$B$6:$L$3250,CURR_1.SEARCH.NEW,0)),'DICTIONARY-5'!$A$2)</f>
        <v>237,-</v>
      </c>
      <c r="E62" s="339" t="str">
        <f>IFERROR(IF(OR(C62='DICTIONARY-5'!$A$2,C62='DICTIONARY-5'!$A$4,ISBLANK(C62)),VLOOKUP(B62,LIST!$A$6:$M$3250,CURR_2.SEARCH.OLD,0),VLOOKUP(C62,LIST!$B$6:$M$3250,CURR_2.SEARCH.NEW,0)),'DICTIONARY-5'!$A$2)</f>
        <v/>
      </c>
      <c r="F62" s="42">
        <v>3483</v>
      </c>
      <c r="G62" s="42" t="s">
        <v>8041</v>
      </c>
      <c r="H62" s="339" t="str">
        <f>IFERROR(IF(OR(G62='DICTIONARY-5'!$A$2,G62='DICTIONARY-5'!$A$4,ISBLANK(G62)),VLOOKUP(F62,LIST!$A$6:$L$3250,CURR_1.SEARCH.OLD,0),VLOOKUP(G62,LIST!$B$6:$L$3250,CURR_1.SEARCH.NEW,0)),'DICTIONARY-5'!$A$2)</f>
        <v>417,-</v>
      </c>
      <c r="I62" s="339" t="str">
        <f>IFERROR(IF(OR(G62='DICTIONARY-5'!$A$2,G62='DICTIONARY-5'!$A$4,ISBLANK(G62)),VLOOKUP(F62,LIST!$A$6:$M$3250,CURR_2.SEARCH.OLD,0),VLOOKUP(G62,LIST!$B$6:$M$3250,CURR_2.SEARCH.NEW,0)),'DICTIONARY-5'!$A$2)</f>
        <v/>
      </c>
      <c r="J62" s="42">
        <v>5783</v>
      </c>
      <c r="K62" s="42" t="s">
        <v>8043</v>
      </c>
      <c r="L62" s="339" t="str">
        <f>IFERROR(IF(OR(K62='DICTIONARY-5'!$A$2,K62='DICTIONARY-5'!$A$4,ISBLANK(K62)),VLOOKUP(J62,LIST!$A$6:$L$3250,CURR_1.SEARCH.OLD,0),VLOOKUP(K62,LIST!$B$6:$L$3250,CURR_1.SEARCH.NEW,0)),'DICTIONARY-5'!$A$2)</f>
        <v>638,-</v>
      </c>
      <c r="M62" s="339" t="str">
        <f>IFERROR(IF(OR(K62='DICTIONARY-5'!$A$2,K62='DICTIONARY-5'!$A$4,ISBLANK(K62)),VLOOKUP(J62,LIST!$A$6:$M$3250,CURR_2.SEARCH.OLD,0),VLOOKUP(K62,LIST!$B$6:$M$3250,CURR_2.SEARCH.NEW,0)),'DICTIONARY-5'!$A$2)</f>
        <v/>
      </c>
    </row>
    <row r="63" spans="1:13" x14ac:dyDescent="0.25">
      <c r="A63" s="62" t="s">
        <v>712</v>
      </c>
      <c r="B63" s="62">
        <v>2383</v>
      </c>
      <c r="C63" s="42" t="s">
        <v>8039</v>
      </c>
      <c r="D63" s="339" t="str">
        <f>IFERROR(IF(OR(C63='DICTIONARY-5'!$A$2,C63='DICTIONARY-5'!$A$4,ISBLANK(C63)),VLOOKUP(B63,LIST!$A$6:$L$3250,CURR_1.SEARCH.OLD,0),VLOOKUP(C63,LIST!$B$6:$L$3250,CURR_1.SEARCH.NEW,0)),'DICTIONARY-5'!$A$2)</f>
        <v>237,-</v>
      </c>
      <c r="E63" s="339" t="str">
        <f>IFERROR(IF(OR(C63='DICTIONARY-5'!$A$2,C63='DICTIONARY-5'!$A$4,ISBLANK(C63)),VLOOKUP(B63,LIST!$A$6:$M$3250,CURR_2.SEARCH.OLD,0),VLOOKUP(C63,LIST!$B$6:$M$3250,CURR_2.SEARCH.NEW,0)),'DICTIONARY-5'!$A$2)</f>
        <v/>
      </c>
      <c r="F63" s="42">
        <v>3583</v>
      </c>
      <c r="G63" s="42" t="s">
        <v>8041</v>
      </c>
      <c r="H63" s="339" t="str">
        <f>IFERROR(IF(OR(G63='DICTIONARY-5'!$A$2,G63='DICTIONARY-5'!$A$4,ISBLANK(G63)),VLOOKUP(F63,LIST!$A$6:$L$3250,CURR_1.SEARCH.OLD,0),VLOOKUP(G63,LIST!$B$6:$L$3250,CURR_1.SEARCH.NEW,0)),'DICTIONARY-5'!$A$2)</f>
        <v>417,-</v>
      </c>
      <c r="I63" s="339" t="str">
        <f>IFERROR(IF(OR(G63='DICTIONARY-5'!$A$2,G63='DICTIONARY-5'!$A$4,ISBLANK(G63)),VLOOKUP(F63,LIST!$A$6:$M$3250,CURR_2.SEARCH.OLD,0),VLOOKUP(G63,LIST!$B$6:$M$3250,CURR_2.SEARCH.NEW,0)),'DICTIONARY-5'!$A$2)</f>
        <v/>
      </c>
      <c r="J63" s="42">
        <v>5883</v>
      </c>
      <c r="K63" s="42" t="s">
        <v>8043</v>
      </c>
      <c r="L63" s="339" t="str">
        <f>IFERROR(IF(OR(K63='DICTIONARY-5'!$A$2,K63='DICTIONARY-5'!$A$4,ISBLANK(K63)),VLOOKUP(J63,LIST!$A$6:$L$3250,CURR_1.SEARCH.OLD,0),VLOOKUP(K63,LIST!$B$6:$L$3250,CURR_1.SEARCH.NEW,0)),'DICTIONARY-5'!$A$2)</f>
        <v>638,-</v>
      </c>
      <c r="M63" s="339" t="str">
        <f>IFERROR(IF(OR(K63='DICTIONARY-5'!$A$2,K63='DICTIONARY-5'!$A$4,ISBLANK(K63)),VLOOKUP(J63,LIST!$A$6:$M$3250,CURR_2.SEARCH.OLD,0),VLOOKUP(K63,LIST!$B$6:$M$3250,CURR_2.SEARCH.NEW,0)),'DICTIONARY-5'!$A$2)</f>
        <v/>
      </c>
    </row>
    <row r="64" spans="1:13" x14ac:dyDescent="0.25">
      <c r="A64" s="62" t="s">
        <v>715</v>
      </c>
      <c r="B64" s="62">
        <v>2483</v>
      </c>
      <c r="C64" s="42" t="s">
        <v>8039</v>
      </c>
      <c r="D64" s="339" t="str">
        <f>IFERROR(IF(OR(C64='DICTIONARY-5'!$A$2,C64='DICTIONARY-5'!$A$4,ISBLANK(C64)),VLOOKUP(B64,LIST!$A$6:$L$3250,CURR_1.SEARCH.OLD,0),VLOOKUP(C64,LIST!$B$6:$L$3250,CURR_1.SEARCH.NEW,0)),'DICTIONARY-5'!$A$2)</f>
        <v>237,-</v>
      </c>
      <c r="E64" s="339" t="str">
        <f>IFERROR(IF(OR(C64='DICTIONARY-5'!$A$2,C64='DICTIONARY-5'!$A$4,ISBLANK(C64)),VLOOKUP(B64,LIST!$A$6:$M$3250,CURR_2.SEARCH.OLD,0),VLOOKUP(C64,LIST!$B$6:$M$3250,CURR_2.SEARCH.NEW,0)),'DICTIONARY-5'!$A$2)</f>
        <v/>
      </c>
      <c r="F64" s="42">
        <v>3683</v>
      </c>
      <c r="G64" s="42" t="s">
        <v>8041</v>
      </c>
      <c r="H64" s="339" t="str">
        <f>IFERROR(IF(OR(G64='DICTIONARY-5'!$A$2,G64='DICTIONARY-5'!$A$4,ISBLANK(G64)),VLOOKUP(F64,LIST!$A$6:$L$3250,CURR_1.SEARCH.OLD,0),VLOOKUP(G64,LIST!$B$6:$L$3250,CURR_1.SEARCH.NEW,0)),'DICTIONARY-5'!$A$2)</f>
        <v>417,-</v>
      </c>
      <c r="I64" s="339" t="str">
        <f>IFERROR(IF(OR(G64='DICTIONARY-5'!$A$2,G64='DICTIONARY-5'!$A$4,ISBLANK(G64)),VLOOKUP(F64,LIST!$A$6:$M$3250,CURR_2.SEARCH.OLD,0),VLOOKUP(G64,LIST!$B$6:$M$3250,CURR_2.SEARCH.NEW,0)),'DICTIONARY-5'!$A$2)</f>
        <v/>
      </c>
      <c r="J64" s="42">
        <v>5983</v>
      </c>
      <c r="K64" s="42" t="s">
        <v>8043</v>
      </c>
      <c r="L64" s="339" t="str">
        <f>IFERROR(IF(OR(K64='DICTIONARY-5'!$A$2,K64='DICTIONARY-5'!$A$4,ISBLANK(K64)),VLOOKUP(J64,LIST!$A$6:$L$3250,CURR_1.SEARCH.OLD,0),VLOOKUP(K64,LIST!$B$6:$L$3250,CURR_1.SEARCH.NEW,0)),'DICTIONARY-5'!$A$2)</f>
        <v>638,-</v>
      </c>
      <c r="M64" s="339" t="str">
        <f>IFERROR(IF(OR(K64='DICTIONARY-5'!$A$2,K64='DICTIONARY-5'!$A$4,ISBLANK(K64)),VLOOKUP(J64,LIST!$A$6:$M$3250,CURR_2.SEARCH.OLD,0),VLOOKUP(K64,LIST!$B$6:$M$3250,CURR_2.SEARCH.NEW,0)),'DICTIONARY-5'!$A$2)</f>
        <v/>
      </c>
    </row>
    <row r="65" spans="1:13" x14ac:dyDescent="0.25">
      <c r="A65" s="62" t="s">
        <v>664</v>
      </c>
      <c r="B65" s="62">
        <v>2682</v>
      </c>
      <c r="C65" s="42" t="s">
        <v>8039</v>
      </c>
      <c r="D65" s="339" t="str">
        <f>IFERROR(IF(OR(C65='DICTIONARY-5'!$A$2,C65='DICTIONARY-5'!$A$4,ISBLANK(C65)),VLOOKUP(B65,LIST!$A$6:$L$3250,CURR_1.SEARCH.OLD,0),VLOOKUP(C65,LIST!$B$6:$L$3250,CURR_1.SEARCH.NEW,0)),'DICTIONARY-5'!$A$2)</f>
        <v>237,-</v>
      </c>
      <c r="E65" s="339" t="str">
        <f>IFERROR(IF(OR(C65='DICTIONARY-5'!$A$2,C65='DICTIONARY-5'!$A$4,ISBLANK(C65)),VLOOKUP(B65,LIST!$A$6:$M$3250,CURR_2.SEARCH.OLD,0),VLOOKUP(C65,LIST!$B$6:$M$3250,CURR_2.SEARCH.NEW,0)),'DICTIONARY-5'!$A$2)</f>
        <v/>
      </c>
      <c r="F65" s="42">
        <v>3882</v>
      </c>
      <c r="G65" s="42" t="s">
        <v>8041</v>
      </c>
      <c r="H65" s="339" t="str">
        <f>IFERROR(IF(OR(G65='DICTIONARY-5'!$A$2,G65='DICTIONARY-5'!$A$4,ISBLANK(G65)),VLOOKUP(F65,LIST!$A$6:$L$3250,CURR_1.SEARCH.OLD,0),VLOOKUP(G65,LIST!$B$6:$L$3250,CURR_1.SEARCH.NEW,0)),'DICTIONARY-5'!$A$2)</f>
        <v>417,-</v>
      </c>
      <c r="I65" s="339" t="str">
        <f>IFERROR(IF(OR(G65='DICTIONARY-5'!$A$2,G65='DICTIONARY-5'!$A$4,ISBLANK(G65)),VLOOKUP(F65,LIST!$A$6:$M$3250,CURR_2.SEARCH.OLD,0),VLOOKUP(G65,LIST!$B$6:$M$3250,CURR_2.SEARCH.NEW,0)),'DICTIONARY-5'!$A$2)</f>
        <v/>
      </c>
      <c r="J65" s="42">
        <v>6182</v>
      </c>
      <c r="K65" s="42" t="s">
        <v>8043</v>
      </c>
      <c r="L65" s="339" t="str">
        <f>IFERROR(IF(OR(K65='DICTIONARY-5'!$A$2,K65='DICTIONARY-5'!$A$4,ISBLANK(K65)),VLOOKUP(J65,LIST!$A$6:$L$3250,CURR_1.SEARCH.OLD,0),VLOOKUP(K65,LIST!$B$6:$L$3250,CURR_1.SEARCH.NEW,0)),'DICTIONARY-5'!$A$2)</f>
        <v>638,-</v>
      </c>
      <c r="M65" s="339" t="str">
        <f>IFERROR(IF(OR(K65='DICTIONARY-5'!$A$2,K65='DICTIONARY-5'!$A$4,ISBLANK(K65)),VLOOKUP(J65,LIST!$A$6:$M$3250,CURR_2.SEARCH.OLD,0),VLOOKUP(K65,LIST!$B$6:$M$3250,CURR_2.SEARCH.NEW,0)),'DICTIONARY-5'!$A$2)</f>
        <v/>
      </c>
    </row>
    <row r="66" spans="1:13" x14ac:dyDescent="0.25">
      <c r="A66" s="62" t="s">
        <v>666</v>
      </c>
      <c r="B66" s="62">
        <v>2878</v>
      </c>
      <c r="C66" s="42" t="s">
        <v>8039</v>
      </c>
      <c r="D66" s="339" t="str">
        <f>IFERROR(IF(OR(C66='DICTIONARY-5'!$A$2,C66='DICTIONARY-5'!$A$4,ISBLANK(C66)),VLOOKUP(B66,LIST!$A$6:$L$3250,CURR_1.SEARCH.OLD,0),VLOOKUP(C66,LIST!$B$6:$L$3250,CURR_1.SEARCH.NEW,0)),'DICTIONARY-5'!$A$2)</f>
        <v>237,-</v>
      </c>
      <c r="E66" s="339" t="str">
        <f>IFERROR(IF(OR(C66='DICTIONARY-5'!$A$2,C66='DICTIONARY-5'!$A$4,ISBLANK(C66)),VLOOKUP(B66,LIST!$A$6:$M$3250,CURR_2.SEARCH.OLD,0),VLOOKUP(C66,LIST!$B$6:$M$3250,CURR_2.SEARCH.NEW,0)),'DICTIONARY-5'!$A$2)</f>
        <v/>
      </c>
      <c r="F66" s="42">
        <v>4078</v>
      </c>
      <c r="G66" s="42" t="s">
        <v>8041</v>
      </c>
      <c r="H66" s="339" t="str">
        <f>IFERROR(IF(OR(G66='DICTIONARY-5'!$A$2,G66='DICTIONARY-5'!$A$4,ISBLANK(G66)),VLOOKUP(F66,LIST!$A$6:$L$3250,CURR_1.SEARCH.OLD,0),VLOOKUP(G66,LIST!$B$6:$L$3250,CURR_1.SEARCH.NEW,0)),'DICTIONARY-5'!$A$2)</f>
        <v>417,-</v>
      </c>
      <c r="I66" s="339" t="str">
        <f>IFERROR(IF(OR(G66='DICTIONARY-5'!$A$2,G66='DICTIONARY-5'!$A$4,ISBLANK(G66)),VLOOKUP(F66,LIST!$A$6:$M$3250,CURR_2.SEARCH.OLD,0),VLOOKUP(G66,LIST!$B$6:$M$3250,CURR_2.SEARCH.NEW,0)),'DICTIONARY-5'!$A$2)</f>
        <v/>
      </c>
      <c r="J66" s="42">
        <v>6378</v>
      </c>
      <c r="K66" s="42" t="s">
        <v>8043</v>
      </c>
      <c r="L66" s="339" t="str">
        <f>IFERROR(IF(OR(K66='DICTIONARY-5'!$A$2,K66='DICTIONARY-5'!$A$4,ISBLANK(K66)),VLOOKUP(J66,LIST!$A$6:$L$3250,CURR_1.SEARCH.OLD,0),VLOOKUP(K66,LIST!$B$6:$L$3250,CURR_1.SEARCH.NEW,0)),'DICTIONARY-5'!$A$2)</f>
        <v>638,-</v>
      </c>
      <c r="M66" s="339" t="str">
        <f>IFERROR(IF(OR(K66='DICTIONARY-5'!$A$2,K66='DICTIONARY-5'!$A$4,ISBLANK(K66)),VLOOKUP(J66,LIST!$A$6:$M$3250,CURR_2.SEARCH.OLD,0),VLOOKUP(K66,LIST!$B$6:$M$3250,CURR_2.SEARCH.NEW,0)),'DICTIONARY-5'!$A$2)</f>
        <v/>
      </c>
    </row>
    <row r="67" spans="1:13" x14ac:dyDescent="0.25">
      <c r="A67" s="62" t="s">
        <v>668</v>
      </c>
      <c r="B67" s="62">
        <v>3073</v>
      </c>
      <c r="C67" s="42" t="s">
        <v>8039</v>
      </c>
      <c r="D67" s="339" t="str">
        <f>IFERROR(IF(OR(C67='DICTIONARY-5'!$A$2,C67='DICTIONARY-5'!$A$4,ISBLANK(C67)),VLOOKUP(B67,LIST!$A$6:$L$3250,CURR_1.SEARCH.OLD,0),VLOOKUP(C67,LIST!$B$6:$L$3250,CURR_1.SEARCH.NEW,0)),'DICTIONARY-5'!$A$2)</f>
        <v>237,-</v>
      </c>
      <c r="E67" s="339" t="str">
        <f>IFERROR(IF(OR(C67='DICTIONARY-5'!$A$2,C67='DICTIONARY-5'!$A$4,ISBLANK(C67)),VLOOKUP(B67,LIST!$A$6:$M$3250,CURR_2.SEARCH.OLD,0),VLOOKUP(C67,LIST!$B$6:$M$3250,CURR_2.SEARCH.NEW,0)),'DICTIONARY-5'!$A$2)</f>
        <v/>
      </c>
      <c r="F67" s="42">
        <v>4273</v>
      </c>
      <c r="G67" s="42" t="s">
        <v>8041</v>
      </c>
      <c r="H67" s="339" t="str">
        <f>IFERROR(IF(OR(G67='DICTIONARY-5'!$A$2,G67='DICTIONARY-5'!$A$4,ISBLANK(G67)),VLOOKUP(F67,LIST!$A$6:$L$3250,CURR_1.SEARCH.OLD,0),VLOOKUP(G67,LIST!$B$6:$L$3250,CURR_1.SEARCH.NEW,0)),'DICTIONARY-5'!$A$2)</f>
        <v>417,-</v>
      </c>
      <c r="I67" s="339" t="str">
        <f>IFERROR(IF(OR(G67='DICTIONARY-5'!$A$2,G67='DICTIONARY-5'!$A$4,ISBLANK(G67)),VLOOKUP(F67,LIST!$A$6:$M$3250,CURR_2.SEARCH.OLD,0),VLOOKUP(G67,LIST!$B$6:$M$3250,CURR_2.SEARCH.NEW,0)),'DICTIONARY-5'!$A$2)</f>
        <v/>
      </c>
      <c r="J67" s="42">
        <v>6573</v>
      </c>
      <c r="K67" s="42" t="s">
        <v>8043</v>
      </c>
      <c r="L67" s="339" t="str">
        <f>IFERROR(IF(OR(K67='DICTIONARY-5'!$A$2,K67='DICTIONARY-5'!$A$4,ISBLANK(K67)),VLOOKUP(J67,LIST!$A$6:$L$3250,CURR_1.SEARCH.OLD,0),VLOOKUP(K67,LIST!$B$6:$L$3250,CURR_1.SEARCH.NEW,0)),'DICTIONARY-5'!$A$2)</f>
        <v>638,-</v>
      </c>
      <c r="M67" s="339" t="str">
        <f>IFERROR(IF(OR(K67='DICTIONARY-5'!$A$2,K67='DICTIONARY-5'!$A$4,ISBLANK(K67)),VLOOKUP(J67,LIST!$A$6:$M$3250,CURR_2.SEARCH.OLD,0),VLOOKUP(K67,LIST!$B$6:$M$3250,CURR_2.SEARCH.NEW,0)),'DICTIONARY-5'!$A$2)</f>
        <v/>
      </c>
    </row>
    <row r="68" spans="1:13" x14ac:dyDescent="0.25">
      <c r="A68" s="62" t="s">
        <v>670</v>
      </c>
      <c r="B68" s="62">
        <v>3304</v>
      </c>
      <c r="C68" s="42" t="s">
        <v>8040</v>
      </c>
      <c r="D68" s="339" t="str">
        <f>IFERROR(IF(OR(C68='DICTIONARY-5'!$A$2,C68='DICTIONARY-5'!$A$4,ISBLANK(C68)),VLOOKUP(B68,LIST!$A$6:$L$3250,CURR_1.SEARCH.OLD,0),VLOOKUP(C68,LIST!$B$6:$L$3250,CURR_1.SEARCH.NEW,0)),'DICTIONARY-5'!$A$2)</f>
        <v>240,-</v>
      </c>
      <c r="E68" s="339" t="str">
        <f>IFERROR(IF(OR(C68='DICTIONARY-5'!$A$2,C68='DICTIONARY-5'!$A$4,ISBLANK(C68)),VLOOKUP(B68,LIST!$A$6:$M$3250,CURR_2.SEARCH.OLD,0),VLOOKUP(C68,LIST!$B$6:$M$3250,CURR_2.SEARCH.NEW,0)),'DICTIONARY-5'!$A$2)</f>
        <v/>
      </c>
      <c r="F68" s="42">
        <v>4504</v>
      </c>
      <c r="G68" s="42" t="s">
        <v>8042</v>
      </c>
      <c r="H68" s="339" t="str">
        <f>IFERROR(IF(OR(G68='DICTIONARY-5'!$A$2,G68='DICTIONARY-5'!$A$4,ISBLANK(G68)),VLOOKUP(F68,LIST!$A$6:$L$3250,CURR_1.SEARCH.OLD,0),VLOOKUP(G68,LIST!$B$6:$L$3250,CURR_1.SEARCH.NEW,0)),'DICTIONARY-5'!$A$2)</f>
        <v>434,-</v>
      </c>
      <c r="I68" s="339" t="str">
        <f>IFERROR(IF(OR(G68='DICTIONARY-5'!$A$2,G68='DICTIONARY-5'!$A$4,ISBLANK(G68)),VLOOKUP(F68,LIST!$A$6:$M$3250,CURR_2.SEARCH.OLD,0),VLOOKUP(G68,LIST!$B$6:$M$3250,CURR_2.SEARCH.NEW,0)),'DICTIONARY-5'!$A$2)</f>
        <v/>
      </c>
      <c r="J68" s="42">
        <v>6804</v>
      </c>
      <c r="K68" s="42" t="s">
        <v>8044</v>
      </c>
      <c r="L68" s="339" t="str">
        <f>IFERROR(IF(OR(K68='DICTIONARY-5'!$A$2,K68='DICTIONARY-5'!$A$4,ISBLANK(K68)),VLOOKUP(J68,LIST!$A$6:$L$3250,CURR_1.SEARCH.OLD,0),VLOOKUP(K68,LIST!$B$6:$L$3250,CURR_1.SEARCH.NEW,0)),'DICTIONARY-5'!$A$2)</f>
        <v>698,-</v>
      </c>
      <c r="M68" s="339" t="str">
        <f>IFERROR(IF(OR(K68='DICTIONARY-5'!$A$2,K68='DICTIONARY-5'!$A$4,ISBLANK(K68)),VLOOKUP(J68,LIST!$A$6:$M$3250,CURR_2.SEARCH.OLD,0),VLOOKUP(K68,LIST!$B$6:$M$3250,CURR_2.SEARCH.NEW,0)),'DICTIONARY-5'!$A$2)</f>
        <v/>
      </c>
    </row>
    <row r="69" spans="1:13" x14ac:dyDescent="0.25">
      <c r="A69" s="62" t="s">
        <v>672</v>
      </c>
      <c r="B69" s="62">
        <v>3504</v>
      </c>
      <c r="C69" s="42" t="s">
        <v>8040</v>
      </c>
      <c r="D69" s="339" t="str">
        <f>IFERROR(IF(OR(C69='DICTIONARY-5'!$A$2,C69='DICTIONARY-5'!$A$4,ISBLANK(C69)),VLOOKUP(B69,LIST!$A$6:$L$3250,CURR_1.SEARCH.OLD,0),VLOOKUP(C69,LIST!$B$6:$L$3250,CURR_1.SEARCH.NEW,0)),'DICTIONARY-5'!$A$2)</f>
        <v>240,-</v>
      </c>
      <c r="E69" s="339" t="str">
        <f>IFERROR(IF(OR(C69='DICTIONARY-5'!$A$2,C69='DICTIONARY-5'!$A$4,ISBLANK(C69)),VLOOKUP(B69,LIST!$A$6:$M$3250,CURR_2.SEARCH.OLD,0),VLOOKUP(C69,LIST!$B$6:$M$3250,CURR_2.SEARCH.NEW,0)),'DICTIONARY-5'!$A$2)</f>
        <v/>
      </c>
      <c r="F69" s="42">
        <v>4704</v>
      </c>
      <c r="G69" s="42" t="s">
        <v>8042</v>
      </c>
      <c r="H69" s="339" t="str">
        <f>IFERROR(IF(OR(G69='DICTIONARY-5'!$A$2,G69='DICTIONARY-5'!$A$4,ISBLANK(G69)),VLOOKUP(F69,LIST!$A$6:$L$3250,CURR_1.SEARCH.OLD,0),VLOOKUP(G69,LIST!$B$6:$L$3250,CURR_1.SEARCH.NEW,0)),'DICTIONARY-5'!$A$2)</f>
        <v>434,-</v>
      </c>
      <c r="I69" s="339" t="str">
        <f>IFERROR(IF(OR(G69='DICTIONARY-5'!$A$2,G69='DICTIONARY-5'!$A$4,ISBLANK(G69)),VLOOKUP(F69,LIST!$A$6:$M$3250,CURR_2.SEARCH.OLD,0),VLOOKUP(G69,LIST!$B$6:$M$3250,CURR_2.SEARCH.NEW,0)),'DICTIONARY-5'!$A$2)</f>
        <v/>
      </c>
      <c r="J69" s="42">
        <v>7004</v>
      </c>
      <c r="K69" s="42" t="s">
        <v>8044</v>
      </c>
      <c r="L69" s="339" t="str">
        <f>IFERROR(IF(OR(K69='DICTIONARY-5'!$A$2,K69='DICTIONARY-5'!$A$4,ISBLANK(K69)),VLOOKUP(J69,LIST!$A$6:$L$3250,CURR_1.SEARCH.OLD,0),VLOOKUP(K69,LIST!$B$6:$L$3250,CURR_1.SEARCH.NEW,0)),'DICTIONARY-5'!$A$2)</f>
        <v>698,-</v>
      </c>
      <c r="M69" s="339" t="str">
        <f>IFERROR(IF(OR(K69='DICTIONARY-5'!$A$2,K69='DICTIONARY-5'!$A$4,ISBLANK(K69)),VLOOKUP(J69,LIST!$A$6:$M$3250,CURR_2.SEARCH.OLD,0),VLOOKUP(K69,LIST!$B$6:$M$3250,CURR_2.SEARCH.NEW,0)),'DICTIONARY-5'!$A$2)</f>
        <v/>
      </c>
    </row>
    <row r="70" spans="1:13" x14ac:dyDescent="0.25">
      <c r="A70" s="62" t="s">
        <v>674</v>
      </c>
      <c r="B70" s="62">
        <v>3704</v>
      </c>
      <c r="C70" s="42" t="s">
        <v>8040</v>
      </c>
      <c r="D70" s="339" t="str">
        <f>IFERROR(IF(OR(C70='DICTIONARY-5'!$A$2,C70='DICTIONARY-5'!$A$4,ISBLANK(C70)),VLOOKUP(B70,LIST!$A$6:$L$3250,CURR_1.SEARCH.OLD,0),VLOOKUP(C70,LIST!$B$6:$L$3250,CURR_1.SEARCH.NEW,0)),'DICTIONARY-5'!$A$2)</f>
        <v>240,-</v>
      </c>
      <c r="E70" s="339" t="str">
        <f>IFERROR(IF(OR(C70='DICTIONARY-5'!$A$2,C70='DICTIONARY-5'!$A$4,ISBLANK(C70)),VLOOKUP(B70,LIST!$A$6:$M$3250,CURR_2.SEARCH.OLD,0),VLOOKUP(C70,LIST!$B$6:$M$3250,CURR_2.SEARCH.NEW,0)),'DICTIONARY-5'!$A$2)</f>
        <v/>
      </c>
      <c r="F70" s="42">
        <v>4904</v>
      </c>
      <c r="G70" s="42" t="s">
        <v>8042</v>
      </c>
      <c r="H70" s="339" t="str">
        <f>IFERROR(IF(OR(G70='DICTIONARY-5'!$A$2,G70='DICTIONARY-5'!$A$4,ISBLANK(G70)),VLOOKUP(F70,LIST!$A$6:$L$3250,CURR_1.SEARCH.OLD,0),VLOOKUP(G70,LIST!$B$6:$L$3250,CURR_1.SEARCH.NEW,0)),'DICTIONARY-5'!$A$2)</f>
        <v>434,-</v>
      </c>
      <c r="I70" s="339" t="str">
        <f>IFERROR(IF(OR(G70='DICTIONARY-5'!$A$2,G70='DICTIONARY-5'!$A$4,ISBLANK(G70)),VLOOKUP(F70,LIST!$A$6:$M$3250,CURR_2.SEARCH.OLD,0),VLOOKUP(G70,LIST!$B$6:$M$3250,CURR_2.SEARCH.NEW,0)),'DICTIONARY-5'!$A$2)</f>
        <v/>
      </c>
      <c r="J70" s="42">
        <v>7204</v>
      </c>
      <c r="K70" s="42" t="s">
        <v>8044</v>
      </c>
      <c r="L70" s="339" t="str">
        <f>IFERROR(IF(OR(K70='DICTIONARY-5'!$A$2,K70='DICTIONARY-5'!$A$4,ISBLANK(K70)),VLOOKUP(J70,LIST!$A$6:$L$3250,CURR_1.SEARCH.OLD,0),VLOOKUP(K70,LIST!$B$6:$L$3250,CURR_1.SEARCH.NEW,0)),'DICTIONARY-5'!$A$2)</f>
        <v>698,-</v>
      </c>
      <c r="M70" s="339" t="str">
        <f>IFERROR(IF(OR(K70='DICTIONARY-5'!$A$2,K70='DICTIONARY-5'!$A$4,ISBLANK(K70)),VLOOKUP(J70,LIST!$A$6:$M$3250,CURR_2.SEARCH.OLD,0),VLOOKUP(K70,LIST!$B$6:$M$3250,CURR_2.SEARCH.NEW,0)),'DICTIONARY-5'!$A$2)</f>
        <v/>
      </c>
    </row>
    <row r="71" spans="1:13" x14ac:dyDescent="0.25">
      <c r="A71" s="62" t="s">
        <v>676</v>
      </c>
      <c r="B71" s="62">
        <v>3904</v>
      </c>
      <c r="C71" s="42" t="s">
        <v>8040</v>
      </c>
      <c r="D71" s="339" t="str">
        <f>IFERROR(IF(OR(C71='DICTIONARY-5'!$A$2,C71='DICTIONARY-5'!$A$4,ISBLANK(C71)),VLOOKUP(B71,LIST!$A$6:$L$3250,CURR_1.SEARCH.OLD,0),VLOOKUP(C71,LIST!$B$6:$L$3250,CURR_1.SEARCH.NEW,0)),'DICTIONARY-5'!$A$2)</f>
        <v>240,-</v>
      </c>
      <c r="E71" s="339" t="str">
        <f>IFERROR(IF(OR(C71='DICTIONARY-5'!$A$2,C71='DICTIONARY-5'!$A$4,ISBLANK(C71)),VLOOKUP(B71,LIST!$A$6:$M$3250,CURR_2.SEARCH.OLD,0),VLOOKUP(C71,LIST!$B$6:$M$3250,CURR_2.SEARCH.NEW,0)),'DICTIONARY-5'!$A$2)</f>
        <v/>
      </c>
      <c r="F71" s="42">
        <v>5104</v>
      </c>
      <c r="G71" s="42" t="s">
        <v>8042</v>
      </c>
      <c r="H71" s="339" t="str">
        <f>IFERROR(IF(OR(G71='DICTIONARY-5'!$A$2,G71='DICTIONARY-5'!$A$4,ISBLANK(G71)),VLOOKUP(F71,LIST!$A$6:$L$3250,CURR_1.SEARCH.OLD,0),VLOOKUP(G71,LIST!$B$6:$L$3250,CURR_1.SEARCH.NEW,0)),'DICTIONARY-5'!$A$2)</f>
        <v>434,-</v>
      </c>
      <c r="I71" s="339" t="str">
        <f>IFERROR(IF(OR(G71='DICTIONARY-5'!$A$2,G71='DICTIONARY-5'!$A$4,ISBLANK(G71)),VLOOKUP(F71,LIST!$A$6:$M$3250,CURR_2.SEARCH.OLD,0),VLOOKUP(G71,LIST!$B$6:$M$3250,CURR_2.SEARCH.NEW,0)),'DICTIONARY-5'!$A$2)</f>
        <v/>
      </c>
      <c r="J71" s="42">
        <v>7404</v>
      </c>
      <c r="K71" s="42" t="s">
        <v>8044</v>
      </c>
      <c r="L71" s="339" t="str">
        <f>IFERROR(IF(OR(K71='DICTIONARY-5'!$A$2,K71='DICTIONARY-5'!$A$4,ISBLANK(K71)),VLOOKUP(J71,LIST!$A$6:$L$3250,CURR_1.SEARCH.OLD,0),VLOOKUP(K71,LIST!$B$6:$L$3250,CURR_1.SEARCH.NEW,0)),'DICTIONARY-5'!$A$2)</f>
        <v>698,-</v>
      </c>
      <c r="M71" s="339" t="str">
        <f>IFERROR(IF(OR(K71='DICTIONARY-5'!$A$2,K71='DICTIONARY-5'!$A$4,ISBLANK(K71)),VLOOKUP(J71,LIST!$A$6:$M$3250,CURR_2.SEARCH.OLD,0),VLOOKUP(K71,LIST!$B$6:$M$3250,CURR_2.SEARCH.NEW,0)),'DICTIONARY-5'!$A$2)</f>
        <v/>
      </c>
    </row>
    <row r="72" spans="1:13" x14ac:dyDescent="0.25">
      <c r="A72" s="62" t="s">
        <v>678</v>
      </c>
      <c r="B72" s="62">
        <v>4304</v>
      </c>
      <c r="C72" s="42" t="s">
        <v>8040</v>
      </c>
      <c r="D72" s="339" t="str">
        <f>IFERROR(IF(OR(C72='DICTIONARY-5'!$A$2,C72='DICTIONARY-5'!$A$4,ISBLANK(C72)),VLOOKUP(B72,LIST!$A$6:$L$3250,CURR_1.SEARCH.OLD,0),VLOOKUP(C72,LIST!$B$6:$L$3250,CURR_1.SEARCH.NEW,0)),'DICTIONARY-5'!$A$2)</f>
        <v>240,-</v>
      </c>
      <c r="E72" s="339" t="str">
        <f>IFERROR(IF(OR(C72='DICTIONARY-5'!$A$2,C72='DICTIONARY-5'!$A$4,ISBLANK(C72)),VLOOKUP(B72,LIST!$A$6:$M$3250,CURR_2.SEARCH.OLD,0),VLOOKUP(C72,LIST!$B$6:$M$3250,CURR_2.SEARCH.NEW,0)),'DICTIONARY-5'!$A$2)</f>
        <v/>
      </c>
      <c r="F72" s="42">
        <v>5504</v>
      </c>
      <c r="G72" s="42" t="s">
        <v>8042</v>
      </c>
      <c r="H72" s="339" t="str">
        <f>IFERROR(IF(OR(G72='DICTIONARY-5'!$A$2,G72='DICTIONARY-5'!$A$4,ISBLANK(G72)),VLOOKUP(F72,LIST!$A$6:$L$3250,CURR_1.SEARCH.OLD,0),VLOOKUP(G72,LIST!$B$6:$L$3250,CURR_1.SEARCH.NEW,0)),'DICTIONARY-5'!$A$2)</f>
        <v>434,-</v>
      </c>
      <c r="I72" s="339" t="str">
        <f>IFERROR(IF(OR(G72='DICTIONARY-5'!$A$2,G72='DICTIONARY-5'!$A$4,ISBLANK(G72)),VLOOKUP(F72,LIST!$A$6:$M$3250,CURR_2.SEARCH.OLD,0),VLOOKUP(G72,LIST!$B$6:$M$3250,CURR_2.SEARCH.NEW,0)),'DICTIONARY-5'!$A$2)</f>
        <v/>
      </c>
      <c r="J72" s="42">
        <v>7804</v>
      </c>
      <c r="K72" s="42" t="s">
        <v>8044</v>
      </c>
      <c r="L72" s="339" t="str">
        <f>IFERROR(IF(OR(K72='DICTIONARY-5'!$A$2,K72='DICTIONARY-5'!$A$4,ISBLANK(K72)),VLOOKUP(J72,LIST!$A$6:$L$3250,CURR_1.SEARCH.OLD,0),VLOOKUP(K72,LIST!$B$6:$L$3250,CURR_1.SEARCH.NEW,0)),'DICTIONARY-5'!$A$2)</f>
        <v>698,-</v>
      </c>
      <c r="M72" s="339" t="str">
        <f>IFERROR(IF(OR(K72='DICTIONARY-5'!$A$2,K72='DICTIONARY-5'!$A$4,ISBLANK(K72)),VLOOKUP(J72,LIST!$A$6:$M$3250,CURR_2.SEARCH.OLD,0),VLOOKUP(K72,LIST!$B$6:$M$3250,CURR_2.SEARCH.NEW,0)),'DICTIONARY-5'!$A$2)</f>
        <v/>
      </c>
    </row>
    <row r="73" spans="1:13" x14ac:dyDescent="0.25">
      <c r="A73" s="555"/>
      <c r="B73" s="555"/>
      <c r="C73" s="30"/>
      <c r="D73" s="557"/>
      <c r="E73" s="557"/>
      <c r="F73" s="30"/>
      <c r="G73" s="30"/>
      <c r="H73" s="557"/>
      <c r="I73" s="557"/>
      <c r="J73" s="30"/>
      <c r="K73" s="30"/>
      <c r="L73" s="557"/>
      <c r="M73" s="557"/>
    </row>
    <row r="74" spans="1:13" x14ac:dyDescent="0.25">
      <c r="A74" s="64" t="str">
        <f>"1) "&amp;'DICTIONARY-5'!$A$86&amp;" - "&amp;'DICTIONARY-5'!$A$89</f>
        <v>1) Głębokość zabudowy - odległość od dna rurociągu / kanału do poziomu operacyjnego</v>
      </c>
      <c r="B74" s="64"/>
      <c r="C74" s="64"/>
      <c r="D74" s="64"/>
      <c r="E74" s="64"/>
      <c r="F74" s="30"/>
      <c r="G74" s="49"/>
      <c r="J74" s="30"/>
      <c r="K74" s="49"/>
    </row>
    <row r="75" spans="1:13" x14ac:dyDescent="0.25">
      <c r="A75" s="64"/>
      <c r="B75" s="64"/>
      <c r="C75" s="64"/>
      <c r="D75" s="64"/>
      <c r="E75" s="64"/>
      <c r="F75" s="30"/>
      <c r="G75" s="49"/>
      <c r="J75" s="30"/>
      <c r="K75" s="49"/>
    </row>
    <row r="78" spans="1:13" s="87" customFormat="1" ht="16.5" thickBot="1" x14ac:dyDescent="0.3">
      <c r="A78" s="81" t="str">
        <f>CONCATENATE('DICTIONARY-3'!$A$18," ",'DICTIONARY-3'!$A$22," / ",'DICTIONARY-3'!$A$274," ",'DICTIONARY-3'!$A$277)</f>
        <v>Zestaw S4 / Teleskopowe przedłużenie wrzeciona i konsolą ścienną z kolumienką i kółkiem</v>
      </c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1:13" x14ac:dyDescent="0.25">
      <c r="A79" s="36" t="str">
        <f>CONCATENATE(PROPER('DICTIONARY-5'!$A$7)," ",'DICTIONARY-3'!$A$13,"/",'DICTIONARY-3'!$A$15," ",'DICTIONARY-3'!$A$190," ",LOWER('DICTIONARY-3'!$A$257))</f>
        <v>Dla EROXplus/ERIplus Zasuwa wrzecionowa z wrzecionem niewznoszącym się</v>
      </c>
    </row>
    <row r="80" spans="1:13" x14ac:dyDescent="0.25">
      <c r="A80" s="36" t="str">
        <f>CONCATENATE('DICTIONARY-1'!$A$10,": ",SETTINGS!$C$88)</f>
        <v>Grupa rabatowa: REMO</v>
      </c>
    </row>
    <row r="81" spans="1:13" x14ac:dyDescent="0.25">
      <c r="A81" s="36"/>
      <c r="B81" s="30"/>
      <c r="C81" s="30"/>
      <c r="D81" s="30"/>
      <c r="E81" s="31"/>
      <c r="F81" s="31"/>
      <c r="G81" s="31"/>
      <c r="H81" s="31"/>
      <c r="I81" s="31"/>
      <c r="J81" s="31"/>
    </row>
    <row r="82" spans="1:13" x14ac:dyDescent="0.25">
      <c r="A82" s="960" t="str">
        <f>'DICTIONARY-3'!$A$265</f>
        <v xml:space="preserve">Obszar przepływu </v>
      </c>
      <c r="B82" s="38" t="str">
        <f>'DICTIONARY-2'!$A$9&amp;" 1)"</f>
        <v>Tmax 1)</v>
      </c>
      <c r="C82" s="960" t="str">
        <f>'DICTIONARY-3'!$A$18&amp;" "&amp;'DICTIONARY-3'!$A$22</f>
        <v>Zestaw S4</v>
      </c>
      <c r="D82" s="960"/>
      <c r="E82" s="960"/>
      <c r="F82" s="38" t="str">
        <f>'DICTIONARY-2'!$A$9&amp;" 1)"</f>
        <v>Tmax 1)</v>
      </c>
      <c r="G82" s="960" t="str">
        <f>'DICTIONARY-3'!$A$18&amp;" "&amp;'DICTIONARY-3'!$A$22</f>
        <v>Zestaw S4</v>
      </c>
      <c r="H82" s="960"/>
      <c r="I82" s="960"/>
      <c r="J82" s="38" t="str">
        <f>'DICTIONARY-2'!$A$9&amp;" 1)"</f>
        <v>Tmax 1)</v>
      </c>
      <c r="K82" s="960" t="str">
        <f>'DICTIONARY-3'!$A$18&amp;" "&amp;'DICTIONARY-3'!$A$22</f>
        <v>Zestaw S4</v>
      </c>
      <c r="L82" s="960"/>
      <c r="M82" s="960"/>
    </row>
    <row r="83" spans="1:13" ht="15" customHeight="1" x14ac:dyDescent="0.25">
      <c r="A83" s="977"/>
      <c r="B83" s="57"/>
      <c r="C83" s="961" t="str">
        <f>'DICTIONARY-5'!$A$103&amp;" A (0,85 - 1,5 m)"</f>
        <v>przedłużenie wrzeciona A (0,85 - 1,5 m)</v>
      </c>
      <c r="D83" s="961"/>
      <c r="E83" s="961"/>
      <c r="F83" s="57"/>
      <c r="G83" s="961" t="str">
        <f>'DICTIONARY-5'!$A$103&amp;" B (1,5 - 2,7 m)"</f>
        <v>przedłużenie wrzeciona B (1,5 - 2,7 m)</v>
      </c>
      <c r="H83" s="961"/>
      <c r="I83" s="961"/>
      <c r="J83" s="57"/>
      <c r="K83" s="961" t="str">
        <f>'DICTIONARY-5'!$A$103&amp;" C (2,7 - 5,0 m)"</f>
        <v>przedłużenie wrzeciona C (2,7 - 5,0 m)</v>
      </c>
      <c r="L83" s="961"/>
      <c r="M83" s="961"/>
    </row>
    <row r="84" spans="1:13" x14ac:dyDescent="0.25">
      <c r="A84" s="39" t="str">
        <f>'DICTIONARY-2'!$A$18</f>
        <v>[mm]</v>
      </c>
      <c r="B84" s="39" t="str">
        <f>'DICTIONARY-2'!$A$18</f>
        <v>[mm]</v>
      </c>
      <c r="C84" s="58" t="str">
        <f>'DICTIONARY-2'!$A$30</f>
        <v>numer identyfikacyjny</v>
      </c>
      <c r="D84" s="41" t="str">
        <f>CURRENCY.CODE_1</f>
        <v>EUR</v>
      </c>
      <c r="E84" s="41" t="str">
        <f>CURRENCY.CODE_2</f>
        <v>---</v>
      </c>
      <c r="F84" s="39" t="str">
        <f>'DICTIONARY-2'!$A$18</f>
        <v>[mm]</v>
      </c>
      <c r="G84" s="58" t="str">
        <f>'DICTIONARY-2'!$A$30</f>
        <v>numer identyfikacyjny</v>
      </c>
      <c r="H84" s="41" t="str">
        <f>CURRENCY.CODE_1</f>
        <v>EUR</v>
      </c>
      <c r="I84" s="41" t="str">
        <f>CURRENCY.CODE_2</f>
        <v>---</v>
      </c>
      <c r="J84" s="39" t="str">
        <f>'DICTIONARY-2'!$A$18</f>
        <v>[mm]</v>
      </c>
      <c r="K84" s="58" t="str">
        <f>'DICTIONARY-2'!$A$30</f>
        <v>numer identyfikacyjny</v>
      </c>
      <c r="L84" s="41" t="str">
        <f>CURRENCY.CODE_1</f>
        <v>EUR</v>
      </c>
      <c r="M84" s="41" t="str">
        <f>CURRENCY.CODE_2</f>
        <v>---</v>
      </c>
    </row>
    <row r="85" spans="1:13" x14ac:dyDescent="0.25">
      <c r="A85" s="62" t="s">
        <v>706</v>
      </c>
      <c r="B85" s="62">
        <v>2157</v>
      </c>
      <c r="C85" s="42" t="s">
        <v>8045</v>
      </c>
      <c r="D85" s="339" t="str">
        <f>IFERROR(IF(OR(C85='DICTIONARY-5'!$A$2,C85='DICTIONARY-5'!$A$4,ISBLANK(C85)),VLOOKUP(B85,LIST!$A$6:$L$3250,CURR_1.SEARCH.OLD,0),VLOOKUP(C85,LIST!$B$6:$L$3250,CURR_1.SEARCH.NEW,0)),'DICTIONARY-5'!$A$2)</f>
        <v>1 204,-</v>
      </c>
      <c r="E85" s="339" t="str">
        <f>IFERROR(IF(OR(C85='DICTIONARY-5'!$A$2,C85='DICTIONARY-5'!$A$4,ISBLANK(C85)),VLOOKUP(B85,LIST!$A$6:$M$3250,CURR_2.SEARCH.OLD,0),VLOOKUP(C85,LIST!$B$6:$M$3250,CURR_2.SEARCH.NEW,0)),'DICTIONARY-5'!$A$2)</f>
        <v/>
      </c>
      <c r="F85" s="62">
        <v>3357</v>
      </c>
      <c r="G85" s="42" t="s">
        <v>8047</v>
      </c>
      <c r="H85" s="339" t="str">
        <f>IFERROR(IF(OR(G85='DICTIONARY-5'!$A$2,G85='DICTIONARY-5'!$A$4,ISBLANK(G85)),VLOOKUP(F85,LIST!$A$6:$L$3250,CURR_1.SEARCH.OLD,0),VLOOKUP(G85,LIST!$B$6:$L$3250,CURR_1.SEARCH.NEW,0)),'DICTIONARY-5'!$A$2)</f>
        <v>1 527,-</v>
      </c>
      <c r="I85" s="339" t="str">
        <f>IFERROR(IF(OR(G85='DICTIONARY-5'!$A$2,G85='DICTIONARY-5'!$A$4,ISBLANK(G85)),VLOOKUP(F85,LIST!$A$6:$M$3250,CURR_2.SEARCH.OLD,0),VLOOKUP(G85,LIST!$B$6:$M$3250,CURR_2.SEARCH.NEW,0)),'DICTIONARY-5'!$A$2)</f>
        <v/>
      </c>
      <c r="J85" s="62">
        <v>5657</v>
      </c>
      <c r="K85" s="42" t="s">
        <v>8048</v>
      </c>
      <c r="L85" s="339" t="str">
        <f>IFERROR(IF(OR(K85='DICTIONARY-5'!$A$2,K85='DICTIONARY-5'!$A$4,ISBLANK(K85)),VLOOKUP(J85,LIST!$A$6:$L$3250,CURR_1.SEARCH.OLD,0),VLOOKUP(K85,LIST!$B$6:$L$3250,CURR_1.SEARCH.NEW,0)),'DICTIONARY-5'!$A$2)</f>
        <v>1 923,-</v>
      </c>
      <c r="M85" s="339" t="str">
        <f>IFERROR(IF(OR(K85='DICTIONARY-5'!$A$2,K85='DICTIONARY-5'!$A$4,ISBLANK(K85)),VLOOKUP(J85,LIST!$A$6:$M$3250,CURR_2.SEARCH.OLD,0),VLOOKUP(K85,LIST!$B$6:$M$3250,CURR_2.SEARCH.NEW,0)),'DICTIONARY-5'!$A$2)</f>
        <v/>
      </c>
    </row>
    <row r="86" spans="1:13" x14ac:dyDescent="0.25">
      <c r="A86" s="62" t="s">
        <v>709</v>
      </c>
      <c r="B86" s="62">
        <v>2257</v>
      </c>
      <c r="C86" s="42" t="s">
        <v>8045</v>
      </c>
      <c r="D86" s="339" t="str">
        <f>IFERROR(IF(OR(C86='DICTIONARY-5'!$A$2,C86='DICTIONARY-5'!$A$4,ISBLANK(C86)),VLOOKUP(B86,LIST!$A$6:$L$3250,CURR_1.SEARCH.OLD,0),VLOOKUP(C86,LIST!$B$6:$L$3250,CURR_1.SEARCH.NEW,0)),'DICTIONARY-5'!$A$2)</f>
        <v>1 204,-</v>
      </c>
      <c r="E86" s="339" t="str">
        <f>IFERROR(IF(OR(C86='DICTIONARY-5'!$A$2,C86='DICTIONARY-5'!$A$4,ISBLANK(C86)),VLOOKUP(B86,LIST!$A$6:$M$3250,CURR_2.SEARCH.OLD,0),VLOOKUP(C86,LIST!$B$6:$M$3250,CURR_2.SEARCH.NEW,0)),'DICTIONARY-5'!$A$2)</f>
        <v/>
      </c>
      <c r="F86" s="62">
        <v>3457</v>
      </c>
      <c r="G86" s="42" t="s">
        <v>8047</v>
      </c>
      <c r="H86" s="339" t="str">
        <f>IFERROR(IF(OR(G86='DICTIONARY-5'!$A$2,G86='DICTIONARY-5'!$A$4,ISBLANK(G86)),VLOOKUP(F86,LIST!$A$6:$L$3250,CURR_1.SEARCH.OLD,0),VLOOKUP(G86,LIST!$B$6:$L$3250,CURR_1.SEARCH.NEW,0)),'DICTIONARY-5'!$A$2)</f>
        <v>1 527,-</v>
      </c>
      <c r="I86" s="339" t="str">
        <f>IFERROR(IF(OR(G86='DICTIONARY-5'!$A$2,G86='DICTIONARY-5'!$A$4,ISBLANK(G86)),VLOOKUP(F86,LIST!$A$6:$M$3250,CURR_2.SEARCH.OLD,0),VLOOKUP(G86,LIST!$B$6:$M$3250,CURR_2.SEARCH.NEW,0)),'DICTIONARY-5'!$A$2)</f>
        <v/>
      </c>
      <c r="J86" s="62">
        <v>5757</v>
      </c>
      <c r="K86" s="42" t="s">
        <v>8048</v>
      </c>
      <c r="L86" s="339" t="str">
        <f>IFERROR(IF(OR(K86='DICTIONARY-5'!$A$2,K86='DICTIONARY-5'!$A$4,ISBLANK(K86)),VLOOKUP(J86,LIST!$A$6:$L$3250,CURR_1.SEARCH.OLD,0),VLOOKUP(K86,LIST!$B$6:$L$3250,CURR_1.SEARCH.NEW,0)),'DICTIONARY-5'!$A$2)</f>
        <v>1 923,-</v>
      </c>
      <c r="M86" s="339" t="str">
        <f>IFERROR(IF(OR(K86='DICTIONARY-5'!$A$2,K86='DICTIONARY-5'!$A$4,ISBLANK(K86)),VLOOKUP(J86,LIST!$A$6:$M$3250,CURR_2.SEARCH.OLD,0),VLOOKUP(K86,LIST!$B$6:$M$3250,CURR_2.SEARCH.NEW,0)),'DICTIONARY-5'!$A$2)</f>
        <v/>
      </c>
    </row>
    <row r="87" spans="1:13" x14ac:dyDescent="0.25">
      <c r="A87" s="62" t="s">
        <v>712</v>
      </c>
      <c r="B87" s="62">
        <v>2357</v>
      </c>
      <c r="C87" s="42" t="s">
        <v>8045</v>
      </c>
      <c r="D87" s="339" t="str">
        <f>IFERROR(IF(OR(C87='DICTIONARY-5'!$A$2,C87='DICTIONARY-5'!$A$4,ISBLANK(C87)),VLOOKUP(B87,LIST!$A$6:$L$3250,CURR_1.SEARCH.OLD,0),VLOOKUP(C87,LIST!$B$6:$L$3250,CURR_1.SEARCH.NEW,0)),'DICTIONARY-5'!$A$2)</f>
        <v>1 204,-</v>
      </c>
      <c r="E87" s="339" t="str">
        <f>IFERROR(IF(OR(C87='DICTIONARY-5'!$A$2,C87='DICTIONARY-5'!$A$4,ISBLANK(C87)),VLOOKUP(B87,LIST!$A$6:$M$3250,CURR_2.SEARCH.OLD,0),VLOOKUP(C87,LIST!$B$6:$M$3250,CURR_2.SEARCH.NEW,0)),'DICTIONARY-5'!$A$2)</f>
        <v/>
      </c>
      <c r="F87" s="62">
        <v>3557</v>
      </c>
      <c r="G87" s="42" t="s">
        <v>8047</v>
      </c>
      <c r="H87" s="339" t="str">
        <f>IFERROR(IF(OR(G87='DICTIONARY-5'!$A$2,G87='DICTIONARY-5'!$A$4,ISBLANK(G87)),VLOOKUP(F87,LIST!$A$6:$L$3250,CURR_1.SEARCH.OLD,0),VLOOKUP(G87,LIST!$B$6:$L$3250,CURR_1.SEARCH.NEW,0)),'DICTIONARY-5'!$A$2)</f>
        <v>1 527,-</v>
      </c>
      <c r="I87" s="339" t="str">
        <f>IFERROR(IF(OR(G87='DICTIONARY-5'!$A$2,G87='DICTIONARY-5'!$A$4,ISBLANK(G87)),VLOOKUP(F87,LIST!$A$6:$M$3250,CURR_2.SEARCH.OLD,0),VLOOKUP(G87,LIST!$B$6:$M$3250,CURR_2.SEARCH.NEW,0)),'DICTIONARY-5'!$A$2)</f>
        <v/>
      </c>
      <c r="J87" s="62">
        <v>5857</v>
      </c>
      <c r="K87" s="42" t="s">
        <v>8048</v>
      </c>
      <c r="L87" s="339" t="str">
        <f>IFERROR(IF(OR(K87='DICTIONARY-5'!$A$2,K87='DICTIONARY-5'!$A$4,ISBLANK(K87)),VLOOKUP(J87,LIST!$A$6:$L$3250,CURR_1.SEARCH.OLD,0),VLOOKUP(K87,LIST!$B$6:$L$3250,CURR_1.SEARCH.NEW,0)),'DICTIONARY-5'!$A$2)</f>
        <v>1 923,-</v>
      </c>
      <c r="M87" s="339" t="str">
        <f>IFERROR(IF(OR(K87='DICTIONARY-5'!$A$2,K87='DICTIONARY-5'!$A$4,ISBLANK(K87)),VLOOKUP(J87,LIST!$A$6:$M$3250,CURR_2.SEARCH.OLD,0),VLOOKUP(K87,LIST!$B$6:$M$3250,CURR_2.SEARCH.NEW,0)),'DICTIONARY-5'!$A$2)</f>
        <v/>
      </c>
    </row>
    <row r="88" spans="1:13" x14ac:dyDescent="0.25">
      <c r="A88" s="62" t="s">
        <v>715</v>
      </c>
      <c r="B88" s="62">
        <v>2457</v>
      </c>
      <c r="C88" s="42" t="s">
        <v>8045</v>
      </c>
      <c r="D88" s="339" t="str">
        <f>IFERROR(IF(OR(C88='DICTIONARY-5'!$A$2,C88='DICTIONARY-5'!$A$4,ISBLANK(C88)),VLOOKUP(B88,LIST!$A$6:$L$3250,CURR_1.SEARCH.OLD,0),VLOOKUP(C88,LIST!$B$6:$L$3250,CURR_1.SEARCH.NEW,0)),'DICTIONARY-5'!$A$2)</f>
        <v>1 204,-</v>
      </c>
      <c r="E88" s="339" t="str">
        <f>IFERROR(IF(OR(C88='DICTIONARY-5'!$A$2,C88='DICTIONARY-5'!$A$4,ISBLANK(C88)),VLOOKUP(B88,LIST!$A$6:$M$3250,CURR_2.SEARCH.OLD,0),VLOOKUP(C88,LIST!$B$6:$M$3250,CURR_2.SEARCH.NEW,0)),'DICTIONARY-5'!$A$2)</f>
        <v/>
      </c>
      <c r="F88" s="62">
        <v>3657</v>
      </c>
      <c r="G88" s="42" t="s">
        <v>8047</v>
      </c>
      <c r="H88" s="339" t="str">
        <f>IFERROR(IF(OR(G88='DICTIONARY-5'!$A$2,G88='DICTIONARY-5'!$A$4,ISBLANK(G88)),VLOOKUP(F88,LIST!$A$6:$L$3250,CURR_1.SEARCH.OLD,0),VLOOKUP(G88,LIST!$B$6:$L$3250,CURR_1.SEARCH.NEW,0)),'DICTIONARY-5'!$A$2)</f>
        <v>1 527,-</v>
      </c>
      <c r="I88" s="339" t="str">
        <f>IFERROR(IF(OR(G88='DICTIONARY-5'!$A$2,G88='DICTIONARY-5'!$A$4,ISBLANK(G88)),VLOOKUP(F88,LIST!$A$6:$M$3250,CURR_2.SEARCH.OLD,0),VLOOKUP(G88,LIST!$B$6:$M$3250,CURR_2.SEARCH.NEW,0)),'DICTIONARY-5'!$A$2)</f>
        <v/>
      </c>
      <c r="J88" s="62">
        <v>5957</v>
      </c>
      <c r="K88" s="42" t="s">
        <v>8048</v>
      </c>
      <c r="L88" s="339" t="str">
        <f>IFERROR(IF(OR(K88='DICTIONARY-5'!$A$2,K88='DICTIONARY-5'!$A$4,ISBLANK(K88)),VLOOKUP(J88,LIST!$A$6:$L$3250,CURR_1.SEARCH.OLD,0),VLOOKUP(K88,LIST!$B$6:$L$3250,CURR_1.SEARCH.NEW,0)),'DICTIONARY-5'!$A$2)</f>
        <v>1 923,-</v>
      </c>
      <c r="M88" s="339" t="str">
        <f>IFERROR(IF(OR(K88='DICTIONARY-5'!$A$2,K88='DICTIONARY-5'!$A$4,ISBLANK(K88)),VLOOKUP(J88,LIST!$A$6:$M$3250,CURR_2.SEARCH.OLD,0),VLOOKUP(K88,LIST!$B$6:$M$3250,CURR_2.SEARCH.NEW,0)),'DICTIONARY-5'!$A$2)</f>
        <v/>
      </c>
    </row>
    <row r="89" spans="1:13" x14ac:dyDescent="0.25">
      <c r="A89" s="62" t="s">
        <v>664</v>
      </c>
      <c r="B89" s="62">
        <v>2656</v>
      </c>
      <c r="C89" s="42" t="s">
        <v>8045</v>
      </c>
      <c r="D89" s="339" t="str">
        <f>IFERROR(IF(OR(C89='DICTIONARY-5'!$A$2,C89='DICTIONARY-5'!$A$4,ISBLANK(C89)),VLOOKUP(B89,LIST!$A$6:$L$3250,CURR_1.SEARCH.OLD,0),VLOOKUP(C89,LIST!$B$6:$L$3250,CURR_1.SEARCH.NEW,0)),'DICTIONARY-5'!$A$2)</f>
        <v>1 204,-</v>
      </c>
      <c r="E89" s="339" t="str">
        <f>IFERROR(IF(OR(C89='DICTIONARY-5'!$A$2,C89='DICTIONARY-5'!$A$4,ISBLANK(C89)),VLOOKUP(B89,LIST!$A$6:$M$3250,CURR_2.SEARCH.OLD,0),VLOOKUP(C89,LIST!$B$6:$M$3250,CURR_2.SEARCH.NEW,0)),'DICTIONARY-5'!$A$2)</f>
        <v/>
      </c>
      <c r="F89" s="62">
        <v>3856</v>
      </c>
      <c r="G89" s="42" t="s">
        <v>8047</v>
      </c>
      <c r="H89" s="339" t="str">
        <f>IFERROR(IF(OR(G89='DICTIONARY-5'!$A$2,G89='DICTIONARY-5'!$A$4,ISBLANK(G89)),VLOOKUP(F89,LIST!$A$6:$L$3250,CURR_1.SEARCH.OLD,0),VLOOKUP(G89,LIST!$B$6:$L$3250,CURR_1.SEARCH.NEW,0)),'DICTIONARY-5'!$A$2)</f>
        <v>1 527,-</v>
      </c>
      <c r="I89" s="339" t="str">
        <f>IFERROR(IF(OR(G89='DICTIONARY-5'!$A$2,G89='DICTIONARY-5'!$A$4,ISBLANK(G89)),VLOOKUP(F89,LIST!$A$6:$M$3250,CURR_2.SEARCH.OLD,0),VLOOKUP(G89,LIST!$B$6:$M$3250,CURR_2.SEARCH.NEW,0)),'DICTIONARY-5'!$A$2)</f>
        <v/>
      </c>
      <c r="J89" s="62">
        <v>6156</v>
      </c>
      <c r="K89" s="42" t="s">
        <v>8048</v>
      </c>
      <c r="L89" s="339" t="str">
        <f>IFERROR(IF(OR(K89='DICTIONARY-5'!$A$2,K89='DICTIONARY-5'!$A$4,ISBLANK(K89)),VLOOKUP(J89,LIST!$A$6:$L$3250,CURR_1.SEARCH.OLD,0),VLOOKUP(K89,LIST!$B$6:$L$3250,CURR_1.SEARCH.NEW,0)),'DICTIONARY-5'!$A$2)</f>
        <v>1 923,-</v>
      </c>
      <c r="M89" s="339" t="str">
        <f>IFERROR(IF(OR(K89='DICTIONARY-5'!$A$2,K89='DICTIONARY-5'!$A$4,ISBLANK(K89)),VLOOKUP(J89,LIST!$A$6:$M$3250,CURR_2.SEARCH.OLD,0),VLOOKUP(K89,LIST!$B$6:$M$3250,CURR_2.SEARCH.NEW,0)),'DICTIONARY-5'!$A$2)</f>
        <v/>
      </c>
    </row>
    <row r="90" spans="1:13" x14ac:dyDescent="0.25">
      <c r="A90" s="62" t="s">
        <v>666</v>
      </c>
      <c r="B90" s="62">
        <v>2852</v>
      </c>
      <c r="C90" s="42" t="s">
        <v>8045</v>
      </c>
      <c r="D90" s="339" t="str">
        <f>IFERROR(IF(OR(C90='DICTIONARY-5'!$A$2,C90='DICTIONARY-5'!$A$4,ISBLANK(C90)),VLOOKUP(B90,LIST!$A$6:$L$3250,CURR_1.SEARCH.OLD,0),VLOOKUP(C90,LIST!$B$6:$L$3250,CURR_1.SEARCH.NEW,0)),'DICTIONARY-5'!$A$2)</f>
        <v>1 204,-</v>
      </c>
      <c r="E90" s="339" t="str">
        <f>IFERROR(IF(OR(C90='DICTIONARY-5'!$A$2,C90='DICTIONARY-5'!$A$4,ISBLANK(C90)),VLOOKUP(B90,LIST!$A$6:$M$3250,CURR_2.SEARCH.OLD,0),VLOOKUP(C90,LIST!$B$6:$M$3250,CURR_2.SEARCH.NEW,0)),'DICTIONARY-5'!$A$2)</f>
        <v/>
      </c>
      <c r="F90" s="62">
        <v>4052</v>
      </c>
      <c r="G90" s="42" t="s">
        <v>8047</v>
      </c>
      <c r="H90" s="339" t="str">
        <f>IFERROR(IF(OR(G90='DICTIONARY-5'!$A$2,G90='DICTIONARY-5'!$A$4,ISBLANK(G90)),VLOOKUP(F90,LIST!$A$6:$L$3250,CURR_1.SEARCH.OLD,0),VLOOKUP(G90,LIST!$B$6:$L$3250,CURR_1.SEARCH.NEW,0)),'DICTIONARY-5'!$A$2)</f>
        <v>1 527,-</v>
      </c>
      <c r="I90" s="339" t="str">
        <f>IFERROR(IF(OR(G90='DICTIONARY-5'!$A$2,G90='DICTIONARY-5'!$A$4,ISBLANK(G90)),VLOOKUP(F90,LIST!$A$6:$M$3250,CURR_2.SEARCH.OLD,0),VLOOKUP(G90,LIST!$B$6:$M$3250,CURR_2.SEARCH.NEW,0)),'DICTIONARY-5'!$A$2)</f>
        <v/>
      </c>
      <c r="J90" s="62">
        <v>6352</v>
      </c>
      <c r="K90" s="42" t="s">
        <v>8048</v>
      </c>
      <c r="L90" s="339" t="str">
        <f>IFERROR(IF(OR(K90='DICTIONARY-5'!$A$2,K90='DICTIONARY-5'!$A$4,ISBLANK(K90)),VLOOKUP(J90,LIST!$A$6:$L$3250,CURR_1.SEARCH.OLD,0),VLOOKUP(K90,LIST!$B$6:$L$3250,CURR_1.SEARCH.NEW,0)),'DICTIONARY-5'!$A$2)</f>
        <v>1 923,-</v>
      </c>
      <c r="M90" s="339" t="str">
        <f>IFERROR(IF(OR(K90='DICTIONARY-5'!$A$2,K90='DICTIONARY-5'!$A$4,ISBLANK(K90)),VLOOKUP(J90,LIST!$A$6:$M$3250,CURR_2.SEARCH.OLD,0),VLOOKUP(K90,LIST!$B$6:$M$3250,CURR_2.SEARCH.NEW,0)),'DICTIONARY-5'!$A$2)</f>
        <v/>
      </c>
    </row>
    <row r="91" spans="1:13" x14ac:dyDescent="0.25">
      <c r="A91" s="62" t="s">
        <v>668</v>
      </c>
      <c r="B91" s="62">
        <v>3047</v>
      </c>
      <c r="C91" s="42" t="s">
        <v>8045</v>
      </c>
      <c r="D91" s="339" t="str">
        <f>IFERROR(IF(OR(C91='DICTIONARY-5'!$A$2,C91='DICTIONARY-5'!$A$4,ISBLANK(C91)),VLOOKUP(B91,LIST!$A$6:$L$3250,CURR_1.SEARCH.OLD,0),VLOOKUP(C91,LIST!$B$6:$L$3250,CURR_1.SEARCH.NEW,0)),'DICTIONARY-5'!$A$2)</f>
        <v>1 204,-</v>
      </c>
      <c r="E91" s="339" t="str">
        <f>IFERROR(IF(OR(C91='DICTIONARY-5'!$A$2,C91='DICTIONARY-5'!$A$4,ISBLANK(C91)),VLOOKUP(B91,LIST!$A$6:$M$3250,CURR_2.SEARCH.OLD,0),VLOOKUP(C91,LIST!$B$6:$M$3250,CURR_2.SEARCH.NEW,0)),'DICTIONARY-5'!$A$2)</f>
        <v/>
      </c>
      <c r="F91" s="62">
        <v>4247</v>
      </c>
      <c r="G91" s="42" t="s">
        <v>8047</v>
      </c>
      <c r="H91" s="339" t="str">
        <f>IFERROR(IF(OR(G91='DICTIONARY-5'!$A$2,G91='DICTIONARY-5'!$A$4,ISBLANK(G91)),VLOOKUP(F91,LIST!$A$6:$L$3250,CURR_1.SEARCH.OLD,0),VLOOKUP(G91,LIST!$B$6:$L$3250,CURR_1.SEARCH.NEW,0)),'DICTIONARY-5'!$A$2)</f>
        <v>1 527,-</v>
      </c>
      <c r="I91" s="339" t="str">
        <f>IFERROR(IF(OR(G91='DICTIONARY-5'!$A$2,G91='DICTIONARY-5'!$A$4,ISBLANK(G91)),VLOOKUP(F91,LIST!$A$6:$M$3250,CURR_2.SEARCH.OLD,0),VLOOKUP(G91,LIST!$B$6:$M$3250,CURR_2.SEARCH.NEW,0)),'DICTIONARY-5'!$A$2)</f>
        <v/>
      </c>
      <c r="J91" s="62">
        <v>6547</v>
      </c>
      <c r="K91" s="42" t="s">
        <v>8048</v>
      </c>
      <c r="L91" s="339" t="str">
        <f>IFERROR(IF(OR(K91='DICTIONARY-5'!$A$2,K91='DICTIONARY-5'!$A$4,ISBLANK(K91)),VLOOKUP(J91,LIST!$A$6:$L$3250,CURR_1.SEARCH.OLD,0),VLOOKUP(K91,LIST!$B$6:$L$3250,CURR_1.SEARCH.NEW,0)),'DICTIONARY-5'!$A$2)</f>
        <v>1 923,-</v>
      </c>
      <c r="M91" s="339" t="str">
        <f>IFERROR(IF(OR(K91='DICTIONARY-5'!$A$2,K91='DICTIONARY-5'!$A$4,ISBLANK(K91)),VLOOKUP(J91,LIST!$A$6:$M$3250,CURR_2.SEARCH.OLD,0),VLOOKUP(K91,LIST!$B$6:$M$3250,CURR_2.SEARCH.NEW,0)),'DICTIONARY-5'!$A$2)</f>
        <v/>
      </c>
    </row>
    <row r="92" spans="1:13" x14ac:dyDescent="0.25">
      <c r="A92" s="62" t="s">
        <v>670</v>
      </c>
      <c r="B92" s="62">
        <v>3278</v>
      </c>
      <c r="C92" s="42" t="s">
        <v>8046</v>
      </c>
      <c r="D92" s="339" t="str">
        <f>IFERROR(IF(OR(C92='DICTIONARY-5'!$A$2,C92='DICTIONARY-5'!$A$4,ISBLANK(C92)),VLOOKUP(B92,LIST!$A$6:$L$3250,CURR_1.SEARCH.OLD,0),VLOOKUP(C92,LIST!$B$6:$L$3250,CURR_1.SEARCH.NEW,0)),'DICTIONARY-5'!$A$2)</f>
        <v>1 301,-</v>
      </c>
      <c r="E92" s="339" t="str">
        <f>IFERROR(IF(OR(C92='DICTIONARY-5'!$A$2,C92='DICTIONARY-5'!$A$4,ISBLANK(C92)),VLOOKUP(B92,LIST!$A$6:$M$3250,CURR_2.SEARCH.OLD,0),VLOOKUP(C92,LIST!$B$6:$M$3250,CURR_2.SEARCH.NEW,0)),'DICTIONARY-5'!$A$2)</f>
        <v/>
      </c>
      <c r="F92" s="62">
        <v>4478</v>
      </c>
      <c r="G92" s="42" t="s">
        <v>8049</v>
      </c>
      <c r="H92" s="339" t="str">
        <f>IFERROR(IF(OR(G92='DICTIONARY-5'!$A$2,G92='DICTIONARY-5'!$A$4,ISBLANK(G92)),VLOOKUP(F92,LIST!$A$6:$L$3250,CURR_1.SEARCH.OLD,0),VLOOKUP(G92,LIST!$B$6:$L$3250,CURR_1.SEARCH.NEW,0)),'DICTIONARY-5'!$A$2)</f>
        <v>1 650,-</v>
      </c>
      <c r="I92" s="339" t="str">
        <f>IFERROR(IF(OR(G92='DICTIONARY-5'!$A$2,G92='DICTIONARY-5'!$A$4,ISBLANK(G92)),VLOOKUP(F92,LIST!$A$6:$M$3250,CURR_2.SEARCH.OLD,0),VLOOKUP(G92,LIST!$B$6:$M$3250,CURR_2.SEARCH.NEW,0)),'DICTIONARY-5'!$A$2)</f>
        <v/>
      </c>
      <c r="J92" s="62">
        <v>6778</v>
      </c>
      <c r="K92" s="42" t="s">
        <v>8050</v>
      </c>
      <c r="L92" s="339" t="str">
        <f>IFERROR(IF(OR(K92='DICTIONARY-5'!$A$2,K92='DICTIONARY-5'!$A$4,ISBLANK(K92)),VLOOKUP(J92,LIST!$A$6:$L$3250,CURR_1.SEARCH.OLD,0),VLOOKUP(K92,LIST!$B$6:$L$3250,CURR_1.SEARCH.NEW,0)),'DICTIONARY-5'!$A$2)</f>
        <v>2 124,-</v>
      </c>
      <c r="M92" s="339" t="str">
        <f>IFERROR(IF(OR(K92='DICTIONARY-5'!$A$2,K92='DICTIONARY-5'!$A$4,ISBLANK(K92)),VLOOKUP(J92,LIST!$A$6:$M$3250,CURR_2.SEARCH.OLD,0),VLOOKUP(K92,LIST!$B$6:$M$3250,CURR_2.SEARCH.NEW,0)),'DICTIONARY-5'!$A$2)</f>
        <v/>
      </c>
    </row>
    <row r="93" spans="1:13" x14ac:dyDescent="0.25">
      <c r="A93" s="62" t="s">
        <v>672</v>
      </c>
      <c r="B93" s="62">
        <v>3478</v>
      </c>
      <c r="C93" s="42" t="s">
        <v>8046</v>
      </c>
      <c r="D93" s="339" t="str">
        <f>IFERROR(IF(OR(C93='DICTIONARY-5'!$A$2,C93='DICTIONARY-5'!$A$4,ISBLANK(C93)),VLOOKUP(B93,LIST!$A$6:$L$3250,CURR_1.SEARCH.OLD,0),VLOOKUP(C93,LIST!$B$6:$L$3250,CURR_1.SEARCH.NEW,0)),'DICTIONARY-5'!$A$2)</f>
        <v>1 301,-</v>
      </c>
      <c r="E93" s="339" t="str">
        <f>IFERROR(IF(OR(C93='DICTIONARY-5'!$A$2,C93='DICTIONARY-5'!$A$4,ISBLANK(C93)),VLOOKUP(B93,LIST!$A$6:$M$3250,CURR_2.SEARCH.OLD,0),VLOOKUP(C93,LIST!$B$6:$M$3250,CURR_2.SEARCH.NEW,0)),'DICTIONARY-5'!$A$2)</f>
        <v/>
      </c>
      <c r="F93" s="62">
        <v>4678</v>
      </c>
      <c r="G93" s="42" t="s">
        <v>8049</v>
      </c>
      <c r="H93" s="339" t="str">
        <f>IFERROR(IF(OR(G93='DICTIONARY-5'!$A$2,G93='DICTIONARY-5'!$A$4,ISBLANK(G93)),VLOOKUP(F93,LIST!$A$6:$L$3250,CURR_1.SEARCH.OLD,0),VLOOKUP(G93,LIST!$B$6:$L$3250,CURR_1.SEARCH.NEW,0)),'DICTIONARY-5'!$A$2)</f>
        <v>1 650,-</v>
      </c>
      <c r="I93" s="339" t="str">
        <f>IFERROR(IF(OR(G93='DICTIONARY-5'!$A$2,G93='DICTIONARY-5'!$A$4,ISBLANK(G93)),VLOOKUP(F93,LIST!$A$6:$M$3250,CURR_2.SEARCH.OLD,0),VLOOKUP(G93,LIST!$B$6:$M$3250,CURR_2.SEARCH.NEW,0)),'DICTIONARY-5'!$A$2)</f>
        <v/>
      </c>
      <c r="J93" s="62">
        <v>6978</v>
      </c>
      <c r="K93" s="42" t="s">
        <v>8050</v>
      </c>
      <c r="L93" s="339" t="str">
        <f>IFERROR(IF(OR(K93='DICTIONARY-5'!$A$2,K93='DICTIONARY-5'!$A$4,ISBLANK(K93)),VLOOKUP(J93,LIST!$A$6:$L$3250,CURR_1.SEARCH.OLD,0),VLOOKUP(K93,LIST!$B$6:$L$3250,CURR_1.SEARCH.NEW,0)),'DICTIONARY-5'!$A$2)</f>
        <v>2 124,-</v>
      </c>
      <c r="M93" s="339" t="str">
        <f>IFERROR(IF(OR(K93='DICTIONARY-5'!$A$2,K93='DICTIONARY-5'!$A$4,ISBLANK(K93)),VLOOKUP(J93,LIST!$A$6:$M$3250,CURR_2.SEARCH.OLD,0),VLOOKUP(K93,LIST!$B$6:$M$3250,CURR_2.SEARCH.NEW,0)),'DICTIONARY-5'!$A$2)</f>
        <v/>
      </c>
    </row>
    <row r="94" spans="1:13" x14ac:dyDescent="0.25">
      <c r="A94" s="62" t="s">
        <v>674</v>
      </c>
      <c r="B94" s="62">
        <v>3678</v>
      </c>
      <c r="C94" s="42" t="s">
        <v>8046</v>
      </c>
      <c r="D94" s="339" t="str">
        <f>IFERROR(IF(OR(C94='DICTIONARY-5'!$A$2,C94='DICTIONARY-5'!$A$4,ISBLANK(C94)),VLOOKUP(B94,LIST!$A$6:$L$3250,CURR_1.SEARCH.OLD,0),VLOOKUP(C94,LIST!$B$6:$L$3250,CURR_1.SEARCH.NEW,0)),'DICTIONARY-5'!$A$2)</f>
        <v>1 301,-</v>
      </c>
      <c r="E94" s="339" t="str">
        <f>IFERROR(IF(OR(C94='DICTIONARY-5'!$A$2,C94='DICTIONARY-5'!$A$4,ISBLANK(C94)),VLOOKUP(B94,LIST!$A$6:$M$3250,CURR_2.SEARCH.OLD,0),VLOOKUP(C94,LIST!$B$6:$M$3250,CURR_2.SEARCH.NEW,0)),'DICTIONARY-5'!$A$2)</f>
        <v/>
      </c>
      <c r="F94" s="62">
        <v>4878</v>
      </c>
      <c r="G94" s="42" t="s">
        <v>8049</v>
      </c>
      <c r="H94" s="339" t="str">
        <f>IFERROR(IF(OR(G94='DICTIONARY-5'!$A$2,G94='DICTIONARY-5'!$A$4,ISBLANK(G94)),VLOOKUP(F94,LIST!$A$6:$L$3250,CURR_1.SEARCH.OLD,0),VLOOKUP(G94,LIST!$B$6:$L$3250,CURR_1.SEARCH.NEW,0)),'DICTIONARY-5'!$A$2)</f>
        <v>1 650,-</v>
      </c>
      <c r="I94" s="339" t="str">
        <f>IFERROR(IF(OR(G94='DICTIONARY-5'!$A$2,G94='DICTIONARY-5'!$A$4,ISBLANK(G94)),VLOOKUP(F94,LIST!$A$6:$M$3250,CURR_2.SEARCH.OLD,0),VLOOKUP(G94,LIST!$B$6:$M$3250,CURR_2.SEARCH.NEW,0)),'DICTIONARY-5'!$A$2)</f>
        <v/>
      </c>
      <c r="J94" s="62">
        <v>7178</v>
      </c>
      <c r="K94" s="42" t="s">
        <v>8050</v>
      </c>
      <c r="L94" s="339" t="str">
        <f>IFERROR(IF(OR(K94='DICTIONARY-5'!$A$2,K94='DICTIONARY-5'!$A$4,ISBLANK(K94)),VLOOKUP(J94,LIST!$A$6:$L$3250,CURR_1.SEARCH.OLD,0),VLOOKUP(K94,LIST!$B$6:$L$3250,CURR_1.SEARCH.NEW,0)),'DICTIONARY-5'!$A$2)</f>
        <v>2 124,-</v>
      </c>
      <c r="M94" s="339" t="str">
        <f>IFERROR(IF(OR(K94='DICTIONARY-5'!$A$2,K94='DICTIONARY-5'!$A$4,ISBLANK(K94)),VLOOKUP(J94,LIST!$A$6:$M$3250,CURR_2.SEARCH.OLD,0),VLOOKUP(K94,LIST!$B$6:$M$3250,CURR_2.SEARCH.NEW,0)),'DICTIONARY-5'!$A$2)</f>
        <v/>
      </c>
    </row>
    <row r="95" spans="1:13" x14ac:dyDescent="0.25">
      <c r="A95" s="62" t="s">
        <v>676</v>
      </c>
      <c r="B95" s="62">
        <v>3878</v>
      </c>
      <c r="C95" s="42" t="s">
        <v>8046</v>
      </c>
      <c r="D95" s="339" t="str">
        <f>IFERROR(IF(OR(C95='DICTIONARY-5'!$A$2,C95='DICTIONARY-5'!$A$4,ISBLANK(C95)),VLOOKUP(B95,LIST!$A$6:$L$3250,CURR_1.SEARCH.OLD,0),VLOOKUP(C95,LIST!$B$6:$L$3250,CURR_1.SEARCH.NEW,0)),'DICTIONARY-5'!$A$2)</f>
        <v>1 301,-</v>
      </c>
      <c r="E95" s="339" t="str">
        <f>IFERROR(IF(OR(C95='DICTIONARY-5'!$A$2,C95='DICTIONARY-5'!$A$4,ISBLANK(C95)),VLOOKUP(B95,LIST!$A$6:$M$3250,CURR_2.SEARCH.OLD,0),VLOOKUP(C95,LIST!$B$6:$M$3250,CURR_2.SEARCH.NEW,0)),'DICTIONARY-5'!$A$2)</f>
        <v/>
      </c>
      <c r="F95" s="62">
        <v>5078</v>
      </c>
      <c r="G95" s="42" t="s">
        <v>8049</v>
      </c>
      <c r="H95" s="339" t="str">
        <f>IFERROR(IF(OR(G95='DICTIONARY-5'!$A$2,G95='DICTIONARY-5'!$A$4,ISBLANK(G95)),VLOOKUP(F95,LIST!$A$6:$L$3250,CURR_1.SEARCH.OLD,0),VLOOKUP(G95,LIST!$B$6:$L$3250,CURR_1.SEARCH.NEW,0)),'DICTIONARY-5'!$A$2)</f>
        <v>1 650,-</v>
      </c>
      <c r="I95" s="339" t="str">
        <f>IFERROR(IF(OR(G95='DICTIONARY-5'!$A$2,G95='DICTIONARY-5'!$A$4,ISBLANK(G95)),VLOOKUP(F95,LIST!$A$6:$M$3250,CURR_2.SEARCH.OLD,0),VLOOKUP(G95,LIST!$B$6:$M$3250,CURR_2.SEARCH.NEW,0)),'DICTIONARY-5'!$A$2)</f>
        <v/>
      </c>
      <c r="J95" s="62">
        <v>7378</v>
      </c>
      <c r="K95" s="42" t="s">
        <v>8050</v>
      </c>
      <c r="L95" s="339" t="str">
        <f>IFERROR(IF(OR(K95='DICTIONARY-5'!$A$2,K95='DICTIONARY-5'!$A$4,ISBLANK(K95)),VLOOKUP(J95,LIST!$A$6:$L$3250,CURR_1.SEARCH.OLD,0),VLOOKUP(K95,LIST!$B$6:$L$3250,CURR_1.SEARCH.NEW,0)),'DICTIONARY-5'!$A$2)</f>
        <v>2 124,-</v>
      </c>
      <c r="M95" s="339" t="str">
        <f>IFERROR(IF(OR(K95='DICTIONARY-5'!$A$2,K95='DICTIONARY-5'!$A$4,ISBLANK(K95)),VLOOKUP(J95,LIST!$A$6:$M$3250,CURR_2.SEARCH.OLD,0),VLOOKUP(K95,LIST!$B$6:$M$3250,CURR_2.SEARCH.NEW,0)),'DICTIONARY-5'!$A$2)</f>
        <v/>
      </c>
    </row>
    <row r="96" spans="1:13" x14ac:dyDescent="0.25">
      <c r="A96" s="62" t="s">
        <v>678</v>
      </c>
      <c r="B96" s="62">
        <v>4278</v>
      </c>
      <c r="C96" s="42" t="s">
        <v>8046</v>
      </c>
      <c r="D96" s="339" t="str">
        <f>IFERROR(IF(OR(C96='DICTIONARY-5'!$A$2,C96='DICTIONARY-5'!$A$4,ISBLANK(C96)),VLOOKUP(B96,LIST!$A$6:$L$3250,CURR_1.SEARCH.OLD,0),VLOOKUP(C96,LIST!$B$6:$L$3250,CURR_1.SEARCH.NEW,0)),'DICTIONARY-5'!$A$2)</f>
        <v>1 301,-</v>
      </c>
      <c r="E96" s="339" t="str">
        <f>IFERROR(IF(OR(C96='DICTIONARY-5'!$A$2,C96='DICTIONARY-5'!$A$4,ISBLANK(C96)),VLOOKUP(B96,LIST!$A$6:$M$3250,CURR_2.SEARCH.OLD,0),VLOOKUP(C96,LIST!$B$6:$M$3250,CURR_2.SEARCH.NEW,0)),'DICTIONARY-5'!$A$2)</f>
        <v/>
      </c>
      <c r="F96" s="62">
        <v>5478</v>
      </c>
      <c r="G96" s="42" t="s">
        <v>8049</v>
      </c>
      <c r="H96" s="339" t="str">
        <f>IFERROR(IF(OR(G96='DICTIONARY-5'!$A$2,G96='DICTIONARY-5'!$A$4,ISBLANK(G96)),VLOOKUP(F96,LIST!$A$6:$L$3250,CURR_1.SEARCH.OLD,0),VLOOKUP(G96,LIST!$B$6:$L$3250,CURR_1.SEARCH.NEW,0)),'DICTIONARY-5'!$A$2)</f>
        <v>1 650,-</v>
      </c>
      <c r="I96" s="339" t="str">
        <f>IFERROR(IF(OR(G96='DICTIONARY-5'!$A$2,G96='DICTIONARY-5'!$A$4,ISBLANK(G96)),VLOOKUP(F96,LIST!$A$6:$M$3250,CURR_2.SEARCH.OLD,0),VLOOKUP(G96,LIST!$B$6:$M$3250,CURR_2.SEARCH.NEW,0)),'DICTIONARY-5'!$A$2)</f>
        <v/>
      </c>
      <c r="J96" s="62">
        <v>7778</v>
      </c>
      <c r="K96" s="42" t="s">
        <v>8050</v>
      </c>
      <c r="L96" s="339" t="str">
        <f>IFERROR(IF(OR(K96='DICTIONARY-5'!$A$2,K96='DICTIONARY-5'!$A$4,ISBLANK(K96)),VLOOKUP(J96,LIST!$A$6:$L$3250,CURR_1.SEARCH.OLD,0),VLOOKUP(K96,LIST!$B$6:$L$3250,CURR_1.SEARCH.NEW,0)),'DICTIONARY-5'!$A$2)</f>
        <v>2 124,-</v>
      </c>
      <c r="M96" s="339" t="str">
        <f>IFERROR(IF(OR(K96='DICTIONARY-5'!$A$2,K96='DICTIONARY-5'!$A$4,ISBLANK(K96)),VLOOKUP(J96,LIST!$A$6:$M$3250,CURR_2.SEARCH.OLD,0),VLOOKUP(K96,LIST!$B$6:$M$3250,CURR_2.SEARCH.NEW,0)),'DICTIONARY-5'!$A$2)</f>
        <v/>
      </c>
    </row>
    <row r="97" spans="1:13" x14ac:dyDescent="0.25">
      <c r="A97" s="555"/>
      <c r="B97" s="555"/>
      <c r="C97" s="30"/>
      <c r="D97" s="557"/>
      <c r="E97" s="557"/>
      <c r="F97" s="555"/>
      <c r="G97" s="30"/>
      <c r="H97" s="557"/>
      <c r="I97" s="557"/>
      <c r="J97" s="555"/>
      <c r="K97" s="30"/>
      <c r="L97" s="557"/>
      <c r="M97" s="557"/>
    </row>
    <row r="98" spans="1:13" x14ac:dyDescent="0.25">
      <c r="A98" s="64" t="str">
        <f>"1) "&amp;'DICTIONARY-5'!$A$86&amp;" - "&amp;'DICTIONARY-5'!$A$89</f>
        <v>1) Głębokość zabudowy - odległość od dna rurociągu / kanału do poziomu operacyjnego</v>
      </c>
    </row>
    <row r="102" spans="1:13" s="87" customFormat="1" ht="16.5" thickBot="1" x14ac:dyDescent="0.3">
      <c r="A102" s="81" t="str">
        <f>CONCATENATE('DICTIONARY-3'!$A$18," ",'DICTIONARY-3'!$A$23," / ",'DICTIONARY-3'!$A$274," ",'DICTIONARY-3'!$A$278)</f>
        <v>Zestaw S5 / Teleskopowe przedłużenie wrzeciona i konsolą ścienną z kolumienką przygotowaną pod napęd elektryczny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1:13" x14ac:dyDescent="0.25">
      <c r="A103" s="36" t="str">
        <f>CONCATENATE(PROPER('DICTIONARY-5'!$A$7)," ",'DICTIONARY-3'!$A$13,"/",'DICTIONARY-3'!$A$15," ",'DICTIONARY-3'!$A$190," ",LOWER('DICTIONARY-3'!$A$257))</f>
        <v>Dla EROXplus/ERIplus Zasuwa wrzecionowa z wrzecionem niewznoszącym się</v>
      </c>
    </row>
    <row r="104" spans="1:13" x14ac:dyDescent="0.25">
      <c r="A104" s="36" t="str">
        <f>CONCATENATE('DICTIONARY-1'!$A$10,": ",SETTINGS!$C$88)</f>
        <v>Grupa rabatowa: REMO</v>
      </c>
    </row>
    <row r="105" spans="1:13" x14ac:dyDescent="0.25">
      <c r="A105" s="36"/>
      <c r="B105" s="30"/>
      <c r="C105" s="30"/>
      <c r="D105" s="30"/>
      <c r="E105" s="31"/>
      <c r="F105" s="31"/>
      <c r="G105" s="31"/>
      <c r="H105" s="31"/>
      <c r="I105" s="31"/>
      <c r="J105" s="31"/>
    </row>
    <row r="106" spans="1:13" x14ac:dyDescent="0.25">
      <c r="A106" s="960" t="str">
        <f>'DICTIONARY-3'!$A$265</f>
        <v xml:space="preserve">Obszar przepływu </v>
      </c>
      <c r="B106" s="38" t="str">
        <f>'DICTIONARY-2'!$A$9&amp;" 1)"</f>
        <v>Tmax 1)</v>
      </c>
      <c r="C106" s="960" t="str">
        <f>'DICTIONARY-3'!$A$18&amp;" "&amp;'DICTIONARY-3'!$A$23</f>
        <v>Zestaw S5</v>
      </c>
      <c r="D106" s="960"/>
      <c r="E106" s="960"/>
      <c r="F106" s="38" t="str">
        <f>'DICTIONARY-2'!$A$9&amp;" 1)"</f>
        <v>Tmax 1)</v>
      </c>
      <c r="G106" s="960" t="str">
        <f>'DICTIONARY-3'!$A$18&amp;" "&amp;'DICTIONARY-3'!$A$23</f>
        <v>Zestaw S5</v>
      </c>
      <c r="H106" s="960"/>
      <c r="I106" s="960"/>
      <c r="J106" s="38" t="str">
        <f>'DICTIONARY-2'!$A$9&amp;" 1)"</f>
        <v>Tmax 1)</v>
      </c>
      <c r="K106" s="960" t="str">
        <f>'DICTIONARY-3'!$A$18&amp;" "&amp;'DICTIONARY-3'!$A$23</f>
        <v>Zestaw S5</v>
      </c>
      <c r="L106" s="960"/>
      <c r="M106" s="960"/>
    </row>
    <row r="107" spans="1:13" ht="15" customHeight="1" x14ac:dyDescent="0.25">
      <c r="A107" s="977"/>
      <c r="B107" s="57"/>
      <c r="C107" s="961" t="str">
        <f>'DICTIONARY-5'!$A$103&amp;" A (0,85 - 1,5 m)"</f>
        <v>przedłużenie wrzeciona A (0,85 - 1,5 m)</v>
      </c>
      <c r="D107" s="961"/>
      <c r="E107" s="961"/>
      <c r="F107" s="57"/>
      <c r="G107" s="961" t="str">
        <f>'DICTIONARY-5'!$A$103&amp;" B (1,5 - 2,7 m)"</f>
        <v>przedłużenie wrzeciona B (1,5 - 2,7 m)</v>
      </c>
      <c r="H107" s="961"/>
      <c r="I107" s="961"/>
      <c r="J107" s="57"/>
      <c r="K107" s="961" t="str">
        <f>'DICTIONARY-5'!$A$103&amp;" C (2,7 - 5,0 m)"</f>
        <v>przedłużenie wrzeciona C (2,7 - 5,0 m)</v>
      </c>
      <c r="L107" s="961"/>
      <c r="M107" s="961"/>
    </row>
    <row r="108" spans="1:13" x14ac:dyDescent="0.25">
      <c r="A108" s="39" t="str">
        <f>'DICTIONARY-2'!$A$18</f>
        <v>[mm]</v>
      </c>
      <c r="B108" s="39" t="str">
        <f>'DICTIONARY-2'!$A$18</f>
        <v>[mm]</v>
      </c>
      <c r="C108" s="58" t="str">
        <f>'DICTIONARY-2'!$A$30</f>
        <v>numer identyfikacyjny</v>
      </c>
      <c r="D108" s="41" t="str">
        <f>CURRENCY.CODE_1</f>
        <v>EUR</v>
      </c>
      <c r="E108" s="41" t="str">
        <f>CURRENCY.CODE_2</f>
        <v>---</v>
      </c>
      <c r="F108" s="39" t="str">
        <f>'DICTIONARY-2'!$A$18</f>
        <v>[mm]</v>
      </c>
      <c r="G108" s="58" t="str">
        <f>'DICTIONARY-2'!$A$30</f>
        <v>numer identyfikacyjny</v>
      </c>
      <c r="H108" s="41" t="str">
        <f>CURRENCY.CODE_1</f>
        <v>EUR</v>
      </c>
      <c r="I108" s="41" t="str">
        <f>CURRENCY.CODE_2</f>
        <v>---</v>
      </c>
      <c r="J108" s="39" t="str">
        <f>'DICTIONARY-2'!$A$18</f>
        <v>[mm]</v>
      </c>
      <c r="K108" s="58" t="str">
        <f>'DICTIONARY-2'!$A$30</f>
        <v>numer identyfikacyjny</v>
      </c>
      <c r="L108" s="41" t="str">
        <f>CURRENCY.CODE_1</f>
        <v>EUR</v>
      </c>
      <c r="M108" s="41" t="str">
        <f>CURRENCY.CODE_2</f>
        <v>---</v>
      </c>
    </row>
    <row r="109" spans="1:13" x14ac:dyDescent="0.25">
      <c r="A109" s="62" t="s">
        <v>706</v>
      </c>
      <c r="B109" s="62">
        <v>2157</v>
      </c>
      <c r="C109" s="42" t="s">
        <v>8051</v>
      </c>
      <c r="D109" s="339" t="str">
        <f>IFERROR(IF(OR(C109='DICTIONARY-5'!$A$2,C109='DICTIONARY-5'!$A$4,ISBLANK(C109)),VLOOKUP(B109,LIST!$A$6:$L$3250,CURR_1.SEARCH.OLD,0),VLOOKUP(C109,LIST!$B$6:$L$3250,CURR_1.SEARCH.NEW,0)),'DICTIONARY-5'!$A$2)</f>
        <v>1 191,-</v>
      </c>
      <c r="E109" s="339" t="str">
        <f>IFERROR(IF(OR(C109='DICTIONARY-5'!$A$2,C109='DICTIONARY-5'!$A$4,ISBLANK(C109)),VLOOKUP(B109,LIST!$A$6:$M$3250,CURR_2.SEARCH.OLD,0),VLOOKUP(C109,LIST!$B$6:$M$3250,CURR_2.SEARCH.NEW,0)),'DICTIONARY-5'!$A$2)</f>
        <v/>
      </c>
      <c r="F109" s="62">
        <v>3357</v>
      </c>
      <c r="G109" s="42" t="s">
        <v>8054</v>
      </c>
      <c r="H109" s="339" t="str">
        <f>IFERROR(IF(OR(G109='DICTIONARY-5'!$A$2,G109='DICTIONARY-5'!$A$4,ISBLANK(G109)),VLOOKUP(F109,LIST!$A$6:$L$3250,CURR_1.SEARCH.OLD,0),VLOOKUP(G109,LIST!$B$6:$L$3250,CURR_1.SEARCH.NEW,0)),'DICTIONARY-5'!$A$2)</f>
        <v>1 514,-</v>
      </c>
      <c r="I109" s="339" t="str">
        <f>IFERROR(IF(OR(G109='DICTIONARY-5'!$A$2,G109='DICTIONARY-5'!$A$4,ISBLANK(G109)),VLOOKUP(F109,LIST!$A$6:$M$3250,CURR_2.SEARCH.OLD,0),VLOOKUP(G109,LIST!$B$6:$M$3250,CURR_2.SEARCH.NEW,0)),'DICTIONARY-5'!$A$2)</f>
        <v/>
      </c>
      <c r="J109" s="62">
        <v>5657</v>
      </c>
      <c r="K109" s="42" t="s">
        <v>8057</v>
      </c>
      <c r="L109" s="339" t="str">
        <f>IFERROR(IF(OR(K109='DICTIONARY-5'!$A$2,K109='DICTIONARY-5'!$A$4,ISBLANK(K109)),VLOOKUP(J109,LIST!$A$6:$L$3250,CURR_1.SEARCH.OLD,0),VLOOKUP(K109,LIST!$B$6:$L$3250,CURR_1.SEARCH.NEW,0)),'DICTIONARY-5'!$A$2)</f>
        <v>1 910,-</v>
      </c>
      <c r="M109" s="339" t="str">
        <f>IFERROR(IF(OR(K109='DICTIONARY-5'!$A$2,K109='DICTIONARY-5'!$A$4,ISBLANK(K109)),VLOOKUP(J109,LIST!$A$6:$M$3250,CURR_2.SEARCH.OLD,0),VLOOKUP(K109,LIST!$B$6:$M$3250,CURR_2.SEARCH.NEW,0)),'DICTIONARY-5'!$A$2)</f>
        <v/>
      </c>
    </row>
    <row r="110" spans="1:13" x14ac:dyDescent="0.25">
      <c r="A110" s="62" t="s">
        <v>709</v>
      </c>
      <c r="B110" s="62">
        <v>2257</v>
      </c>
      <c r="C110" s="42" t="s">
        <v>8051</v>
      </c>
      <c r="D110" s="339" t="str">
        <f>IFERROR(IF(OR(C110='DICTIONARY-5'!$A$2,C110='DICTIONARY-5'!$A$4,ISBLANK(C110)),VLOOKUP(B110,LIST!$A$6:$L$3250,CURR_1.SEARCH.OLD,0),VLOOKUP(C110,LIST!$B$6:$L$3250,CURR_1.SEARCH.NEW,0)),'DICTIONARY-5'!$A$2)</f>
        <v>1 191,-</v>
      </c>
      <c r="E110" s="339" t="str">
        <f>IFERROR(IF(OR(C110='DICTIONARY-5'!$A$2,C110='DICTIONARY-5'!$A$4,ISBLANK(C110)),VLOOKUP(B110,LIST!$A$6:$M$3250,CURR_2.SEARCH.OLD,0),VLOOKUP(C110,LIST!$B$6:$M$3250,CURR_2.SEARCH.NEW,0)),'DICTIONARY-5'!$A$2)</f>
        <v/>
      </c>
      <c r="F110" s="62">
        <v>3457</v>
      </c>
      <c r="G110" s="42" t="s">
        <v>8054</v>
      </c>
      <c r="H110" s="339" t="str">
        <f>IFERROR(IF(OR(G110='DICTIONARY-5'!$A$2,G110='DICTIONARY-5'!$A$4,ISBLANK(G110)),VLOOKUP(F110,LIST!$A$6:$L$3250,CURR_1.SEARCH.OLD,0),VLOOKUP(G110,LIST!$B$6:$L$3250,CURR_1.SEARCH.NEW,0)),'DICTIONARY-5'!$A$2)</f>
        <v>1 514,-</v>
      </c>
      <c r="I110" s="339" t="str">
        <f>IFERROR(IF(OR(G110='DICTIONARY-5'!$A$2,G110='DICTIONARY-5'!$A$4,ISBLANK(G110)),VLOOKUP(F110,LIST!$A$6:$M$3250,CURR_2.SEARCH.OLD,0),VLOOKUP(G110,LIST!$B$6:$M$3250,CURR_2.SEARCH.NEW,0)),'DICTIONARY-5'!$A$2)</f>
        <v/>
      </c>
      <c r="J110" s="62">
        <v>5757</v>
      </c>
      <c r="K110" s="42" t="s">
        <v>8057</v>
      </c>
      <c r="L110" s="339" t="str">
        <f>IFERROR(IF(OR(K110='DICTIONARY-5'!$A$2,K110='DICTIONARY-5'!$A$4,ISBLANK(K110)),VLOOKUP(J110,LIST!$A$6:$L$3250,CURR_1.SEARCH.OLD,0),VLOOKUP(K110,LIST!$B$6:$L$3250,CURR_1.SEARCH.NEW,0)),'DICTIONARY-5'!$A$2)</f>
        <v>1 910,-</v>
      </c>
      <c r="M110" s="339" t="str">
        <f>IFERROR(IF(OR(K110='DICTIONARY-5'!$A$2,K110='DICTIONARY-5'!$A$4,ISBLANK(K110)),VLOOKUP(J110,LIST!$A$6:$M$3250,CURR_2.SEARCH.OLD,0),VLOOKUP(K110,LIST!$B$6:$M$3250,CURR_2.SEARCH.NEW,0)),'DICTIONARY-5'!$A$2)</f>
        <v/>
      </c>
    </row>
    <row r="111" spans="1:13" x14ac:dyDescent="0.25">
      <c r="A111" s="62" t="s">
        <v>712</v>
      </c>
      <c r="B111" s="62">
        <v>2357</v>
      </c>
      <c r="C111" s="42" t="s">
        <v>8051</v>
      </c>
      <c r="D111" s="339" t="str">
        <f>IFERROR(IF(OR(C111='DICTIONARY-5'!$A$2,C111='DICTIONARY-5'!$A$4,ISBLANK(C111)),VLOOKUP(B111,LIST!$A$6:$L$3250,CURR_1.SEARCH.OLD,0),VLOOKUP(C111,LIST!$B$6:$L$3250,CURR_1.SEARCH.NEW,0)),'DICTIONARY-5'!$A$2)</f>
        <v>1 191,-</v>
      </c>
      <c r="E111" s="339" t="str">
        <f>IFERROR(IF(OR(C111='DICTIONARY-5'!$A$2,C111='DICTIONARY-5'!$A$4,ISBLANK(C111)),VLOOKUP(B111,LIST!$A$6:$M$3250,CURR_2.SEARCH.OLD,0),VLOOKUP(C111,LIST!$B$6:$M$3250,CURR_2.SEARCH.NEW,0)),'DICTIONARY-5'!$A$2)</f>
        <v/>
      </c>
      <c r="F111" s="62">
        <v>3557</v>
      </c>
      <c r="G111" s="42" t="s">
        <v>8054</v>
      </c>
      <c r="H111" s="339" t="str">
        <f>IFERROR(IF(OR(G111='DICTIONARY-5'!$A$2,G111='DICTIONARY-5'!$A$4,ISBLANK(G111)),VLOOKUP(F111,LIST!$A$6:$L$3250,CURR_1.SEARCH.OLD,0),VLOOKUP(G111,LIST!$B$6:$L$3250,CURR_1.SEARCH.NEW,0)),'DICTIONARY-5'!$A$2)</f>
        <v>1 514,-</v>
      </c>
      <c r="I111" s="339" t="str">
        <f>IFERROR(IF(OR(G111='DICTIONARY-5'!$A$2,G111='DICTIONARY-5'!$A$4,ISBLANK(G111)),VLOOKUP(F111,LIST!$A$6:$M$3250,CURR_2.SEARCH.OLD,0),VLOOKUP(G111,LIST!$B$6:$M$3250,CURR_2.SEARCH.NEW,0)),'DICTIONARY-5'!$A$2)</f>
        <v/>
      </c>
      <c r="J111" s="62">
        <v>5857</v>
      </c>
      <c r="K111" s="42" t="s">
        <v>8057</v>
      </c>
      <c r="L111" s="339" t="str">
        <f>IFERROR(IF(OR(K111='DICTIONARY-5'!$A$2,K111='DICTIONARY-5'!$A$4,ISBLANK(K111)),VLOOKUP(J111,LIST!$A$6:$L$3250,CURR_1.SEARCH.OLD,0),VLOOKUP(K111,LIST!$B$6:$L$3250,CURR_1.SEARCH.NEW,0)),'DICTIONARY-5'!$A$2)</f>
        <v>1 910,-</v>
      </c>
      <c r="M111" s="339" t="str">
        <f>IFERROR(IF(OR(K111='DICTIONARY-5'!$A$2,K111='DICTIONARY-5'!$A$4,ISBLANK(K111)),VLOOKUP(J111,LIST!$A$6:$M$3250,CURR_2.SEARCH.OLD,0),VLOOKUP(K111,LIST!$B$6:$M$3250,CURR_2.SEARCH.NEW,0)),'DICTIONARY-5'!$A$2)</f>
        <v/>
      </c>
    </row>
    <row r="112" spans="1:13" x14ac:dyDescent="0.25">
      <c r="A112" s="62" t="s">
        <v>715</v>
      </c>
      <c r="B112" s="62">
        <v>2457</v>
      </c>
      <c r="C112" s="42" t="s">
        <v>8051</v>
      </c>
      <c r="D112" s="339" t="str">
        <f>IFERROR(IF(OR(C112='DICTIONARY-5'!$A$2,C112='DICTIONARY-5'!$A$4,ISBLANK(C112)),VLOOKUP(B112,LIST!$A$6:$L$3250,CURR_1.SEARCH.OLD,0),VLOOKUP(C112,LIST!$B$6:$L$3250,CURR_1.SEARCH.NEW,0)),'DICTIONARY-5'!$A$2)</f>
        <v>1 191,-</v>
      </c>
      <c r="E112" s="339" t="str">
        <f>IFERROR(IF(OR(C112='DICTIONARY-5'!$A$2,C112='DICTIONARY-5'!$A$4,ISBLANK(C112)),VLOOKUP(B112,LIST!$A$6:$M$3250,CURR_2.SEARCH.OLD,0),VLOOKUP(C112,LIST!$B$6:$M$3250,CURR_2.SEARCH.NEW,0)),'DICTIONARY-5'!$A$2)</f>
        <v/>
      </c>
      <c r="F112" s="62">
        <v>3657</v>
      </c>
      <c r="G112" s="42" t="s">
        <v>8054</v>
      </c>
      <c r="H112" s="339" t="str">
        <f>IFERROR(IF(OR(G112='DICTIONARY-5'!$A$2,G112='DICTIONARY-5'!$A$4,ISBLANK(G112)),VLOOKUP(F112,LIST!$A$6:$L$3250,CURR_1.SEARCH.OLD,0),VLOOKUP(G112,LIST!$B$6:$L$3250,CURR_1.SEARCH.NEW,0)),'DICTIONARY-5'!$A$2)</f>
        <v>1 514,-</v>
      </c>
      <c r="I112" s="339" t="str">
        <f>IFERROR(IF(OR(G112='DICTIONARY-5'!$A$2,G112='DICTIONARY-5'!$A$4,ISBLANK(G112)),VLOOKUP(F112,LIST!$A$6:$M$3250,CURR_2.SEARCH.OLD,0),VLOOKUP(G112,LIST!$B$6:$M$3250,CURR_2.SEARCH.NEW,0)),'DICTIONARY-5'!$A$2)</f>
        <v/>
      </c>
      <c r="J112" s="62">
        <v>5957</v>
      </c>
      <c r="K112" s="42" t="s">
        <v>8057</v>
      </c>
      <c r="L112" s="339" t="str">
        <f>IFERROR(IF(OR(K112='DICTIONARY-5'!$A$2,K112='DICTIONARY-5'!$A$4,ISBLANK(K112)),VLOOKUP(J112,LIST!$A$6:$L$3250,CURR_1.SEARCH.OLD,0),VLOOKUP(K112,LIST!$B$6:$L$3250,CURR_1.SEARCH.NEW,0)),'DICTIONARY-5'!$A$2)</f>
        <v>1 910,-</v>
      </c>
      <c r="M112" s="339" t="str">
        <f>IFERROR(IF(OR(K112='DICTIONARY-5'!$A$2,K112='DICTIONARY-5'!$A$4,ISBLANK(K112)),VLOOKUP(J112,LIST!$A$6:$M$3250,CURR_2.SEARCH.OLD,0),VLOOKUP(K112,LIST!$B$6:$M$3250,CURR_2.SEARCH.NEW,0)),'DICTIONARY-5'!$A$2)</f>
        <v/>
      </c>
    </row>
    <row r="113" spans="1:13" x14ac:dyDescent="0.25">
      <c r="A113" s="62" t="s">
        <v>664</v>
      </c>
      <c r="B113" s="62">
        <v>2656</v>
      </c>
      <c r="C113" s="42" t="s">
        <v>8051</v>
      </c>
      <c r="D113" s="339" t="str">
        <f>IFERROR(IF(OR(C113='DICTIONARY-5'!$A$2,C113='DICTIONARY-5'!$A$4,ISBLANK(C113)),VLOOKUP(B113,LIST!$A$6:$L$3250,CURR_1.SEARCH.OLD,0),VLOOKUP(C113,LIST!$B$6:$L$3250,CURR_1.SEARCH.NEW,0)),'DICTIONARY-5'!$A$2)</f>
        <v>1 191,-</v>
      </c>
      <c r="E113" s="339" t="str">
        <f>IFERROR(IF(OR(C113='DICTIONARY-5'!$A$2,C113='DICTIONARY-5'!$A$4,ISBLANK(C113)),VLOOKUP(B113,LIST!$A$6:$M$3250,CURR_2.SEARCH.OLD,0),VLOOKUP(C113,LIST!$B$6:$M$3250,CURR_2.SEARCH.NEW,0)),'DICTIONARY-5'!$A$2)</f>
        <v/>
      </c>
      <c r="F113" s="62">
        <v>3856</v>
      </c>
      <c r="G113" s="42" t="s">
        <v>8054</v>
      </c>
      <c r="H113" s="339" t="str">
        <f>IFERROR(IF(OR(G113='DICTIONARY-5'!$A$2,G113='DICTIONARY-5'!$A$4,ISBLANK(G113)),VLOOKUP(F113,LIST!$A$6:$L$3250,CURR_1.SEARCH.OLD,0),VLOOKUP(G113,LIST!$B$6:$L$3250,CURR_1.SEARCH.NEW,0)),'DICTIONARY-5'!$A$2)</f>
        <v>1 514,-</v>
      </c>
      <c r="I113" s="339" t="str">
        <f>IFERROR(IF(OR(G113='DICTIONARY-5'!$A$2,G113='DICTIONARY-5'!$A$4,ISBLANK(G113)),VLOOKUP(F113,LIST!$A$6:$M$3250,CURR_2.SEARCH.OLD,0),VLOOKUP(G113,LIST!$B$6:$M$3250,CURR_2.SEARCH.NEW,0)),'DICTIONARY-5'!$A$2)</f>
        <v/>
      </c>
      <c r="J113" s="62">
        <v>6156</v>
      </c>
      <c r="K113" s="42" t="s">
        <v>8057</v>
      </c>
      <c r="L113" s="339" t="str">
        <f>IFERROR(IF(OR(K113='DICTIONARY-5'!$A$2,K113='DICTIONARY-5'!$A$4,ISBLANK(K113)),VLOOKUP(J113,LIST!$A$6:$L$3250,CURR_1.SEARCH.OLD,0),VLOOKUP(K113,LIST!$B$6:$L$3250,CURR_1.SEARCH.NEW,0)),'DICTIONARY-5'!$A$2)</f>
        <v>1 910,-</v>
      </c>
      <c r="M113" s="339" t="str">
        <f>IFERROR(IF(OR(K113='DICTIONARY-5'!$A$2,K113='DICTIONARY-5'!$A$4,ISBLANK(K113)),VLOOKUP(J113,LIST!$A$6:$M$3250,CURR_2.SEARCH.OLD,0),VLOOKUP(K113,LIST!$B$6:$M$3250,CURR_2.SEARCH.NEW,0)),'DICTIONARY-5'!$A$2)</f>
        <v/>
      </c>
    </row>
    <row r="114" spans="1:13" x14ac:dyDescent="0.25">
      <c r="A114" s="62" t="s">
        <v>666</v>
      </c>
      <c r="B114" s="62">
        <v>2852</v>
      </c>
      <c r="C114" s="42" t="s">
        <v>8051</v>
      </c>
      <c r="D114" s="339" t="str">
        <f>IFERROR(IF(OR(C114='DICTIONARY-5'!$A$2,C114='DICTIONARY-5'!$A$4,ISBLANK(C114)),VLOOKUP(B114,LIST!$A$6:$L$3250,CURR_1.SEARCH.OLD,0),VLOOKUP(C114,LIST!$B$6:$L$3250,CURR_1.SEARCH.NEW,0)),'DICTIONARY-5'!$A$2)</f>
        <v>1 191,-</v>
      </c>
      <c r="E114" s="339" t="str">
        <f>IFERROR(IF(OR(C114='DICTIONARY-5'!$A$2,C114='DICTIONARY-5'!$A$4,ISBLANK(C114)),VLOOKUP(B114,LIST!$A$6:$M$3250,CURR_2.SEARCH.OLD,0),VLOOKUP(C114,LIST!$B$6:$M$3250,CURR_2.SEARCH.NEW,0)),'DICTIONARY-5'!$A$2)</f>
        <v/>
      </c>
      <c r="F114" s="62">
        <v>4052</v>
      </c>
      <c r="G114" s="42" t="s">
        <v>8054</v>
      </c>
      <c r="H114" s="339" t="str">
        <f>IFERROR(IF(OR(G114='DICTIONARY-5'!$A$2,G114='DICTIONARY-5'!$A$4,ISBLANK(G114)),VLOOKUP(F114,LIST!$A$6:$L$3250,CURR_1.SEARCH.OLD,0),VLOOKUP(G114,LIST!$B$6:$L$3250,CURR_1.SEARCH.NEW,0)),'DICTIONARY-5'!$A$2)</f>
        <v>1 514,-</v>
      </c>
      <c r="I114" s="339" t="str">
        <f>IFERROR(IF(OR(G114='DICTIONARY-5'!$A$2,G114='DICTIONARY-5'!$A$4,ISBLANK(G114)),VLOOKUP(F114,LIST!$A$6:$M$3250,CURR_2.SEARCH.OLD,0),VLOOKUP(G114,LIST!$B$6:$M$3250,CURR_2.SEARCH.NEW,0)),'DICTIONARY-5'!$A$2)</f>
        <v/>
      </c>
      <c r="J114" s="62">
        <v>6352</v>
      </c>
      <c r="K114" s="42" t="s">
        <v>8057</v>
      </c>
      <c r="L114" s="339" t="str">
        <f>IFERROR(IF(OR(K114='DICTIONARY-5'!$A$2,K114='DICTIONARY-5'!$A$4,ISBLANK(K114)),VLOOKUP(J114,LIST!$A$6:$L$3250,CURR_1.SEARCH.OLD,0),VLOOKUP(K114,LIST!$B$6:$L$3250,CURR_1.SEARCH.NEW,0)),'DICTIONARY-5'!$A$2)</f>
        <v>1 910,-</v>
      </c>
      <c r="M114" s="339" t="str">
        <f>IFERROR(IF(OR(K114='DICTIONARY-5'!$A$2,K114='DICTIONARY-5'!$A$4,ISBLANK(K114)),VLOOKUP(J114,LIST!$A$6:$M$3250,CURR_2.SEARCH.OLD,0),VLOOKUP(K114,LIST!$B$6:$M$3250,CURR_2.SEARCH.NEW,0)),'DICTIONARY-5'!$A$2)</f>
        <v/>
      </c>
    </row>
    <row r="115" spans="1:13" x14ac:dyDescent="0.25">
      <c r="A115" s="62" t="s">
        <v>668</v>
      </c>
      <c r="B115" s="62">
        <v>3047</v>
      </c>
      <c r="C115" s="42" t="s">
        <v>8051</v>
      </c>
      <c r="D115" s="339" t="str">
        <f>IFERROR(IF(OR(C115='DICTIONARY-5'!$A$2,C115='DICTIONARY-5'!$A$4,ISBLANK(C115)),VLOOKUP(B115,LIST!$A$6:$L$3250,CURR_1.SEARCH.OLD,0),VLOOKUP(C115,LIST!$B$6:$L$3250,CURR_1.SEARCH.NEW,0)),'DICTIONARY-5'!$A$2)</f>
        <v>1 191,-</v>
      </c>
      <c r="E115" s="339" t="str">
        <f>IFERROR(IF(OR(C115='DICTIONARY-5'!$A$2,C115='DICTIONARY-5'!$A$4,ISBLANK(C115)),VLOOKUP(B115,LIST!$A$6:$M$3250,CURR_2.SEARCH.OLD,0),VLOOKUP(C115,LIST!$B$6:$M$3250,CURR_2.SEARCH.NEW,0)),'DICTIONARY-5'!$A$2)</f>
        <v/>
      </c>
      <c r="F115" s="62">
        <v>4247</v>
      </c>
      <c r="G115" s="42" t="s">
        <v>8054</v>
      </c>
      <c r="H115" s="339" t="str">
        <f>IFERROR(IF(OR(G115='DICTIONARY-5'!$A$2,G115='DICTIONARY-5'!$A$4,ISBLANK(G115)),VLOOKUP(F115,LIST!$A$6:$L$3250,CURR_1.SEARCH.OLD,0),VLOOKUP(G115,LIST!$B$6:$L$3250,CURR_1.SEARCH.NEW,0)),'DICTIONARY-5'!$A$2)</f>
        <v>1 514,-</v>
      </c>
      <c r="I115" s="339" t="str">
        <f>IFERROR(IF(OR(G115='DICTIONARY-5'!$A$2,G115='DICTIONARY-5'!$A$4,ISBLANK(G115)),VLOOKUP(F115,LIST!$A$6:$M$3250,CURR_2.SEARCH.OLD,0),VLOOKUP(G115,LIST!$B$6:$M$3250,CURR_2.SEARCH.NEW,0)),'DICTIONARY-5'!$A$2)</f>
        <v/>
      </c>
      <c r="J115" s="62">
        <v>6547</v>
      </c>
      <c r="K115" s="42" t="s">
        <v>8057</v>
      </c>
      <c r="L115" s="339" t="str">
        <f>IFERROR(IF(OR(K115='DICTIONARY-5'!$A$2,K115='DICTIONARY-5'!$A$4,ISBLANK(K115)),VLOOKUP(J115,LIST!$A$6:$L$3250,CURR_1.SEARCH.OLD,0),VLOOKUP(K115,LIST!$B$6:$L$3250,CURR_1.SEARCH.NEW,0)),'DICTIONARY-5'!$A$2)</f>
        <v>1 910,-</v>
      </c>
      <c r="M115" s="339" t="str">
        <f>IFERROR(IF(OR(K115='DICTIONARY-5'!$A$2,K115='DICTIONARY-5'!$A$4,ISBLANK(K115)),VLOOKUP(J115,LIST!$A$6:$M$3250,CURR_2.SEARCH.OLD,0),VLOOKUP(K115,LIST!$B$6:$M$3250,CURR_2.SEARCH.NEW,0)),'DICTIONARY-5'!$A$2)</f>
        <v/>
      </c>
    </row>
    <row r="116" spans="1:13" x14ac:dyDescent="0.25">
      <c r="A116" s="62" t="s">
        <v>670</v>
      </c>
      <c r="B116" s="62">
        <v>3278</v>
      </c>
      <c r="C116" s="42" t="s">
        <v>8052</v>
      </c>
      <c r="D116" s="339" t="str">
        <f>IFERROR(IF(OR(C116='DICTIONARY-5'!$A$2,C116='DICTIONARY-5'!$A$4,ISBLANK(C116)),VLOOKUP(B116,LIST!$A$6:$L$3250,CURR_1.SEARCH.OLD,0),VLOOKUP(C116,LIST!$B$6:$L$3250,CURR_1.SEARCH.NEW,0)),'DICTIONARY-5'!$A$2)</f>
        <v>1 195,-</v>
      </c>
      <c r="E116" s="339" t="str">
        <f>IFERROR(IF(OR(C116='DICTIONARY-5'!$A$2,C116='DICTIONARY-5'!$A$4,ISBLANK(C116)),VLOOKUP(B116,LIST!$A$6:$M$3250,CURR_2.SEARCH.OLD,0),VLOOKUP(C116,LIST!$B$6:$M$3250,CURR_2.SEARCH.NEW,0)),'DICTIONARY-5'!$A$2)</f>
        <v/>
      </c>
      <c r="F116" s="62">
        <v>4478</v>
      </c>
      <c r="G116" s="42" t="s">
        <v>8055</v>
      </c>
      <c r="H116" s="339" t="str">
        <f>IFERROR(IF(OR(G116='DICTIONARY-5'!$A$2,G116='DICTIONARY-5'!$A$4,ISBLANK(G116)),VLOOKUP(F116,LIST!$A$6:$L$3250,CURR_1.SEARCH.OLD,0),VLOOKUP(G116,LIST!$B$6:$L$3250,CURR_1.SEARCH.NEW,0)),'DICTIONARY-5'!$A$2)</f>
        <v>1 544,-</v>
      </c>
      <c r="I116" s="339" t="str">
        <f>IFERROR(IF(OR(G116='DICTIONARY-5'!$A$2,G116='DICTIONARY-5'!$A$4,ISBLANK(G116)),VLOOKUP(F116,LIST!$A$6:$M$3250,CURR_2.SEARCH.OLD,0),VLOOKUP(G116,LIST!$B$6:$M$3250,CURR_2.SEARCH.NEW,0)),'DICTIONARY-5'!$A$2)</f>
        <v/>
      </c>
      <c r="J116" s="62">
        <v>6778</v>
      </c>
      <c r="K116" s="42" t="s">
        <v>8058</v>
      </c>
      <c r="L116" s="339" t="str">
        <f>IFERROR(IF(OR(K116='DICTIONARY-5'!$A$2,K116='DICTIONARY-5'!$A$4,ISBLANK(K116)),VLOOKUP(J116,LIST!$A$6:$L$3250,CURR_1.SEARCH.OLD,0),VLOOKUP(K116,LIST!$B$6:$L$3250,CURR_1.SEARCH.NEW,0)),'DICTIONARY-5'!$A$2)</f>
        <v>2 018,-</v>
      </c>
      <c r="M116" s="339" t="str">
        <f>IFERROR(IF(OR(K116='DICTIONARY-5'!$A$2,K116='DICTIONARY-5'!$A$4,ISBLANK(K116)),VLOOKUP(J116,LIST!$A$6:$M$3250,CURR_2.SEARCH.OLD,0),VLOOKUP(K116,LIST!$B$6:$M$3250,CURR_2.SEARCH.NEW,0)),'DICTIONARY-5'!$A$2)</f>
        <v/>
      </c>
    </row>
    <row r="117" spans="1:13" x14ac:dyDescent="0.25">
      <c r="A117" s="62" t="s">
        <v>672</v>
      </c>
      <c r="B117" s="62">
        <v>3478</v>
      </c>
      <c r="C117" s="42" t="s">
        <v>8052</v>
      </c>
      <c r="D117" s="339" t="str">
        <f>IFERROR(IF(OR(C117='DICTIONARY-5'!$A$2,C117='DICTIONARY-5'!$A$4,ISBLANK(C117)),VLOOKUP(B117,LIST!$A$6:$L$3250,CURR_1.SEARCH.OLD,0),VLOOKUP(C117,LIST!$B$6:$L$3250,CURR_1.SEARCH.NEW,0)),'DICTIONARY-5'!$A$2)</f>
        <v>1 195,-</v>
      </c>
      <c r="E117" s="339" t="str">
        <f>IFERROR(IF(OR(C117='DICTIONARY-5'!$A$2,C117='DICTIONARY-5'!$A$4,ISBLANK(C117)),VLOOKUP(B117,LIST!$A$6:$M$3250,CURR_2.SEARCH.OLD,0),VLOOKUP(C117,LIST!$B$6:$M$3250,CURR_2.SEARCH.NEW,0)),'DICTIONARY-5'!$A$2)</f>
        <v/>
      </c>
      <c r="F117" s="62">
        <v>4678</v>
      </c>
      <c r="G117" s="42" t="s">
        <v>8055</v>
      </c>
      <c r="H117" s="339" t="str">
        <f>IFERROR(IF(OR(G117='DICTIONARY-5'!$A$2,G117='DICTIONARY-5'!$A$4,ISBLANK(G117)),VLOOKUP(F117,LIST!$A$6:$L$3250,CURR_1.SEARCH.OLD,0),VLOOKUP(G117,LIST!$B$6:$L$3250,CURR_1.SEARCH.NEW,0)),'DICTIONARY-5'!$A$2)</f>
        <v>1 544,-</v>
      </c>
      <c r="I117" s="339" t="str">
        <f>IFERROR(IF(OR(G117='DICTIONARY-5'!$A$2,G117='DICTIONARY-5'!$A$4,ISBLANK(G117)),VLOOKUP(F117,LIST!$A$6:$M$3250,CURR_2.SEARCH.OLD,0),VLOOKUP(G117,LIST!$B$6:$M$3250,CURR_2.SEARCH.NEW,0)),'DICTIONARY-5'!$A$2)</f>
        <v/>
      </c>
      <c r="J117" s="62">
        <v>6978</v>
      </c>
      <c r="K117" s="42" t="s">
        <v>8058</v>
      </c>
      <c r="L117" s="339" t="str">
        <f>IFERROR(IF(OR(K117='DICTIONARY-5'!$A$2,K117='DICTIONARY-5'!$A$4,ISBLANK(K117)),VLOOKUP(J117,LIST!$A$6:$L$3250,CURR_1.SEARCH.OLD,0),VLOOKUP(K117,LIST!$B$6:$L$3250,CURR_1.SEARCH.NEW,0)),'DICTIONARY-5'!$A$2)</f>
        <v>2 018,-</v>
      </c>
      <c r="M117" s="339" t="str">
        <f>IFERROR(IF(OR(K117='DICTIONARY-5'!$A$2,K117='DICTIONARY-5'!$A$4,ISBLANK(K117)),VLOOKUP(J117,LIST!$A$6:$M$3250,CURR_2.SEARCH.OLD,0),VLOOKUP(K117,LIST!$B$6:$M$3250,CURR_2.SEARCH.NEW,0)),'DICTIONARY-5'!$A$2)</f>
        <v/>
      </c>
    </row>
    <row r="118" spans="1:13" x14ac:dyDescent="0.25">
      <c r="A118" s="62" t="s">
        <v>674</v>
      </c>
      <c r="B118" s="62">
        <v>3678</v>
      </c>
      <c r="C118" s="42" t="s">
        <v>8052</v>
      </c>
      <c r="D118" s="339" t="str">
        <f>IFERROR(IF(OR(C118='DICTIONARY-5'!$A$2,C118='DICTIONARY-5'!$A$4,ISBLANK(C118)),VLOOKUP(B118,LIST!$A$6:$L$3250,CURR_1.SEARCH.OLD,0),VLOOKUP(C118,LIST!$B$6:$L$3250,CURR_1.SEARCH.NEW,0)),'DICTIONARY-5'!$A$2)</f>
        <v>1 195,-</v>
      </c>
      <c r="E118" s="339" t="str">
        <f>IFERROR(IF(OR(C118='DICTIONARY-5'!$A$2,C118='DICTIONARY-5'!$A$4,ISBLANK(C118)),VLOOKUP(B118,LIST!$A$6:$M$3250,CURR_2.SEARCH.OLD,0),VLOOKUP(C118,LIST!$B$6:$M$3250,CURR_2.SEARCH.NEW,0)),'DICTIONARY-5'!$A$2)</f>
        <v/>
      </c>
      <c r="F118" s="62">
        <v>4878</v>
      </c>
      <c r="G118" s="42" t="s">
        <v>8055</v>
      </c>
      <c r="H118" s="339" t="str">
        <f>IFERROR(IF(OR(G118='DICTIONARY-5'!$A$2,G118='DICTIONARY-5'!$A$4,ISBLANK(G118)),VLOOKUP(F118,LIST!$A$6:$L$3250,CURR_1.SEARCH.OLD,0),VLOOKUP(G118,LIST!$B$6:$L$3250,CURR_1.SEARCH.NEW,0)),'DICTIONARY-5'!$A$2)</f>
        <v>1 544,-</v>
      </c>
      <c r="I118" s="339" t="str">
        <f>IFERROR(IF(OR(G118='DICTIONARY-5'!$A$2,G118='DICTIONARY-5'!$A$4,ISBLANK(G118)),VLOOKUP(F118,LIST!$A$6:$M$3250,CURR_2.SEARCH.OLD,0),VLOOKUP(G118,LIST!$B$6:$M$3250,CURR_2.SEARCH.NEW,0)),'DICTIONARY-5'!$A$2)</f>
        <v/>
      </c>
      <c r="J118" s="62">
        <v>7178</v>
      </c>
      <c r="K118" s="42" t="s">
        <v>8058</v>
      </c>
      <c r="L118" s="339" t="str">
        <f>IFERROR(IF(OR(K118='DICTIONARY-5'!$A$2,K118='DICTIONARY-5'!$A$4,ISBLANK(K118)),VLOOKUP(J118,LIST!$A$6:$L$3250,CURR_1.SEARCH.OLD,0),VLOOKUP(K118,LIST!$B$6:$L$3250,CURR_1.SEARCH.NEW,0)),'DICTIONARY-5'!$A$2)</f>
        <v>2 018,-</v>
      </c>
      <c r="M118" s="339" t="str">
        <f>IFERROR(IF(OR(K118='DICTIONARY-5'!$A$2,K118='DICTIONARY-5'!$A$4,ISBLANK(K118)),VLOOKUP(J118,LIST!$A$6:$M$3250,CURR_2.SEARCH.OLD,0),VLOOKUP(K118,LIST!$B$6:$M$3250,CURR_2.SEARCH.NEW,0)),'DICTIONARY-5'!$A$2)</f>
        <v/>
      </c>
    </row>
    <row r="119" spans="1:13" x14ac:dyDescent="0.25">
      <c r="A119" s="62" t="s">
        <v>676</v>
      </c>
      <c r="B119" s="62">
        <v>3878</v>
      </c>
      <c r="C119" s="42" t="s">
        <v>8053</v>
      </c>
      <c r="D119" s="339" t="str">
        <f>IFERROR(IF(OR(C119='DICTIONARY-5'!$A$2,C119='DICTIONARY-5'!$A$4,ISBLANK(C119)),VLOOKUP(B119,LIST!$A$6:$L$3250,CURR_1.SEARCH.OLD,0),VLOOKUP(C119,LIST!$B$6:$L$3250,CURR_1.SEARCH.NEW,0)),'DICTIONARY-5'!$A$2)</f>
        <v>1 336,-</v>
      </c>
      <c r="E119" s="339" t="str">
        <f>IFERROR(IF(OR(C119='DICTIONARY-5'!$A$2,C119='DICTIONARY-5'!$A$4,ISBLANK(C119)),VLOOKUP(B119,LIST!$A$6:$M$3250,CURR_2.SEARCH.OLD,0),VLOOKUP(C119,LIST!$B$6:$M$3250,CURR_2.SEARCH.NEW,0)),'DICTIONARY-5'!$A$2)</f>
        <v/>
      </c>
      <c r="F119" s="62">
        <v>5078</v>
      </c>
      <c r="G119" s="42" t="s">
        <v>8056</v>
      </c>
      <c r="H119" s="339" t="str">
        <f>IFERROR(IF(OR(G119='DICTIONARY-5'!$A$2,G119='DICTIONARY-5'!$A$4,ISBLANK(G119)),VLOOKUP(F119,LIST!$A$6:$L$3250,CURR_1.SEARCH.OLD,0),VLOOKUP(G119,LIST!$B$6:$L$3250,CURR_1.SEARCH.NEW,0)),'DICTIONARY-5'!$A$2)</f>
        <v>1 686,-</v>
      </c>
      <c r="I119" s="339" t="str">
        <f>IFERROR(IF(OR(G119='DICTIONARY-5'!$A$2,G119='DICTIONARY-5'!$A$4,ISBLANK(G119)),VLOOKUP(F119,LIST!$A$6:$M$3250,CURR_2.SEARCH.OLD,0),VLOOKUP(G119,LIST!$B$6:$M$3250,CURR_2.SEARCH.NEW,0)),'DICTIONARY-5'!$A$2)</f>
        <v/>
      </c>
      <c r="J119" s="62">
        <v>7378</v>
      </c>
      <c r="K119" s="42" t="s">
        <v>8059</v>
      </c>
      <c r="L119" s="339" t="str">
        <f>IFERROR(IF(OR(K119='DICTIONARY-5'!$A$2,K119='DICTIONARY-5'!$A$4,ISBLANK(K119)),VLOOKUP(J119,LIST!$A$6:$L$3250,CURR_1.SEARCH.OLD,0),VLOOKUP(K119,LIST!$B$6:$L$3250,CURR_1.SEARCH.NEW,0)),'DICTIONARY-5'!$A$2)</f>
        <v>2 160,-</v>
      </c>
      <c r="M119" s="339" t="str">
        <f>IFERROR(IF(OR(K119='DICTIONARY-5'!$A$2,K119='DICTIONARY-5'!$A$4,ISBLANK(K119)),VLOOKUP(J119,LIST!$A$6:$M$3250,CURR_2.SEARCH.OLD,0),VLOOKUP(K119,LIST!$B$6:$M$3250,CURR_2.SEARCH.NEW,0)),'DICTIONARY-5'!$A$2)</f>
        <v/>
      </c>
    </row>
    <row r="120" spans="1:13" x14ac:dyDescent="0.25">
      <c r="A120" s="62" t="s">
        <v>678</v>
      </c>
      <c r="B120" s="62">
        <v>4278</v>
      </c>
      <c r="C120" s="42" t="s">
        <v>8053</v>
      </c>
      <c r="D120" s="339" t="str">
        <f>IFERROR(IF(OR(C120='DICTIONARY-5'!$A$2,C120='DICTIONARY-5'!$A$4,ISBLANK(C120)),VLOOKUP(B120,LIST!$A$6:$L$3250,CURR_1.SEARCH.OLD,0),VLOOKUP(C120,LIST!$B$6:$L$3250,CURR_1.SEARCH.NEW,0)),'DICTIONARY-5'!$A$2)</f>
        <v>1 336,-</v>
      </c>
      <c r="E120" s="339" t="str">
        <f>IFERROR(IF(OR(C120='DICTIONARY-5'!$A$2,C120='DICTIONARY-5'!$A$4,ISBLANK(C120)),VLOOKUP(B120,LIST!$A$6:$M$3250,CURR_2.SEARCH.OLD,0),VLOOKUP(C120,LIST!$B$6:$M$3250,CURR_2.SEARCH.NEW,0)),'DICTIONARY-5'!$A$2)</f>
        <v/>
      </c>
      <c r="F120" s="62">
        <v>5478</v>
      </c>
      <c r="G120" s="42" t="s">
        <v>8056</v>
      </c>
      <c r="H120" s="339" t="str">
        <f>IFERROR(IF(OR(G120='DICTIONARY-5'!$A$2,G120='DICTIONARY-5'!$A$4,ISBLANK(G120)),VLOOKUP(F120,LIST!$A$6:$L$3250,CURR_1.SEARCH.OLD,0),VLOOKUP(G120,LIST!$B$6:$L$3250,CURR_1.SEARCH.NEW,0)),'DICTIONARY-5'!$A$2)</f>
        <v>1 686,-</v>
      </c>
      <c r="I120" s="339" t="str">
        <f>IFERROR(IF(OR(G120='DICTIONARY-5'!$A$2,G120='DICTIONARY-5'!$A$4,ISBLANK(G120)),VLOOKUP(F120,LIST!$A$6:$M$3250,CURR_2.SEARCH.OLD,0),VLOOKUP(G120,LIST!$B$6:$M$3250,CURR_2.SEARCH.NEW,0)),'DICTIONARY-5'!$A$2)</f>
        <v/>
      </c>
      <c r="J120" s="62">
        <v>7778</v>
      </c>
      <c r="K120" s="42" t="s">
        <v>8059</v>
      </c>
      <c r="L120" s="339" t="str">
        <f>IFERROR(IF(OR(K120='DICTIONARY-5'!$A$2,K120='DICTIONARY-5'!$A$4,ISBLANK(K120)),VLOOKUP(J120,LIST!$A$6:$L$3250,CURR_1.SEARCH.OLD,0),VLOOKUP(K120,LIST!$B$6:$L$3250,CURR_1.SEARCH.NEW,0)),'DICTIONARY-5'!$A$2)</f>
        <v>2 160,-</v>
      </c>
      <c r="M120" s="339" t="str">
        <f>IFERROR(IF(OR(K120='DICTIONARY-5'!$A$2,K120='DICTIONARY-5'!$A$4,ISBLANK(K120)),VLOOKUP(J120,LIST!$A$6:$M$3250,CURR_2.SEARCH.OLD,0),VLOOKUP(K120,LIST!$B$6:$M$3250,CURR_2.SEARCH.NEW,0)),'DICTIONARY-5'!$A$2)</f>
        <v/>
      </c>
    </row>
    <row r="121" spans="1:13" x14ac:dyDescent="0.25">
      <c r="A121" s="555"/>
      <c r="B121" s="555"/>
      <c r="C121" s="30"/>
      <c r="D121" s="557"/>
      <c r="E121" s="557"/>
      <c r="F121" s="555"/>
      <c r="G121" s="30"/>
      <c r="H121" s="557"/>
      <c r="I121" s="557"/>
      <c r="J121" s="555"/>
      <c r="K121" s="30"/>
      <c r="L121" s="557"/>
      <c r="M121" s="557"/>
    </row>
    <row r="122" spans="1:13" x14ac:dyDescent="0.25">
      <c r="A122" s="64" t="str">
        <f>"1) "&amp;'DICTIONARY-5'!$A$86&amp;" - "&amp;'DICTIONARY-5'!$A$89</f>
        <v>1) Głębokość zabudowy - odległość od dna rurociągu / kanału do poziomu operacyjnego</v>
      </c>
    </row>
    <row r="126" spans="1:13" s="87" customFormat="1" ht="16.5" thickBot="1" x14ac:dyDescent="0.3">
      <c r="A126" s="81" t="str">
        <f>CONCATENATE('DICTIONARY-3'!$A$18," ",'DICTIONARY-3'!$A$24," / ",'DICTIONARY-3'!$A$274," ",'DICTIONARY-3'!$A$279)</f>
        <v>Zestaw S6 / Teleskopowe przedłużenie wrzeciona i konsolą przygotowaną pod napęd elektryczny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1:13" x14ac:dyDescent="0.25">
      <c r="A127" s="36" t="str">
        <f>CONCATENATE(PROPER('DICTIONARY-5'!$A$7)," ",'DICTIONARY-3'!$A$13,"/",'DICTIONARY-3'!$A$15," ",'DICTIONARY-3'!$A$190," ",LOWER('DICTIONARY-3'!$A$257))</f>
        <v>Dla EROXplus/ERIplus Zasuwa wrzecionowa z wrzecionem niewznoszącym się</v>
      </c>
    </row>
    <row r="128" spans="1:13" x14ac:dyDescent="0.25">
      <c r="A128" s="36" t="str">
        <f>CONCATENATE('DICTIONARY-1'!$A$10,": ",SETTINGS!$C$88)</f>
        <v>Grupa rabatowa: REMO</v>
      </c>
    </row>
    <row r="129" spans="1:13" x14ac:dyDescent="0.25">
      <c r="A129" s="64" t="str">
        <f>'DICTIONARY-5'!$A$106</f>
        <v>W przypadku konieczności zastosowania połączeń przegubowych należy skonsultować się z producentem</v>
      </c>
    </row>
    <row r="130" spans="1:13" x14ac:dyDescent="0.25">
      <c r="A130" s="36"/>
      <c r="B130" s="30"/>
      <c r="C130" s="30"/>
      <c r="D130" s="30"/>
      <c r="E130" s="31"/>
      <c r="F130" s="31"/>
      <c r="G130" s="31"/>
      <c r="H130" s="31"/>
      <c r="I130" s="31"/>
      <c r="J130" s="31"/>
    </row>
    <row r="131" spans="1:13" x14ac:dyDescent="0.25">
      <c r="A131" s="960" t="str">
        <f>'DICTIONARY-3'!$A$265</f>
        <v xml:space="preserve">Obszar przepływu </v>
      </c>
      <c r="B131" s="38" t="str">
        <f>'DICTIONARY-2'!$A$9&amp;" 1)"</f>
        <v>Tmax 1)</v>
      </c>
      <c r="C131" s="960" t="str">
        <f>'DICTIONARY-3'!$A$18&amp;" "&amp;'DICTIONARY-3'!$A$24</f>
        <v>Zestaw S6</v>
      </c>
      <c r="D131" s="960"/>
      <c r="E131" s="960"/>
      <c r="F131" s="38" t="str">
        <f>'DICTIONARY-2'!$A$9&amp;" 1)"</f>
        <v>Tmax 1)</v>
      </c>
      <c r="G131" s="960" t="str">
        <f>'DICTIONARY-3'!$A$18&amp;" "&amp;'DICTIONARY-3'!$A$24</f>
        <v>Zestaw S6</v>
      </c>
      <c r="H131" s="960"/>
      <c r="I131" s="960"/>
      <c r="J131" s="38" t="str">
        <f>'DICTIONARY-2'!$A$9&amp;" 1)"</f>
        <v>Tmax 1)</v>
      </c>
      <c r="K131" s="960" t="str">
        <f>'DICTIONARY-3'!$A$18&amp;" "&amp;'DICTIONARY-3'!$A$24</f>
        <v>Zestaw S6</v>
      </c>
      <c r="L131" s="960"/>
      <c r="M131" s="960"/>
    </row>
    <row r="132" spans="1:13" ht="15" customHeight="1" x14ac:dyDescent="0.25">
      <c r="A132" s="977"/>
      <c r="B132" s="57"/>
      <c r="C132" s="961" t="str">
        <f>'DICTIONARY-5'!$A$103&amp;" A (0,85 - 1,5 m)"</f>
        <v>przedłużenie wrzeciona A (0,85 - 1,5 m)</v>
      </c>
      <c r="D132" s="961"/>
      <c r="E132" s="961"/>
      <c r="F132" s="57"/>
      <c r="G132" s="961" t="str">
        <f>'DICTIONARY-5'!$A$103&amp;" B (1,5 - 2,7 m)"</f>
        <v>przedłużenie wrzeciona B (1,5 - 2,7 m)</v>
      </c>
      <c r="H132" s="961"/>
      <c r="I132" s="961"/>
      <c r="J132" s="57"/>
      <c r="K132" s="961" t="str">
        <f>'DICTIONARY-5'!$A$103&amp;" C (2,7 - 5,0 m)"</f>
        <v>przedłużenie wrzeciona C (2,7 - 5,0 m)</v>
      </c>
      <c r="L132" s="961"/>
      <c r="M132" s="961"/>
    </row>
    <row r="133" spans="1:13" x14ac:dyDescent="0.25">
      <c r="A133" s="39" t="str">
        <f>'DICTIONARY-2'!$A$18</f>
        <v>[mm]</v>
      </c>
      <c r="B133" s="39" t="str">
        <f>'DICTIONARY-2'!$A$18</f>
        <v>[mm]</v>
      </c>
      <c r="C133" s="58" t="str">
        <f>'DICTIONARY-2'!$A$30</f>
        <v>numer identyfikacyjny</v>
      </c>
      <c r="D133" s="41" t="str">
        <f>CURRENCY.CODE_1</f>
        <v>EUR</v>
      </c>
      <c r="E133" s="41" t="str">
        <f>CURRENCY.CODE_2</f>
        <v>---</v>
      </c>
      <c r="F133" s="39" t="str">
        <f>'DICTIONARY-2'!$A$18</f>
        <v>[mm]</v>
      </c>
      <c r="G133" s="58" t="str">
        <f>'DICTIONARY-2'!$A$30</f>
        <v>numer identyfikacyjny</v>
      </c>
      <c r="H133" s="41" t="str">
        <f>CURRENCY.CODE_1</f>
        <v>EUR</v>
      </c>
      <c r="I133" s="41" t="str">
        <f>CURRENCY.CODE_2</f>
        <v>---</v>
      </c>
      <c r="J133" s="39" t="str">
        <f>'DICTIONARY-2'!$A$18</f>
        <v>[mm]</v>
      </c>
      <c r="K133" s="58" t="str">
        <f>'DICTIONARY-2'!$A$30</f>
        <v>numer identyfikacyjny</v>
      </c>
      <c r="L133" s="41" t="str">
        <f>CURRENCY.CODE_1</f>
        <v>EUR</v>
      </c>
      <c r="M133" s="41" t="str">
        <f>CURRENCY.CODE_2</f>
        <v>---</v>
      </c>
    </row>
    <row r="134" spans="1:13" x14ac:dyDescent="0.25">
      <c r="A134" s="62" t="s">
        <v>706</v>
      </c>
      <c r="B134" s="62">
        <v>2599</v>
      </c>
      <c r="C134" s="42" t="s">
        <v>8060</v>
      </c>
      <c r="D134" s="339" t="str">
        <f>IFERROR(IF(OR(C134='DICTIONARY-5'!$A$2,C134='DICTIONARY-5'!$A$4,ISBLANK(C134)),VLOOKUP(B134,LIST!$A$6:$L$3250,CURR_1.SEARCH.OLD,0),VLOOKUP(C134,LIST!$B$6:$L$3250,CURR_1.SEARCH.NEW,0)),'DICTIONARY-5'!$A$2)</f>
        <v>1 506,-</v>
      </c>
      <c r="E134" s="339" t="str">
        <f>IFERROR(IF(OR(C134='DICTIONARY-5'!$A$2,C134='DICTIONARY-5'!$A$4,ISBLANK(C134)),VLOOKUP(B134,LIST!$A$6:$M$3250,CURR_2.SEARCH.OLD,0),VLOOKUP(C134,LIST!$B$6:$M$3250,CURR_2.SEARCH.NEW,0)),'DICTIONARY-5'!$A$2)</f>
        <v/>
      </c>
      <c r="F134" s="62">
        <v>3799</v>
      </c>
      <c r="G134" s="42" t="s">
        <v>8063</v>
      </c>
      <c r="H134" s="339" t="str">
        <f>IFERROR(IF(OR(G134='DICTIONARY-5'!$A$2,G134='DICTIONARY-5'!$A$4,ISBLANK(G134)),VLOOKUP(F134,LIST!$A$6:$L$3250,CURR_1.SEARCH.OLD,0),VLOOKUP(G134,LIST!$B$6:$L$3250,CURR_1.SEARCH.NEW,0)),'DICTIONARY-5'!$A$2)</f>
        <v>1 829,-</v>
      </c>
      <c r="I134" s="339" t="str">
        <f>IFERROR(IF(OR(G134='DICTIONARY-5'!$A$2,G134='DICTIONARY-5'!$A$4,ISBLANK(G134)),VLOOKUP(F134,LIST!$A$6:$M$3250,CURR_2.SEARCH.OLD,0),VLOOKUP(G134,LIST!$B$6:$M$3250,CURR_2.SEARCH.NEW,0)),'DICTIONARY-5'!$A$2)</f>
        <v/>
      </c>
      <c r="J134" s="62">
        <v>6099</v>
      </c>
      <c r="K134" s="42" t="s">
        <v>8066</v>
      </c>
      <c r="L134" s="339" t="str">
        <f>IFERROR(IF(OR(K134='DICTIONARY-5'!$A$2,K134='DICTIONARY-5'!$A$4,ISBLANK(K134)),VLOOKUP(J134,LIST!$A$6:$L$3250,CURR_1.SEARCH.OLD,0),VLOOKUP(K134,LIST!$B$6:$L$3250,CURR_1.SEARCH.NEW,0)),'DICTIONARY-5'!$A$2)</f>
        <v>2 224,-</v>
      </c>
      <c r="M134" s="339" t="str">
        <f>IFERROR(IF(OR(K134='DICTIONARY-5'!$A$2,K134='DICTIONARY-5'!$A$4,ISBLANK(K134)),VLOOKUP(J134,LIST!$A$6:$M$3250,CURR_2.SEARCH.OLD,0),VLOOKUP(K134,LIST!$B$6:$M$3250,CURR_2.SEARCH.NEW,0)),'DICTIONARY-5'!$A$2)</f>
        <v/>
      </c>
    </row>
    <row r="135" spans="1:13" x14ac:dyDescent="0.25">
      <c r="A135" s="62" t="s">
        <v>709</v>
      </c>
      <c r="B135" s="62">
        <v>2699</v>
      </c>
      <c r="C135" s="42" t="s">
        <v>8060</v>
      </c>
      <c r="D135" s="339" t="str">
        <f>IFERROR(IF(OR(C135='DICTIONARY-5'!$A$2,C135='DICTIONARY-5'!$A$4,ISBLANK(C135)),VLOOKUP(B135,LIST!$A$6:$L$3250,CURR_1.SEARCH.OLD,0),VLOOKUP(C135,LIST!$B$6:$L$3250,CURR_1.SEARCH.NEW,0)),'DICTIONARY-5'!$A$2)</f>
        <v>1 506,-</v>
      </c>
      <c r="E135" s="339" t="str">
        <f>IFERROR(IF(OR(C135='DICTIONARY-5'!$A$2,C135='DICTIONARY-5'!$A$4,ISBLANK(C135)),VLOOKUP(B135,LIST!$A$6:$M$3250,CURR_2.SEARCH.OLD,0),VLOOKUP(C135,LIST!$B$6:$M$3250,CURR_2.SEARCH.NEW,0)),'DICTIONARY-5'!$A$2)</f>
        <v/>
      </c>
      <c r="F135" s="62">
        <v>3899</v>
      </c>
      <c r="G135" s="42" t="s">
        <v>8063</v>
      </c>
      <c r="H135" s="339" t="str">
        <f>IFERROR(IF(OR(G135='DICTIONARY-5'!$A$2,G135='DICTIONARY-5'!$A$4,ISBLANK(G135)),VLOOKUP(F135,LIST!$A$6:$L$3250,CURR_1.SEARCH.OLD,0),VLOOKUP(G135,LIST!$B$6:$L$3250,CURR_1.SEARCH.NEW,0)),'DICTIONARY-5'!$A$2)</f>
        <v>1 829,-</v>
      </c>
      <c r="I135" s="339" t="str">
        <f>IFERROR(IF(OR(G135='DICTIONARY-5'!$A$2,G135='DICTIONARY-5'!$A$4,ISBLANK(G135)),VLOOKUP(F135,LIST!$A$6:$M$3250,CURR_2.SEARCH.OLD,0),VLOOKUP(G135,LIST!$B$6:$M$3250,CURR_2.SEARCH.NEW,0)),'DICTIONARY-5'!$A$2)</f>
        <v/>
      </c>
      <c r="J135" s="62">
        <v>6199</v>
      </c>
      <c r="K135" s="42" t="s">
        <v>8066</v>
      </c>
      <c r="L135" s="339" t="str">
        <f>IFERROR(IF(OR(K135='DICTIONARY-5'!$A$2,K135='DICTIONARY-5'!$A$4,ISBLANK(K135)),VLOOKUP(J135,LIST!$A$6:$L$3250,CURR_1.SEARCH.OLD,0),VLOOKUP(K135,LIST!$B$6:$L$3250,CURR_1.SEARCH.NEW,0)),'DICTIONARY-5'!$A$2)</f>
        <v>2 224,-</v>
      </c>
      <c r="M135" s="339" t="str">
        <f>IFERROR(IF(OR(K135='DICTIONARY-5'!$A$2,K135='DICTIONARY-5'!$A$4,ISBLANK(K135)),VLOOKUP(J135,LIST!$A$6:$M$3250,CURR_2.SEARCH.OLD,0),VLOOKUP(K135,LIST!$B$6:$M$3250,CURR_2.SEARCH.NEW,0)),'DICTIONARY-5'!$A$2)</f>
        <v/>
      </c>
    </row>
    <row r="136" spans="1:13" x14ac:dyDescent="0.25">
      <c r="A136" s="62" t="s">
        <v>712</v>
      </c>
      <c r="B136" s="62">
        <v>2799</v>
      </c>
      <c r="C136" s="42" t="s">
        <v>8060</v>
      </c>
      <c r="D136" s="339" t="str">
        <f>IFERROR(IF(OR(C136='DICTIONARY-5'!$A$2,C136='DICTIONARY-5'!$A$4,ISBLANK(C136)),VLOOKUP(B136,LIST!$A$6:$L$3250,CURR_1.SEARCH.OLD,0),VLOOKUP(C136,LIST!$B$6:$L$3250,CURR_1.SEARCH.NEW,0)),'DICTIONARY-5'!$A$2)</f>
        <v>1 506,-</v>
      </c>
      <c r="E136" s="339" t="str">
        <f>IFERROR(IF(OR(C136='DICTIONARY-5'!$A$2,C136='DICTIONARY-5'!$A$4,ISBLANK(C136)),VLOOKUP(B136,LIST!$A$6:$M$3250,CURR_2.SEARCH.OLD,0),VLOOKUP(C136,LIST!$B$6:$M$3250,CURR_2.SEARCH.NEW,0)),'DICTIONARY-5'!$A$2)</f>
        <v/>
      </c>
      <c r="F136" s="62">
        <v>3999</v>
      </c>
      <c r="G136" s="42" t="s">
        <v>8063</v>
      </c>
      <c r="H136" s="339" t="str">
        <f>IFERROR(IF(OR(G136='DICTIONARY-5'!$A$2,G136='DICTIONARY-5'!$A$4,ISBLANK(G136)),VLOOKUP(F136,LIST!$A$6:$L$3250,CURR_1.SEARCH.OLD,0),VLOOKUP(G136,LIST!$B$6:$L$3250,CURR_1.SEARCH.NEW,0)),'DICTIONARY-5'!$A$2)</f>
        <v>1 829,-</v>
      </c>
      <c r="I136" s="339" t="str">
        <f>IFERROR(IF(OR(G136='DICTIONARY-5'!$A$2,G136='DICTIONARY-5'!$A$4,ISBLANK(G136)),VLOOKUP(F136,LIST!$A$6:$M$3250,CURR_2.SEARCH.OLD,0),VLOOKUP(G136,LIST!$B$6:$M$3250,CURR_2.SEARCH.NEW,0)),'DICTIONARY-5'!$A$2)</f>
        <v/>
      </c>
      <c r="J136" s="62">
        <v>6299</v>
      </c>
      <c r="K136" s="42" t="s">
        <v>8066</v>
      </c>
      <c r="L136" s="339" t="str">
        <f>IFERROR(IF(OR(K136='DICTIONARY-5'!$A$2,K136='DICTIONARY-5'!$A$4,ISBLANK(K136)),VLOOKUP(J136,LIST!$A$6:$L$3250,CURR_1.SEARCH.OLD,0),VLOOKUP(K136,LIST!$B$6:$L$3250,CURR_1.SEARCH.NEW,0)),'DICTIONARY-5'!$A$2)</f>
        <v>2 224,-</v>
      </c>
      <c r="M136" s="339" t="str">
        <f>IFERROR(IF(OR(K136='DICTIONARY-5'!$A$2,K136='DICTIONARY-5'!$A$4,ISBLANK(K136)),VLOOKUP(J136,LIST!$A$6:$M$3250,CURR_2.SEARCH.OLD,0),VLOOKUP(K136,LIST!$B$6:$M$3250,CURR_2.SEARCH.NEW,0)),'DICTIONARY-5'!$A$2)</f>
        <v/>
      </c>
    </row>
    <row r="137" spans="1:13" x14ac:dyDescent="0.25">
      <c r="A137" s="62" t="s">
        <v>715</v>
      </c>
      <c r="B137" s="62">
        <v>2899</v>
      </c>
      <c r="C137" s="42" t="s">
        <v>8060</v>
      </c>
      <c r="D137" s="339" t="str">
        <f>IFERROR(IF(OR(C137='DICTIONARY-5'!$A$2,C137='DICTIONARY-5'!$A$4,ISBLANK(C137)),VLOOKUP(B137,LIST!$A$6:$L$3250,CURR_1.SEARCH.OLD,0),VLOOKUP(C137,LIST!$B$6:$L$3250,CURR_1.SEARCH.NEW,0)),'DICTIONARY-5'!$A$2)</f>
        <v>1 506,-</v>
      </c>
      <c r="E137" s="339" t="str">
        <f>IFERROR(IF(OR(C137='DICTIONARY-5'!$A$2,C137='DICTIONARY-5'!$A$4,ISBLANK(C137)),VLOOKUP(B137,LIST!$A$6:$M$3250,CURR_2.SEARCH.OLD,0),VLOOKUP(C137,LIST!$B$6:$M$3250,CURR_2.SEARCH.NEW,0)),'DICTIONARY-5'!$A$2)</f>
        <v/>
      </c>
      <c r="F137" s="62">
        <v>4099</v>
      </c>
      <c r="G137" s="42" t="s">
        <v>8063</v>
      </c>
      <c r="H137" s="339" t="str">
        <f>IFERROR(IF(OR(G137='DICTIONARY-5'!$A$2,G137='DICTIONARY-5'!$A$4,ISBLANK(G137)),VLOOKUP(F137,LIST!$A$6:$L$3250,CURR_1.SEARCH.OLD,0),VLOOKUP(G137,LIST!$B$6:$L$3250,CURR_1.SEARCH.NEW,0)),'DICTIONARY-5'!$A$2)</f>
        <v>1 829,-</v>
      </c>
      <c r="I137" s="339" t="str">
        <f>IFERROR(IF(OR(G137='DICTIONARY-5'!$A$2,G137='DICTIONARY-5'!$A$4,ISBLANK(G137)),VLOOKUP(F137,LIST!$A$6:$M$3250,CURR_2.SEARCH.OLD,0),VLOOKUP(G137,LIST!$B$6:$M$3250,CURR_2.SEARCH.NEW,0)),'DICTIONARY-5'!$A$2)</f>
        <v/>
      </c>
      <c r="J137" s="62">
        <v>6399</v>
      </c>
      <c r="K137" s="42" t="s">
        <v>8066</v>
      </c>
      <c r="L137" s="339" t="str">
        <f>IFERROR(IF(OR(K137='DICTIONARY-5'!$A$2,K137='DICTIONARY-5'!$A$4,ISBLANK(K137)),VLOOKUP(J137,LIST!$A$6:$L$3250,CURR_1.SEARCH.OLD,0),VLOOKUP(K137,LIST!$B$6:$L$3250,CURR_1.SEARCH.NEW,0)),'DICTIONARY-5'!$A$2)</f>
        <v>2 224,-</v>
      </c>
      <c r="M137" s="339" t="str">
        <f>IFERROR(IF(OR(K137='DICTIONARY-5'!$A$2,K137='DICTIONARY-5'!$A$4,ISBLANK(K137)),VLOOKUP(J137,LIST!$A$6:$M$3250,CURR_2.SEARCH.OLD,0),VLOOKUP(K137,LIST!$B$6:$M$3250,CURR_2.SEARCH.NEW,0)),'DICTIONARY-5'!$A$2)</f>
        <v/>
      </c>
    </row>
    <row r="138" spans="1:13" x14ac:dyDescent="0.25">
      <c r="A138" s="62" t="s">
        <v>664</v>
      </c>
      <c r="B138" s="62">
        <v>3098</v>
      </c>
      <c r="C138" s="42" t="s">
        <v>8060</v>
      </c>
      <c r="D138" s="339" t="str">
        <f>IFERROR(IF(OR(C138='DICTIONARY-5'!$A$2,C138='DICTIONARY-5'!$A$4,ISBLANK(C138)),VLOOKUP(B138,LIST!$A$6:$L$3250,CURR_1.SEARCH.OLD,0),VLOOKUP(C138,LIST!$B$6:$L$3250,CURR_1.SEARCH.NEW,0)),'DICTIONARY-5'!$A$2)</f>
        <v>1 506,-</v>
      </c>
      <c r="E138" s="339" t="str">
        <f>IFERROR(IF(OR(C138='DICTIONARY-5'!$A$2,C138='DICTIONARY-5'!$A$4,ISBLANK(C138)),VLOOKUP(B138,LIST!$A$6:$M$3250,CURR_2.SEARCH.OLD,0),VLOOKUP(C138,LIST!$B$6:$M$3250,CURR_2.SEARCH.NEW,0)),'DICTIONARY-5'!$A$2)</f>
        <v/>
      </c>
      <c r="F138" s="62">
        <v>4298</v>
      </c>
      <c r="G138" s="42" t="s">
        <v>8063</v>
      </c>
      <c r="H138" s="339" t="str">
        <f>IFERROR(IF(OR(G138='DICTIONARY-5'!$A$2,G138='DICTIONARY-5'!$A$4,ISBLANK(G138)),VLOOKUP(F138,LIST!$A$6:$L$3250,CURR_1.SEARCH.OLD,0),VLOOKUP(G138,LIST!$B$6:$L$3250,CURR_1.SEARCH.NEW,0)),'DICTIONARY-5'!$A$2)</f>
        <v>1 829,-</v>
      </c>
      <c r="I138" s="339" t="str">
        <f>IFERROR(IF(OR(G138='DICTIONARY-5'!$A$2,G138='DICTIONARY-5'!$A$4,ISBLANK(G138)),VLOOKUP(F138,LIST!$A$6:$M$3250,CURR_2.SEARCH.OLD,0),VLOOKUP(G138,LIST!$B$6:$M$3250,CURR_2.SEARCH.NEW,0)),'DICTIONARY-5'!$A$2)</f>
        <v/>
      </c>
      <c r="J138" s="62">
        <v>6598</v>
      </c>
      <c r="K138" s="42" t="s">
        <v>8066</v>
      </c>
      <c r="L138" s="339" t="str">
        <f>IFERROR(IF(OR(K138='DICTIONARY-5'!$A$2,K138='DICTIONARY-5'!$A$4,ISBLANK(K138)),VLOOKUP(J138,LIST!$A$6:$L$3250,CURR_1.SEARCH.OLD,0),VLOOKUP(K138,LIST!$B$6:$L$3250,CURR_1.SEARCH.NEW,0)),'DICTIONARY-5'!$A$2)</f>
        <v>2 224,-</v>
      </c>
      <c r="M138" s="339" t="str">
        <f>IFERROR(IF(OR(K138='DICTIONARY-5'!$A$2,K138='DICTIONARY-5'!$A$4,ISBLANK(K138)),VLOOKUP(J138,LIST!$A$6:$M$3250,CURR_2.SEARCH.OLD,0),VLOOKUP(K138,LIST!$B$6:$M$3250,CURR_2.SEARCH.NEW,0)),'DICTIONARY-5'!$A$2)</f>
        <v/>
      </c>
    </row>
    <row r="139" spans="1:13" x14ac:dyDescent="0.25">
      <c r="A139" s="62" t="s">
        <v>666</v>
      </c>
      <c r="B139" s="62">
        <v>3294</v>
      </c>
      <c r="C139" s="42" t="s">
        <v>8060</v>
      </c>
      <c r="D139" s="339" t="str">
        <f>IFERROR(IF(OR(C139='DICTIONARY-5'!$A$2,C139='DICTIONARY-5'!$A$4,ISBLANK(C139)),VLOOKUP(B139,LIST!$A$6:$L$3250,CURR_1.SEARCH.OLD,0),VLOOKUP(C139,LIST!$B$6:$L$3250,CURR_1.SEARCH.NEW,0)),'DICTIONARY-5'!$A$2)</f>
        <v>1 506,-</v>
      </c>
      <c r="E139" s="339" t="str">
        <f>IFERROR(IF(OR(C139='DICTIONARY-5'!$A$2,C139='DICTIONARY-5'!$A$4,ISBLANK(C139)),VLOOKUP(B139,LIST!$A$6:$M$3250,CURR_2.SEARCH.OLD,0),VLOOKUP(C139,LIST!$B$6:$M$3250,CURR_2.SEARCH.NEW,0)),'DICTIONARY-5'!$A$2)</f>
        <v/>
      </c>
      <c r="F139" s="62">
        <v>4494</v>
      </c>
      <c r="G139" s="42" t="s">
        <v>8063</v>
      </c>
      <c r="H139" s="339" t="str">
        <f>IFERROR(IF(OR(G139='DICTIONARY-5'!$A$2,G139='DICTIONARY-5'!$A$4,ISBLANK(G139)),VLOOKUP(F139,LIST!$A$6:$L$3250,CURR_1.SEARCH.OLD,0),VLOOKUP(G139,LIST!$B$6:$L$3250,CURR_1.SEARCH.NEW,0)),'DICTIONARY-5'!$A$2)</f>
        <v>1 829,-</v>
      </c>
      <c r="I139" s="339" t="str">
        <f>IFERROR(IF(OR(G139='DICTIONARY-5'!$A$2,G139='DICTIONARY-5'!$A$4,ISBLANK(G139)),VLOOKUP(F139,LIST!$A$6:$M$3250,CURR_2.SEARCH.OLD,0),VLOOKUP(G139,LIST!$B$6:$M$3250,CURR_2.SEARCH.NEW,0)),'DICTIONARY-5'!$A$2)</f>
        <v/>
      </c>
      <c r="J139" s="62">
        <v>6794</v>
      </c>
      <c r="K139" s="42" t="s">
        <v>8066</v>
      </c>
      <c r="L139" s="339" t="str">
        <f>IFERROR(IF(OR(K139='DICTIONARY-5'!$A$2,K139='DICTIONARY-5'!$A$4,ISBLANK(K139)),VLOOKUP(J139,LIST!$A$6:$L$3250,CURR_1.SEARCH.OLD,0),VLOOKUP(K139,LIST!$B$6:$L$3250,CURR_1.SEARCH.NEW,0)),'DICTIONARY-5'!$A$2)</f>
        <v>2 224,-</v>
      </c>
      <c r="M139" s="339" t="str">
        <f>IFERROR(IF(OR(K139='DICTIONARY-5'!$A$2,K139='DICTIONARY-5'!$A$4,ISBLANK(K139)),VLOOKUP(J139,LIST!$A$6:$M$3250,CURR_2.SEARCH.OLD,0),VLOOKUP(K139,LIST!$B$6:$M$3250,CURR_2.SEARCH.NEW,0)),'DICTIONARY-5'!$A$2)</f>
        <v/>
      </c>
    </row>
    <row r="140" spans="1:13" x14ac:dyDescent="0.25">
      <c r="A140" s="62" t="s">
        <v>668</v>
      </c>
      <c r="B140" s="62">
        <v>3489</v>
      </c>
      <c r="C140" s="42" t="s">
        <v>8060</v>
      </c>
      <c r="D140" s="339" t="str">
        <f>IFERROR(IF(OR(C140='DICTIONARY-5'!$A$2,C140='DICTIONARY-5'!$A$4,ISBLANK(C140)),VLOOKUP(B140,LIST!$A$6:$L$3250,CURR_1.SEARCH.OLD,0),VLOOKUP(C140,LIST!$B$6:$L$3250,CURR_1.SEARCH.NEW,0)),'DICTIONARY-5'!$A$2)</f>
        <v>1 506,-</v>
      </c>
      <c r="E140" s="339" t="str">
        <f>IFERROR(IF(OR(C140='DICTIONARY-5'!$A$2,C140='DICTIONARY-5'!$A$4,ISBLANK(C140)),VLOOKUP(B140,LIST!$A$6:$M$3250,CURR_2.SEARCH.OLD,0),VLOOKUP(C140,LIST!$B$6:$M$3250,CURR_2.SEARCH.NEW,0)),'DICTIONARY-5'!$A$2)</f>
        <v/>
      </c>
      <c r="F140" s="62">
        <v>4689</v>
      </c>
      <c r="G140" s="42" t="s">
        <v>8063</v>
      </c>
      <c r="H140" s="339" t="str">
        <f>IFERROR(IF(OR(G140='DICTIONARY-5'!$A$2,G140='DICTIONARY-5'!$A$4,ISBLANK(G140)),VLOOKUP(F140,LIST!$A$6:$L$3250,CURR_1.SEARCH.OLD,0),VLOOKUP(G140,LIST!$B$6:$L$3250,CURR_1.SEARCH.NEW,0)),'DICTIONARY-5'!$A$2)</f>
        <v>1 829,-</v>
      </c>
      <c r="I140" s="339" t="str">
        <f>IFERROR(IF(OR(G140='DICTIONARY-5'!$A$2,G140='DICTIONARY-5'!$A$4,ISBLANK(G140)),VLOOKUP(F140,LIST!$A$6:$M$3250,CURR_2.SEARCH.OLD,0),VLOOKUP(G140,LIST!$B$6:$M$3250,CURR_2.SEARCH.NEW,0)),'DICTIONARY-5'!$A$2)</f>
        <v/>
      </c>
      <c r="J140" s="62">
        <v>6989</v>
      </c>
      <c r="K140" s="42" t="s">
        <v>8066</v>
      </c>
      <c r="L140" s="339" t="str">
        <f>IFERROR(IF(OR(K140='DICTIONARY-5'!$A$2,K140='DICTIONARY-5'!$A$4,ISBLANK(K140)),VLOOKUP(J140,LIST!$A$6:$L$3250,CURR_1.SEARCH.OLD,0),VLOOKUP(K140,LIST!$B$6:$L$3250,CURR_1.SEARCH.NEW,0)),'DICTIONARY-5'!$A$2)</f>
        <v>2 224,-</v>
      </c>
      <c r="M140" s="339" t="str">
        <f>IFERROR(IF(OR(K140='DICTIONARY-5'!$A$2,K140='DICTIONARY-5'!$A$4,ISBLANK(K140)),VLOOKUP(J140,LIST!$A$6:$M$3250,CURR_2.SEARCH.OLD,0),VLOOKUP(K140,LIST!$B$6:$M$3250,CURR_2.SEARCH.NEW,0)),'DICTIONARY-5'!$A$2)</f>
        <v/>
      </c>
    </row>
    <row r="141" spans="1:13" x14ac:dyDescent="0.25">
      <c r="A141" s="62" t="s">
        <v>670</v>
      </c>
      <c r="B141" s="62">
        <v>3722</v>
      </c>
      <c r="C141" s="42" t="s">
        <v>8061</v>
      </c>
      <c r="D141" s="339" t="str">
        <f>IFERROR(IF(OR(C141='DICTIONARY-5'!$A$2,C141='DICTIONARY-5'!$A$4,ISBLANK(C141)),VLOOKUP(B141,LIST!$A$6:$L$3250,CURR_1.SEARCH.OLD,0),VLOOKUP(C141,LIST!$B$6:$L$3250,CURR_1.SEARCH.NEW,0)),'DICTIONARY-5'!$A$2)</f>
        <v>1 510,-</v>
      </c>
      <c r="E141" s="339" t="str">
        <f>IFERROR(IF(OR(C141='DICTIONARY-5'!$A$2,C141='DICTIONARY-5'!$A$4,ISBLANK(C141)),VLOOKUP(B141,LIST!$A$6:$M$3250,CURR_2.SEARCH.OLD,0),VLOOKUP(C141,LIST!$B$6:$M$3250,CURR_2.SEARCH.NEW,0)),'DICTIONARY-5'!$A$2)</f>
        <v/>
      </c>
      <c r="F141" s="62">
        <v>4922</v>
      </c>
      <c r="G141" s="42" t="s">
        <v>8064</v>
      </c>
      <c r="H141" s="339" t="str">
        <f>IFERROR(IF(OR(G141='DICTIONARY-5'!$A$2,G141='DICTIONARY-5'!$A$4,ISBLANK(G141)),VLOOKUP(F141,LIST!$A$6:$L$3250,CURR_1.SEARCH.OLD,0),VLOOKUP(G141,LIST!$B$6:$L$3250,CURR_1.SEARCH.NEW,0)),'DICTIONARY-5'!$A$2)</f>
        <v>1 859,-</v>
      </c>
      <c r="I141" s="339" t="str">
        <f>IFERROR(IF(OR(G141='DICTIONARY-5'!$A$2,G141='DICTIONARY-5'!$A$4,ISBLANK(G141)),VLOOKUP(F141,LIST!$A$6:$M$3250,CURR_2.SEARCH.OLD,0),VLOOKUP(G141,LIST!$B$6:$M$3250,CURR_2.SEARCH.NEW,0)),'DICTIONARY-5'!$A$2)</f>
        <v/>
      </c>
      <c r="J141" s="62">
        <v>7222</v>
      </c>
      <c r="K141" s="42" t="s">
        <v>8067</v>
      </c>
      <c r="L141" s="339" t="str">
        <f>IFERROR(IF(OR(K141='DICTIONARY-5'!$A$2,K141='DICTIONARY-5'!$A$4,ISBLANK(K141)),VLOOKUP(J141,LIST!$A$6:$L$3250,CURR_1.SEARCH.OLD,0),VLOOKUP(K141,LIST!$B$6:$L$3250,CURR_1.SEARCH.NEW,0)),'DICTIONARY-5'!$A$2)</f>
        <v>2 333,-</v>
      </c>
      <c r="M141" s="339" t="str">
        <f>IFERROR(IF(OR(K141='DICTIONARY-5'!$A$2,K141='DICTIONARY-5'!$A$4,ISBLANK(K141)),VLOOKUP(J141,LIST!$A$6:$M$3250,CURR_2.SEARCH.OLD,0),VLOOKUP(K141,LIST!$B$6:$M$3250,CURR_2.SEARCH.NEW,0)),'DICTIONARY-5'!$A$2)</f>
        <v/>
      </c>
    </row>
    <row r="142" spans="1:13" x14ac:dyDescent="0.25">
      <c r="A142" s="62" t="s">
        <v>672</v>
      </c>
      <c r="B142" s="62">
        <v>3922</v>
      </c>
      <c r="C142" s="42" t="s">
        <v>8061</v>
      </c>
      <c r="D142" s="339" t="str">
        <f>IFERROR(IF(OR(C142='DICTIONARY-5'!$A$2,C142='DICTIONARY-5'!$A$4,ISBLANK(C142)),VLOOKUP(B142,LIST!$A$6:$L$3250,CURR_1.SEARCH.OLD,0),VLOOKUP(C142,LIST!$B$6:$L$3250,CURR_1.SEARCH.NEW,0)),'DICTIONARY-5'!$A$2)</f>
        <v>1 510,-</v>
      </c>
      <c r="E142" s="339" t="str">
        <f>IFERROR(IF(OR(C142='DICTIONARY-5'!$A$2,C142='DICTIONARY-5'!$A$4,ISBLANK(C142)),VLOOKUP(B142,LIST!$A$6:$M$3250,CURR_2.SEARCH.OLD,0),VLOOKUP(C142,LIST!$B$6:$M$3250,CURR_2.SEARCH.NEW,0)),'DICTIONARY-5'!$A$2)</f>
        <v/>
      </c>
      <c r="F142" s="62">
        <v>5122</v>
      </c>
      <c r="G142" s="42" t="s">
        <v>8064</v>
      </c>
      <c r="H142" s="339" t="str">
        <f>IFERROR(IF(OR(G142='DICTIONARY-5'!$A$2,G142='DICTIONARY-5'!$A$4,ISBLANK(G142)),VLOOKUP(F142,LIST!$A$6:$L$3250,CURR_1.SEARCH.OLD,0),VLOOKUP(G142,LIST!$B$6:$L$3250,CURR_1.SEARCH.NEW,0)),'DICTIONARY-5'!$A$2)</f>
        <v>1 859,-</v>
      </c>
      <c r="I142" s="339" t="str">
        <f>IFERROR(IF(OR(G142='DICTIONARY-5'!$A$2,G142='DICTIONARY-5'!$A$4,ISBLANK(G142)),VLOOKUP(F142,LIST!$A$6:$M$3250,CURR_2.SEARCH.OLD,0),VLOOKUP(G142,LIST!$B$6:$M$3250,CURR_2.SEARCH.NEW,0)),'DICTIONARY-5'!$A$2)</f>
        <v/>
      </c>
      <c r="J142" s="62">
        <v>7422</v>
      </c>
      <c r="K142" s="42" t="s">
        <v>8067</v>
      </c>
      <c r="L142" s="339" t="str">
        <f>IFERROR(IF(OR(K142='DICTIONARY-5'!$A$2,K142='DICTIONARY-5'!$A$4,ISBLANK(K142)),VLOOKUP(J142,LIST!$A$6:$L$3250,CURR_1.SEARCH.OLD,0),VLOOKUP(K142,LIST!$B$6:$L$3250,CURR_1.SEARCH.NEW,0)),'DICTIONARY-5'!$A$2)</f>
        <v>2 333,-</v>
      </c>
      <c r="M142" s="339" t="str">
        <f>IFERROR(IF(OR(K142='DICTIONARY-5'!$A$2,K142='DICTIONARY-5'!$A$4,ISBLANK(K142)),VLOOKUP(J142,LIST!$A$6:$M$3250,CURR_2.SEARCH.OLD,0),VLOOKUP(K142,LIST!$B$6:$M$3250,CURR_2.SEARCH.NEW,0)),'DICTIONARY-5'!$A$2)</f>
        <v/>
      </c>
    </row>
    <row r="143" spans="1:13" x14ac:dyDescent="0.25">
      <c r="A143" s="62" t="s">
        <v>674</v>
      </c>
      <c r="B143" s="62">
        <v>4122</v>
      </c>
      <c r="C143" s="42" t="s">
        <v>8061</v>
      </c>
      <c r="D143" s="339" t="str">
        <f>IFERROR(IF(OR(C143='DICTIONARY-5'!$A$2,C143='DICTIONARY-5'!$A$4,ISBLANK(C143)),VLOOKUP(B143,LIST!$A$6:$L$3250,CURR_1.SEARCH.OLD,0),VLOOKUP(C143,LIST!$B$6:$L$3250,CURR_1.SEARCH.NEW,0)),'DICTIONARY-5'!$A$2)</f>
        <v>1 510,-</v>
      </c>
      <c r="E143" s="339" t="str">
        <f>IFERROR(IF(OR(C143='DICTIONARY-5'!$A$2,C143='DICTIONARY-5'!$A$4,ISBLANK(C143)),VLOOKUP(B143,LIST!$A$6:$M$3250,CURR_2.SEARCH.OLD,0),VLOOKUP(C143,LIST!$B$6:$M$3250,CURR_2.SEARCH.NEW,0)),'DICTIONARY-5'!$A$2)</f>
        <v/>
      </c>
      <c r="F143" s="62">
        <v>5322</v>
      </c>
      <c r="G143" s="42" t="s">
        <v>8064</v>
      </c>
      <c r="H143" s="339" t="str">
        <f>IFERROR(IF(OR(G143='DICTIONARY-5'!$A$2,G143='DICTIONARY-5'!$A$4,ISBLANK(G143)),VLOOKUP(F143,LIST!$A$6:$L$3250,CURR_1.SEARCH.OLD,0),VLOOKUP(G143,LIST!$B$6:$L$3250,CURR_1.SEARCH.NEW,0)),'DICTIONARY-5'!$A$2)</f>
        <v>1 859,-</v>
      </c>
      <c r="I143" s="339" t="str">
        <f>IFERROR(IF(OR(G143='DICTIONARY-5'!$A$2,G143='DICTIONARY-5'!$A$4,ISBLANK(G143)),VLOOKUP(F143,LIST!$A$6:$M$3250,CURR_2.SEARCH.OLD,0),VLOOKUP(G143,LIST!$B$6:$M$3250,CURR_2.SEARCH.NEW,0)),'DICTIONARY-5'!$A$2)</f>
        <v/>
      </c>
      <c r="J143" s="62">
        <v>7622</v>
      </c>
      <c r="K143" s="42" t="s">
        <v>8067</v>
      </c>
      <c r="L143" s="339" t="str">
        <f>IFERROR(IF(OR(K143='DICTIONARY-5'!$A$2,K143='DICTIONARY-5'!$A$4,ISBLANK(K143)),VLOOKUP(J143,LIST!$A$6:$L$3250,CURR_1.SEARCH.OLD,0),VLOOKUP(K143,LIST!$B$6:$L$3250,CURR_1.SEARCH.NEW,0)),'DICTIONARY-5'!$A$2)</f>
        <v>2 333,-</v>
      </c>
      <c r="M143" s="339" t="str">
        <f>IFERROR(IF(OR(K143='DICTIONARY-5'!$A$2,K143='DICTIONARY-5'!$A$4,ISBLANK(K143)),VLOOKUP(J143,LIST!$A$6:$M$3250,CURR_2.SEARCH.OLD,0),VLOOKUP(K143,LIST!$B$6:$M$3250,CURR_2.SEARCH.NEW,0)),'DICTIONARY-5'!$A$2)</f>
        <v/>
      </c>
    </row>
    <row r="144" spans="1:13" x14ac:dyDescent="0.25">
      <c r="A144" s="62" t="s">
        <v>676</v>
      </c>
      <c r="B144" s="62">
        <v>4348</v>
      </c>
      <c r="C144" s="42" t="s">
        <v>8062</v>
      </c>
      <c r="D144" s="339" t="str">
        <f>IFERROR(IF(OR(C144='DICTIONARY-5'!$A$2,C144='DICTIONARY-5'!$A$4,ISBLANK(C144)),VLOOKUP(B144,LIST!$A$6:$L$3250,CURR_1.SEARCH.OLD,0),VLOOKUP(C144,LIST!$B$6:$L$3250,CURR_1.SEARCH.NEW,0)),'DICTIONARY-5'!$A$2)</f>
        <v>1 651,-</v>
      </c>
      <c r="E144" s="339" t="str">
        <f>IFERROR(IF(OR(C144='DICTIONARY-5'!$A$2,C144='DICTIONARY-5'!$A$4,ISBLANK(C144)),VLOOKUP(B144,LIST!$A$6:$M$3250,CURR_2.SEARCH.OLD,0),VLOOKUP(C144,LIST!$B$6:$M$3250,CURR_2.SEARCH.NEW,0)),'DICTIONARY-5'!$A$2)</f>
        <v/>
      </c>
      <c r="F144" s="62">
        <v>5548</v>
      </c>
      <c r="G144" s="42" t="s">
        <v>8065</v>
      </c>
      <c r="H144" s="339" t="str">
        <f>IFERROR(IF(OR(G144='DICTIONARY-5'!$A$2,G144='DICTIONARY-5'!$A$4,ISBLANK(G144)),VLOOKUP(F144,LIST!$A$6:$L$3250,CURR_1.SEARCH.OLD,0),VLOOKUP(G144,LIST!$B$6:$L$3250,CURR_1.SEARCH.NEW,0)),'DICTIONARY-5'!$A$2)</f>
        <v>2 001,-</v>
      </c>
      <c r="I144" s="339" t="str">
        <f>IFERROR(IF(OR(G144='DICTIONARY-5'!$A$2,G144='DICTIONARY-5'!$A$4,ISBLANK(G144)),VLOOKUP(F144,LIST!$A$6:$M$3250,CURR_2.SEARCH.OLD,0),VLOOKUP(G144,LIST!$B$6:$M$3250,CURR_2.SEARCH.NEW,0)),'DICTIONARY-5'!$A$2)</f>
        <v/>
      </c>
      <c r="J144" s="62">
        <v>7848</v>
      </c>
      <c r="K144" s="42" t="s">
        <v>8068</v>
      </c>
      <c r="L144" s="339" t="str">
        <f>IFERROR(IF(OR(K144='DICTIONARY-5'!$A$2,K144='DICTIONARY-5'!$A$4,ISBLANK(K144)),VLOOKUP(J144,LIST!$A$6:$L$3250,CURR_1.SEARCH.OLD,0),VLOOKUP(K144,LIST!$B$6:$L$3250,CURR_1.SEARCH.NEW,0)),'DICTIONARY-5'!$A$2)</f>
        <v>2 475,-</v>
      </c>
      <c r="M144" s="339" t="str">
        <f>IFERROR(IF(OR(K144='DICTIONARY-5'!$A$2,K144='DICTIONARY-5'!$A$4,ISBLANK(K144)),VLOOKUP(J144,LIST!$A$6:$M$3250,CURR_2.SEARCH.OLD,0),VLOOKUP(K144,LIST!$B$6:$M$3250,CURR_2.SEARCH.NEW,0)),'DICTIONARY-5'!$A$2)</f>
        <v/>
      </c>
    </row>
    <row r="145" spans="1:13" x14ac:dyDescent="0.25">
      <c r="A145" s="62" t="s">
        <v>678</v>
      </c>
      <c r="B145" s="62">
        <v>4748</v>
      </c>
      <c r="C145" s="42" t="s">
        <v>8062</v>
      </c>
      <c r="D145" s="339" t="str">
        <f>IFERROR(IF(OR(C145='DICTIONARY-5'!$A$2,C145='DICTIONARY-5'!$A$4,ISBLANK(C145)),VLOOKUP(B145,LIST!$A$6:$L$3250,CURR_1.SEARCH.OLD,0),VLOOKUP(C145,LIST!$B$6:$L$3250,CURR_1.SEARCH.NEW,0)),'DICTIONARY-5'!$A$2)</f>
        <v>1 651,-</v>
      </c>
      <c r="E145" s="339" t="str">
        <f>IFERROR(IF(OR(C145='DICTIONARY-5'!$A$2,C145='DICTIONARY-5'!$A$4,ISBLANK(C145)),VLOOKUP(B145,LIST!$A$6:$M$3250,CURR_2.SEARCH.OLD,0),VLOOKUP(C145,LIST!$B$6:$M$3250,CURR_2.SEARCH.NEW,0)),'DICTIONARY-5'!$A$2)</f>
        <v/>
      </c>
      <c r="F145" s="62">
        <v>5948</v>
      </c>
      <c r="G145" s="42" t="s">
        <v>8065</v>
      </c>
      <c r="H145" s="339" t="str">
        <f>IFERROR(IF(OR(G145='DICTIONARY-5'!$A$2,G145='DICTIONARY-5'!$A$4,ISBLANK(G145)),VLOOKUP(F145,LIST!$A$6:$L$3250,CURR_1.SEARCH.OLD,0),VLOOKUP(G145,LIST!$B$6:$L$3250,CURR_1.SEARCH.NEW,0)),'DICTIONARY-5'!$A$2)</f>
        <v>2 001,-</v>
      </c>
      <c r="I145" s="339" t="str">
        <f>IFERROR(IF(OR(G145='DICTIONARY-5'!$A$2,G145='DICTIONARY-5'!$A$4,ISBLANK(G145)),VLOOKUP(F145,LIST!$A$6:$M$3250,CURR_2.SEARCH.OLD,0),VLOOKUP(G145,LIST!$B$6:$M$3250,CURR_2.SEARCH.NEW,0)),'DICTIONARY-5'!$A$2)</f>
        <v/>
      </c>
      <c r="J145" s="62">
        <v>8248</v>
      </c>
      <c r="K145" s="42" t="s">
        <v>8068</v>
      </c>
      <c r="L145" s="339" t="str">
        <f>IFERROR(IF(OR(K145='DICTIONARY-5'!$A$2,K145='DICTIONARY-5'!$A$4,ISBLANK(K145)),VLOOKUP(J145,LIST!$A$6:$L$3250,CURR_1.SEARCH.OLD,0),VLOOKUP(K145,LIST!$B$6:$L$3250,CURR_1.SEARCH.NEW,0)),'DICTIONARY-5'!$A$2)</f>
        <v>2 475,-</v>
      </c>
      <c r="M145" s="339" t="str">
        <f>IFERROR(IF(OR(K145='DICTIONARY-5'!$A$2,K145='DICTIONARY-5'!$A$4,ISBLANK(K145)),VLOOKUP(J145,LIST!$A$6:$M$3250,CURR_2.SEARCH.OLD,0),VLOOKUP(K145,LIST!$B$6:$M$3250,CURR_2.SEARCH.NEW,0)),'DICTIONARY-5'!$A$2)</f>
        <v/>
      </c>
    </row>
    <row r="146" spans="1:13" x14ac:dyDescent="0.25">
      <c r="A146" s="555"/>
      <c r="B146" s="555"/>
      <c r="C146" s="30"/>
      <c r="D146" s="557"/>
      <c r="E146" s="557"/>
      <c r="F146" s="555"/>
      <c r="G146" s="30"/>
      <c r="H146" s="557"/>
      <c r="I146" s="557"/>
      <c r="J146" s="555"/>
      <c r="K146" s="30"/>
      <c r="L146" s="557"/>
      <c r="M146" s="557"/>
    </row>
    <row r="147" spans="1:13" x14ac:dyDescent="0.25">
      <c r="A147" s="64" t="str">
        <f>"1) "&amp;'DICTIONARY-5'!$A$86&amp;" - "&amp;'DICTIONARY-5'!$A$89</f>
        <v>1) Głębokość zabudowy - odległość od dna rurociągu / kanału do poziomu operacyjnego</v>
      </c>
    </row>
    <row r="151" spans="1:13" s="87" customFormat="1" ht="16.5" thickBot="1" x14ac:dyDescent="0.3">
      <c r="A151" s="81" t="str">
        <f>CONCATENATE('DICTIONARY-3'!$A$18," ",'DICTIONARY-3'!$A$25," / ",'DICTIONARY-3'!$A$274," ",'DICTIONARY-3'!$A$280)</f>
        <v>Zestaw S7 / Teleskopowe przedłużenie wrzeciona i kolumienką i kółkiem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1:13" x14ac:dyDescent="0.25">
      <c r="A152" s="36" t="str">
        <f>CONCATENATE(PROPER('DICTIONARY-5'!$A$7)," ",'DICTIONARY-3'!$A$13,"/",'DICTIONARY-3'!$A$15," ",'DICTIONARY-3'!$A$190," ",LOWER('DICTIONARY-3'!$A$257))</f>
        <v>Dla EROXplus/ERIplus Zasuwa wrzecionowa z wrzecionem niewznoszącym się</v>
      </c>
    </row>
    <row r="153" spans="1:13" x14ac:dyDescent="0.25">
      <c r="A153" s="36" t="str">
        <f>CONCATENATE('DICTIONARY-1'!$A$10,": ",SETTINGS!$C$88)</f>
        <v>Grupa rabatowa: REMO</v>
      </c>
    </row>
    <row r="154" spans="1:13" x14ac:dyDescent="0.25">
      <c r="A154" s="36"/>
      <c r="B154" s="30"/>
      <c r="C154" s="30"/>
      <c r="D154" s="30"/>
      <c r="E154" s="31"/>
      <c r="F154" s="31"/>
      <c r="G154" s="31"/>
      <c r="H154" s="31"/>
      <c r="I154" s="31"/>
      <c r="J154" s="31"/>
    </row>
    <row r="155" spans="1:13" x14ac:dyDescent="0.25">
      <c r="A155" s="960" t="str">
        <f>'DICTIONARY-3'!$A$265</f>
        <v xml:space="preserve">Obszar przepływu </v>
      </c>
      <c r="B155" s="38" t="str">
        <f>'DICTIONARY-2'!$A$9&amp;" 1)"</f>
        <v>Tmax 1)</v>
      </c>
      <c r="C155" s="960" t="str">
        <f>'DICTIONARY-3'!$A$18&amp;" "&amp;'DICTIONARY-3'!$A$25</f>
        <v>Zestaw S7</v>
      </c>
      <c r="D155" s="960"/>
      <c r="E155" s="960"/>
      <c r="F155" s="38" t="str">
        <f>'DICTIONARY-2'!$A$9&amp;" 1)"</f>
        <v>Tmax 1)</v>
      </c>
      <c r="G155" s="960" t="str">
        <f>'DICTIONARY-3'!$A$18&amp;" "&amp;'DICTIONARY-3'!$A$25</f>
        <v>Zestaw S7</v>
      </c>
      <c r="H155" s="960"/>
      <c r="I155" s="960"/>
      <c r="J155" s="38" t="str">
        <f>'DICTIONARY-2'!$A$9&amp;" 1)"</f>
        <v>Tmax 1)</v>
      </c>
      <c r="K155" s="960" t="str">
        <f>'DICTIONARY-3'!$A$18&amp;" "&amp;'DICTIONARY-3'!$A$25</f>
        <v>Zestaw S7</v>
      </c>
      <c r="L155" s="960"/>
      <c r="M155" s="960"/>
    </row>
    <row r="156" spans="1:13" ht="15" customHeight="1" x14ac:dyDescent="0.25">
      <c r="A156" s="977"/>
      <c r="B156" s="57"/>
      <c r="C156" s="961" t="str">
        <f>'DICTIONARY-5'!$A$103&amp;" A (0,85 - 1,5 m)"</f>
        <v>przedłużenie wrzeciona A (0,85 - 1,5 m)</v>
      </c>
      <c r="D156" s="961"/>
      <c r="E156" s="961"/>
      <c r="F156" s="57"/>
      <c r="G156" s="961" t="str">
        <f>'DICTIONARY-5'!$A$103&amp;" B (1,5 - 2,7 m)"</f>
        <v>przedłużenie wrzeciona B (1,5 - 2,7 m)</v>
      </c>
      <c r="H156" s="961"/>
      <c r="I156" s="961"/>
      <c r="J156" s="57"/>
      <c r="K156" s="961" t="str">
        <f>'DICTIONARY-5'!$A$103&amp;" C (2,7 - 5,0 m)"</f>
        <v>przedłużenie wrzeciona C (2,7 - 5,0 m)</v>
      </c>
      <c r="L156" s="961"/>
      <c r="M156" s="961"/>
    </row>
    <row r="157" spans="1:13" x14ac:dyDescent="0.25">
      <c r="A157" s="39" t="str">
        <f>'DICTIONARY-2'!$A$18</f>
        <v>[mm]</v>
      </c>
      <c r="B157" s="39" t="str">
        <f>'DICTIONARY-2'!$A$18</f>
        <v>[mm]</v>
      </c>
      <c r="C157" s="58" t="str">
        <f>'DICTIONARY-2'!$A$30</f>
        <v>numer identyfikacyjny</v>
      </c>
      <c r="D157" s="41" t="str">
        <f>CURRENCY.CODE_1</f>
        <v>EUR</v>
      </c>
      <c r="E157" s="41" t="str">
        <f>CURRENCY.CODE_2</f>
        <v>---</v>
      </c>
      <c r="F157" s="39" t="str">
        <f>'DICTIONARY-2'!$A$18</f>
        <v>[mm]</v>
      </c>
      <c r="G157" s="58" t="str">
        <f>'DICTIONARY-2'!$A$30</f>
        <v>numer identyfikacyjny</v>
      </c>
      <c r="H157" s="41" t="str">
        <f>CURRENCY.CODE_1</f>
        <v>EUR</v>
      </c>
      <c r="I157" s="41" t="str">
        <f>CURRENCY.CODE_2</f>
        <v>---</v>
      </c>
      <c r="J157" s="39" t="str">
        <f>'DICTIONARY-2'!$A$18</f>
        <v>[mm]</v>
      </c>
      <c r="K157" s="58" t="str">
        <f>'DICTIONARY-2'!$A$30</f>
        <v>numer identyfikacyjny</v>
      </c>
      <c r="L157" s="41" t="str">
        <f>CURRENCY.CODE_1</f>
        <v>EUR</v>
      </c>
      <c r="M157" s="41" t="str">
        <f>CURRENCY.CODE_2</f>
        <v>---</v>
      </c>
    </row>
    <row r="158" spans="1:13" x14ac:dyDescent="0.25">
      <c r="A158" s="62" t="s">
        <v>706</v>
      </c>
      <c r="B158" s="62">
        <v>2157</v>
      </c>
      <c r="C158" s="42" t="s">
        <v>8069</v>
      </c>
      <c r="D158" s="339" t="str">
        <f>IFERROR(IF(OR(C158='DICTIONARY-5'!$A$2,C158='DICTIONARY-5'!$A$4,ISBLANK(C158)),VLOOKUP(B158,LIST!$A$6:$L$3250,CURR_1.SEARCH.OLD,0),VLOOKUP(C158,LIST!$B$6:$L$3250,CURR_1.SEARCH.NEW,0)),'DICTIONARY-5'!$A$2)</f>
        <v>867,-</v>
      </c>
      <c r="E158" s="339" t="str">
        <f>IFERROR(IF(OR(C158='DICTIONARY-5'!$A$2,C158='DICTIONARY-5'!$A$4,ISBLANK(C158)),VLOOKUP(B158,LIST!$A$6:$M$3250,CURR_2.SEARCH.OLD,0),VLOOKUP(C158,LIST!$B$6:$M$3250,CURR_2.SEARCH.NEW,0)),'DICTIONARY-5'!$A$2)</f>
        <v/>
      </c>
      <c r="F158" s="62">
        <v>3357</v>
      </c>
      <c r="G158" s="42" t="s">
        <v>8071</v>
      </c>
      <c r="H158" s="339" t="str">
        <f>IFERROR(IF(OR(G158='DICTIONARY-5'!$A$2,G158='DICTIONARY-5'!$A$4,ISBLANK(G158)),VLOOKUP(F158,LIST!$A$6:$L$3250,CURR_1.SEARCH.OLD,0),VLOOKUP(G158,LIST!$B$6:$L$3250,CURR_1.SEARCH.NEW,0)),'DICTIONARY-5'!$A$2)</f>
        <v>1 190,-</v>
      </c>
      <c r="I158" s="339" t="str">
        <f>IFERROR(IF(OR(G158='DICTIONARY-5'!$A$2,G158='DICTIONARY-5'!$A$4,ISBLANK(G158)),VLOOKUP(F158,LIST!$A$6:$M$3250,CURR_2.SEARCH.OLD,0),VLOOKUP(G158,LIST!$B$6:$M$3250,CURR_2.SEARCH.NEW,0)),'DICTIONARY-5'!$A$2)</f>
        <v/>
      </c>
      <c r="J158" s="62">
        <v>5657</v>
      </c>
      <c r="K158" s="42" t="s">
        <v>8073</v>
      </c>
      <c r="L158" s="339" t="str">
        <f>IFERROR(IF(OR(K158='DICTIONARY-5'!$A$2,K158='DICTIONARY-5'!$A$4,ISBLANK(K158)),VLOOKUP(J158,LIST!$A$6:$L$3250,CURR_1.SEARCH.OLD,0),VLOOKUP(K158,LIST!$B$6:$L$3250,CURR_1.SEARCH.NEW,0)),'DICTIONARY-5'!$A$2)</f>
        <v>1 586,-</v>
      </c>
      <c r="M158" s="339" t="str">
        <f>IFERROR(IF(OR(K158='DICTIONARY-5'!$A$2,K158='DICTIONARY-5'!$A$4,ISBLANK(K158)),VLOOKUP(J158,LIST!$A$6:$M$3250,CURR_2.SEARCH.OLD,0),VLOOKUP(K158,LIST!$B$6:$M$3250,CURR_2.SEARCH.NEW,0)),'DICTIONARY-5'!$A$2)</f>
        <v/>
      </c>
    </row>
    <row r="159" spans="1:13" x14ac:dyDescent="0.25">
      <c r="A159" s="62" t="s">
        <v>709</v>
      </c>
      <c r="B159" s="62">
        <v>2257</v>
      </c>
      <c r="C159" s="42" t="s">
        <v>8069</v>
      </c>
      <c r="D159" s="339" t="str">
        <f>IFERROR(IF(OR(C159='DICTIONARY-5'!$A$2,C159='DICTIONARY-5'!$A$4,ISBLANK(C159)),VLOOKUP(B159,LIST!$A$6:$L$3250,CURR_1.SEARCH.OLD,0),VLOOKUP(C159,LIST!$B$6:$L$3250,CURR_1.SEARCH.NEW,0)),'DICTIONARY-5'!$A$2)</f>
        <v>867,-</v>
      </c>
      <c r="E159" s="339" t="str">
        <f>IFERROR(IF(OR(C159='DICTIONARY-5'!$A$2,C159='DICTIONARY-5'!$A$4,ISBLANK(C159)),VLOOKUP(B159,LIST!$A$6:$M$3250,CURR_2.SEARCH.OLD,0),VLOOKUP(C159,LIST!$B$6:$M$3250,CURR_2.SEARCH.NEW,0)),'DICTIONARY-5'!$A$2)</f>
        <v/>
      </c>
      <c r="F159" s="62">
        <v>3457</v>
      </c>
      <c r="G159" s="42" t="s">
        <v>8071</v>
      </c>
      <c r="H159" s="339" t="str">
        <f>IFERROR(IF(OR(G159='DICTIONARY-5'!$A$2,G159='DICTIONARY-5'!$A$4,ISBLANK(G159)),VLOOKUP(F159,LIST!$A$6:$L$3250,CURR_1.SEARCH.OLD,0),VLOOKUP(G159,LIST!$B$6:$L$3250,CURR_1.SEARCH.NEW,0)),'DICTIONARY-5'!$A$2)</f>
        <v>1 190,-</v>
      </c>
      <c r="I159" s="339" t="str">
        <f>IFERROR(IF(OR(G159='DICTIONARY-5'!$A$2,G159='DICTIONARY-5'!$A$4,ISBLANK(G159)),VLOOKUP(F159,LIST!$A$6:$M$3250,CURR_2.SEARCH.OLD,0),VLOOKUP(G159,LIST!$B$6:$M$3250,CURR_2.SEARCH.NEW,0)),'DICTIONARY-5'!$A$2)</f>
        <v/>
      </c>
      <c r="J159" s="62">
        <v>5757</v>
      </c>
      <c r="K159" s="42" t="s">
        <v>8073</v>
      </c>
      <c r="L159" s="339" t="str">
        <f>IFERROR(IF(OR(K159='DICTIONARY-5'!$A$2,K159='DICTIONARY-5'!$A$4,ISBLANK(K159)),VLOOKUP(J159,LIST!$A$6:$L$3250,CURR_1.SEARCH.OLD,0),VLOOKUP(K159,LIST!$B$6:$L$3250,CURR_1.SEARCH.NEW,0)),'DICTIONARY-5'!$A$2)</f>
        <v>1 586,-</v>
      </c>
      <c r="M159" s="339" t="str">
        <f>IFERROR(IF(OR(K159='DICTIONARY-5'!$A$2,K159='DICTIONARY-5'!$A$4,ISBLANK(K159)),VLOOKUP(J159,LIST!$A$6:$M$3250,CURR_2.SEARCH.OLD,0),VLOOKUP(K159,LIST!$B$6:$M$3250,CURR_2.SEARCH.NEW,0)),'DICTIONARY-5'!$A$2)</f>
        <v/>
      </c>
    </row>
    <row r="160" spans="1:13" x14ac:dyDescent="0.25">
      <c r="A160" s="62" t="s">
        <v>712</v>
      </c>
      <c r="B160" s="62">
        <v>2357</v>
      </c>
      <c r="C160" s="42" t="s">
        <v>8069</v>
      </c>
      <c r="D160" s="339" t="str">
        <f>IFERROR(IF(OR(C160='DICTIONARY-5'!$A$2,C160='DICTIONARY-5'!$A$4,ISBLANK(C160)),VLOOKUP(B160,LIST!$A$6:$L$3250,CURR_1.SEARCH.OLD,0),VLOOKUP(C160,LIST!$B$6:$L$3250,CURR_1.SEARCH.NEW,0)),'DICTIONARY-5'!$A$2)</f>
        <v>867,-</v>
      </c>
      <c r="E160" s="339" t="str">
        <f>IFERROR(IF(OR(C160='DICTIONARY-5'!$A$2,C160='DICTIONARY-5'!$A$4,ISBLANK(C160)),VLOOKUP(B160,LIST!$A$6:$M$3250,CURR_2.SEARCH.OLD,0),VLOOKUP(C160,LIST!$B$6:$M$3250,CURR_2.SEARCH.NEW,0)),'DICTIONARY-5'!$A$2)</f>
        <v/>
      </c>
      <c r="F160" s="62">
        <v>3557</v>
      </c>
      <c r="G160" s="42" t="s">
        <v>8071</v>
      </c>
      <c r="H160" s="339" t="str">
        <f>IFERROR(IF(OR(G160='DICTIONARY-5'!$A$2,G160='DICTIONARY-5'!$A$4,ISBLANK(G160)),VLOOKUP(F160,LIST!$A$6:$L$3250,CURR_1.SEARCH.OLD,0),VLOOKUP(G160,LIST!$B$6:$L$3250,CURR_1.SEARCH.NEW,0)),'DICTIONARY-5'!$A$2)</f>
        <v>1 190,-</v>
      </c>
      <c r="I160" s="339" t="str">
        <f>IFERROR(IF(OR(G160='DICTIONARY-5'!$A$2,G160='DICTIONARY-5'!$A$4,ISBLANK(G160)),VLOOKUP(F160,LIST!$A$6:$M$3250,CURR_2.SEARCH.OLD,0),VLOOKUP(G160,LIST!$B$6:$M$3250,CURR_2.SEARCH.NEW,0)),'DICTIONARY-5'!$A$2)</f>
        <v/>
      </c>
      <c r="J160" s="62">
        <v>5857</v>
      </c>
      <c r="K160" s="42" t="s">
        <v>8073</v>
      </c>
      <c r="L160" s="339" t="str">
        <f>IFERROR(IF(OR(K160='DICTIONARY-5'!$A$2,K160='DICTIONARY-5'!$A$4,ISBLANK(K160)),VLOOKUP(J160,LIST!$A$6:$L$3250,CURR_1.SEARCH.OLD,0),VLOOKUP(K160,LIST!$B$6:$L$3250,CURR_1.SEARCH.NEW,0)),'DICTIONARY-5'!$A$2)</f>
        <v>1 586,-</v>
      </c>
      <c r="M160" s="339" t="str">
        <f>IFERROR(IF(OR(K160='DICTIONARY-5'!$A$2,K160='DICTIONARY-5'!$A$4,ISBLANK(K160)),VLOOKUP(J160,LIST!$A$6:$M$3250,CURR_2.SEARCH.OLD,0),VLOOKUP(K160,LIST!$B$6:$M$3250,CURR_2.SEARCH.NEW,0)),'DICTIONARY-5'!$A$2)</f>
        <v/>
      </c>
    </row>
    <row r="161" spans="1:13" x14ac:dyDescent="0.25">
      <c r="A161" s="62" t="s">
        <v>715</v>
      </c>
      <c r="B161" s="62">
        <v>2457</v>
      </c>
      <c r="C161" s="42" t="s">
        <v>8069</v>
      </c>
      <c r="D161" s="339" t="str">
        <f>IFERROR(IF(OR(C161='DICTIONARY-5'!$A$2,C161='DICTIONARY-5'!$A$4,ISBLANK(C161)),VLOOKUP(B161,LIST!$A$6:$L$3250,CURR_1.SEARCH.OLD,0),VLOOKUP(C161,LIST!$B$6:$L$3250,CURR_1.SEARCH.NEW,0)),'DICTIONARY-5'!$A$2)</f>
        <v>867,-</v>
      </c>
      <c r="E161" s="339" t="str">
        <f>IFERROR(IF(OR(C161='DICTIONARY-5'!$A$2,C161='DICTIONARY-5'!$A$4,ISBLANK(C161)),VLOOKUP(B161,LIST!$A$6:$M$3250,CURR_2.SEARCH.OLD,0),VLOOKUP(C161,LIST!$B$6:$M$3250,CURR_2.SEARCH.NEW,0)),'DICTIONARY-5'!$A$2)</f>
        <v/>
      </c>
      <c r="F161" s="62">
        <v>3657</v>
      </c>
      <c r="G161" s="42" t="s">
        <v>8071</v>
      </c>
      <c r="H161" s="339" t="str">
        <f>IFERROR(IF(OR(G161='DICTIONARY-5'!$A$2,G161='DICTIONARY-5'!$A$4,ISBLANK(G161)),VLOOKUP(F161,LIST!$A$6:$L$3250,CURR_1.SEARCH.OLD,0),VLOOKUP(G161,LIST!$B$6:$L$3250,CURR_1.SEARCH.NEW,0)),'DICTIONARY-5'!$A$2)</f>
        <v>1 190,-</v>
      </c>
      <c r="I161" s="339" t="str">
        <f>IFERROR(IF(OR(G161='DICTIONARY-5'!$A$2,G161='DICTIONARY-5'!$A$4,ISBLANK(G161)),VLOOKUP(F161,LIST!$A$6:$M$3250,CURR_2.SEARCH.OLD,0),VLOOKUP(G161,LIST!$B$6:$M$3250,CURR_2.SEARCH.NEW,0)),'DICTIONARY-5'!$A$2)</f>
        <v/>
      </c>
      <c r="J161" s="62">
        <v>5957</v>
      </c>
      <c r="K161" s="42" t="s">
        <v>8073</v>
      </c>
      <c r="L161" s="339" t="str">
        <f>IFERROR(IF(OR(K161='DICTIONARY-5'!$A$2,K161='DICTIONARY-5'!$A$4,ISBLANK(K161)),VLOOKUP(J161,LIST!$A$6:$L$3250,CURR_1.SEARCH.OLD,0),VLOOKUP(K161,LIST!$B$6:$L$3250,CURR_1.SEARCH.NEW,0)),'DICTIONARY-5'!$A$2)</f>
        <v>1 586,-</v>
      </c>
      <c r="M161" s="339" t="str">
        <f>IFERROR(IF(OR(K161='DICTIONARY-5'!$A$2,K161='DICTIONARY-5'!$A$4,ISBLANK(K161)),VLOOKUP(J161,LIST!$A$6:$M$3250,CURR_2.SEARCH.OLD,0),VLOOKUP(K161,LIST!$B$6:$M$3250,CURR_2.SEARCH.NEW,0)),'DICTIONARY-5'!$A$2)</f>
        <v/>
      </c>
    </row>
    <row r="162" spans="1:13" x14ac:dyDescent="0.25">
      <c r="A162" s="62" t="s">
        <v>664</v>
      </c>
      <c r="B162" s="62">
        <v>2656</v>
      </c>
      <c r="C162" s="42" t="s">
        <v>8069</v>
      </c>
      <c r="D162" s="339" t="str">
        <f>IFERROR(IF(OR(C162='DICTIONARY-5'!$A$2,C162='DICTIONARY-5'!$A$4,ISBLANK(C162)),VLOOKUP(B162,LIST!$A$6:$L$3250,CURR_1.SEARCH.OLD,0),VLOOKUP(C162,LIST!$B$6:$L$3250,CURR_1.SEARCH.NEW,0)),'DICTIONARY-5'!$A$2)</f>
        <v>867,-</v>
      </c>
      <c r="E162" s="339" t="str">
        <f>IFERROR(IF(OR(C162='DICTIONARY-5'!$A$2,C162='DICTIONARY-5'!$A$4,ISBLANK(C162)),VLOOKUP(B162,LIST!$A$6:$M$3250,CURR_2.SEARCH.OLD,0),VLOOKUP(C162,LIST!$B$6:$M$3250,CURR_2.SEARCH.NEW,0)),'DICTIONARY-5'!$A$2)</f>
        <v/>
      </c>
      <c r="F162" s="62">
        <v>3856</v>
      </c>
      <c r="G162" s="42" t="s">
        <v>8071</v>
      </c>
      <c r="H162" s="339" t="str">
        <f>IFERROR(IF(OR(G162='DICTIONARY-5'!$A$2,G162='DICTIONARY-5'!$A$4,ISBLANK(G162)),VLOOKUP(F162,LIST!$A$6:$L$3250,CURR_1.SEARCH.OLD,0),VLOOKUP(G162,LIST!$B$6:$L$3250,CURR_1.SEARCH.NEW,0)),'DICTIONARY-5'!$A$2)</f>
        <v>1 190,-</v>
      </c>
      <c r="I162" s="339" t="str">
        <f>IFERROR(IF(OR(G162='DICTIONARY-5'!$A$2,G162='DICTIONARY-5'!$A$4,ISBLANK(G162)),VLOOKUP(F162,LIST!$A$6:$M$3250,CURR_2.SEARCH.OLD,0),VLOOKUP(G162,LIST!$B$6:$M$3250,CURR_2.SEARCH.NEW,0)),'DICTIONARY-5'!$A$2)</f>
        <v/>
      </c>
      <c r="J162" s="62">
        <v>6156</v>
      </c>
      <c r="K162" s="42" t="s">
        <v>8073</v>
      </c>
      <c r="L162" s="339" t="str">
        <f>IFERROR(IF(OR(K162='DICTIONARY-5'!$A$2,K162='DICTIONARY-5'!$A$4,ISBLANK(K162)),VLOOKUP(J162,LIST!$A$6:$L$3250,CURR_1.SEARCH.OLD,0),VLOOKUP(K162,LIST!$B$6:$L$3250,CURR_1.SEARCH.NEW,0)),'DICTIONARY-5'!$A$2)</f>
        <v>1 586,-</v>
      </c>
      <c r="M162" s="339" t="str">
        <f>IFERROR(IF(OR(K162='DICTIONARY-5'!$A$2,K162='DICTIONARY-5'!$A$4,ISBLANK(K162)),VLOOKUP(J162,LIST!$A$6:$M$3250,CURR_2.SEARCH.OLD,0),VLOOKUP(K162,LIST!$B$6:$M$3250,CURR_2.SEARCH.NEW,0)),'DICTIONARY-5'!$A$2)</f>
        <v/>
      </c>
    </row>
    <row r="163" spans="1:13" x14ac:dyDescent="0.25">
      <c r="A163" s="62" t="s">
        <v>666</v>
      </c>
      <c r="B163" s="62">
        <v>2852</v>
      </c>
      <c r="C163" s="42" t="s">
        <v>8069</v>
      </c>
      <c r="D163" s="339" t="str">
        <f>IFERROR(IF(OR(C163='DICTIONARY-5'!$A$2,C163='DICTIONARY-5'!$A$4,ISBLANK(C163)),VLOOKUP(B163,LIST!$A$6:$L$3250,CURR_1.SEARCH.OLD,0),VLOOKUP(C163,LIST!$B$6:$L$3250,CURR_1.SEARCH.NEW,0)),'DICTIONARY-5'!$A$2)</f>
        <v>867,-</v>
      </c>
      <c r="E163" s="339" t="str">
        <f>IFERROR(IF(OR(C163='DICTIONARY-5'!$A$2,C163='DICTIONARY-5'!$A$4,ISBLANK(C163)),VLOOKUP(B163,LIST!$A$6:$M$3250,CURR_2.SEARCH.OLD,0),VLOOKUP(C163,LIST!$B$6:$M$3250,CURR_2.SEARCH.NEW,0)),'DICTIONARY-5'!$A$2)</f>
        <v/>
      </c>
      <c r="F163" s="62">
        <v>4052</v>
      </c>
      <c r="G163" s="42" t="s">
        <v>8071</v>
      </c>
      <c r="H163" s="339" t="str">
        <f>IFERROR(IF(OR(G163='DICTIONARY-5'!$A$2,G163='DICTIONARY-5'!$A$4,ISBLANK(G163)),VLOOKUP(F163,LIST!$A$6:$L$3250,CURR_1.SEARCH.OLD,0),VLOOKUP(G163,LIST!$B$6:$L$3250,CURR_1.SEARCH.NEW,0)),'DICTIONARY-5'!$A$2)</f>
        <v>1 190,-</v>
      </c>
      <c r="I163" s="339" t="str">
        <f>IFERROR(IF(OR(G163='DICTIONARY-5'!$A$2,G163='DICTIONARY-5'!$A$4,ISBLANK(G163)),VLOOKUP(F163,LIST!$A$6:$M$3250,CURR_2.SEARCH.OLD,0),VLOOKUP(G163,LIST!$B$6:$M$3250,CURR_2.SEARCH.NEW,0)),'DICTIONARY-5'!$A$2)</f>
        <v/>
      </c>
      <c r="J163" s="62">
        <v>6352</v>
      </c>
      <c r="K163" s="42" t="s">
        <v>8073</v>
      </c>
      <c r="L163" s="339" t="str">
        <f>IFERROR(IF(OR(K163='DICTIONARY-5'!$A$2,K163='DICTIONARY-5'!$A$4,ISBLANK(K163)),VLOOKUP(J163,LIST!$A$6:$L$3250,CURR_1.SEARCH.OLD,0),VLOOKUP(K163,LIST!$B$6:$L$3250,CURR_1.SEARCH.NEW,0)),'DICTIONARY-5'!$A$2)</f>
        <v>1 586,-</v>
      </c>
      <c r="M163" s="339" t="str">
        <f>IFERROR(IF(OR(K163='DICTIONARY-5'!$A$2,K163='DICTIONARY-5'!$A$4,ISBLANK(K163)),VLOOKUP(J163,LIST!$A$6:$M$3250,CURR_2.SEARCH.OLD,0),VLOOKUP(K163,LIST!$B$6:$M$3250,CURR_2.SEARCH.NEW,0)),'DICTIONARY-5'!$A$2)</f>
        <v/>
      </c>
    </row>
    <row r="164" spans="1:13" x14ac:dyDescent="0.25">
      <c r="A164" s="62" t="s">
        <v>668</v>
      </c>
      <c r="B164" s="62">
        <v>3047</v>
      </c>
      <c r="C164" s="42" t="s">
        <v>8069</v>
      </c>
      <c r="D164" s="339" t="str">
        <f>IFERROR(IF(OR(C164='DICTIONARY-5'!$A$2,C164='DICTIONARY-5'!$A$4,ISBLANK(C164)),VLOOKUP(B164,LIST!$A$6:$L$3250,CURR_1.SEARCH.OLD,0),VLOOKUP(C164,LIST!$B$6:$L$3250,CURR_1.SEARCH.NEW,0)),'DICTIONARY-5'!$A$2)</f>
        <v>867,-</v>
      </c>
      <c r="E164" s="339" t="str">
        <f>IFERROR(IF(OR(C164='DICTIONARY-5'!$A$2,C164='DICTIONARY-5'!$A$4,ISBLANK(C164)),VLOOKUP(B164,LIST!$A$6:$M$3250,CURR_2.SEARCH.OLD,0),VLOOKUP(C164,LIST!$B$6:$M$3250,CURR_2.SEARCH.NEW,0)),'DICTIONARY-5'!$A$2)</f>
        <v/>
      </c>
      <c r="F164" s="62">
        <v>4247</v>
      </c>
      <c r="G164" s="42" t="s">
        <v>8071</v>
      </c>
      <c r="H164" s="339" t="str">
        <f>IFERROR(IF(OR(G164='DICTIONARY-5'!$A$2,G164='DICTIONARY-5'!$A$4,ISBLANK(G164)),VLOOKUP(F164,LIST!$A$6:$L$3250,CURR_1.SEARCH.OLD,0),VLOOKUP(G164,LIST!$B$6:$L$3250,CURR_1.SEARCH.NEW,0)),'DICTIONARY-5'!$A$2)</f>
        <v>1 190,-</v>
      </c>
      <c r="I164" s="339" t="str">
        <f>IFERROR(IF(OR(G164='DICTIONARY-5'!$A$2,G164='DICTIONARY-5'!$A$4,ISBLANK(G164)),VLOOKUP(F164,LIST!$A$6:$M$3250,CURR_2.SEARCH.OLD,0),VLOOKUP(G164,LIST!$B$6:$M$3250,CURR_2.SEARCH.NEW,0)),'DICTIONARY-5'!$A$2)</f>
        <v/>
      </c>
      <c r="J164" s="62">
        <v>6547</v>
      </c>
      <c r="K164" s="42" t="s">
        <v>8073</v>
      </c>
      <c r="L164" s="339" t="str">
        <f>IFERROR(IF(OR(K164='DICTIONARY-5'!$A$2,K164='DICTIONARY-5'!$A$4,ISBLANK(K164)),VLOOKUP(J164,LIST!$A$6:$L$3250,CURR_1.SEARCH.OLD,0),VLOOKUP(K164,LIST!$B$6:$L$3250,CURR_1.SEARCH.NEW,0)),'DICTIONARY-5'!$A$2)</f>
        <v>1 586,-</v>
      </c>
      <c r="M164" s="339" t="str">
        <f>IFERROR(IF(OR(K164='DICTIONARY-5'!$A$2,K164='DICTIONARY-5'!$A$4,ISBLANK(K164)),VLOOKUP(J164,LIST!$A$6:$M$3250,CURR_2.SEARCH.OLD,0),VLOOKUP(K164,LIST!$B$6:$M$3250,CURR_2.SEARCH.NEW,0)),'DICTIONARY-5'!$A$2)</f>
        <v/>
      </c>
    </row>
    <row r="165" spans="1:13" x14ac:dyDescent="0.25">
      <c r="A165" s="62" t="s">
        <v>670</v>
      </c>
      <c r="B165" s="62">
        <v>3278</v>
      </c>
      <c r="C165" s="42" t="s">
        <v>8070</v>
      </c>
      <c r="D165" s="339" t="str">
        <f>IFERROR(IF(OR(C165='DICTIONARY-5'!$A$2,C165='DICTIONARY-5'!$A$4,ISBLANK(C165)),VLOOKUP(B165,LIST!$A$6:$L$3250,CURR_1.SEARCH.OLD,0),VLOOKUP(C165,LIST!$B$6:$L$3250,CURR_1.SEARCH.NEW,0)),'DICTIONARY-5'!$A$2)</f>
        <v>962,-</v>
      </c>
      <c r="E165" s="339" t="str">
        <f>IFERROR(IF(OR(C165='DICTIONARY-5'!$A$2,C165='DICTIONARY-5'!$A$4,ISBLANK(C165)),VLOOKUP(B165,LIST!$A$6:$M$3250,CURR_2.SEARCH.OLD,0),VLOOKUP(C165,LIST!$B$6:$M$3250,CURR_2.SEARCH.NEW,0)),'DICTIONARY-5'!$A$2)</f>
        <v/>
      </c>
      <c r="F165" s="62">
        <v>4478</v>
      </c>
      <c r="G165" s="42" t="s">
        <v>8072</v>
      </c>
      <c r="H165" s="339" t="str">
        <f>IFERROR(IF(OR(G165='DICTIONARY-5'!$A$2,G165='DICTIONARY-5'!$A$4,ISBLANK(G165)),VLOOKUP(F165,LIST!$A$6:$L$3250,CURR_1.SEARCH.OLD,0),VLOOKUP(G165,LIST!$B$6:$L$3250,CURR_1.SEARCH.NEW,0)),'DICTIONARY-5'!$A$2)</f>
        <v>1 311,-</v>
      </c>
      <c r="I165" s="339" t="str">
        <f>IFERROR(IF(OR(G165='DICTIONARY-5'!$A$2,G165='DICTIONARY-5'!$A$4,ISBLANK(G165)),VLOOKUP(F165,LIST!$A$6:$M$3250,CURR_2.SEARCH.OLD,0),VLOOKUP(G165,LIST!$B$6:$M$3250,CURR_2.SEARCH.NEW,0)),'DICTIONARY-5'!$A$2)</f>
        <v/>
      </c>
      <c r="J165" s="62">
        <v>6778</v>
      </c>
      <c r="K165" s="42" t="s">
        <v>8074</v>
      </c>
      <c r="L165" s="339" t="str">
        <f>IFERROR(IF(OR(K165='DICTIONARY-5'!$A$2,K165='DICTIONARY-5'!$A$4,ISBLANK(K165)),VLOOKUP(J165,LIST!$A$6:$L$3250,CURR_1.SEARCH.OLD,0),VLOOKUP(K165,LIST!$B$6:$L$3250,CURR_1.SEARCH.NEW,0)),'DICTIONARY-5'!$A$2)</f>
        <v>1 785,-</v>
      </c>
      <c r="M165" s="339" t="str">
        <f>IFERROR(IF(OR(K165='DICTIONARY-5'!$A$2,K165='DICTIONARY-5'!$A$4,ISBLANK(K165)),VLOOKUP(J165,LIST!$A$6:$M$3250,CURR_2.SEARCH.OLD,0),VLOOKUP(K165,LIST!$B$6:$M$3250,CURR_2.SEARCH.NEW,0)),'DICTIONARY-5'!$A$2)</f>
        <v/>
      </c>
    </row>
    <row r="166" spans="1:13" x14ac:dyDescent="0.25">
      <c r="A166" s="62" t="s">
        <v>672</v>
      </c>
      <c r="B166" s="62">
        <v>3478</v>
      </c>
      <c r="C166" s="42" t="s">
        <v>8070</v>
      </c>
      <c r="D166" s="339" t="str">
        <f>IFERROR(IF(OR(C166='DICTIONARY-5'!$A$2,C166='DICTIONARY-5'!$A$4,ISBLANK(C166)),VLOOKUP(B166,LIST!$A$6:$L$3250,CURR_1.SEARCH.OLD,0),VLOOKUP(C166,LIST!$B$6:$L$3250,CURR_1.SEARCH.NEW,0)),'DICTIONARY-5'!$A$2)</f>
        <v>962,-</v>
      </c>
      <c r="E166" s="339" t="str">
        <f>IFERROR(IF(OR(C166='DICTIONARY-5'!$A$2,C166='DICTIONARY-5'!$A$4,ISBLANK(C166)),VLOOKUP(B166,LIST!$A$6:$M$3250,CURR_2.SEARCH.OLD,0),VLOOKUP(C166,LIST!$B$6:$M$3250,CURR_2.SEARCH.NEW,0)),'DICTIONARY-5'!$A$2)</f>
        <v/>
      </c>
      <c r="F166" s="62">
        <v>4678</v>
      </c>
      <c r="G166" s="42" t="s">
        <v>8072</v>
      </c>
      <c r="H166" s="339" t="str">
        <f>IFERROR(IF(OR(G166='DICTIONARY-5'!$A$2,G166='DICTIONARY-5'!$A$4,ISBLANK(G166)),VLOOKUP(F166,LIST!$A$6:$L$3250,CURR_1.SEARCH.OLD,0),VLOOKUP(G166,LIST!$B$6:$L$3250,CURR_1.SEARCH.NEW,0)),'DICTIONARY-5'!$A$2)</f>
        <v>1 311,-</v>
      </c>
      <c r="I166" s="339" t="str">
        <f>IFERROR(IF(OR(G166='DICTIONARY-5'!$A$2,G166='DICTIONARY-5'!$A$4,ISBLANK(G166)),VLOOKUP(F166,LIST!$A$6:$M$3250,CURR_2.SEARCH.OLD,0),VLOOKUP(G166,LIST!$B$6:$M$3250,CURR_2.SEARCH.NEW,0)),'DICTIONARY-5'!$A$2)</f>
        <v/>
      </c>
      <c r="J166" s="62">
        <v>6978</v>
      </c>
      <c r="K166" s="42" t="s">
        <v>8074</v>
      </c>
      <c r="L166" s="339" t="str">
        <f>IFERROR(IF(OR(K166='DICTIONARY-5'!$A$2,K166='DICTIONARY-5'!$A$4,ISBLANK(K166)),VLOOKUP(J166,LIST!$A$6:$L$3250,CURR_1.SEARCH.OLD,0),VLOOKUP(K166,LIST!$B$6:$L$3250,CURR_1.SEARCH.NEW,0)),'DICTIONARY-5'!$A$2)</f>
        <v>1 785,-</v>
      </c>
      <c r="M166" s="339" t="str">
        <f>IFERROR(IF(OR(K166='DICTIONARY-5'!$A$2,K166='DICTIONARY-5'!$A$4,ISBLANK(K166)),VLOOKUP(J166,LIST!$A$6:$M$3250,CURR_2.SEARCH.OLD,0),VLOOKUP(K166,LIST!$B$6:$M$3250,CURR_2.SEARCH.NEW,0)),'DICTIONARY-5'!$A$2)</f>
        <v/>
      </c>
    </row>
    <row r="167" spans="1:13" x14ac:dyDescent="0.25">
      <c r="A167" s="62" t="s">
        <v>674</v>
      </c>
      <c r="B167" s="62">
        <v>3678</v>
      </c>
      <c r="C167" s="42" t="s">
        <v>8070</v>
      </c>
      <c r="D167" s="339" t="str">
        <f>IFERROR(IF(OR(C167='DICTIONARY-5'!$A$2,C167='DICTIONARY-5'!$A$4,ISBLANK(C167)),VLOOKUP(B167,LIST!$A$6:$L$3250,CURR_1.SEARCH.OLD,0),VLOOKUP(C167,LIST!$B$6:$L$3250,CURR_1.SEARCH.NEW,0)),'DICTIONARY-5'!$A$2)</f>
        <v>962,-</v>
      </c>
      <c r="E167" s="339" t="str">
        <f>IFERROR(IF(OR(C167='DICTIONARY-5'!$A$2,C167='DICTIONARY-5'!$A$4,ISBLANK(C167)),VLOOKUP(B167,LIST!$A$6:$M$3250,CURR_2.SEARCH.OLD,0),VLOOKUP(C167,LIST!$B$6:$M$3250,CURR_2.SEARCH.NEW,0)),'DICTIONARY-5'!$A$2)</f>
        <v/>
      </c>
      <c r="F167" s="62">
        <v>4878</v>
      </c>
      <c r="G167" s="42" t="s">
        <v>8072</v>
      </c>
      <c r="H167" s="339" t="str">
        <f>IFERROR(IF(OR(G167='DICTIONARY-5'!$A$2,G167='DICTIONARY-5'!$A$4,ISBLANK(G167)),VLOOKUP(F167,LIST!$A$6:$L$3250,CURR_1.SEARCH.OLD,0),VLOOKUP(G167,LIST!$B$6:$L$3250,CURR_1.SEARCH.NEW,0)),'DICTIONARY-5'!$A$2)</f>
        <v>1 311,-</v>
      </c>
      <c r="I167" s="339" t="str">
        <f>IFERROR(IF(OR(G167='DICTIONARY-5'!$A$2,G167='DICTIONARY-5'!$A$4,ISBLANK(G167)),VLOOKUP(F167,LIST!$A$6:$M$3250,CURR_2.SEARCH.OLD,0),VLOOKUP(G167,LIST!$B$6:$M$3250,CURR_2.SEARCH.NEW,0)),'DICTIONARY-5'!$A$2)</f>
        <v/>
      </c>
      <c r="J167" s="62">
        <v>7178</v>
      </c>
      <c r="K167" s="42" t="s">
        <v>8074</v>
      </c>
      <c r="L167" s="339" t="str">
        <f>IFERROR(IF(OR(K167='DICTIONARY-5'!$A$2,K167='DICTIONARY-5'!$A$4,ISBLANK(K167)),VLOOKUP(J167,LIST!$A$6:$L$3250,CURR_1.SEARCH.OLD,0),VLOOKUP(K167,LIST!$B$6:$L$3250,CURR_1.SEARCH.NEW,0)),'DICTIONARY-5'!$A$2)</f>
        <v>1 785,-</v>
      </c>
      <c r="M167" s="339" t="str">
        <f>IFERROR(IF(OR(K167='DICTIONARY-5'!$A$2,K167='DICTIONARY-5'!$A$4,ISBLANK(K167)),VLOOKUP(J167,LIST!$A$6:$M$3250,CURR_2.SEARCH.OLD,0),VLOOKUP(K167,LIST!$B$6:$M$3250,CURR_2.SEARCH.NEW,0)),'DICTIONARY-5'!$A$2)</f>
        <v/>
      </c>
    </row>
    <row r="168" spans="1:13" x14ac:dyDescent="0.25">
      <c r="A168" s="62" t="s">
        <v>676</v>
      </c>
      <c r="B168" s="62">
        <v>3878</v>
      </c>
      <c r="C168" s="42" t="s">
        <v>8070</v>
      </c>
      <c r="D168" s="339" t="str">
        <f>IFERROR(IF(OR(C168='DICTIONARY-5'!$A$2,C168='DICTIONARY-5'!$A$4,ISBLANK(C168)),VLOOKUP(B168,LIST!$A$6:$L$3250,CURR_1.SEARCH.OLD,0),VLOOKUP(C168,LIST!$B$6:$L$3250,CURR_1.SEARCH.NEW,0)),'DICTIONARY-5'!$A$2)</f>
        <v>962,-</v>
      </c>
      <c r="E168" s="339" t="str">
        <f>IFERROR(IF(OR(C168='DICTIONARY-5'!$A$2,C168='DICTIONARY-5'!$A$4,ISBLANK(C168)),VLOOKUP(B168,LIST!$A$6:$M$3250,CURR_2.SEARCH.OLD,0),VLOOKUP(C168,LIST!$B$6:$M$3250,CURR_2.SEARCH.NEW,0)),'DICTIONARY-5'!$A$2)</f>
        <v/>
      </c>
      <c r="F168" s="62">
        <v>5078</v>
      </c>
      <c r="G168" s="42" t="s">
        <v>8072</v>
      </c>
      <c r="H168" s="339" t="str">
        <f>IFERROR(IF(OR(G168='DICTIONARY-5'!$A$2,G168='DICTIONARY-5'!$A$4,ISBLANK(G168)),VLOOKUP(F168,LIST!$A$6:$L$3250,CURR_1.SEARCH.OLD,0),VLOOKUP(G168,LIST!$B$6:$L$3250,CURR_1.SEARCH.NEW,0)),'DICTIONARY-5'!$A$2)</f>
        <v>1 311,-</v>
      </c>
      <c r="I168" s="339" t="str">
        <f>IFERROR(IF(OR(G168='DICTIONARY-5'!$A$2,G168='DICTIONARY-5'!$A$4,ISBLANK(G168)),VLOOKUP(F168,LIST!$A$6:$M$3250,CURR_2.SEARCH.OLD,0),VLOOKUP(G168,LIST!$B$6:$M$3250,CURR_2.SEARCH.NEW,0)),'DICTIONARY-5'!$A$2)</f>
        <v/>
      </c>
      <c r="J168" s="62">
        <v>7378</v>
      </c>
      <c r="K168" s="42" t="s">
        <v>8074</v>
      </c>
      <c r="L168" s="339" t="str">
        <f>IFERROR(IF(OR(K168='DICTIONARY-5'!$A$2,K168='DICTIONARY-5'!$A$4,ISBLANK(K168)),VLOOKUP(J168,LIST!$A$6:$L$3250,CURR_1.SEARCH.OLD,0),VLOOKUP(K168,LIST!$B$6:$L$3250,CURR_1.SEARCH.NEW,0)),'DICTIONARY-5'!$A$2)</f>
        <v>1 785,-</v>
      </c>
      <c r="M168" s="339" t="str">
        <f>IFERROR(IF(OR(K168='DICTIONARY-5'!$A$2,K168='DICTIONARY-5'!$A$4,ISBLANK(K168)),VLOOKUP(J168,LIST!$A$6:$M$3250,CURR_2.SEARCH.OLD,0),VLOOKUP(K168,LIST!$B$6:$M$3250,CURR_2.SEARCH.NEW,0)),'DICTIONARY-5'!$A$2)</f>
        <v/>
      </c>
    </row>
    <row r="169" spans="1:13" x14ac:dyDescent="0.25">
      <c r="A169" s="62" t="s">
        <v>678</v>
      </c>
      <c r="B169" s="62">
        <v>4278</v>
      </c>
      <c r="C169" s="42" t="s">
        <v>8070</v>
      </c>
      <c r="D169" s="339" t="str">
        <f>IFERROR(IF(OR(C169='DICTIONARY-5'!$A$2,C169='DICTIONARY-5'!$A$4,ISBLANK(C169)),VLOOKUP(B169,LIST!$A$6:$L$3250,CURR_1.SEARCH.OLD,0),VLOOKUP(C169,LIST!$B$6:$L$3250,CURR_1.SEARCH.NEW,0)),'DICTIONARY-5'!$A$2)</f>
        <v>962,-</v>
      </c>
      <c r="E169" s="339" t="str">
        <f>IFERROR(IF(OR(C169='DICTIONARY-5'!$A$2,C169='DICTIONARY-5'!$A$4,ISBLANK(C169)),VLOOKUP(B169,LIST!$A$6:$M$3250,CURR_2.SEARCH.OLD,0),VLOOKUP(C169,LIST!$B$6:$M$3250,CURR_2.SEARCH.NEW,0)),'DICTIONARY-5'!$A$2)</f>
        <v/>
      </c>
      <c r="F169" s="62">
        <v>5478</v>
      </c>
      <c r="G169" s="42" t="s">
        <v>8072</v>
      </c>
      <c r="H169" s="339" t="str">
        <f>IFERROR(IF(OR(G169='DICTIONARY-5'!$A$2,G169='DICTIONARY-5'!$A$4,ISBLANK(G169)),VLOOKUP(F169,LIST!$A$6:$L$3250,CURR_1.SEARCH.OLD,0),VLOOKUP(G169,LIST!$B$6:$L$3250,CURR_1.SEARCH.NEW,0)),'DICTIONARY-5'!$A$2)</f>
        <v>1 311,-</v>
      </c>
      <c r="I169" s="339" t="str">
        <f>IFERROR(IF(OR(G169='DICTIONARY-5'!$A$2,G169='DICTIONARY-5'!$A$4,ISBLANK(G169)),VLOOKUP(F169,LIST!$A$6:$M$3250,CURR_2.SEARCH.OLD,0),VLOOKUP(G169,LIST!$B$6:$M$3250,CURR_2.SEARCH.NEW,0)),'DICTIONARY-5'!$A$2)</f>
        <v/>
      </c>
      <c r="J169" s="62">
        <v>7778</v>
      </c>
      <c r="K169" s="42" t="s">
        <v>8074</v>
      </c>
      <c r="L169" s="339" t="str">
        <f>IFERROR(IF(OR(K169='DICTIONARY-5'!$A$2,K169='DICTIONARY-5'!$A$4,ISBLANK(K169)),VLOOKUP(J169,LIST!$A$6:$L$3250,CURR_1.SEARCH.OLD,0),VLOOKUP(K169,LIST!$B$6:$L$3250,CURR_1.SEARCH.NEW,0)),'DICTIONARY-5'!$A$2)</f>
        <v>1 785,-</v>
      </c>
      <c r="M169" s="339" t="str">
        <f>IFERROR(IF(OR(K169='DICTIONARY-5'!$A$2,K169='DICTIONARY-5'!$A$4,ISBLANK(K169)),VLOOKUP(J169,LIST!$A$6:$M$3250,CURR_2.SEARCH.OLD,0),VLOOKUP(K169,LIST!$B$6:$M$3250,CURR_2.SEARCH.NEW,0)),'DICTIONARY-5'!$A$2)</f>
        <v/>
      </c>
    </row>
    <row r="170" spans="1:13" x14ac:dyDescent="0.25">
      <c r="A170" s="555"/>
      <c r="B170" s="555"/>
      <c r="C170" s="30"/>
      <c r="D170" s="557"/>
      <c r="E170" s="557"/>
      <c r="F170" s="555"/>
      <c r="G170" s="30"/>
      <c r="H170" s="557"/>
      <c r="I170" s="557"/>
      <c r="J170" s="555"/>
      <c r="K170" s="30"/>
      <c r="L170" s="557"/>
      <c r="M170" s="557"/>
    </row>
    <row r="171" spans="1:13" x14ac:dyDescent="0.25">
      <c r="A171" s="64" t="str">
        <f>"1) "&amp;'DICTIONARY-5'!$A$86&amp;" - "&amp;'DICTIONARY-5'!$A$89</f>
        <v>1) Głębokość zabudowy - odległość od dna rurociągu / kanału do poziomu operacyjnego</v>
      </c>
    </row>
    <row r="175" spans="1:13" s="87" customFormat="1" ht="16.5" thickBot="1" x14ac:dyDescent="0.3">
      <c r="A175" s="81" t="str">
        <f>CONCATENATE('DICTIONARY-3'!$A$18," ",'DICTIONARY-3'!$A$26," / ",'DICTIONARY-3'!$A$274," ",'DICTIONARY-3'!$A$281)</f>
        <v>Zestaw S8 / Teleskopowe przedłużenie wrzeciona i kolumienką przygotowaną pod napęd elektryczny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1:13" x14ac:dyDescent="0.25">
      <c r="A176" s="36" t="str">
        <f>CONCATENATE(PROPER('DICTIONARY-5'!$A$7)," ",'DICTIONARY-3'!$A$13,"/",'DICTIONARY-3'!$A$15," ",'DICTIONARY-3'!$A$190," ",LOWER('DICTIONARY-3'!$A$257))</f>
        <v>Dla EROXplus/ERIplus Zasuwa wrzecionowa z wrzecionem niewznoszącym się</v>
      </c>
    </row>
    <row r="177" spans="1:13" x14ac:dyDescent="0.25">
      <c r="A177" s="36" t="str">
        <f>CONCATENATE('DICTIONARY-1'!$A$10,": ",SETTINGS!$C$88)</f>
        <v>Grupa rabatowa: REMO</v>
      </c>
    </row>
    <row r="178" spans="1:13" x14ac:dyDescent="0.25">
      <c r="A178" s="36"/>
      <c r="B178" s="30"/>
      <c r="C178" s="30"/>
      <c r="D178" s="30"/>
      <c r="E178" s="31"/>
      <c r="F178" s="31"/>
      <c r="G178" s="31"/>
      <c r="H178" s="31"/>
      <c r="I178" s="31"/>
      <c r="J178" s="31"/>
    </row>
    <row r="179" spans="1:13" x14ac:dyDescent="0.25">
      <c r="A179" s="960" t="str">
        <f>'DICTIONARY-3'!$A$265</f>
        <v xml:space="preserve">Obszar przepływu </v>
      </c>
      <c r="B179" s="38" t="str">
        <f>'DICTIONARY-2'!$A$9&amp;" 1)"</f>
        <v>Tmax 1)</v>
      </c>
      <c r="C179" s="960" t="str">
        <f>'DICTIONARY-3'!$A$18&amp;" "&amp;'DICTIONARY-3'!$A$26</f>
        <v>Zestaw S8</v>
      </c>
      <c r="D179" s="960"/>
      <c r="E179" s="960"/>
      <c r="F179" s="38" t="str">
        <f>'DICTIONARY-2'!$A$9&amp;" 1)"</f>
        <v>Tmax 1)</v>
      </c>
      <c r="G179" s="960" t="str">
        <f>'DICTIONARY-3'!$A$18&amp;" "&amp;'DICTIONARY-3'!$A$26</f>
        <v>Zestaw S8</v>
      </c>
      <c r="H179" s="960"/>
      <c r="I179" s="960"/>
      <c r="J179" s="38" t="str">
        <f>'DICTIONARY-2'!$A$9&amp;" 1)"</f>
        <v>Tmax 1)</v>
      </c>
      <c r="K179" s="960" t="str">
        <f>'DICTIONARY-3'!$A$18&amp;" "&amp;'DICTIONARY-3'!$A$26</f>
        <v>Zestaw S8</v>
      </c>
      <c r="L179" s="960"/>
      <c r="M179" s="960"/>
    </row>
    <row r="180" spans="1:13" x14ac:dyDescent="0.25">
      <c r="A180" s="977"/>
      <c r="B180" s="57"/>
      <c r="C180" s="961" t="str">
        <f>'DICTIONARY-5'!$A$103&amp;" A (0,85 - 1,5 m)"</f>
        <v>przedłużenie wrzeciona A (0,85 - 1,5 m)</v>
      </c>
      <c r="D180" s="961"/>
      <c r="E180" s="961"/>
      <c r="F180" s="57"/>
      <c r="G180" s="961" t="str">
        <f>'DICTIONARY-5'!$A$103&amp;" B (1,5 - 2,7 m)"</f>
        <v>przedłużenie wrzeciona B (1,5 - 2,7 m)</v>
      </c>
      <c r="H180" s="961"/>
      <c r="I180" s="961"/>
      <c r="J180" s="57"/>
      <c r="K180" s="961" t="str">
        <f>'DICTIONARY-5'!$A$103&amp;" C (2,7 - 5,0 m)"</f>
        <v>przedłużenie wrzeciona C (2,7 - 5,0 m)</v>
      </c>
      <c r="L180" s="961"/>
      <c r="M180" s="961"/>
    </row>
    <row r="181" spans="1:13" x14ac:dyDescent="0.25">
      <c r="A181" s="39" t="str">
        <f>'DICTIONARY-2'!$A$18</f>
        <v>[mm]</v>
      </c>
      <c r="B181" s="39" t="str">
        <f>'DICTIONARY-2'!$A$18</f>
        <v>[mm]</v>
      </c>
      <c r="C181" s="58" t="str">
        <f>'DICTIONARY-2'!$A$30</f>
        <v>numer identyfikacyjny</v>
      </c>
      <c r="D181" s="41" t="str">
        <f>CURRENCY.CODE_1</f>
        <v>EUR</v>
      </c>
      <c r="E181" s="41" t="str">
        <f>CURRENCY.CODE_2</f>
        <v>---</v>
      </c>
      <c r="F181" s="39" t="str">
        <f>'DICTIONARY-2'!$A$18</f>
        <v>[mm]</v>
      </c>
      <c r="G181" s="58" t="str">
        <f>'DICTIONARY-2'!$A$30</f>
        <v>numer identyfikacyjny</v>
      </c>
      <c r="H181" s="41" t="str">
        <f>CURRENCY.CODE_1</f>
        <v>EUR</v>
      </c>
      <c r="I181" s="41" t="str">
        <f>CURRENCY.CODE_2</f>
        <v>---</v>
      </c>
      <c r="J181" s="39" t="str">
        <f>'DICTIONARY-2'!$A$18</f>
        <v>[mm]</v>
      </c>
      <c r="K181" s="58" t="str">
        <f>'DICTIONARY-2'!$A$30</f>
        <v>numer identyfikacyjny</v>
      </c>
      <c r="L181" s="41" t="str">
        <f>CURRENCY.CODE_1</f>
        <v>EUR</v>
      </c>
      <c r="M181" s="41" t="str">
        <f>CURRENCY.CODE_2</f>
        <v>---</v>
      </c>
    </row>
    <row r="182" spans="1:13" x14ac:dyDescent="0.25">
      <c r="A182" s="62" t="s">
        <v>706</v>
      </c>
      <c r="B182" s="62">
        <v>2157</v>
      </c>
      <c r="C182" s="42" t="s">
        <v>8075</v>
      </c>
      <c r="D182" s="339" t="str">
        <f>IFERROR(IF(OR(C182='DICTIONARY-5'!$A$2,C182='DICTIONARY-5'!$A$4,ISBLANK(C182)),VLOOKUP(B182,LIST!$A$6:$L$3250,CURR_1.SEARCH.OLD,0),VLOOKUP(C182,LIST!$B$6:$L$3250,CURR_1.SEARCH.NEW,0)),'DICTIONARY-5'!$A$2)</f>
        <v>852,-</v>
      </c>
      <c r="E182" s="339" t="str">
        <f>IFERROR(IF(OR(C182='DICTIONARY-5'!$A$2,C182='DICTIONARY-5'!$A$4,ISBLANK(C182)),VLOOKUP(B182,LIST!$A$6:$M$3250,CURR_2.SEARCH.OLD,0),VLOOKUP(C182,LIST!$B$6:$M$3250,CURR_2.SEARCH.NEW,0)),'DICTIONARY-5'!$A$2)</f>
        <v/>
      </c>
      <c r="F182" s="62">
        <v>3357</v>
      </c>
      <c r="G182" s="42" t="s">
        <v>8081</v>
      </c>
      <c r="H182" s="339" t="str">
        <f>IFERROR(IF(OR(G182='DICTIONARY-5'!$A$2,G182='DICTIONARY-5'!$A$4,ISBLANK(G182)),VLOOKUP(F182,LIST!$A$6:$L$3250,CURR_1.SEARCH.OLD,0),VLOOKUP(G182,LIST!$B$6:$L$3250,CURR_1.SEARCH.NEW,0)),'DICTIONARY-5'!$A$2)</f>
        <v>1 175,-</v>
      </c>
      <c r="I182" s="339" t="str">
        <f>IFERROR(IF(OR(G182='DICTIONARY-5'!$A$2,G182='DICTIONARY-5'!$A$4,ISBLANK(G182)),VLOOKUP(F182,LIST!$A$6:$M$3250,CURR_2.SEARCH.OLD,0),VLOOKUP(G182,LIST!$B$6:$M$3250,CURR_2.SEARCH.NEW,0)),'DICTIONARY-5'!$A$2)</f>
        <v/>
      </c>
      <c r="J182" s="62">
        <v>5657</v>
      </c>
      <c r="K182" s="42" t="s">
        <v>8078</v>
      </c>
      <c r="L182" s="339" t="str">
        <f>IFERROR(IF(OR(K182='DICTIONARY-5'!$A$2,K182='DICTIONARY-5'!$A$4,ISBLANK(K182)),VLOOKUP(J182,LIST!$A$6:$L$3250,CURR_1.SEARCH.OLD,0),VLOOKUP(K182,LIST!$B$6:$L$3250,CURR_1.SEARCH.NEW,0)),'DICTIONARY-5'!$A$2)</f>
        <v>1 571,-</v>
      </c>
      <c r="M182" s="339" t="str">
        <f>IFERROR(IF(OR(K182='DICTIONARY-5'!$A$2,K182='DICTIONARY-5'!$A$4,ISBLANK(K182)),VLOOKUP(J182,LIST!$A$6:$M$3250,CURR_2.SEARCH.OLD,0),VLOOKUP(K182,LIST!$B$6:$M$3250,CURR_2.SEARCH.NEW,0)),'DICTIONARY-5'!$A$2)</f>
        <v/>
      </c>
    </row>
    <row r="183" spans="1:13" x14ac:dyDescent="0.25">
      <c r="A183" s="62" t="s">
        <v>709</v>
      </c>
      <c r="B183" s="62">
        <v>2257</v>
      </c>
      <c r="C183" s="42" t="s">
        <v>8075</v>
      </c>
      <c r="D183" s="339" t="str">
        <f>IFERROR(IF(OR(C183='DICTIONARY-5'!$A$2,C183='DICTIONARY-5'!$A$4,ISBLANK(C183)),VLOOKUP(B183,LIST!$A$6:$L$3250,CURR_1.SEARCH.OLD,0),VLOOKUP(C183,LIST!$B$6:$L$3250,CURR_1.SEARCH.NEW,0)),'DICTIONARY-5'!$A$2)</f>
        <v>852,-</v>
      </c>
      <c r="E183" s="339" t="str">
        <f>IFERROR(IF(OR(C183='DICTIONARY-5'!$A$2,C183='DICTIONARY-5'!$A$4,ISBLANK(C183)),VLOOKUP(B183,LIST!$A$6:$M$3250,CURR_2.SEARCH.OLD,0),VLOOKUP(C183,LIST!$B$6:$M$3250,CURR_2.SEARCH.NEW,0)),'DICTIONARY-5'!$A$2)</f>
        <v/>
      </c>
      <c r="F183" s="62">
        <v>3457</v>
      </c>
      <c r="G183" s="42" t="s">
        <v>8081</v>
      </c>
      <c r="H183" s="339" t="str">
        <f>IFERROR(IF(OR(G183='DICTIONARY-5'!$A$2,G183='DICTIONARY-5'!$A$4,ISBLANK(G183)),VLOOKUP(F183,LIST!$A$6:$L$3250,CURR_1.SEARCH.OLD,0),VLOOKUP(G183,LIST!$B$6:$L$3250,CURR_1.SEARCH.NEW,0)),'DICTIONARY-5'!$A$2)</f>
        <v>1 175,-</v>
      </c>
      <c r="I183" s="339" t="str">
        <f>IFERROR(IF(OR(G183='DICTIONARY-5'!$A$2,G183='DICTIONARY-5'!$A$4,ISBLANK(G183)),VLOOKUP(F183,LIST!$A$6:$M$3250,CURR_2.SEARCH.OLD,0),VLOOKUP(G183,LIST!$B$6:$M$3250,CURR_2.SEARCH.NEW,0)),'DICTIONARY-5'!$A$2)</f>
        <v/>
      </c>
      <c r="J183" s="62">
        <v>5757</v>
      </c>
      <c r="K183" s="42" t="s">
        <v>8078</v>
      </c>
      <c r="L183" s="339" t="str">
        <f>IFERROR(IF(OR(K183='DICTIONARY-5'!$A$2,K183='DICTIONARY-5'!$A$4,ISBLANK(K183)),VLOOKUP(J183,LIST!$A$6:$L$3250,CURR_1.SEARCH.OLD,0),VLOOKUP(K183,LIST!$B$6:$L$3250,CURR_1.SEARCH.NEW,0)),'DICTIONARY-5'!$A$2)</f>
        <v>1 571,-</v>
      </c>
      <c r="M183" s="339" t="str">
        <f>IFERROR(IF(OR(K183='DICTIONARY-5'!$A$2,K183='DICTIONARY-5'!$A$4,ISBLANK(K183)),VLOOKUP(J183,LIST!$A$6:$M$3250,CURR_2.SEARCH.OLD,0),VLOOKUP(K183,LIST!$B$6:$M$3250,CURR_2.SEARCH.NEW,0)),'DICTIONARY-5'!$A$2)</f>
        <v/>
      </c>
    </row>
    <row r="184" spans="1:13" x14ac:dyDescent="0.25">
      <c r="A184" s="62" t="s">
        <v>712</v>
      </c>
      <c r="B184" s="62">
        <v>2357</v>
      </c>
      <c r="C184" s="42" t="s">
        <v>8075</v>
      </c>
      <c r="D184" s="339" t="str">
        <f>IFERROR(IF(OR(C184='DICTIONARY-5'!$A$2,C184='DICTIONARY-5'!$A$4,ISBLANK(C184)),VLOOKUP(B184,LIST!$A$6:$L$3250,CURR_1.SEARCH.OLD,0),VLOOKUP(C184,LIST!$B$6:$L$3250,CURR_1.SEARCH.NEW,0)),'DICTIONARY-5'!$A$2)</f>
        <v>852,-</v>
      </c>
      <c r="E184" s="339" t="str">
        <f>IFERROR(IF(OR(C184='DICTIONARY-5'!$A$2,C184='DICTIONARY-5'!$A$4,ISBLANK(C184)),VLOOKUP(B184,LIST!$A$6:$M$3250,CURR_2.SEARCH.OLD,0),VLOOKUP(C184,LIST!$B$6:$M$3250,CURR_2.SEARCH.NEW,0)),'DICTIONARY-5'!$A$2)</f>
        <v/>
      </c>
      <c r="F184" s="62">
        <v>3557</v>
      </c>
      <c r="G184" s="42" t="s">
        <v>8081</v>
      </c>
      <c r="H184" s="339" t="str">
        <f>IFERROR(IF(OR(G184='DICTIONARY-5'!$A$2,G184='DICTIONARY-5'!$A$4,ISBLANK(G184)),VLOOKUP(F184,LIST!$A$6:$L$3250,CURR_1.SEARCH.OLD,0),VLOOKUP(G184,LIST!$B$6:$L$3250,CURR_1.SEARCH.NEW,0)),'DICTIONARY-5'!$A$2)</f>
        <v>1 175,-</v>
      </c>
      <c r="I184" s="339" t="str">
        <f>IFERROR(IF(OR(G184='DICTIONARY-5'!$A$2,G184='DICTIONARY-5'!$A$4,ISBLANK(G184)),VLOOKUP(F184,LIST!$A$6:$M$3250,CURR_2.SEARCH.OLD,0),VLOOKUP(G184,LIST!$B$6:$M$3250,CURR_2.SEARCH.NEW,0)),'DICTIONARY-5'!$A$2)</f>
        <v/>
      </c>
      <c r="J184" s="62">
        <v>5857</v>
      </c>
      <c r="K184" s="42" t="s">
        <v>8078</v>
      </c>
      <c r="L184" s="339" t="str">
        <f>IFERROR(IF(OR(K184='DICTIONARY-5'!$A$2,K184='DICTIONARY-5'!$A$4,ISBLANK(K184)),VLOOKUP(J184,LIST!$A$6:$L$3250,CURR_1.SEARCH.OLD,0),VLOOKUP(K184,LIST!$B$6:$L$3250,CURR_1.SEARCH.NEW,0)),'DICTIONARY-5'!$A$2)</f>
        <v>1 571,-</v>
      </c>
      <c r="M184" s="339" t="str">
        <f>IFERROR(IF(OR(K184='DICTIONARY-5'!$A$2,K184='DICTIONARY-5'!$A$4,ISBLANK(K184)),VLOOKUP(J184,LIST!$A$6:$M$3250,CURR_2.SEARCH.OLD,0),VLOOKUP(K184,LIST!$B$6:$M$3250,CURR_2.SEARCH.NEW,0)),'DICTIONARY-5'!$A$2)</f>
        <v/>
      </c>
    </row>
    <row r="185" spans="1:13" x14ac:dyDescent="0.25">
      <c r="A185" s="62" t="s">
        <v>715</v>
      </c>
      <c r="B185" s="62">
        <v>2457</v>
      </c>
      <c r="C185" s="42" t="s">
        <v>8075</v>
      </c>
      <c r="D185" s="339" t="str">
        <f>IFERROR(IF(OR(C185='DICTIONARY-5'!$A$2,C185='DICTIONARY-5'!$A$4,ISBLANK(C185)),VLOOKUP(B185,LIST!$A$6:$L$3250,CURR_1.SEARCH.OLD,0),VLOOKUP(C185,LIST!$B$6:$L$3250,CURR_1.SEARCH.NEW,0)),'DICTIONARY-5'!$A$2)</f>
        <v>852,-</v>
      </c>
      <c r="E185" s="339" t="str">
        <f>IFERROR(IF(OR(C185='DICTIONARY-5'!$A$2,C185='DICTIONARY-5'!$A$4,ISBLANK(C185)),VLOOKUP(B185,LIST!$A$6:$M$3250,CURR_2.SEARCH.OLD,0),VLOOKUP(C185,LIST!$B$6:$M$3250,CURR_2.SEARCH.NEW,0)),'DICTIONARY-5'!$A$2)</f>
        <v/>
      </c>
      <c r="F185" s="62">
        <v>3657</v>
      </c>
      <c r="G185" s="42" t="s">
        <v>8081</v>
      </c>
      <c r="H185" s="339" t="str">
        <f>IFERROR(IF(OR(G185='DICTIONARY-5'!$A$2,G185='DICTIONARY-5'!$A$4,ISBLANK(G185)),VLOOKUP(F185,LIST!$A$6:$L$3250,CURR_1.SEARCH.OLD,0),VLOOKUP(G185,LIST!$B$6:$L$3250,CURR_1.SEARCH.NEW,0)),'DICTIONARY-5'!$A$2)</f>
        <v>1 175,-</v>
      </c>
      <c r="I185" s="339" t="str">
        <f>IFERROR(IF(OR(G185='DICTIONARY-5'!$A$2,G185='DICTIONARY-5'!$A$4,ISBLANK(G185)),VLOOKUP(F185,LIST!$A$6:$M$3250,CURR_2.SEARCH.OLD,0),VLOOKUP(G185,LIST!$B$6:$M$3250,CURR_2.SEARCH.NEW,0)),'DICTIONARY-5'!$A$2)</f>
        <v/>
      </c>
      <c r="J185" s="62">
        <v>5957</v>
      </c>
      <c r="K185" s="42" t="s">
        <v>8078</v>
      </c>
      <c r="L185" s="339" t="str">
        <f>IFERROR(IF(OR(K185='DICTIONARY-5'!$A$2,K185='DICTIONARY-5'!$A$4,ISBLANK(K185)),VLOOKUP(J185,LIST!$A$6:$L$3250,CURR_1.SEARCH.OLD,0),VLOOKUP(K185,LIST!$B$6:$L$3250,CURR_1.SEARCH.NEW,0)),'DICTIONARY-5'!$A$2)</f>
        <v>1 571,-</v>
      </c>
      <c r="M185" s="339" t="str">
        <f>IFERROR(IF(OR(K185='DICTIONARY-5'!$A$2,K185='DICTIONARY-5'!$A$4,ISBLANK(K185)),VLOOKUP(J185,LIST!$A$6:$M$3250,CURR_2.SEARCH.OLD,0),VLOOKUP(K185,LIST!$B$6:$M$3250,CURR_2.SEARCH.NEW,0)),'DICTIONARY-5'!$A$2)</f>
        <v/>
      </c>
    </row>
    <row r="186" spans="1:13" x14ac:dyDescent="0.25">
      <c r="A186" s="62" t="s">
        <v>664</v>
      </c>
      <c r="B186" s="62">
        <v>2656</v>
      </c>
      <c r="C186" s="42" t="s">
        <v>8075</v>
      </c>
      <c r="D186" s="339" t="str">
        <f>IFERROR(IF(OR(C186='DICTIONARY-5'!$A$2,C186='DICTIONARY-5'!$A$4,ISBLANK(C186)),VLOOKUP(B186,LIST!$A$6:$L$3250,CURR_1.SEARCH.OLD,0),VLOOKUP(C186,LIST!$B$6:$L$3250,CURR_1.SEARCH.NEW,0)),'DICTIONARY-5'!$A$2)</f>
        <v>852,-</v>
      </c>
      <c r="E186" s="339" t="str">
        <f>IFERROR(IF(OR(C186='DICTIONARY-5'!$A$2,C186='DICTIONARY-5'!$A$4,ISBLANK(C186)),VLOOKUP(B186,LIST!$A$6:$M$3250,CURR_2.SEARCH.OLD,0),VLOOKUP(C186,LIST!$B$6:$M$3250,CURR_2.SEARCH.NEW,0)),'DICTIONARY-5'!$A$2)</f>
        <v/>
      </c>
      <c r="F186" s="62">
        <v>3856</v>
      </c>
      <c r="G186" s="42" t="s">
        <v>8081</v>
      </c>
      <c r="H186" s="339" t="str">
        <f>IFERROR(IF(OR(G186='DICTIONARY-5'!$A$2,G186='DICTIONARY-5'!$A$4,ISBLANK(G186)),VLOOKUP(F186,LIST!$A$6:$L$3250,CURR_1.SEARCH.OLD,0),VLOOKUP(G186,LIST!$B$6:$L$3250,CURR_1.SEARCH.NEW,0)),'DICTIONARY-5'!$A$2)</f>
        <v>1 175,-</v>
      </c>
      <c r="I186" s="339" t="str">
        <f>IFERROR(IF(OR(G186='DICTIONARY-5'!$A$2,G186='DICTIONARY-5'!$A$4,ISBLANK(G186)),VLOOKUP(F186,LIST!$A$6:$M$3250,CURR_2.SEARCH.OLD,0),VLOOKUP(G186,LIST!$B$6:$M$3250,CURR_2.SEARCH.NEW,0)),'DICTIONARY-5'!$A$2)</f>
        <v/>
      </c>
      <c r="J186" s="62">
        <v>6156</v>
      </c>
      <c r="K186" s="42" t="s">
        <v>8078</v>
      </c>
      <c r="L186" s="339" t="str">
        <f>IFERROR(IF(OR(K186='DICTIONARY-5'!$A$2,K186='DICTIONARY-5'!$A$4,ISBLANK(K186)),VLOOKUP(J186,LIST!$A$6:$L$3250,CURR_1.SEARCH.OLD,0),VLOOKUP(K186,LIST!$B$6:$L$3250,CURR_1.SEARCH.NEW,0)),'DICTIONARY-5'!$A$2)</f>
        <v>1 571,-</v>
      </c>
      <c r="M186" s="339" t="str">
        <f>IFERROR(IF(OR(K186='DICTIONARY-5'!$A$2,K186='DICTIONARY-5'!$A$4,ISBLANK(K186)),VLOOKUP(J186,LIST!$A$6:$M$3250,CURR_2.SEARCH.OLD,0),VLOOKUP(K186,LIST!$B$6:$M$3250,CURR_2.SEARCH.NEW,0)),'DICTIONARY-5'!$A$2)</f>
        <v/>
      </c>
    </row>
    <row r="187" spans="1:13" x14ac:dyDescent="0.25">
      <c r="A187" s="62" t="s">
        <v>666</v>
      </c>
      <c r="B187" s="62">
        <v>2852</v>
      </c>
      <c r="C187" s="42" t="s">
        <v>8075</v>
      </c>
      <c r="D187" s="339" t="str">
        <f>IFERROR(IF(OR(C187='DICTIONARY-5'!$A$2,C187='DICTIONARY-5'!$A$4,ISBLANK(C187)),VLOOKUP(B187,LIST!$A$6:$L$3250,CURR_1.SEARCH.OLD,0),VLOOKUP(C187,LIST!$B$6:$L$3250,CURR_1.SEARCH.NEW,0)),'DICTIONARY-5'!$A$2)</f>
        <v>852,-</v>
      </c>
      <c r="E187" s="339" t="str">
        <f>IFERROR(IF(OR(C187='DICTIONARY-5'!$A$2,C187='DICTIONARY-5'!$A$4,ISBLANK(C187)),VLOOKUP(B187,LIST!$A$6:$M$3250,CURR_2.SEARCH.OLD,0),VLOOKUP(C187,LIST!$B$6:$M$3250,CURR_2.SEARCH.NEW,0)),'DICTIONARY-5'!$A$2)</f>
        <v/>
      </c>
      <c r="F187" s="62">
        <v>4052</v>
      </c>
      <c r="G187" s="42" t="s">
        <v>8081</v>
      </c>
      <c r="H187" s="339" t="str">
        <f>IFERROR(IF(OR(G187='DICTIONARY-5'!$A$2,G187='DICTIONARY-5'!$A$4,ISBLANK(G187)),VLOOKUP(F187,LIST!$A$6:$L$3250,CURR_1.SEARCH.OLD,0),VLOOKUP(G187,LIST!$B$6:$L$3250,CURR_1.SEARCH.NEW,0)),'DICTIONARY-5'!$A$2)</f>
        <v>1 175,-</v>
      </c>
      <c r="I187" s="339" t="str">
        <f>IFERROR(IF(OR(G187='DICTIONARY-5'!$A$2,G187='DICTIONARY-5'!$A$4,ISBLANK(G187)),VLOOKUP(F187,LIST!$A$6:$M$3250,CURR_2.SEARCH.OLD,0),VLOOKUP(G187,LIST!$B$6:$M$3250,CURR_2.SEARCH.NEW,0)),'DICTIONARY-5'!$A$2)</f>
        <v/>
      </c>
      <c r="J187" s="62">
        <v>6352</v>
      </c>
      <c r="K187" s="42" t="s">
        <v>8078</v>
      </c>
      <c r="L187" s="339" t="str">
        <f>IFERROR(IF(OR(K187='DICTIONARY-5'!$A$2,K187='DICTIONARY-5'!$A$4,ISBLANK(K187)),VLOOKUP(J187,LIST!$A$6:$L$3250,CURR_1.SEARCH.OLD,0),VLOOKUP(K187,LIST!$B$6:$L$3250,CURR_1.SEARCH.NEW,0)),'DICTIONARY-5'!$A$2)</f>
        <v>1 571,-</v>
      </c>
      <c r="M187" s="339" t="str">
        <f>IFERROR(IF(OR(K187='DICTIONARY-5'!$A$2,K187='DICTIONARY-5'!$A$4,ISBLANK(K187)),VLOOKUP(J187,LIST!$A$6:$M$3250,CURR_2.SEARCH.OLD,0),VLOOKUP(K187,LIST!$B$6:$M$3250,CURR_2.SEARCH.NEW,0)),'DICTIONARY-5'!$A$2)</f>
        <v/>
      </c>
    </row>
    <row r="188" spans="1:13" x14ac:dyDescent="0.25">
      <c r="A188" s="62" t="s">
        <v>668</v>
      </c>
      <c r="B188" s="62">
        <v>3047</v>
      </c>
      <c r="C188" s="42" t="s">
        <v>8075</v>
      </c>
      <c r="D188" s="339" t="str">
        <f>IFERROR(IF(OR(C188='DICTIONARY-5'!$A$2,C188='DICTIONARY-5'!$A$4,ISBLANK(C188)),VLOOKUP(B188,LIST!$A$6:$L$3250,CURR_1.SEARCH.OLD,0),VLOOKUP(C188,LIST!$B$6:$L$3250,CURR_1.SEARCH.NEW,0)),'DICTIONARY-5'!$A$2)</f>
        <v>852,-</v>
      </c>
      <c r="E188" s="339" t="str">
        <f>IFERROR(IF(OR(C188='DICTIONARY-5'!$A$2,C188='DICTIONARY-5'!$A$4,ISBLANK(C188)),VLOOKUP(B188,LIST!$A$6:$M$3250,CURR_2.SEARCH.OLD,0),VLOOKUP(C188,LIST!$B$6:$M$3250,CURR_2.SEARCH.NEW,0)),'DICTIONARY-5'!$A$2)</f>
        <v/>
      </c>
      <c r="F188" s="62">
        <v>4247</v>
      </c>
      <c r="G188" s="42" t="s">
        <v>8081</v>
      </c>
      <c r="H188" s="339" t="str">
        <f>IFERROR(IF(OR(G188='DICTIONARY-5'!$A$2,G188='DICTIONARY-5'!$A$4,ISBLANK(G188)),VLOOKUP(F188,LIST!$A$6:$L$3250,CURR_1.SEARCH.OLD,0),VLOOKUP(G188,LIST!$B$6:$L$3250,CURR_1.SEARCH.NEW,0)),'DICTIONARY-5'!$A$2)</f>
        <v>1 175,-</v>
      </c>
      <c r="I188" s="339" t="str">
        <f>IFERROR(IF(OR(G188='DICTIONARY-5'!$A$2,G188='DICTIONARY-5'!$A$4,ISBLANK(G188)),VLOOKUP(F188,LIST!$A$6:$M$3250,CURR_2.SEARCH.OLD,0),VLOOKUP(G188,LIST!$B$6:$M$3250,CURR_2.SEARCH.NEW,0)),'DICTIONARY-5'!$A$2)</f>
        <v/>
      </c>
      <c r="J188" s="62">
        <v>6547</v>
      </c>
      <c r="K188" s="42" t="s">
        <v>8078</v>
      </c>
      <c r="L188" s="339" t="str">
        <f>IFERROR(IF(OR(K188='DICTIONARY-5'!$A$2,K188='DICTIONARY-5'!$A$4,ISBLANK(K188)),VLOOKUP(J188,LIST!$A$6:$L$3250,CURR_1.SEARCH.OLD,0),VLOOKUP(K188,LIST!$B$6:$L$3250,CURR_1.SEARCH.NEW,0)),'DICTIONARY-5'!$A$2)</f>
        <v>1 571,-</v>
      </c>
      <c r="M188" s="339" t="str">
        <f>IFERROR(IF(OR(K188='DICTIONARY-5'!$A$2,K188='DICTIONARY-5'!$A$4,ISBLANK(K188)),VLOOKUP(J188,LIST!$A$6:$M$3250,CURR_2.SEARCH.OLD,0),VLOOKUP(K188,LIST!$B$6:$M$3250,CURR_2.SEARCH.NEW,0)),'DICTIONARY-5'!$A$2)</f>
        <v/>
      </c>
    </row>
    <row r="189" spans="1:13" x14ac:dyDescent="0.25">
      <c r="A189" s="62" t="s">
        <v>670</v>
      </c>
      <c r="B189" s="62">
        <v>3278</v>
      </c>
      <c r="C189" s="42" t="s">
        <v>8076</v>
      </c>
      <c r="D189" s="339" t="str">
        <f>IFERROR(IF(OR(C189='DICTIONARY-5'!$A$2,C189='DICTIONARY-5'!$A$4,ISBLANK(C189)),VLOOKUP(B189,LIST!$A$6:$L$3250,CURR_1.SEARCH.OLD,0),VLOOKUP(C189,LIST!$B$6:$L$3250,CURR_1.SEARCH.NEW,0)),'DICTIONARY-5'!$A$2)</f>
        <v>857,-</v>
      </c>
      <c r="E189" s="339" t="str">
        <f>IFERROR(IF(OR(C189='DICTIONARY-5'!$A$2,C189='DICTIONARY-5'!$A$4,ISBLANK(C189)),VLOOKUP(B189,LIST!$A$6:$M$3250,CURR_2.SEARCH.OLD,0),VLOOKUP(C189,LIST!$B$6:$M$3250,CURR_2.SEARCH.NEW,0)),'DICTIONARY-5'!$A$2)</f>
        <v/>
      </c>
      <c r="F189" s="62">
        <v>4478</v>
      </c>
      <c r="G189" s="42" t="s">
        <v>8082</v>
      </c>
      <c r="H189" s="339" t="str">
        <f>IFERROR(IF(OR(G189='DICTIONARY-5'!$A$2,G189='DICTIONARY-5'!$A$4,ISBLANK(G189)),VLOOKUP(F189,LIST!$A$6:$L$3250,CURR_1.SEARCH.OLD,0),VLOOKUP(G189,LIST!$B$6:$L$3250,CURR_1.SEARCH.NEW,0)),'DICTIONARY-5'!$A$2)</f>
        <v>1 206,-</v>
      </c>
      <c r="I189" s="339" t="str">
        <f>IFERROR(IF(OR(G189='DICTIONARY-5'!$A$2,G189='DICTIONARY-5'!$A$4,ISBLANK(G189)),VLOOKUP(F189,LIST!$A$6:$M$3250,CURR_2.SEARCH.OLD,0),VLOOKUP(G189,LIST!$B$6:$M$3250,CURR_2.SEARCH.NEW,0)),'DICTIONARY-5'!$A$2)</f>
        <v/>
      </c>
      <c r="J189" s="62">
        <v>6778</v>
      </c>
      <c r="K189" s="42" t="s">
        <v>8079</v>
      </c>
      <c r="L189" s="339" t="str">
        <f>IFERROR(IF(OR(K189='DICTIONARY-5'!$A$2,K189='DICTIONARY-5'!$A$4,ISBLANK(K189)),VLOOKUP(J189,LIST!$A$6:$L$3250,CURR_1.SEARCH.OLD,0),VLOOKUP(K189,LIST!$B$6:$L$3250,CURR_1.SEARCH.NEW,0)),'DICTIONARY-5'!$A$2)</f>
        <v>1 680,-</v>
      </c>
      <c r="M189" s="339" t="str">
        <f>IFERROR(IF(OR(K189='DICTIONARY-5'!$A$2,K189='DICTIONARY-5'!$A$4,ISBLANK(K189)),VLOOKUP(J189,LIST!$A$6:$M$3250,CURR_2.SEARCH.OLD,0),VLOOKUP(K189,LIST!$B$6:$M$3250,CURR_2.SEARCH.NEW,0)),'DICTIONARY-5'!$A$2)</f>
        <v/>
      </c>
    </row>
    <row r="190" spans="1:13" x14ac:dyDescent="0.25">
      <c r="A190" s="62" t="s">
        <v>672</v>
      </c>
      <c r="B190" s="62">
        <v>3478</v>
      </c>
      <c r="C190" s="42" t="s">
        <v>8076</v>
      </c>
      <c r="D190" s="339" t="str">
        <f>IFERROR(IF(OR(C190='DICTIONARY-5'!$A$2,C190='DICTIONARY-5'!$A$4,ISBLANK(C190)),VLOOKUP(B190,LIST!$A$6:$L$3250,CURR_1.SEARCH.OLD,0),VLOOKUP(C190,LIST!$B$6:$L$3250,CURR_1.SEARCH.NEW,0)),'DICTIONARY-5'!$A$2)</f>
        <v>857,-</v>
      </c>
      <c r="E190" s="339" t="str">
        <f>IFERROR(IF(OR(C190='DICTIONARY-5'!$A$2,C190='DICTIONARY-5'!$A$4,ISBLANK(C190)),VLOOKUP(B190,LIST!$A$6:$M$3250,CURR_2.SEARCH.OLD,0),VLOOKUP(C190,LIST!$B$6:$M$3250,CURR_2.SEARCH.NEW,0)),'DICTIONARY-5'!$A$2)</f>
        <v/>
      </c>
      <c r="F190" s="62">
        <v>4678</v>
      </c>
      <c r="G190" s="42" t="s">
        <v>8082</v>
      </c>
      <c r="H190" s="339" t="str">
        <f>IFERROR(IF(OR(G190='DICTIONARY-5'!$A$2,G190='DICTIONARY-5'!$A$4,ISBLANK(G190)),VLOOKUP(F190,LIST!$A$6:$L$3250,CURR_1.SEARCH.OLD,0),VLOOKUP(G190,LIST!$B$6:$L$3250,CURR_1.SEARCH.NEW,0)),'DICTIONARY-5'!$A$2)</f>
        <v>1 206,-</v>
      </c>
      <c r="I190" s="339" t="str">
        <f>IFERROR(IF(OR(G190='DICTIONARY-5'!$A$2,G190='DICTIONARY-5'!$A$4,ISBLANK(G190)),VLOOKUP(F190,LIST!$A$6:$M$3250,CURR_2.SEARCH.OLD,0),VLOOKUP(G190,LIST!$B$6:$M$3250,CURR_2.SEARCH.NEW,0)),'DICTIONARY-5'!$A$2)</f>
        <v/>
      </c>
      <c r="J190" s="62">
        <v>6978</v>
      </c>
      <c r="K190" s="42" t="s">
        <v>8079</v>
      </c>
      <c r="L190" s="339" t="str">
        <f>IFERROR(IF(OR(K190='DICTIONARY-5'!$A$2,K190='DICTIONARY-5'!$A$4,ISBLANK(K190)),VLOOKUP(J190,LIST!$A$6:$L$3250,CURR_1.SEARCH.OLD,0),VLOOKUP(K190,LIST!$B$6:$L$3250,CURR_1.SEARCH.NEW,0)),'DICTIONARY-5'!$A$2)</f>
        <v>1 680,-</v>
      </c>
      <c r="M190" s="339" t="str">
        <f>IFERROR(IF(OR(K190='DICTIONARY-5'!$A$2,K190='DICTIONARY-5'!$A$4,ISBLANK(K190)),VLOOKUP(J190,LIST!$A$6:$M$3250,CURR_2.SEARCH.OLD,0),VLOOKUP(K190,LIST!$B$6:$M$3250,CURR_2.SEARCH.NEW,0)),'DICTIONARY-5'!$A$2)</f>
        <v/>
      </c>
    </row>
    <row r="191" spans="1:13" x14ac:dyDescent="0.25">
      <c r="A191" s="62" t="s">
        <v>674</v>
      </c>
      <c r="B191" s="62">
        <v>3678</v>
      </c>
      <c r="C191" s="42" t="s">
        <v>8076</v>
      </c>
      <c r="D191" s="339" t="str">
        <f>IFERROR(IF(OR(C191='DICTIONARY-5'!$A$2,C191='DICTIONARY-5'!$A$4,ISBLANK(C191)),VLOOKUP(B191,LIST!$A$6:$L$3250,CURR_1.SEARCH.OLD,0),VLOOKUP(C191,LIST!$B$6:$L$3250,CURR_1.SEARCH.NEW,0)),'DICTIONARY-5'!$A$2)</f>
        <v>857,-</v>
      </c>
      <c r="E191" s="339" t="str">
        <f>IFERROR(IF(OR(C191='DICTIONARY-5'!$A$2,C191='DICTIONARY-5'!$A$4,ISBLANK(C191)),VLOOKUP(B191,LIST!$A$6:$M$3250,CURR_2.SEARCH.OLD,0),VLOOKUP(C191,LIST!$B$6:$M$3250,CURR_2.SEARCH.NEW,0)),'DICTIONARY-5'!$A$2)</f>
        <v/>
      </c>
      <c r="F191" s="62">
        <v>4878</v>
      </c>
      <c r="G191" s="42" t="s">
        <v>8082</v>
      </c>
      <c r="H191" s="339" t="str">
        <f>IFERROR(IF(OR(G191='DICTIONARY-5'!$A$2,G191='DICTIONARY-5'!$A$4,ISBLANK(G191)),VLOOKUP(F191,LIST!$A$6:$L$3250,CURR_1.SEARCH.OLD,0),VLOOKUP(G191,LIST!$B$6:$L$3250,CURR_1.SEARCH.NEW,0)),'DICTIONARY-5'!$A$2)</f>
        <v>1 206,-</v>
      </c>
      <c r="I191" s="339" t="str">
        <f>IFERROR(IF(OR(G191='DICTIONARY-5'!$A$2,G191='DICTIONARY-5'!$A$4,ISBLANK(G191)),VLOOKUP(F191,LIST!$A$6:$M$3250,CURR_2.SEARCH.OLD,0),VLOOKUP(G191,LIST!$B$6:$M$3250,CURR_2.SEARCH.NEW,0)),'DICTIONARY-5'!$A$2)</f>
        <v/>
      </c>
      <c r="J191" s="62">
        <v>7178</v>
      </c>
      <c r="K191" s="42" t="s">
        <v>8079</v>
      </c>
      <c r="L191" s="339" t="str">
        <f>IFERROR(IF(OR(K191='DICTIONARY-5'!$A$2,K191='DICTIONARY-5'!$A$4,ISBLANK(K191)),VLOOKUP(J191,LIST!$A$6:$L$3250,CURR_1.SEARCH.OLD,0),VLOOKUP(K191,LIST!$B$6:$L$3250,CURR_1.SEARCH.NEW,0)),'DICTIONARY-5'!$A$2)</f>
        <v>1 680,-</v>
      </c>
      <c r="M191" s="339" t="str">
        <f>IFERROR(IF(OR(K191='DICTIONARY-5'!$A$2,K191='DICTIONARY-5'!$A$4,ISBLANK(K191)),VLOOKUP(J191,LIST!$A$6:$M$3250,CURR_2.SEARCH.OLD,0),VLOOKUP(K191,LIST!$B$6:$M$3250,CURR_2.SEARCH.NEW,0)),'DICTIONARY-5'!$A$2)</f>
        <v/>
      </c>
    </row>
    <row r="192" spans="1:13" x14ac:dyDescent="0.25">
      <c r="A192" s="62" t="s">
        <v>676</v>
      </c>
      <c r="B192" s="62">
        <v>3878</v>
      </c>
      <c r="C192" s="42" t="s">
        <v>8077</v>
      </c>
      <c r="D192" s="339" t="str">
        <f>IFERROR(IF(OR(C192='DICTIONARY-5'!$A$2,C192='DICTIONARY-5'!$A$4,ISBLANK(C192)),VLOOKUP(B192,LIST!$A$6:$L$3250,CURR_1.SEARCH.OLD,0),VLOOKUP(C192,LIST!$B$6:$L$3250,CURR_1.SEARCH.NEW,0)),'DICTIONARY-5'!$A$2)</f>
        <v>998,-</v>
      </c>
      <c r="E192" s="339" t="str">
        <f>IFERROR(IF(OR(C192='DICTIONARY-5'!$A$2,C192='DICTIONARY-5'!$A$4,ISBLANK(C192)),VLOOKUP(B192,LIST!$A$6:$M$3250,CURR_2.SEARCH.OLD,0),VLOOKUP(C192,LIST!$B$6:$M$3250,CURR_2.SEARCH.NEW,0)),'DICTIONARY-5'!$A$2)</f>
        <v/>
      </c>
      <c r="F192" s="62">
        <v>5078</v>
      </c>
      <c r="G192" s="42" t="s">
        <v>8083</v>
      </c>
      <c r="H192" s="339" t="str">
        <f>IFERROR(IF(OR(G192='DICTIONARY-5'!$A$2,G192='DICTIONARY-5'!$A$4,ISBLANK(G192)),VLOOKUP(F192,LIST!$A$6:$L$3250,CURR_1.SEARCH.OLD,0),VLOOKUP(G192,LIST!$B$6:$L$3250,CURR_1.SEARCH.NEW,0)),'DICTIONARY-5'!$A$2)</f>
        <v>1 348,-</v>
      </c>
      <c r="I192" s="339" t="str">
        <f>IFERROR(IF(OR(G192='DICTIONARY-5'!$A$2,G192='DICTIONARY-5'!$A$4,ISBLANK(G192)),VLOOKUP(F192,LIST!$A$6:$M$3250,CURR_2.SEARCH.OLD,0),VLOOKUP(G192,LIST!$B$6:$M$3250,CURR_2.SEARCH.NEW,0)),'DICTIONARY-5'!$A$2)</f>
        <v/>
      </c>
      <c r="J192" s="62">
        <v>7378</v>
      </c>
      <c r="K192" s="42" t="s">
        <v>8080</v>
      </c>
      <c r="L192" s="339" t="str">
        <f>IFERROR(IF(OR(K192='DICTIONARY-5'!$A$2,K192='DICTIONARY-5'!$A$4,ISBLANK(K192)),VLOOKUP(J192,LIST!$A$6:$L$3250,CURR_1.SEARCH.OLD,0),VLOOKUP(K192,LIST!$B$6:$L$3250,CURR_1.SEARCH.NEW,0)),'DICTIONARY-5'!$A$2)</f>
        <v>1 821,-</v>
      </c>
      <c r="M192" s="339" t="str">
        <f>IFERROR(IF(OR(K192='DICTIONARY-5'!$A$2,K192='DICTIONARY-5'!$A$4,ISBLANK(K192)),VLOOKUP(J192,LIST!$A$6:$M$3250,CURR_2.SEARCH.OLD,0),VLOOKUP(K192,LIST!$B$6:$M$3250,CURR_2.SEARCH.NEW,0)),'DICTIONARY-5'!$A$2)</f>
        <v/>
      </c>
    </row>
    <row r="193" spans="1:13" x14ac:dyDescent="0.25">
      <c r="A193" s="62" t="s">
        <v>678</v>
      </c>
      <c r="B193" s="62">
        <v>4278</v>
      </c>
      <c r="C193" s="42" t="s">
        <v>8077</v>
      </c>
      <c r="D193" s="339" t="str">
        <f>IFERROR(IF(OR(C193='DICTIONARY-5'!$A$2,C193='DICTIONARY-5'!$A$4,ISBLANK(C193)),VLOOKUP(B193,LIST!$A$6:$L$3250,CURR_1.SEARCH.OLD,0),VLOOKUP(C193,LIST!$B$6:$L$3250,CURR_1.SEARCH.NEW,0)),'DICTIONARY-5'!$A$2)</f>
        <v>998,-</v>
      </c>
      <c r="E193" s="339" t="str">
        <f>IFERROR(IF(OR(C193='DICTIONARY-5'!$A$2,C193='DICTIONARY-5'!$A$4,ISBLANK(C193)),VLOOKUP(B193,LIST!$A$6:$M$3250,CURR_2.SEARCH.OLD,0),VLOOKUP(C193,LIST!$B$6:$M$3250,CURR_2.SEARCH.NEW,0)),'DICTIONARY-5'!$A$2)</f>
        <v/>
      </c>
      <c r="F193" s="62">
        <v>5478</v>
      </c>
      <c r="G193" s="42" t="s">
        <v>8083</v>
      </c>
      <c r="H193" s="339" t="str">
        <f>IFERROR(IF(OR(G193='DICTIONARY-5'!$A$2,G193='DICTIONARY-5'!$A$4,ISBLANK(G193)),VLOOKUP(F193,LIST!$A$6:$L$3250,CURR_1.SEARCH.OLD,0),VLOOKUP(G193,LIST!$B$6:$L$3250,CURR_1.SEARCH.NEW,0)),'DICTIONARY-5'!$A$2)</f>
        <v>1 348,-</v>
      </c>
      <c r="I193" s="339" t="str">
        <f>IFERROR(IF(OR(G193='DICTIONARY-5'!$A$2,G193='DICTIONARY-5'!$A$4,ISBLANK(G193)),VLOOKUP(F193,LIST!$A$6:$M$3250,CURR_2.SEARCH.OLD,0),VLOOKUP(G193,LIST!$B$6:$M$3250,CURR_2.SEARCH.NEW,0)),'DICTIONARY-5'!$A$2)</f>
        <v/>
      </c>
      <c r="J193" s="62">
        <v>7778</v>
      </c>
      <c r="K193" s="42" t="s">
        <v>8080</v>
      </c>
      <c r="L193" s="339" t="str">
        <f>IFERROR(IF(OR(K193='DICTIONARY-5'!$A$2,K193='DICTIONARY-5'!$A$4,ISBLANK(K193)),VLOOKUP(J193,LIST!$A$6:$L$3250,CURR_1.SEARCH.OLD,0),VLOOKUP(K193,LIST!$B$6:$L$3250,CURR_1.SEARCH.NEW,0)),'DICTIONARY-5'!$A$2)</f>
        <v>1 821,-</v>
      </c>
      <c r="M193" s="339" t="str">
        <f>IFERROR(IF(OR(K193='DICTIONARY-5'!$A$2,K193='DICTIONARY-5'!$A$4,ISBLANK(K193)),VLOOKUP(J193,LIST!$A$6:$M$3250,CURR_2.SEARCH.OLD,0),VLOOKUP(K193,LIST!$B$6:$M$3250,CURR_2.SEARCH.NEW,0)),'DICTIONARY-5'!$A$2)</f>
        <v/>
      </c>
    </row>
    <row r="195" spans="1:13" x14ac:dyDescent="0.25">
      <c r="A195" s="64" t="str">
        <f>"1) "&amp;'DICTIONARY-5'!$A$86&amp;" - "&amp;'DICTIONARY-5'!$A$89</f>
        <v>1) Głębokość zabudowy - odległość od dna rurociągu / kanału do poziomu operacyjnego</v>
      </c>
    </row>
    <row r="197" spans="1:13" x14ac:dyDescent="0.25">
      <c r="G197" s="519"/>
    </row>
  </sheetData>
  <sheetProtection algorithmName="SHA-512" hashValue="8iFRWMrpnRuuhCNILtcrMsi612WLz+A4ttYh+FdYcRFDk2Uh+hL+etegvG5PxSXA6sAOy/7D5gQRSDFbANgGOg==" saltValue="etit7Jd65Glq4Lh9yLxlEQ==" spinCount="100000" sheet="1" objects="1" scenarios="1" autoFilter="0"/>
  <mergeCells count="53">
    <mergeCell ref="B4:E4"/>
    <mergeCell ref="A82:A83"/>
    <mergeCell ref="C59:E59"/>
    <mergeCell ref="A10:A11"/>
    <mergeCell ref="A34:A35"/>
    <mergeCell ref="A58:A59"/>
    <mergeCell ref="C34:E34"/>
    <mergeCell ref="C11:E11"/>
    <mergeCell ref="C10:E10"/>
    <mergeCell ref="C82:E82"/>
    <mergeCell ref="G59:I59"/>
    <mergeCell ref="K59:M59"/>
    <mergeCell ref="C58:E58"/>
    <mergeCell ref="G58:I58"/>
    <mergeCell ref="K58:M58"/>
    <mergeCell ref="G34:I34"/>
    <mergeCell ref="K34:M34"/>
    <mergeCell ref="C35:E35"/>
    <mergeCell ref="G35:I35"/>
    <mergeCell ref="K35:M35"/>
    <mergeCell ref="C179:E179"/>
    <mergeCell ref="G179:I179"/>
    <mergeCell ref="K179:M179"/>
    <mergeCell ref="C155:E155"/>
    <mergeCell ref="G155:I155"/>
    <mergeCell ref="K155:M155"/>
    <mergeCell ref="C131:E131"/>
    <mergeCell ref="G131:I131"/>
    <mergeCell ref="K131:M131"/>
    <mergeCell ref="C156:E156"/>
    <mergeCell ref="A131:A132"/>
    <mergeCell ref="A155:A156"/>
    <mergeCell ref="A106:A107"/>
    <mergeCell ref="G156:I156"/>
    <mergeCell ref="K156:M156"/>
    <mergeCell ref="A179:A180"/>
    <mergeCell ref="C180:E180"/>
    <mergeCell ref="G180:I180"/>
    <mergeCell ref="K180:M180"/>
    <mergeCell ref="C132:E132"/>
    <mergeCell ref="G132:I132"/>
    <mergeCell ref="K132:M132"/>
    <mergeCell ref="C107:E107"/>
    <mergeCell ref="G107:I107"/>
    <mergeCell ref="K107:M107"/>
    <mergeCell ref="C106:E106"/>
    <mergeCell ref="G106:I106"/>
    <mergeCell ref="K106:M106"/>
    <mergeCell ref="G82:I82"/>
    <mergeCell ref="K82:M82"/>
    <mergeCell ref="C83:E83"/>
    <mergeCell ref="G83:I83"/>
    <mergeCell ref="K83:M8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5">
    <tabColor rgb="FF0F6E23"/>
  </sheetPr>
  <dimension ref="A1:J39"/>
  <sheetViews>
    <sheetView workbookViewId="0"/>
  </sheetViews>
  <sheetFormatPr defaultColWidth="9.140625" defaultRowHeight="15" x14ac:dyDescent="0.25"/>
  <cols>
    <col min="1" max="2" width="8.5703125" style="30" customWidth="1"/>
    <col min="3" max="4" width="22.140625" style="30" customWidth="1"/>
    <col min="5" max="6" width="12.85546875" style="31" customWidth="1"/>
    <col min="7" max="8" width="22.140625" style="32" customWidth="1"/>
    <col min="9" max="10" width="12.85546875" style="32" customWidth="1"/>
    <col min="11" max="16384" width="9.140625" style="32"/>
  </cols>
  <sheetData>
    <row r="1" spans="1:10" s="418" customFormat="1" ht="45" customHeight="1" thickBot="1" x14ac:dyDescent="0.3">
      <c r="A1" s="381"/>
      <c r="B1" s="381"/>
      <c r="C1" s="381"/>
      <c r="D1" s="381"/>
      <c r="E1" s="417"/>
      <c r="F1" s="417"/>
    </row>
    <row r="2" spans="1:10" s="482" customFormat="1" ht="4.5" customHeight="1" x14ac:dyDescent="0.25">
      <c r="A2" s="479"/>
      <c r="B2" s="480"/>
      <c r="C2" s="480"/>
      <c r="D2" s="480"/>
      <c r="E2" s="481"/>
      <c r="F2" s="481"/>
    </row>
    <row r="3" spans="1:10" ht="15.75" thickBot="1" x14ac:dyDescent="0.3">
      <c r="A3" s="33"/>
      <c r="B3" s="34"/>
      <c r="C3" s="34"/>
      <c r="D3" s="34"/>
    </row>
    <row r="4" spans="1:10" ht="15.75" thickBot="1" x14ac:dyDescent="0.3">
      <c r="A4" s="827">
        <f>ADD.DISCOUNT</f>
        <v>0</v>
      </c>
      <c r="B4" s="933" t="str">
        <f>HYPERLINK("#'LIST'!ADD.DISCOUNT","» "&amp;'DICTIONARY-1'!$A$5)</f>
        <v>» Ustaw globalny dodatkowy rabat</v>
      </c>
      <c r="C4" s="958"/>
      <c r="D4" s="958"/>
      <c r="E4" s="959"/>
    </row>
    <row r="5" spans="1:10" x14ac:dyDescent="0.25">
      <c r="A5" s="33"/>
      <c r="B5" s="34"/>
      <c r="C5" s="34"/>
      <c r="D5" s="34"/>
    </row>
    <row r="6" spans="1:10" ht="16.5" thickBot="1" x14ac:dyDescent="0.3">
      <c r="A6" s="81" t="str">
        <f>CONCATENATE('DICTIONARY-3'!$A$38," ",'DICTIONARY-3'!$A$190)</f>
        <v>HADE PRA-G Zasuwa wrzecionowa</v>
      </c>
      <c r="B6" s="82"/>
      <c r="C6" s="82"/>
      <c r="D6" s="82"/>
      <c r="E6" s="83"/>
      <c r="F6" s="83"/>
      <c r="G6" s="91"/>
      <c r="H6" s="91"/>
      <c r="I6" s="91"/>
      <c r="J6" s="91"/>
    </row>
    <row r="7" spans="1:10" x14ac:dyDescent="0.25">
      <c r="A7" s="36" t="str">
        <f>CONCATENATE('DICTIONARY-3'!$A$243,", ",'DICTIONARY-5'!$A$94,": ",'DICTIONARY-5'!$A$58)</f>
        <v>Z wolnym końcem wałka, płyta zasuwowa: PE-HD</v>
      </c>
    </row>
    <row r="8" spans="1:10" x14ac:dyDescent="0.25">
      <c r="A8" s="36" t="str">
        <f>CONCATENATE('DICTIONARY-1'!$A$10,": ",SETTINGS!$C$57)</f>
        <v>Grupa rabatowa: HADE</v>
      </c>
    </row>
    <row r="9" spans="1:10" x14ac:dyDescent="0.25">
      <c r="A9" s="35"/>
    </row>
    <row r="10" spans="1:10" x14ac:dyDescent="0.25">
      <c r="A10" s="38" t="str">
        <f>'DICTIONARY-2'!$A$2</f>
        <v>DN</v>
      </c>
      <c r="B10" s="701" t="str">
        <f>'DICTIONARY-2'!$A$8&amp;" 1)"</f>
        <v>Tmin 1)</v>
      </c>
      <c r="C10" s="960" t="str">
        <f>'DICTIONARY-3'!$A$38</f>
        <v>HADE PRA-G</v>
      </c>
      <c r="D10" s="960"/>
      <c r="E10" s="960"/>
      <c r="F10" s="960"/>
      <c r="G10" s="960" t="str">
        <f>'DICTIONARY-3'!$A$231</f>
        <v>Zestaw kotwiący</v>
      </c>
      <c r="H10" s="960"/>
      <c r="I10" s="960"/>
      <c r="J10" s="960"/>
    </row>
    <row r="11" spans="1:10" x14ac:dyDescent="0.25">
      <c r="A11" s="57"/>
      <c r="B11" s="704"/>
      <c r="C11" s="961"/>
      <c r="D11" s="961"/>
      <c r="E11" s="961"/>
      <c r="F11" s="961"/>
      <c r="G11" s="961"/>
      <c r="H11" s="961"/>
      <c r="I11" s="961"/>
      <c r="J11" s="961"/>
    </row>
    <row r="12" spans="1:10" x14ac:dyDescent="0.25">
      <c r="A12" s="39"/>
      <c r="B12" s="704" t="str">
        <f>'DICTIONARY-2'!$A$18</f>
        <v>[mm]</v>
      </c>
      <c r="C12" s="40" t="str">
        <f>'DICTIONARY-2'!$A$28</f>
        <v>stary nr zamówienia</v>
      </c>
      <c r="D12" s="40" t="str">
        <f>'DICTIONARY-2'!$A$29</f>
        <v>nowy nr zamówienia</v>
      </c>
      <c r="E12" s="41" t="str">
        <f>CURRENCY.CODE_1</f>
        <v>EUR</v>
      </c>
      <c r="F12" s="41" t="str">
        <f>CURRENCY.CODE_2</f>
        <v>---</v>
      </c>
      <c r="G12" s="40" t="str">
        <f>'DICTIONARY-2'!$A$28</f>
        <v>stary nr zamówienia</v>
      </c>
      <c r="H12" s="40" t="str">
        <f>'DICTIONARY-2'!$A$29</f>
        <v>nowy nr zamówienia</v>
      </c>
      <c r="I12" s="41" t="str">
        <f>CURRENCY.CODE_1</f>
        <v>EUR</v>
      </c>
      <c r="J12" s="41" t="str">
        <f>CURRENCY.CODE_2</f>
        <v>---</v>
      </c>
    </row>
    <row r="13" spans="1:10" x14ac:dyDescent="0.25">
      <c r="A13" s="42">
        <v>150</v>
      </c>
      <c r="B13" s="42">
        <v>825</v>
      </c>
      <c r="C13" s="42" t="s">
        <v>739</v>
      </c>
      <c r="D13" s="329" t="s">
        <v>4490</v>
      </c>
      <c r="E13" s="339" t="str">
        <f>IFERROR(IF(OR(D13='DICTIONARY-5'!$A$2,D13='DICTIONARY-5'!$A$4,ISBLANK(D13)),VLOOKUP(C13,LIST!$A$6:$L$3250,CURR_1.SEARCH.OLD,0),VLOOKUP(D13,LIST!$B$6:$L$3250,CURR_1.SEARCH.NEW,0)),'DICTIONARY-5'!$A$2)</f>
        <v>1 522,-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  <c r="G13" s="42" t="s">
        <v>740</v>
      </c>
      <c r="H13" s="329" t="s">
        <v>4483</v>
      </c>
      <c r="I13" s="339" t="str">
        <f>IFERROR(IF(OR(H13='DICTIONARY-5'!$A$2,H13='DICTIONARY-5'!$A$4,ISBLANK(H13)),VLOOKUP(G13,LIST!$A$6:$L$3250,CURR_1.SEARCH.OLD,0),VLOOKUP(H13,LIST!$B$6:$L$3250,CURR_1.SEARCH.NEW,0)),'DICTIONARY-5'!$A$2)</f>
        <v>62,-</v>
      </c>
      <c r="J13" s="339" t="str">
        <f>IFERROR(IF(OR(H13='DICTIONARY-5'!$A$2,H13='DICTIONARY-5'!$A$4,ISBLANK(H13)),VLOOKUP(G13,LIST!$A$6:$M$3250,CURR_2.SEARCH.OLD,0),VLOOKUP(H13,LIST!$B$6:$M$3250,CURR_2.SEARCH.NEW,0)),'DICTIONARY-5'!$A$2)</f>
        <v/>
      </c>
    </row>
    <row r="14" spans="1:10" x14ac:dyDescent="0.25">
      <c r="A14" s="42">
        <v>200</v>
      </c>
      <c r="B14" s="42">
        <v>850</v>
      </c>
      <c r="C14" s="42" t="s">
        <v>741</v>
      </c>
      <c r="D14" s="329" t="s">
        <v>4500</v>
      </c>
      <c r="E14" s="339" t="str">
        <f>IFERROR(IF(OR(D14='DICTIONARY-5'!$A$2,D14='DICTIONARY-5'!$A$4,ISBLANK(D14)),VLOOKUP(C14,LIST!$A$6:$L$3250,CURR_1.SEARCH.OLD,0),VLOOKUP(D14,LIST!$B$6:$L$3250,CURR_1.SEARCH.NEW,0)),'DICTIONARY-5'!$A$2)</f>
        <v>1 637,-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  <c r="G14" s="42" t="s">
        <v>740</v>
      </c>
      <c r="H14" s="329" t="s">
        <v>4483</v>
      </c>
      <c r="I14" s="339" t="str">
        <f>IFERROR(IF(OR(H14='DICTIONARY-5'!$A$2,H14='DICTIONARY-5'!$A$4,ISBLANK(H14)),VLOOKUP(G14,LIST!$A$6:$L$3250,CURR_1.SEARCH.OLD,0),VLOOKUP(H14,LIST!$B$6:$L$3250,CURR_1.SEARCH.NEW,0)),'DICTIONARY-5'!$A$2)</f>
        <v>62,-</v>
      </c>
      <c r="J14" s="339" t="str">
        <f>IFERROR(IF(OR(H14='DICTIONARY-5'!$A$2,H14='DICTIONARY-5'!$A$4,ISBLANK(H14)),VLOOKUP(G14,LIST!$A$6:$M$3250,CURR_2.SEARCH.OLD,0),VLOOKUP(H14,LIST!$B$6:$M$3250,CURR_2.SEARCH.NEW,0)),'DICTIONARY-5'!$A$2)</f>
        <v/>
      </c>
    </row>
    <row r="15" spans="1:10" x14ac:dyDescent="0.25">
      <c r="A15" s="42">
        <v>250</v>
      </c>
      <c r="B15" s="42">
        <v>1025</v>
      </c>
      <c r="C15" s="42" t="s">
        <v>742</v>
      </c>
      <c r="D15" s="329" t="s">
        <v>4506</v>
      </c>
      <c r="E15" s="339" t="str">
        <f>IFERROR(IF(OR(D15='DICTIONARY-5'!$A$2,D15='DICTIONARY-5'!$A$4,ISBLANK(D15)),VLOOKUP(C15,LIST!$A$6:$L$3250,CURR_1.SEARCH.OLD,0),VLOOKUP(D15,LIST!$B$6:$L$3250,CURR_1.SEARCH.NEW,0)),'DICTIONARY-5'!$A$2)</f>
        <v>1 819,-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  <c r="G15" s="42" t="s">
        <v>743</v>
      </c>
      <c r="H15" s="329" t="s">
        <v>4484</v>
      </c>
      <c r="I15" s="339" t="str">
        <f>IFERROR(IF(OR(H15='DICTIONARY-5'!$A$2,H15='DICTIONARY-5'!$A$4,ISBLANK(H15)),VLOOKUP(G15,LIST!$A$6:$L$3250,CURR_1.SEARCH.OLD,0),VLOOKUP(H15,LIST!$B$6:$L$3250,CURR_1.SEARCH.NEW,0)),'DICTIONARY-5'!$A$2)</f>
        <v>62,-</v>
      </c>
      <c r="J15" s="339" t="str">
        <f>IFERROR(IF(OR(H15='DICTIONARY-5'!$A$2,H15='DICTIONARY-5'!$A$4,ISBLANK(H15)),VLOOKUP(G15,LIST!$A$6:$M$3250,CURR_2.SEARCH.OLD,0),VLOOKUP(H15,LIST!$B$6:$M$3250,CURR_2.SEARCH.NEW,0)),'DICTIONARY-5'!$A$2)</f>
        <v/>
      </c>
    </row>
    <row r="16" spans="1:10" x14ac:dyDescent="0.25">
      <c r="A16" s="42">
        <v>300</v>
      </c>
      <c r="B16" s="42">
        <v>1050</v>
      </c>
      <c r="C16" s="42" t="s">
        <v>744</v>
      </c>
      <c r="D16" s="329" t="s">
        <v>4515</v>
      </c>
      <c r="E16" s="339" t="str">
        <f>IFERROR(IF(OR(D16='DICTIONARY-5'!$A$2,D16='DICTIONARY-5'!$A$4,ISBLANK(D16)),VLOOKUP(C16,LIST!$A$6:$L$3250,CURR_1.SEARCH.OLD,0),VLOOKUP(D16,LIST!$B$6:$L$3250,CURR_1.SEARCH.NEW,0)),'DICTIONARY-5'!$A$2)</f>
        <v>1 792,-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  <c r="G16" s="42" t="s">
        <v>743</v>
      </c>
      <c r="H16" s="329" t="s">
        <v>4484</v>
      </c>
      <c r="I16" s="339" t="str">
        <f>IFERROR(IF(OR(H16='DICTIONARY-5'!$A$2,H16='DICTIONARY-5'!$A$4,ISBLANK(H16)),VLOOKUP(G16,LIST!$A$6:$L$3250,CURR_1.SEARCH.OLD,0),VLOOKUP(H16,LIST!$B$6:$L$3250,CURR_1.SEARCH.NEW,0)),'DICTIONARY-5'!$A$2)</f>
        <v>62,-</v>
      </c>
      <c r="J16" s="339" t="str">
        <f>IFERROR(IF(OR(H16='DICTIONARY-5'!$A$2,H16='DICTIONARY-5'!$A$4,ISBLANK(H16)),VLOOKUP(G16,LIST!$A$6:$M$3250,CURR_2.SEARCH.OLD,0),VLOOKUP(H16,LIST!$B$6:$M$3250,CURR_2.SEARCH.NEW,0)),'DICTIONARY-5'!$A$2)</f>
        <v/>
      </c>
    </row>
    <row r="17" spans="1:10" x14ac:dyDescent="0.25">
      <c r="A17" s="42">
        <v>400</v>
      </c>
      <c r="B17" s="42">
        <v>1250</v>
      </c>
      <c r="C17" s="42" t="s">
        <v>745</v>
      </c>
      <c r="D17" s="329" t="s">
        <v>4522</v>
      </c>
      <c r="E17" s="339" t="str">
        <f>IFERROR(IF(OR(D17='DICTIONARY-5'!$A$2,D17='DICTIONARY-5'!$A$4,ISBLANK(D17)),VLOOKUP(C17,LIST!$A$6:$L$3250,CURR_1.SEARCH.OLD,0),VLOOKUP(D17,LIST!$B$6:$L$3250,CURR_1.SEARCH.NEW,0)),'DICTIONARY-5'!$A$2)</f>
        <v>2 695,-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  <c r="G17" s="42" t="s">
        <v>746</v>
      </c>
      <c r="H17" s="329" t="s">
        <v>4485</v>
      </c>
      <c r="I17" s="339" t="str">
        <f>IFERROR(IF(OR(H17='DICTIONARY-5'!$A$2,H17='DICTIONARY-5'!$A$4,ISBLANK(H17)),VLOOKUP(G17,LIST!$A$6:$L$3250,CURR_1.SEARCH.OLD,0),VLOOKUP(H17,LIST!$B$6:$L$3250,CURR_1.SEARCH.NEW,0)),'DICTIONARY-5'!$A$2)</f>
        <v>61,-</v>
      </c>
      <c r="J17" s="339" t="str">
        <f>IFERROR(IF(OR(H17='DICTIONARY-5'!$A$2,H17='DICTIONARY-5'!$A$4,ISBLANK(H17)),VLOOKUP(G17,LIST!$A$6:$M$3250,CURR_2.SEARCH.OLD,0),VLOOKUP(H17,LIST!$B$6:$M$3250,CURR_2.SEARCH.NEW,0)),'DICTIONARY-5'!$A$2)</f>
        <v/>
      </c>
    </row>
    <row r="18" spans="1:10" x14ac:dyDescent="0.25">
      <c r="A18" s="42">
        <v>500</v>
      </c>
      <c r="B18" s="42">
        <v>1450</v>
      </c>
      <c r="C18" s="42" t="s">
        <v>747</v>
      </c>
      <c r="D18" s="329" t="s">
        <v>4529</v>
      </c>
      <c r="E18" s="339" t="str">
        <f>IFERROR(IF(OR(D18='DICTIONARY-5'!$A$2,D18='DICTIONARY-5'!$A$4,ISBLANK(D18)),VLOOKUP(C18,LIST!$A$6:$L$3250,CURR_1.SEARCH.OLD,0),VLOOKUP(D18,LIST!$B$6:$L$3250,CURR_1.SEARCH.NEW,0)),'DICTIONARY-5'!$A$2)</f>
        <v>3 425,-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  <c r="G18" s="42" t="s">
        <v>748</v>
      </c>
      <c r="H18" s="329" t="s">
        <v>4486</v>
      </c>
      <c r="I18" s="339" t="str">
        <f>IFERROR(IF(OR(H18='DICTIONARY-5'!$A$2,H18='DICTIONARY-5'!$A$4,ISBLANK(H18)),VLOOKUP(G18,LIST!$A$6:$L$3250,CURR_1.SEARCH.OLD,0),VLOOKUP(H18,LIST!$B$6:$L$3250,CURR_1.SEARCH.NEW,0)),'DICTIONARY-5'!$A$2)</f>
        <v>91,-</v>
      </c>
      <c r="J18" s="339" t="str">
        <f>IFERROR(IF(OR(H18='DICTIONARY-5'!$A$2,H18='DICTIONARY-5'!$A$4,ISBLANK(H18)),VLOOKUP(G18,LIST!$A$6:$M$3250,CURR_2.SEARCH.OLD,0),VLOOKUP(H18,LIST!$B$6:$M$3250,CURR_2.SEARCH.NEW,0)),'DICTIONARY-5'!$A$2)</f>
        <v/>
      </c>
    </row>
    <row r="19" spans="1:10" x14ac:dyDescent="0.25">
      <c r="A19" s="42">
        <v>600</v>
      </c>
      <c r="B19" s="42">
        <v>1650</v>
      </c>
      <c r="C19" s="42" t="s">
        <v>749</v>
      </c>
      <c r="D19" s="329" t="s">
        <v>4536</v>
      </c>
      <c r="E19" s="339" t="str">
        <f>IFERROR(IF(OR(D19='DICTIONARY-5'!$A$2,D19='DICTIONARY-5'!$A$4,ISBLANK(D19)),VLOOKUP(C19,LIST!$A$6:$L$3250,CURR_1.SEARCH.OLD,0),VLOOKUP(D19,LIST!$B$6:$L$3250,CURR_1.SEARCH.NEW,0)),'DICTIONARY-5'!$A$2)</f>
        <v>4 034,-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  <c r="G19" s="42" t="s">
        <v>750</v>
      </c>
      <c r="H19" s="329" t="s">
        <v>4487</v>
      </c>
      <c r="I19" s="339" t="str">
        <f>IFERROR(IF(OR(H19='DICTIONARY-5'!$A$2,H19='DICTIONARY-5'!$A$4,ISBLANK(H19)),VLOOKUP(G19,LIST!$A$6:$L$3250,CURR_1.SEARCH.OLD,0),VLOOKUP(H19,LIST!$B$6:$L$3250,CURR_1.SEARCH.NEW,0)),'DICTIONARY-5'!$A$2)</f>
        <v>122,-</v>
      </c>
      <c r="J19" s="339" t="str">
        <f>IFERROR(IF(OR(H19='DICTIONARY-5'!$A$2,H19='DICTIONARY-5'!$A$4,ISBLANK(H19)),VLOOKUP(G19,LIST!$A$6:$M$3250,CURR_2.SEARCH.OLD,0),VLOOKUP(H19,LIST!$B$6:$M$3250,CURR_2.SEARCH.NEW,0)),'DICTIONARY-5'!$A$2)</f>
        <v/>
      </c>
    </row>
    <row r="20" spans="1:10" x14ac:dyDescent="0.25">
      <c r="A20" s="42">
        <v>700</v>
      </c>
      <c r="B20" s="42">
        <v>1850</v>
      </c>
      <c r="C20" s="42" t="s">
        <v>751</v>
      </c>
      <c r="D20" s="329" t="s">
        <v>4543</v>
      </c>
      <c r="E20" s="339" t="str">
        <f>IFERROR(IF(OR(D20='DICTIONARY-5'!$A$2,D20='DICTIONARY-5'!$A$4,ISBLANK(D20)),VLOOKUP(C20,LIST!$A$6:$L$3250,CURR_1.SEARCH.OLD,0),VLOOKUP(D20,LIST!$B$6:$L$3250,CURR_1.SEARCH.NEW,0)),'DICTIONARY-5'!$A$2)</f>
        <v>4 713,-</v>
      </c>
      <c r="F20" s="339" t="str">
        <f>IFERROR(IF(OR(D20='DICTIONARY-5'!$A$2,D20='DICTIONARY-5'!$A$4,ISBLANK(D20)),VLOOKUP(C20,LIST!$A$6:$M$3250,CURR_2.SEARCH.OLD,0),VLOOKUP(D20,LIST!$B$6:$M$3250,CURR_2.SEARCH.NEW,0)),'DICTIONARY-5'!$A$2)</f>
        <v/>
      </c>
      <c r="G20" s="42" t="s">
        <v>750</v>
      </c>
      <c r="H20" s="329" t="s">
        <v>4487</v>
      </c>
      <c r="I20" s="339" t="str">
        <f>IFERROR(IF(OR(H20='DICTIONARY-5'!$A$2,H20='DICTIONARY-5'!$A$4,ISBLANK(H20)),VLOOKUP(G20,LIST!$A$6:$L$3250,CURR_1.SEARCH.OLD,0),VLOOKUP(H20,LIST!$B$6:$L$3250,CURR_1.SEARCH.NEW,0)),'DICTIONARY-5'!$A$2)</f>
        <v>122,-</v>
      </c>
      <c r="J20" s="339" t="str">
        <f>IFERROR(IF(OR(H20='DICTIONARY-5'!$A$2,H20='DICTIONARY-5'!$A$4,ISBLANK(H20)),VLOOKUP(G20,LIST!$A$6:$M$3250,CURR_2.SEARCH.OLD,0),VLOOKUP(H20,LIST!$B$6:$M$3250,CURR_2.SEARCH.NEW,0)),'DICTIONARY-5'!$A$2)</f>
        <v/>
      </c>
    </row>
    <row r="21" spans="1:10" x14ac:dyDescent="0.25">
      <c r="A21" s="42">
        <v>800</v>
      </c>
      <c r="B21" s="42">
        <v>2050</v>
      </c>
      <c r="C21" s="42" t="s">
        <v>752</v>
      </c>
      <c r="D21" s="329" t="s">
        <v>4549</v>
      </c>
      <c r="E21" s="339" t="str">
        <f>IFERROR(IF(OR(D21='DICTIONARY-5'!$A$2,D21='DICTIONARY-5'!$A$4,ISBLANK(D21)),VLOOKUP(C21,LIST!$A$6:$L$3250,CURR_1.SEARCH.OLD,0),VLOOKUP(D21,LIST!$B$6:$L$3250,CURR_1.SEARCH.NEW,0)),'DICTIONARY-5'!$A$2)</f>
        <v>4 986,-</v>
      </c>
      <c r="F21" s="339" t="str">
        <f>IFERROR(IF(OR(D21='DICTIONARY-5'!$A$2,D21='DICTIONARY-5'!$A$4,ISBLANK(D21)),VLOOKUP(C21,LIST!$A$6:$M$3250,CURR_2.SEARCH.OLD,0),VLOOKUP(D21,LIST!$B$6:$M$3250,CURR_2.SEARCH.NEW,0)),'DICTIONARY-5'!$A$2)</f>
        <v/>
      </c>
      <c r="G21" s="42" t="s">
        <v>753</v>
      </c>
      <c r="H21" s="329" t="s">
        <v>4488</v>
      </c>
      <c r="I21" s="339" t="str">
        <f>IFERROR(IF(OR(H21='DICTIONARY-5'!$A$2,H21='DICTIONARY-5'!$A$4,ISBLANK(H21)),VLOOKUP(G21,LIST!$A$6:$L$3250,CURR_1.SEARCH.OLD,0),VLOOKUP(H21,LIST!$B$6:$L$3250,CURR_1.SEARCH.NEW,0)),'DICTIONARY-5'!$A$2)</f>
        <v>154,-</v>
      </c>
      <c r="J21" s="339" t="str">
        <f>IFERROR(IF(OR(H21='DICTIONARY-5'!$A$2,H21='DICTIONARY-5'!$A$4,ISBLANK(H21)),VLOOKUP(G21,LIST!$A$6:$M$3250,CURR_2.SEARCH.OLD,0),VLOOKUP(H21,LIST!$B$6:$M$3250,CURR_2.SEARCH.NEW,0)),'DICTIONARY-5'!$A$2)</f>
        <v/>
      </c>
    </row>
    <row r="22" spans="1:10" x14ac:dyDescent="0.25">
      <c r="A22" s="42">
        <v>900</v>
      </c>
      <c r="B22" s="42">
        <v>2250</v>
      </c>
      <c r="C22" s="42" t="s">
        <v>754</v>
      </c>
      <c r="D22" s="329" t="s">
        <v>4555</v>
      </c>
      <c r="E22" s="339" t="str">
        <f>IFERROR(IF(OR(D22='DICTIONARY-5'!$A$2,D22='DICTIONARY-5'!$A$4,ISBLANK(D22)),VLOOKUP(C22,LIST!$A$6:$L$3250,CURR_1.SEARCH.OLD,0),VLOOKUP(D22,LIST!$B$6:$L$3250,CURR_1.SEARCH.NEW,0)),'DICTIONARY-5'!$A$2)</f>
        <v>5 591,-</v>
      </c>
      <c r="F22" s="339" t="str">
        <f>IFERROR(IF(OR(D22='DICTIONARY-5'!$A$2,D22='DICTIONARY-5'!$A$4,ISBLANK(D22)),VLOOKUP(C22,LIST!$A$6:$M$3250,CURR_2.SEARCH.OLD,0),VLOOKUP(D22,LIST!$B$6:$M$3250,CURR_2.SEARCH.NEW,0)),'DICTIONARY-5'!$A$2)</f>
        <v/>
      </c>
      <c r="G22" s="42" t="s">
        <v>755</v>
      </c>
      <c r="H22" s="329" t="s">
        <v>4489</v>
      </c>
      <c r="I22" s="339" t="str">
        <f>IFERROR(IF(OR(H22='DICTIONARY-5'!$A$2,H22='DICTIONARY-5'!$A$4,ISBLANK(H22)),VLOOKUP(G22,LIST!$A$6:$L$3250,CURR_1.SEARCH.OLD,0),VLOOKUP(H22,LIST!$B$6:$L$3250,CURR_1.SEARCH.NEW,0)),'DICTIONARY-5'!$A$2)</f>
        <v>201,-</v>
      </c>
      <c r="J22" s="339" t="str">
        <f>IFERROR(IF(OR(H22='DICTIONARY-5'!$A$2,H22='DICTIONARY-5'!$A$4,ISBLANK(H22)),VLOOKUP(G22,LIST!$A$6:$M$3250,CURR_2.SEARCH.OLD,0),VLOOKUP(H22,LIST!$B$6:$M$3250,CURR_2.SEARCH.NEW,0)),'DICTIONARY-5'!$A$2)</f>
        <v/>
      </c>
    </row>
    <row r="23" spans="1:10" x14ac:dyDescent="0.25">
      <c r="A23" s="42">
        <v>1000</v>
      </c>
      <c r="B23" s="42">
        <v>2500</v>
      </c>
      <c r="C23" s="42" t="s">
        <v>756</v>
      </c>
      <c r="D23" s="329" t="s">
        <v>4561</v>
      </c>
      <c r="E23" s="339" t="str">
        <f>IFERROR(IF(OR(D23='DICTIONARY-5'!$A$2,D23='DICTIONARY-5'!$A$4,ISBLANK(D23)),VLOOKUP(C23,LIST!$A$6:$L$3250,CURR_1.SEARCH.OLD,0),VLOOKUP(D23,LIST!$B$6:$L$3250,CURR_1.SEARCH.NEW,0)),'DICTIONARY-5'!$A$2)</f>
        <v>7 074,-</v>
      </c>
      <c r="F23" s="339" t="str">
        <f>IFERROR(IF(OR(D23='DICTIONARY-5'!$A$2,D23='DICTIONARY-5'!$A$4,ISBLANK(D23)),VLOOKUP(C23,LIST!$A$6:$M$3250,CURR_2.SEARCH.OLD,0),VLOOKUP(D23,LIST!$B$6:$M$3250,CURR_2.SEARCH.NEW,0)),'DICTIONARY-5'!$A$2)</f>
        <v/>
      </c>
      <c r="G23" s="42" t="s">
        <v>757</v>
      </c>
      <c r="H23" s="329" t="s">
        <v>4495</v>
      </c>
      <c r="I23" s="339" t="str">
        <f>IFERROR(IF(OR(H23='DICTIONARY-5'!$A$2,H23='DICTIONARY-5'!$A$4,ISBLANK(H23)),VLOOKUP(G23,LIST!$A$6:$L$3250,CURR_1.SEARCH.OLD,0),VLOOKUP(H23,LIST!$B$6:$L$3250,CURR_1.SEARCH.NEW,0)),'DICTIONARY-5'!$A$2)</f>
        <v>227,-</v>
      </c>
      <c r="J23" s="339" t="str">
        <f>IFERROR(IF(OR(H23='DICTIONARY-5'!$A$2,H23='DICTIONARY-5'!$A$4,ISBLANK(H23)),VLOOKUP(G23,LIST!$A$6:$M$3250,CURR_2.SEARCH.OLD,0),VLOOKUP(H23,LIST!$B$6:$M$3250,CURR_2.SEARCH.NEW,0)),'DICTIONARY-5'!$A$2)</f>
        <v/>
      </c>
    </row>
    <row r="24" spans="1:10" x14ac:dyDescent="0.25">
      <c r="A24" s="42">
        <v>1100</v>
      </c>
      <c r="B24" s="42">
        <v>2700</v>
      </c>
      <c r="C24" s="42" t="s">
        <v>758</v>
      </c>
      <c r="D24" s="329" t="s">
        <v>4567</v>
      </c>
      <c r="E24" s="339" t="str">
        <f>IFERROR(IF(OR(D24='DICTIONARY-5'!$A$2,D24='DICTIONARY-5'!$A$4,ISBLANK(D24)),VLOOKUP(C24,LIST!$A$6:$L$3250,CURR_1.SEARCH.OLD,0),VLOOKUP(D24,LIST!$B$6:$L$3250,CURR_1.SEARCH.NEW,0)),'DICTIONARY-5'!$A$2)</f>
        <v>9 821,-</v>
      </c>
      <c r="F24" s="339" t="str">
        <f>IFERROR(IF(OR(D24='DICTIONARY-5'!$A$2,D24='DICTIONARY-5'!$A$4,ISBLANK(D24)),VLOOKUP(C24,LIST!$A$6:$M$3250,CURR_2.SEARCH.OLD,0),VLOOKUP(D24,LIST!$B$6:$M$3250,CURR_2.SEARCH.NEW,0)),'DICTIONARY-5'!$A$2)</f>
        <v/>
      </c>
      <c r="G24" s="42" t="s">
        <v>759</v>
      </c>
      <c r="H24" s="329" t="s">
        <v>4497</v>
      </c>
      <c r="I24" s="339" t="str">
        <f>IFERROR(IF(OR(H24='DICTIONARY-5'!$A$2,H24='DICTIONARY-5'!$A$4,ISBLANK(H24)),VLOOKUP(G24,LIST!$A$6:$L$3250,CURR_1.SEARCH.OLD,0),VLOOKUP(H24,LIST!$B$6:$L$3250,CURR_1.SEARCH.NEW,0)),'DICTIONARY-5'!$A$2)</f>
        <v>390,-</v>
      </c>
      <c r="J24" s="339" t="str">
        <f>IFERROR(IF(OR(H24='DICTIONARY-5'!$A$2,H24='DICTIONARY-5'!$A$4,ISBLANK(H24)),VLOOKUP(G24,LIST!$A$6:$M$3250,CURR_2.SEARCH.OLD,0),VLOOKUP(H24,LIST!$B$6:$M$3250,CURR_2.SEARCH.NEW,0)),'DICTIONARY-5'!$A$2)</f>
        <v/>
      </c>
    </row>
    <row r="25" spans="1:10" x14ac:dyDescent="0.25">
      <c r="A25" s="42">
        <v>1200</v>
      </c>
      <c r="B25" s="42">
        <v>2900</v>
      </c>
      <c r="C25" s="42" t="s">
        <v>760</v>
      </c>
      <c r="D25" s="329" t="s">
        <v>4572</v>
      </c>
      <c r="E25" s="339" t="str">
        <f>IFERROR(IF(OR(D25='DICTIONARY-5'!$A$2,D25='DICTIONARY-5'!$A$4,ISBLANK(D25)),VLOOKUP(C25,LIST!$A$6:$L$3250,CURR_1.SEARCH.OLD,0),VLOOKUP(D25,LIST!$B$6:$L$3250,CURR_1.SEARCH.NEW,0)),'DICTIONARY-5'!$A$2)</f>
        <v>5 531,-</v>
      </c>
      <c r="F25" s="339" t="str">
        <f>IFERROR(IF(OR(D25='DICTIONARY-5'!$A$2,D25='DICTIONARY-5'!$A$4,ISBLANK(D25)),VLOOKUP(C25,LIST!$A$6:$M$3250,CURR_2.SEARCH.OLD,0),VLOOKUP(D25,LIST!$B$6:$M$3250,CURR_2.SEARCH.NEW,0)),'DICTIONARY-5'!$A$2)</f>
        <v/>
      </c>
      <c r="G25" s="42" t="s">
        <v>759</v>
      </c>
      <c r="H25" s="329" t="s">
        <v>4497</v>
      </c>
      <c r="I25" s="339" t="str">
        <f>IFERROR(IF(OR(H25='DICTIONARY-5'!$A$2,H25='DICTIONARY-5'!$A$4,ISBLANK(H25)),VLOOKUP(G25,LIST!$A$6:$L$3250,CURR_1.SEARCH.OLD,0),VLOOKUP(H25,LIST!$B$6:$L$3250,CURR_1.SEARCH.NEW,0)),'DICTIONARY-5'!$A$2)</f>
        <v>390,-</v>
      </c>
      <c r="J25" s="339" t="str">
        <f>IFERROR(IF(OR(H25='DICTIONARY-5'!$A$2,H25='DICTIONARY-5'!$A$4,ISBLANK(H25)),VLOOKUP(G25,LIST!$A$6:$M$3250,CURR_2.SEARCH.OLD,0),VLOOKUP(H25,LIST!$B$6:$M$3250,CURR_2.SEARCH.NEW,0)),'DICTIONARY-5'!$A$2)</f>
        <v/>
      </c>
    </row>
    <row r="26" spans="1:10" x14ac:dyDescent="0.25">
      <c r="A26" s="42">
        <v>1300</v>
      </c>
      <c r="B26" s="42">
        <v>3125</v>
      </c>
      <c r="C26" s="42" t="s">
        <v>761</v>
      </c>
      <c r="D26" s="329" t="s">
        <v>4577</v>
      </c>
      <c r="E26" s="339" t="str">
        <f>IFERROR(IF(OR(D26='DICTIONARY-5'!$A$2,D26='DICTIONARY-5'!$A$4,ISBLANK(D26)),VLOOKUP(C26,LIST!$A$6:$L$3250,CURR_1.SEARCH.OLD,0),VLOOKUP(D26,LIST!$B$6:$L$3250,CURR_1.SEARCH.NEW,0)),'DICTIONARY-5'!$A$2)</f>
        <v>14 635,-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  <c r="G26" s="42" t="s">
        <v>762</v>
      </c>
      <c r="H26" s="329" t="s">
        <v>4601</v>
      </c>
      <c r="I26" s="339" t="str">
        <f>IFERROR(IF(OR(H26='DICTIONARY-5'!$A$2,H26='DICTIONARY-5'!$A$4,ISBLANK(H26)),VLOOKUP(G26,LIST!$A$6:$L$3250,CURR_1.SEARCH.OLD,0),VLOOKUP(H26,LIST!$B$6:$L$3250,CURR_1.SEARCH.NEW,0)),'DICTIONARY-5'!$A$2)</f>
        <v>482,-</v>
      </c>
      <c r="J26" s="339" t="str">
        <f>IFERROR(IF(OR(H26='DICTIONARY-5'!$A$2,H26='DICTIONARY-5'!$A$4,ISBLANK(H26)),VLOOKUP(G26,LIST!$A$6:$M$3250,CURR_2.SEARCH.OLD,0),VLOOKUP(H26,LIST!$B$6:$M$3250,CURR_2.SEARCH.NEW,0)),'DICTIONARY-5'!$A$2)</f>
        <v/>
      </c>
    </row>
    <row r="27" spans="1:10" x14ac:dyDescent="0.25">
      <c r="A27" s="42">
        <v>1400</v>
      </c>
      <c r="B27" s="42">
        <v>3325</v>
      </c>
      <c r="C27" s="42" t="s">
        <v>763</v>
      </c>
      <c r="D27" s="329" t="s">
        <v>4581</v>
      </c>
      <c r="E27" s="339" t="str">
        <f>IFERROR(IF(OR(D27='DICTIONARY-5'!$A$2,D27='DICTIONARY-5'!$A$4,ISBLANK(D27)),VLOOKUP(C27,LIST!$A$6:$L$3250,CURR_1.SEARCH.OLD,0),VLOOKUP(D27,LIST!$B$6:$L$3250,CURR_1.SEARCH.NEW,0)),'DICTIONARY-5'!$A$2)</f>
        <v>23 313,-</v>
      </c>
      <c r="F27" s="339" t="str">
        <f>IFERROR(IF(OR(D27='DICTIONARY-5'!$A$2,D27='DICTIONARY-5'!$A$4,ISBLANK(D27)),VLOOKUP(C27,LIST!$A$6:$M$3250,CURR_2.SEARCH.OLD,0),VLOOKUP(D27,LIST!$B$6:$M$3250,CURR_2.SEARCH.NEW,0)),'DICTIONARY-5'!$A$2)</f>
        <v/>
      </c>
      <c r="G27" s="42" t="s">
        <v>762</v>
      </c>
      <c r="H27" s="329" t="s">
        <v>4601</v>
      </c>
      <c r="I27" s="339" t="str">
        <f>IFERROR(IF(OR(H27='DICTIONARY-5'!$A$2,H27='DICTIONARY-5'!$A$4,ISBLANK(H27)),VLOOKUP(G27,LIST!$A$6:$L$3250,CURR_1.SEARCH.OLD,0),VLOOKUP(H27,LIST!$B$6:$L$3250,CURR_1.SEARCH.NEW,0)),'DICTIONARY-5'!$A$2)</f>
        <v>482,-</v>
      </c>
      <c r="J27" s="339" t="str">
        <f>IFERROR(IF(OR(H27='DICTIONARY-5'!$A$2,H27='DICTIONARY-5'!$A$4,ISBLANK(H27)),VLOOKUP(G27,LIST!$A$6:$M$3250,CURR_2.SEARCH.OLD,0),VLOOKUP(H27,LIST!$B$6:$M$3250,CURR_2.SEARCH.NEW,0)),'DICTIONARY-5'!$A$2)</f>
        <v/>
      </c>
    </row>
    <row r="28" spans="1:10" x14ac:dyDescent="0.25">
      <c r="A28" s="42">
        <v>1500</v>
      </c>
      <c r="B28" s="42">
        <v>3525</v>
      </c>
      <c r="C28" s="42" t="s">
        <v>764</v>
      </c>
      <c r="D28" s="329" t="s">
        <v>4586</v>
      </c>
      <c r="E28" s="339" t="str">
        <f>IFERROR(IF(OR(D28='DICTIONARY-5'!$A$2,D28='DICTIONARY-5'!$A$4,ISBLANK(D28)),VLOOKUP(C28,LIST!$A$6:$L$3250,CURR_1.SEARCH.OLD,0),VLOOKUP(D28,LIST!$B$6:$L$3250,CURR_1.SEARCH.NEW,0)),'DICTIONARY-5'!$A$2)</f>
        <v>20 238,-</v>
      </c>
      <c r="F28" s="339" t="str">
        <f>IFERROR(IF(OR(D28='DICTIONARY-5'!$A$2,D28='DICTIONARY-5'!$A$4,ISBLANK(D28)),VLOOKUP(C28,LIST!$A$6:$M$3250,CURR_2.SEARCH.OLD,0),VLOOKUP(D28,LIST!$B$6:$M$3250,CURR_2.SEARCH.NEW,0)),'DICTIONARY-5'!$A$2)</f>
        <v/>
      </c>
      <c r="G28" s="42" t="s">
        <v>765</v>
      </c>
      <c r="H28" s="329" t="s">
        <v>4602</v>
      </c>
      <c r="I28" s="339" t="str">
        <f>IFERROR(IF(OR(H28='DICTIONARY-5'!$A$2,H28='DICTIONARY-5'!$A$4,ISBLANK(H28)),VLOOKUP(G28,LIST!$A$6:$L$3250,CURR_1.SEARCH.OLD,0),VLOOKUP(H28,LIST!$B$6:$L$3250,CURR_1.SEARCH.NEW,0)),'DICTIONARY-5'!$A$2)</f>
        <v>436,-</v>
      </c>
      <c r="J28" s="339" t="str">
        <f>IFERROR(IF(OR(H28='DICTIONARY-5'!$A$2,H28='DICTIONARY-5'!$A$4,ISBLANK(H28)),VLOOKUP(G28,LIST!$A$6:$M$3250,CURR_2.SEARCH.OLD,0),VLOOKUP(H28,LIST!$B$6:$M$3250,CURR_2.SEARCH.NEW,0)),'DICTIONARY-5'!$A$2)</f>
        <v/>
      </c>
    </row>
    <row r="29" spans="1:10" x14ac:dyDescent="0.25">
      <c r="A29" s="42">
        <v>1600</v>
      </c>
      <c r="B29" s="42">
        <v>3825</v>
      </c>
      <c r="C29" s="42" t="s">
        <v>766</v>
      </c>
      <c r="D29" s="329" t="s">
        <v>4591</v>
      </c>
      <c r="E29" s="339" t="str">
        <f>IFERROR(IF(OR(D29='DICTIONARY-5'!$A$2,D29='DICTIONARY-5'!$A$4,ISBLANK(D29)),VLOOKUP(C29,LIST!$A$6:$L$3250,CURR_1.SEARCH.OLD,0),VLOOKUP(D29,LIST!$B$6:$L$3250,CURR_1.SEARCH.NEW,0)),'DICTIONARY-5'!$A$2)</f>
        <v>26 372,-</v>
      </c>
      <c r="F29" s="339" t="str">
        <f>IFERROR(IF(OR(D29='DICTIONARY-5'!$A$2,D29='DICTIONARY-5'!$A$4,ISBLANK(D29)),VLOOKUP(C29,LIST!$A$6:$M$3250,CURR_2.SEARCH.OLD,0),VLOOKUP(D29,LIST!$B$6:$M$3250,CURR_2.SEARCH.NEW,0)),'DICTIONARY-5'!$A$2)</f>
        <v/>
      </c>
      <c r="G29" s="42" t="s">
        <v>767</v>
      </c>
      <c r="H29" s="329" t="s">
        <v>4603</v>
      </c>
      <c r="I29" s="339" t="str">
        <f>IFERROR(IF(OR(H29='DICTIONARY-5'!$A$2,H29='DICTIONARY-5'!$A$4,ISBLANK(H29)),VLOOKUP(G29,LIST!$A$6:$L$3250,CURR_1.SEARCH.OLD,0),VLOOKUP(H29,LIST!$B$6:$L$3250,CURR_1.SEARCH.NEW,0)),'DICTIONARY-5'!$A$2)</f>
        <v>1 011,-</v>
      </c>
      <c r="J29" s="339" t="str">
        <f>IFERROR(IF(OR(H29='DICTIONARY-5'!$A$2,H29='DICTIONARY-5'!$A$4,ISBLANK(H29)),VLOOKUP(G29,LIST!$A$6:$M$3250,CURR_2.SEARCH.OLD,0),VLOOKUP(H29,LIST!$B$6:$M$3250,CURR_2.SEARCH.NEW,0)),'DICTIONARY-5'!$A$2)</f>
        <v/>
      </c>
    </row>
    <row r="30" spans="1:10" x14ac:dyDescent="0.25">
      <c r="A30" s="42">
        <v>1800</v>
      </c>
      <c r="B30" s="42">
        <v>4225</v>
      </c>
      <c r="C30" s="42" t="s">
        <v>768</v>
      </c>
      <c r="D30" s="329" t="s">
        <v>4596</v>
      </c>
      <c r="E30" s="339" t="str">
        <f>IFERROR(IF(OR(D30='DICTIONARY-5'!$A$2,D30='DICTIONARY-5'!$A$4,ISBLANK(D30)),VLOOKUP(C30,LIST!$A$6:$L$3250,CURR_1.SEARCH.OLD,0),VLOOKUP(D30,LIST!$B$6:$L$3250,CURR_1.SEARCH.NEW,0)),'DICTIONARY-5'!$A$2)</f>
        <v>33 872,-</v>
      </c>
      <c r="F30" s="339" t="str">
        <f>IFERROR(IF(OR(D30='DICTIONARY-5'!$A$2,D30='DICTIONARY-5'!$A$4,ISBLANK(D30)),VLOOKUP(C30,LIST!$A$6:$M$3250,CURR_2.SEARCH.OLD,0),VLOOKUP(D30,LIST!$B$6:$M$3250,CURR_2.SEARCH.NEW,0)),'DICTIONARY-5'!$A$2)</f>
        <v/>
      </c>
      <c r="G30" s="42" t="s">
        <v>767</v>
      </c>
      <c r="H30" s="329" t="s">
        <v>4603</v>
      </c>
      <c r="I30" s="339" t="str">
        <f>IFERROR(IF(OR(H30='DICTIONARY-5'!$A$2,H30='DICTIONARY-5'!$A$4,ISBLANK(H30)),VLOOKUP(G30,LIST!$A$6:$L$3250,CURR_1.SEARCH.OLD,0),VLOOKUP(H30,LIST!$B$6:$L$3250,CURR_1.SEARCH.NEW,0)),'DICTIONARY-5'!$A$2)</f>
        <v>1 011,-</v>
      </c>
      <c r="J30" s="339" t="str">
        <f>IFERROR(IF(OR(H30='DICTIONARY-5'!$A$2,H30='DICTIONARY-5'!$A$4,ISBLANK(H30)),VLOOKUP(G30,LIST!$A$6:$M$3250,CURR_2.SEARCH.OLD,0),VLOOKUP(H30,LIST!$B$6:$M$3250,CURR_2.SEARCH.NEW,0)),'DICTIONARY-5'!$A$2)</f>
        <v/>
      </c>
    </row>
    <row r="31" spans="1:10" x14ac:dyDescent="0.25">
      <c r="A31" s="42">
        <v>2000</v>
      </c>
      <c r="B31" s="42">
        <v>4625</v>
      </c>
      <c r="C31" s="42" t="s">
        <v>769</v>
      </c>
      <c r="D31" s="329" t="s">
        <v>4605</v>
      </c>
      <c r="E31" s="339" t="str">
        <f>IFERROR(IF(OR(D31='DICTIONARY-5'!$A$2,D31='DICTIONARY-5'!$A$4,ISBLANK(D31)),VLOOKUP(C31,LIST!$A$6:$L$3250,CURR_1.SEARCH.OLD,0),VLOOKUP(D31,LIST!$B$6:$L$3250,CURR_1.SEARCH.NEW,0)),'DICTIONARY-5'!$A$2)</f>
        <v>48 925,-</v>
      </c>
      <c r="F31" s="339" t="str">
        <f>IFERROR(IF(OR(D31='DICTIONARY-5'!$A$2,D31='DICTIONARY-5'!$A$4,ISBLANK(D31)),VLOOKUP(C31,LIST!$A$6:$M$3250,CURR_2.SEARCH.OLD,0),VLOOKUP(D31,LIST!$B$6:$M$3250,CURR_2.SEARCH.NEW,0)),'DICTIONARY-5'!$A$2)</f>
        <v/>
      </c>
      <c r="G31" s="42" t="s">
        <v>770</v>
      </c>
      <c r="H31" s="329" t="s">
        <v>4604</v>
      </c>
      <c r="I31" s="339" t="str">
        <f>IFERROR(IF(OR(H31='DICTIONARY-5'!$A$2,H31='DICTIONARY-5'!$A$4,ISBLANK(H31)),VLOOKUP(G31,LIST!$A$6:$L$3250,CURR_1.SEARCH.OLD,0),VLOOKUP(H31,LIST!$B$6:$L$3250,CURR_1.SEARCH.NEW,0)),'DICTIONARY-5'!$A$2)</f>
        <v>489,-</v>
      </c>
      <c r="J31" s="339" t="str">
        <f>IFERROR(IF(OR(H31='DICTIONARY-5'!$A$2,H31='DICTIONARY-5'!$A$4,ISBLANK(H31)),VLOOKUP(G31,LIST!$A$6:$M$3250,CURR_2.SEARCH.OLD,0),VLOOKUP(H31,LIST!$B$6:$M$3250,CURR_2.SEARCH.NEW,0)),'DICTIONARY-5'!$A$2)</f>
        <v/>
      </c>
    </row>
    <row r="33" spans="1:6" x14ac:dyDescent="0.25">
      <c r="A33" s="46" t="str">
        <f>"1) "&amp;'DICTIONARY-5'!$A$86&amp;" - "&amp;'DICTIONARY-5'!$A$89</f>
        <v>1) Głębokość zabudowy - odległość od dna rurociągu / kanału do poziomu operacyjnego</v>
      </c>
    </row>
    <row r="36" spans="1:6" x14ac:dyDescent="0.25">
      <c r="A36" s="701"/>
      <c r="B36" s="701"/>
      <c r="C36" s="960" t="str">
        <f>'DICTIONARY-3'!$A$237&amp;" "&amp;'DICTIONARY-5'!$A$7&amp;" "&amp;'DICTIONARY-3'!$A$142</f>
        <v>Kwadrat pod klucz dla Klucz-T</v>
      </c>
      <c r="D36" s="960"/>
      <c r="E36" s="960"/>
      <c r="F36" s="960"/>
    </row>
    <row r="37" spans="1:6" x14ac:dyDescent="0.25">
      <c r="A37" s="704"/>
      <c r="B37" s="704"/>
      <c r="C37" s="961"/>
      <c r="D37" s="961"/>
      <c r="E37" s="961"/>
      <c r="F37" s="961"/>
    </row>
    <row r="38" spans="1:6" x14ac:dyDescent="0.25">
      <c r="A38" s="704"/>
      <c r="B38" s="704"/>
      <c r="C38" s="40" t="str">
        <f>'DICTIONARY-2'!$A$28</f>
        <v>stary nr zamówienia</v>
      </c>
      <c r="D38" s="40" t="str">
        <f>'DICTIONARY-2'!$A$29</f>
        <v>nowy nr zamówienia</v>
      </c>
      <c r="E38" s="41" t="str">
        <f>CURRENCY.CODE_1</f>
        <v>EUR</v>
      </c>
      <c r="F38" s="41" t="str">
        <f>CURRENCY.CODE_2</f>
        <v>---</v>
      </c>
    </row>
    <row r="39" spans="1:6" x14ac:dyDescent="0.25">
      <c r="A39" s="61"/>
      <c r="B39" s="61"/>
      <c r="C39" s="344" t="s">
        <v>5078</v>
      </c>
      <c r="D39" s="343" t="s">
        <v>5077</v>
      </c>
      <c r="E39" s="339" t="str">
        <f>IFERROR(IF(OR(D39='DICTIONARY-5'!$A$2,D39='DICTIONARY-5'!$A$4,ISBLANK(D39)),VLOOKUP(C39,LIST!$A$6:$L$3250,CURR_1.SEARCH.OLD,0),VLOOKUP(D39,LIST!$B$6:$L$3250,CURR_1.SEARCH.NEW,0)),'DICTIONARY-5'!$A$2)</f>
        <v>85,-</v>
      </c>
      <c r="F39" s="339" t="str">
        <f>IFERROR(IF(OR(D39='DICTIONARY-5'!$A$2,D39='DICTIONARY-5'!$A$4,ISBLANK(D39)),VLOOKUP(C39,LIST!$A$6:$M$3250,CURR_2.SEARCH.OLD,0),VLOOKUP(D39,LIST!$B$6:$M$3250,CURR_2.SEARCH.NEW,0)),'DICTIONARY-5'!$A$2)</f>
        <v/>
      </c>
    </row>
  </sheetData>
  <sheetProtection algorithmName="SHA-512" hashValue="CUj3kq01GEJzuT5SFOUhotCaAmS3raONyPCiU9ZPjnXUjgaBU9LVnejcAbZ/y2Z3XnfpzCyZ5lJglVu9YS70EQ==" saltValue="YZ2siB8t+tvGC2BLSk2ahg==" spinCount="100000" sheet="1" objects="1" scenarios="1" autoFilter="0"/>
  <mergeCells count="7">
    <mergeCell ref="B4:E4"/>
    <mergeCell ref="C10:F10"/>
    <mergeCell ref="G10:J10"/>
    <mergeCell ref="C36:F36"/>
    <mergeCell ref="C37:F37"/>
    <mergeCell ref="C11:F11"/>
    <mergeCell ref="G11:J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8">
    <tabColor rgb="FFFFC000"/>
    <pageSetUpPr fitToPage="1"/>
  </sheetPr>
  <dimension ref="A1:K63"/>
  <sheetViews>
    <sheetView workbookViewId="0"/>
  </sheetViews>
  <sheetFormatPr defaultColWidth="9.140625" defaultRowHeight="15" x14ac:dyDescent="0.25"/>
  <cols>
    <col min="1" max="3" width="8.5703125" style="65" customWidth="1"/>
    <col min="4" max="5" width="22.140625" style="65" customWidth="1"/>
    <col min="6" max="7" width="12.85546875" style="65" customWidth="1"/>
    <col min="8" max="9" width="22.140625" style="65" customWidth="1"/>
    <col min="10" max="11" width="12.85546875" style="65" customWidth="1"/>
    <col min="12" max="16384" width="9.140625" style="65"/>
  </cols>
  <sheetData>
    <row r="1" spans="1:11" s="415" customFormat="1" ht="45" customHeight="1" thickBot="1" x14ac:dyDescent="0.3">
      <c r="A1" s="432"/>
      <c r="B1" s="432"/>
      <c r="C1" s="432"/>
      <c r="D1" s="432"/>
    </row>
    <row r="2" spans="1:11" s="478" customFormat="1" ht="4.5" customHeight="1" x14ac:dyDescent="0.25">
      <c r="A2" s="475"/>
    </row>
    <row r="3" spans="1:11" ht="15.75" thickBot="1" x14ac:dyDescent="0.3">
      <c r="A3" s="66"/>
      <c r="B3" s="67"/>
      <c r="C3" s="67"/>
    </row>
    <row r="4" spans="1:11" ht="15.75" thickBot="1" x14ac:dyDescent="0.3">
      <c r="A4" s="826">
        <f>ADD.DISCOUNT</f>
        <v>0</v>
      </c>
      <c r="B4" s="933" t="str">
        <f>HYPERLINK("#'LIST'!ADD.DISCOUNT","» "&amp;'DICTIONARY-1'!$A$5)</f>
        <v>» Ustaw globalny dodatkowy rabat</v>
      </c>
      <c r="C4" s="981"/>
      <c r="D4" s="981"/>
      <c r="E4" s="982"/>
    </row>
    <row r="5" spans="1:11" x14ac:dyDescent="0.25">
      <c r="A5" s="66"/>
      <c r="B5" s="67"/>
      <c r="C5" s="67"/>
    </row>
    <row r="6" spans="1:11" ht="16.5" thickBot="1" x14ac:dyDescent="0.3">
      <c r="A6" s="95" t="str">
        <f>CONCATENATE('DICTIONARY-3'!$A$46," ",'DICTIONARY-3'!$A$193," / ",'DICTIONARY-3'!$A$282)</f>
        <v>HYDRUS G Hydrant podziemny / Z plastikową pokrywą wylotu</v>
      </c>
      <c r="B6" s="85"/>
      <c r="C6" s="85"/>
      <c r="D6" s="85"/>
      <c r="E6" s="85"/>
      <c r="F6" s="85"/>
      <c r="G6" s="85"/>
      <c r="H6" s="85"/>
      <c r="I6" s="85"/>
      <c r="J6" s="85"/>
      <c r="K6" s="85"/>
    </row>
    <row r="7" spans="1:11" x14ac:dyDescent="0.25">
      <c r="A7" s="93" t="str">
        <f>'DICTIONARY-5'!$A$121</f>
        <v>Z siedziskiem mosiężnym</v>
      </c>
    </row>
    <row r="8" spans="1:11" x14ac:dyDescent="0.25">
      <c r="A8" s="93" t="str">
        <f>CONCATENATE('DICTIONARY-1'!$A$10,": ",SETTINGS!$C$69)</f>
        <v>Grupa rabatowa: HYDRUS G</v>
      </c>
    </row>
    <row r="9" spans="1:11" x14ac:dyDescent="0.25">
      <c r="A9" s="68"/>
      <c r="B9" s="68"/>
      <c r="C9" s="70"/>
      <c r="D9" s="70"/>
      <c r="E9" s="70"/>
      <c r="F9" s="71"/>
      <c r="G9" s="71"/>
      <c r="H9" s="71"/>
      <c r="I9" s="71"/>
      <c r="J9" s="71"/>
      <c r="K9" s="71"/>
    </row>
    <row r="10" spans="1:11" x14ac:dyDescent="0.25">
      <c r="A10" s="72" t="str">
        <f>'DICTIONARY-2'!$A$2</f>
        <v>DN</v>
      </c>
      <c r="B10" s="72" t="str">
        <f>'DICTIONARY-2'!$A$3</f>
        <v>PN</v>
      </c>
      <c r="C10" s="705" t="str">
        <f>'DICTIONARY-2'!$A$7&amp;" 1)"</f>
        <v>Rd 1)</v>
      </c>
      <c r="D10" s="984" t="str">
        <f>'DICTIONARY-3'!$A$47&amp;" "&amp;'DICTIONARY-5'!$A$107</f>
        <v>HYDRUS G1 A</v>
      </c>
      <c r="E10" s="984"/>
      <c r="F10" s="984"/>
      <c r="G10" s="985"/>
      <c r="H10" s="984" t="str">
        <f>'DICTIONARY-3'!$A$48&amp;" "&amp;'DICTIONARY-5'!$A$108</f>
        <v>HYDRUS G2 AD</v>
      </c>
      <c r="I10" s="984"/>
      <c r="J10" s="984"/>
      <c r="K10" s="984"/>
    </row>
    <row r="11" spans="1:11" ht="15" customHeight="1" x14ac:dyDescent="0.25">
      <c r="A11" s="104"/>
      <c r="B11" s="104"/>
      <c r="C11" s="521"/>
      <c r="D11" s="983" t="str">
        <f>'DICTIONARY-5'!$A$113&amp;", "&amp;LOWER('DICTIONARY-3'!$A$282)</f>
        <v>pojedyncze zamknięcie, z plastikową pokrywą wylotu</v>
      </c>
      <c r="E11" s="983"/>
      <c r="F11" s="983"/>
      <c r="G11" s="983"/>
      <c r="H11" s="983" t="str">
        <f>'DICTIONARY-5'!$A$114&amp;", "&amp;LOWER('DICTIONARY-3'!$A$282)</f>
        <v>podwójne zamknięcie, z plastikową pokrywą wylotu</v>
      </c>
      <c r="I11" s="983"/>
      <c r="J11" s="983"/>
      <c r="K11" s="983"/>
    </row>
    <row r="12" spans="1:11" x14ac:dyDescent="0.25">
      <c r="A12" s="73"/>
      <c r="B12" s="73"/>
      <c r="C12" s="74" t="str">
        <f>'DICTIONARY-2'!$A$19</f>
        <v>[m]</v>
      </c>
      <c r="D12" s="75" t="str">
        <f>'DICTIONARY-2'!$A$28</f>
        <v>stary nr zamówienia</v>
      </c>
      <c r="E12" s="75" t="str">
        <f>'DICTIONARY-2'!$A$29</f>
        <v>nowy nr zamówienia</v>
      </c>
      <c r="F12" s="76" t="str">
        <f>CURRENCY.CODE_1</f>
        <v>EUR</v>
      </c>
      <c r="G12" s="76" t="str">
        <f>CURRENCY.CODE_2</f>
        <v>---</v>
      </c>
      <c r="H12" s="75" t="str">
        <f>'DICTIONARY-2'!$A$28</f>
        <v>stary nr zamówienia</v>
      </c>
      <c r="I12" s="75" t="str">
        <f>'DICTIONARY-2'!$A$29</f>
        <v>nowy nr zamówienia</v>
      </c>
      <c r="J12" s="76" t="str">
        <f>CURRENCY.CODE_1</f>
        <v>EUR</v>
      </c>
      <c r="K12" s="76" t="str">
        <f>CURRENCY.CODE_2</f>
        <v>---</v>
      </c>
    </row>
    <row r="13" spans="1:11" x14ac:dyDescent="0.25">
      <c r="A13" s="77">
        <v>80</v>
      </c>
      <c r="B13" s="77" t="s">
        <v>85</v>
      </c>
      <c r="C13" s="78">
        <v>0.75</v>
      </c>
      <c r="D13" s="77" t="s">
        <v>816</v>
      </c>
      <c r="E13" s="328" t="s">
        <v>4279</v>
      </c>
      <c r="F13" s="339" t="str">
        <f>IFERROR(IF(OR(E13='DICTIONARY-5'!$A$2,E13='DICTIONARY-5'!$A$4,ISBLANK(E13)),VLOOKUP(D13,LIST!$A$6:$L$3250,CURR_1.SEARCH.OLD,0),VLOOKUP(E13,LIST!$B$6:$L$3250,CURR_1.SEARCH.NEW,0)),'DICTIONARY-5'!$A$2)</f>
        <v>504,-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77" t="s">
        <v>817</v>
      </c>
      <c r="I13" s="328" t="s">
        <v>4287</v>
      </c>
      <c r="J13" s="339" t="str">
        <f>IFERROR(IF(OR(I13='DICTIONARY-5'!$A$2,I13='DICTIONARY-5'!$A$4,ISBLANK(I13)),VLOOKUP(H13,LIST!$A$6:$L$3250,CURR_1.SEARCH.OLD,0),VLOOKUP(I13,LIST!$B$6:$L$3250,CURR_1.SEARCH.NEW,0)),'DICTIONARY-5'!$A$2)</f>
        <v>543,-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77">
        <v>80</v>
      </c>
      <c r="B14" s="77" t="s">
        <v>85</v>
      </c>
      <c r="C14" s="78">
        <v>1</v>
      </c>
      <c r="D14" s="77" t="s">
        <v>818</v>
      </c>
      <c r="E14" s="328" t="s">
        <v>4280</v>
      </c>
      <c r="F14" s="339" t="str">
        <f>IFERROR(IF(OR(E14='DICTIONARY-5'!$A$2,E14='DICTIONARY-5'!$A$4,ISBLANK(E14)),VLOOKUP(D14,LIST!$A$6:$L$3250,CURR_1.SEARCH.OLD,0),VLOOKUP(E14,LIST!$B$6:$L$3250,CURR_1.SEARCH.NEW,0)),'DICTIONARY-5'!$A$2)</f>
        <v>554,-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77" t="s">
        <v>819</v>
      </c>
      <c r="I14" s="328" t="s">
        <v>4288</v>
      </c>
      <c r="J14" s="339" t="str">
        <f>IFERROR(IF(OR(I14='DICTIONARY-5'!$A$2,I14='DICTIONARY-5'!$A$4,ISBLANK(I14)),VLOOKUP(H14,LIST!$A$6:$L$3250,CURR_1.SEARCH.OLD,0),VLOOKUP(I14,LIST!$B$6:$L$3250,CURR_1.SEARCH.NEW,0)),'DICTIONARY-5'!$A$2)</f>
        <v>594,-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77">
        <v>80</v>
      </c>
      <c r="B15" s="77" t="s">
        <v>85</v>
      </c>
      <c r="C15" s="78">
        <v>1.25</v>
      </c>
      <c r="D15" s="77" t="s">
        <v>820</v>
      </c>
      <c r="E15" s="328" t="s">
        <v>4281</v>
      </c>
      <c r="F15" s="339" t="str">
        <f>IFERROR(IF(OR(E15='DICTIONARY-5'!$A$2,E15='DICTIONARY-5'!$A$4,ISBLANK(E15)),VLOOKUP(D15,LIST!$A$6:$L$3250,CURR_1.SEARCH.OLD,0),VLOOKUP(E15,LIST!$B$6:$L$3250,CURR_1.SEARCH.NEW,0)),'DICTIONARY-5'!$A$2)</f>
        <v>561,-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77" t="s">
        <v>821</v>
      </c>
      <c r="I15" s="328" t="s">
        <v>4289</v>
      </c>
      <c r="J15" s="339" t="str">
        <f>IFERROR(IF(OR(I15='DICTIONARY-5'!$A$2,I15='DICTIONARY-5'!$A$4,ISBLANK(I15)),VLOOKUP(H15,LIST!$A$6:$L$3250,CURR_1.SEARCH.OLD,0),VLOOKUP(I15,LIST!$B$6:$L$3250,CURR_1.SEARCH.NEW,0)),'DICTIONARY-5'!$A$2)</f>
        <v>601,-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77">
        <v>80</v>
      </c>
      <c r="B16" s="77" t="s">
        <v>85</v>
      </c>
      <c r="C16" s="78">
        <v>1.5</v>
      </c>
      <c r="D16" s="77" t="s">
        <v>822</v>
      </c>
      <c r="E16" s="328" t="s">
        <v>4282</v>
      </c>
      <c r="F16" s="339" t="str">
        <f>IFERROR(IF(OR(E16='DICTIONARY-5'!$A$2,E16='DICTIONARY-5'!$A$4,ISBLANK(E16)),VLOOKUP(D16,LIST!$A$6:$L$3250,CURR_1.SEARCH.OLD,0),VLOOKUP(E16,LIST!$B$6:$L$3250,CURR_1.SEARCH.NEW,0)),'DICTIONARY-5'!$A$2)</f>
        <v>602,-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77" t="s">
        <v>823</v>
      </c>
      <c r="I16" s="328" t="s">
        <v>4290</v>
      </c>
      <c r="J16" s="339" t="str">
        <f>IFERROR(IF(OR(I16='DICTIONARY-5'!$A$2,I16='DICTIONARY-5'!$A$4,ISBLANK(I16)),VLOOKUP(H16,LIST!$A$6:$L$3250,CURR_1.SEARCH.OLD,0),VLOOKUP(I16,LIST!$B$6:$L$3250,CURR_1.SEARCH.NEW,0)),'DICTIONARY-5'!$A$2)</f>
        <v>640,-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94"/>
      <c r="B17" s="70"/>
      <c r="C17" s="96"/>
      <c r="D17" s="70"/>
      <c r="E17" s="70"/>
      <c r="F17" s="71"/>
      <c r="G17" s="71"/>
      <c r="H17" s="70"/>
      <c r="I17" s="70"/>
      <c r="J17" s="71"/>
      <c r="K17" s="71"/>
    </row>
    <row r="18" spans="1:11" ht="15" customHeight="1" x14ac:dyDescent="0.25">
      <c r="A18" s="72" t="str">
        <f>'DICTIONARY-2'!$A$2</f>
        <v>DN</v>
      </c>
      <c r="B18" s="72" t="str">
        <f>'DICTIONARY-2'!$A$3</f>
        <v>PN</v>
      </c>
      <c r="C18" s="705" t="str">
        <f>'DICTIONARY-2'!$A$7&amp;" 1)"</f>
        <v>Rd 1)</v>
      </c>
      <c r="D18" s="985" t="str">
        <f>'DICTIONARY-3'!$A$47&amp;" "&amp;'DICTIONARY-5'!$A$107</f>
        <v>HYDRUS G1 A</v>
      </c>
      <c r="E18" s="986"/>
      <c r="F18" s="986"/>
      <c r="G18" s="987"/>
      <c r="H18" s="984" t="str">
        <f>'DICTIONARY-3'!$A$48&amp;" "&amp;'DICTIONARY-5'!$A$108</f>
        <v>HYDRUS G2 AD</v>
      </c>
      <c r="I18" s="984"/>
      <c r="J18" s="984"/>
      <c r="K18" s="984"/>
    </row>
    <row r="19" spans="1:11" ht="15" customHeight="1" x14ac:dyDescent="0.25">
      <c r="A19" s="104"/>
      <c r="B19" s="104"/>
      <c r="C19" s="521"/>
      <c r="D19" s="978" t="str">
        <f>'DICTIONARY-5'!$A$113&amp;", "&amp;LOWER('DICTIONARY-3'!$A$282)&amp;", "&amp;'DICTIONARY-5'!$A$64</f>
        <v>pojedyncze zamknięcie, z plastikową pokrywą wylotu, owiert 4 otw.</v>
      </c>
      <c r="E19" s="979"/>
      <c r="F19" s="979"/>
      <c r="G19" s="980"/>
      <c r="H19" s="983" t="str">
        <f>'DICTIONARY-5'!$A$114&amp;", "&amp;LOWER('DICTIONARY-3'!$A$282)&amp;", "&amp;'DICTIONARY-5'!$A$64</f>
        <v>podwójne zamknięcie, z plastikową pokrywą wylotu, owiert 4 otw.</v>
      </c>
      <c r="I19" s="983"/>
      <c r="J19" s="983"/>
      <c r="K19" s="983"/>
    </row>
    <row r="20" spans="1:11" x14ac:dyDescent="0.25">
      <c r="A20" s="73"/>
      <c r="B20" s="73"/>
      <c r="C20" s="74" t="str">
        <f>'DICTIONARY-2'!$A$19</f>
        <v>[m]</v>
      </c>
      <c r="D20" s="75" t="str">
        <f>'DICTIONARY-2'!$A$28</f>
        <v>stary nr zamówienia</v>
      </c>
      <c r="E20" s="75" t="str">
        <f>'DICTIONARY-2'!$A$29</f>
        <v>nowy nr zamówienia</v>
      </c>
      <c r="F20" s="76" t="str">
        <f>CURRENCY.CODE_1</f>
        <v>EUR</v>
      </c>
      <c r="G20" s="76" t="str">
        <f>CURRENCY.CODE_2</f>
        <v>---</v>
      </c>
      <c r="H20" s="75" t="str">
        <f>'DICTIONARY-2'!$A$28</f>
        <v>stary nr zamówienia</v>
      </c>
      <c r="I20" s="75" t="str">
        <f>'DICTIONARY-2'!$A$29</f>
        <v>nowy nr zamówienia</v>
      </c>
      <c r="J20" s="76" t="str">
        <f>CURRENCY.CODE_1</f>
        <v>EUR</v>
      </c>
      <c r="K20" s="76" t="str">
        <f>CURRENCY.CODE_2</f>
        <v>---</v>
      </c>
    </row>
    <row r="21" spans="1:11" x14ac:dyDescent="0.25">
      <c r="A21" s="545" t="s">
        <v>6137</v>
      </c>
      <c r="B21" s="545" t="s">
        <v>85</v>
      </c>
      <c r="C21" s="78">
        <v>0.75</v>
      </c>
      <c r="D21" s="77" t="s">
        <v>6121</v>
      </c>
      <c r="E21" s="328" t="s">
        <v>6122</v>
      </c>
      <c r="F21" s="339" t="str">
        <f>IFERROR(IF(OR(E21='DICTIONARY-5'!$A$2,E21='DICTIONARY-5'!$A$4,ISBLANK(E21)),VLOOKUP(D21,LIST!$A$6:$L$3250,CURR_1.SEARCH.OLD,0),VLOOKUP(E21,LIST!$B$6:$L$3250,CURR_1.SEARCH.NEW,0)),'DICTIONARY-5'!$A$2)</f>
        <v>na zapytanie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545" t="s">
        <v>6129</v>
      </c>
      <c r="I21" s="547" t="s">
        <v>6133</v>
      </c>
      <c r="J21" s="339" t="str">
        <f>IFERROR(IF(OR(I21='DICTIONARY-5'!$A$2,I21='DICTIONARY-5'!$A$4,ISBLANK(I21)),VLOOKUP(H21,LIST!$A$6:$L$3250,CURR_1.SEARCH.OLD,0),VLOOKUP(I21,LIST!$B$6:$L$3250,CURR_1.SEARCH.NEW,0)),'DICTIONARY-5'!$A$2)</f>
        <v>na zapytanie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2" spans="1:11" x14ac:dyDescent="0.25">
      <c r="A22" s="77" t="s">
        <v>6137</v>
      </c>
      <c r="B22" s="77" t="s">
        <v>85</v>
      </c>
      <c r="C22" s="78">
        <v>1</v>
      </c>
      <c r="D22" s="77" t="s">
        <v>6123</v>
      </c>
      <c r="E22" s="328" t="s">
        <v>6124</v>
      </c>
      <c r="F22" s="339" t="str">
        <f>IFERROR(IF(OR(E22='DICTIONARY-5'!$A$2,E22='DICTIONARY-5'!$A$4,ISBLANK(E22)),VLOOKUP(D22,LIST!$A$6:$L$3250,CURR_1.SEARCH.OLD,0),VLOOKUP(E22,LIST!$B$6:$L$3250,CURR_1.SEARCH.NEW,0)),'DICTIONARY-5'!$A$2)</f>
        <v>na zapytanie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545" t="s">
        <v>6130</v>
      </c>
      <c r="I22" s="547" t="s">
        <v>6134</v>
      </c>
      <c r="J22" s="339" t="str">
        <f>IFERROR(IF(OR(I22='DICTIONARY-5'!$A$2,I22='DICTIONARY-5'!$A$4,ISBLANK(I22)),VLOOKUP(H22,LIST!$A$6:$L$3250,CURR_1.SEARCH.OLD,0),VLOOKUP(I22,LIST!$B$6:$L$3250,CURR_1.SEARCH.NEW,0)),'DICTIONARY-5'!$A$2)</f>
        <v>na zapytanie</v>
      </c>
      <c r="K22" s="339" t="str">
        <f>IFERROR(IF(OR(I22='DICTIONARY-5'!$A$2,I22='DICTIONARY-5'!$A$4,ISBLANK(I22)),VLOOKUP(H22,LIST!$A$6:$M$3250,CURR_2.SEARCH.OLD,0),VLOOKUP(I22,LIST!$B$6:$M$3250,CURR_2.SEARCH.NEW,0)),'DICTIONARY-5'!$A$2)</f>
        <v/>
      </c>
    </row>
    <row r="23" spans="1:11" x14ac:dyDescent="0.25">
      <c r="A23" s="77" t="s">
        <v>6137</v>
      </c>
      <c r="B23" s="77" t="s">
        <v>85</v>
      </c>
      <c r="C23" s="78">
        <v>1.25</v>
      </c>
      <c r="D23" s="77" t="s">
        <v>6125</v>
      </c>
      <c r="E23" s="328" t="s">
        <v>6126</v>
      </c>
      <c r="F23" s="339" t="str">
        <f>IFERROR(IF(OR(E23='DICTIONARY-5'!$A$2,E23='DICTIONARY-5'!$A$4,ISBLANK(E23)),VLOOKUP(D23,LIST!$A$6:$L$3250,CURR_1.SEARCH.OLD,0),VLOOKUP(E23,LIST!$B$6:$L$3250,CURR_1.SEARCH.NEW,0)),'DICTIONARY-5'!$A$2)</f>
        <v>na zapytanie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545" t="s">
        <v>6131</v>
      </c>
      <c r="I23" s="547" t="s">
        <v>6135</v>
      </c>
      <c r="J23" s="339" t="str">
        <f>IFERROR(IF(OR(I23='DICTIONARY-5'!$A$2,I23='DICTIONARY-5'!$A$4,ISBLANK(I23)),VLOOKUP(H23,LIST!$A$6:$L$3250,CURR_1.SEARCH.OLD,0),VLOOKUP(I23,LIST!$B$6:$L$3250,CURR_1.SEARCH.NEW,0)),'DICTIONARY-5'!$A$2)</f>
        <v>na zapytanie</v>
      </c>
      <c r="K23" s="339" t="str">
        <f>IFERROR(IF(OR(I23='DICTIONARY-5'!$A$2,I23='DICTIONARY-5'!$A$4,ISBLANK(I23)),VLOOKUP(H23,LIST!$A$6:$M$3250,CURR_2.SEARCH.OLD,0),VLOOKUP(I23,LIST!$B$6:$M$3250,CURR_2.SEARCH.NEW,0)),'DICTIONARY-5'!$A$2)</f>
        <v/>
      </c>
    </row>
    <row r="24" spans="1:11" x14ac:dyDescent="0.25">
      <c r="A24" s="77" t="s">
        <v>6137</v>
      </c>
      <c r="B24" s="77" t="s">
        <v>85</v>
      </c>
      <c r="C24" s="78">
        <v>1.5</v>
      </c>
      <c r="D24" s="77" t="s">
        <v>6127</v>
      </c>
      <c r="E24" s="328" t="s">
        <v>6128</v>
      </c>
      <c r="F24" s="339" t="str">
        <f>IFERROR(IF(OR(E24='DICTIONARY-5'!$A$2,E24='DICTIONARY-5'!$A$4,ISBLANK(E24)),VLOOKUP(D24,LIST!$A$6:$L$3250,CURR_1.SEARCH.OLD,0),VLOOKUP(E24,LIST!$B$6:$L$3250,CURR_1.SEARCH.NEW,0)),'DICTIONARY-5'!$A$2)</f>
        <v>na zapytanie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545" t="s">
        <v>6132</v>
      </c>
      <c r="I24" s="547" t="s">
        <v>6136</v>
      </c>
      <c r="J24" s="339" t="str">
        <f>IFERROR(IF(OR(I24='DICTIONARY-5'!$A$2,I24='DICTIONARY-5'!$A$4,ISBLANK(I24)),VLOOKUP(H24,LIST!$A$6:$L$3250,CURR_1.SEARCH.OLD,0),VLOOKUP(I24,LIST!$B$6:$L$3250,CURR_1.SEARCH.NEW,0)),'DICTIONARY-5'!$A$2)</f>
        <v>na zapytanie</v>
      </c>
      <c r="K24" s="339" t="str">
        <f>IFERROR(IF(OR(I24='DICTIONARY-5'!$A$2,I24='DICTIONARY-5'!$A$4,ISBLANK(I24)),VLOOKUP(H24,LIST!$A$6:$M$3250,CURR_2.SEARCH.OLD,0),VLOOKUP(I24,LIST!$B$6:$M$3250,CURR_2.SEARCH.NEW,0)),'DICTIONARY-5'!$A$2)</f>
        <v/>
      </c>
    </row>
    <row r="25" spans="1:11" x14ac:dyDescent="0.25">
      <c r="A25" s="94"/>
      <c r="B25" s="70"/>
      <c r="C25" s="96"/>
      <c r="D25" s="70"/>
      <c r="E25" s="70"/>
      <c r="F25" s="71"/>
      <c r="G25" s="71"/>
      <c r="H25" s="70"/>
      <c r="I25" s="70"/>
      <c r="J25" s="71"/>
      <c r="K25" s="71"/>
    </row>
    <row r="26" spans="1:11" x14ac:dyDescent="0.25">
      <c r="A26" s="65" t="str">
        <f>"1) "&amp;'DICTIONARY-5'!$A$85&amp;" - "&amp;'DICTIONARY-5'!$A$87</f>
        <v>1) Głębokość zabudowy - mierzona od górnej krawędzi rury do wierzchu terenu</v>
      </c>
      <c r="B26" s="70"/>
      <c r="C26" s="96"/>
      <c r="D26" s="70"/>
      <c r="E26" s="70"/>
      <c r="F26" s="71"/>
      <c r="G26" s="71"/>
      <c r="H26" s="70"/>
      <c r="I26" s="70"/>
      <c r="J26" s="71"/>
      <c r="K26" s="71"/>
    </row>
    <row r="27" spans="1:11" x14ac:dyDescent="0.25">
      <c r="A27" s="546" t="str">
        <f>"2) "&amp;'DICTIONARY-5'!$A$63</f>
        <v>2) Owiert kołnierza 4 otwory</v>
      </c>
      <c r="B27" s="70"/>
      <c r="C27" s="96"/>
      <c r="D27" s="70"/>
      <c r="E27" s="70"/>
      <c r="F27" s="71"/>
      <c r="G27" s="71"/>
      <c r="H27" s="70"/>
      <c r="I27" s="70"/>
      <c r="J27" s="71"/>
      <c r="K27" s="71"/>
    </row>
    <row r="28" spans="1:11" x14ac:dyDescent="0.25">
      <c r="B28" s="70"/>
      <c r="C28" s="96"/>
      <c r="D28" s="70"/>
      <c r="E28" s="70"/>
      <c r="F28" s="71"/>
      <c r="G28" s="71"/>
      <c r="H28" s="70"/>
      <c r="I28" s="70"/>
      <c r="J28" s="71"/>
      <c r="K28" s="71"/>
    </row>
    <row r="29" spans="1:11" x14ac:dyDescent="0.25">
      <c r="A29" s="65" t="str">
        <f>'DICTIONARY-5'!$A$107&amp;" - "&amp;'DICTIONARY-5'!$A$113&amp;" "&amp;'DICTIONARY-5'!$A$115</f>
        <v>A - pojedyncze zamknięcie (grzybek)</v>
      </c>
      <c r="B29" s="70"/>
      <c r="C29" s="96"/>
      <c r="D29" s="70"/>
      <c r="E29" s="70"/>
      <c r="F29" s="71"/>
      <c r="G29" s="71"/>
      <c r="H29" s="70"/>
      <c r="I29" s="70"/>
      <c r="J29" s="71"/>
      <c r="K29" s="71"/>
    </row>
    <row r="30" spans="1:11" x14ac:dyDescent="0.25">
      <c r="A30" s="65" t="str">
        <f>'DICTIONARY-5'!$A$108&amp;" - "&amp;'DICTIONARY-5'!$A$114&amp;" "&amp;'DICTIONARY-5'!$A$116</f>
        <v>AD - podwójne zamknięcie (grzybek + kula)</v>
      </c>
      <c r="B30" s="70"/>
      <c r="C30" s="96"/>
      <c r="D30" s="70"/>
      <c r="E30" s="70"/>
      <c r="F30" s="71"/>
      <c r="G30" s="71"/>
      <c r="H30" s="70"/>
      <c r="I30" s="70"/>
      <c r="J30" s="71"/>
      <c r="K30" s="71"/>
    </row>
    <row r="31" spans="1:11" x14ac:dyDescent="0.25">
      <c r="B31" s="70"/>
      <c r="C31" s="96"/>
      <c r="D31" s="70"/>
      <c r="E31" s="70"/>
      <c r="F31" s="71"/>
      <c r="G31" s="71"/>
      <c r="H31" s="70"/>
      <c r="I31" s="70"/>
      <c r="J31" s="71"/>
      <c r="K31" s="71"/>
    </row>
    <row r="32" spans="1:11" x14ac:dyDescent="0.25">
      <c r="A32" s="70"/>
      <c r="B32" s="70"/>
      <c r="C32" s="96"/>
      <c r="D32" s="70"/>
      <c r="E32" s="70"/>
      <c r="F32" s="71"/>
      <c r="G32" s="71"/>
      <c r="H32" s="70"/>
      <c r="I32" s="70"/>
      <c r="J32" s="71"/>
      <c r="K32" s="71"/>
    </row>
    <row r="33" spans="1:11" ht="15" customHeight="1" x14ac:dyDescent="0.25">
      <c r="A33" s="72" t="str">
        <f>'DICTIONARY-2'!$A$2</f>
        <v>DN</v>
      </c>
      <c r="B33" s="72" t="str">
        <f>'DICTIONARY-2'!$A$3</f>
        <v>PN</v>
      </c>
      <c r="C33" s="705" t="str">
        <f>'DICTIONARY-2'!$A$7&amp;" 1)"</f>
        <v>Rd 1)</v>
      </c>
      <c r="D33" s="984" t="str">
        <f>'DICTIONARY-3'!$A$48&amp;" "&amp;'DICTIONARY-5'!$A$108</f>
        <v>HYDRUS G2 AD</v>
      </c>
      <c r="E33" s="984"/>
      <c r="F33" s="984"/>
      <c r="G33" s="984"/>
      <c r="H33" s="984" t="str">
        <f>'DICTIONARY-3'!$A$48&amp;" "&amp;'DICTIONARY-5'!$A$108</f>
        <v>HYDRUS G2 AD</v>
      </c>
      <c r="I33" s="984"/>
      <c r="J33" s="984"/>
      <c r="K33" s="984"/>
    </row>
    <row r="34" spans="1:11" ht="15" customHeight="1" x14ac:dyDescent="0.25">
      <c r="A34" s="104"/>
      <c r="B34" s="104"/>
      <c r="C34" s="521"/>
      <c r="D34" s="983" t="str">
        <f>'DICTIONARY-5'!$A$114&amp;", "&amp;'DICTIONARY-5'!$A$120&amp;" DN 100"</f>
        <v>podwójne zamknięcie, kły DN 100</v>
      </c>
      <c r="E34" s="983"/>
      <c r="F34" s="983"/>
      <c r="G34" s="983"/>
      <c r="H34" s="983" t="str">
        <f>'DICTIONARY-5'!$A$114&amp;", "&amp;'DICTIONARY-5'!$A$120&amp;" DN 80"</f>
        <v>podwójne zamknięcie, kły DN 80</v>
      </c>
      <c r="I34" s="983"/>
      <c r="J34" s="983"/>
      <c r="K34" s="983"/>
    </row>
    <row r="35" spans="1:11" x14ac:dyDescent="0.25">
      <c r="A35" s="73"/>
      <c r="B35" s="73"/>
      <c r="C35" s="74" t="str">
        <f>'DICTIONARY-2'!$A$19</f>
        <v>[m]</v>
      </c>
      <c r="D35" s="75" t="str">
        <f>'DICTIONARY-2'!$A$28</f>
        <v>stary nr zamówienia</v>
      </c>
      <c r="E35" s="75" t="str">
        <f>'DICTIONARY-2'!$A$29</f>
        <v>nowy nr zamówienia</v>
      </c>
      <c r="F35" s="76" t="str">
        <f>CURRENCY.CODE_1</f>
        <v>EUR</v>
      </c>
      <c r="G35" s="76" t="str">
        <f>CURRENCY.CODE_2</f>
        <v>---</v>
      </c>
      <c r="H35" s="75" t="str">
        <f>'DICTIONARY-2'!$A$28</f>
        <v>stary nr zamówienia</v>
      </c>
      <c r="I35" s="75" t="str">
        <f>'DICTIONARY-2'!$A$29</f>
        <v>nowy nr zamówienia</v>
      </c>
      <c r="J35" s="76" t="str">
        <f>CURRENCY.CODE_1</f>
        <v>EUR</v>
      </c>
      <c r="K35" s="76" t="str">
        <f>CURRENCY.CODE_2</f>
        <v>---</v>
      </c>
    </row>
    <row r="36" spans="1:11" x14ac:dyDescent="0.25">
      <c r="A36" s="77">
        <v>100</v>
      </c>
      <c r="B36" s="77" t="s">
        <v>85</v>
      </c>
      <c r="C36" s="78">
        <v>1</v>
      </c>
      <c r="D36" s="77" t="s">
        <v>832</v>
      </c>
      <c r="E36" s="328" t="s">
        <v>4273</v>
      </c>
      <c r="F36" s="339" t="str">
        <f>IFERROR(IF(OR(E36='DICTIONARY-5'!$A$2,E36='DICTIONARY-5'!$A$4,ISBLANK(E36)),VLOOKUP(D36,LIST!$A$6:$L$3250,CURR_1.SEARCH.OLD,0),VLOOKUP(E36,LIST!$B$6:$L$3250,CURR_1.SEARCH.NEW,0)),'DICTIONARY-5'!$A$2)</f>
        <v>1 184,-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H36" s="77" t="s">
        <v>833</v>
      </c>
      <c r="I36" s="328" t="s">
        <v>4276</v>
      </c>
      <c r="J36" s="339" t="str">
        <f>IFERROR(IF(OR(I36='DICTIONARY-5'!$A$2,I36='DICTIONARY-5'!$A$4,ISBLANK(I36)),VLOOKUP(H36,LIST!$A$6:$L$3250,CURR_1.SEARCH.OLD,0),VLOOKUP(I36,LIST!$B$6:$L$3250,CURR_1.SEARCH.NEW,0)),'DICTIONARY-5'!$A$2)</f>
        <v>1 179,-</v>
      </c>
      <c r="K36" s="339" t="str">
        <f>IFERROR(IF(OR(I36='DICTIONARY-5'!$A$2,I36='DICTIONARY-5'!$A$4,ISBLANK(I36)),VLOOKUP(H36,LIST!$A$6:$M$3250,CURR_2.SEARCH.OLD,0),VLOOKUP(I36,LIST!$B$6:$M$3250,CURR_2.SEARCH.NEW,0)),'DICTIONARY-5'!$A$2)</f>
        <v/>
      </c>
    </row>
    <row r="37" spans="1:11" x14ac:dyDescent="0.25">
      <c r="A37" s="77">
        <v>100</v>
      </c>
      <c r="B37" s="77" t="s">
        <v>85</v>
      </c>
      <c r="C37" s="78">
        <v>1.25</v>
      </c>
      <c r="D37" s="77" t="s">
        <v>834</v>
      </c>
      <c r="E37" s="328" t="s">
        <v>4274</v>
      </c>
      <c r="F37" s="339" t="str">
        <f>IFERROR(IF(OR(E37='DICTIONARY-5'!$A$2,E37='DICTIONARY-5'!$A$4,ISBLANK(E37)),VLOOKUP(D37,LIST!$A$6:$L$3250,CURR_1.SEARCH.OLD,0),VLOOKUP(E37,LIST!$B$6:$L$3250,CURR_1.SEARCH.NEW,0)),'DICTIONARY-5'!$A$2)</f>
        <v>1 287,-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  <c r="H37" s="77" t="s">
        <v>835</v>
      </c>
      <c r="I37" s="328" t="s">
        <v>4277</v>
      </c>
      <c r="J37" s="339" t="str">
        <f>IFERROR(IF(OR(I37='DICTIONARY-5'!$A$2,I37='DICTIONARY-5'!$A$4,ISBLANK(I37)),VLOOKUP(H37,LIST!$A$6:$L$3250,CURR_1.SEARCH.OLD,0),VLOOKUP(I37,LIST!$B$6:$L$3250,CURR_1.SEARCH.NEW,0)),'DICTIONARY-5'!$A$2)</f>
        <v>1 281,-</v>
      </c>
      <c r="K37" s="339" t="str">
        <f>IFERROR(IF(OR(I37='DICTIONARY-5'!$A$2,I37='DICTIONARY-5'!$A$4,ISBLANK(I37)),VLOOKUP(H37,LIST!$A$6:$M$3250,CURR_2.SEARCH.OLD,0),VLOOKUP(I37,LIST!$B$6:$M$3250,CURR_2.SEARCH.NEW,0)),'DICTIONARY-5'!$A$2)</f>
        <v/>
      </c>
    </row>
    <row r="38" spans="1:11" x14ac:dyDescent="0.25">
      <c r="A38" s="77">
        <v>100</v>
      </c>
      <c r="B38" s="77" t="s">
        <v>85</v>
      </c>
      <c r="C38" s="78">
        <v>1.5</v>
      </c>
      <c r="D38" s="77" t="s">
        <v>836</v>
      </c>
      <c r="E38" s="328" t="s">
        <v>4275</v>
      </c>
      <c r="F38" s="339" t="str">
        <f>IFERROR(IF(OR(E38='DICTIONARY-5'!$A$2,E38='DICTIONARY-5'!$A$4,ISBLANK(E38)),VLOOKUP(D38,LIST!$A$6:$L$3250,CURR_1.SEARCH.OLD,0),VLOOKUP(E38,LIST!$B$6:$L$3250,CURR_1.SEARCH.NEW,0)),'DICTIONARY-5'!$A$2)</f>
        <v>1 336,-</v>
      </c>
      <c r="G38" s="339" t="str">
        <f>IFERROR(IF(OR(E38='DICTIONARY-5'!$A$2,E38='DICTIONARY-5'!$A$4,ISBLANK(E38)),VLOOKUP(D38,LIST!$A$6:$M$3250,CURR_2.SEARCH.OLD,0),VLOOKUP(E38,LIST!$B$6:$M$3250,CURR_2.SEARCH.NEW,0)),'DICTIONARY-5'!$A$2)</f>
        <v/>
      </c>
      <c r="H38" s="77" t="s">
        <v>837</v>
      </c>
      <c r="I38" s="328" t="s">
        <v>4278</v>
      </c>
      <c r="J38" s="339" t="str">
        <f>IFERROR(IF(OR(I38='DICTIONARY-5'!$A$2,I38='DICTIONARY-5'!$A$4,ISBLANK(I38)),VLOOKUP(H38,LIST!$A$6:$L$3250,CURR_1.SEARCH.OLD,0),VLOOKUP(I38,LIST!$B$6:$L$3250,CURR_1.SEARCH.NEW,0)),'DICTIONARY-5'!$A$2)</f>
        <v>1 331,-</v>
      </c>
      <c r="K38" s="339" t="str">
        <f>IFERROR(IF(OR(I38='DICTIONARY-5'!$A$2,I38='DICTIONARY-5'!$A$4,ISBLANK(I38)),VLOOKUP(H38,LIST!$A$6:$M$3250,CURR_2.SEARCH.OLD,0),VLOOKUP(I38,LIST!$B$6:$M$3250,CURR_2.SEARCH.NEW,0)),'DICTIONARY-5'!$A$2)</f>
        <v/>
      </c>
    </row>
    <row r="39" spans="1:11" x14ac:dyDescent="0.25">
      <c r="A39" s="94" t="str">
        <f>'DICTIONARY-5'!$A$3&amp;" "&amp;LOWER('DICTIONARY-5'!$A$63)</f>
        <v>Na zapytanie:  owiert kołnierza 4 otwory</v>
      </c>
    </row>
    <row r="41" spans="1:11" x14ac:dyDescent="0.25">
      <c r="A41" s="65" t="str">
        <f>"1) "&amp;'DICTIONARY-5'!$A$85&amp;" - "&amp;'DICTIONARY-5'!$A$87</f>
        <v>1) Głębokość zabudowy - mierzona od górnej krawędzi rury do wierzchu terenu</v>
      </c>
    </row>
    <row r="43" spans="1:11" x14ac:dyDescent="0.25">
      <c r="A43" s="65" t="str">
        <f>'DICTIONARY-5'!$A$108&amp;" - "&amp;'DICTIONARY-5'!$A$114&amp;" "&amp;'DICTIONARY-5'!$A$116</f>
        <v>AD - podwójne zamknięcie (grzybek + kula)</v>
      </c>
    </row>
    <row r="47" spans="1:11" ht="16.5" thickBot="1" x14ac:dyDescent="0.3">
      <c r="A47" s="95" t="str">
        <f>CONCATENATE('DICTIONARY-3'!$A$46," ",'DICTIONARY-3'!$A$193," / ",'DICTIONARY-3'!$A$283)</f>
        <v>HYDRUS G Hydrant podziemny / Z samozamykającą się pokrywą wylotu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</row>
    <row r="48" spans="1:11" x14ac:dyDescent="0.25">
      <c r="A48" s="93" t="str">
        <f>'DICTIONARY-5'!$A$121</f>
        <v>Z siedziskiem mosiężnym</v>
      </c>
    </row>
    <row r="49" spans="1:11" x14ac:dyDescent="0.25">
      <c r="A49" s="93" t="str">
        <f>CONCATENATE('DICTIONARY-1'!$A$10,": ",SETTINGS!$C$69)</f>
        <v>Grupa rabatowa: HYDRUS G</v>
      </c>
    </row>
    <row r="50" spans="1:11" x14ac:dyDescent="0.25">
      <c r="A50" s="68"/>
      <c r="B50" s="68"/>
      <c r="C50" s="70"/>
      <c r="D50" s="70"/>
      <c r="E50" s="70"/>
      <c r="F50" s="71"/>
      <c r="G50" s="71"/>
      <c r="H50" s="71"/>
      <c r="I50" s="71"/>
      <c r="J50" s="71"/>
      <c r="K50" s="71"/>
    </row>
    <row r="51" spans="1:11" ht="15" customHeight="1" x14ac:dyDescent="0.25">
      <c r="A51" s="72" t="str">
        <f>'DICTIONARY-2'!$A$2</f>
        <v>DN</v>
      </c>
      <c r="B51" s="72" t="str">
        <f>'DICTIONARY-2'!$A$3</f>
        <v>PN</v>
      </c>
      <c r="C51" s="705" t="str">
        <f>'DICTIONARY-2'!$A$7&amp;" 1)"</f>
        <v>Rd 1)</v>
      </c>
      <c r="D51" s="984" t="str">
        <f>'DICTIONARY-3'!$A$47&amp;" "&amp;'DICTIONARY-5'!$A$107</f>
        <v>HYDRUS G1 A</v>
      </c>
      <c r="E51" s="984"/>
      <c r="F51" s="984"/>
      <c r="G51" s="985"/>
      <c r="H51" s="984" t="str">
        <f>'DICTIONARY-3'!$A$48&amp;" "&amp;'DICTIONARY-5'!$A$108</f>
        <v>HYDRUS G2 AD</v>
      </c>
      <c r="I51" s="984"/>
      <c r="J51" s="984"/>
      <c r="K51" s="984"/>
    </row>
    <row r="52" spans="1:11" x14ac:dyDescent="0.25">
      <c r="A52" s="104"/>
      <c r="B52" s="104"/>
      <c r="C52" s="521"/>
      <c r="D52" s="983" t="str">
        <f>'DICTIONARY-5'!$A$113&amp;", "&amp;LOWER('DICTIONARY-3'!$A$283)</f>
        <v>pojedyncze zamknięcie, z samozamykającą się pokrywą wylotu</v>
      </c>
      <c r="E52" s="983"/>
      <c r="F52" s="983"/>
      <c r="G52" s="983"/>
      <c r="H52" s="983" t="str">
        <f>'DICTIONARY-5'!$A$114&amp;", "&amp;LOWER('DICTIONARY-3'!$A$283)</f>
        <v>podwójne zamknięcie, z samozamykającą się pokrywą wylotu</v>
      </c>
      <c r="I52" s="983"/>
      <c r="J52" s="983"/>
      <c r="K52" s="983"/>
    </row>
    <row r="53" spans="1:11" x14ac:dyDescent="0.25">
      <c r="A53" s="73"/>
      <c r="B53" s="73"/>
      <c r="C53" s="74" t="str">
        <f>'DICTIONARY-2'!$A$19</f>
        <v>[m]</v>
      </c>
      <c r="D53" s="75" t="str">
        <f>'DICTIONARY-2'!$A$28</f>
        <v>stary nr zamówienia</v>
      </c>
      <c r="E53" s="75" t="str">
        <f>'DICTIONARY-2'!$A$29</f>
        <v>nowy nr zamówienia</v>
      </c>
      <c r="F53" s="76" t="str">
        <f>CURRENCY.CODE_1</f>
        <v>EUR</v>
      </c>
      <c r="G53" s="76" t="str">
        <f>CURRENCY.CODE_2</f>
        <v>---</v>
      </c>
      <c r="H53" s="75" t="str">
        <f>'DICTIONARY-2'!$A$28</f>
        <v>stary nr zamówienia</v>
      </c>
      <c r="I53" s="75" t="str">
        <f>'DICTIONARY-2'!$A$29</f>
        <v>nowy nr zamówienia</v>
      </c>
      <c r="J53" s="76" t="str">
        <f>CURRENCY.CODE_1</f>
        <v>EUR</v>
      </c>
      <c r="K53" s="76" t="str">
        <f>CURRENCY.CODE_2</f>
        <v>---</v>
      </c>
    </row>
    <row r="54" spans="1:11" x14ac:dyDescent="0.25">
      <c r="A54" s="77">
        <v>80</v>
      </c>
      <c r="B54" s="77" t="s">
        <v>85</v>
      </c>
      <c r="C54" s="78">
        <v>0.75</v>
      </c>
      <c r="D54" s="77" t="s">
        <v>824</v>
      </c>
      <c r="E54" s="328" t="s">
        <v>4283</v>
      </c>
      <c r="F54" s="339" t="str">
        <f>IFERROR(IF(OR(E54='DICTIONARY-5'!$A$2,E54='DICTIONARY-5'!$A$4,ISBLANK(E54)),VLOOKUP(D54,LIST!$A$6:$L$3250,CURR_1.SEARCH.OLD,0),VLOOKUP(E54,LIST!$B$6:$L$3250,CURR_1.SEARCH.NEW,0)),'DICTIONARY-5'!$A$2)</f>
        <v>539,-</v>
      </c>
      <c r="G54" s="339" t="str">
        <f>IFERROR(IF(OR(E54='DICTIONARY-5'!$A$2,E54='DICTIONARY-5'!$A$4,ISBLANK(E54)),VLOOKUP(D54,LIST!$A$6:$M$3250,CURR_2.SEARCH.OLD,0),VLOOKUP(E54,LIST!$B$6:$M$3250,CURR_2.SEARCH.NEW,0)),'DICTIONARY-5'!$A$2)</f>
        <v/>
      </c>
      <c r="H54" s="77" t="s">
        <v>825</v>
      </c>
      <c r="I54" s="328" t="s">
        <v>4291</v>
      </c>
      <c r="J54" s="339" t="str">
        <f>IFERROR(IF(OR(I54='DICTIONARY-5'!$A$2,I54='DICTIONARY-5'!$A$4,ISBLANK(I54)),VLOOKUP(H54,LIST!$A$6:$L$3250,CURR_1.SEARCH.OLD,0),VLOOKUP(I54,LIST!$B$6:$L$3250,CURR_1.SEARCH.NEW,0)),'DICTIONARY-5'!$A$2)</f>
        <v>579,-</v>
      </c>
      <c r="K54" s="339" t="str">
        <f>IFERROR(IF(OR(I54='DICTIONARY-5'!$A$2,I54='DICTIONARY-5'!$A$4,ISBLANK(I54)),VLOOKUP(H54,LIST!$A$6:$M$3250,CURR_2.SEARCH.OLD,0),VLOOKUP(I54,LIST!$B$6:$M$3250,CURR_2.SEARCH.NEW,0)),'DICTIONARY-5'!$A$2)</f>
        <v/>
      </c>
    </row>
    <row r="55" spans="1:11" x14ac:dyDescent="0.25">
      <c r="A55" s="77">
        <v>80</v>
      </c>
      <c r="B55" s="77" t="s">
        <v>85</v>
      </c>
      <c r="C55" s="78">
        <v>1</v>
      </c>
      <c r="D55" s="77" t="s">
        <v>826</v>
      </c>
      <c r="E55" s="328" t="s">
        <v>4284</v>
      </c>
      <c r="F55" s="339" t="str">
        <f>IFERROR(IF(OR(E55='DICTIONARY-5'!$A$2,E55='DICTIONARY-5'!$A$4,ISBLANK(E55)),VLOOKUP(D55,LIST!$A$6:$L$3250,CURR_1.SEARCH.OLD,0),VLOOKUP(E55,LIST!$B$6:$L$3250,CURR_1.SEARCH.NEW,0)),'DICTIONARY-5'!$A$2)</f>
        <v>589,-</v>
      </c>
      <c r="G55" s="339" t="str">
        <f>IFERROR(IF(OR(E55='DICTIONARY-5'!$A$2,E55='DICTIONARY-5'!$A$4,ISBLANK(E55)),VLOOKUP(D55,LIST!$A$6:$M$3250,CURR_2.SEARCH.OLD,0),VLOOKUP(E55,LIST!$B$6:$M$3250,CURR_2.SEARCH.NEW,0)),'DICTIONARY-5'!$A$2)</f>
        <v/>
      </c>
      <c r="H55" s="77" t="s">
        <v>827</v>
      </c>
      <c r="I55" s="328" t="s">
        <v>4292</v>
      </c>
      <c r="J55" s="339" t="str">
        <f>IFERROR(IF(OR(I55='DICTIONARY-5'!$A$2,I55='DICTIONARY-5'!$A$4,ISBLANK(I55)),VLOOKUP(H55,LIST!$A$6:$L$3250,CURR_1.SEARCH.OLD,0),VLOOKUP(I55,LIST!$B$6:$L$3250,CURR_1.SEARCH.NEW,0)),'DICTIONARY-5'!$A$2)</f>
        <v>629,-</v>
      </c>
      <c r="K55" s="339" t="str">
        <f>IFERROR(IF(OR(I55='DICTIONARY-5'!$A$2,I55='DICTIONARY-5'!$A$4,ISBLANK(I55)),VLOOKUP(H55,LIST!$A$6:$M$3250,CURR_2.SEARCH.OLD,0),VLOOKUP(I55,LIST!$B$6:$M$3250,CURR_2.SEARCH.NEW,0)),'DICTIONARY-5'!$A$2)</f>
        <v/>
      </c>
    </row>
    <row r="56" spans="1:11" x14ac:dyDescent="0.25">
      <c r="A56" s="77">
        <v>80</v>
      </c>
      <c r="B56" s="77" t="s">
        <v>85</v>
      </c>
      <c r="C56" s="78">
        <v>1.25</v>
      </c>
      <c r="D56" s="77" t="s">
        <v>828</v>
      </c>
      <c r="E56" s="328" t="s">
        <v>4285</v>
      </c>
      <c r="F56" s="339" t="str">
        <f>IFERROR(IF(OR(E56='DICTIONARY-5'!$A$2,E56='DICTIONARY-5'!$A$4,ISBLANK(E56)),VLOOKUP(D56,LIST!$A$6:$L$3250,CURR_1.SEARCH.OLD,0),VLOOKUP(E56,LIST!$B$6:$L$3250,CURR_1.SEARCH.NEW,0)),'DICTIONARY-5'!$A$2)</f>
        <v>596,-</v>
      </c>
      <c r="G56" s="339" t="str">
        <f>IFERROR(IF(OR(E56='DICTIONARY-5'!$A$2,E56='DICTIONARY-5'!$A$4,ISBLANK(E56)),VLOOKUP(D56,LIST!$A$6:$M$3250,CURR_2.SEARCH.OLD,0),VLOOKUP(E56,LIST!$B$6:$M$3250,CURR_2.SEARCH.NEW,0)),'DICTIONARY-5'!$A$2)</f>
        <v/>
      </c>
      <c r="H56" s="77" t="s">
        <v>829</v>
      </c>
      <c r="I56" s="328" t="s">
        <v>4293</v>
      </c>
      <c r="J56" s="339" t="str">
        <f>IFERROR(IF(OR(I56='DICTIONARY-5'!$A$2,I56='DICTIONARY-5'!$A$4,ISBLANK(I56)),VLOOKUP(H56,LIST!$A$6:$L$3250,CURR_1.SEARCH.OLD,0),VLOOKUP(I56,LIST!$B$6:$L$3250,CURR_1.SEARCH.NEW,0)),'DICTIONARY-5'!$A$2)</f>
        <v>636,-</v>
      </c>
      <c r="K56" s="339" t="str">
        <f>IFERROR(IF(OR(I56='DICTIONARY-5'!$A$2,I56='DICTIONARY-5'!$A$4,ISBLANK(I56)),VLOOKUP(H56,LIST!$A$6:$M$3250,CURR_2.SEARCH.OLD,0),VLOOKUP(I56,LIST!$B$6:$M$3250,CURR_2.SEARCH.NEW,0)),'DICTIONARY-5'!$A$2)</f>
        <v/>
      </c>
    </row>
    <row r="57" spans="1:11" x14ac:dyDescent="0.25">
      <c r="A57" s="77">
        <v>80</v>
      </c>
      <c r="B57" s="77" t="s">
        <v>85</v>
      </c>
      <c r="C57" s="78">
        <v>1.5</v>
      </c>
      <c r="D57" s="77" t="s">
        <v>830</v>
      </c>
      <c r="E57" s="328" t="s">
        <v>4286</v>
      </c>
      <c r="F57" s="339" t="str">
        <f>IFERROR(IF(OR(E57='DICTIONARY-5'!$A$2,E57='DICTIONARY-5'!$A$4,ISBLANK(E57)),VLOOKUP(D57,LIST!$A$6:$L$3250,CURR_1.SEARCH.OLD,0),VLOOKUP(E57,LIST!$B$6:$L$3250,CURR_1.SEARCH.NEW,0)),'DICTIONARY-5'!$A$2)</f>
        <v>637,-</v>
      </c>
      <c r="G57" s="339" t="str">
        <f>IFERROR(IF(OR(E57='DICTIONARY-5'!$A$2,E57='DICTIONARY-5'!$A$4,ISBLANK(E57)),VLOOKUP(D57,LIST!$A$6:$M$3250,CURR_2.SEARCH.OLD,0),VLOOKUP(E57,LIST!$B$6:$M$3250,CURR_2.SEARCH.NEW,0)),'DICTIONARY-5'!$A$2)</f>
        <v/>
      </c>
      <c r="H57" s="77" t="s">
        <v>831</v>
      </c>
      <c r="I57" s="328" t="s">
        <v>4294</v>
      </c>
      <c r="J57" s="339" t="str">
        <f>IFERROR(IF(OR(I57='DICTIONARY-5'!$A$2,I57='DICTIONARY-5'!$A$4,ISBLANK(I57)),VLOOKUP(H57,LIST!$A$6:$L$3250,CURR_1.SEARCH.OLD,0),VLOOKUP(I57,LIST!$B$6:$L$3250,CURR_1.SEARCH.NEW,0)),'DICTIONARY-5'!$A$2)</f>
        <v>676,-</v>
      </c>
      <c r="K57" s="339" t="str">
        <f>IFERROR(IF(OR(I57='DICTIONARY-5'!$A$2,I57='DICTIONARY-5'!$A$4,ISBLANK(I57)),VLOOKUP(H57,LIST!$A$6:$M$3250,CURR_2.SEARCH.OLD,0),VLOOKUP(I57,LIST!$B$6:$M$3250,CURR_2.SEARCH.NEW,0)),'DICTIONARY-5'!$A$2)</f>
        <v/>
      </c>
    </row>
    <row r="58" spans="1:11" x14ac:dyDescent="0.25">
      <c r="A58" s="94" t="str">
        <f>'DICTIONARY-5'!$A$3&amp;" "&amp;LOWER('DICTIONARY-5'!$A$63)</f>
        <v>Na zapytanie:  owiert kołnierza 4 otwory</v>
      </c>
    </row>
    <row r="60" spans="1:11" x14ac:dyDescent="0.25">
      <c r="A60" s="65" t="str">
        <f>"1) "&amp;'DICTIONARY-5'!$A$85&amp;" - "&amp;'DICTIONARY-5'!$A$87</f>
        <v>1) Głębokość zabudowy - mierzona od górnej krawędzi rury do wierzchu terenu</v>
      </c>
    </row>
    <row r="62" spans="1:11" x14ac:dyDescent="0.25">
      <c r="A62" s="65" t="str">
        <f>'DICTIONARY-5'!$A$107&amp;" - "&amp;'DICTIONARY-5'!$A$113&amp;" "&amp;'DICTIONARY-5'!$A$115</f>
        <v>A - pojedyncze zamknięcie (grzybek)</v>
      </c>
    </row>
    <row r="63" spans="1:11" x14ac:dyDescent="0.25">
      <c r="A63" s="65" t="str">
        <f>'DICTIONARY-5'!$A$108&amp;" - "&amp;'DICTIONARY-5'!$A$114&amp;" "&amp;'DICTIONARY-5'!$A$116</f>
        <v>AD - podwójne zamknięcie (grzybek + kula)</v>
      </c>
    </row>
  </sheetData>
  <sheetProtection algorithmName="SHA-512" hashValue="EDtTAp3HYcjSD6xDAKxFeHJoU9Rpe7VcBcnEHl92P3y8ONo29IOu94O7de4qAxogNTWHleN2YTINivNvZ+xxpQ==" saltValue="r44QTlPhELzArcgDU4jxzg==" spinCount="100000" sheet="1" objects="1" scenarios="1" autoFilter="0"/>
  <mergeCells count="17">
    <mergeCell ref="H18:K18"/>
    <mergeCell ref="D19:G19"/>
    <mergeCell ref="B4:E4"/>
    <mergeCell ref="H19:K19"/>
    <mergeCell ref="D52:G52"/>
    <mergeCell ref="H52:K52"/>
    <mergeCell ref="D34:G34"/>
    <mergeCell ref="H34:K34"/>
    <mergeCell ref="D10:G10"/>
    <mergeCell ref="H10:K10"/>
    <mergeCell ref="D51:G51"/>
    <mergeCell ref="H51:K51"/>
    <mergeCell ref="D33:G33"/>
    <mergeCell ref="H33:K33"/>
    <mergeCell ref="D11:G11"/>
    <mergeCell ref="H11:K11"/>
    <mergeCell ref="D18:G18"/>
  </mergeCells>
  <pageMargins left="0.7" right="0.7" top="0.78740157499999996" bottom="0.78740157499999996" header="0.3" footer="0.3"/>
  <pageSetup paperSize="9" scale="81" fitToHeight="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6">
    <tabColor rgb="FFFFC000"/>
  </sheetPr>
  <dimension ref="A1:M101"/>
  <sheetViews>
    <sheetView workbookViewId="0"/>
  </sheetViews>
  <sheetFormatPr defaultColWidth="9.140625" defaultRowHeight="15" x14ac:dyDescent="0.25"/>
  <cols>
    <col min="1" max="3" width="8.5703125" style="65" customWidth="1"/>
    <col min="4" max="4" width="10.140625" style="65" bestFit="1" customWidth="1"/>
    <col min="5" max="6" width="22.140625" style="65" customWidth="1"/>
    <col min="7" max="8" width="12.85546875" style="65" customWidth="1"/>
    <col min="9" max="10" width="22.140625" style="65" customWidth="1"/>
    <col min="11" max="12" width="12.85546875" style="65" customWidth="1"/>
    <col min="13" max="16384" width="9.140625" style="65"/>
  </cols>
  <sheetData>
    <row r="1" spans="1:12" s="415" customFormat="1" ht="45" customHeight="1" thickBot="1" x14ac:dyDescent="0.3">
      <c r="A1" s="432"/>
      <c r="B1" s="432"/>
      <c r="C1" s="432"/>
      <c r="D1" s="432"/>
    </row>
    <row r="2" spans="1:12" s="478" customFormat="1" ht="4.5" customHeight="1" x14ac:dyDescent="0.25">
      <c r="A2" s="475"/>
    </row>
    <row r="3" spans="1:12" ht="15.75" thickBot="1" x14ac:dyDescent="0.3">
      <c r="A3" s="66"/>
      <c r="B3" s="67"/>
      <c r="C3" s="67"/>
    </row>
    <row r="4" spans="1:12" ht="15.75" thickBot="1" x14ac:dyDescent="0.3">
      <c r="A4" s="826">
        <f>ADD.DISCOUNT</f>
        <v>0</v>
      </c>
      <c r="B4" s="933" t="str">
        <f>HYPERLINK("#'LIST'!ADD.DISCOUNT","» "&amp;'DICTIONARY-1'!$A$5)</f>
        <v>» Ustaw globalny dodatkowy rabat</v>
      </c>
      <c r="C4" s="981"/>
      <c r="D4" s="981"/>
      <c r="E4" s="982"/>
    </row>
    <row r="5" spans="1:12" x14ac:dyDescent="0.25">
      <c r="A5" s="66"/>
      <c r="B5" s="67"/>
      <c r="C5" s="67"/>
    </row>
    <row r="6" spans="1:12" s="86" customFormat="1" ht="16.5" thickBot="1" x14ac:dyDescent="0.3">
      <c r="A6" s="84" t="str">
        <f>CONCATENATE('DICTIONARY-3'!$A$40," ",'DICTIONARY-3'!$A$194)</f>
        <v>NOVA 284 Hydrant nadziemny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</row>
    <row r="7" spans="1:12" x14ac:dyDescent="0.25">
      <c r="A7" s="69" t="str">
        <f>CONCATENATE('DICTIONARY-1'!$A$10,": ",SETTINGS!$C$61)</f>
        <v>Grupa rabatowa: NOVA 284</v>
      </c>
    </row>
    <row r="8" spans="1:12" x14ac:dyDescent="0.25">
      <c r="A8" s="68"/>
      <c r="B8" s="68"/>
      <c r="C8" s="70"/>
      <c r="D8" s="70"/>
      <c r="G8" s="71"/>
      <c r="H8" s="71"/>
      <c r="I8" s="71"/>
      <c r="J8" s="71"/>
      <c r="K8" s="71"/>
      <c r="L8" s="71"/>
    </row>
    <row r="9" spans="1:12" ht="30" x14ac:dyDescent="0.25">
      <c r="A9" s="72" t="str">
        <f>'DICTIONARY-2'!$A$2</f>
        <v>DN</v>
      </c>
      <c r="B9" s="72" t="str">
        <f>'DICTIONARY-2'!$A$3</f>
        <v>PN</v>
      </c>
      <c r="C9" s="705" t="str">
        <f>'DICTIONARY-2'!$A$7&amp;" 1)"</f>
        <v>Rd 1)</v>
      </c>
      <c r="D9" s="705" t="str">
        <f>'DICTIONARY-5'!$A$119</f>
        <v>Króćce wylotowe</v>
      </c>
      <c r="E9" s="984" t="str">
        <f>'DICTIONARY-3'!$A$40&amp;" "&amp;'DICTIONARY-5'!$A$109</f>
        <v>NOVA 284 AUD</v>
      </c>
      <c r="F9" s="984"/>
      <c r="G9" s="984"/>
      <c r="H9" s="984"/>
      <c r="I9" s="984" t="str">
        <f>'DICTIONARY-3'!$A$40&amp;" "&amp;'DICTIONARY-5'!$A$110</f>
        <v>NOVA 284 AFUD</v>
      </c>
      <c r="J9" s="984"/>
      <c r="K9" s="984"/>
      <c r="L9" s="984"/>
    </row>
    <row r="10" spans="1:12" x14ac:dyDescent="0.25">
      <c r="A10" s="104"/>
      <c r="B10" s="104"/>
      <c r="C10" s="521"/>
      <c r="D10" s="521"/>
      <c r="E10" s="983" t="str">
        <f>'DICTIONARY-5'!$A$114</f>
        <v>podwójne zamknięcie</v>
      </c>
      <c r="F10" s="983"/>
      <c r="G10" s="983"/>
      <c r="H10" s="983"/>
      <c r="I10" s="983" t="str">
        <f>'DICTIONARY-5'!$A$114&amp;", "&amp;'DICTIONARY-5'!$A$117</f>
        <v>podwójne zamknięcie, płaszcz opadowy</v>
      </c>
      <c r="J10" s="983"/>
      <c r="K10" s="983"/>
      <c r="L10" s="983"/>
    </row>
    <row r="11" spans="1:12" x14ac:dyDescent="0.25">
      <c r="A11" s="73"/>
      <c r="B11" s="73"/>
      <c r="C11" s="74" t="str">
        <f>'DICTIONARY-2'!$A$19</f>
        <v>[m]</v>
      </c>
      <c r="D11" s="74"/>
      <c r="E11" s="75" t="str">
        <f>'DICTIONARY-2'!$A$28</f>
        <v>stary nr zamówienia</v>
      </c>
      <c r="F11" s="75" t="str">
        <f>'DICTIONARY-2'!$A$29</f>
        <v>nowy nr zamówienia</v>
      </c>
      <c r="G11" s="76" t="str">
        <f>CURRENCY.CODE_1</f>
        <v>EUR</v>
      </c>
      <c r="H11" s="76" t="str">
        <f>CURRENCY.CODE_2</f>
        <v>---</v>
      </c>
      <c r="I11" s="75" t="str">
        <f>'DICTIONARY-2'!$A$28</f>
        <v>stary nr zamówienia</v>
      </c>
      <c r="J11" s="75" t="str">
        <f>'DICTIONARY-2'!$A$29</f>
        <v>nowy nr zamówienia</v>
      </c>
      <c r="K11" s="76" t="str">
        <f>CURRENCY.CODE_1</f>
        <v>EUR</v>
      </c>
      <c r="L11" s="76" t="str">
        <f>CURRENCY.CODE_2</f>
        <v>---</v>
      </c>
    </row>
    <row r="12" spans="1:12" x14ac:dyDescent="0.25">
      <c r="A12" s="77">
        <v>80</v>
      </c>
      <c r="B12" s="77" t="s">
        <v>85</v>
      </c>
      <c r="C12" s="78">
        <v>1</v>
      </c>
      <c r="D12" s="78" t="s">
        <v>772</v>
      </c>
      <c r="E12" s="77" t="s">
        <v>773</v>
      </c>
      <c r="F12" s="328" t="s">
        <v>4246</v>
      </c>
      <c r="G12" s="339" t="str">
        <f>IFERROR(IF(OR(F12='DICTIONARY-5'!$A$2,F12='DICTIONARY-5'!$A$4,ISBLANK(F12)),VLOOKUP(E12,LIST!$A$6:$L$3250,CURR_1.SEARCH.OLD,0),VLOOKUP(F12,LIST!$B$6:$L$3250,CURR_1.SEARCH.NEW,0)),'DICTIONARY-5'!$A$2)</f>
        <v>1 492,-</v>
      </c>
      <c r="H12" s="339" t="str">
        <f>IFERROR(IF(OR(F12='DICTIONARY-5'!$A$2,F12='DICTIONARY-5'!$A$4,ISBLANK(F12)),VLOOKUP(E12,LIST!$A$6:$M$3250,CURR_2.SEARCH.OLD,0),VLOOKUP(F12,LIST!$B$6:$M$3250,CURR_2.SEARCH.NEW,0)),'DICTIONARY-5'!$A$2)</f>
        <v/>
      </c>
      <c r="I12" s="77"/>
      <c r="J12" s="77"/>
      <c r="K12" s="79"/>
      <c r="L12" s="79"/>
    </row>
    <row r="13" spans="1:12" x14ac:dyDescent="0.25">
      <c r="A13" s="77">
        <v>80</v>
      </c>
      <c r="B13" s="77" t="s">
        <v>85</v>
      </c>
      <c r="C13" s="78">
        <v>1.25</v>
      </c>
      <c r="D13" s="78" t="s">
        <v>772</v>
      </c>
      <c r="E13" s="77" t="s">
        <v>774</v>
      </c>
      <c r="F13" s="328" t="s">
        <v>4247</v>
      </c>
      <c r="G13" s="339" t="str">
        <f>IFERROR(IF(OR(F13='DICTIONARY-5'!$A$2,F13='DICTIONARY-5'!$A$4,ISBLANK(F13)),VLOOKUP(E13,LIST!$A$6:$L$3250,CURR_1.SEARCH.OLD,0),VLOOKUP(F13,LIST!$B$6:$L$3250,CURR_1.SEARCH.NEW,0)),'DICTIONARY-5'!$A$2)</f>
        <v>1 529,-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  <c r="I13" s="77"/>
      <c r="J13" s="77"/>
      <c r="K13" s="79"/>
      <c r="L13" s="79"/>
    </row>
    <row r="14" spans="1:12" x14ac:dyDescent="0.25">
      <c r="A14" s="77">
        <v>80</v>
      </c>
      <c r="B14" s="77" t="s">
        <v>85</v>
      </c>
      <c r="C14" s="78">
        <v>1.5</v>
      </c>
      <c r="D14" s="78" t="s">
        <v>772</v>
      </c>
      <c r="E14" s="77" t="s">
        <v>775</v>
      </c>
      <c r="F14" s="328" t="s">
        <v>4248</v>
      </c>
      <c r="G14" s="339" t="str">
        <f>IFERROR(IF(OR(F14='DICTIONARY-5'!$A$2,F14='DICTIONARY-5'!$A$4,ISBLANK(F14)),VLOOKUP(E14,LIST!$A$6:$L$3250,CURR_1.SEARCH.OLD,0),VLOOKUP(F14,LIST!$B$6:$L$3250,CURR_1.SEARCH.NEW,0)),'DICTIONARY-5'!$A$2)</f>
        <v>1 816,-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  <c r="I14" s="77"/>
      <c r="J14" s="77"/>
      <c r="K14" s="79"/>
      <c r="L14" s="79"/>
    </row>
    <row r="15" spans="1:12" x14ac:dyDescent="0.25">
      <c r="A15" s="77">
        <v>100</v>
      </c>
      <c r="B15" s="77" t="s">
        <v>85</v>
      </c>
      <c r="C15" s="78">
        <v>1.25</v>
      </c>
      <c r="D15" s="78" t="s">
        <v>772</v>
      </c>
      <c r="E15" s="77" t="s">
        <v>4923</v>
      </c>
      <c r="F15" s="328" t="s">
        <v>776</v>
      </c>
      <c r="G15" s="339" t="str">
        <f>IFERROR(IF(OR(F15='DICTIONARY-5'!$A$2,F15='DICTIONARY-5'!$A$4,ISBLANK(F15)),VLOOKUP(E15,LIST!$A$6:$L$3250,CURR_1.SEARCH.OLD,0),VLOOKUP(F15,LIST!$B$6:$L$3250,CURR_1.SEARCH.NEW,0)),'DICTIONARY-5'!$A$2)</f>
        <v>1 662,-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  <c r="I15" s="77"/>
      <c r="J15" s="77"/>
      <c r="K15" s="79"/>
      <c r="L15" s="79"/>
    </row>
    <row r="16" spans="1:12" x14ac:dyDescent="0.25">
      <c r="A16" s="77">
        <v>100</v>
      </c>
      <c r="B16" s="77" t="s">
        <v>85</v>
      </c>
      <c r="C16" s="78">
        <v>1.5</v>
      </c>
      <c r="D16" s="78" t="s">
        <v>772</v>
      </c>
      <c r="E16" s="77" t="s">
        <v>4924</v>
      </c>
      <c r="F16" s="328" t="s">
        <v>777</v>
      </c>
      <c r="G16" s="339" t="str">
        <f>IFERROR(IF(OR(F16='DICTIONARY-5'!$A$2,F16='DICTIONARY-5'!$A$4,ISBLANK(F16)),VLOOKUP(E16,LIST!$A$6:$L$3250,CURR_1.SEARCH.OLD,0),VLOOKUP(F16,LIST!$B$6:$L$3250,CURR_1.SEARCH.NEW,0)),'DICTIONARY-5'!$A$2)</f>
        <v>1 948,-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  <c r="I16" s="77"/>
      <c r="J16" s="77"/>
      <c r="K16" s="79"/>
      <c r="L16" s="79"/>
    </row>
    <row r="17" spans="1:12" x14ac:dyDescent="0.25">
      <c r="A17" s="77">
        <v>100</v>
      </c>
      <c r="B17" s="77" t="s">
        <v>85</v>
      </c>
      <c r="C17" s="78">
        <v>1.25</v>
      </c>
      <c r="D17" s="78" t="s">
        <v>778</v>
      </c>
      <c r="E17" s="77" t="s">
        <v>779</v>
      </c>
      <c r="F17" s="328" t="s">
        <v>4249</v>
      </c>
      <c r="G17" s="339" t="str">
        <f>IFERROR(IF(OR(F17='DICTIONARY-5'!$A$2,F17='DICTIONARY-5'!$A$4,ISBLANK(F17)),VLOOKUP(E17,LIST!$A$6:$L$3250,CURR_1.SEARCH.OLD,0),VLOOKUP(F17,LIST!$B$6:$L$3250,CURR_1.SEARCH.NEW,0)),'DICTIONARY-5'!$A$2)</f>
        <v>1 803,-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  <c r="I17" s="77" t="s">
        <v>780</v>
      </c>
      <c r="J17" s="328" t="s">
        <v>4251</v>
      </c>
      <c r="K17" s="339" t="str">
        <f>IFERROR(IF(OR(J17='DICTIONARY-5'!$A$2,J17='DICTIONARY-5'!$A$4,ISBLANK(J17)),VLOOKUP(I17,LIST!$A$6:$L$3250,CURR_1.SEARCH.OLD,0),VLOOKUP(J17,LIST!$B$6:$L$3250,CURR_1.SEARCH.NEW,0)),'DICTIONARY-5'!$A$2)</f>
        <v>2 536,-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</row>
    <row r="18" spans="1:12" x14ac:dyDescent="0.25">
      <c r="A18" s="77">
        <v>100</v>
      </c>
      <c r="B18" s="77" t="s">
        <v>85</v>
      </c>
      <c r="C18" s="78">
        <v>1.5</v>
      </c>
      <c r="D18" s="78" t="s">
        <v>778</v>
      </c>
      <c r="E18" s="77" t="s">
        <v>781</v>
      </c>
      <c r="F18" s="328" t="s">
        <v>4250</v>
      </c>
      <c r="G18" s="339" t="str">
        <f>IFERROR(IF(OR(F18='DICTIONARY-5'!$A$2,F18='DICTIONARY-5'!$A$4,ISBLANK(F18)),VLOOKUP(E18,LIST!$A$6:$L$3250,CURR_1.SEARCH.OLD,0),VLOOKUP(F18,LIST!$B$6:$L$3250,CURR_1.SEARCH.NEW,0)),'DICTIONARY-5'!$A$2)</f>
        <v>2 088,-</v>
      </c>
      <c r="H18" s="339" t="str">
        <f>IFERROR(IF(OR(F18='DICTIONARY-5'!$A$2,F18='DICTIONARY-5'!$A$4,ISBLANK(F18)),VLOOKUP(E18,LIST!$A$6:$M$3250,CURR_2.SEARCH.OLD,0),VLOOKUP(F18,LIST!$B$6:$M$3250,CURR_2.SEARCH.NEW,0)),'DICTIONARY-5'!$A$2)</f>
        <v/>
      </c>
      <c r="I18" s="77" t="s">
        <v>782</v>
      </c>
      <c r="J18" s="328" t="s">
        <v>4252</v>
      </c>
      <c r="K18" s="339" t="str">
        <f>IFERROR(IF(OR(J18='DICTIONARY-5'!$A$2,J18='DICTIONARY-5'!$A$4,ISBLANK(J18)),VLOOKUP(I18,LIST!$A$6:$L$3250,CURR_1.SEARCH.OLD,0),VLOOKUP(J18,LIST!$B$6:$L$3250,CURR_1.SEARCH.NEW,0)),'DICTIONARY-5'!$A$2)</f>
        <v>2 822,-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</row>
    <row r="20" spans="1:12" x14ac:dyDescent="0.25">
      <c r="A20" s="65" t="str">
        <f>"1) "&amp;'DICTIONARY-5'!$A$85&amp;" - "&amp;'DICTIONARY-5'!$A$87</f>
        <v>1) Głębokość zabudowy - mierzona od górnej krawędzi rury do wierzchu terenu</v>
      </c>
    </row>
    <row r="22" spans="1:12" x14ac:dyDescent="0.25">
      <c r="A22" s="65" t="str">
        <f>'DICTIONARY-5'!$A$109&amp;" - "&amp;'DICTIONARY-5'!$A$114&amp;" "&amp;'DICTIONARY-5'!$A$116</f>
        <v>AUD - podwójne zamknięcie (grzybek + kula)</v>
      </c>
    </row>
    <row r="23" spans="1:12" x14ac:dyDescent="0.25">
      <c r="A23" s="65" t="str">
        <f>'DICTIONARY-5'!$A$110&amp;" - "&amp;'DICTIONARY-5'!$A$114&amp;" "&amp;'DICTIONARY-5'!$A$116&amp;", "&amp;'DICTIONARY-5'!$A$117&amp;" "&amp;'DICTIONARY-5'!$A$118</f>
        <v>AFUD - podwójne zamknięcie (grzybek + kula), płaszcz opadowy wg DIN 3222</v>
      </c>
    </row>
    <row r="27" spans="1:12" s="86" customFormat="1" ht="16.5" thickBot="1" x14ac:dyDescent="0.3">
      <c r="A27" s="84" t="str">
        <f>CONCATENATE('DICTIONARY-3'!$A$41," ",'DICTIONARY-3'!$A$194)</f>
        <v>NOVA 150 Hydrant nadziemny</v>
      </c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</row>
    <row r="28" spans="1:12" x14ac:dyDescent="0.25">
      <c r="A28" s="69" t="str">
        <f>'DICTIONARY-3'!$A$284</f>
        <v>Wysokociśnieniowy</v>
      </c>
    </row>
    <row r="29" spans="1:12" x14ac:dyDescent="0.25">
      <c r="A29" s="69" t="str">
        <f>CONCATENATE('DICTIONARY-1'!$A$10,": ",SETTINGS!$C$66)</f>
        <v>Grupa rabatowa: UEH NOVA 150 AU/AFU</v>
      </c>
    </row>
    <row r="31" spans="1:12" ht="30" x14ac:dyDescent="0.25">
      <c r="A31" s="72" t="str">
        <f>'DICTIONARY-2'!$A$2</f>
        <v>DN</v>
      </c>
      <c r="B31" s="72" t="str">
        <f>'DICTIONARY-2'!$A$3</f>
        <v>PN</v>
      </c>
      <c r="C31" s="705" t="str">
        <f>'DICTIONARY-2'!$A$7&amp;" 1)"</f>
        <v>Rd 1)</v>
      </c>
      <c r="D31" s="705" t="str">
        <f>'DICTIONARY-5'!$A$119</f>
        <v>Króćce wylotowe</v>
      </c>
      <c r="E31" s="984" t="str">
        <f>'DICTIONARY-3'!$A$41&amp;" "&amp;'DICTIONARY-5'!$A$111</f>
        <v>NOVA 150 AU</v>
      </c>
      <c r="F31" s="984"/>
      <c r="G31" s="984"/>
      <c r="H31" s="984"/>
      <c r="I31" s="984" t="str">
        <f>'DICTIONARY-3'!$A$41&amp;" "&amp;'DICTIONARY-5'!$A$112</f>
        <v>NOVA 150 AFU</v>
      </c>
      <c r="J31" s="984"/>
      <c r="K31" s="984"/>
      <c r="L31" s="984"/>
    </row>
    <row r="32" spans="1:12" ht="15" customHeight="1" x14ac:dyDescent="0.25">
      <c r="A32" s="104"/>
      <c r="B32" s="104"/>
      <c r="C32" s="521"/>
      <c r="D32" s="521"/>
      <c r="E32" s="983" t="str">
        <f>'DICTIONARY-5'!$A$113</f>
        <v>pojedyncze zamknięcie</v>
      </c>
      <c r="F32" s="983"/>
      <c r="G32" s="983"/>
      <c r="H32" s="983"/>
      <c r="I32" s="983" t="str">
        <f>'DICTIONARY-5'!$A$113&amp;", "&amp;'DICTIONARY-5'!$A$117</f>
        <v>pojedyncze zamknięcie, płaszcz opadowy</v>
      </c>
      <c r="J32" s="983"/>
      <c r="K32" s="983"/>
      <c r="L32" s="983"/>
    </row>
    <row r="33" spans="1:13" x14ac:dyDescent="0.25">
      <c r="A33" s="73"/>
      <c r="B33" s="73"/>
      <c r="C33" s="74" t="str">
        <f>'DICTIONARY-2'!$A$19</f>
        <v>[m]</v>
      </c>
      <c r="D33" s="74"/>
      <c r="E33" s="75" t="str">
        <f>'DICTIONARY-2'!$A$28</f>
        <v>stary nr zamówienia</v>
      </c>
      <c r="F33" s="75" t="str">
        <f>'DICTIONARY-2'!$A$29</f>
        <v>nowy nr zamówienia</v>
      </c>
      <c r="G33" s="76" t="str">
        <f>CURRENCY.CODE_1</f>
        <v>EUR</v>
      </c>
      <c r="H33" s="76" t="str">
        <f>CURRENCY.CODE_2</f>
        <v>---</v>
      </c>
      <c r="I33" s="75" t="str">
        <f>'DICTIONARY-2'!$A$28</f>
        <v>stary nr zamówienia</v>
      </c>
      <c r="J33" s="75" t="str">
        <f>'DICTIONARY-2'!$A$29</f>
        <v>nowy nr zamówienia</v>
      </c>
      <c r="K33" s="76" t="str">
        <f>CURRENCY.CODE_1</f>
        <v>EUR</v>
      </c>
      <c r="L33" s="76" t="str">
        <f>CURRENCY.CODE_2</f>
        <v>---</v>
      </c>
    </row>
    <row r="34" spans="1:13" x14ac:dyDescent="0.25">
      <c r="A34" s="77">
        <v>150</v>
      </c>
      <c r="B34" s="77" t="s">
        <v>85</v>
      </c>
      <c r="C34" s="78">
        <v>1.25</v>
      </c>
      <c r="D34" s="78" t="s">
        <v>805</v>
      </c>
      <c r="E34" s="77" t="s">
        <v>806</v>
      </c>
      <c r="F34" s="328" t="s">
        <v>4263</v>
      </c>
      <c r="G34" s="339" t="str">
        <f>IFERROR(IF(OR(F34='DICTIONARY-5'!$A$2,F34='DICTIONARY-5'!$A$4,ISBLANK(F34)),VLOOKUP(E34,LIST!$A$6:$L$3250,CURR_1.SEARCH.OLD,0),VLOOKUP(F34,LIST!$B$6:$L$3250,CURR_1.SEARCH.NEW,0)),'DICTIONARY-5'!$A$2)</f>
        <v>3 320,-</v>
      </c>
      <c r="H34" s="339" t="str">
        <f>IFERROR(IF(OR(F34='DICTIONARY-5'!$A$2,F34='DICTIONARY-5'!$A$4,ISBLANK(F34)),VLOOKUP(E34,LIST!$A$6:$M$3250,CURR_2.SEARCH.OLD,0),VLOOKUP(F34,LIST!$B$6:$M$3250,CURR_2.SEARCH.NEW,0)),'DICTIONARY-5'!$A$2)</f>
        <v/>
      </c>
      <c r="I34" s="77" t="s">
        <v>807</v>
      </c>
      <c r="J34" s="328" t="s">
        <v>4265</v>
      </c>
      <c r="K34" s="339" t="str">
        <f>IFERROR(IF(OR(J34='DICTIONARY-5'!$A$2,J34='DICTIONARY-5'!$A$4,ISBLANK(J34)),VLOOKUP(I34,LIST!$A$6:$L$3250,CURR_1.SEARCH.OLD,0),VLOOKUP(J34,LIST!$B$6:$L$3250,CURR_1.SEARCH.NEW,0)),'DICTIONARY-5'!$A$2)</f>
        <v>3 991,-</v>
      </c>
      <c r="L34" s="339" t="str">
        <f>IFERROR(IF(OR(J34='DICTIONARY-5'!$A$2,J34='DICTIONARY-5'!$A$4,ISBLANK(J34)),VLOOKUP(I34,LIST!$A$6:$M$3250,CURR_2.SEARCH.OLD,0),VLOOKUP(J34,LIST!$B$6:$M$3250,CURR_2.SEARCH.NEW,0)),'DICTIONARY-5'!$A$2)</f>
        <v/>
      </c>
      <c r="M34" s="80"/>
    </row>
    <row r="35" spans="1:13" x14ac:dyDescent="0.25">
      <c r="A35" s="77">
        <v>150</v>
      </c>
      <c r="B35" s="77" t="s">
        <v>85</v>
      </c>
      <c r="C35" s="78">
        <v>1.5</v>
      </c>
      <c r="D35" s="78" t="s">
        <v>805</v>
      </c>
      <c r="E35" s="77" t="s">
        <v>808</v>
      </c>
      <c r="F35" s="328" t="s">
        <v>4264</v>
      </c>
      <c r="G35" s="339" t="str">
        <f>IFERROR(IF(OR(F35='DICTIONARY-5'!$A$2,F35='DICTIONARY-5'!$A$4,ISBLANK(F35)),VLOOKUP(E35,LIST!$A$6:$L$3250,CURR_1.SEARCH.OLD,0),VLOOKUP(F35,LIST!$B$6:$L$3250,CURR_1.SEARCH.NEW,0)),'DICTIONARY-5'!$A$2)</f>
        <v>3 453,-</v>
      </c>
      <c r="H35" s="339" t="str">
        <f>IFERROR(IF(OR(F35='DICTIONARY-5'!$A$2,F35='DICTIONARY-5'!$A$4,ISBLANK(F35)),VLOOKUP(E35,LIST!$A$6:$M$3250,CURR_2.SEARCH.OLD,0),VLOOKUP(F35,LIST!$B$6:$M$3250,CURR_2.SEARCH.NEW,0)),'DICTIONARY-5'!$A$2)</f>
        <v/>
      </c>
      <c r="I35" s="77" t="s">
        <v>809</v>
      </c>
      <c r="J35" s="328" t="s">
        <v>4266</v>
      </c>
      <c r="K35" s="339" t="str">
        <f>IFERROR(IF(OR(J35='DICTIONARY-5'!$A$2,J35='DICTIONARY-5'!$A$4,ISBLANK(J35)),VLOOKUP(I35,LIST!$A$6:$L$3250,CURR_1.SEARCH.OLD,0),VLOOKUP(J35,LIST!$B$6:$L$3250,CURR_1.SEARCH.NEW,0)),'DICTIONARY-5'!$A$2)</f>
        <v>4 125,-</v>
      </c>
      <c r="L35" s="339" t="str">
        <f>IFERROR(IF(OR(J35='DICTIONARY-5'!$A$2,J35='DICTIONARY-5'!$A$4,ISBLANK(J35)),VLOOKUP(I35,LIST!$A$6:$M$3250,CURR_2.SEARCH.OLD,0),VLOOKUP(J35,LIST!$B$6:$M$3250,CURR_2.SEARCH.NEW,0)),'DICTIONARY-5'!$A$2)</f>
        <v/>
      </c>
      <c r="M35" s="80"/>
    </row>
    <row r="37" spans="1:13" x14ac:dyDescent="0.25">
      <c r="A37" s="65" t="str">
        <f>"1) "&amp;'DICTIONARY-5'!$A$85&amp;" - "&amp;'DICTIONARY-5'!$A$87</f>
        <v>1) Głębokość zabudowy - mierzona od górnej krawędzi rury do wierzchu terenu</v>
      </c>
    </row>
    <row r="39" spans="1:13" x14ac:dyDescent="0.25">
      <c r="A39" s="65" t="str">
        <f>'DICTIONARY-5'!$A$111&amp;" - "&amp;'DICTIONARY-5'!$A$113&amp;" "&amp;'DICTIONARY-5'!$A$115</f>
        <v>AU - pojedyncze zamknięcie (grzybek)</v>
      </c>
    </row>
    <row r="40" spans="1:13" x14ac:dyDescent="0.25">
      <c r="A40" s="65" t="str">
        <f>'DICTIONARY-5'!$A$112&amp;" - "&amp;'DICTIONARY-5'!$A$113&amp;" "&amp;'DICTIONARY-5'!$A$115&amp;", "&amp;'DICTIONARY-5'!$A$117&amp;" "&amp;'DICTIONARY-5'!$A$118</f>
        <v>AFU - pojedyncze zamknięcie (grzybek), płaszcz opadowy wg DIN 3222</v>
      </c>
    </row>
    <row r="44" spans="1:13" s="86" customFormat="1" ht="16.5" thickBot="1" x14ac:dyDescent="0.3">
      <c r="A44" s="84" t="str">
        <f>CONCATENATE('DICTIONARY-3'!$A$42," ",'DICTIONARY-3'!$A$194)</f>
        <v>NOVA 1885 Hydrant nadziemny</v>
      </c>
      <c r="B44" s="85"/>
      <c r="C44" s="85"/>
      <c r="D44" s="85"/>
      <c r="E44" s="85"/>
      <c r="F44" s="85"/>
      <c r="G44" s="85"/>
      <c r="H44" s="85"/>
    </row>
    <row r="45" spans="1:13" x14ac:dyDescent="0.25">
      <c r="A45" s="69" t="str">
        <f>CONCATENATE('DICTIONARY-3'!$A$285,", ",'DICTIONARY-5'!$A$190)</f>
        <v>Replika historycznego hydrantu, RAL7021</v>
      </c>
    </row>
    <row r="46" spans="1:13" x14ac:dyDescent="0.25">
      <c r="A46" s="69" t="str">
        <f>CONCATENATE('DICTIONARY-1'!$A$10,": ",SETTINGS!$C$63)</f>
        <v>Grupa rabatowa: NOVA 1885</v>
      </c>
    </row>
    <row r="47" spans="1:13" x14ac:dyDescent="0.25">
      <c r="A47" s="68"/>
      <c r="B47" s="68"/>
      <c r="C47" s="70"/>
      <c r="D47" s="70"/>
      <c r="G47" s="71"/>
      <c r="H47" s="71"/>
    </row>
    <row r="48" spans="1:13" ht="15" customHeight="1" x14ac:dyDescent="0.25">
      <c r="A48" s="72" t="str">
        <f>'DICTIONARY-2'!$A$2</f>
        <v>DN</v>
      </c>
      <c r="B48" s="72" t="str">
        <f>'DICTIONARY-2'!$A$3</f>
        <v>PN</v>
      </c>
      <c r="C48" s="705" t="str">
        <f>'DICTIONARY-2'!$A$7&amp;" 1)"</f>
        <v>Rd 1)</v>
      </c>
      <c r="D48" s="705" t="str">
        <f>'DICTIONARY-5'!$A$119</f>
        <v>Króćce wylotowe</v>
      </c>
      <c r="E48" s="984" t="str">
        <f>'DICTIONARY-3'!$A$42&amp;" "&amp;'DICTIONARY-5'!$A$109</f>
        <v>NOVA 1885 AUD</v>
      </c>
      <c r="F48" s="984"/>
      <c r="G48" s="984"/>
      <c r="H48" s="984"/>
    </row>
    <row r="49" spans="1:8" x14ac:dyDescent="0.25">
      <c r="A49" s="104"/>
      <c r="B49" s="104"/>
      <c r="C49" s="521"/>
      <c r="D49" s="521"/>
      <c r="E49" s="983" t="str">
        <f>'DICTIONARY-5'!$A$114</f>
        <v>podwójne zamknięcie</v>
      </c>
      <c r="F49" s="983"/>
      <c r="G49" s="983"/>
      <c r="H49" s="983"/>
    </row>
    <row r="50" spans="1:8" x14ac:dyDescent="0.25">
      <c r="A50" s="73"/>
      <c r="B50" s="73"/>
      <c r="C50" s="74" t="str">
        <f>'DICTIONARY-2'!$A$19</f>
        <v>[m]</v>
      </c>
      <c r="D50" s="74"/>
      <c r="E50" s="75" t="str">
        <f>'DICTIONARY-2'!$A$28</f>
        <v>stary nr zamówienia</v>
      </c>
      <c r="F50" s="75" t="str">
        <f>'DICTIONARY-2'!$A$29</f>
        <v>nowy nr zamówienia</v>
      </c>
      <c r="G50" s="76" t="str">
        <f>CURRENCY.CODE_1</f>
        <v>EUR</v>
      </c>
      <c r="H50" s="76" t="str">
        <f>CURRENCY.CODE_2</f>
        <v>---</v>
      </c>
    </row>
    <row r="51" spans="1:8" x14ac:dyDescent="0.25">
      <c r="A51" s="77">
        <v>80</v>
      </c>
      <c r="B51" s="77" t="s">
        <v>85</v>
      </c>
      <c r="C51" s="78">
        <v>1</v>
      </c>
      <c r="D51" s="78" t="s">
        <v>772</v>
      </c>
      <c r="E51" s="77" t="s">
        <v>784</v>
      </c>
      <c r="F51" s="328" t="s">
        <v>4253</v>
      </c>
      <c r="G51" s="339" t="str">
        <f>IFERROR(IF(OR(F51='DICTIONARY-5'!$A$2,F51='DICTIONARY-5'!$A$4,ISBLANK(F51)),VLOOKUP(E51,LIST!$A$6:$L$3250,CURR_1.SEARCH.OLD,0),VLOOKUP(F51,LIST!$B$6:$L$3250,CURR_1.SEARCH.NEW,0)),'DICTIONARY-5'!$A$2)</f>
        <v>1 697,-</v>
      </c>
      <c r="H51" s="339" t="str">
        <f>IFERROR(IF(OR(F51='DICTIONARY-5'!$A$2,F51='DICTIONARY-5'!$A$4,ISBLANK(F51)),VLOOKUP(E51,LIST!$A$6:$M$3250,CURR_2.SEARCH.OLD,0),VLOOKUP(F51,LIST!$B$6:$M$3250,CURR_2.SEARCH.NEW,0)),'DICTIONARY-5'!$A$2)</f>
        <v/>
      </c>
    </row>
    <row r="52" spans="1:8" x14ac:dyDescent="0.25">
      <c r="A52" s="77">
        <v>80</v>
      </c>
      <c r="B52" s="77" t="s">
        <v>85</v>
      </c>
      <c r="C52" s="78">
        <v>1.25</v>
      </c>
      <c r="D52" s="78" t="s">
        <v>772</v>
      </c>
      <c r="E52" s="77" t="s">
        <v>785</v>
      </c>
      <c r="F52" s="328" t="s">
        <v>4254</v>
      </c>
      <c r="G52" s="339" t="str">
        <f>IFERROR(IF(OR(F52='DICTIONARY-5'!$A$2,F52='DICTIONARY-5'!$A$4,ISBLANK(F52)),VLOOKUP(E52,LIST!$A$6:$L$3250,CURR_1.SEARCH.OLD,0),VLOOKUP(F52,LIST!$B$6:$L$3250,CURR_1.SEARCH.NEW,0)),'DICTIONARY-5'!$A$2)</f>
        <v>1 735,-</v>
      </c>
      <c r="H52" s="339" t="str">
        <f>IFERROR(IF(OR(F52='DICTIONARY-5'!$A$2,F52='DICTIONARY-5'!$A$4,ISBLANK(F52)),VLOOKUP(E52,LIST!$A$6:$M$3250,CURR_2.SEARCH.OLD,0),VLOOKUP(F52,LIST!$B$6:$M$3250,CURR_2.SEARCH.NEW,0)),'DICTIONARY-5'!$A$2)</f>
        <v/>
      </c>
    </row>
    <row r="53" spans="1:8" x14ac:dyDescent="0.25">
      <c r="A53" s="77">
        <v>80</v>
      </c>
      <c r="B53" s="77" t="s">
        <v>85</v>
      </c>
      <c r="C53" s="78">
        <v>1.5</v>
      </c>
      <c r="D53" s="78" t="s">
        <v>772</v>
      </c>
      <c r="E53" s="77" t="s">
        <v>786</v>
      </c>
      <c r="F53" s="328" t="s">
        <v>4255</v>
      </c>
      <c r="G53" s="339" t="str">
        <f>IFERROR(IF(OR(F53='DICTIONARY-5'!$A$2,F53='DICTIONARY-5'!$A$4,ISBLANK(F53)),VLOOKUP(E53,LIST!$A$6:$L$3250,CURR_1.SEARCH.OLD,0),VLOOKUP(F53,LIST!$B$6:$L$3250,CURR_1.SEARCH.NEW,0)),'DICTIONARY-5'!$A$2)</f>
        <v>2 022,-</v>
      </c>
      <c r="H53" s="339" t="str">
        <f>IFERROR(IF(OR(F53='DICTIONARY-5'!$A$2,F53='DICTIONARY-5'!$A$4,ISBLANK(F53)),VLOOKUP(E53,LIST!$A$6:$M$3250,CURR_2.SEARCH.OLD,0),VLOOKUP(F53,LIST!$B$6:$M$3250,CURR_2.SEARCH.NEW,0)),'DICTIONARY-5'!$A$2)</f>
        <v/>
      </c>
    </row>
    <row r="54" spans="1:8" x14ac:dyDescent="0.25">
      <c r="A54" s="77">
        <v>100</v>
      </c>
      <c r="B54" s="77" t="s">
        <v>85</v>
      </c>
      <c r="C54" s="78">
        <v>1.25</v>
      </c>
      <c r="D54" s="78" t="s">
        <v>778</v>
      </c>
      <c r="E54" s="77" t="s">
        <v>787</v>
      </c>
      <c r="F54" s="328" t="s">
        <v>4256</v>
      </c>
      <c r="G54" s="339" t="str">
        <f>IFERROR(IF(OR(F54='DICTIONARY-5'!$A$2,F54='DICTIONARY-5'!$A$4,ISBLANK(F54)),VLOOKUP(E54,LIST!$A$6:$L$3250,CURR_1.SEARCH.OLD,0),VLOOKUP(F54,LIST!$B$6:$L$3250,CURR_1.SEARCH.NEW,0)),'DICTIONARY-5'!$A$2)</f>
        <v>2 044,-</v>
      </c>
      <c r="H54" s="339" t="str">
        <f>IFERROR(IF(OR(F54='DICTIONARY-5'!$A$2,F54='DICTIONARY-5'!$A$4,ISBLANK(F54)),VLOOKUP(E54,LIST!$A$6:$M$3250,CURR_2.SEARCH.OLD,0),VLOOKUP(F54,LIST!$B$6:$M$3250,CURR_2.SEARCH.NEW,0)),'DICTIONARY-5'!$A$2)</f>
        <v/>
      </c>
    </row>
    <row r="55" spans="1:8" x14ac:dyDescent="0.25">
      <c r="A55" s="77">
        <v>100</v>
      </c>
      <c r="B55" s="77" t="s">
        <v>85</v>
      </c>
      <c r="C55" s="78">
        <v>1.5</v>
      </c>
      <c r="D55" s="78" t="s">
        <v>778</v>
      </c>
      <c r="E55" s="77" t="s">
        <v>788</v>
      </c>
      <c r="F55" s="328" t="s">
        <v>4257</v>
      </c>
      <c r="G55" s="339" t="str">
        <f>IFERROR(IF(OR(F55='DICTIONARY-5'!$A$2,F55='DICTIONARY-5'!$A$4,ISBLANK(F55)),VLOOKUP(E55,LIST!$A$6:$L$3250,CURR_1.SEARCH.OLD,0),VLOOKUP(F55,LIST!$B$6:$L$3250,CURR_1.SEARCH.NEW,0)),'DICTIONARY-5'!$A$2)</f>
        <v>2 329,-</v>
      </c>
      <c r="H55" s="339" t="str">
        <f>IFERROR(IF(OR(F55='DICTIONARY-5'!$A$2,F55='DICTIONARY-5'!$A$4,ISBLANK(F55)),VLOOKUP(E55,LIST!$A$6:$M$3250,CURR_2.SEARCH.OLD,0),VLOOKUP(F55,LIST!$B$6:$M$3250,CURR_2.SEARCH.NEW,0)),'DICTIONARY-5'!$A$2)</f>
        <v/>
      </c>
    </row>
    <row r="57" spans="1:8" x14ac:dyDescent="0.25">
      <c r="A57" s="65" t="str">
        <f>"1) "&amp;'DICTIONARY-5'!$A$85&amp;" - "&amp;'DICTIONARY-5'!$A$87</f>
        <v>1) Głębokość zabudowy - mierzona od górnej krawędzi rury do wierzchu terenu</v>
      </c>
    </row>
    <row r="59" spans="1:8" x14ac:dyDescent="0.25">
      <c r="A59" s="65" t="str">
        <f>'DICTIONARY-5'!$A$109&amp;" - "&amp;'DICTIONARY-5'!$A$114&amp;" "&amp;'DICTIONARY-5'!$A$116</f>
        <v>AUD - podwójne zamknięcie (grzybek + kula)</v>
      </c>
    </row>
    <row r="63" spans="1:8" s="86" customFormat="1" ht="16.5" thickBot="1" x14ac:dyDescent="0.3">
      <c r="A63" s="84" t="str">
        <f>CONCATENATE('DICTIONARY-3'!$A$43," ",'DICTIONARY-3'!$A$194)</f>
        <v>NOVA NIRO Hydrant nadziemny</v>
      </c>
      <c r="B63" s="85"/>
      <c r="C63" s="85"/>
      <c r="D63" s="85"/>
      <c r="E63" s="85"/>
      <c r="F63" s="85"/>
      <c r="G63" s="85"/>
      <c r="H63" s="85"/>
    </row>
    <row r="64" spans="1:8" x14ac:dyDescent="0.25">
      <c r="A64" s="69" t="str">
        <f>'DICTIONARY-3'!$A$286</f>
        <v xml:space="preserve">Z kolumną górną ze stali nierdzewnej </v>
      </c>
    </row>
    <row r="65" spans="1:8" x14ac:dyDescent="0.25">
      <c r="A65" s="69" t="str">
        <f>CONCATENATE('DICTIONARY-1'!$A$10,": ",SETTINGS!$C$64)</f>
        <v>Grupa rabatowa: NOVA Niro / 365</v>
      </c>
    </row>
    <row r="66" spans="1:8" x14ac:dyDescent="0.25">
      <c r="A66" s="68"/>
      <c r="B66" s="68"/>
      <c r="C66" s="70"/>
      <c r="D66" s="70"/>
      <c r="E66" s="70"/>
      <c r="F66" s="70"/>
      <c r="G66" s="71"/>
      <c r="H66" s="71"/>
    </row>
    <row r="67" spans="1:8" ht="15" customHeight="1" x14ac:dyDescent="0.25">
      <c r="A67" s="72" t="str">
        <f>'DICTIONARY-2'!$A$2</f>
        <v>DN</v>
      </c>
      <c r="B67" s="72" t="str">
        <f>'DICTIONARY-2'!$A$3</f>
        <v>PN</v>
      </c>
      <c r="C67" s="705" t="str">
        <f>'DICTIONARY-2'!$A$7&amp;" 1)"</f>
        <v>Rd 1)</v>
      </c>
      <c r="D67" s="705" t="str">
        <f>'DICTIONARY-5'!$A$119</f>
        <v>Króćce wylotowe</v>
      </c>
      <c r="E67" s="984" t="str">
        <f>'DICTIONARY-3'!$A$43&amp;" "&amp;'DICTIONARY-5'!$A$109</f>
        <v>NOVA NIRO AUD</v>
      </c>
      <c r="F67" s="984"/>
      <c r="G67" s="984"/>
      <c r="H67" s="984"/>
    </row>
    <row r="68" spans="1:8" x14ac:dyDescent="0.25">
      <c r="A68" s="104"/>
      <c r="B68" s="104"/>
      <c r="C68" s="521"/>
      <c r="D68" s="521"/>
      <c r="E68" s="983" t="str">
        <f>'DICTIONARY-5'!$A$114</f>
        <v>podwójne zamknięcie</v>
      </c>
      <c r="F68" s="983"/>
      <c r="G68" s="983"/>
      <c r="H68" s="983"/>
    </row>
    <row r="69" spans="1:8" x14ac:dyDescent="0.25">
      <c r="A69" s="73"/>
      <c r="B69" s="73"/>
      <c r="C69" s="74" t="str">
        <f>'DICTIONARY-2'!$A$19</f>
        <v>[m]</v>
      </c>
      <c r="D69" s="74"/>
      <c r="E69" s="75" t="str">
        <f>'DICTIONARY-2'!$A$28</f>
        <v>stary nr zamówienia</v>
      </c>
      <c r="F69" s="75" t="str">
        <f>'DICTIONARY-2'!$A$29</f>
        <v>nowy nr zamówienia</v>
      </c>
      <c r="G69" s="76" t="str">
        <f>CURRENCY.CODE_1</f>
        <v>EUR</v>
      </c>
      <c r="H69" s="76" t="str">
        <f>CURRENCY.CODE_2</f>
        <v>---</v>
      </c>
    </row>
    <row r="70" spans="1:8" x14ac:dyDescent="0.25">
      <c r="A70" s="77">
        <v>80</v>
      </c>
      <c r="B70" s="77" t="s">
        <v>85</v>
      </c>
      <c r="C70" s="78">
        <v>1</v>
      </c>
      <c r="D70" s="78" t="s">
        <v>772</v>
      </c>
      <c r="E70" s="77" t="s">
        <v>790</v>
      </c>
      <c r="F70" s="328" t="s">
        <v>4258</v>
      </c>
      <c r="G70" s="339" t="str">
        <f>IFERROR(IF(OR(F70='DICTIONARY-5'!$A$2,F70='DICTIONARY-5'!$A$4,ISBLANK(F70)),VLOOKUP(E70,LIST!$A$6:$L$3250,CURR_1.SEARCH.OLD,0),VLOOKUP(F70,LIST!$B$6:$L$3250,CURR_1.SEARCH.NEW,0)),'DICTIONARY-5'!$A$2)</f>
        <v>1 664,-</v>
      </c>
      <c r="H70" s="339" t="str">
        <f>IFERROR(IF(OR(F70='DICTIONARY-5'!$A$2,F70='DICTIONARY-5'!$A$4,ISBLANK(F70)),VLOOKUP(E70,LIST!$A$6:$M$3250,CURR_2.SEARCH.OLD,0),VLOOKUP(F70,LIST!$B$6:$M$3250,CURR_2.SEARCH.NEW,0)),'DICTIONARY-5'!$A$2)</f>
        <v/>
      </c>
    </row>
    <row r="71" spans="1:8" x14ac:dyDescent="0.25">
      <c r="A71" s="77">
        <v>80</v>
      </c>
      <c r="B71" s="77" t="s">
        <v>85</v>
      </c>
      <c r="C71" s="78">
        <v>1.25</v>
      </c>
      <c r="D71" s="78" t="s">
        <v>772</v>
      </c>
      <c r="E71" s="77" t="s">
        <v>791</v>
      </c>
      <c r="F71" s="328" t="s">
        <v>4259</v>
      </c>
      <c r="G71" s="339" t="str">
        <f>IFERROR(IF(OR(F71='DICTIONARY-5'!$A$2,F71='DICTIONARY-5'!$A$4,ISBLANK(F71)),VLOOKUP(E71,LIST!$A$6:$L$3250,CURR_1.SEARCH.OLD,0),VLOOKUP(F71,LIST!$B$6:$L$3250,CURR_1.SEARCH.NEW,0)),'DICTIONARY-5'!$A$2)</f>
        <v>1 661,-</v>
      </c>
      <c r="H71" s="339" t="str">
        <f>IFERROR(IF(OR(F71='DICTIONARY-5'!$A$2,F71='DICTIONARY-5'!$A$4,ISBLANK(F71)),VLOOKUP(E71,LIST!$A$6:$M$3250,CURR_2.SEARCH.OLD,0),VLOOKUP(F71,LIST!$B$6:$M$3250,CURR_2.SEARCH.NEW,0)),'DICTIONARY-5'!$A$2)</f>
        <v/>
      </c>
    </row>
    <row r="72" spans="1:8" x14ac:dyDescent="0.25">
      <c r="A72" s="77">
        <v>80</v>
      </c>
      <c r="B72" s="77" t="s">
        <v>85</v>
      </c>
      <c r="C72" s="78">
        <v>1.5</v>
      </c>
      <c r="D72" s="78" t="s">
        <v>772</v>
      </c>
      <c r="E72" s="77" t="s">
        <v>792</v>
      </c>
      <c r="F72" s="328" t="s">
        <v>4260</v>
      </c>
      <c r="G72" s="339" t="str">
        <f>IFERROR(IF(OR(F72='DICTIONARY-5'!$A$2,F72='DICTIONARY-5'!$A$4,ISBLANK(F72)),VLOOKUP(E72,LIST!$A$6:$L$3250,CURR_1.SEARCH.OLD,0),VLOOKUP(F72,LIST!$B$6:$L$3250,CURR_1.SEARCH.NEW,0)),'DICTIONARY-5'!$A$2)</f>
        <v>1 938,-</v>
      </c>
      <c r="H72" s="339" t="str">
        <f>IFERROR(IF(OR(F72='DICTIONARY-5'!$A$2,F72='DICTIONARY-5'!$A$4,ISBLANK(F72)),VLOOKUP(E72,LIST!$A$6:$M$3250,CURR_2.SEARCH.OLD,0),VLOOKUP(F72,LIST!$B$6:$M$3250,CURR_2.SEARCH.NEW,0)),'DICTIONARY-5'!$A$2)</f>
        <v/>
      </c>
    </row>
    <row r="73" spans="1:8" x14ac:dyDescent="0.25">
      <c r="A73" s="77">
        <v>100</v>
      </c>
      <c r="B73" s="77" t="s">
        <v>85</v>
      </c>
      <c r="C73" s="78">
        <v>1.25</v>
      </c>
      <c r="D73" s="78" t="s">
        <v>772</v>
      </c>
      <c r="E73" s="77" t="s">
        <v>4921</v>
      </c>
      <c r="F73" s="328" t="s">
        <v>793</v>
      </c>
      <c r="G73" s="339" t="str">
        <f>IFERROR(IF(OR(F73='DICTIONARY-5'!$A$2,F73='DICTIONARY-5'!$A$4,ISBLANK(F73)),VLOOKUP(E73,LIST!$A$6:$L$3250,CURR_1.SEARCH.OLD,0),VLOOKUP(F73,LIST!$B$6:$L$3250,CURR_1.SEARCH.NEW,0)),'DICTIONARY-5'!$A$2)</f>
        <v>1 826,-</v>
      </c>
      <c r="H73" s="339" t="str">
        <f>IFERROR(IF(OR(F73='DICTIONARY-5'!$A$2,F73='DICTIONARY-5'!$A$4,ISBLANK(F73)),VLOOKUP(E73,LIST!$A$6:$M$3250,CURR_2.SEARCH.OLD,0),VLOOKUP(F73,LIST!$B$6:$M$3250,CURR_2.SEARCH.NEW,0)),'DICTIONARY-5'!$A$2)</f>
        <v/>
      </c>
    </row>
    <row r="74" spans="1:8" x14ac:dyDescent="0.25">
      <c r="A74" s="77">
        <v>100</v>
      </c>
      <c r="B74" s="77" t="s">
        <v>85</v>
      </c>
      <c r="C74" s="78">
        <v>1.5</v>
      </c>
      <c r="D74" s="78" t="s">
        <v>772</v>
      </c>
      <c r="E74" s="77" t="s">
        <v>4922</v>
      </c>
      <c r="F74" s="328" t="s">
        <v>794</v>
      </c>
      <c r="G74" s="339" t="str">
        <f>IFERROR(IF(OR(F74='DICTIONARY-5'!$A$2,F74='DICTIONARY-5'!$A$4,ISBLANK(F74)),VLOOKUP(E74,LIST!$A$6:$L$3250,CURR_1.SEARCH.OLD,0),VLOOKUP(F74,LIST!$B$6:$L$3250,CURR_1.SEARCH.NEW,0)),'DICTIONARY-5'!$A$2)</f>
        <v>2 125,-</v>
      </c>
      <c r="H74" s="339" t="str">
        <f>IFERROR(IF(OR(F74='DICTIONARY-5'!$A$2,F74='DICTIONARY-5'!$A$4,ISBLANK(F74)),VLOOKUP(E74,LIST!$A$6:$M$3250,CURR_2.SEARCH.OLD,0),VLOOKUP(F74,LIST!$B$6:$M$3250,CURR_2.SEARCH.NEW,0)),'DICTIONARY-5'!$A$2)</f>
        <v/>
      </c>
    </row>
    <row r="75" spans="1:8" x14ac:dyDescent="0.25">
      <c r="A75" s="77">
        <v>100</v>
      </c>
      <c r="B75" s="77" t="s">
        <v>85</v>
      </c>
      <c r="C75" s="78">
        <v>1.25</v>
      </c>
      <c r="D75" s="78" t="s">
        <v>778</v>
      </c>
      <c r="E75" s="77" t="s">
        <v>795</v>
      </c>
      <c r="F75" s="328" t="s">
        <v>4261</v>
      </c>
      <c r="G75" s="339" t="str">
        <f>IFERROR(IF(OR(F75='DICTIONARY-5'!$A$2,F75='DICTIONARY-5'!$A$4,ISBLANK(F75)),VLOOKUP(E75,LIST!$A$6:$L$3250,CURR_1.SEARCH.OLD,0),VLOOKUP(F75,LIST!$B$6:$L$3250,CURR_1.SEARCH.NEW,0)),'DICTIONARY-5'!$A$2)</f>
        <v>2 136,-</v>
      </c>
      <c r="H75" s="339" t="str">
        <f>IFERROR(IF(OR(F75='DICTIONARY-5'!$A$2,F75='DICTIONARY-5'!$A$4,ISBLANK(F75)),VLOOKUP(E75,LIST!$A$6:$M$3250,CURR_2.SEARCH.OLD,0),VLOOKUP(F75,LIST!$B$6:$M$3250,CURR_2.SEARCH.NEW,0)),'DICTIONARY-5'!$A$2)</f>
        <v/>
      </c>
    </row>
    <row r="76" spans="1:8" x14ac:dyDescent="0.25">
      <c r="A76" s="77">
        <v>100</v>
      </c>
      <c r="B76" s="77" t="s">
        <v>85</v>
      </c>
      <c r="C76" s="78">
        <v>1.5</v>
      </c>
      <c r="D76" s="78" t="s">
        <v>778</v>
      </c>
      <c r="E76" s="77" t="s">
        <v>796</v>
      </c>
      <c r="F76" s="328" t="s">
        <v>4262</v>
      </c>
      <c r="G76" s="339" t="str">
        <f>IFERROR(IF(OR(F76='DICTIONARY-5'!$A$2,F76='DICTIONARY-5'!$A$4,ISBLANK(F76)),VLOOKUP(E76,LIST!$A$6:$L$3250,CURR_1.SEARCH.OLD,0),VLOOKUP(F76,LIST!$B$6:$L$3250,CURR_1.SEARCH.NEW,0)),'DICTIONARY-5'!$A$2)</f>
        <v>2 436,-</v>
      </c>
      <c r="H76" s="339" t="str">
        <f>IFERROR(IF(OR(F76='DICTIONARY-5'!$A$2,F76='DICTIONARY-5'!$A$4,ISBLANK(F76)),VLOOKUP(E76,LIST!$A$6:$M$3250,CURR_2.SEARCH.OLD,0),VLOOKUP(F76,LIST!$B$6:$M$3250,CURR_2.SEARCH.NEW,0)),'DICTIONARY-5'!$A$2)</f>
        <v/>
      </c>
    </row>
    <row r="78" spans="1:8" x14ac:dyDescent="0.25">
      <c r="A78" s="65" t="str">
        <f>"1) "&amp;'DICTIONARY-5'!$A$85&amp;" - "&amp;'DICTIONARY-5'!$A$87</f>
        <v>1) Głębokość zabudowy - mierzona od górnej krawędzi rury do wierzchu terenu</v>
      </c>
    </row>
    <row r="80" spans="1:8" x14ac:dyDescent="0.25">
      <c r="A80" s="65" t="str">
        <f>'DICTIONARY-5'!$A$109&amp;" - "&amp;'DICTIONARY-5'!$A$114&amp;" "&amp;'DICTIONARY-5'!$A$116</f>
        <v>AUD - podwójne zamknięcie (grzybek + kula)</v>
      </c>
    </row>
    <row r="84" spans="1:8" s="86" customFormat="1" ht="16.5" thickBot="1" x14ac:dyDescent="0.3">
      <c r="A84" s="84" t="str">
        <f>CONCATENATE('DICTIONARY-3'!$A$44," ",'DICTIONARY-3'!$A$194)</f>
        <v>NOVA NIRO 365 Hydrant nadziemny</v>
      </c>
      <c r="B84" s="85"/>
      <c r="C84" s="85"/>
      <c r="D84" s="85"/>
      <c r="E84" s="85"/>
      <c r="F84" s="85"/>
      <c r="G84" s="85"/>
      <c r="H84" s="85"/>
    </row>
    <row r="85" spans="1:8" x14ac:dyDescent="0.25">
      <c r="A85" s="69" t="str">
        <f>'DICTIONARY-3'!$A$287</f>
        <v>Z kolumną górną ze stali nierdzewnej, podwójnym odwodnieniem i bezobsługowym samosmarującym się wrzecionem</v>
      </c>
    </row>
    <row r="86" spans="1:8" x14ac:dyDescent="0.25">
      <c r="A86" s="69" t="str">
        <f>CONCATENATE('DICTIONARY-1'!$A$10,": ",SETTINGS!$C$64)</f>
        <v>Grupa rabatowa: NOVA Niro / 365</v>
      </c>
    </row>
    <row r="87" spans="1:8" x14ac:dyDescent="0.25">
      <c r="A87" s="68"/>
      <c r="B87" s="68"/>
      <c r="C87" s="70"/>
      <c r="D87" s="70"/>
      <c r="E87" s="70"/>
      <c r="F87" s="70"/>
      <c r="G87" s="71"/>
      <c r="H87" s="71"/>
    </row>
    <row r="88" spans="1:8" ht="15" customHeight="1" x14ac:dyDescent="0.25">
      <c r="A88" s="72" t="str">
        <f>'DICTIONARY-2'!$A$2</f>
        <v>DN</v>
      </c>
      <c r="B88" s="72" t="str">
        <f>'DICTIONARY-2'!$A$3</f>
        <v>PN</v>
      </c>
      <c r="C88" s="705" t="str">
        <f>'DICTIONARY-2'!$A$7&amp;" 1)"</f>
        <v>Rd 1)</v>
      </c>
      <c r="D88" s="705" t="str">
        <f>'DICTIONARY-5'!$A$119</f>
        <v>Króćce wylotowe</v>
      </c>
      <c r="E88" s="984" t="str">
        <f>'DICTIONARY-3'!$A$44&amp;" "&amp;'DICTIONARY-5'!$A$109</f>
        <v>NOVA NIRO 365 AUD</v>
      </c>
      <c r="F88" s="984"/>
      <c r="G88" s="984"/>
      <c r="H88" s="984"/>
    </row>
    <row r="89" spans="1:8" x14ac:dyDescent="0.25">
      <c r="A89" s="104"/>
      <c r="B89" s="104"/>
      <c r="C89" s="521"/>
      <c r="D89" s="521"/>
      <c r="E89" s="983" t="str">
        <f>'DICTIONARY-5'!$A$114</f>
        <v>podwójne zamknięcie</v>
      </c>
      <c r="F89" s="983"/>
      <c r="G89" s="983"/>
      <c r="H89" s="983"/>
    </row>
    <row r="90" spans="1:8" x14ac:dyDescent="0.25">
      <c r="A90" s="73"/>
      <c r="B90" s="73"/>
      <c r="C90" s="74" t="str">
        <f>'DICTIONARY-2'!$A$19</f>
        <v>[m]</v>
      </c>
      <c r="D90" s="74"/>
      <c r="E90" s="75" t="str">
        <f>'DICTIONARY-2'!$A$28</f>
        <v>stary nr zamówienia</v>
      </c>
      <c r="F90" s="75" t="str">
        <f>'DICTIONARY-2'!$A$29</f>
        <v>nowy nr zamówienia</v>
      </c>
      <c r="G90" s="76" t="str">
        <f>CURRENCY.CODE_1</f>
        <v>EUR</v>
      </c>
      <c r="H90" s="76" t="str">
        <f>CURRENCY.CODE_2</f>
        <v>---</v>
      </c>
    </row>
    <row r="91" spans="1:8" x14ac:dyDescent="0.25">
      <c r="A91" s="77">
        <v>80</v>
      </c>
      <c r="B91" s="77" t="s">
        <v>85</v>
      </c>
      <c r="C91" s="78">
        <v>1</v>
      </c>
      <c r="D91" s="78" t="s">
        <v>772</v>
      </c>
      <c r="E91" s="77" t="s">
        <v>4905</v>
      </c>
      <c r="F91" s="328" t="s">
        <v>797</v>
      </c>
      <c r="G91" s="339" t="str">
        <f>IFERROR(IF(OR(F91='DICTIONARY-5'!$A$2,F91='DICTIONARY-5'!$A$4,ISBLANK(F91)),VLOOKUP(E91,LIST!$A$6:$L$3250,CURR_1.SEARCH.OLD,0),VLOOKUP(F91,LIST!$B$6:$L$3250,CURR_1.SEARCH.NEW,0)),'DICTIONARY-5'!$A$2)</f>
        <v>2 068,-</v>
      </c>
      <c r="H91" s="339" t="str">
        <f>IFERROR(IF(OR(F91='DICTIONARY-5'!$A$2,F91='DICTIONARY-5'!$A$4,ISBLANK(F91)),VLOOKUP(E91,LIST!$A$6:$M$3250,CURR_2.SEARCH.OLD,0),VLOOKUP(F91,LIST!$B$6:$M$3250,CURR_2.SEARCH.NEW,0)),'DICTIONARY-5'!$A$2)</f>
        <v/>
      </c>
    </row>
    <row r="92" spans="1:8" x14ac:dyDescent="0.25">
      <c r="A92" s="77">
        <v>80</v>
      </c>
      <c r="B92" s="77" t="s">
        <v>85</v>
      </c>
      <c r="C92" s="78">
        <v>1.25</v>
      </c>
      <c r="D92" s="78" t="s">
        <v>772</v>
      </c>
      <c r="E92" s="77" t="s">
        <v>4906</v>
      </c>
      <c r="F92" s="328" t="s">
        <v>798</v>
      </c>
      <c r="G92" s="339" t="str">
        <f>IFERROR(IF(OR(F92='DICTIONARY-5'!$A$2,F92='DICTIONARY-5'!$A$4,ISBLANK(F92)),VLOOKUP(E92,LIST!$A$6:$L$3250,CURR_1.SEARCH.OLD,0),VLOOKUP(F92,LIST!$B$6:$L$3250,CURR_1.SEARCH.NEW,0)),'DICTIONARY-5'!$A$2)</f>
        <v>2 101,-</v>
      </c>
      <c r="H92" s="339" t="str">
        <f>IFERROR(IF(OR(F92='DICTIONARY-5'!$A$2,F92='DICTIONARY-5'!$A$4,ISBLANK(F92)),VLOOKUP(E92,LIST!$A$6:$M$3250,CURR_2.SEARCH.OLD,0),VLOOKUP(F92,LIST!$B$6:$M$3250,CURR_2.SEARCH.NEW,0)),'DICTIONARY-5'!$A$2)</f>
        <v/>
      </c>
    </row>
    <row r="93" spans="1:8" x14ac:dyDescent="0.25">
      <c r="A93" s="77">
        <v>80</v>
      </c>
      <c r="B93" s="77" t="s">
        <v>85</v>
      </c>
      <c r="C93" s="78">
        <v>1.5</v>
      </c>
      <c r="D93" s="78" t="s">
        <v>772</v>
      </c>
      <c r="E93" s="77" t="s">
        <v>4907</v>
      </c>
      <c r="F93" s="328" t="s">
        <v>799</v>
      </c>
      <c r="G93" s="339" t="str">
        <f>IFERROR(IF(OR(F93='DICTIONARY-5'!$A$2,F93='DICTIONARY-5'!$A$4,ISBLANK(F93)),VLOOKUP(E93,LIST!$A$6:$L$3250,CURR_1.SEARCH.OLD,0),VLOOKUP(F93,LIST!$B$6:$L$3250,CURR_1.SEARCH.NEW,0)),'DICTIONARY-5'!$A$2)</f>
        <v>2 285,-</v>
      </c>
      <c r="H93" s="339" t="str">
        <f>IFERROR(IF(OR(F93='DICTIONARY-5'!$A$2,F93='DICTIONARY-5'!$A$4,ISBLANK(F93)),VLOOKUP(E93,LIST!$A$6:$M$3250,CURR_2.SEARCH.OLD,0),VLOOKUP(F93,LIST!$B$6:$M$3250,CURR_2.SEARCH.NEW,0)),'DICTIONARY-5'!$A$2)</f>
        <v/>
      </c>
    </row>
    <row r="94" spans="1:8" x14ac:dyDescent="0.25">
      <c r="A94" s="77">
        <v>100</v>
      </c>
      <c r="B94" s="77" t="s">
        <v>85</v>
      </c>
      <c r="C94" s="78">
        <v>1.25</v>
      </c>
      <c r="D94" s="78" t="s">
        <v>772</v>
      </c>
      <c r="E94" s="77" t="s">
        <v>4908</v>
      </c>
      <c r="F94" s="328" t="s">
        <v>800</v>
      </c>
      <c r="G94" s="339" t="str">
        <f>IFERROR(IF(OR(F94='DICTIONARY-5'!$A$2,F94='DICTIONARY-5'!$A$4,ISBLANK(F94)),VLOOKUP(E94,LIST!$A$6:$L$3250,CURR_1.SEARCH.OLD,0),VLOOKUP(F94,LIST!$B$6:$L$3250,CURR_1.SEARCH.NEW,0)),'DICTIONARY-5'!$A$2)</f>
        <v>2 249,-</v>
      </c>
      <c r="H94" s="339" t="str">
        <f>IFERROR(IF(OR(F94='DICTIONARY-5'!$A$2,F94='DICTIONARY-5'!$A$4,ISBLANK(F94)),VLOOKUP(E94,LIST!$A$6:$M$3250,CURR_2.SEARCH.OLD,0),VLOOKUP(F94,LIST!$B$6:$M$3250,CURR_2.SEARCH.NEW,0)),'DICTIONARY-5'!$A$2)</f>
        <v/>
      </c>
    </row>
    <row r="95" spans="1:8" x14ac:dyDescent="0.25">
      <c r="A95" s="77">
        <v>100</v>
      </c>
      <c r="B95" s="77" t="s">
        <v>85</v>
      </c>
      <c r="C95" s="78">
        <v>1.5</v>
      </c>
      <c r="D95" s="78" t="s">
        <v>772</v>
      </c>
      <c r="E95" s="77" t="s">
        <v>4909</v>
      </c>
      <c r="F95" s="328" t="s">
        <v>801</v>
      </c>
      <c r="G95" s="339" t="str">
        <f>IFERROR(IF(OR(F95='DICTIONARY-5'!$A$2,F95='DICTIONARY-5'!$A$4,ISBLANK(F95)),VLOOKUP(E95,LIST!$A$6:$L$3250,CURR_1.SEARCH.OLD,0),VLOOKUP(F95,LIST!$B$6:$L$3250,CURR_1.SEARCH.NEW,0)),'DICTIONARY-5'!$A$2)</f>
        <v>2 365,-</v>
      </c>
      <c r="H95" s="339" t="str">
        <f>IFERROR(IF(OR(F95='DICTIONARY-5'!$A$2,F95='DICTIONARY-5'!$A$4,ISBLANK(F95)),VLOOKUP(E95,LIST!$A$6:$M$3250,CURR_2.SEARCH.OLD,0),VLOOKUP(F95,LIST!$B$6:$M$3250,CURR_2.SEARCH.NEW,0)),'DICTIONARY-5'!$A$2)</f>
        <v/>
      </c>
    </row>
    <row r="96" spans="1:8" x14ac:dyDescent="0.25">
      <c r="A96" s="77">
        <v>100</v>
      </c>
      <c r="B96" s="77" t="s">
        <v>85</v>
      </c>
      <c r="C96" s="78">
        <v>1.25</v>
      </c>
      <c r="D96" s="78" t="s">
        <v>778</v>
      </c>
      <c r="E96" s="77" t="s">
        <v>4910</v>
      </c>
      <c r="F96" s="328" t="s">
        <v>802</v>
      </c>
      <c r="G96" s="339" t="str">
        <f>IFERROR(IF(OR(F96='DICTIONARY-5'!$A$2,F96='DICTIONARY-5'!$A$4,ISBLANK(F96)),VLOOKUP(E96,LIST!$A$6:$L$3250,CURR_1.SEARCH.OLD,0),VLOOKUP(F96,LIST!$B$6:$L$3250,CURR_1.SEARCH.NEW,0)),'DICTIONARY-5'!$A$2)</f>
        <v>2 582,-</v>
      </c>
      <c r="H96" s="339" t="str">
        <f>IFERROR(IF(OR(F96='DICTIONARY-5'!$A$2,F96='DICTIONARY-5'!$A$4,ISBLANK(F96)),VLOOKUP(E96,LIST!$A$6:$M$3250,CURR_2.SEARCH.OLD,0),VLOOKUP(F96,LIST!$B$6:$M$3250,CURR_2.SEARCH.NEW,0)),'DICTIONARY-5'!$A$2)</f>
        <v/>
      </c>
    </row>
    <row r="97" spans="1:8" x14ac:dyDescent="0.25">
      <c r="A97" s="77">
        <v>100</v>
      </c>
      <c r="B97" s="77" t="s">
        <v>85</v>
      </c>
      <c r="C97" s="78">
        <v>1.5</v>
      </c>
      <c r="D97" s="78" t="s">
        <v>778</v>
      </c>
      <c r="E97" s="77" t="s">
        <v>4911</v>
      </c>
      <c r="F97" s="328" t="s">
        <v>803</v>
      </c>
      <c r="G97" s="339" t="str">
        <f>IFERROR(IF(OR(F97='DICTIONARY-5'!$A$2,F97='DICTIONARY-5'!$A$4,ISBLANK(F97)),VLOOKUP(E97,LIST!$A$6:$L$3250,CURR_1.SEARCH.OLD,0),VLOOKUP(F97,LIST!$B$6:$L$3250,CURR_1.SEARCH.NEW,0)),'DICTIONARY-5'!$A$2)</f>
        <v>2 696,-</v>
      </c>
      <c r="H97" s="339" t="str">
        <f>IFERROR(IF(OR(F97='DICTIONARY-5'!$A$2,F97='DICTIONARY-5'!$A$4,ISBLANK(F97)),VLOOKUP(E97,LIST!$A$6:$M$3250,CURR_2.SEARCH.OLD,0),VLOOKUP(F97,LIST!$B$6:$M$3250,CURR_2.SEARCH.NEW,0)),'DICTIONARY-5'!$A$2)</f>
        <v/>
      </c>
    </row>
    <row r="99" spans="1:8" x14ac:dyDescent="0.25">
      <c r="A99" s="65" t="str">
        <f>"1) "&amp;'DICTIONARY-5'!$A$85&amp;" - "&amp;'DICTIONARY-5'!$A$87</f>
        <v>1) Głębokość zabudowy - mierzona od górnej krawędzi rury do wierzchu terenu</v>
      </c>
    </row>
    <row r="101" spans="1:8" x14ac:dyDescent="0.25">
      <c r="A101" s="65" t="str">
        <f>'DICTIONARY-5'!$A$109&amp;" - "&amp;'DICTIONARY-5'!$A$114&amp;" "&amp;'DICTIONARY-5'!$A$116</f>
        <v>AUD - podwójne zamknięcie (grzybek + kula)</v>
      </c>
    </row>
  </sheetData>
  <sheetProtection algorithmName="SHA-512" hashValue="DNK7HoKqXc1VuHdB9wvKV9Wqd49gu+bgRFdoRLd9sN7tY9mfkphrURtklCY8bG4XVm39BMbX3fiD9oTkAnkk5A==" saltValue="4NWw5leWIdMzPH/ozeRGZg==" spinCount="100000" sheet="1" objects="1" scenarios="1" autoFilter="0"/>
  <mergeCells count="15">
    <mergeCell ref="B4:E4"/>
    <mergeCell ref="E89:H89"/>
    <mergeCell ref="E88:H88"/>
    <mergeCell ref="E31:H31"/>
    <mergeCell ref="I31:L31"/>
    <mergeCell ref="E9:H9"/>
    <mergeCell ref="I9:L9"/>
    <mergeCell ref="E48:H48"/>
    <mergeCell ref="E67:H67"/>
    <mergeCell ref="E10:H10"/>
    <mergeCell ref="I10:L10"/>
    <mergeCell ref="E32:H32"/>
    <mergeCell ref="I32:L32"/>
    <mergeCell ref="E49:H49"/>
    <mergeCell ref="E68:H68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7">
    <tabColor rgb="FFFFC000"/>
  </sheetPr>
  <dimension ref="A1:H22"/>
  <sheetViews>
    <sheetView workbookViewId="0"/>
  </sheetViews>
  <sheetFormatPr defaultColWidth="9.140625" defaultRowHeight="15" x14ac:dyDescent="0.25"/>
  <cols>
    <col min="1" max="4" width="8.5703125" style="65" customWidth="1"/>
    <col min="5" max="6" width="22.140625" style="65" customWidth="1"/>
    <col min="7" max="8" width="12.85546875" style="65" customWidth="1"/>
    <col min="9" max="16384" width="9.140625" style="65"/>
  </cols>
  <sheetData>
    <row r="1" spans="1:8" s="415" customFormat="1" ht="45" customHeight="1" thickBot="1" x14ac:dyDescent="0.3">
      <c r="A1" s="432"/>
      <c r="B1" s="432"/>
      <c r="C1" s="432"/>
      <c r="D1" s="432"/>
    </row>
    <row r="2" spans="1:8" s="478" customFormat="1" ht="4.5" customHeight="1" x14ac:dyDescent="0.25">
      <c r="A2" s="475"/>
    </row>
    <row r="3" spans="1:8" ht="15.75" thickBot="1" x14ac:dyDescent="0.3">
      <c r="A3" s="66"/>
      <c r="B3" s="67"/>
      <c r="C3" s="67"/>
    </row>
    <row r="4" spans="1:8" ht="15.75" thickBot="1" x14ac:dyDescent="0.3">
      <c r="A4" s="826">
        <f>ADD.DISCOUNT</f>
        <v>0</v>
      </c>
      <c r="B4" s="933" t="str">
        <f>HYPERLINK("#'LIST'!ADD.DISCOUNT","» "&amp;'DICTIONARY-1'!$A$5)</f>
        <v>» Ustaw globalny dodatkowy rabat</v>
      </c>
      <c r="C4" s="981"/>
      <c r="D4" s="981"/>
      <c r="E4" s="982"/>
    </row>
    <row r="5" spans="1:8" x14ac:dyDescent="0.25">
      <c r="A5" s="66"/>
      <c r="B5" s="67"/>
      <c r="C5" s="67"/>
    </row>
    <row r="6" spans="1:8" ht="16.5" thickBot="1" x14ac:dyDescent="0.3">
      <c r="A6" s="84" t="str">
        <f>CONCATENATE('DICTIONARY-3'!$A$45," ",'DICTIONARY-3'!$A$194)</f>
        <v>RIGUS Hydrant nadziemny</v>
      </c>
      <c r="B6" s="85"/>
      <c r="C6" s="85"/>
      <c r="D6" s="85"/>
      <c r="E6" s="85"/>
      <c r="F6" s="85"/>
      <c r="G6" s="85"/>
      <c r="H6" s="85"/>
    </row>
    <row r="7" spans="1:8" x14ac:dyDescent="0.25">
      <c r="A7" s="68" t="str">
        <f>CONCATENATE('DICTIONARY-1'!$A$10,": ",SETTINGS!$C$65)</f>
        <v>Grupa rabatowa: RIGUS</v>
      </c>
    </row>
    <row r="8" spans="1:8" x14ac:dyDescent="0.25">
      <c r="B8" s="68"/>
      <c r="C8" s="70"/>
      <c r="D8" s="70"/>
    </row>
    <row r="9" spans="1:8" ht="45" x14ac:dyDescent="0.25">
      <c r="A9" s="72" t="str">
        <f>'DICTIONARY-2'!$A$2</f>
        <v>DN</v>
      </c>
      <c r="B9" s="72" t="str">
        <f>'DICTIONARY-2'!$A$3</f>
        <v>PN</v>
      </c>
      <c r="C9" s="705" t="str">
        <f>'DICTIONARY-2'!$A$7&amp;" 1)"</f>
        <v>Rd 1)</v>
      </c>
      <c r="D9" s="705" t="str">
        <f>'DICTIONARY-5'!$A$119</f>
        <v>Króćce wylotowe</v>
      </c>
      <c r="E9" s="984" t="str">
        <f>'DICTIONARY-3'!$A$45&amp;" "&amp;'DICTIONARY-5'!$A$109</f>
        <v>RIGUS AUD</v>
      </c>
      <c r="F9" s="984"/>
      <c r="G9" s="984"/>
      <c r="H9" s="984"/>
    </row>
    <row r="10" spans="1:8" x14ac:dyDescent="0.25">
      <c r="A10" s="104"/>
      <c r="B10" s="104"/>
      <c r="C10" s="521"/>
      <c r="D10" s="521"/>
      <c r="E10" s="983" t="str">
        <f>'DICTIONARY-5'!$A$114</f>
        <v>podwójne zamknięcie</v>
      </c>
      <c r="F10" s="983"/>
      <c r="G10" s="983"/>
      <c r="H10" s="983"/>
    </row>
    <row r="11" spans="1:8" x14ac:dyDescent="0.25">
      <c r="A11" s="73"/>
      <c r="B11" s="73"/>
      <c r="C11" s="74" t="str">
        <f>'DICTIONARY-2'!$A$19</f>
        <v>[m]</v>
      </c>
      <c r="D11" s="74"/>
      <c r="E11" s="75" t="str">
        <f>'DICTIONARY-2'!$A$28</f>
        <v>stary nr zamówienia</v>
      </c>
      <c r="F11" s="75" t="str">
        <f>'DICTIONARY-2'!$A$29</f>
        <v>nowy nr zamówienia</v>
      </c>
      <c r="G11" s="76" t="str">
        <f>CURRENCY.CODE_1</f>
        <v>EUR</v>
      </c>
      <c r="H11" s="76" t="str">
        <f>CURRENCY.CODE_2</f>
        <v>---</v>
      </c>
    </row>
    <row r="12" spans="1:8" x14ac:dyDescent="0.25">
      <c r="A12" s="77">
        <v>80</v>
      </c>
      <c r="B12" s="77" t="s">
        <v>85</v>
      </c>
      <c r="C12" s="78">
        <v>1</v>
      </c>
      <c r="D12" s="77" t="s">
        <v>772</v>
      </c>
      <c r="E12" s="77" t="s">
        <v>810</v>
      </c>
      <c r="F12" s="328" t="s">
        <v>4267</v>
      </c>
      <c r="G12" s="339" t="str">
        <f>IFERROR(IF(OR(F12='DICTIONARY-5'!$A$2,F12='DICTIONARY-5'!$A$4,ISBLANK(F12)),VLOOKUP(E12,LIST!$A$6:$L$3250,CURR_1.SEARCH.OLD,0),VLOOKUP(F12,LIST!$B$6:$L$3250,CURR_1.SEARCH.NEW,0)),'DICTIONARY-5'!$A$2)</f>
        <v>1 328,-</v>
      </c>
      <c r="H12" s="339" t="str">
        <f>IFERROR(IF(OR(F12='DICTIONARY-5'!$A$2,F12='DICTIONARY-5'!$A$4,ISBLANK(F12)),VLOOKUP(E12,LIST!$A$6:$M$3250,CURR_2.SEARCH.OLD,0),VLOOKUP(F12,LIST!$B$6:$M$3250,CURR_2.SEARCH.NEW,0)),'DICTIONARY-5'!$A$2)</f>
        <v/>
      </c>
    </row>
    <row r="13" spans="1:8" x14ac:dyDescent="0.25">
      <c r="A13" s="77">
        <v>80</v>
      </c>
      <c r="B13" s="77" t="s">
        <v>85</v>
      </c>
      <c r="C13" s="78">
        <v>1.25</v>
      </c>
      <c r="D13" s="77" t="s">
        <v>772</v>
      </c>
      <c r="E13" s="77" t="s">
        <v>811</v>
      </c>
      <c r="F13" s="328" t="s">
        <v>4268</v>
      </c>
      <c r="G13" s="339" t="str">
        <f>IFERROR(IF(OR(F13='DICTIONARY-5'!$A$2,F13='DICTIONARY-5'!$A$4,ISBLANK(F13)),VLOOKUP(E13,LIST!$A$6:$L$3250,CURR_1.SEARCH.OLD,0),VLOOKUP(F13,LIST!$B$6:$L$3250,CURR_1.SEARCH.NEW,0)),'DICTIONARY-5'!$A$2)</f>
        <v>1 386,-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</row>
    <row r="14" spans="1:8" x14ac:dyDescent="0.25">
      <c r="A14" s="77">
        <v>80</v>
      </c>
      <c r="B14" s="77" t="s">
        <v>85</v>
      </c>
      <c r="C14" s="78">
        <v>1.5</v>
      </c>
      <c r="D14" s="77" t="s">
        <v>772</v>
      </c>
      <c r="E14" s="77" t="s">
        <v>812</v>
      </c>
      <c r="F14" s="328" t="s">
        <v>4269</v>
      </c>
      <c r="G14" s="339" t="str">
        <f>IFERROR(IF(OR(F14='DICTIONARY-5'!$A$2,F14='DICTIONARY-5'!$A$4,ISBLANK(F14)),VLOOKUP(E14,LIST!$A$6:$L$3250,CURR_1.SEARCH.OLD,0),VLOOKUP(F14,LIST!$B$6:$L$3250,CURR_1.SEARCH.NEW,0)),'DICTIONARY-5'!$A$2)</f>
        <v>1 379,-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</row>
    <row r="15" spans="1:8" x14ac:dyDescent="0.25">
      <c r="A15" s="77">
        <v>100</v>
      </c>
      <c r="B15" s="77" t="s">
        <v>85</v>
      </c>
      <c r="C15" s="78">
        <v>1</v>
      </c>
      <c r="D15" s="77" t="s">
        <v>772</v>
      </c>
      <c r="E15" s="77" t="s">
        <v>813</v>
      </c>
      <c r="F15" s="328" t="s">
        <v>4270</v>
      </c>
      <c r="G15" s="339" t="str">
        <f>IFERROR(IF(OR(F15='DICTIONARY-5'!$A$2,F15='DICTIONARY-5'!$A$4,ISBLANK(F15)),VLOOKUP(E15,LIST!$A$6:$L$3250,CURR_1.SEARCH.OLD,0),VLOOKUP(F15,LIST!$B$6:$L$3250,CURR_1.SEARCH.NEW,0)),'DICTIONARY-5'!$A$2)</f>
        <v>1 444,-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</row>
    <row r="16" spans="1:8" x14ac:dyDescent="0.25">
      <c r="A16" s="77">
        <v>100</v>
      </c>
      <c r="B16" s="77" t="s">
        <v>85</v>
      </c>
      <c r="C16" s="78">
        <v>1.25</v>
      </c>
      <c r="D16" s="77" t="s">
        <v>772</v>
      </c>
      <c r="E16" s="77" t="s">
        <v>814</v>
      </c>
      <c r="F16" s="328" t="s">
        <v>4271</v>
      </c>
      <c r="G16" s="339" t="str">
        <f>IFERROR(IF(OR(F16='DICTIONARY-5'!$A$2,F16='DICTIONARY-5'!$A$4,ISBLANK(F16)),VLOOKUP(E16,LIST!$A$6:$L$3250,CURR_1.SEARCH.OLD,0),VLOOKUP(F16,LIST!$B$6:$L$3250,CURR_1.SEARCH.NEW,0)),'DICTIONARY-5'!$A$2)</f>
        <v>1 506,-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</row>
    <row r="17" spans="1:8" x14ac:dyDescent="0.25">
      <c r="A17" s="77">
        <v>100</v>
      </c>
      <c r="B17" s="77" t="s">
        <v>85</v>
      </c>
      <c r="C17" s="78">
        <v>1.5</v>
      </c>
      <c r="D17" s="77" t="s">
        <v>772</v>
      </c>
      <c r="E17" s="77" t="s">
        <v>815</v>
      </c>
      <c r="F17" s="328" t="s">
        <v>4272</v>
      </c>
      <c r="G17" s="339" t="str">
        <f>IFERROR(IF(OR(F17='DICTIONARY-5'!$A$2,F17='DICTIONARY-5'!$A$4,ISBLANK(F17)),VLOOKUP(E17,LIST!$A$6:$L$3250,CURR_1.SEARCH.OLD,0),VLOOKUP(F17,LIST!$B$6:$L$3250,CURR_1.SEARCH.NEW,0)),'DICTIONARY-5'!$A$2)</f>
        <v>1 536,-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</row>
    <row r="18" spans="1:8" x14ac:dyDescent="0.25">
      <c r="H18" s="92"/>
    </row>
    <row r="19" spans="1:8" x14ac:dyDescent="0.25">
      <c r="A19" s="65" t="str">
        <f>"1) "&amp;'DICTIONARY-5'!$A$85&amp;" - "&amp;'DICTIONARY-5'!$A$87</f>
        <v>1) Głębokość zabudowy - mierzona od górnej krawędzi rury do wierzchu terenu</v>
      </c>
    </row>
    <row r="21" spans="1:8" x14ac:dyDescent="0.25">
      <c r="A21" s="65" t="str">
        <f>'DICTIONARY-5'!$A$111&amp;" - "&amp;'DICTIONARY-5'!$A$113&amp;" "&amp;'DICTIONARY-5'!$A$115</f>
        <v>AU - pojedyncze zamknięcie (grzybek)</v>
      </c>
    </row>
    <row r="22" spans="1:8" x14ac:dyDescent="0.25">
      <c r="A22" s="65" t="str">
        <f>'DICTIONARY-5'!$A$109&amp;" - "&amp;'DICTIONARY-5'!$A$114&amp;" "&amp;'DICTIONARY-5'!$A$116</f>
        <v>AUD - podwójne zamknięcie (grzybek + kula)</v>
      </c>
    </row>
  </sheetData>
  <sheetProtection algorithmName="SHA-512" hashValue="g7MTADTaiOcdpVrPtq1X0YuUQxsP5dZr5FdPGZXOdHCxK9WHWdW2ZaRbX8C87+IB4+NnRP2QAQ3jBYSK/yXfJQ==" saltValue="2/uj4s9Hst9RRrsZWH5GiQ==" spinCount="100000" sheet="1" objects="1" scenarios="1" autoFilter="0"/>
  <mergeCells count="3">
    <mergeCell ref="E9:H9"/>
    <mergeCell ref="E10:H10"/>
    <mergeCell ref="B4:E4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5">
    <tabColor theme="1"/>
  </sheetPr>
  <dimension ref="A1:G45"/>
  <sheetViews>
    <sheetView workbookViewId="0"/>
  </sheetViews>
  <sheetFormatPr defaultRowHeight="15" x14ac:dyDescent="0.25"/>
  <cols>
    <col min="1" max="1" width="34" style="508" customWidth="1"/>
    <col min="2" max="2" width="42.85546875" style="690" customWidth="1"/>
    <col min="3" max="5" width="42.85546875" style="586" customWidth="1"/>
    <col min="6" max="6" width="5.42578125" style="581" customWidth="1"/>
    <col min="7" max="7" width="23.7109375" style="582" customWidth="1"/>
  </cols>
  <sheetData>
    <row r="1" spans="1:7" s="504" customFormat="1" ht="15.75" thickBot="1" x14ac:dyDescent="0.3">
      <c r="A1" s="505" t="s">
        <v>5879</v>
      </c>
      <c r="B1" s="691" t="s">
        <v>5880</v>
      </c>
      <c r="C1" s="602" t="s">
        <v>7398</v>
      </c>
      <c r="D1" s="602" t="s">
        <v>5881</v>
      </c>
      <c r="E1" s="602" t="s">
        <v>5882</v>
      </c>
      <c r="F1" s="580" t="s">
        <v>57</v>
      </c>
      <c r="G1" s="580" t="s">
        <v>6728</v>
      </c>
    </row>
    <row r="2" spans="1:7" x14ac:dyDescent="0.25">
      <c r="A2" s="508" t="str">
        <f>IF(CHOOSE(SET.LANGUAGE,'DICTIONARY-4'!B2,'DICTIONARY-4'!C2,'DICTIONARY-4'!D2,'DICTIONARY-4'!E2,'DICTIONARY-4'!F2)=0,("??? "&amp;"DICTIONARY-4/"&amp;"LINE"&amp;(ROW(A2))),CHOOSE(SET.LANGUAGE,'DICTIONARY-4'!B2,'DICTIONARY-4'!C2,'DICTIONARY-4'!D2,'DICTIONARY-4'!E2,'DICTIONARY-4'!F2))</f>
        <v>WW</v>
      </c>
      <c r="B2" s="690" t="s">
        <v>6035</v>
      </c>
      <c r="C2" s="586" t="s">
        <v>6035</v>
      </c>
      <c r="D2" s="586" t="s">
        <v>6061</v>
      </c>
      <c r="E2" s="586" t="s">
        <v>6075</v>
      </c>
      <c r="F2" s="581" t="str">
        <f>CONCATENATE(ROW(B2),"❹",B2)</f>
        <v>2❹VK</v>
      </c>
      <c r="G2" s="582" t="str">
        <f>"'DICTIONARY-4'!$A$"&amp;ROW(A2)</f>
        <v>'DICTIONARY-4'!$A$2</v>
      </c>
    </row>
    <row r="3" spans="1:7" x14ac:dyDescent="0.25">
      <c r="A3" s="508" t="str">
        <f>IF(CHOOSE(SET.LANGUAGE,'DICTIONARY-4'!B3,'DICTIONARY-4'!C3,'DICTIONARY-4'!D3,'DICTIONARY-4'!E3,'DICTIONARY-4'!F3)=0,("??? "&amp;"DICTIONARY-4/"&amp;"LINE"&amp;(ROW(A3))),CHOOSE(SET.LANGUAGE,'DICTIONARY-4'!B3,'DICTIONARY-4'!C3,'DICTIONARY-4'!D3,'DICTIONARY-4'!E3,'DICTIONARY-4'!F3))</f>
        <v>DR</v>
      </c>
      <c r="B3" s="690" t="s">
        <v>6039</v>
      </c>
      <c r="C3" s="586" t="s">
        <v>6039</v>
      </c>
      <c r="D3" s="586" t="s">
        <v>6062</v>
      </c>
      <c r="E3" s="586" t="s">
        <v>6076</v>
      </c>
      <c r="F3" s="581" t="str">
        <f t="shared" ref="F3:F33" si="0">CONCATENATE(ROW(B3),"❹",B3)</f>
        <v>3❹RP</v>
      </c>
      <c r="G3" s="582" t="str">
        <f t="shared" ref="G3:G33" si="1">"'DICTIONARY-4'!$A$"&amp;ROW(A3)</f>
        <v>'DICTIONARY-4'!$A$3</v>
      </c>
    </row>
    <row r="4" spans="1:7" x14ac:dyDescent="0.25">
      <c r="A4" s="508" t="str">
        <f>IF(CHOOSE(SET.LANGUAGE,'DICTIONARY-4'!B4,'DICTIONARY-4'!C4,'DICTIONARY-4'!D4,'DICTIONARY-4'!E4,'DICTIONARY-4'!F4)=0,("??? "&amp;"DICTIONARY-4/"&amp;"LINE"&amp;(ROW(A4))),CHOOSE(SET.LANGUAGE,'DICTIONARY-4'!B4,'DICTIONARY-4'!C4,'DICTIONARY-4'!D4,'DICTIONARY-4'!E4,'DICTIONARY-4'!F4))</f>
        <v>NE</v>
      </c>
      <c r="B4" s="690" t="s">
        <v>6036</v>
      </c>
      <c r="C4" s="586" t="s">
        <v>6036</v>
      </c>
      <c r="D4" s="586" t="s">
        <v>6063</v>
      </c>
      <c r="E4" s="586" t="s">
        <v>6077</v>
      </c>
      <c r="F4" s="581" t="str">
        <f t="shared" si="0"/>
        <v>4❹EP</v>
      </c>
      <c r="G4" s="582" t="str">
        <f t="shared" si="1"/>
        <v>'DICTIONARY-4'!$A$4</v>
      </c>
    </row>
    <row r="5" spans="1:7" x14ac:dyDescent="0.25">
      <c r="A5" s="508" t="str">
        <f>IF(CHOOSE(SET.LANGUAGE,'DICTIONARY-4'!B5,'DICTIONARY-4'!C5,'DICTIONARY-4'!D5,'DICTIONARY-4'!E5,'DICTIONARY-4'!F5)=0,("??? "&amp;"DICTIONARY-4/"&amp;"LINE"&amp;(ROW(A5))),CHOOSE(SET.LANGUAGE,'DICTIONARY-4'!B5,'DICTIONARY-4'!C5,'DICTIONARY-4'!D5,'DICTIONARY-4'!E5,'DICTIONARY-4'!F5))</f>
        <v>NP</v>
      </c>
      <c r="B5" s="690" t="s">
        <v>6038</v>
      </c>
      <c r="C5" s="586" t="s">
        <v>6038</v>
      </c>
      <c r="D5" s="586" t="s">
        <v>6064</v>
      </c>
      <c r="E5" s="586" t="s">
        <v>6078</v>
      </c>
      <c r="F5" s="581" t="str">
        <f t="shared" si="0"/>
        <v>5❹PP</v>
      </c>
      <c r="G5" s="582" t="str">
        <f t="shared" si="1"/>
        <v>'DICTIONARY-4'!$A$5</v>
      </c>
    </row>
    <row r="6" spans="1:7" x14ac:dyDescent="0.25">
      <c r="A6" s="508" t="str">
        <f>IF(CHOOSE(SET.LANGUAGE,'DICTIONARY-4'!B6,'DICTIONARY-4'!C6,'DICTIONARY-4'!D6,'DICTIONARY-4'!E6,'DICTIONARY-4'!F6)=0,("??? "&amp;"DICTIONARY-4/"&amp;"LINE"&amp;(ROW(A6))),CHOOSE(SET.LANGUAGE,'DICTIONARY-4'!B6,'DICTIONARY-4'!C6,'DICTIONARY-4'!D6,'DICTIONARY-4'!E6,'DICTIONARY-4'!F6))</f>
        <v>NH</v>
      </c>
      <c r="B6" s="690" t="s">
        <v>6045</v>
      </c>
      <c r="C6" s="586" t="s">
        <v>6045</v>
      </c>
      <c r="D6" s="586" t="s">
        <v>6065</v>
      </c>
      <c r="E6" s="586" t="s">
        <v>6079</v>
      </c>
      <c r="F6" s="581" t="str">
        <f t="shared" si="0"/>
        <v>6❹HYP</v>
      </c>
      <c r="G6" s="582" t="str">
        <f t="shared" si="1"/>
        <v>'DICTIONARY-4'!$A$6</v>
      </c>
    </row>
    <row r="7" spans="1:7" x14ac:dyDescent="0.25">
      <c r="A7" s="508" t="str">
        <f>IF(CHOOSE(SET.LANGUAGE,'DICTIONARY-4'!B7,'DICTIONARY-4'!C7,'DICTIONARY-4'!D7,'DICTIONARY-4'!E7,'DICTIONARY-4'!F7)=0,("??? "&amp;"DICTIONARY-4/"&amp;"LINE"&amp;(ROW(A7))),CHOOSE(SET.LANGUAGE,'DICTIONARY-4'!B7,'DICTIONARY-4'!C7,'DICTIONARY-4'!D7,'DICTIONARY-4'!E7,'DICTIONARY-4'!F7))</f>
        <v>KR</v>
      </c>
      <c r="B7" s="690" t="s">
        <v>6034</v>
      </c>
      <c r="C7" s="586" t="s">
        <v>6034</v>
      </c>
      <c r="D7" s="586" t="s">
        <v>6116</v>
      </c>
      <c r="E7" s="586" t="s">
        <v>6118</v>
      </c>
      <c r="F7" s="581" t="str">
        <f t="shared" si="0"/>
        <v>7❹RK</v>
      </c>
      <c r="G7" s="582" t="str">
        <f t="shared" si="1"/>
        <v>'DICTIONARY-4'!$A$7</v>
      </c>
    </row>
    <row r="8" spans="1:7" x14ac:dyDescent="0.25">
      <c r="A8" s="508" t="str">
        <f>IF(CHOOSE(SET.LANGUAGE,'DICTIONARY-4'!B8,'DICTIONARY-4'!C8,'DICTIONARY-4'!D8,'DICTIONARY-4'!E8,'DICTIONARY-4'!F8)=0,("??? "&amp;"DICTIONARY-4/"&amp;"LINE"&amp;(ROW(A8))),CHOOSE(SET.LANGUAGE,'DICTIONARY-4'!B8,'DICTIONARY-4'!C8,'DICTIONARY-4'!D8,'DICTIONARY-4'!E8,'DICTIONARY-4'!F8))</f>
        <v>PK</v>
      </c>
      <c r="B8" s="690" t="s">
        <v>7557</v>
      </c>
      <c r="C8" s="586" t="s">
        <v>7557</v>
      </c>
      <c r="D8" s="586" t="s">
        <v>6117</v>
      </c>
      <c r="E8" s="586" t="s">
        <v>6080</v>
      </c>
      <c r="F8" s="581" t="str">
        <f t="shared" si="0"/>
        <v>8❹PRRK</v>
      </c>
      <c r="G8" s="582" t="str">
        <f t="shared" si="1"/>
        <v>'DICTIONARY-4'!$A$8</v>
      </c>
    </row>
    <row r="9" spans="1:7" x14ac:dyDescent="0.25">
      <c r="A9" s="508" t="str">
        <f>IF(CHOOSE(SET.LANGUAGE,'DICTIONARY-4'!B9,'DICTIONARY-4'!C9,'DICTIONARY-4'!D9,'DICTIONARY-4'!E9,'DICTIONARY-4'!F9)=0,("??? "&amp;"DICTIONARY-4/"&amp;"LINE"&amp;(ROW(A9))),CHOOSE(SET.LANGUAGE,'DICTIONARY-4'!B9,'DICTIONARY-4'!C9,'DICTIONARY-4'!D9,'DICTIONARY-4'!E9,'DICTIONARY-4'!F9))</f>
        <v>PWW</v>
      </c>
      <c r="B9" s="690" t="s">
        <v>6033</v>
      </c>
      <c r="C9" s="586" t="s">
        <v>6033</v>
      </c>
      <c r="D9" s="586" t="s">
        <v>6066</v>
      </c>
      <c r="E9" s="586" t="s">
        <v>6081</v>
      </c>
      <c r="F9" s="581" t="str">
        <f t="shared" si="0"/>
        <v>9❹PRVK</v>
      </c>
      <c r="G9" s="582" t="str">
        <f t="shared" si="1"/>
        <v>'DICTIONARY-4'!$A$9</v>
      </c>
    </row>
    <row r="10" spans="1:7" x14ac:dyDescent="0.25">
      <c r="A10" s="508" t="str">
        <f>IF(CHOOSE(SET.LANGUAGE,'DICTIONARY-4'!B10,'DICTIONARY-4'!C10,'DICTIONARY-4'!D10,'DICTIONARY-4'!E10,'DICTIONARY-4'!F10)=0,("??? "&amp;"DICTIONARY-4/"&amp;"LINE"&amp;(ROW(A10))),CHOOSE(SET.LANGUAGE,'DICTIONARY-4'!B10,'DICTIONARY-4'!C10,'DICTIONARY-4'!D10,'DICTIONARY-4'!E10,'DICTIONARY-4'!F10))</f>
        <v>PPW</v>
      </c>
      <c r="B10" s="690" t="s">
        <v>6040</v>
      </c>
      <c r="C10" s="586" t="s">
        <v>6040</v>
      </c>
      <c r="D10" s="586" t="s">
        <v>6067</v>
      </c>
      <c r="E10" s="586" t="s">
        <v>6082</v>
      </c>
      <c r="F10" s="581" t="str">
        <f t="shared" si="0"/>
        <v>10❹UZS</v>
      </c>
      <c r="G10" s="582" t="str">
        <f t="shared" si="1"/>
        <v>'DICTIONARY-4'!$A$10</v>
      </c>
    </row>
    <row r="11" spans="1:7" x14ac:dyDescent="0.25">
      <c r="A11" s="508" t="str">
        <f>IF(CHOOSE(SET.LANGUAGE,'DICTIONARY-4'!B11,'DICTIONARY-4'!C11,'DICTIONARY-4'!D11,'DICTIONARY-4'!E11,'DICTIONARY-4'!F11)=0,("??? "&amp;"DICTIONARY-4/"&amp;"LINE"&amp;(ROW(A11))),CHOOSE(SET.LANGUAGE,'DICTIONARY-4'!B11,'DICTIONARY-4'!C11,'DICTIONARY-4'!D11,'DICTIONARY-4'!E11,'DICTIONARY-4'!F11))</f>
        <v>PNE</v>
      </c>
      <c r="B11" s="690" t="s">
        <v>6037</v>
      </c>
      <c r="C11" s="586" t="s">
        <v>6037</v>
      </c>
      <c r="D11" s="586" t="s">
        <v>6068</v>
      </c>
      <c r="E11" s="586" t="s">
        <v>6083</v>
      </c>
      <c r="F11" s="581" t="str">
        <f t="shared" si="0"/>
        <v>11❹UEP</v>
      </c>
      <c r="G11" s="582" t="str">
        <f t="shared" si="1"/>
        <v>'DICTIONARY-4'!$A$11</v>
      </c>
    </row>
    <row r="12" spans="1:7" x14ac:dyDescent="0.25">
      <c r="A12" s="508" t="str">
        <f>IF(CHOOSE(SET.LANGUAGE,'DICTIONARY-4'!B12,'DICTIONARY-4'!C12,'DICTIONARY-4'!D12,'DICTIONARY-4'!E12,'DICTIONARY-4'!F12)=0,("??? "&amp;"DICTIONARY-4/"&amp;"LINE"&amp;(ROW(A12))),CHOOSE(SET.LANGUAGE,'DICTIONARY-4'!B12,'DICTIONARY-4'!C12,'DICTIONARY-4'!D12,'DICTIONARY-4'!E12,'DICTIONARY-4'!F12))</f>
        <v>PNP</v>
      </c>
      <c r="B12" s="690" t="s">
        <v>6042</v>
      </c>
      <c r="C12" s="586" t="s">
        <v>6042</v>
      </c>
      <c r="D12" s="586" t="s">
        <v>6069</v>
      </c>
      <c r="E12" s="586" t="s">
        <v>6084</v>
      </c>
      <c r="F12" s="581" t="str">
        <f t="shared" si="0"/>
        <v>12❹UPP</v>
      </c>
      <c r="G12" s="582" t="str">
        <f t="shared" si="1"/>
        <v>'DICTIONARY-4'!$A$12</v>
      </c>
    </row>
    <row r="13" spans="1:7" x14ac:dyDescent="0.25">
      <c r="A13" s="508" t="str">
        <f>IF(CHOOSE(SET.LANGUAGE,'DICTIONARY-4'!B13,'DICTIONARY-4'!C13,'DICTIONARY-4'!D13,'DICTIONARY-4'!E13,'DICTIONARY-4'!F13)=0,("??? "&amp;"DICTIONARY-4/"&amp;"LINE"&amp;(ROW(A13))),CHOOSE(SET.LANGUAGE,'DICTIONARY-4'!B13,'DICTIONARY-4'!C13,'DICTIONARY-4'!D13,'DICTIONARY-4'!E13,'DICTIONARY-4'!F13))</f>
        <v>KK</v>
      </c>
      <c r="B13" s="690" t="s">
        <v>6043</v>
      </c>
      <c r="C13" s="586" t="s">
        <v>6043</v>
      </c>
      <c r="D13" s="586" t="s">
        <v>6948</v>
      </c>
      <c r="E13" s="586" t="s">
        <v>6085</v>
      </c>
      <c r="F13" s="581" t="str">
        <f t="shared" si="0"/>
        <v>13❹NTK</v>
      </c>
      <c r="G13" s="582" t="str">
        <f t="shared" si="1"/>
        <v>'DICTIONARY-4'!$A$13</v>
      </c>
    </row>
    <row r="14" spans="1:7" x14ac:dyDescent="0.25">
      <c r="A14" s="508" t="str">
        <f>IF(CHOOSE(SET.LANGUAGE,'DICTIONARY-4'!B14,'DICTIONARY-4'!C14,'DICTIONARY-4'!D14,'DICTIONARY-4'!E14,'DICTIONARY-4'!F14)=0,("??? "&amp;"DICTIONARY-4/"&amp;"LINE"&amp;(ROW(A14))),CHOOSE(SET.LANGUAGE,'DICTIONARY-4'!B14,'DICTIONARY-4'!C14,'DICTIONARY-4'!D14,'DICTIONARY-4'!E14,'DICTIONARY-4'!F14))</f>
        <v>KŁ</v>
      </c>
      <c r="B14" s="690" t="s">
        <v>6046</v>
      </c>
      <c r="C14" s="586" t="s">
        <v>6046</v>
      </c>
      <c r="D14" s="586" t="s">
        <v>6070</v>
      </c>
      <c r="E14" s="586" t="s">
        <v>6086</v>
      </c>
      <c r="F14" s="581" t="str">
        <f t="shared" si="0"/>
        <v>14❹REK</v>
      </c>
      <c r="G14" s="582" t="str">
        <f t="shared" si="1"/>
        <v>'DICTIONARY-4'!$A$14</v>
      </c>
    </row>
    <row r="15" spans="1:7" x14ac:dyDescent="0.25">
      <c r="A15" s="508" t="str">
        <f>IF(CHOOSE(SET.LANGUAGE,'DICTIONARY-4'!B15,'DICTIONARY-4'!C15,'DICTIONARY-4'!D15,'DICTIONARY-4'!E15,'DICTIONARY-4'!F15)=0,("??? "&amp;"DICTIONARY-4/"&amp;"LINE"&amp;(ROW(A15))),CHOOSE(SET.LANGUAGE,'DICTIONARY-4'!B15,'DICTIONARY-4'!C15,'DICTIONARY-4'!D15,'DICTIONARY-4'!E15,'DICTIONARY-4'!F15))</f>
        <v>Z</v>
      </c>
      <c r="B15" s="690" t="s">
        <v>6047</v>
      </c>
      <c r="C15" s="586" t="s">
        <v>6047</v>
      </c>
      <c r="D15" s="586" t="s">
        <v>6071</v>
      </c>
      <c r="E15" s="586" t="s">
        <v>2131</v>
      </c>
      <c r="F15" s="581" t="str">
        <f t="shared" si="0"/>
        <v>15❹SP</v>
      </c>
      <c r="G15" s="582" t="str">
        <f t="shared" si="1"/>
        <v>'DICTIONARY-4'!$A$15</v>
      </c>
    </row>
    <row r="16" spans="1:7" x14ac:dyDescent="0.25">
      <c r="A16" s="508" t="str">
        <f>IF(CHOOSE(SET.LANGUAGE,'DICTIONARY-4'!B16,'DICTIONARY-4'!C16,'DICTIONARY-4'!D16,'DICTIONARY-4'!E16,'DICTIONARY-4'!F16)=0,("??? "&amp;"DICTIONARY-4/"&amp;"LINE"&amp;(ROW(A16))),CHOOSE(SET.LANGUAGE,'DICTIONARY-4'!B16,'DICTIONARY-4'!C16,'DICTIONARY-4'!D16,'DICTIONARY-4'!E16,'DICTIONARY-4'!F16))</f>
        <v>DC</v>
      </c>
      <c r="B16" s="690" t="s">
        <v>6041</v>
      </c>
      <c r="C16" s="586" t="s">
        <v>6041</v>
      </c>
      <c r="D16" s="586" t="s">
        <v>6072</v>
      </c>
      <c r="E16" s="586" t="s">
        <v>6087</v>
      </c>
      <c r="F16" s="581" t="str">
        <f t="shared" si="0"/>
        <v>16❹PZ</v>
      </c>
      <c r="G16" s="582" t="str">
        <f t="shared" si="1"/>
        <v>'DICTIONARY-4'!$A$16</v>
      </c>
    </row>
    <row r="17" spans="1:7" x14ac:dyDescent="0.25">
      <c r="A17" s="508" t="str">
        <f>IF(CHOOSE(SET.LANGUAGE,'DICTIONARY-4'!B17,'DICTIONARY-4'!C17,'DICTIONARY-4'!D17,'DICTIONARY-4'!E17,'DICTIONARY-4'!F17)=0,("??? "&amp;"DICTIONARY-4/"&amp;"LINE"&amp;(ROW(A17))),CHOOSE(SET.LANGUAGE,'DICTIONARY-4'!B17,'DICTIONARY-4'!C17,'DICTIONARY-4'!D17,'DICTIONARY-4'!E17,'DICTIONARY-4'!F17))</f>
        <v>AS</v>
      </c>
      <c r="B17" s="690" t="s">
        <v>6044</v>
      </c>
      <c r="C17" s="586" t="s">
        <v>6044</v>
      </c>
      <c r="D17" s="586" t="s">
        <v>6073</v>
      </c>
      <c r="E17" s="586" t="s">
        <v>6088</v>
      </c>
      <c r="F17" s="581" t="str">
        <f t="shared" si="0"/>
        <v>17❹AO</v>
      </c>
      <c r="G17" s="582" t="str">
        <f t="shared" si="1"/>
        <v>'DICTIONARY-4'!$A$17</v>
      </c>
    </row>
    <row r="18" spans="1:7" x14ac:dyDescent="0.25">
      <c r="A18" s="508" t="str">
        <f>IF(CHOOSE(SET.LANGUAGE,'DICTIONARY-4'!B18,'DICTIONARY-4'!C18,'DICTIONARY-4'!D18,'DICTIONARY-4'!E18,'DICTIONARY-4'!F18)=0,("??? "&amp;"DICTIONARY-4/"&amp;"LINE"&amp;(ROW(A18))),CHOOSE(SET.LANGUAGE,'DICTIONARY-4'!B18,'DICTIONARY-4'!C18,'DICTIONARY-4'!D18,'DICTIONARY-4'!E18,'DICTIONARY-4'!F18))</f>
        <v>Wolny wałek</v>
      </c>
      <c r="B18" s="690" t="s">
        <v>6245</v>
      </c>
      <c r="C18" s="586" t="s">
        <v>7545</v>
      </c>
      <c r="D18" s="586" t="s">
        <v>6103</v>
      </c>
      <c r="E18" s="586" t="s">
        <v>6089</v>
      </c>
      <c r="F18" s="581" t="str">
        <f t="shared" si="0"/>
        <v>18❹Volný konec vřetene</v>
      </c>
      <c r="G18" s="582" t="str">
        <f t="shared" si="1"/>
        <v>'DICTIONARY-4'!$A$18</v>
      </c>
    </row>
    <row r="19" spans="1:7" x14ac:dyDescent="0.25">
      <c r="A19" s="508" t="str">
        <f>IF(CHOOSE(SET.LANGUAGE,'DICTIONARY-4'!B19,'DICTIONARY-4'!C19,'DICTIONARY-4'!D19,'DICTIONARY-4'!E19,'DICTIONARY-4'!F19)=0,("??? "&amp;"DICTIONARY-4/"&amp;"LINE"&amp;(ROW(A19))),CHOOSE(SET.LANGUAGE,'DICTIONARY-4'!B19,'DICTIONARY-4'!C19,'DICTIONARY-4'!D19,'DICTIONARY-4'!E19,'DICTIONARY-4'!F19))</f>
        <v>Dźwignia ręczna</v>
      </c>
      <c r="B19" s="690" t="s">
        <v>6048</v>
      </c>
      <c r="C19" s="586" t="s">
        <v>7550</v>
      </c>
      <c r="D19" s="586" t="s">
        <v>6104</v>
      </c>
      <c r="E19" s="586" t="s">
        <v>6090</v>
      </c>
      <c r="F19" s="581" t="str">
        <f t="shared" si="0"/>
        <v>19❹Ruční páka</v>
      </c>
      <c r="G19" s="582" t="str">
        <f t="shared" si="1"/>
        <v>'DICTIONARY-4'!$A$19</v>
      </c>
    </row>
    <row r="20" spans="1:7" x14ac:dyDescent="0.25">
      <c r="A20" s="508" t="str">
        <f>IF(CHOOSE(SET.LANGUAGE,'DICTIONARY-4'!B20,'DICTIONARY-4'!C20,'DICTIONARY-4'!D20,'DICTIONARY-4'!E20,'DICTIONARY-4'!F20)=0,("??? "&amp;"DICTIONARY-4/"&amp;"LINE"&amp;(ROW(A20))),CHOOSE(SET.LANGUAGE,'DICTIONARY-4'!B20,'DICTIONARY-4'!C20,'DICTIONARY-4'!D20,'DICTIONARY-4'!E20,'DICTIONARY-4'!F20))</f>
        <v>Napęd elektryczny</v>
      </c>
      <c r="B20" s="690" t="s">
        <v>6049</v>
      </c>
      <c r="C20" s="586" t="s">
        <v>6049</v>
      </c>
      <c r="D20" s="586" t="s">
        <v>6105</v>
      </c>
      <c r="E20" s="586" t="s">
        <v>6091</v>
      </c>
      <c r="F20" s="581" t="str">
        <f t="shared" si="0"/>
        <v>20❹El. pohon</v>
      </c>
      <c r="G20" s="582" t="str">
        <f t="shared" si="1"/>
        <v>'DICTIONARY-4'!$A$20</v>
      </c>
    </row>
    <row r="21" spans="1:7" x14ac:dyDescent="0.25">
      <c r="A21" s="508" t="str">
        <f>IF(CHOOSE(SET.LANGUAGE,'DICTIONARY-4'!B21,'DICTIONARY-4'!C21,'DICTIONARY-4'!D21,'DICTIONARY-4'!E21,'DICTIONARY-4'!F21)=0,("??? "&amp;"DICTIONARY-4/"&amp;"LINE"&amp;(ROW(A21))),CHOOSE(SET.LANGUAGE,'DICTIONARY-4'!B21,'DICTIONARY-4'!C21,'DICTIONARY-4'!D21,'DICTIONARY-4'!E21,'DICTIONARY-4'!F21))</f>
        <v>Napęd pneumatyczny</v>
      </c>
      <c r="B21" s="690" t="s">
        <v>6050</v>
      </c>
      <c r="C21" s="586" t="s">
        <v>6050</v>
      </c>
      <c r="D21" s="586" t="s">
        <v>6106</v>
      </c>
      <c r="E21" s="586" t="s">
        <v>6092</v>
      </c>
      <c r="F21" s="581" t="str">
        <f t="shared" si="0"/>
        <v>21❹Pneupohon</v>
      </c>
      <c r="G21" s="582" t="str">
        <f t="shared" si="1"/>
        <v>'DICTIONARY-4'!$A$21</v>
      </c>
    </row>
    <row r="22" spans="1:7" x14ac:dyDescent="0.25">
      <c r="A22" s="508" t="str">
        <f>IF(CHOOSE(SET.LANGUAGE,'DICTIONARY-4'!B22,'DICTIONARY-4'!C22,'DICTIONARY-4'!D22,'DICTIONARY-4'!E22,'DICTIONARY-4'!F22)=0,("??? "&amp;"DICTIONARY-4/"&amp;"LINE"&amp;(ROW(A22))),CHOOSE(SET.LANGUAGE,'DICTIONARY-4'!B22,'DICTIONARY-4'!C22,'DICTIONARY-4'!D22,'DICTIONARY-4'!E22,'DICTIONARY-4'!F22))</f>
        <v>Napęd hydrauliczny</v>
      </c>
      <c r="B22" s="690" t="s">
        <v>6051</v>
      </c>
      <c r="C22" s="586" t="s">
        <v>6051</v>
      </c>
      <c r="D22" s="586" t="s">
        <v>6107</v>
      </c>
      <c r="E22" s="586" t="s">
        <v>6093</v>
      </c>
      <c r="F22" s="581" t="str">
        <f t="shared" si="0"/>
        <v>22❹Hydraulický pohon</v>
      </c>
      <c r="G22" s="582" t="str">
        <f t="shared" si="1"/>
        <v>'DICTIONARY-4'!$A$22</v>
      </c>
    </row>
    <row r="23" spans="1:7" x14ac:dyDescent="0.25">
      <c r="A23" s="508" t="str">
        <f>IF(CHOOSE(SET.LANGUAGE,'DICTIONARY-4'!B23,'DICTIONARY-4'!C23,'DICTIONARY-4'!D23,'DICTIONARY-4'!E23,'DICTIONARY-4'!F23)=0,("??? "&amp;"DICTIONARY-4/"&amp;"LINE"&amp;(ROW(A23))),CHOOSE(SET.LANGUAGE,'DICTIONARY-4'!B23,'DICTIONARY-4'!C23,'DICTIONARY-4'!D23,'DICTIONARY-4'!E23,'DICTIONARY-4'!F23))</f>
        <v>Kółko ręczne</v>
      </c>
      <c r="B23" s="690" t="s">
        <v>1538</v>
      </c>
      <c r="C23" s="586" t="s">
        <v>7551</v>
      </c>
      <c r="D23" s="586" t="s">
        <v>5928</v>
      </c>
      <c r="E23" s="586" t="s">
        <v>5960</v>
      </c>
      <c r="F23" s="581" t="str">
        <f t="shared" si="0"/>
        <v>23❹Ruční kolo</v>
      </c>
      <c r="G23" s="582" t="str">
        <f t="shared" si="1"/>
        <v>'DICTIONARY-4'!$A$23</v>
      </c>
    </row>
    <row r="24" spans="1:7" x14ac:dyDescent="0.25">
      <c r="A24" s="508" t="str">
        <f>IF(CHOOSE(SET.LANGUAGE,'DICTIONARY-4'!B24,'DICTIONARY-4'!C24,'DICTIONARY-4'!D24,'DICTIONARY-4'!E24,'DICTIONARY-4'!F24)=0,("??? "&amp;"DICTIONARY-4/"&amp;"LINE"&amp;(ROW(A24))),CHOOSE(SET.LANGUAGE,'DICTIONARY-4'!B24,'DICTIONARY-4'!C24,'DICTIONARY-4'!D24,'DICTIONARY-4'!E24,'DICTIONARY-4'!F24))</f>
        <v>Przekładnia z kółkiem</v>
      </c>
      <c r="B24" s="690" t="s">
        <v>6052</v>
      </c>
      <c r="C24" s="586" t="s">
        <v>7552</v>
      </c>
      <c r="D24" s="586" t="s">
        <v>6108</v>
      </c>
      <c r="E24" s="586" t="s">
        <v>6094</v>
      </c>
      <c r="F24" s="581" t="str">
        <f t="shared" si="0"/>
        <v>24❹Převodovka s ručním kolem</v>
      </c>
      <c r="G24" s="582" t="str">
        <f t="shared" si="1"/>
        <v>'DICTIONARY-4'!$A$24</v>
      </c>
    </row>
    <row r="25" spans="1:7" x14ac:dyDescent="0.25">
      <c r="A25" s="508" t="str">
        <f>IF(CHOOSE(SET.LANGUAGE,'DICTIONARY-4'!B25,'DICTIONARY-4'!C25,'DICTIONARY-4'!D25,'DICTIONARY-4'!E25,'DICTIONARY-4'!F25)=0,("??? "&amp;"DICTIONARY-4/"&amp;"LINE"&amp;(ROW(A25))),CHOOSE(SET.LANGUAGE,'DICTIONARY-4'!B25,'DICTIONARY-4'!C25,'DICTIONARY-4'!D25,'DICTIONARY-4'!E25,'DICTIONARY-4'!F25))</f>
        <v>Przekładnia z wolnym wałkiem</v>
      </c>
      <c r="B25" s="690" t="s">
        <v>6053</v>
      </c>
      <c r="C25" s="586" t="s">
        <v>7546</v>
      </c>
      <c r="D25" s="586" t="s">
        <v>6109</v>
      </c>
      <c r="E25" s="586" t="s">
        <v>6095</v>
      </c>
      <c r="F25" s="581" t="str">
        <f t="shared" si="0"/>
        <v>25❹Převodovka s volným koncem</v>
      </c>
      <c r="G25" s="582" t="str">
        <f t="shared" si="1"/>
        <v>'DICTIONARY-4'!$A$25</v>
      </c>
    </row>
    <row r="26" spans="1:7" x14ac:dyDescent="0.25">
      <c r="A26" s="508" t="str">
        <f>IF(CHOOSE(SET.LANGUAGE,'DICTIONARY-4'!B26,'DICTIONARY-4'!C26,'DICTIONARY-4'!D26,'DICTIONARY-4'!E26,'DICTIONARY-4'!F26)=0,("??? "&amp;"DICTIONARY-4/"&amp;"LINE"&amp;(ROW(A26))),CHOOSE(SET.LANGUAGE,'DICTIONARY-4'!B26,'DICTIONARY-4'!C26,'DICTIONARY-4'!D26,'DICTIONARY-4'!E26,'DICTIONARY-4'!F26))</f>
        <v>Przygotowane pod przedł. wrzciona</v>
      </c>
      <c r="B26" s="690" t="s">
        <v>6054</v>
      </c>
      <c r="C26" s="586" t="s">
        <v>7553</v>
      </c>
      <c r="D26" s="586" t="s">
        <v>6110</v>
      </c>
      <c r="E26" s="586" t="s">
        <v>6096</v>
      </c>
      <c r="F26" s="581" t="str">
        <f t="shared" si="0"/>
        <v>26❹Úprava pro zemní soupravu</v>
      </c>
      <c r="G26" s="582" t="str">
        <f t="shared" si="1"/>
        <v>'DICTIONARY-4'!$A$26</v>
      </c>
    </row>
    <row r="27" spans="1:7" x14ac:dyDescent="0.25">
      <c r="A27" s="508" t="str">
        <f>IF(CHOOSE(SET.LANGUAGE,'DICTIONARY-4'!B27,'DICTIONARY-4'!C27,'DICTIONARY-4'!D27,'DICTIONARY-4'!E27,'DICTIONARY-4'!F27)=0,("??? "&amp;"DICTIONARY-4/"&amp;"LINE"&amp;(ROW(A27))),CHOOSE(SET.LANGUAGE,'DICTIONARY-4'!B27,'DICTIONARY-4'!C27,'DICTIONARY-4'!D27,'DICTIONARY-4'!E27,'DICTIONARY-4'!F27))</f>
        <v>Przygotowane pod napęd elektryczny</v>
      </c>
      <c r="B27" s="690" t="s">
        <v>6055</v>
      </c>
      <c r="C27" s="586" t="s">
        <v>7547</v>
      </c>
      <c r="D27" s="586" t="s">
        <v>6111</v>
      </c>
      <c r="E27" s="586" t="s">
        <v>6097</v>
      </c>
      <c r="F27" s="581" t="str">
        <f t="shared" si="0"/>
        <v>27❹Úprava pro elektropohon</v>
      </c>
      <c r="G27" s="582" t="str">
        <f t="shared" si="1"/>
        <v>'DICTIONARY-4'!$A$27</v>
      </c>
    </row>
    <row r="28" spans="1:7" x14ac:dyDescent="0.25">
      <c r="A28" s="508" t="str">
        <f>IF(CHOOSE(SET.LANGUAGE,'DICTIONARY-4'!B28,'DICTIONARY-4'!C28,'DICTIONARY-4'!D28,'DICTIONARY-4'!E28,'DICTIONARY-4'!F28)=0,("??? "&amp;"DICTIONARY-4/"&amp;"LINE"&amp;(ROW(A28))),CHOOSE(SET.LANGUAGE,'DICTIONARY-4'!B28,'DICTIONARY-4'!C28,'DICTIONARY-4'!D28,'DICTIONARY-4'!E28,'DICTIONARY-4'!F28))</f>
        <v>Przygotowane pod napęd pneumatyczny</v>
      </c>
      <c r="B28" s="690" t="s">
        <v>6056</v>
      </c>
      <c r="C28" s="586" t="s">
        <v>7554</v>
      </c>
      <c r="D28" s="586" t="s">
        <v>6112</v>
      </c>
      <c r="E28" s="586" t="s">
        <v>6098</v>
      </c>
      <c r="F28" s="581" t="str">
        <f t="shared" si="0"/>
        <v>28❹Úprava pro pneupohon</v>
      </c>
      <c r="G28" s="582" t="str">
        <f t="shared" si="1"/>
        <v>'DICTIONARY-4'!$A$28</v>
      </c>
    </row>
    <row r="29" spans="1:7" x14ac:dyDescent="0.25">
      <c r="A29" s="508" t="str">
        <f>IF(CHOOSE(SET.LANGUAGE,'DICTIONARY-4'!B29,'DICTIONARY-4'!C29,'DICTIONARY-4'!D29,'DICTIONARY-4'!E29,'DICTIONARY-4'!F29)=0,("??? "&amp;"DICTIONARY-4/"&amp;"LINE"&amp;(ROW(A29))),CHOOSE(SET.LANGUAGE,'DICTIONARY-4'!B29,'DICTIONARY-4'!C29,'DICTIONARY-4'!D29,'DICTIONARY-4'!E29,'DICTIONARY-4'!F29))</f>
        <v>Końcówka kwadratowa, zamontowana</v>
      </c>
      <c r="B29" s="690" t="s">
        <v>6057</v>
      </c>
      <c r="C29" s="586" t="s">
        <v>7548</v>
      </c>
      <c r="D29" s="586" t="s">
        <v>6947</v>
      </c>
      <c r="E29" s="586" t="s">
        <v>7118</v>
      </c>
      <c r="F29" s="581" t="str">
        <f t="shared" si="0"/>
        <v>29❹Nástavec pro T-klíč, namontovaný</v>
      </c>
      <c r="G29" s="582" t="str">
        <f t="shared" si="1"/>
        <v>'DICTIONARY-4'!$A$29</v>
      </c>
    </row>
    <row r="30" spans="1:7" x14ac:dyDescent="0.25">
      <c r="A30" s="508" t="str">
        <f>IF(CHOOSE(SET.LANGUAGE,'DICTIONARY-4'!B30,'DICTIONARY-4'!C30,'DICTIONARY-4'!D30,'DICTIONARY-4'!E30,'DICTIONARY-4'!F30)=0,("??? "&amp;"DICTIONARY-4/"&amp;"LINE"&amp;(ROW(A30))),CHOOSE(SET.LANGUAGE,'DICTIONARY-4'!B30,'DICTIONARY-4'!C30,'DICTIONARY-4'!D30,'DICTIONARY-4'!E30,'DICTIONARY-4'!F30))</f>
        <v>Koło łańcuchowe</v>
      </c>
      <c r="B30" s="690" t="s">
        <v>6058</v>
      </c>
      <c r="C30" s="586" t="s">
        <v>7555</v>
      </c>
      <c r="D30" s="586" t="s">
        <v>6113</v>
      </c>
      <c r="E30" s="586" t="s">
        <v>6099</v>
      </c>
      <c r="F30" s="581" t="str">
        <f t="shared" si="0"/>
        <v>30❹Řetězové kolo</v>
      </c>
      <c r="G30" s="582" t="str">
        <f t="shared" si="1"/>
        <v>'DICTIONARY-4'!$A$30</v>
      </c>
    </row>
    <row r="31" spans="1:7" x14ac:dyDescent="0.25">
      <c r="A31" s="508" t="str">
        <f>IF(CHOOSE(SET.LANGUAGE,'DICTIONARY-4'!B31,'DICTIONARY-4'!C31,'DICTIONARY-4'!D31,'DICTIONARY-4'!E31,'DICTIONARY-4'!F31)=0,("??? "&amp;"DICTIONARY-4/"&amp;"LINE"&amp;(ROW(A31))),CHOOSE(SET.LANGUAGE,'DICTIONARY-4'!B31,'DICTIONARY-4'!C31,'DICTIONARY-4'!D31,'DICTIONARY-4'!E31,'DICTIONARY-4'!F31))</f>
        <v>Złączka</v>
      </c>
      <c r="B31" s="690" t="s">
        <v>5734</v>
      </c>
      <c r="C31" s="586" t="s">
        <v>5734</v>
      </c>
      <c r="D31" s="586" t="s">
        <v>6114</v>
      </c>
      <c r="E31" s="586" t="s">
        <v>6100</v>
      </c>
      <c r="F31" s="581" t="str">
        <f t="shared" si="0"/>
        <v>31❹Spojka</v>
      </c>
      <c r="G31" s="582" t="str">
        <f t="shared" si="1"/>
        <v>'DICTIONARY-4'!$A$31</v>
      </c>
    </row>
    <row r="32" spans="1:7" x14ac:dyDescent="0.25">
      <c r="A32" s="508" t="str">
        <f>IF(CHOOSE(SET.LANGUAGE,'DICTIONARY-4'!B32,'DICTIONARY-4'!C32,'DICTIONARY-4'!D32,'DICTIONARY-4'!E32,'DICTIONARY-4'!F32)=0,("??? "&amp;"DICTIONARY-4/"&amp;"LINE"&amp;(ROW(A32))),CHOOSE(SET.LANGUAGE,'DICTIONARY-4'!B32,'DICTIONARY-4'!C32,'DICTIONARY-4'!D32,'DICTIONARY-4'!E32,'DICTIONARY-4'!F32))</f>
        <v>Dżwignia z ciężarem</v>
      </c>
      <c r="B32" s="690" t="s">
        <v>6059</v>
      </c>
      <c r="C32" s="586" t="s">
        <v>7549</v>
      </c>
      <c r="D32" s="586" t="s">
        <v>6115</v>
      </c>
      <c r="E32" s="586" t="s">
        <v>6101</v>
      </c>
      <c r="F32" s="581" t="str">
        <f t="shared" si="0"/>
        <v>32❹Páka se závažím</v>
      </c>
      <c r="G32" s="582" t="str">
        <f t="shared" si="1"/>
        <v>'DICTIONARY-4'!$A$32</v>
      </c>
    </row>
    <row r="33" spans="1:7" x14ac:dyDescent="0.25">
      <c r="A33" s="508" t="str">
        <f>IF(CHOOSE(SET.LANGUAGE,'DICTIONARY-4'!B33,'DICTIONARY-4'!C33,'DICTIONARY-4'!D33,'DICTIONARY-4'!E33,'DICTIONARY-4'!F33)=0,("??? "&amp;"DICTIONARY-4/"&amp;"LINE"&amp;(ROW(A33))),CHOOSE(SET.LANGUAGE,'DICTIONARY-4'!B33,'DICTIONARY-4'!C33,'DICTIONARY-4'!D33,'DICTIONARY-4'!E33,'DICTIONARY-4'!F33))</f>
        <v>Automatyczne sterowanie</v>
      </c>
      <c r="B33" s="690" t="s">
        <v>6060</v>
      </c>
      <c r="C33" s="586" t="s">
        <v>7556</v>
      </c>
      <c r="D33" s="586" t="s">
        <v>6074</v>
      </c>
      <c r="E33" s="586" t="s">
        <v>6102</v>
      </c>
      <c r="F33" s="581" t="str">
        <f t="shared" si="0"/>
        <v>33❹Automatické ovládání</v>
      </c>
      <c r="G33" s="582" t="str">
        <f t="shared" si="1"/>
        <v>'DICTIONARY-4'!$A$33</v>
      </c>
    </row>
    <row r="34" spans="1:7" x14ac:dyDescent="0.25">
      <c r="E34" s="605"/>
    </row>
    <row r="42" spans="1:7" ht="15" customHeight="1" x14ac:dyDescent="0.25"/>
    <row r="43" spans="1:7" ht="15" customHeight="1" x14ac:dyDescent="0.25"/>
    <row r="44" spans="1:7" ht="15" customHeight="1" x14ac:dyDescent="0.25"/>
    <row r="45" spans="1:7" ht="15" customHeight="1" x14ac:dyDescent="0.25"/>
  </sheetData>
  <sheetProtection algorithmName="SHA-512" hashValue="fA4OgGqJsLx4m2imH0Dgb948s0GtNFp5tE/SmdcG/tDkeXZLoP/3dEc6kJ3ZSsnkKYcE/ObhVroGLnbE0sk3cw==" saltValue="1pEujZ2AyO70sYRDPQbrOg==" spinCount="100000" sheet="1" objects="1" scenarios="1" autoFilter="0"/>
  <pageMargins left="0.7" right="0.7" top="0.75" bottom="0.75" header="0.3" footer="0.3"/>
  <pageSetup paperSize="9" orientation="portrait" horizontalDpi="1200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9">
    <tabColor rgb="FFFFC000"/>
  </sheetPr>
  <dimension ref="A1:F61"/>
  <sheetViews>
    <sheetView workbookViewId="0"/>
  </sheetViews>
  <sheetFormatPr defaultColWidth="9.140625" defaultRowHeight="15" x14ac:dyDescent="0.25"/>
  <cols>
    <col min="1" max="1" width="9.140625" style="70"/>
    <col min="2" max="2" width="25" style="70" bestFit="1" customWidth="1"/>
    <col min="3" max="4" width="22.140625" style="70" customWidth="1"/>
    <col min="5" max="6" width="12.85546875" style="71" customWidth="1"/>
    <col min="7" max="10" width="9.140625" style="65"/>
    <col min="11" max="11" width="14.28515625" style="65" bestFit="1" customWidth="1"/>
    <col min="12" max="16384" width="9.140625" style="65"/>
  </cols>
  <sheetData>
    <row r="1" spans="1:6" s="415" customFormat="1" ht="45" customHeight="1" thickBot="1" x14ac:dyDescent="0.3">
      <c r="A1" s="432"/>
      <c r="B1" s="432"/>
      <c r="C1" s="432"/>
      <c r="D1" s="432"/>
      <c r="E1" s="414"/>
      <c r="F1" s="414"/>
    </row>
    <row r="2" spans="1:6" s="478" customFormat="1" ht="4.5" customHeight="1" x14ac:dyDescent="0.25">
      <c r="A2" s="475"/>
      <c r="B2" s="476"/>
      <c r="C2" s="476"/>
      <c r="D2" s="476"/>
      <c r="E2" s="477"/>
      <c r="F2" s="477"/>
    </row>
    <row r="3" spans="1:6" ht="15.75" thickBot="1" x14ac:dyDescent="0.3">
      <c r="A3" s="66"/>
      <c r="B3" s="67"/>
      <c r="C3" s="67"/>
      <c r="D3" s="67"/>
    </row>
    <row r="4" spans="1:6" ht="15.75" thickBot="1" x14ac:dyDescent="0.3">
      <c r="A4" s="826">
        <f>ADD.DISCOUNT</f>
        <v>0</v>
      </c>
      <c r="B4" s="933" t="str">
        <f>HYPERLINK("#'LIST'!ADD.DISCOUNT","» "&amp;'DICTIONARY-1'!$A$5)</f>
        <v>» Ustaw globalny dodatkowy rabat</v>
      </c>
      <c r="C4" s="981"/>
      <c r="D4" s="981"/>
      <c r="E4" s="982"/>
    </row>
    <row r="5" spans="1:6" x14ac:dyDescent="0.25">
      <c r="A5" s="66"/>
      <c r="B5" s="67"/>
      <c r="C5" s="67"/>
      <c r="D5" s="67"/>
    </row>
    <row r="6" spans="1:6" x14ac:dyDescent="0.25">
      <c r="A6" s="729" t="str">
        <f>CONCATENATE("» ",'DICTIONARY-5'!$A$6," ",'DICTIONARY-3'!$A$141,", ",'DICTIONARY-3'!$A$142,)</f>
        <v>» Przejdź do produktu: Klucz hydrantowy, Klucz-T</v>
      </c>
      <c r="B6" s="67"/>
      <c r="C6" s="67"/>
      <c r="D6" s="67"/>
    </row>
    <row r="7" spans="1:6" x14ac:dyDescent="0.25">
      <c r="A7" s="729"/>
      <c r="B7" s="67"/>
      <c r="C7" s="67"/>
      <c r="D7" s="67"/>
    </row>
    <row r="8" spans="1:6" x14ac:dyDescent="0.25">
      <c r="A8" s="66"/>
      <c r="B8" s="67"/>
      <c r="C8" s="67"/>
      <c r="D8" s="67"/>
    </row>
    <row r="9" spans="1:6" ht="16.5" thickBot="1" x14ac:dyDescent="0.3">
      <c r="A9" s="99" t="str">
        <f>CONCATENATE('DICTIONARY-3'!$A$175,'DICTIONARY-3'!$A$50,'DICTIONARY-3'!$A$174," / ",'DICTIONARY-3'!$A$347)</f>
        <v>Kształtka-N‎ / Kolano stopowe</v>
      </c>
      <c r="B9" s="99"/>
      <c r="C9" s="100"/>
      <c r="D9" s="100"/>
      <c r="E9" s="101"/>
      <c r="F9" s="101"/>
    </row>
    <row r="10" spans="1:6" x14ac:dyDescent="0.25">
      <c r="A10" s="93" t="str">
        <f>CONCATENATE('DICTIONARY-5'!$A$204,": ","2x ",LOWER('DICTIONARY-3'!$A$241))</f>
        <v>Połączenie: 2x kołnierz</v>
      </c>
      <c r="B10" s="93"/>
    </row>
    <row r="11" spans="1:6" x14ac:dyDescent="0.25">
      <c r="A11" s="93" t="str">
        <f>CONCATENATE('DICTIONARY-1'!$A$10,": ",SETTINGS!$C$91)</f>
        <v>Grupa rabatowa: Hydrant Accessories</v>
      </c>
      <c r="B11" s="93"/>
    </row>
    <row r="12" spans="1:6" x14ac:dyDescent="0.25">
      <c r="A12" s="97"/>
      <c r="B12" s="97"/>
    </row>
    <row r="13" spans="1:6" ht="15" customHeight="1" x14ac:dyDescent="0.25">
      <c r="A13" s="72" t="str">
        <f>'DICTIONARY-2'!$A$2</f>
        <v>DN</v>
      </c>
      <c r="B13" s="72" t="str">
        <f>'DICTIONARY-2'!$A$3</f>
        <v>PN</v>
      </c>
      <c r="C13" s="984" t="str">
        <f>'DICTIONARY-3'!$A$175&amp;'DICTIONARY-3'!$A$50&amp;'DICTIONARY-3'!$A$174</f>
        <v>Kształtka-N‎</v>
      </c>
      <c r="D13" s="984"/>
      <c r="E13" s="984"/>
      <c r="F13" s="984"/>
    </row>
    <row r="14" spans="1:6" x14ac:dyDescent="0.25">
      <c r="A14" s="104"/>
      <c r="B14" s="104"/>
      <c r="C14" s="983" t="str">
        <f>LOWER('DICTIONARY-3'!$A$347)</f>
        <v>kolano stopowe</v>
      </c>
      <c r="D14" s="983"/>
      <c r="E14" s="983"/>
      <c r="F14" s="983"/>
    </row>
    <row r="15" spans="1:6" x14ac:dyDescent="0.25">
      <c r="A15" s="73"/>
      <c r="B15" s="73"/>
      <c r="C15" s="75" t="str">
        <f>'DICTIONARY-2'!$A$28</f>
        <v>stary nr zamówienia</v>
      </c>
      <c r="D15" s="75" t="str">
        <f>'DICTIONARY-2'!$A$29</f>
        <v>nowy nr zamówienia</v>
      </c>
      <c r="E15" s="76" t="str">
        <f>CURRENCY.CODE_1</f>
        <v>EUR</v>
      </c>
      <c r="F15" s="76" t="str">
        <f>CURRENCY.CODE_2</f>
        <v>---</v>
      </c>
    </row>
    <row r="16" spans="1:6" x14ac:dyDescent="0.25">
      <c r="A16" s="77" t="s">
        <v>84</v>
      </c>
      <c r="B16" s="77" t="s">
        <v>85</v>
      </c>
      <c r="C16" s="77" t="s">
        <v>839</v>
      </c>
      <c r="D16" s="328" t="s">
        <v>4780</v>
      </c>
      <c r="E16" s="339" t="str">
        <f>IFERROR(IF(OR(D16='DICTIONARY-5'!$A$2,D16='DICTIONARY-5'!$A$4,ISBLANK(D16)),VLOOKUP(C16,LIST!$A$6:$L$3250,CURR_1.SEARCH.OLD,0),VLOOKUP(D16,LIST!$B$6:$L$3250,CURR_1.SEARCH.NEW,0)),'DICTIONARY-5'!$A$2)</f>
        <v>135,-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</row>
    <row r="17" spans="1:6" x14ac:dyDescent="0.25">
      <c r="A17" s="77">
        <v>80</v>
      </c>
      <c r="B17" s="77" t="s">
        <v>85</v>
      </c>
      <c r="C17" s="77" t="s">
        <v>840</v>
      </c>
      <c r="D17" s="328" t="s">
        <v>4779</v>
      </c>
      <c r="E17" s="339" t="str">
        <f>IFERROR(IF(OR(D17='DICTIONARY-5'!$A$2,D17='DICTIONARY-5'!$A$4,ISBLANK(D17)),VLOOKUP(C17,LIST!$A$6:$L$3250,CURR_1.SEARCH.OLD,0),VLOOKUP(D17,LIST!$B$6:$L$3250,CURR_1.SEARCH.NEW,0)),'DICTIONARY-5'!$A$2)</f>
        <v>132,-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</row>
    <row r="18" spans="1:6" x14ac:dyDescent="0.25">
      <c r="A18" s="77">
        <v>100</v>
      </c>
      <c r="B18" s="77" t="s">
        <v>85</v>
      </c>
      <c r="C18" s="77" t="s">
        <v>841</v>
      </c>
      <c r="D18" s="328" t="s">
        <v>4781</v>
      </c>
      <c r="E18" s="339" t="str">
        <f>IFERROR(IF(OR(D18='DICTIONARY-5'!$A$2,D18='DICTIONARY-5'!$A$4,ISBLANK(D18)),VLOOKUP(C18,LIST!$A$6:$L$3250,CURR_1.SEARCH.OLD,0),VLOOKUP(D18,LIST!$B$6:$L$3250,CURR_1.SEARCH.NEW,0)),'DICTIONARY-5'!$A$2)</f>
        <v>123,-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</row>
    <row r="19" spans="1:6" ht="15" customHeight="1" x14ac:dyDescent="0.25">
      <c r="A19" s="77">
        <v>150</v>
      </c>
      <c r="B19" s="77" t="s">
        <v>85</v>
      </c>
      <c r="C19" s="77" t="s">
        <v>842</v>
      </c>
      <c r="D19" s="328" t="s">
        <v>4782</v>
      </c>
      <c r="E19" s="339" t="str">
        <f>IFERROR(IF(OR(D19='DICTIONARY-5'!$A$2,D19='DICTIONARY-5'!$A$4,ISBLANK(D19)),VLOOKUP(C19,LIST!$A$6:$L$3250,CURR_1.SEARCH.OLD,0),VLOOKUP(D19,LIST!$B$6:$L$3250,CURR_1.SEARCH.NEW,0)),'DICTIONARY-5'!$A$2)</f>
        <v>353,-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</row>
    <row r="21" spans="1:6" x14ac:dyDescent="0.25">
      <c r="A21" s="546" t="str">
        <f>"1) "&amp;'DICTIONARY-5'!$A$63</f>
        <v>1) Owiert kołnierza 4 otwory</v>
      </c>
      <c r="B21" s="94"/>
      <c r="F21" s="98"/>
    </row>
    <row r="25" spans="1:6" ht="16.5" thickBot="1" x14ac:dyDescent="0.3">
      <c r="A25" s="111" t="str">
        <f>'DICTIONARY-3'!$A$51</f>
        <v>Blok drenażowy</v>
      </c>
      <c r="B25" s="112"/>
      <c r="C25" s="112"/>
      <c r="D25" s="112"/>
      <c r="E25" s="113"/>
      <c r="F25" s="113"/>
    </row>
    <row r="26" spans="1:6" x14ac:dyDescent="0.25">
      <c r="A26" s="93" t="str">
        <f>CONCATENATE('DICTIONARY-1'!$A$10,": ",SETTINGS!$C$91)</f>
        <v>Grupa rabatowa: Hydrant Accessories</v>
      </c>
      <c r="B26" s="102"/>
      <c r="C26" s="102"/>
      <c r="D26" s="102"/>
      <c r="E26" s="103"/>
      <c r="F26" s="103"/>
    </row>
    <row r="27" spans="1:6" x14ac:dyDescent="0.25">
      <c r="A27" s="102"/>
      <c r="B27" s="102"/>
      <c r="C27" s="102"/>
      <c r="D27" s="102"/>
      <c r="E27" s="103"/>
      <c r="F27" s="103"/>
    </row>
    <row r="28" spans="1:6" x14ac:dyDescent="0.25">
      <c r="A28" s="72" t="str">
        <f>'DICTIONARY-2'!$A$2</f>
        <v>DN</v>
      </c>
      <c r="B28" s="72" t="str">
        <f>'DICTIONARY-3'!$A$192</f>
        <v>Hydrant</v>
      </c>
      <c r="C28" s="984" t="str">
        <f>'DICTIONARY-3'!$A$51</f>
        <v>Blok drenażowy</v>
      </c>
      <c r="D28" s="984"/>
      <c r="E28" s="984"/>
      <c r="F28" s="984"/>
    </row>
    <row r="29" spans="1:6" x14ac:dyDescent="0.25">
      <c r="A29" s="104"/>
      <c r="B29" s="104"/>
      <c r="C29" s="983"/>
      <c r="D29" s="983"/>
      <c r="E29" s="983"/>
      <c r="F29" s="983"/>
    </row>
    <row r="30" spans="1:6" x14ac:dyDescent="0.25">
      <c r="A30" s="104"/>
      <c r="B30" s="104"/>
      <c r="C30" s="105" t="str">
        <f>'DICTIONARY-2'!$A$28</f>
        <v>stary nr zamówienia</v>
      </c>
      <c r="D30" s="75" t="str">
        <f>'DICTIONARY-2'!$A$29</f>
        <v>nowy nr zamówienia</v>
      </c>
      <c r="E30" s="76" t="str">
        <f>CURRENCY.CODE_1</f>
        <v>EUR</v>
      </c>
      <c r="F30" s="76" t="str">
        <f>CURRENCY.CODE_2</f>
        <v>---</v>
      </c>
    </row>
    <row r="31" spans="1:6" x14ac:dyDescent="0.25">
      <c r="A31" s="106">
        <v>80</v>
      </c>
      <c r="B31" s="106" t="str">
        <f>'DICTIONARY-3'!$A$46</f>
        <v>HYDRUS G</v>
      </c>
      <c r="C31" s="106" t="s">
        <v>845</v>
      </c>
      <c r="D31" s="316" t="s">
        <v>4609</v>
      </c>
      <c r="E31" s="339" t="str">
        <f>IFERROR(IF(OR(D31='DICTIONARY-5'!$A$2,D31='DICTIONARY-5'!$A$4,ISBLANK(D31)),VLOOKUP(C31,LIST!$A$6:$L$3250,CURR_1.SEARCH.OLD,0),VLOOKUP(D31,LIST!$B$6:$L$3250,CURR_1.SEARCH.NEW,0)),'DICTIONARY-5'!$A$2)</f>
        <v>43,-</v>
      </c>
      <c r="F31" s="339" t="str">
        <f>IFERROR(IF(OR(D31='DICTIONARY-5'!$A$2,D31='DICTIONARY-5'!$A$4,ISBLANK(D31)),VLOOKUP(C31,LIST!$A$6:$M$3250,CURR_2.SEARCH.OLD,0),VLOOKUP(D31,LIST!$B$6:$M$3250,CURR_2.SEARCH.NEW,0)),'DICTIONARY-5'!$A$2)</f>
        <v/>
      </c>
    </row>
    <row r="32" spans="1:6" x14ac:dyDescent="0.25">
      <c r="A32" s="106">
        <v>80</v>
      </c>
      <c r="B32" s="106" t="str">
        <f>'DICTIONARY-3'!$A$39&amp;", "&amp;'DICTIONARY-3'!$A$45</f>
        <v>NOVA, RIGUS</v>
      </c>
      <c r="C32" s="106" t="s">
        <v>846</v>
      </c>
      <c r="D32" s="316" t="s">
        <v>4610</v>
      </c>
      <c r="E32" s="339" t="str">
        <f>IFERROR(IF(OR(D32='DICTIONARY-5'!$A$2,D32='DICTIONARY-5'!$A$4,ISBLANK(D32)),VLOOKUP(C32,LIST!$A$6:$L$3250,CURR_1.SEARCH.OLD,0),VLOOKUP(D32,LIST!$B$6:$L$3250,CURR_1.SEARCH.NEW,0)),'DICTIONARY-5'!$A$2)</f>
        <v>64,-</v>
      </c>
      <c r="F32" s="339" t="str">
        <f>IFERROR(IF(OR(D32='DICTIONARY-5'!$A$2,D32='DICTIONARY-5'!$A$4,ISBLANK(D32)),VLOOKUP(C32,LIST!$A$6:$M$3250,CURR_2.SEARCH.OLD,0),VLOOKUP(D32,LIST!$B$6:$M$3250,CURR_2.SEARCH.NEW,0)),'DICTIONARY-5'!$A$2)</f>
        <v/>
      </c>
    </row>
    <row r="33" spans="1:6" x14ac:dyDescent="0.25">
      <c r="A33" s="106">
        <v>100</v>
      </c>
      <c r="B33" s="106" t="str">
        <f>'DICTIONARY-3'!$A$46&amp;", "&amp;'DICTIONARY-3'!$A$39&amp;", "&amp;'DICTIONARY-3'!$A$45</f>
        <v>HYDRUS G, NOVA, RIGUS</v>
      </c>
      <c r="C33" s="106" t="s">
        <v>847</v>
      </c>
      <c r="D33" s="316" t="s">
        <v>4611</v>
      </c>
      <c r="E33" s="339" t="str">
        <f>IFERROR(IF(OR(D33='DICTIONARY-5'!$A$2,D33='DICTIONARY-5'!$A$4,ISBLANK(D33)),VLOOKUP(C33,LIST!$A$6:$L$3250,CURR_1.SEARCH.OLD,0),VLOOKUP(D33,LIST!$B$6:$L$3250,CURR_1.SEARCH.NEW,0)),'DICTIONARY-5'!$A$2)</f>
        <v>73,-</v>
      </c>
      <c r="F33" s="339" t="str">
        <f>IFERROR(IF(OR(D33='DICTIONARY-5'!$A$2,D33='DICTIONARY-5'!$A$4,ISBLANK(D33)),VLOOKUP(C33,LIST!$A$6:$M$3250,CURR_2.SEARCH.OLD,0),VLOOKUP(D33,LIST!$B$6:$M$3250,CURR_2.SEARCH.NEW,0)),'DICTIONARY-5'!$A$2)</f>
        <v/>
      </c>
    </row>
    <row r="34" spans="1:6" x14ac:dyDescent="0.25">
      <c r="A34" s="106">
        <v>150</v>
      </c>
      <c r="B34" s="106" t="str">
        <f>'DICTIONARY-3'!$A$41</f>
        <v>NOVA 150</v>
      </c>
      <c r="C34" s="106" t="s">
        <v>849</v>
      </c>
      <c r="D34" s="316" t="s">
        <v>4785</v>
      </c>
      <c r="E34" s="339" t="str">
        <f>IFERROR(IF(OR(D34='DICTIONARY-5'!$A$2,D34='DICTIONARY-5'!$A$4,ISBLANK(D34)),VLOOKUP(C34,LIST!$A$6:$L$3250,CURR_1.SEARCH.OLD,0),VLOOKUP(D34,LIST!$B$6:$L$3250,CURR_1.SEARCH.NEW,0)),'DICTIONARY-5'!$A$2)</f>
        <v>148,-</v>
      </c>
      <c r="F34" s="339" t="str">
        <f>IFERROR(IF(OR(D34='DICTIONARY-5'!$A$2,D34='DICTIONARY-5'!$A$4,ISBLANK(D34)),VLOOKUP(C34,LIST!$A$6:$M$3250,CURR_2.SEARCH.OLD,0),VLOOKUP(D34,LIST!$B$6:$M$3250,CURR_2.SEARCH.NEW,0)),'DICTIONARY-5'!$A$2)</f>
        <v/>
      </c>
    </row>
    <row r="35" spans="1:6" x14ac:dyDescent="0.25">
      <c r="A35" s="102"/>
      <c r="B35" s="102"/>
      <c r="C35" s="102"/>
      <c r="D35" s="102"/>
      <c r="E35" s="107"/>
      <c r="F35" s="103"/>
    </row>
    <row r="36" spans="1:6" x14ac:dyDescent="0.25">
      <c r="A36" s="108" t="str">
        <f>'DICTIONARY-5'!$A$30&amp;": "&amp;'DICTIONARY-5'!$A$46&amp;" ("&amp;'DICTIONARY-2'!$A$2&amp;" 80, 100), "&amp;'DICTIONARY-5'!$A$47&amp;" ("&amp;'DICTIONARY-2'!$A$2&amp;" 150)"</f>
        <v>Materiał: Flexipor (DN 80, 100), beton (DN 150)</v>
      </c>
      <c r="B36" s="102"/>
      <c r="C36" s="102"/>
      <c r="D36" s="102"/>
      <c r="E36" s="103"/>
      <c r="F36" s="103"/>
    </row>
    <row r="37" spans="1:6" x14ac:dyDescent="0.25">
      <c r="A37" s="108"/>
    </row>
    <row r="40" spans="1:6" ht="16.5" thickBot="1" x14ac:dyDescent="0.3">
      <c r="A40" s="114" t="str">
        <f>'DICTIONARY-3'!$A$52</f>
        <v>Ochrona przed zamarzaniem</v>
      </c>
      <c r="B40" s="112"/>
      <c r="C40" s="112"/>
      <c r="D40" s="112"/>
      <c r="E40" s="113"/>
      <c r="F40" s="113"/>
    </row>
    <row r="41" spans="1:6" x14ac:dyDescent="0.25">
      <c r="A41" s="93" t="str">
        <f>CONCATENATE('DICTIONARY-1'!$A$10,": ",SETTINGS!$C$91)</f>
        <v>Grupa rabatowa: Hydrant Accessories</v>
      </c>
      <c r="B41" s="102"/>
      <c r="C41" s="102"/>
      <c r="D41" s="102"/>
      <c r="E41" s="103"/>
      <c r="F41" s="103"/>
    </row>
    <row r="42" spans="1:6" x14ac:dyDescent="0.25">
      <c r="A42" s="109"/>
      <c r="B42" s="109"/>
      <c r="C42" s="109"/>
      <c r="D42" s="109"/>
      <c r="E42" s="109"/>
      <c r="F42" s="109"/>
    </row>
    <row r="43" spans="1:6" x14ac:dyDescent="0.25">
      <c r="A43" s="72" t="str">
        <f>'DICTIONARY-2'!$A$2</f>
        <v>DN</v>
      </c>
      <c r="B43" s="72" t="str">
        <f>'DICTIONARY-3'!$A$192</f>
        <v>Hydrant</v>
      </c>
      <c r="C43" s="984" t="str">
        <f>'DICTIONARY-3'!$A$52</f>
        <v>Ochrona przed zamarzaniem</v>
      </c>
      <c r="D43" s="984"/>
      <c r="E43" s="984"/>
      <c r="F43" s="984"/>
    </row>
    <row r="44" spans="1:6" x14ac:dyDescent="0.25">
      <c r="A44" s="104"/>
      <c r="B44" s="104"/>
      <c r="C44" s="983"/>
      <c r="D44" s="983"/>
      <c r="E44" s="983"/>
      <c r="F44" s="983"/>
    </row>
    <row r="45" spans="1:6" x14ac:dyDescent="0.25">
      <c r="A45" s="104"/>
      <c r="B45" s="104"/>
      <c r="C45" s="105" t="str">
        <f>'DICTIONARY-2'!$A$28</f>
        <v>stary nr zamówienia</v>
      </c>
      <c r="D45" s="75" t="str">
        <f>'DICTIONARY-2'!$A$29</f>
        <v>nowy nr zamówienia</v>
      </c>
      <c r="E45" s="76" t="str">
        <f>CURRENCY.CODE_1</f>
        <v>EUR</v>
      </c>
      <c r="F45" s="76" t="str">
        <f>CURRENCY.CODE_2</f>
        <v>---</v>
      </c>
    </row>
    <row r="46" spans="1:6" x14ac:dyDescent="0.25">
      <c r="A46" s="106">
        <v>80</v>
      </c>
      <c r="B46" s="106" t="str">
        <f>'DICTIONARY-3'!$A$46&amp;" / "&amp;'DICTIONARY-2'!$A$7&amp;" 1,0  …  1,5 m"</f>
        <v>HYDRUS G / Rd 1,0  …  1,5 m</v>
      </c>
      <c r="C46" s="110" t="s">
        <v>851</v>
      </c>
      <c r="D46" s="320" t="s">
        <v>4786</v>
      </c>
      <c r="E46" s="339" t="str">
        <f>IFERROR(IF(OR(D46='DICTIONARY-5'!$A$2,D46='DICTIONARY-5'!$A$4,ISBLANK(D46)),VLOOKUP(C46,LIST!$A$6:$L$3250,CURR_1.SEARCH.OLD,0),VLOOKUP(D46,LIST!$B$6:$L$3250,CURR_1.SEARCH.NEW,0)),'DICTIONARY-5'!$A$2)</f>
        <v>9,-</v>
      </c>
      <c r="F46" s="339" t="str">
        <f>IFERROR(IF(OR(D46='DICTIONARY-5'!$A$2,D46='DICTIONARY-5'!$A$4,ISBLANK(D46)),VLOOKUP(C46,LIST!$A$6:$M$3250,CURR_2.SEARCH.OLD,0),VLOOKUP(D46,LIST!$B$6:$M$3250,CURR_2.SEARCH.NEW,0)),'DICTIONARY-5'!$A$2)</f>
        <v/>
      </c>
    </row>
    <row r="50" spans="1:6" ht="16.5" thickBot="1" x14ac:dyDescent="0.3">
      <c r="A50" s="114" t="str">
        <f>'DICTIONARY-3'!$A$53</f>
        <v>Stojak hydrantowy</v>
      </c>
      <c r="B50" s="112"/>
      <c r="C50" s="112"/>
      <c r="D50" s="112"/>
      <c r="E50" s="113"/>
      <c r="F50" s="113"/>
    </row>
    <row r="51" spans="1:6" x14ac:dyDescent="0.25">
      <c r="A51" s="93" t="str">
        <f>CONCATENATE('DICTIONARY-1'!$A$10,": ",SETTINGS!$C$91)</f>
        <v>Grupa rabatowa: Hydrant Accessories</v>
      </c>
      <c r="B51" s="102"/>
      <c r="C51" s="102"/>
      <c r="D51" s="102"/>
      <c r="E51" s="103"/>
      <c r="F51" s="103"/>
    </row>
    <row r="52" spans="1:6" x14ac:dyDescent="0.25">
      <c r="A52" s="93" t="str">
        <f>'DICTIONARY-5'!$A$65&amp;" DN 80"</f>
        <v>Zredukowany przepływ DN 80</v>
      </c>
      <c r="B52" s="102"/>
      <c r="C52" s="102"/>
      <c r="D52" s="102"/>
      <c r="E52" s="103"/>
      <c r="F52" s="103"/>
    </row>
    <row r="53" spans="1:6" x14ac:dyDescent="0.25">
      <c r="A53" s="109"/>
      <c r="B53" s="109"/>
      <c r="C53" s="109"/>
      <c r="D53" s="109"/>
      <c r="E53" s="109"/>
      <c r="F53" s="109"/>
    </row>
    <row r="54" spans="1:6" x14ac:dyDescent="0.25">
      <c r="A54" s="72" t="str">
        <f>'DICTIONARY-2'!$A$2</f>
        <v>DN</v>
      </c>
      <c r="B54" s="72" t="str">
        <f>'DICTIONARY-3'!$A$192</f>
        <v>Hydrant</v>
      </c>
      <c r="C54" s="984" t="str">
        <f>'DICTIONARY-3'!$A$53</f>
        <v>Stojak hydrantowy</v>
      </c>
      <c r="D54" s="984"/>
      <c r="E54" s="984"/>
      <c r="F54" s="984"/>
    </row>
    <row r="55" spans="1:6" x14ac:dyDescent="0.25">
      <c r="A55" s="104"/>
      <c r="B55" s="104"/>
      <c r="C55" s="983" t="str">
        <f>LOWER('DICTIONARY-5'!$A$119)&amp;": 2 x B"</f>
        <v>króćce wylotowe: 2 x B</v>
      </c>
      <c r="D55" s="983"/>
      <c r="E55" s="983"/>
      <c r="F55" s="983"/>
    </row>
    <row r="56" spans="1:6" x14ac:dyDescent="0.25">
      <c r="A56" s="104"/>
      <c r="B56" s="104"/>
      <c r="C56" s="105" t="str">
        <f>'DICTIONARY-2'!$A$28</f>
        <v>stary nr zamówienia</v>
      </c>
      <c r="D56" s="75" t="str">
        <f>'DICTIONARY-2'!$A$29</f>
        <v>nowy nr zamówienia</v>
      </c>
      <c r="E56" s="76" t="str">
        <f>CURRENCY.CODE_1</f>
        <v>EUR</v>
      </c>
      <c r="F56" s="76" t="str">
        <f>CURRENCY.CODE_2</f>
        <v>---</v>
      </c>
    </row>
    <row r="57" spans="1:6" x14ac:dyDescent="0.25">
      <c r="A57" s="106">
        <v>100</v>
      </c>
      <c r="B57" s="106" t="str">
        <f>'DICTIONARY-3'!$A$46&amp;" / "&amp;'DICTIONARY-2'!$A$2&amp;" 100"</f>
        <v>HYDRUS G / DN 100</v>
      </c>
      <c r="C57" s="110" t="s">
        <v>7959</v>
      </c>
      <c r="D57" s="320" t="s">
        <v>7958</v>
      </c>
      <c r="E57" s="339" t="str">
        <f>IFERROR(IF(OR(D57='DICTIONARY-5'!$A$2,D57='DICTIONARY-5'!$A$4,ISBLANK(D57)),VLOOKUP(C57,LIST!$A$6:$L$3250,CURR_1.SEARCH.OLD,0),VLOOKUP(D57,LIST!$B$6:$L$3250,CURR_1.SEARCH.NEW,0)),'DICTIONARY-5'!$A$2)</f>
        <v>1 220,-</v>
      </c>
      <c r="F57" s="339" t="str">
        <f>IFERROR(IF(OR(D57='DICTIONARY-5'!$A$2,D57='DICTIONARY-5'!$A$4,ISBLANK(D57)),VLOOKUP(C57,LIST!$A$6:$M$3250,CURR_2.SEARCH.OLD,0),VLOOKUP(D57,LIST!$B$6:$M$3250,CURR_2.SEARCH.NEW,0)),'DICTIONARY-5'!$A$2)</f>
        <v/>
      </c>
    </row>
    <row r="61" spans="1:6" x14ac:dyDescent="0.25">
      <c r="D61" s="789"/>
    </row>
  </sheetData>
  <sheetProtection algorithmName="SHA-512" hashValue="mewEtFX79FxavF2szk2G62fRLGUlZaNzS5fPMovLyDLIeHdaYj1F8+0t0T55VUwH9ryoJw8gTFhmuZwKDwwhmA==" saltValue="qqx2N81QgD/ecyrHcyAz6w==" spinCount="100000" sheet="1" objects="1" scenarios="1" autoFilter="0"/>
  <mergeCells count="9">
    <mergeCell ref="B4:E4"/>
    <mergeCell ref="C54:F54"/>
    <mergeCell ref="C55:F55"/>
    <mergeCell ref="C13:F13"/>
    <mergeCell ref="C28:F28"/>
    <mergeCell ref="C43:F43"/>
    <mergeCell ref="C44:F44"/>
    <mergeCell ref="C29:F29"/>
    <mergeCell ref="C14:F14"/>
  </mergeCells>
  <hyperlinks>
    <hyperlink ref="A6" location="_10_Operating_keys" display="_10_Operating_keys" xr:uid="{00000000-0004-0000-27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0">
    <tabColor rgb="FF0F6E23"/>
  </sheetPr>
  <dimension ref="A1:D22"/>
  <sheetViews>
    <sheetView workbookViewId="0"/>
  </sheetViews>
  <sheetFormatPr defaultColWidth="9.140625" defaultRowHeight="15" x14ac:dyDescent="0.25"/>
  <cols>
    <col min="1" max="2" width="22.140625" style="123" customWidth="1"/>
    <col min="3" max="4" width="12.85546875" style="125" customWidth="1"/>
    <col min="5" max="16384" width="9.140625" style="120"/>
  </cols>
  <sheetData>
    <row r="1" spans="1:4" s="412" customFormat="1" ht="45" customHeight="1" thickBot="1" x14ac:dyDescent="0.3">
      <c r="A1" s="431"/>
      <c r="B1" s="431"/>
      <c r="C1" s="431"/>
      <c r="D1" s="411"/>
    </row>
    <row r="2" spans="1:4" s="473" customFormat="1" ht="4.5" customHeight="1" x14ac:dyDescent="0.25">
      <c r="A2" s="470"/>
      <c r="B2" s="471"/>
      <c r="C2" s="472"/>
      <c r="D2" s="472"/>
    </row>
    <row r="3" spans="1:4" ht="15.75" thickBot="1" x14ac:dyDescent="0.3">
      <c r="A3" s="115"/>
      <c r="B3" s="115"/>
      <c r="C3" s="116"/>
      <c r="D3" s="116"/>
    </row>
    <row r="4" spans="1:4" ht="15.75" thickBot="1" x14ac:dyDescent="0.3">
      <c r="A4" s="825">
        <f>ADD.DISCOUNT</f>
        <v>0</v>
      </c>
      <c r="B4" s="988" t="str">
        <f>HYPERLINK("#'LIST'!ADD.DISCOUNT","» "&amp;'DICTIONARY-1'!$A$5)</f>
        <v>» Ustaw globalny dodatkowy rabat</v>
      </c>
      <c r="C4" s="988"/>
      <c r="D4" s="989"/>
    </row>
    <row r="5" spans="1:4" x14ac:dyDescent="0.25">
      <c r="A5" s="115"/>
      <c r="B5" s="115"/>
      <c r="C5" s="116"/>
      <c r="D5" s="116"/>
    </row>
    <row r="6" spans="1:4" ht="16.5" thickBot="1" x14ac:dyDescent="0.3">
      <c r="A6" s="135" t="str">
        <f>CONCATENATE('DICTIONARY-3'!$A$185," ",'DICTIONARY-3'!$A$198)</f>
        <v>VODOREGULA Zestaw nawiertowy</v>
      </c>
      <c r="B6" s="135"/>
      <c r="C6" s="143"/>
      <c r="D6" s="143"/>
    </row>
    <row r="7" spans="1:4" x14ac:dyDescent="0.25">
      <c r="A7" s="122" t="str">
        <f>CONCATENATE('DICTIONARY-1'!$A$10,": ",SETTINGS!$C$26)</f>
        <v>Grupa rabatowa: Drilling Sets</v>
      </c>
      <c r="B7" s="122"/>
    </row>
    <row r="8" spans="1:4" x14ac:dyDescent="0.25">
      <c r="A8" s="120"/>
      <c r="B8" s="120"/>
    </row>
    <row r="9" spans="1:4" x14ac:dyDescent="0.25">
      <c r="A9" s="990" t="str">
        <f>'DICTIONARY-3'!$A$185</f>
        <v>VODOREGULA</v>
      </c>
      <c r="B9" s="990"/>
      <c r="C9" s="990"/>
      <c r="D9" s="990"/>
    </row>
    <row r="10" spans="1:4" x14ac:dyDescent="0.25">
      <c r="A10" s="991"/>
      <c r="B10" s="991"/>
      <c r="C10" s="991"/>
      <c r="D10" s="991"/>
    </row>
    <row r="11" spans="1:4" x14ac:dyDescent="0.25">
      <c r="A11" s="128" t="str">
        <f>'DICTIONARY-2'!$A$28</f>
        <v>stary nr zamówienia</v>
      </c>
      <c r="B11" s="128" t="str">
        <f>'DICTIONARY-2'!$A$29</f>
        <v>nowy nr zamówienia</v>
      </c>
      <c r="C11" s="117" t="str">
        <f>CURRENCY.CODE_1</f>
        <v>EUR</v>
      </c>
      <c r="D11" s="117" t="str">
        <f>CURRENCY.CODE_2</f>
        <v>---</v>
      </c>
    </row>
    <row r="12" spans="1:4" x14ac:dyDescent="0.25">
      <c r="A12" s="130" t="s">
        <v>853</v>
      </c>
      <c r="B12" s="324" t="s">
        <v>4513</v>
      </c>
      <c r="C12" s="339" t="str">
        <f>IFERROR(IF(OR(B12='DICTIONARY-5'!$A$2,B12='DICTIONARY-5'!$A$4,ISBLANK(B12)),VLOOKUP(A12,LIST!$A$6:$L$3250,CURR_1.SEARCH.OLD,0),VLOOKUP(B12,LIST!$B$6:$L$3250,CURR_1.SEARCH.NEW,0)),'DICTIONARY-5'!$A$2)</f>
        <v>2 360,-</v>
      </c>
      <c r="D12" s="339" t="str">
        <f>IFERROR(IF(OR(B12='DICTIONARY-5'!$A$2,B12='DICTIONARY-5'!$A$4,ISBLANK(B12)),VLOOKUP(A12,LIST!$A$6:$M$3250,CURR_2.SEARCH.OLD,0),VLOOKUP(B12,LIST!$B$6:$M$3250,CURR_2.SEARCH.NEW,0)),'DICTIONARY-5'!$A$2)</f>
        <v/>
      </c>
    </row>
    <row r="16" spans="1:4" ht="16.5" thickBot="1" x14ac:dyDescent="0.3">
      <c r="A16" s="135" t="str">
        <f>CONCATENATE('DICTIONARY-3'!$A$186," ",'DICTIONARY-3'!$A$195)</f>
        <v>BOBR Urządzenie do nawiercania</v>
      </c>
      <c r="B16" s="135"/>
      <c r="C16" s="143"/>
      <c r="D16" s="143"/>
    </row>
    <row r="17" spans="1:4" x14ac:dyDescent="0.25">
      <c r="A17" s="122" t="str">
        <f>CONCATENATE('DICTIONARY-1'!$A$10,": ",SETTINGS!$C$26)</f>
        <v>Grupa rabatowa: Drilling Sets</v>
      </c>
      <c r="B17" s="122"/>
    </row>
    <row r="19" spans="1:4" x14ac:dyDescent="0.25">
      <c r="A19" s="990" t="str">
        <f>'DICTIONARY-3'!$A$186</f>
        <v>BOBR</v>
      </c>
      <c r="B19" s="990"/>
      <c r="C19" s="990"/>
      <c r="D19" s="990"/>
    </row>
    <row r="20" spans="1:4" x14ac:dyDescent="0.25">
      <c r="A20" s="991"/>
      <c r="B20" s="991"/>
      <c r="C20" s="991"/>
      <c r="D20" s="991"/>
    </row>
    <row r="21" spans="1:4" x14ac:dyDescent="0.25">
      <c r="A21" s="128" t="str">
        <f>'DICTIONARY-2'!$A$28</f>
        <v>stary nr zamówienia</v>
      </c>
      <c r="B21" s="128" t="str">
        <f>'DICTIONARY-2'!$A$29</f>
        <v>nowy nr zamówienia</v>
      </c>
      <c r="C21" s="117" t="str">
        <f>CURRENCY.CODE_1</f>
        <v>EUR</v>
      </c>
      <c r="D21" s="117" t="str">
        <f>CURRENCY.CODE_2</f>
        <v>---</v>
      </c>
    </row>
    <row r="22" spans="1:4" x14ac:dyDescent="0.25">
      <c r="A22" s="130" t="s">
        <v>855</v>
      </c>
      <c r="B22" s="324" t="s">
        <v>4512</v>
      </c>
      <c r="C22" s="339" t="str">
        <f>IFERROR(IF(OR(B22='DICTIONARY-5'!$A$2,B22='DICTIONARY-5'!$A$4,ISBLANK(B22)),VLOOKUP(A22,LIST!$A$6:$L$3250,CURR_1.SEARCH.OLD,0),VLOOKUP(B22,LIST!$B$6:$L$3250,CURR_1.SEARCH.NEW,0)),'DICTIONARY-5'!$A$2)</f>
        <v>5 503,-</v>
      </c>
      <c r="D22" s="339" t="str">
        <f>IFERROR(IF(OR(B22='DICTIONARY-5'!$A$2,B22='DICTIONARY-5'!$A$4,ISBLANK(B22)),VLOOKUP(A22,LIST!$A$6:$M$3250,CURR_2.SEARCH.OLD,0),VLOOKUP(B22,LIST!$B$6:$M$3250,CURR_2.SEARCH.NEW,0)),'DICTIONARY-5'!$A$2)</f>
        <v/>
      </c>
    </row>
  </sheetData>
  <sheetProtection algorithmName="SHA-512" hashValue="vxiX14dbDclivlL/AvnnyP+IhdY8Vj1AnSMKdfh3/MJn5iUBCmRkglT3n/2Gt0Hngeex2At9djhsd3jeW3dqig==" saltValue="0B8yeXAOxKV324pjqeO87A==" spinCount="100000" sheet="1" objects="1" scenarios="1" autoFilter="0"/>
  <mergeCells count="5">
    <mergeCell ref="B4:D4"/>
    <mergeCell ref="A9:D9"/>
    <mergeCell ref="A19:D19"/>
    <mergeCell ref="A10:D10"/>
    <mergeCell ref="A20:D2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1">
    <tabColor rgb="FF0F6E23"/>
  </sheetPr>
  <dimension ref="A1:J42"/>
  <sheetViews>
    <sheetView workbookViewId="0"/>
  </sheetViews>
  <sheetFormatPr defaultColWidth="9.140625" defaultRowHeight="15" x14ac:dyDescent="0.25"/>
  <cols>
    <col min="1" max="2" width="11.42578125" style="120" customWidth="1"/>
    <col min="3" max="4" width="22.140625" style="120" customWidth="1"/>
    <col min="5" max="6" width="12.85546875" style="119" customWidth="1"/>
    <col min="7" max="8" width="22.140625" style="120" customWidth="1"/>
    <col min="9" max="10" width="12.85546875" style="120" customWidth="1"/>
    <col min="11" max="16384" width="9.140625" style="120"/>
  </cols>
  <sheetData>
    <row r="1" spans="1:10" s="412" customFormat="1" ht="45" customHeight="1" thickBot="1" x14ac:dyDescent="0.3">
      <c r="A1" s="431"/>
      <c r="B1" s="431"/>
      <c r="C1" s="431"/>
      <c r="D1" s="431"/>
      <c r="E1" s="413"/>
      <c r="F1" s="413"/>
    </row>
    <row r="2" spans="1:10" s="473" customFormat="1" ht="4.5" customHeight="1" x14ac:dyDescent="0.25">
      <c r="A2" s="470"/>
      <c r="E2" s="474"/>
      <c r="F2" s="474"/>
    </row>
    <row r="3" spans="1:10" ht="15.75" thickBot="1" x14ac:dyDescent="0.3"/>
    <row r="4" spans="1:10" ht="15.75" thickBot="1" x14ac:dyDescent="0.3">
      <c r="A4" s="825">
        <f>ADD.DISCOUNT</f>
        <v>0</v>
      </c>
      <c r="B4" s="992" t="str">
        <f>HYPERLINK("#'LIST'!ADD.DISCOUNT","» "&amp;'DICTIONARY-1'!$A$5)</f>
        <v>» Ustaw globalny dodatkowy rabat</v>
      </c>
      <c r="C4" s="993"/>
      <c r="D4" s="993"/>
      <c r="E4" s="994"/>
    </row>
    <row r="6" spans="1:10" ht="16.5" thickBot="1" x14ac:dyDescent="0.3">
      <c r="A6" s="134" t="str">
        <f>'DICTIONARY-3'!$A$197</f>
        <v>Obejma</v>
      </c>
      <c r="B6" s="136"/>
      <c r="C6" s="136"/>
      <c r="D6" s="136"/>
      <c r="E6" s="137"/>
      <c r="F6" s="137"/>
      <c r="G6" s="136"/>
      <c r="H6" s="136"/>
      <c r="I6" s="136"/>
      <c r="J6" s="136"/>
    </row>
    <row r="7" spans="1:10" x14ac:dyDescent="0.25">
      <c r="A7" s="122" t="str">
        <f>'DICTIONARY-3'!$A$288</f>
        <v>Z siodłem gumowanym</v>
      </c>
      <c r="B7" s="121"/>
      <c r="C7" s="123"/>
      <c r="D7" s="123"/>
      <c r="E7" s="124"/>
      <c r="F7" s="124"/>
    </row>
    <row r="8" spans="1:10" x14ac:dyDescent="0.25">
      <c r="A8" s="122" t="str">
        <f>CONCATENATE('DICTIONARY-1'!$A$10,": ",SETTINGS!$C$29)</f>
        <v>Grupa rabatowa: House Connection Bracket</v>
      </c>
      <c r="B8" s="121"/>
      <c r="C8" s="123"/>
      <c r="D8" s="123"/>
      <c r="E8" s="124"/>
      <c r="F8" s="124"/>
    </row>
    <row r="9" spans="1:10" x14ac:dyDescent="0.25">
      <c r="A9" s="122"/>
      <c r="B9" s="121"/>
      <c r="C9" s="123"/>
      <c r="D9" s="123"/>
      <c r="E9" s="124"/>
      <c r="F9" s="124"/>
    </row>
    <row r="10" spans="1:10" x14ac:dyDescent="0.25">
      <c r="A10" s="706" t="str">
        <f>'DICTIONARY-2'!$A$2</f>
        <v>DN</v>
      </c>
      <c r="B10" s="706" t="str">
        <f>'DICTIONARY-2'!$A$5&amp;" 1)"</f>
        <v>Da 1)</v>
      </c>
      <c r="C10" s="990" t="str">
        <f>'DICTIONARY-3'!$A$88</f>
        <v>Obejma</v>
      </c>
      <c r="D10" s="990"/>
      <c r="E10" s="990"/>
      <c r="F10" s="990"/>
      <c r="G10" s="990" t="str">
        <f>'DICTIONARY-3'!$A$88</f>
        <v>Obejma</v>
      </c>
      <c r="H10" s="990"/>
      <c r="I10" s="990"/>
      <c r="J10" s="990"/>
    </row>
    <row r="11" spans="1:10" x14ac:dyDescent="0.25">
      <c r="A11" s="522" t="str">
        <f>'DICTIONARY-5'!$A$122</f>
        <v>rura</v>
      </c>
      <c r="B11" s="522" t="str">
        <f>'DICTIONARY-5'!$A$122</f>
        <v>rura</v>
      </c>
      <c r="C11" s="991" t="str">
        <f>'DICTIONARY-5'!$A$123</f>
        <v>częściowo ogumowana</v>
      </c>
      <c r="D11" s="991"/>
      <c r="E11" s="991"/>
      <c r="F11" s="991"/>
      <c r="G11" s="991" t="str">
        <f>'DICTIONARY-5'!$A$124</f>
        <v>całkowicie ogumowana</v>
      </c>
      <c r="H11" s="991"/>
      <c r="I11" s="991"/>
      <c r="J11" s="991"/>
    </row>
    <row r="12" spans="1:10" x14ac:dyDescent="0.25">
      <c r="A12" s="127"/>
      <c r="B12" s="127" t="str">
        <f>'DICTIONARY-2'!$A$18</f>
        <v>[mm]</v>
      </c>
      <c r="C12" s="128" t="str">
        <f>'DICTIONARY-2'!$A$28</f>
        <v>stary nr zamówienia</v>
      </c>
      <c r="D12" s="128" t="str">
        <f>'DICTIONARY-2'!$A$29</f>
        <v>nowy nr zamówienia</v>
      </c>
      <c r="E12" s="117" t="str">
        <f>CURRENCY.CODE_1</f>
        <v>EUR</v>
      </c>
      <c r="F12" s="117" t="str">
        <f>CURRENCY.CODE_2</f>
        <v>---</v>
      </c>
      <c r="G12" s="128" t="str">
        <f>'DICTIONARY-2'!$A$28</f>
        <v>stary nr zamówienia</v>
      </c>
      <c r="H12" s="128" t="str">
        <f>'DICTIONARY-2'!$A$29</f>
        <v>nowy nr zamówienia</v>
      </c>
      <c r="I12" s="117" t="str">
        <f>CURRENCY.CODE_1</f>
        <v>EUR</v>
      </c>
      <c r="J12" s="117" t="str">
        <f>CURRENCY.CODE_2</f>
        <v>---</v>
      </c>
    </row>
    <row r="13" spans="1:10" x14ac:dyDescent="0.25">
      <c r="A13" s="130">
        <v>50</v>
      </c>
      <c r="B13" s="495" t="s">
        <v>1054</v>
      </c>
      <c r="C13" s="130" t="s">
        <v>1055</v>
      </c>
      <c r="D13" s="324" t="s">
        <v>4797</v>
      </c>
      <c r="E13" s="339" t="str">
        <f>IFERROR(IF(OR(D13='DICTIONARY-5'!$A$2,D13='DICTIONARY-5'!$A$4,ISBLANK(D13)),VLOOKUP(C13,LIST!$A$6:$L$3250,CURR_1.SEARCH.OLD,0),VLOOKUP(D13,LIST!$B$6:$L$3250,CURR_1.SEARCH.NEW,0)),'DICTIONARY-5'!$A$2)</f>
        <v>32,-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  <c r="G13" s="130"/>
      <c r="H13" s="130"/>
      <c r="I13" s="118"/>
      <c r="J13" s="118"/>
    </row>
    <row r="14" spans="1:10" x14ac:dyDescent="0.25">
      <c r="A14" s="130">
        <v>65</v>
      </c>
      <c r="B14" s="130" t="s">
        <v>1056</v>
      </c>
      <c r="C14" s="130" t="s">
        <v>1057</v>
      </c>
      <c r="D14" s="324" t="s">
        <v>4798</v>
      </c>
      <c r="E14" s="339" t="str">
        <f>IFERROR(IF(OR(D14='DICTIONARY-5'!$A$2,D14='DICTIONARY-5'!$A$4,ISBLANK(D14)),VLOOKUP(C14,LIST!$A$6:$L$3250,CURR_1.SEARCH.OLD,0),VLOOKUP(D14,LIST!$B$6:$L$3250,CURR_1.SEARCH.NEW,0)),'DICTIONARY-5'!$A$2)</f>
        <v>34,-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  <c r="G14" s="130"/>
      <c r="H14" s="130"/>
      <c r="I14" s="118"/>
      <c r="J14" s="118"/>
    </row>
    <row r="15" spans="1:10" x14ac:dyDescent="0.25">
      <c r="A15" s="130">
        <v>80</v>
      </c>
      <c r="B15" s="130" t="s">
        <v>1058</v>
      </c>
      <c r="C15" s="130"/>
      <c r="D15" s="130"/>
      <c r="E15" s="339"/>
      <c r="F15" s="339"/>
      <c r="G15" s="130" t="s">
        <v>1059</v>
      </c>
      <c r="H15" s="324" t="s">
        <v>4799</v>
      </c>
      <c r="I15" s="339" t="str">
        <f>IFERROR(IF(OR(H15='DICTIONARY-5'!$A$2,H15='DICTIONARY-5'!$A$4,ISBLANK(H15)),VLOOKUP(G15,LIST!$A$6:$L$3250,CURR_1.SEARCH.OLD,0),VLOOKUP(H15,LIST!$B$6:$L$3250,CURR_1.SEARCH.NEW,0)),'DICTIONARY-5'!$A$2)</f>
        <v>30,-</v>
      </c>
      <c r="J15" s="339" t="str">
        <f>IFERROR(IF(OR(H15='DICTIONARY-5'!$A$2,H15='DICTIONARY-5'!$A$4,ISBLANK(H15)),VLOOKUP(G15,LIST!$A$6:$M$3250,CURR_2.SEARCH.OLD,0),VLOOKUP(H15,LIST!$B$6:$M$3250,CURR_2.SEARCH.NEW,0)),'DICTIONARY-5'!$A$2)</f>
        <v/>
      </c>
    </row>
    <row r="16" spans="1:10" x14ac:dyDescent="0.25">
      <c r="A16" s="130">
        <v>80</v>
      </c>
      <c r="B16" s="130" t="s">
        <v>1060</v>
      </c>
      <c r="C16" s="130"/>
      <c r="D16" s="130"/>
      <c r="E16" s="339"/>
      <c r="F16" s="339"/>
      <c r="G16" s="130" t="s">
        <v>1061</v>
      </c>
      <c r="H16" s="324" t="s">
        <v>4800</v>
      </c>
      <c r="I16" s="339" t="str">
        <f>IFERROR(IF(OR(H16='DICTIONARY-5'!$A$2,H16='DICTIONARY-5'!$A$4,ISBLANK(H16)),VLOOKUP(G16,LIST!$A$6:$L$3250,CURR_1.SEARCH.OLD,0),VLOOKUP(H16,LIST!$B$6:$L$3250,CURR_1.SEARCH.NEW,0)),'DICTIONARY-5'!$A$2)</f>
        <v>30,-</v>
      </c>
      <c r="J16" s="339" t="str">
        <f>IFERROR(IF(OR(H16='DICTIONARY-5'!$A$2,H16='DICTIONARY-5'!$A$4,ISBLANK(H16)),VLOOKUP(G16,LIST!$A$6:$M$3250,CURR_2.SEARCH.OLD,0),VLOOKUP(H16,LIST!$B$6:$M$3250,CURR_2.SEARCH.NEW,0)),'DICTIONARY-5'!$A$2)</f>
        <v/>
      </c>
    </row>
    <row r="17" spans="1:10" x14ac:dyDescent="0.25">
      <c r="A17" s="130">
        <v>100</v>
      </c>
      <c r="B17" s="130" t="s">
        <v>1062</v>
      </c>
      <c r="C17" s="130" t="s">
        <v>1063</v>
      </c>
      <c r="D17" s="324" t="s">
        <v>4803</v>
      </c>
      <c r="E17" s="339" t="str">
        <f>IFERROR(IF(OR(D17='DICTIONARY-5'!$A$2,D17='DICTIONARY-5'!$A$4,ISBLANK(D17)),VLOOKUP(C17,LIST!$A$6:$L$3250,CURR_1.SEARCH.OLD,0),VLOOKUP(D17,LIST!$B$6:$L$3250,CURR_1.SEARCH.NEW,0)),'DICTIONARY-5'!$A$2)</f>
        <v>36,-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  <c r="G17" s="130"/>
      <c r="H17" s="130"/>
      <c r="I17" s="339"/>
      <c r="J17" s="339"/>
    </row>
    <row r="18" spans="1:10" x14ac:dyDescent="0.25">
      <c r="A18" s="130">
        <v>100</v>
      </c>
      <c r="B18" s="130" t="s">
        <v>1064</v>
      </c>
      <c r="C18" s="130"/>
      <c r="D18" s="130"/>
      <c r="E18" s="339"/>
      <c r="F18" s="339"/>
      <c r="G18" s="130" t="s">
        <v>1065</v>
      </c>
      <c r="H18" s="324" t="s">
        <v>4801</v>
      </c>
      <c r="I18" s="339" t="str">
        <f>IFERROR(IF(OR(H18='DICTIONARY-5'!$A$2,H18='DICTIONARY-5'!$A$4,ISBLANK(H18)),VLOOKUP(G18,LIST!$A$6:$L$3250,CURR_1.SEARCH.OLD,0),VLOOKUP(H18,LIST!$B$6:$L$3250,CURR_1.SEARCH.NEW,0)),'DICTIONARY-5'!$A$2)</f>
        <v>32,-</v>
      </c>
      <c r="J18" s="339" t="str">
        <f>IFERROR(IF(OR(H18='DICTIONARY-5'!$A$2,H18='DICTIONARY-5'!$A$4,ISBLANK(H18)),VLOOKUP(G18,LIST!$A$6:$M$3250,CURR_2.SEARCH.OLD,0),VLOOKUP(H18,LIST!$B$6:$M$3250,CURR_2.SEARCH.NEW,0)),'DICTIONARY-5'!$A$2)</f>
        <v/>
      </c>
    </row>
    <row r="19" spans="1:10" x14ac:dyDescent="0.25">
      <c r="A19" s="130">
        <v>100</v>
      </c>
      <c r="B19" s="130" t="s">
        <v>1066</v>
      </c>
      <c r="C19" s="130"/>
      <c r="D19" s="130"/>
      <c r="E19" s="339"/>
      <c r="F19" s="339"/>
      <c r="G19" s="130" t="s">
        <v>1067</v>
      </c>
      <c r="H19" s="324" t="s">
        <v>4802</v>
      </c>
      <c r="I19" s="339" t="str">
        <f>IFERROR(IF(OR(H19='DICTIONARY-5'!$A$2,H19='DICTIONARY-5'!$A$4,ISBLANK(H19)),VLOOKUP(G19,LIST!$A$6:$L$3250,CURR_1.SEARCH.OLD,0),VLOOKUP(H19,LIST!$B$6:$L$3250,CURR_1.SEARCH.NEW,0)),'DICTIONARY-5'!$A$2)</f>
        <v>33,-</v>
      </c>
      <c r="J19" s="339" t="str">
        <f>IFERROR(IF(OR(H19='DICTIONARY-5'!$A$2,H19='DICTIONARY-5'!$A$4,ISBLANK(H19)),VLOOKUP(G19,LIST!$A$6:$M$3250,CURR_2.SEARCH.OLD,0),VLOOKUP(H19,LIST!$B$6:$M$3250,CURR_2.SEARCH.NEW,0)),'DICTIONARY-5'!$A$2)</f>
        <v/>
      </c>
    </row>
    <row r="20" spans="1:10" x14ac:dyDescent="0.25">
      <c r="A20" s="130">
        <v>125</v>
      </c>
      <c r="B20" s="130" t="s">
        <v>1068</v>
      </c>
      <c r="C20" s="130" t="s">
        <v>1069</v>
      </c>
      <c r="D20" s="324" t="s">
        <v>4806</v>
      </c>
      <c r="E20" s="339" t="str">
        <f>IFERROR(IF(OR(D20='DICTIONARY-5'!$A$2,D20='DICTIONARY-5'!$A$4,ISBLANK(D20)),VLOOKUP(C20,LIST!$A$6:$L$3250,CURR_1.SEARCH.OLD,0),VLOOKUP(D20,LIST!$B$6:$L$3250,CURR_1.SEARCH.NEW,0)),'DICTIONARY-5'!$A$2)</f>
        <v>36,-</v>
      </c>
      <c r="F20" s="339" t="str">
        <f>IFERROR(IF(OR(D20='DICTIONARY-5'!$A$2,D20='DICTIONARY-5'!$A$4,ISBLANK(D20)),VLOOKUP(C20,LIST!$A$6:$M$3250,CURR_2.SEARCH.OLD,0),VLOOKUP(D20,LIST!$B$6:$M$3250,CURR_2.SEARCH.NEW,0)),'DICTIONARY-5'!$A$2)</f>
        <v/>
      </c>
      <c r="G20" s="130"/>
      <c r="H20" s="130"/>
      <c r="I20" s="339"/>
      <c r="J20" s="339"/>
    </row>
    <row r="21" spans="1:10" x14ac:dyDescent="0.25">
      <c r="A21" s="130">
        <v>125</v>
      </c>
      <c r="B21" s="130" t="s">
        <v>1070</v>
      </c>
      <c r="C21" s="130"/>
      <c r="D21" s="130"/>
      <c r="E21" s="339"/>
      <c r="F21" s="339"/>
      <c r="G21" s="130" t="s">
        <v>1071</v>
      </c>
      <c r="H21" s="324" t="s">
        <v>4804</v>
      </c>
      <c r="I21" s="339" t="str">
        <f>IFERROR(IF(OR(H21='DICTIONARY-5'!$A$2,H21='DICTIONARY-5'!$A$4,ISBLANK(H21)),VLOOKUP(G21,LIST!$A$6:$L$3250,CURR_1.SEARCH.OLD,0),VLOOKUP(H21,LIST!$B$6:$L$3250,CURR_1.SEARCH.NEW,0)),'DICTIONARY-5'!$A$2)</f>
        <v>32,-</v>
      </c>
      <c r="J21" s="339" t="str">
        <f>IFERROR(IF(OR(H21='DICTIONARY-5'!$A$2,H21='DICTIONARY-5'!$A$4,ISBLANK(H21)),VLOOKUP(G21,LIST!$A$6:$M$3250,CURR_2.SEARCH.OLD,0),VLOOKUP(H21,LIST!$B$6:$M$3250,CURR_2.SEARCH.NEW,0)),'DICTIONARY-5'!$A$2)</f>
        <v/>
      </c>
    </row>
    <row r="22" spans="1:10" x14ac:dyDescent="0.25">
      <c r="A22" s="130">
        <v>125</v>
      </c>
      <c r="B22" s="130" t="s">
        <v>1072</v>
      </c>
      <c r="C22" s="130"/>
      <c r="D22" s="130"/>
      <c r="E22" s="339"/>
      <c r="F22" s="339"/>
      <c r="G22" s="130" t="s">
        <v>1073</v>
      </c>
      <c r="H22" s="324" t="s">
        <v>4805</v>
      </c>
      <c r="I22" s="339" t="str">
        <f>IFERROR(IF(OR(H22='DICTIONARY-5'!$A$2,H22='DICTIONARY-5'!$A$4,ISBLANK(H22)),VLOOKUP(G22,LIST!$A$6:$L$3250,CURR_1.SEARCH.OLD,0),VLOOKUP(H22,LIST!$B$6:$L$3250,CURR_1.SEARCH.NEW,0)),'DICTIONARY-5'!$A$2)</f>
        <v>33,-</v>
      </c>
      <c r="J22" s="339" t="str">
        <f>IFERROR(IF(OR(H22='DICTIONARY-5'!$A$2,H22='DICTIONARY-5'!$A$4,ISBLANK(H22)),VLOOKUP(G22,LIST!$A$6:$M$3250,CURR_2.SEARCH.OLD,0),VLOOKUP(H22,LIST!$B$6:$M$3250,CURR_2.SEARCH.NEW,0)),'DICTIONARY-5'!$A$2)</f>
        <v/>
      </c>
    </row>
    <row r="23" spans="1:10" x14ac:dyDescent="0.25">
      <c r="A23" s="130">
        <v>150</v>
      </c>
      <c r="B23" s="130" t="s">
        <v>1074</v>
      </c>
      <c r="C23" s="130" t="s">
        <v>1075</v>
      </c>
      <c r="D23" s="324" t="s">
        <v>4809</v>
      </c>
      <c r="E23" s="339" t="str">
        <f>IFERROR(IF(OR(D23='DICTIONARY-5'!$A$2,D23='DICTIONARY-5'!$A$4,ISBLANK(D23)),VLOOKUP(C23,LIST!$A$6:$L$3250,CURR_1.SEARCH.OLD,0),VLOOKUP(D23,LIST!$B$6:$L$3250,CURR_1.SEARCH.NEW,0)),'DICTIONARY-5'!$A$2)</f>
        <v>37,-</v>
      </c>
      <c r="F23" s="339" t="str">
        <f>IFERROR(IF(OR(D23='DICTIONARY-5'!$A$2,D23='DICTIONARY-5'!$A$4,ISBLANK(D23)),VLOOKUP(C23,LIST!$A$6:$M$3250,CURR_2.SEARCH.OLD,0),VLOOKUP(D23,LIST!$B$6:$M$3250,CURR_2.SEARCH.NEW,0)),'DICTIONARY-5'!$A$2)</f>
        <v/>
      </c>
      <c r="G23" s="130"/>
      <c r="H23" s="130"/>
      <c r="I23" s="339"/>
      <c r="J23" s="339"/>
    </row>
    <row r="24" spans="1:10" x14ac:dyDescent="0.25">
      <c r="A24" s="130">
        <v>150</v>
      </c>
      <c r="B24" s="130" t="s">
        <v>1076</v>
      </c>
      <c r="C24" s="130"/>
      <c r="D24" s="130"/>
      <c r="E24" s="339"/>
      <c r="F24" s="339"/>
      <c r="G24" s="130" t="s">
        <v>1077</v>
      </c>
      <c r="H24" s="324" t="s">
        <v>4807</v>
      </c>
      <c r="I24" s="339" t="str">
        <f>IFERROR(IF(OR(H24='DICTIONARY-5'!$A$2,H24='DICTIONARY-5'!$A$4,ISBLANK(H24)),VLOOKUP(G24,LIST!$A$6:$L$3250,CURR_1.SEARCH.OLD,0),VLOOKUP(H24,LIST!$B$6:$L$3250,CURR_1.SEARCH.NEW,0)),'DICTIONARY-5'!$A$2)</f>
        <v>36,-</v>
      </c>
      <c r="J24" s="339" t="str">
        <f>IFERROR(IF(OR(H24='DICTIONARY-5'!$A$2,H24='DICTIONARY-5'!$A$4,ISBLANK(H24)),VLOOKUP(G24,LIST!$A$6:$M$3250,CURR_2.SEARCH.OLD,0),VLOOKUP(H24,LIST!$B$6:$M$3250,CURR_2.SEARCH.NEW,0)),'DICTIONARY-5'!$A$2)</f>
        <v/>
      </c>
    </row>
    <row r="25" spans="1:10" x14ac:dyDescent="0.25">
      <c r="A25" s="130">
        <v>150</v>
      </c>
      <c r="B25" s="130" t="s">
        <v>1078</v>
      </c>
      <c r="C25" s="130"/>
      <c r="D25" s="130"/>
      <c r="E25" s="339"/>
      <c r="F25" s="339"/>
      <c r="G25" s="130" t="s">
        <v>1079</v>
      </c>
      <c r="H25" s="324" t="s">
        <v>4808</v>
      </c>
      <c r="I25" s="339" t="str">
        <f>IFERROR(IF(OR(H25='DICTIONARY-5'!$A$2,H25='DICTIONARY-5'!$A$4,ISBLANK(H25)),VLOOKUP(G25,LIST!$A$6:$L$3250,CURR_1.SEARCH.OLD,0),VLOOKUP(H25,LIST!$B$6:$L$3250,CURR_1.SEARCH.NEW,0)),'DICTIONARY-5'!$A$2)</f>
        <v>37,-</v>
      </c>
      <c r="J25" s="339" t="str">
        <f>IFERROR(IF(OR(H25='DICTIONARY-5'!$A$2,H25='DICTIONARY-5'!$A$4,ISBLANK(H25)),VLOOKUP(G25,LIST!$A$6:$M$3250,CURR_2.SEARCH.OLD,0),VLOOKUP(H25,LIST!$B$6:$M$3250,CURR_2.SEARCH.NEW,0)),'DICTIONARY-5'!$A$2)</f>
        <v/>
      </c>
    </row>
    <row r="26" spans="1:10" x14ac:dyDescent="0.25">
      <c r="A26" s="130">
        <v>200</v>
      </c>
      <c r="B26" s="130" t="s">
        <v>1080</v>
      </c>
      <c r="C26" s="130" t="s">
        <v>1081</v>
      </c>
      <c r="D26" s="324" t="s">
        <v>4812</v>
      </c>
      <c r="E26" s="339" t="str">
        <f>IFERROR(IF(OR(D26='DICTIONARY-5'!$A$2,D26='DICTIONARY-5'!$A$4,ISBLANK(D26)),VLOOKUP(C26,LIST!$A$6:$L$3250,CURR_1.SEARCH.OLD,0),VLOOKUP(D26,LIST!$B$6:$L$3250,CURR_1.SEARCH.NEW,0)),'DICTIONARY-5'!$A$2)</f>
        <v>36,-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  <c r="G26" s="130"/>
      <c r="H26" s="130"/>
      <c r="I26" s="339"/>
      <c r="J26" s="339"/>
    </row>
    <row r="27" spans="1:10" x14ac:dyDescent="0.25">
      <c r="A27" s="130">
        <v>200</v>
      </c>
      <c r="B27" s="130" t="s">
        <v>1082</v>
      </c>
      <c r="C27" s="130"/>
      <c r="D27" s="130"/>
      <c r="E27" s="339"/>
      <c r="F27" s="339"/>
      <c r="G27" s="130" t="s">
        <v>1083</v>
      </c>
      <c r="H27" s="324" t="s">
        <v>4810</v>
      </c>
      <c r="I27" s="339" t="str">
        <f>IFERROR(IF(OR(H27='DICTIONARY-5'!$A$2,H27='DICTIONARY-5'!$A$4,ISBLANK(H27)),VLOOKUP(G27,LIST!$A$6:$L$3250,CURR_1.SEARCH.OLD,0),VLOOKUP(H27,LIST!$B$6:$L$3250,CURR_1.SEARCH.NEW,0)),'DICTIONARY-5'!$A$2)</f>
        <v>42,-</v>
      </c>
      <c r="J27" s="339" t="str">
        <f>IFERROR(IF(OR(H27='DICTIONARY-5'!$A$2,H27='DICTIONARY-5'!$A$4,ISBLANK(H27)),VLOOKUP(G27,LIST!$A$6:$M$3250,CURR_2.SEARCH.OLD,0),VLOOKUP(H27,LIST!$B$6:$M$3250,CURR_2.SEARCH.NEW,0)),'DICTIONARY-5'!$A$2)</f>
        <v/>
      </c>
    </row>
    <row r="28" spans="1:10" x14ac:dyDescent="0.25">
      <c r="A28" s="130">
        <v>200</v>
      </c>
      <c r="B28" s="130" t="s">
        <v>1084</v>
      </c>
      <c r="C28" s="130"/>
      <c r="D28" s="130"/>
      <c r="E28" s="339"/>
      <c r="F28" s="339"/>
      <c r="G28" s="130" t="s">
        <v>1085</v>
      </c>
      <c r="H28" s="324" t="s">
        <v>4811</v>
      </c>
      <c r="I28" s="339" t="str">
        <f>IFERROR(IF(OR(H28='DICTIONARY-5'!$A$2,H28='DICTIONARY-5'!$A$4,ISBLANK(H28)),VLOOKUP(G28,LIST!$A$6:$L$3250,CURR_1.SEARCH.OLD,0),VLOOKUP(H28,LIST!$B$6:$L$3250,CURR_1.SEARCH.NEW,0)),'DICTIONARY-5'!$A$2)</f>
        <v>42,-</v>
      </c>
      <c r="J28" s="339" t="str">
        <f>IFERROR(IF(OR(H28='DICTIONARY-5'!$A$2,H28='DICTIONARY-5'!$A$4,ISBLANK(H28)),VLOOKUP(G28,LIST!$A$6:$M$3250,CURR_2.SEARCH.OLD,0),VLOOKUP(H28,LIST!$B$6:$M$3250,CURR_2.SEARCH.NEW,0)),'DICTIONARY-5'!$A$2)</f>
        <v/>
      </c>
    </row>
    <row r="29" spans="1:10" x14ac:dyDescent="0.25">
      <c r="A29" s="130">
        <v>250</v>
      </c>
      <c r="B29" s="130" t="s">
        <v>1086</v>
      </c>
      <c r="C29" s="130" t="s">
        <v>1087</v>
      </c>
      <c r="D29" s="324" t="s">
        <v>4813</v>
      </c>
      <c r="E29" s="339" t="str">
        <f>IFERROR(IF(OR(D29='DICTIONARY-5'!$A$2,D29='DICTIONARY-5'!$A$4,ISBLANK(D29)),VLOOKUP(C29,LIST!$A$6:$L$3250,CURR_1.SEARCH.OLD,0),VLOOKUP(D29,LIST!$B$6:$L$3250,CURR_1.SEARCH.NEW,0)),'DICTIONARY-5'!$A$2)</f>
        <v>43,-</v>
      </c>
      <c r="F29" s="339" t="str">
        <f>IFERROR(IF(OR(D29='DICTIONARY-5'!$A$2,D29='DICTIONARY-5'!$A$4,ISBLANK(D29)),VLOOKUP(C29,LIST!$A$6:$M$3250,CURR_2.SEARCH.OLD,0),VLOOKUP(D29,LIST!$B$6:$M$3250,CURR_2.SEARCH.NEW,0)),'DICTIONARY-5'!$A$2)</f>
        <v/>
      </c>
      <c r="G29" s="130"/>
      <c r="H29" s="130"/>
      <c r="I29" s="118"/>
      <c r="J29" s="118"/>
    </row>
    <row r="30" spans="1:10" x14ac:dyDescent="0.25">
      <c r="A30" s="130">
        <v>250</v>
      </c>
      <c r="B30" s="130" t="s">
        <v>1088</v>
      </c>
      <c r="C30" s="130" t="s">
        <v>1089</v>
      </c>
      <c r="D30" s="324" t="s">
        <v>4814</v>
      </c>
      <c r="E30" s="339" t="str">
        <f>IFERROR(IF(OR(D30='DICTIONARY-5'!$A$2,D30='DICTIONARY-5'!$A$4,ISBLANK(D30)),VLOOKUP(C30,LIST!$A$6:$L$3250,CURR_1.SEARCH.OLD,0),VLOOKUP(D30,LIST!$B$6:$L$3250,CURR_1.SEARCH.NEW,0)),'DICTIONARY-5'!$A$2)</f>
        <v>43,-</v>
      </c>
      <c r="F30" s="339" t="str">
        <f>IFERROR(IF(OR(D30='DICTIONARY-5'!$A$2,D30='DICTIONARY-5'!$A$4,ISBLANK(D30)),VLOOKUP(C30,LIST!$A$6:$M$3250,CURR_2.SEARCH.OLD,0),VLOOKUP(D30,LIST!$B$6:$M$3250,CURR_2.SEARCH.NEW,0)),'DICTIONARY-5'!$A$2)</f>
        <v/>
      </c>
      <c r="G30" s="130"/>
      <c r="H30" s="130"/>
      <c r="I30" s="118"/>
      <c r="J30" s="118"/>
    </row>
    <row r="31" spans="1:10" x14ac:dyDescent="0.25">
      <c r="A31" s="130">
        <v>300</v>
      </c>
      <c r="B31" s="130" t="s">
        <v>1090</v>
      </c>
      <c r="C31" s="130" t="s">
        <v>1091</v>
      </c>
      <c r="D31" s="324" t="s">
        <v>4815</v>
      </c>
      <c r="E31" s="339" t="str">
        <f>IFERROR(IF(OR(D31='DICTIONARY-5'!$A$2,D31='DICTIONARY-5'!$A$4,ISBLANK(D31)),VLOOKUP(C31,LIST!$A$6:$L$3250,CURR_1.SEARCH.OLD,0),VLOOKUP(D31,LIST!$B$6:$L$3250,CURR_1.SEARCH.NEW,0)),'DICTIONARY-5'!$A$2)</f>
        <v>45,-</v>
      </c>
      <c r="F31" s="339" t="str">
        <f>IFERROR(IF(OR(D31='DICTIONARY-5'!$A$2,D31='DICTIONARY-5'!$A$4,ISBLANK(D31)),VLOOKUP(C31,LIST!$A$6:$M$3250,CURR_2.SEARCH.OLD,0),VLOOKUP(D31,LIST!$B$6:$M$3250,CURR_2.SEARCH.NEW,0)),'DICTIONARY-5'!$A$2)</f>
        <v/>
      </c>
      <c r="G31" s="130"/>
      <c r="H31" s="130"/>
      <c r="I31" s="118"/>
      <c r="J31" s="118"/>
    </row>
    <row r="32" spans="1:10" x14ac:dyDescent="0.25">
      <c r="A32" s="130">
        <v>300</v>
      </c>
      <c r="B32" s="130" t="s">
        <v>1092</v>
      </c>
      <c r="C32" s="130" t="s">
        <v>1093</v>
      </c>
      <c r="D32" s="324" t="s">
        <v>4816</v>
      </c>
      <c r="E32" s="339" t="str">
        <f>IFERROR(IF(OR(D32='DICTIONARY-5'!$A$2,D32='DICTIONARY-5'!$A$4,ISBLANK(D32)),VLOOKUP(C32,LIST!$A$6:$L$3250,CURR_1.SEARCH.OLD,0),VLOOKUP(D32,LIST!$B$6:$L$3250,CURR_1.SEARCH.NEW,0)),'DICTIONARY-5'!$A$2)</f>
        <v>43,-</v>
      </c>
      <c r="F32" s="339" t="str">
        <f>IFERROR(IF(OR(D32='DICTIONARY-5'!$A$2,D32='DICTIONARY-5'!$A$4,ISBLANK(D32)),VLOOKUP(C32,LIST!$A$6:$M$3250,CURR_2.SEARCH.OLD,0),VLOOKUP(D32,LIST!$B$6:$M$3250,CURR_2.SEARCH.NEW,0)),'DICTIONARY-5'!$A$2)</f>
        <v/>
      </c>
      <c r="G32" s="130"/>
      <c r="H32" s="130"/>
      <c r="I32" s="118"/>
      <c r="J32" s="118"/>
    </row>
    <row r="33" spans="1:10" x14ac:dyDescent="0.25">
      <c r="A33" s="130">
        <v>350</v>
      </c>
      <c r="B33" s="130" t="s">
        <v>1094</v>
      </c>
      <c r="C33" s="130" t="s">
        <v>1095</v>
      </c>
      <c r="D33" s="324" t="s">
        <v>4817</v>
      </c>
      <c r="E33" s="339" t="str">
        <f>IFERROR(IF(OR(D33='DICTIONARY-5'!$A$2,D33='DICTIONARY-5'!$A$4,ISBLANK(D33)),VLOOKUP(C33,LIST!$A$6:$L$3250,CURR_1.SEARCH.OLD,0),VLOOKUP(D33,LIST!$B$6:$L$3250,CURR_1.SEARCH.NEW,0)),'DICTIONARY-5'!$A$2)</f>
        <v>49,-</v>
      </c>
      <c r="F33" s="339" t="str">
        <f>IFERROR(IF(OR(D33='DICTIONARY-5'!$A$2,D33='DICTIONARY-5'!$A$4,ISBLANK(D33)),VLOOKUP(C33,LIST!$A$6:$M$3250,CURR_2.SEARCH.OLD,0),VLOOKUP(D33,LIST!$B$6:$M$3250,CURR_2.SEARCH.NEW,0)),'DICTIONARY-5'!$A$2)</f>
        <v/>
      </c>
      <c r="G33" s="130"/>
      <c r="H33" s="130"/>
      <c r="I33" s="118"/>
      <c r="J33" s="118"/>
    </row>
    <row r="34" spans="1:10" x14ac:dyDescent="0.25">
      <c r="A34" s="130">
        <v>350</v>
      </c>
      <c r="B34" s="130" t="s">
        <v>1096</v>
      </c>
      <c r="C34" s="130" t="s">
        <v>1097</v>
      </c>
      <c r="D34" s="324" t="s">
        <v>4818</v>
      </c>
      <c r="E34" s="339" t="str">
        <f>IFERROR(IF(OR(D34='DICTIONARY-5'!$A$2,D34='DICTIONARY-5'!$A$4,ISBLANK(D34)),VLOOKUP(C34,LIST!$A$6:$L$3250,CURR_1.SEARCH.OLD,0),VLOOKUP(D34,LIST!$B$6:$L$3250,CURR_1.SEARCH.NEW,0)),'DICTIONARY-5'!$A$2)</f>
        <v>58,-</v>
      </c>
      <c r="F34" s="339" t="str">
        <f>IFERROR(IF(OR(D34='DICTIONARY-5'!$A$2,D34='DICTIONARY-5'!$A$4,ISBLANK(D34)),VLOOKUP(C34,LIST!$A$6:$M$3250,CURR_2.SEARCH.OLD,0),VLOOKUP(D34,LIST!$B$6:$M$3250,CURR_2.SEARCH.NEW,0)),'DICTIONARY-5'!$A$2)</f>
        <v/>
      </c>
      <c r="G34" s="130"/>
      <c r="H34" s="130"/>
      <c r="I34" s="118"/>
      <c r="J34" s="118"/>
    </row>
    <row r="35" spans="1:10" x14ac:dyDescent="0.25">
      <c r="A35" s="130">
        <v>350</v>
      </c>
      <c r="B35" s="130" t="s">
        <v>1098</v>
      </c>
      <c r="C35" s="130" t="s">
        <v>1099</v>
      </c>
      <c r="D35" s="324" t="s">
        <v>4819</v>
      </c>
      <c r="E35" s="339" t="str">
        <f>IFERROR(IF(OR(D35='DICTIONARY-5'!$A$2,D35='DICTIONARY-5'!$A$4,ISBLANK(D35)),VLOOKUP(C35,LIST!$A$6:$L$3250,CURR_1.SEARCH.OLD,0),VLOOKUP(D35,LIST!$B$6:$L$3250,CURR_1.SEARCH.NEW,0)),'DICTIONARY-5'!$A$2)</f>
        <v>49,-</v>
      </c>
      <c r="F35" s="339" t="str">
        <f>IFERROR(IF(OR(D35='DICTIONARY-5'!$A$2,D35='DICTIONARY-5'!$A$4,ISBLANK(D35)),VLOOKUP(C35,LIST!$A$6:$M$3250,CURR_2.SEARCH.OLD,0),VLOOKUP(D35,LIST!$B$6:$M$3250,CURR_2.SEARCH.NEW,0)),'DICTIONARY-5'!$A$2)</f>
        <v/>
      </c>
      <c r="G35" s="130"/>
      <c r="H35" s="130"/>
      <c r="I35" s="118"/>
      <c r="J35" s="118"/>
    </row>
    <row r="36" spans="1:10" x14ac:dyDescent="0.25">
      <c r="A36" s="130">
        <v>400</v>
      </c>
      <c r="B36" s="130" t="s">
        <v>1100</v>
      </c>
      <c r="C36" s="130" t="s">
        <v>1101</v>
      </c>
      <c r="D36" s="324" t="s">
        <v>4820</v>
      </c>
      <c r="E36" s="339" t="str">
        <f>IFERROR(IF(OR(D36='DICTIONARY-5'!$A$2,D36='DICTIONARY-5'!$A$4,ISBLANK(D36)),VLOOKUP(C36,LIST!$A$6:$L$3250,CURR_1.SEARCH.OLD,0),VLOOKUP(D36,LIST!$B$6:$L$3250,CURR_1.SEARCH.NEW,0)),'DICTIONARY-5'!$A$2)</f>
        <v>44,-</v>
      </c>
      <c r="F36" s="339" t="str">
        <f>IFERROR(IF(OR(D36='DICTIONARY-5'!$A$2,D36='DICTIONARY-5'!$A$4,ISBLANK(D36)),VLOOKUP(C36,LIST!$A$6:$M$3250,CURR_2.SEARCH.OLD,0),VLOOKUP(D36,LIST!$B$6:$M$3250,CURR_2.SEARCH.NEW,0)),'DICTIONARY-5'!$A$2)</f>
        <v/>
      </c>
      <c r="G36" s="130"/>
      <c r="H36" s="130"/>
      <c r="I36" s="118"/>
      <c r="J36" s="118"/>
    </row>
    <row r="37" spans="1:10" x14ac:dyDescent="0.25">
      <c r="A37" s="130">
        <v>400</v>
      </c>
      <c r="B37" s="130" t="s">
        <v>1102</v>
      </c>
      <c r="C37" s="130" t="s">
        <v>1103</v>
      </c>
      <c r="D37" s="324" t="s">
        <v>4821</v>
      </c>
      <c r="E37" s="339" t="str">
        <f>IFERROR(IF(OR(D37='DICTIONARY-5'!$A$2,D37='DICTIONARY-5'!$A$4,ISBLANK(D37)),VLOOKUP(C37,LIST!$A$6:$L$3250,CURR_1.SEARCH.OLD,0),VLOOKUP(D37,LIST!$B$6:$L$3250,CURR_1.SEARCH.NEW,0)),'DICTIONARY-5'!$A$2)</f>
        <v>56,-</v>
      </c>
      <c r="F37" s="339" t="str">
        <f>IFERROR(IF(OR(D37='DICTIONARY-5'!$A$2,D37='DICTIONARY-5'!$A$4,ISBLANK(D37)),VLOOKUP(C37,LIST!$A$6:$M$3250,CURR_2.SEARCH.OLD,0),VLOOKUP(D37,LIST!$B$6:$M$3250,CURR_2.SEARCH.NEW,0)),'DICTIONARY-5'!$A$2)</f>
        <v/>
      </c>
      <c r="G37" s="130"/>
      <c r="H37" s="130"/>
      <c r="I37" s="118"/>
      <c r="J37" s="118"/>
    </row>
    <row r="38" spans="1:10" x14ac:dyDescent="0.25">
      <c r="A38" s="130">
        <v>400</v>
      </c>
      <c r="B38" s="130" t="s">
        <v>1104</v>
      </c>
      <c r="C38" s="130" t="s">
        <v>1105</v>
      </c>
      <c r="D38" s="324" t="s">
        <v>4822</v>
      </c>
      <c r="E38" s="339" t="str">
        <f>IFERROR(IF(OR(D38='DICTIONARY-5'!$A$2,D38='DICTIONARY-5'!$A$4,ISBLANK(D38)),VLOOKUP(C38,LIST!$A$6:$L$3250,CURR_1.SEARCH.OLD,0),VLOOKUP(D38,LIST!$B$6:$L$3250,CURR_1.SEARCH.NEW,0)),'DICTIONARY-5'!$A$2)</f>
        <v>43,-</v>
      </c>
      <c r="F38" s="339" t="str">
        <f>IFERROR(IF(OR(D38='DICTIONARY-5'!$A$2,D38='DICTIONARY-5'!$A$4,ISBLANK(D38)),VLOOKUP(C38,LIST!$A$6:$M$3250,CURR_2.SEARCH.OLD,0),VLOOKUP(D38,LIST!$B$6:$M$3250,CURR_2.SEARCH.NEW,0)),'DICTIONARY-5'!$A$2)</f>
        <v/>
      </c>
      <c r="G38" s="130"/>
      <c r="H38" s="130"/>
      <c r="I38" s="118"/>
      <c r="J38" s="118"/>
    </row>
    <row r="39" spans="1:10" x14ac:dyDescent="0.25">
      <c r="A39" s="130">
        <v>400</v>
      </c>
      <c r="B39" s="130" t="s">
        <v>1106</v>
      </c>
      <c r="C39" s="130" t="s">
        <v>1107</v>
      </c>
      <c r="D39" s="324" t="s">
        <v>4823</v>
      </c>
      <c r="E39" s="339" t="str">
        <f>IFERROR(IF(OR(D39='DICTIONARY-5'!$A$2,D39='DICTIONARY-5'!$A$4,ISBLANK(D39)),VLOOKUP(C39,LIST!$A$6:$L$3250,CURR_1.SEARCH.OLD,0),VLOOKUP(D39,LIST!$B$6:$L$3250,CURR_1.SEARCH.NEW,0)),'DICTIONARY-5'!$A$2)</f>
        <v>44,-</v>
      </c>
      <c r="F39" s="339" t="str">
        <f>IFERROR(IF(OR(D39='DICTIONARY-5'!$A$2,D39='DICTIONARY-5'!$A$4,ISBLANK(D39)),VLOOKUP(C39,LIST!$A$6:$M$3250,CURR_2.SEARCH.OLD,0),VLOOKUP(D39,LIST!$B$6:$M$3250,CURR_2.SEARCH.NEW,0)),'DICTIONARY-5'!$A$2)</f>
        <v/>
      </c>
      <c r="G39" s="130"/>
      <c r="H39" s="130"/>
      <c r="I39" s="118"/>
      <c r="J39" s="118"/>
    </row>
    <row r="40" spans="1:10" x14ac:dyDescent="0.25">
      <c r="A40" s="130">
        <v>500</v>
      </c>
      <c r="B40" s="130" t="s">
        <v>1108</v>
      </c>
      <c r="C40" s="130" t="s">
        <v>1109</v>
      </c>
      <c r="D40" s="324" t="s">
        <v>4824</v>
      </c>
      <c r="E40" s="339" t="str">
        <f>IFERROR(IF(OR(D40='DICTIONARY-5'!$A$2,D40='DICTIONARY-5'!$A$4,ISBLANK(D40)),VLOOKUP(C40,LIST!$A$6:$L$3250,CURR_1.SEARCH.OLD,0),VLOOKUP(D40,LIST!$B$6:$L$3250,CURR_1.SEARCH.NEW,0)),'DICTIONARY-5'!$A$2)</f>
        <v>45,-</v>
      </c>
      <c r="F40" s="339" t="str">
        <f>IFERROR(IF(OR(D40='DICTIONARY-5'!$A$2,D40='DICTIONARY-5'!$A$4,ISBLANK(D40)),VLOOKUP(C40,LIST!$A$6:$M$3250,CURR_2.SEARCH.OLD,0),VLOOKUP(D40,LIST!$B$6:$M$3250,CURR_2.SEARCH.NEW,0)),'DICTIONARY-5'!$A$2)</f>
        <v/>
      </c>
      <c r="G40" s="130"/>
      <c r="H40" s="130"/>
      <c r="I40" s="118"/>
      <c r="J40" s="118"/>
    </row>
    <row r="42" spans="1:10" x14ac:dyDescent="0.25">
      <c r="A42" s="6" t="str">
        <f>"1) "&amp;'DICTIONARY-5'!$A$74</f>
        <v>1) Zewnętrzna średnica rury</v>
      </c>
    </row>
  </sheetData>
  <sheetProtection algorithmName="SHA-512" hashValue="Awoom7SXercs0NqbsvJLin1tMa5PBLwm8J0z9uhrzwb55zKblg2VKGcu1MfnaPwgglcApgwFM4zlo0olBHFP7g==" saltValue="7oLS5sqnc9WHxl1HdbHX4Q==" spinCount="100000" sheet="1" objects="1" scenarios="1" autoFilter="0"/>
  <mergeCells count="5">
    <mergeCell ref="B4:E4"/>
    <mergeCell ref="C10:F10"/>
    <mergeCell ref="G10:J10"/>
    <mergeCell ref="C11:F11"/>
    <mergeCell ref="G11:J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2">
    <tabColor rgb="FF0F6E23"/>
  </sheetPr>
  <dimension ref="A1:N55"/>
  <sheetViews>
    <sheetView workbookViewId="0"/>
  </sheetViews>
  <sheetFormatPr defaultColWidth="9.140625" defaultRowHeight="15" x14ac:dyDescent="0.25"/>
  <cols>
    <col min="1" max="2" width="11.42578125" style="120" customWidth="1"/>
    <col min="3" max="4" width="22.140625" style="120" customWidth="1"/>
    <col min="5" max="5" width="12.85546875" style="119" customWidth="1"/>
    <col min="6" max="6" width="12.85546875" style="120" customWidth="1"/>
    <col min="7" max="8" width="22.140625" style="120" customWidth="1"/>
    <col min="9" max="10" width="12.85546875" style="120" customWidth="1"/>
    <col min="11" max="12" width="22.140625" style="120" customWidth="1"/>
    <col min="13" max="14" width="12.85546875" style="120" customWidth="1"/>
    <col min="15" max="16384" width="9.140625" style="120"/>
  </cols>
  <sheetData>
    <row r="1" spans="1:10" s="412" customFormat="1" ht="45" customHeight="1" thickBot="1" x14ac:dyDescent="0.3">
      <c r="A1" s="431"/>
      <c r="B1" s="431"/>
      <c r="C1" s="431"/>
      <c r="D1" s="431"/>
      <c r="E1" s="413"/>
    </row>
    <row r="2" spans="1:10" s="473" customFormat="1" ht="4.5" customHeight="1" x14ac:dyDescent="0.25">
      <c r="A2" s="470"/>
      <c r="E2" s="474"/>
    </row>
    <row r="3" spans="1:10" ht="15.75" thickBot="1" x14ac:dyDescent="0.3">
      <c r="A3" s="115"/>
      <c r="B3" s="116"/>
      <c r="C3" s="116"/>
      <c r="D3" s="116"/>
    </row>
    <row r="4" spans="1:10" ht="15.75" thickBot="1" x14ac:dyDescent="0.3">
      <c r="A4" s="825">
        <f>ADD.DISCOUNT</f>
        <v>0</v>
      </c>
      <c r="B4" s="933" t="str">
        <f>HYPERLINK("#'LIST'!ADD.DISCOUNT","» "&amp;'DICTIONARY-1'!$A$5)</f>
        <v>» Ustaw globalny dodatkowy rabat</v>
      </c>
      <c r="C4" s="995"/>
      <c r="D4" s="995"/>
      <c r="E4" s="996"/>
    </row>
    <row r="5" spans="1:10" x14ac:dyDescent="0.25">
      <c r="A5" s="115"/>
      <c r="B5" s="116"/>
      <c r="C5" s="116"/>
      <c r="D5" s="116"/>
    </row>
    <row r="6" spans="1:10" ht="16.5" thickBot="1" x14ac:dyDescent="0.3">
      <c r="A6" s="134" t="str">
        <f>CONCATENATE('DICTIONARY-3'!$A$56," ",'DICTIONARY-3'!$A$196," / ",'DICTIONARY-3'!$A$290)</f>
        <v>HOD-M Mostek nawiertowy / Bez zaworu</v>
      </c>
      <c r="B6" s="135"/>
      <c r="C6" s="136"/>
      <c r="D6" s="136"/>
      <c r="E6" s="137"/>
      <c r="F6" s="136"/>
    </row>
    <row r="7" spans="1:10" x14ac:dyDescent="0.25">
      <c r="A7" s="122" t="str">
        <f>'DICTIONARY-3'!$A$300</f>
        <v>Dla rur ze stali, żeliwa i betonu</v>
      </c>
      <c r="B7" s="122"/>
    </row>
    <row r="8" spans="1:10" x14ac:dyDescent="0.25">
      <c r="A8" s="122" t="str">
        <f>CONCATENATE('DICTIONARY-1'!$A$10,": ",SETTINGS!$C$27)</f>
        <v>Grupa rabatowa: HOD</v>
      </c>
      <c r="B8" s="122"/>
    </row>
    <row r="9" spans="1:10" x14ac:dyDescent="0.25">
      <c r="A9" s="957" t="str">
        <f>CONCATENATE("» ",'DICTIONARY-5'!$A$6," ",'DICTIONARY-3'!$A$197," (",LOWER('DICTIONARY-5'!$A$5),")")</f>
        <v>» Przejdź do produktu: Obejma (należy zamówić oddzielnie )</v>
      </c>
      <c r="B9" s="957"/>
      <c r="C9" s="957"/>
      <c r="D9" s="957"/>
      <c r="E9" s="957"/>
      <c r="F9" s="957"/>
    </row>
    <row r="10" spans="1:10" x14ac:dyDescent="0.25">
      <c r="A10" s="122"/>
      <c r="C10" s="123"/>
      <c r="D10" s="123"/>
      <c r="E10" s="124"/>
      <c r="F10" s="125"/>
    </row>
    <row r="11" spans="1:10" x14ac:dyDescent="0.25">
      <c r="A11" s="706" t="str">
        <f>'DICTIONARY-2'!$A$2</f>
        <v>DN</v>
      </c>
      <c r="B11" s="126" t="str">
        <f>'DICTIONARY-2'!$A$26</f>
        <v>G</v>
      </c>
      <c r="C11" s="990" t="str">
        <f>'DICTIONARY-3'!$A$55&amp;'DICTIONARY-3'!$A$67</f>
        <v>HOD-M509</v>
      </c>
      <c r="D11" s="990"/>
      <c r="E11" s="990"/>
      <c r="F11" s="990"/>
    </row>
    <row r="12" spans="1:10" x14ac:dyDescent="0.25">
      <c r="A12" s="522" t="str">
        <f>'DICTIONARY-5'!$A$122</f>
        <v>rura</v>
      </c>
      <c r="B12" s="523"/>
      <c r="C12" s="991" t="str">
        <f>LOWER('DICTIONARY-3'!$A$290)</f>
        <v>bez zaworu</v>
      </c>
      <c r="D12" s="991"/>
      <c r="E12" s="991"/>
      <c r="F12" s="991"/>
    </row>
    <row r="13" spans="1:10" x14ac:dyDescent="0.25">
      <c r="A13" s="127"/>
      <c r="B13" s="127"/>
      <c r="C13" s="128" t="str">
        <f>'DICTIONARY-2'!$A$28</f>
        <v>stary nr zamówienia</v>
      </c>
      <c r="D13" s="128" t="str">
        <f>'DICTIONARY-2'!$A$29</f>
        <v>nowy nr zamówienia</v>
      </c>
      <c r="E13" s="117" t="str">
        <f>CURRENCY.CODE_1</f>
        <v>EUR</v>
      </c>
      <c r="F13" s="117" t="str">
        <f>CURRENCY.CODE_2</f>
        <v>---</v>
      </c>
      <c r="J13" s="526"/>
    </row>
    <row r="14" spans="1:10" x14ac:dyDescent="0.25">
      <c r="A14" s="130" t="s">
        <v>857</v>
      </c>
      <c r="B14" s="495" t="s">
        <v>858</v>
      </c>
      <c r="C14" s="130" t="s">
        <v>859</v>
      </c>
      <c r="D14" s="324" t="s">
        <v>3979</v>
      </c>
      <c r="E14" s="339" t="str">
        <f>IFERROR(IF(OR(D14='DICTIONARY-5'!$A$2,D14='DICTIONARY-5'!$A$4,ISBLANK(D14)),VLOOKUP(C14,LIST!$A$6:$L$3250,CURR_1.SEARCH.OLD,0),VLOOKUP(D14,LIST!$B$6:$L$3250,CURR_1.SEARCH.NEW,0)),'DICTIONARY-5'!$A$2)</f>
        <v>35,-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10" x14ac:dyDescent="0.25">
      <c r="A15" s="130" t="s">
        <v>857</v>
      </c>
      <c r="B15" s="130" t="s">
        <v>860</v>
      </c>
      <c r="C15" s="130" t="s">
        <v>861</v>
      </c>
      <c r="D15" s="324" t="s">
        <v>3980</v>
      </c>
      <c r="E15" s="339" t="str">
        <f>IFERROR(IF(OR(D15='DICTIONARY-5'!$A$2,D15='DICTIONARY-5'!$A$4,ISBLANK(D15)),VLOOKUP(C15,LIST!$A$6:$L$3250,CURR_1.SEARCH.OLD,0),VLOOKUP(D15,LIST!$B$6:$L$3250,CURR_1.SEARCH.NEW,0)),'DICTIONARY-5'!$A$2)</f>
        <v>36,-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</row>
    <row r="16" spans="1:10" x14ac:dyDescent="0.25">
      <c r="A16" s="130" t="s">
        <v>862</v>
      </c>
      <c r="B16" s="130" t="s">
        <v>858</v>
      </c>
      <c r="C16" s="130" t="s">
        <v>863</v>
      </c>
      <c r="D16" s="324" t="s">
        <v>3981</v>
      </c>
      <c r="E16" s="339" t="str">
        <f>IFERROR(IF(OR(D16='DICTIONARY-5'!$A$2,D16='DICTIONARY-5'!$A$4,ISBLANK(D16)),VLOOKUP(C16,LIST!$A$6:$L$3250,CURR_1.SEARCH.OLD,0),VLOOKUP(D16,LIST!$B$6:$L$3250,CURR_1.SEARCH.NEW,0)),'DICTIONARY-5'!$A$2)</f>
        <v>49,-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</row>
    <row r="17" spans="1:14" x14ac:dyDescent="0.25">
      <c r="A17" s="130" t="s">
        <v>862</v>
      </c>
      <c r="B17" s="130" t="s">
        <v>864</v>
      </c>
      <c r="C17" s="130" t="s">
        <v>865</v>
      </c>
      <c r="D17" s="324" t="s">
        <v>3982</v>
      </c>
      <c r="E17" s="339" t="str">
        <f>IFERROR(IF(OR(D17='DICTIONARY-5'!$A$2,D17='DICTIONARY-5'!$A$4,ISBLANK(D17)),VLOOKUP(C17,LIST!$A$6:$L$3250,CURR_1.SEARCH.OLD,0),VLOOKUP(D17,LIST!$B$6:$L$3250,CURR_1.SEARCH.NEW,0)),'DICTIONARY-5'!$A$2)</f>
        <v>50,-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</row>
    <row r="18" spans="1:14" x14ac:dyDescent="0.25">
      <c r="A18" s="130" t="s">
        <v>862</v>
      </c>
      <c r="B18" s="130" t="s">
        <v>866</v>
      </c>
      <c r="C18" s="130" t="s">
        <v>867</v>
      </c>
      <c r="D18" s="324" t="s">
        <v>3977</v>
      </c>
      <c r="E18" s="339" t="str">
        <f>IFERROR(IF(OR(D18='DICTIONARY-5'!$A$2,D18='DICTIONARY-5'!$A$4,ISBLANK(D18)),VLOOKUP(C18,LIST!$A$6:$L$3250,CURR_1.SEARCH.OLD,0),VLOOKUP(D18,LIST!$B$6:$L$3250,CURR_1.SEARCH.NEW,0)),'DICTIONARY-5'!$A$2)</f>
        <v>51,-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</row>
    <row r="19" spans="1:14" x14ac:dyDescent="0.25">
      <c r="A19" s="130" t="s">
        <v>862</v>
      </c>
      <c r="B19" s="130" t="s">
        <v>868</v>
      </c>
      <c r="C19" s="130" t="s">
        <v>869</v>
      </c>
      <c r="D19" s="324" t="s">
        <v>3978</v>
      </c>
      <c r="E19" s="339" t="str">
        <f>IFERROR(IF(OR(D19='DICTIONARY-5'!$A$2,D19='DICTIONARY-5'!$A$4,ISBLANK(D19)),VLOOKUP(C19,LIST!$A$6:$L$3250,CURR_1.SEARCH.OLD,0),VLOOKUP(D19,LIST!$B$6:$L$3250,CURR_1.SEARCH.NEW,0)),'DICTIONARY-5'!$A$2)</f>
        <v>56,-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</row>
    <row r="23" spans="1:14" ht="16.5" thickBot="1" x14ac:dyDescent="0.3">
      <c r="A23" s="134" t="str">
        <f>CONCATENATE('DICTIONARY-3'!$A$56," ",'DICTIONARY-3'!$A$196," / ",'DICTIONARY-3'!$A$291)</f>
        <v xml:space="preserve">HOD-M Mostek nawiertowy / Z zaworem </v>
      </c>
      <c r="B23" s="135"/>
      <c r="C23" s="136"/>
      <c r="D23" s="136"/>
      <c r="E23" s="137"/>
      <c r="F23" s="136"/>
      <c r="G23" s="134"/>
      <c r="H23" s="134"/>
      <c r="I23" s="136"/>
      <c r="J23" s="136"/>
      <c r="K23" s="137"/>
      <c r="L23" s="137"/>
      <c r="M23" s="134"/>
      <c r="N23" s="135"/>
    </row>
    <row r="24" spans="1:14" x14ac:dyDescent="0.25">
      <c r="A24" s="122" t="str">
        <f>'DICTIONARY-3'!$A$300</f>
        <v>Dla rur ze stali, żeliwa i betonu</v>
      </c>
    </row>
    <row r="25" spans="1:14" x14ac:dyDescent="0.25">
      <c r="A25" s="122" t="str">
        <f>CONCATENATE('DICTIONARY-1'!$A$10,": ",SETTINGS!$C$27)</f>
        <v>Grupa rabatowa: HOD</v>
      </c>
    </row>
    <row r="26" spans="1:14" x14ac:dyDescent="0.25">
      <c r="A26" s="957" t="str">
        <f>CONCATENATE("» ",'DICTIONARY-5'!$A$6," ",'DICTIONARY-3'!$A$197," (",LOWER('DICTIONARY-5'!$A$5),")")</f>
        <v>» Przejdź do produktu: Obejma (należy zamówić oddzielnie )</v>
      </c>
      <c r="B26" s="957"/>
      <c r="C26" s="957"/>
      <c r="D26" s="957"/>
      <c r="E26" s="957"/>
      <c r="F26" s="957"/>
    </row>
    <row r="27" spans="1:14" x14ac:dyDescent="0.25">
      <c r="A27" s="121"/>
      <c r="B27" s="121"/>
      <c r="C27" s="123"/>
      <c r="D27" s="123"/>
      <c r="E27" s="124"/>
      <c r="F27" s="125"/>
    </row>
    <row r="28" spans="1:14" x14ac:dyDescent="0.25">
      <c r="A28" s="706" t="str">
        <f>'DICTIONARY-2'!$A$2</f>
        <v>DN</v>
      </c>
      <c r="B28" s="126" t="str">
        <f>'DICTIONARY-2'!$A$26</f>
        <v>G</v>
      </c>
      <c r="C28" s="990" t="str">
        <f>'DICTIONARY-3'!$A$55&amp;'DICTIONARY-3'!$A$66</f>
        <v>HOD-M508</v>
      </c>
      <c r="D28" s="990"/>
      <c r="E28" s="990"/>
      <c r="F28" s="990"/>
      <c r="G28" s="990" t="str">
        <f>'DICTIONARY-3'!$A$55&amp;'DICTIONARY-3'!$A$65</f>
        <v>HOD-M505</v>
      </c>
      <c r="H28" s="990"/>
      <c r="I28" s="990"/>
      <c r="J28" s="990"/>
      <c r="K28" s="990" t="str">
        <f>'DICTIONARY-3'!$A$55&amp;'DICTIONARY-3'!$A$68</f>
        <v>HOD-M513</v>
      </c>
      <c r="L28" s="990"/>
      <c r="M28" s="990"/>
      <c r="N28" s="990"/>
    </row>
    <row r="29" spans="1:14" x14ac:dyDescent="0.25">
      <c r="A29" s="522" t="str">
        <f>'DICTIONARY-5'!$A$122</f>
        <v>rura</v>
      </c>
      <c r="B29" s="523"/>
      <c r="C29" s="991" t="str">
        <f>'DICTIONARY-5'!$A$125</f>
        <v>mosiężny zawór kulowy</v>
      </c>
      <c r="D29" s="991"/>
      <c r="E29" s="991"/>
      <c r="F29" s="991"/>
      <c r="G29" s="991" t="str">
        <f>'DICTIONARY-5'!$A$126</f>
        <v>żeliwna zasuwa</v>
      </c>
      <c r="H29" s="991"/>
      <c r="I29" s="991"/>
      <c r="J29" s="991"/>
      <c r="K29" s="991" t="str">
        <f>'DICTIONARY-5'!$A$127</f>
        <v>mosiężna zasuwa</v>
      </c>
      <c r="L29" s="991"/>
      <c r="M29" s="991"/>
      <c r="N29" s="991"/>
    </row>
    <row r="30" spans="1:14" x14ac:dyDescent="0.25">
      <c r="A30" s="127"/>
      <c r="B30" s="127"/>
      <c r="C30" s="128" t="str">
        <f>'DICTIONARY-2'!$A$28</f>
        <v>stary nr zamówienia</v>
      </c>
      <c r="D30" s="128" t="str">
        <f>'DICTIONARY-2'!$A$29</f>
        <v>nowy nr zamówienia</v>
      </c>
      <c r="E30" s="117" t="str">
        <f>CURRENCY.CODE_1</f>
        <v>EUR</v>
      </c>
      <c r="F30" s="117" t="str">
        <f>CURRENCY.CODE_2</f>
        <v>---</v>
      </c>
      <c r="G30" s="128" t="str">
        <f>'DICTIONARY-2'!$A$28</f>
        <v>stary nr zamówienia</v>
      </c>
      <c r="H30" s="128" t="str">
        <f>'DICTIONARY-2'!$A$29</f>
        <v>nowy nr zamówienia</v>
      </c>
      <c r="I30" s="117" t="str">
        <f>CURRENCY.CODE_1</f>
        <v>EUR</v>
      </c>
      <c r="J30" s="117" t="str">
        <f>CURRENCY.CODE_2</f>
        <v>---</v>
      </c>
      <c r="K30" s="128" t="str">
        <f>'DICTIONARY-2'!$A$28</f>
        <v>stary nr zamówienia</v>
      </c>
      <c r="L30" s="128" t="str">
        <f>'DICTIONARY-2'!$A$29</f>
        <v>nowy nr zamówienia</v>
      </c>
      <c r="M30" s="117" t="str">
        <f>CURRENCY.CODE_1</f>
        <v>EUR</v>
      </c>
      <c r="N30" s="117" t="str">
        <f>CURRENCY.CODE_2</f>
        <v>---</v>
      </c>
    </row>
    <row r="31" spans="1:14" x14ac:dyDescent="0.25">
      <c r="A31" s="130" t="s">
        <v>857</v>
      </c>
      <c r="B31" s="130" t="s">
        <v>858</v>
      </c>
      <c r="C31" s="130" t="s">
        <v>870</v>
      </c>
      <c r="D31" s="324" t="s">
        <v>3985</v>
      </c>
      <c r="E31" s="339" t="str">
        <f>IFERROR(IF(OR(D31='DICTIONARY-5'!$A$2,D31='DICTIONARY-5'!$A$4,ISBLANK(D31)),VLOOKUP(C31,LIST!$A$6:$L$3250,CURR_1.SEARCH.OLD,0),VLOOKUP(D31,LIST!$B$6:$L$3250,CURR_1.SEARCH.NEW,0)),'DICTIONARY-5'!$A$2)</f>
        <v>89,-</v>
      </c>
      <c r="F31" s="339" t="str">
        <f>IFERROR(IF(OR(D31='DICTIONARY-5'!$A$2,D31='DICTIONARY-5'!$A$4,ISBLANK(D31)),VLOOKUP(C31,LIST!$A$6:$M$3250,CURR_2.SEARCH.OLD,0),VLOOKUP(D31,LIST!$B$6:$M$3250,CURR_2.SEARCH.NEW,0)),'DICTIONARY-5'!$A$2)</f>
        <v/>
      </c>
      <c r="G31" s="130" t="s">
        <v>871</v>
      </c>
      <c r="H31" s="324" t="s">
        <v>4100</v>
      </c>
      <c r="I31" s="339" t="str">
        <f>IFERROR(IF(OR(H31='DICTIONARY-5'!$A$2,H31='DICTIONARY-5'!$A$4,ISBLANK(H31)),VLOOKUP(G31,LIST!$A$6:$L$3250,CURR_1.SEARCH.OLD,0),VLOOKUP(H31,LIST!$B$6:$L$3250,CURR_1.SEARCH.NEW,0)),'DICTIONARY-5'!$A$2)</f>
        <v>166,-</v>
      </c>
      <c r="J31" s="339" t="str">
        <f>IFERROR(IF(OR(H31='DICTIONARY-5'!$A$2,H31='DICTIONARY-5'!$A$4,ISBLANK(H31)),VLOOKUP(G31,LIST!$A$6:$M$3250,CURR_2.SEARCH.OLD,0),VLOOKUP(H31,LIST!$B$6:$M$3250,CURR_2.SEARCH.NEW,0)),'DICTIONARY-5'!$A$2)</f>
        <v/>
      </c>
      <c r="K31" s="130" t="s">
        <v>872</v>
      </c>
      <c r="L31" s="324" t="s">
        <v>4148</v>
      </c>
      <c r="M31" s="339" t="str">
        <f>IFERROR(IF(OR(L31='DICTIONARY-5'!$A$2,L31='DICTIONARY-5'!$A$4,ISBLANK(L31)),VLOOKUP(K31,LIST!$A$6:$L$3250,CURR_1.SEARCH.OLD,0),VLOOKUP(L31,LIST!$B$6:$L$3250,CURR_1.SEARCH.NEW,0)),'DICTIONARY-5'!$A$2)</f>
        <v>132,-</v>
      </c>
      <c r="N31" s="339" t="str">
        <f>IFERROR(IF(OR(L31='DICTIONARY-5'!$A$2,L31='DICTIONARY-5'!$A$4,ISBLANK(L31)),VLOOKUP(K31,LIST!$A$6:$M$3250,CURR_2.SEARCH.OLD,0),VLOOKUP(L31,LIST!$B$6:$M$3250,CURR_2.SEARCH.NEW,0)),'DICTIONARY-5'!$A$2)</f>
        <v/>
      </c>
    </row>
    <row r="32" spans="1:14" x14ac:dyDescent="0.25">
      <c r="A32" s="130" t="s">
        <v>857</v>
      </c>
      <c r="B32" s="130" t="s">
        <v>860</v>
      </c>
      <c r="C32" s="130" t="s">
        <v>873</v>
      </c>
      <c r="D32" s="324" t="s">
        <v>3986</v>
      </c>
      <c r="E32" s="339" t="str">
        <f>IFERROR(IF(OR(D32='DICTIONARY-5'!$A$2,D32='DICTIONARY-5'!$A$4,ISBLANK(D32)),VLOOKUP(C32,LIST!$A$6:$L$3250,CURR_1.SEARCH.OLD,0),VLOOKUP(D32,LIST!$B$6:$L$3250,CURR_1.SEARCH.NEW,0)),'DICTIONARY-5'!$A$2)</f>
        <v>98,-</v>
      </c>
      <c r="F32" s="339" t="str">
        <f>IFERROR(IF(OR(D32='DICTIONARY-5'!$A$2,D32='DICTIONARY-5'!$A$4,ISBLANK(D32)),VLOOKUP(C32,LIST!$A$6:$M$3250,CURR_2.SEARCH.OLD,0),VLOOKUP(D32,LIST!$B$6:$M$3250,CURR_2.SEARCH.NEW,0)),'DICTIONARY-5'!$A$2)</f>
        <v/>
      </c>
      <c r="G32" s="130" t="s">
        <v>874</v>
      </c>
      <c r="H32" s="324" t="s">
        <v>4101</v>
      </c>
      <c r="I32" s="339" t="str">
        <f>IFERROR(IF(OR(H32='DICTIONARY-5'!$A$2,H32='DICTIONARY-5'!$A$4,ISBLANK(H32)),VLOOKUP(G32,LIST!$A$6:$L$3250,CURR_1.SEARCH.OLD,0),VLOOKUP(H32,LIST!$B$6:$L$3250,CURR_1.SEARCH.NEW,0)),'DICTIONARY-5'!$A$2)</f>
        <v>169,-</v>
      </c>
      <c r="J32" s="339" t="str">
        <f>IFERROR(IF(OR(H32='DICTIONARY-5'!$A$2,H32='DICTIONARY-5'!$A$4,ISBLANK(H32)),VLOOKUP(G32,LIST!$A$6:$M$3250,CURR_2.SEARCH.OLD,0),VLOOKUP(H32,LIST!$B$6:$M$3250,CURR_2.SEARCH.NEW,0)),'DICTIONARY-5'!$A$2)</f>
        <v/>
      </c>
      <c r="K32" s="130" t="s">
        <v>875</v>
      </c>
      <c r="L32" s="324" t="s">
        <v>4149</v>
      </c>
      <c r="M32" s="339" t="str">
        <f>IFERROR(IF(OR(L32='DICTIONARY-5'!$A$2,L32='DICTIONARY-5'!$A$4,ISBLANK(L32)),VLOOKUP(K32,LIST!$A$6:$L$3250,CURR_1.SEARCH.OLD,0),VLOOKUP(L32,LIST!$B$6:$L$3250,CURR_1.SEARCH.NEW,0)),'DICTIONARY-5'!$A$2)</f>
        <v>133,-</v>
      </c>
      <c r="N32" s="339" t="str">
        <f>IFERROR(IF(OR(L32='DICTIONARY-5'!$A$2,L32='DICTIONARY-5'!$A$4,ISBLANK(L32)),VLOOKUP(K32,LIST!$A$6:$M$3250,CURR_2.SEARCH.OLD,0),VLOOKUP(L32,LIST!$B$6:$M$3250,CURR_2.SEARCH.NEW,0)),'DICTIONARY-5'!$A$2)</f>
        <v/>
      </c>
    </row>
    <row r="33" spans="1:14" x14ac:dyDescent="0.25">
      <c r="A33" s="130" t="s">
        <v>862</v>
      </c>
      <c r="B33" s="130" t="s">
        <v>858</v>
      </c>
      <c r="C33" s="130" t="s">
        <v>876</v>
      </c>
      <c r="D33" s="324" t="s">
        <v>3987</v>
      </c>
      <c r="E33" s="339" t="str">
        <f>IFERROR(IF(OR(D33='DICTIONARY-5'!$A$2,D33='DICTIONARY-5'!$A$4,ISBLANK(D33)),VLOOKUP(C33,LIST!$A$6:$L$3250,CURR_1.SEARCH.OLD,0),VLOOKUP(D33,LIST!$B$6:$L$3250,CURR_1.SEARCH.NEW,0)),'DICTIONARY-5'!$A$2)</f>
        <v>98,-</v>
      </c>
      <c r="F33" s="339" t="str">
        <f>IFERROR(IF(OR(D33='DICTIONARY-5'!$A$2,D33='DICTIONARY-5'!$A$4,ISBLANK(D33)),VLOOKUP(C33,LIST!$A$6:$M$3250,CURR_2.SEARCH.OLD,0),VLOOKUP(D33,LIST!$B$6:$M$3250,CURR_2.SEARCH.NEW,0)),'DICTIONARY-5'!$A$2)</f>
        <v/>
      </c>
      <c r="G33" s="130" t="s">
        <v>877</v>
      </c>
      <c r="H33" s="324" t="s">
        <v>4102</v>
      </c>
      <c r="I33" s="339" t="str">
        <f>IFERROR(IF(OR(H33='DICTIONARY-5'!$A$2,H33='DICTIONARY-5'!$A$4,ISBLANK(H33)),VLOOKUP(G33,LIST!$A$6:$L$3250,CURR_1.SEARCH.OLD,0),VLOOKUP(H33,LIST!$B$6:$L$3250,CURR_1.SEARCH.NEW,0)),'DICTIONARY-5'!$A$2)</f>
        <v>181,-</v>
      </c>
      <c r="J33" s="339" t="str">
        <f>IFERROR(IF(OR(H33='DICTIONARY-5'!$A$2,H33='DICTIONARY-5'!$A$4,ISBLANK(H33)),VLOOKUP(G33,LIST!$A$6:$M$3250,CURR_2.SEARCH.OLD,0),VLOOKUP(H33,LIST!$B$6:$M$3250,CURR_2.SEARCH.NEW,0)),'DICTIONARY-5'!$A$2)</f>
        <v/>
      </c>
      <c r="K33" s="130" t="s">
        <v>878</v>
      </c>
      <c r="L33" s="324" t="s">
        <v>4150</v>
      </c>
      <c r="M33" s="339" t="str">
        <f>IFERROR(IF(OR(L33='DICTIONARY-5'!$A$2,L33='DICTIONARY-5'!$A$4,ISBLANK(L33)),VLOOKUP(K33,LIST!$A$6:$L$3250,CURR_1.SEARCH.OLD,0),VLOOKUP(L33,LIST!$B$6:$L$3250,CURR_1.SEARCH.NEW,0)),'DICTIONARY-5'!$A$2)</f>
        <v>140,-</v>
      </c>
      <c r="N33" s="339" t="str">
        <f>IFERROR(IF(OR(L33='DICTIONARY-5'!$A$2,L33='DICTIONARY-5'!$A$4,ISBLANK(L33)),VLOOKUP(K33,LIST!$A$6:$M$3250,CURR_2.SEARCH.OLD,0),VLOOKUP(L33,LIST!$B$6:$M$3250,CURR_2.SEARCH.NEW,0)),'DICTIONARY-5'!$A$2)</f>
        <v/>
      </c>
    </row>
    <row r="34" spans="1:14" x14ac:dyDescent="0.25">
      <c r="A34" s="130" t="s">
        <v>862</v>
      </c>
      <c r="B34" s="130" t="s">
        <v>864</v>
      </c>
      <c r="C34" s="130" t="s">
        <v>879</v>
      </c>
      <c r="D34" s="324" t="s">
        <v>3988</v>
      </c>
      <c r="E34" s="339" t="str">
        <f>IFERROR(IF(OR(D34='DICTIONARY-5'!$A$2,D34='DICTIONARY-5'!$A$4,ISBLANK(D34)),VLOOKUP(C34,LIST!$A$6:$L$3250,CURR_1.SEARCH.OLD,0),VLOOKUP(D34,LIST!$B$6:$L$3250,CURR_1.SEARCH.NEW,0)),'DICTIONARY-5'!$A$2)</f>
        <v>107,-</v>
      </c>
      <c r="F34" s="339" t="str">
        <f>IFERROR(IF(OR(D34='DICTIONARY-5'!$A$2,D34='DICTIONARY-5'!$A$4,ISBLANK(D34)),VLOOKUP(C34,LIST!$A$6:$M$3250,CURR_2.SEARCH.OLD,0),VLOOKUP(D34,LIST!$B$6:$M$3250,CURR_2.SEARCH.NEW,0)),'DICTIONARY-5'!$A$2)</f>
        <v/>
      </c>
      <c r="G34" s="130" t="s">
        <v>880</v>
      </c>
      <c r="H34" s="324" t="s">
        <v>4103</v>
      </c>
      <c r="I34" s="339" t="str">
        <f>IFERROR(IF(OR(H34='DICTIONARY-5'!$A$2,H34='DICTIONARY-5'!$A$4,ISBLANK(H34)),VLOOKUP(G34,LIST!$A$6:$L$3250,CURR_1.SEARCH.OLD,0),VLOOKUP(H34,LIST!$B$6:$L$3250,CURR_1.SEARCH.NEW,0)),'DICTIONARY-5'!$A$2)</f>
        <v>184,-</v>
      </c>
      <c r="J34" s="339" t="str">
        <f>IFERROR(IF(OR(H34='DICTIONARY-5'!$A$2,H34='DICTIONARY-5'!$A$4,ISBLANK(H34)),VLOOKUP(G34,LIST!$A$6:$M$3250,CURR_2.SEARCH.OLD,0),VLOOKUP(H34,LIST!$B$6:$M$3250,CURR_2.SEARCH.NEW,0)),'DICTIONARY-5'!$A$2)</f>
        <v/>
      </c>
      <c r="K34" s="130" t="s">
        <v>881</v>
      </c>
      <c r="L34" s="324" t="s">
        <v>4151</v>
      </c>
      <c r="M34" s="339" t="str">
        <f>IFERROR(IF(OR(L34='DICTIONARY-5'!$A$2,L34='DICTIONARY-5'!$A$4,ISBLANK(L34)),VLOOKUP(K34,LIST!$A$6:$L$3250,CURR_1.SEARCH.OLD,0),VLOOKUP(L34,LIST!$B$6:$L$3250,CURR_1.SEARCH.NEW,0)),'DICTIONARY-5'!$A$2)</f>
        <v>141,-</v>
      </c>
      <c r="N34" s="339" t="str">
        <f>IFERROR(IF(OR(L34='DICTIONARY-5'!$A$2,L34='DICTIONARY-5'!$A$4,ISBLANK(L34)),VLOOKUP(K34,LIST!$A$6:$M$3250,CURR_2.SEARCH.OLD,0),VLOOKUP(L34,LIST!$B$6:$M$3250,CURR_2.SEARCH.NEW,0)),'DICTIONARY-5'!$A$2)</f>
        <v/>
      </c>
    </row>
    <row r="35" spans="1:14" x14ac:dyDescent="0.25">
      <c r="A35" s="130" t="s">
        <v>862</v>
      </c>
      <c r="B35" s="130" t="s">
        <v>866</v>
      </c>
      <c r="C35" s="130" t="s">
        <v>882</v>
      </c>
      <c r="D35" s="324" t="s">
        <v>3983</v>
      </c>
      <c r="E35" s="339" t="str">
        <f>IFERROR(IF(OR(D35='DICTIONARY-5'!$A$2,D35='DICTIONARY-5'!$A$4,ISBLANK(D35)),VLOOKUP(C35,LIST!$A$6:$L$3250,CURR_1.SEARCH.OLD,0),VLOOKUP(D35,LIST!$B$6:$L$3250,CURR_1.SEARCH.NEW,0)),'DICTIONARY-5'!$A$2)</f>
        <v>142,-</v>
      </c>
      <c r="F35" s="339" t="str">
        <f>IFERROR(IF(OR(D35='DICTIONARY-5'!$A$2,D35='DICTIONARY-5'!$A$4,ISBLANK(D35)),VLOOKUP(C35,LIST!$A$6:$M$3250,CURR_2.SEARCH.OLD,0),VLOOKUP(D35,LIST!$B$6:$M$3250,CURR_2.SEARCH.NEW,0)),'DICTIONARY-5'!$A$2)</f>
        <v/>
      </c>
      <c r="G35" s="130" t="s">
        <v>883</v>
      </c>
      <c r="H35" s="324" t="s">
        <v>4098</v>
      </c>
      <c r="I35" s="339" t="str">
        <f>IFERROR(IF(OR(H35='DICTIONARY-5'!$A$2,H35='DICTIONARY-5'!$A$4,ISBLANK(H35)),VLOOKUP(G35,LIST!$A$6:$L$3250,CURR_1.SEARCH.OLD,0),VLOOKUP(H35,LIST!$B$6:$L$3250,CURR_1.SEARCH.NEW,0)),'DICTIONARY-5'!$A$2)</f>
        <v>234,-</v>
      </c>
      <c r="J35" s="339" t="str">
        <f>IFERROR(IF(OR(H35='DICTIONARY-5'!$A$2,H35='DICTIONARY-5'!$A$4,ISBLANK(H35)),VLOOKUP(G35,LIST!$A$6:$M$3250,CURR_2.SEARCH.OLD,0),VLOOKUP(H35,LIST!$B$6:$M$3250,CURR_2.SEARCH.NEW,0)),'DICTIONARY-5'!$A$2)</f>
        <v/>
      </c>
      <c r="K35" s="130"/>
      <c r="L35" s="130"/>
      <c r="M35" s="132"/>
      <c r="N35" s="118"/>
    </row>
    <row r="36" spans="1:14" x14ac:dyDescent="0.25">
      <c r="A36" s="130" t="s">
        <v>862</v>
      </c>
      <c r="B36" s="130" t="s">
        <v>868</v>
      </c>
      <c r="C36" s="130" t="s">
        <v>884</v>
      </c>
      <c r="D36" s="324" t="s">
        <v>3984</v>
      </c>
      <c r="E36" s="339" t="str">
        <f>IFERROR(IF(OR(D36='DICTIONARY-5'!$A$2,D36='DICTIONARY-5'!$A$4,ISBLANK(D36)),VLOOKUP(C36,LIST!$A$6:$L$3250,CURR_1.SEARCH.OLD,0),VLOOKUP(D36,LIST!$B$6:$L$3250,CURR_1.SEARCH.NEW,0)),'DICTIONARY-5'!$A$2)</f>
        <v>141,-</v>
      </c>
      <c r="F36" s="339" t="str">
        <f>IFERROR(IF(OR(D36='DICTIONARY-5'!$A$2,D36='DICTIONARY-5'!$A$4,ISBLANK(D36)),VLOOKUP(C36,LIST!$A$6:$M$3250,CURR_2.SEARCH.OLD,0),VLOOKUP(D36,LIST!$B$6:$M$3250,CURR_2.SEARCH.NEW,0)),'DICTIONARY-5'!$A$2)</f>
        <v/>
      </c>
      <c r="G36" s="130" t="s">
        <v>885</v>
      </c>
      <c r="H36" s="324" t="s">
        <v>4099</v>
      </c>
      <c r="I36" s="339" t="str">
        <f>IFERROR(IF(OR(H36='DICTIONARY-5'!$A$2,H36='DICTIONARY-5'!$A$4,ISBLANK(H36)),VLOOKUP(G36,LIST!$A$6:$L$3250,CURR_1.SEARCH.OLD,0),VLOOKUP(H36,LIST!$B$6:$L$3250,CURR_1.SEARCH.NEW,0)),'DICTIONARY-5'!$A$2)</f>
        <v>236,-</v>
      </c>
      <c r="J36" s="339" t="str">
        <f>IFERROR(IF(OR(H36='DICTIONARY-5'!$A$2,H36='DICTIONARY-5'!$A$4,ISBLANK(H36)),VLOOKUP(G36,LIST!$A$6:$M$3250,CURR_2.SEARCH.OLD,0),VLOOKUP(H36,LIST!$B$6:$M$3250,CURR_2.SEARCH.NEW,0)),'DICTIONARY-5'!$A$2)</f>
        <v/>
      </c>
      <c r="K36" s="130"/>
      <c r="L36" s="130"/>
      <c r="M36" s="132"/>
      <c r="N36" s="118"/>
    </row>
    <row r="41" spans="1:14" ht="16.5" thickBot="1" x14ac:dyDescent="0.3">
      <c r="A41" s="134" t="str">
        <f>CONCATENATE('DICTIONARY-3'!$A$56," ",'DICTIONARY-3'!$A$196," / ",'DICTIONARY-3'!$A$291," ",LOWER('DICTIONARY-3'!$A$295)," ",'DICTIONARY-3'!$A$298)</f>
        <v>HOD-M Mostek nawiertowy / Z zaworem  z końcówką dla rur PE, PP i PEX</v>
      </c>
      <c r="B41" s="135"/>
      <c r="C41" s="136"/>
      <c r="D41" s="136"/>
      <c r="E41" s="137"/>
      <c r="F41" s="136"/>
      <c r="G41" s="134"/>
      <c r="H41" s="134"/>
      <c r="I41" s="136"/>
      <c r="J41" s="136"/>
    </row>
    <row r="42" spans="1:14" x14ac:dyDescent="0.25">
      <c r="A42" s="122" t="str">
        <f>'DICTIONARY-3'!$A$300</f>
        <v>Dla rur ze stali, żeliwa i betonu</v>
      </c>
      <c r="E42" s="120"/>
    </row>
    <row r="43" spans="1:14" x14ac:dyDescent="0.25">
      <c r="A43" s="122" t="str">
        <f>CONCATENATE('DICTIONARY-1'!$A$10,": ",SETTINGS!$C$27)</f>
        <v>Grupa rabatowa: HOD</v>
      </c>
      <c r="E43" s="120"/>
    </row>
    <row r="44" spans="1:14" x14ac:dyDescent="0.25">
      <c r="A44" s="957" t="str">
        <f>CONCATENATE("» ",'DICTIONARY-5'!$A$6," ",'DICTIONARY-3'!$A$197," (",LOWER('DICTIONARY-5'!$A$5),")")</f>
        <v>» Przejdź do produktu: Obejma (należy zamówić oddzielnie )</v>
      </c>
      <c r="B44" s="957"/>
      <c r="C44" s="957"/>
      <c r="D44" s="957"/>
      <c r="E44" s="957"/>
      <c r="F44" s="957"/>
    </row>
    <row r="45" spans="1:14" x14ac:dyDescent="0.25">
      <c r="E45" s="120"/>
    </row>
    <row r="46" spans="1:14" x14ac:dyDescent="0.25">
      <c r="A46" s="706" t="str">
        <f>'DICTIONARY-2'!$A$2</f>
        <v>DN</v>
      </c>
      <c r="B46" s="126" t="str">
        <f>'DICTIONARY-2'!$A$27&amp;" 1)"</f>
        <v>d 1)</v>
      </c>
      <c r="C46" s="990" t="str">
        <f>'DICTIONARY-3'!$A$55&amp;'DICTIONARY-3'!$A$69</f>
        <v>HOD-M514</v>
      </c>
      <c r="D46" s="990"/>
      <c r="E46" s="990"/>
      <c r="F46" s="990"/>
      <c r="G46" s="990" t="str">
        <f>'DICTIONARY-3'!$A$55&amp;'DICTIONARY-3'!$A$70</f>
        <v>HOD-M518</v>
      </c>
      <c r="H46" s="990"/>
      <c r="I46" s="990"/>
      <c r="J46" s="990"/>
    </row>
    <row r="47" spans="1:14" x14ac:dyDescent="0.25">
      <c r="A47" s="522" t="str">
        <f>'DICTIONARY-5'!$A$122</f>
        <v>rura</v>
      </c>
      <c r="B47" s="523"/>
      <c r="C47" s="991" t="str">
        <f>'DICTIONARY-5'!$A$125&amp;" + "&amp;'DICTIONARY-5'!$A$128</f>
        <v>mosiężny zawór kulowy + końcówka</v>
      </c>
      <c r="D47" s="991"/>
      <c r="E47" s="991"/>
      <c r="F47" s="991"/>
      <c r="G47" s="991" t="str">
        <f>'DICTIONARY-5'!$A$127&amp;" + "&amp;'DICTIONARY-5'!$A$128</f>
        <v>mosiężna zasuwa + końcówka</v>
      </c>
      <c r="H47" s="991"/>
      <c r="I47" s="991"/>
      <c r="J47" s="991"/>
    </row>
    <row r="48" spans="1:14" x14ac:dyDescent="0.25">
      <c r="A48" s="127"/>
      <c r="B48" s="127" t="str">
        <f>'DICTIONARY-2'!$A$18</f>
        <v>[mm]</v>
      </c>
      <c r="C48" s="128" t="str">
        <f>'DICTIONARY-2'!$A$28</f>
        <v>stary nr zamówienia</v>
      </c>
      <c r="D48" s="128" t="str">
        <f>'DICTIONARY-2'!$A$29</f>
        <v>nowy nr zamówienia</v>
      </c>
      <c r="E48" s="117" t="str">
        <f>CURRENCY.CODE_1</f>
        <v>EUR</v>
      </c>
      <c r="F48" s="117" t="str">
        <f>CURRENCY.CODE_2</f>
        <v>---</v>
      </c>
      <c r="G48" s="128" t="str">
        <f>'DICTIONARY-2'!$A$28</f>
        <v>stary nr zamówienia</v>
      </c>
      <c r="H48" s="128" t="str">
        <f>'DICTIONARY-2'!$A$29</f>
        <v>nowy nr zamówienia</v>
      </c>
      <c r="I48" s="117" t="str">
        <f>CURRENCY.CODE_1</f>
        <v>EUR</v>
      </c>
      <c r="J48" s="117" t="str">
        <f>CURRENCY.CODE_2</f>
        <v>---</v>
      </c>
    </row>
    <row r="49" spans="1:10" x14ac:dyDescent="0.25">
      <c r="A49" s="130" t="s">
        <v>857</v>
      </c>
      <c r="B49" s="130">
        <v>32</v>
      </c>
      <c r="C49" s="130" t="s">
        <v>887</v>
      </c>
      <c r="D49" s="324" t="s">
        <v>3989</v>
      </c>
      <c r="E49" s="339" t="str">
        <f>IFERROR(IF(OR(D49='DICTIONARY-5'!$A$2,D49='DICTIONARY-5'!$A$4,ISBLANK(D49)),VLOOKUP(C49,LIST!$A$6:$L$3250,CURR_1.SEARCH.OLD,0),VLOOKUP(D49,LIST!$B$6:$L$3250,CURR_1.SEARCH.NEW,0)),'DICTIONARY-5'!$A$2)</f>
        <v>100,-</v>
      </c>
      <c r="F49" s="339" t="str">
        <f>IFERROR(IF(OR(D49='DICTIONARY-5'!$A$2,D49='DICTIONARY-5'!$A$4,ISBLANK(D49)),VLOOKUP(C49,LIST!$A$6:$M$3250,CURR_2.SEARCH.OLD,0),VLOOKUP(D49,LIST!$B$6:$M$3250,CURR_2.SEARCH.NEW,0)),'DICTIONARY-5'!$A$2)</f>
        <v/>
      </c>
      <c r="G49" s="130" t="s">
        <v>888</v>
      </c>
      <c r="H49" s="324" t="s">
        <v>4152</v>
      </c>
      <c r="I49" s="339" t="str">
        <f>IFERROR(IF(OR(H49='DICTIONARY-5'!$A$2,H49='DICTIONARY-5'!$A$4,ISBLANK(H49)),VLOOKUP(G49,LIST!$A$6:$L$3250,CURR_1.SEARCH.OLD,0),VLOOKUP(H49,LIST!$B$6:$L$3250,CURR_1.SEARCH.NEW,0)),'DICTIONARY-5'!$A$2)</f>
        <v>138,-</v>
      </c>
      <c r="J49" s="339" t="str">
        <f>IFERROR(IF(OR(H49='DICTIONARY-5'!$A$2,H49='DICTIONARY-5'!$A$4,ISBLANK(H49)),VLOOKUP(G49,LIST!$A$6:$M$3250,CURR_2.SEARCH.OLD,0),VLOOKUP(H49,LIST!$B$6:$M$3250,CURR_2.SEARCH.NEW,0)),'DICTIONARY-5'!$A$2)</f>
        <v/>
      </c>
    </row>
    <row r="50" spans="1:10" x14ac:dyDescent="0.25">
      <c r="A50" s="130" t="s">
        <v>862</v>
      </c>
      <c r="B50" s="130">
        <v>32</v>
      </c>
      <c r="C50" s="130" t="s">
        <v>889</v>
      </c>
      <c r="D50" s="324" t="s">
        <v>3990</v>
      </c>
      <c r="E50" s="339" t="str">
        <f>IFERROR(IF(OR(D50='DICTIONARY-5'!$A$2,D50='DICTIONARY-5'!$A$4,ISBLANK(D50)),VLOOKUP(C50,LIST!$A$6:$L$3250,CURR_1.SEARCH.OLD,0),VLOOKUP(D50,LIST!$B$6:$L$3250,CURR_1.SEARCH.NEW,0)),'DICTIONARY-5'!$A$2)</f>
        <v>110,-</v>
      </c>
      <c r="F50" s="339" t="str">
        <f>IFERROR(IF(OR(D50='DICTIONARY-5'!$A$2,D50='DICTIONARY-5'!$A$4,ISBLANK(D50)),VLOOKUP(C50,LIST!$A$6:$M$3250,CURR_2.SEARCH.OLD,0),VLOOKUP(D50,LIST!$B$6:$M$3250,CURR_2.SEARCH.NEW,0)),'DICTIONARY-5'!$A$2)</f>
        <v/>
      </c>
      <c r="G50" s="130" t="s">
        <v>890</v>
      </c>
      <c r="H50" s="324" t="s">
        <v>4153</v>
      </c>
      <c r="I50" s="339" t="str">
        <f>IFERROR(IF(OR(H50='DICTIONARY-5'!$A$2,H50='DICTIONARY-5'!$A$4,ISBLANK(H50)),VLOOKUP(G50,LIST!$A$6:$L$3250,CURR_1.SEARCH.OLD,0),VLOOKUP(H50,LIST!$B$6:$L$3250,CURR_1.SEARCH.NEW,0)),'DICTIONARY-5'!$A$2)</f>
        <v>146,-</v>
      </c>
      <c r="J50" s="339" t="str">
        <f>IFERROR(IF(OR(H50='DICTIONARY-5'!$A$2,H50='DICTIONARY-5'!$A$4,ISBLANK(H50)),VLOOKUP(G50,LIST!$A$6:$M$3250,CURR_2.SEARCH.OLD,0),VLOOKUP(H50,LIST!$B$6:$M$3250,CURR_2.SEARCH.NEW,0)),'DICTIONARY-5'!$A$2)</f>
        <v/>
      </c>
    </row>
    <row r="52" spans="1:10" x14ac:dyDescent="0.25">
      <c r="A52" s="65" t="str">
        <f>"1) "&amp;'DICTIONARY-5'!$A$129</f>
        <v>1) Wewnętrzna średnica końcówki</v>
      </c>
    </row>
    <row r="55" spans="1:10" x14ac:dyDescent="0.25">
      <c r="A55" s="122"/>
    </row>
  </sheetData>
  <sheetProtection algorithmName="SHA-512" hashValue="Gj1tXUeeKZd7Av3uQn47ty/Sov0eLaoU05f7EUEMDlq9onfkISYzCmq7qEq7p3wyG/K5agTJDyivxX7tkXg9UA==" saltValue="bm8/8jQ7vic1Dj6K/ayjeA==" spinCount="100000" sheet="1" objects="1" scenarios="1" autoFilter="0"/>
  <mergeCells count="16">
    <mergeCell ref="B4:E4"/>
    <mergeCell ref="C11:F11"/>
    <mergeCell ref="C28:F28"/>
    <mergeCell ref="G28:J28"/>
    <mergeCell ref="C12:F12"/>
    <mergeCell ref="A9:F9"/>
    <mergeCell ref="A26:F26"/>
    <mergeCell ref="C47:F47"/>
    <mergeCell ref="G47:J47"/>
    <mergeCell ref="K28:N28"/>
    <mergeCell ref="C46:F46"/>
    <mergeCell ref="G46:J46"/>
    <mergeCell ref="C29:F29"/>
    <mergeCell ref="G29:J29"/>
    <mergeCell ref="K29:N29"/>
    <mergeCell ref="A44:F44"/>
  </mergeCells>
  <hyperlinks>
    <hyperlink ref="A9" location="_04_Clamp" display="_04_Clamp" xr:uid="{00000000-0004-0000-2A00-000000000000}"/>
    <hyperlink ref="A26" location="_04_Clamp" display="_04_Clamp" xr:uid="{00000000-0004-0000-2A00-000001000000}"/>
    <hyperlink ref="A44" location="_04_Clamp" display="_04_Clamp" xr:uid="{00000000-0004-0000-2A00-000002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3">
    <tabColor rgb="FF0F6E23"/>
  </sheetPr>
  <dimension ref="A1:R99"/>
  <sheetViews>
    <sheetView workbookViewId="0"/>
  </sheetViews>
  <sheetFormatPr defaultColWidth="9.140625" defaultRowHeight="15" x14ac:dyDescent="0.25"/>
  <cols>
    <col min="1" max="2" width="11.42578125" style="120" customWidth="1"/>
    <col min="3" max="3" width="7.28515625" style="120" customWidth="1"/>
    <col min="4" max="5" width="22.140625" style="120" customWidth="1"/>
    <col min="6" max="7" width="12.85546875" style="120" customWidth="1"/>
    <col min="8" max="8" width="7.140625" style="120" customWidth="1"/>
    <col min="9" max="10" width="22.140625" style="120" customWidth="1"/>
    <col min="11" max="11" width="12.85546875" style="119" customWidth="1"/>
    <col min="12" max="12" width="12.85546875" style="120" customWidth="1"/>
    <col min="13" max="16384" width="9.140625" style="120"/>
  </cols>
  <sheetData>
    <row r="1" spans="1:18" s="412" customFormat="1" ht="45" customHeight="1" thickBot="1" x14ac:dyDescent="0.3">
      <c r="A1" s="431"/>
      <c r="B1" s="431"/>
      <c r="C1" s="431"/>
      <c r="D1" s="431"/>
      <c r="K1" s="413"/>
    </row>
    <row r="2" spans="1:18" s="473" customFormat="1" ht="4.5" customHeight="1" x14ac:dyDescent="0.25">
      <c r="A2" s="470"/>
      <c r="K2" s="474"/>
    </row>
    <row r="3" spans="1:18" ht="15.75" thickBot="1" x14ac:dyDescent="0.3">
      <c r="A3" s="115"/>
      <c r="B3" s="116"/>
      <c r="C3" s="116"/>
    </row>
    <row r="4" spans="1:18" ht="15.75" thickBot="1" x14ac:dyDescent="0.3">
      <c r="A4" s="825">
        <f>ADD.DISCOUNT</f>
        <v>0</v>
      </c>
      <c r="B4" s="933" t="str">
        <f>HYPERLINK("#'LIST'!ADD.DISCOUNT","» "&amp;'DICTIONARY-1'!$A$5)</f>
        <v>» Ustaw globalny dodatkowy rabat</v>
      </c>
      <c r="C4" s="995"/>
      <c r="D4" s="995"/>
      <c r="E4" s="996"/>
    </row>
    <row r="5" spans="1:18" x14ac:dyDescent="0.25">
      <c r="A5" s="115"/>
      <c r="B5" s="116"/>
      <c r="C5" s="116"/>
    </row>
    <row r="6" spans="1:18" ht="16.5" thickBot="1" x14ac:dyDescent="0.3">
      <c r="A6" s="134" t="str">
        <f>CONCATENATE('DICTIONARY-3'!$A$57," ",'DICTIONARY-3'!$A$196," / ",'DICTIONARY-3'!$A$290)</f>
        <v>HOD-G Mostek nawiertowy / Bez zaworu</v>
      </c>
      <c r="B6" s="134"/>
      <c r="C6" s="135"/>
      <c r="D6" s="136"/>
      <c r="E6" s="136"/>
      <c r="F6" s="136"/>
      <c r="G6" s="136"/>
      <c r="H6" s="136"/>
      <c r="I6" s="136"/>
      <c r="J6" s="136"/>
      <c r="K6" s="137"/>
      <c r="L6" s="136"/>
    </row>
    <row r="7" spans="1:18" x14ac:dyDescent="0.25">
      <c r="A7" s="122" t="str">
        <f>'DICTIONARY-3'!$A$301</f>
        <v>Dla rur z żeliwa sferoidalnego</v>
      </c>
      <c r="B7" s="122"/>
      <c r="C7" s="122"/>
    </row>
    <row r="8" spans="1:18" x14ac:dyDescent="0.25">
      <c r="A8" s="122" t="str">
        <f>CONCATENATE('DICTIONARY-1'!$A$10,": ",SETTINGS!$C$27)</f>
        <v>Grupa rabatowa: HOD</v>
      </c>
      <c r="B8" s="122"/>
      <c r="C8" s="122"/>
    </row>
    <row r="9" spans="1:18" x14ac:dyDescent="0.25">
      <c r="A9" s="122"/>
      <c r="B9" s="122"/>
      <c r="D9" s="123"/>
      <c r="E9" s="123"/>
      <c r="F9" s="125"/>
      <c r="G9" s="125"/>
    </row>
    <row r="10" spans="1:18" x14ac:dyDescent="0.25">
      <c r="A10" s="706" t="str">
        <f>'DICTIONARY-2'!$A$2</f>
        <v>DN</v>
      </c>
      <c r="B10" s="706" t="str">
        <f>'DICTIONARY-2'!$A$5&amp;" 1)"</f>
        <v>Da 1)</v>
      </c>
      <c r="C10" s="126" t="str">
        <f>'DICTIONARY-2'!$A$26</f>
        <v>G</v>
      </c>
      <c r="D10" s="990" t="str">
        <f>'DICTIONARY-3'!$A$55&amp;'DICTIONARY-3'!$A$71</f>
        <v>HOD-G501</v>
      </c>
      <c r="E10" s="990"/>
      <c r="F10" s="990"/>
      <c r="G10" s="990"/>
      <c r="H10" s="126" t="str">
        <f>'DICTIONARY-2'!$A$26</f>
        <v>G</v>
      </c>
      <c r="I10" s="990" t="str">
        <f>'DICTIONARY-3'!$A$55&amp;'DICTIONARY-3'!$A$71</f>
        <v>HOD-G501</v>
      </c>
      <c r="J10" s="990"/>
      <c r="K10" s="990"/>
      <c r="L10" s="990"/>
    </row>
    <row r="11" spans="1:18" x14ac:dyDescent="0.25">
      <c r="A11" s="522" t="str">
        <f>'DICTIONARY-5'!$A$122</f>
        <v>rura</v>
      </c>
      <c r="B11" s="522" t="str">
        <f>'DICTIONARY-5'!$A$122</f>
        <v>rura</v>
      </c>
      <c r="C11" s="523"/>
      <c r="D11" s="991" t="str">
        <f>LOWER('DICTIONARY-3'!$A$290)</f>
        <v>bez zaworu</v>
      </c>
      <c r="E11" s="991"/>
      <c r="F11" s="991"/>
      <c r="G11" s="991"/>
      <c r="H11" s="523"/>
      <c r="I11" s="991" t="str">
        <f>LOWER('DICTIONARY-3'!$A$290)</f>
        <v>bez zaworu</v>
      </c>
      <c r="J11" s="991"/>
      <c r="K11" s="991"/>
      <c r="L11" s="991"/>
      <c r="R11" s="526"/>
    </row>
    <row r="12" spans="1:18" x14ac:dyDescent="0.25">
      <c r="A12" s="127"/>
      <c r="B12" s="127" t="str">
        <f>'DICTIONARY-2'!$A$18</f>
        <v>[mm]</v>
      </c>
      <c r="C12" s="127"/>
      <c r="D12" s="128" t="str">
        <f>'DICTIONARY-2'!$A$28</f>
        <v>stary nr zamówienia</v>
      </c>
      <c r="E12" s="128" t="str">
        <f>'DICTIONARY-2'!$A$29</f>
        <v>nowy nr zamówienia</v>
      </c>
      <c r="F12" s="117" t="str">
        <f>CURRENCY.CODE_1</f>
        <v>EUR</v>
      </c>
      <c r="G12" s="117" t="str">
        <f>CURRENCY.CODE_2</f>
        <v>---</v>
      </c>
      <c r="H12" s="127"/>
      <c r="I12" s="128" t="str">
        <f>'DICTIONARY-2'!$A$28</f>
        <v>stary nr zamówienia</v>
      </c>
      <c r="J12" s="128" t="str">
        <f>'DICTIONARY-2'!$A$29</f>
        <v>nowy nr zamówienia</v>
      </c>
      <c r="K12" s="117" t="str">
        <f>CURRENCY.CODE_1</f>
        <v>EUR</v>
      </c>
      <c r="L12" s="117" t="str">
        <f>CURRENCY.CODE_2</f>
        <v>---</v>
      </c>
    </row>
    <row r="13" spans="1:18" x14ac:dyDescent="0.25">
      <c r="A13" s="130">
        <v>80</v>
      </c>
      <c r="B13" s="130" t="s">
        <v>891</v>
      </c>
      <c r="C13" s="130" t="s">
        <v>860</v>
      </c>
      <c r="D13" s="130" t="s">
        <v>892</v>
      </c>
      <c r="E13" s="324" t="s">
        <v>4123</v>
      </c>
      <c r="F13" s="339" t="str">
        <f>IFERROR(IF(OR(E13='DICTIONARY-5'!$A$2,E13='DICTIONARY-5'!$A$4,ISBLANK(E13)),VLOOKUP(D13,LIST!$A$6:$L$3250,CURR_1.SEARCH.OLD,0),VLOOKUP(E13,LIST!$B$6:$L$3250,CURR_1.SEARCH.NEW,0)),'DICTIONARY-5'!$A$2)</f>
        <v>71,-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130" t="s">
        <v>893</v>
      </c>
      <c r="I13" s="130" t="s">
        <v>894</v>
      </c>
      <c r="J13" s="324" t="s">
        <v>4127</v>
      </c>
      <c r="K13" s="339" t="str">
        <f>IFERROR(IF(OR(J13='DICTIONARY-5'!$A$2,J13='DICTIONARY-5'!$A$4,ISBLANK(J13)),VLOOKUP(I13,LIST!$A$6:$L$3250,CURR_1.SEARCH.OLD,0),VLOOKUP(J13,LIST!$B$6:$L$3250,CURR_1.SEARCH.NEW,0)),'DICTIONARY-5'!$A$2)</f>
        <v>71,-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</row>
    <row r="14" spans="1:18" x14ac:dyDescent="0.25">
      <c r="A14" s="130">
        <v>100</v>
      </c>
      <c r="B14" s="130" t="s">
        <v>895</v>
      </c>
      <c r="C14" s="130" t="s">
        <v>860</v>
      </c>
      <c r="D14" s="130" t="s">
        <v>896</v>
      </c>
      <c r="E14" s="324" t="s">
        <v>4124</v>
      </c>
      <c r="F14" s="339" t="str">
        <f>IFERROR(IF(OR(E14='DICTIONARY-5'!$A$2,E14='DICTIONARY-5'!$A$4,ISBLANK(E14)),VLOOKUP(D14,LIST!$A$6:$L$3250,CURR_1.SEARCH.OLD,0),VLOOKUP(E14,LIST!$B$6:$L$3250,CURR_1.SEARCH.NEW,0)),'DICTIONARY-5'!$A$2)</f>
        <v>47,-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30" t="s">
        <v>893</v>
      </c>
      <c r="I14" s="130" t="s">
        <v>897</v>
      </c>
      <c r="J14" s="324" t="s">
        <v>4128</v>
      </c>
      <c r="K14" s="339" t="str">
        <f>IFERROR(IF(OR(J14='DICTIONARY-5'!$A$2,J14='DICTIONARY-5'!$A$4,ISBLANK(J14)),VLOOKUP(I14,LIST!$A$6:$L$3250,CURR_1.SEARCH.OLD,0),VLOOKUP(J14,LIST!$B$6:$L$3250,CURR_1.SEARCH.NEW,0)),'DICTIONARY-5'!$A$2)</f>
        <v>68,-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</row>
    <row r="15" spans="1:18" x14ac:dyDescent="0.25">
      <c r="A15" s="130">
        <v>150</v>
      </c>
      <c r="B15" s="130" t="s">
        <v>898</v>
      </c>
      <c r="C15" s="130" t="s">
        <v>860</v>
      </c>
      <c r="D15" s="130" t="s">
        <v>899</v>
      </c>
      <c r="E15" s="324" t="s">
        <v>4125</v>
      </c>
      <c r="F15" s="339" t="str">
        <f>IFERROR(IF(OR(E15='DICTIONARY-5'!$A$2,E15='DICTIONARY-5'!$A$4,ISBLANK(E15)),VLOOKUP(D15,LIST!$A$6:$L$3250,CURR_1.SEARCH.OLD,0),VLOOKUP(E15,LIST!$B$6:$L$3250,CURR_1.SEARCH.NEW,0)),'DICTIONARY-5'!$A$2)</f>
        <v>76,-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30" t="s">
        <v>893</v>
      </c>
      <c r="I15" s="130" t="s">
        <v>900</v>
      </c>
      <c r="J15" s="324" t="s">
        <v>4129</v>
      </c>
      <c r="K15" s="339" t="str">
        <f>IFERROR(IF(OR(J15='DICTIONARY-5'!$A$2,J15='DICTIONARY-5'!$A$4,ISBLANK(J15)),VLOOKUP(I15,LIST!$A$6:$L$3250,CURR_1.SEARCH.OLD,0),VLOOKUP(J15,LIST!$B$6:$L$3250,CURR_1.SEARCH.NEW,0)),'DICTIONARY-5'!$A$2)</f>
        <v>83,-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</row>
    <row r="16" spans="1:18" x14ac:dyDescent="0.25">
      <c r="A16" s="130">
        <v>200</v>
      </c>
      <c r="B16" s="130" t="s">
        <v>901</v>
      </c>
      <c r="C16" s="130" t="s">
        <v>860</v>
      </c>
      <c r="D16" s="130" t="s">
        <v>902</v>
      </c>
      <c r="E16" s="324" t="s">
        <v>4126</v>
      </c>
      <c r="F16" s="339" t="str">
        <f>IFERROR(IF(OR(E16='DICTIONARY-5'!$A$2,E16='DICTIONARY-5'!$A$4,ISBLANK(E16)),VLOOKUP(D16,LIST!$A$6:$L$3250,CURR_1.SEARCH.OLD,0),VLOOKUP(E16,LIST!$B$6:$L$3250,CURR_1.SEARCH.NEW,0)),'DICTIONARY-5'!$A$2)</f>
        <v>140,-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30" t="s">
        <v>893</v>
      </c>
      <c r="I16" s="130" t="s">
        <v>903</v>
      </c>
      <c r="J16" s="324" t="s">
        <v>4130</v>
      </c>
      <c r="K16" s="339" t="str">
        <f>IFERROR(IF(OR(J16='DICTIONARY-5'!$A$2,J16='DICTIONARY-5'!$A$4,ISBLANK(J16)),VLOOKUP(I16,LIST!$A$6:$L$3250,CURR_1.SEARCH.OLD,0),VLOOKUP(J16,LIST!$B$6:$L$3250,CURR_1.SEARCH.NEW,0)),'DICTIONARY-5'!$A$2)</f>
        <v>119,-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</row>
    <row r="17" spans="1:12" x14ac:dyDescent="0.25">
      <c r="A17" s="123"/>
      <c r="B17" s="123"/>
      <c r="C17" s="123"/>
      <c r="D17" s="123"/>
      <c r="E17" s="123"/>
      <c r="F17" s="125"/>
      <c r="G17" s="125"/>
      <c r="H17" s="123"/>
      <c r="I17" s="123"/>
      <c r="J17" s="123"/>
      <c r="K17" s="124"/>
      <c r="L17" s="125"/>
    </row>
    <row r="19" spans="1:12" x14ac:dyDescent="0.25">
      <c r="A19" s="706" t="str">
        <f>'DICTIONARY-2'!$A$2</f>
        <v>DN</v>
      </c>
      <c r="B19" s="706" t="str">
        <f>'DICTIONARY-2'!$A$5&amp;" 1)"</f>
        <v>Da 1)</v>
      </c>
      <c r="C19" s="126" t="str">
        <f>'DICTIONARY-2'!$A$26</f>
        <v>G</v>
      </c>
      <c r="D19" s="990" t="str">
        <f>'DICTIONARY-3'!$A$55&amp;'DICTIONARY-3'!$A$71</f>
        <v>HOD-G501</v>
      </c>
      <c r="E19" s="990"/>
      <c r="F19" s="990"/>
      <c r="G19" s="990"/>
    </row>
    <row r="20" spans="1:12" x14ac:dyDescent="0.25">
      <c r="A20" s="522" t="str">
        <f>'DICTIONARY-5'!$A$122</f>
        <v>rura</v>
      </c>
      <c r="B20" s="522" t="str">
        <f>'DICTIONARY-5'!$A$122</f>
        <v>rura</v>
      </c>
      <c r="C20" s="523"/>
      <c r="D20" s="991" t="str">
        <f>LOWER('DICTIONARY-3'!$A$290)</f>
        <v>bez zaworu</v>
      </c>
      <c r="E20" s="991"/>
      <c r="F20" s="991"/>
      <c r="G20" s="991"/>
    </row>
    <row r="21" spans="1:12" x14ac:dyDescent="0.25">
      <c r="A21" s="127"/>
      <c r="B21" s="127" t="str">
        <f>'DICTIONARY-2'!$A$18</f>
        <v>[mm]</v>
      </c>
      <c r="C21" s="127"/>
      <c r="D21" s="128" t="str">
        <f>'DICTIONARY-2'!$A$28</f>
        <v>stary nr zamówienia</v>
      </c>
      <c r="E21" s="128" t="str">
        <f>'DICTIONARY-2'!$A$29</f>
        <v>nowy nr zamówienia</v>
      </c>
      <c r="F21" s="117" t="str">
        <f>CURRENCY.CODE_1</f>
        <v>EUR</v>
      </c>
      <c r="G21" s="117" t="str">
        <f>CURRENCY.CODE_2</f>
        <v>---</v>
      </c>
      <c r="I21" s="119"/>
      <c r="K21" s="120"/>
    </row>
    <row r="22" spans="1:12" x14ac:dyDescent="0.25">
      <c r="A22" s="130">
        <v>80</v>
      </c>
      <c r="B22" s="130" t="s">
        <v>891</v>
      </c>
      <c r="C22" s="130" t="s">
        <v>904</v>
      </c>
      <c r="D22" s="130" t="s">
        <v>905</v>
      </c>
      <c r="E22" s="324" t="s">
        <v>4131</v>
      </c>
      <c r="F22" s="339" t="str">
        <f>IFERROR(IF(OR(E22='DICTIONARY-5'!$A$2,E22='DICTIONARY-5'!$A$4,ISBLANK(E22)),VLOOKUP(D22,LIST!$A$6:$L$3250,CURR_1.SEARCH.OLD,0),VLOOKUP(E22,LIST!$B$6:$L$3250,CURR_1.SEARCH.NEW,0)),'DICTIONARY-5'!$A$2)</f>
        <v>68,-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I22" s="119"/>
      <c r="K22" s="120"/>
    </row>
    <row r="23" spans="1:12" x14ac:dyDescent="0.25">
      <c r="A23" s="130">
        <v>100</v>
      </c>
      <c r="B23" s="130" t="s">
        <v>895</v>
      </c>
      <c r="C23" s="130" t="s">
        <v>904</v>
      </c>
      <c r="D23" s="130" t="s">
        <v>906</v>
      </c>
      <c r="E23" s="324" t="s">
        <v>4132</v>
      </c>
      <c r="F23" s="339" t="str">
        <f>IFERROR(IF(OR(E23='DICTIONARY-5'!$A$2,E23='DICTIONARY-5'!$A$4,ISBLANK(E23)),VLOOKUP(D23,LIST!$A$6:$L$3250,CURR_1.SEARCH.OLD,0),VLOOKUP(E23,LIST!$B$6:$L$3250,CURR_1.SEARCH.NEW,0)),'DICTIONARY-5'!$A$2)</f>
        <v>63,-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I23" s="119"/>
      <c r="K23" s="120"/>
    </row>
    <row r="24" spans="1:12" x14ac:dyDescent="0.25">
      <c r="A24" s="130">
        <v>150</v>
      </c>
      <c r="B24" s="130" t="s">
        <v>898</v>
      </c>
      <c r="C24" s="130" t="s">
        <v>904</v>
      </c>
      <c r="D24" s="130" t="s">
        <v>907</v>
      </c>
      <c r="E24" s="324" t="s">
        <v>4133</v>
      </c>
      <c r="F24" s="339" t="str">
        <f>IFERROR(IF(OR(E24='DICTIONARY-5'!$A$2,E24='DICTIONARY-5'!$A$4,ISBLANK(E24)),VLOOKUP(D24,LIST!$A$6:$L$3250,CURR_1.SEARCH.OLD,0),VLOOKUP(E24,LIST!$B$6:$L$3250,CURR_1.SEARCH.NEW,0)),'DICTIONARY-5'!$A$2)</f>
        <v>80,-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I24" s="119"/>
      <c r="K24" s="120"/>
    </row>
    <row r="25" spans="1:12" x14ac:dyDescent="0.25">
      <c r="A25" s="130">
        <v>200</v>
      </c>
      <c r="B25" s="130" t="s">
        <v>901</v>
      </c>
      <c r="C25" s="130" t="s">
        <v>904</v>
      </c>
      <c r="D25" s="130" t="s">
        <v>908</v>
      </c>
      <c r="E25" s="324" t="s">
        <v>4134</v>
      </c>
      <c r="F25" s="339" t="str">
        <f>IFERROR(IF(OR(E25='DICTIONARY-5'!$A$2,E25='DICTIONARY-5'!$A$4,ISBLANK(E25)),VLOOKUP(D25,LIST!$A$6:$L$3250,CURR_1.SEARCH.OLD,0),VLOOKUP(E25,LIST!$B$6:$L$3250,CURR_1.SEARCH.NEW,0)),'DICTIONARY-5'!$A$2)</f>
        <v>117,-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I25" s="119"/>
      <c r="K25" s="120"/>
    </row>
    <row r="26" spans="1:12" x14ac:dyDescent="0.25">
      <c r="A26" s="130">
        <v>300</v>
      </c>
      <c r="B26" s="130" t="s">
        <v>909</v>
      </c>
      <c r="C26" s="130" t="s">
        <v>904</v>
      </c>
      <c r="D26" s="130" t="s">
        <v>910</v>
      </c>
      <c r="E26" s="324" t="s">
        <v>4135</v>
      </c>
      <c r="F26" s="339" t="str">
        <f>IFERROR(IF(OR(E26='DICTIONARY-5'!$A$2,E26='DICTIONARY-5'!$A$4,ISBLANK(E26)),VLOOKUP(D26,LIST!$A$6:$L$3250,CURR_1.SEARCH.OLD,0),VLOOKUP(E26,LIST!$B$6:$L$3250,CURR_1.SEARCH.NEW,0)),'DICTIONARY-5'!$A$2)</f>
        <v>322,-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I26" s="119"/>
      <c r="K26" s="120"/>
    </row>
    <row r="28" spans="1:12" x14ac:dyDescent="0.25">
      <c r="A28" s="120" t="str">
        <f>"1) "&amp;'DICTIONARY-5'!$A$75</f>
        <v>1) Zewnętrzna średnica rury nawierconej</v>
      </c>
    </row>
    <row r="32" spans="1:12" ht="16.5" thickBot="1" x14ac:dyDescent="0.3">
      <c r="A32" s="134" t="str">
        <f>CONCATENATE('DICTIONARY-3'!$A$57," ",'DICTIONARY-3'!$A$196," / ",'DICTIONARY-3'!$A$291)</f>
        <v xml:space="preserve">HOD-G Mostek nawiertowy / Z zaworem </v>
      </c>
      <c r="B32" s="134"/>
      <c r="C32" s="135"/>
      <c r="D32" s="136"/>
      <c r="E32" s="136"/>
      <c r="F32" s="136"/>
      <c r="G32" s="136"/>
      <c r="H32" s="136"/>
      <c r="I32" s="136"/>
      <c r="J32" s="136"/>
      <c r="K32" s="137"/>
      <c r="L32" s="136"/>
    </row>
    <row r="33" spans="1:16" x14ac:dyDescent="0.25">
      <c r="A33" s="122" t="str">
        <f>'DICTIONARY-3'!$A$301</f>
        <v>Dla rur z żeliwa sferoidalnego</v>
      </c>
      <c r="B33" s="122"/>
      <c r="C33" s="122"/>
      <c r="F33" s="119"/>
    </row>
    <row r="34" spans="1:16" x14ac:dyDescent="0.25">
      <c r="A34" s="122" t="str">
        <f>CONCATENATE('DICTIONARY-1'!$A$10,": ",SETTINGS!$C$27)</f>
        <v>Grupa rabatowa: HOD</v>
      </c>
      <c r="B34" s="122"/>
      <c r="C34" s="122"/>
      <c r="F34" s="119"/>
    </row>
    <row r="35" spans="1:16" x14ac:dyDescent="0.25">
      <c r="B35" s="122"/>
      <c r="D35" s="123"/>
      <c r="E35" s="123"/>
      <c r="F35" s="124"/>
      <c r="G35" s="125"/>
    </row>
    <row r="36" spans="1:16" x14ac:dyDescent="0.25">
      <c r="A36" s="706" t="str">
        <f>'DICTIONARY-2'!$A$2</f>
        <v>DN</v>
      </c>
      <c r="B36" s="706" t="str">
        <f>'DICTIONARY-2'!$A$5&amp;" 1)"</f>
        <v>Da 1)</v>
      </c>
      <c r="C36" s="126" t="str">
        <f>'DICTIONARY-2'!$A$26</f>
        <v>G</v>
      </c>
      <c r="D36" s="990" t="str">
        <f>'DICTIONARY-3'!$A$55&amp;'DICTIONARY-3'!$A$72</f>
        <v>HOD-G502</v>
      </c>
      <c r="E36" s="990"/>
      <c r="F36" s="990"/>
      <c r="G36" s="990"/>
      <c r="H36" s="126" t="str">
        <f>'DICTIONARY-2'!$A$26</f>
        <v>G</v>
      </c>
      <c r="I36" s="990" t="str">
        <f>'DICTIONARY-3'!$A$55&amp;'DICTIONARY-3'!$A$72</f>
        <v>HOD-G502</v>
      </c>
      <c r="J36" s="990"/>
      <c r="K36" s="990"/>
      <c r="L36" s="990"/>
    </row>
    <row r="37" spans="1:16" x14ac:dyDescent="0.25">
      <c r="A37" s="522" t="str">
        <f>'DICTIONARY-5'!$A$122</f>
        <v>rura</v>
      </c>
      <c r="B37" s="522" t="str">
        <f>'DICTIONARY-5'!$A$122</f>
        <v>rura</v>
      </c>
      <c r="C37" s="523"/>
      <c r="D37" s="991" t="str">
        <f>'DICTIONARY-5'!$A$125</f>
        <v>mosiężny zawór kulowy</v>
      </c>
      <c r="E37" s="991"/>
      <c r="F37" s="991"/>
      <c r="G37" s="991"/>
      <c r="H37" s="523"/>
      <c r="I37" s="991" t="str">
        <f>'DICTIONARY-5'!$A$125</f>
        <v>mosiężny zawór kulowy</v>
      </c>
      <c r="J37" s="991"/>
      <c r="K37" s="991"/>
      <c r="L37" s="991"/>
    </row>
    <row r="38" spans="1:16" x14ac:dyDescent="0.25">
      <c r="A38" s="127"/>
      <c r="B38" s="127" t="str">
        <f>'DICTIONARY-2'!$A$18</f>
        <v>[mm]</v>
      </c>
      <c r="C38" s="127"/>
      <c r="D38" s="128" t="str">
        <f>'DICTIONARY-2'!$A$28</f>
        <v>stary nr zamówienia</v>
      </c>
      <c r="E38" s="128" t="str">
        <f>'DICTIONARY-2'!$A$29</f>
        <v>nowy nr zamówienia</v>
      </c>
      <c r="F38" s="117" t="str">
        <f>CURRENCY.CODE_1</f>
        <v>EUR</v>
      </c>
      <c r="G38" s="117" t="str">
        <f>CURRENCY.CODE_2</f>
        <v>---</v>
      </c>
      <c r="H38" s="127"/>
      <c r="I38" s="128" t="str">
        <f>'DICTIONARY-2'!$A$28</f>
        <v>stary nr zamówienia</v>
      </c>
      <c r="J38" s="128" t="str">
        <f>'DICTIONARY-2'!$A$29</f>
        <v>nowy nr zamówienia</v>
      </c>
      <c r="K38" s="117" t="str">
        <f>CURRENCY.CODE_1</f>
        <v>EUR</v>
      </c>
      <c r="L38" s="117" t="str">
        <f>CURRENCY.CODE_2</f>
        <v>---</v>
      </c>
      <c r="P38" s="526"/>
    </row>
    <row r="39" spans="1:16" x14ac:dyDescent="0.25">
      <c r="A39" s="130">
        <v>80</v>
      </c>
      <c r="B39" s="130" t="s">
        <v>891</v>
      </c>
      <c r="C39" s="130" t="s">
        <v>911</v>
      </c>
      <c r="D39" s="133" t="s">
        <v>912</v>
      </c>
      <c r="E39" s="325" t="s">
        <v>4105</v>
      </c>
      <c r="F39" s="339" t="str">
        <f>IFERROR(IF(OR(E39='DICTIONARY-5'!$A$2,E39='DICTIONARY-5'!$A$4,ISBLANK(E39)),VLOOKUP(D39,LIST!$A$6:$L$3250,CURR_1.SEARCH.OLD,0),VLOOKUP(E39,LIST!$B$6:$L$3250,CURR_1.SEARCH.NEW,0)),'DICTIONARY-5'!$A$2)</f>
        <v>118,-</v>
      </c>
      <c r="G39" s="339" t="str">
        <f>IFERROR(IF(OR(E39='DICTIONARY-5'!$A$2,E39='DICTIONARY-5'!$A$4,ISBLANK(E39)),VLOOKUP(D39,LIST!$A$6:$M$3250,CURR_2.SEARCH.OLD,0),VLOOKUP(E39,LIST!$B$6:$M$3250,CURR_2.SEARCH.NEW,0)),'DICTIONARY-5'!$A$2)</f>
        <v/>
      </c>
      <c r="H39" s="130" t="s">
        <v>860</v>
      </c>
      <c r="I39" s="130" t="s">
        <v>913</v>
      </c>
      <c r="J39" s="324" t="s">
        <v>4109</v>
      </c>
      <c r="K39" s="339" t="str">
        <f>IFERROR(IF(OR(J39='DICTIONARY-5'!$A$2,J39='DICTIONARY-5'!$A$4,ISBLANK(J39)),VLOOKUP(I39,LIST!$A$6:$L$3250,CURR_1.SEARCH.OLD,0),VLOOKUP(J39,LIST!$B$6:$L$3250,CURR_1.SEARCH.NEW,0)),'DICTIONARY-5'!$A$2)</f>
        <v>128,-</v>
      </c>
      <c r="L39" s="339" t="str">
        <f>IFERROR(IF(OR(J39='DICTIONARY-5'!$A$2,J39='DICTIONARY-5'!$A$4,ISBLANK(J39)),VLOOKUP(I39,LIST!$A$6:$M$3250,CURR_2.SEARCH.OLD,0),VLOOKUP(J39,LIST!$B$6:$M$3250,CURR_2.SEARCH.NEW,0)),'DICTIONARY-5'!$A$2)</f>
        <v/>
      </c>
    </row>
    <row r="40" spans="1:16" x14ac:dyDescent="0.25">
      <c r="A40" s="130">
        <v>100</v>
      </c>
      <c r="B40" s="130" t="s">
        <v>895</v>
      </c>
      <c r="C40" s="130" t="s">
        <v>911</v>
      </c>
      <c r="D40" s="130" t="s">
        <v>914</v>
      </c>
      <c r="E40" s="324" t="s">
        <v>4106</v>
      </c>
      <c r="F40" s="339" t="str">
        <f>IFERROR(IF(OR(E40='DICTIONARY-5'!$A$2,E40='DICTIONARY-5'!$A$4,ISBLANK(E40)),VLOOKUP(D40,LIST!$A$6:$L$3250,CURR_1.SEARCH.OLD,0),VLOOKUP(E40,LIST!$B$6:$L$3250,CURR_1.SEARCH.NEW,0)),'DICTIONARY-5'!$A$2)</f>
        <v>96,-</v>
      </c>
      <c r="G40" s="339" t="str">
        <f>IFERROR(IF(OR(E40='DICTIONARY-5'!$A$2,E40='DICTIONARY-5'!$A$4,ISBLANK(E40)),VLOOKUP(D40,LIST!$A$6:$M$3250,CURR_2.SEARCH.OLD,0),VLOOKUP(E40,LIST!$B$6:$M$3250,CURR_2.SEARCH.NEW,0)),'DICTIONARY-5'!$A$2)</f>
        <v/>
      </c>
      <c r="H40" s="130" t="s">
        <v>860</v>
      </c>
      <c r="I40" s="130" t="s">
        <v>915</v>
      </c>
      <c r="J40" s="324" t="s">
        <v>4110</v>
      </c>
      <c r="K40" s="339" t="str">
        <f>IFERROR(IF(OR(J40='DICTIONARY-5'!$A$2,J40='DICTIONARY-5'!$A$4,ISBLANK(J40)),VLOOKUP(I40,LIST!$A$6:$L$3250,CURR_1.SEARCH.OLD,0),VLOOKUP(J40,LIST!$B$6:$L$3250,CURR_1.SEARCH.NEW,0)),'DICTIONARY-5'!$A$2)</f>
        <v>104,-</v>
      </c>
      <c r="L40" s="339" t="str">
        <f>IFERROR(IF(OR(J40='DICTIONARY-5'!$A$2,J40='DICTIONARY-5'!$A$4,ISBLANK(J40)),VLOOKUP(I40,LIST!$A$6:$M$3250,CURR_2.SEARCH.OLD,0),VLOOKUP(J40,LIST!$B$6:$M$3250,CURR_2.SEARCH.NEW,0)),'DICTIONARY-5'!$A$2)</f>
        <v/>
      </c>
    </row>
    <row r="41" spans="1:16" x14ac:dyDescent="0.25">
      <c r="A41" s="130">
        <v>150</v>
      </c>
      <c r="B41" s="130" t="s">
        <v>898</v>
      </c>
      <c r="C41" s="130" t="s">
        <v>911</v>
      </c>
      <c r="D41" s="130" t="s">
        <v>916</v>
      </c>
      <c r="E41" s="324" t="s">
        <v>4107</v>
      </c>
      <c r="F41" s="339" t="str">
        <f>IFERROR(IF(OR(E41='DICTIONARY-5'!$A$2,E41='DICTIONARY-5'!$A$4,ISBLANK(E41)),VLOOKUP(D41,LIST!$A$6:$L$3250,CURR_1.SEARCH.OLD,0),VLOOKUP(E41,LIST!$B$6:$L$3250,CURR_1.SEARCH.NEW,0)),'DICTIONARY-5'!$A$2)</f>
        <v>124,-</v>
      </c>
      <c r="G41" s="339" t="str">
        <f>IFERROR(IF(OR(E41='DICTIONARY-5'!$A$2,E41='DICTIONARY-5'!$A$4,ISBLANK(E41)),VLOOKUP(D41,LIST!$A$6:$M$3250,CURR_2.SEARCH.OLD,0),VLOOKUP(E41,LIST!$B$6:$M$3250,CURR_2.SEARCH.NEW,0)),'DICTIONARY-5'!$A$2)</f>
        <v/>
      </c>
      <c r="H41" s="130" t="s">
        <v>860</v>
      </c>
      <c r="I41" s="130" t="s">
        <v>917</v>
      </c>
      <c r="J41" s="324" t="s">
        <v>4111</v>
      </c>
      <c r="K41" s="339" t="str">
        <f>IFERROR(IF(OR(J41='DICTIONARY-5'!$A$2,J41='DICTIONARY-5'!$A$4,ISBLANK(J41)),VLOOKUP(I41,LIST!$A$6:$L$3250,CURR_1.SEARCH.OLD,0),VLOOKUP(J41,LIST!$B$6:$L$3250,CURR_1.SEARCH.NEW,0)),'DICTIONARY-5'!$A$2)</f>
        <v>132,-</v>
      </c>
      <c r="L41" s="339" t="str">
        <f>IFERROR(IF(OR(J41='DICTIONARY-5'!$A$2,J41='DICTIONARY-5'!$A$4,ISBLANK(J41)),VLOOKUP(I41,LIST!$A$6:$M$3250,CURR_2.SEARCH.OLD,0),VLOOKUP(J41,LIST!$B$6:$M$3250,CURR_2.SEARCH.NEW,0)),'DICTIONARY-5'!$A$2)</f>
        <v/>
      </c>
    </row>
    <row r="42" spans="1:16" x14ac:dyDescent="0.25">
      <c r="A42" s="130">
        <v>200</v>
      </c>
      <c r="B42" s="130" t="s">
        <v>901</v>
      </c>
      <c r="C42" s="130" t="s">
        <v>911</v>
      </c>
      <c r="D42" s="130" t="s">
        <v>918</v>
      </c>
      <c r="E42" s="324" t="s">
        <v>4108</v>
      </c>
      <c r="F42" s="339" t="str">
        <f>IFERROR(IF(OR(E42='DICTIONARY-5'!$A$2,E42='DICTIONARY-5'!$A$4,ISBLANK(E42)),VLOOKUP(D42,LIST!$A$6:$L$3250,CURR_1.SEARCH.OLD,0),VLOOKUP(E42,LIST!$B$6:$L$3250,CURR_1.SEARCH.NEW,0)),'DICTIONARY-5'!$A$2)</f>
        <v>187,-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  <c r="H42" s="130" t="s">
        <v>860</v>
      </c>
      <c r="I42" s="130" t="s">
        <v>919</v>
      </c>
      <c r="J42" s="324" t="s">
        <v>4112</v>
      </c>
      <c r="K42" s="339" t="str">
        <f>IFERROR(IF(OR(J42='DICTIONARY-5'!$A$2,J42='DICTIONARY-5'!$A$4,ISBLANK(J42)),VLOOKUP(I42,LIST!$A$6:$L$3250,CURR_1.SEARCH.OLD,0),VLOOKUP(J42,LIST!$B$6:$L$3250,CURR_1.SEARCH.NEW,0)),'DICTIONARY-5'!$A$2)</f>
        <v>196,-</v>
      </c>
      <c r="L42" s="339" t="str">
        <f>IFERROR(IF(OR(J42='DICTIONARY-5'!$A$2,J42='DICTIONARY-5'!$A$4,ISBLANK(J42)),VLOOKUP(I42,LIST!$A$6:$M$3250,CURR_2.SEARCH.OLD,0),VLOOKUP(J42,LIST!$B$6:$M$3250,CURR_2.SEARCH.NEW,0)),'DICTIONARY-5'!$A$2)</f>
        <v/>
      </c>
    </row>
    <row r="43" spans="1:16" x14ac:dyDescent="0.25">
      <c r="F43" s="119"/>
    </row>
    <row r="44" spans="1:16" x14ac:dyDescent="0.25">
      <c r="A44" s="706" t="str">
        <f>'DICTIONARY-2'!$A$2</f>
        <v>DN</v>
      </c>
      <c r="B44" s="706" t="str">
        <f>'DICTIONARY-2'!$A$5&amp;" 1)"</f>
        <v>Da 1)</v>
      </c>
      <c r="C44" s="126" t="str">
        <f>'DICTIONARY-2'!$A$26</f>
        <v>G</v>
      </c>
      <c r="D44" s="990" t="str">
        <f>'DICTIONARY-3'!$A$55&amp;'DICTIONARY-3'!$A$72</f>
        <v>HOD-G502</v>
      </c>
      <c r="E44" s="990"/>
      <c r="F44" s="990"/>
      <c r="G44" s="990"/>
      <c r="H44" s="126" t="str">
        <f>'DICTIONARY-2'!$A$26</f>
        <v>G</v>
      </c>
      <c r="I44" s="990" t="str">
        <f>'DICTIONARY-3'!$A$55&amp;'DICTIONARY-3'!$A$72</f>
        <v>HOD-G502</v>
      </c>
      <c r="J44" s="990"/>
      <c r="K44" s="990"/>
      <c r="L44" s="990"/>
    </row>
    <row r="45" spans="1:16" x14ac:dyDescent="0.25">
      <c r="A45" s="522" t="str">
        <f>'DICTIONARY-5'!$A$122</f>
        <v>rura</v>
      </c>
      <c r="B45" s="522" t="str">
        <f>'DICTIONARY-5'!$A$122</f>
        <v>rura</v>
      </c>
      <c r="C45" s="523"/>
      <c r="D45" s="991" t="str">
        <f>'DICTIONARY-5'!$A$125</f>
        <v>mosiężny zawór kulowy</v>
      </c>
      <c r="E45" s="991"/>
      <c r="F45" s="991"/>
      <c r="G45" s="991"/>
      <c r="H45" s="523"/>
      <c r="I45" s="991" t="str">
        <f>'DICTIONARY-5'!$A$125</f>
        <v>mosiężny zawór kulowy</v>
      </c>
      <c r="J45" s="991"/>
      <c r="K45" s="991"/>
      <c r="L45" s="991"/>
    </row>
    <row r="46" spans="1:16" x14ac:dyDescent="0.25">
      <c r="A46" s="127"/>
      <c r="B46" s="127" t="str">
        <f>'DICTIONARY-2'!$A$18</f>
        <v>[mm]</v>
      </c>
      <c r="C46" s="127"/>
      <c r="D46" s="128" t="str">
        <f>'DICTIONARY-2'!$A$28</f>
        <v>stary nr zamówienia</v>
      </c>
      <c r="E46" s="128" t="str">
        <f>'DICTIONARY-2'!$A$29</f>
        <v>nowy nr zamówienia</v>
      </c>
      <c r="F46" s="117" t="str">
        <f>CURRENCY.CODE_1</f>
        <v>EUR</v>
      </c>
      <c r="G46" s="117" t="str">
        <f>CURRENCY.CODE_2</f>
        <v>---</v>
      </c>
      <c r="H46" s="127"/>
      <c r="I46" s="128" t="str">
        <f>'DICTIONARY-2'!$A$28</f>
        <v>stary nr zamówienia</v>
      </c>
      <c r="J46" s="128" t="str">
        <f>'DICTIONARY-2'!$A$29</f>
        <v>nowy nr zamówienia</v>
      </c>
      <c r="K46" s="117" t="str">
        <f>CURRENCY.CODE_1</f>
        <v>EUR</v>
      </c>
      <c r="L46" s="117" t="str">
        <f>CURRENCY.CODE_2</f>
        <v>---</v>
      </c>
    </row>
    <row r="47" spans="1:16" x14ac:dyDescent="0.25">
      <c r="A47" s="130">
        <v>80</v>
      </c>
      <c r="B47" s="130" t="s">
        <v>891</v>
      </c>
      <c r="C47" s="130" t="s">
        <v>893</v>
      </c>
      <c r="D47" s="130" t="s">
        <v>920</v>
      </c>
      <c r="E47" s="324" t="s">
        <v>4113</v>
      </c>
      <c r="F47" s="339" t="str">
        <f>IFERROR(IF(OR(E47='DICTIONARY-5'!$A$2,E47='DICTIONARY-5'!$A$4,ISBLANK(E47)),VLOOKUP(D47,LIST!$A$6:$L$3250,CURR_1.SEARCH.OLD,0),VLOOKUP(E47,LIST!$B$6:$L$3250,CURR_1.SEARCH.NEW,0)),'DICTIONARY-5'!$A$2)</f>
        <v>154,-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130" t="s">
        <v>904</v>
      </c>
      <c r="I47" s="130" t="s">
        <v>921</v>
      </c>
      <c r="J47" s="324" t="s">
        <v>4118</v>
      </c>
      <c r="K47" s="339" t="str">
        <f>IFERROR(IF(OR(J47='DICTIONARY-5'!$A$2,J47='DICTIONARY-5'!$A$4,ISBLANK(J47)),VLOOKUP(I47,LIST!$A$6:$L$3250,CURR_1.SEARCH.OLD,0),VLOOKUP(J47,LIST!$B$6:$L$3250,CURR_1.SEARCH.NEW,0)),'DICTIONARY-5'!$A$2)</f>
        <v>153,-</v>
      </c>
      <c r="L47" s="339" t="str">
        <f>IFERROR(IF(OR(J47='DICTIONARY-5'!$A$2,J47='DICTIONARY-5'!$A$4,ISBLANK(J47)),VLOOKUP(I47,LIST!$A$6:$M$3250,CURR_2.SEARCH.OLD,0),VLOOKUP(J47,LIST!$B$6:$M$3250,CURR_2.SEARCH.NEW,0)),'DICTIONARY-5'!$A$2)</f>
        <v/>
      </c>
    </row>
    <row r="48" spans="1:16" x14ac:dyDescent="0.25">
      <c r="A48" s="130">
        <v>100</v>
      </c>
      <c r="B48" s="130" t="s">
        <v>895</v>
      </c>
      <c r="C48" s="130" t="s">
        <v>893</v>
      </c>
      <c r="D48" s="130" t="s">
        <v>922</v>
      </c>
      <c r="E48" s="324" t="s">
        <v>4114</v>
      </c>
      <c r="F48" s="339" t="str">
        <f>IFERROR(IF(OR(E48='DICTIONARY-5'!$A$2,E48='DICTIONARY-5'!$A$4,ISBLANK(E48)),VLOOKUP(D48,LIST!$A$6:$L$3250,CURR_1.SEARCH.OLD,0),VLOOKUP(E48,LIST!$B$6:$L$3250,CURR_1.SEARCH.NEW,0)),'DICTIONARY-5'!$A$2)</f>
        <v>150,-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130" t="s">
        <v>904</v>
      </c>
      <c r="I48" s="130" t="s">
        <v>923</v>
      </c>
      <c r="J48" s="324" t="s">
        <v>4119</v>
      </c>
      <c r="K48" s="339" t="str">
        <f>IFERROR(IF(OR(J48='DICTIONARY-5'!$A$2,J48='DICTIONARY-5'!$A$4,ISBLANK(J48)),VLOOKUP(I48,LIST!$A$6:$L$3250,CURR_1.SEARCH.OLD,0),VLOOKUP(J48,LIST!$B$6:$L$3250,CURR_1.SEARCH.NEW,0)),'DICTIONARY-5'!$A$2)</f>
        <v>149,-</v>
      </c>
      <c r="L48" s="339" t="str">
        <f>IFERROR(IF(OR(J48='DICTIONARY-5'!$A$2,J48='DICTIONARY-5'!$A$4,ISBLANK(J48)),VLOOKUP(I48,LIST!$A$6:$M$3250,CURR_2.SEARCH.OLD,0),VLOOKUP(J48,LIST!$B$6:$M$3250,CURR_2.SEARCH.NEW,0)),'DICTIONARY-5'!$A$2)</f>
        <v/>
      </c>
    </row>
    <row r="49" spans="1:12" x14ac:dyDescent="0.25">
      <c r="A49" s="130">
        <v>150</v>
      </c>
      <c r="B49" s="130" t="s">
        <v>898</v>
      </c>
      <c r="C49" s="130" t="s">
        <v>893</v>
      </c>
      <c r="D49" s="130" t="s">
        <v>924</v>
      </c>
      <c r="E49" s="324" t="s">
        <v>4115</v>
      </c>
      <c r="F49" s="339" t="str">
        <f>IFERROR(IF(OR(E49='DICTIONARY-5'!$A$2,E49='DICTIONARY-5'!$A$4,ISBLANK(E49)),VLOOKUP(D49,LIST!$A$6:$L$3250,CURR_1.SEARCH.OLD,0),VLOOKUP(E49,LIST!$B$6:$L$3250,CURR_1.SEARCH.NEW,0)),'DICTIONARY-5'!$A$2)</f>
        <v>166,-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  <c r="H49" s="130" t="s">
        <v>904</v>
      </c>
      <c r="I49" s="130" t="s">
        <v>925</v>
      </c>
      <c r="J49" s="324" t="s">
        <v>4120</v>
      </c>
      <c r="K49" s="339" t="str">
        <f>IFERROR(IF(OR(J49='DICTIONARY-5'!$A$2,J49='DICTIONARY-5'!$A$4,ISBLANK(J49)),VLOOKUP(I49,LIST!$A$6:$L$3250,CURR_1.SEARCH.OLD,0),VLOOKUP(J49,LIST!$B$6:$L$3250,CURR_1.SEARCH.NEW,0)),'DICTIONARY-5'!$A$2)</f>
        <v>165,-</v>
      </c>
      <c r="L49" s="339" t="str">
        <f>IFERROR(IF(OR(J49='DICTIONARY-5'!$A$2,J49='DICTIONARY-5'!$A$4,ISBLANK(J49)),VLOOKUP(I49,LIST!$A$6:$M$3250,CURR_2.SEARCH.OLD,0),VLOOKUP(J49,LIST!$B$6:$M$3250,CURR_2.SEARCH.NEW,0)),'DICTIONARY-5'!$A$2)</f>
        <v/>
      </c>
    </row>
    <row r="50" spans="1:12" x14ac:dyDescent="0.25">
      <c r="A50" s="130">
        <v>200</v>
      </c>
      <c r="B50" s="130" t="s">
        <v>901</v>
      </c>
      <c r="C50" s="130" t="s">
        <v>893</v>
      </c>
      <c r="D50" s="130" t="s">
        <v>926</v>
      </c>
      <c r="E50" s="324" t="s">
        <v>4116</v>
      </c>
      <c r="F50" s="339" t="str">
        <f>IFERROR(IF(OR(E50='DICTIONARY-5'!$A$2,E50='DICTIONARY-5'!$A$4,ISBLANK(E50)),VLOOKUP(D50,LIST!$A$6:$L$3250,CURR_1.SEARCH.OLD,0),VLOOKUP(E50,LIST!$B$6:$L$3250,CURR_1.SEARCH.NEW,0)),'DICTIONARY-5'!$A$2)</f>
        <v>203,-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  <c r="H50" s="130" t="s">
        <v>904</v>
      </c>
      <c r="I50" s="130" t="s">
        <v>927</v>
      </c>
      <c r="J50" s="324" t="s">
        <v>4121</v>
      </c>
      <c r="K50" s="339" t="str">
        <f>IFERROR(IF(OR(J50='DICTIONARY-5'!$A$2,J50='DICTIONARY-5'!$A$4,ISBLANK(J50)),VLOOKUP(I50,LIST!$A$6:$L$3250,CURR_1.SEARCH.OLD,0),VLOOKUP(J50,LIST!$B$6:$L$3250,CURR_1.SEARCH.NEW,0)),'DICTIONARY-5'!$A$2)</f>
        <v>203,-</v>
      </c>
      <c r="L50" s="339" t="str">
        <f>IFERROR(IF(OR(J50='DICTIONARY-5'!$A$2,J50='DICTIONARY-5'!$A$4,ISBLANK(J50)),VLOOKUP(I50,LIST!$A$6:$M$3250,CURR_2.SEARCH.OLD,0),VLOOKUP(J50,LIST!$B$6:$M$3250,CURR_2.SEARCH.NEW,0)),'DICTIONARY-5'!$A$2)</f>
        <v/>
      </c>
    </row>
    <row r="51" spans="1:12" x14ac:dyDescent="0.25">
      <c r="A51" s="130">
        <v>300</v>
      </c>
      <c r="B51" s="130" t="s">
        <v>909</v>
      </c>
      <c r="C51" s="130" t="s">
        <v>893</v>
      </c>
      <c r="D51" s="130" t="s">
        <v>928</v>
      </c>
      <c r="E51" s="324" t="s">
        <v>4117</v>
      </c>
      <c r="F51" s="339" t="str">
        <f>IFERROR(IF(OR(E51='DICTIONARY-5'!$A$2,E51='DICTIONARY-5'!$A$4,ISBLANK(E51)),VLOOKUP(D51,LIST!$A$6:$L$3250,CURR_1.SEARCH.OLD,0),VLOOKUP(E51,LIST!$B$6:$L$3250,CURR_1.SEARCH.NEW,0)),'DICTIONARY-5'!$A$2)</f>
        <v>407,-</v>
      </c>
      <c r="G51" s="339" t="str">
        <f>IFERROR(IF(OR(E51='DICTIONARY-5'!$A$2,E51='DICTIONARY-5'!$A$4,ISBLANK(E51)),VLOOKUP(D51,LIST!$A$6:$M$3250,CURR_2.SEARCH.OLD,0),VLOOKUP(E51,LIST!$B$6:$M$3250,CURR_2.SEARCH.NEW,0)),'DICTIONARY-5'!$A$2)</f>
        <v/>
      </c>
      <c r="H51" s="130" t="s">
        <v>904</v>
      </c>
      <c r="I51" s="130" t="s">
        <v>929</v>
      </c>
      <c r="J51" s="324" t="s">
        <v>4122</v>
      </c>
      <c r="K51" s="339" t="str">
        <f>IFERROR(IF(OR(J51='DICTIONARY-5'!$A$2,J51='DICTIONARY-5'!$A$4,ISBLANK(J51)),VLOOKUP(I51,LIST!$A$6:$L$3250,CURR_1.SEARCH.OLD,0),VLOOKUP(J51,LIST!$B$6:$L$3250,CURR_1.SEARCH.NEW,0)),'DICTIONARY-5'!$A$2)</f>
        <v>407,-</v>
      </c>
      <c r="L51" s="339" t="str">
        <f>IFERROR(IF(OR(J51='DICTIONARY-5'!$A$2,J51='DICTIONARY-5'!$A$4,ISBLANK(J51)),VLOOKUP(I51,LIST!$A$6:$M$3250,CURR_2.SEARCH.OLD,0),VLOOKUP(J51,LIST!$B$6:$M$3250,CURR_2.SEARCH.NEW,0)),'DICTIONARY-5'!$A$2)</f>
        <v/>
      </c>
    </row>
    <row r="52" spans="1:12" x14ac:dyDescent="0.25">
      <c r="F52" s="119"/>
    </row>
    <row r="53" spans="1:12" x14ac:dyDescent="0.25">
      <c r="F53" s="119"/>
    </row>
    <row r="54" spans="1:12" x14ac:dyDescent="0.25">
      <c r="F54" s="119"/>
    </row>
    <row r="55" spans="1:12" x14ac:dyDescent="0.25">
      <c r="A55" s="706" t="str">
        <f>'DICTIONARY-2'!$A$2</f>
        <v>DN</v>
      </c>
      <c r="B55" s="706" t="str">
        <f>'DICTIONARY-2'!$A$5&amp;" 1)"</f>
        <v>Da 1)</v>
      </c>
      <c r="C55" s="126" t="str">
        <f>'DICTIONARY-2'!$A$26</f>
        <v>G</v>
      </c>
      <c r="D55" s="990" t="str">
        <f>'DICTIONARY-3'!$A$55&amp;'DICTIONARY-3'!$A$74</f>
        <v>HOD-G511</v>
      </c>
      <c r="E55" s="990"/>
      <c r="F55" s="990"/>
      <c r="G55" s="990"/>
      <c r="H55" s="126" t="str">
        <f>'DICTIONARY-2'!$A$26</f>
        <v>G</v>
      </c>
      <c r="I55" s="990" t="str">
        <f>'DICTIONARY-3'!$A$55&amp;'DICTIONARY-3'!$A$74</f>
        <v>HOD-G511</v>
      </c>
      <c r="J55" s="990"/>
      <c r="K55" s="990"/>
      <c r="L55" s="990"/>
    </row>
    <row r="56" spans="1:12" x14ac:dyDescent="0.25">
      <c r="A56" s="522" t="str">
        <f>'DICTIONARY-5'!$A$122</f>
        <v>rura</v>
      </c>
      <c r="B56" s="522" t="str">
        <f>'DICTIONARY-5'!$A$122</f>
        <v>rura</v>
      </c>
      <c r="C56" s="523"/>
      <c r="D56" s="991" t="str">
        <f>'DICTIONARY-5'!$A$127</f>
        <v>mosiężna zasuwa</v>
      </c>
      <c r="E56" s="991"/>
      <c r="F56" s="991"/>
      <c r="G56" s="991"/>
      <c r="H56" s="523"/>
      <c r="I56" s="991" t="str">
        <f>'DICTIONARY-5'!$A$127</f>
        <v>mosiężna zasuwa</v>
      </c>
      <c r="J56" s="991"/>
      <c r="K56" s="991"/>
      <c r="L56" s="991"/>
    </row>
    <row r="57" spans="1:12" x14ac:dyDescent="0.25">
      <c r="A57" s="127"/>
      <c r="B57" s="127" t="str">
        <f>'DICTIONARY-2'!$A$18</f>
        <v>[mm]</v>
      </c>
      <c r="C57" s="127"/>
      <c r="D57" s="128" t="str">
        <f>'DICTIONARY-2'!$A$28</f>
        <v>stary nr zamówienia</v>
      </c>
      <c r="E57" s="128" t="str">
        <f>'DICTIONARY-2'!$A$29</f>
        <v>nowy nr zamówienia</v>
      </c>
      <c r="F57" s="117" t="str">
        <f>CURRENCY.CODE_1</f>
        <v>EUR</v>
      </c>
      <c r="G57" s="117" t="str">
        <f>CURRENCY.CODE_2</f>
        <v>---</v>
      </c>
      <c r="H57" s="127"/>
      <c r="I57" s="128" t="str">
        <f>'DICTIONARY-2'!$A$28</f>
        <v>stary nr zamówienia</v>
      </c>
      <c r="J57" s="128" t="str">
        <f>'DICTIONARY-2'!$A$29</f>
        <v>nowy nr zamówienia</v>
      </c>
      <c r="K57" s="117" t="str">
        <f>CURRENCY.CODE_1</f>
        <v>EUR</v>
      </c>
      <c r="L57" s="117" t="str">
        <f>CURRENCY.CODE_2</f>
        <v>---</v>
      </c>
    </row>
    <row r="58" spans="1:12" x14ac:dyDescent="0.25">
      <c r="A58" s="130">
        <v>80</v>
      </c>
      <c r="B58" s="130" t="s">
        <v>891</v>
      </c>
      <c r="C58" s="130" t="s">
        <v>911</v>
      </c>
      <c r="D58" s="130" t="s">
        <v>930</v>
      </c>
      <c r="E58" s="324" t="s">
        <v>4136</v>
      </c>
      <c r="F58" s="339" t="str">
        <f>IFERROR(IF(OR(E58='DICTIONARY-5'!$A$2,E58='DICTIONARY-5'!$A$4,ISBLANK(E58)),VLOOKUP(D58,LIST!$A$6:$L$3250,CURR_1.SEARCH.OLD,0),VLOOKUP(E58,LIST!$B$6:$L$3250,CURR_1.SEARCH.NEW,0)),'DICTIONARY-5'!$A$2)</f>
        <v>162,-</v>
      </c>
      <c r="G58" s="339" t="str">
        <f>IFERROR(IF(OR(E58='DICTIONARY-5'!$A$2,E58='DICTIONARY-5'!$A$4,ISBLANK(E58)),VLOOKUP(D58,LIST!$A$6:$M$3250,CURR_2.SEARCH.OLD,0),VLOOKUP(E58,LIST!$B$6:$M$3250,CURR_2.SEARCH.NEW,0)),'DICTIONARY-5'!$A$2)</f>
        <v/>
      </c>
      <c r="H58" s="130" t="s">
        <v>860</v>
      </c>
      <c r="I58" s="130" t="s">
        <v>931</v>
      </c>
      <c r="J58" s="324" t="s">
        <v>4140</v>
      </c>
      <c r="K58" s="339" t="str">
        <f>IFERROR(IF(OR(J58='DICTIONARY-5'!$A$2,J58='DICTIONARY-5'!$A$4,ISBLANK(J58)),VLOOKUP(I58,LIST!$A$6:$L$3250,CURR_1.SEARCH.OLD,0),VLOOKUP(J58,LIST!$B$6:$L$3250,CURR_1.SEARCH.NEW,0)),'DICTIONARY-5'!$A$2)</f>
        <v>162,-</v>
      </c>
      <c r="L58" s="339" t="str">
        <f>IFERROR(IF(OR(J58='DICTIONARY-5'!$A$2,J58='DICTIONARY-5'!$A$4,ISBLANK(J58)),VLOOKUP(I58,LIST!$A$6:$M$3250,CURR_2.SEARCH.OLD,0),VLOOKUP(J58,LIST!$B$6:$M$3250,CURR_2.SEARCH.NEW,0)),'DICTIONARY-5'!$A$2)</f>
        <v/>
      </c>
    </row>
    <row r="59" spans="1:12" x14ac:dyDescent="0.25">
      <c r="A59" s="130">
        <v>100</v>
      </c>
      <c r="B59" s="130" t="s">
        <v>895</v>
      </c>
      <c r="C59" s="130" t="s">
        <v>911</v>
      </c>
      <c r="D59" s="130" t="s">
        <v>932</v>
      </c>
      <c r="E59" s="324" t="s">
        <v>4137</v>
      </c>
      <c r="F59" s="339" t="str">
        <f>IFERROR(IF(OR(E59='DICTIONARY-5'!$A$2,E59='DICTIONARY-5'!$A$4,ISBLANK(E59)),VLOOKUP(D59,LIST!$A$6:$L$3250,CURR_1.SEARCH.OLD,0),VLOOKUP(E59,LIST!$B$6:$L$3250,CURR_1.SEARCH.NEW,0)),'DICTIONARY-5'!$A$2)</f>
        <v>138,-</v>
      </c>
      <c r="G59" s="339" t="str">
        <f>IFERROR(IF(OR(E59='DICTIONARY-5'!$A$2,E59='DICTIONARY-5'!$A$4,ISBLANK(E59)),VLOOKUP(D59,LIST!$A$6:$M$3250,CURR_2.SEARCH.OLD,0),VLOOKUP(E59,LIST!$B$6:$M$3250,CURR_2.SEARCH.NEW,0)),'DICTIONARY-5'!$A$2)</f>
        <v/>
      </c>
      <c r="H59" s="130" t="s">
        <v>860</v>
      </c>
      <c r="I59" s="130" t="s">
        <v>933</v>
      </c>
      <c r="J59" s="324" t="s">
        <v>4141</v>
      </c>
      <c r="K59" s="339" t="str">
        <f>IFERROR(IF(OR(J59='DICTIONARY-5'!$A$2,J59='DICTIONARY-5'!$A$4,ISBLANK(J59)),VLOOKUP(I59,LIST!$A$6:$L$3250,CURR_1.SEARCH.OLD,0),VLOOKUP(J59,LIST!$B$6:$L$3250,CURR_1.SEARCH.NEW,0)),'DICTIONARY-5'!$A$2)</f>
        <v>139,-</v>
      </c>
      <c r="L59" s="339" t="str">
        <f>IFERROR(IF(OR(J59='DICTIONARY-5'!$A$2,J59='DICTIONARY-5'!$A$4,ISBLANK(J59)),VLOOKUP(I59,LIST!$A$6:$M$3250,CURR_2.SEARCH.OLD,0),VLOOKUP(J59,LIST!$B$6:$M$3250,CURR_2.SEARCH.NEW,0)),'DICTIONARY-5'!$A$2)</f>
        <v/>
      </c>
    </row>
    <row r="60" spans="1:12" x14ac:dyDescent="0.25">
      <c r="A60" s="130">
        <v>150</v>
      </c>
      <c r="B60" s="130" t="s">
        <v>898</v>
      </c>
      <c r="C60" s="130" t="s">
        <v>911</v>
      </c>
      <c r="D60" s="130" t="s">
        <v>934</v>
      </c>
      <c r="E60" s="324" t="s">
        <v>4138</v>
      </c>
      <c r="F60" s="339" t="str">
        <f>IFERROR(IF(OR(E60='DICTIONARY-5'!$A$2,E60='DICTIONARY-5'!$A$4,ISBLANK(E60)),VLOOKUP(D60,LIST!$A$6:$L$3250,CURR_1.SEARCH.OLD,0),VLOOKUP(E60,LIST!$B$6:$L$3250,CURR_1.SEARCH.NEW,0)),'DICTIONARY-5'!$A$2)</f>
        <v>166,-</v>
      </c>
      <c r="G60" s="339" t="str">
        <f>IFERROR(IF(OR(E60='DICTIONARY-5'!$A$2,E60='DICTIONARY-5'!$A$4,ISBLANK(E60)),VLOOKUP(D60,LIST!$A$6:$M$3250,CURR_2.SEARCH.OLD,0),VLOOKUP(E60,LIST!$B$6:$M$3250,CURR_2.SEARCH.NEW,0)),'DICTIONARY-5'!$A$2)</f>
        <v/>
      </c>
      <c r="H60" s="130" t="s">
        <v>860</v>
      </c>
      <c r="I60" s="130" t="s">
        <v>935</v>
      </c>
      <c r="J60" s="324" t="s">
        <v>4142</v>
      </c>
      <c r="K60" s="339" t="str">
        <f>IFERROR(IF(OR(J60='DICTIONARY-5'!$A$2,J60='DICTIONARY-5'!$A$4,ISBLANK(J60)),VLOOKUP(I60,LIST!$A$6:$L$3250,CURR_1.SEARCH.OLD,0),VLOOKUP(J60,LIST!$B$6:$L$3250,CURR_1.SEARCH.NEW,0)),'DICTIONARY-5'!$A$2)</f>
        <v>167,-</v>
      </c>
      <c r="L60" s="339" t="str">
        <f>IFERROR(IF(OR(J60='DICTIONARY-5'!$A$2,J60='DICTIONARY-5'!$A$4,ISBLANK(J60)),VLOOKUP(I60,LIST!$A$6:$M$3250,CURR_2.SEARCH.OLD,0),VLOOKUP(J60,LIST!$B$6:$M$3250,CURR_2.SEARCH.NEW,0)),'DICTIONARY-5'!$A$2)</f>
        <v/>
      </c>
    </row>
    <row r="61" spans="1:12" x14ac:dyDescent="0.25">
      <c r="A61" s="130">
        <v>200</v>
      </c>
      <c r="B61" s="130" t="s">
        <v>901</v>
      </c>
      <c r="C61" s="130" t="s">
        <v>911</v>
      </c>
      <c r="D61" s="130" t="s">
        <v>936</v>
      </c>
      <c r="E61" s="324" t="s">
        <v>4139</v>
      </c>
      <c r="F61" s="339" t="str">
        <f>IFERROR(IF(OR(E61='DICTIONARY-5'!$A$2,E61='DICTIONARY-5'!$A$4,ISBLANK(E61)),VLOOKUP(D61,LIST!$A$6:$L$3250,CURR_1.SEARCH.OLD,0),VLOOKUP(E61,LIST!$B$6:$L$3250,CURR_1.SEARCH.NEW,0)),'DICTIONARY-5'!$A$2)</f>
        <v>231,-</v>
      </c>
      <c r="G61" s="339" t="str">
        <f>IFERROR(IF(OR(E61='DICTIONARY-5'!$A$2,E61='DICTIONARY-5'!$A$4,ISBLANK(E61)),VLOOKUP(D61,LIST!$A$6:$M$3250,CURR_2.SEARCH.OLD,0),VLOOKUP(E61,LIST!$B$6:$M$3250,CURR_2.SEARCH.NEW,0)),'DICTIONARY-5'!$A$2)</f>
        <v/>
      </c>
      <c r="H61" s="130" t="s">
        <v>860</v>
      </c>
      <c r="I61" s="130" t="s">
        <v>937</v>
      </c>
      <c r="J61" s="324" t="s">
        <v>4143</v>
      </c>
      <c r="K61" s="339" t="str">
        <f>IFERROR(IF(OR(J61='DICTIONARY-5'!$A$2,J61='DICTIONARY-5'!$A$4,ISBLANK(J61)),VLOOKUP(I61,LIST!$A$6:$L$3250,CURR_1.SEARCH.OLD,0),VLOOKUP(J61,LIST!$B$6:$L$3250,CURR_1.SEARCH.NEW,0)),'DICTIONARY-5'!$A$2)</f>
        <v>231,-</v>
      </c>
      <c r="L61" s="339" t="str">
        <f>IFERROR(IF(OR(J61='DICTIONARY-5'!$A$2,J61='DICTIONARY-5'!$A$4,ISBLANK(J61)),VLOOKUP(I61,LIST!$A$6:$M$3250,CURR_2.SEARCH.OLD,0),VLOOKUP(J61,LIST!$B$6:$M$3250,CURR_2.SEARCH.NEW,0)),'DICTIONARY-5'!$A$2)</f>
        <v/>
      </c>
    </row>
    <row r="62" spans="1:12" x14ac:dyDescent="0.25">
      <c r="F62" s="119"/>
    </row>
    <row r="63" spans="1:12" x14ac:dyDescent="0.25">
      <c r="F63" s="119"/>
    </row>
    <row r="64" spans="1:12" x14ac:dyDescent="0.25">
      <c r="F64" s="119"/>
    </row>
    <row r="65" spans="1:12" x14ac:dyDescent="0.25">
      <c r="A65" s="706" t="str">
        <f>'DICTIONARY-2'!$A$2</f>
        <v>DN</v>
      </c>
      <c r="B65" s="706" t="str">
        <f>'DICTIONARY-2'!$A$5&amp;" 1)"</f>
        <v>Da 1)</v>
      </c>
      <c r="C65" s="126" t="str">
        <f>'DICTIONARY-2'!$A$26</f>
        <v>G</v>
      </c>
      <c r="D65" s="990" t="str">
        <f>'DICTIONARY-3'!$A$55&amp;'DICTIONARY-3'!$A$73</f>
        <v>HOD-G503</v>
      </c>
      <c r="E65" s="990"/>
      <c r="F65" s="990"/>
      <c r="G65" s="990"/>
      <c r="H65" s="126" t="str">
        <f>'DICTIONARY-2'!$A$26</f>
        <v>G</v>
      </c>
      <c r="I65" s="990" t="str">
        <f>'DICTIONARY-3'!$A$55&amp;'DICTIONARY-3'!$A$73</f>
        <v>HOD-G503</v>
      </c>
      <c r="J65" s="990"/>
      <c r="K65" s="990"/>
      <c r="L65" s="990"/>
    </row>
    <row r="66" spans="1:12" x14ac:dyDescent="0.25">
      <c r="A66" s="522" t="str">
        <f>'DICTIONARY-5'!$A$122</f>
        <v>rura</v>
      </c>
      <c r="B66" s="522" t="str">
        <f>'DICTIONARY-5'!$A$122</f>
        <v>rura</v>
      </c>
      <c r="C66" s="523"/>
      <c r="D66" s="991" t="str">
        <f>'DICTIONARY-5'!$A$126</f>
        <v>żeliwna zasuwa</v>
      </c>
      <c r="E66" s="991"/>
      <c r="F66" s="991"/>
      <c r="G66" s="991"/>
      <c r="H66" s="523"/>
      <c r="I66" s="991" t="str">
        <f>'DICTIONARY-5'!$A$126</f>
        <v>żeliwna zasuwa</v>
      </c>
      <c r="J66" s="991"/>
      <c r="K66" s="991"/>
      <c r="L66" s="991"/>
    </row>
    <row r="67" spans="1:12" x14ac:dyDescent="0.25">
      <c r="A67" s="127"/>
      <c r="B67" s="127" t="str">
        <f>'DICTIONARY-2'!$A$18</f>
        <v>[mm]</v>
      </c>
      <c r="C67" s="127"/>
      <c r="D67" s="128" t="str">
        <f>'DICTIONARY-2'!$A$28</f>
        <v>stary nr zamówienia</v>
      </c>
      <c r="E67" s="128" t="str">
        <f>'DICTIONARY-2'!$A$29</f>
        <v>nowy nr zamówienia</v>
      </c>
      <c r="F67" s="117" t="str">
        <f>CURRENCY.CODE_1</f>
        <v>EUR</v>
      </c>
      <c r="G67" s="117" t="str">
        <f>CURRENCY.CODE_2</f>
        <v>---</v>
      </c>
      <c r="H67" s="127"/>
      <c r="I67" s="128" t="str">
        <f>'DICTIONARY-2'!$A$28</f>
        <v>stary nr zamówienia</v>
      </c>
      <c r="J67" s="128" t="str">
        <f>'DICTIONARY-2'!$A$29</f>
        <v>nowy nr zamówienia</v>
      </c>
      <c r="K67" s="117" t="str">
        <f>CURRENCY.CODE_1</f>
        <v>EUR</v>
      </c>
      <c r="L67" s="117" t="str">
        <f>CURRENCY.CODE_2</f>
        <v>---</v>
      </c>
    </row>
    <row r="68" spans="1:12" x14ac:dyDescent="0.25">
      <c r="A68" s="130">
        <v>80</v>
      </c>
      <c r="B68" s="130" t="s">
        <v>891</v>
      </c>
      <c r="C68" s="130" t="s">
        <v>911</v>
      </c>
      <c r="D68" s="133" t="s">
        <v>938</v>
      </c>
      <c r="E68" s="325" t="s">
        <v>4080</v>
      </c>
      <c r="F68" s="339" t="str">
        <f>IFERROR(IF(OR(E68='DICTIONARY-5'!$A$2,E68='DICTIONARY-5'!$A$4,ISBLANK(E68)),VLOOKUP(D68,LIST!$A$6:$L$3250,CURR_1.SEARCH.OLD,0),VLOOKUP(E68,LIST!$B$6:$L$3250,CURR_1.SEARCH.NEW,0)),'DICTIONARY-5'!$A$2)</f>
        <v>202,-</v>
      </c>
      <c r="G68" s="339" t="str">
        <f>IFERROR(IF(OR(E68='DICTIONARY-5'!$A$2,E68='DICTIONARY-5'!$A$4,ISBLANK(E68)),VLOOKUP(D68,LIST!$A$6:$M$3250,CURR_2.SEARCH.OLD,0),VLOOKUP(E68,LIST!$B$6:$M$3250,CURR_2.SEARCH.NEW,0)),'DICTIONARY-5'!$A$2)</f>
        <v/>
      </c>
      <c r="H68" s="130" t="s">
        <v>860</v>
      </c>
      <c r="I68" s="130" t="s">
        <v>939</v>
      </c>
      <c r="J68" s="324" t="s">
        <v>4084</v>
      </c>
      <c r="K68" s="339" t="str">
        <f>IFERROR(IF(OR(J68='DICTIONARY-5'!$A$2,J68='DICTIONARY-5'!$A$4,ISBLANK(J68)),VLOOKUP(I68,LIST!$A$6:$L$3250,CURR_1.SEARCH.OLD,0),VLOOKUP(J68,LIST!$B$6:$L$3250,CURR_1.SEARCH.NEW,0)),'DICTIONARY-5'!$A$2)</f>
        <v>205,-</v>
      </c>
      <c r="L68" s="339" t="str">
        <f>IFERROR(IF(OR(J68='DICTIONARY-5'!$A$2,J68='DICTIONARY-5'!$A$4,ISBLANK(J68)),VLOOKUP(I68,LIST!$A$6:$M$3250,CURR_2.SEARCH.OLD,0),VLOOKUP(J68,LIST!$B$6:$M$3250,CURR_2.SEARCH.NEW,0)),'DICTIONARY-5'!$A$2)</f>
        <v/>
      </c>
    </row>
    <row r="69" spans="1:12" x14ac:dyDescent="0.25">
      <c r="A69" s="130">
        <v>100</v>
      </c>
      <c r="B69" s="130" t="s">
        <v>895</v>
      </c>
      <c r="C69" s="130" t="s">
        <v>911</v>
      </c>
      <c r="D69" s="130" t="s">
        <v>940</v>
      </c>
      <c r="E69" s="324" t="s">
        <v>4081</v>
      </c>
      <c r="F69" s="339" t="str">
        <f>IFERROR(IF(OR(E69='DICTIONARY-5'!$A$2,E69='DICTIONARY-5'!$A$4,ISBLANK(E69)),VLOOKUP(D69,LIST!$A$6:$L$3250,CURR_1.SEARCH.OLD,0),VLOOKUP(E69,LIST!$B$6:$L$3250,CURR_1.SEARCH.NEW,0)),'DICTIONARY-5'!$A$2)</f>
        <v>177,-</v>
      </c>
      <c r="G69" s="339" t="str">
        <f>IFERROR(IF(OR(E69='DICTIONARY-5'!$A$2,E69='DICTIONARY-5'!$A$4,ISBLANK(E69)),VLOOKUP(D69,LIST!$A$6:$M$3250,CURR_2.SEARCH.OLD,0),VLOOKUP(E69,LIST!$B$6:$M$3250,CURR_2.SEARCH.NEW,0)),'DICTIONARY-5'!$A$2)</f>
        <v/>
      </c>
      <c r="H69" s="130" t="s">
        <v>860</v>
      </c>
      <c r="I69" s="130" t="s">
        <v>941</v>
      </c>
      <c r="J69" s="324" t="s">
        <v>4085</v>
      </c>
      <c r="K69" s="339" t="str">
        <f>IFERROR(IF(OR(J69='DICTIONARY-5'!$A$2,J69='DICTIONARY-5'!$A$4,ISBLANK(J69)),VLOOKUP(I69,LIST!$A$6:$L$3250,CURR_1.SEARCH.OLD,0),VLOOKUP(J69,LIST!$B$6:$L$3250,CURR_1.SEARCH.NEW,0)),'DICTIONARY-5'!$A$2)</f>
        <v>181,-</v>
      </c>
      <c r="L69" s="339" t="str">
        <f>IFERROR(IF(OR(J69='DICTIONARY-5'!$A$2,J69='DICTIONARY-5'!$A$4,ISBLANK(J69)),VLOOKUP(I69,LIST!$A$6:$M$3250,CURR_2.SEARCH.OLD,0),VLOOKUP(J69,LIST!$B$6:$M$3250,CURR_2.SEARCH.NEW,0)),'DICTIONARY-5'!$A$2)</f>
        <v/>
      </c>
    </row>
    <row r="70" spans="1:12" x14ac:dyDescent="0.25">
      <c r="A70" s="130">
        <v>150</v>
      </c>
      <c r="B70" s="130" t="s">
        <v>898</v>
      </c>
      <c r="C70" s="130" t="s">
        <v>911</v>
      </c>
      <c r="D70" s="130" t="s">
        <v>942</v>
      </c>
      <c r="E70" s="324" t="s">
        <v>4082</v>
      </c>
      <c r="F70" s="339" t="str">
        <f>IFERROR(IF(OR(E70='DICTIONARY-5'!$A$2,E70='DICTIONARY-5'!$A$4,ISBLANK(E70)),VLOOKUP(D70,LIST!$A$6:$L$3250,CURR_1.SEARCH.OLD,0),VLOOKUP(E70,LIST!$B$6:$L$3250,CURR_1.SEARCH.NEW,0)),'DICTIONARY-5'!$A$2)</f>
        <v>205,-</v>
      </c>
      <c r="G70" s="339" t="str">
        <f>IFERROR(IF(OR(E70='DICTIONARY-5'!$A$2,E70='DICTIONARY-5'!$A$4,ISBLANK(E70)),VLOOKUP(D70,LIST!$A$6:$M$3250,CURR_2.SEARCH.OLD,0),VLOOKUP(E70,LIST!$B$6:$M$3250,CURR_2.SEARCH.NEW,0)),'DICTIONARY-5'!$A$2)</f>
        <v/>
      </c>
      <c r="H70" s="130" t="s">
        <v>860</v>
      </c>
      <c r="I70" s="130" t="s">
        <v>943</v>
      </c>
      <c r="J70" s="324" t="s">
        <v>4086</v>
      </c>
      <c r="K70" s="339" t="str">
        <f>IFERROR(IF(OR(J70='DICTIONARY-5'!$A$2,J70='DICTIONARY-5'!$A$4,ISBLANK(J70)),VLOOKUP(I70,LIST!$A$6:$L$3250,CURR_1.SEARCH.OLD,0),VLOOKUP(J70,LIST!$B$6:$L$3250,CURR_1.SEARCH.NEW,0)),'DICTIONARY-5'!$A$2)</f>
        <v>209,-</v>
      </c>
      <c r="L70" s="339" t="str">
        <f>IFERROR(IF(OR(J70='DICTIONARY-5'!$A$2,J70='DICTIONARY-5'!$A$4,ISBLANK(J70)),VLOOKUP(I70,LIST!$A$6:$M$3250,CURR_2.SEARCH.OLD,0),VLOOKUP(J70,LIST!$B$6:$M$3250,CURR_2.SEARCH.NEW,0)),'DICTIONARY-5'!$A$2)</f>
        <v/>
      </c>
    </row>
    <row r="71" spans="1:12" x14ac:dyDescent="0.25">
      <c r="A71" s="130">
        <v>200</v>
      </c>
      <c r="B71" s="130" t="s">
        <v>901</v>
      </c>
      <c r="C71" s="130" t="s">
        <v>911</v>
      </c>
      <c r="D71" s="130" t="s">
        <v>944</v>
      </c>
      <c r="E71" s="324" t="s">
        <v>4083</v>
      </c>
      <c r="F71" s="339" t="str">
        <f>IFERROR(IF(OR(E71='DICTIONARY-5'!$A$2,E71='DICTIONARY-5'!$A$4,ISBLANK(E71)),VLOOKUP(D71,LIST!$A$6:$L$3250,CURR_1.SEARCH.OLD,0),VLOOKUP(E71,LIST!$B$6:$L$3250,CURR_1.SEARCH.NEW,0)),'DICTIONARY-5'!$A$2)</f>
        <v>271,-</v>
      </c>
      <c r="G71" s="339" t="str">
        <f>IFERROR(IF(OR(E71='DICTIONARY-5'!$A$2,E71='DICTIONARY-5'!$A$4,ISBLANK(E71)),VLOOKUP(D71,LIST!$A$6:$M$3250,CURR_2.SEARCH.OLD,0),VLOOKUP(E71,LIST!$B$6:$M$3250,CURR_2.SEARCH.NEW,0)),'DICTIONARY-5'!$A$2)</f>
        <v/>
      </c>
      <c r="H71" s="130" t="s">
        <v>860</v>
      </c>
      <c r="I71" s="130" t="s">
        <v>945</v>
      </c>
      <c r="J71" s="324" t="s">
        <v>4087</v>
      </c>
      <c r="K71" s="339" t="str">
        <f>IFERROR(IF(OR(J71='DICTIONARY-5'!$A$2,J71='DICTIONARY-5'!$A$4,ISBLANK(J71)),VLOOKUP(I71,LIST!$A$6:$L$3250,CURR_1.SEARCH.OLD,0),VLOOKUP(J71,LIST!$B$6:$L$3250,CURR_1.SEARCH.NEW,0)),'DICTIONARY-5'!$A$2)</f>
        <v>274,-</v>
      </c>
      <c r="L71" s="339" t="str">
        <f>IFERROR(IF(OR(J71='DICTIONARY-5'!$A$2,J71='DICTIONARY-5'!$A$4,ISBLANK(J71)),VLOOKUP(I71,LIST!$A$6:$M$3250,CURR_2.SEARCH.OLD,0),VLOOKUP(J71,LIST!$B$6:$M$3250,CURR_2.SEARCH.NEW,0)),'DICTIONARY-5'!$A$2)</f>
        <v/>
      </c>
    </row>
    <row r="72" spans="1:12" x14ac:dyDescent="0.25">
      <c r="F72" s="119"/>
    </row>
    <row r="73" spans="1:12" x14ac:dyDescent="0.25">
      <c r="A73" s="706" t="str">
        <f>'DICTIONARY-2'!$A$2</f>
        <v>DN</v>
      </c>
      <c r="B73" s="706" t="str">
        <f>'DICTIONARY-2'!$A$5&amp;" 1)"</f>
        <v>Da 1)</v>
      </c>
      <c r="C73" s="126" t="str">
        <f>'DICTIONARY-2'!$A$26</f>
        <v>G</v>
      </c>
      <c r="D73" s="990" t="str">
        <f>'DICTIONARY-3'!$A$55&amp;'DICTIONARY-3'!$A$73</f>
        <v>HOD-G503</v>
      </c>
      <c r="E73" s="990"/>
      <c r="F73" s="990"/>
      <c r="G73" s="990"/>
      <c r="H73" s="126" t="str">
        <f>'DICTIONARY-2'!$A$26</f>
        <v>G</v>
      </c>
      <c r="I73" s="990" t="str">
        <f>'DICTIONARY-3'!$A$55&amp;'DICTIONARY-3'!$A$73</f>
        <v>HOD-G503</v>
      </c>
      <c r="J73" s="990"/>
      <c r="K73" s="990"/>
      <c r="L73" s="990"/>
    </row>
    <row r="74" spans="1:12" x14ac:dyDescent="0.25">
      <c r="A74" s="522" t="str">
        <f>'DICTIONARY-5'!$A$122</f>
        <v>rura</v>
      </c>
      <c r="B74" s="522" t="str">
        <f>'DICTIONARY-5'!$A$122</f>
        <v>rura</v>
      </c>
      <c r="C74" s="523"/>
      <c r="D74" s="991" t="str">
        <f>'DICTIONARY-5'!$A$126</f>
        <v>żeliwna zasuwa</v>
      </c>
      <c r="E74" s="991"/>
      <c r="F74" s="991"/>
      <c r="G74" s="991"/>
      <c r="H74" s="523"/>
      <c r="I74" s="991" t="str">
        <f>'DICTIONARY-5'!$A$126</f>
        <v>żeliwna zasuwa</v>
      </c>
      <c r="J74" s="991"/>
      <c r="K74" s="991"/>
      <c r="L74" s="991"/>
    </row>
    <row r="75" spans="1:12" x14ac:dyDescent="0.25">
      <c r="A75" s="127"/>
      <c r="B75" s="127" t="str">
        <f>'DICTIONARY-2'!$A$18</f>
        <v>[mm]</v>
      </c>
      <c r="C75" s="127"/>
      <c r="D75" s="128" t="str">
        <f>'DICTIONARY-2'!$A$28</f>
        <v>stary nr zamówienia</v>
      </c>
      <c r="E75" s="128" t="str">
        <f>'DICTIONARY-2'!$A$29</f>
        <v>nowy nr zamówienia</v>
      </c>
      <c r="F75" s="117" t="str">
        <f>CURRENCY.CODE_1</f>
        <v>EUR</v>
      </c>
      <c r="G75" s="117" t="str">
        <f>CURRENCY.CODE_2</f>
        <v>---</v>
      </c>
      <c r="H75" s="127"/>
      <c r="I75" s="128" t="str">
        <f>'DICTIONARY-2'!$A$28</f>
        <v>stary nr zamówienia</v>
      </c>
      <c r="J75" s="128" t="str">
        <f>'DICTIONARY-2'!$A$29</f>
        <v>nowy nr zamówienia</v>
      </c>
      <c r="K75" s="117" t="str">
        <f>CURRENCY.CODE_1</f>
        <v>EUR</v>
      </c>
      <c r="L75" s="117" t="str">
        <f>CURRENCY.CODE_2</f>
        <v>---</v>
      </c>
    </row>
    <row r="76" spans="1:12" x14ac:dyDescent="0.25">
      <c r="A76" s="130">
        <v>80</v>
      </c>
      <c r="B76" s="130" t="s">
        <v>891</v>
      </c>
      <c r="C76" s="130" t="s">
        <v>893</v>
      </c>
      <c r="D76" s="130" t="s">
        <v>946</v>
      </c>
      <c r="E76" s="324" t="s">
        <v>4088</v>
      </c>
      <c r="F76" s="339" t="str">
        <f>IFERROR(IF(OR(E76='DICTIONARY-5'!$A$2,E76='DICTIONARY-5'!$A$4,ISBLANK(E76)),VLOOKUP(D76,LIST!$A$6:$L$3250,CURR_1.SEARCH.OLD,0),VLOOKUP(E76,LIST!$B$6:$L$3250,CURR_1.SEARCH.NEW,0)),'DICTIONARY-5'!$A$2)</f>
        <v>245,-</v>
      </c>
      <c r="G76" s="339" t="str">
        <f>IFERROR(IF(OR(E76='DICTIONARY-5'!$A$2,E76='DICTIONARY-5'!$A$4,ISBLANK(E76)),VLOOKUP(D76,LIST!$A$6:$M$3250,CURR_2.SEARCH.OLD,0),VLOOKUP(E76,LIST!$B$6:$M$3250,CURR_2.SEARCH.NEW,0)),'DICTIONARY-5'!$A$2)</f>
        <v/>
      </c>
      <c r="H76" s="130" t="s">
        <v>904</v>
      </c>
      <c r="I76" s="497" t="s">
        <v>947</v>
      </c>
      <c r="J76" s="327" t="s">
        <v>4093</v>
      </c>
      <c r="K76" s="339" t="str">
        <f>IFERROR(IF(OR(J76='DICTIONARY-5'!$A$2,J76='DICTIONARY-5'!$A$4,ISBLANK(J76)),VLOOKUP(I76,LIST!$A$6:$L$3250,CURR_1.SEARCH.OLD,0),VLOOKUP(J76,LIST!$B$6:$L$3250,CURR_1.SEARCH.NEW,0)),'DICTIONARY-5'!$A$2)</f>
        <v>246,-</v>
      </c>
      <c r="L76" s="339" t="str">
        <f>IFERROR(IF(OR(J76='DICTIONARY-5'!$A$2,J76='DICTIONARY-5'!$A$4,ISBLANK(J76)),VLOOKUP(I76,LIST!$A$6:$M$3250,CURR_2.SEARCH.OLD,0),VLOOKUP(J76,LIST!$B$6:$M$3250,CURR_2.SEARCH.NEW,0)),'DICTIONARY-5'!$A$2)</f>
        <v/>
      </c>
    </row>
    <row r="77" spans="1:12" x14ac:dyDescent="0.25">
      <c r="A77" s="130">
        <v>100</v>
      </c>
      <c r="B77" s="130" t="s">
        <v>895</v>
      </c>
      <c r="C77" s="130" t="s">
        <v>893</v>
      </c>
      <c r="D77" s="130" t="s">
        <v>948</v>
      </c>
      <c r="E77" s="324" t="s">
        <v>4089</v>
      </c>
      <c r="F77" s="339" t="str">
        <f>IFERROR(IF(OR(E77='DICTIONARY-5'!$A$2,E77='DICTIONARY-5'!$A$4,ISBLANK(E77)),VLOOKUP(D77,LIST!$A$6:$L$3250,CURR_1.SEARCH.OLD,0),VLOOKUP(E77,LIST!$B$6:$L$3250,CURR_1.SEARCH.NEW,0)),'DICTIONARY-5'!$A$2)</f>
        <v>241,-</v>
      </c>
      <c r="G77" s="339" t="str">
        <f>IFERROR(IF(OR(E77='DICTIONARY-5'!$A$2,E77='DICTIONARY-5'!$A$4,ISBLANK(E77)),VLOOKUP(D77,LIST!$A$6:$M$3250,CURR_2.SEARCH.OLD,0),VLOOKUP(E77,LIST!$B$6:$M$3250,CURR_2.SEARCH.NEW,0)),'DICTIONARY-5'!$A$2)</f>
        <v/>
      </c>
      <c r="H77" s="130" t="s">
        <v>904</v>
      </c>
      <c r="I77" s="497" t="s">
        <v>949</v>
      </c>
      <c r="J77" s="327" t="s">
        <v>4094</v>
      </c>
      <c r="K77" s="339" t="str">
        <f>IFERROR(IF(OR(J77='DICTIONARY-5'!$A$2,J77='DICTIONARY-5'!$A$4,ISBLANK(J77)),VLOOKUP(I77,LIST!$A$6:$L$3250,CURR_1.SEARCH.OLD,0),VLOOKUP(J77,LIST!$B$6:$L$3250,CURR_1.SEARCH.NEW,0)),'DICTIONARY-5'!$A$2)</f>
        <v>243,-</v>
      </c>
      <c r="L77" s="339" t="str">
        <f>IFERROR(IF(OR(J77='DICTIONARY-5'!$A$2,J77='DICTIONARY-5'!$A$4,ISBLANK(J77)),VLOOKUP(I77,LIST!$A$6:$M$3250,CURR_2.SEARCH.OLD,0),VLOOKUP(J77,LIST!$B$6:$M$3250,CURR_2.SEARCH.NEW,0)),'DICTIONARY-5'!$A$2)</f>
        <v/>
      </c>
    </row>
    <row r="78" spans="1:12" x14ac:dyDescent="0.25">
      <c r="A78" s="130">
        <v>150</v>
      </c>
      <c r="B78" s="130" t="s">
        <v>898</v>
      </c>
      <c r="C78" s="130" t="s">
        <v>893</v>
      </c>
      <c r="D78" s="130" t="s">
        <v>950</v>
      </c>
      <c r="E78" s="324" t="s">
        <v>4090</v>
      </c>
      <c r="F78" s="339" t="str">
        <f>IFERROR(IF(OR(E78='DICTIONARY-5'!$A$2,E78='DICTIONARY-5'!$A$4,ISBLANK(E78)),VLOOKUP(D78,LIST!$A$6:$L$3250,CURR_1.SEARCH.OLD,0),VLOOKUP(E78,LIST!$B$6:$L$3250,CURR_1.SEARCH.NEW,0)),'DICTIONARY-5'!$A$2)</f>
        <v>257,-</v>
      </c>
      <c r="G78" s="339" t="str">
        <f>IFERROR(IF(OR(E78='DICTIONARY-5'!$A$2,E78='DICTIONARY-5'!$A$4,ISBLANK(E78)),VLOOKUP(D78,LIST!$A$6:$M$3250,CURR_2.SEARCH.OLD,0),VLOOKUP(E78,LIST!$B$6:$M$3250,CURR_2.SEARCH.NEW,0)),'DICTIONARY-5'!$A$2)</f>
        <v/>
      </c>
      <c r="H78" s="130" t="s">
        <v>904</v>
      </c>
      <c r="I78" s="497" t="s">
        <v>951</v>
      </c>
      <c r="J78" s="327" t="s">
        <v>4095</v>
      </c>
      <c r="K78" s="339" t="str">
        <f>IFERROR(IF(OR(J78='DICTIONARY-5'!$A$2,J78='DICTIONARY-5'!$A$4,ISBLANK(J78)),VLOOKUP(I78,LIST!$A$6:$L$3250,CURR_1.SEARCH.OLD,0),VLOOKUP(J78,LIST!$B$6:$L$3250,CURR_1.SEARCH.NEW,0)),'DICTIONARY-5'!$A$2)</f>
        <v>258,-</v>
      </c>
      <c r="L78" s="339" t="str">
        <f>IFERROR(IF(OR(J78='DICTIONARY-5'!$A$2,J78='DICTIONARY-5'!$A$4,ISBLANK(J78)),VLOOKUP(I78,LIST!$A$6:$M$3250,CURR_2.SEARCH.OLD,0),VLOOKUP(J78,LIST!$B$6:$M$3250,CURR_2.SEARCH.NEW,0)),'DICTIONARY-5'!$A$2)</f>
        <v/>
      </c>
    </row>
    <row r="79" spans="1:12" x14ac:dyDescent="0.25">
      <c r="A79" s="130">
        <v>200</v>
      </c>
      <c r="B79" s="130" t="s">
        <v>901</v>
      </c>
      <c r="C79" s="130" t="s">
        <v>893</v>
      </c>
      <c r="D79" s="130" t="s">
        <v>952</v>
      </c>
      <c r="E79" s="324" t="s">
        <v>4091</v>
      </c>
      <c r="F79" s="339" t="str">
        <f>IFERROR(IF(OR(E79='DICTIONARY-5'!$A$2,E79='DICTIONARY-5'!$A$4,ISBLANK(E79)),VLOOKUP(D79,LIST!$A$6:$L$3250,CURR_1.SEARCH.OLD,0),VLOOKUP(E79,LIST!$B$6:$L$3250,CURR_1.SEARCH.NEW,0)),'DICTIONARY-5'!$A$2)</f>
        <v>295,-</v>
      </c>
      <c r="G79" s="339" t="str">
        <f>IFERROR(IF(OR(E79='DICTIONARY-5'!$A$2,E79='DICTIONARY-5'!$A$4,ISBLANK(E79)),VLOOKUP(D79,LIST!$A$6:$M$3250,CURR_2.SEARCH.OLD,0),VLOOKUP(E79,LIST!$B$6:$M$3250,CURR_2.SEARCH.NEW,0)),'DICTIONARY-5'!$A$2)</f>
        <v/>
      </c>
      <c r="H79" s="130" t="s">
        <v>904</v>
      </c>
      <c r="I79" s="497" t="s">
        <v>953</v>
      </c>
      <c r="J79" s="327" t="s">
        <v>4096</v>
      </c>
      <c r="K79" s="339" t="str">
        <f>IFERROR(IF(OR(J79='DICTIONARY-5'!$A$2,J79='DICTIONARY-5'!$A$4,ISBLANK(J79)),VLOOKUP(I79,LIST!$A$6:$L$3250,CURR_1.SEARCH.OLD,0),VLOOKUP(J79,LIST!$B$6:$L$3250,CURR_1.SEARCH.NEW,0)),'DICTIONARY-5'!$A$2)</f>
        <v>296,-</v>
      </c>
      <c r="L79" s="339" t="str">
        <f>IFERROR(IF(OR(J79='DICTIONARY-5'!$A$2,J79='DICTIONARY-5'!$A$4,ISBLANK(J79)),VLOOKUP(I79,LIST!$A$6:$M$3250,CURR_2.SEARCH.OLD,0),VLOOKUP(J79,LIST!$B$6:$M$3250,CURR_2.SEARCH.NEW,0)),'DICTIONARY-5'!$A$2)</f>
        <v/>
      </c>
    </row>
    <row r="80" spans="1:12" x14ac:dyDescent="0.25">
      <c r="A80" s="130">
        <v>300</v>
      </c>
      <c r="B80" s="130" t="s">
        <v>909</v>
      </c>
      <c r="C80" s="130" t="s">
        <v>893</v>
      </c>
      <c r="D80" s="130" t="s">
        <v>954</v>
      </c>
      <c r="E80" s="326" t="s">
        <v>4092</v>
      </c>
      <c r="F80" s="339" t="str">
        <f>IFERROR(IF(OR(E80='DICTIONARY-5'!$A$2,E80='DICTIONARY-5'!$A$4,ISBLANK(E80)),VLOOKUP(D80,LIST!$A$6:$L$3250,CURR_1.SEARCH.OLD,0),VLOOKUP(E80,LIST!$B$6:$L$3250,CURR_1.SEARCH.NEW,0)),'DICTIONARY-5'!$A$2)</f>
        <v>499,-</v>
      </c>
      <c r="G80" s="339" t="str">
        <f>IFERROR(IF(OR(E80='DICTIONARY-5'!$A$2,E80='DICTIONARY-5'!$A$4,ISBLANK(E80)),VLOOKUP(D80,LIST!$A$6:$M$3250,CURR_2.SEARCH.OLD,0),VLOOKUP(E80,LIST!$B$6:$M$3250,CURR_2.SEARCH.NEW,0)),'DICTIONARY-5'!$A$2)</f>
        <v/>
      </c>
      <c r="H80" s="130" t="s">
        <v>904</v>
      </c>
      <c r="I80" s="130" t="s">
        <v>955</v>
      </c>
      <c r="J80" s="326" t="s">
        <v>4097</v>
      </c>
      <c r="K80" s="339" t="str">
        <f>IFERROR(IF(OR(J80='DICTIONARY-5'!$A$2,J80='DICTIONARY-5'!$A$4,ISBLANK(J80)),VLOOKUP(I80,LIST!$A$6:$L$3250,CURR_1.SEARCH.OLD,0),VLOOKUP(J80,LIST!$B$6:$L$3250,CURR_1.SEARCH.NEW,0)),'DICTIONARY-5'!$A$2)</f>
        <v>500,-</v>
      </c>
      <c r="L80" s="339" t="str">
        <f>IFERROR(IF(OR(J80='DICTIONARY-5'!$A$2,J80='DICTIONARY-5'!$A$4,ISBLANK(J80)),VLOOKUP(I80,LIST!$A$6:$M$3250,CURR_2.SEARCH.OLD,0),VLOOKUP(J80,LIST!$B$6:$M$3250,CURR_2.SEARCH.NEW,0)),'DICTIONARY-5'!$A$2)</f>
        <v/>
      </c>
    </row>
    <row r="81" spans="1:12" x14ac:dyDescent="0.25">
      <c r="F81" s="119"/>
    </row>
    <row r="82" spans="1:12" x14ac:dyDescent="0.25">
      <c r="A82" s="120" t="str">
        <f>"1) "&amp;'DICTIONARY-5'!$A$75</f>
        <v>1) Zewnętrzna średnica rury nawierconej</v>
      </c>
      <c r="F82" s="119"/>
    </row>
    <row r="86" spans="1:12" ht="16.5" thickBot="1" x14ac:dyDescent="0.3">
      <c r="A86" s="134" t="str">
        <f>CONCATENATE('DICTIONARY-3'!$A$57," ",'DICTIONARY-3'!$A$196," / ",'DICTIONARY-3'!$A$291," ",LOWER('DICTIONARY-3'!$A$295)," ",'DICTIONARY-3'!$A$298)</f>
        <v>HOD-G Mostek nawiertowy / Z zaworem  z końcówką dla rur PE, PP i PEX</v>
      </c>
      <c r="B86" s="134"/>
      <c r="C86" s="135"/>
      <c r="D86" s="136"/>
      <c r="E86" s="136"/>
      <c r="F86" s="136"/>
      <c r="G86" s="136"/>
      <c r="H86" s="136"/>
      <c r="I86" s="136"/>
      <c r="J86" s="136"/>
      <c r="K86" s="137"/>
      <c r="L86" s="136"/>
    </row>
    <row r="87" spans="1:12" x14ac:dyDescent="0.25">
      <c r="A87" s="122" t="str">
        <f>'DICTIONARY-3'!$A$301</f>
        <v>Dla rur z żeliwa sferoidalnego</v>
      </c>
      <c r="F87" s="119"/>
      <c r="K87" s="120"/>
    </row>
    <row r="88" spans="1:12" x14ac:dyDescent="0.25">
      <c r="A88" s="122" t="str">
        <f>CONCATENATE('DICTIONARY-1'!$A$10,": ",SETTINGS!$C$27)</f>
        <v>Grupa rabatowa: HOD</v>
      </c>
      <c r="F88" s="119"/>
      <c r="K88" s="120"/>
    </row>
    <row r="89" spans="1:12" x14ac:dyDescent="0.25">
      <c r="F89" s="119"/>
      <c r="K89" s="120"/>
    </row>
    <row r="90" spans="1:12" x14ac:dyDescent="0.25">
      <c r="A90" s="706" t="str">
        <f>'DICTIONARY-2'!$A$2</f>
        <v>DN</v>
      </c>
      <c r="B90" s="706" t="str">
        <f>'DICTIONARY-2'!$A$5&amp;" 1)"</f>
        <v>Da 1)</v>
      </c>
      <c r="C90" s="126" t="str">
        <f>'DICTIONARY-2'!$A$27&amp;" 2)"</f>
        <v>d 2)</v>
      </c>
      <c r="D90" s="990" t="str">
        <f>'DICTIONARY-3'!$A$55&amp;'DICTIONARY-3'!$A$75</f>
        <v>HOD-G512</v>
      </c>
      <c r="E90" s="990"/>
      <c r="F90" s="990"/>
      <c r="G90" s="990"/>
      <c r="H90" s="126" t="str">
        <f>'DICTIONARY-2'!$A$27&amp;" 2)"</f>
        <v>d 2)</v>
      </c>
      <c r="I90" s="990" t="str">
        <f>'DICTIONARY-3'!$A$55&amp;'DICTIONARY-3'!$A$76</f>
        <v>HOD-G517</v>
      </c>
      <c r="J90" s="990"/>
      <c r="K90" s="990"/>
      <c r="L90" s="990"/>
    </row>
    <row r="91" spans="1:12" x14ac:dyDescent="0.25">
      <c r="A91" s="522" t="str">
        <f>'DICTIONARY-5'!$A$122</f>
        <v>rura</v>
      </c>
      <c r="B91" s="522" t="str">
        <f>'DICTIONARY-5'!$A$122</f>
        <v>rura</v>
      </c>
      <c r="C91" s="523"/>
      <c r="D91" s="991" t="str">
        <f>'DICTIONARY-5'!$A$125&amp;" + "&amp;'DICTIONARY-5'!$A$128</f>
        <v>mosiężny zawór kulowy + końcówka</v>
      </c>
      <c r="E91" s="991"/>
      <c r="F91" s="991"/>
      <c r="G91" s="991"/>
      <c r="H91" s="523"/>
      <c r="I91" s="991" t="str">
        <f>'DICTIONARY-5'!$A$127&amp;" + "&amp;'DICTIONARY-5'!$A$128</f>
        <v>mosiężna zasuwa + końcówka</v>
      </c>
      <c r="J91" s="991"/>
      <c r="K91" s="991"/>
      <c r="L91" s="991"/>
    </row>
    <row r="92" spans="1:12" x14ac:dyDescent="0.25">
      <c r="A92" s="127"/>
      <c r="B92" s="127" t="str">
        <f>'DICTIONARY-2'!$A$18</f>
        <v>[mm]</v>
      </c>
      <c r="C92" s="127" t="str">
        <f>'DICTIONARY-2'!$A$18</f>
        <v>[mm]</v>
      </c>
      <c r="D92" s="128" t="str">
        <f>'DICTIONARY-2'!$A$28</f>
        <v>stary nr zamówienia</v>
      </c>
      <c r="E92" s="128" t="str">
        <f>'DICTIONARY-2'!$A$29</f>
        <v>nowy nr zamówienia</v>
      </c>
      <c r="F92" s="117" t="str">
        <f>CURRENCY.CODE_1</f>
        <v>EUR</v>
      </c>
      <c r="G92" s="117" t="str">
        <f>CURRENCY.CODE_2</f>
        <v>---</v>
      </c>
      <c r="H92" s="127" t="str">
        <f>'DICTIONARY-2'!$A$18</f>
        <v>[mm]</v>
      </c>
      <c r="I92" s="128" t="str">
        <f>'DICTIONARY-2'!$A$28</f>
        <v>stary nr zamówienia</v>
      </c>
      <c r="J92" s="128" t="str">
        <f>'DICTIONARY-2'!$A$29</f>
        <v>nowy nr zamówienia</v>
      </c>
      <c r="K92" s="117" t="str">
        <f>CURRENCY.CODE_1</f>
        <v>EUR</v>
      </c>
      <c r="L92" s="117" t="str">
        <f>CURRENCY.CODE_2</f>
        <v>---</v>
      </c>
    </row>
    <row r="93" spans="1:12" x14ac:dyDescent="0.25">
      <c r="A93" s="130">
        <v>80</v>
      </c>
      <c r="B93" s="495" t="s">
        <v>891</v>
      </c>
      <c r="C93" s="130">
        <v>32</v>
      </c>
      <c r="D93" s="130" t="s">
        <v>956</v>
      </c>
      <c r="E93" s="324" t="s">
        <v>4144</v>
      </c>
      <c r="F93" s="339" t="str">
        <f>IFERROR(IF(OR(E93='DICTIONARY-5'!$A$2,E93='DICTIONARY-5'!$A$4,ISBLANK(E93)),VLOOKUP(D93,LIST!$A$6:$L$3250,CURR_1.SEARCH.OLD,0),VLOOKUP(E93,LIST!$B$6:$L$3250,CURR_1.SEARCH.NEW,0)),'DICTIONARY-5'!$A$2)</f>
        <v>131,-</v>
      </c>
      <c r="G93" s="339" t="str">
        <f>IFERROR(IF(OR(E93='DICTIONARY-5'!$A$2,E93='DICTIONARY-5'!$A$4,ISBLANK(E93)),VLOOKUP(D93,LIST!$A$6:$M$3250,CURR_2.SEARCH.OLD,0),VLOOKUP(E93,LIST!$B$6:$M$3250,CURR_2.SEARCH.NEW,0)),'DICTIONARY-5'!$A$2)</f>
        <v/>
      </c>
      <c r="H93" s="130">
        <v>32</v>
      </c>
      <c r="I93" s="130" t="s">
        <v>957</v>
      </c>
      <c r="J93" s="324" t="s">
        <v>4154</v>
      </c>
      <c r="K93" s="339" t="str">
        <f>IFERROR(IF(OR(J93='DICTIONARY-5'!$A$2,J93='DICTIONARY-5'!$A$4,ISBLANK(J93)),VLOOKUP(I93,LIST!$A$6:$L$3250,CURR_1.SEARCH.OLD,0),VLOOKUP(J93,LIST!$B$6:$L$3250,CURR_1.SEARCH.NEW,0)),'DICTIONARY-5'!$A$2)</f>
        <v>168,-</v>
      </c>
      <c r="L93" s="339" t="str">
        <f>IFERROR(IF(OR(J93='DICTIONARY-5'!$A$2,J93='DICTIONARY-5'!$A$4,ISBLANK(J93)),VLOOKUP(I93,LIST!$A$6:$M$3250,CURR_2.SEARCH.OLD,0),VLOOKUP(J93,LIST!$B$6:$M$3250,CURR_2.SEARCH.NEW,0)),'DICTIONARY-5'!$A$2)</f>
        <v/>
      </c>
    </row>
    <row r="94" spans="1:12" x14ac:dyDescent="0.25">
      <c r="A94" s="130">
        <v>100</v>
      </c>
      <c r="B94" s="130" t="s">
        <v>895</v>
      </c>
      <c r="C94" s="130">
        <v>32</v>
      </c>
      <c r="D94" s="130" t="s">
        <v>958</v>
      </c>
      <c r="E94" s="324" t="s">
        <v>4145</v>
      </c>
      <c r="F94" s="339" t="str">
        <f>IFERROR(IF(OR(E94='DICTIONARY-5'!$A$2,E94='DICTIONARY-5'!$A$4,ISBLANK(E94)),VLOOKUP(D94,LIST!$A$6:$L$3250,CURR_1.SEARCH.OLD,0),VLOOKUP(E94,LIST!$B$6:$L$3250,CURR_1.SEARCH.NEW,0)),'DICTIONARY-5'!$A$2)</f>
        <v>106,-</v>
      </c>
      <c r="G94" s="339" t="str">
        <f>IFERROR(IF(OR(E94='DICTIONARY-5'!$A$2,E94='DICTIONARY-5'!$A$4,ISBLANK(E94)),VLOOKUP(D94,LIST!$A$6:$M$3250,CURR_2.SEARCH.OLD,0),VLOOKUP(E94,LIST!$B$6:$M$3250,CURR_2.SEARCH.NEW,0)),'DICTIONARY-5'!$A$2)</f>
        <v/>
      </c>
      <c r="H94" s="130">
        <v>32</v>
      </c>
      <c r="I94" s="130" t="s">
        <v>959</v>
      </c>
      <c r="J94" s="324" t="s">
        <v>4155</v>
      </c>
      <c r="K94" s="339" t="str">
        <f>IFERROR(IF(OR(J94='DICTIONARY-5'!$A$2,J94='DICTIONARY-5'!$A$4,ISBLANK(J94)),VLOOKUP(I94,LIST!$A$6:$L$3250,CURR_1.SEARCH.OLD,0),VLOOKUP(J94,LIST!$B$6:$L$3250,CURR_1.SEARCH.NEW,0)),'DICTIONARY-5'!$A$2)</f>
        <v>144,-</v>
      </c>
      <c r="L94" s="339" t="str">
        <f>IFERROR(IF(OR(J94='DICTIONARY-5'!$A$2,J94='DICTIONARY-5'!$A$4,ISBLANK(J94)),VLOOKUP(I94,LIST!$A$6:$M$3250,CURR_2.SEARCH.OLD,0),VLOOKUP(J94,LIST!$B$6:$M$3250,CURR_2.SEARCH.NEW,0)),'DICTIONARY-5'!$A$2)</f>
        <v/>
      </c>
    </row>
    <row r="95" spans="1:12" x14ac:dyDescent="0.25">
      <c r="A95" s="130">
        <v>150</v>
      </c>
      <c r="B95" s="130" t="s">
        <v>898</v>
      </c>
      <c r="C95" s="130">
        <v>32</v>
      </c>
      <c r="D95" s="130" t="s">
        <v>960</v>
      </c>
      <c r="E95" s="324" t="s">
        <v>4146</v>
      </c>
      <c r="F95" s="339" t="str">
        <f>IFERROR(IF(OR(E95='DICTIONARY-5'!$A$2,E95='DICTIONARY-5'!$A$4,ISBLANK(E95)),VLOOKUP(D95,LIST!$A$6:$L$3250,CURR_1.SEARCH.OLD,0),VLOOKUP(E95,LIST!$B$6:$L$3250,CURR_1.SEARCH.NEW,0)),'DICTIONARY-5'!$A$2)</f>
        <v>134,-</v>
      </c>
      <c r="G95" s="339" t="str">
        <f>IFERROR(IF(OR(E95='DICTIONARY-5'!$A$2,E95='DICTIONARY-5'!$A$4,ISBLANK(E95)),VLOOKUP(D95,LIST!$A$6:$M$3250,CURR_2.SEARCH.OLD,0),VLOOKUP(E95,LIST!$B$6:$M$3250,CURR_2.SEARCH.NEW,0)),'DICTIONARY-5'!$A$2)</f>
        <v/>
      </c>
      <c r="H95" s="130">
        <v>32</v>
      </c>
      <c r="I95" s="130" t="s">
        <v>961</v>
      </c>
      <c r="J95" s="324" t="s">
        <v>4156</v>
      </c>
      <c r="K95" s="339" t="str">
        <f>IFERROR(IF(OR(J95='DICTIONARY-5'!$A$2,J95='DICTIONARY-5'!$A$4,ISBLANK(J95)),VLOOKUP(I95,LIST!$A$6:$L$3250,CURR_1.SEARCH.OLD,0),VLOOKUP(J95,LIST!$B$6:$L$3250,CURR_1.SEARCH.NEW,0)),'DICTIONARY-5'!$A$2)</f>
        <v>172,-</v>
      </c>
      <c r="L95" s="339" t="str">
        <f>IFERROR(IF(OR(J95='DICTIONARY-5'!$A$2,J95='DICTIONARY-5'!$A$4,ISBLANK(J95)),VLOOKUP(I95,LIST!$A$6:$M$3250,CURR_2.SEARCH.OLD,0),VLOOKUP(J95,LIST!$B$6:$M$3250,CURR_2.SEARCH.NEW,0)),'DICTIONARY-5'!$A$2)</f>
        <v/>
      </c>
    </row>
    <row r="96" spans="1:12" x14ac:dyDescent="0.25">
      <c r="A96" s="130">
        <v>200</v>
      </c>
      <c r="B96" s="130" t="s">
        <v>901</v>
      </c>
      <c r="C96" s="130">
        <v>32</v>
      </c>
      <c r="D96" s="130" t="s">
        <v>962</v>
      </c>
      <c r="E96" s="324" t="s">
        <v>4147</v>
      </c>
      <c r="F96" s="339" t="str">
        <f>IFERROR(IF(OR(E96='DICTIONARY-5'!$A$2,E96='DICTIONARY-5'!$A$4,ISBLANK(E96)),VLOOKUP(D96,LIST!$A$6:$L$3250,CURR_1.SEARCH.OLD,0),VLOOKUP(E96,LIST!$B$6:$L$3250,CURR_1.SEARCH.NEW,0)),'DICTIONARY-5'!$A$2)</f>
        <v>198,-</v>
      </c>
      <c r="G96" s="339" t="str">
        <f>IFERROR(IF(OR(E96='DICTIONARY-5'!$A$2,E96='DICTIONARY-5'!$A$4,ISBLANK(E96)),VLOOKUP(D96,LIST!$A$6:$M$3250,CURR_2.SEARCH.OLD,0),VLOOKUP(E96,LIST!$B$6:$M$3250,CURR_2.SEARCH.NEW,0)),'DICTIONARY-5'!$A$2)</f>
        <v/>
      </c>
      <c r="H96" s="130">
        <v>32</v>
      </c>
      <c r="I96" s="130" t="s">
        <v>963</v>
      </c>
      <c r="J96" s="324" t="s">
        <v>4157</v>
      </c>
      <c r="K96" s="339" t="str">
        <f>IFERROR(IF(OR(J96='DICTIONARY-5'!$A$2,J96='DICTIONARY-5'!$A$4,ISBLANK(J96)),VLOOKUP(I96,LIST!$A$6:$L$3250,CURR_1.SEARCH.OLD,0),VLOOKUP(J96,LIST!$B$6:$L$3250,CURR_1.SEARCH.NEW,0)),'DICTIONARY-5'!$A$2)</f>
        <v>236,-</v>
      </c>
      <c r="L96" s="339" t="str">
        <f>IFERROR(IF(OR(J96='DICTIONARY-5'!$A$2,J96='DICTIONARY-5'!$A$4,ISBLANK(J96)),VLOOKUP(I96,LIST!$A$6:$M$3250,CURR_2.SEARCH.OLD,0),VLOOKUP(J96,LIST!$B$6:$M$3250,CURR_2.SEARCH.NEW,0)),'DICTIONARY-5'!$A$2)</f>
        <v/>
      </c>
    </row>
    <row r="97" spans="1:11" x14ac:dyDescent="0.25">
      <c r="F97" s="119"/>
      <c r="K97" s="120"/>
    </row>
    <row r="98" spans="1:11" x14ac:dyDescent="0.25">
      <c r="A98" s="120" t="str">
        <f>"1) "&amp;'DICTIONARY-5'!$A$75</f>
        <v>1) Zewnętrzna średnica rury nawierconej</v>
      </c>
      <c r="F98" s="119"/>
      <c r="K98" s="120"/>
    </row>
    <row r="99" spans="1:11" x14ac:dyDescent="0.25">
      <c r="A99" s="120" t="str">
        <f>"2) "&amp;'DICTIONARY-5'!$A$129</f>
        <v>2) Wewnętrzna średnica końcówki</v>
      </c>
    </row>
  </sheetData>
  <sheetProtection algorithmName="SHA-512" hashValue="Sr1q22Jc655UhulFVyUwwpckTKTA3NXtHc4RnMFWJ5D00ukDVtTI6Y6XZeUoIcNy+mRQqtEggCUSraUj2iu0ZQ==" saltValue="yMw3baYcJxyhs56vfqdCgQ==" spinCount="100000" sheet="1" objects="1" scenarios="1" autoFilter="0"/>
  <mergeCells count="31">
    <mergeCell ref="B4:E4"/>
    <mergeCell ref="I73:L73"/>
    <mergeCell ref="D90:G90"/>
    <mergeCell ref="D66:G66"/>
    <mergeCell ref="I66:L66"/>
    <mergeCell ref="D74:G74"/>
    <mergeCell ref="I74:L74"/>
    <mergeCell ref="D10:G10"/>
    <mergeCell ref="I10:L10"/>
    <mergeCell ref="D19:G19"/>
    <mergeCell ref="D36:G36"/>
    <mergeCell ref="I36:L36"/>
    <mergeCell ref="D11:G11"/>
    <mergeCell ref="I11:L11"/>
    <mergeCell ref="D20:G20"/>
    <mergeCell ref="D91:G91"/>
    <mergeCell ref="I91:L91"/>
    <mergeCell ref="D37:G37"/>
    <mergeCell ref="I37:L37"/>
    <mergeCell ref="I45:L45"/>
    <mergeCell ref="D45:G45"/>
    <mergeCell ref="D56:G56"/>
    <mergeCell ref="I56:L56"/>
    <mergeCell ref="D44:G44"/>
    <mergeCell ref="I44:L44"/>
    <mergeCell ref="D55:G55"/>
    <mergeCell ref="I55:L55"/>
    <mergeCell ref="D65:G65"/>
    <mergeCell ref="I65:L65"/>
    <mergeCell ref="I90:L90"/>
    <mergeCell ref="D73:G7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4">
    <tabColor rgb="FF0F6E23"/>
  </sheetPr>
  <dimension ref="A1:Q106"/>
  <sheetViews>
    <sheetView workbookViewId="0"/>
  </sheetViews>
  <sheetFormatPr defaultColWidth="9.140625" defaultRowHeight="15" x14ac:dyDescent="0.25"/>
  <cols>
    <col min="1" max="2" width="11.42578125" style="120" customWidth="1"/>
    <col min="3" max="3" width="7.140625" style="120" customWidth="1"/>
    <col min="4" max="5" width="22.140625" style="120" customWidth="1"/>
    <col min="6" max="7" width="12.85546875" style="120" customWidth="1"/>
    <col min="8" max="8" width="7.140625" style="120" customWidth="1"/>
    <col min="9" max="10" width="22.140625" style="120" customWidth="1"/>
    <col min="11" max="11" width="12.85546875" style="119" customWidth="1"/>
    <col min="12" max="12" width="12.85546875" style="120" customWidth="1"/>
    <col min="13" max="16384" width="9.140625" style="120"/>
  </cols>
  <sheetData>
    <row r="1" spans="1:12" s="412" customFormat="1" ht="45" customHeight="1" thickBot="1" x14ac:dyDescent="0.3">
      <c r="A1" s="431"/>
      <c r="B1" s="431"/>
      <c r="C1" s="431"/>
      <c r="D1" s="431"/>
      <c r="K1" s="413"/>
    </row>
    <row r="2" spans="1:12" s="473" customFormat="1" ht="4.5" customHeight="1" x14ac:dyDescent="0.25">
      <c r="A2" s="470"/>
      <c r="K2" s="474"/>
    </row>
    <row r="3" spans="1:12" ht="15.75" thickBot="1" x14ac:dyDescent="0.3">
      <c r="A3" s="115"/>
      <c r="B3" s="116"/>
      <c r="C3" s="116"/>
    </row>
    <row r="4" spans="1:12" ht="15.75" thickBot="1" x14ac:dyDescent="0.3">
      <c r="A4" s="825">
        <f>ADD.DISCOUNT</f>
        <v>0</v>
      </c>
      <c r="B4" s="933" t="str">
        <f>HYPERLINK("#'LIST'!ADD.DISCOUNT","» "&amp;'DICTIONARY-1'!$A$5)</f>
        <v>» Ustaw globalny dodatkowy rabat</v>
      </c>
      <c r="C4" s="995"/>
      <c r="D4" s="995"/>
      <c r="E4" s="996"/>
    </row>
    <row r="5" spans="1:12" x14ac:dyDescent="0.25">
      <c r="A5" s="115"/>
      <c r="B5" s="116"/>
      <c r="C5" s="116"/>
    </row>
    <row r="6" spans="1:12" ht="16.5" thickBot="1" x14ac:dyDescent="0.3">
      <c r="A6" s="134" t="str">
        <f>CONCATENATE('DICTIONARY-3'!$A$58," ",'DICTIONARY-3'!$A$196," / ",'DICTIONARY-3'!$A$290)</f>
        <v>HOD-K Mostek nawiertowy / Bez zaworu</v>
      </c>
      <c r="B6" s="134"/>
      <c r="C6" s="135"/>
      <c r="D6" s="136"/>
      <c r="E6" s="136"/>
      <c r="F6" s="136"/>
      <c r="G6" s="136"/>
      <c r="H6" s="136"/>
      <c r="I6" s="136"/>
      <c r="J6" s="136"/>
      <c r="K6" s="137"/>
      <c r="L6" s="136"/>
    </row>
    <row r="7" spans="1:12" x14ac:dyDescent="0.25">
      <c r="A7" s="122" t="str">
        <f>'DICTIONARY-3'!$A$303</f>
        <v>Dla rur z PVC i PE</v>
      </c>
      <c r="B7" s="122"/>
      <c r="C7" s="122"/>
    </row>
    <row r="8" spans="1:12" x14ac:dyDescent="0.25">
      <c r="A8" s="122" t="str">
        <f>CONCATENATE('DICTIONARY-1'!$A$10,": ",SETTINGS!$C$27)</f>
        <v>Grupa rabatowa: HOD</v>
      </c>
      <c r="B8" s="122"/>
      <c r="C8" s="122"/>
    </row>
    <row r="9" spans="1:12" x14ac:dyDescent="0.25">
      <c r="A9" s="122"/>
      <c r="B9" s="122"/>
      <c r="D9" s="123"/>
      <c r="E9" s="123"/>
      <c r="F9" s="125"/>
      <c r="G9" s="125"/>
    </row>
    <row r="10" spans="1:12" x14ac:dyDescent="0.25">
      <c r="A10" s="706" t="str">
        <f>'DICTIONARY-2'!$A$2</f>
        <v>DN</v>
      </c>
      <c r="B10" s="706" t="str">
        <f>'DICTIONARY-2'!$A$5&amp;" 1)"</f>
        <v>Da 1)</v>
      </c>
      <c r="C10" s="126" t="str">
        <f>'DICTIONARY-2'!$A$26</f>
        <v>G</v>
      </c>
      <c r="D10" s="990" t="str">
        <f>'DICTIONARY-3'!$A$55&amp;'DICTIONARY-3'!$A$79</f>
        <v>HOD-K507</v>
      </c>
      <c r="E10" s="990"/>
      <c r="F10" s="990"/>
      <c r="G10" s="990"/>
      <c r="H10" s="126" t="str">
        <f>'DICTIONARY-2'!$A$26</f>
        <v>G</v>
      </c>
      <c r="I10" s="990" t="str">
        <f>'DICTIONARY-3'!$A$55&amp;'DICTIONARY-3'!$A$79</f>
        <v>HOD-K507</v>
      </c>
      <c r="J10" s="990"/>
      <c r="K10" s="990"/>
      <c r="L10" s="990"/>
    </row>
    <row r="11" spans="1:12" x14ac:dyDescent="0.25">
      <c r="A11" s="522" t="str">
        <f>'DICTIONARY-5'!$A$122</f>
        <v>rura</v>
      </c>
      <c r="B11" s="522" t="str">
        <f>'DICTIONARY-5'!$A$122</f>
        <v>rura</v>
      </c>
      <c r="C11" s="523"/>
      <c r="D11" s="991" t="str">
        <f>LOWER('DICTIONARY-3'!$A$290)</f>
        <v>bez zaworu</v>
      </c>
      <c r="E11" s="991"/>
      <c r="F11" s="991"/>
      <c r="G11" s="991"/>
      <c r="H11" s="523"/>
      <c r="I11" s="991" t="str">
        <f>LOWER('DICTIONARY-3'!$A$290)</f>
        <v>bez zaworu</v>
      </c>
      <c r="J11" s="991"/>
      <c r="K11" s="991"/>
      <c r="L11" s="991"/>
    </row>
    <row r="12" spans="1:12" x14ac:dyDescent="0.25">
      <c r="A12" s="127"/>
      <c r="B12" s="127" t="str">
        <f>'DICTIONARY-2'!$A$18</f>
        <v>[mm]</v>
      </c>
      <c r="C12" s="127"/>
      <c r="D12" s="128" t="str">
        <f>'DICTIONARY-2'!$A$28</f>
        <v>stary nr zamówienia</v>
      </c>
      <c r="E12" s="128" t="str">
        <f>'DICTIONARY-2'!$A$29</f>
        <v>nowy nr zamówienia</v>
      </c>
      <c r="F12" s="117" t="str">
        <f>CURRENCY.CODE_1</f>
        <v>EUR</v>
      </c>
      <c r="G12" s="117" t="str">
        <f>CURRENCY.CODE_2</f>
        <v>---</v>
      </c>
      <c r="H12" s="127"/>
      <c r="I12" s="128" t="str">
        <f>'DICTIONARY-2'!$A$28</f>
        <v>stary nr zamówienia</v>
      </c>
      <c r="J12" s="128" t="str">
        <f>'DICTIONARY-2'!$A$29</f>
        <v>nowy nr zamówienia</v>
      </c>
      <c r="K12" s="117" t="str">
        <f>CURRENCY.CODE_1</f>
        <v>EUR</v>
      </c>
      <c r="L12" s="117" t="str">
        <f>CURRENCY.CODE_2</f>
        <v>---</v>
      </c>
    </row>
    <row r="13" spans="1:12" x14ac:dyDescent="0.25">
      <c r="A13" s="130">
        <v>50</v>
      </c>
      <c r="B13" s="130">
        <v>63</v>
      </c>
      <c r="C13" s="130" t="s">
        <v>860</v>
      </c>
      <c r="D13" s="130" t="s">
        <v>964</v>
      </c>
      <c r="E13" s="324" t="s">
        <v>3991</v>
      </c>
      <c r="F13" s="339" t="str">
        <f>IFERROR(IF(OR(E13='DICTIONARY-5'!$A$2,E13='DICTIONARY-5'!$A$4,ISBLANK(E13)),VLOOKUP(D13,LIST!$A$6:$L$3250,CURR_1.SEARCH.OLD,0),VLOOKUP(E13,LIST!$B$6:$L$3250,CURR_1.SEARCH.NEW,0)),'DICTIONARY-5'!$A$2)</f>
        <v>51,-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130"/>
      <c r="I13" s="130"/>
      <c r="J13" s="130"/>
      <c r="K13" s="118"/>
      <c r="L13" s="118"/>
    </row>
    <row r="14" spans="1:12" x14ac:dyDescent="0.25">
      <c r="A14" s="130">
        <v>65</v>
      </c>
      <c r="B14" s="130">
        <v>75</v>
      </c>
      <c r="C14" s="130" t="s">
        <v>860</v>
      </c>
      <c r="D14" s="130" t="s">
        <v>965</v>
      </c>
      <c r="E14" s="324" t="s">
        <v>3992</v>
      </c>
      <c r="F14" s="339" t="str">
        <f>IFERROR(IF(OR(E14='DICTIONARY-5'!$A$2,E14='DICTIONARY-5'!$A$4,ISBLANK(E14)),VLOOKUP(D14,LIST!$A$6:$L$3250,CURR_1.SEARCH.OLD,0),VLOOKUP(E14,LIST!$B$6:$L$3250,CURR_1.SEARCH.NEW,0)),'DICTIONARY-5'!$A$2)</f>
        <v>70,-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30"/>
      <c r="I14" s="130"/>
      <c r="J14" s="130"/>
      <c r="K14" s="118"/>
      <c r="L14" s="118"/>
    </row>
    <row r="15" spans="1:12" x14ac:dyDescent="0.25">
      <c r="A15" s="130">
        <v>80</v>
      </c>
      <c r="B15" s="130">
        <v>90</v>
      </c>
      <c r="C15" s="130" t="s">
        <v>860</v>
      </c>
      <c r="D15" s="130" t="s">
        <v>966</v>
      </c>
      <c r="E15" s="324" t="s">
        <v>3993</v>
      </c>
      <c r="F15" s="339" t="str">
        <f>IFERROR(IF(OR(E15='DICTIONARY-5'!$A$2,E15='DICTIONARY-5'!$A$4,ISBLANK(E15)),VLOOKUP(D15,LIST!$A$6:$L$3250,CURR_1.SEARCH.OLD,0),VLOOKUP(E15,LIST!$B$6:$L$3250,CURR_1.SEARCH.NEW,0)),'DICTIONARY-5'!$A$2)</f>
        <v>61,-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30" t="s">
        <v>904</v>
      </c>
      <c r="I15" s="130" t="s">
        <v>967</v>
      </c>
      <c r="J15" s="324" t="s">
        <v>3997</v>
      </c>
      <c r="K15" s="339" t="str">
        <f>IFERROR(IF(OR(J15='DICTIONARY-5'!$A$2,J15='DICTIONARY-5'!$A$4,ISBLANK(J15)),VLOOKUP(I15,LIST!$A$6:$L$3250,CURR_1.SEARCH.OLD,0),VLOOKUP(J15,LIST!$B$6:$L$3250,CURR_1.SEARCH.NEW,0)),'DICTIONARY-5'!$A$2)</f>
        <v>69,-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</row>
    <row r="16" spans="1:12" x14ac:dyDescent="0.25">
      <c r="A16" s="130">
        <v>100</v>
      </c>
      <c r="B16" s="130">
        <v>110</v>
      </c>
      <c r="C16" s="130" t="s">
        <v>860</v>
      </c>
      <c r="D16" s="130" t="s">
        <v>968</v>
      </c>
      <c r="E16" s="324" t="s">
        <v>3994</v>
      </c>
      <c r="F16" s="339" t="str">
        <f>IFERROR(IF(OR(E16='DICTIONARY-5'!$A$2,E16='DICTIONARY-5'!$A$4,ISBLANK(E16)),VLOOKUP(D16,LIST!$A$6:$L$3250,CURR_1.SEARCH.OLD,0),VLOOKUP(E16,LIST!$B$6:$L$3250,CURR_1.SEARCH.NEW,0)),'DICTIONARY-5'!$A$2)</f>
        <v>65,-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30" t="s">
        <v>904</v>
      </c>
      <c r="I16" s="130" t="s">
        <v>969</v>
      </c>
      <c r="J16" s="324" t="s">
        <v>3998</v>
      </c>
      <c r="K16" s="339" t="str">
        <f>IFERROR(IF(OR(J16='DICTIONARY-5'!$A$2,J16='DICTIONARY-5'!$A$4,ISBLANK(J16)),VLOOKUP(I16,LIST!$A$6:$L$3250,CURR_1.SEARCH.OLD,0),VLOOKUP(J16,LIST!$B$6:$L$3250,CURR_1.SEARCH.NEW,0)),'DICTIONARY-5'!$A$2)</f>
        <v>73,-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</row>
    <row r="17" spans="1:17" x14ac:dyDescent="0.25">
      <c r="A17" s="130">
        <v>125</v>
      </c>
      <c r="B17" s="130">
        <v>140</v>
      </c>
      <c r="C17" s="130"/>
      <c r="D17" s="130"/>
      <c r="E17" s="130"/>
      <c r="F17" s="339"/>
      <c r="G17" s="339"/>
      <c r="H17" s="130" t="s">
        <v>904</v>
      </c>
      <c r="I17" s="130" t="s">
        <v>970</v>
      </c>
      <c r="J17" s="324" t="s">
        <v>3999</v>
      </c>
      <c r="K17" s="339" t="str">
        <f>IFERROR(IF(OR(J17='DICTIONARY-5'!$A$2,J17='DICTIONARY-5'!$A$4,ISBLANK(J17)),VLOOKUP(I17,LIST!$A$6:$L$3250,CURR_1.SEARCH.OLD,0),VLOOKUP(J17,LIST!$B$6:$L$3250,CURR_1.SEARCH.NEW,0)),'DICTIONARY-5'!$A$2)</f>
        <v>132,-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</row>
    <row r="18" spans="1:17" x14ac:dyDescent="0.25">
      <c r="A18" s="130">
        <v>150</v>
      </c>
      <c r="B18" s="130">
        <v>160</v>
      </c>
      <c r="C18" s="130" t="s">
        <v>860</v>
      </c>
      <c r="D18" s="130" t="s">
        <v>971</v>
      </c>
      <c r="E18" s="324" t="s">
        <v>3995</v>
      </c>
      <c r="F18" s="339" t="str">
        <f>IFERROR(IF(OR(E18='DICTIONARY-5'!$A$2,E18='DICTIONARY-5'!$A$4,ISBLANK(E18)),VLOOKUP(D18,LIST!$A$6:$L$3250,CURR_1.SEARCH.OLD,0),VLOOKUP(E18,LIST!$B$6:$L$3250,CURR_1.SEARCH.NEW,0)),'DICTIONARY-5'!$A$2)</f>
        <v>94,-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130" t="s">
        <v>904</v>
      </c>
      <c r="I18" s="130" t="s">
        <v>972</v>
      </c>
      <c r="J18" s="324" t="s">
        <v>4000</v>
      </c>
      <c r="K18" s="339" t="str">
        <f>IFERROR(IF(OR(J18='DICTIONARY-5'!$A$2,J18='DICTIONARY-5'!$A$4,ISBLANK(J18)),VLOOKUP(I18,LIST!$A$6:$L$3250,CURR_1.SEARCH.OLD,0),VLOOKUP(J18,LIST!$B$6:$L$3250,CURR_1.SEARCH.NEW,0)),'DICTIONARY-5'!$A$2)</f>
        <v>99,-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</row>
    <row r="19" spans="1:17" x14ac:dyDescent="0.25">
      <c r="A19" s="130">
        <v>200</v>
      </c>
      <c r="B19" s="130">
        <v>225</v>
      </c>
      <c r="C19" s="130" t="s">
        <v>860</v>
      </c>
      <c r="D19" s="130" t="s">
        <v>973</v>
      </c>
      <c r="E19" s="324" t="s">
        <v>3996</v>
      </c>
      <c r="F19" s="339" t="str">
        <f>IFERROR(IF(OR(E19='DICTIONARY-5'!$A$2,E19='DICTIONARY-5'!$A$4,ISBLANK(E19)),VLOOKUP(D19,LIST!$A$6:$L$3250,CURR_1.SEARCH.OLD,0),VLOOKUP(E19,LIST!$B$6:$L$3250,CURR_1.SEARCH.NEW,0)),'DICTIONARY-5'!$A$2)</f>
        <v>149,-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130" t="s">
        <v>904</v>
      </c>
      <c r="I19" s="130" t="s">
        <v>974</v>
      </c>
      <c r="J19" s="324" t="s">
        <v>4001</v>
      </c>
      <c r="K19" s="339" t="str">
        <f>IFERROR(IF(OR(J19='DICTIONARY-5'!$A$2,J19='DICTIONARY-5'!$A$4,ISBLANK(J19)),VLOOKUP(I19,LIST!$A$6:$L$3250,CURR_1.SEARCH.OLD,0),VLOOKUP(J19,LIST!$B$6:$L$3250,CURR_1.SEARCH.NEW,0)),'DICTIONARY-5'!$A$2)</f>
        <v>172,-</v>
      </c>
      <c r="L19" s="339" t="str">
        <f>IFERROR(IF(OR(J19='DICTIONARY-5'!$A$2,J19='DICTIONARY-5'!$A$4,ISBLANK(J19)),VLOOKUP(I19,LIST!$A$6:$M$3250,CURR_2.SEARCH.OLD,0),VLOOKUP(J19,LIST!$B$6:$M$3250,CURR_2.SEARCH.NEW,0)),'DICTIONARY-5'!$A$2)</f>
        <v/>
      </c>
    </row>
    <row r="20" spans="1:17" x14ac:dyDescent="0.25">
      <c r="A20" s="130">
        <v>250</v>
      </c>
      <c r="B20" s="130">
        <v>280</v>
      </c>
      <c r="C20" s="130"/>
      <c r="D20" s="130"/>
      <c r="E20" s="130"/>
      <c r="F20" s="118"/>
      <c r="G20" s="118"/>
      <c r="H20" s="130" t="s">
        <v>904</v>
      </c>
      <c r="I20" s="130" t="s">
        <v>975</v>
      </c>
      <c r="J20" s="324" t="s">
        <v>4002</v>
      </c>
      <c r="K20" s="339" t="str">
        <f>IFERROR(IF(OR(J20='DICTIONARY-5'!$A$2,J20='DICTIONARY-5'!$A$4,ISBLANK(J20)),VLOOKUP(I20,LIST!$A$6:$L$3250,CURR_1.SEARCH.OLD,0),VLOOKUP(J20,LIST!$B$6:$L$3250,CURR_1.SEARCH.NEW,0)),'DICTIONARY-5'!$A$2)</f>
        <v>551,-</v>
      </c>
      <c r="L20" s="339" t="str">
        <f>IFERROR(IF(OR(J20='DICTIONARY-5'!$A$2,J20='DICTIONARY-5'!$A$4,ISBLANK(J20)),VLOOKUP(I20,LIST!$A$6:$M$3250,CURR_2.SEARCH.OLD,0),VLOOKUP(J20,LIST!$B$6:$M$3250,CURR_2.SEARCH.NEW,0)),'DICTIONARY-5'!$A$2)</f>
        <v/>
      </c>
    </row>
    <row r="21" spans="1:17" x14ac:dyDescent="0.25">
      <c r="A21" s="130">
        <v>300</v>
      </c>
      <c r="B21" s="130">
        <v>315</v>
      </c>
      <c r="C21" s="130"/>
      <c r="D21" s="130"/>
      <c r="E21" s="130"/>
      <c r="F21" s="118"/>
      <c r="G21" s="118"/>
      <c r="H21" s="130" t="s">
        <v>904</v>
      </c>
      <c r="I21" s="130" t="s">
        <v>976</v>
      </c>
      <c r="J21" s="324" t="s">
        <v>4003</v>
      </c>
      <c r="K21" s="339" t="str">
        <f>IFERROR(IF(OR(J21='DICTIONARY-5'!$A$2,J21='DICTIONARY-5'!$A$4,ISBLANK(J21)),VLOOKUP(I21,LIST!$A$6:$L$3250,CURR_1.SEARCH.OLD,0),VLOOKUP(J21,LIST!$B$6:$L$3250,CURR_1.SEARCH.NEW,0)),'DICTIONARY-5'!$A$2)</f>
        <v>554,-</v>
      </c>
      <c r="L21" s="339" t="str">
        <f>IFERROR(IF(OR(J21='DICTIONARY-5'!$A$2,J21='DICTIONARY-5'!$A$4,ISBLANK(J21)),VLOOKUP(I21,LIST!$A$6:$M$3250,CURR_2.SEARCH.OLD,0),VLOOKUP(J21,LIST!$B$6:$M$3250,CURR_2.SEARCH.NEW,0)),'DICTIONARY-5'!$A$2)</f>
        <v/>
      </c>
    </row>
    <row r="23" spans="1:17" x14ac:dyDescent="0.25">
      <c r="A23" s="120" t="str">
        <f>"1) "&amp;'DICTIONARY-5'!$A$75</f>
        <v>1) Zewnętrzna średnica rury nawierconej</v>
      </c>
    </row>
    <row r="25" spans="1:17" x14ac:dyDescent="0.25">
      <c r="Q25" s="526"/>
    </row>
    <row r="27" spans="1:17" ht="16.5" thickBot="1" x14ac:dyDescent="0.3">
      <c r="A27" s="134" t="str">
        <f>CONCATENATE('DICTIONARY-3'!$A$58," ",'DICTIONARY-3'!$A$196," / ",'DICTIONARY-3'!$A$291)</f>
        <v xml:space="preserve">HOD-K Mostek nawiertowy / Z zaworem 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</row>
    <row r="28" spans="1:17" x14ac:dyDescent="0.25">
      <c r="A28" s="122" t="str">
        <f>'DICTIONARY-3'!$A$303</f>
        <v>Dla rur z PVC i PE</v>
      </c>
      <c r="B28" s="122"/>
      <c r="C28" s="122"/>
      <c r="F28" s="119"/>
    </row>
    <row r="29" spans="1:17" x14ac:dyDescent="0.25">
      <c r="A29" s="122" t="str">
        <f>CONCATENATE('DICTIONARY-1'!$A$10,": ",SETTINGS!$C$27)</f>
        <v>Grupa rabatowa: HOD</v>
      </c>
      <c r="B29" s="122"/>
      <c r="C29" s="122"/>
      <c r="F29" s="119"/>
    </row>
    <row r="30" spans="1:17" x14ac:dyDescent="0.25">
      <c r="B30" s="122"/>
      <c r="D30" s="123"/>
      <c r="E30" s="123"/>
      <c r="F30" s="124"/>
      <c r="G30" s="125"/>
    </row>
    <row r="31" spans="1:17" x14ac:dyDescent="0.25">
      <c r="A31" s="706" t="str">
        <f>'DICTIONARY-2'!$A$2</f>
        <v>DN</v>
      </c>
      <c r="B31" s="706" t="str">
        <f>'DICTIONARY-2'!$A$5&amp;" 1)"</f>
        <v>Da 1)</v>
      </c>
      <c r="C31" s="126" t="str">
        <f>'DICTIONARY-2'!$A$26</f>
        <v>G</v>
      </c>
      <c r="D31" s="990" t="str">
        <f>'DICTIONARY-3'!$A$55&amp;'DICTIONARY-3'!$A$78</f>
        <v>HOD-K506</v>
      </c>
      <c r="E31" s="990"/>
      <c r="F31" s="990"/>
      <c r="G31" s="990"/>
      <c r="H31" s="126" t="str">
        <f>'DICTIONARY-2'!$A$26</f>
        <v>G</v>
      </c>
      <c r="I31" s="990" t="str">
        <f>'DICTIONARY-3'!$A$55&amp;'DICTIONARY-3'!$A$78</f>
        <v>HOD-K506</v>
      </c>
      <c r="J31" s="990"/>
      <c r="K31" s="990"/>
      <c r="L31" s="990"/>
    </row>
    <row r="32" spans="1:17" x14ac:dyDescent="0.25">
      <c r="A32" s="522" t="str">
        <f>'DICTIONARY-5'!$A$122</f>
        <v>rura</v>
      </c>
      <c r="B32" s="522" t="str">
        <f>'DICTIONARY-5'!$A$122</f>
        <v>rura</v>
      </c>
      <c r="C32" s="523"/>
      <c r="D32" s="991" t="str">
        <f>'DICTIONARY-5'!$A$125</f>
        <v>mosiężny zawór kulowy</v>
      </c>
      <c r="E32" s="991"/>
      <c r="F32" s="991"/>
      <c r="G32" s="991"/>
      <c r="H32" s="523"/>
      <c r="I32" s="991" t="str">
        <f>'DICTIONARY-5'!$A$125</f>
        <v>mosiężny zawór kulowy</v>
      </c>
      <c r="J32" s="991"/>
      <c r="K32" s="991"/>
      <c r="L32" s="991"/>
    </row>
    <row r="33" spans="1:12" x14ac:dyDescent="0.25">
      <c r="A33" s="127"/>
      <c r="B33" s="127" t="str">
        <f>'DICTIONARY-2'!$A$18</f>
        <v>[mm]</v>
      </c>
      <c r="C33" s="127"/>
      <c r="D33" s="128" t="str">
        <f>'DICTIONARY-2'!$A$28</f>
        <v>stary nr zamówienia</v>
      </c>
      <c r="E33" s="128" t="str">
        <f>'DICTIONARY-2'!$A$29</f>
        <v>nowy nr zamówienia</v>
      </c>
      <c r="F33" s="117" t="str">
        <f>CURRENCY.CODE_1</f>
        <v>EUR</v>
      </c>
      <c r="G33" s="117" t="str">
        <f>CURRENCY.CODE_2</f>
        <v>---</v>
      </c>
      <c r="H33" s="127"/>
      <c r="I33" s="128" t="str">
        <f>'DICTIONARY-2'!$A$28</f>
        <v>stary nr zamówienia</v>
      </c>
      <c r="J33" s="128" t="str">
        <f>'DICTIONARY-2'!$A$29</f>
        <v>nowy nr zamówienia</v>
      </c>
      <c r="K33" s="117" t="str">
        <f>CURRENCY.CODE_1</f>
        <v>EUR</v>
      </c>
      <c r="L33" s="117" t="str">
        <f>CURRENCY.CODE_2</f>
        <v>---</v>
      </c>
    </row>
    <row r="34" spans="1:12" x14ac:dyDescent="0.25">
      <c r="A34" s="138">
        <v>50</v>
      </c>
      <c r="B34" s="130">
        <v>63</v>
      </c>
      <c r="C34" s="130" t="s">
        <v>911</v>
      </c>
      <c r="D34" s="130" t="s">
        <v>977</v>
      </c>
      <c r="E34" s="324" t="s">
        <v>4004</v>
      </c>
      <c r="F34" s="339" t="str">
        <f>IFERROR(IF(OR(E34='DICTIONARY-5'!$A$2,E34='DICTIONARY-5'!$A$4,ISBLANK(E34)),VLOOKUP(D34,LIST!$A$6:$L$3250,CURR_1.SEARCH.OLD,0),VLOOKUP(E34,LIST!$B$6:$L$3250,CURR_1.SEARCH.NEW,0)),'DICTIONARY-5'!$A$2)</f>
        <v>100,-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H34" s="130" t="s">
        <v>860</v>
      </c>
      <c r="I34" s="130" t="s">
        <v>978</v>
      </c>
      <c r="J34" s="324" t="s">
        <v>4010</v>
      </c>
      <c r="K34" s="339" t="str">
        <f>IFERROR(IF(OR(J34='DICTIONARY-5'!$A$2,J34='DICTIONARY-5'!$A$4,ISBLANK(J34)),VLOOKUP(I34,LIST!$A$6:$L$3250,CURR_1.SEARCH.OLD,0),VLOOKUP(J34,LIST!$B$6:$L$3250,CURR_1.SEARCH.NEW,0)),'DICTIONARY-5'!$A$2)</f>
        <v>110,-</v>
      </c>
      <c r="L34" s="339" t="str">
        <f>IFERROR(IF(OR(J34='DICTIONARY-5'!$A$2,J34='DICTIONARY-5'!$A$4,ISBLANK(J34)),VLOOKUP(I34,LIST!$A$6:$M$3250,CURR_2.SEARCH.OLD,0),VLOOKUP(J34,LIST!$B$6:$M$3250,CURR_2.SEARCH.NEW,0)),'DICTIONARY-5'!$A$2)</f>
        <v/>
      </c>
    </row>
    <row r="35" spans="1:12" x14ac:dyDescent="0.25">
      <c r="A35" s="138">
        <v>65</v>
      </c>
      <c r="B35" s="130">
        <v>75</v>
      </c>
      <c r="C35" s="130" t="s">
        <v>911</v>
      </c>
      <c r="D35" s="130" t="s">
        <v>979</v>
      </c>
      <c r="E35" s="324" t="s">
        <v>4005</v>
      </c>
      <c r="F35" s="339" t="str">
        <f>IFERROR(IF(OR(E35='DICTIONARY-5'!$A$2,E35='DICTIONARY-5'!$A$4,ISBLANK(E35)),VLOOKUP(D35,LIST!$A$6:$L$3250,CURR_1.SEARCH.OLD,0),VLOOKUP(E35,LIST!$B$6:$L$3250,CURR_1.SEARCH.NEW,0)),'DICTIONARY-5'!$A$2)</f>
        <v>118,-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H35" s="130" t="s">
        <v>860</v>
      </c>
      <c r="I35" s="130" t="s">
        <v>980</v>
      </c>
      <c r="J35" s="324" t="s">
        <v>4011</v>
      </c>
      <c r="K35" s="339" t="str">
        <f>IFERROR(IF(OR(J35='DICTIONARY-5'!$A$2,J35='DICTIONARY-5'!$A$4,ISBLANK(J35)),VLOOKUP(I35,LIST!$A$6:$L$3250,CURR_1.SEARCH.OLD,0),VLOOKUP(J35,LIST!$B$6:$L$3250,CURR_1.SEARCH.NEW,0)),'DICTIONARY-5'!$A$2)</f>
        <v>128,-</v>
      </c>
      <c r="L35" s="339" t="str">
        <f>IFERROR(IF(OR(J35='DICTIONARY-5'!$A$2,J35='DICTIONARY-5'!$A$4,ISBLANK(J35)),VLOOKUP(I35,LIST!$A$6:$M$3250,CURR_2.SEARCH.OLD,0),VLOOKUP(J35,LIST!$B$6:$M$3250,CURR_2.SEARCH.NEW,0)),'DICTIONARY-5'!$A$2)</f>
        <v/>
      </c>
    </row>
    <row r="36" spans="1:12" x14ac:dyDescent="0.25">
      <c r="A36" s="130">
        <v>80</v>
      </c>
      <c r="B36" s="130">
        <v>90</v>
      </c>
      <c r="C36" s="130" t="s">
        <v>911</v>
      </c>
      <c r="D36" s="130" t="s">
        <v>981</v>
      </c>
      <c r="E36" s="324" t="s">
        <v>4006</v>
      </c>
      <c r="F36" s="339" t="str">
        <f>IFERROR(IF(OR(E36='DICTIONARY-5'!$A$2,E36='DICTIONARY-5'!$A$4,ISBLANK(E36)),VLOOKUP(D36,LIST!$A$6:$L$3250,CURR_1.SEARCH.OLD,0),VLOOKUP(E36,LIST!$B$6:$L$3250,CURR_1.SEARCH.NEW,0)),'DICTIONARY-5'!$A$2)</f>
        <v>109,-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H36" s="130" t="s">
        <v>860</v>
      </c>
      <c r="I36" s="130" t="s">
        <v>982</v>
      </c>
      <c r="J36" s="324" t="s">
        <v>4012</v>
      </c>
      <c r="K36" s="339" t="str">
        <f>IFERROR(IF(OR(J36='DICTIONARY-5'!$A$2,J36='DICTIONARY-5'!$A$4,ISBLANK(J36)),VLOOKUP(I36,LIST!$A$6:$L$3250,CURR_1.SEARCH.OLD,0),VLOOKUP(J36,LIST!$B$6:$L$3250,CURR_1.SEARCH.NEW,0)),'DICTIONARY-5'!$A$2)</f>
        <v>118,-</v>
      </c>
      <c r="L36" s="339" t="str">
        <f>IFERROR(IF(OR(J36='DICTIONARY-5'!$A$2,J36='DICTIONARY-5'!$A$4,ISBLANK(J36)),VLOOKUP(I36,LIST!$A$6:$M$3250,CURR_2.SEARCH.OLD,0),VLOOKUP(J36,LIST!$B$6:$M$3250,CURR_2.SEARCH.NEW,0)),'DICTIONARY-5'!$A$2)</f>
        <v/>
      </c>
    </row>
    <row r="37" spans="1:12" x14ac:dyDescent="0.25">
      <c r="A37" s="130">
        <v>100</v>
      </c>
      <c r="B37" s="130">
        <v>110</v>
      </c>
      <c r="C37" s="130" t="s">
        <v>911</v>
      </c>
      <c r="D37" s="130" t="s">
        <v>983</v>
      </c>
      <c r="E37" s="324" t="s">
        <v>4007</v>
      </c>
      <c r="F37" s="339" t="str">
        <f>IFERROR(IF(OR(E37='DICTIONARY-5'!$A$2,E37='DICTIONARY-5'!$A$4,ISBLANK(E37)),VLOOKUP(D37,LIST!$A$6:$L$3250,CURR_1.SEARCH.OLD,0),VLOOKUP(E37,LIST!$B$6:$L$3250,CURR_1.SEARCH.NEW,0)),'DICTIONARY-5'!$A$2)</f>
        <v>112,-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  <c r="H37" s="130" t="s">
        <v>860</v>
      </c>
      <c r="I37" s="130" t="s">
        <v>984</v>
      </c>
      <c r="J37" s="324" t="s">
        <v>4013</v>
      </c>
      <c r="K37" s="339" t="str">
        <f>IFERROR(IF(OR(J37='DICTIONARY-5'!$A$2,J37='DICTIONARY-5'!$A$4,ISBLANK(J37)),VLOOKUP(I37,LIST!$A$6:$L$3250,CURR_1.SEARCH.OLD,0),VLOOKUP(J37,LIST!$B$6:$L$3250,CURR_1.SEARCH.NEW,0)),'DICTIONARY-5'!$A$2)</f>
        <v>122,-</v>
      </c>
      <c r="L37" s="339" t="str">
        <f>IFERROR(IF(OR(J37='DICTIONARY-5'!$A$2,J37='DICTIONARY-5'!$A$4,ISBLANK(J37)),VLOOKUP(I37,LIST!$A$6:$M$3250,CURR_2.SEARCH.OLD,0),VLOOKUP(J37,LIST!$B$6:$M$3250,CURR_2.SEARCH.NEW,0)),'DICTIONARY-5'!$A$2)</f>
        <v/>
      </c>
    </row>
    <row r="38" spans="1:12" x14ac:dyDescent="0.25">
      <c r="A38" s="130">
        <v>150</v>
      </c>
      <c r="B38" s="130">
        <v>160</v>
      </c>
      <c r="C38" s="130" t="s">
        <v>911</v>
      </c>
      <c r="D38" s="130" t="s">
        <v>985</v>
      </c>
      <c r="E38" s="324" t="s">
        <v>4008</v>
      </c>
      <c r="F38" s="339" t="str">
        <f>IFERROR(IF(OR(E38='DICTIONARY-5'!$A$2,E38='DICTIONARY-5'!$A$4,ISBLANK(E38)),VLOOKUP(D38,LIST!$A$6:$L$3250,CURR_1.SEARCH.OLD,0),VLOOKUP(E38,LIST!$B$6:$L$3250,CURR_1.SEARCH.NEW,0)),'DICTIONARY-5'!$A$2)</f>
        <v>141,-</v>
      </c>
      <c r="G38" s="339" t="str">
        <f>IFERROR(IF(OR(E38='DICTIONARY-5'!$A$2,E38='DICTIONARY-5'!$A$4,ISBLANK(E38)),VLOOKUP(D38,LIST!$A$6:$M$3250,CURR_2.SEARCH.OLD,0),VLOOKUP(E38,LIST!$B$6:$M$3250,CURR_2.SEARCH.NEW,0)),'DICTIONARY-5'!$A$2)</f>
        <v/>
      </c>
      <c r="H38" s="130" t="s">
        <v>860</v>
      </c>
      <c r="I38" s="130" t="s">
        <v>986</v>
      </c>
      <c r="J38" s="324" t="s">
        <v>4014</v>
      </c>
      <c r="K38" s="339" t="str">
        <f>IFERROR(IF(OR(J38='DICTIONARY-5'!$A$2,J38='DICTIONARY-5'!$A$4,ISBLANK(J38)),VLOOKUP(I38,LIST!$A$6:$L$3250,CURR_1.SEARCH.OLD,0),VLOOKUP(J38,LIST!$B$6:$L$3250,CURR_1.SEARCH.NEW,0)),'DICTIONARY-5'!$A$2)</f>
        <v>150,-</v>
      </c>
      <c r="L38" s="339" t="str">
        <f>IFERROR(IF(OR(J38='DICTIONARY-5'!$A$2,J38='DICTIONARY-5'!$A$4,ISBLANK(J38)),VLOOKUP(I38,LIST!$A$6:$M$3250,CURR_2.SEARCH.OLD,0),VLOOKUP(J38,LIST!$B$6:$M$3250,CURR_2.SEARCH.NEW,0)),'DICTIONARY-5'!$A$2)</f>
        <v/>
      </c>
    </row>
    <row r="39" spans="1:12" x14ac:dyDescent="0.25">
      <c r="A39" s="130">
        <v>200</v>
      </c>
      <c r="B39" s="130">
        <v>225</v>
      </c>
      <c r="C39" s="130" t="s">
        <v>911</v>
      </c>
      <c r="D39" s="130" t="s">
        <v>987</v>
      </c>
      <c r="E39" s="324" t="s">
        <v>4009</v>
      </c>
      <c r="F39" s="339" t="str">
        <f>IFERROR(IF(OR(E39='DICTIONARY-5'!$A$2,E39='DICTIONARY-5'!$A$4,ISBLANK(E39)),VLOOKUP(D39,LIST!$A$6:$L$3250,CURR_1.SEARCH.OLD,0),VLOOKUP(E39,LIST!$B$6:$L$3250,CURR_1.SEARCH.NEW,0)),'DICTIONARY-5'!$A$2)</f>
        <v>196,-</v>
      </c>
      <c r="G39" s="339" t="str">
        <f>IFERROR(IF(OR(E39='DICTIONARY-5'!$A$2,E39='DICTIONARY-5'!$A$4,ISBLANK(E39)),VLOOKUP(D39,LIST!$A$6:$M$3250,CURR_2.SEARCH.OLD,0),VLOOKUP(E39,LIST!$B$6:$M$3250,CURR_2.SEARCH.NEW,0)),'DICTIONARY-5'!$A$2)</f>
        <v/>
      </c>
      <c r="H39" s="130" t="s">
        <v>860</v>
      </c>
      <c r="I39" s="130" t="s">
        <v>988</v>
      </c>
      <c r="J39" s="324" t="s">
        <v>4015</v>
      </c>
      <c r="K39" s="339" t="str">
        <f>IFERROR(IF(OR(J39='DICTIONARY-5'!$A$2,J39='DICTIONARY-5'!$A$4,ISBLANK(J39)),VLOOKUP(I39,LIST!$A$6:$L$3250,CURR_1.SEARCH.OLD,0),VLOOKUP(J39,LIST!$B$6:$L$3250,CURR_1.SEARCH.NEW,0)),'DICTIONARY-5'!$A$2)</f>
        <v>206,-</v>
      </c>
      <c r="L39" s="339" t="str">
        <f>IFERROR(IF(OR(J39='DICTIONARY-5'!$A$2,J39='DICTIONARY-5'!$A$4,ISBLANK(J39)),VLOOKUP(I39,LIST!$A$6:$M$3250,CURR_2.SEARCH.OLD,0),VLOOKUP(J39,LIST!$B$6:$M$3250,CURR_2.SEARCH.NEW,0)),'DICTIONARY-5'!$A$2)</f>
        <v/>
      </c>
    </row>
    <row r="40" spans="1:12" x14ac:dyDescent="0.25">
      <c r="F40" s="119"/>
    </row>
    <row r="41" spans="1:12" x14ac:dyDescent="0.25">
      <c r="A41" s="706" t="str">
        <f>'DICTIONARY-2'!$A$2</f>
        <v>DN</v>
      </c>
      <c r="B41" s="706" t="str">
        <f>'DICTIONARY-2'!$A$5&amp;" 1)"</f>
        <v>Da 1)</v>
      </c>
      <c r="C41" s="126" t="str">
        <f>'DICTIONARY-2'!$A$26</f>
        <v>G</v>
      </c>
      <c r="D41" s="990" t="str">
        <f>'DICTIONARY-3'!$A$55&amp;'DICTIONARY-3'!$A$78</f>
        <v>HOD-K506</v>
      </c>
      <c r="E41" s="990"/>
      <c r="F41" s="990"/>
      <c r="G41" s="990"/>
      <c r="H41" s="126" t="str">
        <f>'DICTIONARY-2'!$A$26</f>
        <v>G</v>
      </c>
      <c r="I41" s="990" t="str">
        <f>'DICTIONARY-3'!$A$55&amp;'DICTIONARY-3'!$A$78</f>
        <v>HOD-K506</v>
      </c>
      <c r="J41" s="990"/>
      <c r="K41" s="990"/>
      <c r="L41" s="990"/>
    </row>
    <row r="42" spans="1:12" x14ac:dyDescent="0.25">
      <c r="A42" s="522" t="str">
        <f>'DICTIONARY-5'!$A$122</f>
        <v>rura</v>
      </c>
      <c r="B42" s="522" t="str">
        <f>'DICTIONARY-5'!$A$122</f>
        <v>rura</v>
      </c>
      <c r="C42" s="523"/>
      <c r="D42" s="991" t="str">
        <f>'DICTIONARY-5'!$A$125</f>
        <v>mosiężny zawór kulowy</v>
      </c>
      <c r="E42" s="991"/>
      <c r="F42" s="991"/>
      <c r="G42" s="991"/>
      <c r="H42" s="523"/>
      <c r="I42" s="991" t="str">
        <f>'DICTIONARY-5'!$A$125</f>
        <v>mosiężny zawór kulowy</v>
      </c>
      <c r="J42" s="991"/>
      <c r="K42" s="991"/>
      <c r="L42" s="991"/>
    </row>
    <row r="43" spans="1:12" x14ac:dyDescent="0.25">
      <c r="A43" s="127"/>
      <c r="B43" s="127" t="str">
        <f>'DICTIONARY-2'!$A$18</f>
        <v>[mm]</v>
      </c>
      <c r="C43" s="127"/>
      <c r="D43" s="128" t="str">
        <f>'DICTIONARY-2'!$A$28</f>
        <v>stary nr zamówienia</v>
      </c>
      <c r="E43" s="128" t="str">
        <f>'DICTIONARY-2'!$A$29</f>
        <v>nowy nr zamówienia</v>
      </c>
      <c r="F43" s="117" t="str">
        <f>CURRENCY.CODE_1</f>
        <v>EUR</v>
      </c>
      <c r="G43" s="117" t="str">
        <f>CURRENCY.CODE_2</f>
        <v>---</v>
      </c>
      <c r="H43" s="127"/>
      <c r="I43" s="128" t="str">
        <f>'DICTIONARY-2'!$A$28</f>
        <v>stary nr zamówienia</v>
      </c>
      <c r="J43" s="128" t="str">
        <f>'DICTIONARY-2'!$A$29</f>
        <v>nowy nr zamówienia</v>
      </c>
      <c r="K43" s="117" t="str">
        <f>CURRENCY.CODE_1</f>
        <v>EUR</v>
      </c>
      <c r="L43" s="117" t="str">
        <f>CURRENCY.CODE_2</f>
        <v>---</v>
      </c>
    </row>
    <row r="44" spans="1:12" x14ac:dyDescent="0.25">
      <c r="A44" s="130">
        <v>80</v>
      </c>
      <c r="B44" s="130">
        <v>90</v>
      </c>
      <c r="C44" s="130" t="s">
        <v>893</v>
      </c>
      <c r="D44" s="130" t="s">
        <v>989</v>
      </c>
      <c r="E44" s="324" t="s">
        <v>4016</v>
      </c>
      <c r="F44" s="339" t="str">
        <f>IFERROR(IF(OR(E44='DICTIONARY-5'!$A$2,E44='DICTIONARY-5'!$A$4,ISBLANK(E44)),VLOOKUP(D44,LIST!$A$6:$L$3250,CURR_1.SEARCH.OLD,0),VLOOKUP(E44,LIST!$B$6:$L$3250,CURR_1.SEARCH.NEW,0)),'DICTIONARY-5'!$A$2)</f>
        <v>154,-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  <c r="H44" s="130" t="s">
        <v>904</v>
      </c>
      <c r="I44" s="130" t="s">
        <v>990</v>
      </c>
      <c r="J44" s="324" t="s">
        <v>4023</v>
      </c>
      <c r="K44" s="339" t="str">
        <f>IFERROR(IF(OR(J44='DICTIONARY-5'!$A$2,J44='DICTIONARY-5'!$A$4,ISBLANK(J44)),VLOOKUP(I44,LIST!$A$6:$L$3250,CURR_1.SEARCH.OLD,0),VLOOKUP(J44,LIST!$B$6:$L$3250,CURR_1.SEARCH.NEW,0)),'DICTIONARY-5'!$A$2)</f>
        <v>154,-</v>
      </c>
      <c r="L44" s="339" t="str">
        <f>IFERROR(IF(OR(J44='DICTIONARY-5'!$A$2,J44='DICTIONARY-5'!$A$4,ISBLANK(J44)),VLOOKUP(I44,LIST!$A$6:$M$3250,CURR_2.SEARCH.OLD,0),VLOOKUP(J44,LIST!$B$6:$M$3250,CURR_2.SEARCH.NEW,0)),'DICTIONARY-5'!$A$2)</f>
        <v/>
      </c>
    </row>
    <row r="45" spans="1:12" x14ac:dyDescent="0.25">
      <c r="A45" s="130">
        <v>100</v>
      </c>
      <c r="B45" s="130">
        <v>110</v>
      </c>
      <c r="C45" s="130" t="s">
        <v>893</v>
      </c>
      <c r="D45" s="130" t="s">
        <v>991</v>
      </c>
      <c r="E45" s="324" t="s">
        <v>4017</v>
      </c>
      <c r="F45" s="339" t="str">
        <f>IFERROR(IF(OR(E45='DICTIONARY-5'!$A$2,E45='DICTIONARY-5'!$A$4,ISBLANK(E45)),VLOOKUP(D45,LIST!$A$6:$L$3250,CURR_1.SEARCH.OLD,0),VLOOKUP(E45,LIST!$B$6:$L$3250,CURR_1.SEARCH.NEW,0)),'DICTIONARY-5'!$A$2)</f>
        <v>159,-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  <c r="H45" s="130" t="s">
        <v>904</v>
      </c>
      <c r="I45" s="130" t="s">
        <v>992</v>
      </c>
      <c r="J45" s="324" t="s">
        <v>4024</v>
      </c>
      <c r="K45" s="339" t="str">
        <f>IFERROR(IF(OR(J45='DICTIONARY-5'!$A$2,J45='DICTIONARY-5'!$A$4,ISBLANK(J45)),VLOOKUP(I45,LIST!$A$6:$L$3250,CURR_1.SEARCH.OLD,0),VLOOKUP(J45,LIST!$B$6:$L$3250,CURR_1.SEARCH.NEW,0)),'DICTIONARY-5'!$A$2)</f>
        <v>159,-</v>
      </c>
      <c r="L45" s="339" t="str">
        <f>IFERROR(IF(OR(J45='DICTIONARY-5'!$A$2,J45='DICTIONARY-5'!$A$4,ISBLANK(J45)),VLOOKUP(I45,LIST!$A$6:$M$3250,CURR_2.SEARCH.OLD,0),VLOOKUP(J45,LIST!$B$6:$M$3250,CURR_2.SEARCH.NEW,0)),'DICTIONARY-5'!$A$2)</f>
        <v/>
      </c>
    </row>
    <row r="46" spans="1:12" x14ac:dyDescent="0.25">
      <c r="A46" s="130">
        <v>125</v>
      </c>
      <c r="B46" s="130">
        <v>140</v>
      </c>
      <c r="C46" s="130" t="s">
        <v>893</v>
      </c>
      <c r="D46" s="130" t="s">
        <v>993</v>
      </c>
      <c r="E46" s="324" t="s">
        <v>4018</v>
      </c>
      <c r="F46" s="339" t="str">
        <f>IFERROR(IF(OR(E46='DICTIONARY-5'!$A$2,E46='DICTIONARY-5'!$A$4,ISBLANK(E46)),VLOOKUP(D46,LIST!$A$6:$L$3250,CURR_1.SEARCH.OLD,0),VLOOKUP(E46,LIST!$B$6:$L$3250,CURR_1.SEARCH.NEW,0)),'DICTIONARY-5'!$A$2)</f>
        <v>218,-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  <c r="H46" s="130" t="s">
        <v>904</v>
      </c>
      <c r="I46" s="130" t="s">
        <v>994</v>
      </c>
      <c r="J46" s="324" t="s">
        <v>4025</v>
      </c>
      <c r="K46" s="339" t="str">
        <f>IFERROR(IF(OR(J46='DICTIONARY-5'!$A$2,J46='DICTIONARY-5'!$A$4,ISBLANK(J46)),VLOOKUP(I46,LIST!$A$6:$L$3250,CURR_1.SEARCH.OLD,0),VLOOKUP(J46,LIST!$B$6:$L$3250,CURR_1.SEARCH.NEW,0)),'DICTIONARY-5'!$A$2)</f>
        <v>217,-</v>
      </c>
      <c r="L46" s="339" t="str">
        <f>IFERROR(IF(OR(J46='DICTIONARY-5'!$A$2,J46='DICTIONARY-5'!$A$4,ISBLANK(J46)),VLOOKUP(I46,LIST!$A$6:$M$3250,CURR_2.SEARCH.OLD,0),VLOOKUP(J46,LIST!$B$6:$M$3250,CURR_2.SEARCH.NEW,0)),'DICTIONARY-5'!$A$2)</f>
        <v/>
      </c>
    </row>
    <row r="47" spans="1:12" x14ac:dyDescent="0.25">
      <c r="A47" s="130">
        <v>150</v>
      </c>
      <c r="B47" s="130">
        <v>160</v>
      </c>
      <c r="C47" s="130" t="s">
        <v>893</v>
      </c>
      <c r="D47" s="130" t="s">
        <v>995</v>
      </c>
      <c r="E47" s="324" t="s">
        <v>4019</v>
      </c>
      <c r="F47" s="339" t="str">
        <f>IFERROR(IF(OR(E47='DICTIONARY-5'!$A$2,E47='DICTIONARY-5'!$A$4,ISBLANK(E47)),VLOOKUP(D47,LIST!$A$6:$L$3250,CURR_1.SEARCH.OLD,0),VLOOKUP(E47,LIST!$B$6:$L$3250,CURR_1.SEARCH.NEW,0)),'DICTIONARY-5'!$A$2)</f>
        <v>183,-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130" t="s">
        <v>904</v>
      </c>
      <c r="I47" s="130" t="s">
        <v>996</v>
      </c>
      <c r="J47" s="324" t="s">
        <v>4026</v>
      </c>
      <c r="K47" s="339" t="str">
        <f>IFERROR(IF(OR(J47='DICTIONARY-5'!$A$2,J47='DICTIONARY-5'!$A$4,ISBLANK(J47)),VLOOKUP(I47,LIST!$A$6:$L$3250,CURR_1.SEARCH.OLD,0),VLOOKUP(J47,LIST!$B$6:$L$3250,CURR_1.SEARCH.NEW,0)),'DICTIONARY-5'!$A$2)</f>
        <v>182,-</v>
      </c>
      <c r="L47" s="339" t="str">
        <f>IFERROR(IF(OR(J47='DICTIONARY-5'!$A$2,J47='DICTIONARY-5'!$A$4,ISBLANK(J47)),VLOOKUP(I47,LIST!$A$6:$M$3250,CURR_2.SEARCH.OLD,0),VLOOKUP(J47,LIST!$B$6:$M$3250,CURR_2.SEARCH.NEW,0)),'DICTIONARY-5'!$A$2)</f>
        <v/>
      </c>
    </row>
    <row r="48" spans="1:12" x14ac:dyDescent="0.25">
      <c r="A48" s="130">
        <v>200</v>
      </c>
      <c r="B48" s="130">
        <v>225</v>
      </c>
      <c r="C48" s="130" t="s">
        <v>893</v>
      </c>
      <c r="D48" s="130" t="s">
        <v>997</v>
      </c>
      <c r="E48" s="324" t="s">
        <v>4020</v>
      </c>
      <c r="F48" s="339" t="str">
        <f>IFERROR(IF(OR(E48='DICTIONARY-5'!$A$2,E48='DICTIONARY-5'!$A$4,ISBLANK(E48)),VLOOKUP(D48,LIST!$A$6:$L$3250,CURR_1.SEARCH.OLD,0),VLOOKUP(E48,LIST!$B$6:$L$3250,CURR_1.SEARCH.NEW,0)),'DICTIONARY-5'!$A$2)</f>
        <v>257,-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130" t="s">
        <v>904</v>
      </c>
      <c r="I48" s="130" t="s">
        <v>998</v>
      </c>
      <c r="J48" s="324" t="s">
        <v>4027</v>
      </c>
      <c r="K48" s="339" t="str">
        <f>IFERROR(IF(OR(J48='DICTIONARY-5'!$A$2,J48='DICTIONARY-5'!$A$4,ISBLANK(J48)),VLOOKUP(I48,LIST!$A$6:$L$3250,CURR_1.SEARCH.OLD,0),VLOOKUP(J48,LIST!$B$6:$L$3250,CURR_1.SEARCH.NEW,0)),'DICTIONARY-5'!$A$2)</f>
        <v>257,-</v>
      </c>
      <c r="L48" s="339" t="str">
        <f>IFERROR(IF(OR(J48='DICTIONARY-5'!$A$2,J48='DICTIONARY-5'!$A$4,ISBLANK(J48)),VLOOKUP(I48,LIST!$A$6:$M$3250,CURR_2.SEARCH.OLD,0),VLOOKUP(J48,LIST!$B$6:$M$3250,CURR_2.SEARCH.NEW,0)),'DICTIONARY-5'!$A$2)</f>
        <v/>
      </c>
    </row>
    <row r="49" spans="1:12" x14ac:dyDescent="0.25">
      <c r="A49" s="130">
        <v>250</v>
      </c>
      <c r="B49" s="130">
        <v>280</v>
      </c>
      <c r="C49" s="130" t="s">
        <v>893</v>
      </c>
      <c r="D49" s="130" t="s">
        <v>999</v>
      </c>
      <c r="E49" s="324" t="s">
        <v>4021</v>
      </c>
      <c r="F49" s="339" t="str">
        <f>IFERROR(IF(OR(E49='DICTIONARY-5'!$A$2,E49='DICTIONARY-5'!$A$4,ISBLANK(E49)),VLOOKUP(D49,LIST!$A$6:$L$3250,CURR_1.SEARCH.OLD,0),VLOOKUP(E49,LIST!$B$6:$L$3250,CURR_1.SEARCH.NEW,0)),'DICTIONARY-5'!$A$2)</f>
        <v>636,-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  <c r="H49" s="130" t="s">
        <v>904</v>
      </c>
      <c r="I49" s="130" t="s">
        <v>1000</v>
      </c>
      <c r="J49" s="324" t="s">
        <v>4028</v>
      </c>
      <c r="K49" s="339" t="str">
        <f>IFERROR(IF(OR(J49='DICTIONARY-5'!$A$2,J49='DICTIONARY-5'!$A$4,ISBLANK(J49)),VLOOKUP(I49,LIST!$A$6:$L$3250,CURR_1.SEARCH.OLD,0),VLOOKUP(J49,LIST!$B$6:$L$3250,CURR_1.SEARCH.NEW,0)),'DICTIONARY-5'!$A$2)</f>
        <v>635,-</v>
      </c>
      <c r="L49" s="339" t="str">
        <f>IFERROR(IF(OR(J49='DICTIONARY-5'!$A$2,J49='DICTIONARY-5'!$A$4,ISBLANK(J49)),VLOOKUP(I49,LIST!$A$6:$M$3250,CURR_2.SEARCH.OLD,0),VLOOKUP(J49,LIST!$B$6:$M$3250,CURR_2.SEARCH.NEW,0)),'DICTIONARY-5'!$A$2)</f>
        <v/>
      </c>
    </row>
    <row r="50" spans="1:12" x14ac:dyDescent="0.25">
      <c r="A50" s="130">
        <v>300</v>
      </c>
      <c r="B50" s="130">
        <v>315</v>
      </c>
      <c r="C50" s="130" t="s">
        <v>893</v>
      </c>
      <c r="D50" s="130" t="s">
        <v>1001</v>
      </c>
      <c r="E50" s="324" t="s">
        <v>4022</v>
      </c>
      <c r="F50" s="339" t="str">
        <f>IFERROR(IF(OR(E50='DICTIONARY-5'!$A$2,E50='DICTIONARY-5'!$A$4,ISBLANK(E50)),VLOOKUP(D50,LIST!$A$6:$L$3250,CURR_1.SEARCH.OLD,0),VLOOKUP(E50,LIST!$B$6:$L$3250,CURR_1.SEARCH.NEW,0)),'DICTIONARY-5'!$A$2)</f>
        <v>639,-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  <c r="H50" s="130" t="s">
        <v>904</v>
      </c>
      <c r="I50" s="130" t="s">
        <v>1002</v>
      </c>
      <c r="J50" s="324" t="s">
        <v>4029</v>
      </c>
      <c r="K50" s="339" t="str">
        <f>IFERROR(IF(OR(J50='DICTIONARY-5'!$A$2,J50='DICTIONARY-5'!$A$4,ISBLANK(J50)),VLOOKUP(I50,LIST!$A$6:$L$3250,CURR_1.SEARCH.OLD,0),VLOOKUP(J50,LIST!$B$6:$L$3250,CURR_1.SEARCH.NEW,0)),'DICTIONARY-5'!$A$2)</f>
        <v>639,-</v>
      </c>
      <c r="L50" s="339" t="str">
        <f>IFERROR(IF(OR(J50='DICTIONARY-5'!$A$2,J50='DICTIONARY-5'!$A$4,ISBLANK(J50)),VLOOKUP(I50,LIST!$A$6:$M$3250,CURR_2.SEARCH.OLD,0),VLOOKUP(J50,LIST!$B$6:$M$3250,CURR_2.SEARCH.NEW,0)),'DICTIONARY-5'!$A$2)</f>
        <v/>
      </c>
    </row>
    <row r="51" spans="1:12" x14ac:dyDescent="0.25">
      <c r="F51" s="119"/>
    </row>
    <row r="52" spans="1:12" x14ac:dyDescent="0.25">
      <c r="F52" s="119"/>
    </row>
    <row r="53" spans="1:12" x14ac:dyDescent="0.25">
      <c r="F53" s="119"/>
    </row>
    <row r="54" spans="1:12" x14ac:dyDescent="0.25">
      <c r="A54" s="706" t="str">
        <f>'DICTIONARY-2'!$A$2</f>
        <v>DN</v>
      </c>
      <c r="B54" s="706" t="str">
        <f>'DICTIONARY-2'!$A$5&amp;" 1)"</f>
        <v>Da 1)</v>
      </c>
      <c r="C54" s="126" t="str">
        <f>'DICTIONARY-2'!$A$26</f>
        <v>G</v>
      </c>
      <c r="D54" s="990" t="str">
        <f>'DICTIONARY-3'!$A$55&amp;'DICTIONARY-3'!$A$80</f>
        <v>HOD-K510</v>
      </c>
      <c r="E54" s="990"/>
      <c r="F54" s="990"/>
      <c r="G54" s="990"/>
      <c r="H54" s="126" t="str">
        <f>'DICTIONARY-2'!$A$26</f>
        <v>G</v>
      </c>
      <c r="I54" s="990" t="str">
        <f>'DICTIONARY-3'!$A$55&amp;'DICTIONARY-3'!$A$80</f>
        <v>HOD-K510</v>
      </c>
      <c r="J54" s="990"/>
      <c r="K54" s="990"/>
      <c r="L54" s="990"/>
    </row>
    <row r="55" spans="1:12" x14ac:dyDescent="0.25">
      <c r="A55" s="522" t="str">
        <f>'DICTIONARY-5'!$A$122</f>
        <v>rura</v>
      </c>
      <c r="B55" s="522" t="str">
        <f>'DICTIONARY-5'!$A$122</f>
        <v>rura</v>
      </c>
      <c r="C55" s="523"/>
      <c r="D55" s="991" t="str">
        <f>'DICTIONARY-5'!$A$127</f>
        <v>mosiężna zasuwa</v>
      </c>
      <c r="E55" s="991"/>
      <c r="F55" s="991"/>
      <c r="G55" s="991"/>
      <c r="H55" s="523"/>
      <c r="I55" s="991" t="str">
        <f>'DICTIONARY-5'!$A$127</f>
        <v>mosiężna zasuwa</v>
      </c>
      <c r="J55" s="991"/>
      <c r="K55" s="991"/>
      <c r="L55" s="991"/>
    </row>
    <row r="56" spans="1:12" x14ac:dyDescent="0.25">
      <c r="A56" s="127"/>
      <c r="B56" s="127" t="str">
        <f>'DICTIONARY-2'!$A$18</f>
        <v>[mm]</v>
      </c>
      <c r="C56" s="127"/>
      <c r="D56" s="128" t="str">
        <f>'DICTIONARY-2'!$A$28</f>
        <v>stary nr zamówienia</v>
      </c>
      <c r="E56" s="128" t="str">
        <f>'DICTIONARY-2'!$A$29</f>
        <v>nowy nr zamówienia</v>
      </c>
      <c r="F56" s="117" t="str">
        <f>CURRENCY.CODE_1</f>
        <v>EUR</v>
      </c>
      <c r="G56" s="117" t="str">
        <f>CURRENCY.CODE_2</f>
        <v>---</v>
      </c>
      <c r="H56" s="127"/>
      <c r="I56" s="128" t="str">
        <f>'DICTIONARY-2'!$A$28</f>
        <v>stary nr zamówienia</v>
      </c>
      <c r="J56" s="128" t="str">
        <f>'DICTIONARY-2'!$A$29</f>
        <v>nowy nr zamówienia</v>
      </c>
      <c r="K56" s="117" t="str">
        <f>CURRENCY.CODE_1</f>
        <v>EUR</v>
      </c>
      <c r="L56" s="117" t="str">
        <f>CURRENCY.CODE_2</f>
        <v>---</v>
      </c>
    </row>
    <row r="57" spans="1:12" x14ac:dyDescent="0.25">
      <c r="A57" s="130">
        <v>50</v>
      </c>
      <c r="B57" s="130">
        <v>63</v>
      </c>
      <c r="C57" s="130" t="s">
        <v>911</v>
      </c>
      <c r="D57" s="130" t="s">
        <v>1003</v>
      </c>
      <c r="E57" s="324" t="s">
        <v>4030</v>
      </c>
      <c r="F57" s="339" t="str">
        <f>IFERROR(IF(OR(E57='DICTIONARY-5'!$A$2,E57='DICTIONARY-5'!$A$4,ISBLANK(E57)),VLOOKUP(D57,LIST!$A$6:$L$3250,CURR_1.SEARCH.OLD,0),VLOOKUP(E57,LIST!$B$6:$L$3250,CURR_1.SEARCH.NEW,0)),'DICTIONARY-5'!$A$2)</f>
        <v>142,-</v>
      </c>
      <c r="G57" s="339" t="str">
        <f>IFERROR(IF(OR(E57='DICTIONARY-5'!$A$2,E57='DICTIONARY-5'!$A$4,ISBLANK(E57)),VLOOKUP(D57,LIST!$A$6:$M$3250,CURR_2.SEARCH.OLD,0),VLOOKUP(E57,LIST!$B$6:$M$3250,CURR_2.SEARCH.NEW,0)),'DICTIONARY-5'!$A$2)</f>
        <v/>
      </c>
      <c r="H57" s="130" t="s">
        <v>860</v>
      </c>
      <c r="I57" s="130" t="s">
        <v>1004</v>
      </c>
      <c r="J57" s="324" t="s">
        <v>4036</v>
      </c>
      <c r="K57" s="339" t="str">
        <f>IFERROR(IF(OR(J57='DICTIONARY-5'!$A$2,J57='DICTIONARY-5'!$A$4,ISBLANK(J57)),VLOOKUP(I57,LIST!$A$6:$L$3250,CURR_1.SEARCH.OLD,0),VLOOKUP(J57,LIST!$B$6:$L$3250,CURR_1.SEARCH.NEW,0)),'DICTIONARY-5'!$A$2)</f>
        <v>144,-</v>
      </c>
      <c r="L57" s="339" t="str">
        <f>IFERROR(IF(OR(J57='DICTIONARY-5'!$A$2,J57='DICTIONARY-5'!$A$4,ISBLANK(J57)),VLOOKUP(I57,LIST!$A$6:$M$3250,CURR_2.SEARCH.OLD,0),VLOOKUP(J57,LIST!$B$6:$M$3250,CURR_2.SEARCH.NEW,0)),'DICTIONARY-5'!$A$2)</f>
        <v/>
      </c>
    </row>
    <row r="58" spans="1:12" x14ac:dyDescent="0.25">
      <c r="A58" s="130">
        <v>65</v>
      </c>
      <c r="B58" s="130">
        <v>75</v>
      </c>
      <c r="C58" s="130" t="s">
        <v>911</v>
      </c>
      <c r="D58" s="130" t="s">
        <v>1005</v>
      </c>
      <c r="E58" s="324" t="s">
        <v>4031</v>
      </c>
      <c r="F58" s="339" t="str">
        <f>IFERROR(IF(OR(E58='DICTIONARY-5'!$A$2,E58='DICTIONARY-5'!$A$4,ISBLANK(E58)),VLOOKUP(D58,LIST!$A$6:$L$3250,CURR_1.SEARCH.OLD,0),VLOOKUP(E58,LIST!$B$6:$L$3250,CURR_1.SEARCH.NEW,0)),'DICTIONARY-5'!$A$2)</f>
        <v>162,-</v>
      </c>
      <c r="G58" s="339" t="str">
        <f>IFERROR(IF(OR(E58='DICTIONARY-5'!$A$2,E58='DICTIONARY-5'!$A$4,ISBLANK(E58)),VLOOKUP(D58,LIST!$A$6:$M$3250,CURR_2.SEARCH.OLD,0),VLOOKUP(E58,LIST!$B$6:$M$3250,CURR_2.SEARCH.NEW,0)),'DICTIONARY-5'!$A$2)</f>
        <v/>
      </c>
      <c r="H58" s="130" t="s">
        <v>860</v>
      </c>
      <c r="I58" s="130" t="s">
        <v>1006</v>
      </c>
      <c r="J58" s="324" t="s">
        <v>4037</v>
      </c>
      <c r="K58" s="339" t="str">
        <f>IFERROR(IF(OR(J58='DICTIONARY-5'!$A$2,J58='DICTIONARY-5'!$A$4,ISBLANK(J58)),VLOOKUP(I58,LIST!$A$6:$L$3250,CURR_1.SEARCH.OLD,0),VLOOKUP(J58,LIST!$B$6:$L$3250,CURR_1.SEARCH.NEW,0)),'DICTIONARY-5'!$A$2)</f>
        <v>162,-</v>
      </c>
      <c r="L58" s="339" t="str">
        <f>IFERROR(IF(OR(J58='DICTIONARY-5'!$A$2,J58='DICTIONARY-5'!$A$4,ISBLANK(J58)),VLOOKUP(I58,LIST!$A$6:$M$3250,CURR_2.SEARCH.OLD,0),VLOOKUP(J58,LIST!$B$6:$M$3250,CURR_2.SEARCH.NEW,0)),'DICTIONARY-5'!$A$2)</f>
        <v/>
      </c>
    </row>
    <row r="59" spans="1:12" x14ac:dyDescent="0.25">
      <c r="A59" s="130">
        <v>80</v>
      </c>
      <c r="B59" s="130">
        <v>90</v>
      </c>
      <c r="C59" s="130" t="s">
        <v>911</v>
      </c>
      <c r="D59" s="130" t="s">
        <v>1007</v>
      </c>
      <c r="E59" s="324" t="s">
        <v>4032</v>
      </c>
      <c r="F59" s="339" t="str">
        <f>IFERROR(IF(OR(E59='DICTIONARY-5'!$A$2,E59='DICTIONARY-5'!$A$4,ISBLANK(E59)),VLOOKUP(D59,LIST!$A$6:$L$3250,CURR_1.SEARCH.OLD,0),VLOOKUP(E59,LIST!$B$6:$L$3250,CURR_1.SEARCH.NEW,0)),'DICTIONARY-5'!$A$2)</f>
        <v>153,-</v>
      </c>
      <c r="G59" s="339" t="str">
        <f>IFERROR(IF(OR(E59='DICTIONARY-5'!$A$2,E59='DICTIONARY-5'!$A$4,ISBLANK(E59)),VLOOKUP(D59,LIST!$A$6:$M$3250,CURR_2.SEARCH.OLD,0),VLOOKUP(E59,LIST!$B$6:$M$3250,CURR_2.SEARCH.NEW,0)),'DICTIONARY-5'!$A$2)</f>
        <v/>
      </c>
      <c r="H59" s="130" t="s">
        <v>860</v>
      </c>
      <c r="I59" s="130" t="s">
        <v>1008</v>
      </c>
      <c r="J59" s="324" t="s">
        <v>4038</v>
      </c>
      <c r="K59" s="339" t="str">
        <f>IFERROR(IF(OR(J59='DICTIONARY-5'!$A$2,J59='DICTIONARY-5'!$A$4,ISBLANK(J59)),VLOOKUP(I59,LIST!$A$6:$L$3250,CURR_1.SEARCH.OLD,0),VLOOKUP(J59,LIST!$B$6:$L$3250,CURR_1.SEARCH.NEW,0)),'DICTIONARY-5'!$A$2)</f>
        <v>153,-</v>
      </c>
      <c r="L59" s="339" t="str">
        <f>IFERROR(IF(OR(J59='DICTIONARY-5'!$A$2,J59='DICTIONARY-5'!$A$4,ISBLANK(J59)),VLOOKUP(I59,LIST!$A$6:$M$3250,CURR_2.SEARCH.OLD,0),VLOOKUP(J59,LIST!$B$6:$M$3250,CURR_2.SEARCH.NEW,0)),'DICTIONARY-5'!$A$2)</f>
        <v/>
      </c>
    </row>
    <row r="60" spans="1:12" x14ac:dyDescent="0.25">
      <c r="A60" s="130">
        <v>100</v>
      </c>
      <c r="B60" s="130">
        <v>110</v>
      </c>
      <c r="C60" s="130" t="s">
        <v>911</v>
      </c>
      <c r="D60" s="130" t="s">
        <v>1009</v>
      </c>
      <c r="E60" s="324" t="s">
        <v>4033</v>
      </c>
      <c r="F60" s="339" t="str">
        <f>IFERROR(IF(OR(E60='DICTIONARY-5'!$A$2,E60='DICTIONARY-5'!$A$4,ISBLANK(E60)),VLOOKUP(D60,LIST!$A$6:$L$3250,CURR_1.SEARCH.OLD,0),VLOOKUP(E60,LIST!$B$6:$L$3250,CURR_1.SEARCH.NEW,0)),'DICTIONARY-5'!$A$2)</f>
        <v>156,-</v>
      </c>
      <c r="G60" s="339" t="str">
        <f>IFERROR(IF(OR(E60='DICTIONARY-5'!$A$2,E60='DICTIONARY-5'!$A$4,ISBLANK(E60)),VLOOKUP(D60,LIST!$A$6:$M$3250,CURR_2.SEARCH.OLD,0),VLOOKUP(E60,LIST!$B$6:$M$3250,CURR_2.SEARCH.NEW,0)),'DICTIONARY-5'!$A$2)</f>
        <v/>
      </c>
      <c r="H60" s="130" t="s">
        <v>860</v>
      </c>
      <c r="I60" s="130" t="s">
        <v>1010</v>
      </c>
      <c r="J60" s="324" t="s">
        <v>4039</v>
      </c>
      <c r="K60" s="339" t="str">
        <f>IFERROR(IF(OR(J60='DICTIONARY-5'!$A$2,J60='DICTIONARY-5'!$A$4,ISBLANK(J60)),VLOOKUP(I60,LIST!$A$6:$L$3250,CURR_1.SEARCH.OLD,0),VLOOKUP(J60,LIST!$B$6:$L$3250,CURR_1.SEARCH.NEW,0)),'DICTIONARY-5'!$A$2)</f>
        <v>157,-</v>
      </c>
      <c r="L60" s="339" t="str">
        <f>IFERROR(IF(OR(J60='DICTIONARY-5'!$A$2,J60='DICTIONARY-5'!$A$4,ISBLANK(J60)),VLOOKUP(I60,LIST!$A$6:$M$3250,CURR_2.SEARCH.OLD,0),VLOOKUP(J60,LIST!$B$6:$M$3250,CURR_2.SEARCH.NEW,0)),'DICTIONARY-5'!$A$2)</f>
        <v/>
      </c>
    </row>
    <row r="61" spans="1:12" x14ac:dyDescent="0.25">
      <c r="A61" s="130">
        <v>150</v>
      </c>
      <c r="B61" s="130">
        <v>160</v>
      </c>
      <c r="C61" s="130" t="s">
        <v>911</v>
      </c>
      <c r="D61" s="130" t="s">
        <v>1011</v>
      </c>
      <c r="E61" s="324" t="s">
        <v>4034</v>
      </c>
      <c r="F61" s="339" t="str">
        <f>IFERROR(IF(OR(E61='DICTIONARY-5'!$A$2,E61='DICTIONARY-5'!$A$4,ISBLANK(E61)),VLOOKUP(D61,LIST!$A$6:$L$3250,CURR_1.SEARCH.OLD,0),VLOOKUP(E61,LIST!$B$6:$L$3250,CURR_1.SEARCH.NEW,0)),'DICTIONARY-5'!$A$2)</f>
        <v>184,-</v>
      </c>
      <c r="G61" s="339" t="str">
        <f>IFERROR(IF(OR(E61='DICTIONARY-5'!$A$2,E61='DICTIONARY-5'!$A$4,ISBLANK(E61)),VLOOKUP(D61,LIST!$A$6:$M$3250,CURR_2.SEARCH.OLD,0),VLOOKUP(E61,LIST!$B$6:$M$3250,CURR_2.SEARCH.NEW,0)),'DICTIONARY-5'!$A$2)</f>
        <v/>
      </c>
      <c r="H61" s="130" t="s">
        <v>860</v>
      </c>
      <c r="I61" s="130" t="s">
        <v>1012</v>
      </c>
      <c r="J61" s="324" t="s">
        <v>4040</v>
      </c>
      <c r="K61" s="339" t="str">
        <f>IFERROR(IF(OR(J61='DICTIONARY-5'!$A$2,J61='DICTIONARY-5'!$A$4,ISBLANK(J61)),VLOOKUP(I61,LIST!$A$6:$L$3250,CURR_1.SEARCH.OLD,0),VLOOKUP(J61,LIST!$B$6:$L$3250,CURR_1.SEARCH.NEW,0)),'DICTIONARY-5'!$A$2)</f>
        <v>185,-</v>
      </c>
      <c r="L61" s="339" t="str">
        <f>IFERROR(IF(OR(J61='DICTIONARY-5'!$A$2,J61='DICTIONARY-5'!$A$4,ISBLANK(J61)),VLOOKUP(I61,LIST!$A$6:$M$3250,CURR_2.SEARCH.OLD,0),VLOOKUP(J61,LIST!$B$6:$M$3250,CURR_2.SEARCH.NEW,0)),'DICTIONARY-5'!$A$2)</f>
        <v/>
      </c>
    </row>
    <row r="62" spans="1:12" x14ac:dyDescent="0.25">
      <c r="A62" s="130">
        <v>200</v>
      </c>
      <c r="B62" s="130">
        <v>225</v>
      </c>
      <c r="C62" s="130" t="s">
        <v>911</v>
      </c>
      <c r="D62" s="130" t="s">
        <v>1013</v>
      </c>
      <c r="E62" s="324" t="s">
        <v>4035</v>
      </c>
      <c r="F62" s="339" t="str">
        <f>IFERROR(IF(OR(E62='DICTIONARY-5'!$A$2,E62='DICTIONARY-5'!$A$4,ISBLANK(E62)),VLOOKUP(D62,LIST!$A$6:$L$3250,CURR_1.SEARCH.OLD,0),VLOOKUP(E62,LIST!$B$6:$L$3250,CURR_1.SEARCH.NEW,0)),'DICTIONARY-5'!$A$2)</f>
        <v>240,-</v>
      </c>
      <c r="G62" s="339" t="str">
        <f>IFERROR(IF(OR(E62='DICTIONARY-5'!$A$2,E62='DICTIONARY-5'!$A$4,ISBLANK(E62)),VLOOKUP(D62,LIST!$A$6:$M$3250,CURR_2.SEARCH.OLD,0),VLOOKUP(E62,LIST!$B$6:$M$3250,CURR_2.SEARCH.NEW,0)),'DICTIONARY-5'!$A$2)</f>
        <v/>
      </c>
      <c r="H62" s="130" t="s">
        <v>860</v>
      </c>
      <c r="I62" s="130" t="s">
        <v>1014</v>
      </c>
      <c r="J62" s="324" t="s">
        <v>4041</v>
      </c>
      <c r="K62" s="339" t="str">
        <f>IFERROR(IF(OR(J62='DICTIONARY-5'!$A$2,J62='DICTIONARY-5'!$A$4,ISBLANK(J62)),VLOOKUP(I62,LIST!$A$6:$L$3250,CURR_1.SEARCH.OLD,0),VLOOKUP(J62,LIST!$B$6:$L$3250,CURR_1.SEARCH.NEW,0)),'DICTIONARY-5'!$A$2)</f>
        <v>240,-</v>
      </c>
      <c r="L62" s="339" t="str">
        <f>IFERROR(IF(OR(J62='DICTIONARY-5'!$A$2,J62='DICTIONARY-5'!$A$4,ISBLANK(J62)),VLOOKUP(I62,LIST!$A$6:$M$3250,CURR_2.SEARCH.OLD,0),VLOOKUP(J62,LIST!$B$6:$M$3250,CURR_2.SEARCH.NEW,0)),'DICTIONARY-5'!$A$2)</f>
        <v/>
      </c>
    </row>
    <row r="63" spans="1:12" x14ac:dyDescent="0.25">
      <c r="A63" s="122"/>
      <c r="F63" s="119"/>
    </row>
    <row r="64" spans="1:12" x14ac:dyDescent="0.25">
      <c r="A64" s="122"/>
      <c r="F64" s="119"/>
    </row>
    <row r="65" spans="1:12" x14ac:dyDescent="0.25">
      <c r="F65" s="119"/>
    </row>
    <row r="66" spans="1:12" x14ac:dyDescent="0.25">
      <c r="A66" s="706" t="str">
        <f>'DICTIONARY-2'!$A$2</f>
        <v>DN</v>
      </c>
      <c r="B66" s="706" t="str">
        <f>'DICTIONARY-2'!$A$5&amp;" 1)"</f>
        <v>Da 1)</v>
      </c>
      <c r="C66" s="126" t="str">
        <f>'DICTIONARY-2'!$A$26</f>
        <v>G</v>
      </c>
      <c r="D66" s="990" t="str">
        <f>'DICTIONARY-3'!$A$55&amp;'DICTIONARY-3'!$A$77</f>
        <v>HOD-K504</v>
      </c>
      <c r="E66" s="990"/>
      <c r="F66" s="990"/>
      <c r="G66" s="990"/>
      <c r="H66" s="126" t="str">
        <f>'DICTIONARY-2'!$A$26</f>
        <v>G</v>
      </c>
      <c r="I66" s="990" t="str">
        <f>'DICTIONARY-3'!$A$55&amp;'DICTIONARY-3'!$A$77</f>
        <v>HOD-K504</v>
      </c>
      <c r="J66" s="990"/>
      <c r="K66" s="990"/>
      <c r="L66" s="990"/>
    </row>
    <row r="67" spans="1:12" x14ac:dyDescent="0.25">
      <c r="A67" s="522" t="str">
        <f>'DICTIONARY-5'!$A$122</f>
        <v>rura</v>
      </c>
      <c r="B67" s="522" t="str">
        <f>'DICTIONARY-5'!$A$122</f>
        <v>rura</v>
      </c>
      <c r="C67" s="523"/>
      <c r="D67" s="991" t="str">
        <f>'DICTIONARY-5'!$A$126</f>
        <v>żeliwna zasuwa</v>
      </c>
      <c r="E67" s="991"/>
      <c r="F67" s="991"/>
      <c r="G67" s="991"/>
      <c r="H67" s="523"/>
      <c r="I67" s="991" t="str">
        <f>'DICTIONARY-5'!$A$126</f>
        <v>żeliwna zasuwa</v>
      </c>
      <c r="J67" s="991"/>
      <c r="K67" s="991"/>
      <c r="L67" s="991"/>
    </row>
    <row r="68" spans="1:12" x14ac:dyDescent="0.25">
      <c r="A68" s="127"/>
      <c r="B68" s="127" t="str">
        <f>'DICTIONARY-2'!$A$18</f>
        <v>[mm]</v>
      </c>
      <c r="C68" s="127"/>
      <c r="D68" s="128" t="str">
        <f>'DICTIONARY-2'!$A$28</f>
        <v>stary nr zamówienia</v>
      </c>
      <c r="E68" s="128" t="str">
        <f>'DICTIONARY-2'!$A$29</f>
        <v>nowy nr zamówienia</v>
      </c>
      <c r="F68" s="117" t="str">
        <f>CURRENCY.CODE_1</f>
        <v>EUR</v>
      </c>
      <c r="G68" s="117" t="str">
        <f>CURRENCY.CODE_2</f>
        <v>---</v>
      </c>
      <c r="H68" s="127"/>
      <c r="I68" s="128" t="str">
        <f>'DICTIONARY-2'!$A$28</f>
        <v>stary nr zamówienia</v>
      </c>
      <c r="J68" s="128" t="str">
        <f>'DICTIONARY-2'!$A$29</f>
        <v>nowy nr zamówienia</v>
      </c>
      <c r="K68" s="117" t="str">
        <f>CURRENCY.CODE_1</f>
        <v>EUR</v>
      </c>
      <c r="L68" s="117" t="str">
        <f>CURRENCY.CODE_2</f>
        <v>---</v>
      </c>
    </row>
    <row r="69" spans="1:12" x14ac:dyDescent="0.25">
      <c r="A69" s="138">
        <v>50</v>
      </c>
      <c r="B69" s="130">
        <v>63</v>
      </c>
      <c r="C69" s="130" t="s">
        <v>911</v>
      </c>
      <c r="D69" s="130" t="s">
        <v>1015</v>
      </c>
      <c r="E69" s="324" t="s">
        <v>4054</v>
      </c>
      <c r="F69" s="339" t="str">
        <f>IFERROR(IF(OR(E69='DICTIONARY-5'!$A$2,E69='DICTIONARY-5'!$A$4,ISBLANK(E69)),VLOOKUP(D69,LIST!$A$6:$L$3250,CURR_1.SEARCH.OLD,0),VLOOKUP(E69,LIST!$B$6:$L$3250,CURR_1.SEARCH.NEW,0)),'DICTIONARY-5'!$A$2)</f>
        <v>182,-</v>
      </c>
      <c r="G69" s="339" t="str">
        <f>IFERROR(IF(OR(E69='DICTIONARY-5'!$A$2,E69='DICTIONARY-5'!$A$4,ISBLANK(E69)),VLOOKUP(D69,LIST!$A$6:$M$3250,CURR_2.SEARCH.OLD,0),VLOOKUP(E69,LIST!$B$6:$M$3250,CURR_2.SEARCH.NEW,0)),'DICTIONARY-5'!$A$2)</f>
        <v/>
      </c>
      <c r="H69" s="130" t="s">
        <v>860</v>
      </c>
      <c r="I69" s="130" t="s">
        <v>1016</v>
      </c>
      <c r="J69" s="324" t="s">
        <v>4060</v>
      </c>
      <c r="K69" s="339" t="str">
        <f>IFERROR(IF(OR(J69='DICTIONARY-5'!$A$2,J69='DICTIONARY-5'!$A$4,ISBLANK(J69)),VLOOKUP(I69,LIST!$A$6:$L$3250,CURR_1.SEARCH.OLD,0),VLOOKUP(J69,LIST!$B$6:$L$3250,CURR_1.SEARCH.NEW,0)),'DICTIONARY-5'!$A$2)</f>
        <v>185,-</v>
      </c>
      <c r="L69" s="339" t="str">
        <f>IFERROR(IF(OR(J69='DICTIONARY-5'!$A$2,J69='DICTIONARY-5'!$A$4,ISBLANK(J69)),VLOOKUP(I69,LIST!$A$6:$M$3250,CURR_2.SEARCH.OLD,0),VLOOKUP(J69,LIST!$B$6:$M$3250,CURR_2.SEARCH.NEW,0)),'DICTIONARY-5'!$A$2)</f>
        <v/>
      </c>
    </row>
    <row r="70" spans="1:12" x14ac:dyDescent="0.25">
      <c r="A70" s="138">
        <v>65</v>
      </c>
      <c r="B70" s="130">
        <v>75</v>
      </c>
      <c r="C70" s="130" t="s">
        <v>911</v>
      </c>
      <c r="D70" s="130" t="s">
        <v>1017</v>
      </c>
      <c r="E70" s="324" t="s">
        <v>4055</v>
      </c>
      <c r="F70" s="339" t="str">
        <f>IFERROR(IF(OR(E70='DICTIONARY-5'!$A$2,E70='DICTIONARY-5'!$A$4,ISBLANK(E70)),VLOOKUP(D70,LIST!$A$6:$L$3250,CURR_1.SEARCH.OLD,0),VLOOKUP(E70,LIST!$B$6:$L$3250,CURR_1.SEARCH.NEW,0)),'DICTIONARY-5'!$A$2)</f>
        <v>202,-</v>
      </c>
      <c r="G70" s="339" t="str">
        <f>IFERROR(IF(OR(E70='DICTIONARY-5'!$A$2,E70='DICTIONARY-5'!$A$4,ISBLANK(E70)),VLOOKUP(D70,LIST!$A$6:$M$3250,CURR_2.SEARCH.OLD,0),VLOOKUP(E70,LIST!$B$6:$M$3250,CURR_2.SEARCH.NEW,0)),'DICTIONARY-5'!$A$2)</f>
        <v/>
      </c>
      <c r="H70" s="130" t="s">
        <v>860</v>
      </c>
      <c r="I70" s="130" t="s">
        <v>1018</v>
      </c>
      <c r="J70" s="324" t="s">
        <v>4061</v>
      </c>
      <c r="K70" s="339" t="str">
        <f>IFERROR(IF(OR(J70='DICTIONARY-5'!$A$2,J70='DICTIONARY-5'!$A$4,ISBLANK(J70)),VLOOKUP(I70,LIST!$A$6:$L$3250,CURR_1.SEARCH.OLD,0),VLOOKUP(J70,LIST!$B$6:$L$3250,CURR_1.SEARCH.NEW,0)),'DICTIONARY-5'!$A$2)</f>
        <v>204,-</v>
      </c>
      <c r="L70" s="339" t="str">
        <f>IFERROR(IF(OR(J70='DICTIONARY-5'!$A$2,J70='DICTIONARY-5'!$A$4,ISBLANK(J70)),VLOOKUP(I70,LIST!$A$6:$M$3250,CURR_2.SEARCH.OLD,0),VLOOKUP(J70,LIST!$B$6:$M$3250,CURR_2.SEARCH.NEW,0)),'DICTIONARY-5'!$A$2)</f>
        <v/>
      </c>
    </row>
    <row r="71" spans="1:12" x14ac:dyDescent="0.25">
      <c r="A71" s="130">
        <v>80</v>
      </c>
      <c r="B71" s="130">
        <v>90</v>
      </c>
      <c r="C71" s="130" t="s">
        <v>911</v>
      </c>
      <c r="D71" s="130" t="s">
        <v>1019</v>
      </c>
      <c r="E71" s="324" t="s">
        <v>4056</v>
      </c>
      <c r="F71" s="339" t="str">
        <f>IFERROR(IF(OR(E71='DICTIONARY-5'!$A$2,E71='DICTIONARY-5'!$A$4,ISBLANK(E71)),VLOOKUP(D71,LIST!$A$6:$L$3250,CURR_1.SEARCH.OLD,0),VLOOKUP(E71,LIST!$B$6:$L$3250,CURR_1.SEARCH.NEW,0)),'DICTIONARY-5'!$A$2)</f>
        <v>193,-</v>
      </c>
      <c r="G71" s="339" t="str">
        <f>IFERROR(IF(OR(E71='DICTIONARY-5'!$A$2,E71='DICTIONARY-5'!$A$4,ISBLANK(E71)),VLOOKUP(D71,LIST!$A$6:$M$3250,CURR_2.SEARCH.OLD,0),VLOOKUP(E71,LIST!$B$6:$M$3250,CURR_2.SEARCH.NEW,0)),'DICTIONARY-5'!$A$2)</f>
        <v/>
      </c>
      <c r="H71" s="130" t="s">
        <v>860</v>
      </c>
      <c r="I71" s="130" t="s">
        <v>1020</v>
      </c>
      <c r="J71" s="324" t="s">
        <v>4062</v>
      </c>
      <c r="K71" s="339" t="str">
        <f>IFERROR(IF(OR(J71='DICTIONARY-5'!$A$2,J71='DICTIONARY-5'!$A$4,ISBLANK(J71)),VLOOKUP(I71,LIST!$A$6:$L$3250,CURR_1.SEARCH.OLD,0),VLOOKUP(J71,LIST!$B$6:$L$3250,CURR_1.SEARCH.NEW,0)),'DICTIONARY-5'!$A$2)</f>
        <v>195,-</v>
      </c>
      <c r="L71" s="339" t="str">
        <f>IFERROR(IF(OR(J71='DICTIONARY-5'!$A$2,J71='DICTIONARY-5'!$A$4,ISBLANK(J71)),VLOOKUP(I71,LIST!$A$6:$M$3250,CURR_2.SEARCH.OLD,0),VLOOKUP(J71,LIST!$B$6:$M$3250,CURR_2.SEARCH.NEW,0)),'DICTIONARY-5'!$A$2)</f>
        <v/>
      </c>
    </row>
    <row r="72" spans="1:12" x14ac:dyDescent="0.25">
      <c r="A72" s="130">
        <v>100</v>
      </c>
      <c r="B72" s="130">
        <v>110</v>
      </c>
      <c r="C72" s="130" t="s">
        <v>911</v>
      </c>
      <c r="D72" s="130" t="s">
        <v>1021</v>
      </c>
      <c r="E72" s="324" t="s">
        <v>4057</v>
      </c>
      <c r="F72" s="339" t="str">
        <f>IFERROR(IF(OR(E72='DICTIONARY-5'!$A$2,E72='DICTIONARY-5'!$A$4,ISBLANK(E72)),VLOOKUP(D72,LIST!$A$6:$L$3250,CURR_1.SEARCH.OLD,0),VLOOKUP(E72,LIST!$B$6:$L$3250,CURR_1.SEARCH.NEW,0)),'DICTIONARY-5'!$A$2)</f>
        <v>196,-</v>
      </c>
      <c r="G72" s="339" t="str">
        <f>IFERROR(IF(OR(E72='DICTIONARY-5'!$A$2,E72='DICTIONARY-5'!$A$4,ISBLANK(E72)),VLOOKUP(D72,LIST!$A$6:$M$3250,CURR_2.SEARCH.OLD,0),VLOOKUP(E72,LIST!$B$6:$M$3250,CURR_2.SEARCH.NEW,0)),'DICTIONARY-5'!$A$2)</f>
        <v/>
      </c>
      <c r="H72" s="130" t="s">
        <v>860</v>
      </c>
      <c r="I72" s="130" t="s">
        <v>1022</v>
      </c>
      <c r="J72" s="324" t="s">
        <v>4063</v>
      </c>
      <c r="K72" s="339" t="str">
        <f>IFERROR(IF(OR(J72='DICTIONARY-5'!$A$2,J72='DICTIONARY-5'!$A$4,ISBLANK(J72)),VLOOKUP(I72,LIST!$A$6:$L$3250,CURR_1.SEARCH.OLD,0),VLOOKUP(J72,LIST!$B$6:$L$3250,CURR_1.SEARCH.NEW,0)),'DICTIONARY-5'!$A$2)</f>
        <v>198,-</v>
      </c>
      <c r="L72" s="339" t="str">
        <f>IFERROR(IF(OR(J72='DICTIONARY-5'!$A$2,J72='DICTIONARY-5'!$A$4,ISBLANK(J72)),VLOOKUP(I72,LIST!$A$6:$M$3250,CURR_2.SEARCH.OLD,0),VLOOKUP(J72,LIST!$B$6:$M$3250,CURR_2.SEARCH.NEW,0)),'DICTIONARY-5'!$A$2)</f>
        <v/>
      </c>
    </row>
    <row r="73" spans="1:12" x14ac:dyDescent="0.25">
      <c r="A73" s="130">
        <v>150</v>
      </c>
      <c r="B73" s="130">
        <v>160</v>
      </c>
      <c r="C73" s="130" t="s">
        <v>911</v>
      </c>
      <c r="D73" s="130" t="s">
        <v>1023</v>
      </c>
      <c r="E73" s="324" t="s">
        <v>4058</v>
      </c>
      <c r="F73" s="339" t="str">
        <f>IFERROR(IF(OR(E73='DICTIONARY-5'!$A$2,E73='DICTIONARY-5'!$A$4,ISBLANK(E73)),VLOOKUP(D73,LIST!$A$6:$L$3250,CURR_1.SEARCH.OLD,0),VLOOKUP(E73,LIST!$B$6:$L$3250,CURR_1.SEARCH.NEW,0)),'DICTIONARY-5'!$A$2)</f>
        <v>224,-</v>
      </c>
      <c r="G73" s="339" t="str">
        <f>IFERROR(IF(OR(E73='DICTIONARY-5'!$A$2,E73='DICTIONARY-5'!$A$4,ISBLANK(E73)),VLOOKUP(D73,LIST!$A$6:$M$3250,CURR_2.SEARCH.OLD,0),VLOOKUP(E73,LIST!$B$6:$M$3250,CURR_2.SEARCH.NEW,0)),'DICTIONARY-5'!$A$2)</f>
        <v/>
      </c>
      <c r="H73" s="130" t="s">
        <v>860</v>
      </c>
      <c r="I73" s="130" t="s">
        <v>1024</v>
      </c>
      <c r="J73" s="324" t="s">
        <v>4064</v>
      </c>
      <c r="K73" s="339" t="str">
        <f>IFERROR(IF(OR(J73='DICTIONARY-5'!$A$2,J73='DICTIONARY-5'!$A$4,ISBLANK(J73)),VLOOKUP(I73,LIST!$A$6:$L$3250,CURR_1.SEARCH.OLD,0),VLOOKUP(J73,LIST!$B$6:$L$3250,CURR_1.SEARCH.NEW,0)),'DICTIONARY-5'!$A$2)</f>
        <v>229,-</v>
      </c>
      <c r="L73" s="339" t="str">
        <f>IFERROR(IF(OR(J73='DICTIONARY-5'!$A$2,J73='DICTIONARY-5'!$A$4,ISBLANK(J73)),VLOOKUP(I73,LIST!$A$6:$M$3250,CURR_2.SEARCH.OLD,0),VLOOKUP(J73,LIST!$B$6:$M$3250,CURR_2.SEARCH.NEW,0)),'DICTIONARY-5'!$A$2)</f>
        <v/>
      </c>
    </row>
    <row r="74" spans="1:12" x14ac:dyDescent="0.25">
      <c r="A74" s="130">
        <v>200</v>
      </c>
      <c r="B74" s="130">
        <v>225</v>
      </c>
      <c r="C74" s="130" t="s">
        <v>911</v>
      </c>
      <c r="D74" s="130" t="s">
        <v>1025</v>
      </c>
      <c r="E74" s="324" t="s">
        <v>4059</v>
      </c>
      <c r="F74" s="339" t="str">
        <f>IFERROR(IF(OR(E74='DICTIONARY-5'!$A$2,E74='DICTIONARY-5'!$A$4,ISBLANK(E74)),VLOOKUP(D74,LIST!$A$6:$L$3250,CURR_1.SEARCH.OLD,0),VLOOKUP(E74,LIST!$B$6:$L$3250,CURR_1.SEARCH.NEW,0)),'DICTIONARY-5'!$A$2)</f>
        <v>281,-</v>
      </c>
      <c r="G74" s="339" t="str">
        <f>IFERROR(IF(OR(E74='DICTIONARY-5'!$A$2,E74='DICTIONARY-5'!$A$4,ISBLANK(E74)),VLOOKUP(D74,LIST!$A$6:$M$3250,CURR_2.SEARCH.OLD,0),VLOOKUP(E74,LIST!$B$6:$M$3250,CURR_2.SEARCH.NEW,0)),'DICTIONARY-5'!$A$2)</f>
        <v/>
      </c>
      <c r="H74" s="130" t="s">
        <v>860</v>
      </c>
      <c r="I74" s="130" t="s">
        <v>1026</v>
      </c>
      <c r="J74" s="324" t="s">
        <v>4065</v>
      </c>
      <c r="K74" s="339" t="str">
        <f>IFERROR(IF(OR(J74='DICTIONARY-5'!$A$2,J74='DICTIONARY-5'!$A$4,ISBLANK(J74)),VLOOKUP(I74,LIST!$A$6:$L$3250,CURR_1.SEARCH.OLD,0),VLOOKUP(J74,LIST!$B$6:$L$3250,CURR_1.SEARCH.NEW,0)),'DICTIONARY-5'!$A$2)</f>
        <v>283,-</v>
      </c>
      <c r="L74" s="339" t="str">
        <f>IFERROR(IF(OR(J74='DICTIONARY-5'!$A$2,J74='DICTIONARY-5'!$A$4,ISBLANK(J74)),VLOOKUP(I74,LIST!$A$6:$M$3250,CURR_2.SEARCH.OLD,0),VLOOKUP(J74,LIST!$B$6:$M$3250,CURR_2.SEARCH.NEW,0)),'DICTIONARY-5'!$A$2)</f>
        <v/>
      </c>
    </row>
    <row r="75" spans="1:12" x14ac:dyDescent="0.25">
      <c r="F75" s="119"/>
    </row>
    <row r="76" spans="1:12" x14ac:dyDescent="0.25">
      <c r="A76" s="706" t="str">
        <f>'DICTIONARY-2'!$A$2</f>
        <v>DN</v>
      </c>
      <c r="B76" s="706" t="str">
        <f>'DICTIONARY-2'!$A$5&amp;" 1)"</f>
        <v>Da 1)</v>
      </c>
      <c r="C76" s="126" t="str">
        <f>'DICTIONARY-2'!$A$26</f>
        <v>G</v>
      </c>
      <c r="D76" s="990" t="str">
        <f>'DICTIONARY-3'!$A$55&amp;'DICTIONARY-3'!$A$77</f>
        <v>HOD-K504</v>
      </c>
      <c r="E76" s="990"/>
      <c r="F76" s="990"/>
      <c r="G76" s="990"/>
      <c r="H76" s="126" t="str">
        <f>'DICTIONARY-2'!$A$26</f>
        <v>G</v>
      </c>
      <c r="I76" s="990" t="str">
        <f>'DICTIONARY-3'!$A$55&amp;'DICTIONARY-3'!$A$77</f>
        <v>HOD-K504</v>
      </c>
      <c r="J76" s="990"/>
      <c r="K76" s="990"/>
      <c r="L76" s="990"/>
    </row>
    <row r="77" spans="1:12" x14ac:dyDescent="0.25">
      <c r="A77" s="522" t="str">
        <f>'DICTIONARY-5'!$A$122</f>
        <v>rura</v>
      </c>
      <c r="B77" s="522" t="str">
        <f>'DICTIONARY-5'!$A$122</f>
        <v>rura</v>
      </c>
      <c r="C77" s="523"/>
      <c r="D77" s="991" t="str">
        <f>'DICTIONARY-5'!$A$126</f>
        <v>żeliwna zasuwa</v>
      </c>
      <c r="E77" s="991"/>
      <c r="F77" s="991"/>
      <c r="G77" s="991"/>
      <c r="H77" s="523"/>
      <c r="I77" s="991" t="str">
        <f>'DICTIONARY-5'!$A$126</f>
        <v>żeliwna zasuwa</v>
      </c>
      <c r="J77" s="991"/>
      <c r="K77" s="991"/>
      <c r="L77" s="991"/>
    </row>
    <row r="78" spans="1:12" x14ac:dyDescent="0.25">
      <c r="A78" s="127"/>
      <c r="B78" s="127" t="str">
        <f>'DICTIONARY-2'!$A$18</f>
        <v>[mm]</v>
      </c>
      <c r="C78" s="127"/>
      <c r="D78" s="128" t="str">
        <f>'DICTIONARY-2'!$A$28</f>
        <v>stary nr zamówienia</v>
      </c>
      <c r="E78" s="128" t="str">
        <f>'DICTIONARY-2'!$A$29</f>
        <v>nowy nr zamówienia</v>
      </c>
      <c r="F78" s="117" t="str">
        <f>CURRENCY.CODE_1</f>
        <v>EUR</v>
      </c>
      <c r="G78" s="117" t="str">
        <f>CURRENCY.CODE_2</f>
        <v>---</v>
      </c>
      <c r="H78" s="127"/>
      <c r="I78" s="128" t="str">
        <f>'DICTIONARY-2'!$A$28</f>
        <v>stary nr zamówienia</v>
      </c>
      <c r="J78" s="128" t="str">
        <f>'DICTIONARY-2'!$A$29</f>
        <v>nowy nr zamówienia</v>
      </c>
      <c r="K78" s="117" t="str">
        <f>CURRENCY.CODE_1</f>
        <v>EUR</v>
      </c>
      <c r="L78" s="117" t="str">
        <f>CURRENCY.CODE_2</f>
        <v>---</v>
      </c>
    </row>
    <row r="79" spans="1:12" x14ac:dyDescent="0.25">
      <c r="A79" s="130">
        <v>80</v>
      </c>
      <c r="B79" s="130">
        <v>90</v>
      </c>
      <c r="C79" s="130" t="s">
        <v>893</v>
      </c>
      <c r="D79" s="130" t="s">
        <v>1027</v>
      </c>
      <c r="E79" s="324" t="s">
        <v>4066</v>
      </c>
      <c r="F79" s="339" t="str">
        <f>IFERROR(IF(OR(E79='DICTIONARY-5'!$A$2,E79='DICTIONARY-5'!$A$4,ISBLANK(E79)),VLOOKUP(D79,LIST!$A$6:$L$3250,CURR_1.SEARCH.OLD,0),VLOOKUP(E79,LIST!$B$6:$L$3250,CURR_1.SEARCH.NEW,0)),'DICTIONARY-5'!$A$2)</f>
        <v>245,-</v>
      </c>
      <c r="G79" s="339" t="str">
        <f>IFERROR(IF(OR(E79='DICTIONARY-5'!$A$2,E79='DICTIONARY-5'!$A$4,ISBLANK(E79)),VLOOKUP(D79,LIST!$A$6:$M$3250,CURR_2.SEARCH.OLD,0),VLOOKUP(E79,LIST!$B$6:$M$3250,CURR_2.SEARCH.NEW,0)),'DICTIONARY-5'!$A$2)</f>
        <v/>
      </c>
      <c r="H79" s="130" t="s">
        <v>904</v>
      </c>
      <c r="I79" s="130" t="s">
        <v>1028</v>
      </c>
      <c r="J79" s="324" t="s">
        <v>4073</v>
      </c>
      <c r="K79" s="339" t="str">
        <f>IFERROR(IF(OR(J79='DICTIONARY-5'!$A$2,J79='DICTIONARY-5'!$A$4,ISBLANK(J79)),VLOOKUP(I79,LIST!$A$6:$L$3250,CURR_1.SEARCH.OLD,0),VLOOKUP(J79,LIST!$B$6:$L$3250,CURR_1.SEARCH.NEW,0)),'DICTIONARY-5'!$A$2)</f>
        <v>246,-</v>
      </c>
      <c r="L79" s="339" t="str">
        <f>IFERROR(IF(OR(J79='DICTIONARY-5'!$A$2,J79='DICTIONARY-5'!$A$4,ISBLANK(J79)),VLOOKUP(I79,LIST!$A$6:$M$3250,CURR_2.SEARCH.OLD,0),VLOOKUP(J79,LIST!$B$6:$M$3250,CURR_2.SEARCH.NEW,0)),'DICTIONARY-5'!$A$2)</f>
        <v/>
      </c>
    </row>
    <row r="80" spans="1:12" x14ac:dyDescent="0.25">
      <c r="A80" s="130">
        <v>100</v>
      </c>
      <c r="B80" s="130">
        <v>110</v>
      </c>
      <c r="C80" s="130" t="s">
        <v>893</v>
      </c>
      <c r="D80" s="130" t="s">
        <v>1029</v>
      </c>
      <c r="E80" s="324" t="s">
        <v>4067</v>
      </c>
      <c r="F80" s="339" t="str">
        <f>IFERROR(IF(OR(E80='DICTIONARY-5'!$A$2,E80='DICTIONARY-5'!$A$4,ISBLANK(E80)),VLOOKUP(D80,LIST!$A$6:$L$3250,CURR_1.SEARCH.OLD,0),VLOOKUP(E80,LIST!$B$6:$L$3250,CURR_1.SEARCH.NEW,0)),'DICTIONARY-5'!$A$2)</f>
        <v>251,-</v>
      </c>
      <c r="G80" s="339" t="str">
        <f>IFERROR(IF(OR(E80='DICTIONARY-5'!$A$2,E80='DICTIONARY-5'!$A$4,ISBLANK(E80)),VLOOKUP(D80,LIST!$A$6:$M$3250,CURR_2.SEARCH.OLD,0),VLOOKUP(E80,LIST!$B$6:$M$3250,CURR_2.SEARCH.NEW,0)),'DICTIONARY-5'!$A$2)</f>
        <v/>
      </c>
      <c r="H80" s="130" t="s">
        <v>904</v>
      </c>
      <c r="I80" s="130" t="s">
        <v>1030</v>
      </c>
      <c r="J80" s="324" t="s">
        <v>4074</v>
      </c>
      <c r="K80" s="339" t="str">
        <f>IFERROR(IF(OR(J80='DICTIONARY-5'!$A$2,J80='DICTIONARY-5'!$A$4,ISBLANK(J80)),VLOOKUP(I80,LIST!$A$6:$L$3250,CURR_1.SEARCH.OLD,0),VLOOKUP(J80,LIST!$B$6:$L$3250,CURR_1.SEARCH.NEW,0)),'DICTIONARY-5'!$A$2)</f>
        <v>252,-</v>
      </c>
      <c r="L80" s="339" t="str">
        <f>IFERROR(IF(OR(J80='DICTIONARY-5'!$A$2,J80='DICTIONARY-5'!$A$4,ISBLANK(J80)),VLOOKUP(I80,LIST!$A$6:$M$3250,CURR_2.SEARCH.OLD,0),VLOOKUP(J80,LIST!$B$6:$M$3250,CURR_2.SEARCH.NEW,0)),'DICTIONARY-5'!$A$2)</f>
        <v/>
      </c>
    </row>
    <row r="81" spans="1:12" x14ac:dyDescent="0.25">
      <c r="A81" s="130">
        <v>125</v>
      </c>
      <c r="B81" s="130">
        <v>140</v>
      </c>
      <c r="C81" s="130" t="s">
        <v>893</v>
      </c>
      <c r="D81" s="130" t="s">
        <v>1031</v>
      </c>
      <c r="E81" s="324" t="s">
        <v>4068</v>
      </c>
      <c r="F81" s="339" t="str">
        <f>IFERROR(IF(OR(E81='DICTIONARY-5'!$A$2,E81='DICTIONARY-5'!$A$4,ISBLANK(E81)),VLOOKUP(D81,LIST!$A$6:$L$3250,CURR_1.SEARCH.OLD,0),VLOOKUP(E81,LIST!$B$6:$L$3250,CURR_1.SEARCH.NEW,0)),'DICTIONARY-5'!$A$2)</f>
        <v>309,-</v>
      </c>
      <c r="G81" s="339" t="str">
        <f>IFERROR(IF(OR(E81='DICTIONARY-5'!$A$2,E81='DICTIONARY-5'!$A$4,ISBLANK(E81)),VLOOKUP(D81,LIST!$A$6:$M$3250,CURR_2.SEARCH.OLD,0),VLOOKUP(E81,LIST!$B$6:$M$3250,CURR_2.SEARCH.NEW,0)),'DICTIONARY-5'!$A$2)</f>
        <v/>
      </c>
      <c r="H81" s="130" t="s">
        <v>904</v>
      </c>
      <c r="I81" s="130" t="s">
        <v>1032</v>
      </c>
      <c r="J81" s="324" t="s">
        <v>4075</v>
      </c>
      <c r="K81" s="339" t="str">
        <f>IFERROR(IF(OR(J81='DICTIONARY-5'!$A$2,J81='DICTIONARY-5'!$A$4,ISBLANK(J81)),VLOOKUP(I81,LIST!$A$6:$L$3250,CURR_1.SEARCH.OLD,0),VLOOKUP(J81,LIST!$B$6:$L$3250,CURR_1.SEARCH.NEW,0)),'DICTIONARY-5'!$A$2)</f>
        <v>310,-</v>
      </c>
      <c r="L81" s="339" t="str">
        <f>IFERROR(IF(OR(J81='DICTIONARY-5'!$A$2,J81='DICTIONARY-5'!$A$4,ISBLANK(J81)),VLOOKUP(I81,LIST!$A$6:$M$3250,CURR_2.SEARCH.OLD,0),VLOOKUP(J81,LIST!$B$6:$M$3250,CURR_2.SEARCH.NEW,0)),'DICTIONARY-5'!$A$2)</f>
        <v/>
      </c>
    </row>
    <row r="82" spans="1:12" x14ac:dyDescent="0.25">
      <c r="A82" s="130">
        <v>150</v>
      </c>
      <c r="B82" s="130">
        <v>160</v>
      </c>
      <c r="C82" s="130" t="s">
        <v>893</v>
      </c>
      <c r="D82" s="130" t="s">
        <v>1033</v>
      </c>
      <c r="E82" s="324" t="s">
        <v>4069</v>
      </c>
      <c r="F82" s="339" t="str">
        <f>IFERROR(IF(OR(E82='DICTIONARY-5'!$A$2,E82='DICTIONARY-5'!$A$4,ISBLANK(E82)),VLOOKUP(D82,LIST!$A$6:$L$3250,CURR_1.SEARCH.OLD,0),VLOOKUP(E82,LIST!$B$6:$L$3250,CURR_1.SEARCH.NEW,0)),'DICTIONARY-5'!$A$2)</f>
        <v>275,-</v>
      </c>
      <c r="G82" s="339" t="str">
        <f>IFERROR(IF(OR(E82='DICTIONARY-5'!$A$2,E82='DICTIONARY-5'!$A$4,ISBLANK(E82)),VLOOKUP(D82,LIST!$A$6:$M$3250,CURR_2.SEARCH.OLD,0),VLOOKUP(E82,LIST!$B$6:$M$3250,CURR_2.SEARCH.NEW,0)),'DICTIONARY-5'!$A$2)</f>
        <v/>
      </c>
      <c r="H82" s="130" t="s">
        <v>904</v>
      </c>
      <c r="I82" s="130" t="s">
        <v>1034</v>
      </c>
      <c r="J82" s="324" t="s">
        <v>4076</v>
      </c>
      <c r="K82" s="339" t="str">
        <f>IFERROR(IF(OR(J82='DICTIONARY-5'!$A$2,J82='DICTIONARY-5'!$A$4,ISBLANK(J82)),VLOOKUP(I82,LIST!$A$6:$L$3250,CURR_1.SEARCH.OLD,0),VLOOKUP(J82,LIST!$B$6:$L$3250,CURR_1.SEARCH.NEW,0)),'DICTIONARY-5'!$A$2)</f>
        <v>277,-</v>
      </c>
      <c r="L82" s="339" t="str">
        <f>IFERROR(IF(OR(J82='DICTIONARY-5'!$A$2,J82='DICTIONARY-5'!$A$4,ISBLANK(J82)),VLOOKUP(I82,LIST!$A$6:$M$3250,CURR_2.SEARCH.OLD,0),VLOOKUP(J82,LIST!$B$6:$M$3250,CURR_2.SEARCH.NEW,0)),'DICTIONARY-5'!$A$2)</f>
        <v/>
      </c>
    </row>
    <row r="83" spans="1:12" x14ac:dyDescent="0.25">
      <c r="A83" s="130">
        <v>200</v>
      </c>
      <c r="B83" s="130">
        <v>225</v>
      </c>
      <c r="C83" s="130" t="s">
        <v>893</v>
      </c>
      <c r="D83" s="130" t="s">
        <v>1035</v>
      </c>
      <c r="E83" s="324" t="s">
        <v>4070</v>
      </c>
      <c r="F83" s="339" t="str">
        <f>IFERROR(IF(OR(E83='DICTIONARY-5'!$A$2,E83='DICTIONARY-5'!$A$4,ISBLANK(E83)),VLOOKUP(D83,LIST!$A$6:$L$3250,CURR_1.SEARCH.OLD,0),VLOOKUP(E83,LIST!$B$6:$L$3250,CURR_1.SEARCH.NEW,0)),'DICTIONARY-5'!$A$2)</f>
        <v>350,-</v>
      </c>
      <c r="G83" s="339" t="str">
        <f>IFERROR(IF(OR(E83='DICTIONARY-5'!$A$2,E83='DICTIONARY-5'!$A$4,ISBLANK(E83)),VLOOKUP(D83,LIST!$A$6:$M$3250,CURR_2.SEARCH.OLD,0),VLOOKUP(E83,LIST!$B$6:$M$3250,CURR_2.SEARCH.NEW,0)),'DICTIONARY-5'!$A$2)</f>
        <v/>
      </c>
      <c r="H83" s="130" t="s">
        <v>904</v>
      </c>
      <c r="I83" s="130" t="s">
        <v>1036</v>
      </c>
      <c r="J83" s="324" t="s">
        <v>4077</v>
      </c>
      <c r="K83" s="339" t="str">
        <f>IFERROR(IF(OR(J83='DICTIONARY-5'!$A$2,J83='DICTIONARY-5'!$A$4,ISBLANK(J83)),VLOOKUP(I83,LIST!$A$6:$L$3250,CURR_1.SEARCH.OLD,0),VLOOKUP(J83,LIST!$B$6:$L$3250,CURR_1.SEARCH.NEW,0)),'DICTIONARY-5'!$A$2)</f>
        <v>350,-</v>
      </c>
      <c r="L83" s="339" t="str">
        <f>IFERROR(IF(OR(J83='DICTIONARY-5'!$A$2,J83='DICTIONARY-5'!$A$4,ISBLANK(J83)),VLOOKUP(I83,LIST!$A$6:$M$3250,CURR_2.SEARCH.OLD,0),VLOOKUP(J83,LIST!$B$6:$M$3250,CURR_2.SEARCH.NEW,0)),'DICTIONARY-5'!$A$2)</f>
        <v/>
      </c>
    </row>
    <row r="84" spans="1:12" x14ac:dyDescent="0.25">
      <c r="A84" s="130">
        <v>250</v>
      </c>
      <c r="B84" s="130">
        <v>280</v>
      </c>
      <c r="C84" s="130" t="s">
        <v>893</v>
      </c>
      <c r="D84" s="130" t="s">
        <v>1037</v>
      </c>
      <c r="E84" s="324" t="s">
        <v>4071</v>
      </c>
      <c r="F84" s="339" t="str">
        <f>IFERROR(IF(OR(E84='DICTIONARY-5'!$A$2,E84='DICTIONARY-5'!$A$4,ISBLANK(E84)),VLOOKUP(D84,LIST!$A$6:$L$3250,CURR_1.SEARCH.OLD,0),VLOOKUP(E84,LIST!$B$6:$L$3250,CURR_1.SEARCH.NEW,0)),'DICTIONARY-5'!$A$2)</f>
        <v>728,-</v>
      </c>
      <c r="G84" s="339" t="str">
        <f>IFERROR(IF(OR(E84='DICTIONARY-5'!$A$2,E84='DICTIONARY-5'!$A$4,ISBLANK(E84)),VLOOKUP(D84,LIST!$A$6:$M$3250,CURR_2.SEARCH.OLD,0),VLOOKUP(E84,LIST!$B$6:$M$3250,CURR_2.SEARCH.NEW,0)),'DICTIONARY-5'!$A$2)</f>
        <v/>
      </c>
      <c r="H84" s="130" t="s">
        <v>904</v>
      </c>
      <c r="I84" s="130" t="s">
        <v>1038</v>
      </c>
      <c r="J84" s="324" t="s">
        <v>4078</v>
      </c>
      <c r="K84" s="339" t="str">
        <f>IFERROR(IF(OR(J84='DICTIONARY-5'!$A$2,J84='DICTIONARY-5'!$A$4,ISBLANK(J84)),VLOOKUP(I84,LIST!$A$6:$L$3250,CURR_1.SEARCH.OLD,0),VLOOKUP(J84,LIST!$B$6:$L$3250,CURR_1.SEARCH.NEW,0)),'DICTIONARY-5'!$A$2)</f>
        <v>729,-</v>
      </c>
      <c r="L84" s="339" t="str">
        <f>IFERROR(IF(OR(J84='DICTIONARY-5'!$A$2,J84='DICTIONARY-5'!$A$4,ISBLANK(J84)),VLOOKUP(I84,LIST!$A$6:$M$3250,CURR_2.SEARCH.OLD,0),VLOOKUP(J84,LIST!$B$6:$M$3250,CURR_2.SEARCH.NEW,0)),'DICTIONARY-5'!$A$2)</f>
        <v/>
      </c>
    </row>
    <row r="85" spans="1:12" x14ac:dyDescent="0.25">
      <c r="A85" s="130">
        <v>300</v>
      </c>
      <c r="B85" s="130">
        <v>315</v>
      </c>
      <c r="C85" s="130" t="s">
        <v>893</v>
      </c>
      <c r="D85" s="130" t="s">
        <v>1039</v>
      </c>
      <c r="E85" s="324" t="s">
        <v>4072</v>
      </c>
      <c r="F85" s="339" t="str">
        <f>IFERROR(IF(OR(E85='DICTIONARY-5'!$A$2,E85='DICTIONARY-5'!$A$4,ISBLANK(E85)),VLOOKUP(D85,LIST!$A$6:$L$3250,CURR_1.SEARCH.OLD,0),VLOOKUP(E85,LIST!$B$6:$L$3250,CURR_1.SEARCH.NEW,0)),'DICTIONARY-5'!$A$2)</f>
        <v>734,-</v>
      </c>
      <c r="G85" s="339" t="str">
        <f>IFERROR(IF(OR(E85='DICTIONARY-5'!$A$2,E85='DICTIONARY-5'!$A$4,ISBLANK(E85)),VLOOKUP(D85,LIST!$A$6:$M$3250,CURR_2.SEARCH.OLD,0),VLOOKUP(E85,LIST!$B$6:$M$3250,CURR_2.SEARCH.NEW,0)),'DICTIONARY-5'!$A$2)</f>
        <v/>
      </c>
      <c r="H85" s="130" t="s">
        <v>904</v>
      </c>
      <c r="I85" s="130" t="s">
        <v>1040</v>
      </c>
      <c r="J85" s="324" t="s">
        <v>4079</v>
      </c>
      <c r="K85" s="339" t="str">
        <f>IFERROR(IF(OR(J85='DICTIONARY-5'!$A$2,J85='DICTIONARY-5'!$A$4,ISBLANK(J85)),VLOOKUP(I85,LIST!$A$6:$L$3250,CURR_1.SEARCH.OLD,0),VLOOKUP(J85,LIST!$B$6:$L$3250,CURR_1.SEARCH.NEW,0)),'DICTIONARY-5'!$A$2)</f>
        <v>734,-</v>
      </c>
      <c r="L85" s="339" t="str">
        <f>IFERROR(IF(OR(J85='DICTIONARY-5'!$A$2,J85='DICTIONARY-5'!$A$4,ISBLANK(J85)),VLOOKUP(I85,LIST!$A$6:$M$3250,CURR_2.SEARCH.OLD,0),VLOOKUP(J85,LIST!$B$6:$M$3250,CURR_2.SEARCH.NEW,0)),'DICTIONARY-5'!$A$2)</f>
        <v/>
      </c>
    </row>
    <row r="86" spans="1:12" x14ac:dyDescent="0.25">
      <c r="F86" s="119"/>
    </row>
    <row r="87" spans="1:12" x14ac:dyDescent="0.25">
      <c r="A87" s="120" t="str">
        <f>"1) "&amp;'DICTIONARY-5'!$A$75</f>
        <v>1) Zewnętrzna średnica rury nawierconej</v>
      </c>
      <c r="F87" s="119"/>
    </row>
    <row r="91" spans="1:12" ht="16.5" thickBot="1" x14ac:dyDescent="0.3">
      <c r="A91" s="134" t="str">
        <f>CONCATENATE('DICTIONARY-3'!$A$58," ",'DICTIONARY-3'!$A$196," / ",'DICTIONARY-3'!$A$291," ",LOWER('DICTIONARY-3'!$A$295)," ",'DICTIONARY-3'!$A$298)</f>
        <v>HOD-K Mostek nawiertowy / Z zaworem  z końcówką dla rur PE, PP i PEX</v>
      </c>
      <c r="B91" s="134"/>
      <c r="C91" s="135"/>
      <c r="D91" s="136"/>
      <c r="E91" s="136"/>
      <c r="F91" s="136"/>
      <c r="G91" s="136"/>
      <c r="H91" s="136"/>
      <c r="I91" s="136"/>
      <c r="J91" s="136"/>
      <c r="K91" s="137"/>
      <c r="L91" s="136"/>
    </row>
    <row r="92" spans="1:12" x14ac:dyDescent="0.25">
      <c r="A92" s="122" t="str">
        <f>'DICTIONARY-3'!$A$303</f>
        <v>Dla rur z PVC i PE</v>
      </c>
      <c r="F92" s="119"/>
    </row>
    <row r="93" spans="1:12" x14ac:dyDescent="0.25">
      <c r="A93" s="122" t="str">
        <f>CONCATENATE('DICTIONARY-1'!$A$10,": ",SETTINGS!$C$27)</f>
        <v>Grupa rabatowa: HOD</v>
      </c>
      <c r="F93" s="119"/>
    </row>
    <row r="94" spans="1:12" x14ac:dyDescent="0.25">
      <c r="F94" s="119"/>
    </row>
    <row r="95" spans="1:12" x14ac:dyDescent="0.25">
      <c r="A95" s="706" t="str">
        <f>'DICTIONARY-2'!$A$2</f>
        <v>DN</v>
      </c>
      <c r="B95" s="706" t="str">
        <f>'DICTIONARY-2'!$A$5&amp;" 1)"</f>
        <v>Da 1)</v>
      </c>
      <c r="C95" s="126" t="str">
        <f>'DICTIONARY-2'!$A$27&amp;" 2)"</f>
        <v>d 2)</v>
      </c>
      <c r="D95" s="990" t="str">
        <f>'DICTIONARY-3'!$A$55&amp;'DICTIONARY-3'!$A$81</f>
        <v>HOD-K515</v>
      </c>
      <c r="E95" s="990"/>
      <c r="F95" s="990"/>
      <c r="G95" s="990"/>
      <c r="H95" s="126" t="str">
        <f>'DICTIONARY-2'!$A$27</f>
        <v>d</v>
      </c>
      <c r="I95" s="990" t="str">
        <f>'DICTIONARY-3'!$A$55&amp;'DICTIONARY-3'!$A$82</f>
        <v>HOD-K516</v>
      </c>
      <c r="J95" s="990"/>
      <c r="K95" s="990"/>
      <c r="L95" s="990"/>
    </row>
    <row r="96" spans="1:12" x14ac:dyDescent="0.25">
      <c r="A96" s="522" t="str">
        <f>'DICTIONARY-5'!$A$122</f>
        <v>rura</v>
      </c>
      <c r="B96" s="522" t="str">
        <f>'DICTIONARY-5'!$A$122</f>
        <v>rura</v>
      </c>
      <c r="C96" s="523"/>
      <c r="D96" s="991" t="str">
        <f>'DICTIONARY-5'!$A$125&amp;" + "&amp;'DICTIONARY-5'!$A$128</f>
        <v>mosiężny zawór kulowy + końcówka</v>
      </c>
      <c r="E96" s="991"/>
      <c r="F96" s="991"/>
      <c r="G96" s="991"/>
      <c r="H96" s="523"/>
      <c r="I96" s="991" t="str">
        <f>'DICTIONARY-5'!$A$127&amp;" + "&amp;'DICTIONARY-5'!$A$128</f>
        <v>mosiężna zasuwa + końcówka</v>
      </c>
      <c r="J96" s="991"/>
      <c r="K96" s="991"/>
      <c r="L96" s="991"/>
    </row>
    <row r="97" spans="1:12" x14ac:dyDescent="0.25">
      <c r="A97" s="127"/>
      <c r="B97" s="127" t="str">
        <f>'DICTIONARY-2'!$A$18</f>
        <v>[mm]</v>
      </c>
      <c r="C97" s="127" t="str">
        <f>'DICTIONARY-2'!$A$18</f>
        <v>[mm]</v>
      </c>
      <c r="D97" s="128" t="str">
        <f>'DICTIONARY-2'!$A$28</f>
        <v>stary nr zamówienia</v>
      </c>
      <c r="E97" s="128" t="str">
        <f>'DICTIONARY-2'!$A$29</f>
        <v>nowy nr zamówienia</v>
      </c>
      <c r="F97" s="117" t="str">
        <f>CURRENCY.CODE_1</f>
        <v>EUR</v>
      </c>
      <c r="G97" s="117" t="str">
        <f>CURRENCY.CODE_2</f>
        <v>---</v>
      </c>
      <c r="H97" s="127" t="str">
        <f>'DICTIONARY-2'!$A$18</f>
        <v>[mm]</v>
      </c>
      <c r="I97" s="128" t="str">
        <f>'DICTIONARY-2'!$A$28</f>
        <v>stary nr zamówienia</v>
      </c>
      <c r="J97" s="128" t="str">
        <f>'DICTIONARY-2'!$A$29</f>
        <v>nowy nr zamówienia</v>
      </c>
      <c r="K97" s="117" t="str">
        <f>CURRENCY.CODE_1</f>
        <v>EUR</v>
      </c>
      <c r="L97" s="117" t="str">
        <f>CURRENCY.CODE_2</f>
        <v>---</v>
      </c>
    </row>
    <row r="98" spans="1:12" x14ac:dyDescent="0.25">
      <c r="A98" s="130">
        <v>50</v>
      </c>
      <c r="B98" s="130">
        <v>63</v>
      </c>
      <c r="C98" s="130">
        <v>32</v>
      </c>
      <c r="D98" s="130" t="s">
        <v>1041</v>
      </c>
      <c r="E98" s="324" t="s">
        <v>4048</v>
      </c>
      <c r="F98" s="339" t="str">
        <f>IFERROR(IF(OR(E98='DICTIONARY-5'!$A$2,E98='DICTIONARY-5'!$A$4,ISBLANK(E98)),VLOOKUP(D98,LIST!$A$6:$L$3250,CURR_1.SEARCH.OLD,0),VLOOKUP(E98,LIST!$B$6:$L$3250,CURR_1.SEARCH.NEW,0)),'DICTIONARY-5'!$A$2)</f>
        <v>112,-</v>
      </c>
      <c r="G98" s="339" t="str">
        <f>IFERROR(IF(OR(E98='DICTIONARY-5'!$A$2,E98='DICTIONARY-5'!$A$4,ISBLANK(E98)),VLOOKUP(D98,LIST!$A$6:$M$3250,CURR_2.SEARCH.OLD,0),VLOOKUP(E98,LIST!$B$6:$M$3250,CURR_2.SEARCH.NEW,0)),'DICTIONARY-5'!$A$2)</f>
        <v/>
      </c>
      <c r="H98" s="130">
        <v>32</v>
      </c>
      <c r="I98" s="130" t="s">
        <v>1042</v>
      </c>
      <c r="J98" s="324" t="s">
        <v>4042</v>
      </c>
      <c r="K98" s="339" t="str">
        <f>IFERROR(IF(OR(J98='DICTIONARY-5'!$A$2,J98='DICTIONARY-5'!$A$4,ISBLANK(J98)),VLOOKUP(I98,LIST!$A$6:$L$3250,CURR_1.SEARCH.OLD,0),VLOOKUP(J98,LIST!$B$6:$L$3250,CURR_1.SEARCH.NEW,0)),'DICTIONARY-5'!$A$2)</f>
        <v>149,-</v>
      </c>
      <c r="L98" s="339" t="str">
        <f>IFERROR(IF(OR(J98='DICTIONARY-5'!$A$2,J98='DICTIONARY-5'!$A$4,ISBLANK(J98)),VLOOKUP(I98,LIST!$A$6:$M$3250,CURR_2.SEARCH.OLD,0),VLOOKUP(J98,LIST!$B$6:$M$3250,CURR_2.SEARCH.NEW,0)),'DICTIONARY-5'!$A$2)</f>
        <v/>
      </c>
    </row>
    <row r="99" spans="1:12" x14ac:dyDescent="0.25">
      <c r="A99" s="130">
        <v>65</v>
      </c>
      <c r="B99" s="130">
        <v>75</v>
      </c>
      <c r="C99" s="130">
        <v>32</v>
      </c>
      <c r="D99" s="130" t="s">
        <v>1043</v>
      </c>
      <c r="E99" s="324" t="s">
        <v>4049</v>
      </c>
      <c r="F99" s="339" t="str">
        <f>IFERROR(IF(OR(E99='DICTIONARY-5'!$A$2,E99='DICTIONARY-5'!$A$4,ISBLANK(E99)),VLOOKUP(D99,LIST!$A$6:$L$3250,CURR_1.SEARCH.OLD,0),VLOOKUP(E99,LIST!$B$6:$L$3250,CURR_1.SEARCH.NEW,0)),'DICTIONARY-5'!$A$2)</f>
        <v>131,-</v>
      </c>
      <c r="G99" s="339" t="str">
        <f>IFERROR(IF(OR(E99='DICTIONARY-5'!$A$2,E99='DICTIONARY-5'!$A$4,ISBLANK(E99)),VLOOKUP(D99,LIST!$A$6:$M$3250,CURR_2.SEARCH.OLD,0),VLOOKUP(E99,LIST!$B$6:$M$3250,CURR_2.SEARCH.NEW,0)),'DICTIONARY-5'!$A$2)</f>
        <v/>
      </c>
      <c r="H99" s="130">
        <v>32</v>
      </c>
      <c r="I99" s="130" t="s">
        <v>1044</v>
      </c>
      <c r="J99" s="324" t="s">
        <v>4043</v>
      </c>
      <c r="K99" s="339" t="str">
        <f>IFERROR(IF(OR(J99='DICTIONARY-5'!$A$2,J99='DICTIONARY-5'!$A$4,ISBLANK(J99)),VLOOKUP(I99,LIST!$A$6:$L$3250,CURR_1.SEARCH.OLD,0),VLOOKUP(J99,LIST!$B$6:$L$3250,CURR_1.SEARCH.NEW,0)),'DICTIONARY-5'!$A$2)</f>
        <v>167,-</v>
      </c>
      <c r="L99" s="339" t="str">
        <f>IFERROR(IF(OR(J99='DICTIONARY-5'!$A$2,J99='DICTIONARY-5'!$A$4,ISBLANK(J99)),VLOOKUP(I99,LIST!$A$6:$M$3250,CURR_2.SEARCH.OLD,0),VLOOKUP(J99,LIST!$B$6:$M$3250,CURR_2.SEARCH.NEW,0)),'DICTIONARY-5'!$A$2)</f>
        <v/>
      </c>
    </row>
    <row r="100" spans="1:12" x14ac:dyDescent="0.25">
      <c r="A100" s="130">
        <v>80</v>
      </c>
      <c r="B100" s="130">
        <v>90</v>
      </c>
      <c r="C100" s="130">
        <v>32</v>
      </c>
      <c r="D100" s="130" t="s">
        <v>1045</v>
      </c>
      <c r="E100" s="324" t="s">
        <v>4050</v>
      </c>
      <c r="F100" s="339" t="str">
        <f>IFERROR(IF(OR(E100='DICTIONARY-5'!$A$2,E100='DICTIONARY-5'!$A$4,ISBLANK(E100)),VLOOKUP(D100,LIST!$A$6:$L$3250,CURR_1.SEARCH.OLD,0),VLOOKUP(E100,LIST!$B$6:$L$3250,CURR_1.SEARCH.NEW,0)),'DICTIONARY-5'!$A$2)</f>
        <v>121,-</v>
      </c>
      <c r="G100" s="339" t="str">
        <f>IFERROR(IF(OR(E100='DICTIONARY-5'!$A$2,E100='DICTIONARY-5'!$A$4,ISBLANK(E100)),VLOOKUP(D100,LIST!$A$6:$M$3250,CURR_2.SEARCH.OLD,0),VLOOKUP(E100,LIST!$B$6:$M$3250,CURR_2.SEARCH.NEW,0)),'DICTIONARY-5'!$A$2)</f>
        <v/>
      </c>
      <c r="H100" s="130">
        <v>32</v>
      </c>
      <c r="I100" s="130" t="s">
        <v>1046</v>
      </c>
      <c r="J100" s="324" t="s">
        <v>4044</v>
      </c>
      <c r="K100" s="339" t="str">
        <f>IFERROR(IF(OR(J100='DICTIONARY-5'!$A$2,J100='DICTIONARY-5'!$A$4,ISBLANK(J100)),VLOOKUP(I100,LIST!$A$6:$L$3250,CURR_1.SEARCH.OLD,0),VLOOKUP(J100,LIST!$B$6:$L$3250,CURR_1.SEARCH.NEW,0)),'DICTIONARY-5'!$A$2)</f>
        <v>157,-</v>
      </c>
      <c r="L100" s="339" t="str">
        <f>IFERROR(IF(OR(J100='DICTIONARY-5'!$A$2,J100='DICTIONARY-5'!$A$4,ISBLANK(J100)),VLOOKUP(I100,LIST!$A$6:$M$3250,CURR_2.SEARCH.OLD,0),VLOOKUP(J100,LIST!$B$6:$M$3250,CURR_2.SEARCH.NEW,0)),'DICTIONARY-5'!$A$2)</f>
        <v/>
      </c>
    </row>
    <row r="101" spans="1:12" x14ac:dyDescent="0.25">
      <c r="A101" s="130">
        <v>100</v>
      </c>
      <c r="B101" s="130">
        <v>110</v>
      </c>
      <c r="C101" s="130">
        <v>32</v>
      </c>
      <c r="D101" s="130" t="s">
        <v>1047</v>
      </c>
      <c r="E101" s="324" t="s">
        <v>4051</v>
      </c>
      <c r="F101" s="339" t="str">
        <f>IFERROR(IF(OR(E101='DICTIONARY-5'!$A$2,E101='DICTIONARY-5'!$A$4,ISBLANK(E101)),VLOOKUP(D101,LIST!$A$6:$L$3250,CURR_1.SEARCH.OLD,0),VLOOKUP(E101,LIST!$B$6:$L$3250,CURR_1.SEARCH.NEW,0)),'DICTIONARY-5'!$A$2)</f>
        <v>125,-</v>
      </c>
      <c r="G101" s="339" t="str">
        <f>IFERROR(IF(OR(E101='DICTIONARY-5'!$A$2,E101='DICTIONARY-5'!$A$4,ISBLANK(E101)),VLOOKUP(D101,LIST!$A$6:$M$3250,CURR_2.SEARCH.OLD,0),VLOOKUP(E101,LIST!$B$6:$M$3250,CURR_2.SEARCH.NEW,0)),'DICTIONARY-5'!$A$2)</f>
        <v/>
      </c>
      <c r="H101" s="130">
        <v>32</v>
      </c>
      <c r="I101" s="130" t="s">
        <v>1048</v>
      </c>
      <c r="J101" s="324" t="s">
        <v>4045</v>
      </c>
      <c r="K101" s="339" t="str">
        <f>IFERROR(IF(OR(J101='DICTIONARY-5'!$A$2,J101='DICTIONARY-5'!$A$4,ISBLANK(J101)),VLOOKUP(I101,LIST!$A$6:$L$3250,CURR_1.SEARCH.OLD,0),VLOOKUP(J101,LIST!$B$6:$L$3250,CURR_1.SEARCH.NEW,0)),'DICTIONARY-5'!$A$2)</f>
        <v>161,-</v>
      </c>
      <c r="L101" s="339" t="str">
        <f>IFERROR(IF(OR(J101='DICTIONARY-5'!$A$2,J101='DICTIONARY-5'!$A$4,ISBLANK(J101)),VLOOKUP(I101,LIST!$A$6:$M$3250,CURR_2.SEARCH.OLD,0),VLOOKUP(J101,LIST!$B$6:$M$3250,CURR_2.SEARCH.NEW,0)),'DICTIONARY-5'!$A$2)</f>
        <v/>
      </c>
    </row>
    <row r="102" spans="1:12" x14ac:dyDescent="0.25">
      <c r="A102" s="130">
        <v>150</v>
      </c>
      <c r="B102" s="130">
        <v>160</v>
      </c>
      <c r="C102" s="130">
        <v>32</v>
      </c>
      <c r="D102" s="130" t="s">
        <v>1049</v>
      </c>
      <c r="E102" s="324" t="s">
        <v>4052</v>
      </c>
      <c r="F102" s="339" t="str">
        <f>IFERROR(IF(OR(E102='DICTIONARY-5'!$A$2,E102='DICTIONARY-5'!$A$4,ISBLANK(E102)),VLOOKUP(D102,LIST!$A$6:$L$3250,CURR_1.SEARCH.OLD,0),VLOOKUP(E102,LIST!$B$6:$L$3250,CURR_1.SEARCH.NEW,0)),'DICTIONARY-5'!$A$2)</f>
        <v>154,-</v>
      </c>
      <c r="G102" s="339" t="str">
        <f>IFERROR(IF(OR(E102='DICTIONARY-5'!$A$2,E102='DICTIONARY-5'!$A$4,ISBLANK(E102)),VLOOKUP(D102,LIST!$A$6:$M$3250,CURR_2.SEARCH.OLD,0),VLOOKUP(E102,LIST!$B$6:$M$3250,CURR_2.SEARCH.NEW,0)),'DICTIONARY-5'!$A$2)</f>
        <v/>
      </c>
      <c r="H102" s="130">
        <v>32</v>
      </c>
      <c r="I102" s="130" t="s">
        <v>1050</v>
      </c>
      <c r="J102" s="324" t="s">
        <v>4046</v>
      </c>
      <c r="K102" s="339" t="str">
        <f>IFERROR(IF(OR(J102='DICTIONARY-5'!$A$2,J102='DICTIONARY-5'!$A$4,ISBLANK(J102)),VLOOKUP(I102,LIST!$A$6:$L$3250,CURR_1.SEARCH.OLD,0),VLOOKUP(J102,LIST!$B$6:$L$3250,CURR_1.SEARCH.NEW,0)),'DICTIONARY-5'!$A$2)</f>
        <v>190,-</v>
      </c>
      <c r="L102" s="339" t="str">
        <f>IFERROR(IF(OR(J102='DICTIONARY-5'!$A$2,J102='DICTIONARY-5'!$A$4,ISBLANK(J102)),VLOOKUP(I102,LIST!$A$6:$M$3250,CURR_2.SEARCH.OLD,0),VLOOKUP(J102,LIST!$B$6:$M$3250,CURR_2.SEARCH.NEW,0)),'DICTIONARY-5'!$A$2)</f>
        <v/>
      </c>
    </row>
    <row r="103" spans="1:12" x14ac:dyDescent="0.25">
      <c r="A103" s="130">
        <v>200</v>
      </c>
      <c r="B103" s="130">
        <v>225</v>
      </c>
      <c r="C103" s="130">
        <v>32</v>
      </c>
      <c r="D103" s="130" t="s">
        <v>1051</v>
      </c>
      <c r="E103" s="324" t="s">
        <v>4053</v>
      </c>
      <c r="F103" s="339" t="str">
        <f>IFERROR(IF(OR(E103='DICTIONARY-5'!$A$2,E103='DICTIONARY-5'!$A$4,ISBLANK(E103)),VLOOKUP(D103,LIST!$A$6:$L$3250,CURR_1.SEARCH.OLD,0),VLOOKUP(E103,LIST!$B$6:$L$3250,CURR_1.SEARCH.NEW,0)),'DICTIONARY-5'!$A$2)</f>
        <v>209,-</v>
      </c>
      <c r="G103" s="339" t="str">
        <f>IFERROR(IF(OR(E103='DICTIONARY-5'!$A$2,E103='DICTIONARY-5'!$A$4,ISBLANK(E103)),VLOOKUP(D103,LIST!$A$6:$M$3250,CURR_2.SEARCH.OLD,0),VLOOKUP(E103,LIST!$B$6:$M$3250,CURR_2.SEARCH.NEW,0)),'DICTIONARY-5'!$A$2)</f>
        <v/>
      </c>
      <c r="H103" s="130">
        <v>32</v>
      </c>
      <c r="I103" s="130" t="s">
        <v>1052</v>
      </c>
      <c r="J103" s="324" t="s">
        <v>4047</v>
      </c>
      <c r="K103" s="339" t="str">
        <f>IFERROR(IF(OR(J103='DICTIONARY-5'!$A$2,J103='DICTIONARY-5'!$A$4,ISBLANK(J103)),VLOOKUP(I103,LIST!$A$6:$L$3250,CURR_1.SEARCH.OLD,0),VLOOKUP(J103,LIST!$B$6:$L$3250,CURR_1.SEARCH.NEW,0)),'DICTIONARY-5'!$A$2)</f>
        <v>245,-</v>
      </c>
      <c r="L103" s="339" t="str">
        <f>IFERROR(IF(OR(J103='DICTIONARY-5'!$A$2,J103='DICTIONARY-5'!$A$4,ISBLANK(J103)),VLOOKUP(I103,LIST!$A$6:$M$3250,CURR_2.SEARCH.OLD,0),VLOOKUP(J103,LIST!$B$6:$M$3250,CURR_2.SEARCH.NEW,0)),'DICTIONARY-5'!$A$2)</f>
        <v/>
      </c>
    </row>
    <row r="104" spans="1:12" x14ac:dyDescent="0.25">
      <c r="F104" s="119"/>
    </row>
    <row r="105" spans="1:12" x14ac:dyDescent="0.25">
      <c r="A105" s="120" t="str">
        <f>"1) "&amp;'DICTIONARY-5'!$A$75</f>
        <v>1) Zewnętrzna średnica rury nawierconej</v>
      </c>
      <c r="F105" s="119"/>
    </row>
    <row r="106" spans="1:12" x14ac:dyDescent="0.25">
      <c r="A106" s="120" t="str">
        <f>"2) "&amp;'DICTIONARY-5'!$A$129</f>
        <v>2) Wewnętrzna średnica końcówki</v>
      </c>
    </row>
  </sheetData>
  <sheetProtection algorithmName="SHA-512" hashValue="GV0exZeX4rsKgDuUP1VGYHawmVk/c/Bu+9+sot0R0gH/l9Uolfly7ys5Rgn9DUD9hI42lCrC7WYDAur3DEES+A==" saltValue="dy4Z/M0Qh7IquN41nrzoYw==" spinCount="100000" sheet="1" objects="1" scenarios="1" autoFilter="0"/>
  <mergeCells count="29">
    <mergeCell ref="B4:E4"/>
    <mergeCell ref="I77:L77"/>
    <mergeCell ref="D77:G77"/>
    <mergeCell ref="D41:G41"/>
    <mergeCell ref="I41:L41"/>
    <mergeCell ref="D10:G10"/>
    <mergeCell ref="I10:L10"/>
    <mergeCell ref="D31:G31"/>
    <mergeCell ref="I31:L31"/>
    <mergeCell ref="D11:G11"/>
    <mergeCell ref="I11:L11"/>
    <mergeCell ref="D32:G32"/>
    <mergeCell ref="I32:L32"/>
    <mergeCell ref="D96:G96"/>
    <mergeCell ref="I96:L96"/>
    <mergeCell ref="D42:G42"/>
    <mergeCell ref="I42:L42"/>
    <mergeCell ref="D55:G55"/>
    <mergeCell ref="I55:L55"/>
    <mergeCell ref="D67:G67"/>
    <mergeCell ref="I67:L67"/>
    <mergeCell ref="D95:G95"/>
    <mergeCell ref="I95:L95"/>
    <mergeCell ref="D54:G54"/>
    <mergeCell ref="I54:L54"/>
    <mergeCell ref="D66:G66"/>
    <mergeCell ref="I66:L66"/>
    <mergeCell ref="D76:G76"/>
    <mergeCell ref="I76:L7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5">
    <tabColor rgb="FF0F6E23"/>
  </sheetPr>
  <dimension ref="A1:I26"/>
  <sheetViews>
    <sheetView workbookViewId="0"/>
  </sheetViews>
  <sheetFormatPr defaultColWidth="9.140625" defaultRowHeight="15" x14ac:dyDescent="0.25"/>
  <cols>
    <col min="1" max="2" width="9.140625" style="123"/>
    <col min="3" max="4" width="22.140625" style="123" customWidth="1"/>
    <col min="5" max="6" width="12.85546875" style="125" customWidth="1"/>
    <col min="7" max="16384" width="9.140625" style="120"/>
  </cols>
  <sheetData>
    <row r="1" spans="1:9" s="412" customFormat="1" ht="45" customHeight="1" thickBot="1" x14ac:dyDescent="0.3">
      <c r="A1" s="431"/>
      <c r="B1" s="431"/>
      <c r="C1" s="431"/>
      <c r="D1" s="431"/>
      <c r="E1" s="411"/>
      <c r="F1" s="411"/>
    </row>
    <row r="2" spans="1:9" s="473" customFormat="1" ht="4.5" customHeight="1" x14ac:dyDescent="0.25">
      <c r="A2" s="470"/>
      <c r="B2" s="471"/>
      <c r="C2" s="471"/>
      <c r="D2" s="471"/>
      <c r="E2" s="472"/>
      <c r="F2" s="472"/>
    </row>
    <row r="3" spans="1:9" ht="15.75" thickBot="1" x14ac:dyDescent="0.3">
      <c r="A3" s="115"/>
      <c r="B3" s="116"/>
      <c r="C3" s="116"/>
      <c r="D3" s="116"/>
    </row>
    <row r="4" spans="1:9" ht="15.75" thickBot="1" x14ac:dyDescent="0.3">
      <c r="A4" s="825">
        <f>ADD.DISCOUNT</f>
        <v>0</v>
      </c>
      <c r="B4" s="933" t="str">
        <f>HYPERLINK("#'LIST'!ADD.DISCOUNT","» "&amp;'DICTIONARY-1'!$A$5)</f>
        <v>» Ustaw globalny dodatkowy rabat</v>
      </c>
      <c r="C4" s="995"/>
      <c r="D4" s="995"/>
      <c r="E4" s="996"/>
    </row>
    <row r="5" spans="1:9" x14ac:dyDescent="0.25">
      <c r="A5" s="115"/>
      <c r="B5" s="116"/>
      <c r="C5" s="116"/>
      <c r="D5" s="116"/>
    </row>
    <row r="6" spans="1:9" ht="16.5" thickBot="1" x14ac:dyDescent="0.3">
      <c r="A6" s="134" t="str">
        <f>CONCATENATE('DICTIONARY-3'!$A$60," ",'DICTIONARY-3'!$A$196," / ",'DICTIONARY-3'!$A$291)</f>
        <v xml:space="preserve">TERRA-M Mostek nawiertowy / Z zaworem </v>
      </c>
      <c r="B6" s="142"/>
      <c r="C6" s="142"/>
      <c r="D6" s="142"/>
      <c r="E6" s="143"/>
      <c r="F6" s="143"/>
    </row>
    <row r="7" spans="1:9" x14ac:dyDescent="0.25">
      <c r="A7" s="122" t="str">
        <f>'DICTIONARY-3'!$A$300</f>
        <v>Dla rur ze stali, żeliwa i betonu</v>
      </c>
    </row>
    <row r="8" spans="1:9" x14ac:dyDescent="0.25">
      <c r="A8" s="122" t="str">
        <f>CONCATENATE('DICTIONARY-1'!$A$10,": ",SETTINGS!$C$37)</f>
        <v>Grupa rabatowa: TERRA M1/TERRAlock</v>
      </c>
    </row>
    <row r="9" spans="1:9" x14ac:dyDescent="0.25">
      <c r="A9" s="957" t="str">
        <f>CONCATENATE("» ",'DICTIONARY-5'!$A$6," ",'DICTIONARY-3'!$A$197," (",LOWER('DICTIONARY-5'!$A$5),")")</f>
        <v>» Przejdź do produktu: Obejma (należy zamówić oddzielnie )</v>
      </c>
      <c r="B9" s="957"/>
      <c r="C9" s="957"/>
      <c r="D9" s="957"/>
      <c r="E9" s="957"/>
      <c r="F9" s="957"/>
    </row>
    <row r="10" spans="1:9" x14ac:dyDescent="0.25">
      <c r="A10" s="141"/>
    </row>
    <row r="11" spans="1:9" x14ac:dyDescent="0.25">
      <c r="A11" s="706" t="str">
        <f>'DICTIONARY-2'!$A$2</f>
        <v>DN</v>
      </c>
      <c r="B11" s="126" t="str">
        <f>'DICTIONARY-2'!$A$26</f>
        <v>G</v>
      </c>
      <c r="C11" s="990" t="str">
        <f>'DICTIONARY-3'!$A$59&amp;'DICTIONARY-3'!$A$83</f>
        <v>TERRA-M1</v>
      </c>
      <c r="D11" s="990"/>
      <c r="E11" s="990"/>
      <c r="F11" s="990"/>
    </row>
    <row r="12" spans="1:9" x14ac:dyDescent="0.25">
      <c r="A12" s="522" t="str">
        <f>'DICTIONARY-5'!$A$122</f>
        <v>rura</v>
      </c>
      <c r="B12" s="523"/>
      <c r="C12" s="991" t="str">
        <f>'DICTIONARY-5'!$A$130</f>
        <v>zintegrowane zamknięcie</v>
      </c>
      <c r="D12" s="991"/>
      <c r="E12" s="991"/>
      <c r="F12" s="991"/>
    </row>
    <row r="13" spans="1:9" x14ac:dyDescent="0.25">
      <c r="A13" s="127"/>
      <c r="B13" s="127"/>
      <c r="C13" s="128" t="str">
        <f>'DICTIONARY-2'!$A$28</f>
        <v>stary nr zamówienia</v>
      </c>
      <c r="D13" s="128" t="str">
        <f>'DICTIONARY-2'!$A$29</f>
        <v>nowy nr zamówienia</v>
      </c>
      <c r="E13" s="117" t="str">
        <f>CURRENCY.CODE_1</f>
        <v>EUR</v>
      </c>
      <c r="F13" s="117" t="str">
        <f>CURRENCY.CODE_2</f>
        <v>---</v>
      </c>
      <c r="I13" s="129"/>
    </row>
    <row r="14" spans="1:9" x14ac:dyDescent="0.25">
      <c r="A14" s="130" t="s">
        <v>862</v>
      </c>
      <c r="B14" s="130" t="s">
        <v>866</v>
      </c>
      <c r="C14" s="130" t="s">
        <v>1110</v>
      </c>
      <c r="D14" s="324" t="s">
        <v>4104</v>
      </c>
      <c r="E14" s="339" t="str">
        <f>IFERROR(IF(OR(D14='DICTIONARY-5'!$A$2,D14='DICTIONARY-5'!$A$4,ISBLANK(D14)),VLOOKUP(C14,LIST!$A$6:$L$3250,CURR_1.SEARCH.OLD,0),VLOOKUP(D14,LIST!$B$6:$L$3250,CURR_1.SEARCH.NEW,0)),'DICTIONARY-5'!$A$2)</f>
        <v>189,-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  <c r="H14" s="123"/>
      <c r="I14" s="131"/>
    </row>
    <row r="15" spans="1:9" x14ac:dyDescent="0.25">
      <c r="I15" s="131"/>
    </row>
    <row r="16" spans="1:9" x14ac:dyDescent="0.25">
      <c r="I16" s="131"/>
    </row>
    <row r="17" spans="1:9" x14ac:dyDescent="0.25">
      <c r="I17" s="131"/>
    </row>
    <row r="18" spans="1:9" ht="16.5" thickBot="1" x14ac:dyDescent="0.3">
      <c r="A18" s="134" t="str">
        <f>CONCATENATE('DICTIONARY-3'!$A$60," ",'DICTIONARY-3'!$A$196," / ",'DICTIONARY-3'!$A$290)</f>
        <v>TERRA-M Mostek nawiertowy / Bez zaworu</v>
      </c>
      <c r="B18" s="142"/>
      <c r="C18" s="142"/>
      <c r="D18" s="142"/>
      <c r="E18" s="143"/>
      <c r="F18" s="143"/>
      <c r="I18" s="131"/>
    </row>
    <row r="19" spans="1:9" x14ac:dyDescent="0.25">
      <c r="A19" s="140" t="str">
        <f>'DICTIONARY-3'!$A$300</f>
        <v>Dla rur ze stali, żeliwa i betonu</v>
      </c>
      <c r="I19" s="131"/>
    </row>
    <row r="20" spans="1:9" x14ac:dyDescent="0.25">
      <c r="A20" s="122" t="str">
        <f>CONCATENATE('DICTIONARY-1'!$A$10,": ",SETTINGS!$C$37)</f>
        <v>Grupa rabatowa: TERRA M1/TERRAlock</v>
      </c>
      <c r="I20" s="131"/>
    </row>
    <row r="21" spans="1:9" x14ac:dyDescent="0.25">
      <c r="A21" s="957" t="str">
        <f>CONCATENATE("» ",'DICTIONARY-5'!$A$6," ",'DICTIONARY-3'!$A$197," (",LOWER('DICTIONARY-5'!$A$5),")")</f>
        <v>» Przejdź do produktu: Obejma (należy zamówić oddzielnie )</v>
      </c>
      <c r="B21" s="957"/>
      <c r="C21" s="957"/>
      <c r="D21" s="957"/>
      <c r="E21" s="957"/>
      <c r="F21" s="957"/>
      <c r="I21" s="131"/>
    </row>
    <row r="22" spans="1:9" x14ac:dyDescent="0.25">
      <c r="A22" s="141"/>
      <c r="I22" s="131"/>
    </row>
    <row r="23" spans="1:9" x14ac:dyDescent="0.25">
      <c r="A23" s="706" t="str">
        <f>'DICTIONARY-2'!$A$2</f>
        <v>DN</v>
      </c>
      <c r="B23" s="126" t="str">
        <f>'DICTIONARY-2'!$A$26</f>
        <v>G</v>
      </c>
      <c r="C23" s="990" t="str">
        <f>'DICTIONARY-3'!$A$59&amp;'DICTIONARY-3'!$A$84</f>
        <v>TERRA-M11</v>
      </c>
      <c r="D23" s="990"/>
      <c r="E23" s="990"/>
      <c r="F23" s="990"/>
      <c r="I23" s="131"/>
    </row>
    <row r="24" spans="1:9" x14ac:dyDescent="0.25">
      <c r="A24" s="522" t="str">
        <f>'DICTIONARY-5'!$A$122</f>
        <v>rura</v>
      </c>
      <c r="B24" s="523"/>
      <c r="C24" s="991" t="str">
        <f>LOWER('DICTIONARY-3'!$A$290)</f>
        <v>bez zaworu</v>
      </c>
      <c r="D24" s="991"/>
      <c r="E24" s="991"/>
      <c r="F24" s="991"/>
      <c r="I24" s="131"/>
    </row>
    <row r="25" spans="1:9" x14ac:dyDescent="0.25">
      <c r="A25" s="127"/>
      <c r="B25" s="127"/>
      <c r="C25" s="128" t="str">
        <f>'DICTIONARY-2'!$A$28</f>
        <v>stary nr zamówienia</v>
      </c>
      <c r="D25" s="128" t="str">
        <f>'DICTIONARY-2'!$A$29</f>
        <v>nowy nr zamówienia</v>
      </c>
      <c r="E25" s="117" t="str">
        <f>CURRENCY.CODE_1</f>
        <v>EUR</v>
      </c>
      <c r="F25" s="117" t="str">
        <f>CURRENCY.CODE_2</f>
        <v>---</v>
      </c>
      <c r="I25" s="131"/>
    </row>
    <row r="26" spans="1:9" x14ac:dyDescent="0.25">
      <c r="A26" s="130" t="s">
        <v>862</v>
      </c>
      <c r="B26" s="130" t="s">
        <v>866</v>
      </c>
      <c r="C26" s="130" t="s">
        <v>1111</v>
      </c>
      <c r="D26" s="324" t="s">
        <v>4158</v>
      </c>
      <c r="E26" s="339" t="str">
        <f>IFERROR(IF(OR(D26='DICTIONARY-5'!$A$2,D26='DICTIONARY-5'!$A$4,ISBLANK(D26)),VLOOKUP(C26,LIST!$A$6:$L$3250,CURR_1.SEARCH.OLD,0),VLOOKUP(D26,LIST!$B$6:$L$3250,CURR_1.SEARCH.NEW,0)),'DICTIONARY-5'!$A$2)</f>
        <v>150,-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  <c r="I26" s="131"/>
    </row>
  </sheetData>
  <sheetProtection algorithmName="SHA-512" hashValue="ksFLHPMrPUAFmG4IhOfgr9XyYoP2zlAg5i6pekxGZcOiETxTrS/CykQJA0BtIyAWbJZP+HJTxOgWBcjo5Wpjxg==" saltValue="bGNo3rj8i9nquxjZbNT/xg==" spinCount="100000" sheet="1" objects="1" scenarios="1" autoFilter="0"/>
  <mergeCells count="7">
    <mergeCell ref="B4:E4"/>
    <mergeCell ref="C11:F11"/>
    <mergeCell ref="C23:F23"/>
    <mergeCell ref="C12:F12"/>
    <mergeCell ref="C24:F24"/>
    <mergeCell ref="A9:F9"/>
    <mergeCell ref="A21:F21"/>
  </mergeCells>
  <hyperlinks>
    <hyperlink ref="A9" location="_04_Clamp" display="_04_Clamp" xr:uid="{00000000-0004-0000-2D00-000000000000}"/>
    <hyperlink ref="A21" location="_04_Clamp" display="_04_Clamp" xr:uid="{00000000-0004-0000-2D00-000001000000}"/>
  </hyperlinks>
  <pageMargins left="0.7" right="0.7" top="0.78740157499999996" bottom="0.78740157499999996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6">
    <tabColor rgb="FF0F6E23"/>
  </sheetPr>
  <dimension ref="A1:P54"/>
  <sheetViews>
    <sheetView workbookViewId="0"/>
  </sheetViews>
  <sheetFormatPr defaultColWidth="9.140625" defaultRowHeight="15" x14ac:dyDescent="0.25"/>
  <cols>
    <col min="1" max="4" width="9.140625" style="120"/>
    <col min="5" max="6" width="22.140625" style="120" customWidth="1"/>
    <col min="7" max="8" width="12.85546875" style="120" customWidth="1"/>
    <col min="9" max="16384" width="9.140625" style="120"/>
  </cols>
  <sheetData>
    <row r="1" spans="1:8" s="412" customFormat="1" ht="45" customHeight="1" thickBot="1" x14ac:dyDescent="0.3">
      <c r="A1" s="431"/>
      <c r="B1" s="431"/>
      <c r="C1" s="431"/>
      <c r="D1" s="431"/>
    </row>
    <row r="2" spans="1:8" s="473" customFormat="1" ht="4.5" customHeight="1" x14ac:dyDescent="0.25">
      <c r="A2" s="470"/>
    </row>
    <row r="3" spans="1:8" ht="15.75" thickBot="1" x14ac:dyDescent="0.3">
      <c r="A3" s="115"/>
      <c r="B3" s="116"/>
      <c r="C3" s="116"/>
      <c r="D3" s="116"/>
      <c r="E3" s="116"/>
      <c r="F3" s="116"/>
    </row>
    <row r="4" spans="1:8" ht="15.75" thickBot="1" x14ac:dyDescent="0.3">
      <c r="A4" s="825">
        <f>ADD.DISCOUNT</f>
        <v>0</v>
      </c>
      <c r="B4" s="933" t="str">
        <f>HYPERLINK("#'LIST'!ADD.DISCOUNT","» "&amp;'DICTIONARY-1'!$A$5)</f>
        <v>» Ustaw globalny dodatkowy rabat</v>
      </c>
      <c r="C4" s="995"/>
      <c r="D4" s="995"/>
      <c r="E4" s="996"/>
      <c r="F4" s="116"/>
    </row>
    <row r="5" spans="1:8" x14ac:dyDescent="0.25">
      <c r="A5" s="115"/>
      <c r="B5" s="116"/>
      <c r="C5" s="116"/>
      <c r="D5" s="116"/>
      <c r="E5" s="116"/>
      <c r="F5" s="116"/>
    </row>
    <row r="6" spans="1:8" ht="16.5" thickBot="1" x14ac:dyDescent="0.3">
      <c r="A6" s="134" t="str">
        <f>CONCATENATE('DICTIONARY-3'!$A$61," ",'DICTIONARY-3'!$A$196," / ",'DICTIONARY-3'!$A$299)</f>
        <v>TERRA-K Mostek nawiertowy / Ze zintegrowanym wiertłem i zaworem</v>
      </c>
      <c r="B6" s="136"/>
      <c r="C6" s="136"/>
      <c r="D6" s="136"/>
      <c r="E6" s="136"/>
      <c r="F6" s="136"/>
      <c r="G6" s="136"/>
      <c r="H6" s="136"/>
    </row>
    <row r="7" spans="1:8" x14ac:dyDescent="0.25">
      <c r="A7" s="122" t="str">
        <f>'DICTIONARY-3'!$A$303</f>
        <v>Dla rur z PVC i PE</v>
      </c>
      <c r="B7" s="122"/>
      <c r="C7" s="122"/>
      <c r="D7" s="122"/>
      <c r="E7" s="122"/>
      <c r="F7" s="122"/>
      <c r="G7" s="122"/>
      <c r="H7" s="122"/>
    </row>
    <row r="8" spans="1:8" x14ac:dyDescent="0.25">
      <c r="A8" s="122" t="str">
        <f>CONCATENATE('DICTIONARY-1'!$A$10,": ",SETTINGS!$C$31)</f>
        <v>Grupa rabatowa: TERRA K1 PVC</v>
      </c>
      <c r="B8" s="122"/>
      <c r="C8" s="122"/>
      <c r="D8" s="122"/>
      <c r="E8" s="122"/>
      <c r="F8" s="122"/>
      <c r="G8" s="122"/>
      <c r="H8" s="122"/>
    </row>
    <row r="10" spans="1:8" x14ac:dyDescent="0.25">
      <c r="A10" s="706" t="str">
        <f>'DICTIONARY-2'!$A$2</f>
        <v>DN</v>
      </c>
      <c r="B10" s="706" t="str">
        <f>'DICTIONARY-2'!$A$5&amp;" 1)"</f>
        <v>Da 1)</v>
      </c>
      <c r="C10" s="990" t="str">
        <f>'DICTIONARY-5'!$A$132</f>
        <v>Średnica wiertła</v>
      </c>
      <c r="D10" s="126" t="str">
        <f>'DICTIONARY-2'!$A$26</f>
        <v>G</v>
      </c>
      <c r="E10" s="990" t="str">
        <f>'DICTIONARY-3'!$A$59&amp;'DICTIONARY-3'!$A$85</f>
        <v>TERRA-K1</v>
      </c>
      <c r="F10" s="1000"/>
      <c r="G10" s="1000"/>
      <c r="H10" s="1001"/>
    </row>
    <row r="11" spans="1:8" x14ac:dyDescent="0.25">
      <c r="A11" s="522" t="str">
        <f>'DICTIONARY-5'!$A$122</f>
        <v>rura</v>
      </c>
      <c r="B11" s="522" t="str">
        <f>'DICTIONARY-5'!$A$122</f>
        <v>rura</v>
      </c>
      <c r="C11" s="999"/>
      <c r="D11" s="523"/>
      <c r="E11" s="991" t="str">
        <f>'DICTIONARY-5'!$A$131</f>
        <v>zintegrowane odcięcie/wiertło</v>
      </c>
      <c r="F11" s="991"/>
      <c r="G11" s="991"/>
      <c r="H11" s="991"/>
    </row>
    <row r="12" spans="1:8" x14ac:dyDescent="0.25">
      <c r="A12" s="127"/>
      <c r="B12" s="127" t="str">
        <f>'DICTIONARY-2'!$A$18</f>
        <v>[mm]</v>
      </c>
      <c r="C12" s="127" t="str">
        <f>'DICTIONARY-2'!$A$18</f>
        <v>[mm]</v>
      </c>
      <c r="D12" s="127"/>
      <c r="E12" s="721" t="str">
        <f>'DICTIONARY-2'!$A$28</f>
        <v>stary nr zamówienia</v>
      </c>
      <c r="F12" s="721" t="str">
        <f>'DICTIONARY-2'!$A$29</f>
        <v>nowy nr zamówienia</v>
      </c>
      <c r="G12" s="117" t="str">
        <f>CURRENCY.CODE_1</f>
        <v>EUR</v>
      </c>
      <c r="H12" s="117" t="str">
        <f>CURRENCY.CODE_2</f>
        <v>---</v>
      </c>
    </row>
    <row r="13" spans="1:8" x14ac:dyDescent="0.25">
      <c r="A13" s="130">
        <v>80</v>
      </c>
      <c r="B13" s="130">
        <v>90</v>
      </c>
      <c r="C13" s="130">
        <v>27</v>
      </c>
      <c r="D13" s="130" t="s">
        <v>893</v>
      </c>
      <c r="E13" s="722" t="s">
        <v>1112</v>
      </c>
      <c r="F13" s="324" t="s">
        <v>4169</v>
      </c>
      <c r="G13" s="339" t="str">
        <f>IFERROR(IF(OR(F13='DICTIONARY-5'!$A$2,F13='DICTIONARY-5'!$A$4,ISBLANK(F13)),VLOOKUP(E13,LIST!$A$6:$L$3250,CURR_1.SEARCH.OLD,0),VLOOKUP(F13,LIST!$B$6:$L$3250,CURR_1.SEARCH.NEW,0)),'DICTIONARY-5'!$A$2)</f>
        <v>227,-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</row>
    <row r="14" spans="1:8" x14ac:dyDescent="0.25">
      <c r="A14" s="130">
        <v>100</v>
      </c>
      <c r="B14" s="130">
        <v>110</v>
      </c>
      <c r="C14" s="130">
        <v>27</v>
      </c>
      <c r="D14" s="130" t="s">
        <v>893</v>
      </c>
      <c r="E14" s="722" t="s">
        <v>1113</v>
      </c>
      <c r="F14" s="324" t="s">
        <v>4170</v>
      </c>
      <c r="G14" s="339" t="str">
        <f>IFERROR(IF(OR(F14='DICTIONARY-5'!$A$2,F14='DICTIONARY-5'!$A$4,ISBLANK(F14)),VLOOKUP(E14,LIST!$A$6:$L$3250,CURR_1.SEARCH.OLD,0),VLOOKUP(F14,LIST!$B$6:$L$3250,CURR_1.SEARCH.NEW,0)),'DICTIONARY-5'!$A$2)</f>
        <v>231,-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</row>
    <row r="15" spans="1:8" x14ac:dyDescent="0.25">
      <c r="A15" s="130">
        <v>125</v>
      </c>
      <c r="B15" s="130">
        <v>140</v>
      </c>
      <c r="C15" s="130">
        <v>38</v>
      </c>
      <c r="D15" s="130" t="s">
        <v>893</v>
      </c>
      <c r="E15" s="722" t="s">
        <v>1114</v>
      </c>
      <c r="F15" s="324" t="s">
        <v>4171</v>
      </c>
      <c r="G15" s="339" t="str">
        <f>IFERROR(IF(OR(F15='DICTIONARY-5'!$A$2,F15='DICTIONARY-5'!$A$4,ISBLANK(F15)),VLOOKUP(E15,LIST!$A$6:$L$3250,CURR_1.SEARCH.OLD,0),VLOOKUP(F15,LIST!$B$6:$L$3250,CURR_1.SEARCH.NEW,0)),'DICTIONARY-5'!$A$2)</f>
        <v>299,-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</row>
    <row r="16" spans="1:8" x14ac:dyDescent="0.25">
      <c r="A16" s="130">
        <v>150</v>
      </c>
      <c r="B16" s="130">
        <v>160</v>
      </c>
      <c r="C16" s="130">
        <v>38</v>
      </c>
      <c r="D16" s="130" t="s">
        <v>893</v>
      </c>
      <c r="E16" s="722" t="s">
        <v>1115</v>
      </c>
      <c r="F16" s="324" t="s">
        <v>4172</v>
      </c>
      <c r="G16" s="339" t="str">
        <f>IFERROR(IF(OR(F16='DICTIONARY-5'!$A$2,F16='DICTIONARY-5'!$A$4,ISBLANK(F16)),VLOOKUP(E16,LIST!$A$6:$L$3250,CURR_1.SEARCH.OLD,0),VLOOKUP(F16,LIST!$B$6:$L$3250,CURR_1.SEARCH.NEW,0)),'DICTIONARY-5'!$A$2)</f>
        <v>264,-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</row>
    <row r="17" spans="1:16" x14ac:dyDescent="0.25">
      <c r="A17" s="130">
        <v>200</v>
      </c>
      <c r="B17" s="130">
        <v>225</v>
      </c>
      <c r="C17" s="130">
        <v>38</v>
      </c>
      <c r="D17" s="130" t="s">
        <v>893</v>
      </c>
      <c r="E17" s="722" t="s">
        <v>1116</v>
      </c>
      <c r="F17" s="324" t="s">
        <v>4173</v>
      </c>
      <c r="G17" s="339" t="str">
        <f>IFERROR(IF(OR(F17='DICTIONARY-5'!$A$2,F17='DICTIONARY-5'!$A$4,ISBLANK(F17)),VLOOKUP(E17,LIST!$A$6:$L$3250,CURR_1.SEARCH.OLD,0),VLOOKUP(F17,LIST!$B$6:$L$3250,CURR_1.SEARCH.NEW,0)),'DICTIONARY-5'!$A$2)</f>
        <v>337,-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</row>
    <row r="19" spans="1:16" x14ac:dyDescent="0.25">
      <c r="A19" s="120" t="str">
        <f>"1) "&amp;'DICTIONARY-5'!$A$75</f>
        <v>1) Zewnętrzna średnica rury nawierconej</v>
      </c>
      <c r="G19" s="723"/>
      <c r="H19" s="723"/>
      <c r="P19" s="526"/>
    </row>
    <row r="20" spans="1:16" x14ac:dyDescent="0.25">
      <c r="G20" s="723"/>
      <c r="H20" s="723"/>
      <c r="P20" s="526"/>
    </row>
    <row r="21" spans="1:16" x14ac:dyDescent="0.25">
      <c r="G21" s="723"/>
      <c r="H21" s="723"/>
    </row>
    <row r="22" spans="1:16" x14ac:dyDescent="0.25">
      <c r="G22" s="723"/>
      <c r="H22" s="723"/>
    </row>
    <row r="23" spans="1:16" ht="16.5" thickBot="1" x14ac:dyDescent="0.3">
      <c r="A23" s="134" t="str">
        <f>CONCATENATE('DICTIONARY-3'!$A$61," ",'DICTIONARY-3'!$A$196," / ",'DICTIONARY-3'!$A$299)</f>
        <v>TERRA-K Mostek nawiertowy / Ze zintegrowanym wiertłem i zaworem</v>
      </c>
      <c r="B23" s="136"/>
      <c r="C23" s="136"/>
      <c r="D23" s="136"/>
      <c r="E23" s="136"/>
      <c r="F23" s="136"/>
      <c r="G23" s="724"/>
      <c r="H23" s="724"/>
    </row>
    <row r="24" spans="1:16" x14ac:dyDescent="0.25">
      <c r="A24" s="122" t="str">
        <f>'DICTIONARY-3'!$A$303</f>
        <v>Dla rur z PVC i PE</v>
      </c>
      <c r="B24" s="123"/>
      <c r="C24" s="123"/>
      <c r="D24" s="123"/>
      <c r="E24" s="123"/>
      <c r="F24" s="123"/>
      <c r="G24" s="125"/>
      <c r="H24" s="125"/>
    </row>
    <row r="25" spans="1:16" x14ac:dyDescent="0.25">
      <c r="A25" s="122" t="str">
        <f>CONCATENATE('DICTIONARY-1'!$A$10,": ",SETTINGS!$C$38)</f>
        <v>Grupa rabatowa: TERRA-K12</v>
      </c>
      <c r="B25" s="123"/>
      <c r="C25" s="123"/>
      <c r="D25" s="123"/>
      <c r="E25" s="123"/>
      <c r="F25" s="123"/>
      <c r="G25" s="125"/>
      <c r="H25" s="125"/>
    </row>
    <row r="26" spans="1:16" x14ac:dyDescent="0.25">
      <c r="A26" s="725" t="str">
        <f>'DICTIONARY-5'!$A$133</f>
        <v>Odpowiedznie siodło zgrzewane PE musi być zamówione oddzielnie</v>
      </c>
      <c r="B26" s="123"/>
      <c r="C26" s="123"/>
      <c r="D26" s="123"/>
      <c r="E26" s="123"/>
      <c r="F26" s="123"/>
      <c r="G26" s="125"/>
      <c r="H26" s="125"/>
    </row>
    <row r="27" spans="1:16" x14ac:dyDescent="0.25">
      <c r="A27" s="141"/>
      <c r="B27" s="123"/>
      <c r="C27" s="123"/>
      <c r="D27" s="123"/>
      <c r="E27" s="123"/>
      <c r="F27" s="123"/>
      <c r="G27" s="125"/>
      <c r="H27" s="125"/>
    </row>
    <row r="28" spans="1:16" ht="15" customHeight="1" x14ac:dyDescent="0.25">
      <c r="A28" s="706" t="str">
        <f>'DICTIONARY-2'!$A$2</f>
        <v>DN</v>
      </c>
      <c r="B28" s="706" t="str">
        <f>'DICTIONARY-2'!$A$5&amp;" 1)"</f>
        <v>Da 1)</v>
      </c>
      <c r="C28" s="990" t="str">
        <f>'DICTIONARY-5'!$A$132</f>
        <v>Średnica wiertła</v>
      </c>
      <c r="D28" s="706"/>
      <c r="E28" s="990" t="str">
        <f>'DICTIONARY-3'!$A$59&amp;'DICTIONARY-3'!$A$87</f>
        <v>TERRA-K12</v>
      </c>
      <c r="F28" s="1000"/>
      <c r="G28" s="1000"/>
      <c r="H28" s="1001"/>
    </row>
    <row r="29" spans="1:16" ht="30" x14ac:dyDescent="0.25">
      <c r="A29" s="522" t="str">
        <f>'DICTIONARY-5'!$A$122</f>
        <v>rura</v>
      </c>
      <c r="B29" s="522" t="str">
        <f>'DICTIONARY-5'!$A$136</f>
        <v>przyłącza do domu</v>
      </c>
      <c r="C29" s="999"/>
      <c r="D29" s="522"/>
      <c r="E29" s="991" t="str">
        <f>'DICTIONARY-5'!$A$131</f>
        <v>zintegrowane odcięcie/wiertło</v>
      </c>
      <c r="F29" s="991"/>
      <c r="G29" s="991"/>
      <c r="H29" s="991"/>
    </row>
    <row r="30" spans="1:16" x14ac:dyDescent="0.25">
      <c r="A30" s="127"/>
      <c r="B30" s="127" t="str">
        <f>'DICTIONARY-2'!$A$18</f>
        <v>[mm]</v>
      </c>
      <c r="C30" s="127" t="str">
        <f>'DICTIONARY-2'!$A$18</f>
        <v>[mm]</v>
      </c>
      <c r="D30" s="127"/>
      <c r="E30" s="128" t="str">
        <f>'DICTIONARY-2'!$A$28</f>
        <v>stary nr zamówienia</v>
      </c>
      <c r="F30" s="721" t="str">
        <f>'DICTIONARY-2'!$A$29</f>
        <v>nowy nr zamówienia</v>
      </c>
      <c r="G30" s="117" t="str">
        <f>CURRENCY.CODE_1</f>
        <v>EUR</v>
      </c>
      <c r="H30" s="117" t="str">
        <f>CURRENCY.CODE_2</f>
        <v>---</v>
      </c>
    </row>
    <row r="31" spans="1:16" x14ac:dyDescent="0.25">
      <c r="A31" s="130" t="s">
        <v>1117</v>
      </c>
      <c r="B31" s="130">
        <v>40</v>
      </c>
      <c r="C31" s="130">
        <v>30</v>
      </c>
      <c r="D31" s="720"/>
      <c r="E31" s="130" t="s">
        <v>1118</v>
      </c>
      <c r="F31" s="324" t="s">
        <v>2867</v>
      </c>
      <c r="G31" s="339" t="str">
        <f>IFERROR(IF(OR(F31='DICTIONARY-5'!$A$2,F31='DICTIONARY-5'!$A$4,ISBLANK(F31)),VLOOKUP(E31,LIST!$A$6:$L$3250,CURR_1.SEARCH.OLD,0),VLOOKUP(F31,LIST!$B$6:$L$3250,CURR_1.SEARCH.NEW,0)),'DICTIONARY-5'!$A$2)</f>
        <v>196,-</v>
      </c>
      <c r="H31" s="339" t="str">
        <f>IFERROR(IF(OR(F31='DICTIONARY-5'!$A$2,F31='DICTIONARY-5'!$A$4,ISBLANK(F31)),VLOOKUP(E31,LIST!$A$6:$M$3250,CURR_2.SEARCH.OLD,0),VLOOKUP(F31,LIST!$B$6:$M$3250,CURR_2.SEARCH.NEW,0)),'DICTIONARY-5'!$A$2)</f>
        <v/>
      </c>
    </row>
    <row r="33" spans="1:8" x14ac:dyDescent="0.25">
      <c r="A33" s="120" t="str">
        <f>"1) "&amp;'DICTIONARY-5'!$A$76</f>
        <v>1) Średnica zewnętrzna rurociągu przyłącza domowego</v>
      </c>
    </row>
    <row r="37" spans="1:8" ht="16.5" thickBot="1" x14ac:dyDescent="0.3">
      <c r="A37" s="712" t="str">
        <f>'DICTIONARY-3'!$A$199</f>
        <v>PE obejma</v>
      </c>
      <c r="B37" s="136"/>
      <c r="C37" s="136"/>
      <c r="D37" s="136"/>
      <c r="E37" s="136"/>
      <c r="F37" s="136"/>
      <c r="G37" s="136"/>
      <c r="H37" s="136"/>
    </row>
    <row r="38" spans="1:8" x14ac:dyDescent="0.25">
      <c r="A38" s="122" t="str">
        <f>PROPER('DICTIONARY-5'!$A$7)&amp;" "&amp;'DICTIONARY-3'!$A$59&amp;'DICTIONARY-3'!$A$87&amp;'DICTIONARY-3'!$A$196</f>
        <v>Dla TERRA-K12Mostek nawiertowy</v>
      </c>
    </row>
    <row r="39" spans="1:8" x14ac:dyDescent="0.25">
      <c r="A39" s="122" t="str">
        <f>CONCATENATE('DICTIONARY-1'!$A$10,": ",SETTINGS!$C$30)</f>
        <v>Grupa rabatowa: PE Sleeve (TERRA-K12)</v>
      </c>
    </row>
    <row r="41" spans="1:8" x14ac:dyDescent="0.25">
      <c r="A41" s="706" t="str">
        <f>'DICTIONARY-2'!$A$2</f>
        <v>DN</v>
      </c>
      <c r="B41" s="706" t="str">
        <f>'DICTIONARY-2'!$A$5&amp;" 1)"</f>
        <v>Da 1)</v>
      </c>
      <c r="C41" s="726"/>
      <c r="D41" s="726"/>
      <c r="E41" s="1002" t="str">
        <f>'DICTIONARY-3'!$A$89</f>
        <v>PE obejma</v>
      </c>
      <c r="F41" s="1003"/>
      <c r="G41" s="1003"/>
      <c r="H41" s="1003"/>
    </row>
    <row r="42" spans="1:8" x14ac:dyDescent="0.25">
      <c r="A42" s="522" t="str">
        <f>'DICTIONARY-5'!$A$122</f>
        <v>rura</v>
      </c>
      <c r="B42" s="522" t="str">
        <f>'DICTIONARY-5'!$A$122</f>
        <v>rura</v>
      </c>
      <c r="C42" s="726"/>
      <c r="D42" s="726"/>
      <c r="E42" s="997" t="str">
        <f>'DICTIONARY-5'!$A$7&amp;" "&amp;'DICTIONARY-3'!$A$59&amp;'DICTIONARY-3'!$A$87</f>
        <v>dla TERRA-K12</v>
      </c>
      <c r="F42" s="998"/>
      <c r="G42" s="998"/>
      <c r="H42" s="998"/>
    </row>
    <row r="43" spans="1:8" x14ac:dyDescent="0.25">
      <c r="A43" s="127"/>
      <c r="B43" s="127" t="str">
        <f>'DICTIONARY-2'!$A$18</f>
        <v>[mm]</v>
      </c>
      <c r="C43" s="523"/>
      <c r="D43" s="523"/>
      <c r="E43" s="721" t="str">
        <f>'DICTIONARY-2'!$A$28</f>
        <v>stary nr zamówienia</v>
      </c>
      <c r="F43" s="721" t="str">
        <f>'DICTIONARY-2'!$A$29</f>
        <v>nowy nr zamówienia</v>
      </c>
      <c r="G43" s="117" t="str">
        <f>CURRENCY.CODE_1</f>
        <v>EUR</v>
      </c>
      <c r="H43" s="117" t="str">
        <f>CURRENCY.CODE_2</f>
        <v>---</v>
      </c>
    </row>
    <row r="44" spans="1:8" x14ac:dyDescent="0.25">
      <c r="A44" s="130">
        <v>80</v>
      </c>
      <c r="B44" s="130">
        <v>90</v>
      </c>
      <c r="C44" s="720"/>
      <c r="D44" s="720"/>
      <c r="E44" s="722" t="s">
        <v>1120</v>
      </c>
      <c r="F44" s="324" t="s">
        <v>4788</v>
      </c>
      <c r="G44" s="339" t="str">
        <f>IFERROR(IF(OR(F44='DICTIONARY-5'!$A$2,F44='DICTIONARY-5'!$A$4,ISBLANK(F44)),VLOOKUP(E44,LIST!$A$6:$L$3250,CURR_1.SEARCH.OLD,0),VLOOKUP(F44,LIST!$B$6:$L$3250,CURR_1.SEARCH.NEW,0)),'DICTIONARY-5'!$A$2)</f>
        <v>44,-</v>
      </c>
      <c r="H44" s="339" t="str">
        <f>IFERROR(IF(OR(F44='DICTIONARY-5'!$A$2,F44='DICTIONARY-5'!$A$4,ISBLANK(F44)),VLOOKUP(E44,LIST!$A$6:$M$3250,CURR_2.SEARCH.OLD,0),VLOOKUP(F44,LIST!$B$6:$M$3250,CURR_2.SEARCH.NEW,0)),'DICTIONARY-5'!$A$2)</f>
        <v/>
      </c>
    </row>
    <row r="45" spans="1:8" x14ac:dyDescent="0.25">
      <c r="A45" s="130">
        <v>100</v>
      </c>
      <c r="B45" s="130">
        <v>110</v>
      </c>
      <c r="C45" s="720"/>
      <c r="D45" s="720"/>
      <c r="E45" s="722" t="s">
        <v>1121</v>
      </c>
      <c r="F45" s="324" t="s">
        <v>4789</v>
      </c>
      <c r="G45" s="339" t="str">
        <f>IFERROR(IF(OR(F45='DICTIONARY-5'!$A$2,F45='DICTIONARY-5'!$A$4,ISBLANK(F45)),VLOOKUP(E45,LIST!$A$6:$L$3250,CURR_1.SEARCH.OLD,0),VLOOKUP(F45,LIST!$B$6:$L$3250,CURR_1.SEARCH.NEW,0)),'DICTIONARY-5'!$A$2)</f>
        <v>51,-</v>
      </c>
      <c r="H45" s="339" t="str">
        <f>IFERROR(IF(OR(F45='DICTIONARY-5'!$A$2,F45='DICTIONARY-5'!$A$4,ISBLANK(F45)),VLOOKUP(E45,LIST!$A$6:$M$3250,CURR_2.SEARCH.OLD,0),VLOOKUP(F45,LIST!$B$6:$M$3250,CURR_2.SEARCH.NEW,0)),'DICTIONARY-5'!$A$2)</f>
        <v/>
      </c>
    </row>
    <row r="46" spans="1:8" x14ac:dyDescent="0.25">
      <c r="A46" s="130">
        <v>125</v>
      </c>
      <c r="B46" s="130">
        <v>125</v>
      </c>
      <c r="C46" s="720"/>
      <c r="D46" s="720"/>
      <c r="E46" s="722" t="s">
        <v>1122</v>
      </c>
      <c r="F46" s="324" t="s">
        <v>4790</v>
      </c>
      <c r="G46" s="339" t="str">
        <f>IFERROR(IF(OR(F46='DICTIONARY-5'!$A$2,F46='DICTIONARY-5'!$A$4,ISBLANK(F46)),VLOOKUP(E46,LIST!$A$6:$L$3250,CURR_1.SEARCH.OLD,0),VLOOKUP(F46,LIST!$B$6:$L$3250,CURR_1.SEARCH.NEW,0)),'DICTIONARY-5'!$A$2)</f>
        <v>63,-</v>
      </c>
      <c r="H46" s="339" t="str">
        <f>IFERROR(IF(OR(F46='DICTIONARY-5'!$A$2,F46='DICTIONARY-5'!$A$4,ISBLANK(F46)),VLOOKUP(E46,LIST!$A$6:$M$3250,CURR_2.SEARCH.OLD,0),VLOOKUP(F46,LIST!$B$6:$M$3250,CURR_2.SEARCH.NEW,0)),'DICTIONARY-5'!$A$2)</f>
        <v/>
      </c>
    </row>
    <row r="47" spans="1:8" x14ac:dyDescent="0.25">
      <c r="A47" s="130">
        <v>125</v>
      </c>
      <c r="B47" s="130">
        <v>140</v>
      </c>
      <c r="C47" s="720"/>
      <c r="D47" s="720"/>
      <c r="E47" s="722" t="s">
        <v>1123</v>
      </c>
      <c r="F47" s="324" t="s">
        <v>4791</v>
      </c>
      <c r="G47" s="339" t="str">
        <f>IFERROR(IF(OR(F47='DICTIONARY-5'!$A$2,F47='DICTIONARY-5'!$A$4,ISBLANK(F47)),VLOOKUP(E47,LIST!$A$6:$L$3250,CURR_1.SEARCH.OLD,0),VLOOKUP(F47,LIST!$B$6:$L$3250,CURR_1.SEARCH.NEW,0)),'DICTIONARY-5'!$A$2)</f>
        <v>91,-</v>
      </c>
      <c r="H47" s="339" t="str">
        <f>IFERROR(IF(OR(F47='DICTIONARY-5'!$A$2,F47='DICTIONARY-5'!$A$4,ISBLANK(F47)),VLOOKUP(E47,LIST!$A$6:$M$3250,CURR_2.SEARCH.OLD,0),VLOOKUP(F47,LIST!$B$6:$M$3250,CURR_2.SEARCH.NEW,0)),'DICTIONARY-5'!$A$2)</f>
        <v/>
      </c>
    </row>
    <row r="48" spans="1:8" x14ac:dyDescent="0.25">
      <c r="A48" s="130">
        <v>150</v>
      </c>
      <c r="B48" s="130">
        <v>160</v>
      </c>
      <c r="C48" s="720"/>
      <c r="D48" s="720"/>
      <c r="E48" s="722" t="s">
        <v>1124</v>
      </c>
      <c r="F48" s="324" t="s">
        <v>4792</v>
      </c>
      <c r="G48" s="339" t="str">
        <f>IFERROR(IF(OR(F48='DICTIONARY-5'!$A$2,F48='DICTIONARY-5'!$A$4,ISBLANK(F48)),VLOOKUP(E48,LIST!$A$6:$L$3250,CURR_1.SEARCH.OLD,0),VLOOKUP(F48,LIST!$B$6:$L$3250,CURR_1.SEARCH.NEW,0)),'DICTIONARY-5'!$A$2)</f>
        <v>105,-</v>
      </c>
      <c r="H48" s="339" t="str">
        <f>IFERROR(IF(OR(F48='DICTIONARY-5'!$A$2,F48='DICTIONARY-5'!$A$4,ISBLANK(F48)),VLOOKUP(E48,LIST!$A$6:$M$3250,CURR_2.SEARCH.OLD,0),VLOOKUP(F48,LIST!$B$6:$M$3250,CURR_2.SEARCH.NEW,0)),'DICTIONARY-5'!$A$2)</f>
        <v/>
      </c>
    </row>
    <row r="49" spans="1:8" x14ac:dyDescent="0.25">
      <c r="A49" s="130">
        <v>150</v>
      </c>
      <c r="B49" s="130">
        <v>180</v>
      </c>
      <c r="C49" s="720"/>
      <c r="D49" s="720"/>
      <c r="E49" s="722" t="s">
        <v>1125</v>
      </c>
      <c r="F49" s="324" t="s">
        <v>4793</v>
      </c>
      <c r="G49" s="339" t="str">
        <f>IFERROR(IF(OR(F49='DICTIONARY-5'!$A$2,F49='DICTIONARY-5'!$A$4,ISBLANK(F49)),VLOOKUP(E49,LIST!$A$6:$L$3250,CURR_1.SEARCH.OLD,0),VLOOKUP(F49,LIST!$B$6:$L$3250,CURR_1.SEARCH.NEW,0)),'DICTIONARY-5'!$A$2)</f>
        <v>109,-</v>
      </c>
      <c r="H49" s="339" t="str">
        <f>IFERROR(IF(OR(F49='DICTIONARY-5'!$A$2,F49='DICTIONARY-5'!$A$4,ISBLANK(F49)),VLOOKUP(E49,LIST!$A$6:$M$3250,CURR_2.SEARCH.OLD,0),VLOOKUP(F49,LIST!$B$6:$M$3250,CURR_2.SEARCH.NEW,0)),'DICTIONARY-5'!$A$2)</f>
        <v/>
      </c>
    </row>
    <row r="50" spans="1:8" x14ac:dyDescent="0.25">
      <c r="A50" s="130">
        <v>200</v>
      </c>
      <c r="B50" s="130">
        <v>200</v>
      </c>
      <c r="C50" s="720"/>
      <c r="D50" s="720"/>
      <c r="E50" s="722" t="s">
        <v>1126</v>
      </c>
      <c r="F50" s="324" t="s">
        <v>4794</v>
      </c>
      <c r="G50" s="339" t="str">
        <f>IFERROR(IF(OR(F50='DICTIONARY-5'!$A$2,F50='DICTIONARY-5'!$A$4,ISBLANK(F50)),VLOOKUP(E50,LIST!$A$6:$L$3250,CURR_1.SEARCH.OLD,0),VLOOKUP(F50,LIST!$B$6:$L$3250,CURR_1.SEARCH.NEW,0)),'DICTIONARY-5'!$A$2)</f>
        <v>129,-</v>
      </c>
      <c r="H50" s="339" t="str">
        <f>IFERROR(IF(OR(F50='DICTIONARY-5'!$A$2,F50='DICTIONARY-5'!$A$4,ISBLANK(F50)),VLOOKUP(E50,LIST!$A$6:$M$3250,CURR_2.SEARCH.OLD,0),VLOOKUP(F50,LIST!$B$6:$M$3250,CURR_2.SEARCH.NEW,0)),'DICTIONARY-5'!$A$2)</f>
        <v/>
      </c>
    </row>
    <row r="51" spans="1:8" x14ac:dyDescent="0.25">
      <c r="A51" s="130">
        <v>200</v>
      </c>
      <c r="B51" s="130">
        <v>225</v>
      </c>
      <c r="C51" s="720"/>
      <c r="D51" s="720"/>
      <c r="E51" s="722" t="s">
        <v>1127</v>
      </c>
      <c r="F51" s="324" t="s">
        <v>4795</v>
      </c>
      <c r="G51" s="339" t="str">
        <f>IFERROR(IF(OR(F51='DICTIONARY-5'!$A$2,F51='DICTIONARY-5'!$A$4,ISBLANK(F51)),VLOOKUP(E51,LIST!$A$6:$L$3250,CURR_1.SEARCH.OLD,0),VLOOKUP(F51,LIST!$B$6:$L$3250,CURR_1.SEARCH.NEW,0)),'DICTIONARY-5'!$A$2)</f>
        <v>146,-</v>
      </c>
      <c r="H51" s="339" t="str">
        <f>IFERROR(IF(OR(F51='DICTIONARY-5'!$A$2,F51='DICTIONARY-5'!$A$4,ISBLANK(F51)),VLOOKUP(E51,LIST!$A$6:$M$3250,CURR_2.SEARCH.OLD,0),VLOOKUP(F51,LIST!$B$6:$M$3250,CURR_2.SEARCH.NEW,0)),'DICTIONARY-5'!$A$2)</f>
        <v/>
      </c>
    </row>
    <row r="52" spans="1:8" x14ac:dyDescent="0.25">
      <c r="A52" s="130">
        <v>300</v>
      </c>
      <c r="B52" s="130">
        <v>315</v>
      </c>
      <c r="C52" s="720"/>
      <c r="D52" s="720"/>
      <c r="E52" s="130" t="s">
        <v>1128</v>
      </c>
      <c r="F52" s="324" t="s">
        <v>4796</v>
      </c>
      <c r="G52" s="339" t="str">
        <f>IFERROR(IF(OR(F52='DICTIONARY-5'!$A$2,F52='DICTIONARY-5'!$A$4,ISBLANK(F52)),VLOOKUP(E52,LIST!$A$6:$L$3250,CURR_1.SEARCH.OLD,0),VLOOKUP(F52,LIST!$B$6:$L$3250,CURR_1.SEARCH.NEW,0)),'DICTIONARY-5'!$A$2)</f>
        <v>213,-</v>
      </c>
      <c r="H52" s="339" t="str">
        <f>IFERROR(IF(OR(F52='DICTIONARY-5'!$A$2,F52='DICTIONARY-5'!$A$4,ISBLANK(F52)),VLOOKUP(E52,LIST!$A$6:$M$3250,CURR_2.SEARCH.OLD,0),VLOOKUP(F52,LIST!$B$6:$M$3250,CURR_2.SEARCH.NEW,0)),'DICTIONARY-5'!$A$2)</f>
        <v/>
      </c>
    </row>
    <row r="54" spans="1:8" x14ac:dyDescent="0.25">
      <c r="A54" s="120" t="str">
        <f>"1) "&amp;'DICTIONARY-5'!$A$75</f>
        <v>1) Zewnętrzna średnica rury nawierconej</v>
      </c>
      <c r="B54" s="727"/>
      <c r="C54" s="727"/>
      <c r="D54" s="727"/>
    </row>
  </sheetData>
  <sheetProtection algorithmName="SHA-512" hashValue="DPEPmY+09OZ7ovJqqOaiP+wXgfMi/EmH13WeF66vZTsgcy6WHUXTmtvnKtJM1MgvOhx9RWG4VjZ2xxB1w/Bj3g==" saltValue="dCeN8h3oXZUNQZkw1v6FlQ==" spinCount="100000" sheet="1" objects="1" scenarios="1" autoFilter="0"/>
  <mergeCells count="9">
    <mergeCell ref="B4:E4"/>
    <mergeCell ref="E42:H42"/>
    <mergeCell ref="C10:C11"/>
    <mergeCell ref="C28:C29"/>
    <mergeCell ref="E10:H10"/>
    <mergeCell ref="E28:H28"/>
    <mergeCell ref="E41:H41"/>
    <mergeCell ref="E11:H11"/>
    <mergeCell ref="E29:H29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7">
    <tabColor rgb="FF0F6E23"/>
  </sheetPr>
  <dimension ref="A1:W76"/>
  <sheetViews>
    <sheetView workbookViewId="0"/>
  </sheetViews>
  <sheetFormatPr defaultColWidth="9.140625" defaultRowHeight="15" x14ac:dyDescent="0.25"/>
  <cols>
    <col min="1" max="2" width="8.5703125" style="144" customWidth="1"/>
    <col min="3" max="3" width="13.28515625" style="144" bestFit="1" customWidth="1"/>
    <col min="4" max="5" width="22.140625" style="144" customWidth="1"/>
    <col min="6" max="7" width="12.85546875" style="145" customWidth="1"/>
    <col min="8" max="9" width="22.140625" style="145" customWidth="1"/>
    <col min="10" max="11" width="11.42578125" style="145" customWidth="1"/>
    <col min="12" max="16384" width="9.140625" style="146"/>
  </cols>
  <sheetData>
    <row r="1" spans="1:23" s="408" customFormat="1" ht="45" customHeight="1" thickBot="1" x14ac:dyDescent="0.3">
      <c r="A1" s="430"/>
      <c r="B1" s="430"/>
      <c r="C1" s="430"/>
      <c r="D1" s="430"/>
      <c r="E1" s="410"/>
      <c r="F1" s="409"/>
      <c r="G1" s="409"/>
      <c r="H1" s="409"/>
      <c r="I1" s="409"/>
      <c r="J1" s="409"/>
      <c r="K1" s="409"/>
    </row>
    <row r="2" spans="1:23" s="467" customFormat="1" ht="4.5" customHeight="1" x14ac:dyDescent="0.25">
      <c r="A2" s="466"/>
      <c r="B2" s="468"/>
      <c r="C2" s="468"/>
      <c r="D2" s="468"/>
      <c r="E2" s="468"/>
      <c r="F2" s="469"/>
      <c r="G2" s="469"/>
      <c r="H2" s="469"/>
      <c r="I2" s="469"/>
      <c r="J2" s="469"/>
      <c r="K2" s="469"/>
    </row>
    <row r="3" spans="1:23" ht="15.75" thickBot="1" x14ac:dyDescent="0.3">
      <c r="A3" s="147"/>
      <c r="B3" s="148"/>
      <c r="C3" s="148"/>
    </row>
    <row r="4" spans="1:23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23" x14ac:dyDescent="0.25">
      <c r="A5" s="147"/>
      <c r="B5" s="148"/>
      <c r="C5" s="148"/>
    </row>
    <row r="6" spans="1:23" ht="16.5" thickBot="1" x14ac:dyDescent="0.3">
      <c r="A6" s="712" t="str">
        <f>CONCATENATE('DICTIONARY-3'!$A$90,'DICTIONARY-3'!$A$91," ",'DICTIONARY-3'!$A$187," / ",'DICTIONARY-3'!$A$293)</f>
        <v>BETA-HA Zasuwa klinowa / Z gwintem wewnętrznym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23" x14ac:dyDescent="0.25">
      <c r="A7" s="150" t="str">
        <f>CONCATENATE('DICTIONARY-1'!$A$10,": ",SETTINGS!$C$7)</f>
        <v xml:space="preserve">Grupa rabatowa: BETA HA, BETA-ZZ, BETA-Z (cast iron) </v>
      </c>
      <c r="H7" s="150" t="str">
        <f>CONCATENATE('DICTIONARY-1'!$A$10,": ",SETTINGS!$C$8)</f>
        <v xml:space="preserve">Grupa rabatowa: BETA-K, BETA-Z (brass) </v>
      </c>
    </row>
    <row r="8" spans="1:23" x14ac:dyDescent="0.25">
      <c r="A8" s="151"/>
    </row>
    <row r="9" spans="1:23" x14ac:dyDescent="0.25">
      <c r="A9" s="152" t="str">
        <f>'DICTIONARY-2'!$A$2</f>
        <v>DN</v>
      </c>
      <c r="B9" s="152" t="str">
        <f>'DICTIONARY-2'!$A$24</f>
        <v>L</v>
      </c>
      <c r="C9" s="152" t="str">
        <f>'DICTIONARY-2'!$A$26</f>
        <v>G</v>
      </c>
      <c r="D9" s="1004" t="str">
        <f>'DICTIONARY-3'!$A$90&amp;'DICTIONARY-3'!$A$91</f>
        <v>BETA-HA</v>
      </c>
      <c r="E9" s="1004"/>
      <c r="F9" s="1004"/>
      <c r="G9" s="1004"/>
      <c r="H9" s="1004" t="str">
        <f>'DICTIONARY-3'!$A$90&amp;'DICTIONARY-3'!$A$91</f>
        <v>BETA-HA</v>
      </c>
      <c r="I9" s="1004"/>
      <c r="J9" s="1004"/>
      <c r="K9" s="1004"/>
      <c r="W9" s="802"/>
    </row>
    <row r="10" spans="1:23" x14ac:dyDescent="0.25">
      <c r="A10" s="153"/>
      <c r="B10" s="153"/>
      <c r="C10" s="153"/>
      <c r="D10" s="991" t="str">
        <f>'DICTIONARY-5'!$A$126</f>
        <v>żeliwna zasuwa</v>
      </c>
      <c r="E10" s="991"/>
      <c r="F10" s="991"/>
      <c r="G10" s="991"/>
      <c r="H10" s="991" t="str">
        <f>'DICTIONARY-5'!$A$127</f>
        <v>mosiężna zasuwa</v>
      </c>
      <c r="I10" s="991"/>
      <c r="J10" s="991"/>
      <c r="K10" s="991"/>
      <c r="W10" s="802"/>
    </row>
    <row r="11" spans="1:23" x14ac:dyDescent="0.25">
      <c r="A11" s="153"/>
      <c r="B11" s="153" t="str">
        <f>'DICTIONARY-2'!$A$18</f>
        <v>[mm]</v>
      </c>
      <c r="C11" s="153"/>
      <c r="D11" s="154" t="str">
        <f>'DICTIONARY-2'!$A$28</f>
        <v>stary nr zamówienia</v>
      </c>
      <c r="E11" s="154" t="str">
        <f>'DICTIONARY-2'!$A$29</f>
        <v>nowy nr zamówienia</v>
      </c>
      <c r="F11" s="155" t="str">
        <f>CURRENCY.CODE_1</f>
        <v>EUR</v>
      </c>
      <c r="G11" s="155" t="str">
        <f>CURRENCY.CODE_2</f>
        <v>---</v>
      </c>
      <c r="H11" s="154" t="str">
        <f>'DICTIONARY-2'!$A$28</f>
        <v>stary nr zamówienia</v>
      </c>
      <c r="I11" s="154" t="str">
        <f>'DICTIONARY-2'!$A$29</f>
        <v>nowy nr zamówienia</v>
      </c>
      <c r="J11" s="155" t="str">
        <f>CURRENCY.CODE_1</f>
        <v>EUR</v>
      </c>
      <c r="K11" s="155" t="str">
        <f>CURRENCY.CODE_2</f>
        <v>---</v>
      </c>
      <c r="W11" s="802"/>
    </row>
    <row r="12" spans="1:23" x14ac:dyDescent="0.25">
      <c r="A12" s="156">
        <v>20</v>
      </c>
      <c r="B12" s="156">
        <v>115</v>
      </c>
      <c r="C12" s="156" t="s">
        <v>1129</v>
      </c>
      <c r="D12" s="156" t="s">
        <v>1130</v>
      </c>
      <c r="E12" s="321" t="s">
        <v>3002</v>
      </c>
      <c r="F12" s="339" t="str">
        <f>IFERROR(IF(OR(E12='DICTIONARY-5'!$A$2,E12='DICTIONARY-5'!$A$4,ISBLANK(E12)),VLOOKUP(D12,LIST!$A$6:$L$3250,CURR_1.SEARCH.OLD,0),VLOOKUP(E12,LIST!$B$6:$L$3250,CURR_1.SEARCH.NEW,0)),'DICTIONARY-5'!$A$2)</f>
        <v>122,-</v>
      </c>
      <c r="G12" s="339" t="str">
        <f>IFERROR(IF(OR(E12='DICTIONARY-5'!$A$2,E12='DICTIONARY-5'!$A$4,ISBLANK(E12)),VLOOKUP(D12,LIST!$A$6:$M$3250,CURR_2.SEARCH.OLD,0),VLOOKUP(E12,LIST!$B$6:$M$3250,CURR_2.SEARCH.NEW,0)),'DICTIONARY-5'!$A$2)</f>
        <v/>
      </c>
      <c r="H12" s="156"/>
      <c r="I12" s="156"/>
      <c r="J12" s="157"/>
      <c r="K12" s="157"/>
      <c r="W12" s="802"/>
    </row>
    <row r="13" spans="1:23" x14ac:dyDescent="0.25">
      <c r="A13" s="156">
        <v>25</v>
      </c>
      <c r="B13" s="156">
        <v>115</v>
      </c>
      <c r="C13" s="156" t="s">
        <v>911</v>
      </c>
      <c r="D13" s="156" t="s">
        <v>1131</v>
      </c>
      <c r="E13" s="321" t="s">
        <v>3003</v>
      </c>
      <c r="F13" s="339" t="str">
        <f>IFERROR(IF(OR(E13='DICTIONARY-5'!$A$2,E13='DICTIONARY-5'!$A$4,ISBLANK(E13)),VLOOKUP(D13,LIST!$A$6:$L$3250,CURR_1.SEARCH.OLD,0),VLOOKUP(E13,LIST!$B$6:$L$3250,CURR_1.SEARCH.NEW,0)),'DICTIONARY-5'!$A$2)</f>
        <v>118,-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156" t="s">
        <v>1132</v>
      </c>
      <c r="I13" s="321" t="s">
        <v>4825</v>
      </c>
      <c r="J13" s="339" t="str">
        <f>IFERROR(IF(OR(I13='DICTIONARY-5'!$A$2,I13='DICTIONARY-5'!$A$4,ISBLANK(I13)),VLOOKUP(H13,LIST!$A$6:$L$3250,CURR_1.SEARCH.OLD,0),VLOOKUP(I13,LIST!$B$6:$L$3250,CURR_1.SEARCH.NEW,0)),'DICTIONARY-5'!$A$2)</f>
        <v>84,-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  <c r="W13" s="802"/>
    </row>
    <row r="14" spans="1:23" x14ac:dyDescent="0.25">
      <c r="A14" s="156">
        <v>32</v>
      </c>
      <c r="B14" s="156">
        <v>130</v>
      </c>
      <c r="C14" s="156" t="s">
        <v>860</v>
      </c>
      <c r="D14" s="156" t="s">
        <v>1133</v>
      </c>
      <c r="E14" s="321" t="s">
        <v>3004</v>
      </c>
      <c r="F14" s="339" t="str">
        <f>IFERROR(IF(OR(E14='DICTIONARY-5'!$A$2,E14='DICTIONARY-5'!$A$4,ISBLANK(E14)),VLOOKUP(D14,LIST!$A$6:$L$3250,CURR_1.SEARCH.OLD,0),VLOOKUP(E14,LIST!$B$6:$L$3250,CURR_1.SEARCH.NEW,0)),'DICTIONARY-5'!$A$2)</f>
        <v>125,-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56" t="s">
        <v>1134</v>
      </c>
      <c r="I14" s="321" t="s">
        <v>4826</v>
      </c>
      <c r="J14" s="339" t="str">
        <f>IFERROR(IF(OR(I14='DICTIONARY-5'!$A$2,I14='DICTIONARY-5'!$A$4,ISBLANK(I14)),VLOOKUP(H14,LIST!$A$6:$L$3250,CURR_1.SEARCH.OLD,0),VLOOKUP(I14,LIST!$B$6:$L$3250,CURR_1.SEARCH.NEW,0)),'DICTIONARY-5'!$A$2)</f>
        <v>85,-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  <c r="W14" s="802"/>
    </row>
    <row r="15" spans="1:23" x14ac:dyDescent="0.25">
      <c r="A15" s="156">
        <v>40</v>
      </c>
      <c r="B15" s="156">
        <v>150</v>
      </c>
      <c r="C15" s="156" t="s">
        <v>893</v>
      </c>
      <c r="D15" s="156" t="s">
        <v>1135</v>
      </c>
      <c r="E15" s="321" t="s">
        <v>3005</v>
      </c>
      <c r="F15" s="339" t="str">
        <f>IFERROR(IF(OR(E15='DICTIONARY-5'!$A$2,E15='DICTIONARY-5'!$A$4,ISBLANK(E15)),VLOOKUP(D15,LIST!$A$6:$L$3250,CURR_1.SEARCH.OLD,0),VLOOKUP(E15,LIST!$B$6:$L$3250,CURR_1.SEARCH.NEW,0)),'DICTIONARY-5'!$A$2)</f>
        <v>189,-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56"/>
      <c r="I15" s="156"/>
      <c r="J15" s="157"/>
      <c r="K15" s="157"/>
      <c r="W15" s="802"/>
    </row>
    <row r="16" spans="1:23" x14ac:dyDescent="0.25">
      <c r="A16" s="156">
        <v>50</v>
      </c>
      <c r="B16" s="156">
        <v>150</v>
      </c>
      <c r="C16" s="156" t="s">
        <v>904</v>
      </c>
      <c r="D16" s="156" t="s">
        <v>1136</v>
      </c>
      <c r="E16" s="321" t="s">
        <v>3006</v>
      </c>
      <c r="F16" s="339" t="str">
        <f>IFERROR(IF(OR(E16='DICTIONARY-5'!$A$2,E16='DICTIONARY-5'!$A$4,ISBLANK(E16)),VLOOKUP(D16,LIST!$A$6:$L$3250,CURR_1.SEARCH.OLD,0),VLOOKUP(E16,LIST!$B$6:$L$3250,CURR_1.SEARCH.NEW,0)),'DICTIONARY-5'!$A$2)</f>
        <v>193,-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56"/>
      <c r="I16" s="156"/>
      <c r="J16" s="157"/>
      <c r="K16" s="157"/>
      <c r="W16" s="802"/>
    </row>
    <row r="17" spans="1:23" x14ac:dyDescent="0.25">
      <c r="W17" s="802"/>
    </row>
    <row r="18" spans="1:23" x14ac:dyDescent="0.25">
      <c r="W18" s="802"/>
    </row>
    <row r="19" spans="1:23" x14ac:dyDescent="0.25">
      <c r="W19" s="802"/>
    </row>
    <row r="20" spans="1:23" ht="15" customHeight="1" thickBot="1" x14ac:dyDescent="0.3">
      <c r="A20" s="712" t="str">
        <f>CONCATENATE('DICTIONARY-3'!$A$90,'DICTIONARY-3'!$A$92," ",'DICTIONARY-3'!$A$187," / ",'DICTIONARY-3'!$A$294)</f>
        <v>BETA-HA Zasuwa klinowa / Z gwintem wewnętrznym i zewnętrznym</v>
      </c>
      <c r="B20" s="712"/>
      <c r="C20" s="712"/>
      <c r="D20" s="712"/>
      <c r="E20" s="712"/>
      <c r="F20" s="712"/>
      <c r="G20" s="712"/>
      <c r="W20" s="802"/>
    </row>
    <row r="21" spans="1:23" ht="15" customHeight="1" x14ac:dyDescent="0.25">
      <c r="A21" s="150" t="str">
        <f>CONCATENATE('DICTIONARY-1'!$A$10,": ",SETTINGS!$C$7)</f>
        <v xml:space="preserve">Grupa rabatowa: BETA HA, BETA-ZZ, BETA-Z (cast iron) </v>
      </c>
      <c r="W21" s="802"/>
    </row>
    <row r="22" spans="1:23" x14ac:dyDescent="0.25">
      <c r="A22" s="151"/>
      <c r="W22" s="802"/>
    </row>
    <row r="23" spans="1:23" x14ac:dyDescent="0.25">
      <c r="A23" s="152" t="str">
        <f>'DICTIONARY-2'!$A$2</f>
        <v>DN</v>
      </c>
      <c r="B23" s="152" t="str">
        <f>'DICTIONARY-2'!$A$24</f>
        <v>L</v>
      </c>
      <c r="C23" s="152" t="str">
        <f>'DICTIONARY-2'!$A$26&amp;"1 + "&amp;'DICTIONARY-2'!$A$26&amp;"2 1)"</f>
        <v>G1 + G2 1)</v>
      </c>
      <c r="D23" s="1004" t="str">
        <f>'DICTIONARY-3'!$A$90&amp;'DICTIONARY-3'!$A$92</f>
        <v>BETA-HA</v>
      </c>
      <c r="E23" s="1004"/>
      <c r="F23" s="1004"/>
      <c r="G23" s="1004"/>
      <c r="W23" s="802"/>
    </row>
    <row r="24" spans="1:23" x14ac:dyDescent="0.25">
      <c r="A24" s="153"/>
      <c r="B24" s="153"/>
      <c r="C24" s="153"/>
      <c r="D24" s="991" t="str">
        <f>'DICTIONARY-5'!$A$126</f>
        <v>żeliwna zasuwa</v>
      </c>
      <c r="E24" s="991"/>
      <c r="F24" s="991"/>
      <c r="G24" s="991"/>
    </row>
    <row r="25" spans="1:23" x14ac:dyDescent="0.25">
      <c r="A25" s="153"/>
      <c r="B25" s="153" t="str">
        <f>'DICTIONARY-2'!$A$18</f>
        <v>[mm]</v>
      </c>
      <c r="C25" s="153"/>
      <c r="D25" s="154" t="str">
        <f>'DICTIONARY-2'!$A$28</f>
        <v>stary nr zamówienia</v>
      </c>
      <c r="E25" s="154" t="str">
        <f>'DICTIONARY-2'!$A$29</f>
        <v>nowy nr zamówienia</v>
      </c>
      <c r="F25" s="155" t="str">
        <f>CURRENCY.CODE_1</f>
        <v>EUR</v>
      </c>
      <c r="G25" s="155" t="str">
        <f>CURRENCY.CODE_2</f>
        <v>---</v>
      </c>
    </row>
    <row r="26" spans="1:23" x14ac:dyDescent="0.25">
      <c r="A26" s="156">
        <v>25</v>
      </c>
      <c r="B26" s="156">
        <v>130</v>
      </c>
      <c r="C26" s="156" t="s">
        <v>1138</v>
      </c>
      <c r="D26" s="156" t="s">
        <v>1139</v>
      </c>
      <c r="E26" s="321" t="s">
        <v>3009</v>
      </c>
      <c r="F26" s="339" t="str">
        <f>IFERROR(IF(OR(E26='DICTIONARY-5'!$A$2,E26='DICTIONARY-5'!$A$4,ISBLANK(E26)),VLOOKUP(D26,LIST!$A$6:$L$3250,CURR_1.SEARCH.OLD,0),VLOOKUP(E26,LIST!$B$6:$L$3250,CURR_1.SEARCH.NEW,0)),'DICTIONARY-5'!$A$2)</f>
        <v>134,-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</row>
    <row r="27" spans="1:23" x14ac:dyDescent="0.25">
      <c r="A27" s="156">
        <v>32</v>
      </c>
      <c r="B27" s="156">
        <v>130</v>
      </c>
      <c r="C27" s="156" t="s">
        <v>1140</v>
      </c>
      <c r="D27" s="156" t="s">
        <v>1141</v>
      </c>
      <c r="E27" s="321" t="s">
        <v>3010</v>
      </c>
      <c r="F27" s="339" t="str">
        <f>IFERROR(IF(OR(E27='DICTIONARY-5'!$A$2,E27='DICTIONARY-5'!$A$4,ISBLANK(E27)),VLOOKUP(D27,LIST!$A$6:$L$3250,CURR_1.SEARCH.OLD,0),VLOOKUP(E27,LIST!$B$6:$L$3250,CURR_1.SEARCH.NEW,0)),'DICTIONARY-5'!$A$2)</f>
        <v>137,-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</row>
    <row r="28" spans="1:23" x14ac:dyDescent="0.25">
      <c r="A28" s="156">
        <v>40</v>
      </c>
      <c r="B28" s="156">
        <v>150</v>
      </c>
      <c r="C28" s="156" t="s">
        <v>1142</v>
      </c>
      <c r="D28" s="156" t="s">
        <v>1143</v>
      </c>
      <c r="E28" s="321" t="s">
        <v>3007</v>
      </c>
      <c r="F28" s="339" t="str">
        <f>IFERROR(IF(OR(E28='DICTIONARY-5'!$A$2,E28='DICTIONARY-5'!$A$4,ISBLANK(E28)),VLOOKUP(D28,LIST!$A$6:$L$3250,CURR_1.SEARCH.OLD,0),VLOOKUP(E28,LIST!$B$6:$L$3250,CURR_1.SEARCH.NEW,0)),'DICTIONARY-5'!$A$2)</f>
        <v>191,-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</row>
    <row r="29" spans="1:23" x14ac:dyDescent="0.25">
      <c r="A29" s="156">
        <v>50</v>
      </c>
      <c r="B29" s="156">
        <v>150</v>
      </c>
      <c r="C29" s="156" t="s">
        <v>1144</v>
      </c>
      <c r="D29" s="156" t="s">
        <v>1145</v>
      </c>
      <c r="E29" s="321" t="s">
        <v>3008</v>
      </c>
      <c r="F29" s="339" t="str">
        <f>IFERROR(IF(OR(E29='DICTIONARY-5'!$A$2,E29='DICTIONARY-5'!$A$4,ISBLANK(E29)),VLOOKUP(D29,LIST!$A$6:$L$3250,CURR_1.SEARCH.OLD,0),VLOOKUP(E29,LIST!$B$6:$L$3250,CURR_1.SEARCH.NEW,0)),'DICTIONARY-5'!$A$2)</f>
        <v>193,-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</row>
    <row r="31" spans="1:23" x14ac:dyDescent="0.25">
      <c r="A31" s="120" t="str">
        <f>"1) "&amp;'DICTIONARY-5'!$A$134&amp;" G1 + "&amp;LOWER('DICTIONARY-5'!$A$135)&amp;" G2"</f>
        <v>1) Gwint wewnętrzny G1 + gwint zewnętrzny G2</v>
      </c>
      <c r="I31" s="120"/>
    </row>
    <row r="32" spans="1:23" x14ac:dyDescent="0.25">
      <c r="A32" s="159"/>
    </row>
    <row r="33" spans="1:11" x14ac:dyDescent="0.25">
      <c r="A33" s="159"/>
    </row>
    <row r="35" spans="1:11" ht="16.5" thickBot="1" x14ac:dyDescent="0.3">
      <c r="A35" s="712" t="str">
        <f>CONCATENATE('DICTIONARY-3'!$A$90,'DICTIONARY-3'!$A$94," ",'DICTIONARY-3'!$A$187," / ",'DICTIONARY-3'!$A$296," ",'DICTIONARY-3'!$A$298)</f>
        <v>BETA-HA Zasuwa klinowa / Z końcówkami dla rur PE, PP i PEX</v>
      </c>
      <c r="B35" s="712"/>
      <c r="C35" s="712"/>
      <c r="D35" s="712"/>
      <c r="E35" s="712"/>
      <c r="F35" s="712"/>
      <c r="G35" s="712"/>
    </row>
    <row r="36" spans="1:11" x14ac:dyDescent="0.25">
      <c r="A36" s="150" t="str">
        <f>CONCATENATE('DICTIONARY-1'!$A$10,": ",SETTINGS!$C$8)</f>
        <v xml:space="preserve">Grupa rabatowa: BETA-K, BETA-Z (brass) </v>
      </c>
      <c r="D36" s="145"/>
      <c r="E36" s="145"/>
      <c r="H36" s="146"/>
      <c r="I36" s="146"/>
      <c r="J36" s="146"/>
      <c r="K36" s="146"/>
    </row>
    <row r="37" spans="1:11" x14ac:dyDescent="0.25">
      <c r="A37" s="151"/>
      <c r="D37" s="145"/>
      <c r="E37" s="145"/>
      <c r="H37" s="146"/>
      <c r="I37" s="146"/>
      <c r="J37" s="146"/>
      <c r="K37" s="146"/>
    </row>
    <row r="38" spans="1:11" x14ac:dyDescent="0.25">
      <c r="A38" s="152" t="str">
        <f>'DICTIONARY-2'!$A$2</f>
        <v>DN</v>
      </c>
      <c r="B38" s="152" t="str">
        <f>'DICTIONARY-2'!$A$24</f>
        <v>L</v>
      </c>
      <c r="C38" s="152" t="str">
        <f>'DICTIONARY-2'!$A$27</f>
        <v>d</v>
      </c>
      <c r="D38" s="1004" t="str">
        <f>'DICTIONARY-3'!$A$90&amp;'DICTIONARY-3'!$A$94</f>
        <v>BETA-HA</v>
      </c>
      <c r="E38" s="1004"/>
      <c r="F38" s="1004"/>
      <c r="G38" s="1004"/>
      <c r="H38" s="146"/>
      <c r="I38" s="146"/>
    </row>
    <row r="39" spans="1:11" x14ac:dyDescent="0.25">
      <c r="A39" s="153"/>
      <c r="B39" s="153"/>
      <c r="C39" s="153"/>
      <c r="D39" s="991" t="str">
        <f>'DICTIONARY-5'!$A$127</f>
        <v>mosiężna zasuwa</v>
      </c>
      <c r="E39" s="991"/>
      <c r="F39" s="991"/>
      <c r="G39" s="991"/>
      <c r="H39" s="146"/>
      <c r="I39" s="146"/>
    </row>
    <row r="40" spans="1:11" x14ac:dyDescent="0.25">
      <c r="A40" s="153"/>
      <c r="B40" s="153" t="str">
        <f>'DICTIONARY-2'!$A$18</f>
        <v>[mm]</v>
      </c>
      <c r="C40" s="160" t="str">
        <f>'DICTIONARY-2'!$A$18</f>
        <v>[mm]</v>
      </c>
      <c r="D40" s="154" t="str">
        <f>'DICTIONARY-2'!$A$28</f>
        <v>stary nr zamówienia</v>
      </c>
      <c r="E40" s="154" t="str">
        <f>'DICTIONARY-2'!$A$29</f>
        <v>nowy nr zamówienia</v>
      </c>
      <c r="F40" s="155" t="str">
        <f>CURRENCY.CODE_1</f>
        <v>EUR</v>
      </c>
      <c r="G40" s="155" t="str">
        <f>CURRENCY.CODE_2</f>
        <v>---</v>
      </c>
      <c r="H40" s="146"/>
      <c r="I40" s="146"/>
    </row>
    <row r="41" spans="1:11" x14ac:dyDescent="0.25">
      <c r="A41" s="156">
        <v>25</v>
      </c>
      <c r="B41" s="156">
        <v>123</v>
      </c>
      <c r="C41" s="156">
        <v>32</v>
      </c>
      <c r="D41" s="156" t="s">
        <v>1146</v>
      </c>
      <c r="E41" s="321" t="s">
        <v>4827</v>
      </c>
      <c r="F41" s="339" t="str">
        <f>IFERROR(IF(OR(E41='DICTIONARY-5'!$A$2,E41='DICTIONARY-5'!$A$4,ISBLANK(E41)),VLOOKUP(D41,LIST!$A$6:$L$3250,CURR_1.SEARCH.OLD,0),VLOOKUP(E41,LIST!$B$6:$L$3250,CURR_1.SEARCH.NEW,0)),'DICTIONARY-5'!$A$2)</f>
        <v>91,-</v>
      </c>
      <c r="G41" s="339" t="str">
        <f>IFERROR(IF(OR(E41='DICTIONARY-5'!$A$2,E41='DICTIONARY-5'!$A$4,ISBLANK(E41)),VLOOKUP(D41,LIST!$A$6:$M$3250,CURR_2.SEARCH.OLD,0),VLOOKUP(E41,LIST!$B$6:$M$3250,CURR_2.SEARCH.NEW,0)),'DICTIONARY-5'!$A$2)</f>
        <v/>
      </c>
      <c r="H41" s="146"/>
      <c r="I41" s="146"/>
    </row>
    <row r="42" spans="1:11" x14ac:dyDescent="0.25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</row>
    <row r="43" spans="1:11" x14ac:dyDescent="0.25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</row>
    <row r="44" spans="1:11" x14ac:dyDescent="0.25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</row>
    <row r="45" spans="1:11" ht="16.5" thickBot="1" x14ac:dyDescent="0.3">
      <c r="A45" s="712" t="str">
        <f>CONCATENATE('DICTIONARY-3'!$A$64," ",'DICTIONARY-3'!$A$187," / ",'DICTIONARY-3'!$A$297)</f>
        <v>HODlock/TERRAlock Zasuwa klinowa / Z szybkozłączem na wcisk</v>
      </c>
      <c r="B45" s="712"/>
      <c r="C45" s="712"/>
      <c r="D45" s="712"/>
      <c r="E45" s="712"/>
      <c r="F45" s="712"/>
      <c r="G45" s="712"/>
      <c r="H45" s="146"/>
      <c r="I45" s="146"/>
      <c r="J45" s="146"/>
      <c r="K45" s="146"/>
    </row>
    <row r="46" spans="1:11" x14ac:dyDescent="0.25">
      <c r="A46" s="150" t="str">
        <f>CONCATENATE(PROPER('DICTIONARY-5'!$A$200),"-",'DICTIONARY-5'!$A$200)</f>
        <v>Szybkozłaczka Wciskana-szybkozłaczka wciskana</v>
      </c>
      <c r="B46" s="150"/>
      <c r="C46" s="150"/>
      <c r="D46" s="150"/>
      <c r="F46" s="144"/>
      <c r="H46" s="146"/>
      <c r="I46" s="146"/>
      <c r="J46" s="146"/>
      <c r="K46" s="146"/>
    </row>
    <row r="47" spans="1:11" x14ac:dyDescent="0.25">
      <c r="A47" s="150" t="str">
        <f>CONCATENATE('DICTIONARY-1'!$A$10,": ",SETTINGS!$C$36)</f>
        <v>Grupa rabatowa: TERRA M1 BAIO</v>
      </c>
      <c r="B47" s="150"/>
      <c r="C47" s="150"/>
      <c r="H47" s="146"/>
      <c r="I47" s="146"/>
      <c r="J47" s="146"/>
      <c r="K47" s="146"/>
    </row>
    <row r="48" spans="1:11" x14ac:dyDescent="0.25">
      <c r="A48" s="151"/>
      <c r="B48" s="151"/>
      <c r="C48" s="151"/>
      <c r="H48" s="146"/>
      <c r="I48" s="146"/>
      <c r="J48" s="146"/>
      <c r="K48" s="146"/>
    </row>
    <row r="49" spans="1:11" x14ac:dyDescent="0.25">
      <c r="A49" s="707" t="str">
        <f>'DICTIONARY-2'!$A$2</f>
        <v>DN</v>
      </c>
      <c r="B49" s="706" t="str">
        <f>'DICTIONARY-2'!$A$5&amp;" 1)"</f>
        <v>Da 1)</v>
      </c>
      <c r="C49" s="152" t="str">
        <f>'DICTIONARY-2'!$A$24</f>
        <v>L</v>
      </c>
      <c r="D49" s="1004" t="str">
        <f>'DICTIONARY-3'!$A$64</f>
        <v>HODlock/TERRAlock</v>
      </c>
      <c r="E49" s="1004"/>
      <c r="F49" s="1004"/>
      <c r="G49" s="1004"/>
      <c r="H49" s="146"/>
      <c r="I49" s="146"/>
      <c r="J49" s="146"/>
      <c r="K49" s="146"/>
    </row>
    <row r="50" spans="1:11" x14ac:dyDescent="0.25">
      <c r="A50" s="524"/>
      <c r="B50" s="153"/>
      <c r="C50" s="153"/>
      <c r="D50" s="991" t="str">
        <f>'DICTIONARY-5'!$A$126</f>
        <v>żeliwna zasuwa</v>
      </c>
      <c r="E50" s="991"/>
      <c r="F50" s="991"/>
      <c r="G50" s="991"/>
      <c r="H50" s="146"/>
      <c r="I50" s="146"/>
      <c r="J50" s="146"/>
      <c r="K50" s="146"/>
    </row>
    <row r="51" spans="1:11" x14ac:dyDescent="0.25">
      <c r="A51" s="160"/>
      <c r="B51" s="153" t="str">
        <f>'DICTIONARY-2'!$A$18</f>
        <v>[mm]</v>
      </c>
      <c r="C51" s="153" t="str">
        <f>'DICTIONARY-2'!$A$18</f>
        <v>[mm]</v>
      </c>
      <c r="D51" s="161" t="str">
        <f>'DICTIONARY-2'!$A$28</f>
        <v>stary nr zamówienia</v>
      </c>
      <c r="E51" s="161" t="str">
        <f>'DICTIONARY-2'!$A$29</f>
        <v>nowy nr zamówienia</v>
      </c>
      <c r="F51" s="155" t="str">
        <f>CURRENCY.CODE_1</f>
        <v>EUR</v>
      </c>
      <c r="G51" s="155" t="str">
        <f>CURRENCY.CODE_2</f>
        <v>---</v>
      </c>
      <c r="H51" s="146"/>
      <c r="I51" s="146"/>
      <c r="J51" s="146"/>
      <c r="K51" s="146"/>
    </row>
    <row r="52" spans="1:11" x14ac:dyDescent="0.25">
      <c r="A52" s="156">
        <v>25</v>
      </c>
      <c r="B52" s="156">
        <v>32</v>
      </c>
      <c r="C52" s="156">
        <v>258</v>
      </c>
      <c r="D52" s="164" t="s">
        <v>5537</v>
      </c>
      <c r="E52" s="321" t="s">
        <v>5538</v>
      </c>
      <c r="F52" s="339" t="str">
        <f>IFERROR(IF(OR(E52='DICTIONARY-5'!$A$2,E52='DICTIONARY-5'!$A$4,ISBLANK(E52)),VLOOKUP(D52,LIST!$A$6:$L$3250,CURR_1.SEARCH.OLD,0),VLOOKUP(E52,LIST!$B$6:$L$3250,CURR_1.SEARCH.NEW,0)),'DICTIONARY-5'!$A$2)</f>
        <v>204,-</v>
      </c>
      <c r="G52" s="339" t="str">
        <f>IFERROR(IF(OR(E52='DICTIONARY-5'!$A$2,E52='DICTIONARY-5'!$A$4,ISBLANK(E52)),VLOOKUP(D52,LIST!$A$6:$M$3250,CURR_2.SEARCH.OLD,0),VLOOKUP(E52,LIST!$B$6:$M$3250,CURR_2.SEARCH.NEW,0)),'DICTIONARY-5'!$A$2)</f>
        <v/>
      </c>
      <c r="H52" s="146"/>
      <c r="I52" s="146"/>
      <c r="J52" s="146"/>
      <c r="K52" s="146"/>
    </row>
    <row r="53" spans="1:11" x14ac:dyDescent="0.25">
      <c r="A53" s="156">
        <v>32</v>
      </c>
      <c r="B53" s="156">
        <v>40</v>
      </c>
      <c r="C53" s="156">
        <v>258</v>
      </c>
      <c r="D53" s="164" t="s">
        <v>5539</v>
      </c>
      <c r="E53" s="321" t="s">
        <v>5540</v>
      </c>
      <c r="F53" s="339" t="str">
        <f>IFERROR(IF(OR(E53='DICTIONARY-5'!$A$2,E53='DICTIONARY-5'!$A$4,ISBLANK(E53)),VLOOKUP(D53,LIST!$A$6:$L$3250,CURR_1.SEARCH.OLD,0),VLOOKUP(E53,LIST!$B$6:$L$3250,CURR_1.SEARCH.NEW,0)),'DICTIONARY-5'!$A$2)</f>
        <v>201,-</v>
      </c>
      <c r="G53" s="339" t="str">
        <f>IFERROR(IF(OR(E53='DICTIONARY-5'!$A$2,E53='DICTIONARY-5'!$A$4,ISBLANK(E53)),VLOOKUP(D53,LIST!$A$6:$M$3250,CURR_2.SEARCH.OLD,0),VLOOKUP(E53,LIST!$B$6:$M$3250,CURR_2.SEARCH.NEW,0)),'DICTIONARY-5'!$A$2)</f>
        <v/>
      </c>
      <c r="H53" s="146"/>
      <c r="I53" s="146"/>
      <c r="J53" s="146"/>
      <c r="K53" s="146"/>
    </row>
    <row r="54" spans="1:11" x14ac:dyDescent="0.25">
      <c r="A54" s="156">
        <v>40</v>
      </c>
      <c r="B54" s="156">
        <v>50</v>
      </c>
      <c r="C54" s="156">
        <v>274</v>
      </c>
      <c r="D54" s="164" t="s">
        <v>5541</v>
      </c>
      <c r="E54" s="321" t="s">
        <v>5542</v>
      </c>
      <c r="F54" s="339" t="str">
        <f>IFERROR(IF(OR(E54='DICTIONARY-5'!$A$2,E54='DICTIONARY-5'!$A$4,ISBLANK(E54)),VLOOKUP(D54,LIST!$A$6:$L$3250,CURR_1.SEARCH.OLD,0),VLOOKUP(E54,LIST!$B$6:$L$3250,CURR_1.SEARCH.NEW,0)),'DICTIONARY-5'!$A$2)</f>
        <v>212,-</v>
      </c>
      <c r="G54" s="339" t="str">
        <f>IFERROR(IF(OR(E54='DICTIONARY-5'!$A$2,E54='DICTIONARY-5'!$A$4,ISBLANK(E54)),VLOOKUP(D54,LIST!$A$6:$M$3250,CURR_2.SEARCH.OLD,0),VLOOKUP(E54,LIST!$B$6:$M$3250,CURR_2.SEARCH.NEW,0)),'DICTIONARY-5'!$A$2)</f>
        <v/>
      </c>
      <c r="H54" s="146"/>
      <c r="I54" s="146"/>
      <c r="J54" s="146"/>
      <c r="K54" s="146"/>
    </row>
    <row r="55" spans="1:11" x14ac:dyDescent="0.25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</row>
    <row r="56" spans="1:11" x14ac:dyDescent="0.25">
      <c r="A56" s="120" t="str">
        <f>"1) "&amp;'DICTIONARY-5'!$A$76</f>
        <v>1) Średnica zewnętrzna rurociągu przyłącza domowego</v>
      </c>
      <c r="B56" s="146"/>
      <c r="C56" s="146"/>
      <c r="D56" s="146"/>
      <c r="E56" s="146"/>
      <c r="F56" s="146"/>
      <c r="G56" s="146"/>
      <c r="H56" s="146"/>
      <c r="I56" s="146"/>
      <c r="J56" s="146"/>
      <c r="K56" s="146"/>
    </row>
    <row r="57" spans="1:11" x14ac:dyDescent="0.25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</row>
    <row r="58" spans="1:11" x14ac:dyDescent="0.25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</row>
    <row r="59" spans="1:11" x14ac:dyDescent="0.25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</row>
    <row r="60" spans="1:11" ht="16.5" thickBot="1" x14ac:dyDescent="0.3">
      <c r="A60" s="712" t="str">
        <f>CONCATENATE('DICTIONARY-3'!$A$95," ",'DICTIONARY-3'!$A$205," / ",'DICTIONARY-3'!$A$293)</f>
        <v>K248-Z Zawór kulowy / Z gwintem wewnętrznym</v>
      </c>
      <c r="B60" s="712"/>
      <c r="C60" s="712"/>
      <c r="D60" s="712"/>
      <c r="E60" s="712"/>
      <c r="F60" s="712"/>
      <c r="G60" s="712"/>
    </row>
    <row r="61" spans="1:11" x14ac:dyDescent="0.25">
      <c r="A61" s="150" t="str">
        <f>CONCATENATE('DICTIONARY-1'!$A$10,": ",SETTINGS!$C$90)</f>
        <v>Grupa rabatowa: BALL VALVES</v>
      </c>
      <c r="B61" s="150"/>
      <c r="C61" s="150"/>
    </row>
    <row r="62" spans="1:11" x14ac:dyDescent="0.25">
      <c r="A62" s="151"/>
      <c r="B62" s="151"/>
      <c r="C62" s="151"/>
    </row>
    <row r="63" spans="1:11" x14ac:dyDescent="0.25">
      <c r="A63" s="152" t="str">
        <f>'DICTIONARY-2'!$A$2</f>
        <v>DN</v>
      </c>
      <c r="B63" s="152" t="str">
        <f>'DICTIONARY-2'!$A$24</f>
        <v>L</v>
      </c>
      <c r="C63" s="152" t="str">
        <f>'DICTIONARY-2'!$A$26</f>
        <v>G</v>
      </c>
      <c r="D63" s="1004" t="str">
        <f>'DICTIONARY-3'!$A$95</f>
        <v>K248-Z</v>
      </c>
      <c r="E63" s="1004"/>
      <c r="F63" s="1004"/>
      <c r="G63" s="1004"/>
    </row>
    <row r="64" spans="1:11" x14ac:dyDescent="0.25">
      <c r="A64" s="153"/>
      <c r="B64" s="153"/>
      <c r="C64" s="153"/>
      <c r="D64" s="991" t="str">
        <f>'DICTIONARY-5'!$A$125</f>
        <v>mosiężny zawór kulowy</v>
      </c>
      <c r="E64" s="991"/>
      <c r="F64" s="991"/>
      <c r="G64" s="991"/>
    </row>
    <row r="65" spans="1:7" x14ac:dyDescent="0.25">
      <c r="A65" s="153"/>
      <c r="B65" s="153" t="str">
        <f>'DICTIONARY-2'!$A$18</f>
        <v>[mm]</v>
      </c>
      <c r="C65" s="153"/>
      <c r="D65" s="154" t="str">
        <f>'DICTIONARY-2'!$A$28</f>
        <v>stary nr zamówienia</v>
      </c>
      <c r="E65" s="154" t="str">
        <f>'DICTIONARY-2'!$A$29</f>
        <v>nowy nr zamówienia</v>
      </c>
      <c r="F65" s="155" t="str">
        <f>CURRENCY.CODE_1</f>
        <v>EUR</v>
      </c>
      <c r="G65" s="155" t="str">
        <f>CURRENCY.CODE_2</f>
        <v>---</v>
      </c>
    </row>
    <row r="66" spans="1:7" x14ac:dyDescent="0.25">
      <c r="A66" s="156">
        <v>32</v>
      </c>
      <c r="B66" s="156">
        <v>102</v>
      </c>
      <c r="C66" s="156" t="s">
        <v>860</v>
      </c>
      <c r="D66" s="156" t="s">
        <v>1147</v>
      </c>
      <c r="E66" s="321" t="s">
        <v>4837</v>
      </c>
      <c r="F66" s="339" t="str">
        <f>IFERROR(IF(OR(E66='DICTIONARY-5'!$A$2,E66='DICTIONARY-5'!$A$4,ISBLANK(E66)),VLOOKUP(D66,LIST!$A$6:$L$3250,CURR_1.SEARCH.OLD,0),VLOOKUP(E66,LIST!$B$6:$L$3250,CURR_1.SEARCH.NEW,0)),'DICTIONARY-5'!$A$2)</f>
        <v>62,-</v>
      </c>
      <c r="G66" s="339" t="str">
        <f>IFERROR(IF(OR(E66='DICTIONARY-5'!$A$2,E66='DICTIONARY-5'!$A$4,ISBLANK(E66)),VLOOKUP(D66,LIST!$A$6:$M$3250,CURR_2.SEARCH.OLD,0),VLOOKUP(E66,LIST!$B$6:$M$3250,CURR_2.SEARCH.NEW,0)),'DICTIONARY-5'!$A$2)</f>
        <v/>
      </c>
    </row>
    <row r="67" spans="1:7" x14ac:dyDescent="0.25">
      <c r="E67" s="146"/>
      <c r="F67" s="558"/>
      <c r="G67" s="558"/>
    </row>
    <row r="68" spans="1:7" x14ac:dyDescent="0.25">
      <c r="A68" s="146"/>
      <c r="B68" s="146"/>
      <c r="C68" s="146"/>
      <c r="D68" s="146"/>
      <c r="E68" s="146"/>
      <c r="F68" s="146"/>
      <c r="G68" s="146"/>
    </row>
    <row r="69" spans="1:7" x14ac:dyDescent="0.25">
      <c r="A69" s="146"/>
      <c r="B69" s="146"/>
      <c r="C69" s="146"/>
      <c r="D69" s="146"/>
      <c r="E69" s="146"/>
      <c r="F69" s="146"/>
      <c r="G69" s="146"/>
    </row>
    <row r="70" spans="1:7" ht="16.5" thickBot="1" x14ac:dyDescent="0.3">
      <c r="A70" s="712" t="str">
        <f>CONCATENATE('DICTIONARY-3'!$A$96," ",'DICTIONARY-3'!$A$205," / ",'DICTIONARY-3'!$A$295," ",'DICTIONARY-3'!$A$298)</f>
        <v>K246-K Zawór kulowy / Z końcówką dla rur PE, PP i PEX</v>
      </c>
      <c r="B70" s="712"/>
      <c r="C70" s="712"/>
      <c r="D70" s="712"/>
      <c r="E70" s="712"/>
      <c r="F70" s="712"/>
      <c r="G70" s="712"/>
    </row>
    <row r="71" spans="1:7" x14ac:dyDescent="0.25">
      <c r="A71" s="150" t="str">
        <f>CONCATENATE('DICTIONARY-1'!$A$10,": ",SETTINGS!$C$90)</f>
        <v>Grupa rabatowa: BALL VALVES</v>
      </c>
      <c r="B71" s="150"/>
      <c r="C71" s="146"/>
      <c r="D71" s="146"/>
      <c r="E71" s="146"/>
      <c r="F71" s="146"/>
      <c r="G71" s="146"/>
    </row>
    <row r="72" spans="1:7" x14ac:dyDescent="0.25">
      <c r="A72" s="146"/>
      <c r="B72" s="146"/>
      <c r="C72" s="146"/>
      <c r="D72" s="146"/>
      <c r="E72" s="146"/>
      <c r="F72" s="146"/>
      <c r="G72" s="146"/>
    </row>
    <row r="73" spans="1:7" x14ac:dyDescent="0.25">
      <c r="A73" s="152" t="str">
        <f>'DICTIONARY-2'!$A$2</f>
        <v>DN</v>
      </c>
      <c r="B73" s="152" t="str">
        <f>'DICTIONARY-2'!$A$24</f>
        <v>L</v>
      </c>
      <c r="C73" s="152" t="str">
        <f>'DICTIONARY-2'!$A$27</f>
        <v>d</v>
      </c>
      <c r="D73" s="1004" t="str">
        <f>'DICTIONARY-3'!$A$96</f>
        <v>K246-K</v>
      </c>
      <c r="E73" s="1004"/>
      <c r="F73" s="1004"/>
      <c r="G73" s="1004"/>
    </row>
    <row r="74" spans="1:7" x14ac:dyDescent="0.25">
      <c r="A74" s="153"/>
      <c r="B74" s="153"/>
      <c r="C74" s="153"/>
      <c r="D74" s="991" t="str">
        <f>'DICTIONARY-5'!$A$125</f>
        <v>mosiężny zawór kulowy</v>
      </c>
      <c r="E74" s="991"/>
      <c r="F74" s="991"/>
      <c r="G74" s="991"/>
    </row>
    <row r="75" spans="1:7" x14ac:dyDescent="0.25">
      <c r="A75" s="153"/>
      <c r="B75" s="153" t="str">
        <f>'DICTIONARY-2'!$A$18</f>
        <v>[mm]</v>
      </c>
      <c r="C75" s="160" t="str">
        <f>'DICTIONARY-2'!$A$18</f>
        <v>[mm]</v>
      </c>
      <c r="D75" s="154" t="str">
        <f>'DICTIONARY-2'!$A$28</f>
        <v>stary nr zamówienia</v>
      </c>
      <c r="E75" s="154" t="str">
        <f>'DICTIONARY-2'!$A$29</f>
        <v>nowy nr zamówienia</v>
      </c>
      <c r="F75" s="155" t="str">
        <f>CURRENCY.CODE_1</f>
        <v>EUR</v>
      </c>
      <c r="G75" s="155" t="str">
        <f>CURRENCY.CODE_2</f>
        <v>---</v>
      </c>
    </row>
    <row r="76" spans="1:7" x14ac:dyDescent="0.25">
      <c r="A76" s="156">
        <v>25</v>
      </c>
      <c r="B76" s="156">
        <v>123</v>
      </c>
      <c r="C76" s="156">
        <v>32</v>
      </c>
      <c r="D76" s="156" t="s">
        <v>1148</v>
      </c>
      <c r="E76" s="321" t="s">
        <v>4836</v>
      </c>
      <c r="F76" s="339" t="str">
        <f>IFERROR(IF(OR(E76='DICTIONARY-5'!$A$2,E76='DICTIONARY-5'!$A$4,ISBLANK(E76)),VLOOKUP(D76,LIST!$A$6:$L$3250,CURR_1.SEARCH.OLD,0),VLOOKUP(E76,LIST!$B$6:$L$3250,CURR_1.SEARCH.NEW,0)),'DICTIONARY-5'!$A$2)</f>
        <v>57,-</v>
      </c>
      <c r="G76" s="339" t="str">
        <f>IFERROR(IF(OR(E76='DICTIONARY-5'!$A$2,E76='DICTIONARY-5'!$A$4,ISBLANK(E76)),VLOOKUP(D76,LIST!$A$6:$M$3250,CURR_2.SEARCH.OLD,0),VLOOKUP(E76,LIST!$B$6:$M$3250,CURR_2.SEARCH.NEW,0)),'DICTIONARY-5'!$A$2)</f>
        <v/>
      </c>
    </row>
  </sheetData>
  <sheetProtection algorithmName="SHA-512" hashValue="BUpB70LqnbqC1ivgNv3HOnWd1iDN/7FqLD1qBxEtwnDoM1e1zPF1xsO1eFoBEb7idC8UlXTf2VjMfcm3LIx1rg==" saltValue="4cbBu8nwmfvZgLLgEKSXrw==" spinCount="100000" sheet="1" objects="1" scenarios="1" autoFilter="0"/>
  <mergeCells count="15">
    <mergeCell ref="B4:E4"/>
    <mergeCell ref="D74:G74"/>
    <mergeCell ref="D73:G73"/>
    <mergeCell ref="D9:G9"/>
    <mergeCell ref="D64:G64"/>
    <mergeCell ref="H9:K9"/>
    <mergeCell ref="D38:G38"/>
    <mergeCell ref="D63:G63"/>
    <mergeCell ref="D10:G10"/>
    <mergeCell ref="H10:K10"/>
    <mergeCell ref="D23:G23"/>
    <mergeCell ref="D24:G24"/>
    <mergeCell ref="D39:G39"/>
    <mergeCell ref="D49:G49"/>
    <mergeCell ref="D50:G5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8">
    <tabColor rgb="FF0F6E23"/>
  </sheetPr>
  <dimension ref="A1:F34"/>
  <sheetViews>
    <sheetView workbookViewId="0"/>
  </sheetViews>
  <sheetFormatPr defaultColWidth="9.140625" defaultRowHeight="15" x14ac:dyDescent="0.25"/>
  <cols>
    <col min="1" max="1" width="11.42578125" style="144" customWidth="1"/>
    <col min="2" max="3" width="22.140625" style="144" customWidth="1"/>
    <col min="4" max="5" width="12.85546875" style="145" customWidth="1"/>
    <col min="6" max="16384" width="9.140625" style="146"/>
  </cols>
  <sheetData>
    <row r="1" spans="1:6" s="408" customFormat="1" ht="45" customHeight="1" thickBot="1" x14ac:dyDescent="0.3">
      <c r="A1" s="430"/>
      <c r="B1" s="430"/>
      <c r="C1" s="430"/>
      <c r="D1" s="409"/>
      <c r="E1" s="409"/>
    </row>
    <row r="2" spans="1:6" s="467" customFormat="1" ht="4.5" customHeight="1" x14ac:dyDescent="0.25">
      <c r="A2" s="466"/>
      <c r="B2" s="468"/>
      <c r="C2" s="468"/>
      <c r="D2" s="469"/>
      <c r="E2" s="469"/>
    </row>
    <row r="3" spans="1:6" ht="15.75" thickBot="1" x14ac:dyDescent="0.3">
      <c r="A3" s="147"/>
      <c r="B3" s="148"/>
      <c r="C3" s="148"/>
      <c r="D3" s="148"/>
    </row>
    <row r="4" spans="1:6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6" x14ac:dyDescent="0.25">
      <c r="A5" s="147"/>
      <c r="B5" s="148"/>
      <c r="C5" s="148"/>
      <c r="D5" s="148"/>
    </row>
    <row r="6" spans="1:6" ht="16.5" thickBot="1" x14ac:dyDescent="0.3">
      <c r="A6" s="134" t="str">
        <f>CONCATENATE('DICTIONARY-3'!$A$64," ",'DICTIONARY-3'!$A$196," / ",'DICTIONARY-3'!$A$304)</f>
        <v>HODlock/TERRAlock Mostek nawiertowy / Ze zintegrowanym zaworem kulowym</v>
      </c>
      <c r="B6" s="712"/>
      <c r="C6" s="712"/>
      <c r="D6" s="712"/>
      <c r="E6" s="712"/>
    </row>
    <row r="7" spans="1:6" x14ac:dyDescent="0.25">
      <c r="A7" s="122" t="str">
        <f>'DICTIONARY-3'!$A$300</f>
        <v>Dla rur ze stali, żeliwa i betonu</v>
      </c>
    </row>
    <row r="8" spans="1:6" x14ac:dyDescent="0.25">
      <c r="A8" s="150" t="str">
        <f>CONCATENATE('DICTIONARY-1'!$A$10,": ",SETTINGS!$C$28)</f>
        <v>Grupa rabatowa: HODlock</v>
      </c>
    </row>
    <row r="9" spans="1:6" x14ac:dyDescent="0.25">
      <c r="A9" s="957" t="str">
        <f>CONCATENATE("» ",'DICTIONARY-5'!$A$6," ",'DICTIONARY-3'!$A$197," (",LOWER('DICTIONARY-5'!$A$5),")")</f>
        <v>» Przejdź do produktu: Obejma (należy zamówić oddzielnie )</v>
      </c>
      <c r="B9" s="957"/>
      <c r="C9" s="957"/>
      <c r="D9" s="957"/>
      <c r="E9" s="957"/>
      <c r="F9" s="609"/>
    </row>
    <row r="10" spans="1:6" x14ac:dyDescent="0.25">
      <c r="A10" s="151"/>
    </row>
    <row r="11" spans="1:6" x14ac:dyDescent="0.25">
      <c r="A11" s="707" t="str">
        <f>'DICTIONARY-2'!$A$2</f>
        <v>DN</v>
      </c>
      <c r="B11" s="1004" t="str">
        <f>'DICTIONARY-3'!$A$62</f>
        <v>HODlock</v>
      </c>
      <c r="C11" s="1004"/>
      <c r="D11" s="1004"/>
      <c r="E11" s="1004"/>
    </row>
    <row r="12" spans="1:6" x14ac:dyDescent="0.25">
      <c r="A12" s="524" t="str">
        <f>'DICTIONARY-5'!$A$122</f>
        <v>rura</v>
      </c>
      <c r="B12" s="1007" t="str">
        <f>LOWER('DICTIONARY-3'!$A$304)</f>
        <v>ze zintegrowanym zaworem kulowym</v>
      </c>
      <c r="C12" s="1007"/>
      <c r="D12" s="1007"/>
      <c r="E12" s="1007"/>
    </row>
    <row r="13" spans="1:6" x14ac:dyDescent="0.25">
      <c r="A13" s="160"/>
      <c r="B13" s="161" t="str">
        <f>'DICTIONARY-2'!$A$28</f>
        <v>stary nr zamówienia</v>
      </c>
      <c r="C13" s="161" t="str">
        <f>'DICTIONARY-2'!$A$29</f>
        <v>nowy nr zamówienia</v>
      </c>
      <c r="D13" s="155" t="str">
        <f>CURRENCY.CODE_1</f>
        <v>EUR</v>
      </c>
      <c r="E13" s="155" t="str">
        <f>CURRENCY.CODE_2</f>
        <v>---</v>
      </c>
    </row>
    <row r="14" spans="1:6" x14ac:dyDescent="0.25">
      <c r="A14" s="156" t="s">
        <v>862</v>
      </c>
      <c r="B14" s="156" t="s">
        <v>1149</v>
      </c>
      <c r="C14" s="347" t="s">
        <v>4178</v>
      </c>
      <c r="D14" s="339" t="str">
        <f>IFERROR(IF(OR(C14='DICTIONARY-5'!$A$2,C14='DICTIONARY-5'!$A$4,ISBLANK(C14)),VLOOKUP(B14,LIST!$A$6:$L$3250,CURR_1.SEARCH.OLD,0),VLOOKUP(C14,LIST!$B$6:$L$3250,CURR_1.SEARCH.NEW,0)),'DICTIONARY-5'!$A$2)</f>
        <v>203,-</v>
      </c>
      <c r="E14" s="339" t="str">
        <f>IFERROR(IF(OR(C14='DICTIONARY-5'!$A$2,C14='DICTIONARY-5'!$A$4,ISBLANK(C14)),VLOOKUP(B14,LIST!$A$6:$M$3250,CURR_2.SEARCH.OLD,0),VLOOKUP(C14,LIST!$B$6:$M$3250,CURR_2.SEARCH.NEW,0)),'DICTIONARY-5'!$A$2)</f>
        <v/>
      </c>
    </row>
    <row r="15" spans="1:6" x14ac:dyDescent="0.25">
      <c r="A15" s="150"/>
      <c r="B15" s="145"/>
      <c r="C15" s="145"/>
      <c r="E15" s="146"/>
    </row>
    <row r="16" spans="1:6" x14ac:dyDescent="0.25">
      <c r="A16" s="150" t="str">
        <f>CONCATENATE('DICTIONARY-1'!$A$10,": ",SETTINGS!$C$36)</f>
        <v>Grupa rabatowa: TERRA M1 BAIO</v>
      </c>
    </row>
    <row r="17" spans="1:6" x14ac:dyDescent="0.25">
      <c r="A17" s="957" t="str">
        <f>CONCATENATE("» ",'DICTIONARY-5'!$A$6," ",'DICTIONARY-3'!$A$197," (",LOWER('DICTIONARY-5'!$A$5),")")</f>
        <v>» Przejdź do produktu: Obejma (należy zamówić oddzielnie )</v>
      </c>
      <c r="B17" s="957"/>
      <c r="C17" s="957"/>
      <c r="D17" s="957"/>
      <c r="E17" s="957"/>
    </row>
    <row r="18" spans="1:6" x14ac:dyDescent="0.25">
      <c r="A18" s="151"/>
      <c r="B18" s="145"/>
      <c r="C18" s="145"/>
      <c r="E18" s="146"/>
    </row>
    <row r="19" spans="1:6" x14ac:dyDescent="0.25">
      <c r="A19" s="707" t="str">
        <f>'DICTIONARY-2'!$A$2</f>
        <v>DN</v>
      </c>
      <c r="B19" s="1004" t="str">
        <f>'DICTIONARY-3'!$A$63</f>
        <v>TERRAlock</v>
      </c>
      <c r="C19" s="1004"/>
      <c r="D19" s="1004"/>
      <c r="E19" s="1004"/>
    </row>
    <row r="20" spans="1:6" ht="15" customHeight="1" x14ac:dyDescent="0.25">
      <c r="A20" s="524" t="str">
        <f>'DICTIONARY-5'!$A$122</f>
        <v>rura</v>
      </c>
      <c r="B20" s="1007" t="str">
        <f>LOWER('DICTIONARY-3'!$A$304)</f>
        <v>ze zintegrowanym zaworem kulowym</v>
      </c>
      <c r="C20" s="1007"/>
      <c r="D20" s="1007"/>
      <c r="E20" s="1007"/>
    </row>
    <row r="21" spans="1:6" x14ac:dyDescent="0.25">
      <c r="A21" s="160"/>
      <c r="B21" s="161" t="str">
        <f>'DICTIONARY-2'!$A$28</f>
        <v>stary nr zamówienia</v>
      </c>
      <c r="C21" s="161" t="str">
        <f>'DICTIONARY-2'!$A$29</f>
        <v>nowy nr zamówienia</v>
      </c>
      <c r="D21" s="155" t="str">
        <f>CURRENCY.CODE_1</f>
        <v>EUR</v>
      </c>
      <c r="E21" s="155" t="str">
        <f>CURRENCY.CODE_2</f>
        <v>---</v>
      </c>
    </row>
    <row r="22" spans="1:6" x14ac:dyDescent="0.25">
      <c r="A22" s="156" t="s">
        <v>862</v>
      </c>
      <c r="B22" s="156" t="s">
        <v>1150</v>
      </c>
      <c r="C22" s="321" t="s">
        <v>4179</v>
      </c>
      <c r="D22" s="339" t="str">
        <f>IFERROR(IF(OR(C22='DICTIONARY-5'!$A$2,C22='DICTIONARY-5'!$A$4,ISBLANK(C22)),VLOOKUP(B22,LIST!$A$6:$L$3250,CURR_1.SEARCH.OLD,0),VLOOKUP(C22,LIST!$B$6:$L$3250,CURR_1.SEARCH.NEW,0)),'DICTIONARY-5'!$A$2)</f>
        <v>181,-</v>
      </c>
      <c r="E22" s="339" t="str">
        <f>IFERROR(IF(OR(C22='DICTIONARY-5'!$A$2,C22='DICTIONARY-5'!$A$4,ISBLANK(C22)),VLOOKUP(B22,LIST!$A$6:$M$3250,CURR_2.SEARCH.OLD,0),VLOOKUP(C22,LIST!$B$6:$M$3250,CURR_2.SEARCH.NEW,0)),'DICTIONARY-5'!$A$2)</f>
        <v/>
      </c>
    </row>
    <row r="26" spans="1:6" ht="16.5" thickBot="1" x14ac:dyDescent="0.3">
      <c r="A26" s="134" t="str">
        <f>CONCATENATE('DICTIONARY-3'!$A$64,'DICTIONARY-3'!$A$83," ",'DICTIONARY-3'!$A$196," / ",'DICTIONARY-3'!$A$290)</f>
        <v>HODlock/TERRAlock-M1 Mostek nawiertowy / Bez zaworu</v>
      </c>
      <c r="B26" s="712"/>
      <c r="C26" s="712"/>
      <c r="D26" s="712"/>
      <c r="E26" s="712"/>
    </row>
    <row r="27" spans="1:6" x14ac:dyDescent="0.25">
      <c r="A27" s="150" t="str">
        <f>'DICTIONARY-3'!$A$300</f>
        <v>Dla rur ze stali, żeliwa i betonu</v>
      </c>
    </row>
    <row r="28" spans="1:6" x14ac:dyDescent="0.25">
      <c r="A28" s="150" t="str">
        <f>CONCATENATE('DICTIONARY-1'!$A$10,": ",SETTINGS!$C$36)</f>
        <v>Grupa rabatowa: TERRA M1 BAIO</v>
      </c>
    </row>
    <row r="29" spans="1:6" x14ac:dyDescent="0.25">
      <c r="A29" s="957" t="str">
        <f>CONCATENATE("» ",'DICTIONARY-5'!$A$6," ",'DICTIONARY-3'!$A$197," (",LOWER('DICTIONARY-5'!$A$5),")")</f>
        <v>» Przejdź do produktu: Obejma (należy zamówić oddzielnie )</v>
      </c>
      <c r="B29" s="957"/>
      <c r="C29" s="957"/>
      <c r="D29" s="957"/>
      <c r="E29" s="957"/>
      <c r="F29" s="609"/>
    </row>
    <row r="31" spans="1:6" x14ac:dyDescent="0.25">
      <c r="A31" s="707" t="str">
        <f>'DICTIONARY-2'!$A$2</f>
        <v>DN</v>
      </c>
      <c r="B31" s="1004" t="str">
        <f>'DICTIONARY-3'!$A$64&amp;'DICTIONARY-3'!$A$83</f>
        <v>HODlock/TERRAlock-M1</v>
      </c>
      <c r="C31" s="1004"/>
      <c r="D31" s="1004"/>
      <c r="E31" s="1004"/>
    </row>
    <row r="32" spans="1:6" x14ac:dyDescent="0.25">
      <c r="A32" s="524" t="str">
        <f>'DICTIONARY-5'!$A$122</f>
        <v>rura</v>
      </c>
      <c r="B32" s="1007" t="str">
        <f>LOWER('DICTIONARY-3'!$A$290)</f>
        <v>bez zaworu</v>
      </c>
      <c r="C32" s="1007"/>
      <c r="D32" s="1007"/>
      <c r="E32" s="1007"/>
    </row>
    <row r="33" spans="1:5" x14ac:dyDescent="0.25">
      <c r="A33" s="160"/>
      <c r="B33" s="161" t="str">
        <f>'DICTIONARY-2'!$A$28</f>
        <v>stary nr zamówienia</v>
      </c>
      <c r="C33" s="161" t="str">
        <f>'DICTIONARY-2'!$A$29</f>
        <v>nowy nr zamówienia</v>
      </c>
      <c r="D33" s="155" t="str">
        <f>CURRENCY.CODE_1</f>
        <v>EUR</v>
      </c>
      <c r="E33" s="155" t="str">
        <f>CURRENCY.CODE_2</f>
        <v>---</v>
      </c>
    </row>
    <row r="34" spans="1:5" x14ac:dyDescent="0.25">
      <c r="A34" s="156" t="s">
        <v>862</v>
      </c>
      <c r="B34" s="156" t="s">
        <v>1151</v>
      </c>
      <c r="C34" s="321" t="s">
        <v>4177</v>
      </c>
      <c r="D34" s="339" t="str">
        <f>IFERROR(IF(OR(C34='DICTIONARY-5'!$A$2,C34='DICTIONARY-5'!$A$4,ISBLANK(C34)),VLOOKUP(B34,LIST!$A$6:$L$3250,CURR_1.SEARCH.OLD,0),VLOOKUP(C34,LIST!$B$6:$L$3250,CURR_1.SEARCH.NEW,0)),'DICTIONARY-5'!$A$2)</f>
        <v>83,-</v>
      </c>
      <c r="E34" s="339" t="str">
        <f>IFERROR(IF(OR(C34='DICTIONARY-5'!$A$2,C34='DICTIONARY-5'!$A$4,ISBLANK(C34)),VLOOKUP(B34,LIST!$A$6:$M$3250,CURR_2.SEARCH.OLD,0),VLOOKUP(C34,LIST!$B$6:$M$3250,CURR_2.SEARCH.NEW,0)),'DICTIONARY-5'!$A$2)</f>
        <v/>
      </c>
    </row>
  </sheetData>
  <sheetProtection algorithmName="SHA-512" hashValue="tz1vvJkJQUR0fzx9dnUOtDa7GD83cKq0w9h5Nl8hsKk0Nl9PrRPuiL46MU6mEUX9pb/Fg9DIHMizXWgEmaGVGg==" saltValue="b4t4vHHDR/cTlE/3M0JFew==" spinCount="100000" sheet="1" objects="1" scenarios="1" autoFilter="0"/>
  <mergeCells count="10">
    <mergeCell ref="B4:E4"/>
    <mergeCell ref="A9:E9"/>
    <mergeCell ref="A29:E29"/>
    <mergeCell ref="B32:E32"/>
    <mergeCell ref="B11:E11"/>
    <mergeCell ref="B19:E19"/>
    <mergeCell ref="B31:E31"/>
    <mergeCell ref="B12:E12"/>
    <mergeCell ref="B20:E20"/>
    <mergeCell ref="A17:E17"/>
  </mergeCells>
  <hyperlinks>
    <hyperlink ref="A9" location="_04_Clamp" display="_04_Clamp" xr:uid="{00000000-0004-0000-3000-000000000000}"/>
    <hyperlink ref="A29" location="_04_Clamp" display="_04_Clamp" xr:uid="{00000000-0004-0000-3000-000001000000}"/>
    <hyperlink ref="A17" location="_04_Clamp" display="_04_Clamp" xr:uid="{00000000-0004-0000-3000-000002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4">
    <tabColor theme="1"/>
  </sheetPr>
  <dimension ref="A1:G213"/>
  <sheetViews>
    <sheetView topLeftCell="A10" workbookViewId="0"/>
  </sheetViews>
  <sheetFormatPr defaultRowHeight="15" x14ac:dyDescent="0.25"/>
  <cols>
    <col min="1" max="1" width="34" style="508" customWidth="1"/>
    <col min="2" max="2" width="55.42578125" style="585" customWidth="1"/>
    <col min="3" max="3" width="55.42578125" style="586" customWidth="1"/>
    <col min="4" max="5" width="55" style="586" customWidth="1"/>
    <col min="6" max="6" width="5.42578125" style="581" customWidth="1"/>
    <col min="7" max="7" width="23.7109375" style="582" customWidth="1"/>
  </cols>
  <sheetData>
    <row r="1" spans="1:7" s="504" customFormat="1" ht="15.75" thickBot="1" x14ac:dyDescent="0.3">
      <c r="A1" s="505" t="s">
        <v>5879</v>
      </c>
      <c r="B1" s="601" t="s">
        <v>5880</v>
      </c>
      <c r="C1" s="602" t="s">
        <v>7398</v>
      </c>
      <c r="D1" s="602" t="s">
        <v>5881</v>
      </c>
      <c r="E1" s="602" t="s">
        <v>5882</v>
      </c>
      <c r="F1" s="580" t="s">
        <v>57</v>
      </c>
      <c r="G1" s="580" t="s">
        <v>6728</v>
      </c>
    </row>
    <row r="2" spans="1:7" x14ac:dyDescent="0.25">
      <c r="A2" s="508" t="str">
        <f>IF(CHOOSE(SET.LANGUAGE,'DICTIONARY-5'!B2,'DICTIONARY-5'!C2,'DICTIONARY-5'!D2,'DICTIONARY-5'!E2,'DICTIONARY-5'!F2)=0,("??? "&amp;"DICTIONARY-5/"&amp;"LINE"&amp;(ROW(A2))),CHOOSE(SET.LANGUAGE,'DICTIONARY-5'!B2,'DICTIONARY-5'!C2,'DICTIONARY-5'!D2,'DICTIONARY-5'!E2,'DICTIONARY-5'!F2))</f>
        <v>na zapytanie</v>
      </c>
      <c r="B2" s="585" t="s">
        <v>217</v>
      </c>
      <c r="C2" s="586" t="s">
        <v>7558</v>
      </c>
      <c r="D2" s="586" t="s">
        <v>5967</v>
      </c>
      <c r="E2" s="586" t="s">
        <v>5968</v>
      </c>
      <c r="F2" s="581" t="str">
        <f>CONCATENATE(ROW(B2),"❺",B2)</f>
        <v>2❺na poptávku</v>
      </c>
      <c r="G2" s="582" t="str">
        <f>"'DICTIONARY-5'!$A$"&amp;ROW(A2)</f>
        <v>'DICTIONARY-5'!$A$2</v>
      </c>
    </row>
    <row r="3" spans="1:7" x14ac:dyDescent="0.25">
      <c r="A3" s="508" t="str">
        <f>IF(CHOOSE(SET.LANGUAGE,'DICTIONARY-5'!B3,'DICTIONARY-5'!C3,'DICTIONARY-5'!D3,'DICTIONARY-5'!E3,'DICTIONARY-5'!F3)=0,("??? "&amp;"DICTIONARY-5/"&amp;"LINE"&amp;(ROW(A3))),CHOOSE(SET.LANGUAGE,'DICTIONARY-5'!B3,'DICTIONARY-5'!C3,'DICTIONARY-5'!D3,'DICTIONARY-5'!E3,'DICTIONARY-5'!F3))</f>
        <v xml:space="preserve">Na zapytanie: </v>
      </c>
      <c r="B3" s="689" t="str">
        <f>UPPER(LEFT(B$2))&amp;LOWER(MID(B$2,2,LEN(B$2)))&amp;": "</f>
        <v xml:space="preserve">Na poptávku: </v>
      </c>
      <c r="C3" s="584" t="str">
        <f>UPPER(LEFT(C$2))&amp;LOWER(MID(C$2,2,LEN(C$2)))&amp;": "</f>
        <v xml:space="preserve">Na dopyt: </v>
      </c>
      <c r="D3" s="584" t="str">
        <f>UPPER(LEFT(D$2))&amp;LOWER(MID(D$2,2,LEN(D$2)))&amp;": "</f>
        <v xml:space="preserve">On demand: </v>
      </c>
      <c r="E3" s="584" t="str">
        <f>UPPER(LEFT(E$2))&amp;LOWER(MID(E$2,2,LEN(E$2)))&amp;": "</f>
        <v xml:space="preserve">Na zapytanie: </v>
      </c>
      <c r="F3" s="581" t="str">
        <f t="shared" ref="F3:F77" si="0">CONCATENATE(ROW(B3),"❺",B3)</f>
        <v xml:space="preserve">3❺Na poptávku: </v>
      </c>
      <c r="G3" s="582" t="str">
        <f t="shared" ref="G3:G76" si="1">"'DICTIONARY-5'!$A$"&amp;ROW(A3)</f>
        <v>'DICTIONARY-5'!$A$3</v>
      </c>
    </row>
    <row r="4" spans="1:7" x14ac:dyDescent="0.25">
      <c r="A4" s="508" t="str">
        <f>IF(CHOOSE(SET.LANGUAGE,'DICTIONARY-5'!B4,'DICTIONARY-5'!C4,'DICTIONARY-5'!D4,'DICTIONARY-5'!E4,'DICTIONARY-5'!F4)=0,("??? "&amp;"DICTIONARY-5/"&amp;"LINE"&amp;(ROW(A4))),CHOOSE(SET.LANGUAGE,'DICTIONARY-5'!B4,'DICTIONARY-5'!C4,'DICTIONARY-5'!D4,'DICTIONARY-5'!E4,'DICTIONARY-5'!F4))</f>
        <v>zg ze specyfikacją</v>
      </c>
      <c r="B4" s="585" t="s">
        <v>1540</v>
      </c>
      <c r="C4" s="586" t="s">
        <v>7559</v>
      </c>
      <c r="D4" s="586" t="s">
        <v>6119</v>
      </c>
      <c r="E4" s="586" t="s">
        <v>6120</v>
      </c>
      <c r="F4" s="581" t="str">
        <f t="shared" si="0"/>
        <v>4❺dle specifikace</v>
      </c>
      <c r="G4" s="582" t="str">
        <f t="shared" si="1"/>
        <v>'DICTIONARY-5'!$A$4</v>
      </c>
    </row>
    <row r="5" spans="1:7" x14ac:dyDescent="0.25">
      <c r="A5" s="508" t="str">
        <f>IF(CHOOSE(SET.LANGUAGE,'DICTIONARY-5'!B5,'DICTIONARY-5'!C5,'DICTIONARY-5'!D5,'DICTIONARY-5'!E5,'DICTIONARY-5'!F5)=0,("??? "&amp;"DICTIONARY-5/"&amp;"LINE"&amp;(ROW(A5))),CHOOSE(SET.LANGUAGE,'DICTIONARY-5'!B5,'DICTIONARY-5'!C5,'DICTIONARY-5'!D5,'DICTIONARY-5'!E5,'DICTIONARY-5'!F5))</f>
        <v xml:space="preserve">Należy zamówić oddzielnie </v>
      </c>
      <c r="B5" s="585" t="s">
        <v>6713</v>
      </c>
      <c r="C5" s="586" t="s">
        <v>7560</v>
      </c>
      <c r="D5" s="586" t="s">
        <v>6712</v>
      </c>
      <c r="E5" s="586" t="s">
        <v>7184</v>
      </c>
      <c r="F5" s="581" t="str">
        <f t="shared" si="0"/>
        <v>5❺Nutné objednat samostatně</v>
      </c>
      <c r="G5" s="582" t="str">
        <f t="shared" si="1"/>
        <v>'DICTIONARY-5'!$A$5</v>
      </c>
    </row>
    <row r="6" spans="1:7" x14ac:dyDescent="0.25">
      <c r="A6" s="508" t="str">
        <f>IF(CHOOSE(SET.LANGUAGE,'DICTIONARY-5'!B6,'DICTIONARY-5'!C6,'DICTIONARY-5'!D6,'DICTIONARY-5'!E6,'DICTIONARY-5'!F6)=0,("??? "&amp;"DICTIONARY-5/"&amp;"LINE"&amp;(ROW(A6))),CHOOSE(SET.LANGUAGE,'DICTIONARY-5'!B6,'DICTIONARY-5'!C6,'DICTIONARY-5'!D6,'DICTIONARY-5'!E6,'DICTIONARY-5'!F6))</f>
        <v>Przejdź do produktu:</v>
      </c>
      <c r="B6" s="585" t="s">
        <v>7326</v>
      </c>
      <c r="C6" s="586" t="s">
        <v>7561</v>
      </c>
      <c r="D6" s="586" t="s">
        <v>7327</v>
      </c>
      <c r="E6" s="586" t="s">
        <v>7328</v>
      </c>
      <c r="F6" s="581" t="str">
        <f t="shared" si="0"/>
        <v>6❺Přejít na výrobek:</v>
      </c>
      <c r="G6" s="582" t="str">
        <f t="shared" si="1"/>
        <v>'DICTIONARY-5'!$A$6</v>
      </c>
    </row>
    <row r="7" spans="1:7" x14ac:dyDescent="0.25">
      <c r="A7" s="508" t="str">
        <f>IF(CHOOSE(SET.LANGUAGE,'DICTIONARY-5'!B7,'DICTIONARY-5'!C7,'DICTIONARY-5'!D7,'DICTIONARY-5'!E7,'DICTIONARY-5'!F7)=0,("??? "&amp;"DICTIONARY-5/"&amp;"LINE"&amp;(ROW(A7))),CHOOSE(SET.LANGUAGE,'DICTIONARY-5'!B7,'DICTIONARY-5'!C7,'DICTIONARY-5'!D7,'DICTIONARY-5'!E7,'DICTIONARY-5'!F7))</f>
        <v>dla</v>
      </c>
      <c r="B7" s="585" t="s">
        <v>6319</v>
      </c>
      <c r="C7" s="586" t="s">
        <v>7562</v>
      </c>
      <c r="D7" s="586" t="s">
        <v>6320</v>
      </c>
      <c r="E7" s="586" t="s">
        <v>6321</v>
      </c>
      <c r="F7" s="581" t="str">
        <f t="shared" si="0"/>
        <v>7❺pro</v>
      </c>
      <c r="G7" s="582" t="str">
        <f t="shared" si="1"/>
        <v>'DICTIONARY-5'!$A$7</v>
      </c>
    </row>
    <row r="8" spans="1:7" x14ac:dyDescent="0.25">
      <c r="A8" s="508" t="str">
        <f>IF(CHOOSE(SET.LANGUAGE,'DICTIONARY-5'!B8,'DICTIONARY-5'!C8,'DICTIONARY-5'!D8,'DICTIONARY-5'!E8,'DICTIONARY-5'!F8)=0,("??? "&amp;"DICTIONARY-5/"&amp;"LINE"&amp;(ROW(A8))),CHOOSE(SET.LANGUAGE,'DICTIONARY-5'!B8,'DICTIONARY-5'!C8,'DICTIONARY-5'!D8,'DICTIONARY-5'!E8,'DICTIONARY-5'!F8))</f>
        <v>ČSN</v>
      </c>
      <c r="B8" s="585" t="s">
        <v>6179</v>
      </c>
      <c r="C8" s="586" t="s">
        <v>6179</v>
      </c>
      <c r="D8" s="586" t="s">
        <v>6179</v>
      </c>
      <c r="E8" s="586" t="s">
        <v>6179</v>
      </c>
      <c r="F8" s="581" t="str">
        <f t="shared" si="0"/>
        <v>8❺ČSN</v>
      </c>
      <c r="G8" s="582" t="str">
        <f t="shared" si="1"/>
        <v>'DICTIONARY-5'!$A$8</v>
      </c>
    </row>
    <row r="9" spans="1:7" x14ac:dyDescent="0.25">
      <c r="A9" s="508" t="str">
        <f>IF(CHOOSE(SET.LANGUAGE,'DICTIONARY-5'!B9,'DICTIONARY-5'!C9,'DICTIONARY-5'!D9,'DICTIONARY-5'!E9,'DICTIONARY-5'!F9)=0,("??? "&amp;"DICTIONARY-5/"&amp;"LINE"&amp;(ROW(A9))),CHOOSE(SET.LANGUAGE,'DICTIONARY-5'!B9,'DICTIONARY-5'!C9,'DICTIONARY-5'!D9,'DICTIONARY-5'!E9,'DICTIONARY-5'!F9))</f>
        <v>EN 558</v>
      </c>
      <c r="B9" s="585" t="s">
        <v>6201</v>
      </c>
      <c r="C9" s="586" t="s">
        <v>6201</v>
      </c>
      <c r="D9" s="586" t="s">
        <v>6201</v>
      </c>
      <c r="E9" s="586" t="s">
        <v>6201</v>
      </c>
      <c r="F9" s="581" t="str">
        <f t="shared" si="0"/>
        <v>9❺EN 558</v>
      </c>
      <c r="G9" s="582" t="str">
        <f t="shared" si="1"/>
        <v>'DICTIONARY-5'!$A$9</v>
      </c>
    </row>
    <row r="10" spans="1:7" x14ac:dyDescent="0.25">
      <c r="A10" s="508" t="str">
        <f>IF(CHOOSE(SET.LANGUAGE,'DICTIONARY-5'!B10,'DICTIONARY-5'!C10,'DICTIONARY-5'!D10,'DICTIONARY-5'!E10,'DICTIONARY-5'!F10)=0,("??? "&amp;"DICTIONARY-5/"&amp;"LINE"&amp;(ROW(A10))),CHOOSE(SET.LANGUAGE,'DICTIONARY-5'!B10,'DICTIONARY-5'!C10,'DICTIONARY-5'!D10,'DICTIONARY-5'!E10,'DICTIONARY-5'!F10))</f>
        <v>szereg</v>
      </c>
      <c r="B10" s="585" t="s">
        <v>6196</v>
      </c>
      <c r="C10" s="586" t="s">
        <v>7563</v>
      </c>
      <c r="D10" s="586" t="s">
        <v>6199</v>
      </c>
      <c r="E10" s="586" t="s">
        <v>6200</v>
      </c>
      <c r="F10" s="581" t="str">
        <f t="shared" si="0"/>
        <v>10❺řada</v>
      </c>
      <c r="G10" s="582" t="str">
        <f t="shared" si="1"/>
        <v>'DICTIONARY-5'!$A$10</v>
      </c>
    </row>
    <row r="11" spans="1:7" x14ac:dyDescent="0.25">
      <c r="A11" s="508" t="str">
        <f>IF(CHOOSE(SET.LANGUAGE,'DICTIONARY-5'!B11,'DICTIONARY-5'!C11,'DICTIONARY-5'!D11,'DICTIONARY-5'!E11,'DICTIONARY-5'!F11)=0,("??? "&amp;"DICTIONARY-5/"&amp;"LINE"&amp;(ROW(A11))),CHOOSE(SET.LANGUAGE,'DICTIONARY-5'!B11,'DICTIONARY-5'!C11,'DICTIONARY-5'!D11,'DICTIONARY-5'!E11,'DICTIONARY-5'!F11))</f>
        <v>EN 558 szereg</v>
      </c>
      <c r="B11" s="689" t="str">
        <f>B$9&amp;" "&amp;B$10</f>
        <v>EN 558 řada</v>
      </c>
      <c r="C11" s="584" t="str">
        <f>C$9&amp;" "&amp;C$10</f>
        <v>EN 558 rad</v>
      </c>
      <c r="D11" s="584" t="str">
        <f>D$9&amp;" "&amp;D$10</f>
        <v>EN 558 basic series</v>
      </c>
      <c r="E11" s="584" t="str">
        <f>E$9&amp;" "&amp;E$10</f>
        <v>EN 558 szereg</v>
      </c>
      <c r="F11" s="581" t="str">
        <f t="shared" si="0"/>
        <v>11❺EN 558 řada</v>
      </c>
      <c r="G11" s="582" t="str">
        <f t="shared" si="1"/>
        <v>'DICTIONARY-5'!$A$11</v>
      </c>
    </row>
    <row r="12" spans="1:7" x14ac:dyDescent="0.25">
      <c r="A12" s="508" t="str">
        <f>IF(CHOOSE(SET.LANGUAGE,'DICTIONARY-5'!B12,'DICTIONARY-5'!C12,'DICTIONARY-5'!D12,'DICTIONARY-5'!E12,'DICTIONARY-5'!F12)=0,("??? "&amp;"DICTIONARY-5/"&amp;"LINE"&amp;(ROW(A12))),CHOOSE(SET.LANGUAGE,'DICTIONARY-5'!B12,'DICTIONARY-5'!C12,'DICTIONARY-5'!D12,'DICTIONARY-5'!E12,'DICTIONARY-5'!F12))</f>
        <v>woda</v>
      </c>
      <c r="B12" s="585" t="s">
        <v>6910</v>
      </c>
      <c r="C12" s="586" t="s">
        <v>6910</v>
      </c>
      <c r="D12" s="586" t="s">
        <v>6911</v>
      </c>
      <c r="E12" s="586" t="s">
        <v>6912</v>
      </c>
      <c r="F12" s="581" t="str">
        <f t="shared" ref="F12" si="2">CONCATENATE(ROW(B12),"❺",B12)</f>
        <v>12❺voda</v>
      </c>
      <c r="G12" s="582" t="str">
        <f t="shared" ref="G12" si="3">"'DICTIONARY-5'!$A$"&amp;ROW(A12)</f>
        <v>'DICTIONARY-5'!$A$12</v>
      </c>
    </row>
    <row r="13" spans="1:7" x14ac:dyDescent="0.25">
      <c r="A13" s="508" t="str">
        <f>IF(CHOOSE(SET.LANGUAGE,'DICTIONARY-5'!B13,'DICTIONARY-5'!C13,'DICTIONARY-5'!D13,'DICTIONARY-5'!E13,'DICTIONARY-5'!F13)=0,("??? "&amp;"DICTIONARY-5/"&amp;"LINE"&amp;(ROW(A13))),CHOOSE(SET.LANGUAGE,'DICTIONARY-5'!B13,'DICTIONARY-5'!C13,'DICTIONARY-5'!D13,'DICTIONARY-5'!E13,'DICTIONARY-5'!F13))</f>
        <v>woda pitna</v>
      </c>
      <c r="B13" s="585" t="s">
        <v>6180</v>
      </c>
      <c r="C13" s="586" t="s">
        <v>6180</v>
      </c>
      <c r="D13" s="586" t="s">
        <v>6627</v>
      </c>
      <c r="E13" s="586" t="s">
        <v>7186</v>
      </c>
      <c r="F13" s="581" t="str">
        <f t="shared" si="0"/>
        <v>13❺pitná voda</v>
      </c>
      <c r="G13" s="582" t="str">
        <f t="shared" si="1"/>
        <v>'DICTIONARY-5'!$A$13</v>
      </c>
    </row>
    <row r="14" spans="1:7" x14ac:dyDescent="0.25">
      <c r="A14" s="508" t="str">
        <f>IF(CHOOSE(SET.LANGUAGE,'DICTIONARY-5'!B14,'DICTIONARY-5'!C14,'DICTIONARY-5'!D14,'DICTIONARY-5'!E14,'DICTIONARY-5'!F14)=0,("??? "&amp;"DICTIONARY-5/"&amp;"LINE"&amp;(ROW(A14))),CHOOSE(SET.LANGUAGE,'DICTIONARY-5'!B14,'DICTIONARY-5'!C14,'DICTIONARY-5'!D14,'DICTIONARY-5'!E14,'DICTIONARY-5'!F14))</f>
        <v>ścieki</v>
      </c>
      <c r="B14" s="585" t="s">
        <v>6181</v>
      </c>
      <c r="C14" s="586" t="s">
        <v>7564</v>
      </c>
      <c r="D14" s="586" t="s">
        <v>7187</v>
      </c>
      <c r="E14" s="586" t="s">
        <v>7185</v>
      </c>
      <c r="F14" s="581" t="str">
        <f t="shared" si="0"/>
        <v>14❺odpadní voda</v>
      </c>
      <c r="G14" s="582" t="str">
        <f t="shared" si="1"/>
        <v>'DICTIONARY-5'!$A$14</v>
      </c>
    </row>
    <row r="15" spans="1:7" x14ac:dyDescent="0.25">
      <c r="A15" s="508" t="str">
        <f>IF(CHOOSE(SET.LANGUAGE,'DICTIONARY-5'!B15,'DICTIONARY-5'!C15,'DICTIONARY-5'!D15,'DICTIONARY-5'!E15,'DICTIONARY-5'!F15)=0,("??? "&amp;"DICTIONARY-5/"&amp;"LINE"&amp;(ROW(A15))),CHOOSE(SET.LANGUAGE,'DICTIONARY-5'!B15,'DICTIONARY-5'!C15,'DICTIONARY-5'!D15,'DICTIONARY-5'!E15,'DICTIONARY-5'!F15))</f>
        <v>woda morska</v>
      </c>
      <c r="B15" s="585" t="s">
        <v>6182</v>
      </c>
      <c r="C15" s="586" t="s">
        <v>7565</v>
      </c>
      <c r="D15" s="586" t="s">
        <v>6628</v>
      </c>
      <c r="E15" s="586" t="s">
        <v>7188</v>
      </c>
      <c r="F15" s="581" t="str">
        <f t="shared" si="0"/>
        <v>15❺mořská voda</v>
      </c>
      <c r="G15" s="582" t="str">
        <f t="shared" si="1"/>
        <v>'DICTIONARY-5'!$A$15</v>
      </c>
    </row>
    <row r="16" spans="1:7" x14ac:dyDescent="0.25">
      <c r="A16" s="508" t="str">
        <f>IF(CHOOSE(SET.LANGUAGE,'DICTIONARY-5'!B16,'DICTIONARY-5'!C16,'DICTIONARY-5'!D16,'DICTIONARY-5'!E16,'DICTIONARY-5'!F16)=0,("??? "&amp;"DICTIONARY-5/"&amp;"LINE"&amp;(ROW(A16))),CHOOSE(SET.LANGUAGE,'DICTIONARY-5'!B16,'DICTIONARY-5'!C16,'DICTIONARY-5'!D16,'DICTIONARY-5'!E16,'DICTIONARY-5'!F16))</f>
        <v>woda gaśnicza</v>
      </c>
      <c r="B16" s="585" t="s">
        <v>6183</v>
      </c>
      <c r="C16" s="586" t="s">
        <v>7761</v>
      </c>
      <c r="D16" s="586" t="s">
        <v>6629</v>
      </c>
      <c r="E16" s="586" t="s">
        <v>7189</v>
      </c>
      <c r="F16" s="581" t="str">
        <f t="shared" si="0"/>
        <v>16❺požární voda</v>
      </c>
      <c r="G16" s="582" t="str">
        <f t="shared" si="1"/>
        <v>'DICTIONARY-5'!$A$16</v>
      </c>
    </row>
    <row r="17" spans="1:7" x14ac:dyDescent="0.25">
      <c r="A17" s="508" t="str">
        <f>IF(CHOOSE(SET.LANGUAGE,'DICTIONARY-5'!B17,'DICTIONARY-5'!C17,'DICTIONARY-5'!D17,'DICTIONARY-5'!E17,'DICTIONARY-5'!F17)=0,("??? "&amp;"DICTIONARY-5/"&amp;"LINE"&amp;(ROW(A17))),CHOOSE(SET.LANGUAGE,'DICTIONARY-5'!B17,'DICTIONARY-5'!C17,'DICTIONARY-5'!D17,'DICTIONARY-5'!E17,'DICTIONARY-5'!F17))</f>
        <v>woda przemysłowa</v>
      </c>
      <c r="B17" s="585" t="s">
        <v>8027</v>
      </c>
      <c r="C17" s="586" t="s">
        <v>8029</v>
      </c>
      <c r="D17" s="586" t="s">
        <v>8028</v>
      </c>
      <c r="E17" s="586" t="s">
        <v>8030</v>
      </c>
      <c r="F17" s="581" t="str">
        <f t="shared" si="0"/>
        <v>17❺průmyslová voda</v>
      </c>
      <c r="G17" s="582" t="str">
        <f t="shared" si="1"/>
        <v>'DICTIONARY-5'!$A$17</v>
      </c>
    </row>
    <row r="18" spans="1:7" x14ac:dyDescent="0.25">
      <c r="A18" s="508" t="str">
        <f>IF(CHOOSE(SET.LANGUAGE,'DICTIONARY-5'!B18,'DICTIONARY-5'!C18,'DICTIONARY-5'!D18,'DICTIONARY-5'!E18,'DICTIONARY-5'!F18)=0,("??? "&amp;"DICTIONARY-5/"&amp;"LINE"&amp;(ROW(A18))),CHOOSE(SET.LANGUAGE,'DICTIONARY-5'!B18,'DICTIONARY-5'!C18,'DICTIONARY-5'!D18,'DICTIONARY-5'!E18,'DICTIONARY-5'!F18))</f>
        <v>gaz</v>
      </c>
      <c r="B18" s="585" t="s">
        <v>6184</v>
      </c>
      <c r="C18" s="586" t="s">
        <v>6184</v>
      </c>
      <c r="D18" s="586" t="s">
        <v>6630</v>
      </c>
      <c r="E18" s="586" t="s">
        <v>7190</v>
      </c>
      <c r="F18" s="581" t="str">
        <f t="shared" si="0"/>
        <v>18❺plyn</v>
      </c>
      <c r="G18" s="582" t="str">
        <f t="shared" si="1"/>
        <v>'DICTIONARY-5'!$A$18</v>
      </c>
    </row>
    <row r="19" spans="1:7" x14ac:dyDescent="0.25">
      <c r="A19" s="508" t="str">
        <f>IF(CHOOSE(SET.LANGUAGE,'DICTIONARY-5'!B19,'DICTIONARY-5'!C19,'DICTIONARY-5'!D19,'DICTIONARY-5'!E19,'DICTIONARY-5'!F19)=0,("??? "&amp;"DICTIONARY-5/"&amp;"LINE"&amp;(ROW(A19))),CHOOSE(SET.LANGUAGE,'DICTIONARY-5'!B19,'DICTIONARY-5'!C19,'DICTIONARY-5'!D19,'DICTIONARY-5'!E19,'DICTIONARY-5'!F19))</f>
        <v>powietrze</v>
      </c>
      <c r="B19" s="585" t="s">
        <v>6185</v>
      </c>
      <c r="C19" s="586" t="s">
        <v>6185</v>
      </c>
      <c r="D19" s="586" t="s">
        <v>6631</v>
      </c>
      <c r="E19" s="586" t="s">
        <v>7191</v>
      </c>
      <c r="F19" s="581" t="str">
        <f t="shared" si="0"/>
        <v>19❺vzduch</v>
      </c>
      <c r="G19" s="582" t="str">
        <f t="shared" si="1"/>
        <v>'DICTIONARY-5'!$A$19</v>
      </c>
    </row>
    <row r="20" spans="1:7" x14ac:dyDescent="0.25">
      <c r="A20" s="508" t="str">
        <f>IF(CHOOSE(SET.LANGUAGE,'DICTIONARY-5'!B20,'DICTIONARY-5'!C20,'DICTIONARY-5'!D20,'DICTIONARY-5'!E20,'DICTIONARY-5'!F20)=0,("??? "&amp;"DICTIONARY-5/"&amp;"LINE"&amp;(ROW(A20))),CHOOSE(SET.LANGUAGE,'DICTIONARY-5'!B20,'DICTIONARY-5'!C20,'DICTIONARY-5'!D20,'DICTIONARY-5'!E20,'DICTIONARY-5'!F20))</f>
        <v>substancje ropopochodne</v>
      </c>
      <c r="B20" s="585" t="s">
        <v>6186</v>
      </c>
      <c r="C20" s="586" t="s">
        <v>6186</v>
      </c>
      <c r="D20" s="586" t="s">
        <v>6632</v>
      </c>
      <c r="E20" s="586" t="s">
        <v>7193</v>
      </c>
      <c r="F20" s="581" t="str">
        <f t="shared" si="0"/>
        <v>20❺ropné látky</v>
      </c>
      <c r="G20" s="582" t="str">
        <f t="shared" si="1"/>
        <v>'DICTIONARY-5'!$A$20</v>
      </c>
    </row>
    <row r="21" spans="1:7" x14ac:dyDescent="0.25">
      <c r="A21" s="508" t="str">
        <f>IF(CHOOSE(SET.LANGUAGE,'DICTIONARY-5'!B21,'DICTIONARY-5'!C21,'DICTIONARY-5'!D21,'DICTIONARY-5'!E21,'DICTIONARY-5'!F21)=0,("??? "&amp;"DICTIONARY-5/"&amp;"LINE"&amp;(ROW(A21))),CHOOSE(SET.LANGUAGE,'DICTIONARY-5'!B21,'DICTIONARY-5'!C21,'DICTIONARY-5'!D21,'DICTIONARY-5'!E21,'DICTIONARY-5'!F21))</f>
        <v>olej</v>
      </c>
      <c r="B21" s="585" t="s">
        <v>6187</v>
      </c>
      <c r="C21" s="586" t="s">
        <v>6187</v>
      </c>
      <c r="D21" s="586" t="s">
        <v>6633</v>
      </c>
      <c r="E21" s="586" t="s">
        <v>6187</v>
      </c>
      <c r="F21" s="581" t="str">
        <f t="shared" si="0"/>
        <v>21❺olej</v>
      </c>
      <c r="G21" s="582" t="str">
        <f t="shared" si="1"/>
        <v>'DICTIONARY-5'!$A$21</v>
      </c>
    </row>
    <row r="22" spans="1:7" x14ac:dyDescent="0.25">
      <c r="A22" s="508" t="str">
        <f>IF(CHOOSE(SET.LANGUAGE,'DICTIONARY-5'!B22,'DICTIONARY-5'!C22,'DICTIONARY-5'!D22,'DICTIONARY-5'!E22,'DICTIONARY-5'!F22)=0,("??? "&amp;"DICTIONARY-5/"&amp;"LINE"&amp;(ROW(A22))),CHOOSE(SET.LANGUAGE,'DICTIONARY-5'!B22,'DICTIONARY-5'!C22,'DICTIONARY-5'!D22,'DICTIONARY-5'!E22,'DICTIONARY-5'!F22))</f>
        <v>olej transformatorowy</v>
      </c>
      <c r="B22" s="585" t="s">
        <v>6188</v>
      </c>
      <c r="C22" s="586" t="s">
        <v>6188</v>
      </c>
      <c r="D22" s="586" t="s">
        <v>6634</v>
      </c>
      <c r="E22" s="586" t="s">
        <v>7192</v>
      </c>
      <c r="F22" s="581" t="str">
        <f t="shared" si="0"/>
        <v>22❺transformátorový olej</v>
      </c>
      <c r="G22" s="582" t="str">
        <f t="shared" si="1"/>
        <v>'DICTIONARY-5'!$A$22</v>
      </c>
    </row>
    <row r="23" spans="1:7" x14ac:dyDescent="0.25">
      <c r="A23" s="508" t="str">
        <f>IF(CHOOSE(SET.LANGUAGE,'DICTIONARY-5'!B23,'DICTIONARY-5'!C23,'DICTIONARY-5'!D23,'DICTIONARY-5'!E23,'DICTIONARY-5'!F23)=0,("??? "&amp;"DICTIONARY-5/"&amp;"LINE"&amp;(ROW(A23))),CHOOSE(SET.LANGUAGE,'DICTIONARY-5'!B23,'DICTIONARY-5'!C23,'DICTIONARY-5'!D23,'DICTIONARY-5'!E23,'DICTIONARY-5'!F23))</f>
        <v>powłoka epoksydowa</v>
      </c>
      <c r="B23" s="585" t="s">
        <v>6008</v>
      </c>
      <c r="C23" s="586" t="s">
        <v>7566</v>
      </c>
      <c r="D23" s="586" t="s">
        <v>6635</v>
      </c>
      <c r="E23" s="586" t="s">
        <v>7194</v>
      </c>
      <c r="F23" s="581" t="str">
        <f t="shared" si="0"/>
        <v>23❺epoxidové povrstvení</v>
      </c>
      <c r="G23" s="582" t="str">
        <f t="shared" si="1"/>
        <v>'DICTIONARY-5'!$A$23</v>
      </c>
    </row>
    <row r="24" spans="1:7" x14ac:dyDescent="0.25">
      <c r="A24" s="508" t="str">
        <f>IF(CHOOSE(SET.LANGUAGE,'DICTIONARY-5'!B24,'DICTIONARY-5'!C24,'DICTIONARY-5'!D24,'DICTIONARY-5'!E24,'DICTIONARY-5'!F24)=0,("??? "&amp;"DICTIONARY-5/"&amp;"LINE"&amp;(ROW(A24))),CHOOSE(SET.LANGUAGE,'DICTIONARY-5'!B24,'DICTIONARY-5'!C24,'DICTIONARY-5'!D24,'DICTIONARY-5'!E24,'DICTIONARY-5'!F24))</f>
        <v>powłoka syntetyczna</v>
      </c>
      <c r="B24" s="585" t="s">
        <v>6364</v>
      </c>
      <c r="C24" s="586" t="s">
        <v>7567</v>
      </c>
      <c r="D24" s="586" t="s">
        <v>6636</v>
      </c>
      <c r="E24" s="586" t="s">
        <v>7195</v>
      </c>
      <c r="F24" s="581" t="str">
        <f t="shared" si="0"/>
        <v>24❺syntetické povrstvení</v>
      </c>
      <c r="G24" s="582" t="str">
        <f t="shared" si="1"/>
        <v>'DICTIONARY-5'!$A$24</v>
      </c>
    </row>
    <row r="25" spans="1:7" x14ac:dyDescent="0.25">
      <c r="A25" s="508" t="str">
        <f>IF(CHOOSE(SET.LANGUAGE,'DICTIONARY-5'!B25,'DICTIONARY-5'!C25,'DICTIONARY-5'!D25,'DICTIONARY-5'!E25,'DICTIONARY-5'!F25)=0,("??? "&amp;"DICTIONARY-5/"&amp;"LINE"&amp;(ROW(A25))),CHOOSE(SET.LANGUAGE,'DICTIONARY-5'!B25,'DICTIONARY-5'!C25,'DICTIONARY-5'!D25,'DICTIONARY-5'!E25,'DICTIONARY-5'!F25))</f>
        <v>poliester</v>
      </c>
      <c r="B25" s="585" t="s">
        <v>6189</v>
      </c>
      <c r="C25" s="586" t="s">
        <v>6189</v>
      </c>
      <c r="D25" s="586" t="s">
        <v>6189</v>
      </c>
      <c r="E25" s="586" t="s">
        <v>7196</v>
      </c>
      <c r="F25" s="581" t="str">
        <f t="shared" si="0"/>
        <v>25❺polyester</v>
      </c>
      <c r="G25" s="582" t="str">
        <f t="shared" si="1"/>
        <v>'DICTIONARY-5'!$A$25</v>
      </c>
    </row>
    <row r="26" spans="1:7" x14ac:dyDescent="0.25">
      <c r="A26" s="508" t="str">
        <f>IF(CHOOSE(SET.LANGUAGE,'DICTIONARY-5'!B26,'DICTIONARY-5'!C26,'DICTIONARY-5'!D26,'DICTIONARY-5'!E26,'DICTIONARY-5'!F26)=0,("??? "&amp;"DICTIONARY-5/"&amp;"LINE"&amp;(ROW(A26))),CHOOSE(SET.LANGUAGE,'DICTIONARY-5'!B26,'DICTIONARY-5'!C26,'DICTIONARY-5'!D26,'DICTIONARY-5'!E26,'DICTIONARY-5'!F26))</f>
        <v>akryl</v>
      </c>
      <c r="B26" s="585" t="s">
        <v>6190</v>
      </c>
      <c r="C26" s="586" t="s">
        <v>6190</v>
      </c>
      <c r="D26" s="586" t="s">
        <v>6637</v>
      </c>
      <c r="E26" s="586" t="s">
        <v>6190</v>
      </c>
      <c r="F26" s="581" t="str">
        <f t="shared" si="0"/>
        <v>26❺akryl</v>
      </c>
      <c r="G26" s="582" t="str">
        <f t="shared" si="1"/>
        <v>'DICTIONARY-5'!$A$26</v>
      </c>
    </row>
    <row r="27" spans="1:7" x14ac:dyDescent="0.25">
      <c r="A27" s="508" t="str">
        <f>IF(CHOOSE(SET.LANGUAGE,'DICTIONARY-5'!B27,'DICTIONARY-5'!C27,'DICTIONARY-5'!D27,'DICTIONARY-5'!E27,'DICTIONARY-5'!F27)=0,("??? "&amp;"DICTIONARY-5/"&amp;"LINE"&amp;(ROW(A27))),CHOOSE(SET.LANGUAGE,'DICTIONARY-5'!B27,'DICTIONARY-5'!C27,'DICTIONARY-5'!D27,'DICTIONARY-5'!E27,'DICTIONARY-5'!F27))</f>
        <v>pasywacja</v>
      </c>
      <c r="B27" s="585" t="s">
        <v>7653</v>
      </c>
      <c r="C27" s="586" t="s">
        <v>7654</v>
      </c>
      <c r="D27" s="586" t="s">
        <v>7655</v>
      </c>
      <c r="E27" s="586" t="s">
        <v>7197</v>
      </c>
      <c r="F27" s="581" t="str">
        <f t="shared" si="0"/>
        <v>27❺pasivace</v>
      </c>
      <c r="G27" s="582" t="str">
        <f t="shared" si="1"/>
        <v>'DICTIONARY-5'!$A$27</v>
      </c>
    </row>
    <row r="28" spans="1:7" x14ac:dyDescent="0.25">
      <c r="A28" s="508" t="str">
        <f>IF(CHOOSE(SET.LANGUAGE,'DICTIONARY-5'!B28,'DICTIONARY-5'!C28,'DICTIONARY-5'!D28,'DICTIONARY-5'!E28,'DICTIONARY-5'!F28)=0,("??? "&amp;"DICTIONARY-5/"&amp;"LINE"&amp;(ROW(A28))),CHOOSE(SET.LANGUAGE,'DICTIONARY-5'!B28,'DICTIONARY-5'!C28,'DICTIONARY-5'!D28,'DICTIONARY-5'!E28,'DICTIONARY-5'!F28))</f>
        <v>W zakresie regulacji Z – odległość można wydłużyć/skrócić długośc centralnej zabudowy L</v>
      </c>
      <c r="B28" s="585" t="s">
        <v>6014</v>
      </c>
      <c r="C28" s="586" t="s">
        <v>7762</v>
      </c>
      <c r="D28" s="586" t="s">
        <v>6638</v>
      </c>
      <c r="E28" s="586" t="s">
        <v>6192</v>
      </c>
      <c r="F28" s="581" t="str">
        <f t="shared" si="0"/>
        <v>28❺Rozsah stavitelnosti Z - vzdálenost, o kterou lze prodloužit/zkrátit střední stavební délku L</v>
      </c>
      <c r="G28" s="582" t="str">
        <f t="shared" si="1"/>
        <v>'DICTIONARY-5'!$A$28</v>
      </c>
    </row>
    <row r="29" spans="1:7" x14ac:dyDescent="0.25">
      <c r="A29" s="508" t="str">
        <f>IF(CHOOSE(SET.LANGUAGE,'DICTIONARY-5'!B29,'DICTIONARY-5'!C29,'DICTIONARY-5'!D29,'DICTIONARY-5'!E29,'DICTIONARY-5'!F29)=0,("??? "&amp;"DICTIONARY-5/"&amp;"LINE"&amp;(ROW(A29))),CHOOSE(SET.LANGUAGE,'DICTIONARY-5'!B29,'DICTIONARY-5'!C29,'DICTIONARY-5'!D29,'DICTIONARY-5'!E29,'DICTIONARY-5'!F29))</f>
        <v>Owiert kołnierza na 4 lub 8 otworów</v>
      </c>
      <c r="B29" s="585" t="s">
        <v>6015</v>
      </c>
      <c r="C29" s="586" t="s">
        <v>7568</v>
      </c>
      <c r="D29" s="586" t="s">
        <v>6639</v>
      </c>
      <c r="E29" s="586" t="s">
        <v>6193</v>
      </c>
      <c r="F29" s="581" t="str">
        <f t="shared" si="0"/>
        <v>29❺Univerzální pro příruby se 4 nebo 8 dírami</v>
      </c>
      <c r="G29" s="582" t="str">
        <f t="shared" si="1"/>
        <v>'DICTIONARY-5'!$A$29</v>
      </c>
    </row>
    <row r="30" spans="1:7" x14ac:dyDescent="0.25">
      <c r="A30" s="508" t="str">
        <f>IF(CHOOSE(SET.LANGUAGE,'DICTIONARY-5'!B30,'DICTIONARY-5'!C30,'DICTIONARY-5'!D30,'DICTIONARY-5'!E30,'DICTIONARY-5'!F30)=0,("??? "&amp;"DICTIONARY-5/"&amp;"LINE"&amp;(ROW(A30))),CHOOSE(SET.LANGUAGE,'DICTIONARY-5'!B30,'DICTIONARY-5'!C30,'DICTIONARY-5'!D30,'DICTIONARY-5'!E30,'DICTIONARY-5'!F30))</f>
        <v>Materiał</v>
      </c>
      <c r="B30" s="585" t="s">
        <v>6307</v>
      </c>
      <c r="C30" s="586" t="s">
        <v>6307</v>
      </c>
      <c r="D30" s="586" t="s">
        <v>6640</v>
      </c>
      <c r="E30" s="586" t="s">
        <v>7198</v>
      </c>
      <c r="F30" s="581" t="str">
        <f t="shared" si="0"/>
        <v>30❺Materiál</v>
      </c>
      <c r="G30" s="582" t="str">
        <f t="shared" si="1"/>
        <v>'DICTIONARY-5'!$A$30</v>
      </c>
    </row>
    <row r="31" spans="1:7" x14ac:dyDescent="0.25">
      <c r="A31" s="508" t="str">
        <f>IF(CHOOSE(SET.LANGUAGE,'DICTIONARY-5'!B31,'DICTIONARY-5'!C31,'DICTIONARY-5'!D31,'DICTIONARY-5'!E31,'DICTIONARY-5'!F31)=0,("??? "&amp;"DICTIONARY-5/"&amp;"LINE"&amp;(ROW(A31))),CHOOSE(SET.LANGUAGE,'DICTIONARY-5'!B31,'DICTIONARY-5'!C31,'DICTIONARY-5'!D31,'DICTIONARY-5'!E31,'DICTIONARY-5'!F31))</f>
        <v>wrzeciono</v>
      </c>
      <c r="B31" s="585" t="s">
        <v>6943</v>
      </c>
      <c r="C31" s="586" t="s">
        <v>7569</v>
      </c>
      <c r="D31" s="586" t="s">
        <v>6944</v>
      </c>
      <c r="E31" s="586" t="s">
        <v>7199</v>
      </c>
      <c r="F31" s="581" t="str">
        <f>CONCATENATE(ROW(B31),"❺",B31)</f>
        <v>31❺vřeteno</v>
      </c>
      <c r="G31" s="582" t="str">
        <f t="shared" ref="G31" si="4">"'DICTIONARY-5'!$A$"&amp;ROW(A31)</f>
        <v>'DICTIONARY-5'!$A$31</v>
      </c>
    </row>
    <row r="32" spans="1:7" x14ac:dyDescent="0.25">
      <c r="A32" s="508" t="str">
        <f>IF(CHOOSE(SET.LANGUAGE,'DICTIONARY-5'!B32,'DICTIONARY-5'!C32,'DICTIONARY-5'!D32,'DICTIONARY-5'!E32,'DICTIONARY-5'!F32)=0,("??? "&amp;"DICTIONARY-5/"&amp;"LINE"&amp;(ROW(A32))),CHOOSE(SET.LANGUAGE,'DICTIONARY-5'!B32,'DICTIONARY-5'!C32,'DICTIONARY-5'!D32,'DICTIONARY-5'!E32,'DICTIONARY-5'!F32))</f>
        <v>stal nierdzewna</v>
      </c>
      <c r="B32" s="585" t="s">
        <v>6241</v>
      </c>
      <c r="C32" s="586" t="s">
        <v>7570</v>
      </c>
      <c r="D32" s="586" t="s">
        <v>6249</v>
      </c>
      <c r="E32" s="586" t="s">
        <v>6255</v>
      </c>
      <c r="F32" s="581" t="str">
        <f>CONCATENATE(ROW(B32),"❺",B32)</f>
        <v>32❺korozivzdorná ocel</v>
      </c>
      <c r="G32" s="582" t="str">
        <f t="shared" si="1"/>
        <v>'DICTIONARY-5'!$A$32</v>
      </c>
    </row>
    <row r="33" spans="1:7" x14ac:dyDescent="0.25">
      <c r="A33" s="508" t="str">
        <f>IF(CHOOSE(SET.LANGUAGE,'DICTIONARY-5'!B33,'DICTIONARY-5'!C33,'DICTIONARY-5'!D33,'DICTIONARY-5'!E33,'DICTIONARY-5'!F33)=0,("??? "&amp;"DICTIONARY-5/"&amp;"LINE"&amp;(ROW(A33))),CHOOSE(SET.LANGUAGE,'DICTIONARY-5'!B33,'DICTIONARY-5'!C33,'DICTIONARY-5'!D33,'DICTIONARY-5'!E33,'DICTIONARY-5'!F33))</f>
        <v>st. nierdz.</v>
      </c>
      <c r="B33" s="585" t="s">
        <v>6362</v>
      </c>
      <c r="C33" s="586" t="s">
        <v>6362</v>
      </c>
      <c r="D33" s="586" t="s">
        <v>6921</v>
      </c>
      <c r="E33" s="586" t="s">
        <v>6922</v>
      </c>
      <c r="F33" s="581" t="str">
        <f t="shared" si="0"/>
        <v>33❺nerez</v>
      </c>
      <c r="G33" s="582" t="str">
        <f t="shared" si="1"/>
        <v>'DICTIONARY-5'!$A$33</v>
      </c>
    </row>
    <row r="34" spans="1:7" x14ac:dyDescent="0.25">
      <c r="A34" s="508" t="str">
        <f>IF(CHOOSE(SET.LANGUAGE,'DICTIONARY-5'!B34,'DICTIONARY-5'!C34,'DICTIONARY-5'!D34,'DICTIONARY-5'!E34,'DICTIONARY-5'!F34)=0,("??? "&amp;"DICTIONARY-5/"&amp;"LINE"&amp;(ROW(A34))),CHOOSE(SET.LANGUAGE,'DICTIONARY-5'!B34,'DICTIONARY-5'!C34,'DICTIONARY-5'!D34,'DICTIONARY-5'!E34,'DICTIONARY-5'!F34))</f>
        <v>A2</v>
      </c>
      <c r="B34" s="585" t="s">
        <v>6242</v>
      </c>
      <c r="C34" s="586" t="s">
        <v>6242</v>
      </c>
      <c r="D34" s="586" t="s">
        <v>6242</v>
      </c>
      <c r="E34" s="586" t="s">
        <v>6242</v>
      </c>
      <c r="F34" s="581" t="str">
        <f t="shared" si="0"/>
        <v>34❺A2</v>
      </c>
      <c r="G34" s="582" t="str">
        <f t="shared" si="1"/>
        <v>'DICTIONARY-5'!$A$34</v>
      </c>
    </row>
    <row r="35" spans="1:7" x14ac:dyDescent="0.25">
      <c r="A35" s="508" t="str">
        <f>IF(CHOOSE(SET.LANGUAGE,'DICTIONARY-5'!B35,'DICTIONARY-5'!C35,'DICTIONARY-5'!D35,'DICTIONARY-5'!E35,'DICTIONARY-5'!F35)=0,("??? "&amp;"DICTIONARY-5/"&amp;"LINE"&amp;(ROW(A35))),CHOOSE(SET.LANGUAGE,'DICTIONARY-5'!B35,'DICTIONARY-5'!C35,'DICTIONARY-5'!D35,'DICTIONARY-5'!E35,'DICTIONARY-5'!F35))</f>
        <v>A4</v>
      </c>
      <c r="B35" s="585" t="s">
        <v>6251</v>
      </c>
      <c r="C35" s="586" t="s">
        <v>6251</v>
      </c>
      <c r="D35" s="586" t="s">
        <v>6251</v>
      </c>
      <c r="E35" s="586" t="s">
        <v>6251</v>
      </c>
      <c r="F35" s="581" t="str">
        <f t="shared" si="0"/>
        <v>35❺A4</v>
      </c>
      <c r="G35" s="582" t="str">
        <f t="shared" si="1"/>
        <v>'DICTIONARY-5'!$A$35</v>
      </c>
    </row>
    <row r="36" spans="1:7" x14ac:dyDescent="0.25">
      <c r="A36" s="508" t="str">
        <f>IF(CHOOSE(SET.LANGUAGE,'DICTIONARY-5'!B36,'DICTIONARY-5'!C36,'DICTIONARY-5'!D36,'DICTIONARY-5'!E36,'DICTIONARY-5'!F36)=0,("??? "&amp;"DICTIONARY-5/"&amp;"LINE"&amp;(ROW(A36))),CHOOSE(SET.LANGUAGE,'DICTIONARY-5'!B36,'DICTIONARY-5'!C36,'DICTIONARY-5'!D36,'DICTIONARY-5'!E36,'DICTIONARY-5'!F36))</f>
        <v>CF8</v>
      </c>
      <c r="B36" s="585" t="s">
        <v>6916</v>
      </c>
      <c r="C36" s="586" t="s">
        <v>6916</v>
      </c>
      <c r="D36" s="586" t="s">
        <v>6916</v>
      </c>
      <c r="E36" s="586" t="s">
        <v>6916</v>
      </c>
      <c r="F36" s="581" t="str">
        <f t="shared" ref="F36" si="5">CONCATENATE(ROW(B36),"❺",B36)</f>
        <v>36❺CF8</v>
      </c>
      <c r="G36" s="582" t="str">
        <f t="shared" ref="G36" si="6">"'DICTIONARY-5'!$A$"&amp;ROW(A36)</f>
        <v>'DICTIONARY-5'!$A$36</v>
      </c>
    </row>
    <row r="37" spans="1:7" x14ac:dyDescent="0.25">
      <c r="A37" s="508" t="str">
        <f>IF(CHOOSE(SET.LANGUAGE,'DICTIONARY-5'!B37,'DICTIONARY-5'!C37,'DICTIONARY-5'!D37,'DICTIONARY-5'!E37,'DICTIONARY-5'!F37)=0,("??? "&amp;"DICTIONARY-5/"&amp;"LINE"&amp;(ROW(A37))),CHOOSE(SET.LANGUAGE,'DICTIONARY-5'!B37,'DICTIONARY-5'!C37,'DICTIONARY-5'!D37,'DICTIONARY-5'!E37,'DICTIONARY-5'!F37))</f>
        <v>CF8M</v>
      </c>
      <c r="B37" s="585" t="s">
        <v>6920</v>
      </c>
      <c r="C37" s="586" t="s">
        <v>6920</v>
      </c>
      <c r="D37" s="586" t="s">
        <v>6920</v>
      </c>
      <c r="E37" s="586" t="s">
        <v>6920</v>
      </c>
      <c r="F37" s="581" t="str">
        <f t="shared" ref="F37" si="7">CONCATENATE(ROW(B37),"❺",B37)</f>
        <v>37❺CF8M</v>
      </c>
      <c r="G37" s="582" t="str">
        <f t="shared" ref="G37" si="8">"'DICTIONARY-5'!$A$"&amp;ROW(A37)</f>
        <v>'DICTIONARY-5'!$A$37</v>
      </c>
    </row>
    <row r="38" spans="1:7" x14ac:dyDescent="0.25">
      <c r="A38" s="508" t="str">
        <f>IF(CHOOSE(SET.LANGUAGE,'DICTIONARY-5'!B38,'DICTIONARY-5'!C38,'DICTIONARY-5'!D38,'DICTIONARY-5'!E38,'DICTIONARY-5'!F38)=0,("??? "&amp;"DICTIONARY-5/"&amp;"LINE"&amp;(ROW(A38))),CHOOSE(SET.LANGUAGE,'DICTIONARY-5'!B38,'DICTIONARY-5'!C38,'DICTIONARY-5'!D38,'DICTIONARY-5'!E38,'DICTIONARY-5'!F38))</f>
        <v>DUPLEX</v>
      </c>
      <c r="B38" s="585" t="s">
        <v>6942</v>
      </c>
      <c r="C38" s="586" t="s">
        <v>6942</v>
      </c>
      <c r="D38" s="586" t="s">
        <v>6942</v>
      </c>
      <c r="E38" s="586" t="s">
        <v>6942</v>
      </c>
      <c r="F38" s="581" t="str">
        <f t="shared" ref="F38:F39" si="9">CONCATENATE(ROW(B38),"❺",B38)</f>
        <v>38❺DUPLEX</v>
      </c>
      <c r="G38" s="582" t="str">
        <f t="shared" ref="G38:G39" si="10">"'DICTIONARY-5'!$A$"&amp;ROW(A38)</f>
        <v>'DICTIONARY-5'!$A$38</v>
      </c>
    </row>
    <row r="39" spans="1:7" x14ac:dyDescent="0.25">
      <c r="A39" s="508" t="str">
        <f>IF(CHOOSE(SET.LANGUAGE,'DICTIONARY-5'!B39,'DICTIONARY-5'!C39,'DICTIONARY-5'!D39,'DICTIONARY-5'!E39,'DICTIONARY-5'!F39)=0,("??? "&amp;"DICTIONARY-5/"&amp;"LINE"&amp;(ROW(A39))),CHOOSE(SET.LANGUAGE,'DICTIONARY-5'!B39,'DICTIONARY-5'!C39,'DICTIONARY-5'!D39,'DICTIONARY-5'!E39,'DICTIONARY-5'!F39))</f>
        <v>1.4571</v>
      </c>
      <c r="B39" s="832" t="s">
        <v>8301</v>
      </c>
      <c r="C39" s="833" t="s">
        <v>8301</v>
      </c>
      <c r="D39" s="833" t="s">
        <v>8301</v>
      </c>
      <c r="E39" s="833" t="s">
        <v>8301</v>
      </c>
      <c r="F39" s="581" t="str">
        <f t="shared" si="9"/>
        <v>39❺1.4571</v>
      </c>
      <c r="G39" s="582" t="str">
        <f t="shared" si="10"/>
        <v>'DICTIONARY-5'!$A$39</v>
      </c>
    </row>
    <row r="40" spans="1:7" x14ac:dyDescent="0.25">
      <c r="A40" s="508" t="str">
        <f>IF(CHOOSE(SET.LANGUAGE,'DICTIONARY-5'!B40,'DICTIONARY-5'!C40,'DICTIONARY-5'!D40,'DICTIONARY-5'!E40,'DICTIONARY-5'!F40)=0,("??? "&amp;"DICTIONARY-5/"&amp;"LINE"&amp;(ROW(A40))),CHOOSE(SET.LANGUAGE,'DICTIONARY-5'!B40,'DICTIONARY-5'!C40,'DICTIONARY-5'!D40,'DICTIONARY-5'!E40,'DICTIONARY-5'!F40))</f>
        <v>stal</v>
      </c>
      <c r="B40" s="585" t="s">
        <v>5910</v>
      </c>
      <c r="C40" s="586" t="s">
        <v>7571</v>
      </c>
      <c r="D40" s="586" t="s">
        <v>5933</v>
      </c>
      <c r="E40" s="586" t="s">
        <v>5958</v>
      </c>
      <c r="F40" s="581" t="str">
        <f t="shared" si="0"/>
        <v>40❺ocel</v>
      </c>
      <c r="G40" s="582" t="str">
        <f t="shared" si="1"/>
        <v>'DICTIONARY-5'!$A$40</v>
      </c>
    </row>
    <row r="41" spans="1:7" x14ac:dyDescent="0.25">
      <c r="A41" s="508" t="str">
        <f>IF(CHOOSE(SET.LANGUAGE,'DICTIONARY-5'!B41,'DICTIONARY-5'!C41,'DICTIONARY-5'!D41,'DICTIONARY-5'!E41,'DICTIONARY-5'!F41)=0,("??? "&amp;"DICTIONARY-5/"&amp;"LINE"&amp;(ROW(A41))),CHOOSE(SET.LANGUAGE,'DICTIONARY-5'!B41,'DICTIONARY-5'!C41,'DICTIONARY-5'!D41,'DICTIONARY-5'!E41,'DICTIONARY-5'!F41))</f>
        <v>stal ocynkowana</v>
      </c>
      <c r="B41" s="585" t="s">
        <v>6413</v>
      </c>
      <c r="C41" s="586" t="s">
        <v>7572</v>
      </c>
      <c r="D41" s="586" t="s">
        <v>6641</v>
      </c>
      <c r="E41" s="586" t="s">
        <v>6737</v>
      </c>
      <c r="F41" s="581" t="str">
        <f t="shared" si="0"/>
        <v>41❺pozinkovaná ocel</v>
      </c>
      <c r="G41" s="582" t="str">
        <f t="shared" si="1"/>
        <v>'DICTIONARY-5'!$A$41</v>
      </c>
    </row>
    <row r="42" spans="1:7" x14ac:dyDescent="0.25">
      <c r="A42" s="508" t="str">
        <f>IF(CHOOSE(SET.LANGUAGE,'DICTIONARY-5'!B42,'DICTIONARY-5'!C42,'DICTIONARY-5'!D42,'DICTIONARY-5'!E42,'DICTIONARY-5'!F42)=0,("??? "&amp;"DICTIONARY-5/"&amp;"LINE"&amp;(ROW(A42))),CHOOSE(SET.LANGUAGE,'DICTIONARY-5'!B42,'DICTIONARY-5'!C42,'DICTIONARY-5'!D42,'DICTIONARY-5'!E42,'DICTIONARY-5'!F42))</f>
        <v>uszczelka</v>
      </c>
      <c r="B42" s="585" t="s">
        <v>6734</v>
      </c>
      <c r="C42" s="586" t="s">
        <v>7428</v>
      </c>
      <c r="D42" s="586" t="s">
        <v>6735</v>
      </c>
      <c r="E42" s="586" t="s">
        <v>6736</v>
      </c>
      <c r="F42" s="581" t="str">
        <f t="shared" ref="F42" si="11">CONCATENATE(ROW(B42),"❺",B42)</f>
        <v>42❺těsnění</v>
      </c>
      <c r="G42" s="582" t="str">
        <f t="shared" ref="G42" si="12">"'DICTIONARY-5'!$A$"&amp;ROW(A42)</f>
        <v>'DICTIONARY-5'!$A$42</v>
      </c>
    </row>
    <row r="43" spans="1:7" x14ac:dyDescent="0.25">
      <c r="A43" s="508" t="str">
        <f>IF(CHOOSE(SET.LANGUAGE,'DICTIONARY-5'!B43,'DICTIONARY-5'!C43,'DICTIONARY-5'!D43,'DICTIONARY-5'!E43,'DICTIONARY-5'!F43)=0,("??? "&amp;"DICTIONARY-5/"&amp;"LINE"&amp;(ROW(A43))),CHOOSE(SET.LANGUAGE,'DICTIONARY-5'!B43,'DICTIONARY-5'!C43,'DICTIONARY-5'!D43,'DICTIONARY-5'!E43,'DICTIONARY-5'!F43))</f>
        <v>guma</v>
      </c>
      <c r="B43" s="585" t="s">
        <v>6383</v>
      </c>
      <c r="C43" s="586" t="s">
        <v>6386</v>
      </c>
      <c r="D43" s="586" t="s">
        <v>6387</v>
      </c>
      <c r="E43" s="586" t="s">
        <v>6386</v>
      </c>
      <c r="F43" s="581" t="str">
        <f t="shared" si="0"/>
        <v>43❺pryž</v>
      </c>
      <c r="G43" s="582" t="str">
        <f t="shared" si="1"/>
        <v>'DICTIONARY-5'!$A$43</v>
      </c>
    </row>
    <row r="44" spans="1:7" x14ac:dyDescent="0.25">
      <c r="A44" s="508" t="str">
        <f>IF(CHOOSE(SET.LANGUAGE,'DICTIONARY-5'!B44,'DICTIONARY-5'!C44,'DICTIONARY-5'!D44,'DICTIONARY-5'!E44,'DICTIONARY-5'!F44)=0,("??? "&amp;"DICTIONARY-5/"&amp;"LINE"&amp;(ROW(A44))),CHOOSE(SET.LANGUAGE,'DICTIONARY-5'!B44,'DICTIONARY-5'!C44,'DICTIONARY-5'!D44,'DICTIONARY-5'!E44,'DICTIONARY-5'!F44))</f>
        <v>EPDM</v>
      </c>
      <c r="B44" s="585" t="s">
        <v>6384</v>
      </c>
      <c r="C44" s="586" t="s">
        <v>6384</v>
      </c>
      <c r="D44" s="586" t="s">
        <v>6384</v>
      </c>
      <c r="E44" s="586" t="s">
        <v>6384</v>
      </c>
      <c r="F44" s="581" t="str">
        <f t="shared" si="0"/>
        <v>44❺EPDM</v>
      </c>
      <c r="G44" s="582" t="str">
        <f t="shared" si="1"/>
        <v>'DICTIONARY-5'!$A$44</v>
      </c>
    </row>
    <row r="45" spans="1:7" x14ac:dyDescent="0.25">
      <c r="A45" s="508" t="str">
        <f>IF(CHOOSE(SET.LANGUAGE,'DICTIONARY-5'!B45,'DICTIONARY-5'!C45,'DICTIONARY-5'!D45,'DICTIONARY-5'!E45,'DICTIONARY-5'!F45)=0,("??? "&amp;"DICTIONARY-5/"&amp;"LINE"&amp;(ROW(A45))),CHOOSE(SET.LANGUAGE,'DICTIONARY-5'!B45,'DICTIONARY-5'!C45,'DICTIONARY-5'!D45,'DICTIONARY-5'!E45,'DICTIONARY-5'!F45))</f>
        <v>NBR</v>
      </c>
      <c r="B45" s="585" t="s">
        <v>6385</v>
      </c>
      <c r="C45" s="586" t="s">
        <v>6385</v>
      </c>
      <c r="D45" s="586" t="s">
        <v>6385</v>
      </c>
      <c r="E45" s="586" t="s">
        <v>6385</v>
      </c>
      <c r="F45" s="581" t="str">
        <f t="shared" si="0"/>
        <v>45❺NBR</v>
      </c>
      <c r="G45" s="582" t="str">
        <f t="shared" si="1"/>
        <v>'DICTIONARY-5'!$A$45</v>
      </c>
    </row>
    <row r="46" spans="1:7" x14ac:dyDescent="0.25">
      <c r="A46" s="508" t="str">
        <f>IF(CHOOSE(SET.LANGUAGE,'DICTIONARY-5'!B46,'DICTIONARY-5'!C46,'DICTIONARY-5'!D46,'DICTIONARY-5'!E46,'DICTIONARY-5'!F46)=0,("??? "&amp;"DICTIONARY-5/"&amp;"LINE"&amp;(ROW(A46))),CHOOSE(SET.LANGUAGE,'DICTIONARY-5'!B46,'DICTIONARY-5'!C46,'DICTIONARY-5'!D46,'DICTIONARY-5'!E46,'DICTIONARY-5'!F46))</f>
        <v>Flexipor</v>
      </c>
      <c r="B46" s="585" t="s">
        <v>6871</v>
      </c>
      <c r="C46" s="586" t="s">
        <v>6871</v>
      </c>
      <c r="D46" s="586" t="s">
        <v>6871</v>
      </c>
      <c r="E46" s="586" t="s">
        <v>6871</v>
      </c>
      <c r="F46" s="581" t="str">
        <f t="shared" si="0"/>
        <v>46❺Flexipor</v>
      </c>
      <c r="G46" s="582" t="str">
        <f t="shared" si="1"/>
        <v>'DICTIONARY-5'!$A$46</v>
      </c>
    </row>
    <row r="47" spans="1:7" x14ac:dyDescent="0.25">
      <c r="A47" s="508" t="str">
        <f>IF(CHOOSE(SET.LANGUAGE,'DICTIONARY-5'!B47,'DICTIONARY-5'!C47,'DICTIONARY-5'!D47,'DICTIONARY-5'!E47,'DICTIONARY-5'!F47)=0,("??? "&amp;"DICTIONARY-5/"&amp;"LINE"&amp;(ROW(A47))),CHOOSE(SET.LANGUAGE,'DICTIONARY-5'!B47,'DICTIONARY-5'!C47,'DICTIONARY-5'!D47,'DICTIONARY-5'!E47,'DICTIONARY-5'!F47))</f>
        <v>beton</v>
      </c>
      <c r="B47" s="585" t="s">
        <v>6005</v>
      </c>
      <c r="C47" s="586" t="s">
        <v>7573</v>
      </c>
      <c r="D47" s="586" t="s">
        <v>6391</v>
      </c>
      <c r="E47" s="586" t="s">
        <v>6005</v>
      </c>
      <c r="F47" s="581" t="str">
        <f t="shared" si="0"/>
        <v>47❺beton</v>
      </c>
      <c r="G47" s="582" t="str">
        <f t="shared" si="1"/>
        <v>'DICTIONARY-5'!$A$47</v>
      </c>
    </row>
    <row r="48" spans="1:7" x14ac:dyDescent="0.25">
      <c r="A48" s="508" t="str">
        <f>IF(CHOOSE(SET.LANGUAGE,'DICTIONARY-5'!B48,'DICTIONARY-5'!C48,'DICTIONARY-5'!D48,'DICTIONARY-5'!E48,'DICTIONARY-5'!F48)=0,("??? "&amp;"DICTIONARY-5/"&amp;"LINE"&amp;(ROW(A48))),CHOOSE(SET.LANGUAGE,'DICTIONARY-5'!B48,'DICTIONARY-5'!C48,'DICTIONARY-5'!D48,'DICTIONARY-5'!E48,'DICTIONARY-5'!F48))</f>
        <v>żeliwo</v>
      </c>
      <c r="B48" s="585" t="s">
        <v>5957</v>
      </c>
      <c r="C48" s="586" t="s">
        <v>7574</v>
      </c>
      <c r="D48" s="586" t="s">
        <v>5956</v>
      </c>
      <c r="E48" s="586" t="s">
        <v>5955</v>
      </c>
      <c r="F48" s="581" t="str">
        <f t="shared" si="0"/>
        <v>48❺litina</v>
      </c>
      <c r="G48" s="582" t="str">
        <f t="shared" si="1"/>
        <v>'DICTIONARY-5'!$A$48</v>
      </c>
    </row>
    <row r="49" spans="1:7" x14ac:dyDescent="0.25">
      <c r="A49" s="508" t="str">
        <f>IF(CHOOSE(SET.LANGUAGE,'DICTIONARY-5'!B49,'DICTIONARY-5'!C49,'DICTIONARY-5'!D49,'DICTIONARY-5'!E49,'DICTIONARY-5'!F49)=0,("??? "&amp;"DICTIONARY-5/"&amp;"LINE"&amp;(ROW(A49))),CHOOSE(SET.LANGUAGE,'DICTIONARY-5'!B49,'DICTIONARY-5'!C49,'DICTIONARY-5'!D49,'DICTIONARY-5'!E49,'DICTIONARY-5'!F49))</f>
        <v>ŻEL.</v>
      </c>
      <c r="B49" s="585" t="s">
        <v>6970</v>
      </c>
      <c r="C49" s="586" t="s">
        <v>7657</v>
      </c>
      <c r="D49" s="586" t="s">
        <v>6968</v>
      </c>
      <c r="E49" s="584" t="s">
        <v>6969</v>
      </c>
      <c r="F49" s="581" t="str">
        <f t="shared" ref="F49" si="13">CONCATENATE(ROW(B49),"❺",B49)</f>
        <v>49❺LIT.</v>
      </c>
      <c r="G49" s="582" t="str">
        <f t="shared" ref="G49" si="14">"'DICTIONARY-5'!$A$"&amp;ROW(A49)</f>
        <v>'DICTIONARY-5'!$A$49</v>
      </c>
    </row>
    <row r="50" spans="1:7" x14ac:dyDescent="0.25">
      <c r="A50" s="508" t="str">
        <f>IF(CHOOSE(SET.LANGUAGE,'DICTIONARY-5'!B50,'DICTIONARY-5'!C50,'DICTIONARY-5'!D50,'DICTIONARY-5'!E50,'DICTIONARY-5'!F50)=0,("??? "&amp;"DICTIONARY-5/"&amp;"LINE"&amp;(ROW(A50))),CHOOSE(SET.LANGUAGE,'DICTIONARY-5'!B50,'DICTIONARY-5'!C50,'DICTIONARY-5'!D50,'DICTIONARY-5'!E50,'DICTIONARY-5'!F50))</f>
        <v xml:space="preserve">żeliwo sferoidalne </v>
      </c>
      <c r="B50" s="585" t="s">
        <v>6389</v>
      </c>
      <c r="C50" s="586" t="s">
        <v>7575</v>
      </c>
      <c r="D50" s="586" t="s">
        <v>6390</v>
      </c>
      <c r="E50" s="586" t="s">
        <v>6738</v>
      </c>
      <c r="F50" s="581" t="str">
        <f t="shared" si="0"/>
        <v>50❺tvárná litina</v>
      </c>
      <c r="G50" s="582" t="str">
        <f t="shared" si="1"/>
        <v>'DICTIONARY-5'!$A$50</v>
      </c>
    </row>
    <row r="51" spans="1:7" x14ac:dyDescent="0.25">
      <c r="A51" s="508" t="str">
        <f>IF(CHOOSE(SET.LANGUAGE,'DICTIONARY-5'!B51,'DICTIONARY-5'!C51,'DICTIONARY-5'!D51,'DICTIONARY-5'!E51,'DICTIONARY-5'!F51)=0,("??? "&amp;"DICTIONARY-5/"&amp;"LINE"&amp;(ROW(A51))),CHOOSE(SET.LANGUAGE,'DICTIONARY-5'!B51,'DICTIONARY-5'!C51,'DICTIONARY-5'!D51,'DICTIONARY-5'!E51,'DICTIONARY-5'!F51))</f>
        <v>GGG</v>
      </c>
      <c r="B51" s="585" t="s">
        <v>6907</v>
      </c>
      <c r="C51" s="586" t="s">
        <v>6907</v>
      </c>
      <c r="D51" s="586" t="s">
        <v>6907</v>
      </c>
      <c r="E51" s="586" t="s">
        <v>6907</v>
      </c>
      <c r="F51" s="581" t="str">
        <f>CONCATENATE(ROW(B51),"❻",B51)</f>
        <v>51❻GGG</v>
      </c>
      <c r="G51" s="582" t="str">
        <f>"'DICTIONARY-5'!$A$"&amp;ROW(A51)</f>
        <v>'DICTIONARY-5'!$A$51</v>
      </c>
    </row>
    <row r="52" spans="1:7" x14ac:dyDescent="0.25">
      <c r="A52" s="508" t="str">
        <f>IF(CHOOSE(SET.LANGUAGE,'DICTIONARY-5'!B52,'DICTIONARY-5'!C52,'DICTIONARY-5'!D52,'DICTIONARY-5'!E52,'DICTIONARY-5'!F52)=0,("??? "&amp;"DICTIONARY-5/"&amp;"LINE"&amp;(ROW(A52))),CHOOSE(SET.LANGUAGE,'DICTIONARY-5'!B52,'DICTIONARY-5'!C52,'DICTIONARY-5'!D52,'DICTIONARY-5'!E52,'DICTIONARY-5'!F52))</f>
        <v>mosiądz</v>
      </c>
      <c r="B52" s="585" t="s">
        <v>5907</v>
      </c>
      <c r="C52" s="586" t="s">
        <v>7576</v>
      </c>
      <c r="D52" s="586" t="s">
        <v>5932</v>
      </c>
      <c r="E52" s="586" t="s">
        <v>5959</v>
      </c>
      <c r="F52" s="581" t="str">
        <f t="shared" si="0"/>
        <v>52❺mosaz</v>
      </c>
      <c r="G52" s="582" t="str">
        <f t="shared" si="1"/>
        <v>'DICTIONARY-5'!$A$52</v>
      </c>
    </row>
    <row r="53" spans="1:7" x14ac:dyDescent="0.25">
      <c r="A53" s="508" t="str">
        <f>IF(CHOOSE(SET.LANGUAGE,'DICTIONARY-5'!B53,'DICTIONARY-5'!C53,'DICTIONARY-5'!D53,'DICTIONARY-5'!E53,'DICTIONARY-5'!F53)=0,("??? "&amp;"DICTIONARY-5/"&amp;"LINE"&amp;(ROW(A53))),CHOOSE(SET.LANGUAGE,'DICTIONARY-5'!B53,'DICTIONARY-5'!C53,'DICTIONARY-5'!D53,'DICTIONARY-5'!E53,'DICTIONARY-5'!F53))</f>
        <v>tworzywo sztuczne</v>
      </c>
      <c r="B53" s="585" t="s">
        <v>5981</v>
      </c>
      <c r="C53" s="586" t="s">
        <v>5981</v>
      </c>
      <c r="D53" s="586" t="s">
        <v>6257</v>
      </c>
      <c r="E53" s="586" t="s">
        <v>6258</v>
      </c>
      <c r="F53" s="581" t="str">
        <f t="shared" si="0"/>
        <v>53❺plast</v>
      </c>
      <c r="G53" s="582" t="str">
        <f t="shared" si="1"/>
        <v>'DICTIONARY-5'!$A$53</v>
      </c>
    </row>
    <row r="54" spans="1:7" x14ac:dyDescent="0.25">
      <c r="A54" s="508" t="str">
        <f>IF(CHOOSE(SET.LANGUAGE,'DICTIONARY-5'!B54,'DICTIONARY-5'!C54,'DICTIONARY-5'!D54,'DICTIONARY-5'!E54,'DICTIONARY-5'!F54)=0,("??? "&amp;"DICTIONARY-5/"&amp;"LINE"&amp;(ROW(A54))),CHOOSE(SET.LANGUAGE,'DICTIONARY-5'!B54,'DICTIONARY-5'!C54,'DICTIONARY-5'!D54,'DICTIONARY-5'!E54,'DICTIONARY-5'!F54))</f>
        <v>PTFE</v>
      </c>
      <c r="B54" s="585" t="s">
        <v>6414</v>
      </c>
      <c r="C54" s="586" t="s">
        <v>6414</v>
      </c>
      <c r="D54" s="586" t="s">
        <v>6414</v>
      </c>
      <c r="E54" s="586" t="s">
        <v>6414</v>
      </c>
      <c r="F54" s="581" t="str">
        <f t="shared" si="0"/>
        <v>54❺PTFE</v>
      </c>
      <c r="G54" s="582" t="str">
        <f t="shared" si="1"/>
        <v>'DICTIONARY-5'!$A$54</v>
      </c>
    </row>
    <row r="55" spans="1:7" x14ac:dyDescent="0.25">
      <c r="A55" s="508" t="str">
        <f>IF(CHOOSE(SET.LANGUAGE,'DICTIONARY-5'!B55,'DICTIONARY-5'!C55,'DICTIONARY-5'!D55,'DICTIONARY-5'!E55,'DICTIONARY-5'!F55)=0,("??? "&amp;"DICTIONARY-5/"&amp;"LINE"&amp;(ROW(A55))),CHOOSE(SET.LANGUAGE,'DICTIONARY-5'!B55,'DICTIONARY-5'!C55,'DICTIONARY-5'!D55,'DICTIONARY-5'!E55,'DICTIONARY-5'!F55))</f>
        <v>włókno bezazbestowe</v>
      </c>
      <c r="B55" s="585" t="s">
        <v>6415</v>
      </c>
      <c r="C55" s="586" t="s">
        <v>6415</v>
      </c>
      <c r="D55" s="586" t="s">
        <v>6642</v>
      </c>
      <c r="E55" s="586" t="s">
        <v>7200</v>
      </c>
      <c r="F55" s="581" t="str">
        <f t="shared" si="0"/>
        <v>55❺bezazbestové vlákno</v>
      </c>
      <c r="G55" s="582" t="str">
        <f t="shared" si="1"/>
        <v>'DICTIONARY-5'!$A$55</v>
      </c>
    </row>
    <row r="56" spans="1:7" x14ac:dyDescent="0.25">
      <c r="A56" s="508" t="str">
        <f>IF(CHOOSE(SET.LANGUAGE,'DICTIONARY-5'!B56,'DICTIONARY-5'!C56,'DICTIONARY-5'!D56,'DICTIONARY-5'!E56,'DICTIONARY-5'!F56)=0,("??? "&amp;"DICTIONARY-5/"&amp;"LINE"&amp;(ROW(A56))),CHOOSE(SET.LANGUAGE,'DICTIONARY-5'!B56,'DICTIONARY-5'!C56,'DICTIONARY-5'!D56,'DICTIONARY-5'!E56,'DICTIONARY-5'!F56))</f>
        <v>PVC</v>
      </c>
      <c r="B56" s="585" t="s">
        <v>6491</v>
      </c>
      <c r="C56" s="586" t="s">
        <v>6491</v>
      </c>
      <c r="D56" s="586" t="s">
        <v>6491</v>
      </c>
      <c r="E56" s="586" t="s">
        <v>6491</v>
      </c>
      <c r="F56" s="581" t="str">
        <f t="shared" si="0"/>
        <v>56❺PVC</v>
      </c>
      <c r="G56" s="582" t="str">
        <f t="shared" si="1"/>
        <v>'DICTIONARY-5'!$A$56</v>
      </c>
    </row>
    <row r="57" spans="1:7" x14ac:dyDescent="0.25">
      <c r="A57" s="508" t="str">
        <f>IF(CHOOSE(SET.LANGUAGE,'DICTIONARY-5'!B57,'DICTIONARY-5'!C57,'DICTIONARY-5'!D57,'DICTIONARY-5'!E57,'DICTIONARY-5'!F57)=0,("??? "&amp;"DICTIONARY-5/"&amp;"LINE"&amp;(ROW(A57))),CHOOSE(SET.LANGUAGE,'DICTIONARY-5'!B57,'DICTIONARY-5'!C57,'DICTIONARY-5'!D57,'DICTIONARY-5'!E57,'DICTIONARY-5'!F57))</f>
        <v>PE</v>
      </c>
      <c r="B57" s="585" t="s">
        <v>6810</v>
      </c>
      <c r="C57" s="586" t="s">
        <v>6810</v>
      </c>
      <c r="D57" s="586" t="s">
        <v>6810</v>
      </c>
      <c r="E57" s="586" t="s">
        <v>6810</v>
      </c>
      <c r="F57" s="581" t="str">
        <f t="shared" ref="F57" si="15">CONCATENATE(ROW(B57),"❺",B57)</f>
        <v>57❺PE</v>
      </c>
      <c r="G57" s="582" t="str">
        <f t="shared" ref="G57" si="16">"'DICTIONARY-5'!$A$"&amp;ROW(A57)</f>
        <v>'DICTIONARY-5'!$A$57</v>
      </c>
    </row>
    <row r="58" spans="1:7" x14ac:dyDescent="0.25">
      <c r="A58" s="508" t="str">
        <f>IF(CHOOSE(SET.LANGUAGE,'DICTIONARY-5'!B58,'DICTIONARY-5'!C58,'DICTIONARY-5'!D58,'DICTIONARY-5'!E58,'DICTIONARY-5'!F58)=0,("??? "&amp;"DICTIONARY-5/"&amp;"LINE"&amp;(ROW(A58))),CHOOSE(SET.LANGUAGE,'DICTIONARY-5'!B58,'DICTIONARY-5'!C58,'DICTIONARY-5'!D58,'DICTIONARY-5'!E58,'DICTIONARY-5'!F58))</f>
        <v>PE-HD</v>
      </c>
      <c r="B58" s="585" t="s">
        <v>6261</v>
      </c>
      <c r="C58" s="586" t="s">
        <v>6261</v>
      </c>
      <c r="D58" s="586" t="s">
        <v>6261</v>
      </c>
      <c r="E58" s="586" t="s">
        <v>6261</v>
      </c>
      <c r="F58" s="581" t="str">
        <f t="shared" si="0"/>
        <v>58❺PE-HD</v>
      </c>
      <c r="G58" s="582" t="str">
        <f t="shared" si="1"/>
        <v>'DICTIONARY-5'!$A$58</v>
      </c>
    </row>
    <row r="59" spans="1:7" x14ac:dyDescent="0.25">
      <c r="A59" s="508" t="str">
        <f>IF(CHOOSE(SET.LANGUAGE,'DICTIONARY-5'!B59,'DICTIONARY-5'!C59,'DICTIONARY-5'!D59,'DICTIONARY-5'!E59,'DICTIONARY-5'!F59)=0,("??? "&amp;"DICTIONARY-5/"&amp;"LINE"&amp;(ROW(A59))),CHOOSE(SET.LANGUAGE,'DICTIONARY-5'!B59,'DICTIONARY-5'!C59,'DICTIONARY-5'!D59,'DICTIONARY-5'!E59,'DICTIONARY-5'!F59))</f>
        <v>SDR 11</v>
      </c>
      <c r="B59" s="585" t="s">
        <v>6262</v>
      </c>
      <c r="C59" s="586" t="s">
        <v>6262</v>
      </c>
      <c r="D59" s="586" t="s">
        <v>6262</v>
      </c>
      <c r="E59" s="586" t="s">
        <v>6262</v>
      </c>
      <c r="F59" s="581" t="str">
        <f t="shared" si="0"/>
        <v>59❺SDR 11</v>
      </c>
      <c r="G59" s="582" t="str">
        <f t="shared" si="1"/>
        <v>'DICTIONARY-5'!$A$59</v>
      </c>
    </row>
    <row r="60" spans="1:7" x14ac:dyDescent="0.25">
      <c r="A60" s="508" t="str">
        <f>IF(CHOOSE(SET.LANGUAGE,'DICTIONARY-5'!B60,'DICTIONARY-5'!C60,'DICTIONARY-5'!D60,'DICTIONARY-5'!E60,'DICTIONARY-5'!F60)=0,("??? "&amp;"DICTIONARY-5/"&amp;"LINE"&amp;(ROW(A60))),CHOOSE(SET.LANGUAGE,'DICTIONARY-5'!B60,'DICTIONARY-5'!C60,'DICTIONARY-5'!D60,'DICTIONARY-5'!E60,'DICTIONARY-5'!F60))</f>
        <v>SDR 17</v>
      </c>
      <c r="B60" s="585" t="s">
        <v>6494</v>
      </c>
      <c r="C60" s="586" t="s">
        <v>6494</v>
      </c>
      <c r="D60" s="586" t="s">
        <v>6494</v>
      </c>
      <c r="E60" s="586" t="s">
        <v>6494</v>
      </c>
      <c r="F60" s="581" t="str">
        <f t="shared" si="0"/>
        <v>60❺SDR 17</v>
      </c>
      <c r="G60" s="582" t="str">
        <f t="shared" si="1"/>
        <v>'DICTIONARY-5'!$A$60</v>
      </c>
    </row>
    <row r="61" spans="1:7" x14ac:dyDescent="0.25">
      <c r="A61" s="508" t="str">
        <f>IF(CHOOSE(SET.LANGUAGE,'DICTIONARY-5'!B61,'DICTIONARY-5'!C61,'DICTIONARY-5'!D61,'DICTIONARY-5'!E61,'DICTIONARY-5'!F61)=0,("??? "&amp;"DICTIONARY-5/"&amp;"LINE"&amp;(ROW(A61))),CHOOSE(SET.LANGUAGE,'DICTIONARY-5'!B61,'DICTIONARY-5'!C61,'DICTIONARY-5'!D61,'DICTIONARY-5'!E61,'DICTIONARY-5'!F61))</f>
        <v>owiert kołnierzy</v>
      </c>
      <c r="B61" s="585" t="s">
        <v>6498</v>
      </c>
      <c r="C61" s="586" t="s">
        <v>7577</v>
      </c>
      <c r="D61" s="586" t="s">
        <v>6500</v>
      </c>
      <c r="E61" s="586" t="s">
        <v>6499</v>
      </c>
      <c r="F61" s="581" t="str">
        <f t="shared" si="0"/>
        <v>61❺vrtání přírub</v>
      </c>
      <c r="G61" s="582" t="str">
        <f t="shared" si="1"/>
        <v>'DICTIONARY-5'!$A$61</v>
      </c>
    </row>
    <row r="62" spans="1:7" x14ac:dyDescent="0.25">
      <c r="A62" s="508" t="str">
        <f>IF(CHOOSE(SET.LANGUAGE,'DICTIONARY-5'!B62,'DICTIONARY-5'!C62,'DICTIONARY-5'!D62,'DICTIONARY-5'!E62,'DICTIONARY-5'!F62)=0,("??? "&amp;"DICTIONARY-5/"&amp;"LINE"&amp;(ROW(A62))),CHOOSE(SET.LANGUAGE,'DICTIONARY-5'!B62,'DICTIONARY-5'!C62,'DICTIONARY-5'!D62,'DICTIONARY-5'!E62,'DICTIONARY-5'!F62))</f>
        <v xml:space="preserve">Owiert kołnierzy zgodnie z wytycznymi technicznymi Urzędu Kolejnictwa Czeskiego </v>
      </c>
      <c r="B62" s="585" t="s">
        <v>6397</v>
      </c>
      <c r="C62" s="586" t="s">
        <v>7578</v>
      </c>
      <c r="D62" s="586" t="s">
        <v>6643</v>
      </c>
      <c r="E62" s="607" t="s">
        <v>7300</v>
      </c>
      <c r="F62" s="581" t="str">
        <f t="shared" si="0"/>
        <v>62❺Vrtání příruby dle technických podmínek českého Drážního úřadu</v>
      </c>
      <c r="G62" s="582" t="str">
        <f t="shared" si="1"/>
        <v>'DICTIONARY-5'!$A$62</v>
      </c>
    </row>
    <row r="63" spans="1:7" x14ac:dyDescent="0.25">
      <c r="A63" s="508" t="str">
        <f>IF(CHOOSE(SET.LANGUAGE,'DICTIONARY-5'!B63,'DICTIONARY-5'!C63,'DICTIONARY-5'!D63,'DICTIONARY-5'!E63,'DICTIONARY-5'!F63)=0,("??? "&amp;"DICTIONARY-5/"&amp;"LINE"&amp;(ROW(A63))),CHOOSE(SET.LANGUAGE,'DICTIONARY-5'!B63,'DICTIONARY-5'!C63,'DICTIONARY-5'!D63,'DICTIONARY-5'!E63,'DICTIONARY-5'!F63))</f>
        <v>Owiert kołnierza 4 otwory</v>
      </c>
      <c r="B63" s="585" t="s">
        <v>6191</v>
      </c>
      <c r="C63" s="586" t="s">
        <v>7579</v>
      </c>
      <c r="D63" s="586" t="s">
        <v>6644</v>
      </c>
      <c r="E63" s="586" t="s">
        <v>6195</v>
      </c>
      <c r="F63" s="581" t="str">
        <f t="shared" si="0"/>
        <v>63❺Vrtání příruby na 4 díry</v>
      </c>
      <c r="G63" s="582" t="str">
        <f t="shared" si="1"/>
        <v>'DICTIONARY-5'!$A$63</v>
      </c>
    </row>
    <row r="64" spans="1:7" x14ac:dyDescent="0.25">
      <c r="A64" s="508" t="str">
        <f>IF(CHOOSE(SET.LANGUAGE,'DICTIONARY-5'!B64,'DICTIONARY-5'!C64,'DICTIONARY-5'!D64,'DICTIONARY-5'!E64,'DICTIONARY-5'!F64)=0,("??? "&amp;"DICTIONARY-5/"&amp;"LINE"&amp;(ROW(A64))),CHOOSE(SET.LANGUAGE,'DICTIONARY-5'!B64,'DICTIONARY-5'!C64,'DICTIONARY-5'!D64,'DICTIONARY-5'!E64,'DICTIONARY-5'!F64))</f>
        <v>owiert 4 otw.</v>
      </c>
      <c r="B64" s="585" t="s">
        <v>6292</v>
      </c>
      <c r="C64" s="586" t="s">
        <v>7580</v>
      </c>
      <c r="D64" s="586" t="s">
        <v>6645</v>
      </c>
      <c r="E64" s="586" t="s">
        <v>6293</v>
      </c>
      <c r="F64" s="581" t="str">
        <f t="shared" si="0"/>
        <v>64❺vrt. 4 díry</v>
      </c>
      <c r="G64" s="582" t="str">
        <f t="shared" si="1"/>
        <v>'DICTIONARY-5'!$A$64</v>
      </c>
    </row>
    <row r="65" spans="1:7" x14ac:dyDescent="0.25">
      <c r="A65" s="508" t="str">
        <f>IF(CHOOSE(SET.LANGUAGE,'DICTIONARY-5'!B65,'DICTIONARY-5'!C65,'DICTIONARY-5'!D65,'DICTIONARY-5'!E65,'DICTIONARY-5'!F65)=0,("??? "&amp;"DICTIONARY-5/"&amp;"LINE"&amp;(ROW(A65))),CHOOSE(SET.LANGUAGE,'DICTIONARY-5'!B65,'DICTIONARY-5'!C65,'DICTIONARY-5'!D65,'DICTIONARY-5'!E65,'DICTIONARY-5'!F65))</f>
        <v>Zredukowany przepływ</v>
      </c>
      <c r="B65" s="585" t="s">
        <v>6395</v>
      </c>
      <c r="C65" s="586" t="s">
        <v>7658</v>
      </c>
      <c r="D65" s="586" t="s">
        <v>6646</v>
      </c>
      <c r="E65" s="586" t="s">
        <v>6396</v>
      </c>
      <c r="F65" s="581" t="str">
        <f t="shared" si="0"/>
        <v>65❺Redukovaný průtok</v>
      </c>
      <c r="G65" s="582" t="str">
        <f t="shared" si="1"/>
        <v>'DICTIONARY-5'!$A$65</v>
      </c>
    </row>
    <row r="66" spans="1:7" x14ac:dyDescent="0.25">
      <c r="A66" s="508" t="str">
        <f>IF(CHOOSE(SET.LANGUAGE,'DICTIONARY-5'!B66,'DICTIONARY-5'!C66,'DICTIONARY-5'!D66,'DICTIONARY-5'!E66,'DICTIONARY-5'!F66)=0,("??? "&amp;"DICTIONARY-5/"&amp;"LINE"&amp;(ROW(A66))),CHOOSE(SET.LANGUAGE,'DICTIONARY-5'!B66,'DICTIONARY-5'!C66,'DICTIONARY-5'!D66,'DICTIONARY-5'!E66,'DICTIONARY-5'!F66))</f>
        <v>budowa krótka</v>
      </c>
      <c r="B66" s="585" t="s">
        <v>6197</v>
      </c>
      <c r="C66" s="586" t="s">
        <v>7581</v>
      </c>
      <c r="D66" s="586" t="s">
        <v>6647</v>
      </c>
      <c r="E66" s="586" t="s">
        <v>6208</v>
      </c>
      <c r="F66" s="581" t="str">
        <f t="shared" si="0"/>
        <v>66❺krátká stavební délka</v>
      </c>
      <c r="G66" s="582" t="str">
        <f t="shared" si="1"/>
        <v>'DICTIONARY-5'!$A$66</v>
      </c>
    </row>
    <row r="67" spans="1:7" x14ac:dyDescent="0.25">
      <c r="A67" s="508" t="str">
        <f>IF(CHOOSE(SET.LANGUAGE,'DICTIONARY-5'!B67,'DICTIONARY-5'!C67,'DICTIONARY-5'!D67,'DICTIONARY-5'!E67,'DICTIONARY-5'!F67)=0,("??? "&amp;"DICTIONARY-5/"&amp;"LINE"&amp;(ROW(A67))),CHOOSE(SET.LANGUAGE,'DICTIONARY-5'!B67,'DICTIONARY-5'!C67,'DICTIONARY-5'!D67,'DICTIONARY-5'!E67,'DICTIONARY-5'!F67))</f>
        <v>budowa długa</v>
      </c>
      <c r="B67" s="585" t="s">
        <v>6198</v>
      </c>
      <c r="C67" s="586" t="s">
        <v>7582</v>
      </c>
      <c r="D67" s="586" t="s">
        <v>6648</v>
      </c>
      <c r="E67" s="586" t="s">
        <v>6209</v>
      </c>
      <c r="F67" s="581" t="str">
        <f t="shared" si="0"/>
        <v>67❺dlouhá stavební délka</v>
      </c>
      <c r="G67" s="582" t="str">
        <f t="shared" si="1"/>
        <v>'DICTIONARY-5'!$A$67</v>
      </c>
    </row>
    <row r="68" spans="1:7" x14ac:dyDescent="0.25">
      <c r="A68" s="508" t="str">
        <f>IF(CHOOSE(SET.LANGUAGE,'DICTIONARY-5'!B68,'DICTIONARY-5'!C68,'DICTIONARY-5'!D68,'DICTIONARY-5'!E68,'DICTIONARY-5'!F68)=0,("??? "&amp;"DICTIONARY-5/"&amp;"LINE"&amp;(ROW(A68))),CHOOSE(SET.LANGUAGE,'DICTIONARY-5'!B68,'DICTIONARY-5'!C68,'DICTIONARY-5'!D68,'DICTIONARY-5'!E68,'DICTIONARY-5'!F68))</f>
        <v>budowa ČSN (norma czeska)</v>
      </c>
      <c r="B68" s="585" t="s">
        <v>6202</v>
      </c>
      <c r="C68" s="586" t="s">
        <v>7583</v>
      </c>
      <c r="D68" s="586" t="s">
        <v>6649</v>
      </c>
      <c r="E68" s="586" t="s">
        <v>7201</v>
      </c>
      <c r="F68" s="581" t="str">
        <f t="shared" si="0"/>
        <v>68❺stavební délka ČSN</v>
      </c>
      <c r="G68" s="582" t="str">
        <f t="shared" si="1"/>
        <v>'DICTIONARY-5'!$A$68</v>
      </c>
    </row>
    <row r="69" spans="1:7" ht="15" customHeight="1" x14ac:dyDescent="0.25">
      <c r="A69" s="508" t="str">
        <f>IF(CHOOSE(SET.LANGUAGE,'DICTIONARY-5'!B69,'DICTIONARY-5'!C69,'DICTIONARY-5'!D69,'DICTIONARY-5'!E69,'DICTIONARY-5'!F69)=0,("??? "&amp;"DICTIONARY-5/"&amp;"LINE"&amp;(ROW(A69))),CHOOSE(SET.LANGUAGE,'DICTIONARY-5'!B69,'DICTIONARY-5'!C69,'DICTIONARY-5'!D69,'DICTIONARY-5'!E69,'DICTIONARY-5'!F69))</f>
        <v>armatura</v>
      </c>
      <c r="B69" s="585" t="s">
        <v>6203</v>
      </c>
      <c r="C69" s="586" t="s">
        <v>7584</v>
      </c>
      <c r="D69" s="586" t="s">
        <v>6204</v>
      </c>
      <c r="E69" s="586" t="s">
        <v>6203</v>
      </c>
      <c r="F69" s="581" t="str">
        <f t="shared" si="0"/>
        <v>69❺armatura</v>
      </c>
      <c r="G69" s="582" t="str">
        <f t="shared" si="1"/>
        <v>'DICTIONARY-5'!$A$69</v>
      </c>
    </row>
    <row r="70" spans="1:7" ht="15" customHeight="1" x14ac:dyDescent="0.25">
      <c r="A70" s="508" t="str">
        <f>IF(CHOOSE(SET.LANGUAGE,'DICTIONARY-5'!B70,'DICTIONARY-5'!C70,'DICTIONARY-5'!D70,'DICTIONARY-5'!E70,'DICTIONARY-5'!F70)=0,("??? "&amp;"DICTIONARY-5/"&amp;"LINE"&amp;(ROW(A70))),CHOOSE(SET.LANGUAGE,'DICTIONARY-5'!B70,'DICTIONARY-5'!C70,'DICTIONARY-5'!D70,'DICTIONARY-5'!E70,'DICTIONARY-5'!F70))</f>
        <v>Nr zamówienia odpowiada napędowi elektrycznemu AUMA, prośba o inny napęd elektryczny musi być wyraźnie zawarta w zamówieniu.</v>
      </c>
      <c r="B70" s="585" t="s">
        <v>245</v>
      </c>
      <c r="C70" s="586" t="s">
        <v>7763</v>
      </c>
      <c r="D70" s="586" t="s">
        <v>6650</v>
      </c>
      <c r="E70" s="586" t="s">
        <v>6205</v>
      </c>
      <c r="F70" s="581" t="str">
        <f t="shared" si="0"/>
        <v>70❺Objednací čísla se vztahují na EP AUMA. Požadavek na jiný EP je nutné uvést do objednávky.</v>
      </c>
      <c r="G70" s="582" t="str">
        <f t="shared" si="1"/>
        <v>'DICTIONARY-5'!$A$70</v>
      </c>
    </row>
    <row r="71" spans="1:7" ht="15" customHeight="1" x14ac:dyDescent="0.25">
      <c r="A71" s="508" t="str">
        <f>IF(CHOOSE(SET.LANGUAGE,'DICTIONARY-5'!B71,'DICTIONARY-5'!C71,'DICTIONARY-5'!D71,'DICTIONARY-5'!E71,'DICTIONARY-5'!F71)=0,("??? "&amp;"DICTIONARY-5/"&amp;"LINE"&amp;(ROW(A71))),CHOOSE(SET.LANGUAGE,'DICTIONARY-5'!B71,'DICTIONARY-5'!C71,'DICTIONARY-5'!D71,'DICTIONARY-5'!E71,'DICTIONARY-5'!F71))</f>
        <v>Nr zamówienia odpowiada napędowi pneumatycznemu Festo, prośba o inny napęd pneumatyczny musi być wyraźnie zawarta w zamówieniu.</v>
      </c>
      <c r="B71" s="585" t="s">
        <v>267</v>
      </c>
      <c r="C71" s="586" t="s">
        <v>7764</v>
      </c>
      <c r="D71" s="586" t="s">
        <v>6651</v>
      </c>
      <c r="E71" s="586" t="s">
        <v>6207</v>
      </c>
      <c r="F71" s="581" t="str">
        <f t="shared" si="0"/>
        <v>71❺Objednací čísla se vztahují na PP FESTO v základním provedení bez příslušenství. Požadavek na jiný PP je nutné uvést do objednávky.</v>
      </c>
      <c r="G71" s="582" t="str">
        <f t="shared" si="1"/>
        <v>'DICTIONARY-5'!$A$71</v>
      </c>
    </row>
    <row r="72" spans="1:7" ht="15" customHeight="1" x14ac:dyDescent="0.25">
      <c r="A72" s="508" t="str">
        <f>IF(CHOOSE(SET.LANGUAGE,'DICTIONARY-5'!B72,'DICTIONARY-5'!C72,'DICTIONARY-5'!D72,'DICTIONARY-5'!E72,'DICTIONARY-5'!F72)=0,("??? "&amp;"DICTIONARY-5/"&amp;"LINE"&amp;(ROW(A72))),CHOOSE(SET.LANGUAGE,'DICTIONARY-5'!B72,'DICTIONARY-5'!C72,'DICTIONARY-5'!D72,'DICTIONARY-5'!E72,'DICTIONARY-5'!F72))</f>
        <v>Cena zależy od wymaganych parametrów napędu.</v>
      </c>
      <c r="B72" s="585" t="s">
        <v>246</v>
      </c>
      <c r="C72" s="586" t="s">
        <v>7585</v>
      </c>
      <c r="D72" s="586" t="s">
        <v>6652</v>
      </c>
      <c r="E72" s="586" t="s">
        <v>6206</v>
      </c>
      <c r="F72" s="581" t="str">
        <f t="shared" si="0"/>
        <v>72❺Cena se odvíjí od požadovaných parametrů pohonu.</v>
      </c>
      <c r="G72" s="582" t="str">
        <f t="shared" si="1"/>
        <v>'DICTIONARY-5'!$A$72</v>
      </c>
    </row>
    <row r="73" spans="1:7" x14ac:dyDescent="0.25">
      <c r="A73" s="508" t="str">
        <f>IF(CHOOSE(SET.LANGUAGE,'DICTIONARY-5'!B73,'DICTIONARY-5'!C73,'DICTIONARY-5'!D73,'DICTIONARY-5'!E73,'DICTIONARY-5'!F73)=0,("??? "&amp;"DICTIONARY-5/"&amp;"LINE"&amp;(ROW(A73))),CHOOSE(SET.LANGUAGE,'DICTIONARY-5'!B73,'DICTIONARY-5'!C73,'DICTIONARY-5'!D73,'DICTIONARY-5'!E73,'DICTIONARY-5'!F73))</f>
        <v>kołnierze przesuwne</v>
      </c>
      <c r="B73" s="585" t="s">
        <v>6210</v>
      </c>
      <c r="C73" s="586" t="s">
        <v>7586</v>
      </c>
      <c r="D73" s="586" t="s">
        <v>6211</v>
      </c>
      <c r="E73" s="586" t="s">
        <v>6212</v>
      </c>
      <c r="F73" s="581" t="str">
        <f t="shared" si="0"/>
        <v>73❺posuvné příruby</v>
      </c>
      <c r="G73" s="582" t="str">
        <f t="shared" si="1"/>
        <v>'DICTIONARY-5'!$A$73</v>
      </c>
    </row>
    <row r="74" spans="1:7" x14ac:dyDescent="0.25">
      <c r="A74" s="508" t="str">
        <f>IF(CHOOSE(SET.LANGUAGE,'DICTIONARY-5'!B74,'DICTIONARY-5'!C74,'DICTIONARY-5'!D74,'DICTIONARY-5'!E74,'DICTIONARY-5'!F74)=0,("??? "&amp;"DICTIONARY-5/"&amp;"LINE"&amp;(ROW(A74))),CHOOSE(SET.LANGUAGE,'DICTIONARY-5'!B74,'DICTIONARY-5'!C74,'DICTIONARY-5'!D74,'DICTIONARY-5'!E74,'DICTIONARY-5'!F74))</f>
        <v>Zewnętrzna średnica rury</v>
      </c>
      <c r="B74" s="585" t="s">
        <v>6213</v>
      </c>
      <c r="C74" s="586" t="s">
        <v>7587</v>
      </c>
      <c r="D74" s="586" t="s">
        <v>6653</v>
      </c>
      <c r="E74" s="586" t="s">
        <v>6214</v>
      </c>
      <c r="F74" s="581" t="str">
        <f t="shared" si="0"/>
        <v>74❺Vnější průměr potrubí</v>
      </c>
      <c r="G74" s="582" t="str">
        <f t="shared" si="1"/>
        <v>'DICTIONARY-5'!$A$74</v>
      </c>
    </row>
    <row r="75" spans="1:7" x14ac:dyDescent="0.25">
      <c r="A75" s="508" t="str">
        <f>IF(CHOOSE(SET.LANGUAGE,'DICTIONARY-5'!B75,'DICTIONARY-5'!C75,'DICTIONARY-5'!D75,'DICTIONARY-5'!E75,'DICTIONARY-5'!F75)=0,("??? "&amp;"DICTIONARY-5/"&amp;"LINE"&amp;(ROW(A75))),CHOOSE(SET.LANGUAGE,'DICTIONARY-5'!B75,'DICTIONARY-5'!C75,'DICTIONARY-5'!D75,'DICTIONARY-5'!E75,'DICTIONARY-5'!F75))</f>
        <v>Zewnętrzna średnica rury nawierconej</v>
      </c>
      <c r="B75" s="585" t="s">
        <v>6316</v>
      </c>
      <c r="C75" s="586" t="s">
        <v>7765</v>
      </c>
      <c r="D75" s="586" t="s">
        <v>6654</v>
      </c>
      <c r="E75" s="586" t="s">
        <v>7301</v>
      </c>
      <c r="F75" s="581" t="str">
        <f t="shared" si="0"/>
        <v>75❺Vnější průměr navrtávaného potrubí</v>
      </c>
      <c r="G75" s="582" t="str">
        <f t="shared" si="1"/>
        <v>'DICTIONARY-5'!$A$75</v>
      </c>
    </row>
    <row r="76" spans="1:7" x14ac:dyDescent="0.25">
      <c r="A76" s="508" t="str">
        <f>IF(CHOOSE(SET.LANGUAGE,'DICTIONARY-5'!B76,'DICTIONARY-5'!C76,'DICTIONARY-5'!D76,'DICTIONARY-5'!E76,'DICTIONARY-5'!F76)=0,("??? "&amp;"DICTIONARY-5/"&amp;"LINE"&amp;(ROW(A76))),CHOOSE(SET.LANGUAGE,'DICTIONARY-5'!B76,'DICTIONARY-5'!C76,'DICTIONARY-5'!D76,'DICTIONARY-5'!E76,'DICTIONARY-5'!F76))</f>
        <v>Średnica zewnętrzna rurociągu przyłącza domowego</v>
      </c>
      <c r="B76" s="585" t="s">
        <v>6317</v>
      </c>
      <c r="C76" s="586" t="s">
        <v>7588</v>
      </c>
      <c r="D76" s="586" t="s">
        <v>6655</v>
      </c>
      <c r="E76" s="586" t="s">
        <v>7202</v>
      </c>
      <c r="F76" s="581" t="str">
        <f t="shared" si="0"/>
        <v>76❺Vnější průměr potrubí domovní přípojky</v>
      </c>
      <c r="G76" s="582" t="str">
        <f t="shared" si="1"/>
        <v>'DICTIONARY-5'!$A$76</v>
      </c>
    </row>
    <row r="77" spans="1:7" x14ac:dyDescent="0.25">
      <c r="A77" s="508" t="str">
        <f>IF(CHOOSE(SET.LANGUAGE,'DICTIONARY-5'!B77,'DICTIONARY-5'!C77,'DICTIONARY-5'!D77,'DICTIONARY-5'!E77,'DICTIONARY-5'!F77)=0,("??? "&amp;"DICTIONARY-5/"&amp;"LINE"&amp;(ROW(A77))),CHOOSE(SET.LANGUAGE,'DICTIONARY-5'!B77,'DICTIONARY-5'!C77,'DICTIONARY-5'!D77,'DICTIONARY-5'!E77,'DICTIONARY-5'!F77))</f>
        <v>Zewnętrzna średnica przyłącza klapy</v>
      </c>
      <c r="B77" s="585" t="s">
        <v>6372</v>
      </c>
      <c r="C77" s="586" t="s">
        <v>7589</v>
      </c>
      <c r="D77" s="586" t="s">
        <v>6656</v>
      </c>
      <c r="E77" s="586" t="s">
        <v>7203</v>
      </c>
      <c r="F77" s="581" t="str">
        <f t="shared" si="0"/>
        <v>77❺Vnější průměr nátrubku klapky</v>
      </c>
      <c r="G77" s="582" t="str">
        <f t="shared" ref="G77:G140" si="17">"'DICTIONARY-5'!$A$"&amp;ROW(A77)</f>
        <v>'DICTIONARY-5'!$A$77</v>
      </c>
    </row>
    <row r="78" spans="1:7" x14ac:dyDescent="0.25">
      <c r="A78" s="508" t="str">
        <f>IF(CHOOSE(SET.LANGUAGE,'DICTIONARY-5'!B78,'DICTIONARY-5'!C78,'DICTIONARY-5'!D78,'DICTIONARY-5'!E78,'DICTIONARY-5'!F78)=0,("??? "&amp;"DICTIONARY-5/"&amp;"LINE"&amp;(ROW(A78))),CHOOSE(SET.LANGUAGE,'DICTIONARY-5'!B78,'DICTIONARY-5'!C78,'DICTIONARY-5'!D78,'DICTIONARY-5'!E78,'DICTIONARY-5'!F78))</f>
        <v>z końc. mufowymi</v>
      </c>
      <c r="B78" s="585" t="s">
        <v>6938</v>
      </c>
      <c r="C78" s="586" t="s">
        <v>6938</v>
      </c>
      <c r="D78" s="586" t="s">
        <v>6937</v>
      </c>
      <c r="E78" s="586" t="s">
        <v>6939</v>
      </c>
      <c r="F78" s="581" t="str">
        <f t="shared" ref="F78:F139" si="18">CONCATENATE(ROW(B78),"❺",B78)</f>
        <v>78❺hrdla</v>
      </c>
      <c r="G78" s="582" t="str">
        <f t="shared" si="17"/>
        <v>'DICTIONARY-5'!$A$78</v>
      </c>
    </row>
    <row r="79" spans="1:7" x14ac:dyDescent="0.25">
      <c r="A79" s="508" t="str">
        <f>IF(CHOOSE(SET.LANGUAGE,'DICTIONARY-5'!B79,'DICTIONARY-5'!C79,'DICTIONARY-5'!D79,'DICTIONARY-5'!E79,'DICTIONARY-5'!F79)=0,("??? "&amp;"DICTIONARY-5/"&amp;"LINE"&amp;(ROW(A79))),CHOOSE(SET.LANGUAGE,'DICTIONARY-5'!B79,'DICTIONARY-5'!C79,'DICTIONARY-5'!D79,'DICTIONARY-5'!E79,'DICTIONARY-5'!F79))</f>
        <v>z końc. bosymi</v>
      </c>
      <c r="B79" s="585" t="s">
        <v>6215</v>
      </c>
      <c r="C79" s="586" t="s">
        <v>6215</v>
      </c>
      <c r="D79" s="586" t="s">
        <v>6216</v>
      </c>
      <c r="E79" s="586" t="s">
        <v>6940</v>
      </c>
      <c r="F79" s="581" t="str">
        <f t="shared" si="18"/>
        <v>79❺nátrubky</v>
      </c>
      <c r="G79" s="582" t="str">
        <f t="shared" si="17"/>
        <v>'DICTIONARY-5'!$A$79</v>
      </c>
    </row>
    <row r="80" spans="1:7" x14ac:dyDescent="0.25">
      <c r="A80" s="508" t="str">
        <f>IF(CHOOSE(SET.LANGUAGE,'DICTIONARY-5'!B80,'DICTIONARY-5'!C80,'DICTIONARY-5'!D80,'DICTIONARY-5'!E80,'DICTIONARY-5'!F80)=0,("??? "&amp;"DICTIONARY-5/"&amp;"LINE"&amp;(ROW(A80))),CHOOSE(SET.LANGUAGE,'DICTIONARY-5'!B80,'DICTIONARY-5'!C80,'DICTIONARY-5'!D80,'DICTIONARY-5'!E80,'DICTIONARY-5'!F80))</f>
        <v>Z mechanicznym wskaźnikiem położenia</v>
      </c>
      <c r="B80" s="585" t="s">
        <v>6495</v>
      </c>
      <c r="C80" s="586" t="s">
        <v>7590</v>
      </c>
      <c r="D80" s="586" t="s">
        <v>6497</v>
      </c>
      <c r="E80" s="586" t="s">
        <v>6496</v>
      </c>
      <c r="F80" s="581" t="str">
        <f t="shared" si="18"/>
        <v>80❺S mechanickým ukazatelem polohy</v>
      </c>
      <c r="G80" s="582" t="str">
        <f t="shared" si="17"/>
        <v>'DICTIONARY-5'!$A$80</v>
      </c>
    </row>
    <row r="81" spans="1:7" x14ac:dyDescent="0.25">
      <c r="A81" s="508" t="str">
        <f>IF(CHOOSE(SET.LANGUAGE,'DICTIONARY-5'!B81,'DICTIONARY-5'!C81,'DICTIONARY-5'!D81,'DICTIONARY-5'!E81,'DICTIONARY-5'!F81)=0,("??? "&amp;"DICTIONARY-5/"&amp;"LINE"&amp;(ROW(A81))),CHOOSE(SET.LANGUAGE,'DICTIONARY-5'!B81,'DICTIONARY-5'!C81,'DICTIONARY-5'!D81,'DICTIONARY-5'!E81,'DICTIONARY-5'!F81))</f>
        <v>z czujnikami mechanicznymi</v>
      </c>
      <c r="B81" s="585" t="s">
        <v>5982</v>
      </c>
      <c r="C81" s="586" t="s">
        <v>7659</v>
      </c>
      <c r="D81" s="586" t="s">
        <v>6659</v>
      </c>
      <c r="E81" s="586" t="s">
        <v>6220</v>
      </c>
      <c r="F81" s="581" t="str">
        <f t="shared" si="18"/>
        <v>81❺s mechanickými spínači a kladičkou</v>
      </c>
      <c r="G81" s="582" t="str">
        <f t="shared" si="17"/>
        <v>'DICTIONARY-5'!$A$81</v>
      </c>
    </row>
    <row r="82" spans="1:7" x14ac:dyDescent="0.25">
      <c r="A82" s="508" t="str">
        <f>IF(CHOOSE(SET.LANGUAGE,'DICTIONARY-5'!B82,'DICTIONARY-5'!C82,'DICTIONARY-5'!D82,'DICTIONARY-5'!E82,'DICTIONARY-5'!F82)=0,("??? "&amp;"DICTIONARY-5/"&amp;"LINE"&amp;(ROW(A82))),CHOOSE(SET.LANGUAGE,'DICTIONARY-5'!B82,'DICTIONARY-5'!C82,'DICTIONARY-5'!D82,'DICTIONARY-5'!E82,'DICTIONARY-5'!F82))</f>
        <v>z czujnikami indukcyjnymi</v>
      </c>
      <c r="B82" s="585" t="s">
        <v>5983</v>
      </c>
      <c r="C82" s="586" t="s">
        <v>7591</v>
      </c>
      <c r="D82" s="586" t="s">
        <v>6658</v>
      </c>
      <c r="E82" s="586" t="s">
        <v>6221</v>
      </c>
      <c r="F82" s="581" t="str">
        <f t="shared" si="18"/>
        <v>82❺s indukčními snímači</v>
      </c>
      <c r="G82" s="582" t="str">
        <f t="shared" si="17"/>
        <v>'DICTIONARY-5'!$A$82</v>
      </c>
    </row>
    <row r="83" spans="1:7" x14ac:dyDescent="0.25">
      <c r="A83" s="508" t="str">
        <f>IF(CHOOSE(SET.LANGUAGE,'DICTIONARY-5'!B83,'DICTIONARY-5'!C83,'DICTIONARY-5'!D83,'DICTIONARY-5'!E83,'DICTIONARY-5'!F83)=0,("??? "&amp;"DICTIONARY-5/"&amp;"LINE"&amp;(ROW(A83))),CHOOSE(SET.LANGUAGE,'DICTIONARY-5'!B83,'DICTIONARY-5'!C83,'DICTIONARY-5'!D83,'DICTIONARY-5'!E83,'DICTIONARY-5'!F83))</f>
        <v>z kółkiem stalowym</v>
      </c>
      <c r="B83" s="585" t="s">
        <v>5984</v>
      </c>
      <c r="C83" s="586" t="s">
        <v>7660</v>
      </c>
      <c r="D83" s="586" t="s">
        <v>6222</v>
      </c>
      <c r="E83" s="586" t="s">
        <v>6223</v>
      </c>
      <c r="F83" s="581" t="str">
        <f t="shared" si="18"/>
        <v>83❺s ocelovým kolem</v>
      </c>
      <c r="G83" s="582" t="str">
        <f t="shared" si="17"/>
        <v>'DICTIONARY-5'!$A$83</v>
      </c>
    </row>
    <row r="84" spans="1:7" x14ac:dyDescent="0.25">
      <c r="A84" s="508" t="str">
        <f>IF(CHOOSE(SET.LANGUAGE,'DICTIONARY-5'!B84,'DICTIONARY-5'!C84,'DICTIONARY-5'!D84,'DICTIONARY-5'!E84,'DICTIONARY-5'!F84)=0,("??? "&amp;"DICTIONARY-5/"&amp;"LINE"&amp;(ROW(A84))),CHOOSE(SET.LANGUAGE,'DICTIONARY-5'!B84,'DICTIONARY-5'!C84,'DICTIONARY-5'!D84,'DICTIONARY-5'!E84,'DICTIONARY-5'!F84))</f>
        <v>z kółkiem żeliwnym</v>
      </c>
      <c r="B84" s="585" t="s">
        <v>5985</v>
      </c>
      <c r="C84" s="586" t="s">
        <v>7661</v>
      </c>
      <c r="D84" s="586" t="s">
        <v>6225</v>
      </c>
      <c r="E84" s="586" t="s">
        <v>6224</v>
      </c>
      <c r="F84" s="581" t="str">
        <f t="shared" si="18"/>
        <v>84❺s litinovým kolem</v>
      </c>
      <c r="G84" s="582" t="str">
        <f t="shared" si="17"/>
        <v>'DICTIONARY-5'!$A$84</v>
      </c>
    </row>
    <row r="85" spans="1:7" x14ac:dyDescent="0.25">
      <c r="A85" s="508" t="str">
        <f>IF(CHOOSE(SET.LANGUAGE,'DICTIONARY-5'!B85,'DICTIONARY-5'!C85,'DICTIONARY-5'!D85,'DICTIONARY-5'!E85,'DICTIONARY-5'!F85)=0,("??? "&amp;"DICTIONARY-5/"&amp;"LINE"&amp;(ROW(A85))),CHOOSE(SET.LANGUAGE,'DICTIONARY-5'!B85,'DICTIONARY-5'!C85,'DICTIONARY-5'!D85,'DICTIONARY-5'!E85,'DICTIONARY-5'!F85))</f>
        <v>Głębokość zabudowy</v>
      </c>
      <c r="B85" s="585" t="s">
        <v>6666</v>
      </c>
      <c r="C85" s="586" t="s">
        <v>7766</v>
      </c>
      <c r="D85" s="586" t="s">
        <v>6667</v>
      </c>
      <c r="E85" s="586" t="s">
        <v>6668</v>
      </c>
      <c r="F85" s="581" t="str">
        <f t="shared" si="18"/>
        <v>85❺Krycí hloubka</v>
      </c>
      <c r="G85" s="582" t="str">
        <f t="shared" si="17"/>
        <v>'DICTIONARY-5'!$A$85</v>
      </c>
    </row>
    <row r="86" spans="1:7" x14ac:dyDescent="0.25">
      <c r="A86" s="508" t="str">
        <f>IF(CHOOSE(SET.LANGUAGE,'DICTIONARY-5'!B86,'DICTIONARY-5'!C86,'DICTIONARY-5'!D86,'DICTIONARY-5'!E86,'DICTIONARY-5'!F86)=0,("??? "&amp;"DICTIONARY-5/"&amp;"LINE"&amp;(ROW(A86))),CHOOSE(SET.LANGUAGE,'DICTIONARY-5'!B86,'DICTIONARY-5'!C86,'DICTIONARY-5'!D86,'DICTIONARY-5'!E86,'DICTIONARY-5'!F86))</f>
        <v>Głębokość zabudowy</v>
      </c>
      <c r="B86" s="585" t="s">
        <v>6669</v>
      </c>
      <c r="C86" s="586" t="s">
        <v>7662</v>
      </c>
      <c r="D86" s="584" t="str">
        <f>D85</f>
        <v>Installation depth</v>
      </c>
      <c r="E86" s="584" t="str">
        <f>$E$85</f>
        <v>Głębokość zabudowy</v>
      </c>
      <c r="F86" s="581" t="str">
        <f>CONCATENATE(ROW(B86),"❺",B86)</f>
        <v>86❺Hloubka zabudování</v>
      </c>
      <c r="G86" s="582" t="str">
        <f t="shared" si="17"/>
        <v>'DICTIONARY-5'!$A$86</v>
      </c>
    </row>
    <row r="87" spans="1:7" x14ac:dyDescent="0.25">
      <c r="A87" s="508" t="str">
        <f>IF(CHOOSE(SET.LANGUAGE,'DICTIONARY-5'!B87,'DICTIONARY-5'!C87,'DICTIONARY-5'!D87,'DICTIONARY-5'!E87,'DICTIONARY-5'!F87)=0,("??? "&amp;"DICTIONARY-5/"&amp;"LINE"&amp;(ROW(A87))),CHOOSE(SET.LANGUAGE,'DICTIONARY-5'!B87,'DICTIONARY-5'!C87,'DICTIONARY-5'!D87,'DICTIONARY-5'!E87,'DICTIONARY-5'!F87))</f>
        <v>mierzona od górnej krawędzi rury do wierzchu terenu</v>
      </c>
      <c r="B87" s="585" t="s">
        <v>6423</v>
      </c>
      <c r="C87" s="586" t="s">
        <v>7592</v>
      </c>
      <c r="D87" s="586" t="s">
        <v>6660</v>
      </c>
      <c r="E87" s="586" t="s">
        <v>6425</v>
      </c>
      <c r="F87" s="581" t="str">
        <f t="shared" si="18"/>
        <v>87❺svislá vzdálenost od povrchu terénu k povrchu potrubí osazeného v zemi</v>
      </c>
      <c r="G87" s="582" t="str">
        <f t="shared" si="17"/>
        <v>'DICTIONARY-5'!$A$87</v>
      </c>
    </row>
    <row r="88" spans="1:7" x14ac:dyDescent="0.25">
      <c r="A88" s="508" t="str">
        <f>IF(CHOOSE(SET.LANGUAGE,'DICTIONARY-5'!B88,'DICTIONARY-5'!C88,'DICTIONARY-5'!D88,'DICTIONARY-5'!E88,'DICTIONARY-5'!F88)=0,("??? "&amp;"DICTIONARY-5/"&amp;"LINE"&amp;(ROW(A88))),CHOOSE(SET.LANGUAGE,'DICTIONARY-5'!B88,'DICTIONARY-5'!C88,'DICTIONARY-5'!D88,'DICTIONARY-5'!E88,'DICTIONARY-5'!F88))</f>
        <v>mierzona od górnej krawędzi rury do wierzchu terenu</v>
      </c>
      <c r="B88" s="585" t="s">
        <v>6424</v>
      </c>
      <c r="C88" s="586" t="s">
        <v>7767</v>
      </c>
      <c r="D88" s="586" t="s">
        <v>6661</v>
      </c>
      <c r="E88" s="586" t="s">
        <v>6425</v>
      </c>
      <c r="F88" s="581" t="str">
        <f t="shared" si="18"/>
        <v>88❺svislá vzdálenost od ovládací roviny po horní hranu potrubí osazeného v zemi</v>
      </c>
      <c r="G88" s="582" t="str">
        <f t="shared" si="17"/>
        <v>'DICTIONARY-5'!$A$88</v>
      </c>
    </row>
    <row r="89" spans="1:7" x14ac:dyDescent="0.25">
      <c r="A89" s="508" t="str">
        <f>IF(CHOOSE(SET.LANGUAGE,'DICTIONARY-5'!B89,'DICTIONARY-5'!C89,'DICTIONARY-5'!D89,'DICTIONARY-5'!E89,'DICTIONARY-5'!F89)=0,("??? "&amp;"DICTIONARY-5/"&amp;"LINE"&amp;(ROW(A89))),CHOOSE(SET.LANGUAGE,'DICTIONARY-5'!B89,'DICTIONARY-5'!C89,'DICTIONARY-5'!D89,'DICTIONARY-5'!E89,'DICTIONARY-5'!F89))</f>
        <v>odległość od dna rurociągu / kanału do poziomu operacyjnego</v>
      </c>
      <c r="B89" s="585" t="s">
        <v>6670</v>
      </c>
      <c r="C89" s="586" t="s">
        <v>7768</v>
      </c>
      <c r="D89" s="586" t="s">
        <v>6671</v>
      </c>
      <c r="E89" s="586" t="s">
        <v>7204</v>
      </c>
      <c r="F89" s="581" t="str">
        <f t="shared" si="18"/>
        <v>89❺svislá vzdálenost od ovládací roviny po spodní hrany průtoku</v>
      </c>
      <c r="G89" s="582" t="str">
        <f t="shared" si="17"/>
        <v>'DICTIONARY-5'!$A$89</v>
      </c>
    </row>
    <row r="90" spans="1:7" x14ac:dyDescent="0.25">
      <c r="A90" s="508" t="str">
        <f>IF(CHOOSE(SET.LANGUAGE,'DICTIONARY-5'!B90,'DICTIONARY-5'!C90,'DICTIONARY-5'!D90,'DICTIONARY-5'!E90,'DICTIONARY-5'!F90)=0,("??? "&amp;"DICTIONARY-5/"&amp;"LINE"&amp;(ROW(A90))),CHOOSE(SET.LANGUAGE,'DICTIONARY-5'!B90,'DICTIONARY-5'!C90,'DICTIONARY-5'!D90,'DICTIONARY-5'!E90,'DICTIONARY-5'!F90))</f>
        <v>z przedłużeniem krótkim</v>
      </c>
      <c r="B90" s="585" t="s">
        <v>5987</v>
      </c>
      <c r="C90" s="586" t="s">
        <v>7663</v>
      </c>
      <c r="D90" s="586" t="s">
        <v>6662</v>
      </c>
      <c r="E90" s="586" t="s">
        <v>6226</v>
      </c>
      <c r="F90" s="581" t="str">
        <f t="shared" si="18"/>
        <v>90❺s krátkou zemní soupravou</v>
      </c>
      <c r="G90" s="582" t="str">
        <f t="shared" si="17"/>
        <v>'DICTIONARY-5'!$A$90</v>
      </c>
    </row>
    <row r="91" spans="1:7" x14ac:dyDescent="0.25">
      <c r="A91" s="508" t="str">
        <f>IF(CHOOSE(SET.LANGUAGE,'DICTIONARY-5'!B91,'DICTIONARY-5'!C91,'DICTIONARY-5'!D91,'DICTIONARY-5'!E91,'DICTIONARY-5'!F91)=0,("??? "&amp;"DICTIONARY-5/"&amp;"LINE"&amp;(ROW(A91))),CHOOSE(SET.LANGUAGE,'DICTIONARY-5'!B91,'DICTIONARY-5'!C91,'DICTIONARY-5'!D91,'DICTIONARY-5'!E91,'DICTIONARY-5'!F91))</f>
        <v>z przedłużeniem długim</v>
      </c>
      <c r="B91" s="585" t="s">
        <v>5986</v>
      </c>
      <c r="C91" s="586" t="s">
        <v>7664</v>
      </c>
      <c r="D91" s="586" t="s">
        <v>6663</v>
      </c>
      <c r="E91" s="586" t="s">
        <v>6227</v>
      </c>
      <c r="F91" s="581" t="str">
        <f t="shared" si="18"/>
        <v>91❺s dlouhou zemní soupravou</v>
      </c>
      <c r="G91" s="582" t="str">
        <f t="shared" si="17"/>
        <v>'DICTIONARY-5'!$A$91</v>
      </c>
    </row>
    <row r="92" spans="1:7" x14ac:dyDescent="0.25">
      <c r="A92" s="508" t="str">
        <f>IF(CHOOSE(SET.LANGUAGE,'DICTIONARY-5'!B92,'DICTIONARY-5'!C92,'DICTIONARY-5'!D92,'DICTIONARY-5'!E92,'DICTIONARY-5'!F92)=0,("??? "&amp;"DICTIONARY-5/"&amp;"LINE"&amp;(ROW(A92))),CHOOSE(SET.LANGUAGE,'DICTIONARY-5'!B92,'DICTIONARY-5'!C92,'DICTIONARY-5'!D92,'DICTIONARY-5'!E92,'DICTIONARY-5'!F92))</f>
        <v>Ciśnienie robocze</v>
      </c>
      <c r="B92" s="585" t="s">
        <v>6392</v>
      </c>
      <c r="C92" s="586" t="s">
        <v>7665</v>
      </c>
      <c r="D92" s="586" t="s">
        <v>6664</v>
      </c>
      <c r="E92" s="586" t="s">
        <v>6393</v>
      </c>
      <c r="F92" s="581" t="str">
        <f t="shared" si="18"/>
        <v>92❺Pracovní přetlak</v>
      </c>
      <c r="G92" s="582" t="str">
        <f t="shared" si="17"/>
        <v>'DICTIONARY-5'!$A$92</v>
      </c>
    </row>
    <row r="93" spans="1:7" x14ac:dyDescent="0.25">
      <c r="A93" s="508" t="str">
        <f>IF(CHOOSE(SET.LANGUAGE,'DICTIONARY-5'!B93,'DICTIONARY-5'!C93,'DICTIONARY-5'!D93,'DICTIONARY-5'!E93,'DICTIONARY-5'!F93)=0,("??? "&amp;"DICTIONARY-5/"&amp;"LINE"&amp;(ROW(A93))),CHOOSE(SET.LANGUAGE,'DICTIONARY-5'!B93,'DICTIONARY-5'!C93,'DICTIONARY-5'!D93,'DICTIONARY-5'!E93,'DICTIONARY-5'!F93))</f>
        <v>płyta zasuwowa</v>
      </c>
      <c r="B93" s="585" t="s">
        <v>6240</v>
      </c>
      <c r="C93" s="586" t="s">
        <v>7593</v>
      </c>
      <c r="D93" s="586" t="s">
        <v>6248</v>
      </c>
      <c r="E93" s="586" t="s">
        <v>6256</v>
      </c>
      <c r="F93" s="581" t="str">
        <f t="shared" si="18"/>
        <v>93❺nůž</v>
      </c>
      <c r="G93" s="582" t="str">
        <f t="shared" si="17"/>
        <v>'DICTIONARY-5'!$A$93</v>
      </c>
    </row>
    <row r="94" spans="1:7" x14ac:dyDescent="0.25">
      <c r="A94" s="508" t="str">
        <f>IF(CHOOSE(SET.LANGUAGE,'DICTIONARY-5'!B94,'DICTIONARY-5'!C94,'DICTIONARY-5'!D94,'DICTIONARY-5'!E94,'DICTIONARY-5'!F94)=0,("??? "&amp;"DICTIONARY-5/"&amp;"LINE"&amp;(ROW(A94))),CHOOSE(SET.LANGUAGE,'DICTIONARY-5'!B94,'DICTIONARY-5'!C94,'DICTIONARY-5'!D94,'DICTIONARY-5'!E94,'DICTIONARY-5'!F94))</f>
        <v>płyta zasuwowa</v>
      </c>
      <c r="B94" s="585" t="s">
        <v>6259</v>
      </c>
      <c r="C94" s="586" t="s">
        <v>7594</v>
      </c>
      <c r="D94" s="584" t="str">
        <f>D93</f>
        <v>knife</v>
      </c>
      <c r="E94" s="584" t="str">
        <f>$E$93</f>
        <v>płyta zasuwowa</v>
      </c>
      <c r="F94" s="581" t="str">
        <f t="shared" si="18"/>
        <v>94❺deska</v>
      </c>
      <c r="G94" s="582" t="str">
        <f t="shared" si="17"/>
        <v>'DICTIONARY-5'!$A$94</v>
      </c>
    </row>
    <row r="95" spans="1:7" x14ac:dyDescent="0.25">
      <c r="A95" s="508" t="str">
        <f>IF(CHOOSE(SET.LANGUAGE,'DICTIONARY-5'!B95,'DICTIONARY-5'!C95,'DICTIONARY-5'!D95,'DICTIONARY-5'!E95,'DICTIONARY-5'!F95)=0,("??? "&amp;"DICTIONARY-5/"&amp;"LINE"&amp;(ROW(A95))),CHOOSE(SET.LANGUAGE,'DICTIONARY-5'!B95,'DICTIONARY-5'!C95,'DICTIONARY-5'!D95,'DICTIONARY-5'!E95,'DICTIONARY-5'!F95))</f>
        <v>Inny napęd elektryczny</v>
      </c>
      <c r="B95" s="585" t="s">
        <v>6253</v>
      </c>
      <c r="C95" s="586" t="s">
        <v>7595</v>
      </c>
      <c r="D95" s="586" t="s">
        <v>6665</v>
      </c>
      <c r="E95" s="586" t="s">
        <v>7205</v>
      </c>
      <c r="F95" s="581" t="str">
        <f t="shared" si="18"/>
        <v xml:space="preserve">95❺Osazení jiným el. servopohonem (REGADA, ZPA Pečky, aj.) </v>
      </c>
      <c r="G95" s="582" t="str">
        <f t="shared" si="17"/>
        <v>'DICTIONARY-5'!$A$95</v>
      </c>
    </row>
    <row r="96" spans="1:7" x14ac:dyDescent="0.25">
      <c r="A96" s="508" t="str">
        <f>IF(CHOOSE(SET.LANGUAGE,'DICTIONARY-5'!B96,'DICTIONARY-5'!C96,'DICTIONARY-5'!D96,'DICTIONARY-5'!E96,'DICTIONARY-5'!F96)=0,("??? "&amp;"DICTIONARY-5/"&amp;"LINE"&amp;(ROW(A96))),CHOOSE(SET.LANGUAGE,'DICTIONARY-5'!B96,'DICTIONARY-5'!C96,'DICTIONARY-5'!D96,'DICTIONARY-5'!E96,'DICTIONARY-5'!F96))</f>
        <v>Standard</v>
      </c>
      <c r="B96" s="585" t="s">
        <v>6254</v>
      </c>
      <c r="C96" s="586" t="s">
        <v>7769</v>
      </c>
      <c r="D96" s="586" t="s">
        <v>6254</v>
      </c>
      <c r="E96" s="586" t="s">
        <v>6254</v>
      </c>
      <c r="F96" s="581" t="str">
        <f t="shared" si="18"/>
        <v>96❺Standard</v>
      </c>
      <c r="G96" s="582" t="str">
        <f t="shared" si="17"/>
        <v>'DICTIONARY-5'!$A$96</v>
      </c>
    </row>
    <row r="97" spans="1:7" x14ac:dyDescent="0.25">
      <c r="A97" s="508" t="str">
        <f>IF(CHOOSE(SET.LANGUAGE,'DICTIONARY-5'!B97,'DICTIONARY-5'!C97,'DICTIONARY-5'!D97,'DICTIONARY-5'!E97,'DICTIONARY-5'!F97)=0,("??? "&amp;"DICTIONARY-5/"&amp;"LINE"&amp;(ROW(A97))),CHOOSE(SET.LANGUAGE,'DICTIONARY-5'!B97,'DICTIONARY-5'!C97,'DICTIONARY-5'!D97,'DICTIONARY-5'!E97,'DICTIONARY-5'!F97))</f>
        <v>Napęd bez akcesoriów</v>
      </c>
      <c r="B97" s="585" t="s">
        <v>6825</v>
      </c>
      <c r="C97" s="586" t="s">
        <v>7596</v>
      </c>
      <c r="D97" s="586" t="s">
        <v>6828</v>
      </c>
      <c r="E97" s="586" t="s">
        <v>7206</v>
      </c>
      <c r="F97" s="581" t="str">
        <f t="shared" si="18"/>
        <v>97❺Pohon bez příslušenství</v>
      </c>
      <c r="G97" s="582" t="str">
        <f t="shared" si="17"/>
        <v>'DICTIONARY-5'!$A$97</v>
      </c>
    </row>
    <row r="98" spans="1:7" x14ac:dyDescent="0.25">
      <c r="A98" s="508" t="str">
        <f>IF(CHOOSE(SET.LANGUAGE,'DICTIONARY-5'!B98,'DICTIONARY-5'!C98,'DICTIONARY-5'!D98,'DICTIONARY-5'!E98,'DICTIONARY-5'!F98)=0,("??? "&amp;"DICTIONARY-5/"&amp;"LINE"&amp;(ROW(A98))),CHOOSE(SET.LANGUAGE,'DICTIONARY-5'!B98,'DICTIONARY-5'!C98,'DICTIONARY-5'!D98,'DICTIONARY-5'!E98,'DICTIONARY-5'!F98))</f>
        <v>Napęd z czujnikami połóżenia krańcowego SMT i zaworem dławiącym GRLA</v>
      </c>
      <c r="B98" s="585" t="s">
        <v>6826</v>
      </c>
      <c r="C98" s="586" t="s">
        <v>7597</v>
      </c>
      <c r="D98" s="586" t="s">
        <v>6829</v>
      </c>
      <c r="E98" s="586" t="s">
        <v>7207</v>
      </c>
      <c r="F98" s="581" t="str">
        <f t="shared" si="18"/>
        <v>98❺Pohon se snímači konc. poloh SMT a škrcením odfuku GRLA</v>
      </c>
      <c r="G98" s="582" t="str">
        <f t="shared" si="17"/>
        <v>'DICTIONARY-5'!$A$98</v>
      </c>
    </row>
    <row r="99" spans="1:7" x14ac:dyDescent="0.25">
      <c r="A99" s="508" t="str">
        <f>IF(CHOOSE(SET.LANGUAGE,'DICTIONARY-5'!B99,'DICTIONARY-5'!C99,'DICTIONARY-5'!D99,'DICTIONARY-5'!E99,'DICTIONARY-5'!F99)=0,("??? "&amp;"DICTIONARY-5/"&amp;"LINE"&amp;(ROW(A99))),CHOOSE(SET.LANGUAGE,'DICTIONARY-5'!B99,'DICTIONARY-5'!C99,'DICTIONARY-5'!D99,'DICTIONARY-5'!E99,'DICTIONARY-5'!F99))</f>
        <v>Napęd z czujnikami połóżenia krańcowego SMT, zaworem dławiącym GRE i solenoidowym zaworem NVF 3</v>
      </c>
      <c r="B99" s="585" t="s">
        <v>6827</v>
      </c>
      <c r="C99" s="586" t="s">
        <v>7598</v>
      </c>
      <c r="D99" s="586" t="s">
        <v>6830</v>
      </c>
      <c r="E99" s="586" t="s">
        <v>7208</v>
      </c>
      <c r="F99" s="581" t="str">
        <f t="shared" si="18"/>
        <v>99❺Pohon se snímači konc. poloh SMT, škrcením odfuku GRE a solenoidovým ventilem NVF 3</v>
      </c>
      <c r="G99" s="582" t="str">
        <f t="shared" si="17"/>
        <v>'DICTIONARY-5'!$A$99</v>
      </c>
    </row>
    <row r="100" spans="1:7" x14ac:dyDescent="0.25">
      <c r="A100" s="508" t="str">
        <f>IF(CHOOSE(SET.LANGUAGE,'DICTIONARY-5'!B100,'DICTIONARY-5'!C100,'DICTIONARY-5'!D100,'DICTIONARY-5'!E100,'DICTIONARY-5'!F100)=0,("??? "&amp;"DICTIONARY-5/"&amp;"LINE"&amp;(ROW(A100))),CHOOSE(SET.LANGUAGE,'DICTIONARY-5'!B100,'DICTIONARY-5'!C100,'DICTIONARY-5'!D100,'DICTIONARY-5'!E100,'DICTIONARY-5'!F100))</f>
        <v>rama zamknięta</v>
      </c>
      <c r="B100" s="585" t="s">
        <v>6265</v>
      </c>
      <c r="C100" s="586" t="s">
        <v>7599</v>
      </c>
      <c r="D100" s="586" t="s">
        <v>6672</v>
      </c>
      <c r="E100" s="586" t="s">
        <v>7209</v>
      </c>
      <c r="F100" s="581" t="str">
        <f t="shared" si="18"/>
        <v>100❺uzavřený rám</v>
      </c>
      <c r="G100" s="582" t="str">
        <f t="shared" si="17"/>
        <v>'DICTIONARY-5'!$A$100</v>
      </c>
    </row>
    <row r="101" spans="1:7" x14ac:dyDescent="0.25">
      <c r="A101" s="508" t="str">
        <f>IF(CHOOSE(SET.LANGUAGE,'DICTIONARY-5'!B101,'DICTIONARY-5'!C101,'DICTIONARY-5'!D101,'DICTIONARY-5'!E101,'DICTIONARY-5'!F101)=0,("??? "&amp;"DICTIONARY-5/"&amp;"LINE"&amp;(ROW(A101))),CHOOSE(SET.LANGUAGE,'DICTIONARY-5'!B101,'DICTIONARY-5'!C101,'DICTIONARY-5'!D101,'DICTIONARY-5'!E101,'DICTIONARY-5'!F101))</f>
        <v>rama otwarta</v>
      </c>
      <c r="B101" s="585" t="s">
        <v>6264</v>
      </c>
      <c r="C101" s="586" t="s">
        <v>7600</v>
      </c>
      <c r="D101" s="586" t="s">
        <v>6673</v>
      </c>
      <c r="E101" s="586" t="s">
        <v>7210</v>
      </c>
      <c r="F101" s="581" t="str">
        <f t="shared" si="18"/>
        <v>101❺otevřený rám</v>
      </c>
      <c r="G101" s="582" t="str">
        <f t="shared" si="17"/>
        <v>'DICTIONARY-5'!$A$101</v>
      </c>
    </row>
    <row r="102" spans="1:7" x14ac:dyDescent="0.25">
      <c r="A102" s="508" t="str">
        <f>IF(CHOOSE(SET.LANGUAGE,'DICTIONARY-5'!B102,'DICTIONARY-5'!C102,'DICTIONARY-5'!D102,'DICTIONARY-5'!E102,'DICTIONARY-5'!F102)=0,("??? "&amp;"DICTIONARY-5/"&amp;"LINE"&amp;(ROW(A102))),CHOOSE(SET.LANGUAGE,'DICTIONARY-5'!B102,'DICTIONARY-5'!C102,'DICTIONARY-5'!D102,'DICTIONARY-5'!E102,'DICTIONARY-5'!F102))</f>
        <v>dla wrzeciona wznoszącego się</v>
      </c>
      <c r="B102" s="585" t="s">
        <v>6263</v>
      </c>
      <c r="C102" s="586" t="s">
        <v>7770</v>
      </c>
      <c r="D102" s="586" t="s">
        <v>6674</v>
      </c>
      <c r="E102" s="586" t="s">
        <v>7302</v>
      </c>
      <c r="F102" s="581" t="str">
        <f t="shared" si="18"/>
        <v>102❺pro stoupajicí vřeteno</v>
      </c>
      <c r="G102" s="582" t="str">
        <f t="shared" si="17"/>
        <v>'DICTIONARY-5'!$A$102</v>
      </c>
    </row>
    <row r="103" spans="1:7" x14ac:dyDescent="0.25">
      <c r="A103" s="508" t="str">
        <f>IF(CHOOSE(SET.LANGUAGE,'DICTIONARY-5'!B103,'DICTIONARY-5'!C103,'DICTIONARY-5'!D103,'DICTIONARY-5'!E103,'DICTIONARY-5'!F103)=0,("??? "&amp;"DICTIONARY-5/"&amp;"LINE"&amp;(ROW(A103))),CHOOSE(SET.LANGUAGE,'DICTIONARY-5'!B103,'DICTIONARY-5'!C103,'DICTIONARY-5'!D103,'DICTIONARY-5'!E103,'DICTIONARY-5'!F103))</f>
        <v>przedłużenie wrzeciona</v>
      </c>
      <c r="B103" s="585" t="s">
        <v>6283</v>
      </c>
      <c r="C103" s="586" t="s">
        <v>7601</v>
      </c>
      <c r="D103" s="586" t="s">
        <v>6675</v>
      </c>
      <c r="E103" s="586" t="s">
        <v>7303</v>
      </c>
      <c r="F103" s="581" t="str">
        <f t="shared" si="18"/>
        <v>103❺prodloužení</v>
      </c>
      <c r="G103" s="582" t="str">
        <f t="shared" si="17"/>
        <v>'DICTIONARY-5'!$A$103</v>
      </c>
    </row>
    <row r="104" spans="1:7" x14ac:dyDescent="0.25">
      <c r="A104" s="508" t="str">
        <f>IF(CHOOSE(SET.LANGUAGE,'DICTIONARY-5'!B104,'DICTIONARY-5'!C104,'DICTIONARY-5'!D104,'DICTIONARY-5'!E104,'DICTIONARY-5'!F104)=0,("??? "&amp;"DICTIONARY-5/"&amp;"LINE"&amp;(ROW(A104))),CHOOSE(SET.LANGUAGE,'DICTIONARY-5'!B104,'DICTIONARY-5'!C104,'DICTIONARY-5'!D104,'DICTIONARY-5'!E104,'DICTIONARY-5'!F104))</f>
        <v>Cena zawiera zasuwę wrzecionową i zestaw kotwiący</v>
      </c>
      <c r="B104" s="585" t="s">
        <v>732</v>
      </c>
      <c r="C104" s="586" t="s">
        <v>7771</v>
      </c>
      <c r="D104" s="586" t="s">
        <v>6676</v>
      </c>
      <c r="E104" s="586" t="s">
        <v>7211</v>
      </c>
      <c r="F104" s="581" t="str">
        <f t="shared" si="18"/>
        <v>104❺Vřetenové šoupátko a sada chemických kotev jsou součástí ceny</v>
      </c>
      <c r="G104" s="582" t="str">
        <f t="shared" si="17"/>
        <v>'DICTIONARY-5'!$A$104</v>
      </c>
    </row>
    <row r="105" spans="1:7" x14ac:dyDescent="0.25">
      <c r="A105" s="508" t="str">
        <f>IF(CHOOSE(SET.LANGUAGE,'DICTIONARY-5'!B105,'DICTIONARY-5'!C105,'DICTIONARY-5'!D105,'DICTIONARY-5'!E105,'DICTIONARY-5'!F105)=0,("??? "&amp;"DICTIONARY-5/"&amp;"LINE"&amp;(ROW(A105))),CHOOSE(SET.LANGUAGE,'DICTIONARY-5'!B105,'DICTIONARY-5'!C105,'DICTIONARY-5'!D105,'DICTIONARY-5'!E105,'DICTIONARY-5'!F105))</f>
        <v>Napęd elektryczny nie jest częścią zestawu</v>
      </c>
      <c r="B105" s="585" t="s">
        <v>738</v>
      </c>
      <c r="C105" s="586" t="s">
        <v>7602</v>
      </c>
      <c r="D105" s="586" t="s">
        <v>6677</v>
      </c>
      <c r="E105" s="586" t="s">
        <v>7212</v>
      </c>
      <c r="F105" s="581" t="str">
        <f t="shared" si="18"/>
        <v>105❺El. servopohon není standardní součástí dodávky</v>
      </c>
      <c r="G105" s="582" t="str">
        <f t="shared" si="17"/>
        <v>'DICTIONARY-5'!$A$105</v>
      </c>
    </row>
    <row r="106" spans="1:7" x14ac:dyDescent="0.25">
      <c r="A106" s="508" t="str">
        <f>IF(CHOOSE(SET.LANGUAGE,'DICTIONARY-5'!B106,'DICTIONARY-5'!C106,'DICTIONARY-5'!D106,'DICTIONARY-5'!E106,'DICTIONARY-5'!F106)=0,("??? "&amp;"DICTIONARY-5/"&amp;"LINE"&amp;(ROW(A106))),CHOOSE(SET.LANGUAGE,'DICTIONARY-5'!B106,'DICTIONARY-5'!C106,'DICTIONARY-5'!D106,'DICTIONARY-5'!E106,'DICTIONARY-5'!F106))</f>
        <v>W przypadku konieczności zastosowania połączeń przegubowych należy skonsultować się z producentem</v>
      </c>
      <c r="B106" s="585" t="s">
        <v>6678</v>
      </c>
      <c r="C106" s="586" t="s">
        <v>7603</v>
      </c>
      <c r="D106" s="586" t="s">
        <v>6679</v>
      </c>
      <c r="E106" s="586" t="s">
        <v>7213</v>
      </c>
      <c r="F106" s="581" t="str">
        <f t="shared" si="18"/>
        <v>106❺Při použití kloubových spojů je nutná konzultace s výrobcem</v>
      </c>
      <c r="G106" s="582" t="str">
        <f t="shared" si="17"/>
        <v>'DICTIONARY-5'!$A$106</v>
      </c>
    </row>
    <row r="107" spans="1:7" x14ac:dyDescent="0.25">
      <c r="A107" s="508" t="str">
        <f>IF(CHOOSE(SET.LANGUAGE,'DICTIONARY-5'!B107,'DICTIONARY-5'!C107,'DICTIONARY-5'!D107,'DICTIONARY-5'!E107,'DICTIONARY-5'!F107)=0,("??? "&amp;"DICTIONARY-5/"&amp;"LINE"&amp;(ROW(A107))),CHOOSE(SET.LANGUAGE,'DICTIONARY-5'!B107,'DICTIONARY-5'!C107,'DICTIONARY-5'!D107,'DICTIONARY-5'!E107,'DICTIONARY-5'!F107))</f>
        <v>A</v>
      </c>
      <c r="B107" s="585" t="s">
        <v>6284</v>
      </c>
      <c r="C107" s="586" t="s">
        <v>6284</v>
      </c>
      <c r="D107" s="586" t="s">
        <v>6284</v>
      </c>
      <c r="E107" s="586" t="s">
        <v>6284</v>
      </c>
      <c r="F107" s="581" t="str">
        <f t="shared" si="18"/>
        <v>107❺A</v>
      </c>
      <c r="G107" s="582" t="str">
        <f t="shared" si="17"/>
        <v>'DICTIONARY-5'!$A$107</v>
      </c>
    </row>
    <row r="108" spans="1:7" x14ac:dyDescent="0.25">
      <c r="A108" s="508" t="str">
        <f>IF(CHOOSE(SET.LANGUAGE,'DICTIONARY-5'!B108,'DICTIONARY-5'!C108,'DICTIONARY-5'!D108,'DICTIONARY-5'!E108,'DICTIONARY-5'!F108)=0,("??? "&amp;"DICTIONARY-5/"&amp;"LINE"&amp;(ROW(A108))),CHOOSE(SET.LANGUAGE,'DICTIONARY-5'!B108,'DICTIONARY-5'!C108,'DICTIONARY-5'!D108,'DICTIONARY-5'!E108,'DICTIONARY-5'!F108))</f>
        <v>AD</v>
      </c>
      <c r="B108" s="585" t="s">
        <v>6285</v>
      </c>
      <c r="C108" s="586" t="s">
        <v>6285</v>
      </c>
      <c r="D108" s="586" t="s">
        <v>6285</v>
      </c>
      <c r="E108" s="586" t="s">
        <v>6285</v>
      </c>
      <c r="F108" s="581" t="str">
        <f t="shared" si="18"/>
        <v>108❺AD</v>
      </c>
      <c r="G108" s="582" t="str">
        <f t="shared" si="17"/>
        <v>'DICTIONARY-5'!$A$108</v>
      </c>
    </row>
    <row r="109" spans="1:7" x14ac:dyDescent="0.25">
      <c r="A109" s="508" t="str">
        <f>IF(CHOOSE(SET.LANGUAGE,'DICTIONARY-5'!B109,'DICTIONARY-5'!C109,'DICTIONARY-5'!D109,'DICTIONARY-5'!E109,'DICTIONARY-5'!F109)=0,("??? "&amp;"DICTIONARY-5/"&amp;"LINE"&amp;(ROW(A109))),CHOOSE(SET.LANGUAGE,'DICTIONARY-5'!B109,'DICTIONARY-5'!C109,'DICTIONARY-5'!D109,'DICTIONARY-5'!E109,'DICTIONARY-5'!F109))</f>
        <v>AUD</v>
      </c>
      <c r="B109" s="585" t="s">
        <v>6286</v>
      </c>
      <c r="C109" s="586" t="s">
        <v>6286</v>
      </c>
      <c r="D109" s="586" t="s">
        <v>6286</v>
      </c>
      <c r="E109" s="586" t="s">
        <v>6286</v>
      </c>
      <c r="F109" s="581" t="str">
        <f t="shared" si="18"/>
        <v>109❺AUD</v>
      </c>
      <c r="G109" s="582" t="str">
        <f t="shared" si="17"/>
        <v>'DICTIONARY-5'!$A$109</v>
      </c>
    </row>
    <row r="110" spans="1:7" x14ac:dyDescent="0.25">
      <c r="A110" s="508" t="str">
        <f>IF(CHOOSE(SET.LANGUAGE,'DICTIONARY-5'!B110,'DICTIONARY-5'!C110,'DICTIONARY-5'!D110,'DICTIONARY-5'!E110,'DICTIONARY-5'!F110)=0,("??? "&amp;"DICTIONARY-5/"&amp;"LINE"&amp;(ROW(A110))),CHOOSE(SET.LANGUAGE,'DICTIONARY-5'!B110,'DICTIONARY-5'!C110,'DICTIONARY-5'!D110,'DICTIONARY-5'!E110,'DICTIONARY-5'!F110))</f>
        <v>AFUD</v>
      </c>
      <c r="B110" s="585" t="s">
        <v>6287</v>
      </c>
      <c r="C110" s="586" t="s">
        <v>6287</v>
      </c>
      <c r="D110" s="586" t="s">
        <v>6287</v>
      </c>
      <c r="E110" s="586" t="s">
        <v>6287</v>
      </c>
      <c r="F110" s="581" t="str">
        <f t="shared" si="18"/>
        <v>110❺AFUD</v>
      </c>
      <c r="G110" s="582" t="str">
        <f t="shared" si="17"/>
        <v>'DICTIONARY-5'!$A$110</v>
      </c>
    </row>
    <row r="111" spans="1:7" x14ac:dyDescent="0.25">
      <c r="A111" s="508" t="str">
        <f>IF(CHOOSE(SET.LANGUAGE,'DICTIONARY-5'!B111,'DICTIONARY-5'!C111,'DICTIONARY-5'!D111,'DICTIONARY-5'!E111,'DICTIONARY-5'!F111)=0,("??? "&amp;"DICTIONARY-5/"&amp;"LINE"&amp;(ROW(A111))),CHOOSE(SET.LANGUAGE,'DICTIONARY-5'!B111,'DICTIONARY-5'!C111,'DICTIONARY-5'!D111,'DICTIONARY-5'!E111,'DICTIONARY-5'!F111))</f>
        <v>AU</v>
      </c>
      <c r="B111" s="585" t="s">
        <v>6288</v>
      </c>
      <c r="C111" s="586" t="s">
        <v>6288</v>
      </c>
      <c r="D111" s="586" t="s">
        <v>6288</v>
      </c>
      <c r="E111" s="586" t="s">
        <v>6288</v>
      </c>
      <c r="F111" s="581" t="str">
        <f t="shared" si="18"/>
        <v>111❺AU</v>
      </c>
      <c r="G111" s="582" t="str">
        <f t="shared" si="17"/>
        <v>'DICTIONARY-5'!$A$111</v>
      </c>
    </row>
    <row r="112" spans="1:7" x14ac:dyDescent="0.25">
      <c r="A112" s="508" t="str">
        <f>IF(CHOOSE(SET.LANGUAGE,'DICTIONARY-5'!B112,'DICTIONARY-5'!C112,'DICTIONARY-5'!D112,'DICTIONARY-5'!E112,'DICTIONARY-5'!F112)=0,("??? "&amp;"DICTIONARY-5/"&amp;"LINE"&amp;(ROW(A112))),CHOOSE(SET.LANGUAGE,'DICTIONARY-5'!B112,'DICTIONARY-5'!C112,'DICTIONARY-5'!D112,'DICTIONARY-5'!E112,'DICTIONARY-5'!F112))</f>
        <v>AFU</v>
      </c>
      <c r="B112" s="585" t="s">
        <v>6289</v>
      </c>
      <c r="C112" s="586" t="s">
        <v>6289</v>
      </c>
      <c r="D112" s="586" t="s">
        <v>6289</v>
      </c>
      <c r="E112" s="586" t="s">
        <v>6289</v>
      </c>
      <c r="F112" s="581" t="str">
        <f t="shared" si="18"/>
        <v>112❺AFU</v>
      </c>
      <c r="G112" s="582" t="str">
        <f t="shared" si="17"/>
        <v>'DICTIONARY-5'!$A$112</v>
      </c>
    </row>
    <row r="113" spans="1:7" x14ac:dyDescent="0.25">
      <c r="A113" s="508" t="str">
        <f>IF(CHOOSE(SET.LANGUAGE,'DICTIONARY-5'!B113,'DICTIONARY-5'!C113,'DICTIONARY-5'!D113,'DICTIONARY-5'!E113,'DICTIONARY-5'!F113)=0,("??? "&amp;"DICTIONARY-5/"&amp;"LINE"&amp;(ROW(A113))),CHOOSE(SET.LANGUAGE,'DICTIONARY-5'!B113,'DICTIONARY-5'!C113,'DICTIONARY-5'!D113,'DICTIONARY-5'!E113,'DICTIONARY-5'!F113))</f>
        <v>pojedyncze zamknięcie</v>
      </c>
      <c r="B113" s="585" t="s">
        <v>5990</v>
      </c>
      <c r="C113" s="586" t="s">
        <v>7604</v>
      </c>
      <c r="D113" s="586" t="s">
        <v>6680</v>
      </c>
      <c r="E113" s="586" t="s">
        <v>6303</v>
      </c>
      <c r="F113" s="581" t="str">
        <f t="shared" si="18"/>
        <v>113❺jednoduchý uzávěr</v>
      </c>
      <c r="G113" s="582" t="str">
        <f t="shared" si="17"/>
        <v>'DICTIONARY-5'!$A$113</v>
      </c>
    </row>
    <row r="114" spans="1:7" x14ac:dyDescent="0.25">
      <c r="A114" s="508" t="str">
        <f>IF(CHOOSE(SET.LANGUAGE,'DICTIONARY-5'!B114,'DICTIONARY-5'!C114,'DICTIONARY-5'!D114,'DICTIONARY-5'!E114,'DICTIONARY-5'!F114)=0,("??? "&amp;"DICTIONARY-5/"&amp;"LINE"&amp;(ROW(A114))),CHOOSE(SET.LANGUAGE,'DICTIONARY-5'!B114,'DICTIONARY-5'!C114,'DICTIONARY-5'!D114,'DICTIONARY-5'!E114,'DICTIONARY-5'!F114))</f>
        <v>podwójne zamknięcie</v>
      </c>
      <c r="B114" s="585" t="s">
        <v>5989</v>
      </c>
      <c r="C114" s="586" t="s">
        <v>7605</v>
      </c>
      <c r="D114" s="586" t="s">
        <v>6681</v>
      </c>
      <c r="E114" s="586" t="s">
        <v>6299</v>
      </c>
      <c r="F114" s="581" t="str">
        <f t="shared" si="18"/>
        <v>114❺dvojitý uzávěr</v>
      </c>
      <c r="G114" s="582" t="str">
        <f t="shared" si="17"/>
        <v>'DICTIONARY-5'!$A$114</v>
      </c>
    </row>
    <row r="115" spans="1:7" x14ac:dyDescent="0.25">
      <c r="A115" s="508" t="str">
        <f>IF(CHOOSE(SET.LANGUAGE,'DICTIONARY-5'!B115,'DICTIONARY-5'!C115,'DICTIONARY-5'!D115,'DICTIONARY-5'!E115,'DICTIONARY-5'!F115)=0,("??? "&amp;"DICTIONARY-5/"&amp;"LINE"&amp;(ROW(A115))),CHOOSE(SET.LANGUAGE,'DICTIONARY-5'!B115,'DICTIONARY-5'!C115,'DICTIONARY-5'!D115,'DICTIONARY-5'!E115,'DICTIONARY-5'!F115))</f>
        <v>(grzybek)</v>
      </c>
      <c r="B115" s="585" t="s">
        <v>6301</v>
      </c>
      <c r="C115" s="586" t="s">
        <v>7667</v>
      </c>
      <c r="D115" s="586" t="s">
        <v>6682</v>
      </c>
      <c r="E115" s="586" t="s">
        <v>6304</v>
      </c>
      <c r="F115" s="581" t="str">
        <f t="shared" si="18"/>
        <v>115❺(kuželka)</v>
      </c>
      <c r="G115" s="582" t="str">
        <f t="shared" si="17"/>
        <v>'DICTIONARY-5'!$A$115</v>
      </c>
    </row>
    <row r="116" spans="1:7" x14ac:dyDescent="0.25">
      <c r="A116" s="508" t="str">
        <f>IF(CHOOSE(SET.LANGUAGE,'DICTIONARY-5'!B116,'DICTIONARY-5'!C116,'DICTIONARY-5'!D116,'DICTIONARY-5'!E116,'DICTIONARY-5'!F116)=0,("??? "&amp;"DICTIONARY-5/"&amp;"LINE"&amp;(ROW(A116))),CHOOSE(SET.LANGUAGE,'DICTIONARY-5'!B116,'DICTIONARY-5'!C116,'DICTIONARY-5'!D116,'DICTIONARY-5'!E116,'DICTIONARY-5'!F116))</f>
        <v>(grzybek + kula)</v>
      </c>
      <c r="B116" s="585" t="s">
        <v>6302</v>
      </c>
      <c r="C116" s="586" t="s">
        <v>7666</v>
      </c>
      <c r="D116" s="586" t="s">
        <v>6683</v>
      </c>
      <c r="E116" s="586" t="s">
        <v>6300</v>
      </c>
      <c r="F116" s="581" t="str">
        <f t="shared" si="18"/>
        <v>116❺(kuželka a koule)</v>
      </c>
      <c r="G116" s="582" t="str">
        <f t="shared" si="17"/>
        <v>'DICTIONARY-5'!$A$116</v>
      </c>
    </row>
    <row r="117" spans="1:7" x14ac:dyDescent="0.25">
      <c r="A117" s="508" t="str">
        <f>IF(CHOOSE(SET.LANGUAGE,'DICTIONARY-5'!B117,'DICTIONARY-5'!C117,'DICTIONARY-5'!D117,'DICTIONARY-5'!E117,'DICTIONARY-5'!F117)=0,("??? "&amp;"DICTIONARY-5/"&amp;"LINE"&amp;(ROW(A117))),CHOOSE(SET.LANGUAGE,'DICTIONARY-5'!B117,'DICTIONARY-5'!C117,'DICTIONARY-5'!D117,'DICTIONARY-5'!E117,'DICTIONARY-5'!F117))</f>
        <v>płaszcz opadowy</v>
      </c>
      <c r="B117" s="585" t="s">
        <v>6306</v>
      </c>
      <c r="C117" s="586" t="s">
        <v>6306</v>
      </c>
      <c r="D117" s="586" t="s">
        <v>6684</v>
      </c>
      <c r="E117" s="586" t="s">
        <v>6305</v>
      </c>
      <c r="F117" s="581" t="str">
        <f t="shared" si="18"/>
        <v>117❺padací plášť</v>
      </c>
      <c r="G117" s="582" t="str">
        <f t="shared" si="17"/>
        <v>'DICTIONARY-5'!$A$117</v>
      </c>
    </row>
    <row r="118" spans="1:7" x14ac:dyDescent="0.25">
      <c r="A118" s="508" t="str">
        <f>IF(CHOOSE(SET.LANGUAGE,'DICTIONARY-5'!B118,'DICTIONARY-5'!C118,'DICTIONARY-5'!D118,'DICTIONARY-5'!E118,'DICTIONARY-5'!F118)=0,("??? "&amp;"DICTIONARY-5/"&amp;"LINE"&amp;(ROW(A118))),CHOOSE(SET.LANGUAGE,'DICTIONARY-5'!B118,'DICTIONARY-5'!C118,'DICTIONARY-5'!D118,'DICTIONARY-5'!E118,'DICTIONARY-5'!F118))</f>
        <v>wg DIN 3222</v>
      </c>
      <c r="B118" s="585" t="s">
        <v>6296</v>
      </c>
      <c r="C118" s="586" t="s">
        <v>7606</v>
      </c>
      <c r="D118" s="586" t="s">
        <v>6297</v>
      </c>
      <c r="E118" s="586" t="s">
        <v>6298</v>
      </c>
      <c r="F118" s="581" t="str">
        <f t="shared" si="18"/>
        <v>118❺dle DIN 3222</v>
      </c>
      <c r="G118" s="582" t="str">
        <f t="shared" si="17"/>
        <v>'DICTIONARY-5'!$A$118</v>
      </c>
    </row>
    <row r="119" spans="1:7" x14ac:dyDescent="0.25">
      <c r="A119" s="508" t="str">
        <f>IF(CHOOSE(SET.LANGUAGE,'DICTIONARY-5'!B119,'DICTIONARY-5'!C119,'DICTIONARY-5'!D119,'DICTIONARY-5'!E119,'DICTIONARY-5'!F119)=0,("??? "&amp;"DICTIONARY-5/"&amp;"LINE"&amp;(ROW(A119))),CHOOSE(SET.LANGUAGE,'DICTIONARY-5'!B119,'DICTIONARY-5'!C119,'DICTIONARY-5'!D119,'DICTIONARY-5'!E119,'DICTIONARY-5'!F119))</f>
        <v>Króćce wylotowe</v>
      </c>
      <c r="B119" s="585" t="s">
        <v>771</v>
      </c>
      <c r="C119" s="586" t="s">
        <v>771</v>
      </c>
      <c r="D119" s="586" t="s">
        <v>6657</v>
      </c>
      <c r="E119" s="586" t="s">
        <v>7214</v>
      </c>
      <c r="F119" s="581" t="str">
        <f t="shared" si="18"/>
        <v>119❺Hrdla</v>
      </c>
      <c r="G119" s="582" t="str">
        <f t="shared" si="17"/>
        <v>'DICTIONARY-5'!$A$119</v>
      </c>
    </row>
    <row r="120" spans="1:7" x14ac:dyDescent="0.25">
      <c r="A120" s="508" t="str">
        <f>IF(CHOOSE(SET.LANGUAGE,'DICTIONARY-5'!B120,'DICTIONARY-5'!C120,'DICTIONARY-5'!D120,'DICTIONARY-5'!E120,'DICTIONARY-5'!F120)=0,("??? "&amp;"DICTIONARY-5/"&amp;"LINE"&amp;(ROW(A120))),CHOOSE(SET.LANGUAGE,'DICTIONARY-5'!B120,'DICTIONARY-5'!C120,'DICTIONARY-5'!D120,'DICTIONARY-5'!E120,'DICTIONARY-5'!F120))</f>
        <v>kły</v>
      </c>
      <c r="B120" s="585" t="s">
        <v>6294</v>
      </c>
      <c r="C120" s="586" t="s">
        <v>6294</v>
      </c>
      <c r="D120" s="586" t="s">
        <v>6685</v>
      </c>
      <c r="E120" s="586" t="s">
        <v>7052</v>
      </c>
      <c r="F120" s="581" t="str">
        <f t="shared" si="18"/>
        <v>120❺zázubec</v>
      </c>
      <c r="G120" s="582" t="str">
        <f t="shared" si="17"/>
        <v>'DICTIONARY-5'!$A$120</v>
      </c>
    </row>
    <row r="121" spans="1:7" x14ac:dyDescent="0.25">
      <c r="A121" s="508" t="str">
        <f>IF(CHOOSE(SET.LANGUAGE,'DICTIONARY-5'!B121,'DICTIONARY-5'!C121,'DICTIONARY-5'!D121,'DICTIONARY-5'!E121,'DICTIONARY-5'!F121)=0,("??? "&amp;"DICTIONARY-5/"&amp;"LINE"&amp;(ROW(A121))),CHOOSE(SET.LANGUAGE,'DICTIONARY-5'!B121,'DICTIONARY-5'!C121,'DICTIONARY-5'!D121,'DICTIONARY-5'!E121,'DICTIONARY-5'!F121))</f>
        <v>Z siedziskiem mosiężnym</v>
      </c>
      <c r="B121" s="585" t="s">
        <v>6295</v>
      </c>
      <c r="C121" s="586" t="s">
        <v>7607</v>
      </c>
      <c r="D121" s="586" t="s">
        <v>6686</v>
      </c>
      <c r="E121" s="586" t="s">
        <v>7304</v>
      </c>
      <c r="F121" s="581" t="str">
        <f t="shared" si="18"/>
        <v>121❺S mosazným sedlem</v>
      </c>
      <c r="G121" s="582" t="str">
        <f t="shared" si="17"/>
        <v>'DICTIONARY-5'!$A$121</v>
      </c>
    </row>
    <row r="122" spans="1:7" x14ac:dyDescent="0.25">
      <c r="A122" s="508" t="str">
        <f>IF(CHOOSE(SET.LANGUAGE,'DICTIONARY-5'!B122,'DICTIONARY-5'!C122,'DICTIONARY-5'!D122,'DICTIONARY-5'!E122,'DICTIONARY-5'!F122)=0,("??? "&amp;"DICTIONARY-5/"&amp;"LINE"&amp;(ROW(A122))),CHOOSE(SET.LANGUAGE,'DICTIONARY-5'!B122,'DICTIONARY-5'!C122,'DICTIONARY-5'!D122,'DICTIONARY-5'!E122,'DICTIONARY-5'!F122))</f>
        <v>rura</v>
      </c>
      <c r="B122" s="585" t="s">
        <v>5993</v>
      </c>
      <c r="C122" s="586" t="s">
        <v>7608</v>
      </c>
      <c r="D122" s="586" t="s">
        <v>6687</v>
      </c>
      <c r="E122" s="586" t="s">
        <v>7215</v>
      </c>
      <c r="F122" s="581" t="str">
        <f t="shared" si="18"/>
        <v>122❺potrubí</v>
      </c>
      <c r="G122" s="582" t="str">
        <f t="shared" si="17"/>
        <v>'DICTIONARY-5'!$A$122</v>
      </c>
    </row>
    <row r="123" spans="1:7" x14ac:dyDescent="0.25">
      <c r="A123" s="508" t="str">
        <f>IF(CHOOSE(SET.LANGUAGE,'DICTIONARY-5'!B123,'DICTIONARY-5'!C123,'DICTIONARY-5'!D123,'DICTIONARY-5'!E123,'DICTIONARY-5'!F123)=0,("??? "&amp;"DICTIONARY-5/"&amp;"LINE"&amp;(ROW(A123))),CHOOSE(SET.LANGUAGE,'DICTIONARY-5'!B123,'DICTIONARY-5'!C123,'DICTIONARY-5'!D123,'DICTIONARY-5'!E123,'DICTIONARY-5'!F123))</f>
        <v>częściowo ogumowana</v>
      </c>
      <c r="B123" s="585" t="s">
        <v>5991</v>
      </c>
      <c r="C123" s="586" t="s">
        <v>7609</v>
      </c>
      <c r="D123" s="586" t="s">
        <v>6689</v>
      </c>
      <c r="E123" s="586" t="s">
        <v>7216</v>
      </c>
      <c r="F123" s="581" t="str">
        <f t="shared" si="18"/>
        <v>123❺částečně pogumovaný</v>
      </c>
      <c r="G123" s="582" t="str">
        <f t="shared" si="17"/>
        <v>'DICTIONARY-5'!$A$123</v>
      </c>
    </row>
    <row r="124" spans="1:7" x14ac:dyDescent="0.25">
      <c r="A124" s="508" t="str">
        <f>IF(CHOOSE(SET.LANGUAGE,'DICTIONARY-5'!B124,'DICTIONARY-5'!C124,'DICTIONARY-5'!D124,'DICTIONARY-5'!E124,'DICTIONARY-5'!F124)=0,("??? "&amp;"DICTIONARY-5/"&amp;"LINE"&amp;(ROW(A124))),CHOOSE(SET.LANGUAGE,'DICTIONARY-5'!B124,'DICTIONARY-5'!C124,'DICTIONARY-5'!D124,'DICTIONARY-5'!E124,'DICTIONARY-5'!F124))</f>
        <v>całkowicie ogumowana</v>
      </c>
      <c r="B124" s="585" t="s">
        <v>5992</v>
      </c>
      <c r="C124" s="586" t="s">
        <v>5992</v>
      </c>
      <c r="D124" s="586" t="s">
        <v>6688</v>
      </c>
      <c r="E124" s="586" t="s">
        <v>7217</v>
      </c>
      <c r="F124" s="581" t="str">
        <f t="shared" si="18"/>
        <v>124❺celopogumovaný</v>
      </c>
      <c r="G124" s="582" t="str">
        <f t="shared" si="17"/>
        <v>'DICTIONARY-5'!$A$124</v>
      </c>
    </row>
    <row r="125" spans="1:7" x14ac:dyDescent="0.25">
      <c r="A125" s="508" t="str">
        <f>IF(CHOOSE(SET.LANGUAGE,'DICTIONARY-5'!B125,'DICTIONARY-5'!C125,'DICTIONARY-5'!D125,'DICTIONARY-5'!E125,'DICTIONARY-5'!F125)=0,("??? "&amp;"DICTIONARY-5/"&amp;"LINE"&amp;(ROW(A125))),CHOOSE(SET.LANGUAGE,'DICTIONARY-5'!B125,'DICTIONARY-5'!C125,'DICTIONARY-5'!D125,'DICTIONARY-5'!E125,'DICTIONARY-5'!F125))</f>
        <v>mosiężny zawór kulowy</v>
      </c>
      <c r="B125" s="585" t="s">
        <v>6326</v>
      </c>
      <c r="C125" s="586" t="s">
        <v>7610</v>
      </c>
      <c r="D125" s="586" t="s">
        <v>6691</v>
      </c>
      <c r="E125" s="586" t="s">
        <v>7218</v>
      </c>
      <c r="F125" s="581" t="str">
        <f t="shared" si="18"/>
        <v>125❺mosazný kulový kohout</v>
      </c>
      <c r="G125" s="582" t="str">
        <f t="shared" si="17"/>
        <v>'DICTIONARY-5'!$A$125</v>
      </c>
    </row>
    <row r="126" spans="1:7" x14ac:dyDescent="0.25">
      <c r="A126" s="508" t="str">
        <f>IF(CHOOSE(SET.LANGUAGE,'DICTIONARY-5'!B126,'DICTIONARY-5'!C126,'DICTIONARY-5'!D126,'DICTIONARY-5'!E126,'DICTIONARY-5'!F126)=0,("??? "&amp;"DICTIONARY-5/"&amp;"LINE"&amp;(ROW(A126))),CHOOSE(SET.LANGUAGE,'DICTIONARY-5'!B126,'DICTIONARY-5'!C126,'DICTIONARY-5'!D126,'DICTIONARY-5'!E126,'DICTIONARY-5'!F126))</f>
        <v>żeliwna zasuwa</v>
      </c>
      <c r="B126" s="585" t="s">
        <v>5996</v>
      </c>
      <c r="C126" s="586" t="s">
        <v>7668</v>
      </c>
      <c r="D126" s="586" t="s">
        <v>6692</v>
      </c>
      <c r="E126" s="586" t="s">
        <v>7220</v>
      </c>
      <c r="F126" s="581" t="str">
        <f t="shared" si="18"/>
        <v>126❺litinové šoupátko</v>
      </c>
      <c r="G126" s="582" t="str">
        <f t="shared" si="17"/>
        <v>'DICTIONARY-5'!$A$126</v>
      </c>
    </row>
    <row r="127" spans="1:7" x14ac:dyDescent="0.25">
      <c r="A127" s="508" t="str">
        <f>IF(CHOOSE(SET.LANGUAGE,'DICTIONARY-5'!B127,'DICTIONARY-5'!C127,'DICTIONARY-5'!D127,'DICTIONARY-5'!E127,'DICTIONARY-5'!F127)=0,("??? "&amp;"DICTIONARY-5/"&amp;"LINE"&amp;(ROW(A127))),CHOOSE(SET.LANGUAGE,'DICTIONARY-5'!B127,'DICTIONARY-5'!C127,'DICTIONARY-5'!D127,'DICTIONARY-5'!E127,'DICTIONARY-5'!F127))</f>
        <v>mosiężna zasuwa</v>
      </c>
      <c r="B127" s="585" t="s">
        <v>5997</v>
      </c>
      <c r="C127" s="586" t="s">
        <v>7669</v>
      </c>
      <c r="D127" s="586" t="s">
        <v>6693</v>
      </c>
      <c r="E127" s="586" t="s">
        <v>7219</v>
      </c>
      <c r="F127" s="581" t="str">
        <f t="shared" si="18"/>
        <v>127❺mosazné šoupátko</v>
      </c>
      <c r="G127" s="582" t="str">
        <f t="shared" si="17"/>
        <v>'DICTIONARY-5'!$A$127</v>
      </c>
    </row>
    <row r="128" spans="1:7" x14ac:dyDescent="0.25">
      <c r="A128" s="508" t="str">
        <f>IF(CHOOSE(SET.LANGUAGE,'DICTIONARY-5'!B128,'DICTIONARY-5'!C128,'DICTIONARY-5'!D128,'DICTIONARY-5'!E128,'DICTIONARY-5'!F128)=0,("??? "&amp;"DICTIONARY-5/"&amp;"LINE"&amp;(ROW(A128))),CHOOSE(SET.LANGUAGE,'DICTIONARY-5'!B128,'DICTIONARY-5'!C128,'DICTIONARY-5'!D128,'DICTIONARY-5'!E128,'DICTIONARY-5'!F128))</f>
        <v>końcówka</v>
      </c>
      <c r="B128" s="585" t="s">
        <v>6313</v>
      </c>
      <c r="C128" s="586" t="s">
        <v>6313</v>
      </c>
      <c r="D128" s="586" t="s">
        <v>6694</v>
      </c>
      <c r="E128" s="586" t="s">
        <v>7221</v>
      </c>
      <c r="F128" s="581" t="str">
        <f t="shared" si="18"/>
        <v>128❺koncovka</v>
      </c>
      <c r="G128" s="582" t="str">
        <f t="shared" si="17"/>
        <v>'DICTIONARY-5'!$A$128</v>
      </c>
    </row>
    <row r="129" spans="1:7" x14ac:dyDescent="0.25">
      <c r="A129" s="508" t="str">
        <f>IF(CHOOSE(SET.LANGUAGE,'DICTIONARY-5'!B129,'DICTIONARY-5'!C129,'DICTIONARY-5'!D129,'DICTIONARY-5'!E129,'DICTIONARY-5'!F129)=0,("??? "&amp;"DICTIONARY-5/"&amp;"LINE"&amp;(ROW(A129))),CHOOSE(SET.LANGUAGE,'DICTIONARY-5'!B129,'DICTIONARY-5'!C129,'DICTIONARY-5'!D129,'DICTIONARY-5'!E129,'DICTIONARY-5'!F129))</f>
        <v>Wewnętrzna średnica końcówki</v>
      </c>
      <c r="B129" s="585" t="s">
        <v>6315</v>
      </c>
      <c r="C129" s="586" t="s">
        <v>7611</v>
      </c>
      <c r="D129" s="586" t="s">
        <v>6695</v>
      </c>
      <c r="E129" s="586" t="s">
        <v>7222</v>
      </c>
      <c r="F129" s="581" t="str">
        <f t="shared" si="18"/>
        <v>129❺Vnitřní průměr koncovky</v>
      </c>
      <c r="G129" s="582" t="str">
        <f t="shared" si="17"/>
        <v>'DICTIONARY-5'!$A$129</v>
      </c>
    </row>
    <row r="130" spans="1:7" x14ac:dyDescent="0.25">
      <c r="A130" s="508" t="str">
        <f>IF(CHOOSE(SET.LANGUAGE,'DICTIONARY-5'!B130,'DICTIONARY-5'!C130,'DICTIONARY-5'!D130,'DICTIONARY-5'!E130,'DICTIONARY-5'!F130)=0,("??? "&amp;"DICTIONARY-5/"&amp;"LINE"&amp;(ROW(A130))),CHOOSE(SET.LANGUAGE,'DICTIONARY-5'!B130,'DICTIONARY-5'!C130,'DICTIONARY-5'!D130,'DICTIONARY-5'!E130,'DICTIONARY-5'!F130))</f>
        <v>zintegrowane zamknięcie</v>
      </c>
      <c r="B130" s="585" t="s">
        <v>5998</v>
      </c>
      <c r="C130" s="586" t="s">
        <v>7612</v>
      </c>
      <c r="D130" s="586" t="s">
        <v>6696</v>
      </c>
      <c r="E130" s="586" t="s">
        <v>7224</v>
      </c>
      <c r="F130" s="581" t="str">
        <f t="shared" si="18"/>
        <v>130❺integrovaný uzávěr</v>
      </c>
      <c r="G130" s="582" t="str">
        <f t="shared" si="17"/>
        <v>'DICTIONARY-5'!$A$130</v>
      </c>
    </row>
    <row r="131" spans="1:7" x14ac:dyDescent="0.25">
      <c r="A131" s="508" t="str">
        <f>IF(CHOOSE(SET.LANGUAGE,'DICTIONARY-5'!B131,'DICTIONARY-5'!C131,'DICTIONARY-5'!D131,'DICTIONARY-5'!E131,'DICTIONARY-5'!F131)=0,("??? "&amp;"DICTIONARY-5/"&amp;"LINE"&amp;(ROW(A131))),CHOOSE(SET.LANGUAGE,'DICTIONARY-5'!B131,'DICTIONARY-5'!C131,'DICTIONARY-5'!D131,'DICTIONARY-5'!E131,'DICTIONARY-5'!F131))</f>
        <v>zintegrowane odcięcie/wiertło</v>
      </c>
      <c r="B131" s="585" t="s">
        <v>5995</v>
      </c>
      <c r="C131" s="586" t="s">
        <v>7613</v>
      </c>
      <c r="D131" s="586" t="s">
        <v>6697</v>
      </c>
      <c r="E131" s="586" t="s">
        <v>7223</v>
      </c>
      <c r="F131" s="581" t="str">
        <f t="shared" si="18"/>
        <v>131❺integrovaný vrták/uzávěr</v>
      </c>
      <c r="G131" s="582" t="str">
        <f t="shared" si="17"/>
        <v>'DICTIONARY-5'!$A$131</v>
      </c>
    </row>
    <row r="132" spans="1:7" x14ac:dyDescent="0.25">
      <c r="A132" s="508" t="str">
        <f>IF(CHOOSE(SET.LANGUAGE,'DICTIONARY-5'!B132,'DICTIONARY-5'!C132,'DICTIONARY-5'!D132,'DICTIONARY-5'!E132,'DICTIONARY-5'!F132)=0,("??? "&amp;"DICTIONARY-5/"&amp;"LINE"&amp;(ROW(A132))),CHOOSE(SET.LANGUAGE,'DICTIONARY-5'!B132,'DICTIONARY-5'!C132,'DICTIONARY-5'!D132,'DICTIONARY-5'!E132,'DICTIONARY-5'!F132))</f>
        <v>Średnica wiertła</v>
      </c>
      <c r="B132" s="585" t="s">
        <v>6318</v>
      </c>
      <c r="C132" s="586" t="s">
        <v>7670</v>
      </c>
      <c r="D132" s="586" t="s">
        <v>6698</v>
      </c>
      <c r="E132" s="586" t="s">
        <v>7225</v>
      </c>
      <c r="F132" s="581" t="str">
        <f t="shared" si="18"/>
        <v>132❺Průměr vrtáku</v>
      </c>
      <c r="G132" s="582" t="str">
        <f t="shared" si="17"/>
        <v>'DICTIONARY-5'!$A$132</v>
      </c>
    </row>
    <row r="133" spans="1:7" x14ac:dyDescent="0.25">
      <c r="A133" s="508" t="str">
        <f>IF(CHOOSE(SET.LANGUAGE,'DICTIONARY-5'!B133,'DICTIONARY-5'!C133,'DICTIONARY-5'!D133,'DICTIONARY-5'!E133,'DICTIONARY-5'!F133)=0,("??? "&amp;"DICTIONARY-5/"&amp;"LINE"&amp;(ROW(A133))),CHOOSE(SET.LANGUAGE,'DICTIONARY-5'!B133,'DICTIONARY-5'!C133,'DICTIONARY-5'!D133,'DICTIONARY-5'!E133,'DICTIONARY-5'!F133))</f>
        <v>Odpowiedznie siodło zgrzewane PE musi być zamówione oddzielnie</v>
      </c>
      <c r="B133" s="585" t="s">
        <v>6322</v>
      </c>
      <c r="C133" s="586" t="s">
        <v>7772</v>
      </c>
      <c r="D133" s="586" t="s">
        <v>6699</v>
      </c>
      <c r="E133" s="586" t="s">
        <v>7305</v>
      </c>
      <c r="F133" s="581" t="str">
        <f t="shared" si="18"/>
        <v>133❺Příslušnou navařovací PE objímku je nutné objednat zvlášť</v>
      </c>
      <c r="G133" s="582" t="str">
        <f t="shared" si="17"/>
        <v>'DICTIONARY-5'!$A$133</v>
      </c>
    </row>
    <row r="134" spans="1:7" x14ac:dyDescent="0.25">
      <c r="A134" s="508" t="str">
        <f>IF(CHOOSE(SET.LANGUAGE,'DICTIONARY-5'!B134,'DICTIONARY-5'!C134,'DICTIONARY-5'!D134,'DICTIONARY-5'!E134,'DICTIONARY-5'!F134)=0,("??? "&amp;"DICTIONARY-5/"&amp;"LINE"&amp;(ROW(A134))),CHOOSE(SET.LANGUAGE,'DICTIONARY-5'!B134,'DICTIONARY-5'!C134,'DICTIONARY-5'!D134,'DICTIONARY-5'!E134,'DICTIONARY-5'!F134))</f>
        <v>Gwint wewnętrzny</v>
      </c>
      <c r="B134" s="585" t="s">
        <v>6407</v>
      </c>
      <c r="C134" s="586" t="s">
        <v>7671</v>
      </c>
      <c r="D134" s="586" t="s">
        <v>6700</v>
      </c>
      <c r="E134" s="586" t="s">
        <v>7226</v>
      </c>
      <c r="F134" s="581" t="str">
        <f t="shared" si="18"/>
        <v>134❺Vnitřní závit</v>
      </c>
      <c r="G134" s="582" t="str">
        <f t="shared" si="17"/>
        <v>'DICTIONARY-5'!$A$134</v>
      </c>
    </row>
    <row r="135" spans="1:7" x14ac:dyDescent="0.25">
      <c r="A135" s="508" t="str">
        <f>IF(CHOOSE(SET.LANGUAGE,'DICTIONARY-5'!B135,'DICTIONARY-5'!C135,'DICTIONARY-5'!D135,'DICTIONARY-5'!E135,'DICTIONARY-5'!F135)=0,("??? "&amp;"DICTIONARY-5/"&amp;"LINE"&amp;(ROW(A135))),CHOOSE(SET.LANGUAGE,'DICTIONARY-5'!B135,'DICTIONARY-5'!C135,'DICTIONARY-5'!D135,'DICTIONARY-5'!E135,'DICTIONARY-5'!F135))</f>
        <v>Gwint zewnętrzny</v>
      </c>
      <c r="B135" s="585" t="s">
        <v>6406</v>
      </c>
      <c r="C135" s="586" t="s">
        <v>7614</v>
      </c>
      <c r="D135" s="586" t="s">
        <v>6701</v>
      </c>
      <c r="E135" s="586" t="s">
        <v>7227</v>
      </c>
      <c r="F135" s="581" t="str">
        <f t="shared" si="18"/>
        <v>135❺Vnější závit</v>
      </c>
      <c r="G135" s="582" t="str">
        <f t="shared" si="17"/>
        <v>'DICTIONARY-5'!$A$135</v>
      </c>
    </row>
    <row r="136" spans="1:7" x14ac:dyDescent="0.25">
      <c r="A136" s="508" t="str">
        <f>IF(CHOOSE(SET.LANGUAGE,'DICTIONARY-5'!B136,'DICTIONARY-5'!C136,'DICTIONARY-5'!D136,'DICTIONARY-5'!E136,'DICTIONARY-5'!F136)=0,("??? "&amp;"DICTIONARY-5/"&amp;"LINE"&amp;(ROW(A136))),CHOOSE(SET.LANGUAGE,'DICTIONARY-5'!B136,'DICTIONARY-5'!C136,'DICTIONARY-5'!D136,'DICTIONARY-5'!E136,'DICTIONARY-5'!F136))</f>
        <v>przyłącza do domu</v>
      </c>
      <c r="B136" s="585" t="s">
        <v>5994</v>
      </c>
      <c r="C136" s="586" t="s">
        <v>7615</v>
      </c>
      <c r="D136" s="586" t="s">
        <v>6350</v>
      </c>
      <c r="E136" s="586" t="s">
        <v>7228</v>
      </c>
      <c r="F136" s="581" t="str">
        <f t="shared" si="18"/>
        <v>136❺přípojky</v>
      </c>
      <c r="G136" s="582" t="str">
        <f t="shared" si="17"/>
        <v>'DICTIONARY-5'!$A$136</v>
      </c>
    </row>
    <row r="137" spans="1:7" x14ac:dyDescent="0.25">
      <c r="A137" s="508" t="str">
        <f>IF(CHOOSE(SET.LANGUAGE,'DICTIONARY-5'!B137,'DICTIONARY-5'!C137,'DICTIONARY-5'!D137,'DICTIONARY-5'!E137,'DICTIONARY-5'!F137)=0,("??? "&amp;"DICTIONARY-5/"&amp;"LINE"&amp;(ROW(A137))),CHOOSE(SET.LANGUAGE,'DICTIONARY-5'!B137,'DICTIONARY-5'!C137,'DICTIONARY-5'!D137,'DICTIONARY-5'!E137,'DICTIONARY-5'!F137))</f>
        <v>siedziska</v>
      </c>
      <c r="B137" s="585" t="s">
        <v>6363</v>
      </c>
      <c r="C137" s="586" t="s">
        <v>6363</v>
      </c>
      <c r="D137" s="586" t="s">
        <v>6702</v>
      </c>
      <c r="E137" s="586" t="s">
        <v>7229</v>
      </c>
      <c r="F137" s="581" t="str">
        <f t="shared" si="18"/>
        <v>137❺sedla</v>
      </c>
      <c r="G137" s="582" t="str">
        <f t="shared" si="17"/>
        <v>'DICTIONARY-5'!$A$137</v>
      </c>
    </row>
    <row r="138" spans="1:7" x14ac:dyDescent="0.25">
      <c r="A138" s="508" t="str">
        <f>IF(CHOOSE(SET.LANGUAGE,'DICTIONARY-5'!B138,'DICTIONARY-5'!C138,'DICTIONARY-5'!D138,'DICTIONARY-5'!E138,'DICTIONARY-5'!F138)=0,("??? "&amp;"DICTIONARY-5/"&amp;"LINE"&amp;(ROW(A138))),CHOOSE(SET.LANGUAGE,'DICTIONARY-5'!B138,'DICTIONARY-5'!C138,'DICTIONARY-5'!D138,'DICTIONARY-5'!E138,'DICTIONARY-5'!F138))</f>
        <v>pozioma zabudowa</v>
      </c>
      <c r="B138" s="585" t="s">
        <v>6366</v>
      </c>
      <c r="C138" s="586" t="s">
        <v>7672</v>
      </c>
      <c r="D138" s="586" t="s">
        <v>6703</v>
      </c>
      <c r="E138" s="586" t="s">
        <v>7232</v>
      </c>
      <c r="F138" s="581" t="str">
        <f t="shared" si="18"/>
        <v>138❺horizontální instalace</v>
      </c>
      <c r="G138" s="582" t="str">
        <f t="shared" si="17"/>
        <v>'DICTIONARY-5'!$A$138</v>
      </c>
    </row>
    <row r="139" spans="1:7" x14ac:dyDescent="0.25">
      <c r="A139" s="508" t="str">
        <f>IF(CHOOSE(SET.LANGUAGE,'DICTIONARY-5'!B139,'DICTIONARY-5'!C139,'DICTIONARY-5'!D139,'DICTIONARY-5'!E139,'DICTIONARY-5'!F139)=0,("??? "&amp;"DICTIONARY-5/"&amp;"LINE"&amp;(ROW(A139))),CHOOSE(SET.LANGUAGE,'DICTIONARY-5'!B139,'DICTIONARY-5'!C139,'DICTIONARY-5'!D139,'DICTIONARY-5'!E139,'DICTIONARY-5'!F139))</f>
        <v>pionowa zabudowa</v>
      </c>
      <c r="B139" s="585" t="s">
        <v>6367</v>
      </c>
      <c r="C139" s="586" t="s">
        <v>7616</v>
      </c>
      <c r="D139" s="586" t="s">
        <v>6704</v>
      </c>
      <c r="E139" s="586" t="s">
        <v>7233</v>
      </c>
      <c r="F139" s="581" t="str">
        <f t="shared" si="18"/>
        <v>139❺vertikální instalace</v>
      </c>
      <c r="G139" s="582" t="str">
        <f t="shared" si="17"/>
        <v>'DICTIONARY-5'!$A$139</v>
      </c>
    </row>
    <row r="140" spans="1:7" x14ac:dyDescent="0.25">
      <c r="A140" s="508" t="str">
        <f>IF(CHOOSE(SET.LANGUAGE,'DICTIONARY-5'!B140,'DICTIONARY-5'!C140,'DICTIONARY-5'!D140,'DICTIONARY-5'!E140,'DICTIONARY-5'!F140)=0,("??? "&amp;"DICTIONARY-5/"&amp;"LINE"&amp;(ROW(A140))),CHOOSE(SET.LANGUAGE,'DICTIONARY-5'!B140,'DICTIONARY-5'!C140,'DICTIONARY-5'!D140,'DICTIONARY-5'!E140,'DICTIONARY-5'!F140))</f>
        <v>Części zamienne nie są ujęte w tej grupie rabatowej</v>
      </c>
      <c r="B140" s="585" t="s">
        <v>6403</v>
      </c>
      <c r="C140" s="586" t="s">
        <v>7673</v>
      </c>
      <c r="D140" s="586" t="s">
        <v>6705</v>
      </c>
      <c r="E140" s="586" t="s">
        <v>7306</v>
      </c>
      <c r="F140" s="581" t="str">
        <f t="shared" ref="F140:F200" si="19">CONCATENATE(ROW(B140),"❺",B140)</f>
        <v>140❺Náhradní díl není zařazen do rabatové skupiny</v>
      </c>
      <c r="G140" s="582" t="str">
        <f t="shared" si="17"/>
        <v>'DICTIONARY-5'!$A$140</v>
      </c>
    </row>
    <row r="141" spans="1:7" x14ac:dyDescent="0.25">
      <c r="A141" s="508" t="str">
        <f>IF(CHOOSE(SET.LANGUAGE,'DICTIONARY-5'!B141,'DICTIONARY-5'!C141,'DICTIONARY-5'!D141,'DICTIONARY-5'!E141,'DICTIONARY-5'!F141)=0,("??? "&amp;"DICTIONARY-5/"&amp;"LINE"&amp;(ROW(A141))),CHOOSE(SET.LANGUAGE,'DICTIONARY-5'!B141,'DICTIONARY-5'!C141,'DICTIONARY-5'!D141,'DICTIONARY-5'!E141,'DICTIONARY-5'!F141))</f>
        <v>Produkt nie ujęty w tej grupie rabatowej</v>
      </c>
      <c r="B141" s="585" t="s">
        <v>2308</v>
      </c>
      <c r="C141" s="586" t="s">
        <v>7674</v>
      </c>
      <c r="D141" s="586" t="s">
        <v>6706</v>
      </c>
      <c r="E141" s="586" t="s">
        <v>7307</v>
      </c>
      <c r="F141" s="581" t="str">
        <f t="shared" si="19"/>
        <v>141❺Výrobek není zařazen do rabatové skupiny</v>
      </c>
      <c r="G141" s="582" t="str">
        <f t="shared" ref="G141:G207" si="20">"'DICTIONARY-5'!$A$"&amp;ROW(A141)</f>
        <v>'DICTIONARY-5'!$A$141</v>
      </c>
    </row>
    <row r="142" spans="1:7" x14ac:dyDescent="0.25">
      <c r="A142" s="508" t="str">
        <f>IF(CHOOSE(SET.LANGUAGE,'DICTIONARY-5'!B142,'DICTIONARY-5'!C142,'DICTIONARY-5'!D142,'DICTIONARY-5'!E142,'DICTIONARY-5'!F142)=0,("??? "&amp;"DICTIONARY-5/"&amp;"LINE"&amp;(ROW(A142))),CHOOSE(SET.LANGUAGE,'DICTIONARY-5'!B142,'DICTIONARY-5'!C142,'DICTIONARY-5'!D142,'DICTIONARY-5'!E142,'DICTIONARY-5'!F142))</f>
        <v>Klapy PTK-G nie należy instalować do pracy pod wodą</v>
      </c>
      <c r="B142" s="585" t="s">
        <v>6374</v>
      </c>
      <c r="C142" s="586" t="s">
        <v>7617</v>
      </c>
      <c r="D142" s="586" t="s">
        <v>6707</v>
      </c>
      <c r="E142" s="586" t="s">
        <v>7234</v>
      </c>
      <c r="F142" s="581" t="str">
        <f t="shared" si="19"/>
        <v>142❺Typ PTK-G nelze instalovat pod vodní hladinu</v>
      </c>
      <c r="G142" s="582" t="str">
        <f t="shared" si="20"/>
        <v>'DICTIONARY-5'!$A$142</v>
      </c>
    </row>
    <row r="143" spans="1:7" x14ac:dyDescent="0.25">
      <c r="A143" s="508" t="str">
        <f>IF(CHOOSE(SET.LANGUAGE,'DICTIONARY-5'!B143,'DICTIONARY-5'!C143,'DICTIONARY-5'!D143,'DICTIONARY-5'!E143,'DICTIONARY-5'!F143)=0,("??? "&amp;"DICTIONARY-5/"&amp;"LINE"&amp;(ROW(A143))),CHOOSE(SET.LANGUAGE,'DICTIONARY-5'!B143,'DICTIONARY-5'!C143,'DICTIONARY-5'!D143,'DICTIONARY-5'!E143,'DICTIONARY-5'!F143))</f>
        <v>Klapa PWK-F moze być wyposażona w urządzenie do napowietrzania dla powietrza wlotowego i wylotowego</v>
      </c>
      <c r="B143" s="585" t="s">
        <v>6377</v>
      </c>
      <c r="C143" s="586" t="s">
        <v>7675</v>
      </c>
      <c r="D143" s="586" t="s">
        <v>6708</v>
      </c>
      <c r="E143" s="586" t="s">
        <v>7235</v>
      </c>
      <c r="F143" s="581" t="str">
        <f t="shared" si="19"/>
        <v>143❺Typ PWK-F je možné osadit aerátorem pro přívod a odvod vzduchu</v>
      </c>
      <c r="G143" s="582" t="str">
        <f t="shared" si="20"/>
        <v>'DICTIONARY-5'!$A$143</v>
      </c>
    </row>
    <row r="144" spans="1:7" x14ac:dyDescent="0.25">
      <c r="A144" s="508" t="str">
        <f>IF(CHOOSE(SET.LANGUAGE,'DICTIONARY-5'!B144,'DICTIONARY-5'!C144,'DICTIONARY-5'!D144,'DICTIONARY-5'!E144,'DICTIONARY-5'!F144)=0,("??? "&amp;"DICTIONARY-5/"&amp;"LINE"&amp;(ROW(A144))),CHOOSE(SET.LANGUAGE,'DICTIONARY-5'!B144,'DICTIONARY-5'!C144,'DICTIONARY-5'!D144,'DICTIONARY-5'!E144,'DICTIONARY-5'!F144))</f>
        <v>do rurociągu tłocznym</v>
      </c>
      <c r="B144" s="585" t="s">
        <v>6378</v>
      </c>
      <c r="C144" s="586" t="s">
        <v>7618</v>
      </c>
      <c r="D144" s="586" t="s">
        <v>6709</v>
      </c>
      <c r="E144" s="586" t="s">
        <v>7236</v>
      </c>
      <c r="F144" s="581" t="str">
        <f t="shared" si="19"/>
        <v>144❺pro tlaková potrubí</v>
      </c>
      <c r="G144" s="582" t="str">
        <f t="shared" si="20"/>
        <v>'DICTIONARY-5'!$A$144</v>
      </c>
    </row>
    <row r="145" spans="1:7" x14ac:dyDescent="0.25">
      <c r="A145" s="508" t="str">
        <f>IF(CHOOSE(SET.LANGUAGE,'DICTIONARY-5'!B145,'DICTIONARY-5'!C145,'DICTIONARY-5'!D145,'DICTIONARY-5'!E145,'DICTIONARY-5'!F145)=0,("??? "&amp;"DICTIONARY-5/"&amp;"LINE"&amp;(ROW(A145))),CHOOSE(SET.LANGUAGE,'DICTIONARY-5'!B145,'DICTIONARY-5'!C145,'DICTIONARY-5'!D145,'DICTIONARY-5'!E145,'DICTIONARY-5'!F145))</f>
        <v>Typ Lug z otworami centrującymi do montażu na śruby</v>
      </c>
      <c r="B145" s="585" t="s">
        <v>1703</v>
      </c>
      <c r="C145" s="586" t="s">
        <v>7619</v>
      </c>
      <c r="D145" s="586" t="s">
        <v>6710</v>
      </c>
      <c r="E145" s="586" t="s">
        <v>7238</v>
      </c>
      <c r="F145" s="581" t="str">
        <f t="shared" si="19"/>
        <v>145❺Typ LUG s pruchozími závitovými dírami</v>
      </c>
      <c r="G145" s="582" t="str">
        <f t="shared" si="20"/>
        <v>'DICTIONARY-5'!$A$145</v>
      </c>
    </row>
    <row r="146" spans="1:7" x14ac:dyDescent="0.25">
      <c r="A146" s="508" t="str">
        <f>IF(CHOOSE(SET.LANGUAGE,'DICTIONARY-5'!B146,'DICTIONARY-5'!C146,'DICTIONARY-5'!D146,'DICTIONARY-5'!E146,'DICTIONARY-5'!F146)=0,("??? "&amp;"DICTIONARY-5/"&amp;"LINE"&amp;(ROW(A146))),CHOOSE(SET.LANGUAGE,'DICTIONARY-5'!B146,'DICTIONARY-5'!C146,'DICTIONARY-5'!D146,'DICTIONARY-5'!E146,'DICTIONARY-5'!F146))</f>
        <v>Typ WAFER z otworami gwintowanymi pod śruby kołnierza</v>
      </c>
      <c r="B146" s="585" t="s">
        <v>1852</v>
      </c>
      <c r="C146" s="586" t="s">
        <v>7773</v>
      </c>
      <c r="D146" s="586" t="s">
        <v>6711</v>
      </c>
      <c r="E146" s="586" t="s">
        <v>7239</v>
      </c>
      <c r="F146" s="581" t="str">
        <f t="shared" si="19"/>
        <v>146❺Typ WAFER s předlitými oky pro montážní šrouby</v>
      </c>
      <c r="G146" s="582" t="str">
        <f t="shared" si="20"/>
        <v>'DICTIONARY-5'!$A$146</v>
      </c>
    </row>
    <row r="147" spans="1:7" x14ac:dyDescent="0.25">
      <c r="A147" s="508" t="str">
        <f>IF(CHOOSE(SET.LANGUAGE,'DICTIONARY-5'!B147,'DICTIONARY-5'!C147,'DICTIONARY-5'!D147,'DICTIONARY-5'!E147,'DICTIONARY-5'!F147)=0,("??? "&amp;"DICTIONARY-5/"&amp;"LINE"&amp;(ROW(A147))),CHOOSE(SET.LANGUAGE,'DICTIONARY-5'!B147,'DICTIONARY-5'!C147,'DICTIONARY-5'!D147,'DICTIONARY-5'!E147,'DICTIONARY-5'!F147))</f>
        <v>dysk</v>
      </c>
      <c r="B147" s="585" t="s">
        <v>6388</v>
      </c>
      <c r="C147" s="586" t="s">
        <v>6388</v>
      </c>
      <c r="D147" s="586" t="s">
        <v>6388</v>
      </c>
      <c r="E147" s="586" t="s">
        <v>7237</v>
      </c>
      <c r="F147" s="581" t="str">
        <f t="shared" si="19"/>
        <v>147❺disk</v>
      </c>
      <c r="G147" s="582" t="str">
        <f t="shared" si="20"/>
        <v>'DICTIONARY-5'!$A$147</v>
      </c>
    </row>
    <row r="148" spans="1:7" x14ac:dyDescent="0.25">
      <c r="A148" s="508" t="str">
        <f>IF(CHOOSE(SET.LANGUAGE,'DICTIONARY-5'!B148,'DICTIONARY-5'!C148,'DICTIONARY-5'!D148,'DICTIONARY-5'!E148,'DICTIONARY-5'!F148)=0,("??? "&amp;"DICTIONARY-5/"&amp;"LINE"&amp;(ROW(A148))),CHOOSE(SET.LANGUAGE,'DICTIONARY-5'!B148,'DICTIONARY-5'!C148,'DICTIONARY-5'!D148,'DICTIONARY-5'!E148,'DICTIONARY-5'!F148))</f>
        <v>Dla cystern kolejowych</v>
      </c>
      <c r="B148" s="585" t="s">
        <v>1862</v>
      </c>
      <c r="C148" s="586" t="s">
        <v>7620</v>
      </c>
      <c r="D148" s="586" t="s">
        <v>6714</v>
      </c>
      <c r="E148" s="586" t="s">
        <v>7308</v>
      </c>
      <c r="F148" s="581" t="str">
        <f t="shared" si="19"/>
        <v>148❺Pro cisternové vozy</v>
      </c>
      <c r="G148" s="582" t="str">
        <f t="shared" si="20"/>
        <v>'DICTIONARY-5'!$A$148</v>
      </c>
    </row>
    <row r="149" spans="1:7" x14ac:dyDescent="0.25">
      <c r="A149" s="508" t="str">
        <f>IF(CHOOSE(SET.LANGUAGE,'DICTIONARY-5'!B149,'DICTIONARY-5'!C149,'DICTIONARY-5'!D149,'DICTIONARY-5'!E149,'DICTIONARY-5'!F149)=0,("??? "&amp;"DICTIONARY-5/"&amp;"LINE"&amp;(ROW(A149))),CHOOSE(SET.LANGUAGE,'DICTIONARY-5'!B149,'DICTIONARY-5'!C149,'DICTIONARY-5'!D149,'DICTIONARY-5'!E149,'DICTIONARY-5'!F149))</f>
        <v>Gwint pokrywy</v>
      </c>
      <c r="B149" s="585" t="s">
        <v>1863</v>
      </c>
      <c r="C149" s="586" t="s">
        <v>7676</v>
      </c>
      <c r="D149" s="586" t="s">
        <v>6715</v>
      </c>
      <c r="E149" s="586" t="s">
        <v>7242</v>
      </c>
      <c r="F149" s="581" t="str">
        <f t="shared" si="19"/>
        <v>149❺Výstup víka</v>
      </c>
      <c r="G149" s="582" t="str">
        <f t="shared" si="20"/>
        <v>'DICTIONARY-5'!$A$149</v>
      </c>
    </row>
    <row r="150" spans="1:7" x14ac:dyDescent="0.25">
      <c r="A150" s="508" t="str">
        <f>IF(CHOOSE(SET.LANGUAGE,'DICTIONARY-5'!B150,'DICTIONARY-5'!C150,'DICTIONARY-5'!D150,'DICTIONARY-5'!E150,'DICTIONARY-5'!F150)=0,("??? "&amp;"DICTIONARY-5/"&amp;"LINE"&amp;(ROW(A150))),CHOOSE(SET.LANGUAGE,'DICTIONARY-5'!B150,'DICTIONARY-5'!C150,'DICTIONARY-5'!D150,'DICTIONARY-5'!E150,'DICTIONARY-5'!F150))</f>
        <v>Jednokomorowy</v>
      </c>
      <c r="B150" s="585" t="s">
        <v>6399</v>
      </c>
      <c r="C150" s="586" t="s">
        <v>6399</v>
      </c>
      <c r="D150" s="586" t="s">
        <v>6716</v>
      </c>
      <c r="E150" s="586" t="s">
        <v>7240</v>
      </c>
      <c r="F150" s="581" t="str">
        <f t="shared" si="19"/>
        <v>150❺Jednokomorový</v>
      </c>
      <c r="G150" s="582" t="str">
        <f t="shared" si="20"/>
        <v>'DICTIONARY-5'!$A$150</v>
      </c>
    </row>
    <row r="151" spans="1:7" x14ac:dyDescent="0.25">
      <c r="A151" s="508" t="str">
        <f>IF(CHOOSE(SET.LANGUAGE,'DICTIONARY-5'!B151,'DICTIONARY-5'!C151,'DICTIONARY-5'!D151,'DICTIONARY-5'!E151,'DICTIONARY-5'!F151)=0,("??? "&amp;"DICTIONARY-5/"&amp;"LINE"&amp;(ROW(A151))),CHOOSE(SET.LANGUAGE,'DICTIONARY-5'!B151,'DICTIONARY-5'!C151,'DICTIONARY-5'!D151,'DICTIONARY-5'!E151,'DICTIONARY-5'!F151))</f>
        <v>Dwukomorowy</v>
      </c>
      <c r="B151" s="585" t="s">
        <v>5113</v>
      </c>
      <c r="C151" s="586" t="s">
        <v>7677</v>
      </c>
      <c r="D151" s="586" t="s">
        <v>6717</v>
      </c>
      <c r="E151" s="586" t="s">
        <v>7241</v>
      </c>
      <c r="F151" s="581" t="str">
        <f t="shared" si="19"/>
        <v>151❺Dvoukomorový</v>
      </c>
      <c r="G151" s="582" t="str">
        <f t="shared" si="20"/>
        <v>'DICTIONARY-5'!$A$151</v>
      </c>
    </row>
    <row r="152" spans="1:7" x14ac:dyDescent="0.25">
      <c r="A152" s="508" t="str">
        <f>IF(CHOOSE(SET.LANGUAGE,'DICTIONARY-5'!B152,'DICTIONARY-5'!C152,'DICTIONARY-5'!D152,'DICTIONARY-5'!E152,'DICTIONARY-5'!F152)=0,("??? "&amp;"DICTIONARY-5/"&amp;"LINE"&amp;(ROW(A152))),CHOOSE(SET.LANGUAGE,'DICTIONARY-5'!B152,'DICTIONARY-5'!C152,'DICTIONARY-5'!D152,'DICTIONARY-5'!E152,'DICTIONARY-5'!F152))</f>
        <v>Wymiary</v>
      </c>
      <c r="B152" s="585" t="s">
        <v>6718</v>
      </c>
      <c r="C152" s="586" t="s">
        <v>7678</v>
      </c>
      <c r="D152" s="586" t="s">
        <v>6719</v>
      </c>
      <c r="E152" s="586" t="s">
        <v>7243</v>
      </c>
      <c r="F152" s="581" t="str">
        <f t="shared" si="19"/>
        <v>152❺Rozměr</v>
      </c>
      <c r="G152" s="582" t="str">
        <f t="shared" si="20"/>
        <v>'DICTIONARY-5'!$A$152</v>
      </c>
    </row>
    <row r="153" spans="1:7" x14ac:dyDescent="0.25">
      <c r="A153" s="508" t="str">
        <f>IF(CHOOSE(SET.LANGUAGE,'DICTIONARY-5'!B153,'DICTIONARY-5'!C153,'DICTIONARY-5'!D153,'DICTIONARY-5'!E153,'DICTIONARY-5'!F153)=0,("??? "&amp;"DICTIONARY-5/"&amp;"LINE"&amp;(ROW(A153))),CHOOSE(SET.LANGUAGE,'DICTIONARY-5'!B153,'DICTIONARY-5'!C153,'DICTIONARY-5'!D153,'DICTIONARY-5'!E153,'DICTIONARY-5'!F153))</f>
        <v>Wbudowany zawór</v>
      </c>
      <c r="B153" s="585" t="s">
        <v>6721</v>
      </c>
      <c r="C153" s="586" t="s">
        <v>7679</v>
      </c>
      <c r="D153" s="586" t="s">
        <v>6720</v>
      </c>
      <c r="E153" s="586" t="s">
        <v>7244</v>
      </c>
      <c r="F153" s="581" t="str">
        <f t="shared" si="19"/>
        <v>153❺Vnitřní armatura</v>
      </c>
      <c r="G153" s="582" t="str">
        <f t="shared" si="20"/>
        <v>'DICTIONARY-5'!$A$153</v>
      </c>
    </row>
    <row r="154" spans="1:7" x14ac:dyDescent="0.25">
      <c r="A154" s="508" t="str">
        <f>IF(CHOOSE(SET.LANGUAGE,'DICTIONARY-5'!B154,'DICTIONARY-5'!C154,'DICTIONARY-5'!D154,'DICTIONARY-5'!E154,'DICTIONARY-5'!F154)=0,("??? "&amp;"DICTIONARY-5/"&amp;"LINE"&amp;(ROW(A154))),CHOOSE(SET.LANGUAGE,'DICTIONARY-5'!B154,'DICTIONARY-5'!C154,'DICTIONARY-5'!D154,'DICTIONARY-5'!E154,'DICTIONARY-5'!F154))</f>
        <v>Z uniwersalnym cylindrem szczelinowym SZ40 do regulacji bez kawitacji</v>
      </c>
      <c r="B154" s="585" t="s">
        <v>6722</v>
      </c>
      <c r="C154" s="586" t="s">
        <v>7680</v>
      </c>
      <c r="D154" s="586" t="s">
        <v>6723</v>
      </c>
      <c r="E154" s="586" t="s">
        <v>7245</v>
      </c>
      <c r="F154" s="581" t="str">
        <f t="shared" si="19"/>
        <v>154❺S univerzálním regulačním válcem SZ40 pro provoz bez kavitace</v>
      </c>
      <c r="G154" s="582" t="str">
        <f t="shared" si="20"/>
        <v>'DICTIONARY-5'!$A$154</v>
      </c>
    </row>
    <row r="155" spans="1:7" x14ac:dyDescent="0.25">
      <c r="A155" s="508" t="str">
        <f>IF(CHOOSE(SET.LANGUAGE,'DICTIONARY-5'!B155,'DICTIONARY-5'!C155,'DICTIONARY-5'!D155,'DICTIONARY-5'!E155,'DICTIONARY-5'!F155)=0,("??? "&amp;"DICTIONARY-5/"&amp;"LINE"&amp;(ROW(A155))),CHOOSE(SET.LANGUAGE,'DICTIONARY-5'!B155,'DICTIONARY-5'!C155,'DICTIONARY-5'!D155,'DICTIONARY-5'!E155,'DICTIONARY-5'!F155))</f>
        <v>do redukcji ciśnienia wylotowego</v>
      </c>
      <c r="B155" s="585" t="s">
        <v>6006</v>
      </c>
      <c r="C155" s="586" t="s">
        <v>7621</v>
      </c>
      <c r="D155" s="586" t="s">
        <v>6724</v>
      </c>
      <c r="E155" s="586" t="s">
        <v>7246</v>
      </c>
      <c r="F155" s="581" t="str">
        <f t="shared" si="19"/>
        <v>155❺redukce výstupního tlaku</v>
      </c>
      <c r="G155" s="582" t="str">
        <f t="shared" si="20"/>
        <v>'DICTIONARY-5'!$A$155</v>
      </c>
    </row>
    <row r="156" spans="1:7" x14ac:dyDescent="0.25">
      <c r="A156" s="508" t="str">
        <f>IF(CHOOSE(SET.LANGUAGE,'DICTIONARY-5'!B156,'DICTIONARY-5'!C156,'DICTIONARY-5'!D156,'DICTIONARY-5'!E156,'DICTIONARY-5'!F156)=0,("??? "&amp;"DICTIONARY-5/"&amp;"LINE"&amp;(ROW(A156))),CHOOSE(SET.LANGUAGE,'DICTIONARY-5'!B156,'DICTIONARY-5'!C156,'DICTIONARY-5'!D156,'DICTIONARY-5'!E156,'DICTIONARY-5'!F156))</f>
        <v>do utrzymania stałego ciśnienia</v>
      </c>
      <c r="B156" s="585" t="s">
        <v>6007</v>
      </c>
      <c r="C156" s="586" t="s">
        <v>7622</v>
      </c>
      <c r="D156" s="586" t="s">
        <v>6725</v>
      </c>
      <c r="E156" s="586" t="s">
        <v>7249</v>
      </c>
      <c r="F156" s="581" t="str">
        <f t="shared" si="19"/>
        <v>156❺udržení tlaku před ventilem</v>
      </c>
      <c r="G156" s="582" t="str">
        <f t="shared" si="20"/>
        <v>'DICTIONARY-5'!$A$156</v>
      </c>
    </row>
    <row r="157" spans="1:7" x14ac:dyDescent="0.25">
      <c r="A157" s="508" t="str">
        <f>IF(CHOOSE(SET.LANGUAGE,'DICTIONARY-5'!B157,'DICTIONARY-5'!C157,'DICTIONARY-5'!D157,'DICTIONARY-5'!E157,'DICTIONARY-5'!F157)=0,("??? "&amp;"DICTIONARY-5/"&amp;"LINE"&amp;(ROW(A157))),CHOOSE(SET.LANGUAGE,'DICTIONARY-5'!B157,'DICTIONARY-5'!C157,'DICTIONARY-5'!D157,'DICTIONARY-5'!E157,'DICTIONARY-5'!F157))</f>
        <v xml:space="preserve">Każdy zawór należy skonfigurować indywidualnie, dlatego ceny mają jedynie charakter orientacyjny </v>
      </c>
      <c r="B157" s="585" t="s">
        <v>7683</v>
      </c>
      <c r="C157" s="586" t="s">
        <v>7682</v>
      </c>
      <c r="D157" s="586" t="s">
        <v>7385</v>
      </c>
      <c r="E157" s="586" t="s">
        <v>7386</v>
      </c>
      <c r="F157" s="581" t="str">
        <f t="shared" si="19"/>
        <v>157❺Každý výrobek je nutné individuálně konfigurovat, ceny jsou tedy pouze orientační</v>
      </c>
      <c r="G157" s="582" t="str">
        <f t="shared" si="20"/>
        <v>'DICTIONARY-5'!$A$157</v>
      </c>
    </row>
    <row r="158" spans="1:7" x14ac:dyDescent="0.25">
      <c r="A158" s="508" t="str">
        <f>IF(CHOOSE(SET.LANGUAGE,'DICTIONARY-5'!B158,'DICTIONARY-5'!C158,'DICTIONARY-5'!D158,'DICTIONARY-5'!E158,'DICTIONARY-5'!F158)=0,("??? "&amp;"DICTIONARY-5/"&amp;"LINE"&amp;(ROW(A158))),CHOOSE(SET.LANGUAGE,'DICTIONARY-5'!B158,'DICTIONARY-5'!C158,'DICTIONARY-5'!D158,'DICTIONARY-5'!E158,'DICTIONARY-5'!F158))</f>
        <v>do utrzymania poziomu wody za pomocą jednego / dwóch pływaków</v>
      </c>
      <c r="B158" s="585" t="s">
        <v>6401</v>
      </c>
      <c r="C158" s="586" t="s">
        <v>7623</v>
      </c>
      <c r="D158" s="586" t="s">
        <v>6726</v>
      </c>
      <c r="E158" s="586" t="s">
        <v>7247</v>
      </c>
      <c r="F158" s="581" t="str">
        <f t="shared" si="19"/>
        <v>158❺k regulaci výšky vodní hladiny jedním/dvěma plováky</v>
      </c>
      <c r="G158" s="582" t="str">
        <f t="shared" si="20"/>
        <v>'DICTIONARY-5'!$A$158</v>
      </c>
    </row>
    <row r="159" spans="1:7" x14ac:dyDescent="0.25">
      <c r="A159" s="508" t="str">
        <f>IF(CHOOSE(SET.LANGUAGE,'DICTIONARY-5'!B159,'DICTIONARY-5'!C159,'DICTIONARY-5'!D159,'DICTIONARY-5'!E159,'DICTIONARY-5'!F159)=0,("??? "&amp;"DICTIONARY-5/"&amp;"LINE"&amp;(ROW(A159))),CHOOSE(SET.LANGUAGE,'DICTIONARY-5'!B159,'DICTIONARY-5'!C159,'DICTIONARY-5'!D159,'DICTIONARY-5'!E159,'DICTIONARY-5'!F159))</f>
        <v>do regulacji poziomu wody przy pomocy ciśnienia słupa wody</v>
      </c>
      <c r="B159" s="585" t="s">
        <v>6402</v>
      </c>
      <c r="C159" s="586" t="s">
        <v>7624</v>
      </c>
      <c r="D159" s="586" t="s">
        <v>6727</v>
      </c>
      <c r="E159" s="586" t="s">
        <v>7248</v>
      </c>
      <c r="F159" s="581" t="str">
        <f t="shared" si="19"/>
        <v>159❺k regulaci výšky vodní hladiny dle tlaku vodního sloupce</v>
      </c>
      <c r="G159" s="582" t="str">
        <f t="shared" si="20"/>
        <v>'DICTIONARY-5'!$A$159</v>
      </c>
    </row>
    <row r="160" spans="1:7" x14ac:dyDescent="0.25">
      <c r="A160" s="508" t="str">
        <f>IF(CHOOSE(SET.LANGUAGE,'DICTIONARY-5'!B160,'DICTIONARY-5'!C160,'DICTIONARY-5'!D160,'DICTIONARY-5'!E160,'DICTIONARY-5'!F160)=0,("??? "&amp;"DICTIONARY-5/"&amp;"LINE"&amp;(ROW(A160))),CHOOSE(SET.LANGUAGE,'DICTIONARY-5'!B160,'DICTIONARY-5'!C160,'DICTIONARY-5'!D160,'DICTIONARY-5'!E160,'DICTIONARY-5'!F160))</f>
        <v>Wielkośc oczek sita</v>
      </c>
      <c r="B160" s="585" t="s">
        <v>6405</v>
      </c>
      <c r="C160" s="586" t="s">
        <v>7681</v>
      </c>
      <c r="D160" s="586" t="s">
        <v>6729</v>
      </c>
      <c r="E160" s="586" t="s">
        <v>7250</v>
      </c>
      <c r="F160" s="581" t="str">
        <f t="shared" si="19"/>
        <v>160❺Velikost ok</v>
      </c>
      <c r="G160" s="582" t="str">
        <f t="shared" si="20"/>
        <v>'DICTIONARY-5'!$A$160</v>
      </c>
    </row>
    <row r="161" spans="1:7" x14ac:dyDescent="0.25">
      <c r="A161" s="508" t="str">
        <f>IF(CHOOSE(SET.LANGUAGE,'DICTIONARY-5'!B161,'DICTIONARY-5'!C161,'DICTIONARY-5'!D161,'DICTIONARY-5'!E161,'DICTIONARY-5'!F161)=0,("??? "&amp;"DICTIONARY-5/"&amp;"LINE"&amp;(ROW(A161))),CHOOSE(SET.LANGUAGE,'DICTIONARY-5'!B161,'DICTIONARY-5'!C161,'DICTIONARY-5'!D161,'DICTIONARY-5'!E161,'DICTIONARY-5'!F161))</f>
        <v>sito</v>
      </c>
      <c r="B161" s="585" t="s">
        <v>6408</v>
      </c>
      <c r="C161" s="586" t="s">
        <v>7625</v>
      </c>
      <c r="D161" s="586" t="s">
        <v>6730</v>
      </c>
      <c r="E161" s="586" t="s">
        <v>7251</v>
      </c>
      <c r="F161" s="581" t="str">
        <f t="shared" si="19"/>
        <v>161❺koš</v>
      </c>
      <c r="G161" s="582" t="str">
        <f t="shared" si="20"/>
        <v>'DICTIONARY-5'!$A$161</v>
      </c>
    </row>
    <row r="162" spans="1:7" x14ac:dyDescent="0.25">
      <c r="A162" s="508" t="str">
        <f>IF(CHOOSE(SET.LANGUAGE,'DICTIONARY-5'!B162,'DICTIONARY-5'!C162,'DICTIONARY-5'!D162,'DICTIONARY-5'!E162,'DICTIONARY-5'!F162)=0,("??? "&amp;"DICTIONARY-5/"&amp;"LINE"&amp;(ROW(A162))),CHOOSE(SET.LANGUAGE,'DICTIONARY-5'!B162,'DICTIONARY-5'!C162,'DICTIONARY-5'!D162,'DICTIONARY-5'!E162,'DICTIONARY-5'!F162))</f>
        <v>Z prętami gwintowanymi przechodzącymi obustronnie</v>
      </c>
      <c r="B162" s="585" t="s">
        <v>6411</v>
      </c>
      <c r="C162" s="586" t="s">
        <v>7626</v>
      </c>
      <c r="D162" s="586" t="s">
        <v>6732</v>
      </c>
      <c r="E162" s="586" t="s">
        <v>7254</v>
      </c>
      <c r="F162" s="581" t="str">
        <f t="shared" si="19"/>
        <v>162❺S oboustranně průchozími závitovými tyčemi</v>
      </c>
      <c r="G162" s="582" t="str">
        <f t="shared" si="20"/>
        <v>'DICTIONARY-5'!$A$162</v>
      </c>
    </row>
    <row r="163" spans="1:7" x14ac:dyDescent="0.25">
      <c r="A163" s="508" t="str">
        <f>IF(CHOOSE(SET.LANGUAGE,'DICTIONARY-5'!B163,'DICTIONARY-5'!C163,'DICTIONARY-5'!D163,'DICTIONARY-5'!E163,'DICTIONARY-5'!F163)=0,("??? "&amp;"DICTIONARY-5/"&amp;"LINE"&amp;(ROW(A163))),CHOOSE(SET.LANGUAGE,'DICTIONARY-5'!B163,'DICTIONARY-5'!C163,'DICTIONARY-5'!D163,'DICTIONARY-5'!E163,'DICTIONARY-5'!F163))</f>
        <v>Z jednostronnie ustawianym zespołem blokującym</v>
      </c>
      <c r="B163" s="585" t="s">
        <v>2130</v>
      </c>
      <c r="C163" s="586" t="s">
        <v>7627</v>
      </c>
      <c r="D163" s="586" t="s">
        <v>6731</v>
      </c>
      <c r="E163" s="586" t="s">
        <v>7252</v>
      </c>
      <c r="F163" s="581" t="str">
        <f t="shared" si="19"/>
        <v>163❺S jednostranně průchozími závitovými tyčemi</v>
      </c>
      <c r="G163" s="582" t="str">
        <f t="shared" si="20"/>
        <v>'DICTIONARY-5'!$A$163</v>
      </c>
    </row>
    <row r="164" spans="1:7" x14ac:dyDescent="0.25">
      <c r="A164" s="508" t="str">
        <f>IF(CHOOSE(SET.LANGUAGE,'DICTIONARY-5'!B164,'DICTIONARY-5'!C164,'DICTIONARY-5'!D164,'DICTIONARY-5'!E164,'DICTIONARY-5'!F164)=0,("??? "&amp;"DICTIONARY-5/"&amp;"LINE"&amp;(ROW(A164))),CHOOSE(SET.LANGUAGE,'DICTIONARY-5'!B164,'DICTIONARY-5'!C164,'DICTIONARY-5'!D164,'DICTIONARY-5'!E164,'DICTIONARY-5'!F164))</f>
        <v>pręty gwintowane</v>
      </c>
      <c r="B164" s="585" t="s">
        <v>6412</v>
      </c>
      <c r="C164" s="586" t="s">
        <v>6412</v>
      </c>
      <c r="D164" s="586" t="s">
        <v>6733</v>
      </c>
      <c r="E164" s="586" t="s">
        <v>7253</v>
      </c>
      <c r="F164" s="581" t="str">
        <f t="shared" si="19"/>
        <v>164❺závitové tyče</v>
      </c>
      <c r="G164" s="582" t="str">
        <f t="shared" si="20"/>
        <v>'DICTIONARY-5'!$A$164</v>
      </c>
    </row>
    <row r="165" spans="1:7" x14ac:dyDescent="0.25">
      <c r="A165" s="508" t="str">
        <f>IF(CHOOSE(SET.LANGUAGE,'DICTIONARY-5'!B165,'DICTIONARY-5'!C165,'DICTIONARY-5'!D165,'DICTIONARY-5'!E165,'DICTIONARY-5'!F165)=0,("??? "&amp;"DICTIONARY-5/"&amp;"LINE"&amp;(ROW(A165))),CHOOSE(SET.LANGUAGE,'DICTIONARY-5'!B165,'DICTIONARY-5'!C165,'DICTIONARY-5'!D165,'DICTIONARY-5'!E165,'DICTIONARY-5'!F165))</f>
        <v>Zasuwowa</v>
      </c>
      <c r="B165" s="585" t="s">
        <v>6451</v>
      </c>
      <c r="C165" s="586" t="s">
        <v>7684</v>
      </c>
      <c r="D165" s="586" t="s">
        <v>6600</v>
      </c>
      <c r="E165" s="586" t="s">
        <v>7255</v>
      </c>
      <c r="F165" s="581" t="str">
        <f t="shared" si="19"/>
        <v>165❺Šoupátkový</v>
      </c>
      <c r="G165" s="582" t="str">
        <f t="shared" si="20"/>
        <v>'DICTIONARY-5'!$A$165</v>
      </c>
    </row>
    <row r="166" spans="1:7" x14ac:dyDescent="0.25">
      <c r="A166" s="508" t="str">
        <f>IF(CHOOSE(SET.LANGUAGE,'DICTIONARY-5'!B166,'DICTIONARY-5'!C166,'DICTIONARY-5'!D166,'DICTIONARY-5'!E166,'DICTIONARY-5'!F166)=0,("??? "&amp;"DICTIONARY-5/"&amp;"LINE"&amp;(ROW(A166))),CHOOSE(SET.LANGUAGE,'DICTIONARY-5'!B166,'DICTIONARY-5'!C166,'DICTIONARY-5'!D166,'DICTIONARY-5'!E166,'DICTIONARY-5'!F166))</f>
        <v>Zaworowa</v>
      </c>
      <c r="B166" s="585" t="s">
        <v>2298</v>
      </c>
      <c r="C166" s="586" t="s">
        <v>2298</v>
      </c>
      <c r="D166" s="586" t="s">
        <v>6767</v>
      </c>
      <c r="E166" s="586" t="s">
        <v>7256</v>
      </c>
      <c r="F166" s="581" t="str">
        <f t="shared" si="19"/>
        <v>166❺Ventilový</v>
      </c>
      <c r="G166" s="582" t="str">
        <f t="shared" si="20"/>
        <v>'DICTIONARY-5'!$A$166</v>
      </c>
    </row>
    <row r="167" spans="1:7" x14ac:dyDescent="0.25">
      <c r="A167" s="508" t="str">
        <f>IF(CHOOSE(SET.LANGUAGE,'DICTIONARY-5'!B167,'DICTIONARY-5'!C167,'DICTIONARY-5'!D167,'DICTIONARY-5'!E167,'DICTIONARY-5'!F167)=0,("??? "&amp;"DICTIONARY-5/"&amp;"LINE"&amp;(ROW(A167))),CHOOSE(SET.LANGUAGE,'DICTIONARY-5'!B167,'DICTIONARY-5'!C167,'DICTIONARY-5'!D167,'DICTIONARY-5'!E167,'DICTIONARY-5'!F167))</f>
        <v>Hydrantowa</v>
      </c>
      <c r="B167" s="585" t="s">
        <v>6416</v>
      </c>
      <c r="C167" s="586" t="s">
        <v>6416</v>
      </c>
      <c r="D167" s="586" t="s">
        <v>6768</v>
      </c>
      <c r="E167" s="586" t="s">
        <v>7257</v>
      </c>
      <c r="F167" s="581" t="str">
        <f t="shared" si="19"/>
        <v>167❺Hydrantový</v>
      </c>
      <c r="G167" s="582" t="str">
        <f t="shared" si="20"/>
        <v>'DICTIONARY-5'!$A$167</v>
      </c>
    </row>
    <row r="168" spans="1:7" x14ac:dyDescent="0.25">
      <c r="A168" s="508" t="str">
        <f>IF(CHOOSE(SET.LANGUAGE,'DICTIONARY-5'!B168,'DICTIONARY-5'!C168,'DICTIONARY-5'!D168,'DICTIONARY-5'!E168,'DICTIONARY-5'!F168)=0,("??? "&amp;"DICTIONARY-5/"&amp;"LINE"&amp;(ROW(A168))),CHOOSE(SET.LANGUAGE,'DICTIONARY-5'!B168,'DICTIONARY-5'!C168,'DICTIONARY-5'!D168,'DICTIONARY-5'!E168,'DICTIONARY-5'!F168))</f>
        <v>Owalna</v>
      </c>
      <c r="B168" s="585" t="s">
        <v>6501</v>
      </c>
      <c r="C168" s="586" t="s">
        <v>7685</v>
      </c>
      <c r="D168" s="586" t="s">
        <v>6769</v>
      </c>
      <c r="E168" s="586" t="s">
        <v>7258</v>
      </c>
      <c r="F168" s="581" t="str">
        <f t="shared" si="19"/>
        <v>168❺Oválný</v>
      </c>
      <c r="G168" s="582" t="str">
        <f t="shared" si="20"/>
        <v>'DICTIONARY-5'!$A$168</v>
      </c>
    </row>
    <row r="169" spans="1:7" x14ac:dyDescent="0.25">
      <c r="A169" s="508" t="str">
        <f>IF(CHOOSE(SET.LANGUAGE,'DICTIONARY-5'!B169,'DICTIONARY-5'!C169,'DICTIONARY-5'!D169,'DICTIONARY-5'!E169,'DICTIONARY-5'!F169)=0,("??? "&amp;"DICTIONARY-5/"&amp;"LINE"&amp;(ROW(A169))),CHOOSE(SET.LANGUAGE,'DICTIONARY-5'!B169,'DICTIONARY-5'!C169,'DICTIONARY-5'!D169,'DICTIONARY-5'!E169,'DICTIONARY-5'!F169))</f>
        <v>Sztywna</v>
      </c>
      <c r="B169" s="585" t="s">
        <v>6821</v>
      </c>
      <c r="C169" s="586" t="s">
        <v>6821</v>
      </c>
      <c r="D169" s="586" t="s">
        <v>6822</v>
      </c>
      <c r="E169" s="586" t="s">
        <v>7259</v>
      </c>
      <c r="F169" s="581" t="str">
        <f t="shared" si="19"/>
        <v>169❺Tuhá</v>
      </c>
      <c r="G169" s="582" t="str">
        <f t="shared" si="20"/>
        <v>'DICTIONARY-5'!$A$169</v>
      </c>
    </row>
    <row r="170" spans="1:7" x14ac:dyDescent="0.25">
      <c r="A170" s="508" t="str">
        <f>IF(CHOOSE(SET.LANGUAGE,'DICTIONARY-5'!B170,'DICTIONARY-5'!C170,'DICTIONARY-5'!D170,'DICTIONARY-5'!E170,'DICTIONARY-5'!F170)=0,("??? "&amp;"DICTIONARY-5/"&amp;"LINE"&amp;(ROW(A170))),CHOOSE(SET.LANGUAGE,'DICTIONARY-5'!B170,'DICTIONARY-5'!C170,'DICTIONARY-5'!D170,'DICTIONARY-5'!E170,'DICTIONARY-5'!F170))</f>
        <v>Teleskopowa</v>
      </c>
      <c r="B170" s="585" t="s">
        <v>6823</v>
      </c>
      <c r="C170" s="586" t="s">
        <v>6823</v>
      </c>
      <c r="D170" s="586" t="s">
        <v>6824</v>
      </c>
      <c r="E170" s="586" t="s">
        <v>7260</v>
      </c>
      <c r="F170" s="581" t="str">
        <f t="shared" si="19"/>
        <v>170❺Teleskopická</v>
      </c>
      <c r="G170" s="582" t="str">
        <f t="shared" si="20"/>
        <v>'DICTIONARY-5'!$A$170</v>
      </c>
    </row>
    <row r="171" spans="1:7" x14ac:dyDescent="0.25">
      <c r="A171" s="508" t="str">
        <f>IF(CHOOSE(SET.LANGUAGE,'DICTIONARY-5'!B171,'DICTIONARY-5'!C171,'DICTIONARY-5'!D171,'DICTIONARY-5'!E171,'DICTIONARY-5'!F171)=0,("??? "&amp;"DICTIONARY-5/"&amp;"LINE"&amp;(ROW(A171))),CHOOSE(SET.LANGUAGE,'DICTIONARY-5'!B171,'DICTIONARY-5'!C171,'DICTIONARY-5'!D171,'DICTIONARY-5'!E171,'DICTIONARY-5'!F171))</f>
        <v>górny kwadrat pod klucz</v>
      </c>
      <c r="B171" s="585" t="s">
        <v>6426</v>
      </c>
      <c r="C171" s="586" t="s">
        <v>7628</v>
      </c>
      <c r="D171" s="586" t="s">
        <v>6770</v>
      </c>
      <c r="E171" s="586" t="s">
        <v>7263</v>
      </c>
      <c r="F171" s="581" t="str">
        <f t="shared" si="19"/>
        <v>171❺horní nástavec</v>
      </c>
      <c r="G171" s="582" t="str">
        <f t="shared" si="20"/>
        <v>'DICTIONARY-5'!$A$171</v>
      </c>
    </row>
    <row r="172" spans="1:7" x14ac:dyDescent="0.25">
      <c r="A172" s="508" t="str">
        <f>IF(CHOOSE(SET.LANGUAGE,'DICTIONARY-5'!B172,'DICTIONARY-5'!C172,'DICTIONARY-5'!D172,'DICTIONARY-5'!E172,'DICTIONARY-5'!F172)=0,("??? "&amp;"DICTIONARY-5/"&amp;"LINE"&amp;(ROW(A172))),CHOOSE(SET.LANGUAGE,'DICTIONARY-5'!B172,'DICTIONARY-5'!C172,'DICTIONARY-5'!D172,'DICTIONARY-5'!E172,'DICTIONARY-5'!F172))</f>
        <v>Końcówka wrzeciona</v>
      </c>
      <c r="B172" s="585" t="s">
        <v>2310</v>
      </c>
      <c r="C172" s="586" t="s">
        <v>7686</v>
      </c>
      <c r="D172" s="586" t="s">
        <v>6771</v>
      </c>
      <c r="E172" s="605" t="s">
        <v>7261</v>
      </c>
      <c r="F172" s="581" t="str">
        <f t="shared" si="19"/>
        <v>172❺Jehlan</v>
      </c>
      <c r="G172" s="582" t="str">
        <f t="shared" si="20"/>
        <v>'DICTIONARY-5'!$A$172</v>
      </c>
    </row>
    <row r="173" spans="1:7" x14ac:dyDescent="0.25">
      <c r="A173" s="508" t="str">
        <f>IF(CHOOSE(SET.LANGUAGE,'DICTIONARY-5'!B173,'DICTIONARY-5'!C173,'DICTIONARY-5'!D173,'DICTIONARY-5'!E173,'DICTIONARY-5'!F173)=0,("??? "&amp;"DICTIONARY-5/"&amp;"LINE"&amp;(ROW(A173))),CHOOSE(SET.LANGUAGE,'DICTIONARY-5'!B173,'DICTIONARY-5'!C173,'DICTIONARY-5'!D173,'DICTIONARY-5'!E173,'DICTIONARY-5'!F173))</f>
        <v>górna końcówka</v>
      </c>
      <c r="B173" s="585" t="s">
        <v>6427</v>
      </c>
      <c r="C173" s="586" t="s">
        <v>7629</v>
      </c>
      <c r="D173" s="586" t="s">
        <v>6770</v>
      </c>
      <c r="E173" s="586" t="s">
        <v>7262</v>
      </c>
      <c r="F173" s="581" t="str">
        <f t="shared" si="19"/>
        <v>173❺horní jehlan</v>
      </c>
      <c r="G173" s="582" t="str">
        <f t="shared" si="20"/>
        <v>'DICTIONARY-5'!$A$173</v>
      </c>
    </row>
    <row r="174" spans="1:7" x14ac:dyDescent="0.25">
      <c r="A174" s="508" t="str">
        <f>IF(CHOOSE(SET.LANGUAGE,'DICTIONARY-5'!B174,'DICTIONARY-5'!C174,'DICTIONARY-5'!D174,'DICTIONARY-5'!E174,'DICTIONARY-5'!F174)=0,("??? "&amp;"DICTIONARY-5/"&amp;"LINE"&amp;(ROW(A174))),CHOOSE(SET.LANGUAGE,'DICTIONARY-5'!B174,'DICTIONARY-5'!C174,'DICTIONARY-5'!D174,'DICTIONARY-5'!E174,'DICTIONARY-5'!F174))</f>
        <v>Zestaw podstawowy</v>
      </c>
      <c r="B174" s="585" t="s">
        <v>5080</v>
      </c>
      <c r="C174" s="586" t="s">
        <v>7630</v>
      </c>
      <c r="D174" s="586" t="s">
        <v>6772</v>
      </c>
      <c r="E174" s="586" t="s">
        <v>7264</v>
      </c>
      <c r="F174" s="581" t="str">
        <f t="shared" si="19"/>
        <v>174❺Základní sestava</v>
      </c>
      <c r="G174" s="582" t="str">
        <f t="shared" si="20"/>
        <v>'DICTIONARY-5'!$A$174</v>
      </c>
    </row>
    <row r="175" spans="1:7" x14ac:dyDescent="0.25">
      <c r="A175" s="508" t="str">
        <f>IF(CHOOSE(SET.LANGUAGE,'DICTIONARY-5'!B175,'DICTIONARY-5'!C175,'DICTIONARY-5'!D175,'DICTIONARY-5'!E175,'DICTIONARY-5'!F175)=0,("??? "&amp;"DICTIONARY-5/"&amp;"LINE"&amp;(ROW(A175))),CHOOSE(SET.LANGUAGE,'DICTIONARY-5'!B175,'DICTIONARY-5'!C175,'DICTIONARY-5'!D175,'DICTIONARY-5'!E175,'DICTIONARY-5'!F175))</f>
        <v>Pełen zestaw</v>
      </c>
      <c r="B175" s="585" t="s">
        <v>5083</v>
      </c>
      <c r="C175" s="586" t="s">
        <v>7631</v>
      </c>
      <c r="D175" s="586" t="s">
        <v>6773</v>
      </c>
      <c r="E175" s="586" t="s">
        <v>7318</v>
      </c>
      <c r="F175" s="581" t="str">
        <f t="shared" si="19"/>
        <v>175❺Kompletní sestava</v>
      </c>
      <c r="G175" s="582" t="str">
        <f t="shared" si="20"/>
        <v>'DICTIONARY-5'!$A$175</v>
      </c>
    </row>
    <row r="176" spans="1:7" x14ac:dyDescent="0.25">
      <c r="A176" s="508" t="str">
        <f>IF(CHOOSE(SET.LANGUAGE,'DICTIONARY-5'!B176,'DICTIONARY-5'!C176,'DICTIONARY-5'!D176,'DICTIONARY-5'!E176,'DICTIONARY-5'!F176)=0,("??? "&amp;"DICTIONARY-5/"&amp;"LINE"&amp;(ROW(A176))),CHOOSE(SET.LANGUAGE,'DICTIONARY-5'!B176,'DICTIONARY-5'!C176,'DICTIONARY-5'!D176,'DICTIONARY-5'!E176,'DICTIONARY-5'!F176))</f>
        <v>Zawartość zestawu podstawowego</v>
      </c>
      <c r="B176" s="585" t="s">
        <v>5081</v>
      </c>
      <c r="C176" s="586" t="s">
        <v>7632</v>
      </c>
      <c r="D176" s="586" t="s">
        <v>6774</v>
      </c>
      <c r="E176" s="586" t="s">
        <v>7309</v>
      </c>
      <c r="F176" s="581" t="str">
        <f t="shared" si="19"/>
        <v>176❺Obsah základní sestavy</v>
      </c>
      <c r="G176" s="582" t="str">
        <f t="shared" si="20"/>
        <v>'DICTIONARY-5'!$A$176</v>
      </c>
    </row>
    <row r="177" spans="1:7" x14ac:dyDescent="0.25">
      <c r="A177" s="508" t="str">
        <f>IF(CHOOSE(SET.LANGUAGE,'DICTIONARY-5'!B177,'DICTIONARY-5'!C177,'DICTIONARY-5'!D177,'DICTIONARY-5'!E177,'DICTIONARY-5'!F177)=0,("??? "&amp;"DICTIONARY-5/"&amp;"LINE"&amp;(ROW(A177))),CHOOSE(SET.LANGUAGE,'DICTIONARY-5'!B177,'DICTIONARY-5'!C177,'DICTIONARY-5'!D177,'DICTIONARY-5'!E177,'DICTIONARY-5'!F177))</f>
        <v>z wyłącznikiem bezpieczeństwa PRCD</v>
      </c>
      <c r="B177" s="585" t="s">
        <v>6431</v>
      </c>
      <c r="C177" s="586" t="s">
        <v>7633</v>
      </c>
      <c r="D177" s="586" t="s">
        <v>6781</v>
      </c>
      <c r="E177" s="586" t="s">
        <v>7319</v>
      </c>
      <c r="F177" s="581" t="str">
        <f t="shared" si="19"/>
        <v>177❺s proudovým chráničem PRCD</v>
      </c>
      <c r="G177" s="582" t="str">
        <f t="shared" si="20"/>
        <v>'DICTIONARY-5'!$A$177</v>
      </c>
    </row>
    <row r="178" spans="1:7" x14ac:dyDescent="0.25">
      <c r="A178" s="508" t="str">
        <f>IF(CHOOSE(SET.LANGUAGE,'DICTIONARY-5'!B178,'DICTIONARY-5'!C178,'DICTIONARY-5'!D178,'DICTIONARY-5'!E178,'DICTIONARY-5'!F178)=0,("??? "&amp;"DICTIONARY-5/"&amp;"LINE"&amp;(ROW(A178))),CHOOSE(SET.LANGUAGE,'DICTIONARY-5'!B178,'DICTIONARY-5'!C178,'DICTIONARY-5'!D178,'DICTIONARY-5'!E178,'DICTIONARY-5'!F178))</f>
        <v>Stojak napędu dla bezpiecznej pracy</v>
      </c>
      <c r="B178" s="585" t="s">
        <v>6432</v>
      </c>
      <c r="C178" s="586" t="s">
        <v>7634</v>
      </c>
      <c r="D178" s="586" t="s">
        <v>6775</v>
      </c>
      <c r="E178" s="586" t="s">
        <v>7320</v>
      </c>
      <c r="F178" s="581" t="str">
        <f t="shared" si="19"/>
        <v>178❺Stojan pohonu pro bezpečnou obsluhu</v>
      </c>
      <c r="G178" s="582" t="str">
        <f t="shared" si="20"/>
        <v>'DICTIONARY-5'!$A$178</v>
      </c>
    </row>
    <row r="179" spans="1:7" x14ac:dyDescent="0.25">
      <c r="A179" s="508" t="str">
        <f>IF(CHOOSE(SET.LANGUAGE,'DICTIONARY-5'!B179,'DICTIONARY-5'!C179,'DICTIONARY-5'!D179,'DICTIONARY-5'!E179,'DICTIONARY-5'!F179)=0,("??? "&amp;"DICTIONARY-5/"&amp;"LINE"&amp;(ROW(A179))),CHOOSE(SET.LANGUAGE,'DICTIONARY-5'!B179,'DICTIONARY-5'!C179,'DICTIONARY-5'!D179,'DICTIONARY-5'!E179,'DICTIONARY-5'!F179))</f>
        <v>Trzpień siłownika z tłumikiem położenia końcowego</v>
      </c>
      <c r="B179" s="585" t="s">
        <v>6433</v>
      </c>
      <c r="C179" s="586" t="s">
        <v>7774</v>
      </c>
      <c r="D179" s="586" t="s">
        <v>6776</v>
      </c>
      <c r="E179" s="586" t="s">
        <v>7321</v>
      </c>
      <c r="F179" s="581" t="str">
        <f t="shared" si="19"/>
        <v>179❺Hnací tyč s tlumičem koncové polohy</v>
      </c>
      <c r="G179" s="582" t="str">
        <f t="shared" si="20"/>
        <v>'DICTIONARY-5'!$A$179</v>
      </c>
    </row>
    <row r="180" spans="1:7" x14ac:dyDescent="0.25">
      <c r="A180" s="508" t="str">
        <f>IF(CHOOSE(SET.LANGUAGE,'DICTIONARY-5'!B180,'DICTIONARY-5'!C180,'DICTIONARY-5'!D180,'DICTIONARY-5'!E180,'DICTIONARY-5'!F180)=0,("??? "&amp;"DICTIONARY-5/"&amp;"LINE"&amp;(ROW(A180))),CHOOSE(SET.LANGUAGE,'DICTIONARY-5'!B180,'DICTIONARY-5'!C180,'DICTIONARY-5'!D180,'DICTIONARY-5'!E180,'DICTIONARY-5'!F180))</f>
        <v>Mufy sprzęgające (kwadrat: 12 mm, 27 mm)</v>
      </c>
      <c r="B180" s="585" t="s">
        <v>6434</v>
      </c>
      <c r="C180" s="586" t="s">
        <v>7635</v>
      </c>
      <c r="D180" s="586" t="s">
        <v>6777</v>
      </c>
      <c r="E180" s="586" t="s">
        <v>7322</v>
      </c>
      <c r="F180" s="581" t="str">
        <f t="shared" si="19"/>
        <v>180❺Spojovací objímky (čtyřhran: 12 mm, 27 mm)</v>
      </c>
      <c r="G180" s="582" t="str">
        <f t="shared" si="20"/>
        <v>'DICTIONARY-5'!$A$180</v>
      </c>
    </row>
    <row r="181" spans="1:7" x14ac:dyDescent="0.25">
      <c r="A181" s="508" t="str">
        <f>IF(CHOOSE(SET.LANGUAGE,'DICTIONARY-5'!B181,'DICTIONARY-5'!C181,'DICTIONARY-5'!D181,'DICTIONARY-5'!E181,'DICTIONARY-5'!F181)=0,("??? "&amp;"DICTIONARY-5/"&amp;"LINE"&amp;(ROW(A181))),CHOOSE(SET.LANGUAGE,'DICTIONARY-5'!B181,'DICTIONARY-5'!C181,'DICTIONARY-5'!D181,'DICTIONARY-5'!E181,'DICTIONARY-5'!F181))</f>
        <v>Popychacz</v>
      </c>
      <c r="B181" s="585" t="s">
        <v>6435</v>
      </c>
      <c r="C181" s="586" t="s">
        <v>7687</v>
      </c>
      <c r="D181" s="586" t="s">
        <v>6778</v>
      </c>
      <c r="E181" s="586" t="s">
        <v>7323</v>
      </c>
      <c r="F181" s="581" t="str">
        <f t="shared" si="19"/>
        <v>181❺Vyrážeč</v>
      </c>
      <c r="G181" s="582" t="str">
        <f t="shared" si="20"/>
        <v>'DICTIONARY-5'!$A$181</v>
      </c>
    </row>
    <row r="182" spans="1:7" x14ac:dyDescent="0.25">
      <c r="A182" s="508" t="str">
        <f>IF(CHOOSE(SET.LANGUAGE,'DICTIONARY-5'!B182,'DICTIONARY-5'!C182,'DICTIONARY-5'!D182,'DICTIONARY-5'!E182,'DICTIONARY-5'!F182)=0,("??? "&amp;"DICTIONARY-5/"&amp;"LINE"&amp;(ROW(A182))),CHOOSE(SET.LANGUAGE,'DICTIONARY-5'!B182,'DICTIONARY-5'!C182,'DICTIONARY-5'!D182,'DICTIONARY-5'!E182,'DICTIONARY-5'!F182))</f>
        <v>Klucz sześciokątny</v>
      </c>
      <c r="B182" s="585" t="s">
        <v>6436</v>
      </c>
      <c r="C182" s="586" t="s">
        <v>7691</v>
      </c>
      <c r="D182" s="586" t="s">
        <v>6779</v>
      </c>
      <c r="E182" s="586" t="s">
        <v>7310</v>
      </c>
      <c r="F182" s="581" t="str">
        <f t="shared" si="19"/>
        <v>182❺Šestihranný klíč</v>
      </c>
      <c r="G182" s="582" t="str">
        <f t="shared" si="20"/>
        <v>'DICTIONARY-5'!$A$182</v>
      </c>
    </row>
    <row r="183" spans="1:7" x14ac:dyDescent="0.25">
      <c r="A183" s="508" t="str">
        <f>IF(CHOOSE(SET.LANGUAGE,'DICTIONARY-5'!B183,'DICTIONARY-5'!C183,'DICTIONARY-5'!D183,'DICTIONARY-5'!E183,'DICTIONARY-5'!F183)=0,("??? "&amp;"DICTIONARY-5/"&amp;"LINE"&amp;(ROW(A183))),CHOOSE(SET.LANGUAGE,'DICTIONARY-5'!B183,'DICTIONARY-5'!C183,'DICTIONARY-5'!D183,'DICTIONARY-5'!E183,'DICTIONARY-5'!F183))</f>
        <v>Walizka transportowa z kółkami</v>
      </c>
      <c r="B183" s="585" t="s">
        <v>6437</v>
      </c>
      <c r="C183" s="586" t="s">
        <v>7636</v>
      </c>
      <c r="D183" s="586" t="s">
        <v>6780</v>
      </c>
      <c r="E183" s="586" t="s">
        <v>7324</v>
      </c>
      <c r="F183" s="581" t="str">
        <f t="shared" si="19"/>
        <v>183❺Přepravní kufřík s kolečky</v>
      </c>
      <c r="G183" s="582" t="str">
        <f t="shared" si="20"/>
        <v>'DICTIONARY-5'!$A$183</v>
      </c>
    </row>
    <row r="184" spans="1:7" x14ac:dyDescent="0.25">
      <c r="A184" s="508" t="str">
        <f>IF(CHOOSE(SET.LANGUAGE,'DICTIONARY-5'!B184,'DICTIONARY-5'!C184,'DICTIONARY-5'!D184,'DICTIONARY-5'!E184,'DICTIONARY-5'!F184)=0,("??? "&amp;"DICTIONARY-5/"&amp;"LINE"&amp;(ROW(A184))),CHOOSE(SET.LANGUAGE,'DICTIONARY-5'!B184,'DICTIONARY-5'!C184,'DICTIONARY-5'!D184,'DICTIONARY-5'!E184,'DICTIONARY-5'!F184))</f>
        <v>Zestaw łaczników (bez opakowania)</v>
      </c>
      <c r="B184" s="585" t="s">
        <v>5079</v>
      </c>
      <c r="C184" s="586" t="s">
        <v>7637</v>
      </c>
      <c r="D184" s="586" t="s">
        <v>6782</v>
      </c>
      <c r="E184" s="586" t="s">
        <v>7311</v>
      </c>
      <c r="F184" s="581" t="str">
        <f t="shared" si="19"/>
        <v>184❺Sada spojek (bez kufru)</v>
      </c>
      <c r="G184" s="582" t="str">
        <f t="shared" si="20"/>
        <v>'DICTIONARY-5'!$A$184</v>
      </c>
    </row>
    <row r="185" spans="1:7" x14ac:dyDescent="0.25">
      <c r="A185" s="508" t="str">
        <f>IF(CHOOSE(SET.LANGUAGE,'DICTIONARY-5'!B185,'DICTIONARY-5'!C185,'DICTIONARY-5'!D185,'DICTIONARY-5'!E185,'DICTIONARY-5'!F185)=0,("??? "&amp;"DICTIONARY-5/"&amp;"LINE"&amp;(ROW(A185))),CHOOSE(SET.LANGUAGE,'DICTIONARY-5'!B185,'DICTIONARY-5'!C185,'DICTIONARY-5'!D185,'DICTIONARY-5'!E185,'DICTIONARY-5'!F185))</f>
        <v>Duża skrzynka transportowa z kółkami</v>
      </c>
      <c r="B185" s="585" t="s">
        <v>2309</v>
      </c>
      <c r="C185" s="586" t="s">
        <v>7638</v>
      </c>
      <c r="D185" s="586" t="s">
        <v>6783</v>
      </c>
      <c r="E185" s="586" t="s">
        <v>7312</v>
      </c>
      <c r="F185" s="581" t="str">
        <f t="shared" si="19"/>
        <v>185❺Velký transportní kufr s kolečky</v>
      </c>
      <c r="G185" s="582" t="str">
        <f t="shared" si="20"/>
        <v>'DICTIONARY-5'!$A$185</v>
      </c>
    </row>
    <row r="186" spans="1:7" x14ac:dyDescent="0.25">
      <c r="A186" s="508" t="str">
        <f>IF(CHOOSE(SET.LANGUAGE,'DICTIONARY-5'!B186,'DICTIONARY-5'!C186,'DICTIONARY-5'!D186,'DICTIONARY-5'!E186,'DICTIONARY-5'!F186)=0,("??? "&amp;"DICTIONARY-5/"&amp;"LINE"&amp;(ROW(A186))),CHOOSE(SET.LANGUAGE,'DICTIONARY-5'!B186,'DICTIONARY-5'!C186,'DICTIONARY-5'!D186,'DICTIONARY-5'!E186,'DICTIONARY-5'!F186))</f>
        <v>Awaryjny generator prądu z wózkiem (3 kVA)</v>
      </c>
      <c r="B186" s="585" t="s">
        <v>6785</v>
      </c>
      <c r="C186" s="586" t="s">
        <v>7639</v>
      </c>
      <c r="D186" s="586" t="s">
        <v>6784</v>
      </c>
      <c r="E186" s="586" t="s">
        <v>7325</v>
      </c>
      <c r="F186" s="581" t="str">
        <f t="shared" si="19"/>
        <v>186❺Nouzový el. agregát s podvozkem (3 kVA)</v>
      </c>
      <c r="G186" s="582" t="str">
        <f t="shared" si="20"/>
        <v>'DICTIONARY-5'!$A$186</v>
      </c>
    </row>
    <row r="187" spans="1:7" x14ac:dyDescent="0.25">
      <c r="A187" s="508" t="str">
        <f>IF(CHOOSE(SET.LANGUAGE,'DICTIONARY-5'!B187,'DICTIONARY-5'!C187,'DICTIONARY-5'!D187,'DICTIONARY-5'!E187,'DICTIONARY-5'!F187)=0,("??? "&amp;"DICTIONARY-5/"&amp;"LINE"&amp;(ROW(A187))),CHOOSE(SET.LANGUAGE,'DICTIONARY-5'!B187,'DICTIONARY-5'!C187,'DICTIONARY-5'!D187,'DICTIONARY-5'!E187,'DICTIONARY-5'!F187))</f>
        <v>Średnica kółka ręcznego</v>
      </c>
      <c r="B187" s="585" t="s">
        <v>6441</v>
      </c>
      <c r="C187" s="586" t="s">
        <v>7640</v>
      </c>
      <c r="D187" s="586" t="s">
        <v>6786</v>
      </c>
      <c r="E187" s="586" t="s">
        <v>7265</v>
      </c>
      <c r="F187" s="581" t="str">
        <f t="shared" si="19"/>
        <v>187❺Průměr ručního kola</v>
      </c>
      <c r="G187" s="582" t="str">
        <f t="shared" si="20"/>
        <v>'DICTIONARY-5'!$A$187</v>
      </c>
    </row>
    <row r="188" spans="1:7" x14ac:dyDescent="0.25">
      <c r="A188" s="508" t="str">
        <f>IF(CHOOSE(SET.LANGUAGE,'DICTIONARY-5'!B188,'DICTIONARY-5'!C188,'DICTIONARY-5'!D188,'DICTIONARY-5'!E188,'DICTIONARY-5'!F188)=0,("??? "&amp;"DICTIONARY-5/"&amp;"LINE"&amp;(ROW(A188))),CHOOSE(SET.LANGUAGE,'DICTIONARY-5'!B188,'DICTIONARY-5'!C188,'DICTIONARY-5'!D188,'DICTIONARY-5'!E188,'DICTIONARY-5'!F188))</f>
        <v>otwor</v>
      </c>
      <c r="B188" s="585" t="s">
        <v>6905</v>
      </c>
      <c r="C188" s="586" t="s">
        <v>7641</v>
      </c>
      <c r="D188" s="586" t="s">
        <v>6906</v>
      </c>
      <c r="E188" s="586" t="s">
        <v>7266</v>
      </c>
      <c r="F188" s="581" t="str">
        <f t="shared" ref="F188" si="21">CONCATENATE(ROW(B188),"❺",B188)</f>
        <v>188❺díra</v>
      </c>
      <c r="G188" s="582" t="str">
        <f t="shared" ref="G188" si="22">"'DICTIONARY-5'!$A$"&amp;ROW(A188)</f>
        <v>'DICTIONARY-5'!$A$188</v>
      </c>
    </row>
    <row r="189" spans="1:7" x14ac:dyDescent="0.25">
      <c r="A189" s="508" t="str">
        <f>IF(CHOOSE(SET.LANGUAGE,'DICTIONARY-5'!B189,'DICTIONARY-5'!C189,'DICTIONARY-5'!D189,'DICTIONARY-5'!E189,'DICTIONARY-5'!F189)=0,("??? "&amp;"DICTIONARY-5/"&amp;"LINE"&amp;(ROW(A189))),CHOOSE(SET.LANGUAGE,'DICTIONARY-5'!B189,'DICTIONARY-5'!C189,'DICTIONARY-5'!D189,'DICTIONARY-5'!E189,'DICTIONARY-5'!F189))</f>
        <v>Wymiar otworu</v>
      </c>
      <c r="B189" s="585" t="s">
        <v>6442</v>
      </c>
      <c r="C189" s="586" t="s">
        <v>7688</v>
      </c>
      <c r="D189" s="586" t="s">
        <v>6904</v>
      </c>
      <c r="E189" s="586" t="s">
        <v>7267</v>
      </c>
      <c r="F189" s="581" t="str">
        <f t="shared" si="19"/>
        <v>189❺Průměr díry</v>
      </c>
      <c r="G189" s="582" t="str">
        <f t="shared" si="20"/>
        <v>'DICTIONARY-5'!$A$189</v>
      </c>
    </row>
    <row r="190" spans="1:7" x14ac:dyDescent="0.25">
      <c r="A190" s="508" t="str">
        <f>IF(CHOOSE(SET.LANGUAGE,'DICTIONARY-5'!B190,'DICTIONARY-5'!C190,'DICTIONARY-5'!D190,'DICTIONARY-5'!E190,'DICTIONARY-5'!F190)=0,("??? "&amp;"DICTIONARY-5/"&amp;"LINE"&amp;(ROW(A190))),CHOOSE(SET.LANGUAGE,'DICTIONARY-5'!B190,'DICTIONARY-5'!C190,'DICTIONARY-5'!D190,'DICTIONARY-5'!E190,'DICTIONARY-5'!F190))</f>
        <v>RAL7021</v>
      </c>
      <c r="B190" s="585" t="s">
        <v>6956</v>
      </c>
      <c r="C190" s="586" t="s">
        <v>6956</v>
      </c>
      <c r="D190" s="586" t="s">
        <v>6956</v>
      </c>
      <c r="E190" s="586" t="s">
        <v>6956</v>
      </c>
      <c r="F190" s="581" t="str">
        <f t="shared" si="19"/>
        <v>190❺RAL7021</v>
      </c>
      <c r="G190" s="582" t="str">
        <f t="shared" si="20"/>
        <v>'DICTIONARY-5'!$A$190</v>
      </c>
    </row>
    <row r="191" spans="1:7" x14ac:dyDescent="0.25">
      <c r="A191" s="508" t="str">
        <f>IF(CHOOSE(SET.LANGUAGE,'DICTIONARY-5'!B191,'DICTIONARY-5'!C191,'DICTIONARY-5'!D191,'DICTIONARY-5'!E191,'DICTIONARY-5'!F191)=0,("??? "&amp;"DICTIONARY-5/"&amp;"LINE"&amp;(ROW(A191))),CHOOSE(SET.LANGUAGE,'DICTIONARY-5'!B191,'DICTIONARY-5'!C191,'DICTIONARY-5'!D191,'DICTIONARY-5'!E191,'DICTIONARY-5'!F191))</f>
        <v>RAL3000</v>
      </c>
      <c r="B191" s="585" t="s">
        <v>6930</v>
      </c>
      <c r="C191" s="586" t="s">
        <v>6930</v>
      </c>
      <c r="D191" s="586" t="s">
        <v>6930</v>
      </c>
      <c r="E191" s="586" t="s">
        <v>6930</v>
      </c>
      <c r="F191" s="581" t="str">
        <f t="shared" ref="F191" si="23">CONCATENATE(ROW(B191),"❺",B191)</f>
        <v>191❺RAL3000</v>
      </c>
      <c r="G191" s="582" t="str">
        <f t="shared" ref="G191" si="24">"'DICTIONARY-5'!$A$"&amp;ROW(A191)</f>
        <v>'DICTIONARY-5'!$A$191</v>
      </c>
    </row>
    <row r="192" spans="1:7" x14ac:dyDescent="0.25">
      <c r="A192" s="508" t="str">
        <f>IF(CHOOSE(SET.LANGUAGE,'DICTIONARY-5'!B192,'DICTIONARY-5'!C192,'DICTIONARY-5'!D192,'DICTIONARY-5'!E192,'DICTIONARY-5'!F192)=0,("??? "&amp;"DICTIONARY-5/"&amp;"LINE"&amp;(ROW(A192))),CHOOSE(SET.LANGUAGE,'DICTIONARY-5'!B192,'DICTIONARY-5'!C192,'DICTIONARY-5'!D192,'DICTIONARY-5'!E192,'DICTIONARY-5'!F192))</f>
        <v>kolor czerwony RAL 3000</v>
      </c>
      <c r="B192" s="585" t="s">
        <v>6237</v>
      </c>
      <c r="C192" s="586" t="s">
        <v>7642</v>
      </c>
      <c r="D192" s="586" t="s">
        <v>6787</v>
      </c>
      <c r="E192" s="586" t="s">
        <v>7269</v>
      </c>
      <c r="F192" s="581" t="str">
        <f t="shared" si="19"/>
        <v>192❺barva červená RAL 3000</v>
      </c>
      <c r="G192" s="582" t="str">
        <f t="shared" si="20"/>
        <v>'DICTIONARY-5'!$A$192</v>
      </c>
    </row>
    <row r="193" spans="1:7" x14ac:dyDescent="0.25">
      <c r="A193" s="508" t="str">
        <f>IF(CHOOSE(SET.LANGUAGE,'DICTIONARY-5'!B193,'DICTIONARY-5'!C193,'DICTIONARY-5'!D193,'DICTIONARY-5'!E193,'DICTIONARY-5'!F193)=0,("??? "&amp;"DICTIONARY-5/"&amp;"LINE"&amp;(ROW(A193))),CHOOSE(SET.LANGUAGE,'DICTIONARY-5'!B193,'DICTIONARY-5'!C193,'DICTIONARY-5'!D193,'DICTIONARY-5'!E193,'DICTIONARY-5'!F193))</f>
        <v>kolor niebieski</v>
      </c>
      <c r="B193" s="585" t="s">
        <v>6444</v>
      </c>
      <c r="C193" s="586" t="s">
        <v>7643</v>
      </c>
      <c r="D193" s="586" t="s">
        <v>6788</v>
      </c>
      <c r="E193" s="586" t="s">
        <v>7268</v>
      </c>
      <c r="F193" s="581" t="str">
        <f t="shared" si="19"/>
        <v>193❺barva modrá</v>
      </c>
      <c r="G193" s="582" t="str">
        <f t="shared" si="20"/>
        <v>'DICTIONARY-5'!$A$193</v>
      </c>
    </row>
    <row r="194" spans="1:7" x14ac:dyDescent="0.25">
      <c r="A194" s="508" t="str">
        <f>IF(CHOOSE(SET.LANGUAGE,'DICTIONARY-5'!B194,'DICTIONARY-5'!C194,'DICTIONARY-5'!D194,'DICTIONARY-5'!E194,'DICTIONARY-5'!F194)=0,("??? "&amp;"DICTIONARY-5/"&amp;"LINE"&amp;(ROW(A194))),CHOOSE(SET.LANGUAGE,'DICTIONARY-5'!B194,'DICTIONARY-5'!C194,'DICTIONARY-5'!D194,'DICTIONARY-5'!E194,'DICTIONARY-5'!F194))</f>
        <v>kolor szary</v>
      </c>
      <c r="B194" s="585" t="s">
        <v>6445</v>
      </c>
      <c r="C194" s="586" t="s">
        <v>7644</v>
      </c>
      <c r="D194" s="586" t="s">
        <v>6789</v>
      </c>
      <c r="E194" s="586" t="s">
        <v>7270</v>
      </c>
      <c r="F194" s="581" t="str">
        <f t="shared" si="19"/>
        <v>194❺barva šedá</v>
      </c>
      <c r="G194" s="582" t="str">
        <f t="shared" si="20"/>
        <v>'DICTIONARY-5'!$A$194</v>
      </c>
    </row>
    <row r="195" spans="1:7" x14ac:dyDescent="0.25">
      <c r="A195" s="508" t="str">
        <f>IF(CHOOSE(SET.LANGUAGE,'DICTIONARY-5'!B195,'DICTIONARY-5'!C195,'DICTIONARY-5'!D195,'DICTIONARY-5'!E195,'DICTIONARY-5'!F195)=0,("??? "&amp;"DICTIONARY-5/"&amp;"LINE"&amp;(ROW(A195))),CHOOSE(SET.LANGUAGE,'DICTIONARY-5'!B195,'DICTIONARY-5'!C195,'DICTIONARY-5'!D195,'DICTIONARY-5'!E195,'DICTIONARY-5'!F195))</f>
        <v>kolor czarny</v>
      </c>
      <c r="B195" s="585" t="s">
        <v>6446</v>
      </c>
      <c r="C195" s="586" t="s">
        <v>7645</v>
      </c>
      <c r="D195" s="586" t="s">
        <v>6790</v>
      </c>
      <c r="E195" s="586" t="s">
        <v>7271</v>
      </c>
      <c r="F195" s="581" t="str">
        <f t="shared" si="19"/>
        <v>195❺barva černá</v>
      </c>
      <c r="G195" s="582" t="str">
        <f t="shared" si="20"/>
        <v>'DICTIONARY-5'!$A$195</v>
      </c>
    </row>
    <row r="196" spans="1:7" x14ac:dyDescent="0.25">
      <c r="A196" s="508" t="str">
        <f>IF(CHOOSE(SET.LANGUAGE,'DICTIONARY-5'!B196,'DICTIONARY-5'!C196,'DICTIONARY-5'!D196,'DICTIONARY-5'!E196,'DICTIONARY-5'!F196)=0,("??? "&amp;"DICTIONARY-5/"&amp;"LINE"&amp;(ROW(A196))),CHOOSE(SET.LANGUAGE,'DICTIONARY-5'!B196,'DICTIONARY-5'!C196,'DICTIONARY-5'!D196,'DICTIONARY-5'!E196,'DICTIONARY-5'!F196))</f>
        <v>z hakiem</v>
      </c>
      <c r="B196" s="585" t="s">
        <v>6009</v>
      </c>
      <c r="C196" s="586" t="s">
        <v>7646</v>
      </c>
      <c r="D196" s="586" t="s">
        <v>6791</v>
      </c>
      <c r="E196" s="586" t="s">
        <v>7273</v>
      </c>
      <c r="F196" s="581" t="str">
        <f t="shared" si="19"/>
        <v>196❺s hákem a trnem</v>
      </c>
      <c r="G196" s="582" t="str">
        <f t="shared" si="20"/>
        <v>'DICTIONARY-5'!$A$196</v>
      </c>
    </row>
    <row r="197" spans="1:7" x14ac:dyDescent="0.25">
      <c r="A197" s="508" t="str">
        <f>IF(CHOOSE(SET.LANGUAGE,'DICTIONARY-5'!B197,'DICTIONARY-5'!C197,'DICTIONARY-5'!D197,'DICTIONARY-5'!E197,'DICTIONARY-5'!F197)=0,("??? "&amp;"DICTIONARY-5/"&amp;"LINE"&amp;(ROW(A197))),CHOOSE(SET.LANGUAGE,'DICTIONARY-5'!B197,'DICTIONARY-5'!C197,'DICTIONARY-5'!D197,'DICTIONARY-5'!E197,'DICTIONARY-5'!F197))</f>
        <v>z sześciokątnym otworem</v>
      </c>
      <c r="B197" s="585" t="s">
        <v>6010</v>
      </c>
      <c r="C197" s="586" t="s">
        <v>7775</v>
      </c>
      <c r="D197" s="586" t="s">
        <v>6792</v>
      </c>
      <c r="E197" s="586" t="s">
        <v>7272</v>
      </c>
      <c r="F197" s="581" t="str">
        <f t="shared" si="19"/>
        <v>197❺s šestiúhelníkovým otvorem</v>
      </c>
      <c r="G197" s="582" t="str">
        <f t="shared" si="20"/>
        <v>'DICTIONARY-5'!$A$197</v>
      </c>
    </row>
    <row r="198" spans="1:7" x14ac:dyDescent="0.25">
      <c r="A198" s="508" t="str">
        <f>IF(CHOOSE(SET.LANGUAGE,'DICTIONARY-5'!B198,'DICTIONARY-5'!C198,'DICTIONARY-5'!D198,'DICTIONARY-5'!E198,'DICTIONARY-5'!F198)=0,("??? "&amp;"DICTIONARY-5/"&amp;"LINE"&amp;(ROW(A198))),CHOOSE(SET.LANGUAGE,'DICTIONARY-5'!B198,'DICTIONARY-5'!C198,'DICTIONARY-5'!D198,'DICTIONARY-5'!E198,'DICTIONARY-5'!F198))</f>
        <v>mufa</v>
      </c>
      <c r="B198" s="585" t="s">
        <v>6012</v>
      </c>
      <c r="C198" s="586" t="s">
        <v>6012</v>
      </c>
      <c r="D198" s="586" t="s">
        <v>6793</v>
      </c>
      <c r="E198" s="586" t="s">
        <v>7274</v>
      </c>
      <c r="F198" s="581" t="str">
        <f t="shared" si="19"/>
        <v>198❺hrdlo</v>
      </c>
      <c r="G198" s="582" t="str">
        <f t="shared" si="20"/>
        <v>'DICTIONARY-5'!$A$198</v>
      </c>
    </row>
    <row r="199" spans="1:7" x14ac:dyDescent="0.25">
      <c r="A199" s="508" t="str">
        <f>IF(CHOOSE(SET.LANGUAGE,'DICTIONARY-5'!B199,'DICTIONARY-5'!C199,'DICTIONARY-5'!D199,'DICTIONARY-5'!E199,'DICTIONARY-5'!F199)=0,("??? "&amp;"DICTIONARY-5/"&amp;"LINE"&amp;(ROW(A199))),CHOOSE(SET.LANGUAGE,'DICTIONARY-5'!B199,'DICTIONARY-5'!C199,'DICTIONARY-5'!D199,'DICTIONARY-5'!E199,'DICTIONARY-5'!F199))</f>
        <v>końcówka bosa</v>
      </c>
      <c r="B199" s="585" t="s">
        <v>6013</v>
      </c>
      <c r="C199" s="586" t="s">
        <v>7647</v>
      </c>
      <c r="D199" s="586" t="s">
        <v>6794</v>
      </c>
      <c r="E199" s="586" t="s">
        <v>7275</v>
      </c>
      <c r="F199" s="581" t="str">
        <f t="shared" si="19"/>
        <v>199❺nátrubek</v>
      </c>
      <c r="G199" s="582" t="str">
        <f t="shared" si="20"/>
        <v>'DICTIONARY-5'!$A$199</v>
      </c>
    </row>
    <row r="200" spans="1:7" x14ac:dyDescent="0.25">
      <c r="A200" s="508" t="str">
        <f>IF(CHOOSE(SET.LANGUAGE,'DICTIONARY-5'!B200,'DICTIONARY-5'!C200,'DICTIONARY-5'!D200,'DICTIONARY-5'!E200,'DICTIONARY-5'!F200)=0,("??? "&amp;"DICTIONARY-5/"&amp;"LINE"&amp;(ROW(A200))),CHOOSE(SET.LANGUAGE,'DICTIONARY-5'!B200,'DICTIONARY-5'!C200,'DICTIONARY-5'!D200,'DICTIONARY-5'!E200,'DICTIONARY-5'!F200))</f>
        <v>szybkozłaczka wciskana</v>
      </c>
      <c r="B200" s="585" t="s">
        <v>6353</v>
      </c>
      <c r="C200" s="586" t="s">
        <v>6353</v>
      </c>
      <c r="D200" s="586" t="s">
        <v>6795</v>
      </c>
      <c r="E200" s="586" t="s">
        <v>7313</v>
      </c>
      <c r="F200" s="581" t="str">
        <f t="shared" si="19"/>
        <v>200❺spojka</v>
      </c>
      <c r="G200" s="582" t="str">
        <f t="shared" si="20"/>
        <v>'DICTIONARY-5'!$A$200</v>
      </c>
    </row>
    <row r="201" spans="1:7" x14ac:dyDescent="0.25">
      <c r="A201" s="508" t="str">
        <f>IF(CHOOSE(SET.LANGUAGE,'DICTIONARY-5'!B201,'DICTIONARY-5'!C201,'DICTIONARY-5'!D201,'DICTIONARY-5'!E201,'DICTIONARY-5'!F201)=0,("??? "&amp;"DICTIONARY-5/"&amp;"LINE"&amp;(ROW(A201))),CHOOSE(SET.LANGUAGE,'DICTIONARY-5'!B201,'DICTIONARY-5'!C201,'DICTIONARY-5'!D201,'DICTIONARY-5'!E201,'DICTIONARY-5'!F201))</f>
        <v>szybkozłączki wciskane</v>
      </c>
      <c r="B201" s="585" t="s">
        <v>6867</v>
      </c>
      <c r="C201" s="586" t="s">
        <v>6867</v>
      </c>
      <c r="D201" s="586" t="s">
        <v>6868</v>
      </c>
      <c r="E201" s="586" t="s">
        <v>7314</v>
      </c>
      <c r="F201" s="581" t="str">
        <f t="shared" ref="F201" si="25">CONCATENATE(ROW(B201),"❺",B201)</f>
        <v>201❺spojky</v>
      </c>
      <c r="G201" s="582" t="str">
        <f t="shared" ref="G201" si="26">"'DICTIONARY-5'!$A$"&amp;ROW(A201)</f>
        <v>'DICTIONARY-5'!$A$201</v>
      </c>
    </row>
    <row r="202" spans="1:7" x14ac:dyDescent="0.25">
      <c r="A202" s="508" t="str">
        <f>IF(CHOOSE(SET.LANGUAGE,'DICTIONARY-5'!B202,'DICTIONARY-5'!C202,'DICTIONARY-5'!D202,'DICTIONARY-5'!E202,'DICTIONARY-5'!F202)=0,("??? "&amp;"DICTIONARY-5/"&amp;"LINE"&amp;(ROW(A202))),CHOOSE(SET.LANGUAGE,'DICTIONARY-5'!B202,'DICTIONARY-5'!C202,'DICTIONARY-5'!D202,'DICTIONARY-5'!E202,'DICTIONARY-5'!F202))</f>
        <v>PE-końcówka</v>
      </c>
      <c r="B202" s="585" t="s">
        <v>6354</v>
      </c>
      <c r="C202" s="586" t="s">
        <v>7648</v>
      </c>
      <c r="D202" s="586" t="s">
        <v>6796</v>
      </c>
      <c r="E202" s="586" t="s">
        <v>7284</v>
      </c>
      <c r="F202" s="581" t="str">
        <f t="shared" ref="F202:F212" si="27">CONCATENATE(ROW(B202),"❺",B202)</f>
        <v>202❺PE-konec</v>
      </c>
      <c r="G202" s="582" t="str">
        <f t="shared" si="20"/>
        <v>'DICTIONARY-5'!$A$202</v>
      </c>
    </row>
    <row r="203" spans="1:7" x14ac:dyDescent="0.25">
      <c r="A203" s="508" t="str">
        <f>IF(CHOOSE(SET.LANGUAGE,'DICTIONARY-5'!B203,'DICTIONARY-5'!C203,'DICTIONARY-5'!D203,'DICTIONARY-5'!E203,'DICTIONARY-5'!F203)=0,("??? "&amp;"DICTIONARY-5/"&amp;"LINE"&amp;(ROW(A203))),CHOOSE(SET.LANGUAGE,'DICTIONARY-5'!B203,'DICTIONARY-5'!C203,'DICTIONARY-5'!D203,'DICTIONARY-5'!E203,'DICTIONARY-5'!F203))</f>
        <v>pokrywa</v>
      </c>
      <c r="B203" s="585" t="s">
        <v>6355</v>
      </c>
      <c r="C203" s="586" t="s">
        <v>7649</v>
      </c>
      <c r="D203" s="586" t="s">
        <v>6356</v>
      </c>
      <c r="E203" s="586" t="s">
        <v>7276</v>
      </c>
      <c r="F203" s="581" t="str">
        <f t="shared" si="27"/>
        <v>203❺víko</v>
      </c>
      <c r="G203" s="582" t="str">
        <f t="shared" si="20"/>
        <v>'DICTIONARY-5'!$A$203</v>
      </c>
    </row>
    <row r="204" spans="1:7" x14ac:dyDescent="0.25">
      <c r="A204" s="508" t="str">
        <f>IF(CHOOSE(SET.LANGUAGE,'DICTIONARY-5'!B204,'DICTIONARY-5'!C204,'DICTIONARY-5'!D204,'DICTIONARY-5'!E204,'DICTIONARY-5'!F204)=0,("??? "&amp;"DICTIONARY-5/"&amp;"LINE"&amp;(ROW(A204))),CHOOSE(SET.LANGUAGE,'DICTIONARY-5'!B204,'DICTIONARY-5'!C204,'DICTIONARY-5'!D204,'DICTIONARY-5'!E204,'DICTIONARY-5'!F204))</f>
        <v>Połączenie</v>
      </c>
      <c r="B204" s="585" t="s">
        <v>6454</v>
      </c>
      <c r="C204" s="586" t="s">
        <v>7689</v>
      </c>
      <c r="D204" s="586" t="s">
        <v>6797</v>
      </c>
      <c r="E204" s="586" t="s">
        <v>7277</v>
      </c>
      <c r="F204" s="581" t="str">
        <f t="shared" si="27"/>
        <v>204❺Připojení</v>
      </c>
      <c r="G204" s="582" t="str">
        <f t="shared" si="20"/>
        <v>'DICTIONARY-5'!$A$204</v>
      </c>
    </row>
    <row r="205" spans="1:7" x14ac:dyDescent="0.25">
      <c r="A205" s="508" t="str">
        <f>IF(CHOOSE(SET.LANGUAGE,'DICTIONARY-5'!B205,'DICTIONARY-5'!C205,'DICTIONARY-5'!D205,'DICTIONARY-5'!E205,'DICTIONARY-5'!F205)=0,("??? "&amp;"DICTIONARY-5/"&amp;"LINE"&amp;(ROW(A205))),CHOOSE(SET.LANGUAGE,'DICTIONARY-5'!B205,'DICTIONARY-5'!C205,'DICTIONARY-5'!D205,'DICTIONARY-5'!E205,'DICTIONARY-5'!F205))</f>
        <v>Długość kształtki</v>
      </c>
      <c r="B205" s="585" t="s">
        <v>6479</v>
      </c>
      <c r="C205" s="586" t="s">
        <v>7650</v>
      </c>
      <c r="D205" s="586" t="s">
        <v>6798</v>
      </c>
      <c r="E205" s="586" t="s">
        <v>7278</v>
      </c>
      <c r="F205" s="581" t="str">
        <f t="shared" si="27"/>
        <v>205❺Délka tvarovky</v>
      </c>
      <c r="G205" s="582" t="str">
        <f t="shared" si="20"/>
        <v>'DICTIONARY-5'!$A$205</v>
      </c>
    </row>
    <row r="206" spans="1:7" x14ac:dyDescent="0.25">
      <c r="A206" s="508" t="str">
        <f>IF(CHOOSE(SET.LANGUAGE,'DICTIONARY-5'!B206,'DICTIONARY-5'!C206,'DICTIONARY-5'!D206,'DICTIONARY-5'!E206,'DICTIONARY-5'!F206)=0,("??? "&amp;"DICTIONARY-5/"&amp;"LINE"&amp;(ROW(A206))),CHOOSE(SET.LANGUAGE,'DICTIONARY-5'!B206,'DICTIONARY-5'!C206,'DICTIONARY-5'!D206,'DICTIONARY-5'!E206,'DICTIONARY-5'!F206))</f>
        <v>po włożeniu do mufy</v>
      </c>
      <c r="B206" s="585" t="s">
        <v>6480</v>
      </c>
      <c r="C206" s="586" t="s">
        <v>6480</v>
      </c>
      <c r="D206" s="586" t="s">
        <v>6799</v>
      </c>
      <c r="E206" s="586" t="s">
        <v>7279</v>
      </c>
      <c r="F206" s="581" t="str">
        <f t="shared" si="27"/>
        <v>206❺po zasunutí do hrdla</v>
      </c>
      <c r="G206" s="582" t="str">
        <f t="shared" si="20"/>
        <v>'DICTIONARY-5'!$A$206</v>
      </c>
    </row>
    <row r="207" spans="1:7" x14ac:dyDescent="0.25">
      <c r="A207" s="508" t="str">
        <f>IF(CHOOSE(SET.LANGUAGE,'DICTIONARY-5'!B207,'DICTIONARY-5'!C207,'DICTIONARY-5'!D207,'DICTIONARY-5'!E207,'DICTIONARY-5'!F207)=0,("??? "&amp;"DICTIONARY-5/"&amp;"LINE"&amp;(ROW(A207))),CHOOSE(SET.LANGUAGE,'DICTIONARY-5'!B207,'DICTIONARY-5'!C207,'DICTIONARY-5'!D207,'DICTIONARY-5'!E207,'DICTIONARY-5'!F207))</f>
        <v>Kąt</v>
      </c>
      <c r="B207" s="585" t="s">
        <v>2472</v>
      </c>
      <c r="C207" s="586" t="s">
        <v>7690</v>
      </c>
      <c r="D207" s="586" t="s">
        <v>6800</v>
      </c>
      <c r="E207" s="586" t="s">
        <v>7281</v>
      </c>
      <c r="F207" s="581" t="str">
        <f t="shared" si="27"/>
        <v xml:space="preserve">207❺Úhel </v>
      </c>
      <c r="G207" s="582" t="str">
        <f t="shared" si="20"/>
        <v>'DICTIONARY-5'!$A$207</v>
      </c>
    </row>
    <row r="208" spans="1:7" x14ac:dyDescent="0.25">
      <c r="A208" s="508" t="str">
        <f>IF(CHOOSE(SET.LANGUAGE,'DICTIONARY-5'!B208,'DICTIONARY-5'!C208,'DICTIONARY-5'!D208,'DICTIONARY-5'!E208,'DICTIONARY-5'!F208)=0,("??? "&amp;"DICTIONARY-5/"&amp;"LINE"&amp;(ROW(A208))),CHOOSE(SET.LANGUAGE,'DICTIONARY-5'!B208,'DICTIONARY-5'!C208,'DICTIONARY-5'!D208,'DICTIONARY-5'!E208,'DICTIONARY-5'!F208))</f>
        <v>odgałęzienie</v>
      </c>
      <c r="B208" s="585" t="s">
        <v>6011</v>
      </c>
      <c r="C208" s="586" t="s">
        <v>6011</v>
      </c>
      <c r="D208" s="586" t="s">
        <v>6801</v>
      </c>
      <c r="E208" s="586" t="s">
        <v>7280</v>
      </c>
      <c r="F208" s="581" t="str">
        <f t="shared" si="27"/>
        <v>208❺odbočka</v>
      </c>
      <c r="G208" s="582" t="str">
        <f t="shared" ref="G208:G212" si="28">"'DICTIONARY-5'!$A$"&amp;ROW(A208)</f>
        <v>'DICTIONARY-5'!$A$208</v>
      </c>
    </row>
    <row r="209" spans="1:7" x14ac:dyDescent="0.25">
      <c r="A209" s="508" t="str">
        <f>IF(CHOOSE(SET.LANGUAGE,'DICTIONARY-5'!B209,'DICTIONARY-5'!C209,'DICTIONARY-5'!D209,'DICTIONARY-5'!E209,'DICTIONARY-5'!F209)=0,("??? "&amp;"DICTIONARY-5/"&amp;"LINE"&amp;(ROW(A209))),CHOOSE(SET.LANGUAGE,'DICTIONARY-5'!B209,'DICTIONARY-5'!C209,'DICTIONARY-5'!D209,'DICTIONARY-5'!E209,'DICTIONARY-5'!F209))</f>
        <v>inne</v>
      </c>
      <c r="B209" s="585" t="s">
        <v>6490</v>
      </c>
      <c r="C209" s="586" t="s">
        <v>7651</v>
      </c>
      <c r="D209" s="586" t="s">
        <v>6802</v>
      </c>
      <c r="E209" s="586" t="s">
        <v>7282</v>
      </c>
      <c r="F209" s="581" t="str">
        <f t="shared" si="27"/>
        <v>209❺ostatní</v>
      </c>
      <c r="G209" s="582" t="str">
        <f t="shared" si="28"/>
        <v>'DICTIONARY-5'!$A$209</v>
      </c>
    </row>
    <row r="210" spans="1:7" x14ac:dyDescent="0.25">
      <c r="A210" s="508" t="str">
        <f>IF(CHOOSE(SET.LANGUAGE,'DICTIONARY-5'!B210,'DICTIONARY-5'!C210,'DICTIONARY-5'!D210,'DICTIONARY-5'!E210,'DICTIONARY-5'!F210)=0,("??? "&amp;"DICTIONARY-5/"&amp;"LINE"&amp;(ROW(A210))),CHOOSE(SET.LANGUAGE,'DICTIONARY-5'!B210,'DICTIONARY-5'!C210,'DICTIONARY-5'!D210,'DICTIONARY-5'!E210,'DICTIONARY-5'!F210))</f>
        <v>Przeciwdziała przemieszczeniu końcówki rury w kielichu</v>
      </c>
      <c r="B210" s="585" t="s">
        <v>2537</v>
      </c>
      <c r="C210" s="586" t="s">
        <v>7652</v>
      </c>
      <c r="D210" s="586" t="s">
        <v>6803</v>
      </c>
      <c r="E210" s="586" t="s">
        <v>7315</v>
      </c>
      <c r="F210" s="581" t="str">
        <f t="shared" si="27"/>
        <v>210❺Proti posunu volného konce potrubí v hrdle</v>
      </c>
      <c r="G210" s="582" t="str">
        <f t="shared" si="28"/>
        <v>'DICTIONARY-5'!$A$210</v>
      </c>
    </row>
    <row r="211" spans="1:7" x14ac:dyDescent="0.25">
      <c r="A211" s="508" t="str">
        <f>IF(CHOOSE(SET.LANGUAGE,'DICTIONARY-5'!B211,'DICTIONARY-5'!C211,'DICTIONARY-5'!D211,'DICTIONARY-5'!E211,'DICTIONARY-5'!F211)=0,("??? "&amp;"DICTIONARY-5/"&amp;"LINE"&amp;(ROW(A211))),CHOOSE(SET.LANGUAGE,'DICTIONARY-5'!B211,'DICTIONARY-5'!C211,'DICTIONARY-5'!D211,'DICTIONARY-5'!E211,'DICTIONARY-5'!F211))</f>
        <v>Przeciwdziała obróceniu końcówki bagnetowej w kielichu</v>
      </c>
      <c r="B211" s="585" t="s">
        <v>2597</v>
      </c>
      <c r="C211" s="586" t="s">
        <v>7776</v>
      </c>
      <c r="D211" s="586" t="s">
        <v>6804</v>
      </c>
      <c r="E211" s="586" t="s">
        <v>7316</v>
      </c>
      <c r="F211" s="581" t="str">
        <f t="shared" si="27"/>
        <v>211❺Proti pootočení nátrubku v hrdle</v>
      </c>
      <c r="G211" s="582" t="str">
        <f t="shared" si="28"/>
        <v>'DICTIONARY-5'!$A$211</v>
      </c>
    </row>
    <row r="212" spans="1:7" x14ac:dyDescent="0.25">
      <c r="A212" s="508" t="str">
        <f>IF(CHOOSE(SET.LANGUAGE,'DICTIONARY-5'!B212,'DICTIONARY-5'!C212,'DICTIONARY-5'!D212,'DICTIONARY-5'!E212,'DICTIONARY-5'!F212)=0,("??? "&amp;"DICTIONARY-5/"&amp;"LINE"&amp;(ROW(A212))),CHOOSE(SET.LANGUAGE,'DICTIONARY-5'!B212,'DICTIONARY-5'!C212,'DICTIONARY-5'!D212,'DICTIONARY-5'!E212,'DICTIONARY-5'!F212))</f>
        <v>Z wolnym wałkiem do zamontowania napędu elektrycznego SQ/SQR lub napędu pneumatycznego</v>
      </c>
      <c r="B212" s="585" t="s">
        <v>5176</v>
      </c>
      <c r="C212" s="586" t="s">
        <v>7777</v>
      </c>
      <c r="D212" s="586" t="s">
        <v>6805</v>
      </c>
      <c r="E212" s="586" t="s">
        <v>7317</v>
      </c>
      <c r="F212" s="581" t="str">
        <f t="shared" si="27"/>
        <v>212❺S volným koncem vřetene pro kyvný servopohon (SQ, SQR) a pneupohon</v>
      </c>
      <c r="G212" s="582" t="str">
        <f t="shared" si="28"/>
        <v>'DICTIONARY-5'!$A$212</v>
      </c>
    </row>
    <row r="213" spans="1:7" x14ac:dyDescent="0.25">
      <c r="A213" s="508" t="str">
        <f>IF(CHOOSE(SET.LANGUAGE,'DICTIONARY-5'!B213,'DICTIONARY-5'!C213,'DICTIONARY-5'!D213,'DICTIONARY-5'!E213,'DICTIONARY-5'!F213)=0,("??? "&amp;"DICTIONARY-5/"&amp;"LINE"&amp;(ROW(A213))),CHOOSE(SET.LANGUAGE,'DICTIONARY-5'!B213,'DICTIONARY-5'!C213,'DICTIONARY-5'!D213,'DICTIONARY-5'!E213,'DICTIONARY-5'!F213))</f>
        <v>Wał wyjściowy przekładni</v>
      </c>
      <c r="B213" s="585" t="s">
        <v>8258</v>
      </c>
      <c r="C213" s="586" t="s">
        <v>8261</v>
      </c>
      <c r="D213" s="586" t="s">
        <v>8260</v>
      </c>
      <c r="E213" s="586" t="s">
        <v>8259</v>
      </c>
      <c r="F213" s="581" t="str">
        <f t="shared" ref="F213" si="29">CONCATENATE(ROW(B213),"❺",B213)</f>
        <v>213❺Výstupní hřídel převodovky</v>
      </c>
      <c r="G213" s="582" t="str">
        <f t="shared" ref="G213" si="30">"'DICTIONARY-5'!$A$"&amp;ROW(A213)</f>
        <v>'DICTIONARY-5'!$A$213</v>
      </c>
    </row>
  </sheetData>
  <sheetProtection algorithmName="SHA-512" hashValue="zprghTv8drfu86b5ZzwSR2Y0e6ZqH1/OjJG/uEWnuUYQKlodqs+jtCYsfIWXGg5/zrDVo8XXQykkLk2SPL/r0Q==" saltValue="sxwJzdvbOetzq/VkHs6sWg==" spinCount="100000" sheet="1" objects="1" scenarios="1" autoFilter="0"/>
  <conditionalFormatting sqref="B1:E1048576">
    <cfRule type="containsBlanks" dxfId="17" priority="48">
      <formula>LEN(TRIM(B1))=0</formula>
    </cfRule>
  </conditionalFormatting>
  <conditionalFormatting sqref="A1">
    <cfRule type="expression" dxfId="16" priority="1">
      <formula>CODE(LEFT(A1,1))&gt;90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9">
    <tabColor rgb="FF0F6E23"/>
  </sheetPr>
  <dimension ref="A1:L36"/>
  <sheetViews>
    <sheetView workbookViewId="0"/>
  </sheetViews>
  <sheetFormatPr defaultColWidth="9.140625" defaultRowHeight="15" x14ac:dyDescent="0.25"/>
  <cols>
    <col min="1" max="2" width="11.42578125" style="146" customWidth="1"/>
    <col min="3" max="4" width="22.140625" style="146" customWidth="1"/>
    <col min="5" max="6" width="12.85546875" style="146" customWidth="1"/>
    <col min="7" max="16384" width="9.140625" style="146"/>
  </cols>
  <sheetData>
    <row r="1" spans="1:6" s="408" customFormat="1" ht="45" customHeight="1" thickBot="1" x14ac:dyDescent="0.3">
      <c r="A1" s="430"/>
      <c r="B1" s="430"/>
      <c r="C1" s="430"/>
      <c r="D1" s="430"/>
    </row>
    <row r="2" spans="1:6" s="467" customFormat="1" ht="4.5" customHeight="1" x14ac:dyDescent="0.25">
      <c r="A2" s="466"/>
    </row>
    <row r="3" spans="1:6" ht="15.75" thickBot="1" x14ac:dyDescent="0.3">
      <c r="A3" s="147"/>
      <c r="B3" s="148"/>
      <c r="C3" s="148"/>
      <c r="D3" s="148"/>
    </row>
    <row r="4" spans="1:6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6" x14ac:dyDescent="0.25">
      <c r="A5" s="147"/>
      <c r="B5" s="148"/>
      <c r="C5" s="148"/>
      <c r="D5" s="148"/>
    </row>
    <row r="6" spans="1:6" ht="16.5" thickBot="1" x14ac:dyDescent="0.3">
      <c r="A6" s="134" t="str">
        <f>CONCATENATE('DICTIONARY-3'!$A$64," ",'DICTIONARY-3'!$A$196," / ",'DICTIONARY-3'!$A$304)</f>
        <v>HODlock/TERRAlock Mostek nawiertowy / Ze zintegrowanym zaworem kulowym</v>
      </c>
      <c r="B6" s="712"/>
      <c r="C6" s="712"/>
      <c r="D6" s="712"/>
      <c r="E6" s="712"/>
      <c r="F6" s="712"/>
    </row>
    <row r="7" spans="1:6" x14ac:dyDescent="0.25">
      <c r="A7" s="150" t="str">
        <f>'DICTIONARY-3'!$A$303</f>
        <v>Dla rur z PVC i PE</v>
      </c>
      <c r="B7" s="144"/>
      <c r="C7" s="144"/>
      <c r="D7" s="144"/>
      <c r="E7" s="145"/>
      <c r="F7" s="145"/>
    </row>
    <row r="8" spans="1:6" x14ac:dyDescent="0.25">
      <c r="A8" s="150" t="str">
        <f>CONCATENATE('DICTIONARY-1'!$A$10,": ",SETTINGS!$C$34)</f>
        <v>Grupa rabatowa: TERRA K3 BAIO</v>
      </c>
      <c r="B8" s="144"/>
      <c r="C8" s="144"/>
      <c r="D8" s="144"/>
      <c r="E8" s="145"/>
      <c r="F8" s="145"/>
    </row>
    <row r="9" spans="1:6" x14ac:dyDescent="0.25">
      <c r="A9" s="151"/>
      <c r="B9" s="144"/>
      <c r="C9" s="144"/>
      <c r="D9" s="144"/>
      <c r="E9" s="145"/>
      <c r="F9" s="145"/>
    </row>
    <row r="10" spans="1:6" ht="15" customHeight="1" x14ac:dyDescent="0.25">
      <c r="A10" s="707" t="str">
        <f>'DICTIONARY-2'!$A$2</f>
        <v>DN</v>
      </c>
      <c r="B10" s="707" t="str">
        <f>'DICTIONARY-2'!$A$5&amp;" 1)"</f>
        <v>Da 1)</v>
      </c>
      <c r="C10" s="1004" t="str">
        <f>'DICTIONARY-3'!$A$64</f>
        <v>HODlock/TERRAlock</v>
      </c>
      <c r="D10" s="1004"/>
      <c r="E10" s="1004"/>
      <c r="F10" s="1004"/>
    </row>
    <row r="11" spans="1:6" ht="15" customHeight="1" x14ac:dyDescent="0.25">
      <c r="A11" s="524" t="str">
        <f>'DICTIONARY-5'!$A$122</f>
        <v>rura</v>
      </c>
      <c r="B11" s="524" t="str">
        <f>'DICTIONARY-5'!$A$122</f>
        <v>rura</v>
      </c>
      <c r="C11" s="1007" t="str">
        <f>LOWER('DICTIONARY-3'!$A$304)</f>
        <v>ze zintegrowanym zaworem kulowym</v>
      </c>
      <c r="D11" s="1007"/>
      <c r="E11" s="1007"/>
      <c r="F11" s="1007"/>
    </row>
    <row r="12" spans="1:6" x14ac:dyDescent="0.25">
      <c r="A12" s="160"/>
      <c r="B12" s="160" t="str">
        <f>'DICTIONARY-2'!$A$18</f>
        <v>[mm]</v>
      </c>
      <c r="C12" s="154" t="str">
        <f>'DICTIONARY-2'!$A$28</f>
        <v>stary nr zamówienia</v>
      </c>
      <c r="D12" s="154" t="str">
        <f>'DICTIONARY-2'!$A$29</f>
        <v>nowy nr zamówienia</v>
      </c>
      <c r="E12" s="155" t="str">
        <f>CURRENCY.CODE_1</f>
        <v>EUR</v>
      </c>
      <c r="F12" s="155" t="str">
        <f>CURRENCY.CODE_2</f>
        <v>---</v>
      </c>
    </row>
    <row r="13" spans="1:6" x14ac:dyDescent="0.25">
      <c r="A13" s="156">
        <v>80</v>
      </c>
      <c r="B13" s="156">
        <v>90</v>
      </c>
      <c r="C13" s="156" t="s">
        <v>1152</v>
      </c>
      <c r="D13" s="347" t="s">
        <v>4159</v>
      </c>
      <c r="E13" s="339" t="str">
        <f>IFERROR(IF(OR(D13='DICTIONARY-5'!$A$2,D13='DICTIONARY-5'!$A$4,ISBLANK(D13)),VLOOKUP(C13,LIST!$A$6:$L$3250,CURR_1.SEARCH.OLD,0),VLOOKUP(D13,LIST!$B$6:$L$3250,CURR_1.SEARCH.NEW,0)),'DICTIONARY-5'!$A$2)</f>
        <v>219,-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</row>
    <row r="14" spans="1:6" x14ac:dyDescent="0.25">
      <c r="A14" s="156">
        <v>100</v>
      </c>
      <c r="B14" s="156">
        <v>110</v>
      </c>
      <c r="C14" s="156" t="s">
        <v>1153</v>
      </c>
      <c r="D14" s="321" t="s">
        <v>4160</v>
      </c>
      <c r="E14" s="339" t="str">
        <f>IFERROR(IF(OR(D14='DICTIONARY-5'!$A$2,D14='DICTIONARY-5'!$A$4,ISBLANK(D14)),VLOOKUP(C14,LIST!$A$6:$L$3250,CURR_1.SEARCH.OLD,0),VLOOKUP(D14,LIST!$B$6:$L$3250,CURR_1.SEARCH.NEW,0)),'DICTIONARY-5'!$A$2)</f>
        <v>223,-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6" x14ac:dyDescent="0.25">
      <c r="A15" s="156">
        <v>125</v>
      </c>
      <c r="B15" s="156">
        <v>140</v>
      </c>
      <c r="C15" s="156" t="s">
        <v>1154</v>
      </c>
      <c r="D15" s="321" t="s">
        <v>4161</v>
      </c>
      <c r="E15" s="339" t="str">
        <f>IFERROR(IF(OR(D15='DICTIONARY-5'!$A$2,D15='DICTIONARY-5'!$A$4,ISBLANK(D15)),VLOOKUP(C15,LIST!$A$6:$L$3250,CURR_1.SEARCH.OLD,0),VLOOKUP(D15,LIST!$B$6:$L$3250,CURR_1.SEARCH.NEW,0)),'DICTIONARY-5'!$A$2)</f>
        <v>246,-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</row>
    <row r="16" spans="1:6" x14ac:dyDescent="0.25">
      <c r="A16" s="156">
        <v>150</v>
      </c>
      <c r="B16" s="156">
        <v>160</v>
      </c>
      <c r="C16" s="156" t="s">
        <v>1155</v>
      </c>
      <c r="D16" s="321" t="s">
        <v>4162</v>
      </c>
      <c r="E16" s="339" t="str">
        <f>IFERROR(IF(OR(D16='DICTIONARY-5'!$A$2,D16='DICTIONARY-5'!$A$4,ISBLANK(D16)),VLOOKUP(C16,LIST!$A$6:$L$3250,CURR_1.SEARCH.OLD,0),VLOOKUP(D16,LIST!$B$6:$L$3250,CURR_1.SEARCH.NEW,0)),'DICTIONARY-5'!$A$2)</f>
        <v>257,-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</row>
    <row r="17" spans="1:12" x14ac:dyDescent="0.25">
      <c r="A17" s="156">
        <v>200</v>
      </c>
      <c r="B17" s="156">
        <v>225</v>
      </c>
      <c r="C17" s="156" t="s">
        <v>1156</v>
      </c>
      <c r="D17" s="321" t="s">
        <v>4163</v>
      </c>
      <c r="E17" s="339" t="str">
        <f>IFERROR(IF(OR(D17='DICTIONARY-5'!$A$2,D17='DICTIONARY-5'!$A$4,ISBLANK(D17)),VLOOKUP(C17,LIST!$A$6:$L$3250,CURR_1.SEARCH.OLD,0),VLOOKUP(D17,LIST!$B$6:$L$3250,CURR_1.SEARCH.NEW,0)),'DICTIONARY-5'!$A$2)</f>
        <v>330,-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</row>
    <row r="18" spans="1:12" x14ac:dyDescent="0.25">
      <c r="L18" s="525"/>
    </row>
    <row r="19" spans="1:12" x14ac:dyDescent="0.25">
      <c r="A19" s="146" t="str">
        <f>"1) "&amp;'DICTIONARY-5'!$A$75</f>
        <v>1) Zewnętrzna średnica rury nawierconej</v>
      </c>
    </row>
    <row r="23" spans="1:12" ht="16.5" thickBot="1" x14ac:dyDescent="0.3">
      <c r="A23" s="134" t="str">
        <f>CONCATENATE('DICTIONARY-3'!$A$64,'DICTIONARY-3'!$A$86," ",'DICTIONARY-3'!$A$196," / ",'DICTIONARY-3'!$A$290)</f>
        <v>HODlock/TERRAlock-K3 Mostek nawiertowy / Bez zaworu</v>
      </c>
      <c r="B23" s="712"/>
      <c r="C23" s="712"/>
      <c r="D23" s="712"/>
      <c r="E23" s="712"/>
      <c r="F23" s="712"/>
    </row>
    <row r="24" spans="1:12" x14ac:dyDescent="0.25">
      <c r="A24" s="150" t="str">
        <f>'DICTIONARY-3'!$A$303</f>
        <v>Dla rur z PVC i PE</v>
      </c>
    </row>
    <row r="25" spans="1:12" x14ac:dyDescent="0.25">
      <c r="A25" s="150" t="str">
        <f>CONCATENATE('DICTIONARY-1'!$A$10,": ",SETTINGS!$C$34)</f>
        <v>Grupa rabatowa: TERRA K3 BAIO</v>
      </c>
    </row>
    <row r="27" spans="1:12" ht="15" customHeight="1" x14ac:dyDescent="0.25">
      <c r="A27" s="707" t="str">
        <f>'DICTIONARY-2'!$A$2</f>
        <v>DN</v>
      </c>
      <c r="B27" s="707" t="str">
        <f>'DICTIONARY-2'!$A$5&amp;" 1)"</f>
        <v>Da 1)</v>
      </c>
      <c r="C27" s="1004" t="str">
        <f>'DICTIONARY-3'!$A$64&amp;'DICTIONARY-3'!$A$86</f>
        <v>HODlock/TERRAlock-K3</v>
      </c>
      <c r="D27" s="1004"/>
      <c r="E27" s="1004"/>
      <c r="F27" s="1004"/>
    </row>
    <row r="28" spans="1:12" x14ac:dyDescent="0.25">
      <c r="A28" s="524" t="str">
        <f>'DICTIONARY-5'!$A$122</f>
        <v>rura</v>
      </c>
      <c r="B28" s="524" t="str">
        <f>'DICTIONARY-5'!$A$122</f>
        <v>rura</v>
      </c>
      <c r="C28" s="1007" t="str">
        <f>LOWER('DICTIONARY-3'!$A$290)</f>
        <v>bez zaworu</v>
      </c>
      <c r="D28" s="1007"/>
      <c r="E28" s="1007"/>
      <c r="F28" s="1007"/>
    </row>
    <row r="29" spans="1:12" x14ac:dyDescent="0.25">
      <c r="A29" s="160"/>
      <c r="B29" s="160" t="str">
        <f>'DICTIONARY-2'!$A$18</f>
        <v>[mm]</v>
      </c>
      <c r="C29" s="154" t="str">
        <f>'DICTIONARY-2'!$A$28</f>
        <v>stary nr zamówienia</v>
      </c>
      <c r="D29" s="154" t="str">
        <f>'DICTIONARY-2'!$A$29</f>
        <v>nowy nr zamówienia</v>
      </c>
      <c r="E29" s="155" t="str">
        <f>CURRENCY.CODE_1</f>
        <v>EUR</v>
      </c>
      <c r="F29" s="155" t="str">
        <f>CURRENCY.CODE_2</f>
        <v>---</v>
      </c>
    </row>
    <row r="30" spans="1:12" x14ac:dyDescent="0.25">
      <c r="A30" s="156">
        <v>80</v>
      </c>
      <c r="B30" s="156">
        <v>90</v>
      </c>
      <c r="C30" s="156" t="s">
        <v>1157</v>
      </c>
      <c r="D30" s="321" t="s">
        <v>4164</v>
      </c>
      <c r="E30" s="339" t="str">
        <f>IFERROR(IF(OR(D30='DICTIONARY-5'!$A$2,D30='DICTIONARY-5'!$A$4,ISBLANK(D30)),VLOOKUP(C30,LIST!$A$6:$L$3250,CURR_1.SEARCH.OLD,0),VLOOKUP(D30,LIST!$B$6:$L$3250,CURR_1.SEARCH.NEW,0)),'DICTIONARY-5'!$A$2)</f>
        <v>118,-</v>
      </c>
      <c r="F30" s="339" t="str">
        <f>IFERROR(IF(OR(D30='DICTIONARY-5'!$A$2,D30='DICTIONARY-5'!$A$4,ISBLANK(D30)),VLOOKUP(C30,LIST!$A$6:$M$3250,CURR_2.SEARCH.OLD,0),VLOOKUP(D30,LIST!$B$6:$M$3250,CURR_2.SEARCH.NEW,0)),'DICTIONARY-5'!$A$2)</f>
        <v/>
      </c>
    </row>
    <row r="31" spans="1:12" x14ac:dyDescent="0.25">
      <c r="A31" s="156">
        <v>100</v>
      </c>
      <c r="B31" s="156">
        <v>110</v>
      </c>
      <c r="C31" s="156" t="s">
        <v>1158</v>
      </c>
      <c r="D31" s="321" t="s">
        <v>4165</v>
      </c>
      <c r="E31" s="339" t="str">
        <f>IFERROR(IF(OR(D31='DICTIONARY-5'!$A$2,D31='DICTIONARY-5'!$A$4,ISBLANK(D31)),VLOOKUP(C31,LIST!$A$6:$L$3250,CURR_1.SEARCH.OLD,0),VLOOKUP(D31,LIST!$B$6:$L$3250,CURR_1.SEARCH.NEW,0)),'DICTIONARY-5'!$A$2)</f>
        <v>124,-</v>
      </c>
      <c r="F31" s="339" t="str">
        <f>IFERROR(IF(OR(D31='DICTIONARY-5'!$A$2,D31='DICTIONARY-5'!$A$4,ISBLANK(D31)),VLOOKUP(C31,LIST!$A$6:$M$3250,CURR_2.SEARCH.OLD,0),VLOOKUP(D31,LIST!$B$6:$M$3250,CURR_2.SEARCH.NEW,0)),'DICTIONARY-5'!$A$2)</f>
        <v/>
      </c>
    </row>
    <row r="32" spans="1:12" x14ac:dyDescent="0.25">
      <c r="A32" s="156">
        <v>125</v>
      </c>
      <c r="B32" s="156">
        <v>140</v>
      </c>
      <c r="C32" s="156" t="s">
        <v>1159</v>
      </c>
      <c r="D32" s="321" t="s">
        <v>4166</v>
      </c>
      <c r="E32" s="339" t="str">
        <f>IFERROR(IF(OR(D32='DICTIONARY-5'!$A$2,D32='DICTIONARY-5'!$A$4,ISBLANK(D32)),VLOOKUP(C32,LIST!$A$6:$L$3250,CURR_1.SEARCH.OLD,0),VLOOKUP(D32,LIST!$B$6:$L$3250,CURR_1.SEARCH.NEW,0)),'DICTIONARY-5'!$A$2)</f>
        <v>170,-</v>
      </c>
      <c r="F32" s="339" t="str">
        <f>IFERROR(IF(OR(D32='DICTIONARY-5'!$A$2,D32='DICTIONARY-5'!$A$4,ISBLANK(D32)),VLOOKUP(C32,LIST!$A$6:$M$3250,CURR_2.SEARCH.OLD,0),VLOOKUP(D32,LIST!$B$6:$M$3250,CURR_2.SEARCH.NEW,0)),'DICTIONARY-5'!$A$2)</f>
        <v/>
      </c>
    </row>
    <row r="33" spans="1:6" x14ac:dyDescent="0.25">
      <c r="A33" s="156">
        <v>150</v>
      </c>
      <c r="B33" s="156">
        <v>160</v>
      </c>
      <c r="C33" s="156" t="s">
        <v>1160</v>
      </c>
      <c r="D33" s="321" t="s">
        <v>4167</v>
      </c>
      <c r="E33" s="339" t="str">
        <f>IFERROR(IF(OR(D33='DICTIONARY-5'!$A$2,D33='DICTIONARY-5'!$A$4,ISBLANK(D33)),VLOOKUP(C33,LIST!$A$6:$L$3250,CURR_1.SEARCH.OLD,0),VLOOKUP(D33,LIST!$B$6:$L$3250,CURR_1.SEARCH.NEW,0)),'DICTIONARY-5'!$A$2)</f>
        <v>146,-</v>
      </c>
      <c r="F33" s="339" t="str">
        <f>IFERROR(IF(OR(D33='DICTIONARY-5'!$A$2,D33='DICTIONARY-5'!$A$4,ISBLANK(D33)),VLOOKUP(C33,LIST!$A$6:$M$3250,CURR_2.SEARCH.OLD,0),VLOOKUP(D33,LIST!$B$6:$M$3250,CURR_2.SEARCH.NEW,0)),'DICTIONARY-5'!$A$2)</f>
        <v/>
      </c>
    </row>
    <row r="34" spans="1:6" x14ac:dyDescent="0.25">
      <c r="A34" s="156">
        <v>200</v>
      </c>
      <c r="B34" s="156">
        <v>225</v>
      </c>
      <c r="C34" s="156" t="s">
        <v>1161</v>
      </c>
      <c r="D34" s="321" t="s">
        <v>4168</v>
      </c>
      <c r="E34" s="339" t="str">
        <f>IFERROR(IF(OR(D34='DICTIONARY-5'!$A$2,D34='DICTIONARY-5'!$A$4,ISBLANK(D34)),VLOOKUP(C34,LIST!$A$6:$L$3250,CURR_1.SEARCH.OLD,0),VLOOKUP(D34,LIST!$B$6:$L$3250,CURR_1.SEARCH.NEW,0)),'DICTIONARY-5'!$A$2)</f>
        <v>215,-</v>
      </c>
      <c r="F34" s="339" t="str">
        <f>IFERROR(IF(OR(D34='DICTIONARY-5'!$A$2,D34='DICTIONARY-5'!$A$4,ISBLANK(D34)),VLOOKUP(C34,LIST!$A$6:$M$3250,CURR_2.SEARCH.OLD,0),VLOOKUP(D34,LIST!$B$6:$M$3250,CURR_2.SEARCH.NEW,0)),'DICTIONARY-5'!$A$2)</f>
        <v/>
      </c>
    </row>
    <row r="36" spans="1:6" x14ac:dyDescent="0.25">
      <c r="A36" s="146" t="str">
        <f>"1) "&amp;'DICTIONARY-5'!$A$75</f>
        <v>1) Zewnętrzna średnica rury nawierconej</v>
      </c>
    </row>
  </sheetData>
  <sheetProtection algorithmName="SHA-512" hashValue="r59umx43KUy+P+7lgCPI1tV2dFzji2jgE2hUNoGoOjFy9a4YO9BMoDrxoVMd5dmOJj4XAHJp59umNvLCbQCaqA==" saltValue="vY4Mv91clEp2GmnX4tcPxw==" spinCount="100000" sheet="1" objects="1" scenarios="1" autoFilter="0"/>
  <mergeCells count="5">
    <mergeCell ref="B4:E4"/>
    <mergeCell ref="C10:F10"/>
    <mergeCell ref="C27:F27"/>
    <mergeCell ref="C11:F11"/>
    <mergeCell ref="C28:F28"/>
  </mergeCells>
  <pageMargins left="0.7" right="0.7" top="0.78740157499999996" bottom="0.78740157499999996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0">
    <tabColor rgb="FF0F6E23"/>
  </sheetPr>
  <dimension ref="A1:S32"/>
  <sheetViews>
    <sheetView workbookViewId="0"/>
  </sheetViews>
  <sheetFormatPr defaultColWidth="9.140625" defaultRowHeight="15" x14ac:dyDescent="0.25"/>
  <cols>
    <col min="1" max="2" width="11.42578125" style="146" customWidth="1"/>
    <col min="3" max="4" width="22.140625" style="146" customWidth="1"/>
    <col min="5" max="6" width="12.85546875" style="146" customWidth="1"/>
    <col min="7" max="16384" width="9.140625" style="146"/>
  </cols>
  <sheetData>
    <row r="1" spans="1:19" s="408" customFormat="1" ht="45" customHeight="1" thickBot="1" x14ac:dyDescent="0.3">
      <c r="A1" s="430"/>
      <c r="B1" s="430"/>
      <c r="C1" s="430"/>
      <c r="D1" s="430"/>
    </row>
    <row r="2" spans="1:19" s="467" customFormat="1" ht="4.5" customHeight="1" x14ac:dyDescent="0.25">
      <c r="A2" s="466"/>
    </row>
    <row r="3" spans="1:19" ht="15.75" thickBot="1" x14ac:dyDescent="0.3">
      <c r="A3" s="147"/>
      <c r="B3" s="148"/>
      <c r="C3" s="148"/>
      <c r="D3" s="148"/>
    </row>
    <row r="4" spans="1:19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19" x14ac:dyDescent="0.25">
      <c r="A5" s="147"/>
      <c r="B5" s="148"/>
      <c r="C5" s="148"/>
      <c r="D5" s="148"/>
    </row>
    <row r="6" spans="1:19" ht="16.5" thickBot="1" x14ac:dyDescent="0.3">
      <c r="A6" s="712" t="str">
        <f>CONCATENATE('DICTIONARY-3'!$A$64," ",'DICTIONARY-3'!$A$217," / ",'DICTIONARY-3'!$A$305)</f>
        <v>HODlock/TERRAlock Kształtka / Z blokadą przed przemieszczaniem</v>
      </c>
      <c r="B6" s="712"/>
      <c r="C6" s="712"/>
      <c r="D6" s="712"/>
      <c r="E6" s="712"/>
      <c r="F6" s="712"/>
    </row>
    <row r="7" spans="1:19" x14ac:dyDescent="0.25">
      <c r="A7" s="150" t="str">
        <f>CONCATENATE('DICTIONARY-5'!$A$204,": ",'DICTIONARY-5'!$A$199,"-",'DICTIONARY-5'!$A$200)</f>
        <v>Połączenie: końcówka bosa-szybkozłaczka wciskana</v>
      </c>
      <c r="B7" s="150"/>
      <c r="C7" s="144"/>
      <c r="D7" s="144"/>
      <c r="E7" s="145"/>
      <c r="F7" s="145"/>
    </row>
    <row r="8" spans="1:19" x14ac:dyDescent="0.25">
      <c r="A8" s="150" t="str">
        <f>CONCATENATE('DICTIONARY-1'!$A$10,": ",SETTINGS!$C$34)</f>
        <v>Grupa rabatowa: TERRA K3 BAIO</v>
      </c>
      <c r="B8" s="150"/>
      <c r="C8" s="144"/>
      <c r="D8" s="144"/>
      <c r="E8" s="145"/>
      <c r="F8" s="145"/>
    </row>
    <row r="9" spans="1:19" x14ac:dyDescent="0.25">
      <c r="A9" s="151"/>
      <c r="B9" s="151"/>
      <c r="C9" s="144"/>
      <c r="D9" s="144"/>
      <c r="E9" s="145"/>
      <c r="F9" s="145"/>
    </row>
    <row r="10" spans="1:19" x14ac:dyDescent="0.25">
      <c r="A10" s="707" t="str">
        <f>'DICTIONARY-2'!$A$2</f>
        <v>DN</v>
      </c>
      <c r="B10" s="707" t="str">
        <f>'DICTIONARY-2'!$A$5&amp;" 1)"</f>
        <v>Da 1)</v>
      </c>
      <c r="C10" s="1004" t="str">
        <f>'DICTIONARY-3'!$A$64</f>
        <v>HODlock/TERRAlock</v>
      </c>
      <c r="D10" s="1004"/>
      <c r="E10" s="1004"/>
      <c r="F10" s="1004"/>
    </row>
    <row r="11" spans="1:19" ht="30" x14ac:dyDescent="0.25">
      <c r="A11" s="524" t="str">
        <f>'DICTIONARY-5'!$A$136</f>
        <v>przyłącza do domu</v>
      </c>
      <c r="B11" s="524" t="str">
        <f>'DICTIONARY-5'!$A$136</f>
        <v>przyłącza do domu</v>
      </c>
      <c r="C11" s="1007" t="str">
        <f>LOWER('DICTIONARY-3'!$A$305)</f>
        <v>z blokadą przed przemieszczaniem</v>
      </c>
      <c r="D11" s="1007"/>
      <c r="E11" s="1007"/>
      <c r="F11" s="1007"/>
    </row>
    <row r="12" spans="1:19" x14ac:dyDescent="0.25">
      <c r="A12" s="160"/>
      <c r="B12" s="160" t="str">
        <f>'DICTIONARY-2'!$A$18</f>
        <v>[mm]</v>
      </c>
      <c r="C12" s="154" t="str">
        <f>'DICTIONARY-2'!$A$28</f>
        <v>stary nr zamówienia</v>
      </c>
      <c r="D12" s="154" t="str">
        <f>'DICTIONARY-2'!$A$29</f>
        <v>nowy nr zamówienia</v>
      </c>
      <c r="E12" s="155" t="str">
        <f>CURRENCY.CODE_1</f>
        <v>EUR</v>
      </c>
      <c r="F12" s="155" t="str">
        <f>CURRENCY.CODE_2</f>
        <v>---</v>
      </c>
      <c r="S12" s="559"/>
    </row>
    <row r="13" spans="1:19" x14ac:dyDescent="0.25">
      <c r="A13" s="156">
        <v>25</v>
      </c>
      <c r="B13" s="156">
        <v>32</v>
      </c>
      <c r="C13" s="156" t="s">
        <v>1162</v>
      </c>
      <c r="D13" s="321" t="s">
        <v>4183</v>
      </c>
      <c r="E13" s="339" t="str">
        <f>IFERROR(IF(OR(D13='DICTIONARY-5'!$A$2,D13='DICTIONARY-5'!$A$4,ISBLANK(D13)),VLOOKUP(C13,LIST!$A$6:$L$3250,CURR_1.SEARCH.OLD,0),VLOOKUP(D13,LIST!$B$6:$L$3250,CURR_1.SEARCH.NEW,0)),'DICTIONARY-5'!$A$2)</f>
        <v>72,-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</row>
    <row r="14" spans="1:19" x14ac:dyDescent="0.25">
      <c r="A14" s="156">
        <v>32</v>
      </c>
      <c r="B14" s="156">
        <v>40</v>
      </c>
      <c r="C14" s="156" t="s">
        <v>1163</v>
      </c>
      <c r="D14" s="321" t="s">
        <v>4184</v>
      </c>
      <c r="E14" s="339" t="str">
        <f>IFERROR(IF(OR(D14='DICTIONARY-5'!$A$2,D14='DICTIONARY-5'!$A$4,ISBLANK(D14)),VLOOKUP(C14,LIST!$A$6:$L$3250,CURR_1.SEARCH.OLD,0),VLOOKUP(D14,LIST!$B$6:$L$3250,CURR_1.SEARCH.NEW,0)),'DICTIONARY-5'!$A$2)</f>
        <v>76,-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19" x14ac:dyDescent="0.25">
      <c r="A15" s="156">
        <v>40</v>
      </c>
      <c r="B15" s="156">
        <v>50</v>
      </c>
      <c r="C15" s="156" t="s">
        <v>1164</v>
      </c>
      <c r="D15" s="321" t="s">
        <v>4185</v>
      </c>
      <c r="E15" s="339" t="str">
        <f>IFERROR(IF(OR(D15='DICTIONARY-5'!$A$2,D15='DICTIONARY-5'!$A$4,ISBLANK(D15)),VLOOKUP(C15,LIST!$A$6:$L$3250,CURR_1.SEARCH.OLD,0),VLOOKUP(D15,LIST!$B$6:$L$3250,CURR_1.SEARCH.NEW,0)),'DICTIONARY-5'!$A$2)</f>
        <v>75,-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  <c r="N15" s="559"/>
    </row>
    <row r="16" spans="1:19" x14ac:dyDescent="0.25">
      <c r="A16" s="144"/>
      <c r="B16" s="144"/>
      <c r="C16" s="144"/>
      <c r="D16" s="144"/>
      <c r="E16" s="162"/>
      <c r="F16" s="162"/>
    </row>
    <row r="17" spans="1:6" x14ac:dyDescent="0.25">
      <c r="A17" s="146" t="str">
        <f>"1) "&amp;'DICTIONARY-5'!$A$76</f>
        <v>1) Średnica zewnętrzna rurociągu przyłącza domowego</v>
      </c>
      <c r="B17" s="144"/>
      <c r="C17" s="144"/>
      <c r="D17" s="144"/>
      <c r="E17" s="162"/>
      <c r="F17" s="162"/>
    </row>
    <row r="21" spans="1:6" ht="16.5" thickBot="1" x14ac:dyDescent="0.3">
      <c r="A21" s="712" t="str">
        <f>CONCATENATE('DICTIONARY-3'!$A$64," ",'DICTIONARY-3'!$A$217," / ",'DICTIONARY-3'!$A$306)</f>
        <v>HODlock/TERRAlock Kształtka / Do spawania z PE</v>
      </c>
      <c r="B21" s="712"/>
      <c r="C21" s="712"/>
      <c r="D21" s="712"/>
      <c r="E21" s="712"/>
      <c r="F21" s="712"/>
    </row>
    <row r="22" spans="1:6" x14ac:dyDescent="0.25">
      <c r="A22" s="150" t="str">
        <f>CONCATENATE('DICTIONARY-5'!$A$204,": ",'DICTIONARY-5'!$A$199,"-",'DICTIONARY-5'!$A$202)</f>
        <v>Połączenie: końcówka bosa-PE-końcówka</v>
      </c>
      <c r="B22" s="150"/>
      <c r="C22" s="144"/>
      <c r="D22" s="144"/>
      <c r="E22" s="145"/>
      <c r="F22" s="145"/>
    </row>
    <row r="23" spans="1:6" x14ac:dyDescent="0.25">
      <c r="A23" s="150" t="str">
        <f>CONCATENATE('DICTIONARY-1'!$A$10,": ",SETTINGS!$C$34)</f>
        <v>Grupa rabatowa: TERRA K3 BAIO</v>
      </c>
      <c r="B23" s="150"/>
      <c r="C23" s="144"/>
      <c r="D23" s="144"/>
      <c r="E23" s="145"/>
      <c r="F23" s="145"/>
    </row>
    <row r="24" spans="1:6" x14ac:dyDescent="0.25">
      <c r="A24" s="151"/>
      <c r="B24" s="151"/>
      <c r="C24" s="144"/>
      <c r="D24" s="144"/>
      <c r="E24" s="145"/>
      <c r="F24" s="145"/>
    </row>
    <row r="25" spans="1:6" x14ac:dyDescent="0.25">
      <c r="A25" s="707" t="str">
        <f>'DICTIONARY-2'!$A$2</f>
        <v>DN</v>
      </c>
      <c r="B25" s="707" t="str">
        <f>'DICTIONARY-2'!$A$5&amp;" 1)"</f>
        <v>Da 1)</v>
      </c>
      <c r="C25" s="1004" t="str">
        <f>'DICTIONARY-3'!$A$64</f>
        <v>HODlock/TERRAlock</v>
      </c>
      <c r="D25" s="1004"/>
      <c r="E25" s="1004"/>
      <c r="F25" s="1004"/>
    </row>
    <row r="26" spans="1:6" ht="30" x14ac:dyDescent="0.25">
      <c r="A26" s="524" t="str">
        <f>'DICTIONARY-5'!$A$136</f>
        <v>przyłącza do domu</v>
      </c>
      <c r="B26" s="524" t="str">
        <f>'DICTIONARY-5'!$A$136</f>
        <v>przyłącza do domu</v>
      </c>
      <c r="C26" s="1007" t="str">
        <f>REPLACE('DICTIONARY-3'!$A$306,1,1,LOWER(LEFT('DICTIONARY-3'!$A$306,1)))</f>
        <v>do spawania z PE</v>
      </c>
      <c r="D26" s="1007"/>
      <c r="E26" s="1007"/>
      <c r="F26" s="1007"/>
    </row>
    <row r="27" spans="1:6" x14ac:dyDescent="0.25">
      <c r="A27" s="160"/>
      <c r="B27" s="160" t="str">
        <f>'DICTIONARY-2'!$A$18</f>
        <v>[mm]</v>
      </c>
      <c r="C27" s="154" t="str">
        <f>'DICTIONARY-2'!$A$28</f>
        <v>stary nr zamówienia</v>
      </c>
      <c r="D27" s="154" t="str">
        <f>'DICTIONARY-2'!$A$29</f>
        <v>nowy nr zamówienia</v>
      </c>
      <c r="E27" s="155" t="str">
        <f>CURRENCY.CODE_1</f>
        <v>EUR</v>
      </c>
      <c r="F27" s="155" t="str">
        <f>CURRENCY.CODE_2</f>
        <v>---</v>
      </c>
    </row>
    <row r="28" spans="1:6" x14ac:dyDescent="0.25">
      <c r="A28" s="156">
        <v>25</v>
      </c>
      <c r="B28" s="156">
        <v>32</v>
      </c>
      <c r="C28" s="156" t="s">
        <v>1165</v>
      </c>
      <c r="D28" s="321" t="s">
        <v>4180</v>
      </c>
      <c r="E28" s="339" t="str">
        <f>IFERROR(IF(OR(D28='DICTIONARY-5'!$A$2,D28='DICTIONARY-5'!$A$4,ISBLANK(D28)),VLOOKUP(C28,LIST!$A$6:$L$3250,CURR_1.SEARCH.OLD,0),VLOOKUP(D28,LIST!$B$6:$L$3250,CURR_1.SEARCH.NEW,0)),'DICTIONARY-5'!$A$2)</f>
        <v>101,-</v>
      </c>
      <c r="F28" s="339" t="str">
        <f>IFERROR(IF(OR(D28='DICTIONARY-5'!$A$2,D28='DICTIONARY-5'!$A$4,ISBLANK(D28)),VLOOKUP(C28,LIST!$A$6:$M$3250,CURR_2.SEARCH.OLD,0),VLOOKUP(D28,LIST!$B$6:$M$3250,CURR_2.SEARCH.NEW,0)),'DICTIONARY-5'!$A$2)</f>
        <v/>
      </c>
    </row>
    <row r="29" spans="1:6" x14ac:dyDescent="0.25">
      <c r="A29" s="156">
        <v>32</v>
      </c>
      <c r="B29" s="156">
        <v>40</v>
      </c>
      <c r="C29" s="156" t="s">
        <v>1166</v>
      </c>
      <c r="D29" s="321" t="s">
        <v>4181</v>
      </c>
      <c r="E29" s="339" t="str">
        <f>IFERROR(IF(OR(D29='DICTIONARY-5'!$A$2,D29='DICTIONARY-5'!$A$4,ISBLANK(D29)),VLOOKUP(C29,LIST!$A$6:$L$3250,CURR_1.SEARCH.OLD,0),VLOOKUP(D29,LIST!$B$6:$L$3250,CURR_1.SEARCH.NEW,0)),'DICTIONARY-5'!$A$2)</f>
        <v>101,-</v>
      </c>
      <c r="F29" s="339" t="str">
        <f>IFERROR(IF(OR(D29='DICTIONARY-5'!$A$2,D29='DICTIONARY-5'!$A$4,ISBLANK(D29)),VLOOKUP(C29,LIST!$A$6:$M$3250,CURR_2.SEARCH.OLD,0),VLOOKUP(D29,LIST!$B$6:$M$3250,CURR_2.SEARCH.NEW,0)),'DICTIONARY-5'!$A$2)</f>
        <v/>
      </c>
    </row>
    <row r="30" spans="1:6" x14ac:dyDescent="0.25">
      <c r="A30" s="156">
        <v>40</v>
      </c>
      <c r="B30" s="156">
        <v>50</v>
      </c>
      <c r="C30" s="163" t="s">
        <v>1167</v>
      </c>
      <c r="D30" s="323" t="s">
        <v>4182</v>
      </c>
      <c r="E30" s="339" t="str">
        <f>IFERROR(IF(OR(D30='DICTIONARY-5'!$A$2,D30='DICTIONARY-5'!$A$4,ISBLANK(D30)),VLOOKUP(C30,LIST!$A$6:$L$3250,CURR_1.SEARCH.OLD,0),VLOOKUP(D30,LIST!$B$6:$L$3250,CURR_1.SEARCH.NEW,0)),'DICTIONARY-5'!$A$2)</f>
        <v>98,-</v>
      </c>
      <c r="F30" s="339" t="str">
        <f>IFERROR(IF(OR(D30='DICTIONARY-5'!$A$2,D30='DICTIONARY-5'!$A$4,ISBLANK(D30)),VLOOKUP(C30,LIST!$A$6:$M$3250,CURR_2.SEARCH.OLD,0),VLOOKUP(D30,LIST!$B$6:$M$3250,CURR_2.SEARCH.NEW,0)),'DICTIONARY-5'!$A$2)</f>
        <v/>
      </c>
    </row>
    <row r="32" spans="1:6" x14ac:dyDescent="0.25">
      <c r="A32" s="146" t="str">
        <f>"1) "&amp;'DICTIONARY-5'!$A$76</f>
        <v>1) Średnica zewnętrzna rurociągu przyłącza domowego</v>
      </c>
    </row>
  </sheetData>
  <sheetProtection algorithmName="SHA-512" hashValue="75yk8UBSVeLms3Zf/v99byyNyZiffTmOBRYpzhiKnyGyztNePgqMTSRBGhDkCvBoTjAcUBPCQMs1RlayKyWwkQ==" saltValue="ieuif8qfZeCAUeuVK5U8fQ==" spinCount="100000" sheet="1" objects="1" scenarios="1" autoFilter="0"/>
  <mergeCells count="5">
    <mergeCell ref="B4:E4"/>
    <mergeCell ref="C10:F10"/>
    <mergeCell ref="C25:F25"/>
    <mergeCell ref="C11:F11"/>
    <mergeCell ref="C26:F26"/>
  </mergeCells>
  <pageMargins left="0.7" right="0.7" top="0.78740157499999996" bottom="0.78740157499999996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1">
    <tabColor rgb="FF0F6E23"/>
  </sheetPr>
  <dimension ref="A1:K23"/>
  <sheetViews>
    <sheetView workbookViewId="0"/>
  </sheetViews>
  <sheetFormatPr defaultColWidth="9.140625" defaultRowHeight="15" x14ac:dyDescent="0.25"/>
  <cols>
    <col min="1" max="2" width="11.42578125" style="146" customWidth="1"/>
    <col min="3" max="4" width="22.140625" style="146" customWidth="1"/>
    <col min="5" max="6" width="12.85546875" style="146" customWidth="1"/>
    <col min="7" max="8" width="22.140625" style="146" customWidth="1"/>
    <col min="9" max="10" width="12.85546875" style="146" customWidth="1"/>
    <col min="11" max="11" width="9.5703125" style="146" customWidth="1"/>
    <col min="12" max="16384" width="9.140625" style="146"/>
  </cols>
  <sheetData>
    <row r="1" spans="1:11" s="408" customFormat="1" ht="45" customHeight="1" thickBot="1" x14ac:dyDescent="0.3">
      <c r="A1" s="430"/>
      <c r="B1" s="430"/>
      <c r="C1" s="430"/>
      <c r="D1" s="430"/>
    </row>
    <row r="2" spans="1:11" s="467" customFormat="1" ht="4.5" customHeight="1" x14ac:dyDescent="0.25">
      <c r="A2" s="466"/>
      <c r="B2" s="466"/>
    </row>
    <row r="3" spans="1:11" ht="15.75" thickBot="1" x14ac:dyDescent="0.3">
      <c r="A3" s="147"/>
      <c r="B3" s="147"/>
      <c r="C3" s="148"/>
      <c r="D3" s="148"/>
      <c r="E3" s="148"/>
    </row>
    <row r="4" spans="1:11" ht="15.75" thickBot="1" x14ac:dyDescent="0.3">
      <c r="A4" s="824">
        <f>ADD.DISCOUNT</f>
        <v>0</v>
      </c>
      <c r="B4" s="988" t="str">
        <f>HYPERLINK("#'LIST'!ADD.DISCOUNT","» "&amp;'DICTIONARY-1'!$A$5)</f>
        <v>» Ustaw globalny dodatkowy rabat</v>
      </c>
      <c r="C4" s="1008"/>
      <c r="D4" s="1008"/>
      <c r="E4" s="1009"/>
    </row>
    <row r="5" spans="1:11" x14ac:dyDescent="0.25">
      <c r="A5" s="147"/>
      <c r="B5" s="147"/>
      <c r="C5" s="148"/>
      <c r="D5" s="148"/>
      <c r="E5" s="148"/>
    </row>
    <row r="6" spans="1:11" ht="16.5" thickBot="1" x14ac:dyDescent="0.3">
      <c r="A6" s="712" t="str">
        <f>CONCATENATE('DICTIONARY-3'!$A$64," ",'DICTIONARY-3'!$A$187)</f>
        <v>HODlock/TERRAlock Zasuwa klinowa</v>
      </c>
      <c r="B6" s="712"/>
      <c r="C6" s="712"/>
      <c r="D6" s="712"/>
      <c r="E6" s="712"/>
      <c r="F6" s="712"/>
      <c r="G6" s="712"/>
      <c r="H6" s="712"/>
      <c r="I6" s="712"/>
      <c r="J6" s="712"/>
    </row>
    <row r="7" spans="1:11" x14ac:dyDescent="0.25">
      <c r="A7" s="150" t="str">
        <f>CONCATENATE('DICTIONARY-5'!$A$204,": ",'DICTIONARY-5'!$A$198,"-",'DICTIONARY-5'!$A$199)</f>
        <v>Połączenie: mufa-końcówka bosa</v>
      </c>
      <c r="B7" s="150"/>
      <c r="C7" s="150"/>
      <c r="D7" s="144"/>
      <c r="E7" s="144"/>
      <c r="F7" s="145"/>
      <c r="G7" s="145"/>
    </row>
    <row r="8" spans="1:11" x14ac:dyDescent="0.25">
      <c r="A8" s="150" t="str">
        <f>CONCATENATE('DICTIONARY-1'!$A$10,": ",SETTINGS!$C$34)</f>
        <v>Grupa rabatowa: TERRA K3 BAIO</v>
      </c>
      <c r="B8" s="150"/>
      <c r="C8" s="144"/>
      <c r="D8" s="144"/>
      <c r="E8" s="145"/>
      <c r="F8" s="145"/>
    </row>
    <row r="9" spans="1:11" x14ac:dyDescent="0.25">
      <c r="A9" s="151"/>
      <c r="B9" s="151"/>
      <c r="C9" s="144"/>
      <c r="D9" s="144"/>
      <c r="E9" s="145"/>
      <c r="F9" s="145"/>
    </row>
    <row r="10" spans="1:11" x14ac:dyDescent="0.25">
      <c r="A10" s="707" t="str">
        <f>'DICTIONARY-2'!$A$2</f>
        <v>DN</v>
      </c>
      <c r="B10" s="152" t="str">
        <f>'DICTIONARY-2'!$A$24</f>
        <v>L</v>
      </c>
      <c r="C10" s="1004" t="str">
        <f>'DICTIONARY-3'!$A$64</f>
        <v>HODlock/TERRAlock</v>
      </c>
      <c r="D10" s="1004"/>
      <c r="E10" s="1004"/>
      <c r="F10" s="1004"/>
      <c r="G10" s="1004" t="str">
        <f>'DICTIONARY-3'!$A$64</f>
        <v>HODlock/TERRAlock</v>
      </c>
      <c r="H10" s="1004"/>
      <c r="I10" s="1004"/>
      <c r="J10" s="1004"/>
    </row>
    <row r="11" spans="1:11" x14ac:dyDescent="0.25">
      <c r="A11" s="524"/>
      <c r="B11" s="153"/>
      <c r="C11" s="1007" t="str">
        <f>'DICTIONARY-5'!$A$203&amp;": "&amp;'DICTIONARY-5'!$A$52</f>
        <v>pokrywa: mosiądz</v>
      </c>
      <c r="D11" s="1007"/>
      <c r="E11" s="1007"/>
      <c r="F11" s="1007"/>
      <c r="G11" s="1007" t="str">
        <f>'DICTIONARY-5'!$A$203&amp;": "&amp;'DICTIONARY-5'!$A$48</f>
        <v>pokrywa: żeliwo</v>
      </c>
      <c r="H11" s="1007"/>
      <c r="I11" s="1007"/>
      <c r="J11" s="1007"/>
    </row>
    <row r="12" spans="1:11" x14ac:dyDescent="0.25">
      <c r="A12" s="160"/>
      <c r="B12" s="153" t="str">
        <f>'DICTIONARY-2'!$A$18</f>
        <v>[mm]</v>
      </c>
      <c r="C12" s="161" t="str">
        <f>'DICTIONARY-2'!$A$28</f>
        <v>stary nr zamówienia</v>
      </c>
      <c r="D12" s="161" t="str">
        <f>'DICTIONARY-2'!$A$29</f>
        <v>nowy nr zamówienia</v>
      </c>
      <c r="E12" s="155" t="str">
        <f>CURRENCY.CODE_1</f>
        <v>EUR</v>
      </c>
      <c r="F12" s="155" t="str">
        <f>CURRENCY.CODE_2</f>
        <v>---</v>
      </c>
      <c r="G12" s="161" t="str">
        <f>'DICTIONARY-2'!$A$28</f>
        <v>stary nr zamówienia</v>
      </c>
      <c r="H12" s="161" t="str">
        <f>'DICTIONARY-2'!$A$29</f>
        <v>nowy nr zamówienia</v>
      </c>
      <c r="I12" s="155" t="str">
        <f>CURRENCY.CODE_1</f>
        <v>EUR</v>
      </c>
      <c r="J12" s="155" t="str">
        <f>CURRENCY.CODE_2</f>
        <v>---</v>
      </c>
    </row>
    <row r="13" spans="1:11" x14ac:dyDescent="0.25">
      <c r="A13" s="156">
        <v>32</v>
      </c>
      <c r="B13" s="156">
        <v>185</v>
      </c>
      <c r="C13" s="164" t="s">
        <v>1168</v>
      </c>
      <c r="D13" s="321" t="s">
        <v>4174</v>
      </c>
      <c r="E13" s="339" t="str">
        <f>IFERROR(IF(OR(D13='DICTIONARY-5'!$A$2,D13='DICTIONARY-5'!$A$4,ISBLANK(D13)),VLOOKUP(C13,LIST!$A$6:$L$3250,CURR_1.SEARCH.OLD,0),VLOOKUP(D13,LIST!$B$6:$L$3250,CURR_1.SEARCH.NEW,0)),'DICTIONARY-5'!$A$2)</f>
        <v>162,-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  <c r="G13" s="164" t="s">
        <v>1169</v>
      </c>
      <c r="H13" s="321" t="s">
        <v>4175</v>
      </c>
      <c r="I13" s="339" t="str">
        <f>IFERROR(IF(OR(H13='DICTIONARY-5'!$A$2,H13='DICTIONARY-5'!$A$4,ISBLANK(H13)),VLOOKUP(G13,LIST!$A$6:$L$3250,CURR_1.SEARCH.OLD,0),VLOOKUP(H13,LIST!$B$6:$L$3250,CURR_1.SEARCH.NEW,0)),'DICTIONARY-5'!$A$2)</f>
        <v>246,-</v>
      </c>
      <c r="J13" s="339" t="str">
        <f>IFERROR(IF(OR(H13='DICTIONARY-5'!$A$2,H13='DICTIONARY-5'!$A$4,ISBLANK(H13)),VLOOKUP(G13,LIST!$A$6:$M$3250,CURR_2.SEARCH.OLD,0),VLOOKUP(H13,LIST!$B$6:$M$3250,CURR_2.SEARCH.NEW,0)),'DICTIONARY-5'!$A$2)</f>
        <v/>
      </c>
      <c r="K13" s="145"/>
    </row>
    <row r="17" spans="1:6" ht="16.5" thickBot="1" x14ac:dyDescent="0.3">
      <c r="A17" s="712" t="str">
        <f>CONCATENATE('DICTIONARY-3'!$A$63," ",'DICTIONARY-3'!$A$230," / ",'DICTIONARY-3'!$A$291)</f>
        <v xml:space="preserve">TERRAlock Zawór kątowy / Z zaworem </v>
      </c>
      <c r="B17" s="712"/>
      <c r="C17" s="712"/>
      <c r="D17" s="712"/>
      <c r="E17" s="712"/>
      <c r="F17" s="712"/>
    </row>
    <row r="18" spans="1:6" x14ac:dyDescent="0.25">
      <c r="A18" s="150" t="str">
        <f>CONCATENATE('DICTIONARY-1'!$A$10,": ",SETTINGS!$C$36)</f>
        <v>Grupa rabatowa: TERRA M1 BAIO</v>
      </c>
      <c r="B18" s="150"/>
      <c r="C18" s="150"/>
      <c r="D18" s="150"/>
      <c r="F18" s="145"/>
    </row>
    <row r="19" spans="1:6" x14ac:dyDescent="0.25">
      <c r="C19" s="151"/>
      <c r="D19" s="151"/>
      <c r="E19" s="144"/>
      <c r="F19" s="145"/>
    </row>
    <row r="20" spans="1:6" x14ac:dyDescent="0.25">
      <c r="A20" s="707" t="str">
        <f>'DICTIONARY-2'!$A$2</f>
        <v>DN</v>
      </c>
      <c r="B20" s="152"/>
      <c r="C20" s="1004" t="str">
        <f>'DICTIONARY-3'!$A$63</f>
        <v>TERRAlock</v>
      </c>
      <c r="D20" s="1004"/>
      <c r="E20" s="1004"/>
      <c r="F20" s="1004"/>
    </row>
    <row r="21" spans="1:6" x14ac:dyDescent="0.25">
      <c r="A21" s="524"/>
      <c r="B21" s="153"/>
      <c r="C21" s="1007" t="str">
        <f>LOWER('DICTIONARY-3'!$A$291)</f>
        <v xml:space="preserve">z zaworem </v>
      </c>
      <c r="D21" s="1007"/>
      <c r="E21" s="1007"/>
      <c r="F21" s="1007"/>
    </row>
    <row r="22" spans="1:6" x14ac:dyDescent="0.25">
      <c r="A22" s="160"/>
      <c r="B22" s="153"/>
      <c r="C22" s="161" t="str">
        <f>'DICTIONARY-2'!$A$28</f>
        <v>stary nr zamówienia</v>
      </c>
      <c r="D22" s="161" t="str">
        <f>'DICTIONARY-2'!$A$29</f>
        <v>nowy nr zamówienia</v>
      </c>
      <c r="E22" s="155" t="str">
        <f>CURRENCY.CODE_1</f>
        <v>EUR</v>
      </c>
      <c r="F22" s="155" t="str">
        <f>CURRENCY.CODE_2</f>
        <v>---</v>
      </c>
    </row>
    <row r="23" spans="1:6" x14ac:dyDescent="0.25">
      <c r="A23" s="156">
        <v>32</v>
      </c>
      <c r="B23" s="720"/>
      <c r="C23" s="164" t="s">
        <v>1171</v>
      </c>
      <c r="D23" s="321" t="s">
        <v>4176</v>
      </c>
      <c r="E23" s="339" t="str">
        <f>IFERROR(IF(OR(D23='DICTIONARY-5'!$A$2,D23='DICTIONARY-5'!$A$4,ISBLANK(D23)),VLOOKUP(C23,LIST!$A$6:$L$3250,CURR_1.SEARCH.OLD,0),VLOOKUP(D23,LIST!$B$6:$L$3250,CURR_1.SEARCH.NEW,0)),'DICTIONARY-5'!$A$2)</f>
        <v>157,-</v>
      </c>
      <c r="F23" s="339" t="str">
        <f>IFERROR(IF(OR(D23='DICTIONARY-5'!$A$2,D23='DICTIONARY-5'!$A$4,ISBLANK(D23)),VLOOKUP(C23,LIST!$A$6:$M$3250,CURR_2.SEARCH.OLD,0),VLOOKUP(D23,LIST!$B$6:$M$3250,CURR_2.SEARCH.NEW,0)),'DICTIONARY-5'!$A$2)</f>
        <v/>
      </c>
    </row>
  </sheetData>
  <sheetProtection algorithmName="SHA-512" hashValue="0lXBGs4AAKvieOAweCWxZC9e6oIbHksebCqzIuOH7QAhyzvXrdRdlYjcFg6FKEz4r84zO4WlkVa4YFve6meFjQ==" saltValue="LI+408GUFtuiYwRtNZsuTg==" spinCount="100000" sheet="1" objects="1" scenarios="1" autoFilter="0"/>
  <mergeCells count="7">
    <mergeCell ref="B4:E4"/>
    <mergeCell ref="C10:F10"/>
    <mergeCell ref="G10:J10"/>
    <mergeCell ref="C20:F20"/>
    <mergeCell ref="C21:F21"/>
    <mergeCell ref="C11:F11"/>
    <mergeCell ref="G11:J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2">
    <tabColor rgb="FFFFC000"/>
  </sheetPr>
  <dimension ref="A1:G56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16384" width="9.140625" style="146"/>
  </cols>
  <sheetData>
    <row r="1" spans="1:7" s="408" customFormat="1" ht="45" customHeight="1" thickBot="1" x14ac:dyDescent="0.3">
      <c r="A1" s="430"/>
      <c r="B1" s="430"/>
      <c r="C1" s="430"/>
      <c r="D1" s="430"/>
      <c r="E1" s="410"/>
      <c r="F1" s="409"/>
      <c r="G1" s="409"/>
    </row>
    <row r="2" spans="1:7" s="467" customFormat="1" ht="4.5" customHeight="1" x14ac:dyDescent="0.25">
      <c r="A2" s="466"/>
      <c r="B2" s="468"/>
      <c r="C2" s="468"/>
      <c r="D2" s="468"/>
      <c r="E2" s="468"/>
      <c r="F2" s="469"/>
      <c r="G2" s="469"/>
    </row>
    <row r="3" spans="1:7" ht="15.75" thickBot="1" x14ac:dyDescent="0.3">
      <c r="A3" s="147"/>
      <c r="B3" s="148"/>
      <c r="C3" s="148"/>
    </row>
    <row r="4" spans="1:7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7" x14ac:dyDescent="0.25">
      <c r="A5" s="147"/>
      <c r="B5" s="148"/>
      <c r="C5" s="148"/>
    </row>
    <row r="6" spans="1:7" ht="16.5" thickBot="1" x14ac:dyDescent="0.3">
      <c r="A6" s="712" t="str">
        <f>CONCATENATE('DICTIONARY-3'!$A$97," ",'DICTIONARY-3'!$A$200)</f>
        <v>SKR Zawór zwrotny</v>
      </c>
      <c r="B6" s="712"/>
      <c r="C6" s="712"/>
      <c r="D6" s="712"/>
      <c r="E6" s="712"/>
      <c r="F6" s="712"/>
      <c r="G6" s="712"/>
    </row>
    <row r="7" spans="1:7" x14ac:dyDescent="0.25">
      <c r="A7" s="150" t="str">
        <f>'DICTIONARY-3'!$A$307</f>
        <v>Ze skośnym siedziskiem</v>
      </c>
      <c r="D7" s="149"/>
      <c r="E7" s="149"/>
    </row>
    <row r="8" spans="1:7" x14ac:dyDescent="0.25">
      <c r="A8" s="150" t="str">
        <f>CONCATENATE('DICTIONARY-1'!$A$10,": ",SETTINGS!$C$56)</f>
        <v>Grupa rabatowa: SKR</v>
      </c>
      <c r="D8" s="149"/>
      <c r="E8" s="149"/>
    </row>
    <row r="9" spans="1:7" x14ac:dyDescent="0.25">
      <c r="A9" s="151"/>
    </row>
    <row r="10" spans="1:7" x14ac:dyDescent="0.25">
      <c r="A10" s="152" t="str">
        <f>'DICTIONARY-2'!$A$2</f>
        <v>DN</v>
      </c>
      <c r="B10" s="152" t="str">
        <f>'DICTIONARY-2'!$A$24</f>
        <v>L</v>
      </c>
      <c r="C10" s="152" t="str">
        <f>'DICTIONARY-2'!$A$3</f>
        <v>PN</v>
      </c>
      <c r="D10" s="1013" t="str">
        <f>'DICTIONARY-3'!$A$97</f>
        <v>SKR</v>
      </c>
      <c r="E10" s="1014"/>
      <c r="F10" s="1014"/>
      <c r="G10" s="1015"/>
    </row>
    <row r="11" spans="1:7" x14ac:dyDescent="0.25">
      <c r="A11" s="153"/>
      <c r="B11" s="153"/>
      <c r="C11" s="153"/>
      <c r="D11" s="1010"/>
      <c r="E11" s="1011"/>
      <c r="F11" s="1011"/>
      <c r="G11" s="1012"/>
    </row>
    <row r="12" spans="1:7" x14ac:dyDescent="0.25">
      <c r="A12" s="153"/>
      <c r="B12" s="153" t="str">
        <f>'DICTIONARY-2'!$A$18</f>
        <v>[mm]</v>
      </c>
      <c r="C12" s="153"/>
      <c r="D12" s="154" t="str">
        <f>'DICTIONARY-2'!$A$28</f>
        <v>stary nr zamówienia</v>
      </c>
      <c r="E12" s="154" t="str">
        <f>'DICTIONARY-2'!$A$29</f>
        <v>nowy nr zamówienia</v>
      </c>
      <c r="F12" s="155" t="str">
        <f>CURRENCY.CODE_1</f>
        <v>EUR</v>
      </c>
      <c r="G12" s="155" t="str">
        <f>CURRENCY.CODE_2</f>
        <v>---</v>
      </c>
    </row>
    <row r="13" spans="1:7" x14ac:dyDescent="0.25">
      <c r="A13" s="156">
        <v>200</v>
      </c>
      <c r="B13" s="156">
        <v>230</v>
      </c>
      <c r="C13" s="156">
        <v>10</v>
      </c>
      <c r="D13" s="156" t="s">
        <v>1174</v>
      </c>
      <c r="E13" s="321" t="s">
        <v>4664</v>
      </c>
      <c r="F13" s="339" t="str">
        <f>IFERROR(IF(OR(E13='DICTIONARY-5'!$A$2,E13='DICTIONARY-5'!$A$4,ISBLANK(E13)),VLOOKUP(D13,LIST!$A$6:$L$3250,CURR_1.SEARCH.OLD,0),VLOOKUP(E13,LIST!$B$6:$L$3250,CURR_1.SEARCH.NEW,0)),'DICTIONARY-5'!$A$2)</f>
        <v>4 379,-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156">
        <v>250</v>
      </c>
      <c r="B14" s="156">
        <v>250</v>
      </c>
      <c r="C14" s="156">
        <v>10</v>
      </c>
      <c r="D14" s="156" t="s">
        <v>1175</v>
      </c>
      <c r="E14" s="321" t="s">
        <v>4667</v>
      </c>
      <c r="F14" s="339" t="str">
        <f>IFERROR(IF(OR(E14='DICTIONARY-5'!$A$2,E14='DICTIONARY-5'!$A$4,ISBLANK(E14)),VLOOKUP(D14,LIST!$A$6:$L$3250,CURR_1.SEARCH.OLD,0),VLOOKUP(E14,LIST!$B$6:$L$3250,CURR_1.SEARCH.NEW,0)),'DICTIONARY-5'!$A$2)</f>
        <v>4 387,-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156">
        <v>300</v>
      </c>
      <c r="B15" s="156">
        <v>270</v>
      </c>
      <c r="C15" s="156">
        <v>10</v>
      </c>
      <c r="D15" s="156" t="s">
        <v>1176</v>
      </c>
      <c r="E15" s="321" t="s">
        <v>4669</v>
      </c>
      <c r="F15" s="339" t="str">
        <f>IFERROR(IF(OR(E15='DICTIONARY-5'!$A$2,E15='DICTIONARY-5'!$A$4,ISBLANK(E15)),VLOOKUP(D15,LIST!$A$6:$L$3250,CURR_1.SEARCH.OLD,0),VLOOKUP(E15,LIST!$B$6:$L$3250,CURR_1.SEARCH.NEW,0)),'DICTIONARY-5'!$A$2)</f>
        <v>4 849,-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156">
        <v>350</v>
      </c>
      <c r="B16" s="156">
        <v>290</v>
      </c>
      <c r="C16" s="156">
        <v>10</v>
      </c>
      <c r="D16" s="156" t="s">
        <v>1177</v>
      </c>
      <c r="E16" s="321" t="s">
        <v>4672</v>
      </c>
      <c r="F16" s="339" t="str">
        <f>IFERROR(IF(OR(E16='DICTIONARY-5'!$A$2,E16='DICTIONARY-5'!$A$4,ISBLANK(E16)),VLOOKUP(D16,LIST!$A$6:$L$3250,CURR_1.SEARCH.OLD,0),VLOOKUP(E16,LIST!$B$6:$L$3250,CURR_1.SEARCH.NEW,0)),'DICTIONARY-5'!$A$2)</f>
        <v>5 282,-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156">
        <v>400</v>
      </c>
      <c r="B17" s="156">
        <v>310</v>
      </c>
      <c r="C17" s="156">
        <v>10</v>
      </c>
      <c r="D17" s="156" t="s">
        <v>1178</v>
      </c>
      <c r="E17" s="321" t="s">
        <v>4675</v>
      </c>
      <c r="F17" s="339" t="str">
        <f>IFERROR(IF(OR(E17='DICTIONARY-5'!$A$2,E17='DICTIONARY-5'!$A$4,ISBLANK(E17)),VLOOKUP(D17,LIST!$A$6:$L$3250,CURR_1.SEARCH.OLD,0),VLOOKUP(E17,LIST!$B$6:$L$3250,CURR_1.SEARCH.NEW,0)),'DICTIONARY-5'!$A$2)</f>
        <v>5 698,-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156">
        <v>450</v>
      </c>
      <c r="B18" s="156">
        <v>330</v>
      </c>
      <c r="C18" s="156">
        <v>10</v>
      </c>
      <c r="D18" s="156" t="s">
        <v>1179</v>
      </c>
      <c r="E18" s="321" t="s">
        <v>4678</v>
      </c>
      <c r="F18" s="339" t="str">
        <f>IFERROR(IF(OR(E18='DICTIONARY-5'!$A$2,E18='DICTIONARY-5'!$A$4,ISBLANK(E18)),VLOOKUP(D18,LIST!$A$6:$L$3250,CURR_1.SEARCH.OLD,0),VLOOKUP(E18,LIST!$B$6:$L$3250,CURR_1.SEARCH.NEW,0)),'DICTIONARY-5'!$A$2)</f>
        <v>8 686,-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156">
        <v>500</v>
      </c>
      <c r="B19" s="156">
        <v>350</v>
      </c>
      <c r="C19" s="156">
        <v>10</v>
      </c>
      <c r="D19" s="156" t="s">
        <v>1180</v>
      </c>
      <c r="E19" s="321" t="s">
        <v>4681</v>
      </c>
      <c r="F19" s="339" t="str">
        <f>IFERROR(IF(OR(E19='DICTIONARY-5'!$A$2,E19='DICTIONARY-5'!$A$4,ISBLANK(E19)),VLOOKUP(D19,LIST!$A$6:$L$3250,CURR_1.SEARCH.OLD,0),VLOOKUP(E19,LIST!$B$6:$L$3250,CURR_1.SEARCH.NEW,0)),'DICTIONARY-5'!$A$2)</f>
        <v>6 265,-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0" spans="1:7" x14ac:dyDescent="0.25">
      <c r="A20" s="156">
        <v>600</v>
      </c>
      <c r="B20" s="156">
        <v>390</v>
      </c>
      <c r="C20" s="156">
        <v>10</v>
      </c>
      <c r="D20" s="156" t="s">
        <v>1181</v>
      </c>
      <c r="E20" s="321" t="s">
        <v>4684</v>
      </c>
      <c r="F20" s="339" t="str">
        <f>IFERROR(IF(OR(E20='DICTIONARY-5'!$A$2,E20='DICTIONARY-5'!$A$4,ISBLANK(E20)),VLOOKUP(D20,LIST!$A$6:$L$3250,CURR_1.SEARCH.OLD,0),VLOOKUP(E20,LIST!$B$6:$L$3250,CURR_1.SEARCH.NEW,0)),'DICTIONARY-5'!$A$2)</f>
        <v>9 019,-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</row>
    <row r="21" spans="1:7" x14ac:dyDescent="0.25">
      <c r="A21" s="156">
        <v>700</v>
      </c>
      <c r="B21" s="156">
        <v>430</v>
      </c>
      <c r="C21" s="156">
        <v>10</v>
      </c>
      <c r="D21" s="156" t="s">
        <v>1182</v>
      </c>
      <c r="E21" s="321" t="s">
        <v>4687</v>
      </c>
      <c r="F21" s="339" t="str">
        <f>IFERROR(IF(OR(E21='DICTIONARY-5'!$A$2,E21='DICTIONARY-5'!$A$4,ISBLANK(E21)),VLOOKUP(D21,LIST!$A$6:$L$3250,CURR_1.SEARCH.OLD,0),VLOOKUP(E21,LIST!$B$6:$L$3250,CURR_1.SEARCH.NEW,0)),'DICTIONARY-5'!$A$2)</f>
        <v>19 569,-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</row>
    <row r="22" spans="1:7" x14ac:dyDescent="0.25">
      <c r="A22" s="156">
        <v>800</v>
      </c>
      <c r="B22" s="156">
        <v>470</v>
      </c>
      <c r="C22" s="156">
        <v>10</v>
      </c>
      <c r="D22" s="156" t="s">
        <v>1183</v>
      </c>
      <c r="E22" s="321" t="s">
        <v>4690</v>
      </c>
      <c r="F22" s="339" t="str">
        <f>IFERROR(IF(OR(E22='DICTIONARY-5'!$A$2,E22='DICTIONARY-5'!$A$4,ISBLANK(E22)),VLOOKUP(D22,LIST!$A$6:$L$3250,CURR_1.SEARCH.OLD,0),VLOOKUP(E22,LIST!$B$6:$L$3250,CURR_1.SEARCH.NEW,0)),'DICTIONARY-5'!$A$2)</f>
        <v>22 362,-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</row>
    <row r="23" spans="1:7" x14ac:dyDescent="0.25">
      <c r="A23" s="156">
        <v>900</v>
      </c>
      <c r="B23" s="156">
        <v>510</v>
      </c>
      <c r="C23" s="156">
        <v>10</v>
      </c>
      <c r="D23" s="156" t="s">
        <v>1184</v>
      </c>
      <c r="E23" s="321" t="s">
        <v>4693</v>
      </c>
      <c r="F23" s="339" t="str">
        <f>IFERROR(IF(OR(E23='DICTIONARY-5'!$A$2,E23='DICTIONARY-5'!$A$4,ISBLANK(E23)),VLOOKUP(D23,LIST!$A$6:$L$3250,CURR_1.SEARCH.OLD,0),VLOOKUP(E23,LIST!$B$6:$L$3250,CURR_1.SEARCH.NEW,0)),'DICTIONARY-5'!$A$2)</f>
        <v>25 974,-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</row>
    <row r="24" spans="1:7" x14ac:dyDescent="0.25">
      <c r="A24" s="156">
        <v>1000</v>
      </c>
      <c r="B24" s="156">
        <v>550</v>
      </c>
      <c r="C24" s="156">
        <v>10</v>
      </c>
      <c r="D24" s="156" t="s">
        <v>1185</v>
      </c>
      <c r="E24" s="321" t="s">
        <v>4696</v>
      </c>
      <c r="F24" s="339" t="str">
        <f>IFERROR(IF(OR(E24='DICTIONARY-5'!$A$2,E24='DICTIONARY-5'!$A$4,ISBLANK(E24)),VLOOKUP(D24,LIST!$A$6:$L$3250,CURR_1.SEARCH.OLD,0),VLOOKUP(E24,LIST!$B$6:$L$3250,CURR_1.SEARCH.NEW,0)),'DICTIONARY-5'!$A$2)</f>
        <v>30 548,-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</row>
    <row r="26" spans="1:7" x14ac:dyDescent="0.25">
      <c r="A26" s="152" t="str">
        <f>'DICTIONARY-2'!$A$2</f>
        <v>DN</v>
      </c>
      <c r="B26" s="152" t="str">
        <f>'DICTIONARY-2'!$A$24</f>
        <v>L</v>
      </c>
      <c r="C26" s="152" t="str">
        <f>'DICTIONARY-2'!$A$3</f>
        <v>PN</v>
      </c>
      <c r="D26" s="1013" t="str">
        <f>'DICTIONARY-3'!$A$97</f>
        <v>SKR</v>
      </c>
      <c r="E26" s="1014"/>
      <c r="F26" s="1014"/>
      <c r="G26" s="1015"/>
    </row>
    <row r="27" spans="1:7" x14ac:dyDescent="0.25">
      <c r="A27" s="153"/>
      <c r="B27" s="153"/>
      <c r="C27" s="153"/>
      <c r="D27" s="1010"/>
      <c r="E27" s="1011"/>
      <c r="F27" s="1011"/>
      <c r="G27" s="1012"/>
    </row>
    <row r="28" spans="1:7" x14ac:dyDescent="0.25">
      <c r="A28" s="153"/>
      <c r="B28" s="153" t="str">
        <f>'DICTIONARY-2'!$A$18</f>
        <v>[mm]</v>
      </c>
      <c r="C28" s="153"/>
      <c r="D28" s="154" t="str">
        <f>'DICTIONARY-2'!$A$28</f>
        <v>stary nr zamówienia</v>
      </c>
      <c r="E28" s="154" t="str">
        <f>'DICTIONARY-2'!$A$29</f>
        <v>nowy nr zamówienia</v>
      </c>
      <c r="F28" s="155" t="str">
        <f>CURRENCY.CODE_1</f>
        <v>EUR</v>
      </c>
      <c r="G28" s="155" t="str">
        <f>CURRENCY.CODE_2</f>
        <v>---</v>
      </c>
    </row>
    <row r="29" spans="1:7" x14ac:dyDescent="0.25">
      <c r="A29" s="156">
        <v>200</v>
      </c>
      <c r="B29" s="156">
        <v>230</v>
      </c>
      <c r="C29" s="156">
        <v>16</v>
      </c>
      <c r="D29" s="156" t="s">
        <v>1186</v>
      </c>
      <c r="E29" s="321" t="s">
        <v>4665</v>
      </c>
      <c r="F29" s="339" t="str">
        <f>IFERROR(IF(OR(E29='DICTIONARY-5'!$A$2,E29='DICTIONARY-5'!$A$4,ISBLANK(E29)),VLOOKUP(D29,LIST!$A$6:$L$3250,CURR_1.SEARCH.OLD,0),VLOOKUP(E29,LIST!$B$6:$L$3250,CURR_1.SEARCH.NEW,0)),'DICTIONARY-5'!$A$2)</f>
        <v>4 863,-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</row>
    <row r="30" spans="1:7" x14ac:dyDescent="0.25">
      <c r="A30" s="156">
        <v>250</v>
      </c>
      <c r="B30" s="156">
        <v>250</v>
      </c>
      <c r="C30" s="156">
        <v>16</v>
      </c>
      <c r="D30" s="494" t="s">
        <v>67</v>
      </c>
      <c r="E30" s="493" t="s">
        <v>5732</v>
      </c>
      <c r="F30" s="339" t="str">
        <f>IFERROR(IF(OR(E30='DICTIONARY-5'!$A$2,E30='DICTIONARY-5'!$A$4,ISBLANK(E30)),VLOOKUP(D30,LIST!$A$6:$L$3250,CURR_1.SEARCH.OLD,0),VLOOKUP(E30,LIST!$B$6:$L$3250,CURR_1.SEARCH.NEW,0)),'DICTIONARY-5'!$A$2)</f>
        <v>4 965,-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</row>
    <row r="31" spans="1:7" x14ac:dyDescent="0.25">
      <c r="A31" s="156">
        <v>300</v>
      </c>
      <c r="B31" s="156">
        <v>270</v>
      </c>
      <c r="C31" s="156">
        <v>16</v>
      </c>
      <c r="D31" s="156" t="s">
        <v>1187</v>
      </c>
      <c r="E31" s="321" t="s">
        <v>4670</v>
      </c>
      <c r="F31" s="339" t="str">
        <f>IFERROR(IF(OR(E31='DICTIONARY-5'!$A$2,E31='DICTIONARY-5'!$A$4,ISBLANK(E31)),VLOOKUP(D31,LIST!$A$6:$L$3250,CURR_1.SEARCH.OLD,0),VLOOKUP(E31,LIST!$B$6:$L$3250,CURR_1.SEARCH.NEW,0)),'DICTIONARY-5'!$A$2)</f>
        <v>4 868,-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</row>
    <row r="32" spans="1:7" x14ac:dyDescent="0.25">
      <c r="A32" s="156">
        <v>350</v>
      </c>
      <c r="B32" s="156">
        <v>290</v>
      </c>
      <c r="C32" s="156">
        <v>16</v>
      </c>
      <c r="D32" s="156" t="s">
        <v>1188</v>
      </c>
      <c r="E32" s="321" t="s">
        <v>4673</v>
      </c>
      <c r="F32" s="339" t="str">
        <f>IFERROR(IF(OR(E32='DICTIONARY-5'!$A$2,E32='DICTIONARY-5'!$A$4,ISBLANK(E32)),VLOOKUP(D32,LIST!$A$6:$L$3250,CURR_1.SEARCH.OLD,0),VLOOKUP(E32,LIST!$B$6:$L$3250,CURR_1.SEARCH.NEW,0)),'DICTIONARY-5'!$A$2)</f>
        <v>5 454,-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</row>
    <row r="33" spans="1:7" x14ac:dyDescent="0.25">
      <c r="A33" s="156">
        <v>400</v>
      </c>
      <c r="B33" s="156">
        <v>310</v>
      </c>
      <c r="C33" s="156">
        <v>16</v>
      </c>
      <c r="D33" s="156" t="s">
        <v>1189</v>
      </c>
      <c r="E33" s="321" t="s">
        <v>4676</v>
      </c>
      <c r="F33" s="339" t="str">
        <f>IFERROR(IF(OR(E33='DICTIONARY-5'!$A$2,E33='DICTIONARY-5'!$A$4,ISBLANK(E33)),VLOOKUP(D33,LIST!$A$6:$L$3250,CURR_1.SEARCH.OLD,0),VLOOKUP(E33,LIST!$B$6:$L$3250,CURR_1.SEARCH.NEW,0)),'DICTIONARY-5'!$A$2)</f>
        <v>5 843,-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</row>
    <row r="34" spans="1:7" x14ac:dyDescent="0.25">
      <c r="A34" s="156">
        <v>450</v>
      </c>
      <c r="B34" s="156">
        <v>330</v>
      </c>
      <c r="C34" s="156">
        <v>16</v>
      </c>
      <c r="D34" s="156" t="s">
        <v>1190</v>
      </c>
      <c r="E34" s="321" t="s">
        <v>4679</v>
      </c>
      <c r="F34" s="339" t="str">
        <f>IFERROR(IF(OR(E34='DICTIONARY-5'!$A$2,E34='DICTIONARY-5'!$A$4,ISBLANK(E34)),VLOOKUP(D34,LIST!$A$6:$L$3250,CURR_1.SEARCH.OLD,0),VLOOKUP(E34,LIST!$B$6:$L$3250,CURR_1.SEARCH.NEW,0)),'DICTIONARY-5'!$A$2)</f>
        <v>8 718,-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</row>
    <row r="35" spans="1:7" x14ac:dyDescent="0.25">
      <c r="A35" s="156">
        <v>500</v>
      </c>
      <c r="B35" s="156">
        <v>350</v>
      </c>
      <c r="C35" s="156">
        <v>16</v>
      </c>
      <c r="D35" s="156" t="s">
        <v>1191</v>
      </c>
      <c r="E35" s="321" t="s">
        <v>4682</v>
      </c>
      <c r="F35" s="339" t="str">
        <f>IFERROR(IF(OR(E35='DICTIONARY-5'!$A$2,E35='DICTIONARY-5'!$A$4,ISBLANK(E35)),VLOOKUP(D35,LIST!$A$6:$L$3250,CURR_1.SEARCH.OLD,0),VLOOKUP(E35,LIST!$B$6:$L$3250,CURR_1.SEARCH.NEW,0)),'DICTIONARY-5'!$A$2)</f>
        <v>8 862,-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</row>
    <row r="36" spans="1:7" x14ac:dyDescent="0.25">
      <c r="A36" s="156">
        <v>600</v>
      </c>
      <c r="B36" s="156">
        <v>390</v>
      </c>
      <c r="C36" s="156">
        <v>16</v>
      </c>
      <c r="D36" s="156" t="s">
        <v>1192</v>
      </c>
      <c r="E36" s="321" t="s">
        <v>4685</v>
      </c>
      <c r="F36" s="339" t="str">
        <f>IFERROR(IF(OR(E36='DICTIONARY-5'!$A$2,E36='DICTIONARY-5'!$A$4,ISBLANK(E36)),VLOOKUP(D36,LIST!$A$6:$L$3250,CURR_1.SEARCH.OLD,0),VLOOKUP(E36,LIST!$B$6:$L$3250,CURR_1.SEARCH.NEW,0)),'DICTIONARY-5'!$A$2)</f>
        <v>11 942,-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</row>
    <row r="37" spans="1:7" x14ac:dyDescent="0.25">
      <c r="A37" s="156">
        <v>700</v>
      </c>
      <c r="B37" s="156">
        <v>430</v>
      </c>
      <c r="C37" s="156">
        <v>16</v>
      </c>
      <c r="D37" s="156" t="s">
        <v>1193</v>
      </c>
      <c r="E37" s="321" t="s">
        <v>4688</v>
      </c>
      <c r="F37" s="339" t="str">
        <f>IFERROR(IF(OR(E37='DICTIONARY-5'!$A$2,E37='DICTIONARY-5'!$A$4,ISBLANK(E37)),VLOOKUP(D37,LIST!$A$6:$L$3250,CURR_1.SEARCH.OLD,0),VLOOKUP(E37,LIST!$B$6:$L$3250,CURR_1.SEARCH.NEW,0)),'DICTIONARY-5'!$A$2)</f>
        <v>20 118,-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</row>
    <row r="38" spans="1:7" x14ac:dyDescent="0.25">
      <c r="A38" s="156">
        <v>800</v>
      </c>
      <c r="B38" s="156">
        <v>470</v>
      </c>
      <c r="C38" s="156">
        <v>16</v>
      </c>
      <c r="D38" s="156" t="s">
        <v>1194</v>
      </c>
      <c r="E38" s="321" t="s">
        <v>4691</v>
      </c>
      <c r="F38" s="339" t="str">
        <f>IFERROR(IF(OR(E38='DICTIONARY-5'!$A$2,E38='DICTIONARY-5'!$A$4,ISBLANK(E38)),VLOOKUP(D38,LIST!$A$6:$L$3250,CURR_1.SEARCH.OLD,0),VLOOKUP(E38,LIST!$B$6:$L$3250,CURR_1.SEARCH.NEW,0)),'DICTIONARY-5'!$A$2)</f>
        <v>24 811,-</v>
      </c>
      <c r="G38" s="339" t="str">
        <f>IFERROR(IF(OR(E38='DICTIONARY-5'!$A$2,E38='DICTIONARY-5'!$A$4,ISBLANK(E38)),VLOOKUP(D38,LIST!$A$6:$M$3250,CURR_2.SEARCH.OLD,0),VLOOKUP(E38,LIST!$B$6:$M$3250,CURR_2.SEARCH.NEW,0)),'DICTIONARY-5'!$A$2)</f>
        <v/>
      </c>
    </row>
    <row r="39" spans="1:7" x14ac:dyDescent="0.25">
      <c r="A39" s="156">
        <v>900</v>
      </c>
      <c r="B39" s="156">
        <v>510</v>
      </c>
      <c r="C39" s="156">
        <v>16</v>
      </c>
      <c r="D39" s="156" t="s">
        <v>1195</v>
      </c>
      <c r="E39" s="321" t="s">
        <v>4694</v>
      </c>
      <c r="F39" s="339" t="str">
        <f>IFERROR(IF(OR(E39='DICTIONARY-5'!$A$2,E39='DICTIONARY-5'!$A$4,ISBLANK(E39)),VLOOKUP(D39,LIST!$A$6:$L$3250,CURR_1.SEARCH.OLD,0),VLOOKUP(E39,LIST!$B$6:$L$3250,CURR_1.SEARCH.NEW,0)),'DICTIONARY-5'!$A$2)</f>
        <v>27 145,-</v>
      </c>
      <c r="G39" s="339" t="str">
        <f>IFERROR(IF(OR(E39='DICTIONARY-5'!$A$2,E39='DICTIONARY-5'!$A$4,ISBLANK(E39)),VLOOKUP(D39,LIST!$A$6:$M$3250,CURR_2.SEARCH.OLD,0),VLOOKUP(E39,LIST!$B$6:$M$3250,CURR_2.SEARCH.NEW,0)),'DICTIONARY-5'!$A$2)</f>
        <v/>
      </c>
    </row>
    <row r="40" spans="1:7" x14ac:dyDescent="0.25">
      <c r="A40" s="156">
        <v>1000</v>
      </c>
      <c r="B40" s="156">
        <v>550</v>
      </c>
      <c r="C40" s="156">
        <v>16</v>
      </c>
      <c r="D40" s="156" t="s">
        <v>1196</v>
      </c>
      <c r="E40" s="321" t="s">
        <v>4697</v>
      </c>
      <c r="F40" s="339" t="str">
        <f>IFERROR(IF(OR(E40='DICTIONARY-5'!$A$2,E40='DICTIONARY-5'!$A$4,ISBLANK(E40)),VLOOKUP(D40,LIST!$A$6:$L$3250,CURR_1.SEARCH.OLD,0),VLOOKUP(E40,LIST!$B$6:$L$3250,CURR_1.SEARCH.NEW,0)),'DICTIONARY-5'!$A$2)</f>
        <v>30 473,-</v>
      </c>
      <c r="G40" s="339" t="str">
        <f>IFERROR(IF(OR(E40='DICTIONARY-5'!$A$2,E40='DICTIONARY-5'!$A$4,ISBLANK(E40)),VLOOKUP(D40,LIST!$A$6:$M$3250,CURR_2.SEARCH.OLD,0),VLOOKUP(E40,LIST!$B$6:$M$3250,CURR_2.SEARCH.NEW,0)),'DICTIONARY-5'!$A$2)</f>
        <v/>
      </c>
    </row>
    <row r="42" spans="1:7" x14ac:dyDescent="0.25">
      <c r="A42" s="152" t="str">
        <f>'DICTIONARY-2'!$A$2</f>
        <v>DN</v>
      </c>
      <c r="B42" s="152" t="str">
        <f>'DICTIONARY-2'!$A$24</f>
        <v>L</v>
      </c>
      <c r="C42" s="152" t="str">
        <f>'DICTIONARY-2'!$A$3</f>
        <v>PN</v>
      </c>
      <c r="D42" s="1013" t="str">
        <f>'DICTIONARY-3'!$A$97</f>
        <v>SKR</v>
      </c>
      <c r="E42" s="1014"/>
      <c r="F42" s="1014"/>
      <c r="G42" s="1015"/>
    </row>
    <row r="43" spans="1:7" x14ac:dyDescent="0.25">
      <c r="A43" s="153"/>
      <c r="B43" s="153"/>
      <c r="C43" s="153"/>
      <c r="D43" s="1010"/>
      <c r="E43" s="1011"/>
      <c r="F43" s="1011"/>
      <c r="G43" s="1012"/>
    </row>
    <row r="44" spans="1:7" x14ac:dyDescent="0.25">
      <c r="A44" s="153"/>
      <c r="B44" s="153" t="str">
        <f>'DICTIONARY-2'!$A$18</f>
        <v>[mm]</v>
      </c>
      <c r="C44" s="153"/>
      <c r="D44" s="154" t="str">
        <f>'DICTIONARY-2'!$A$28</f>
        <v>stary nr zamówienia</v>
      </c>
      <c r="E44" s="154" t="str">
        <f>'DICTIONARY-2'!$A$29</f>
        <v>nowy nr zamówienia</v>
      </c>
      <c r="F44" s="155" t="str">
        <f>CURRENCY.CODE_1</f>
        <v>EUR</v>
      </c>
      <c r="G44" s="155" t="str">
        <f>CURRENCY.CODE_2</f>
        <v>---</v>
      </c>
    </row>
    <row r="45" spans="1:7" x14ac:dyDescent="0.25">
      <c r="A45" s="156">
        <v>200</v>
      </c>
      <c r="B45" s="156">
        <v>230</v>
      </c>
      <c r="C45" s="156">
        <v>25</v>
      </c>
      <c r="D45" s="156" t="s">
        <v>1197</v>
      </c>
      <c r="E45" s="321" t="s">
        <v>4666</v>
      </c>
      <c r="F45" s="339" t="str">
        <f>IFERROR(IF(OR(E45='DICTIONARY-5'!$A$2,E45='DICTIONARY-5'!$A$4,ISBLANK(E45)),VLOOKUP(D45,LIST!$A$6:$L$3250,CURR_1.SEARCH.OLD,0),VLOOKUP(E45,LIST!$B$6:$L$3250,CURR_1.SEARCH.NEW,0)),'DICTIONARY-5'!$A$2)</f>
        <v>5 236,-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</row>
    <row r="46" spans="1:7" x14ac:dyDescent="0.25">
      <c r="A46" s="156">
        <v>250</v>
      </c>
      <c r="B46" s="156">
        <v>250</v>
      </c>
      <c r="C46" s="156">
        <v>25</v>
      </c>
      <c r="D46" s="156" t="s">
        <v>1198</v>
      </c>
      <c r="E46" s="321" t="s">
        <v>4668</v>
      </c>
      <c r="F46" s="339" t="str">
        <f>IFERROR(IF(OR(E46='DICTIONARY-5'!$A$2,E46='DICTIONARY-5'!$A$4,ISBLANK(E46)),VLOOKUP(D46,LIST!$A$6:$L$3250,CURR_1.SEARCH.OLD,0),VLOOKUP(E46,LIST!$B$6:$L$3250,CURR_1.SEARCH.NEW,0)),'DICTIONARY-5'!$A$2)</f>
        <v>5 698,-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</row>
    <row r="47" spans="1:7" x14ac:dyDescent="0.25">
      <c r="A47" s="156">
        <v>300</v>
      </c>
      <c r="B47" s="156">
        <v>270</v>
      </c>
      <c r="C47" s="156">
        <v>25</v>
      </c>
      <c r="D47" s="156" t="s">
        <v>1199</v>
      </c>
      <c r="E47" s="321" t="s">
        <v>4671</v>
      </c>
      <c r="F47" s="339" t="str">
        <f>IFERROR(IF(OR(E47='DICTIONARY-5'!$A$2,E47='DICTIONARY-5'!$A$4,ISBLANK(E47)),VLOOKUP(D47,LIST!$A$6:$L$3250,CURR_1.SEARCH.OLD,0),VLOOKUP(E47,LIST!$B$6:$L$3250,CURR_1.SEARCH.NEW,0)),'DICTIONARY-5'!$A$2)</f>
        <v>10 667,-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</row>
    <row r="48" spans="1:7" x14ac:dyDescent="0.25">
      <c r="A48" s="156">
        <v>350</v>
      </c>
      <c r="B48" s="156">
        <v>290</v>
      </c>
      <c r="C48" s="156">
        <v>25</v>
      </c>
      <c r="D48" s="156" t="s">
        <v>1200</v>
      </c>
      <c r="E48" s="321" t="s">
        <v>4674</v>
      </c>
      <c r="F48" s="339" t="str">
        <f>IFERROR(IF(OR(E48='DICTIONARY-5'!$A$2,E48='DICTIONARY-5'!$A$4,ISBLANK(E48)),VLOOKUP(D48,LIST!$A$6:$L$3250,CURR_1.SEARCH.OLD,0),VLOOKUP(E48,LIST!$B$6:$L$3250,CURR_1.SEARCH.NEW,0)),'DICTIONARY-5'!$A$2)</f>
        <v>8 278,-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</row>
    <row r="49" spans="1:7" x14ac:dyDescent="0.25">
      <c r="A49" s="156">
        <v>400</v>
      </c>
      <c r="B49" s="156">
        <v>310</v>
      </c>
      <c r="C49" s="156">
        <v>25</v>
      </c>
      <c r="D49" s="156" t="s">
        <v>1201</v>
      </c>
      <c r="E49" s="321" t="s">
        <v>4677</v>
      </c>
      <c r="F49" s="339" t="str">
        <f>IFERROR(IF(OR(E49='DICTIONARY-5'!$A$2,E49='DICTIONARY-5'!$A$4,ISBLANK(E49)),VLOOKUP(D49,LIST!$A$6:$L$3250,CURR_1.SEARCH.OLD,0),VLOOKUP(E49,LIST!$B$6:$L$3250,CURR_1.SEARCH.NEW,0)),'DICTIONARY-5'!$A$2)</f>
        <v>9 769,-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</row>
    <row r="50" spans="1:7" x14ac:dyDescent="0.25">
      <c r="A50" s="156">
        <v>450</v>
      </c>
      <c r="B50" s="156">
        <v>330</v>
      </c>
      <c r="C50" s="156">
        <v>25</v>
      </c>
      <c r="D50" s="156" t="s">
        <v>1202</v>
      </c>
      <c r="E50" s="321" t="s">
        <v>4680</v>
      </c>
      <c r="F50" s="339" t="str">
        <f>IFERROR(IF(OR(E50='DICTIONARY-5'!$A$2,E50='DICTIONARY-5'!$A$4,ISBLANK(E50)),VLOOKUP(D50,LIST!$A$6:$L$3250,CURR_1.SEARCH.OLD,0),VLOOKUP(E50,LIST!$B$6:$L$3250,CURR_1.SEARCH.NEW,0)),'DICTIONARY-5'!$A$2)</f>
        <v>na zapytanie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</row>
    <row r="51" spans="1:7" x14ac:dyDescent="0.25">
      <c r="A51" s="156">
        <v>500</v>
      </c>
      <c r="B51" s="156">
        <v>350</v>
      </c>
      <c r="C51" s="156">
        <v>25</v>
      </c>
      <c r="D51" s="156" t="s">
        <v>1203</v>
      </c>
      <c r="E51" s="321" t="s">
        <v>4683</v>
      </c>
      <c r="F51" s="339" t="str">
        <f>IFERROR(IF(OR(E51='DICTIONARY-5'!$A$2,E51='DICTIONARY-5'!$A$4,ISBLANK(E51)),VLOOKUP(D51,LIST!$A$6:$L$3250,CURR_1.SEARCH.OLD,0),VLOOKUP(E51,LIST!$B$6:$L$3250,CURR_1.SEARCH.NEW,0)),'DICTIONARY-5'!$A$2)</f>
        <v>11 821,-</v>
      </c>
      <c r="G51" s="339" t="str">
        <f>IFERROR(IF(OR(E51='DICTIONARY-5'!$A$2,E51='DICTIONARY-5'!$A$4,ISBLANK(E51)),VLOOKUP(D51,LIST!$A$6:$M$3250,CURR_2.SEARCH.OLD,0),VLOOKUP(E51,LIST!$B$6:$M$3250,CURR_2.SEARCH.NEW,0)),'DICTIONARY-5'!$A$2)</f>
        <v/>
      </c>
    </row>
    <row r="52" spans="1:7" x14ac:dyDescent="0.25">
      <c r="A52" s="156">
        <v>600</v>
      </c>
      <c r="B52" s="156">
        <v>390</v>
      </c>
      <c r="C52" s="156">
        <v>25</v>
      </c>
      <c r="D52" s="156" t="s">
        <v>1204</v>
      </c>
      <c r="E52" s="321" t="s">
        <v>4686</v>
      </c>
      <c r="F52" s="339" t="str">
        <f>IFERROR(IF(OR(E52='DICTIONARY-5'!$A$2,E52='DICTIONARY-5'!$A$4,ISBLANK(E52)),VLOOKUP(D52,LIST!$A$6:$L$3250,CURR_1.SEARCH.OLD,0),VLOOKUP(E52,LIST!$B$6:$L$3250,CURR_1.SEARCH.NEW,0)),'DICTIONARY-5'!$A$2)</f>
        <v>14 134,-</v>
      </c>
      <c r="G52" s="339" t="str">
        <f>IFERROR(IF(OR(E52='DICTIONARY-5'!$A$2,E52='DICTIONARY-5'!$A$4,ISBLANK(E52)),VLOOKUP(D52,LIST!$A$6:$M$3250,CURR_2.SEARCH.OLD,0),VLOOKUP(E52,LIST!$B$6:$M$3250,CURR_2.SEARCH.NEW,0)),'DICTIONARY-5'!$A$2)</f>
        <v/>
      </c>
    </row>
    <row r="53" spans="1:7" x14ac:dyDescent="0.25">
      <c r="A53" s="156">
        <v>700</v>
      </c>
      <c r="B53" s="156">
        <v>430</v>
      </c>
      <c r="C53" s="156">
        <v>25</v>
      </c>
      <c r="D53" s="156" t="s">
        <v>1205</v>
      </c>
      <c r="E53" s="321" t="s">
        <v>4689</v>
      </c>
      <c r="F53" s="339" t="str">
        <f>IFERROR(IF(OR(E53='DICTIONARY-5'!$A$2,E53='DICTIONARY-5'!$A$4,ISBLANK(E53)),VLOOKUP(D53,LIST!$A$6:$L$3250,CURR_1.SEARCH.OLD,0),VLOOKUP(E53,LIST!$B$6:$L$3250,CURR_1.SEARCH.NEW,0)),'DICTIONARY-5'!$A$2)</f>
        <v>23 851,-</v>
      </c>
      <c r="G53" s="339" t="str">
        <f>IFERROR(IF(OR(E53='DICTIONARY-5'!$A$2,E53='DICTIONARY-5'!$A$4,ISBLANK(E53)),VLOOKUP(D53,LIST!$A$6:$M$3250,CURR_2.SEARCH.OLD,0),VLOOKUP(E53,LIST!$B$6:$M$3250,CURR_2.SEARCH.NEW,0)),'DICTIONARY-5'!$A$2)</f>
        <v/>
      </c>
    </row>
    <row r="54" spans="1:7" x14ac:dyDescent="0.25">
      <c r="A54" s="156">
        <v>800</v>
      </c>
      <c r="B54" s="156">
        <v>470</v>
      </c>
      <c r="C54" s="156">
        <v>25</v>
      </c>
      <c r="D54" s="156" t="s">
        <v>1206</v>
      </c>
      <c r="E54" s="321" t="s">
        <v>4692</v>
      </c>
      <c r="F54" s="339" t="str">
        <f>IFERROR(IF(OR(E54='DICTIONARY-5'!$A$2,E54='DICTIONARY-5'!$A$4,ISBLANK(E54)),VLOOKUP(D54,LIST!$A$6:$L$3250,CURR_1.SEARCH.OLD,0),VLOOKUP(E54,LIST!$B$6:$L$3250,CURR_1.SEARCH.NEW,0)),'DICTIONARY-5'!$A$2)</f>
        <v>36 917,-</v>
      </c>
      <c r="G54" s="339" t="str">
        <f>IFERROR(IF(OR(E54='DICTIONARY-5'!$A$2,E54='DICTIONARY-5'!$A$4,ISBLANK(E54)),VLOOKUP(D54,LIST!$A$6:$M$3250,CURR_2.SEARCH.OLD,0),VLOOKUP(E54,LIST!$B$6:$M$3250,CURR_2.SEARCH.NEW,0)),'DICTIONARY-5'!$A$2)</f>
        <v/>
      </c>
    </row>
    <row r="55" spans="1:7" x14ac:dyDescent="0.25">
      <c r="A55" s="156">
        <v>900</v>
      </c>
      <c r="B55" s="156">
        <v>510</v>
      </c>
      <c r="C55" s="156">
        <v>25</v>
      </c>
      <c r="D55" s="156" t="s">
        <v>1207</v>
      </c>
      <c r="E55" s="321" t="s">
        <v>4695</v>
      </c>
      <c r="F55" s="339" t="str">
        <f>IFERROR(IF(OR(E55='DICTIONARY-5'!$A$2,E55='DICTIONARY-5'!$A$4,ISBLANK(E55)),VLOOKUP(D55,LIST!$A$6:$L$3250,CURR_1.SEARCH.OLD,0),VLOOKUP(E55,LIST!$B$6:$L$3250,CURR_1.SEARCH.NEW,0)),'DICTIONARY-5'!$A$2)</f>
        <v>44 389,-</v>
      </c>
      <c r="G55" s="339" t="str">
        <f>IFERROR(IF(OR(E55='DICTIONARY-5'!$A$2,E55='DICTIONARY-5'!$A$4,ISBLANK(E55)),VLOOKUP(D55,LIST!$A$6:$M$3250,CURR_2.SEARCH.OLD,0),VLOOKUP(E55,LIST!$B$6:$M$3250,CURR_2.SEARCH.NEW,0)),'DICTIONARY-5'!$A$2)</f>
        <v/>
      </c>
    </row>
    <row r="56" spans="1:7" x14ac:dyDescent="0.25">
      <c r="A56" s="156">
        <v>1000</v>
      </c>
      <c r="B56" s="156">
        <v>550</v>
      </c>
      <c r="C56" s="156">
        <v>25</v>
      </c>
      <c r="D56" s="156" t="s">
        <v>1208</v>
      </c>
      <c r="E56" s="321" t="s">
        <v>4698</v>
      </c>
      <c r="F56" s="339" t="str">
        <f>IFERROR(IF(OR(E56='DICTIONARY-5'!$A$2,E56='DICTIONARY-5'!$A$4,ISBLANK(E56)),VLOOKUP(D56,LIST!$A$6:$L$3250,CURR_1.SEARCH.OLD,0),VLOOKUP(E56,LIST!$B$6:$L$3250,CURR_1.SEARCH.NEW,0)),'DICTIONARY-5'!$A$2)</f>
        <v>56 476,-</v>
      </c>
      <c r="G56" s="339" t="str">
        <f>IFERROR(IF(OR(E56='DICTIONARY-5'!$A$2,E56='DICTIONARY-5'!$A$4,ISBLANK(E56)),VLOOKUP(D56,LIST!$A$6:$M$3250,CURR_2.SEARCH.OLD,0),VLOOKUP(E56,LIST!$B$6:$M$3250,CURR_2.SEARCH.NEW,0)),'DICTIONARY-5'!$A$2)</f>
        <v/>
      </c>
    </row>
  </sheetData>
  <sheetProtection algorithmName="SHA-512" hashValue="HfTcascfnALv2qlFpKcyZ1X7DiWdcX31Bl5C5BHQzLwaucAOzTHvaFZEA9r64YlgRN/Oo7sO2GMMFaTPbs9fiQ==" saltValue="L7D8P8owmnD3OltPwC6Tsg==" spinCount="100000" sheet="1" objects="1" scenarios="1" autoFilter="0"/>
  <mergeCells count="7">
    <mergeCell ref="B4:E4"/>
    <mergeCell ref="D43:G43"/>
    <mergeCell ref="D10:G10"/>
    <mergeCell ref="D26:G26"/>
    <mergeCell ref="D42:G42"/>
    <mergeCell ref="D11:G11"/>
    <mergeCell ref="D27:G2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3">
    <tabColor rgb="FFFFC000"/>
  </sheetPr>
  <dimension ref="A1:M48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16384" width="9.140625" style="146"/>
  </cols>
  <sheetData>
    <row r="1" spans="1:7" s="408" customFormat="1" ht="45" customHeight="1" thickBot="1" x14ac:dyDescent="0.3">
      <c r="A1" s="430"/>
      <c r="B1" s="430"/>
      <c r="C1" s="430"/>
      <c r="D1" s="430"/>
      <c r="E1" s="410"/>
      <c r="F1" s="409"/>
      <c r="G1" s="409"/>
    </row>
    <row r="2" spans="1:7" s="467" customFormat="1" ht="4.5" customHeight="1" x14ac:dyDescent="0.25">
      <c r="A2" s="466"/>
      <c r="B2" s="468"/>
      <c r="C2" s="468"/>
      <c r="D2" s="468"/>
      <c r="E2" s="468"/>
      <c r="F2" s="469"/>
      <c r="G2" s="469"/>
    </row>
    <row r="3" spans="1:7" ht="15.75" thickBot="1" x14ac:dyDescent="0.3">
      <c r="A3" s="147"/>
      <c r="B3" s="148"/>
      <c r="C3" s="148"/>
    </row>
    <row r="4" spans="1:7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7" x14ac:dyDescent="0.25">
      <c r="A5" s="147"/>
      <c r="B5" s="148"/>
      <c r="C5" s="148"/>
    </row>
    <row r="6" spans="1:7" ht="16.5" thickBot="1" x14ac:dyDescent="0.3">
      <c r="A6" s="712" t="str">
        <f>CONCATENATE('DICTIONARY-3'!$A$98," ",'DICTIONARY-3'!$A$200," / ",'DICTIONARY-3'!$A$311)</f>
        <v>RETO-STOP Zawór zwrotny / Z korkiem do czyszczenia</v>
      </c>
      <c r="B6" s="712"/>
      <c r="C6" s="712"/>
      <c r="D6" s="712"/>
      <c r="E6" s="712"/>
      <c r="F6" s="712"/>
      <c r="G6" s="712"/>
    </row>
    <row r="7" spans="1:7" x14ac:dyDescent="0.25">
      <c r="A7" s="150" t="str">
        <f>'DICTIONARY-3'!$A$307</f>
        <v>Ze skośnym siedziskiem</v>
      </c>
    </row>
    <row r="8" spans="1:7" x14ac:dyDescent="0.25">
      <c r="A8" s="150" t="str">
        <f>CONCATENATE('DICTIONARY-1'!$A$10,": ",SETTINGS!$C$53)</f>
        <v>Grupa rabatowa: RETO-STOP</v>
      </c>
    </row>
    <row r="9" spans="1:7" x14ac:dyDescent="0.25">
      <c r="A9" s="151"/>
    </row>
    <row r="10" spans="1:7" x14ac:dyDescent="0.25">
      <c r="A10" s="152" t="str">
        <f>'DICTIONARY-2'!$A$2</f>
        <v>DN</v>
      </c>
      <c r="B10" s="152" t="str">
        <f>'DICTIONARY-2'!$A$3</f>
        <v>PN</v>
      </c>
      <c r="C10" s="152" t="str">
        <f>'DICTIONARY-2'!$A$24</f>
        <v>L</v>
      </c>
      <c r="D10" s="1004" t="str">
        <f>'DICTIONARY-3'!$A$98</f>
        <v>RETO-STOP</v>
      </c>
      <c r="E10" s="1004"/>
      <c r="F10" s="1004"/>
      <c r="G10" s="1004"/>
    </row>
    <row r="11" spans="1:7" x14ac:dyDescent="0.25">
      <c r="A11" s="153"/>
      <c r="B11" s="153"/>
      <c r="C11" s="153"/>
      <c r="D11" s="1007" t="str">
        <f>LOWER('DICTIONARY-3'!$A$311)</f>
        <v>z korkiem do czyszczenia</v>
      </c>
      <c r="E11" s="1007"/>
      <c r="F11" s="1007"/>
      <c r="G11" s="1007"/>
    </row>
    <row r="12" spans="1:7" x14ac:dyDescent="0.25">
      <c r="A12" s="153"/>
      <c r="B12" s="153"/>
      <c r="C12" s="153" t="str">
        <f>'DICTIONARY-2'!$A$18</f>
        <v>[mm]</v>
      </c>
      <c r="D12" s="154" t="str">
        <f>'DICTIONARY-2'!$A$28</f>
        <v>stary nr zamówienia</v>
      </c>
      <c r="E12" s="154" t="str">
        <f>'DICTIONARY-2'!$A$29</f>
        <v>nowy nr zamówienia</v>
      </c>
      <c r="F12" s="155" t="str">
        <f>CURRENCY.CODE_1</f>
        <v>EUR</v>
      </c>
      <c r="G12" s="155" t="str">
        <f>CURRENCY.CODE_2</f>
        <v>---</v>
      </c>
    </row>
    <row r="13" spans="1:7" x14ac:dyDescent="0.25">
      <c r="A13" s="156">
        <v>40</v>
      </c>
      <c r="B13" s="169" t="s">
        <v>85</v>
      </c>
      <c r="C13" s="156">
        <v>180</v>
      </c>
      <c r="D13" s="156" t="s">
        <v>1209</v>
      </c>
      <c r="E13" s="321" t="s">
        <v>4374</v>
      </c>
      <c r="F13" s="339" t="str">
        <f>IFERROR(IF(OR(E13='DICTIONARY-5'!$A$2,E13='DICTIONARY-5'!$A$4,ISBLANK(E13)),VLOOKUP(D13,LIST!$A$6:$L$3250,CURR_1.SEARCH.OLD,0),VLOOKUP(E13,LIST!$B$6:$L$3250,CURR_1.SEARCH.NEW,0)),'DICTIONARY-5'!$A$2)</f>
        <v>152,-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156">
        <v>50</v>
      </c>
      <c r="B14" s="169" t="s">
        <v>85</v>
      </c>
      <c r="C14" s="156">
        <v>200</v>
      </c>
      <c r="D14" s="156" t="s">
        <v>1210</v>
      </c>
      <c r="E14" s="321" t="s">
        <v>4375</v>
      </c>
      <c r="F14" s="339" t="str">
        <f>IFERROR(IF(OR(E14='DICTIONARY-5'!$A$2,E14='DICTIONARY-5'!$A$4,ISBLANK(E14)),VLOOKUP(D14,LIST!$A$6:$L$3250,CURR_1.SEARCH.OLD,0),VLOOKUP(E14,LIST!$B$6:$L$3250,CURR_1.SEARCH.NEW,0)),'DICTIONARY-5'!$A$2)</f>
        <v>165,-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156">
        <v>65</v>
      </c>
      <c r="B15" s="169" t="s">
        <v>85</v>
      </c>
      <c r="C15" s="156">
        <v>240</v>
      </c>
      <c r="D15" s="156" t="s">
        <v>1211</v>
      </c>
      <c r="E15" s="321" t="s">
        <v>4376</v>
      </c>
      <c r="F15" s="339" t="str">
        <f>IFERROR(IF(OR(E15='DICTIONARY-5'!$A$2,E15='DICTIONARY-5'!$A$4,ISBLANK(E15)),VLOOKUP(D15,LIST!$A$6:$L$3250,CURR_1.SEARCH.OLD,0),VLOOKUP(E15,LIST!$B$6:$L$3250,CURR_1.SEARCH.NEW,0)),'DICTIONARY-5'!$A$2)</f>
        <v>193,-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156">
        <v>80</v>
      </c>
      <c r="B16" s="169" t="s">
        <v>85</v>
      </c>
      <c r="C16" s="156">
        <v>260</v>
      </c>
      <c r="D16" s="156" t="s">
        <v>1212</v>
      </c>
      <c r="E16" s="321" t="s">
        <v>4377</v>
      </c>
      <c r="F16" s="339" t="str">
        <f>IFERROR(IF(OR(E16='DICTIONARY-5'!$A$2,E16='DICTIONARY-5'!$A$4,ISBLANK(E16)),VLOOKUP(D16,LIST!$A$6:$L$3250,CURR_1.SEARCH.OLD,0),VLOOKUP(E16,LIST!$B$6:$L$3250,CURR_1.SEARCH.NEW,0)),'DICTIONARY-5'!$A$2)</f>
        <v>219,-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156">
        <v>100</v>
      </c>
      <c r="B17" s="169" t="s">
        <v>85</v>
      </c>
      <c r="C17" s="156">
        <v>300</v>
      </c>
      <c r="D17" s="156" t="s">
        <v>1213</v>
      </c>
      <c r="E17" s="321" t="s">
        <v>4378</v>
      </c>
      <c r="F17" s="339" t="str">
        <f>IFERROR(IF(OR(E17='DICTIONARY-5'!$A$2,E17='DICTIONARY-5'!$A$4,ISBLANK(E17)),VLOOKUP(D17,LIST!$A$6:$L$3250,CURR_1.SEARCH.OLD,0),VLOOKUP(E17,LIST!$B$6:$L$3250,CURR_1.SEARCH.NEW,0)),'DICTIONARY-5'!$A$2)</f>
        <v>269,-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156">
        <v>125</v>
      </c>
      <c r="B18" s="169" t="s">
        <v>85</v>
      </c>
      <c r="C18" s="156">
        <v>350</v>
      </c>
      <c r="D18" s="156" t="s">
        <v>1214</v>
      </c>
      <c r="E18" s="321" t="s">
        <v>4379</v>
      </c>
      <c r="F18" s="339" t="str">
        <f>IFERROR(IF(OR(E18='DICTIONARY-5'!$A$2,E18='DICTIONARY-5'!$A$4,ISBLANK(E18)),VLOOKUP(D18,LIST!$A$6:$L$3250,CURR_1.SEARCH.OLD,0),VLOOKUP(E18,LIST!$B$6:$L$3250,CURR_1.SEARCH.NEW,0)),'DICTIONARY-5'!$A$2)</f>
        <v>346,-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156">
        <v>150</v>
      </c>
      <c r="B19" s="169" t="s">
        <v>85</v>
      </c>
      <c r="C19" s="156">
        <v>400</v>
      </c>
      <c r="D19" s="156" t="s">
        <v>1215</v>
      </c>
      <c r="E19" s="321" t="s">
        <v>4380</v>
      </c>
      <c r="F19" s="339" t="str">
        <f>IFERROR(IF(OR(E19='DICTIONARY-5'!$A$2,E19='DICTIONARY-5'!$A$4,ISBLANK(E19)),VLOOKUP(D19,LIST!$A$6:$L$3250,CURR_1.SEARCH.OLD,0),VLOOKUP(E19,LIST!$B$6:$L$3250,CURR_1.SEARCH.NEW,0)),'DICTIONARY-5'!$A$2)</f>
        <v>457,-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0" spans="1:7" x14ac:dyDescent="0.25">
      <c r="A20" s="156">
        <v>200</v>
      </c>
      <c r="B20" s="156">
        <v>10</v>
      </c>
      <c r="C20" s="156">
        <v>500</v>
      </c>
      <c r="D20" s="156" t="s">
        <v>1216</v>
      </c>
      <c r="E20" s="321" t="s">
        <v>4384</v>
      </c>
      <c r="F20" s="339" t="str">
        <f>IFERROR(IF(OR(E20='DICTIONARY-5'!$A$2,E20='DICTIONARY-5'!$A$4,ISBLANK(E20)),VLOOKUP(D20,LIST!$A$6:$L$3250,CURR_1.SEARCH.OLD,0),VLOOKUP(E20,LIST!$B$6:$L$3250,CURR_1.SEARCH.NEW,0)),'DICTIONARY-5'!$A$2)</f>
        <v>715,-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</row>
    <row r="21" spans="1:7" x14ac:dyDescent="0.25">
      <c r="A21" s="156">
        <v>200</v>
      </c>
      <c r="B21" s="170">
        <v>16</v>
      </c>
      <c r="C21" s="156">
        <v>500</v>
      </c>
      <c r="D21" s="156" t="s">
        <v>1217</v>
      </c>
      <c r="E21" s="321" t="s">
        <v>4381</v>
      </c>
      <c r="F21" s="339" t="str">
        <f>IFERROR(IF(OR(E21='DICTIONARY-5'!$A$2,E21='DICTIONARY-5'!$A$4,ISBLANK(E21)),VLOOKUP(D21,LIST!$A$6:$L$3250,CURR_1.SEARCH.OLD,0),VLOOKUP(E21,LIST!$B$6:$L$3250,CURR_1.SEARCH.NEW,0)),'DICTIONARY-5'!$A$2)</f>
        <v>705,-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</row>
    <row r="22" spans="1:7" x14ac:dyDescent="0.25">
      <c r="A22" s="156">
        <v>250</v>
      </c>
      <c r="B22" s="156">
        <v>10</v>
      </c>
      <c r="C22" s="156">
        <v>600</v>
      </c>
      <c r="D22" s="156" t="s">
        <v>1218</v>
      </c>
      <c r="E22" s="321" t="s">
        <v>4385</v>
      </c>
      <c r="F22" s="339" t="str">
        <f>IFERROR(IF(OR(E22='DICTIONARY-5'!$A$2,E22='DICTIONARY-5'!$A$4,ISBLANK(E22)),VLOOKUP(D22,LIST!$A$6:$L$3250,CURR_1.SEARCH.OLD,0),VLOOKUP(E22,LIST!$B$6:$L$3250,CURR_1.SEARCH.NEW,0)),'DICTIONARY-5'!$A$2)</f>
        <v>988,-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</row>
    <row r="23" spans="1:7" x14ac:dyDescent="0.25">
      <c r="A23" s="156">
        <v>250</v>
      </c>
      <c r="B23" s="170">
        <v>16</v>
      </c>
      <c r="C23" s="156">
        <v>600</v>
      </c>
      <c r="D23" s="156" t="s">
        <v>1219</v>
      </c>
      <c r="E23" s="321" t="s">
        <v>4382</v>
      </c>
      <c r="F23" s="339" t="str">
        <f>IFERROR(IF(OR(E23='DICTIONARY-5'!$A$2,E23='DICTIONARY-5'!$A$4,ISBLANK(E23)),VLOOKUP(D23,LIST!$A$6:$L$3250,CURR_1.SEARCH.OLD,0),VLOOKUP(E23,LIST!$B$6:$L$3250,CURR_1.SEARCH.NEW,0)),'DICTIONARY-5'!$A$2)</f>
        <v>988,-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</row>
    <row r="24" spans="1:7" x14ac:dyDescent="0.25">
      <c r="A24" s="156">
        <v>300</v>
      </c>
      <c r="B24" s="156">
        <v>10</v>
      </c>
      <c r="C24" s="156">
        <v>700</v>
      </c>
      <c r="D24" s="156" t="s">
        <v>1220</v>
      </c>
      <c r="E24" s="321" t="s">
        <v>4386</v>
      </c>
      <c r="F24" s="339" t="str">
        <f>IFERROR(IF(OR(E24='DICTIONARY-5'!$A$2,E24='DICTIONARY-5'!$A$4,ISBLANK(E24)),VLOOKUP(D24,LIST!$A$6:$L$3250,CURR_1.SEARCH.OLD,0),VLOOKUP(E24,LIST!$B$6:$L$3250,CURR_1.SEARCH.NEW,0)),'DICTIONARY-5'!$A$2)</f>
        <v>1 351,-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</row>
    <row r="25" spans="1:7" x14ac:dyDescent="0.25">
      <c r="A25" s="156">
        <v>300</v>
      </c>
      <c r="B25" s="170">
        <v>16</v>
      </c>
      <c r="C25" s="156">
        <v>700</v>
      </c>
      <c r="D25" s="156" t="s">
        <v>1221</v>
      </c>
      <c r="E25" s="321" t="s">
        <v>4383</v>
      </c>
      <c r="F25" s="339" t="str">
        <f>IFERROR(IF(OR(E25='DICTIONARY-5'!$A$2,E25='DICTIONARY-5'!$A$4,ISBLANK(E25)),VLOOKUP(D25,LIST!$A$6:$L$3250,CURR_1.SEARCH.OLD,0),VLOOKUP(E25,LIST!$B$6:$L$3250,CURR_1.SEARCH.NEW,0)),'DICTIONARY-5'!$A$2)</f>
        <v>1 351,-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</row>
    <row r="29" spans="1:7" ht="16.5" thickBot="1" x14ac:dyDescent="0.3">
      <c r="A29" s="712" t="str">
        <f>CONCATENATE('DICTIONARY-3'!$A$98," ",'DICTIONARY-3'!$A$200," / ",'DICTIONARY-3'!$A$312)</f>
        <v>RETO-STOP Zawór zwrotny / Z urządzeniem do podnoszenia dysku</v>
      </c>
      <c r="B29" s="712"/>
      <c r="C29" s="712"/>
      <c r="D29" s="712"/>
      <c r="E29" s="712"/>
      <c r="F29" s="712"/>
      <c r="G29" s="712"/>
    </row>
    <row r="30" spans="1:7" x14ac:dyDescent="0.25">
      <c r="A30" s="150" t="str">
        <f>'DICTIONARY-3'!$A$307</f>
        <v>Ze skośnym siedziskiem</v>
      </c>
    </row>
    <row r="31" spans="1:7" x14ac:dyDescent="0.25">
      <c r="A31" s="150" t="str">
        <f>CONCATENATE('DICTIONARY-1'!$A$10,": ",SETTINGS!$C$53)</f>
        <v>Grupa rabatowa: RETO-STOP</v>
      </c>
    </row>
    <row r="32" spans="1:7" x14ac:dyDescent="0.25">
      <c r="A32" s="151"/>
    </row>
    <row r="33" spans="1:13" x14ac:dyDescent="0.25">
      <c r="A33" s="152" t="str">
        <f>'DICTIONARY-2'!$A$2</f>
        <v>DN</v>
      </c>
      <c r="B33" s="152" t="str">
        <f>'DICTIONARY-2'!$A$3</f>
        <v>PN</v>
      </c>
      <c r="C33" s="152" t="str">
        <f>'DICTIONARY-2'!$A$24</f>
        <v>L</v>
      </c>
      <c r="D33" s="1004" t="str">
        <f>'DICTIONARY-3'!$A$98</f>
        <v>RETO-STOP</v>
      </c>
      <c r="E33" s="1004"/>
      <c r="F33" s="1004"/>
      <c r="G33" s="1004"/>
      <c r="M33" s="525"/>
    </row>
    <row r="34" spans="1:13" ht="15" customHeight="1" x14ac:dyDescent="0.25">
      <c r="A34" s="153"/>
      <c r="B34" s="153"/>
      <c r="C34" s="153"/>
      <c r="D34" s="1007" t="str">
        <f>LOWER('DICTIONARY-3'!$A$312)</f>
        <v>z urządzeniem do podnoszenia dysku</v>
      </c>
      <c r="E34" s="1007"/>
      <c r="F34" s="1007"/>
      <c r="G34" s="1007"/>
    </row>
    <row r="35" spans="1:13" x14ac:dyDescent="0.25">
      <c r="A35" s="153"/>
      <c r="B35" s="153"/>
      <c r="C35" s="153" t="str">
        <f>'DICTIONARY-2'!$A$18</f>
        <v>[mm]</v>
      </c>
      <c r="D35" s="154" t="str">
        <f>'DICTIONARY-2'!$A$28</f>
        <v>stary nr zamówienia</v>
      </c>
      <c r="E35" s="154" t="str">
        <f>'DICTIONARY-2'!$A$29</f>
        <v>nowy nr zamówienia</v>
      </c>
      <c r="F35" s="155" t="str">
        <f>CURRENCY.CODE_1</f>
        <v>EUR</v>
      </c>
      <c r="G35" s="155" t="str">
        <f>CURRENCY.CODE_2</f>
        <v>---</v>
      </c>
    </row>
    <row r="36" spans="1:13" x14ac:dyDescent="0.25">
      <c r="A36" s="156">
        <v>40</v>
      </c>
      <c r="B36" s="169" t="s">
        <v>85</v>
      </c>
      <c r="C36" s="156">
        <v>180</v>
      </c>
      <c r="D36" s="156" t="s">
        <v>1222</v>
      </c>
      <c r="E36" s="321" t="str">
        <f>'DICTIONARY-5'!$A$2</f>
        <v>na zapytanie</v>
      </c>
      <c r="F36" s="339" t="str">
        <f>IFERROR(IF(OR(E36='DICTIONARY-5'!$A$2,E36='DICTIONARY-5'!$A$4,ISBLANK(E36)),VLOOKUP(D36,LIST!$A$6:$L$3250,CURR_1.SEARCH.OLD,0),VLOOKUP(E36,LIST!$B$6:$L$3250,CURR_1.SEARCH.NEW,0)),'DICTIONARY-5'!$A$2)</f>
        <v>na zapytanie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</row>
    <row r="37" spans="1:13" x14ac:dyDescent="0.25">
      <c r="A37" s="156">
        <v>50</v>
      </c>
      <c r="B37" s="169" t="s">
        <v>85</v>
      </c>
      <c r="C37" s="156">
        <v>200</v>
      </c>
      <c r="D37" s="156" t="s">
        <v>1223</v>
      </c>
      <c r="E37" s="321" t="s">
        <v>4387</v>
      </c>
      <c r="F37" s="339" t="str">
        <f>IFERROR(IF(OR(E37='DICTIONARY-5'!$A$2,E37='DICTIONARY-5'!$A$4,ISBLANK(E37)),VLOOKUP(D37,LIST!$A$6:$L$3250,CURR_1.SEARCH.OLD,0),VLOOKUP(E37,LIST!$B$6:$L$3250,CURR_1.SEARCH.NEW,0)),'DICTIONARY-5'!$A$2)</f>
        <v>138,-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</row>
    <row r="38" spans="1:13" x14ac:dyDescent="0.25">
      <c r="A38" s="156">
        <v>65</v>
      </c>
      <c r="B38" s="169" t="s">
        <v>85</v>
      </c>
      <c r="C38" s="156">
        <v>240</v>
      </c>
      <c r="D38" s="156" t="s">
        <v>1224</v>
      </c>
      <c r="E38" s="321" t="s">
        <v>4388</v>
      </c>
      <c r="F38" s="339" t="str">
        <f>IFERROR(IF(OR(E38='DICTIONARY-5'!$A$2,E38='DICTIONARY-5'!$A$4,ISBLANK(E38)),VLOOKUP(D38,LIST!$A$6:$L$3250,CURR_1.SEARCH.OLD,0),VLOOKUP(E38,LIST!$B$6:$L$3250,CURR_1.SEARCH.NEW,0)),'DICTIONARY-5'!$A$2)</f>
        <v>161,-</v>
      </c>
      <c r="G38" s="339" t="str">
        <f>IFERROR(IF(OR(E38='DICTIONARY-5'!$A$2,E38='DICTIONARY-5'!$A$4,ISBLANK(E38)),VLOOKUP(D38,LIST!$A$6:$M$3250,CURR_2.SEARCH.OLD,0),VLOOKUP(E38,LIST!$B$6:$M$3250,CURR_2.SEARCH.NEW,0)),'DICTIONARY-5'!$A$2)</f>
        <v/>
      </c>
    </row>
    <row r="39" spans="1:13" x14ac:dyDescent="0.25">
      <c r="A39" s="156">
        <v>80</v>
      </c>
      <c r="B39" s="169" t="s">
        <v>85</v>
      </c>
      <c r="C39" s="156">
        <v>260</v>
      </c>
      <c r="D39" s="156" t="s">
        <v>1225</v>
      </c>
      <c r="E39" s="321" t="s">
        <v>4389</v>
      </c>
      <c r="F39" s="339" t="str">
        <f>IFERROR(IF(OR(E39='DICTIONARY-5'!$A$2,E39='DICTIONARY-5'!$A$4,ISBLANK(E39)),VLOOKUP(D39,LIST!$A$6:$L$3250,CURR_1.SEARCH.OLD,0),VLOOKUP(E39,LIST!$B$6:$L$3250,CURR_1.SEARCH.NEW,0)),'DICTIONARY-5'!$A$2)</f>
        <v>184,-</v>
      </c>
      <c r="G39" s="339" t="str">
        <f>IFERROR(IF(OR(E39='DICTIONARY-5'!$A$2,E39='DICTIONARY-5'!$A$4,ISBLANK(E39)),VLOOKUP(D39,LIST!$A$6:$M$3250,CURR_2.SEARCH.OLD,0),VLOOKUP(E39,LIST!$B$6:$M$3250,CURR_2.SEARCH.NEW,0)),'DICTIONARY-5'!$A$2)</f>
        <v/>
      </c>
    </row>
    <row r="40" spans="1:13" x14ac:dyDescent="0.25">
      <c r="A40" s="156">
        <v>100</v>
      </c>
      <c r="B40" s="169" t="s">
        <v>85</v>
      </c>
      <c r="C40" s="156">
        <v>300</v>
      </c>
      <c r="D40" s="156" t="s">
        <v>1226</v>
      </c>
      <c r="E40" s="321" t="s">
        <v>4390</v>
      </c>
      <c r="F40" s="339" t="str">
        <f>IFERROR(IF(OR(E40='DICTIONARY-5'!$A$2,E40='DICTIONARY-5'!$A$4,ISBLANK(E40)),VLOOKUP(D40,LIST!$A$6:$L$3250,CURR_1.SEARCH.OLD,0),VLOOKUP(E40,LIST!$B$6:$L$3250,CURR_1.SEARCH.NEW,0)),'DICTIONARY-5'!$A$2)</f>
        <v>217,-</v>
      </c>
      <c r="G40" s="339" t="str">
        <f>IFERROR(IF(OR(E40='DICTIONARY-5'!$A$2,E40='DICTIONARY-5'!$A$4,ISBLANK(E40)),VLOOKUP(D40,LIST!$A$6:$M$3250,CURR_2.SEARCH.OLD,0),VLOOKUP(E40,LIST!$B$6:$M$3250,CURR_2.SEARCH.NEW,0)),'DICTIONARY-5'!$A$2)</f>
        <v/>
      </c>
    </row>
    <row r="41" spans="1:13" x14ac:dyDescent="0.25">
      <c r="A41" s="156">
        <v>125</v>
      </c>
      <c r="B41" s="169" t="s">
        <v>85</v>
      </c>
      <c r="C41" s="156">
        <v>350</v>
      </c>
      <c r="D41" s="156" t="s">
        <v>1227</v>
      </c>
      <c r="E41" s="321" t="str">
        <f>'DICTIONARY-5'!$A$2</f>
        <v>na zapytanie</v>
      </c>
      <c r="F41" s="339" t="str">
        <f>IFERROR(IF(OR(E41='DICTIONARY-5'!$A$2,E41='DICTIONARY-5'!$A$4,ISBLANK(E41)),VLOOKUP(D41,LIST!$A$6:$L$3250,CURR_1.SEARCH.OLD,0),VLOOKUP(E41,LIST!$B$6:$L$3250,CURR_1.SEARCH.NEW,0)),'DICTIONARY-5'!$A$2)</f>
        <v>na zapytanie</v>
      </c>
      <c r="G41" s="339" t="str">
        <f>IFERROR(IF(OR(E41='DICTIONARY-5'!$A$2,E41='DICTIONARY-5'!$A$4,ISBLANK(E41)),VLOOKUP(D41,LIST!$A$6:$M$3250,CURR_2.SEARCH.OLD,0),VLOOKUP(E41,LIST!$B$6:$M$3250,CURR_2.SEARCH.NEW,0)),'DICTIONARY-5'!$A$2)</f>
        <v/>
      </c>
    </row>
    <row r="42" spans="1:13" x14ac:dyDescent="0.25">
      <c r="A42" s="156">
        <v>150</v>
      </c>
      <c r="B42" s="169" t="s">
        <v>85</v>
      </c>
      <c r="C42" s="156">
        <v>400</v>
      </c>
      <c r="D42" s="156" t="s">
        <v>1228</v>
      </c>
      <c r="E42" s="321" t="s">
        <v>4391</v>
      </c>
      <c r="F42" s="339" t="str">
        <f>IFERROR(IF(OR(E42='DICTIONARY-5'!$A$2,E42='DICTIONARY-5'!$A$4,ISBLANK(E42)),VLOOKUP(D42,LIST!$A$6:$L$3250,CURR_1.SEARCH.OLD,0),VLOOKUP(E42,LIST!$B$6:$L$3250,CURR_1.SEARCH.NEW,0)),'DICTIONARY-5'!$A$2)</f>
        <v>370,-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</row>
    <row r="43" spans="1:13" x14ac:dyDescent="0.25">
      <c r="A43" s="156">
        <v>200</v>
      </c>
      <c r="B43" s="156">
        <v>10</v>
      </c>
      <c r="C43" s="156">
        <v>500</v>
      </c>
      <c r="D43" s="156" t="s">
        <v>1229</v>
      </c>
      <c r="E43" s="321" t="str">
        <f>'DICTIONARY-5'!$A$2</f>
        <v>na zapytanie</v>
      </c>
      <c r="F43" s="339" t="str">
        <f>IFERROR(IF(OR(E43='DICTIONARY-5'!$A$2,E43='DICTIONARY-5'!$A$4,ISBLANK(E43)),VLOOKUP(D43,LIST!$A$6:$L$3250,CURR_1.SEARCH.OLD,0),VLOOKUP(E43,LIST!$B$6:$L$3250,CURR_1.SEARCH.NEW,0)),'DICTIONARY-5'!$A$2)</f>
        <v>na zapytanie</v>
      </c>
      <c r="G43" s="339" t="str">
        <f>IFERROR(IF(OR(E43='DICTIONARY-5'!$A$2,E43='DICTIONARY-5'!$A$4,ISBLANK(E43)),VLOOKUP(D43,LIST!$A$6:$M$3250,CURR_2.SEARCH.OLD,0),VLOOKUP(E43,LIST!$B$6:$M$3250,CURR_2.SEARCH.NEW,0)),'DICTIONARY-5'!$A$2)</f>
        <v/>
      </c>
    </row>
    <row r="44" spans="1:13" x14ac:dyDescent="0.25">
      <c r="A44" s="156">
        <v>200</v>
      </c>
      <c r="B44" s="170">
        <v>16</v>
      </c>
      <c r="C44" s="156">
        <v>500</v>
      </c>
      <c r="D44" s="156" t="s">
        <v>1230</v>
      </c>
      <c r="E44" s="321" t="str">
        <f>'DICTIONARY-5'!$A$2</f>
        <v>na zapytanie</v>
      </c>
      <c r="F44" s="339" t="str">
        <f>IFERROR(IF(OR(E44='DICTIONARY-5'!$A$2,E44='DICTIONARY-5'!$A$4,ISBLANK(E44)),VLOOKUP(D44,LIST!$A$6:$L$3250,CURR_1.SEARCH.OLD,0),VLOOKUP(E44,LIST!$B$6:$L$3250,CURR_1.SEARCH.NEW,0)),'DICTIONARY-5'!$A$2)</f>
        <v>na zapytanie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</row>
    <row r="45" spans="1:13" x14ac:dyDescent="0.25">
      <c r="A45" s="156">
        <v>250</v>
      </c>
      <c r="B45" s="156">
        <v>10</v>
      </c>
      <c r="C45" s="156">
        <v>600</v>
      </c>
      <c r="D45" s="156" t="s">
        <v>1231</v>
      </c>
      <c r="E45" s="321" t="str">
        <f>'DICTIONARY-5'!$A$2</f>
        <v>na zapytanie</v>
      </c>
      <c r="F45" s="339" t="str">
        <f>IFERROR(IF(OR(E45='DICTIONARY-5'!$A$2,E45='DICTIONARY-5'!$A$4,ISBLANK(E45)),VLOOKUP(D45,LIST!$A$6:$L$3250,CURR_1.SEARCH.OLD,0),VLOOKUP(E45,LIST!$B$6:$L$3250,CURR_1.SEARCH.NEW,0)),'DICTIONARY-5'!$A$2)</f>
        <v>na zapytanie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</row>
    <row r="46" spans="1:13" x14ac:dyDescent="0.25">
      <c r="A46" s="156">
        <v>250</v>
      </c>
      <c r="B46" s="170">
        <v>16</v>
      </c>
      <c r="C46" s="156">
        <v>600</v>
      </c>
      <c r="D46" s="156" t="s">
        <v>1232</v>
      </c>
      <c r="E46" s="321" t="str">
        <f>'DICTIONARY-5'!$A$2</f>
        <v>na zapytanie</v>
      </c>
      <c r="F46" s="339" t="str">
        <f>IFERROR(IF(OR(E46='DICTIONARY-5'!$A$2,E46='DICTIONARY-5'!$A$4,ISBLANK(E46)),VLOOKUP(D46,LIST!$A$6:$L$3250,CURR_1.SEARCH.OLD,0),VLOOKUP(E46,LIST!$B$6:$L$3250,CURR_1.SEARCH.NEW,0)),'DICTIONARY-5'!$A$2)</f>
        <v>na zapytanie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</row>
    <row r="47" spans="1:13" x14ac:dyDescent="0.25">
      <c r="A47" s="156">
        <v>300</v>
      </c>
      <c r="B47" s="156">
        <v>10</v>
      </c>
      <c r="C47" s="156">
        <v>700</v>
      </c>
      <c r="D47" s="156" t="s">
        <v>1233</v>
      </c>
      <c r="E47" s="321" t="str">
        <f>'DICTIONARY-5'!$A$2</f>
        <v>na zapytanie</v>
      </c>
      <c r="F47" s="339" t="str">
        <f>IFERROR(IF(OR(E47='DICTIONARY-5'!$A$2,E47='DICTIONARY-5'!$A$4,ISBLANK(E47)),VLOOKUP(D47,LIST!$A$6:$L$3250,CURR_1.SEARCH.OLD,0),VLOOKUP(E47,LIST!$B$6:$L$3250,CURR_1.SEARCH.NEW,0)),'DICTIONARY-5'!$A$2)</f>
        <v>na zapytanie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</row>
    <row r="48" spans="1:13" x14ac:dyDescent="0.25">
      <c r="A48" s="156">
        <v>300</v>
      </c>
      <c r="B48" s="170">
        <v>16</v>
      </c>
      <c r="C48" s="156">
        <v>700</v>
      </c>
      <c r="D48" s="156" t="s">
        <v>1234</v>
      </c>
      <c r="E48" s="321" t="str">
        <f>'DICTIONARY-5'!$A$2</f>
        <v>na zapytanie</v>
      </c>
      <c r="F48" s="339" t="str">
        <f>IFERROR(IF(OR(E48='DICTIONARY-5'!$A$2,E48='DICTIONARY-5'!$A$4,ISBLANK(E48)),VLOOKUP(D48,LIST!$A$6:$L$3250,CURR_1.SEARCH.OLD,0),VLOOKUP(E48,LIST!$B$6:$L$3250,CURR_1.SEARCH.NEW,0)),'DICTIONARY-5'!$A$2)</f>
        <v>na zapytanie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</row>
  </sheetData>
  <sheetProtection algorithmName="SHA-512" hashValue="eJpO1J4ZpaLsM2cyCkBKYvREXiX8GJ/yfLF/Dqz1/YQE9GXlk0Xu7BG29y2zlaLtTAq5ijM8lNr7FtltijUOFg==" saltValue="O3Wc+mcDUy8O4gTClk1//Q==" spinCount="100000" sheet="1" objects="1" scenarios="1" autoFilter="0"/>
  <mergeCells count="5">
    <mergeCell ref="B4:E4"/>
    <mergeCell ref="D10:G10"/>
    <mergeCell ref="D33:G33"/>
    <mergeCell ref="D11:G11"/>
    <mergeCell ref="D34:G3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4">
    <tabColor rgb="FFFFC000"/>
  </sheetPr>
  <dimension ref="A1:M84"/>
  <sheetViews>
    <sheetView workbookViewId="0"/>
  </sheetViews>
  <sheetFormatPr defaultColWidth="9.140625" defaultRowHeight="15" x14ac:dyDescent="0.25"/>
  <cols>
    <col min="1" max="3" width="9.140625" style="146"/>
    <col min="4" max="5" width="22.140625" style="146" customWidth="1"/>
    <col min="6" max="7" width="12.85546875" style="146" customWidth="1"/>
    <col min="8" max="9" width="22.140625" style="146" customWidth="1"/>
    <col min="10" max="11" width="12.85546875" style="146" customWidth="1"/>
    <col min="12" max="12" width="9.140625" style="146"/>
    <col min="13" max="13" width="17.140625" style="144" customWidth="1"/>
    <col min="14" max="14" width="10" style="146" bestFit="1" customWidth="1"/>
    <col min="15" max="16384" width="9.140625" style="146"/>
  </cols>
  <sheetData>
    <row r="1" spans="1:13" s="408" customFormat="1" ht="45" customHeight="1" thickBot="1" x14ac:dyDescent="0.3">
      <c r="A1" s="430"/>
      <c r="B1" s="430"/>
      <c r="C1" s="430"/>
      <c r="D1" s="430"/>
      <c r="M1" s="410"/>
    </row>
    <row r="2" spans="1:13" s="467" customFormat="1" ht="4.5" customHeight="1" x14ac:dyDescent="0.25">
      <c r="A2" s="466"/>
      <c r="M2" s="468"/>
    </row>
    <row r="3" spans="1:13" ht="15.75" thickBot="1" x14ac:dyDescent="0.3">
      <c r="A3" s="147"/>
      <c r="B3" s="148"/>
      <c r="C3" s="148"/>
    </row>
    <row r="4" spans="1:13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13" x14ac:dyDescent="0.25">
      <c r="A5" s="147"/>
      <c r="B5" s="148"/>
      <c r="C5" s="148"/>
    </row>
    <row r="6" spans="1:13" ht="16.5" thickBot="1" x14ac:dyDescent="0.3">
      <c r="A6" s="712" t="str">
        <f>CONCATENATE('DICTIONARY-3'!$A$99," ",'DICTIONARY-3'!$A$200," / ",'DICTIONARY-3'!$A$311)</f>
        <v>RETA Zawór zwrotny / Z korkiem do czyszczenia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3" x14ac:dyDescent="0.25">
      <c r="A7" s="150" t="str">
        <f>'DICTIONARY-3'!$A$308</f>
        <v xml:space="preserve">Z siedziskiem pionowym </v>
      </c>
    </row>
    <row r="8" spans="1:13" x14ac:dyDescent="0.25">
      <c r="A8" s="150" t="str">
        <f>CONCATENATE('DICTIONARY-1'!$A$10,": ",SETTINGS!$C$52)</f>
        <v>Grupa rabatowa: RETA</v>
      </c>
    </row>
    <row r="9" spans="1:13" x14ac:dyDescent="0.25">
      <c r="A9" s="150"/>
    </row>
    <row r="10" spans="1:13" x14ac:dyDescent="0.25">
      <c r="A10" s="150" t="str">
        <f>REPLACE('DICTIONARY-5'!$A$23,1,1,UPPER(LEFT('DICTIONARY-5'!$A$23,1)))</f>
        <v>Powłoka epoksydowa</v>
      </c>
      <c r="B10" s="144"/>
      <c r="C10" s="144"/>
      <c r="D10" s="144"/>
      <c r="E10" s="144"/>
      <c r="F10" s="145"/>
      <c r="G10" s="145"/>
      <c r="H10" s="144"/>
      <c r="I10" s="144"/>
      <c r="J10" s="145"/>
      <c r="K10" s="145"/>
    </row>
    <row r="11" spans="1:13" x14ac:dyDescent="0.25">
      <c r="A11" s="151"/>
      <c r="B11" s="144"/>
      <c r="C11" s="144"/>
      <c r="D11" s="144"/>
      <c r="E11" s="144"/>
      <c r="F11" s="145"/>
      <c r="G11" s="145"/>
      <c r="H11" s="144"/>
      <c r="I11" s="144"/>
      <c r="J11" s="145"/>
      <c r="K11" s="145"/>
    </row>
    <row r="12" spans="1:13" ht="15" customHeight="1" x14ac:dyDescent="0.25">
      <c r="A12" s="152" t="str">
        <f>'DICTIONARY-2'!$A$2</f>
        <v>DN</v>
      </c>
      <c r="B12" s="152" t="str">
        <f>'DICTIONARY-2'!$A$3</f>
        <v>PN</v>
      </c>
      <c r="C12" s="152" t="str">
        <f>'DICTIONARY-2'!$A$24</f>
        <v>L</v>
      </c>
      <c r="D12" s="1004" t="str">
        <f>'DICTIONARY-3'!$A$99</f>
        <v>RETA</v>
      </c>
      <c r="E12" s="1004"/>
      <c r="F12" s="1004"/>
      <c r="G12" s="1004"/>
      <c r="H12" s="1004" t="str">
        <f>'DICTIONARY-3'!$A$99</f>
        <v>RETA</v>
      </c>
      <c r="I12" s="1004"/>
      <c r="J12" s="1004"/>
      <c r="K12" s="1004"/>
    </row>
    <row r="13" spans="1:13" ht="15" customHeight="1" x14ac:dyDescent="0.25">
      <c r="A13" s="153"/>
      <c r="B13" s="153"/>
      <c r="C13" s="153"/>
      <c r="D13" s="1007" t="str">
        <f>'DICTIONARY-5'!$A$23&amp;", "&amp;'DICTIONARY-5'!$A$137&amp;": "&amp;'DICTIONARY-5'!$A$33&amp;"-"&amp;'DICTIONARY-5'!$A$33</f>
        <v>powłoka epoksydowa, siedziska: st. nierdz.-st. nierdz.</v>
      </c>
      <c r="E13" s="1007"/>
      <c r="F13" s="1007"/>
      <c r="G13" s="1007"/>
      <c r="H13" s="1007" t="str">
        <f>'DICTIONARY-5'!$A$23&amp;", "&amp;'DICTIONARY-5'!$A$137&amp;": "&amp;'DICTIONARY-5'!$A$33&amp;"-"&amp;'DICTIONARY-5'!$A$44</f>
        <v>powłoka epoksydowa, siedziska: st. nierdz.-EPDM</v>
      </c>
      <c r="I13" s="1007"/>
      <c r="J13" s="1007"/>
      <c r="K13" s="1007"/>
    </row>
    <row r="14" spans="1:13" x14ac:dyDescent="0.25">
      <c r="A14" s="153"/>
      <c r="B14" s="153"/>
      <c r="C14" s="153" t="str">
        <f>'DICTIONARY-2'!$A$18</f>
        <v>[mm]</v>
      </c>
      <c r="D14" s="154" t="str">
        <f>'DICTIONARY-2'!$A$28</f>
        <v>stary nr zamówienia</v>
      </c>
      <c r="E14" s="154" t="str">
        <f>'DICTIONARY-2'!$A$29</f>
        <v>nowy nr zamówienia</v>
      </c>
      <c r="F14" s="155" t="str">
        <f>CURRENCY.CODE_1</f>
        <v>EUR</v>
      </c>
      <c r="G14" s="155" t="str">
        <f>CURRENCY.CODE_2</f>
        <v>---</v>
      </c>
      <c r="H14" s="154" t="str">
        <f>'DICTIONARY-2'!$A$28</f>
        <v>stary nr zamówienia</v>
      </c>
      <c r="I14" s="154" t="str">
        <f>'DICTIONARY-2'!$A$29</f>
        <v>nowy nr zamówienia</v>
      </c>
      <c r="J14" s="155" t="str">
        <f>CURRENCY.CODE_1</f>
        <v>EUR</v>
      </c>
      <c r="K14" s="155" t="str">
        <f>CURRENCY.CODE_2</f>
        <v>---</v>
      </c>
    </row>
    <row r="15" spans="1:13" x14ac:dyDescent="0.25">
      <c r="A15" s="156">
        <v>40</v>
      </c>
      <c r="B15" s="156" t="s">
        <v>85</v>
      </c>
      <c r="C15" s="156">
        <v>180</v>
      </c>
      <c r="D15" s="156" t="s">
        <v>1235</v>
      </c>
      <c r="E15" s="321" t="s">
        <v>4425</v>
      </c>
      <c r="F15" s="339" t="str">
        <f>IFERROR(IF(OR(E15='DICTIONARY-5'!$A$2,E15='DICTIONARY-5'!$A$4,ISBLANK(E15)),VLOOKUP(D15,LIST!$A$6:$L$3250,CURR_1.SEARCH.OLD,0),VLOOKUP(E15,LIST!$B$6:$L$3250,CURR_1.SEARCH.NEW,0)),'DICTIONARY-5'!$A$2)</f>
        <v>279,-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56" t="s">
        <v>1236</v>
      </c>
      <c r="I15" s="321" t="s">
        <v>4433</v>
      </c>
      <c r="J15" s="339" t="str">
        <f>IFERROR(IF(OR(I15='DICTIONARY-5'!$A$2,I15='DICTIONARY-5'!$A$4,ISBLANK(I15)),VLOOKUP(H15,LIST!$A$6:$L$3250,CURR_1.SEARCH.OLD,0),VLOOKUP(I15,LIST!$B$6:$L$3250,CURR_1.SEARCH.NEW,0)),'DICTIONARY-5'!$A$2)</f>
        <v>229,-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3" x14ac:dyDescent="0.25">
      <c r="A16" s="156">
        <v>50</v>
      </c>
      <c r="B16" s="156" t="s">
        <v>85</v>
      </c>
      <c r="C16" s="156">
        <v>200</v>
      </c>
      <c r="D16" s="156" t="s">
        <v>1237</v>
      </c>
      <c r="E16" s="321" t="s">
        <v>4427</v>
      </c>
      <c r="F16" s="339" t="str">
        <f>IFERROR(IF(OR(E16='DICTIONARY-5'!$A$2,E16='DICTIONARY-5'!$A$4,ISBLANK(E16)),VLOOKUP(D16,LIST!$A$6:$L$3250,CURR_1.SEARCH.OLD,0),VLOOKUP(E16,LIST!$B$6:$L$3250,CURR_1.SEARCH.NEW,0)),'DICTIONARY-5'!$A$2)</f>
        <v>279,-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56" t="s">
        <v>1238</v>
      </c>
      <c r="I16" s="321" t="s">
        <v>4435</v>
      </c>
      <c r="J16" s="339" t="str">
        <f>IFERROR(IF(OR(I16='DICTIONARY-5'!$A$2,I16='DICTIONARY-5'!$A$4,ISBLANK(I16)),VLOOKUP(H16,LIST!$A$6:$L$3250,CURR_1.SEARCH.OLD,0),VLOOKUP(I16,LIST!$B$6:$L$3250,CURR_1.SEARCH.NEW,0)),'DICTIONARY-5'!$A$2)</f>
        <v>227,-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3" x14ac:dyDescent="0.25">
      <c r="A17" s="156">
        <v>65</v>
      </c>
      <c r="B17" s="156" t="s">
        <v>85</v>
      </c>
      <c r="C17" s="156">
        <v>240</v>
      </c>
      <c r="D17" s="156" t="s">
        <v>1239</v>
      </c>
      <c r="E17" s="321" t="s">
        <v>4429</v>
      </c>
      <c r="F17" s="339" t="str">
        <f>IFERROR(IF(OR(E17='DICTIONARY-5'!$A$2,E17='DICTIONARY-5'!$A$4,ISBLANK(E17)),VLOOKUP(D17,LIST!$A$6:$L$3250,CURR_1.SEARCH.OLD,0),VLOOKUP(E17,LIST!$B$6:$L$3250,CURR_1.SEARCH.NEW,0)),'DICTIONARY-5'!$A$2)</f>
        <v>342,-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156" t="s">
        <v>1240</v>
      </c>
      <c r="I17" s="321" t="s">
        <v>4437</v>
      </c>
      <c r="J17" s="339" t="str">
        <f>IFERROR(IF(OR(I17='DICTIONARY-5'!$A$2,I17='DICTIONARY-5'!$A$4,ISBLANK(I17)),VLOOKUP(H17,LIST!$A$6:$L$3250,CURR_1.SEARCH.OLD,0),VLOOKUP(I17,LIST!$B$6:$L$3250,CURR_1.SEARCH.NEW,0)),'DICTIONARY-5'!$A$2)</f>
        <v>290,-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3" x14ac:dyDescent="0.25">
      <c r="A18" s="156">
        <v>80</v>
      </c>
      <c r="B18" s="156" t="s">
        <v>85</v>
      </c>
      <c r="C18" s="156">
        <v>260</v>
      </c>
      <c r="D18" s="156" t="s">
        <v>1241</v>
      </c>
      <c r="E18" s="321" t="s">
        <v>4431</v>
      </c>
      <c r="F18" s="339" t="str">
        <f>IFERROR(IF(OR(E18='DICTIONARY-5'!$A$2,E18='DICTIONARY-5'!$A$4,ISBLANK(E18)),VLOOKUP(D18,LIST!$A$6:$L$3250,CURR_1.SEARCH.OLD,0),VLOOKUP(E18,LIST!$B$6:$L$3250,CURR_1.SEARCH.NEW,0)),'DICTIONARY-5'!$A$2)</f>
        <v>356,-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156" t="s">
        <v>1242</v>
      </c>
      <c r="I18" s="321" t="s">
        <v>4439</v>
      </c>
      <c r="J18" s="339" t="str">
        <f>IFERROR(IF(OR(I18='DICTIONARY-5'!$A$2,I18='DICTIONARY-5'!$A$4,ISBLANK(I18)),VLOOKUP(H18,LIST!$A$6:$L$3250,CURR_1.SEARCH.OLD,0),VLOOKUP(I18,LIST!$B$6:$L$3250,CURR_1.SEARCH.NEW,0)),'DICTIONARY-5'!$A$2)</f>
        <v>302,-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3" x14ac:dyDescent="0.25">
      <c r="A19" s="156">
        <v>100</v>
      </c>
      <c r="B19" s="156" t="s">
        <v>85</v>
      </c>
      <c r="C19" s="156">
        <v>300</v>
      </c>
      <c r="D19" s="156" t="s">
        <v>1243</v>
      </c>
      <c r="E19" s="321" t="s">
        <v>4393</v>
      </c>
      <c r="F19" s="339" t="str">
        <f>IFERROR(IF(OR(E19='DICTIONARY-5'!$A$2,E19='DICTIONARY-5'!$A$4,ISBLANK(E19)),VLOOKUP(D19,LIST!$A$6:$L$3250,CURR_1.SEARCH.OLD,0),VLOOKUP(E19,LIST!$B$6:$L$3250,CURR_1.SEARCH.NEW,0)),'DICTIONARY-5'!$A$2)</f>
        <v>425,-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156" t="s">
        <v>1244</v>
      </c>
      <c r="I19" s="321" t="s">
        <v>4403</v>
      </c>
      <c r="J19" s="339" t="str">
        <f>IFERROR(IF(OR(I19='DICTIONARY-5'!$A$2,I19='DICTIONARY-5'!$A$4,ISBLANK(I19)),VLOOKUP(H19,LIST!$A$6:$L$3250,CURR_1.SEARCH.OLD,0),VLOOKUP(I19,LIST!$B$6:$L$3250,CURR_1.SEARCH.NEW,0)),'DICTIONARY-5'!$A$2)</f>
        <v>337,-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3" x14ac:dyDescent="0.25">
      <c r="A20" s="156">
        <v>125</v>
      </c>
      <c r="B20" s="156" t="s">
        <v>85</v>
      </c>
      <c r="C20" s="156">
        <v>350</v>
      </c>
      <c r="D20" s="156" t="s">
        <v>1245</v>
      </c>
      <c r="E20" s="321" t="s">
        <v>4395</v>
      </c>
      <c r="F20" s="339" t="str">
        <f>IFERROR(IF(OR(E20='DICTIONARY-5'!$A$2,E20='DICTIONARY-5'!$A$4,ISBLANK(E20)),VLOOKUP(D20,LIST!$A$6:$L$3250,CURR_1.SEARCH.OLD,0),VLOOKUP(E20,LIST!$B$6:$L$3250,CURR_1.SEARCH.NEW,0)),'DICTIONARY-5'!$A$2)</f>
        <v>543,-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156" t="s">
        <v>1246</v>
      </c>
      <c r="I20" s="321" t="s">
        <v>4405</v>
      </c>
      <c r="J20" s="339" t="str">
        <f>IFERROR(IF(OR(I20='DICTIONARY-5'!$A$2,I20='DICTIONARY-5'!$A$4,ISBLANK(I20)),VLOOKUP(H20,LIST!$A$6:$L$3250,CURR_1.SEARCH.OLD,0),VLOOKUP(I20,LIST!$B$6:$L$3250,CURR_1.SEARCH.NEW,0)),'DICTIONARY-5'!$A$2)</f>
        <v>454,-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3" x14ac:dyDescent="0.25">
      <c r="A21" s="156">
        <v>150</v>
      </c>
      <c r="B21" s="156" t="s">
        <v>85</v>
      </c>
      <c r="C21" s="156">
        <v>400</v>
      </c>
      <c r="D21" s="156" t="s">
        <v>1247</v>
      </c>
      <c r="E21" s="321" t="s">
        <v>4397</v>
      </c>
      <c r="F21" s="339" t="str">
        <f>IFERROR(IF(OR(E21='DICTIONARY-5'!$A$2,E21='DICTIONARY-5'!$A$4,ISBLANK(E21)),VLOOKUP(D21,LIST!$A$6:$L$3250,CURR_1.SEARCH.OLD,0),VLOOKUP(E21,LIST!$B$6:$L$3250,CURR_1.SEARCH.NEW,0)),'DICTIONARY-5'!$A$2)</f>
        <v>735,-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156" t="s">
        <v>1248</v>
      </c>
      <c r="I21" s="321" t="s">
        <v>4407</v>
      </c>
      <c r="J21" s="339" t="str">
        <f>IFERROR(IF(OR(I21='DICTIONARY-5'!$A$2,I21='DICTIONARY-5'!$A$4,ISBLANK(I21)),VLOOKUP(H21,LIST!$A$6:$L$3250,CURR_1.SEARCH.OLD,0),VLOOKUP(I21,LIST!$B$6:$L$3250,CURR_1.SEARCH.NEW,0)),'DICTIONARY-5'!$A$2)</f>
        <v>632,-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2" spans="1:13" x14ac:dyDescent="0.25">
      <c r="A22" s="560" t="s">
        <v>162</v>
      </c>
      <c r="B22" s="156">
        <v>16</v>
      </c>
      <c r="C22" s="156">
        <v>500</v>
      </c>
      <c r="D22" s="156" t="s">
        <v>1249</v>
      </c>
      <c r="E22" s="321" t="s">
        <v>4399</v>
      </c>
      <c r="F22" s="339" t="str">
        <f>IFERROR(IF(OR(E22='DICTIONARY-5'!$A$2,E22='DICTIONARY-5'!$A$4,ISBLANK(E22)),VLOOKUP(D22,LIST!$A$6:$L$3250,CURR_1.SEARCH.OLD,0),VLOOKUP(E22,LIST!$B$6:$L$3250,CURR_1.SEARCH.NEW,0)),'DICTIONARY-5'!$A$2)</f>
        <v>927,-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156" t="s">
        <v>1250</v>
      </c>
      <c r="I22" s="321" t="s">
        <v>4409</v>
      </c>
      <c r="J22" s="339" t="str">
        <f>IFERROR(IF(OR(I22='DICTIONARY-5'!$A$2,I22='DICTIONARY-5'!$A$4,ISBLANK(I22)),VLOOKUP(H22,LIST!$A$6:$L$3250,CURR_1.SEARCH.OLD,0),VLOOKUP(I22,LIST!$B$6:$L$3250,CURR_1.SEARCH.NEW,0)),'DICTIONARY-5'!$A$2)</f>
        <v>833,-</v>
      </c>
      <c r="K22" s="339" t="str">
        <f>IFERROR(IF(OR(I22='DICTIONARY-5'!$A$2,I22='DICTIONARY-5'!$A$4,ISBLANK(I22)),VLOOKUP(H22,LIST!$A$6:$M$3250,CURR_2.SEARCH.OLD,0),VLOOKUP(I22,LIST!$B$6:$M$3250,CURR_2.SEARCH.NEW,0)),'DICTIONARY-5'!$A$2)</f>
        <v/>
      </c>
    </row>
    <row r="23" spans="1:13" x14ac:dyDescent="0.25">
      <c r="A23" s="560" t="s">
        <v>1989</v>
      </c>
      <c r="B23" s="156">
        <v>16</v>
      </c>
      <c r="C23" s="156">
        <v>600</v>
      </c>
      <c r="D23" s="156" t="s">
        <v>1251</v>
      </c>
      <c r="E23" s="321" t="s">
        <v>4401</v>
      </c>
      <c r="F23" s="339" t="str">
        <f>IFERROR(IF(OR(E23='DICTIONARY-5'!$A$2,E23='DICTIONARY-5'!$A$4,ISBLANK(E23)),VLOOKUP(D23,LIST!$A$6:$L$3250,CURR_1.SEARCH.OLD,0),VLOOKUP(E23,LIST!$B$6:$L$3250,CURR_1.SEARCH.NEW,0)),'DICTIONARY-5'!$A$2)</f>
        <v>1 485,-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156" t="s">
        <v>1252</v>
      </c>
      <c r="I23" s="321" t="s">
        <v>4411</v>
      </c>
      <c r="J23" s="339" t="str">
        <f>IFERROR(IF(OR(I23='DICTIONARY-5'!$A$2,I23='DICTIONARY-5'!$A$4,ISBLANK(I23)),VLOOKUP(H23,LIST!$A$6:$L$3250,CURR_1.SEARCH.OLD,0),VLOOKUP(I23,LIST!$B$6:$L$3250,CURR_1.SEARCH.NEW,0)),'DICTIONARY-5'!$A$2)</f>
        <v>1 384,-</v>
      </c>
      <c r="K23" s="339" t="str">
        <f>IFERROR(IF(OR(I23='DICTIONARY-5'!$A$2,I23='DICTIONARY-5'!$A$4,ISBLANK(I23)),VLOOKUP(H23,LIST!$A$6:$M$3250,CURR_2.SEARCH.OLD,0),VLOOKUP(I23,LIST!$B$6:$M$3250,CURR_2.SEARCH.NEW,0)),'DICTIONARY-5'!$A$2)</f>
        <v/>
      </c>
    </row>
    <row r="24" spans="1:13" x14ac:dyDescent="0.25">
      <c r="A24" s="159"/>
      <c r="B24" s="144"/>
      <c r="C24" s="144"/>
      <c r="D24" s="144"/>
      <c r="E24" s="144"/>
      <c r="F24" s="145"/>
      <c r="G24" s="145"/>
      <c r="H24" s="144"/>
      <c r="I24" s="144"/>
      <c r="J24" s="145"/>
      <c r="K24" s="145"/>
    </row>
    <row r="25" spans="1:13" x14ac:dyDescent="0.25">
      <c r="A25" s="46" t="str">
        <f>"1) "&amp;'DICTIONARY-5'!$A$3&amp;" PN 10"</f>
        <v>1) Na zapytanie:  PN 10</v>
      </c>
      <c r="B25" s="144"/>
      <c r="C25" s="144"/>
      <c r="D25" s="144"/>
      <c r="E25" s="144"/>
      <c r="F25" s="145"/>
      <c r="G25" s="145"/>
      <c r="H25" s="144"/>
      <c r="I25" s="144"/>
      <c r="J25" s="145"/>
      <c r="K25" s="145"/>
    </row>
    <row r="26" spans="1:13" x14ac:dyDescent="0.25">
      <c r="A26" s="46"/>
      <c r="B26" s="144"/>
      <c r="C26" s="144"/>
      <c r="D26" s="144"/>
      <c r="E26" s="144"/>
      <c r="F26" s="145"/>
      <c r="G26" s="145"/>
      <c r="H26" s="144"/>
      <c r="I26" s="144"/>
      <c r="J26" s="145"/>
      <c r="K26" s="145"/>
    </row>
    <row r="28" spans="1:13" x14ac:dyDescent="0.25">
      <c r="A28" s="150" t="str">
        <f>REPLACE('DICTIONARY-5'!$A$24,1,1,UPPER(LEFT('DICTIONARY-5'!$A$24,1)))</f>
        <v>Powłoka syntetyczna</v>
      </c>
      <c r="B28" s="144"/>
      <c r="C28" s="144"/>
      <c r="D28" s="144"/>
      <c r="E28" s="144"/>
      <c r="F28" s="145"/>
      <c r="G28" s="145"/>
      <c r="H28" s="144"/>
      <c r="I28" s="144"/>
      <c r="J28" s="145"/>
      <c r="K28" s="145"/>
    </row>
    <row r="29" spans="1:13" x14ac:dyDescent="0.25">
      <c r="A29" s="151"/>
      <c r="B29" s="144"/>
      <c r="C29" s="144"/>
      <c r="D29" s="144"/>
      <c r="E29" s="144"/>
      <c r="F29" s="145"/>
      <c r="G29" s="145"/>
      <c r="H29" s="144"/>
      <c r="I29" s="144"/>
      <c r="J29" s="145"/>
      <c r="K29" s="145"/>
    </row>
    <row r="30" spans="1:13" ht="15" customHeight="1" x14ac:dyDescent="0.25">
      <c r="A30" s="152" t="str">
        <f>'DICTIONARY-2'!$A$2</f>
        <v>DN</v>
      </c>
      <c r="B30" s="152" t="str">
        <f>'DICTIONARY-2'!$A$3</f>
        <v>PN</v>
      </c>
      <c r="C30" s="152" t="str">
        <f>'DICTIONARY-2'!$A$24</f>
        <v>L</v>
      </c>
      <c r="D30" s="1004" t="str">
        <f>'DICTIONARY-3'!$A$99</f>
        <v>RETA</v>
      </c>
      <c r="E30" s="1004"/>
      <c r="F30" s="1004"/>
      <c r="G30" s="1004"/>
      <c r="H30" s="1004" t="str">
        <f>'DICTIONARY-3'!$A$99</f>
        <v>RETA</v>
      </c>
      <c r="I30" s="1004"/>
      <c r="J30" s="1004"/>
      <c r="K30" s="1004"/>
    </row>
    <row r="31" spans="1:13" ht="15" customHeight="1" x14ac:dyDescent="0.25">
      <c r="A31" s="153"/>
      <c r="B31" s="153"/>
      <c r="C31" s="153"/>
      <c r="D31" s="1007" t="str">
        <f>'DICTIONARY-5'!$A$24&amp;", "&amp;'DICTIONARY-5'!$A$137&amp;": "&amp;'DICTIONARY-5'!$A$33&amp;"-"&amp;'DICTIONARY-5'!$A$33</f>
        <v>powłoka syntetyczna, siedziska: st. nierdz.-st. nierdz.</v>
      </c>
      <c r="E31" s="1007"/>
      <c r="F31" s="1007"/>
      <c r="G31" s="1007"/>
      <c r="H31" s="1007" t="str">
        <f>'DICTIONARY-5'!$A$24&amp;", "&amp;'DICTIONARY-5'!$A$137&amp;": "&amp;'DICTIONARY-5'!$A$33&amp;"-"&amp;'DICTIONARY-5'!$A$44</f>
        <v>powłoka syntetyczna, siedziska: st. nierdz.-EPDM</v>
      </c>
      <c r="I31" s="1007"/>
      <c r="J31" s="1007"/>
      <c r="K31" s="1007"/>
      <c r="M31" s="528"/>
    </row>
    <row r="32" spans="1:13" x14ac:dyDescent="0.25">
      <c r="A32" s="153"/>
      <c r="B32" s="153"/>
      <c r="C32" s="153" t="str">
        <f>'DICTIONARY-2'!$A$18</f>
        <v>[mm]</v>
      </c>
      <c r="D32" s="154" t="str">
        <f>'DICTIONARY-2'!$A$28</f>
        <v>stary nr zamówienia</v>
      </c>
      <c r="E32" s="154" t="str">
        <f>'DICTIONARY-2'!$A$29</f>
        <v>nowy nr zamówienia</v>
      </c>
      <c r="F32" s="155" t="str">
        <f>CURRENCY.CODE_1</f>
        <v>EUR</v>
      </c>
      <c r="G32" s="155" t="str">
        <f>CURRENCY.CODE_2</f>
        <v>---</v>
      </c>
      <c r="H32" s="154" t="str">
        <f>'DICTIONARY-2'!$A$28</f>
        <v>stary nr zamówienia</v>
      </c>
      <c r="I32" s="154" t="str">
        <f>'DICTIONARY-2'!$A$29</f>
        <v>nowy nr zamówienia</v>
      </c>
      <c r="J32" s="155" t="str">
        <f>CURRENCY.CODE_1</f>
        <v>EUR</v>
      </c>
      <c r="K32" s="155" t="str">
        <f>CURRENCY.CODE_2</f>
        <v>---</v>
      </c>
    </row>
    <row r="33" spans="1:13" x14ac:dyDescent="0.25">
      <c r="A33" s="156">
        <v>40</v>
      </c>
      <c r="B33" s="156" t="s">
        <v>85</v>
      </c>
      <c r="C33" s="156">
        <v>180</v>
      </c>
      <c r="D33" s="171" t="s">
        <v>1253</v>
      </c>
      <c r="E33" s="322" t="s">
        <v>4424</v>
      </c>
      <c r="F33" s="339" t="str">
        <f>IFERROR(IF(OR(E33='DICTIONARY-5'!$A$2,E33='DICTIONARY-5'!$A$4,ISBLANK(E33)),VLOOKUP(D33,LIST!$A$6:$L$3250,CURR_1.SEARCH.OLD,0),VLOOKUP(E33,LIST!$B$6:$L$3250,CURR_1.SEARCH.NEW,0)),'DICTIONARY-5'!$A$2)</f>
        <v>295,-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H33" s="171" t="s">
        <v>1254</v>
      </c>
      <c r="I33" s="322" t="s">
        <v>4432</v>
      </c>
      <c r="J33" s="339" t="str">
        <f>IFERROR(IF(OR(I33='DICTIONARY-5'!$A$2,I33='DICTIONARY-5'!$A$4,ISBLANK(I33)),VLOOKUP(H33,LIST!$A$6:$L$3250,CURR_1.SEARCH.OLD,0),VLOOKUP(I33,LIST!$B$6:$L$3250,CURR_1.SEARCH.NEW,0)),'DICTIONARY-5'!$A$2)</f>
        <v>245,-</v>
      </c>
      <c r="K33" s="339" t="str">
        <f>IFERROR(IF(OR(I33='DICTIONARY-5'!$A$2,I33='DICTIONARY-5'!$A$4,ISBLANK(I33)),VLOOKUP(H33,LIST!$A$6:$M$3250,CURR_2.SEARCH.OLD,0),VLOOKUP(I33,LIST!$B$6:$M$3250,CURR_2.SEARCH.NEW,0)),'DICTIONARY-5'!$A$2)</f>
        <v/>
      </c>
      <c r="M33" s="158"/>
    </row>
    <row r="34" spans="1:13" x14ac:dyDescent="0.25">
      <c r="A34" s="156">
        <v>50</v>
      </c>
      <c r="B34" s="156" t="s">
        <v>85</v>
      </c>
      <c r="C34" s="156">
        <v>200</v>
      </c>
      <c r="D34" s="171" t="s">
        <v>1255</v>
      </c>
      <c r="E34" s="322" t="s">
        <v>4426</v>
      </c>
      <c r="F34" s="339" t="str">
        <f>IFERROR(IF(OR(E34='DICTIONARY-5'!$A$2,E34='DICTIONARY-5'!$A$4,ISBLANK(E34)),VLOOKUP(D34,LIST!$A$6:$L$3250,CURR_1.SEARCH.OLD,0),VLOOKUP(E34,LIST!$B$6:$L$3250,CURR_1.SEARCH.NEW,0)),'DICTIONARY-5'!$A$2)</f>
        <v>301,-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H34" s="171" t="s">
        <v>1256</v>
      </c>
      <c r="I34" s="322" t="s">
        <v>4434</v>
      </c>
      <c r="J34" s="339" t="str">
        <f>IFERROR(IF(OR(I34='DICTIONARY-5'!$A$2,I34='DICTIONARY-5'!$A$4,ISBLANK(I34)),VLOOKUP(H34,LIST!$A$6:$L$3250,CURR_1.SEARCH.OLD,0),VLOOKUP(I34,LIST!$B$6:$L$3250,CURR_1.SEARCH.NEW,0)),'DICTIONARY-5'!$A$2)</f>
        <v>250,-</v>
      </c>
      <c r="K34" s="339" t="str">
        <f>IFERROR(IF(OR(I34='DICTIONARY-5'!$A$2,I34='DICTIONARY-5'!$A$4,ISBLANK(I34)),VLOOKUP(H34,LIST!$A$6:$M$3250,CURR_2.SEARCH.OLD,0),VLOOKUP(I34,LIST!$B$6:$M$3250,CURR_2.SEARCH.NEW,0)),'DICTIONARY-5'!$A$2)</f>
        <v/>
      </c>
      <c r="M34" s="158"/>
    </row>
    <row r="35" spans="1:13" x14ac:dyDescent="0.25">
      <c r="A35" s="156">
        <v>65</v>
      </c>
      <c r="B35" s="156" t="s">
        <v>85</v>
      </c>
      <c r="C35" s="156">
        <v>240</v>
      </c>
      <c r="D35" s="171" t="s">
        <v>1257</v>
      </c>
      <c r="E35" s="322" t="s">
        <v>4428</v>
      </c>
      <c r="F35" s="339" t="str">
        <f>IFERROR(IF(OR(E35='DICTIONARY-5'!$A$2,E35='DICTIONARY-5'!$A$4,ISBLANK(E35)),VLOOKUP(D35,LIST!$A$6:$L$3250,CURR_1.SEARCH.OLD,0),VLOOKUP(E35,LIST!$B$6:$L$3250,CURR_1.SEARCH.NEW,0)),'DICTIONARY-5'!$A$2)</f>
        <v>367,-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H35" s="171" t="s">
        <v>1258</v>
      </c>
      <c r="I35" s="322" t="s">
        <v>4436</v>
      </c>
      <c r="J35" s="339" t="str">
        <f>IFERROR(IF(OR(I35='DICTIONARY-5'!$A$2,I35='DICTIONARY-5'!$A$4,ISBLANK(I35)),VLOOKUP(H35,LIST!$A$6:$L$3250,CURR_1.SEARCH.OLD,0),VLOOKUP(I35,LIST!$B$6:$L$3250,CURR_1.SEARCH.NEW,0)),'DICTIONARY-5'!$A$2)</f>
        <v>316,-</v>
      </c>
      <c r="K35" s="339" t="str">
        <f>IFERROR(IF(OR(I35='DICTIONARY-5'!$A$2,I35='DICTIONARY-5'!$A$4,ISBLANK(I35)),VLOOKUP(H35,LIST!$A$6:$M$3250,CURR_2.SEARCH.OLD,0),VLOOKUP(I35,LIST!$B$6:$M$3250,CURR_2.SEARCH.NEW,0)),'DICTIONARY-5'!$A$2)</f>
        <v/>
      </c>
      <c r="M35" s="158"/>
    </row>
    <row r="36" spans="1:13" x14ac:dyDescent="0.25">
      <c r="A36" s="156">
        <v>80</v>
      </c>
      <c r="B36" s="156" t="s">
        <v>85</v>
      </c>
      <c r="C36" s="156">
        <v>260</v>
      </c>
      <c r="D36" s="171" t="s">
        <v>1259</v>
      </c>
      <c r="E36" s="322" t="s">
        <v>4430</v>
      </c>
      <c r="F36" s="339" t="str">
        <f>IFERROR(IF(OR(E36='DICTIONARY-5'!$A$2,E36='DICTIONARY-5'!$A$4,ISBLANK(E36)),VLOOKUP(D36,LIST!$A$6:$L$3250,CURR_1.SEARCH.OLD,0),VLOOKUP(E36,LIST!$B$6:$L$3250,CURR_1.SEARCH.NEW,0)),'DICTIONARY-5'!$A$2)</f>
        <v>380,-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H36" s="171" t="s">
        <v>1260</v>
      </c>
      <c r="I36" s="322" t="s">
        <v>4438</v>
      </c>
      <c r="J36" s="339" t="str">
        <f>IFERROR(IF(OR(I36='DICTIONARY-5'!$A$2,I36='DICTIONARY-5'!$A$4,ISBLANK(I36)),VLOOKUP(H36,LIST!$A$6:$L$3250,CURR_1.SEARCH.OLD,0),VLOOKUP(I36,LIST!$B$6:$L$3250,CURR_1.SEARCH.NEW,0)),'DICTIONARY-5'!$A$2)</f>
        <v>326,-</v>
      </c>
      <c r="K36" s="339" t="str">
        <f>IFERROR(IF(OR(I36='DICTIONARY-5'!$A$2,I36='DICTIONARY-5'!$A$4,ISBLANK(I36)),VLOOKUP(H36,LIST!$A$6:$M$3250,CURR_2.SEARCH.OLD,0),VLOOKUP(I36,LIST!$B$6:$M$3250,CURR_2.SEARCH.NEW,0)),'DICTIONARY-5'!$A$2)</f>
        <v/>
      </c>
      <c r="M36" s="158"/>
    </row>
    <row r="37" spans="1:13" x14ac:dyDescent="0.25">
      <c r="A37" s="156">
        <v>100</v>
      </c>
      <c r="B37" s="156" t="s">
        <v>85</v>
      </c>
      <c r="C37" s="156">
        <v>300</v>
      </c>
      <c r="D37" s="171" t="s">
        <v>1261</v>
      </c>
      <c r="E37" s="322" t="s">
        <v>4392</v>
      </c>
      <c r="F37" s="339" t="str">
        <f>IFERROR(IF(OR(E37='DICTIONARY-5'!$A$2,E37='DICTIONARY-5'!$A$4,ISBLANK(E37)),VLOOKUP(D37,LIST!$A$6:$L$3250,CURR_1.SEARCH.OLD,0),VLOOKUP(E37,LIST!$B$6:$L$3250,CURR_1.SEARCH.NEW,0)),'DICTIONARY-5'!$A$2)</f>
        <v>427,-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  <c r="H37" s="171" t="s">
        <v>1262</v>
      </c>
      <c r="I37" s="322" t="s">
        <v>4402</v>
      </c>
      <c r="J37" s="339" t="str">
        <f>IFERROR(IF(OR(I37='DICTIONARY-5'!$A$2,I37='DICTIONARY-5'!$A$4,ISBLANK(I37)),VLOOKUP(H37,LIST!$A$6:$L$3250,CURR_1.SEARCH.OLD,0),VLOOKUP(I37,LIST!$B$6:$L$3250,CURR_1.SEARCH.NEW,0)),'DICTIONARY-5'!$A$2)</f>
        <v>373,-</v>
      </c>
      <c r="K37" s="339" t="str">
        <f>IFERROR(IF(OR(I37='DICTIONARY-5'!$A$2,I37='DICTIONARY-5'!$A$4,ISBLANK(I37)),VLOOKUP(H37,LIST!$A$6:$M$3250,CURR_2.SEARCH.OLD,0),VLOOKUP(I37,LIST!$B$6:$M$3250,CURR_2.SEARCH.NEW,0)),'DICTIONARY-5'!$A$2)</f>
        <v/>
      </c>
      <c r="M37" s="158"/>
    </row>
    <row r="38" spans="1:13" x14ac:dyDescent="0.25">
      <c r="A38" s="156">
        <v>125</v>
      </c>
      <c r="B38" s="156" t="s">
        <v>85</v>
      </c>
      <c r="C38" s="156">
        <v>350</v>
      </c>
      <c r="D38" s="171" t="s">
        <v>1263</v>
      </c>
      <c r="E38" s="322" t="s">
        <v>4394</v>
      </c>
      <c r="F38" s="339" t="str">
        <f>IFERROR(IF(OR(E38='DICTIONARY-5'!$A$2,E38='DICTIONARY-5'!$A$4,ISBLANK(E38)),VLOOKUP(D38,LIST!$A$6:$L$3250,CURR_1.SEARCH.OLD,0),VLOOKUP(E38,LIST!$B$6:$L$3250,CURR_1.SEARCH.NEW,0)),'DICTIONARY-5'!$A$2)</f>
        <v>565,-</v>
      </c>
      <c r="G38" s="339" t="str">
        <f>IFERROR(IF(OR(E38='DICTIONARY-5'!$A$2,E38='DICTIONARY-5'!$A$4,ISBLANK(E38)),VLOOKUP(D38,LIST!$A$6:$M$3250,CURR_2.SEARCH.OLD,0),VLOOKUP(E38,LIST!$B$6:$M$3250,CURR_2.SEARCH.NEW,0)),'DICTIONARY-5'!$A$2)</f>
        <v/>
      </c>
      <c r="H38" s="171" t="s">
        <v>1264</v>
      </c>
      <c r="I38" s="322" t="s">
        <v>4404</v>
      </c>
      <c r="J38" s="339" t="str">
        <f>IFERROR(IF(OR(I38='DICTIONARY-5'!$A$2,I38='DICTIONARY-5'!$A$4,ISBLANK(I38)),VLOOKUP(H38,LIST!$A$6:$L$3250,CURR_1.SEARCH.OLD,0),VLOOKUP(I38,LIST!$B$6:$L$3250,CURR_1.SEARCH.NEW,0)),'DICTIONARY-5'!$A$2)</f>
        <v>523,-</v>
      </c>
      <c r="K38" s="339" t="str">
        <f>IFERROR(IF(OR(I38='DICTIONARY-5'!$A$2,I38='DICTIONARY-5'!$A$4,ISBLANK(I38)),VLOOKUP(H38,LIST!$A$6:$M$3250,CURR_2.SEARCH.OLD,0),VLOOKUP(I38,LIST!$B$6:$M$3250,CURR_2.SEARCH.NEW,0)),'DICTIONARY-5'!$A$2)</f>
        <v/>
      </c>
      <c r="M38" s="158"/>
    </row>
    <row r="39" spans="1:13" x14ac:dyDescent="0.25">
      <c r="A39" s="156">
        <v>150</v>
      </c>
      <c r="B39" s="156" t="s">
        <v>85</v>
      </c>
      <c r="C39" s="156">
        <v>400</v>
      </c>
      <c r="D39" s="171" t="s">
        <v>1265</v>
      </c>
      <c r="E39" s="322" t="s">
        <v>4396</v>
      </c>
      <c r="F39" s="339" t="str">
        <f>IFERROR(IF(OR(E39='DICTIONARY-5'!$A$2,E39='DICTIONARY-5'!$A$4,ISBLANK(E39)),VLOOKUP(D39,LIST!$A$6:$L$3250,CURR_1.SEARCH.OLD,0),VLOOKUP(E39,LIST!$B$6:$L$3250,CURR_1.SEARCH.NEW,0)),'DICTIONARY-5'!$A$2)</f>
        <v>707,-</v>
      </c>
      <c r="G39" s="339" t="str">
        <f>IFERROR(IF(OR(E39='DICTIONARY-5'!$A$2,E39='DICTIONARY-5'!$A$4,ISBLANK(E39)),VLOOKUP(D39,LIST!$A$6:$M$3250,CURR_2.SEARCH.OLD,0),VLOOKUP(E39,LIST!$B$6:$M$3250,CURR_2.SEARCH.NEW,0)),'DICTIONARY-5'!$A$2)</f>
        <v/>
      </c>
      <c r="H39" s="171" t="s">
        <v>1266</v>
      </c>
      <c r="I39" s="322" t="s">
        <v>4406</v>
      </c>
      <c r="J39" s="339" t="str">
        <f>IFERROR(IF(OR(I39='DICTIONARY-5'!$A$2,I39='DICTIONARY-5'!$A$4,ISBLANK(I39)),VLOOKUP(H39,LIST!$A$6:$L$3250,CURR_1.SEARCH.OLD,0),VLOOKUP(I39,LIST!$B$6:$L$3250,CURR_1.SEARCH.NEW,0)),'DICTIONARY-5'!$A$2)</f>
        <v>650,-</v>
      </c>
      <c r="K39" s="339" t="str">
        <f>IFERROR(IF(OR(I39='DICTIONARY-5'!$A$2,I39='DICTIONARY-5'!$A$4,ISBLANK(I39)),VLOOKUP(H39,LIST!$A$6:$M$3250,CURR_2.SEARCH.OLD,0),VLOOKUP(I39,LIST!$B$6:$M$3250,CURR_2.SEARCH.NEW,0)),'DICTIONARY-5'!$A$2)</f>
        <v/>
      </c>
      <c r="M39" s="158"/>
    </row>
    <row r="40" spans="1:13" x14ac:dyDescent="0.25">
      <c r="A40" s="560" t="s">
        <v>162</v>
      </c>
      <c r="B40" s="156">
        <v>16</v>
      </c>
      <c r="C40" s="156">
        <v>500</v>
      </c>
      <c r="D40" s="171" t="s">
        <v>1267</v>
      </c>
      <c r="E40" s="322" t="s">
        <v>4398</v>
      </c>
      <c r="F40" s="339" t="str">
        <f>IFERROR(IF(OR(E40='DICTIONARY-5'!$A$2,E40='DICTIONARY-5'!$A$4,ISBLANK(E40)),VLOOKUP(D40,LIST!$A$6:$L$3250,CURR_1.SEARCH.OLD,0),VLOOKUP(E40,LIST!$B$6:$L$3250,CURR_1.SEARCH.NEW,0)),'DICTIONARY-5'!$A$2)</f>
        <v>980,-</v>
      </c>
      <c r="G40" s="339" t="str">
        <f>IFERROR(IF(OR(E40='DICTIONARY-5'!$A$2,E40='DICTIONARY-5'!$A$4,ISBLANK(E40)),VLOOKUP(D40,LIST!$A$6:$M$3250,CURR_2.SEARCH.OLD,0),VLOOKUP(E40,LIST!$B$6:$M$3250,CURR_2.SEARCH.NEW,0)),'DICTIONARY-5'!$A$2)</f>
        <v/>
      </c>
      <c r="H40" s="171" t="s">
        <v>1268</v>
      </c>
      <c r="I40" s="322" t="s">
        <v>4408</v>
      </c>
      <c r="J40" s="339" t="str">
        <f>IFERROR(IF(OR(I40='DICTIONARY-5'!$A$2,I40='DICTIONARY-5'!$A$4,ISBLANK(I40)),VLOOKUP(H40,LIST!$A$6:$L$3250,CURR_1.SEARCH.OLD,0),VLOOKUP(I40,LIST!$B$6:$L$3250,CURR_1.SEARCH.NEW,0)),'DICTIONARY-5'!$A$2)</f>
        <v>923,-</v>
      </c>
      <c r="K40" s="339" t="str">
        <f>IFERROR(IF(OR(I40='DICTIONARY-5'!$A$2,I40='DICTIONARY-5'!$A$4,ISBLANK(I40)),VLOOKUP(H40,LIST!$A$6:$M$3250,CURR_2.SEARCH.OLD,0),VLOOKUP(I40,LIST!$B$6:$M$3250,CURR_2.SEARCH.NEW,0)),'DICTIONARY-5'!$A$2)</f>
        <v/>
      </c>
      <c r="M40" s="158"/>
    </row>
    <row r="41" spans="1:13" x14ac:dyDescent="0.25">
      <c r="A41" s="560" t="s">
        <v>1989</v>
      </c>
      <c r="B41" s="156">
        <v>16</v>
      </c>
      <c r="C41" s="156">
        <v>600</v>
      </c>
      <c r="D41" s="171" t="s">
        <v>1269</v>
      </c>
      <c r="E41" s="322" t="s">
        <v>4400</v>
      </c>
      <c r="F41" s="339" t="str">
        <f>IFERROR(IF(OR(E41='DICTIONARY-5'!$A$2,E41='DICTIONARY-5'!$A$4,ISBLANK(E41)),VLOOKUP(D41,LIST!$A$6:$L$3250,CURR_1.SEARCH.OLD,0),VLOOKUP(E41,LIST!$B$6:$L$3250,CURR_1.SEARCH.NEW,0)),'DICTIONARY-5'!$A$2)</f>
        <v>1 601,-</v>
      </c>
      <c r="G41" s="339" t="str">
        <f>IFERROR(IF(OR(E41='DICTIONARY-5'!$A$2,E41='DICTIONARY-5'!$A$4,ISBLANK(E41)),VLOOKUP(D41,LIST!$A$6:$M$3250,CURR_2.SEARCH.OLD,0),VLOOKUP(E41,LIST!$B$6:$M$3250,CURR_2.SEARCH.NEW,0)),'DICTIONARY-5'!$A$2)</f>
        <v/>
      </c>
      <c r="H41" s="171" t="s">
        <v>1270</v>
      </c>
      <c r="I41" s="322" t="s">
        <v>4410</v>
      </c>
      <c r="J41" s="339" t="str">
        <f>IFERROR(IF(OR(I41='DICTIONARY-5'!$A$2,I41='DICTIONARY-5'!$A$4,ISBLANK(I41)),VLOOKUP(H41,LIST!$A$6:$L$3250,CURR_1.SEARCH.OLD,0),VLOOKUP(I41,LIST!$B$6:$L$3250,CURR_1.SEARCH.NEW,0)),'DICTIONARY-5'!$A$2)</f>
        <v>1 493,-</v>
      </c>
      <c r="K41" s="339" t="str">
        <f>IFERROR(IF(OR(I41='DICTIONARY-5'!$A$2,I41='DICTIONARY-5'!$A$4,ISBLANK(I41)),VLOOKUP(H41,LIST!$A$6:$M$3250,CURR_2.SEARCH.OLD,0),VLOOKUP(I41,LIST!$B$6:$M$3250,CURR_2.SEARCH.NEW,0)),'DICTIONARY-5'!$A$2)</f>
        <v/>
      </c>
      <c r="M41" s="158"/>
    </row>
    <row r="42" spans="1:13" x14ac:dyDescent="0.25">
      <c r="A42" s="159"/>
      <c r="B42" s="144"/>
      <c r="C42" s="144"/>
      <c r="D42" s="144"/>
      <c r="E42" s="144"/>
      <c r="F42" s="145"/>
      <c r="G42" s="145"/>
      <c r="H42" s="172"/>
      <c r="I42" s="172"/>
      <c r="J42" s="145"/>
      <c r="K42" s="145"/>
    </row>
    <row r="43" spans="1:13" x14ac:dyDescent="0.25">
      <c r="A43" s="46" t="str">
        <f>"1) "&amp;'DICTIONARY-5'!$A$3&amp;" PN 10"</f>
        <v>1) Na zapytanie:  PN 10</v>
      </c>
      <c r="H43" s="172"/>
      <c r="I43" s="172"/>
    </row>
    <row r="44" spans="1:13" x14ac:dyDescent="0.25">
      <c r="A44" s="46"/>
      <c r="H44" s="172"/>
      <c r="I44" s="172"/>
    </row>
    <row r="47" spans="1:13" ht="16.5" thickBot="1" x14ac:dyDescent="0.3">
      <c r="A47" s="712" t="str">
        <f>CONCATENATE('DICTIONARY-3'!$A$99," ",'DICTIONARY-3'!$A$200," / ",'DICTIONARY-3'!$A$311,", ",LOWER('DICTIONARY-3'!$A$314))</f>
        <v>RETA Zawór zwrotny / Z korkiem do czyszczenia, z dźwignią i ciężarkiem</v>
      </c>
      <c r="B47" s="712"/>
      <c r="C47" s="712"/>
      <c r="D47" s="712"/>
      <c r="E47" s="712"/>
      <c r="F47" s="712"/>
      <c r="G47" s="712"/>
      <c r="H47" s="712"/>
      <c r="I47" s="712"/>
      <c r="J47" s="712"/>
      <c r="K47" s="712"/>
    </row>
    <row r="48" spans="1:13" x14ac:dyDescent="0.25">
      <c r="A48" s="150" t="str">
        <f>'DICTIONARY-3'!$A$308</f>
        <v xml:space="preserve">Z siedziskiem pionowym </v>
      </c>
    </row>
    <row r="49" spans="1:11" x14ac:dyDescent="0.25">
      <c r="A49" s="150" t="str">
        <f>CONCATENATE('DICTIONARY-1'!$A$10,": ",SETTINGS!$C$52)</f>
        <v>Grupa rabatowa: RETA</v>
      </c>
    </row>
    <row r="51" spans="1:11" x14ac:dyDescent="0.25">
      <c r="A51" s="150" t="str">
        <f>REPLACE('DICTIONARY-5'!$A$23,1,1,UPPER(LEFT('DICTIONARY-5'!$A$23,1)))</f>
        <v>Powłoka epoksydowa</v>
      </c>
      <c r="B51" s="144"/>
      <c r="C51" s="144"/>
      <c r="D51" s="144"/>
      <c r="E51" s="144"/>
      <c r="F51" s="145"/>
      <c r="G51" s="145"/>
      <c r="H51" s="144"/>
      <c r="I51" s="144"/>
      <c r="J51" s="145"/>
      <c r="K51" s="145"/>
    </row>
    <row r="52" spans="1:11" x14ac:dyDescent="0.25">
      <c r="A52" s="151"/>
      <c r="B52" s="144"/>
      <c r="C52" s="144"/>
      <c r="D52" s="144"/>
      <c r="E52" s="144"/>
      <c r="F52" s="145"/>
      <c r="G52" s="145"/>
      <c r="H52" s="144"/>
      <c r="I52" s="144"/>
      <c r="J52" s="145"/>
      <c r="K52" s="145"/>
    </row>
    <row r="53" spans="1:11" ht="15" customHeight="1" x14ac:dyDescent="0.25">
      <c r="A53" s="152" t="str">
        <f>'DICTIONARY-2'!$A$2</f>
        <v>DN</v>
      </c>
      <c r="B53" s="152" t="str">
        <f>'DICTIONARY-2'!$A$3</f>
        <v>PN</v>
      </c>
      <c r="C53" s="152" t="str">
        <f>'DICTIONARY-2'!$A$24</f>
        <v>L</v>
      </c>
      <c r="D53" s="1004" t="str">
        <f>'DICTIONARY-3'!$A$99</f>
        <v>RETA</v>
      </c>
      <c r="E53" s="1004"/>
      <c r="F53" s="1004"/>
      <c r="G53" s="1004"/>
      <c r="H53" s="1004" t="str">
        <f>'DICTIONARY-3'!$A$99</f>
        <v>RETA</v>
      </c>
      <c r="I53" s="1004"/>
      <c r="J53" s="1004"/>
      <c r="K53" s="1004"/>
    </row>
    <row r="54" spans="1:11" ht="15" customHeight="1" x14ac:dyDescent="0.25">
      <c r="A54" s="153"/>
      <c r="B54" s="153"/>
      <c r="C54" s="153"/>
      <c r="D54" s="1007" t="str">
        <f>'DICTIONARY-5'!$A$23&amp;", "&amp;'DICTIONARY-5'!$A$137&amp;": "&amp;'DICTIONARY-5'!$A$33&amp;"-"&amp;'DICTIONARY-5'!$A$33</f>
        <v>powłoka epoksydowa, siedziska: st. nierdz.-st. nierdz.</v>
      </c>
      <c r="E54" s="1007"/>
      <c r="F54" s="1007"/>
      <c r="G54" s="1007"/>
      <c r="H54" s="1007" t="str">
        <f>'DICTIONARY-5'!$A$23&amp;", "&amp;'DICTIONARY-5'!$A$137&amp;": "&amp;'DICTIONARY-5'!$A$33&amp;"-"&amp;'DICTIONARY-5'!$A$44</f>
        <v>powłoka epoksydowa, siedziska: st. nierdz.-EPDM</v>
      </c>
      <c r="I54" s="1007"/>
      <c r="J54" s="1007"/>
      <c r="K54" s="1007"/>
    </row>
    <row r="55" spans="1:11" x14ac:dyDescent="0.25">
      <c r="A55" s="153"/>
      <c r="B55" s="153"/>
      <c r="C55" s="153" t="str">
        <f>'DICTIONARY-2'!$A$18</f>
        <v>[mm]</v>
      </c>
      <c r="D55" s="154" t="str">
        <f>'DICTIONARY-2'!$A$28</f>
        <v>stary nr zamówienia</v>
      </c>
      <c r="E55" s="154" t="str">
        <f>'DICTIONARY-2'!$A$29</f>
        <v>nowy nr zamówienia</v>
      </c>
      <c r="F55" s="155" t="str">
        <f>CURRENCY.CODE_1</f>
        <v>EUR</v>
      </c>
      <c r="G55" s="155" t="str">
        <f>CURRENCY.CODE_2</f>
        <v>---</v>
      </c>
      <c r="H55" s="154" t="str">
        <f>'DICTIONARY-2'!$A$28</f>
        <v>stary nr zamówienia</v>
      </c>
      <c r="I55" s="154" t="str">
        <f>'DICTIONARY-2'!$A$29</f>
        <v>nowy nr zamówienia</v>
      </c>
      <c r="J55" s="155" t="str">
        <f>CURRENCY.CODE_1</f>
        <v>EUR</v>
      </c>
      <c r="K55" s="155" t="str">
        <f>CURRENCY.CODE_2</f>
        <v>---</v>
      </c>
    </row>
    <row r="56" spans="1:11" x14ac:dyDescent="0.25">
      <c r="A56" s="156">
        <v>40</v>
      </c>
      <c r="B56" s="156" t="s">
        <v>85</v>
      </c>
      <c r="C56" s="156">
        <v>180</v>
      </c>
      <c r="D56" s="156" t="s">
        <v>1271</v>
      </c>
      <c r="E56" s="321" t="str">
        <f>'DICTIONARY-5'!$A$2</f>
        <v>na zapytanie</v>
      </c>
      <c r="F56" s="339" t="str">
        <f>IFERROR(IF(OR(E56='DICTIONARY-5'!$A$2,E56='DICTIONARY-5'!$A$4,ISBLANK(E56)),VLOOKUP(D56,LIST!$A$6:$L$3250,CURR_1.SEARCH.OLD,0),VLOOKUP(E56,LIST!$B$6:$L$3250,CURR_1.SEARCH.NEW,0)),'DICTIONARY-5'!$A$2)</f>
        <v>na zapytanie</v>
      </c>
      <c r="G56" s="339" t="str">
        <f>IFERROR(IF(OR(E56='DICTIONARY-5'!$A$2,E56='DICTIONARY-5'!$A$4,ISBLANK(E56)),VLOOKUP(D56,LIST!$A$6:$M$3250,CURR_2.SEARCH.OLD,0),VLOOKUP(E56,LIST!$B$6:$M$3250,CURR_2.SEARCH.NEW,0)),'DICTIONARY-5'!$A$2)</f>
        <v/>
      </c>
      <c r="H56" s="156" t="s">
        <v>1272</v>
      </c>
      <c r="I56" s="321" t="s">
        <v>4417</v>
      </c>
      <c r="J56" s="339" t="str">
        <f>IFERROR(IF(OR(I56='DICTIONARY-5'!$A$2,I56='DICTIONARY-5'!$A$4,ISBLANK(I56)),VLOOKUP(H56,LIST!$A$6:$L$3250,CURR_1.SEARCH.OLD,0),VLOOKUP(I56,LIST!$B$6:$L$3250,CURR_1.SEARCH.NEW,0)),'DICTIONARY-5'!$A$2)</f>
        <v>326,-</v>
      </c>
      <c r="K56" s="339" t="str">
        <f>IFERROR(IF(OR(I56='DICTIONARY-5'!$A$2,I56='DICTIONARY-5'!$A$4,ISBLANK(I56)),VLOOKUP(H56,LIST!$A$6:$M$3250,CURR_2.SEARCH.OLD,0),VLOOKUP(I56,LIST!$B$6:$M$3250,CURR_2.SEARCH.NEW,0)),'DICTIONARY-5'!$A$2)</f>
        <v/>
      </c>
    </row>
    <row r="57" spans="1:11" x14ac:dyDescent="0.25">
      <c r="A57" s="156">
        <v>50</v>
      </c>
      <c r="B57" s="156" t="s">
        <v>85</v>
      </c>
      <c r="C57" s="156">
        <v>200</v>
      </c>
      <c r="D57" s="156" t="s">
        <v>1273</v>
      </c>
      <c r="E57" s="321" t="str">
        <f>'DICTIONARY-5'!$A$2</f>
        <v>na zapytanie</v>
      </c>
      <c r="F57" s="339" t="str">
        <f>IFERROR(IF(OR(E57='DICTIONARY-5'!$A$2,E57='DICTIONARY-5'!$A$4,ISBLANK(E57)),VLOOKUP(D57,LIST!$A$6:$L$3250,CURR_1.SEARCH.OLD,0),VLOOKUP(E57,LIST!$B$6:$L$3250,CURR_1.SEARCH.NEW,0)),'DICTIONARY-5'!$A$2)</f>
        <v>na zapytanie</v>
      </c>
      <c r="G57" s="339" t="str">
        <f>IFERROR(IF(OR(E57='DICTIONARY-5'!$A$2,E57='DICTIONARY-5'!$A$4,ISBLANK(E57)),VLOOKUP(D57,LIST!$A$6:$M$3250,CURR_2.SEARCH.OLD,0),VLOOKUP(E57,LIST!$B$6:$M$3250,CURR_2.SEARCH.NEW,0)),'DICTIONARY-5'!$A$2)</f>
        <v/>
      </c>
      <c r="H57" s="156" t="s">
        <v>1274</v>
      </c>
      <c r="I57" s="321" t="s">
        <v>4419</v>
      </c>
      <c r="J57" s="339" t="str">
        <f>IFERROR(IF(OR(I57='DICTIONARY-5'!$A$2,I57='DICTIONARY-5'!$A$4,ISBLANK(I57)),VLOOKUP(H57,LIST!$A$6:$L$3250,CURR_1.SEARCH.OLD,0),VLOOKUP(I57,LIST!$B$6:$L$3250,CURR_1.SEARCH.NEW,0)),'DICTIONARY-5'!$A$2)</f>
        <v>326,-</v>
      </c>
      <c r="K57" s="339" t="str">
        <f>IFERROR(IF(OR(I57='DICTIONARY-5'!$A$2,I57='DICTIONARY-5'!$A$4,ISBLANK(I57)),VLOOKUP(H57,LIST!$A$6:$M$3250,CURR_2.SEARCH.OLD,0),VLOOKUP(I57,LIST!$B$6:$M$3250,CURR_2.SEARCH.NEW,0)),'DICTIONARY-5'!$A$2)</f>
        <v/>
      </c>
    </row>
    <row r="58" spans="1:11" x14ac:dyDescent="0.25">
      <c r="A58" s="156">
        <v>65</v>
      </c>
      <c r="B58" s="156" t="s">
        <v>85</v>
      </c>
      <c r="C58" s="156">
        <v>240</v>
      </c>
      <c r="D58" s="156" t="s">
        <v>1275</v>
      </c>
      <c r="E58" s="321" t="str">
        <f>'DICTIONARY-5'!$A$2</f>
        <v>na zapytanie</v>
      </c>
      <c r="F58" s="339" t="str">
        <f>IFERROR(IF(OR(E58='DICTIONARY-5'!$A$2,E58='DICTIONARY-5'!$A$4,ISBLANK(E58)),VLOOKUP(D58,LIST!$A$6:$L$3250,CURR_1.SEARCH.OLD,0),VLOOKUP(E58,LIST!$B$6:$L$3250,CURR_1.SEARCH.NEW,0)),'DICTIONARY-5'!$A$2)</f>
        <v>na zapytanie</v>
      </c>
      <c r="G58" s="339" t="str">
        <f>IFERROR(IF(OR(E58='DICTIONARY-5'!$A$2,E58='DICTIONARY-5'!$A$4,ISBLANK(E58)),VLOOKUP(D58,LIST!$A$6:$M$3250,CURR_2.SEARCH.OLD,0),VLOOKUP(E58,LIST!$B$6:$M$3250,CURR_2.SEARCH.NEW,0)),'DICTIONARY-5'!$A$2)</f>
        <v/>
      </c>
      <c r="H58" s="156" t="s">
        <v>1276</v>
      </c>
      <c r="I58" s="321" t="s">
        <v>4421</v>
      </c>
      <c r="J58" s="339" t="str">
        <f>IFERROR(IF(OR(I58='DICTIONARY-5'!$A$2,I58='DICTIONARY-5'!$A$4,ISBLANK(I58)),VLOOKUP(H58,LIST!$A$6:$L$3250,CURR_1.SEARCH.OLD,0),VLOOKUP(I58,LIST!$B$6:$L$3250,CURR_1.SEARCH.NEW,0)),'DICTIONARY-5'!$A$2)</f>
        <v>395,-</v>
      </c>
      <c r="K58" s="339" t="str">
        <f>IFERROR(IF(OR(I58='DICTIONARY-5'!$A$2,I58='DICTIONARY-5'!$A$4,ISBLANK(I58)),VLOOKUP(H58,LIST!$A$6:$M$3250,CURR_2.SEARCH.OLD,0),VLOOKUP(I58,LIST!$B$6:$M$3250,CURR_2.SEARCH.NEW,0)),'DICTIONARY-5'!$A$2)</f>
        <v/>
      </c>
    </row>
    <row r="59" spans="1:11" x14ac:dyDescent="0.25">
      <c r="A59" s="156">
        <v>80</v>
      </c>
      <c r="B59" s="156" t="s">
        <v>85</v>
      </c>
      <c r="C59" s="156">
        <v>260</v>
      </c>
      <c r="D59" s="156" t="s">
        <v>1277</v>
      </c>
      <c r="E59" s="321" t="str">
        <f>'DICTIONARY-5'!$A$2</f>
        <v>na zapytanie</v>
      </c>
      <c r="F59" s="339" t="str">
        <f>IFERROR(IF(OR(E59='DICTIONARY-5'!$A$2,E59='DICTIONARY-5'!$A$4,ISBLANK(E59)),VLOOKUP(D59,LIST!$A$6:$L$3250,CURR_1.SEARCH.OLD,0),VLOOKUP(E59,LIST!$B$6:$L$3250,CURR_1.SEARCH.NEW,0)),'DICTIONARY-5'!$A$2)</f>
        <v>na zapytanie</v>
      </c>
      <c r="G59" s="339" t="str">
        <f>IFERROR(IF(OR(E59='DICTIONARY-5'!$A$2,E59='DICTIONARY-5'!$A$4,ISBLANK(E59)),VLOOKUP(D59,LIST!$A$6:$M$3250,CURR_2.SEARCH.OLD,0),VLOOKUP(E59,LIST!$B$6:$M$3250,CURR_2.SEARCH.NEW,0)),'DICTIONARY-5'!$A$2)</f>
        <v/>
      </c>
      <c r="H59" s="156" t="s">
        <v>1278</v>
      </c>
      <c r="I59" s="321" t="s">
        <v>4423</v>
      </c>
      <c r="J59" s="339" t="str">
        <f>IFERROR(IF(OR(I59='DICTIONARY-5'!$A$2,I59='DICTIONARY-5'!$A$4,ISBLANK(I59)),VLOOKUP(H59,LIST!$A$6:$L$3250,CURR_1.SEARCH.OLD,0),VLOOKUP(I59,LIST!$B$6:$L$3250,CURR_1.SEARCH.NEW,0)),'DICTIONARY-5'!$A$2)</f>
        <v>391,-</v>
      </c>
      <c r="K59" s="339" t="str">
        <f>IFERROR(IF(OR(I59='DICTIONARY-5'!$A$2,I59='DICTIONARY-5'!$A$4,ISBLANK(I59)),VLOOKUP(H59,LIST!$A$6:$M$3250,CURR_2.SEARCH.OLD,0),VLOOKUP(I59,LIST!$B$6:$M$3250,CURR_2.SEARCH.NEW,0)),'DICTIONARY-5'!$A$2)</f>
        <v/>
      </c>
    </row>
    <row r="60" spans="1:11" x14ac:dyDescent="0.25">
      <c r="A60" s="156">
        <v>100</v>
      </c>
      <c r="B60" s="156" t="s">
        <v>85</v>
      </c>
      <c r="C60" s="156">
        <v>300</v>
      </c>
      <c r="D60" s="156" t="s">
        <v>1279</v>
      </c>
      <c r="E60" s="321" t="s">
        <v>4441</v>
      </c>
      <c r="F60" s="339" t="str">
        <f>IFERROR(IF(OR(E60='DICTIONARY-5'!$A$2,E60='DICTIONARY-5'!$A$4,ISBLANK(E60)),VLOOKUP(D60,LIST!$A$6:$L$3250,CURR_1.SEARCH.OLD,0),VLOOKUP(E60,LIST!$B$6:$L$3250,CURR_1.SEARCH.NEW,0)),'DICTIONARY-5'!$A$2)</f>
        <v>554,-</v>
      </c>
      <c r="G60" s="339" t="str">
        <f>IFERROR(IF(OR(E60='DICTIONARY-5'!$A$2,E60='DICTIONARY-5'!$A$4,ISBLANK(E60)),VLOOKUP(D60,LIST!$A$6:$M$3250,CURR_2.SEARCH.OLD,0),VLOOKUP(E60,LIST!$B$6:$M$3250,CURR_2.SEARCH.NEW,0)),'DICTIONARY-5'!$A$2)</f>
        <v/>
      </c>
      <c r="H60" s="156" t="s">
        <v>1280</v>
      </c>
      <c r="I60" s="321" t="s">
        <v>4451</v>
      </c>
      <c r="J60" s="339" t="str">
        <f>IFERROR(IF(OR(I60='DICTIONARY-5'!$A$2,I60='DICTIONARY-5'!$A$4,ISBLANK(I60)),VLOOKUP(H60,LIST!$A$6:$L$3250,CURR_1.SEARCH.OLD,0),VLOOKUP(I60,LIST!$B$6:$L$3250,CURR_1.SEARCH.NEW,0)),'DICTIONARY-5'!$A$2)</f>
        <v>467,-</v>
      </c>
      <c r="K60" s="339" t="str">
        <f>IFERROR(IF(OR(I60='DICTIONARY-5'!$A$2,I60='DICTIONARY-5'!$A$4,ISBLANK(I60)),VLOOKUP(H60,LIST!$A$6:$M$3250,CURR_2.SEARCH.OLD,0),VLOOKUP(I60,LIST!$B$6:$M$3250,CURR_2.SEARCH.NEW,0)),'DICTIONARY-5'!$A$2)</f>
        <v/>
      </c>
    </row>
    <row r="61" spans="1:11" x14ac:dyDescent="0.25">
      <c r="A61" s="156">
        <v>125</v>
      </c>
      <c r="B61" s="156" t="s">
        <v>85</v>
      </c>
      <c r="C61" s="156">
        <v>350</v>
      </c>
      <c r="D61" s="156" t="s">
        <v>1281</v>
      </c>
      <c r="E61" s="321" t="s">
        <v>4443</v>
      </c>
      <c r="F61" s="339" t="str">
        <f>IFERROR(IF(OR(E61='DICTIONARY-5'!$A$2,E61='DICTIONARY-5'!$A$4,ISBLANK(E61)),VLOOKUP(D61,LIST!$A$6:$L$3250,CURR_1.SEARCH.OLD,0),VLOOKUP(E61,LIST!$B$6:$L$3250,CURR_1.SEARCH.NEW,0)),'DICTIONARY-5'!$A$2)</f>
        <v>671,-</v>
      </c>
      <c r="G61" s="339" t="str">
        <f>IFERROR(IF(OR(E61='DICTIONARY-5'!$A$2,E61='DICTIONARY-5'!$A$4,ISBLANK(E61)),VLOOKUP(D61,LIST!$A$6:$M$3250,CURR_2.SEARCH.OLD,0),VLOOKUP(E61,LIST!$B$6:$M$3250,CURR_2.SEARCH.NEW,0)),'DICTIONARY-5'!$A$2)</f>
        <v/>
      </c>
      <c r="H61" s="156" t="s">
        <v>1282</v>
      </c>
      <c r="I61" s="321" t="s">
        <v>4453</v>
      </c>
      <c r="J61" s="339" t="str">
        <f>IFERROR(IF(OR(I61='DICTIONARY-5'!$A$2,I61='DICTIONARY-5'!$A$4,ISBLANK(I61)),VLOOKUP(H61,LIST!$A$6:$L$3250,CURR_1.SEARCH.OLD,0),VLOOKUP(I61,LIST!$B$6:$L$3250,CURR_1.SEARCH.NEW,0)),'DICTIONARY-5'!$A$2)</f>
        <v>579,-</v>
      </c>
      <c r="K61" s="339" t="str">
        <f>IFERROR(IF(OR(I61='DICTIONARY-5'!$A$2,I61='DICTIONARY-5'!$A$4,ISBLANK(I61)),VLOOKUP(H61,LIST!$A$6:$M$3250,CURR_2.SEARCH.OLD,0),VLOOKUP(I61,LIST!$B$6:$M$3250,CURR_2.SEARCH.NEW,0)),'DICTIONARY-5'!$A$2)</f>
        <v/>
      </c>
    </row>
    <row r="62" spans="1:11" x14ac:dyDescent="0.25">
      <c r="A62" s="156">
        <v>150</v>
      </c>
      <c r="B62" s="156" t="s">
        <v>85</v>
      </c>
      <c r="C62" s="156">
        <v>400</v>
      </c>
      <c r="D62" s="156" t="s">
        <v>1283</v>
      </c>
      <c r="E62" s="321" t="s">
        <v>4445</v>
      </c>
      <c r="F62" s="339" t="str">
        <f>IFERROR(IF(OR(E62='DICTIONARY-5'!$A$2,E62='DICTIONARY-5'!$A$4,ISBLANK(E62)),VLOOKUP(D62,LIST!$A$6:$L$3250,CURR_1.SEARCH.OLD,0),VLOOKUP(E62,LIST!$B$6:$L$3250,CURR_1.SEARCH.NEW,0)),'DICTIONARY-5'!$A$2)</f>
        <v>888,-</v>
      </c>
      <c r="G62" s="339" t="str">
        <f>IFERROR(IF(OR(E62='DICTIONARY-5'!$A$2,E62='DICTIONARY-5'!$A$4,ISBLANK(E62)),VLOOKUP(D62,LIST!$A$6:$M$3250,CURR_2.SEARCH.OLD,0),VLOOKUP(E62,LIST!$B$6:$M$3250,CURR_2.SEARCH.NEW,0)),'DICTIONARY-5'!$A$2)</f>
        <v/>
      </c>
      <c r="H62" s="156" t="s">
        <v>1284</v>
      </c>
      <c r="I62" s="321" t="s">
        <v>4455</v>
      </c>
      <c r="J62" s="339" t="str">
        <f>IFERROR(IF(OR(I62='DICTIONARY-5'!$A$2,I62='DICTIONARY-5'!$A$4,ISBLANK(I62)),VLOOKUP(H62,LIST!$A$6:$L$3250,CURR_1.SEARCH.OLD,0),VLOOKUP(I62,LIST!$B$6:$L$3250,CURR_1.SEARCH.NEW,0)),'DICTIONARY-5'!$A$2)</f>
        <v>780,-</v>
      </c>
      <c r="K62" s="339" t="str">
        <f>IFERROR(IF(OR(I62='DICTIONARY-5'!$A$2,I62='DICTIONARY-5'!$A$4,ISBLANK(I62)),VLOOKUP(H62,LIST!$A$6:$M$3250,CURR_2.SEARCH.OLD,0),VLOOKUP(I62,LIST!$B$6:$M$3250,CURR_2.SEARCH.NEW,0)),'DICTIONARY-5'!$A$2)</f>
        <v/>
      </c>
    </row>
    <row r="63" spans="1:11" x14ac:dyDescent="0.25">
      <c r="A63" s="560" t="s">
        <v>162</v>
      </c>
      <c r="B63" s="156">
        <v>16</v>
      </c>
      <c r="C63" s="156">
        <v>500</v>
      </c>
      <c r="D63" s="156" t="s">
        <v>1285</v>
      </c>
      <c r="E63" s="321" t="s">
        <v>4447</v>
      </c>
      <c r="F63" s="339" t="str">
        <f>IFERROR(IF(OR(E63='DICTIONARY-5'!$A$2,E63='DICTIONARY-5'!$A$4,ISBLANK(E63)),VLOOKUP(D63,LIST!$A$6:$L$3250,CURR_1.SEARCH.OLD,0),VLOOKUP(E63,LIST!$B$6:$L$3250,CURR_1.SEARCH.NEW,0)),'DICTIONARY-5'!$A$2)</f>
        <v>1 169,-</v>
      </c>
      <c r="G63" s="339" t="str">
        <f>IFERROR(IF(OR(E63='DICTIONARY-5'!$A$2,E63='DICTIONARY-5'!$A$4,ISBLANK(E63)),VLOOKUP(D63,LIST!$A$6:$M$3250,CURR_2.SEARCH.OLD,0),VLOOKUP(E63,LIST!$B$6:$M$3250,CURR_2.SEARCH.NEW,0)),'DICTIONARY-5'!$A$2)</f>
        <v/>
      </c>
      <c r="H63" s="156" t="s">
        <v>1286</v>
      </c>
      <c r="I63" s="321" t="s">
        <v>4457</v>
      </c>
      <c r="J63" s="339" t="str">
        <f>IFERROR(IF(OR(I63='DICTIONARY-5'!$A$2,I63='DICTIONARY-5'!$A$4,ISBLANK(I63)),VLOOKUP(H63,LIST!$A$6:$L$3250,CURR_1.SEARCH.OLD,0),VLOOKUP(I63,LIST!$B$6:$L$3250,CURR_1.SEARCH.NEW,0)),'DICTIONARY-5'!$A$2)</f>
        <v>1 066,-</v>
      </c>
      <c r="K63" s="339" t="str">
        <f>IFERROR(IF(OR(I63='DICTIONARY-5'!$A$2,I63='DICTIONARY-5'!$A$4,ISBLANK(I63)),VLOOKUP(H63,LIST!$A$6:$M$3250,CURR_2.SEARCH.OLD,0),VLOOKUP(I63,LIST!$B$6:$M$3250,CURR_2.SEARCH.NEW,0)),'DICTIONARY-5'!$A$2)</f>
        <v/>
      </c>
    </row>
    <row r="64" spans="1:11" x14ac:dyDescent="0.25">
      <c r="A64" s="560" t="s">
        <v>1989</v>
      </c>
      <c r="B64" s="156">
        <v>16</v>
      </c>
      <c r="C64" s="156">
        <v>600</v>
      </c>
      <c r="D64" s="156" t="s">
        <v>1287</v>
      </c>
      <c r="E64" s="321" t="s">
        <v>4449</v>
      </c>
      <c r="F64" s="339" t="str">
        <f>IFERROR(IF(OR(E64='DICTIONARY-5'!$A$2,E64='DICTIONARY-5'!$A$4,ISBLANK(E64)),VLOOKUP(D64,LIST!$A$6:$L$3250,CURR_1.SEARCH.OLD,0),VLOOKUP(E64,LIST!$B$6:$L$3250,CURR_1.SEARCH.NEW,0)),'DICTIONARY-5'!$A$2)</f>
        <v>1 749,-</v>
      </c>
      <c r="G64" s="339" t="str">
        <f>IFERROR(IF(OR(E64='DICTIONARY-5'!$A$2,E64='DICTIONARY-5'!$A$4,ISBLANK(E64)),VLOOKUP(D64,LIST!$A$6:$M$3250,CURR_2.SEARCH.OLD,0),VLOOKUP(E64,LIST!$B$6:$M$3250,CURR_2.SEARCH.NEW,0)),'DICTIONARY-5'!$A$2)</f>
        <v/>
      </c>
      <c r="H64" s="156" t="s">
        <v>1288</v>
      </c>
      <c r="I64" s="321" t="s">
        <v>4459</v>
      </c>
      <c r="J64" s="339" t="str">
        <f>IFERROR(IF(OR(I64='DICTIONARY-5'!$A$2,I64='DICTIONARY-5'!$A$4,ISBLANK(I64)),VLOOKUP(H64,LIST!$A$6:$L$3250,CURR_1.SEARCH.OLD,0),VLOOKUP(I64,LIST!$B$6:$L$3250,CURR_1.SEARCH.NEW,0)),'DICTIONARY-5'!$A$2)</f>
        <v>1 652,-</v>
      </c>
      <c r="K64" s="339" t="str">
        <f>IFERROR(IF(OR(I64='DICTIONARY-5'!$A$2,I64='DICTIONARY-5'!$A$4,ISBLANK(I64)),VLOOKUP(H64,LIST!$A$6:$M$3250,CURR_2.SEARCH.OLD,0),VLOOKUP(I64,LIST!$B$6:$M$3250,CURR_2.SEARCH.NEW,0)),'DICTIONARY-5'!$A$2)</f>
        <v/>
      </c>
    </row>
    <row r="65" spans="1:11" x14ac:dyDescent="0.25">
      <c r="A65" s="159"/>
      <c r="B65" s="144"/>
    </row>
    <row r="66" spans="1:11" x14ac:dyDescent="0.25">
      <c r="A66" s="46" t="str">
        <f>"1) "&amp;'DICTIONARY-5'!$A$3&amp;" PN 10"</f>
        <v>1) Na zapytanie:  PN 10</v>
      </c>
    </row>
    <row r="67" spans="1:11" x14ac:dyDescent="0.25">
      <c r="A67" s="46"/>
    </row>
    <row r="69" spans="1:11" x14ac:dyDescent="0.25">
      <c r="A69" s="150" t="str">
        <f>REPLACE('DICTIONARY-5'!$A$24,1,1,UPPER(LEFT('DICTIONARY-5'!$A$24,1)))</f>
        <v>Powłoka syntetyczna</v>
      </c>
      <c r="B69" s="144"/>
      <c r="C69" s="144"/>
      <c r="D69" s="144"/>
      <c r="E69" s="144"/>
      <c r="F69" s="145"/>
      <c r="G69" s="145"/>
      <c r="H69" s="144"/>
      <c r="I69" s="144"/>
      <c r="J69" s="145"/>
      <c r="K69" s="145"/>
    </row>
    <row r="70" spans="1:11" x14ac:dyDescent="0.25">
      <c r="A70" s="151"/>
      <c r="B70" s="144"/>
      <c r="C70" s="144"/>
      <c r="D70" s="144"/>
      <c r="E70" s="144"/>
      <c r="F70" s="145"/>
      <c r="G70" s="145"/>
      <c r="H70" s="144"/>
      <c r="I70" s="144"/>
      <c r="J70" s="145"/>
      <c r="K70" s="145"/>
    </row>
    <row r="71" spans="1:11" ht="15" customHeight="1" x14ac:dyDescent="0.25">
      <c r="A71" s="152" t="str">
        <f>'DICTIONARY-2'!$A$2</f>
        <v>DN</v>
      </c>
      <c r="B71" s="152" t="str">
        <f>'DICTIONARY-2'!$A$3</f>
        <v>PN</v>
      </c>
      <c r="C71" s="152" t="str">
        <f>'DICTIONARY-2'!$A$24</f>
        <v>L</v>
      </c>
      <c r="D71" s="1004" t="str">
        <f>'DICTIONARY-3'!$A$99</f>
        <v>RETA</v>
      </c>
      <c r="E71" s="1004"/>
      <c r="F71" s="1004"/>
      <c r="G71" s="1004"/>
      <c r="H71" s="1004" t="str">
        <f>'DICTIONARY-3'!$A$99</f>
        <v>RETA</v>
      </c>
      <c r="I71" s="1004"/>
      <c r="J71" s="1004"/>
      <c r="K71" s="1004"/>
    </row>
    <row r="72" spans="1:11" ht="15" customHeight="1" x14ac:dyDescent="0.25">
      <c r="A72" s="153"/>
      <c r="B72" s="153"/>
      <c r="C72" s="153"/>
      <c r="D72" s="1007" t="str">
        <f>'DICTIONARY-5'!$A$24&amp;", "&amp;'DICTIONARY-5'!$A$137&amp;": "&amp;'DICTIONARY-5'!$A$33&amp;"-"&amp;'DICTIONARY-5'!$A$33</f>
        <v>powłoka syntetyczna, siedziska: st. nierdz.-st. nierdz.</v>
      </c>
      <c r="E72" s="1007"/>
      <c r="F72" s="1007"/>
      <c r="G72" s="1007"/>
      <c r="H72" s="1007" t="str">
        <f>'DICTIONARY-5'!$A$24&amp;", "&amp;'DICTIONARY-5'!$A$137&amp;": "&amp;'DICTIONARY-5'!$A$33&amp;"-"&amp;'DICTIONARY-5'!$A$44</f>
        <v>powłoka syntetyczna, siedziska: st. nierdz.-EPDM</v>
      </c>
      <c r="I72" s="1007"/>
      <c r="J72" s="1007"/>
      <c r="K72" s="1007"/>
    </row>
    <row r="73" spans="1:11" x14ac:dyDescent="0.25">
      <c r="A73" s="153"/>
      <c r="B73" s="153"/>
      <c r="C73" s="153" t="str">
        <f>'DICTIONARY-2'!$A$18</f>
        <v>[mm]</v>
      </c>
      <c r="D73" s="154" t="str">
        <f>'DICTIONARY-2'!$A$28</f>
        <v>stary nr zamówienia</v>
      </c>
      <c r="E73" s="154" t="str">
        <f>'DICTIONARY-2'!$A$29</f>
        <v>nowy nr zamówienia</v>
      </c>
      <c r="F73" s="155" t="str">
        <f>CURRENCY.CODE_1</f>
        <v>EUR</v>
      </c>
      <c r="G73" s="155" t="str">
        <f>CURRENCY.CODE_2</f>
        <v>---</v>
      </c>
      <c r="H73" s="154" t="str">
        <f>'DICTIONARY-2'!$A$28</f>
        <v>stary nr zamówienia</v>
      </c>
      <c r="I73" s="154" t="str">
        <f>'DICTIONARY-2'!$A$29</f>
        <v>nowy nr zamówienia</v>
      </c>
      <c r="J73" s="155" t="str">
        <f>CURRENCY.CODE_1</f>
        <v>EUR</v>
      </c>
      <c r="K73" s="155" t="str">
        <f>CURRENCY.CODE_2</f>
        <v>---</v>
      </c>
    </row>
    <row r="74" spans="1:11" x14ac:dyDescent="0.25">
      <c r="A74" s="156">
        <v>40</v>
      </c>
      <c r="B74" s="156" t="s">
        <v>85</v>
      </c>
      <c r="C74" s="156">
        <v>180</v>
      </c>
      <c r="D74" s="156" t="s">
        <v>1289</v>
      </c>
      <c r="E74" s="321" t="s">
        <v>4412</v>
      </c>
      <c r="F74" s="339" t="str">
        <f>IFERROR(IF(OR(E74='DICTIONARY-5'!$A$2,E74='DICTIONARY-5'!$A$4,ISBLANK(E74)),VLOOKUP(D74,LIST!$A$6:$L$3250,CURR_1.SEARCH.OLD,0),VLOOKUP(E74,LIST!$B$6:$L$3250,CURR_1.SEARCH.NEW,0)),'DICTIONARY-5'!$A$2)</f>
        <v>395,-</v>
      </c>
      <c r="G74" s="339" t="str">
        <f>IFERROR(IF(OR(E74='DICTIONARY-5'!$A$2,E74='DICTIONARY-5'!$A$4,ISBLANK(E74)),VLOOKUP(D74,LIST!$A$6:$M$3250,CURR_2.SEARCH.OLD,0),VLOOKUP(E74,LIST!$B$6:$M$3250,CURR_2.SEARCH.NEW,0)),'DICTIONARY-5'!$A$2)</f>
        <v/>
      </c>
      <c r="H74" s="156" t="s">
        <v>1290</v>
      </c>
      <c r="I74" s="321" t="s">
        <v>4416</v>
      </c>
      <c r="J74" s="339" t="str">
        <f>IFERROR(IF(OR(I74='DICTIONARY-5'!$A$2,I74='DICTIONARY-5'!$A$4,ISBLANK(I74)),VLOOKUP(H74,LIST!$A$6:$L$3250,CURR_1.SEARCH.OLD,0),VLOOKUP(I74,LIST!$B$6:$L$3250,CURR_1.SEARCH.NEW,0)),'DICTIONARY-5'!$A$2)</f>
        <v>343,-</v>
      </c>
      <c r="K74" s="339" t="str">
        <f>IFERROR(IF(OR(I74='DICTIONARY-5'!$A$2,I74='DICTIONARY-5'!$A$4,ISBLANK(I74)),VLOOKUP(H74,LIST!$A$6:$M$3250,CURR_2.SEARCH.OLD,0),VLOOKUP(I74,LIST!$B$6:$M$3250,CURR_2.SEARCH.NEW,0)),'DICTIONARY-5'!$A$2)</f>
        <v/>
      </c>
    </row>
    <row r="75" spans="1:11" x14ac:dyDescent="0.25">
      <c r="A75" s="156">
        <v>50</v>
      </c>
      <c r="B75" s="156" t="s">
        <v>85</v>
      </c>
      <c r="C75" s="156">
        <v>200</v>
      </c>
      <c r="D75" s="156" t="s">
        <v>1291</v>
      </c>
      <c r="E75" s="321" t="s">
        <v>4413</v>
      </c>
      <c r="F75" s="339" t="str">
        <f>IFERROR(IF(OR(E75='DICTIONARY-5'!$A$2,E75='DICTIONARY-5'!$A$4,ISBLANK(E75)),VLOOKUP(D75,LIST!$A$6:$L$3250,CURR_1.SEARCH.OLD,0),VLOOKUP(E75,LIST!$B$6:$L$3250,CURR_1.SEARCH.NEW,0)),'DICTIONARY-5'!$A$2)</f>
        <v>401,-</v>
      </c>
      <c r="G75" s="339" t="str">
        <f>IFERROR(IF(OR(E75='DICTIONARY-5'!$A$2,E75='DICTIONARY-5'!$A$4,ISBLANK(E75)),VLOOKUP(D75,LIST!$A$6:$M$3250,CURR_2.SEARCH.OLD,0),VLOOKUP(E75,LIST!$B$6:$M$3250,CURR_2.SEARCH.NEW,0)),'DICTIONARY-5'!$A$2)</f>
        <v/>
      </c>
      <c r="H75" s="156" t="s">
        <v>1292</v>
      </c>
      <c r="I75" s="321" t="s">
        <v>4418</v>
      </c>
      <c r="J75" s="339" t="str">
        <f>IFERROR(IF(OR(I75='DICTIONARY-5'!$A$2,I75='DICTIONARY-5'!$A$4,ISBLANK(I75)),VLOOKUP(H75,LIST!$A$6:$L$3250,CURR_1.SEARCH.OLD,0),VLOOKUP(I75,LIST!$B$6:$L$3250,CURR_1.SEARCH.NEW,0)),'DICTIONARY-5'!$A$2)</f>
        <v>349,-</v>
      </c>
      <c r="K75" s="339" t="str">
        <f>IFERROR(IF(OR(I75='DICTIONARY-5'!$A$2,I75='DICTIONARY-5'!$A$4,ISBLANK(I75)),VLOOKUP(H75,LIST!$A$6:$M$3250,CURR_2.SEARCH.OLD,0),VLOOKUP(I75,LIST!$B$6:$M$3250,CURR_2.SEARCH.NEW,0)),'DICTIONARY-5'!$A$2)</f>
        <v/>
      </c>
    </row>
    <row r="76" spans="1:11" x14ac:dyDescent="0.25">
      <c r="A76" s="156">
        <v>65</v>
      </c>
      <c r="B76" s="156" t="s">
        <v>85</v>
      </c>
      <c r="C76" s="156">
        <v>240</v>
      </c>
      <c r="D76" s="156" t="s">
        <v>1293</v>
      </c>
      <c r="E76" s="321" t="s">
        <v>4414</v>
      </c>
      <c r="F76" s="339" t="str">
        <f>IFERROR(IF(OR(E76='DICTIONARY-5'!$A$2,E76='DICTIONARY-5'!$A$4,ISBLANK(E76)),VLOOKUP(D76,LIST!$A$6:$L$3250,CURR_1.SEARCH.OLD,0),VLOOKUP(E76,LIST!$B$6:$L$3250,CURR_1.SEARCH.NEW,0)),'DICTIONARY-5'!$A$2)</f>
        <v>482,-</v>
      </c>
      <c r="G76" s="339" t="str">
        <f>IFERROR(IF(OR(E76='DICTIONARY-5'!$A$2,E76='DICTIONARY-5'!$A$4,ISBLANK(E76)),VLOOKUP(D76,LIST!$A$6:$M$3250,CURR_2.SEARCH.OLD,0),VLOOKUP(E76,LIST!$B$6:$M$3250,CURR_2.SEARCH.NEW,0)),'DICTIONARY-5'!$A$2)</f>
        <v/>
      </c>
      <c r="H76" s="156" t="s">
        <v>1294</v>
      </c>
      <c r="I76" s="321" t="s">
        <v>4420</v>
      </c>
      <c r="J76" s="339" t="str">
        <f>IFERROR(IF(OR(I76='DICTIONARY-5'!$A$2,I76='DICTIONARY-5'!$A$4,ISBLANK(I76)),VLOOKUP(H76,LIST!$A$6:$L$3250,CURR_1.SEARCH.OLD,0),VLOOKUP(I76,LIST!$B$6:$L$3250,CURR_1.SEARCH.NEW,0)),'DICTIONARY-5'!$A$2)</f>
        <v>432,-</v>
      </c>
      <c r="K76" s="339" t="str">
        <f>IFERROR(IF(OR(I76='DICTIONARY-5'!$A$2,I76='DICTIONARY-5'!$A$4,ISBLANK(I76)),VLOOKUP(H76,LIST!$A$6:$M$3250,CURR_2.SEARCH.OLD,0),VLOOKUP(I76,LIST!$B$6:$M$3250,CURR_2.SEARCH.NEW,0)),'DICTIONARY-5'!$A$2)</f>
        <v/>
      </c>
    </row>
    <row r="77" spans="1:11" x14ac:dyDescent="0.25">
      <c r="A77" s="156">
        <v>80</v>
      </c>
      <c r="B77" s="156" t="s">
        <v>85</v>
      </c>
      <c r="C77" s="156">
        <v>260</v>
      </c>
      <c r="D77" s="156" t="s">
        <v>1295</v>
      </c>
      <c r="E77" s="321" t="s">
        <v>4415</v>
      </c>
      <c r="F77" s="339" t="str">
        <f>IFERROR(IF(OR(E77='DICTIONARY-5'!$A$2,E77='DICTIONARY-5'!$A$4,ISBLANK(E77)),VLOOKUP(D77,LIST!$A$6:$L$3250,CURR_1.SEARCH.OLD,0),VLOOKUP(E77,LIST!$B$6:$L$3250,CURR_1.SEARCH.NEW,0)),'DICTIONARY-5'!$A$2)</f>
        <v>490,-</v>
      </c>
      <c r="G77" s="339" t="str">
        <f>IFERROR(IF(OR(E77='DICTIONARY-5'!$A$2,E77='DICTIONARY-5'!$A$4,ISBLANK(E77)),VLOOKUP(D77,LIST!$A$6:$M$3250,CURR_2.SEARCH.OLD,0),VLOOKUP(E77,LIST!$B$6:$M$3250,CURR_2.SEARCH.NEW,0)),'DICTIONARY-5'!$A$2)</f>
        <v/>
      </c>
      <c r="H77" s="156" t="s">
        <v>1296</v>
      </c>
      <c r="I77" s="321" t="s">
        <v>4422</v>
      </c>
      <c r="J77" s="339" t="str">
        <f>IFERROR(IF(OR(I77='DICTIONARY-5'!$A$2,I77='DICTIONARY-5'!$A$4,ISBLANK(I77)),VLOOKUP(H77,LIST!$A$6:$L$3250,CURR_1.SEARCH.OLD,0),VLOOKUP(I77,LIST!$B$6:$L$3250,CURR_1.SEARCH.NEW,0)),'DICTIONARY-5'!$A$2)</f>
        <v>430,-</v>
      </c>
      <c r="K77" s="339" t="str">
        <f>IFERROR(IF(OR(I77='DICTIONARY-5'!$A$2,I77='DICTIONARY-5'!$A$4,ISBLANK(I77)),VLOOKUP(H77,LIST!$A$6:$M$3250,CURR_2.SEARCH.OLD,0),VLOOKUP(I77,LIST!$B$6:$M$3250,CURR_2.SEARCH.NEW,0)),'DICTIONARY-5'!$A$2)</f>
        <v/>
      </c>
    </row>
    <row r="78" spans="1:11" x14ac:dyDescent="0.25">
      <c r="A78" s="156">
        <v>100</v>
      </c>
      <c r="B78" s="156" t="s">
        <v>85</v>
      </c>
      <c r="C78" s="156">
        <v>300</v>
      </c>
      <c r="D78" s="156" t="s">
        <v>1297</v>
      </c>
      <c r="E78" s="321" t="s">
        <v>4440</v>
      </c>
      <c r="F78" s="339" t="str">
        <f>IFERROR(IF(OR(E78='DICTIONARY-5'!$A$2,E78='DICTIONARY-5'!$A$4,ISBLANK(E78)),VLOOKUP(D78,LIST!$A$6:$L$3250,CURR_1.SEARCH.OLD,0),VLOOKUP(E78,LIST!$B$6:$L$3250,CURR_1.SEARCH.NEW,0)),'DICTIONARY-5'!$A$2)</f>
        <v>603,-</v>
      </c>
      <c r="G78" s="339" t="str">
        <f>IFERROR(IF(OR(E78='DICTIONARY-5'!$A$2,E78='DICTIONARY-5'!$A$4,ISBLANK(E78)),VLOOKUP(D78,LIST!$A$6:$M$3250,CURR_2.SEARCH.OLD,0),VLOOKUP(E78,LIST!$B$6:$M$3250,CURR_2.SEARCH.NEW,0)),'DICTIONARY-5'!$A$2)</f>
        <v/>
      </c>
      <c r="H78" s="156" t="s">
        <v>1298</v>
      </c>
      <c r="I78" s="321" t="s">
        <v>4450</v>
      </c>
      <c r="J78" s="339" t="str">
        <f>IFERROR(IF(OR(I78='DICTIONARY-5'!$A$2,I78='DICTIONARY-5'!$A$4,ISBLANK(I78)),VLOOKUP(H78,LIST!$A$6:$L$3250,CURR_1.SEARCH.OLD,0),VLOOKUP(I78,LIST!$B$6:$L$3250,CURR_1.SEARCH.NEW,0)),'DICTIONARY-5'!$A$2)</f>
        <v>547,-</v>
      </c>
      <c r="K78" s="339" t="str">
        <f>IFERROR(IF(OR(I78='DICTIONARY-5'!$A$2,I78='DICTIONARY-5'!$A$4,ISBLANK(I78)),VLOOKUP(H78,LIST!$A$6:$M$3250,CURR_2.SEARCH.OLD,0),VLOOKUP(I78,LIST!$B$6:$M$3250,CURR_2.SEARCH.NEW,0)),'DICTIONARY-5'!$A$2)</f>
        <v/>
      </c>
    </row>
    <row r="79" spans="1:11" x14ac:dyDescent="0.25">
      <c r="A79" s="156">
        <v>125</v>
      </c>
      <c r="B79" s="156" t="s">
        <v>85</v>
      </c>
      <c r="C79" s="156">
        <v>350</v>
      </c>
      <c r="D79" s="156" t="s">
        <v>1299</v>
      </c>
      <c r="E79" s="321" t="s">
        <v>4442</v>
      </c>
      <c r="F79" s="339" t="str">
        <f>IFERROR(IF(OR(E79='DICTIONARY-5'!$A$2,E79='DICTIONARY-5'!$A$4,ISBLANK(E79)),VLOOKUP(D79,LIST!$A$6:$L$3250,CURR_1.SEARCH.OLD,0),VLOOKUP(E79,LIST!$B$6:$L$3250,CURR_1.SEARCH.NEW,0)),'DICTIONARY-5'!$A$2)</f>
        <v>667,-</v>
      </c>
      <c r="G79" s="339" t="str">
        <f>IFERROR(IF(OR(E79='DICTIONARY-5'!$A$2,E79='DICTIONARY-5'!$A$4,ISBLANK(E79)),VLOOKUP(D79,LIST!$A$6:$M$3250,CURR_2.SEARCH.OLD,0),VLOOKUP(E79,LIST!$B$6:$M$3250,CURR_2.SEARCH.NEW,0)),'DICTIONARY-5'!$A$2)</f>
        <v/>
      </c>
      <c r="H79" s="156" t="s">
        <v>1300</v>
      </c>
      <c r="I79" s="321" t="s">
        <v>4452</v>
      </c>
      <c r="J79" s="339" t="str">
        <f>IFERROR(IF(OR(I79='DICTIONARY-5'!$A$2,I79='DICTIONARY-5'!$A$4,ISBLANK(I79)),VLOOKUP(H79,LIST!$A$6:$L$3250,CURR_1.SEARCH.OLD,0),VLOOKUP(I79,LIST!$B$6:$L$3250,CURR_1.SEARCH.NEW,0)),'DICTIONARY-5'!$A$2)</f>
        <v>621,-</v>
      </c>
      <c r="K79" s="339" t="str">
        <f>IFERROR(IF(OR(I79='DICTIONARY-5'!$A$2,I79='DICTIONARY-5'!$A$4,ISBLANK(I79)),VLOOKUP(H79,LIST!$A$6:$M$3250,CURR_2.SEARCH.OLD,0),VLOOKUP(I79,LIST!$B$6:$M$3250,CURR_2.SEARCH.NEW,0)),'DICTIONARY-5'!$A$2)</f>
        <v/>
      </c>
    </row>
    <row r="80" spans="1:11" x14ac:dyDescent="0.25">
      <c r="A80" s="156">
        <v>150</v>
      </c>
      <c r="B80" s="156" t="s">
        <v>85</v>
      </c>
      <c r="C80" s="156">
        <v>400</v>
      </c>
      <c r="D80" s="156" t="s">
        <v>1301</v>
      </c>
      <c r="E80" s="321" t="s">
        <v>4444</v>
      </c>
      <c r="F80" s="339" t="str">
        <f>IFERROR(IF(OR(E80='DICTIONARY-5'!$A$2,E80='DICTIONARY-5'!$A$4,ISBLANK(E80)),VLOOKUP(D80,LIST!$A$6:$L$3250,CURR_1.SEARCH.OLD,0),VLOOKUP(E80,LIST!$B$6:$L$3250,CURR_1.SEARCH.NEW,0)),'DICTIONARY-5'!$A$2)</f>
        <v>884,-</v>
      </c>
      <c r="G80" s="339" t="str">
        <f>IFERROR(IF(OR(E80='DICTIONARY-5'!$A$2,E80='DICTIONARY-5'!$A$4,ISBLANK(E80)),VLOOKUP(D80,LIST!$A$6:$M$3250,CURR_2.SEARCH.OLD,0),VLOOKUP(E80,LIST!$B$6:$M$3250,CURR_2.SEARCH.NEW,0)),'DICTIONARY-5'!$A$2)</f>
        <v/>
      </c>
      <c r="H80" s="156" t="s">
        <v>1302</v>
      </c>
      <c r="I80" s="321" t="s">
        <v>4454</v>
      </c>
      <c r="J80" s="339" t="str">
        <f>IFERROR(IF(OR(I80='DICTIONARY-5'!$A$2,I80='DICTIONARY-5'!$A$4,ISBLANK(I80)),VLOOKUP(H80,LIST!$A$6:$L$3250,CURR_1.SEARCH.OLD,0),VLOOKUP(I80,LIST!$B$6:$L$3250,CURR_1.SEARCH.NEW,0)),'DICTIONARY-5'!$A$2)</f>
        <v>826,-</v>
      </c>
      <c r="K80" s="339" t="str">
        <f>IFERROR(IF(OR(I80='DICTIONARY-5'!$A$2,I80='DICTIONARY-5'!$A$4,ISBLANK(I80)),VLOOKUP(H80,LIST!$A$6:$M$3250,CURR_2.SEARCH.OLD,0),VLOOKUP(I80,LIST!$B$6:$M$3250,CURR_2.SEARCH.NEW,0)),'DICTIONARY-5'!$A$2)</f>
        <v/>
      </c>
    </row>
    <row r="81" spans="1:11" x14ac:dyDescent="0.25">
      <c r="A81" s="560" t="s">
        <v>162</v>
      </c>
      <c r="B81" s="156">
        <v>16</v>
      </c>
      <c r="C81" s="156">
        <v>500</v>
      </c>
      <c r="D81" s="156" t="s">
        <v>1303</v>
      </c>
      <c r="E81" s="321" t="s">
        <v>4446</v>
      </c>
      <c r="F81" s="339" t="str">
        <f>IFERROR(IF(OR(E81='DICTIONARY-5'!$A$2,E81='DICTIONARY-5'!$A$4,ISBLANK(E81)),VLOOKUP(D81,LIST!$A$6:$L$3250,CURR_1.SEARCH.OLD,0),VLOOKUP(E81,LIST!$B$6:$L$3250,CURR_1.SEARCH.NEW,0)),'DICTIONARY-5'!$A$2)</f>
        <v>1 219,-</v>
      </c>
      <c r="G81" s="339" t="str">
        <f>IFERROR(IF(OR(E81='DICTIONARY-5'!$A$2,E81='DICTIONARY-5'!$A$4,ISBLANK(E81)),VLOOKUP(D81,LIST!$A$6:$M$3250,CURR_2.SEARCH.OLD,0),VLOOKUP(E81,LIST!$B$6:$M$3250,CURR_2.SEARCH.NEW,0)),'DICTIONARY-5'!$A$2)</f>
        <v/>
      </c>
      <c r="H81" s="156" t="s">
        <v>1304</v>
      </c>
      <c r="I81" s="321" t="s">
        <v>4456</v>
      </c>
      <c r="J81" s="339" t="str">
        <f>IFERROR(IF(OR(I81='DICTIONARY-5'!$A$2,I81='DICTIONARY-5'!$A$4,ISBLANK(I81)),VLOOKUP(H81,LIST!$A$6:$L$3250,CURR_1.SEARCH.OLD,0),VLOOKUP(I81,LIST!$B$6:$L$3250,CURR_1.SEARCH.NEW,0)),'DICTIONARY-5'!$A$2)</f>
        <v>1 147,-</v>
      </c>
      <c r="K81" s="339" t="str">
        <f>IFERROR(IF(OR(I81='DICTIONARY-5'!$A$2,I81='DICTIONARY-5'!$A$4,ISBLANK(I81)),VLOOKUP(H81,LIST!$A$6:$M$3250,CURR_2.SEARCH.OLD,0),VLOOKUP(I81,LIST!$B$6:$M$3250,CURR_2.SEARCH.NEW,0)),'DICTIONARY-5'!$A$2)</f>
        <v/>
      </c>
    </row>
    <row r="82" spans="1:11" x14ac:dyDescent="0.25">
      <c r="A82" s="560" t="s">
        <v>1989</v>
      </c>
      <c r="B82" s="156">
        <v>16</v>
      </c>
      <c r="C82" s="156">
        <v>600</v>
      </c>
      <c r="D82" s="156" t="s">
        <v>1305</v>
      </c>
      <c r="E82" s="321" t="s">
        <v>4448</v>
      </c>
      <c r="F82" s="339" t="str">
        <f>IFERROR(IF(OR(E82='DICTIONARY-5'!$A$2,E82='DICTIONARY-5'!$A$4,ISBLANK(E82)),VLOOKUP(D82,LIST!$A$6:$L$3250,CURR_1.SEARCH.OLD,0),VLOOKUP(E82,LIST!$B$6:$L$3250,CURR_1.SEARCH.NEW,0)),'DICTIONARY-5'!$A$2)</f>
        <v>1 887,-</v>
      </c>
      <c r="G82" s="339" t="str">
        <f>IFERROR(IF(OR(E82='DICTIONARY-5'!$A$2,E82='DICTIONARY-5'!$A$4,ISBLANK(E82)),VLOOKUP(D82,LIST!$A$6:$M$3250,CURR_2.SEARCH.OLD,0),VLOOKUP(E82,LIST!$B$6:$M$3250,CURR_2.SEARCH.NEW,0)),'DICTIONARY-5'!$A$2)</f>
        <v/>
      </c>
      <c r="H82" s="156" t="s">
        <v>1306</v>
      </c>
      <c r="I82" s="321" t="s">
        <v>4458</v>
      </c>
      <c r="J82" s="339" t="str">
        <f>IFERROR(IF(OR(I82='DICTIONARY-5'!$A$2,I82='DICTIONARY-5'!$A$4,ISBLANK(I82)),VLOOKUP(H82,LIST!$A$6:$L$3250,CURR_1.SEARCH.OLD,0),VLOOKUP(I82,LIST!$B$6:$L$3250,CURR_1.SEARCH.NEW,0)),'DICTIONARY-5'!$A$2)</f>
        <v>1 784,-</v>
      </c>
      <c r="K82" s="339" t="str">
        <f>IFERROR(IF(OR(I82='DICTIONARY-5'!$A$2,I82='DICTIONARY-5'!$A$4,ISBLANK(I82)),VLOOKUP(H82,LIST!$A$6:$M$3250,CURR_2.SEARCH.OLD,0),VLOOKUP(I82,LIST!$B$6:$M$3250,CURR_2.SEARCH.NEW,0)),'DICTIONARY-5'!$A$2)</f>
        <v/>
      </c>
    </row>
    <row r="83" spans="1:11" x14ac:dyDescent="0.25">
      <c r="A83" s="159"/>
      <c r="B83" s="144"/>
      <c r="C83" s="144"/>
      <c r="D83" s="144"/>
      <c r="E83" s="144"/>
      <c r="F83" s="145"/>
      <c r="G83" s="145"/>
      <c r="H83" s="144"/>
      <c r="I83" s="144"/>
      <c r="J83" s="145"/>
      <c r="K83" s="145"/>
    </row>
    <row r="84" spans="1:11" x14ac:dyDescent="0.25">
      <c r="A84" s="46" t="str">
        <f>"1) "&amp;'DICTIONARY-5'!$A$3&amp;" PN 10"</f>
        <v>1) Na zapytanie:  PN 10</v>
      </c>
    </row>
  </sheetData>
  <sheetProtection algorithmName="SHA-512" hashValue="0bh/zP5pQVAVNmo68RKzZGKEqfoP1jp+HazFYnMtI/DkNu/qMNlA18IpUNsnCikhGNX5x00euQRvkntoz/TEOA==" saltValue="YeaBI5aF4ZQtb8OVlGhA6A==" spinCount="100000" sheet="1" objects="1" scenarios="1" autoFilter="0"/>
  <mergeCells count="17">
    <mergeCell ref="B4:E4"/>
    <mergeCell ref="D31:G31"/>
    <mergeCell ref="H31:K31"/>
    <mergeCell ref="D54:G54"/>
    <mergeCell ref="H54:K54"/>
    <mergeCell ref="D12:G12"/>
    <mergeCell ref="H12:K12"/>
    <mergeCell ref="D30:G30"/>
    <mergeCell ref="H30:K30"/>
    <mergeCell ref="D13:G13"/>
    <mergeCell ref="H13:K13"/>
    <mergeCell ref="D72:G72"/>
    <mergeCell ref="H72:K72"/>
    <mergeCell ref="D71:G71"/>
    <mergeCell ref="H71:K71"/>
    <mergeCell ref="D53:G53"/>
    <mergeCell ref="H53:K5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5">
    <tabColor rgb="FFFFC000"/>
  </sheetPr>
  <dimension ref="A1:K68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9" width="22.140625" style="146" customWidth="1"/>
    <col min="10" max="11" width="12.85546875" style="146" customWidth="1"/>
    <col min="12" max="16384" width="9.140625" style="146"/>
  </cols>
  <sheetData>
    <row r="1" spans="1:9" s="408" customFormat="1" ht="45" customHeight="1" thickBot="1" x14ac:dyDescent="0.3">
      <c r="A1" s="430"/>
      <c r="B1" s="430"/>
      <c r="C1" s="430"/>
      <c r="D1" s="430"/>
      <c r="E1" s="410"/>
      <c r="F1" s="409"/>
      <c r="G1" s="409"/>
    </row>
    <row r="2" spans="1:9" s="467" customFormat="1" ht="4.5" customHeight="1" x14ac:dyDescent="0.25">
      <c r="A2" s="466"/>
      <c r="B2" s="468"/>
      <c r="C2" s="468"/>
      <c r="D2" s="468"/>
      <c r="E2" s="468"/>
      <c r="F2" s="469"/>
      <c r="G2" s="469"/>
    </row>
    <row r="3" spans="1:9" ht="15.75" thickBot="1" x14ac:dyDescent="0.3">
      <c r="A3" s="147"/>
      <c r="B3" s="148"/>
      <c r="C3" s="148"/>
    </row>
    <row r="4" spans="1:9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9" x14ac:dyDescent="0.25">
      <c r="A5" s="147"/>
      <c r="B5" s="148"/>
      <c r="C5" s="148"/>
    </row>
    <row r="6" spans="1:9" ht="16.5" thickBot="1" x14ac:dyDescent="0.3">
      <c r="A6" s="712" t="str">
        <f>CONCATENATE('DICTIONARY-3'!$A$100," ",'DICTIONARY-3'!$A$200,)</f>
        <v>LIMU-STOP Zawór zwrotny</v>
      </c>
      <c r="B6" s="712"/>
      <c r="C6" s="712"/>
      <c r="D6" s="712"/>
      <c r="E6" s="712"/>
      <c r="F6" s="712"/>
      <c r="G6" s="712"/>
    </row>
    <row r="7" spans="1:9" x14ac:dyDescent="0.25">
      <c r="A7" s="150" t="str">
        <f>'DICTIONARY-3'!$A$307</f>
        <v>Ze skośnym siedziskiem</v>
      </c>
    </row>
    <row r="8" spans="1:9" x14ac:dyDescent="0.25">
      <c r="A8" s="168" t="str">
        <f>CONCATENATE('DICTIONARY-1'!$A$10,": ",SETTINGS!$C$58)</f>
        <v>Grupa rabatowa: LIMU-STOP</v>
      </c>
    </row>
    <row r="9" spans="1:9" x14ac:dyDescent="0.25">
      <c r="A9" s="151"/>
    </row>
    <row r="10" spans="1:9" x14ac:dyDescent="0.25">
      <c r="A10" s="152" t="str">
        <f>'DICTIONARY-2'!$A$2</f>
        <v>DN</v>
      </c>
      <c r="B10" s="152" t="str">
        <f>'DICTIONARY-2'!$A$3</f>
        <v>PN</v>
      </c>
      <c r="C10" s="152" t="str">
        <f>'DICTIONARY-2'!$A$24</f>
        <v>L</v>
      </c>
      <c r="D10" s="1004" t="str">
        <f>'DICTIONARY-3'!$A$100</f>
        <v>LIMU-STOP</v>
      </c>
      <c r="E10" s="1004"/>
      <c r="F10" s="1004"/>
      <c r="G10" s="1004"/>
    </row>
    <row r="11" spans="1:9" x14ac:dyDescent="0.25">
      <c r="A11" s="153"/>
      <c r="B11" s="153"/>
      <c r="C11" s="153"/>
      <c r="D11" s="1007"/>
      <c r="E11" s="1007"/>
      <c r="F11" s="1007"/>
      <c r="G11" s="1007"/>
    </row>
    <row r="12" spans="1:9" x14ac:dyDescent="0.25">
      <c r="A12" s="153"/>
      <c r="B12" s="153"/>
      <c r="C12" s="153" t="str">
        <f>'DICTIONARY-2'!$A$18</f>
        <v>[mm]</v>
      </c>
      <c r="D12" s="154" t="str">
        <f>'DICTIONARY-2'!$A$28</f>
        <v>stary nr zamówienia</v>
      </c>
      <c r="E12" s="154" t="str">
        <f>'DICTIONARY-2'!$A$29</f>
        <v>nowy nr zamówienia</v>
      </c>
      <c r="F12" s="155" t="str">
        <f>CURRENCY.CODE_1</f>
        <v>EUR</v>
      </c>
      <c r="G12" s="155" t="str">
        <f>CURRENCY.CODE_2</f>
        <v>---</v>
      </c>
    </row>
    <row r="13" spans="1:9" x14ac:dyDescent="0.25">
      <c r="A13" s="156">
        <v>50</v>
      </c>
      <c r="B13" s="156" t="s">
        <v>85</v>
      </c>
      <c r="C13" s="156">
        <v>200</v>
      </c>
      <c r="D13" s="156" t="s">
        <v>1307</v>
      </c>
      <c r="E13" s="321" t="s">
        <v>4314</v>
      </c>
      <c r="F13" s="339" t="str">
        <f>IFERROR(IF(OR(E13='DICTIONARY-5'!$A$2,E13='DICTIONARY-5'!$A$4,ISBLANK(E13)),VLOOKUP(D13,LIST!$A$6:$L$3250,CURR_1.SEARCH.OLD,0),VLOOKUP(E13,LIST!$B$6:$L$3250,CURR_1.SEARCH.NEW,0)),'DICTIONARY-5'!$A$2)</f>
        <v>439,-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173"/>
      <c r="I13" s="173"/>
    </row>
    <row r="14" spans="1:9" x14ac:dyDescent="0.25">
      <c r="A14" s="156">
        <v>65</v>
      </c>
      <c r="B14" s="156" t="s">
        <v>85</v>
      </c>
      <c r="C14" s="156">
        <v>240</v>
      </c>
      <c r="D14" s="156" t="s">
        <v>1308</v>
      </c>
      <c r="E14" s="321" t="s">
        <v>4315</v>
      </c>
      <c r="F14" s="339" t="str">
        <f>IFERROR(IF(OR(E14='DICTIONARY-5'!$A$2,E14='DICTIONARY-5'!$A$4,ISBLANK(E14)),VLOOKUP(D14,LIST!$A$6:$L$3250,CURR_1.SEARCH.OLD,0),VLOOKUP(E14,LIST!$B$6:$L$3250,CURR_1.SEARCH.NEW,0)),'DICTIONARY-5'!$A$2)</f>
        <v>497,-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73"/>
      <c r="I14" s="173"/>
    </row>
    <row r="15" spans="1:9" x14ac:dyDescent="0.25">
      <c r="A15" s="156">
        <v>80</v>
      </c>
      <c r="B15" s="156" t="s">
        <v>85</v>
      </c>
      <c r="C15" s="156">
        <v>260</v>
      </c>
      <c r="D15" s="156" t="s">
        <v>1309</v>
      </c>
      <c r="E15" s="321" t="s">
        <v>4316</v>
      </c>
      <c r="F15" s="339" t="str">
        <f>IFERROR(IF(OR(E15='DICTIONARY-5'!$A$2,E15='DICTIONARY-5'!$A$4,ISBLANK(E15)),VLOOKUP(D15,LIST!$A$6:$L$3250,CURR_1.SEARCH.OLD,0),VLOOKUP(E15,LIST!$B$6:$L$3250,CURR_1.SEARCH.NEW,0)),'DICTIONARY-5'!$A$2)</f>
        <v>579,-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73"/>
      <c r="I15" s="173"/>
    </row>
    <row r="16" spans="1:9" x14ac:dyDescent="0.25">
      <c r="A16" s="156">
        <v>100</v>
      </c>
      <c r="B16" s="156" t="s">
        <v>85</v>
      </c>
      <c r="C16" s="156">
        <v>300</v>
      </c>
      <c r="D16" s="156" t="s">
        <v>1310</v>
      </c>
      <c r="E16" s="321" t="s">
        <v>4317</v>
      </c>
      <c r="F16" s="339" t="str">
        <f>IFERROR(IF(OR(E16='DICTIONARY-5'!$A$2,E16='DICTIONARY-5'!$A$4,ISBLANK(E16)),VLOOKUP(D16,LIST!$A$6:$L$3250,CURR_1.SEARCH.OLD,0),VLOOKUP(E16,LIST!$B$6:$L$3250,CURR_1.SEARCH.NEW,0)),'DICTIONARY-5'!$A$2)</f>
        <v>654,-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73"/>
      <c r="I16" s="173"/>
    </row>
    <row r="17" spans="1:11" x14ac:dyDescent="0.25">
      <c r="A17" s="156">
        <v>125</v>
      </c>
      <c r="B17" s="156" t="s">
        <v>85</v>
      </c>
      <c r="C17" s="156">
        <v>350</v>
      </c>
      <c r="D17" s="156" t="s">
        <v>1311</v>
      </c>
      <c r="E17" s="321" t="s">
        <v>4318</v>
      </c>
      <c r="F17" s="339" t="str">
        <f>IFERROR(IF(OR(E17='DICTIONARY-5'!$A$2,E17='DICTIONARY-5'!$A$4,ISBLANK(E17)),VLOOKUP(D17,LIST!$A$6:$L$3250,CURR_1.SEARCH.OLD,0),VLOOKUP(E17,LIST!$B$6:$L$3250,CURR_1.SEARCH.NEW,0)),'DICTIONARY-5'!$A$2)</f>
        <v>848,-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173"/>
      <c r="I17" s="173"/>
    </row>
    <row r="18" spans="1:11" x14ac:dyDescent="0.25">
      <c r="A18" s="156">
        <v>150</v>
      </c>
      <c r="B18" s="156" t="s">
        <v>85</v>
      </c>
      <c r="C18" s="156">
        <v>400</v>
      </c>
      <c r="D18" s="156" t="s">
        <v>1312</v>
      </c>
      <c r="E18" s="321" t="s">
        <v>4319</v>
      </c>
      <c r="F18" s="339" t="str">
        <f>IFERROR(IF(OR(E18='DICTIONARY-5'!$A$2,E18='DICTIONARY-5'!$A$4,ISBLANK(E18)),VLOOKUP(D18,LIST!$A$6:$L$3250,CURR_1.SEARCH.OLD,0),VLOOKUP(E18,LIST!$B$6:$L$3250,CURR_1.SEARCH.NEW,0)),'DICTIONARY-5'!$A$2)</f>
        <v>1 067,-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173"/>
      <c r="I18" s="173"/>
    </row>
    <row r="19" spans="1:11" x14ac:dyDescent="0.25">
      <c r="A19" s="156">
        <v>200</v>
      </c>
      <c r="B19" s="156">
        <v>10</v>
      </c>
      <c r="C19" s="156">
        <v>500</v>
      </c>
      <c r="D19" s="156" t="s">
        <v>1313</v>
      </c>
      <c r="E19" s="321" t="s">
        <v>4323</v>
      </c>
      <c r="F19" s="339" t="str">
        <f>IFERROR(IF(OR(E19='DICTIONARY-5'!$A$2,E19='DICTIONARY-5'!$A$4,ISBLANK(E19)),VLOOKUP(D19,LIST!$A$6:$L$3250,CURR_1.SEARCH.OLD,0),VLOOKUP(E19,LIST!$B$6:$L$3250,CURR_1.SEARCH.NEW,0)),'DICTIONARY-5'!$A$2)</f>
        <v>1 617,-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173"/>
      <c r="I19" s="173"/>
    </row>
    <row r="20" spans="1:11" x14ac:dyDescent="0.25">
      <c r="A20" s="156">
        <v>200</v>
      </c>
      <c r="B20" s="156">
        <v>16</v>
      </c>
      <c r="C20" s="156">
        <v>500</v>
      </c>
      <c r="D20" s="156" t="s">
        <v>1314</v>
      </c>
      <c r="E20" s="321" t="s">
        <v>4320</v>
      </c>
      <c r="F20" s="339" t="str">
        <f>IFERROR(IF(OR(E20='DICTIONARY-5'!$A$2,E20='DICTIONARY-5'!$A$4,ISBLANK(E20)),VLOOKUP(D20,LIST!$A$6:$L$3250,CURR_1.SEARCH.OLD,0),VLOOKUP(E20,LIST!$B$6:$L$3250,CURR_1.SEARCH.NEW,0)),'DICTIONARY-5'!$A$2)</f>
        <v>1 617,-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173"/>
      <c r="I20" s="173"/>
    </row>
    <row r="21" spans="1:11" x14ac:dyDescent="0.25">
      <c r="A21" s="156">
        <v>250</v>
      </c>
      <c r="B21" s="156">
        <v>10</v>
      </c>
      <c r="C21" s="156">
        <v>600</v>
      </c>
      <c r="D21" s="156" t="s">
        <v>1315</v>
      </c>
      <c r="E21" s="321" t="s">
        <v>4324</v>
      </c>
      <c r="F21" s="339" t="str">
        <f>IFERROR(IF(OR(E21='DICTIONARY-5'!$A$2,E21='DICTIONARY-5'!$A$4,ISBLANK(E21)),VLOOKUP(D21,LIST!$A$6:$L$3250,CURR_1.SEARCH.OLD,0),VLOOKUP(E21,LIST!$B$6:$L$3250,CURR_1.SEARCH.NEW,0)),'DICTIONARY-5'!$A$2)</f>
        <v>2 918,-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173"/>
      <c r="I21" s="173"/>
    </row>
    <row r="22" spans="1:11" x14ac:dyDescent="0.25">
      <c r="A22" s="156">
        <v>250</v>
      </c>
      <c r="B22" s="156">
        <v>16</v>
      </c>
      <c r="C22" s="156">
        <v>600</v>
      </c>
      <c r="D22" s="156" t="s">
        <v>1316</v>
      </c>
      <c r="E22" s="321" t="s">
        <v>4321</v>
      </c>
      <c r="F22" s="339" t="str">
        <f>IFERROR(IF(OR(E22='DICTIONARY-5'!$A$2,E22='DICTIONARY-5'!$A$4,ISBLANK(E22)),VLOOKUP(D22,LIST!$A$6:$L$3250,CURR_1.SEARCH.OLD,0),VLOOKUP(E22,LIST!$B$6:$L$3250,CURR_1.SEARCH.NEW,0)),'DICTIONARY-5'!$A$2)</f>
        <v>2 918,-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173"/>
      <c r="I22" s="173"/>
    </row>
    <row r="23" spans="1:11" x14ac:dyDescent="0.25">
      <c r="A23" s="156">
        <v>300</v>
      </c>
      <c r="B23" s="156">
        <v>10</v>
      </c>
      <c r="C23" s="156">
        <v>700</v>
      </c>
      <c r="D23" s="156" t="s">
        <v>1317</v>
      </c>
      <c r="E23" s="321" t="s">
        <v>4325</v>
      </c>
      <c r="F23" s="339" t="str">
        <f>IFERROR(IF(OR(E23='DICTIONARY-5'!$A$2,E23='DICTIONARY-5'!$A$4,ISBLANK(E23)),VLOOKUP(D23,LIST!$A$6:$L$3250,CURR_1.SEARCH.OLD,0),VLOOKUP(E23,LIST!$B$6:$L$3250,CURR_1.SEARCH.NEW,0)),'DICTIONARY-5'!$A$2)</f>
        <v>4 056,-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173"/>
      <c r="I23" s="173"/>
    </row>
    <row r="24" spans="1:11" x14ac:dyDescent="0.25">
      <c r="A24" s="156">
        <v>300</v>
      </c>
      <c r="B24" s="156">
        <v>16</v>
      </c>
      <c r="C24" s="156">
        <v>700</v>
      </c>
      <c r="D24" s="156" t="s">
        <v>1318</v>
      </c>
      <c r="E24" s="321" t="s">
        <v>4322</v>
      </c>
      <c r="F24" s="339" t="str">
        <f>IFERROR(IF(OR(E24='DICTIONARY-5'!$A$2,E24='DICTIONARY-5'!$A$4,ISBLANK(E24)),VLOOKUP(D24,LIST!$A$6:$L$3250,CURR_1.SEARCH.OLD,0),VLOOKUP(E24,LIST!$B$6:$L$3250,CURR_1.SEARCH.NEW,0)),'DICTIONARY-5'!$A$2)</f>
        <v>4 056,-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173"/>
      <c r="I24" s="173"/>
    </row>
    <row r="28" spans="1:11" ht="16.5" thickBot="1" x14ac:dyDescent="0.3">
      <c r="A28" s="712" t="str">
        <f>CONCATENATE('DICTIONARY-3'!$A$100," ",'DICTIONARY-3'!$A$200," / ",'DICTIONARY-3'!$A$314)</f>
        <v>LIMU-STOP Zawór zwrotny / Z dźwignią i ciężarkiem</v>
      </c>
      <c r="B28" s="712"/>
      <c r="C28" s="712"/>
      <c r="D28" s="712"/>
      <c r="E28" s="712"/>
      <c r="F28" s="712"/>
      <c r="G28" s="712"/>
      <c r="H28" s="712"/>
      <c r="I28" s="712"/>
      <c r="J28" s="712"/>
      <c r="K28" s="712"/>
    </row>
    <row r="29" spans="1:11" x14ac:dyDescent="0.25">
      <c r="A29" s="150" t="str">
        <f>'DICTIONARY-3'!$A$307</f>
        <v>Ze skośnym siedziskiem</v>
      </c>
    </row>
    <row r="30" spans="1:11" x14ac:dyDescent="0.25">
      <c r="A30" s="168" t="str">
        <f>CONCATENATE('DICTIONARY-1'!$A$10,": ",SETTINGS!$C$58)</f>
        <v>Grupa rabatowa: LIMU-STOP</v>
      </c>
    </row>
    <row r="31" spans="1:11" x14ac:dyDescent="0.25">
      <c r="A31" s="151"/>
    </row>
    <row r="32" spans="1:11" ht="15" customHeight="1" x14ac:dyDescent="0.25">
      <c r="A32" s="152" t="str">
        <f>'DICTIONARY-2'!$A$2</f>
        <v>DN</v>
      </c>
      <c r="B32" s="152" t="str">
        <f>'DICTIONARY-2'!$A$3</f>
        <v>PN</v>
      </c>
      <c r="C32" s="152" t="str">
        <f>'DICTIONARY-2'!$A$24</f>
        <v>L</v>
      </c>
      <c r="D32" s="1004" t="str">
        <f>'DICTIONARY-3'!$A$100</f>
        <v>LIMU-STOP</v>
      </c>
      <c r="E32" s="1004"/>
      <c r="F32" s="1004"/>
      <c r="G32" s="1004"/>
      <c r="H32" s="1004" t="str">
        <f>'DICTIONARY-3'!$A$100</f>
        <v>LIMU-STOP</v>
      </c>
      <c r="I32" s="1004"/>
      <c r="J32" s="1004"/>
      <c r="K32" s="1004"/>
    </row>
    <row r="33" spans="1:11" x14ac:dyDescent="0.25">
      <c r="A33" s="153"/>
      <c r="B33" s="153"/>
      <c r="C33" s="153"/>
      <c r="D33" s="1007" t="str">
        <f>'DICTIONARY-5'!$A$138</f>
        <v>pozioma zabudowa</v>
      </c>
      <c r="E33" s="1007"/>
      <c r="F33" s="1007"/>
      <c r="G33" s="1007"/>
      <c r="H33" s="1007" t="str">
        <f>'DICTIONARY-5'!$A$139</f>
        <v>pionowa zabudowa</v>
      </c>
      <c r="I33" s="1007"/>
      <c r="J33" s="1007"/>
      <c r="K33" s="1007"/>
    </row>
    <row r="34" spans="1:11" x14ac:dyDescent="0.25">
      <c r="A34" s="153"/>
      <c r="B34" s="153"/>
      <c r="C34" s="153" t="str">
        <f>'DICTIONARY-2'!$A$18</f>
        <v>[mm]</v>
      </c>
      <c r="D34" s="154" t="str">
        <f>'DICTIONARY-2'!$A$28</f>
        <v>stary nr zamówienia</v>
      </c>
      <c r="E34" s="154" t="str">
        <f>'DICTIONARY-2'!$A$29</f>
        <v>nowy nr zamówienia</v>
      </c>
      <c r="F34" s="155" t="str">
        <f>CURRENCY.CODE_1</f>
        <v>EUR</v>
      </c>
      <c r="G34" s="155" t="str">
        <f>CURRENCY.CODE_2</f>
        <v>---</v>
      </c>
      <c r="H34" s="154" t="str">
        <f>'DICTIONARY-2'!$A$28</f>
        <v>stary nr zamówienia</v>
      </c>
      <c r="I34" s="154" t="str">
        <f>'DICTIONARY-2'!$A$29</f>
        <v>nowy nr zamówienia</v>
      </c>
      <c r="J34" s="155" t="str">
        <f>CURRENCY.CODE_1</f>
        <v>EUR</v>
      </c>
      <c r="K34" s="155" t="str">
        <f>CURRENCY.CODE_2</f>
        <v>---</v>
      </c>
    </row>
    <row r="35" spans="1:11" x14ac:dyDescent="0.25">
      <c r="A35" s="156">
        <v>50</v>
      </c>
      <c r="B35" s="156" t="s">
        <v>85</v>
      </c>
      <c r="C35" s="156">
        <v>200</v>
      </c>
      <c r="D35" s="156" t="s">
        <v>1319</v>
      </c>
      <c r="E35" s="321" t="s">
        <v>4326</v>
      </c>
      <c r="F35" s="339" t="str">
        <f>IFERROR(IF(OR(E35='DICTIONARY-5'!$A$2,E35='DICTIONARY-5'!$A$4,ISBLANK(E35)),VLOOKUP(D35,LIST!$A$6:$L$3250,CURR_1.SEARCH.OLD,0),VLOOKUP(E35,LIST!$B$6:$L$3250,CURR_1.SEARCH.NEW,0)),'DICTIONARY-5'!$A$2)</f>
        <v>543,-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H35" s="156" t="s">
        <v>1320</v>
      </c>
      <c r="I35" s="321" t="s">
        <v>4327</v>
      </c>
      <c r="J35" s="339" t="str">
        <f>IFERROR(IF(OR(I35='DICTIONARY-5'!$A$2,I35='DICTIONARY-5'!$A$4,ISBLANK(I35)),VLOOKUP(H35,LIST!$A$6:$L$3250,CURR_1.SEARCH.OLD,0),VLOOKUP(I35,LIST!$B$6:$L$3250,CURR_1.SEARCH.NEW,0)),'DICTIONARY-5'!$A$2)</f>
        <v>543,-</v>
      </c>
      <c r="K35" s="339" t="str">
        <f>IFERROR(IF(OR(I35='DICTIONARY-5'!$A$2,I35='DICTIONARY-5'!$A$4,ISBLANK(I35)),VLOOKUP(H35,LIST!$A$6:$M$3250,CURR_2.SEARCH.OLD,0),VLOOKUP(I35,LIST!$B$6:$M$3250,CURR_2.SEARCH.NEW,0)),'DICTIONARY-5'!$A$2)</f>
        <v/>
      </c>
    </row>
    <row r="36" spans="1:11" x14ac:dyDescent="0.25">
      <c r="A36" s="156">
        <v>65</v>
      </c>
      <c r="B36" s="156" t="s">
        <v>85</v>
      </c>
      <c r="C36" s="156">
        <v>240</v>
      </c>
      <c r="D36" s="156" t="s">
        <v>1321</v>
      </c>
      <c r="E36" s="321" t="s">
        <v>4328</v>
      </c>
      <c r="F36" s="339" t="str">
        <f>IFERROR(IF(OR(E36='DICTIONARY-5'!$A$2,E36='DICTIONARY-5'!$A$4,ISBLANK(E36)),VLOOKUP(D36,LIST!$A$6:$L$3250,CURR_1.SEARCH.OLD,0),VLOOKUP(E36,LIST!$B$6:$L$3250,CURR_1.SEARCH.NEW,0)),'DICTIONARY-5'!$A$2)</f>
        <v>603,-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H36" s="156" t="s">
        <v>1322</v>
      </c>
      <c r="I36" s="321" t="s">
        <v>4329</v>
      </c>
      <c r="J36" s="339" t="str">
        <f>IFERROR(IF(OR(I36='DICTIONARY-5'!$A$2,I36='DICTIONARY-5'!$A$4,ISBLANK(I36)),VLOOKUP(H36,LIST!$A$6:$L$3250,CURR_1.SEARCH.OLD,0),VLOOKUP(I36,LIST!$B$6:$L$3250,CURR_1.SEARCH.NEW,0)),'DICTIONARY-5'!$A$2)</f>
        <v>603,-</v>
      </c>
      <c r="K36" s="339" t="str">
        <f>IFERROR(IF(OR(I36='DICTIONARY-5'!$A$2,I36='DICTIONARY-5'!$A$4,ISBLANK(I36)),VLOOKUP(H36,LIST!$A$6:$M$3250,CURR_2.SEARCH.OLD,0),VLOOKUP(I36,LIST!$B$6:$M$3250,CURR_2.SEARCH.NEW,0)),'DICTIONARY-5'!$A$2)</f>
        <v/>
      </c>
    </row>
    <row r="37" spans="1:11" x14ac:dyDescent="0.25">
      <c r="A37" s="156">
        <v>80</v>
      </c>
      <c r="B37" s="156" t="s">
        <v>85</v>
      </c>
      <c r="C37" s="156">
        <v>260</v>
      </c>
      <c r="D37" s="156" t="s">
        <v>1323</v>
      </c>
      <c r="E37" s="321" t="s">
        <v>4330</v>
      </c>
      <c r="F37" s="339" t="str">
        <f>IFERROR(IF(OR(E37='DICTIONARY-5'!$A$2,E37='DICTIONARY-5'!$A$4,ISBLANK(E37)),VLOOKUP(D37,LIST!$A$6:$L$3250,CURR_1.SEARCH.OLD,0),VLOOKUP(E37,LIST!$B$6:$L$3250,CURR_1.SEARCH.NEW,0)),'DICTIONARY-5'!$A$2)</f>
        <v>713,-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  <c r="H37" s="156" t="s">
        <v>1324</v>
      </c>
      <c r="I37" s="321" t="s">
        <v>4331</v>
      </c>
      <c r="J37" s="339" t="str">
        <f>IFERROR(IF(OR(I37='DICTIONARY-5'!$A$2,I37='DICTIONARY-5'!$A$4,ISBLANK(I37)),VLOOKUP(H37,LIST!$A$6:$L$3250,CURR_1.SEARCH.OLD,0),VLOOKUP(I37,LIST!$B$6:$L$3250,CURR_1.SEARCH.NEW,0)),'DICTIONARY-5'!$A$2)</f>
        <v>713,-</v>
      </c>
      <c r="K37" s="339" t="str">
        <f>IFERROR(IF(OR(I37='DICTIONARY-5'!$A$2,I37='DICTIONARY-5'!$A$4,ISBLANK(I37)),VLOOKUP(H37,LIST!$A$6:$M$3250,CURR_2.SEARCH.OLD,0),VLOOKUP(I37,LIST!$B$6:$M$3250,CURR_2.SEARCH.NEW,0)),'DICTIONARY-5'!$A$2)</f>
        <v/>
      </c>
    </row>
    <row r="38" spans="1:11" x14ac:dyDescent="0.25">
      <c r="A38" s="156">
        <v>100</v>
      </c>
      <c r="B38" s="156" t="s">
        <v>85</v>
      </c>
      <c r="C38" s="156">
        <v>300</v>
      </c>
      <c r="D38" s="156" t="s">
        <v>1325</v>
      </c>
      <c r="E38" s="321" t="s">
        <v>4332</v>
      </c>
      <c r="F38" s="339" t="str">
        <f>IFERROR(IF(OR(E38='DICTIONARY-5'!$A$2,E38='DICTIONARY-5'!$A$4,ISBLANK(E38)),VLOOKUP(D38,LIST!$A$6:$L$3250,CURR_1.SEARCH.OLD,0),VLOOKUP(E38,LIST!$B$6:$L$3250,CURR_1.SEARCH.NEW,0)),'DICTIONARY-5'!$A$2)</f>
        <v>791,-</v>
      </c>
      <c r="G38" s="339" t="str">
        <f>IFERROR(IF(OR(E38='DICTIONARY-5'!$A$2,E38='DICTIONARY-5'!$A$4,ISBLANK(E38)),VLOOKUP(D38,LIST!$A$6:$M$3250,CURR_2.SEARCH.OLD,0),VLOOKUP(E38,LIST!$B$6:$M$3250,CURR_2.SEARCH.NEW,0)),'DICTIONARY-5'!$A$2)</f>
        <v/>
      </c>
      <c r="H38" s="156" t="s">
        <v>1326</v>
      </c>
      <c r="I38" s="321" t="s">
        <v>4333</v>
      </c>
      <c r="J38" s="339" t="str">
        <f>IFERROR(IF(OR(I38='DICTIONARY-5'!$A$2,I38='DICTIONARY-5'!$A$4,ISBLANK(I38)),VLOOKUP(H38,LIST!$A$6:$L$3250,CURR_1.SEARCH.OLD,0),VLOOKUP(I38,LIST!$B$6:$L$3250,CURR_1.SEARCH.NEW,0)),'DICTIONARY-5'!$A$2)</f>
        <v>791,-</v>
      </c>
      <c r="K38" s="339" t="str">
        <f>IFERROR(IF(OR(I38='DICTIONARY-5'!$A$2,I38='DICTIONARY-5'!$A$4,ISBLANK(I38)),VLOOKUP(H38,LIST!$A$6:$M$3250,CURR_2.SEARCH.OLD,0),VLOOKUP(I38,LIST!$B$6:$M$3250,CURR_2.SEARCH.NEW,0)),'DICTIONARY-5'!$A$2)</f>
        <v/>
      </c>
    </row>
    <row r="39" spans="1:11" x14ac:dyDescent="0.25">
      <c r="A39" s="156">
        <v>125</v>
      </c>
      <c r="B39" s="156" t="s">
        <v>85</v>
      </c>
      <c r="C39" s="156">
        <v>350</v>
      </c>
      <c r="D39" s="156" t="s">
        <v>1327</v>
      </c>
      <c r="E39" s="321" t="s">
        <v>4334</v>
      </c>
      <c r="F39" s="339" t="str">
        <f>IFERROR(IF(OR(E39='DICTIONARY-5'!$A$2,E39='DICTIONARY-5'!$A$4,ISBLANK(E39)),VLOOKUP(D39,LIST!$A$6:$L$3250,CURR_1.SEARCH.OLD,0),VLOOKUP(E39,LIST!$B$6:$L$3250,CURR_1.SEARCH.NEW,0)),'DICTIONARY-5'!$A$2)</f>
        <v>1 022,-</v>
      </c>
      <c r="G39" s="339" t="str">
        <f>IFERROR(IF(OR(E39='DICTIONARY-5'!$A$2,E39='DICTIONARY-5'!$A$4,ISBLANK(E39)),VLOOKUP(D39,LIST!$A$6:$M$3250,CURR_2.SEARCH.OLD,0),VLOOKUP(E39,LIST!$B$6:$M$3250,CURR_2.SEARCH.NEW,0)),'DICTIONARY-5'!$A$2)</f>
        <v/>
      </c>
      <c r="H39" s="156" t="s">
        <v>1328</v>
      </c>
      <c r="I39" s="321" t="s">
        <v>4335</v>
      </c>
      <c r="J39" s="339" t="str">
        <f>IFERROR(IF(OR(I39='DICTIONARY-5'!$A$2,I39='DICTIONARY-5'!$A$4,ISBLANK(I39)),VLOOKUP(H39,LIST!$A$6:$L$3250,CURR_1.SEARCH.OLD,0),VLOOKUP(I39,LIST!$B$6:$L$3250,CURR_1.SEARCH.NEW,0)),'DICTIONARY-5'!$A$2)</f>
        <v>1 022,-</v>
      </c>
      <c r="K39" s="339" t="str">
        <f>IFERROR(IF(OR(I39='DICTIONARY-5'!$A$2,I39='DICTIONARY-5'!$A$4,ISBLANK(I39)),VLOOKUP(H39,LIST!$A$6:$M$3250,CURR_2.SEARCH.OLD,0),VLOOKUP(I39,LIST!$B$6:$M$3250,CURR_2.SEARCH.NEW,0)),'DICTIONARY-5'!$A$2)</f>
        <v/>
      </c>
    </row>
    <row r="40" spans="1:11" x14ac:dyDescent="0.25">
      <c r="A40" s="156">
        <v>150</v>
      </c>
      <c r="B40" s="156" t="s">
        <v>85</v>
      </c>
      <c r="C40" s="156">
        <v>400</v>
      </c>
      <c r="D40" s="156" t="s">
        <v>1329</v>
      </c>
      <c r="E40" s="321" t="s">
        <v>4336</v>
      </c>
      <c r="F40" s="339" t="str">
        <f>IFERROR(IF(OR(E40='DICTIONARY-5'!$A$2,E40='DICTIONARY-5'!$A$4,ISBLANK(E40)),VLOOKUP(D40,LIST!$A$6:$L$3250,CURR_1.SEARCH.OLD,0),VLOOKUP(E40,LIST!$B$6:$L$3250,CURR_1.SEARCH.NEW,0)),'DICTIONARY-5'!$A$2)</f>
        <v>1 272,-</v>
      </c>
      <c r="G40" s="339" t="str">
        <f>IFERROR(IF(OR(E40='DICTIONARY-5'!$A$2,E40='DICTIONARY-5'!$A$4,ISBLANK(E40)),VLOOKUP(D40,LIST!$A$6:$M$3250,CURR_2.SEARCH.OLD,0),VLOOKUP(E40,LIST!$B$6:$M$3250,CURR_2.SEARCH.NEW,0)),'DICTIONARY-5'!$A$2)</f>
        <v/>
      </c>
      <c r="H40" s="156" t="s">
        <v>1330</v>
      </c>
      <c r="I40" s="321" t="s">
        <v>4337</v>
      </c>
      <c r="J40" s="339" t="str">
        <f>IFERROR(IF(OR(I40='DICTIONARY-5'!$A$2,I40='DICTIONARY-5'!$A$4,ISBLANK(I40)),VLOOKUP(H40,LIST!$A$6:$L$3250,CURR_1.SEARCH.OLD,0),VLOOKUP(I40,LIST!$B$6:$L$3250,CURR_1.SEARCH.NEW,0)),'DICTIONARY-5'!$A$2)</f>
        <v>1 272,-</v>
      </c>
      <c r="K40" s="339" t="str">
        <f>IFERROR(IF(OR(I40='DICTIONARY-5'!$A$2,I40='DICTIONARY-5'!$A$4,ISBLANK(I40)),VLOOKUP(H40,LIST!$A$6:$M$3250,CURR_2.SEARCH.OLD,0),VLOOKUP(I40,LIST!$B$6:$M$3250,CURR_2.SEARCH.NEW,0)),'DICTIONARY-5'!$A$2)</f>
        <v/>
      </c>
    </row>
    <row r="41" spans="1:11" x14ac:dyDescent="0.25">
      <c r="A41" s="156">
        <v>200</v>
      </c>
      <c r="B41" s="156">
        <v>10</v>
      </c>
      <c r="C41" s="156">
        <v>500</v>
      </c>
      <c r="D41" s="156" t="s">
        <v>1331</v>
      </c>
      <c r="E41" s="321" t="s">
        <v>4344</v>
      </c>
      <c r="F41" s="339" t="str">
        <f>IFERROR(IF(OR(E41='DICTIONARY-5'!$A$2,E41='DICTIONARY-5'!$A$4,ISBLANK(E41)),VLOOKUP(D41,LIST!$A$6:$L$3250,CURR_1.SEARCH.OLD,0),VLOOKUP(E41,LIST!$B$6:$L$3250,CURR_1.SEARCH.NEW,0)),'DICTIONARY-5'!$A$2)</f>
        <v>1 813,-</v>
      </c>
      <c r="G41" s="339" t="str">
        <f>IFERROR(IF(OR(E41='DICTIONARY-5'!$A$2,E41='DICTIONARY-5'!$A$4,ISBLANK(E41)),VLOOKUP(D41,LIST!$A$6:$M$3250,CURR_2.SEARCH.OLD,0),VLOOKUP(E41,LIST!$B$6:$M$3250,CURR_2.SEARCH.NEW,0)),'DICTIONARY-5'!$A$2)</f>
        <v/>
      </c>
      <c r="H41" s="156" t="s">
        <v>1332</v>
      </c>
      <c r="I41" s="321" t="s">
        <v>4345</v>
      </c>
      <c r="J41" s="339" t="str">
        <f>IFERROR(IF(OR(I41='DICTIONARY-5'!$A$2,I41='DICTIONARY-5'!$A$4,ISBLANK(I41)),VLOOKUP(H41,LIST!$A$6:$L$3250,CURR_1.SEARCH.OLD,0),VLOOKUP(I41,LIST!$B$6:$L$3250,CURR_1.SEARCH.NEW,0)),'DICTIONARY-5'!$A$2)</f>
        <v>1 813,-</v>
      </c>
      <c r="K41" s="339" t="str">
        <f>IFERROR(IF(OR(I41='DICTIONARY-5'!$A$2,I41='DICTIONARY-5'!$A$4,ISBLANK(I41)),VLOOKUP(H41,LIST!$A$6:$M$3250,CURR_2.SEARCH.OLD,0),VLOOKUP(I41,LIST!$B$6:$M$3250,CURR_2.SEARCH.NEW,0)),'DICTIONARY-5'!$A$2)</f>
        <v/>
      </c>
    </row>
    <row r="42" spans="1:11" x14ac:dyDescent="0.25">
      <c r="A42" s="156">
        <v>200</v>
      </c>
      <c r="B42" s="156">
        <v>16</v>
      </c>
      <c r="C42" s="156">
        <v>500</v>
      </c>
      <c r="D42" s="156" t="s">
        <v>1333</v>
      </c>
      <c r="E42" s="321" t="s">
        <v>4338</v>
      </c>
      <c r="F42" s="339" t="str">
        <f>IFERROR(IF(OR(E42='DICTIONARY-5'!$A$2,E42='DICTIONARY-5'!$A$4,ISBLANK(E42)),VLOOKUP(D42,LIST!$A$6:$L$3250,CURR_1.SEARCH.OLD,0),VLOOKUP(E42,LIST!$B$6:$L$3250,CURR_1.SEARCH.NEW,0)),'DICTIONARY-5'!$A$2)</f>
        <v>1 812,-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  <c r="H42" s="156" t="s">
        <v>1334</v>
      </c>
      <c r="I42" s="321" t="s">
        <v>4339</v>
      </c>
      <c r="J42" s="339" t="str">
        <f>IFERROR(IF(OR(I42='DICTIONARY-5'!$A$2,I42='DICTIONARY-5'!$A$4,ISBLANK(I42)),VLOOKUP(H42,LIST!$A$6:$L$3250,CURR_1.SEARCH.OLD,0),VLOOKUP(I42,LIST!$B$6:$L$3250,CURR_1.SEARCH.NEW,0)),'DICTIONARY-5'!$A$2)</f>
        <v>1 812,-</v>
      </c>
      <c r="K42" s="339" t="str">
        <f>IFERROR(IF(OR(I42='DICTIONARY-5'!$A$2,I42='DICTIONARY-5'!$A$4,ISBLANK(I42)),VLOOKUP(H42,LIST!$A$6:$M$3250,CURR_2.SEARCH.OLD,0),VLOOKUP(I42,LIST!$B$6:$M$3250,CURR_2.SEARCH.NEW,0)),'DICTIONARY-5'!$A$2)</f>
        <v/>
      </c>
    </row>
    <row r="43" spans="1:11" x14ac:dyDescent="0.25">
      <c r="A43" s="156">
        <v>250</v>
      </c>
      <c r="B43" s="156">
        <v>10</v>
      </c>
      <c r="C43" s="156">
        <v>600</v>
      </c>
      <c r="D43" s="156" t="s">
        <v>1335</v>
      </c>
      <c r="E43" s="321" t="s">
        <v>4346</v>
      </c>
      <c r="F43" s="339" t="str">
        <f>IFERROR(IF(OR(E43='DICTIONARY-5'!$A$2,E43='DICTIONARY-5'!$A$4,ISBLANK(E43)),VLOOKUP(D43,LIST!$A$6:$L$3250,CURR_1.SEARCH.OLD,0),VLOOKUP(E43,LIST!$B$6:$L$3250,CURR_1.SEARCH.NEW,0)),'DICTIONARY-5'!$A$2)</f>
        <v>3 195,-</v>
      </c>
      <c r="G43" s="339" t="str">
        <f>IFERROR(IF(OR(E43='DICTIONARY-5'!$A$2,E43='DICTIONARY-5'!$A$4,ISBLANK(E43)),VLOOKUP(D43,LIST!$A$6:$M$3250,CURR_2.SEARCH.OLD,0),VLOOKUP(E43,LIST!$B$6:$M$3250,CURR_2.SEARCH.NEW,0)),'DICTIONARY-5'!$A$2)</f>
        <v/>
      </c>
      <c r="H43" s="156" t="s">
        <v>1336</v>
      </c>
      <c r="I43" s="321" t="s">
        <v>4347</v>
      </c>
      <c r="J43" s="339" t="str">
        <f>IFERROR(IF(OR(I43='DICTIONARY-5'!$A$2,I43='DICTIONARY-5'!$A$4,ISBLANK(I43)),VLOOKUP(H43,LIST!$A$6:$L$3250,CURR_1.SEARCH.OLD,0),VLOOKUP(I43,LIST!$B$6:$L$3250,CURR_1.SEARCH.NEW,0)),'DICTIONARY-5'!$A$2)</f>
        <v>3 195,-</v>
      </c>
      <c r="K43" s="339" t="str">
        <f>IFERROR(IF(OR(I43='DICTIONARY-5'!$A$2,I43='DICTIONARY-5'!$A$4,ISBLANK(I43)),VLOOKUP(H43,LIST!$A$6:$M$3250,CURR_2.SEARCH.OLD,0),VLOOKUP(I43,LIST!$B$6:$M$3250,CURR_2.SEARCH.NEW,0)),'DICTIONARY-5'!$A$2)</f>
        <v/>
      </c>
    </row>
    <row r="44" spans="1:11" x14ac:dyDescent="0.25">
      <c r="A44" s="156">
        <v>250</v>
      </c>
      <c r="B44" s="156">
        <v>16</v>
      </c>
      <c r="C44" s="156">
        <v>600</v>
      </c>
      <c r="D44" s="156" t="s">
        <v>1337</v>
      </c>
      <c r="E44" s="321" t="s">
        <v>4340</v>
      </c>
      <c r="F44" s="339" t="str">
        <f>IFERROR(IF(OR(E44='DICTIONARY-5'!$A$2,E44='DICTIONARY-5'!$A$4,ISBLANK(E44)),VLOOKUP(D44,LIST!$A$6:$L$3250,CURR_1.SEARCH.OLD,0),VLOOKUP(E44,LIST!$B$6:$L$3250,CURR_1.SEARCH.NEW,0)),'DICTIONARY-5'!$A$2)</f>
        <v>3 195,-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  <c r="H44" s="156" t="s">
        <v>1338</v>
      </c>
      <c r="I44" s="321" t="s">
        <v>4341</v>
      </c>
      <c r="J44" s="339" t="str">
        <f>IFERROR(IF(OR(I44='DICTIONARY-5'!$A$2,I44='DICTIONARY-5'!$A$4,ISBLANK(I44)),VLOOKUP(H44,LIST!$A$6:$L$3250,CURR_1.SEARCH.OLD,0),VLOOKUP(I44,LIST!$B$6:$L$3250,CURR_1.SEARCH.NEW,0)),'DICTIONARY-5'!$A$2)</f>
        <v>3 195,-</v>
      </c>
      <c r="K44" s="339" t="str">
        <f>IFERROR(IF(OR(I44='DICTIONARY-5'!$A$2,I44='DICTIONARY-5'!$A$4,ISBLANK(I44)),VLOOKUP(H44,LIST!$A$6:$M$3250,CURR_2.SEARCH.OLD,0),VLOOKUP(I44,LIST!$B$6:$M$3250,CURR_2.SEARCH.NEW,0)),'DICTIONARY-5'!$A$2)</f>
        <v/>
      </c>
    </row>
    <row r="45" spans="1:11" x14ac:dyDescent="0.25">
      <c r="A45" s="156">
        <v>300</v>
      </c>
      <c r="B45" s="156">
        <v>10</v>
      </c>
      <c r="C45" s="156">
        <v>700</v>
      </c>
      <c r="D45" s="156" t="s">
        <v>1339</v>
      </c>
      <c r="E45" s="321" t="s">
        <v>4348</v>
      </c>
      <c r="F45" s="339" t="str">
        <f>IFERROR(IF(OR(E45='DICTIONARY-5'!$A$2,E45='DICTIONARY-5'!$A$4,ISBLANK(E45)),VLOOKUP(D45,LIST!$A$6:$L$3250,CURR_1.SEARCH.OLD,0),VLOOKUP(E45,LIST!$B$6:$L$3250,CURR_1.SEARCH.NEW,0)),'DICTIONARY-5'!$A$2)</f>
        <v>4 347,-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  <c r="H45" s="156" t="s">
        <v>1340</v>
      </c>
      <c r="I45" s="321" t="s">
        <v>4349</v>
      </c>
      <c r="J45" s="339" t="str">
        <f>IFERROR(IF(OR(I45='DICTIONARY-5'!$A$2,I45='DICTIONARY-5'!$A$4,ISBLANK(I45)),VLOOKUP(H45,LIST!$A$6:$L$3250,CURR_1.SEARCH.OLD,0),VLOOKUP(I45,LIST!$B$6:$L$3250,CURR_1.SEARCH.NEW,0)),'DICTIONARY-5'!$A$2)</f>
        <v>4 347,-</v>
      </c>
      <c r="K45" s="339" t="str">
        <f>IFERROR(IF(OR(I45='DICTIONARY-5'!$A$2,I45='DICTIONARY-5'!$A$4,ISBLANK(I45)),VLOOKUP(H45,LIST!$A$6:$M$3250,CURR_2.SEARCH.OLD,0),VLOOKUP(I45,LIST!$B$6:$M$3250,CURR_2.SEARCH.NEW,0)),'DICTIONARY-5'!$A$2)</f>
        <v/>
      </c>
    </row>
    <row r="46" spans="1:11" x14ac:dyDescent="0.25">
      <c r="A46" s="156">
        <v>300</v>
      </c>
      <c r="B46" s="156">
        <v>16</v>
      </c>
      <c r="C46" s="156">
        <v>700</v>
      </c>
      <c r="D46" s="156" t="s">
        <v>1341</v>
      </c>
      <c r="E46" s="321" t="s">
        <v>4342</v>
      </c>
      <c r="F46" s="339" t="str">
        <f>IFERROR(IF(OR(E46='DICTIONARY-5'!$A$2,E46='DICTIONARY-5'!$A$4,ISBLANK(E46)),VLOOKUP(D46,LIST!$A$6:$L$3250,CURR_1.SEARCH.OLD,0),VLOOKUP(E46,LIST!$B$6:$L$3250,CURR_1.SEARCH.NEW,0)),'DICTIONARY-5'!$A$2)</f>
        <v>4 347,-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  <c r="H46" s="156" t="s">
        <v>1342</v>
      </c>
      <c r="I46" s="321" t="s">
        <v>4343</v>
      </c>
      <c r="J46" s="339" t="str">
        <f>IFERROR(IF(OR(I46='DICTIONARY-5'!$A$2,I46='DICTIONARY-5'!$A$4,ISBLANK(I46)),VLOOKUP(H46,LIST!$A$6:$L$3250,CURR_1.SEARCH.OLD,0),VLOOKUP(I46,LIST!$B$6:$L$3250,CURR_1.SEARCH.NEW,0)),'DICTIONARY-5'!$A$2)</f>
        <v>4 347,-</v>
      </c>
      <c r="K46" s="339" t="str">
        <f>IFERROR(IF(OR(I46='DICTIONARY-5'!$A$2,I46='DICTIONARY-5'!$A$4,ISBLANK(I46)),VLOOKUP(H46,LIST!$A$6:$M$3250,CURR_2.SEARCH.OLD,0),VLOOKUP(I46,LIST!$B$6:$M$3250,CURR_2.SEARCH.NEW,0)),'DICTIONARY-5'!$A$2)</f>
        <v/>
      </c>
    </row>
    <row r="50" spans="1:11" ht="16.5" thickBot="1" x14ac:dyDescent="0.3">
      <c r="A50" s="712" t="str">
        <f>CONCATENATE('DICTIONARY-3'!$A$100," ",'DICTIONARY-3'!$A$200," / ",'DICTIONARY-3'!$A$314," ",'DICTIONARY-3'!$A$315)</f>
        <v>LIMU-STOP Zawór zwrotny / Z dźwignią i ciężarkiem i klatką ochronną</v>
      </c>
      <c r="B50" s="712"/>
      <c r="C50" s="712"/>
      <c r="D50" s="712"/>
      <c r="E50" s="712"/>
      <c r="F50" s="712"/>
      <c r="G50" s="712"/>
      <c r="H50" s="712"/>
      <c r="I50" s="712"/>
      <c r="J50" s="712"/>
      <c r="K50" s="712"/>
    </row>
    <row r="51" spans="1:11" x14ac:dyDescent="0.25">
      <c r="A51" s="150" t="str">
        <f>'DICTIONARY-3'!$A$307</f>
        <v>Ze skośnym siedziskiem</v>
      </c>
    </row>
    <row r="52" spans="1:11" x14ac:dyDescent="0.25">
      <c r="A52" s="168" t="str">
        <f>CONCATENATE('DICTIONARY-1'!$A$10,": ",SETTINGS!$C$58)</f>
        <v>Grupa rabatowa: LIMU-STOP</v>
      </c>
    </row>
    <row r="53" spans="1:11" x14ac:dyDescent="0.25">
      <c r="A53" s="151"/>
    </row>
    <row r="54" spans="1:11" ht="15" customHeight="1" x14ac:dyDescent="0.25">
      <c r="A54" s="152" t="str">
        <f>'DICTIONARY-2'!$A$2</f>
        <v>DN</v>
      </c>
      <c r="B54" s="152" t="str">
        <f>'DICTIONARY-2'!$A$3</f>
        <v>PN</v>
      </c>
      <c r="C54" s="152" t="str">
        <f>'DICTIONARY-2'!$A$24</f>
        <v>L</v>
      </c>
      <c r="D54" s="1004" t="str">
        <f>'DICTIONARY-3'!$A$100</f>
        <v>LIMU-STOP</v>
      </c>
      <c r="E54" s="1004"/>
      <c r="F54" s="1004"/>
      <c r="G54" s="1004"/>
      <c r="H54" s="1004" t="str">
        <f>'DICTIONARY-3'!$A$100</f>
        <v>LIMU-STOP</v>
      </c>
      <c r="I54" s="1004"/>
      <c r="J54" s="1004"/>
      <c r="K54" s="1004"/>
    </row>
    <row r="55" spans="1:11" ht="15" customHeight="1" x14ac:dyDescent="0.25">
      <c r="A55" s="153"/>
      <c r="B55" s="153"/>
      <c r="C55" s="153"/>
      <c r="D55" s="1007" t="str">
        <f>'DICTIONARY-5'!$A$138</f>
        <v>pozioma zabudowa</v>
      </c>
      <c r="E55" s="1007"/>
      <c r="F55" s="1007"/>
      <c r="G55" s="1007"/>
      <c r="H55" s="1007" t="str">
        <f>'DICTIONARY-5'!$A$139</f>
        <v>pionowa zabudowa</v>
      </c>
      <c r="I55" s="1007"/>
      <c r="J55" s="1007"/>
      <c r="K55" s="1007"/>
    </row>
    <row r="56" spans="1:11" x14ac:dyDescent="0.25">
      <c r="A56" s="153"/>
      <c r="B56" s="153"/>
      <c r="C56" s="153" t="str">
        <f>'DICTIONARY-2'!$A$18</f>
        <v>[mm]</v>
      </c>
      <c r="D56" s="154" t="str">
        <f>'DICTIONARY-2'!$A$28</f>
        <v>stary nr zamówienia</v>
      </c>
      <c r="E56" s="154" t="str">
        <f>'DICTIONARY-2'!$A$29</f>
        <v>nowy nr zamówienia</v>
      </c>
      <c r="F56" s="155" t="str">
        <f>CURRENCY.CODE_1</f>
        <v>EUR</v>
      </c>
      <c r="G56" s="155" t="str">
        <f>CURRENCY.CODE_2</f>
        <v>---</v>
      </c>
      <c r="H56" s="154" t="str">
        <f>'DICTIONARY-2'!$A$28</f>
        <v>stary nr zamówienia</v>
      </c>
      <c r="I56" s="154" t="str">
        <f>'DICTIONARY-2'!$A$29</f>
        <v>nowy nr zamówienia</v>
      </c>
      <c r="J56" s="155" t="str">
        <f>CURRENCY.CODE_1</f>
        <v>EUR</v>
      </c>
      <c r="K56" s="155" t="str">
        <f>CURRENCY.CODE_2</f>
        <v>---</v>
      </c>
    </row>
    <row r="57" spans="1:11" x14ac:dyDescent="0.25">
      <c r="A57" s="156">
        <v>50</v>
      </c>
      <c r="B57" s="156" t="s">
        <v>85</v>
      </c>
      <c r="C57" s="156">
        <v>200</v>
      </c>
      <c r="D57" s="156" t="s">
        <v>1343</v>
      </c>
      <c r="E57" s="321" t="s">
        <v>4350</v>
      </c>
      <c r="F57" s="339" t="str">
        <f>IFERROR(IF(OR(E57='DICTIONARY-5'!$A$2,E57='DICTIONARY-5'!$A$4,ISBLANK(E57)),VLOOKUP(D57,LIST!$A$6:$L$3250,CURR_1.SEARCH.OLD,0),VLOOKUP(E57,LIST!$B$6:$L$3250,CURR_1.SEARCH.NEW,0)),'DICTIONARY-5'!$A$2)</f>
        <v>708,-</v>
      </c>
      <c r="G57" s="339" t="str">
        <f>IFERROR(IF(OR(E57='DICTIONARY-5'!$A$2,E57='DICTIONARY-5'!$A$4,ISBLANK(E57)),VLOOKUP(D57,LIST!$A$6:$M$3250,CURR_2.SEARCH.OLD,0),VLOOKUP(E57,LIST!$B$6:$M$3250,CURR_2.SEARCH.NEW,0)),'DICTIONARY-5'!$A$2)</f>
        <v/>
      </c>
      <c r="H57" s="156" t="s">
        <v>1344</v>
      </c>
      <c r="I57" s="321" t="s">
        <v>4351</v>
      </c>
      <c r="J57" s="339" t="str">
        <f>IFERROR(IF(OR(I57='DICTIONARY-5'!$A$2,I57='DICTIONARY-5'!$A$4,ISBLANK(I57)),VLOOKUP(H57,LIST!$A$6:$L$3250,CURR_1.SEARCH.OLD,0),VLOOKUP(I57,LIST!$B$6:$L$3250,CURR_1.SEARCH.NEW,0)),'DICTIONARY-5'!$A$2)</f>
        <v>708,-</v>
      </c>
      <c r="K57" s="339" t="str">
        <f>IFERROR(IF(OR(I57='DICTIONARY-5'!$A$2,I57='DICTIONARY-5'!$A$4,ISBLANK(I57)),VLOOKUP(H57,LIST!$A$6:$M$3250,CURR_2.SEARCH.OLD,0),VLOOKUP(I57,LIST!$B$6:$M$3250,CURR_2.SEARCH.NEW,0)),'DICTIONARY-5'!$A$2)</f>
        <v/>
      </c>
    </row>
    <row r="58" spans="1:11" x14ac:dyDescent="0.25">
      <c r="A58" s="156">
        <v>65</v>
      </c>
      <c r="B58" s="156" t="s">
        <v>85</v>
      </c>
      <c r="C58" s="156">
        <v>240</v>
      </c>
      <c r="D58" s="156" t="s">
        <v>1345</v>
      </c>
      <c r="E58" s="321" t="s">
        <v>4352</v>
      </c>
      <c r="F58" s="339" t="str">
        <f>IFERROR(IF(OR(E58='DICTIONARY-5'!$A$2,E58='DICTIONARY-5'!$A$4,ISBLANK(E58)),VLOOKUP(D58,LIST!$A$6:$L$3250,CURR_1.SEARCH.OLD,0),VLOOKUP(E58,LIST!$B$6:$L$3250,CURR_1.SEARCH.NEW,0)),'DICTIONARY-5'!$A$2)</f>
        <v>768,-</v>
      </c>
      <c r="G58" s="339" t="str">
        <f>IFERROR(IF(OR(E58='DICTIONARY-5'!$A$2,E58='DICTIONARY-5'!$A$4,ISBLANK(E58)),VLOOKUP(D58,LIST!$A$6:$M$3250,CURR_2.SEARCH.OLD,0),VLOOKUP(E58,LIST!$B$6:$M$3250,CURR_2.SEARCH.NEW,0)),'DICTIONARY-5'!$A$2)</f>
        <v/>
      </c>
      <c r="H58" s="156" t="s">
        <v>1346</v>
      </c>
      <c r="I58" s="321" t="s">
        <v>4353</v>
      </c>
      <c r="J58" s="339" t="str">
        <f>IFERROR(IF(OR(I58='DICTIONARY-5'!$A$2,I58='DICTIONARY-5'!$A$4,ISBLANK(I58)),VLOOKUP(H58,LIST!$A$6:$L$3250,CURR_1.SEARCH.OLD,0),VLOOKUP(I58,LIST!$B$6:$L$3250,CURR_1.SEARCH.NEW,0)),'DICTIONARY-5'!$A$2)</f>
        <v>768,-</v>
      </c>
      <c r="K58" s="339" t="str">
        <f>IFERROR(IF(OR(I58='DICTIONARY-5'!$A$2,I58='DICTIONARY-5'!$A$4,ISBLANK(I58)),VLOOKUP(H58,LIST!$A$6:$M$3250,CURR_2.SEARCH.OLD,0),VLOOKUP(I58,LIST!$B$6:$M$3250,CURR_2.SEARCH.NEW,0)),'DICTIONARY-5'!$A$2)</f>
        <v/>
      </c>
    </row>
    <row r="59" spans="1:11" x14ac:dyDescent="0.25">
      <c r="A59" s="156">
        <v>80</v>
      </c>
      <c r="B59" s="156" t="s">
        <v>85</v>
      </c>
      <c r="C59" s="156">
        <v>260</v>
      </c>
      <c r="D59" s="156" t="s">
        <v>1347</v>
      </c>
      <c r="E59" s="321" t="s">
        <v>4354</v>
      </c>
      <c r="F59" s="339" t="str">
        <f>IFERROR(IF(OR(E59='DICTIONARY-5'!$A$2,E59='DICTIONARY-5'!$A$4,ISBLANK(E59)),VLOOKUP(D59,LIST!$A$6:$L$3250,CURR_1.SEARCH.OLD,0),VLOOKUP(E59,LIST!$B$6:$L$3250,CURR_1.SEARCH.NEW,0)),'DICTIONARY-5'!$A$2)</f>
        <v>825,-</v>
      </c>
      <c r="G59" s="339" t="str">
        <f>IFERROR(IF(OR(E59='DICTIONARY-5'!$A$2,E59='DICTIONARY-5'!$A$4,ISBLANK(E59)),VLOOKUP(D59,LIST!$A$6:$M$3250,CURR_2.SEARCH.OLD,0),VLOOKUP(E59,LIST!$B$6:$M$3250,CURR_2.SEARCH.NEW,0)),'DICTIONARY-5'!$A$2)</f>
        <v/>
      </c>
      <c r="H59" s="156" t="s">
        <v>1348</v>
      </c>
      <c r="I59" s="321" t="s">
        <v>4355</v>
      </c>
      <c r="J59" s="339" t="str">
        <f>IFERROR(IF(OR(I59='DICTIONARY-5'!$A$2,I59='DICTIONARY-5'!$A$4,ISBLANK(I59)),VLOOKUP(H59,LIST!$A$6:$L$3250,CURR_1.SEARCH.OLD,0),VLOOKUP(I59,LIST!$B$6:$L$3250,CURR_1.SEARCH.NEW,0)),'DICTIONARY-5'!$A$2)</f>
        <v>825,-</v>
      </c>
      <c r="K59" s="339" t="str">
        <f>IFERROR(IF(OR(I59='DICTIONARY-5'!$A$2,I59='DICTIONARY-5'!$A$4,ISBLANK(I59)),VLOOKUP(H59,LIST!$A$6:$M$3250,CURR_2.SEARCH.OLD,0),VLOOKUP(I59,LIST!$B$6:$M$3250,CURR_2.SEARCH.NEW,0)),'DICTIONARY-5'!$A$2)</f>
        <v/>
      </c>
    </row>
    <row r="60" spans="1:11" x14ac:dyDescent="0.25">
      <c r="A60" s="156">
        <v>100</v>
      </c>
      <c r="B60" s="156" t="s">
        <v>85</v>
      </c>
      <c r="C60" s="156">
        <v>300</v>
      </c>
      <c r="D60" s="156" t="s">
        <v>1349</v>
      </c>
      <c r="E60" s="321" t="s">
        <v>4356</v>
      </c>
      <c r="F60" s="339" t="str">
        <f>IFERROR(IF(OR(E60='DICTIONARY-5'!$A$2,E60='DICTIONARY-5'!$A$4,ISBLANK(E60)),VLOOKUP(D60,LIST!$A$6:$L$3250,CURR_1.SEARCH.OLD,0),VLOOKUP(E60,LIST!$B$6:$L$3250,CURR_1.SEARCH.NEW,0)),'DICTIONARY-5'!$A$2)</f>
        <v>903,-</v>
      </c>
      <c r="G60" s="339" t="str">
        <f>IFERROR(IF(OR(E60='DICTIONARY-5'!$A$2,E60='DICTIONARY-5'!$A$4,ISBLANK(E60)),VLOOKUP(D60,LIST!$A$6:$M$3250,CURR_2.SEARCH.OLD,0),VLOOKUP(E60,LIST!$B$6:$M$3250,CURR_2.SEARCH.NEW,0)),'DICTIONARY-5'!$A$2)</f>
        <v/>
      </c>
      <c r="H60" s="156" t="s">
        <v>1350</v>
      </c>
      <c r="I60" s="321" t="s">
        <v>4357</v>
      </c>
      <c r="J60" s="339" t="str">
        <f>IFERROR(IF(OR(I60='DICTIONARY-5'!$A$2,I60='DICTIONARY-5'!$A$4,ISBLANK(I60)),VLOOKUP(H60,LIST!$A$6:$L$3250,CURR_1.SEARCH.OLD,0),VLOOKUP(I60,LIST!$B$6:$L$3250,CURR_1.SEARCH.NEW,0)),'DICTIONARY-5'!$A$2)</f>
        <v>903,-</v>
      </c>
      <c r="K60" s="339" t="str">
        <f>IFERROR(IF(OR(I60='DICTIONARY-5'!$A$2,I60='DICTIONARY-5'!$A$4,ISBLANK(I60)),VLOOKUP(H60,LIST!$A$6:$M$3250,CURR_2.SEARCH.OLD,0),VLOOKUP(I60,LIST!$B$6:$M$3250,CURR_2.SEARCH.NEW,0)),'DICTIONARY-5'!$A$2)</f>
        <v/>
      </c>
    </row>
    <row r="61" spans="1:11" x14ac:dyDescent="0.25">
      <c r="A61" s="156">
        <v>125</v>
      </c>
      <c r="B61" s="156" t="s">
        <v>85</v>
      </c>
      <c r="C61" s="156">
        <v>350</v>
      </c>
      <c r="D61" s="156" t="s">
        <v>1351</v>
      </c>
      <c r="E61" s="321" t="s">
        <v>4358</v>
      </c>
      <c r="F61" s="339" t="str">
        <f>IFERROR(IF(OR(E61='DICTIONARY-5'!$A$2,E61='DICTIONARY-5'!$A$4,ISBLANK(E61)),VLOOKUP(D61,LIST!$A$6:$L$3250,CURR_1.SEARCH.OLD,0),VLOOKUP(E61,LIST!$B$6:$L$3250,CURR_1.SEARCH.NEW,0)),'DICTIONARY-5'!$A$2)</f>
        <v>1 256,-</v>
      </c>
      <c r="G61" s="339" t="str">
        <f>IFERROR(IF(OR(E61='DICTIONARY-5'!$A$2,E61='DICTIONARY-5'!$A$4,ISBLANK(E61)),VLOOKUP(D61,LIST!$A$6:$M$3250,CURR_2.SEARCH.OLD,0),VLOOKUP(E61,LIST!$B$6:$M$3250,CURR_2.SEARCH.NEW,0)),'DICTIONARY-5'!$A$2)</f>
        <v/>
      </c>
      <c r="H61" s="156" t="s">
        <v>1352</v>
      </c>
      <c r="I61" s="321" t="s">
        <v>4359</v>
      </c>
      <c r="J61" s="339" t="str">
        <f>IFERROR(IF(OR(I61='DICTIONARY-5'!$A$2,I61='DICTIONARY-5'!$A$4,ISBLANK(I61)),VLOOKUP(H61,LIST!$A$6:$L$3250,CURR_1.SEARCH.OLD,0),VLOOKUP(I61,LIST!$B$6:$L$3250,CURR_1.SEARCH.NEW,0)),'DICTIONARY-5'!$A$2)</f>
        <v>1 256,-</v>
      </c>
      <c r="K61" s="339" t="str">
        <f>IFERROR(IF(OR(I61='DICTIONARY-5'!$A$2,I61='DICTIONARY-5'!$A$4,ISBLANK(I61)),VLOOKUP(H61,LIST!$A$6:$M$3250,CURR_2.SEARCH.OLD,0),VLOOKUP(I61,LIST!$B$6:$M$3250,CURR_2.SEARCH.NEW,0)),'DICTIONARY-5'!$A$2)</f>
        <v/>
      </c>
    </row>
    <row r="62" spans="1:11" x14ac:dyDescent="0.25">
      <c r="A62" s="156">
        <v>150</v>
      </c>
      <c r="B62" s="156" t="s">
        <v>85</v>
      </c>
      <c r="C62" s="156">
        <v>400</v>
      </c>
      <c r="D62" s="156" t="s">
        <v>1353</v>
      </c>
      <c r="E62" s="321" t="s">
        <v>4360</v>
      </c>
      <c r="F62" s="339" t="str">
        <f>IFERROR(IF(OR(E62='DICTIONARY-5'!$A$2,E62='DICTIONARY-5'!$A$4,ISBLANK(E62)),VLOOKUP(D62,LIST!$A$6:$L$3250,CURR_1.SEARCH.OLD,0),VLOOKUP(E62,LIST!$B$6:$L$3250,CURR_1.SEARCH.NEW,0)),'DICTIONARY-5'!$A$2)</f>
        <v>1 507,-</v>
      </c>
      <c r="G62" s="339" t="str">
        <f>IFERROR(IF(OR(E62='DICTIONARY-5'!$A$2,E62='DICTIONARY-5'!$A$4,ISBLANK(E62)),VLOOKUP(D62,LIST!$A$6:$M$3250,CURR_2.SEARCH.OLD,0),VLOOKUP(E62,LIST!$B$6:$M$3250,CURR_2.SEARCH.NEW,0)),'DICTIONARY-5'!$A$2)</f>
        <v/>
      </c>
      <c r="H62" s="156" t="s">
        <v>1354</v>
      </c>
      <c r="I62" s="321" t="s">
        <v>4361</v>
      </c>
      <c r="J62" s="339" t="str">
        <f>IFERROR(IF(OR(I62='DICTIONARY-5'!$A$2,I62='DICTIONARY-5'!$A$4,ISBLANK(I62)),VLOOKUP(H62,LIST!$A$6:$L$3250,CURR_1.SEARCH.OLD,0),VLOOKUP(I62,LIST!$B$6:$L$3250,CURR_1.SEARCH.NEW,0)),'DICTIONARY-5'!$A$2)</f>
        <v>1 507,-</v>
      </c>
      <c r="K62" s="339" t="str">
        <f>IFERROR(IF(OR(I62='DICTIONARY-5'!$A$2,I62='DICTIONARY-5'!$A$4,ISBLANK(I62)),VLOOKUP(H62,LIST!$A$6:$M$3250,CURR_2.SEARCH.OLD,0),VLOOKUP(I62,LIST!$B$6:$M$3250,CURR_2.SEARCH.NEW,0)),'DICTIONARY-5'!$A$2)</f>
        <v/>
      </c>
    </row>
    <row r="63" spans="1:11" x14ac:dyDescent="0.25">
      <c r="A63" s="156">
        <v>200</v>
      </c>
      <c r="B63" s="156">
        <v>10</v>
      </c>
      <c r="C63" s="156">
        <v>500</v>
      </c>
      <c r="D63" s="156" t="s">
        <v>1355</v>
      </c>
      <c r="E63" s="321" t="s">
        <v>4368</v>
      </c>
      <c r="F63" s="339" t="str">
        <f>IFERROR(IF(OR(E63='DICTIONARY-5'!$A$2,E63='DICTIONARY-5'!$A$4,ISBLANK(E63)),VLOOKUP(D63,LIST!$A$6:$L$3250,CURR_1.SEARCH.OLD,0),VLOOKUP(E63,LIST!$B$6:$L$3250,CURR_1.SEARCH.NEW,0)),'DICTIONARY-5'!$A$2)</f>
        <v>2 076,-</v>
      </c>
      <c r="G63" s="339" t="str">
        <f>IFERROR(IF(OR(E63='DICTIONARY-5'!$A$2,E63='DICTIONARY-5'!$A$4,ISBLANK(E63)),VLOOKUP(D63,LIST!$A$6:$M$3250,CURR_2.SEARCH.OLD,0),VLOOKUP(E63,LIST!$B$6:$M$3250,CURR_2.SEARCH.NEW,0)),'DICTIONARY-5'!$A$2)</f>
        <v/>
      </c>
      <c r="H63" s="156" t="s">
        <v>1356</v>
      </c>
      <c r="I63" s="321" t="s">
        <v>4369</v>
      </c>
      <c r="J63" s="339" t="str">
        <f>IFERROR(IF(OR(I63='DICTIONARY-5'!$A$2,I63='DICTIONARY-5'!$A$4,ISBLANK(I63)),VLOOKUP(H63,LIST!$A$6:$L$3250,CURR_1.SEARCH.OLD,0),VLOOKUP(I63,LIST!$B$6:$L$3250,CURR_1.SEARCH.NEW,0)),'DICTIONARY-5'!$A$2)</f>
        <v>2 076,-</v>
      </c>
      <c r="K63" s="339" t="str">
        <f>IFERROR(IF(OR(I63='DICTIONARY-5'!$A$2,I63='DICTIONARY-5'!$A$4,ISBLANK(I63)),VLOOKUP(H63,LIST!$A$6:$M$3250,CURR_2.SEARCH.OLD,0),VLOOKUP(I63,LIST!$B$6:$M$3250,CURR_2.SEARCH.NEW,0)),'DICTIONARY-5'!$A$2)</f>
        <v/>
      </c>
    </row>
    <row r="64" spans="1:11" x14ac:dyDescent="0.25">
      <c r="A64" s="156">
        <v>200</v>
      </c>
      <c r="B64" s="156">
        <v>16</v>
      </c>
      <c r="C64" s="156">
        <v>500</v>
      </c>
      <c r="D64" s="156" t="s">
        <v>1357</v>
      </c>
      <c r="E64" s="321" t="s">
        <v>4362</v>
      </c>
      <c r="F64" s="339" t="str">
        <f>IFERROR(IF(OR(E64='DICTIONARY-5'!$A$2,E64='DICTIONARY-5'!$A$4,ISBLANK(E64)),VLOOKUP(D64,LIST!$A$6:$L$3250,CURR_1.SEARCH.OLD,0),VLOOKUP(E64,LIST!$B$6:$L$3250,CURR_1.SEARCH.NEW,0)),'DICTIONARY-5'!$A$2)</f>
        <v>2 075,-</v>
      </c>
      <c r="G64" s="339" t="str">
        <f>IFERROR(IF(OR(E64='DICTIONARY-5'!$A$2,E64='DICTIONARY-5'!$A$4,ISBLANK(E64)),VLOOKUP(D64,LIST!$A$6:$M$3250,CURR_2.SEARCH.OLD,0),VLOOKUP(E64,LIST!$B$6:$M$3250,CURR_2.SEARCH.NEW,0)),'DICTIONARY-5'!$A$2)</f>
        <v/>
      </c>
      <c r="H64" s="156" t="s">
        <v>1358</v>
      </c>
      <c r="I64" s="321" t="s">
        <v>4363</v>
      </c>
      <c r="J64" s="339" t="str">
        <f>IFERROR(IF(OR(I64='DICTIONARY-5'!$A$2,I64='DICTIONARY-5'!$A$4,ISBLANK(I64)),VLOOKUP(H64,LIST!$A$6:$L$3250,CURR_1.SEARCH.OLD,0),VLOOKUP(I64,LIST!$B$6:$L$3250,CURR_1.SEARCH.NEW,0)),'DICTIONARY-5'!$A$2)</f>
        <v>2 075,-</v>
      </c>
      <c r="K64" s="339" t="str">
        <f>IFERROR(IF(OR(I64='DICTIONARY-5'!$A$2,I64='DICTIONARY-5'!$A$4,ISBLANK(I64)),VLOOKUP(H64,LIST!$A$6:$M$3250,CURR_2.SEARCH.OLD,0),VLOOKUP(I64,LIST!$B$6:$M$3250,CURR_2.SEARCH.NEW,0)),'DICTIONARY-5'!$A$2)</f>
        <v/>
      </c>
    </row>
    <row r="65" spans="1:11" x14ac:dyDescent="0.25">
      <c r="A65" s="156">
        <v>250</v>
      </c>
      <c r="B65" s="156">
        <v>10</v>
      </c>
      <c r="C65" s="156">
        <v>600</v>
      </c>
      <c r="D65" s="156" t="s">
        <v>1359</v>
      </c>
      <c r="E65" s="321" t="s">
        <v>4370</v>
      </c>
      <c r="F65" s="339" t="str">
        <f>IFERROR(IF(OR(E65='DICTIONARY-5'!$A$2,E65='DICTIONARY-5'!$A$4,ISBLANK(E65)),VLOOKUP(D65,LIST!$A$6:$L$3250,CURR_1.SEARCH.OLD,0),VLOOKUP(E65,LIST!$B$6:$L$3250,CURR_1.SEARCH.NEW,0)),'DICTIONARY-5'!$A$2)</f>
        <v>3 515,-</v>
      </c>
      <c r="G65" s="339" t="str">
        <f>IFERROR(IF(OR(E65='DICTIONARY-5'!$A$2,E65='DICTIONARY-5'!$A$4,ISBLANK(E65)),VLOOKUP(D65,LIST!$A$6:$M$3250,CURR_2.SEARCH.OLD,0),VLOOKUP(E65,LIST!$B$6:$M$3250,CURR_2.SEARCH.NEW,0)),'DICTIONARY-5'!$A$2)</f>
        <v/>
      </c>
      <c r="H65" s="156" t="s">
        <v>1360</v>
      </c>
      <c r="I65" s="321" t="s">
        <v>4371</v>
      </c>
      <c r="J65" s="339" t="str">
        <f>IFERROR(IF(OR(I65='DICTIONARY-5'!$A$2,I65='DICTIONARY-5'!$A$4,ISBLANK(I65)),VLOOKUP(H65,LIST!$A$6:$L$3250,CURR_1.SEARCH.OLD,0),VLOOKUP(I65,LIST!$B$6:$L$3250,CURR_1.SEARCH.NEW,0)),'DICTIONARY-5'!$A$2)</f>
        <v>3 515,-</v>
      </c>
      <c r="K65" s="339" t="str">
        <f>IFERROR(IF(OR(I65='DICTIONARY-5'!$A$2,I65='DICTIONARY-5'!$A$4,ISBLANK(I65)),VLOOKUP(H65,LIST!$A$6:$M$3250,CURR_2.SEARCH.OLD,0),VLOOKUP(I65,LIST!$B$6:$M$3250,CURR_2.SEARCH.NEW,0)),'DICTIONARY-5'!$A$2)</f>
        <v/>
      </c>
    </row>
    <row r="66" spans="1:11" x14ac:dyDescent="0.25">
      <c r="A66" s="156">
        <v>250</v>
      </c>
      <c r="B66" s="156">
        <v>16</v>
      </c>
      <c r="C66" s="156">
        <v>600</v>
      </c>
      <c r="D66" s="156" t="s">
        <v>1361</v>
      </c>
      <c r="E66" s="321" t="s">
        <v>4364</v>
      </c>
      <c r="F66" s="339" t="str">
        <f>IFERROR(IF(OR(E66='DICTIONARY-5'!$A$2,E66='DICTIONARY-5'!$A$4,ISBLANK(E66)),VLOOKUP(D66,LIST!$A$6:$L$3250,CURR_1.SEARCH.OLD,0),VLOOKUP(E66,LIST!$B$6:$L$3250,CURR_1.SEARCH.NEW,0)),'DICTIONARY-5'!$A$2)</f>
        <v>3 515,-</v>
      </c>
      <c r="G66" s="339" t="str">
        <f>IFERROR(IF(OR(E66='DICTIONARY-5'!$A$2,E66='DICTIONARY-5'!$A$4,ISBLANK(E66)),VLOOKUP(D66,LIST!$A$6:$M$3250,CURR_2.SEARCH.OLD,0),VLOOKUP(E66,LIST!$B$6:$M$3250,CURR_2.SEARCH.NEW,0)),'DICTIONARY-5'!$A$2)</f>
        <v/>
      </c>
      <c r="H66" s="156" t="s">
        <v>1362</v>
      </c>
      <c r="I66" s="321" t="s">
        <v>4365</v>
      </c>
      <c r="J66" s="339" t="str">
        <f>IFERROR(IF(OR(I66='DICTIONARY-5'!$A$2,I66='DICTIONARY-5'!$A$4,ISBLANK(I66)),VLOOKUP(H66,LIST!$A$6:$L$3250,CURR_1.SEARCH.OLD,0),VLOOKUP(I66,LIST!$B$6:$L$3250,CURR_1.SEARCH.NEW,0)),'DICTIONARY-5'!$A$2)</f>
        <v>3 515,-</v>
      </c>
      <c r="K66" s="339" t="str">
        <f>IFERROR(IF(OR(I66='DICTIONARY-5'!$A$2,I66='DICTIONARY-5'!$A$4,ISBLANK(I66)),VLOOKUP(H66,LIST!$A$6:$M$3250,CURR_2.SEARCH.OLD,0),VLOOKUP(I66,LIST!$B$6:$M$3250,CURR_2.SEARCH.NEW,0)),'DICTIONARY-5'!$A$2)</f>
        <v/>
      </c>
    </row>
    <row r="67" spans="1:11" x14ac:dyDescent="0.25">
      <c r="A67" s="156">
        <v>300</v>
      </c>
      <c r="B67" s="156">
        <v>10</v>
      </c>
      <c r="C67" s="156">
        <v>700</v>
      </c>
      <c r="D67" s="156" t="s">
        <v>1363</v>
      </c>
      <c r="E67" s="321" t="s">
        <v>4372</v>
      </c>
      <c r="F67" s="339" t="str">
        <f>IFERROR(IF(OR(E67='DICTIONARY-5'!$A$2,E67='DICTIONARY-5'!$A$4,ISBLANK(E67)),VLOOKUP(D67,LIST!$A$6:$L$3250,CURR_1.SEARCH.OLD,0),VLOOKUP(E67,LIST!$B$6:$L$3250,CURR_1.SEARCH.NEW,0)),'DICTIONARY-5'!$A$2)</f>
        <v>4 697,-</v>
      </c>
      <c r="G67" s="339" t="str">
        <f>IFERROR(IF(OR(E67='DICTIONARY-5'!$A$2,E67='DICTIONARY-5'!$A$4,ISBLANK(E67)),VLOOKUP(D67,LIST!$A$6:$M$3250,CURR_2.SEARCH.OLD,0),VLOOKUP(E67,LIST!$B$6:$M$3250,CURR_2.SEARCH.NEW,0)),'DICTIONARY-5'!$A$2)</f>
        <v/>
      </c>
      <c r="H67" s="156" t="s">
        <v>1364</v>
      </c>
      <c r="I67" s="321" t="s">
        <v>4373</v>
      </c>
      <c r="J67" s="339" t="str">
        <f>IFERROR(IF(OR(I67='DICTIONARY-5'!$A$2,I67='DICTIONARY-5'!$A$4,ISBLANK(I67)),VLOOKUP(H67,LIST!$A$6:$L$3250,CURR_1.SEARCH.OLD,0),VLOOKUP(I67,LIST!$B$6:$L$3250,CURR_1.SEARCH.NEW,0)),'DICTIONARY-5'!$A$2)</f>
        <v>4 699,-</v>
      </c>
      <c r="K67" s="339" t="str">
        <f>IFERROR(IF(OR(I67='DICTIONARY-5'!$A$2,I67='DICTIONARY-5'!$A$4,ISBLANK(I67)),VLOOKUP(H67,LIST!$A$6:$M$3250,CURR_2.SEARCH.OLD,0),VLOOKUP(I67,LIST!$B$6:$M$3250,CURR_2.SEARCH.NEW,0)),'DICTIONARY-5'!$A$2)</f>
        <v/>
      </c>
    </row>
    <row r="68" spans="1:11" x14ac:dyDescent="0.25">
      <c r="A68" s="156">
        <v>300</v>
      </c>
      <c r="B68" s="156">
        <v>16</v>
      </c>
      <c r="C68" s="156">
        <v>700</v>
      </c>
      <c r="D68" s="156" t="s">
        <v>1365</v>
      </c>
      <c r="E68" s="321" t="s">
        <v>4366</v>
      </c>
      <c r="F68" s="339" t="str">
        <f>IFERROR(IF(OR(E68='DICTIONARY-5'!$A$2,E68='DICTIONARY-5'!$A$4,ISBLANK(E68)),VLOOKUP(D68,LIST!$A$6:$L$3250,CURR_1.SEARCH.OLD,0),VLOOKUP(E68,LIST!$B$6:$L$3250,CURR_1.SEARCH.NEW,0)),'DICTIONARY-5'!$A$2)</f>
        <v>4 697,-</v>
      </c>
      <c r="G68" s="339" t="str">
        <f>IFERROR(IF(OR(E68='DICTIONARY-5'!$A$2,E68='DICTIONARY-5'!$A$4,ISBLANK(E68)),VLOOKUP(D68,LIST!$A$6:$M$3250,CURR_2.SEARCH.OLD,0),VLOOKUP(E68,LIST!$B$6:$M$3250,CURR_2.SEARCH.NEW,0)),'DICTIONARY-5'!$A$2)</f>
        <v/>
      </c>
      <c r="H68" s="156" t="s">
        <v>1366</v>
      </c>
      <c r="I68" s="321" t="s">
        <v>4367</v>
      </c>
      <c r="J68" s="339" t="str">
        <f>IFERROR(IF(OR(I68='DICTIONARY-5'!$A$2,I68='DICTIONARY-5'!$A$4,ISBLANK(I68)),VLOOKUP(H68,LIST!$A$6:$L$3250,CURR_1.SEARCH.OLD,0),VLOOKUP(I68,LIST!$B$6:$L$3250,CURR_1.SEARCH.NEW,0)),'DICTIONARY-5'!$A$2)</f>
        <v>4 669,-</v>
      </c>
      <c r="K68" s="339" t="str">
        <f>IFERROR(IF(OR(I68='DICTIONARY-5'!$A$2,I68='DICTIONARY-5'!$A$4,ISBLANK(I68)),VLOOKUP(H68,LIST!$A$6:$M$3250,CURR_2.SEARCH.OLD,0),VLOOKUP(I68,LIST!$B$6:$M$3250,CURR_2.SEARCH.NEW,0)),'DICTIONARY-5'!$A$2)</f>
        <v/>
      </c>
    </row>
  </sheetData>
  <sheetProtection algorithmName="SHA-512" hashValue="dnfW+ZclDdTlsLsMMpGvDPd+oLyhiql5k0ctpVkjd1hy4rWuERZ/aCiT0yTGPLkx4zoSzwD9b5ZSrMPF1aRcwA==" saltValue="PxepgAqmckge9iX7AF9v2g==" spinCount="100000" sheet="1" objects="1" scenarios="1" autoFilter="0"/>
  <mergeCells count="11">
    <mergeCell ref="B4:E4"/>
    <mergeCell ref="D55:G55"/>
    <mergeCell ref="H55:K55"/>
    <mergeCell ref="D10:G10"/>
    <mergeCell ref="D32:G32"/>
    <mergeCell ref="H32:K32"/>
    <mergeCell ref="D54:G54"/>
    <mergeCell ref="H54:K54"/>
    <mergeCell ref="D33:G33"/>
    <mergeCell ref="H33:K33"/>
    <mergeCell ref="D11:G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6">
    <tabColor rgb="FFFFC000"/>
  </sheetPr>
  <dimension ref="A1:G21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16384" width="9.140625" style="146"/>
  </cols>
  <sheetData>
    <row r="1" spans="1:7" s="408" customFormat="1" ht="45" customHeight="1" thickBot="1" x14ac:dyDescent="0.3">
      <c r="A1" s="430"/>
      <c r="B1" s="430"/>
      <c r="C1" s="430"/>
      <c r="D1" s="430"/>
      <c r="E1" s="410"/>
      <c r="F1" s="409"/>
      <c r="G1" s="409"/>
    </row>
    <row r="2" spans="1:7" s="467" customFormat="1" ht="4.5" customHeight="1" x14ac:dyDescent="0.25">
      <c r="A2" s="466"/>
      <c r="B2" s="468"/>
      <c r="C2" s="468"/>
      <c r="D2" s="468"/>
      <c r="E2" s="468"/>
      <c r="F2" s="469"/>
      <c r="G2" s="469"/>
    </row>
    <row r="3" spans="1:7" ht="15.75" thickBot="1" x14ac:dyDescent="0.3">
      <c r="A3" s="147"/>
      <c r="B3" s="148"/>
      <c r="C3" s="148"/>
    </row>
    <row r="4" spans="1:7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7" x14ac:dyDescent="0.25">
      <c r="A5" s="147"/>
      <c r="B5" s="148"/>
      <c r="C5" s="148"/>
    </row>
    <row r="6" spans="1:7" ht="16.5" thickBot="1" x14ac:dyDescent="0.3">
      <c r="A6" s="712" t="str">
        <f>CONCATENATE('DICTIONARY-3'!$A$101," ",'DICTIONARY-3'!$A$201,)</f>
        <v>KRV Zawór zwrotny</v>
      </c>
      <c r="B6" s="712"/>
      <c r="C6" s="712"/>
      <c r="D6" s="712"/>
      <c r="E6" s="712"/>
      <c r="F6" s="712"/>
      <c r="G6" s="712"/>
    </row>
    <row r="7" spans="1:7" x14ac:dyDescent="0.25">
      <c r="A7" s="168" t="str">
        <f>CONCATENATE('DICTIONARY-1'!$A$10,": ",SETTINGS!$C$51)</f>
        <v>Grupa rabatowa: KRV</v>
      </c>
    </row>
    <row r="8" spans="1:7" x14ac:dyDescent="0.25">
      <c r="A8" s="151"/>
    </row>
    <row r="9" spans="1:7" x14ac:dyDescent="0.25">
      <c r="A9" s="152" t="str">
        <f>'DICTIONARY-2'!$A$2</f>
        <v>DN</v>
      </c>
      <c r="B9" s="152" t="str">
        <f>'DICTIONARY-2'!$A$3</f>
        <v>PN</v>
      </c>
      <c r="C9" s="152" t="str">
        <f>'DICTIONARY-2'!$A$24</f>
        <v>L</v>
      </c>
      <c r="D9" s="1016" t="str">
        <f>'DICTIONARY-3'!$A$101</f>
        <v>KRV</v>
      </c>
      <c r="E9" s="1004"/>
      <c r="F9" s="1004"/>
      <c r="G9" s="1004"/>
    </row>
    <row r="10" spans="1:7" x14ac:dyDescent="0.25">
      <c r="A10" s="153"/>
      <c r="B10" s="153"/>
      <c r="C10" s="153"/>
      <c r="D10" s="1007"/>
      <c r="E10" s="1007"/>
      <c r="F10" s="1007"/>
      <c r="G10" s="1007"/>
    </row>
    <row r="11" spans="1:7" x14ac:dyDescent="0.25">
      <c r="A11" s="160"/>
      <c r="B11" s="160"/>
      <c r="C11" s="160" t="str">
        <f>'DICTIONARY-2'!$A$18</f>
        <v>[mm]</v>
      </c>
      <c r="D11" s="161" t="str">
        <f>'DICTIONARY-2'!$A$28</f>
        <v>stary nr zamówienia</v>
      </c>
      <c r="E11" s="161" t="str">
        <f>'DICTIONARY-2'!$A$29</f>
        <v>nowy nr zamówienia</v>
      </c>
      <c r="F11" s="155" t="str">
        <f>CURRENCY.CODE_1</f>
        <v>EUR</v>
      </c>
      <c r="G11" s="155" t="str">
        <f>CURRENCY.CODE_2</f>
        <v>---</v>
      </c>
    </row>
    <row r="12" spans="1:7" x14ac:dyDescent="0.25">
      <c r="A12" s="156">
        <v>50</v>
      </c>
      <c r="B12" s="156" t="s">
        <v>85</v>
      </c>
      <c r="C12" s="156">
        <v>200</v>
      </c>
      <c r="D12" s="156" t="s">
        <v>1367</v>
      </c>
      <c r="E12" s="321" t="s">
        <v>4460</v>
      </c>
      <c r="F12" s="339" t="str">
        <f>IFERROR(IF(OR(E12='DICTIONARY-5'!$A$2,E12='DICTIONARY-5'!$A$4,ISBLANK(E12)),VLOOKUP(D12,LIST!$A$6:$L$3250,CURR_1.SEARCH.OLD,0),VLOOKUP(E12,LIST!$B$6:$L$3250,CURR_1.SEARCH.NEW,0)),'DICTIONARY-5'!$A$2)</f>
        <v>139,-</v>
      </c>
      <c r="G12" s="339" t="str">
        <f>IFERROR(IF(OR(E12='DICTIONARY-5'!$A$2,E12='DICTIONARY-5'!$A$4,ISBLANK(E12)),VLOOKUP(D12,LIST!$A$6:$M$3250,CURR_2.SEARCH.OLD,0),VLOOKUP(E12,LIST!$B$6:$M$3250,CURR_2.SEARCH.NEW,0)),'DICTIONARY-5'!$A$2)</f>
        <v/>
      </c>
    </row>
    <row r="13" spans="1:7" x14ac:dyDescent="0.25">
      <c r="A13" s="156">
        <v>65</v>
      </c>
      <c r="B13" s="156" t="s">
        <v>85</v>
      </c>
      <c r="C13" s="156">
        <v>240</v>
      </c>
      <c r="D13" s="156" t="s">
        <v>1368</v>
      </c>
      <c r="E13" s="321" t="s">
        <v>4461</v>
      </c>
      <c r="F13" s="339" t="str">
        <f>IFERROR(IF(OR(E13='DICTIONARY-5'!$A$2,E13='DICTIONARY-5'!$A$4,ISBLANK(E13)),VLOOKUP(D13,LIST!$A$6:$L$3250,CURR_1.SEARCH.OLD,0),VLOOKUP(E13,LIST!$B$6:$L$3250,CURR_1.SEARCH.NEW,0)),'DICTIONARY-5'!$A$2)</f>
        <v>178,-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156">
        <v>80</v>
      </c>
      <c r="B14" s="156" t="s">
        <v>85</v>
      </c>
      <c r="C14" s="156">
        <v>260</v>
      </c>
      <c r="D14" s="156" t="s">
        <v>1369</v>
      </c>
      <c r="E14" s="321" t="s">
        <v>4462</v>
      </c>
      <c r="F14" s="339" t="str">
        <f>IFERROR(IF(OR(E14='DICTIONARY-5'!$A$2,E14='DICTIONARY-5'!$A$4,ISBLANK(E14)),VLOOKUP(D14,LIST!$A$6:$L$3250,CURR_1.SEARCH.OLD,0),VLOOKUP(E14,LIST!$B$6:$L$3250,CURR_1.SEARCH.NEW,0)),'DICTIONARY-5'!$A$2)</f>
        <v>206,-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156" t="s">
        <v>84</v>
      </c>
      <c r="B15" s="156" t="s">
        <v>85</v>
      </c>
      <c r="C15" s="156">
        <v>260</v>
      </c>
      <c r="D15" s="156" t="s">
        <v>1370</v>
      </c>
      <c r="E15" s="321" t="s">
        <v>4463</v>
      </c>
      <c r="F15" s="339" t="str">
        <f>IFERROR(IF(OR(E15='DICTIONARY-5'!$A$2,E15='DICTIONARY-5'!$A$4,ISBLANK(E15)),VLOOKUP(D15,LIST!$A$6:$L$3250,CURR_1.SEARCH.OLD,0),VLOOKUP(E15,LIST!$B$6:$L$3250,CURR_1.SEARCH.NEW,0)),'DICTIONARY-5'!$A$2)</f>
        <v>209,-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156">
        <v>100</v>
      </c>
      <c r="B16" s="156" t="s">
        <v>85</v>
      </c>
      <c r="C16" s="156">
        <v>300</v>
      </c>
      <c r="D16" s="156" t="s">
        <v>1371</v>
      </c>
      <c r="E16" s="321" t="s">
        <v>4464</v>
      </c>
      <c r="F16" s="339" t="str">
        <f>IFERROR(IF(OR(E16='DICTIONARY-5'!$A$2,E16='DICTIONARY-5'!$A$4,ISBLANK(E16)),VLOOKUP(D16,LIST!$A$6:$L$3250,CURR_1.SEARCH.OLD,0),VLOOKUP(E16,LIST!$B$6:$L$3250,CURR_1.SEARCH.NEW,0)),'DICTIONARY-5'!$A$2)</f>
        <v>261,-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156">
        <v>125</v>
      </c>
      <c r="B17" s="156" t="s">
        <v>85</v>
      </c>
      <c r="C17" s="156">
        <v>350</v>
      </c>
      <c r="D17" s="156" t="s">
        <v>1372</v>
      </c>
      <c r="E17" s="321" t="s">
        <v>4465</v>
      </c>
      <c r="F17" s="339" t="str">
        <f>IFERROR(IF(OR(E17='DICTIONARY-5'!$A$2,E17='DICTIONARY-5'!$A$4,ISBLANK(E17)),VLOOKUP(D17,LIST!$A$6:$L$3250,CURR_1.SEARCH.OLD,0),VLOOKUP(E17,LIST!$B$6:$L$3250,CURR_1.SEARCH.NEW,0)),'DICTIONARY-5'!$A$2)</f>
        <v>371,-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156">
        <v>150</v>
      </c>
      <c r="B18" s="156" t="s">
        <v>85</v>
      </c>
      <c r="C18" s="156">
        <v>400</v>
      </c>
      <c r="D18" s="156" t="s">
        <v>1373</v>
      </c>
      <c r="E18" s="321" t="s">
        <v>4466</v>
      </c>
      <c r="F18" s="339" t="str">
        <f>IFERROR(IF(OR(E18='DICTIONARY-5'!$A$2,E18='DICTIONARY-5'!$A$4,ISBLANK(E18)),VLOOKUP(D18,LIST!$A$6:$L$3250,CURR_1.SEARCH.OLD,0),VLOOKUP(E18,LIST!$B$6:$L$3250,CURR_1.SEARCH.NEW,0)),'DICTIONARY-5'!$A$2)</f>
        <v>528,-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156">
        <v>200</v>
      </c>
      <c r="B19" s="156">
        <v>10</v>
      </c>
      <c r="C19" s="156">
        <v>500</v>
      </c>
      <c r="D19" s="156" t="s">
        <v>1374</v>
      </c>
      <c r="E19" s="321" t="s">
        <v>4467</v>
      </c>
      <c r="F19" s="339" t="str">
        <f>IFERROR(IF(OR(E19='DICTIONARY-5'!$A$2,E19='DICTIONARY-5'!$A$4,ISBLANK(E19)),VLOOKUP(D19,LIST!$A$6:$L$3250,CURR_1.SEARCH.OLD,0),VLOOKUP(E19,LIST!$B$6:$L$3250,CURR_1.SEARCH.NEW,0)),'DICTIONARY-5'!$A$2)</f>
        <v>806,-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1" spans="1:7" x14ac:dyDescent="0.25">
      <c r="A21" s="548" t="str">
        <f>"1) "&amp;'DICTIONARY-5'!$A$63</f>
        <v>1) Owiert kołnierza 4 otwory</v>
      </c>
    </row>
  </sheetData>
  <sheetProtection algorithmName="SHA-512" hashValue="BNMrnRdmEs3VVCfV7zNEoONgBi+u8TnVvRa9QRCWuZ5jkDs8jQp3jXZSAp4yZ+3B9yjEo9OZgQgvoj6tQRJHmw==" saltValue="VPiYNXf4mZ0shL+VzRtqDQ==" spinCount="100000" sheet="1" objects="1" scenarios="1" autoFilter="0"/>
  <mergeCells count="3">
    <mergeCell ref="D9:G9"/>
    <mergeCell ref="D10:G10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7">
    <tabColor rgb="FFFFC000"/>
  </sheetPr>
  <dimension ref="A1:G26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16384" width="9.140625" style="146"/>
  </cols>
  <sheetData>
    <row r="1" spans="1:7" s="408" customFormat="1" ht="45" customHeight="1" thickBot="1" x14ac:dyDescent="0.3">
      <c r="A1" s="430"/>
      <c r="B1" s="430"/>
      <c r="C1" s="430"/>
      <c r="D1" s="430"/>
      <c r="E1" s="410"/>
      <c r="F1" s="409"/>
      <c r="G1" s="409"/>
    </row>
    <row r="2" spans="1:7" s="467" customFormat="1" ht="4.5" customHeight="1" x14ac:dyDescent="0.25">
      <c r="A2" s="466"/>
      <c r="B2" s="468"/>
      <c r="C2" s="468"/>
      <c r="D2" s="468"/>
      <c r="E2" s="468"/>
      <c r="F2" s="469"/>
      <c r="G2" s="469"/>
    </row>
    <row r="3" spans="1:7" ht="15.75" thickBot="1" x14ac:dyDescent="0.3">
      <c r="A3" s="147"/>
      <c r="B3" s="148"/>
      <c r="C3" s="148"/>
    </row>
    <row r="4" spans="1:7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7" x14ac:dyDescent="0.25">
      <c r="A5" s="147"/>
      <c r="B5" s="148"/>
      <c r="C5" s="148"/>
    </row>
    <row r="6" spans="1:7" ht="16.5" thickBot="1" x14ac:dyDescent="0.3">
      <c r="A6" s="712" t="str">
        <f>CONCATENATE('DICTIONARY-3'!$A$102," ",'DICTIONARY-3'!$A$202,)</f>
        <v>TOP-STOP Zawór zwrotny</v>
      </c>
      <c r="B6" s="712"/>
      <c r="C6" s="712"/>
      <c r="D6" s="712"/>
      <c r="E6" s="712"/>
      <c r="F6" s="712"/>
      <c r="G6" s="712"/>
    </row>
    <row r="7" spans="1:7" x14ac:dyDescent="0.25">
      <c r="A7" s="168" t="str">
        <f>CONCATENATE('DICTIONARY-1'!$A$10,": ",SETTINGS!$C$49)</f>
        <v>Grupa rabatowa: TOP-STOP</v>
      </c>
    </row>
    <row r="8" spans="1:7" x14ac:dyDescent="0.25">
      <c r="A8" s="151"/>
    </row>
    <row r="9" spans="1:7" ht="15" customHeight="1" x14ac:dyDescent="0.25">
      <c r="A9" s="152" t="str">
        <f>'DICTIONARY-2'!$A$2</f>
        <v>DN</v>
      </c>
      <c r="B9" s="152" t="str">
        <f>'DICTIONARY-2'!$A$3</f>
        <v>PN</v>
      </c>
      <c r="C9" s="152" t="str">
        <f>'DICTIONARY-2'!$A$24</f>
        <v>L</v>
      </c>
      <c r="D9" s="1016" t="str">
        <f>'DICTIONARY-3'!$A$102</f>
        <v>TOP-STOP</v>
      </c>
      <c r="E9" s="1004"/>
      <c r="F9" s="1004"/>
      <c r="G9" s="1004"/>
    </row>
    <row r="10" spans="1:7" x14ac:dyDescent="0.25">
      <c r="A10" s="153"/>
      <c r="B10" s="153"/>
      <c r="C10" s="153"/>
      <c r="D10" s="1007"/>
      <c r="E10" s="1007"/>
      <c r="F10" s="1007"/>
      <c r="G10" s="1007"/>
    </row>
    <row r="11" spans="1:7" x14ac:dyDescent="0.25">
      <c r="A11" s="153"/>
      <c r="B11" s="153"/>
      <c r="C11" s="153" t="str">
        <f>'DICTIONARY-2'!$A$18</f>
        <v>[mm]</v>
      </c>
      <c r="D11" s="154" t="str">
        <f>'DICTIONARY-2'!$A$28</f>
        <v>stary nr zamówienia</v>
      </c>
      <c r="E11" s="154" t="str">
        <f>'DICTIONARY-2'!$A$29</f>
        <v>nowy nr zamówienia</v>
      </c>
      <c r="F11" s="155" t="str">
        <f>CURRENCY.CODE_1</f>
        <v>EUR</v>
      </c>
      <c r="G11" s="155" t="str">
        <f>CURRENCY.CODE_2</f>
        <v>---</v>
      </c>
    </row>
    <row r="12" spans="1:7" x14ac:dyDescent="0.25">
      <c r="A12" s="156">
        <v>40</v>
      </c>
      <c r="B12" s="156" t="s">
        <v>85</v>
      </c>
      <c r="C12" s="156">
        <v>180</v>
      </c>
      <c r="D12" s="156" t="s">
        <v>1375</v>
      </c>
      <c r="E12" s="321" t="s">
        <v>4473</v>
      </c>
      <c r="F12" s="339" t="str">
        <f>IFERROR(IF(OR(E12='DICTIONARY-5'!$A$2,E12='DICTIONARY-5'!$A$4,ISBLANK(E12)),VLOOKUP(D12,LIST!$A$6:$L$3250,CURR_1.SEARCH.OLD,0),VLOOKUP(E12,LIST!$B$6:$L$3250,CURR_1.SEARCH.NEW,0)),'DICTIONARY-5'!$A$2)</f>
        <v>181,-</v>
      </c>
      <c r="G12" s="339" t="str">
        <f>IFERROR(IF(OR(E12='DICTIONARY-5'!$A$2,E12='DICTIONARY-5'!$A$4,ISBLANK(E12)),VLOOKUP(D12,LIST!$A$6:$M$3250,CURR_2.SEARCH.OLD,0),VLOOKUP(E12,LIST!$B$6:$M$3250,CURR_2.SEARCH.NEW,0)),'DICTIONARY-5'!$A$2)</f>
        <v/>
      </c>
    </row>
    <row r="13" spans="1:7" x14ac:dyDescent="0.25">
      <c r="A13" s="156">
        <v>50</v>
      </c>
      <c r="B13" s="156" t="s">
        <v>85</v>
      </c>
      <c r="C13" s="156">
        <v>200</v>
      </c>
      <c r="D13" s="156" t="s">
        <v>1376</v>
      </c>
      <c r="E13" s="321" t="s">
        <v>4474</v>
      </c>
      <c r="F13" s="339" t="str">
        <f>IFERROR(IF(OR(E13='DICTIONARY-5'!$A$2,E13='DICTIONARY-5'!$A$4,ISBLANK(E13)),VLOOKUP(D13,LIST!$A$6:$L$3250,CURR_1.SEARCH.OLD,0),VLOOKUP(E13,LIST!$B$6:$L$3250,CURR_1.SEARCH.NEW,0)),'DICTIONARY-5'!$A$2)</f>
        <v>231,-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156">
        <v>65</v>
      </c>
      <c r="B14" s="156" t="s">
        <v>85</v>
      </c>
      <c r="C14" s="156">
        <v>240</v>
      </c>
      <c r="D14" s="156" t="s">
        <v>1377</v>
      </c>
      <c r="E14" s="321" t="s">
        <v>4475</v>
      </c>
      <c r="F14" s="339" t="str">
        <f>IFERROR(IF(OR(E14='DICTIONARY-5'!$A$2,E14='DICTIONARY-5'!$A$4,ISBLANK(E14)),VLOOKUP(D14,LIST!$A$6:$L$3250,CURR_1.SEARCH.OLD,0),VLOOKUP(E14,LIST!$B$6:$L$3250,CURR_1.SEARCH.NEW,0)),'DICTIONARY-5'!$A$2)</f>
        <v>290,-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156">
        <v>80</v>
      </c>
      <c r="B15" s="156" t="s">
        <v>85</v>
      </c>
      <c r="C15" s="156">
        <v>260</v>
      </c>
      <c r="D15" s="156" t="s">
        <v>1378</v>
      </c>
      <c r="E15" s="321" t="s">
        <v>4476</v>
      </c>
      <c r="F15" s="339" t="str">
        <f>IFERROR(IF(OR(E15='DICTIONARY-5'!$A$2,E15='DICTIONARY-5'!$A$4,ISBLANK(E15)),VLOOKUP(D15,LIST!$A$6:$L$3250,CURR_1.SEARCH.OLD,0),VLOOKUP(E15,LIST!$B$6:$L$3250,CURR_1.SEARCH.NEW,0)),'DICTIONARY-5'!$A$2)</f>
        <v>302,-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156">
        <v>100</v>
      </c>
      <c r="B16" s="156" t="s">
        <v>85</v>
      </c>
      <c r="C16" s="156">
        <v>300</v>
      </c>
      <c r="D16" s="156" t="s">
        <v>1379</v>
      </c>
      <c r="E16" s="321" t="s">
        <v>4477</v>
      </c>
      <c r="F16" s="339" t="str">
        <f>IFERROR(IF(OR(E16='DICTIONARY-5'!$A$2,E16='DICTIONARY-5'!$A$4,ISBLANK(E16)),VLOOKUP(D16,LIST!$A$6:$L$3250,CURR_1.SEARCH.OLD,0),VLOOKUP(E16,LIST!$B$6:$L$3250,CURR_1.SEARCH.NEW,0)),'DICTIONARY-5'!$A$2)</f>
        <v>401,-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156">
        <v>125</v>
      </c>
      <c r="B17" s="156" t="s">
        <v>85</v>
      </c>
      <c r="C17" s="156">
        <v>350</v>
      </c>
      <c r="D17" s="156" t="s">
        <v>1380</v>
      </c>
      <c r="E17" s="321" t="s">
        <v>4478</v>
      </c>
      <c r="F17" s="339" t="str">
        <f>IFERROR(IF(OR(E17='DICTIONARY-5'!$A$2,E17='DICTIONARY-5'!$A$4,ISBLANK(E17)),VLOOKUP(D17,LIST!$A$6:$L$3250,CURR_1.SEARCH.OLD,0),VLOOKUP(E17,LIST!$B$6:$L$3250,CURR_1.SEARCH.NEW,0)),'DICTIONARY-5'!$A$2)</f>
        <v>462,-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156">
        <v>150</v>
      </c>
      <c r="B18" s="156" t="s">
        <v>85</v>
      </c>
      <c r="C18" s="156">
        <v>400</v>
      </c>
      <c r="D18" s="156" t="s">
        <v>1381</v>
      </c>
      <c r="E18" s="321" t="s">
        <v>4479</v>
      </c>
      <c r="F18" s="339" t="str">
        <f>IFERROR(IF(OR(E18='DICTIONARY-5'!$A$2,E18='DICTIONARY-5'!$A$4,ISBLANK(E18)),VLOOKUP(D18,LIST!$A$6:$L$3250,CURR_1.SEARCH.OLD,0),VLOOKUP(E18,LIST!$B$6:$L$3250,CURR_1.SEARCH.NEW,0)),'DICTIONARY-5'!$A$2)</f>
        <v>583,-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156">
        <v>200</v>
      </c>
      <c r="B19" s="156">
        <v>10</v>
      </c>
      <c r="C19" s="156">
        <v>500</v>
      </c>
      <c r="D19" s="156" t="s">
        <v>1382</v>
      </c>
      <c r="E19" s="321" t="s">
        <v>4468</v>
      </c>
      <c r="F19" s="339" t="str">
        <f>IFERROR(IF(OR(E19='DICTIONARY-5'!$A$2,E19='DICTIONARY-5'!$A$4,ISBLANK(E19)),VLOOKUP(D19,LIST!$A$6:$L$3250,CURR_1.SEARCH.OLD,0),VLOOKUP(E19,LIST!$B$6:$L$3250,CURR_1.SEARCH.NEW,0)),'DICTIONARY-5'!$A$2)</f>
        <v>833,-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0" spans="1:7" x14ac:dyDescent="0.25">
      <c r="A20" s="156">
        <v>200</v>
      </c>
      <c r="B20" s="156">
        <v>16</v>
      </c>
      <c r="C20" s="156">
        <v>500</v>
      </c>
      <c r="D20" s="156" t="s">
        <v>1383</v>
      </c>
      <c r="E20" s="321" t="s">
        <v>4480</v>
      </c>
      <c r="F20" s="339" t="str">
        <f>IFERROR(IF(OR(E20='DICTIONARY-5'!$A$2,E20='DICTIONARY-5'!$A$4,ISBLANK(E20)),VLOOKUP(D20,LIST!$A$6:$L$3250,CURR_1.SEARCH.OLD,0),VLOOKUP(E20,LIST!$B$6:$L$3250,CURR_1.SEARCH.NEW,0)),'DICTIONARY-5'!$A$2)</f>
        <v>853,-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</row>
    <row r="21" spans="1:7" x14ac:dyDescent="0.25">
      <c r="A21" s="156">
        <v>250</v>
      </c>
      <c r="B21" s="156">
        <v>10</v>
      </c>
      <c r="C21" s="156">
        <v>600</v>
      </c>
      <c r="D21" s="156" t="s">
        <v>1384</v>
      </c>
      <c r="E21" s="321" t="s">
        <v>4469</v>
      </c>
      <c r="F21" s="339" t="str">
        <f>IFERROR(IF(OR(E21='DICTIONARY-5'!$A$2,E21='DICTIONARY-5'!$A$4,ISBLANK(E21)),VLOOKUP(D21,LIST!$A$6:$L$3250,CURR_1.SEARCH.OLD,0),VLOOKUP(E21,LIST!$B$6:$L$3250,CURR_1.SEARCH.NEW,0)),'DICTIONARY-5'!$A$2)</f>
        <v>1 471,-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</row>
    <row r="22" spans="1:7" x14ac:dyDescent="0.25">
      <c r="A22" s="156">
        <v>250</v>
      </c>
      <c r="B22" s="156">
        <v>16</v>
      </c>
      <c r="C22" s="156">
        <v>600</v>
      </c>
      <c r="D22" s="156" t="s">
        <v>1385</v>
      </c>
      <c r="E22" s="321" t="s">
        <v>4481</v>
      </c>
      <c r="F22" s="339" t="str">
        <f>IFERROR(IF(OR(E22='DICTIONARY-5'!$A$2,E22='DICTIONARY-5'!$A$4,ISBLANK(E22)),VLOOKUP(D22,LIST!$A$6:$L$3250,CURR_1.SEARCH.OLD,0),VLOOKUP(E22,LIST!$B$6:$L$3250,CURR_1.SEARCH.NEW,0)),'DICTIONARY-5'!$A$2)</f>
        <v>1 472,-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</row>
    <row r="23" spans="1:7" x14ac:dyDescent="0.25">
      <c r="A23" s="156">
        <v>300</v>
      </c>
      <c r="B23" s="156">
        <v>10</v>
      </c>
      <c r="C23" s="156">
        <v>700</v>
      </c>
      <c r="D23" s="156" t="s">
        <v>1386</v>
      </c>
      <c r="E23" s="321" t="s">
        <v>4470</v>
      </c>
      <c r="F23" s="339" t="str">
        <f>IFERROR(IF(OR(E23='DICTIONARY-5'!$A$2,E23='DICTIONARY-5'!$A$4,ISBLANK(E23)),VLOOKUP(D23,LIST!$A$6:$L$3250,CURR_1.SEARCH.OLD,0),VLOOKUP(E23,LIST!$B$6:$L$3250,CURR_1.SEARCH.NEW,0)),'DICTIONARY-5'!$A$2)</f>
        <v>2 725,-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</row>
    <row r="24" spans="1:7" x14ac:dyDescent="0.25">
      <c r="A24" s="156">
        <v>300</v>
      </c>
      <c r="B24" s="156">
        <v>16</v>
      </c>
      <c r="C24" s="156">
        <v>700</v>
      </c>
      <c r="D24" s="156" t="s">
        <v>1387</v>
      </c>
      <c r="E24" s="321" t="s">
        <v>4482</v>
      </c>
      <c r="F24" s="339" t="str">
        <f>IFERROR(IF(OR(E24='DICTIONARY-5'!$A$2,E24='DICTIONARY-5'!$A$4,ISBLANK(E24)),VLOOKUP(D24,LIST!$A$6:$L$3250,CURR_1.SEARCH.OLD,0),VLOOKUP(E24,LIST!$B$6:$L$3250,CURR_1.SEARCH.NEW,0)),'DICTIONARY-5'!$A$2)</f>
        <v>2 702,-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</row>
    <row r="25" spans="1:7" x14ac:dyDescent="0.25">
      <c r="A25" s="156">
        <v>350</v>
      </c>
      <c r="B25" s="156">
        <v>10</v>
      </c>
      <c r="C25" s="156">
        <v>800</v>
      </c>
      <c r="D25" s="156" t="s">
        <v>1388</v>
      </c>
      <c r="E25" s="321" t="s">
        <v>4471</v>
      </c>
      <c r="F25" s="339" t="str">
        <f>IFERROR(IF(OR(E25='DICTIONARY-5'!$A$2,E25='DICTIONARY-5'!$A$4,ISBLANK(E25)),VLOOKUP(D25,LIST!$A$6:$L$3250,CURR_1.SEARCH.OLD,0),VLOOKUP(E25,LIST!$B$6:$L$3250,CURR_1.SEARCH.NEW,0)),'DICTIONARY-5'!$A$2)</f>
        <v>4 451,-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</row>
    <row r="26" spans="1:7" x14ac:dyDescent="0.25">
      <c r="A26" s="156">
        <v>400</v>
      </c>
      <c r="B26" s="156">
        <v>10</v>
      </c>
      <c r="C26" s="156">
        <v>900</v>
      </c>
      <c r="D26" s="156" t="s">
        <v>1389</v>
      </c>
      <c r="E26" s="321" t="s">
        <v>4472</v>
      </c>
      <c r="F26" s="339" t="str">
        <f>IFERROR(IF(OR(E26='DICTIONARY-5'!$A$2,E26='DICTIONARY-5'!$A$4,ISBLANK(E26)),VLOOKUP(D26,LIST!$A$6:$L$3250,CURR_1.SEARCH.OLD,0),VLOOKUP(E26,LIST!$B$6:$L$3250,CURR_1.SEARCH.NEW,0)),'DICTIONARY-5'!$A$2)</f>
        <v>6 128,-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</row>
  </sheetData>
  <sheetProtection algorithmName="SHA-512" hashValue="O0COYNRrnNcmnMK3Av9iCCs8LoQLebu3fUo1dpGbwzLnmlqXi0FF5prnL85POBuLt3xNOOt1FdCMvWmkbG/vCQ==" saltValue="SUvC+djkMavMSZVRTkY38g==" spinCount="100000" sheet="1" objects="1" scenarios="1" autoFilter="0"/>
  <mergeCells count="3">
    <mergeCell ref="D9:G9"/>
    <mergeCell ref="D10:G10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8">
    <tabColor rgb="FFFFC000"/>
  </sheetPr>
  <dimension ref="A1:K23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9" width="22.140625" style="145" customWidth="1"/>
    <col min="10" max="11" width="12.85546875" style="145" customWidth="1"/>
    <col min="12" max="16384" width="9.140625" style="146"/>
  </cols>
  <sheetData>
    <row r="1" spans="1:11" s="408" customFormat="1" ht="45" customHeight="1" thickBot="1" x14ac:dyDescent="0.3">
      <c r="A1" s="430"/>
      <c r="B1" s="430"/>
      <c r="C1" s="430"/>
      <c r="D1" s="430"/>
      <c r="E1" s="410"/>
      <c r="F1" s="409"/>
      <c r="G1" s="409"/>
      <c r="H1" s="409"/>
      <c r="I1" s="409"/>
      <c r="J1" s="409"/>
      <c r="K1" s="409"/>
    </row>
    <row r="2" spans="1:11" s="467" customFormat="1" ht="4.5" customHeight="1" x14ac:dyDescent="0.25">
      <c r="A2" s="466"/>
      <c r="B2" s="468"/>
      <c r="C2" s="468"/>
      <c r="D2" s="468"/>
      <c r="E2" s="468"/>
      <c r="F2" s="469"/>
      <c r="G2" s="469"/>
      <c r="H2" s="469"/>
      <c r="I2" s="469"/>
      <c r="J2" s="469"/>
      <c r="K2" s="469"/>
    </row>
    <row r="3" spans="1:11" ht="15.75" thickBot="1" x14ac:dyDescent="0.3">
      <c r="A3" s="147"/>
      <c r="B3" s="148"/>
      <c r="C3" s="148"/>
    </row>
    <row r="4" spans="1:11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11" x14ac:dyDescent="0.25">
      <c r="A5" s="147"/>
      <c r="B5" s="148"/>
      <c r="C5" s="148"/>
    </row>
    <row r="6" spans="1:11" ht="16.5" thickBot="1" x14ac:dyDescent="0.3">
      <c r="A6" s="712" t="str">
        <f>CONCATENATE('DICTIONARY-3'!$A$103," ",'DICTIONARY-3'!$A$200," / ",'DICTIONARY-3'!$A$316)</f>
        <v>ZETKA Zawór zwrotny / Do montażu między kołnierzami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9" t="str">
        <f>CONCATENATE('DICTIONARY-1'!$A$10,": ",SETTINGS!$C$55)</f>
        <v>Grupa rabatowa: ZETKA</v>
      </c>
      <c r="H7" s="9" t="str">
        <f>CONCATENATE('DICTIONARY-1'!$A$10,": ",SETTINGS!$C$75)</f>
        <v>Grupa rabatowa: SPARE PARTS</v>
      </c>
    </row>
    <row r="8" spans="1:11" x14ac:dyDescent="0.25">
      <c r="A8" s="151"/>
    </row>
    <row r="9" spans="1:11" x14ac:dyDescent="0.25">
      <c r="A9" s="152" t="str">
        <f>'DICTIONARY-2'!$A$2</f>
        <v>DN</v>
      </c>
      <c r="B9" s="152" t="str">
        <f>'DICTIONARY-2'!$A$3</f>
        <v>PN</v>
      </c>
      <c r="C9" s="152" t="str">
        <f>'DICTIONARY-2'!$A$24</f>
        <v>L</v>
      </c>
      <c r="D9" s="1004" t="str">
        <f>'DICTIONARY-3'!$A$103</f>
        <v>ZETKA</v>
      </c>
      <c r="E9" s="1004"/>
      <c r="F9" s="1004"/>
      <c r="G9" s="1004"/>
      <c r="H9" s="1004" t="str">
        <f>LOWER('DICTIONARY-3'!$A$232)</f>
        <v>dysk wymienny</v>
      </c>
      <c r="I9" s="1004"/>
      <c r="J9" s="1004"/>
      <c r="K9" s="1004"/>
    </row>
    <row r="10" spans="1:11" x14ac:dyDescent="0.25">
      <c r="A10" s="153"/>
      <c r="B10" s="153"/>
      <c r="C10" s="153"/>
      <c r="D10" s="1007" t="str">
        <f>'DICTIONARY-5'!$A$43&amp;": "&amp;'DICTIONARY-5'!$A$44</f>
        <v>guma: EPDM</v>
      </c>
      <c r="E10" s="1007"/>
      <c r="F10" s="1007"/>
      <c r="G10" s="1007"/>
      <c r="H10" s="1007"/>
      <c r="I10" s="1007"/>
      <c r="J10" s="1007"/>
      <c r="K10" s="1007"/>
    </row>
    <row r="11" spans="1:11" x14ac:dyDescent="0.25">
      <c r="A11" s="153"/>
      <c r="B11" s="153"/>
      <c r="C11" s="153" t="str">
        <f>'DICTIONARY-2'!$A$18</f>
        <v>[mm]</v>
      </c>
      <c r="D11" s="154" t="str">
        <f>'DICTIONARY-2'!$A$28</f>
        <v>stary nr zamówienia</v>
      </c>
      <c r="E11" s="154" t="str">
        <f>'DICTIONARY-2'!$A$29</f>
        <v>nowy nr zamówienia</v>
      </c>
      <c r="F11" s="155" t="str">
        <f>CURRENCY.CODE_1</f>
        <v>EUR</v>
      </c>
      <c r="G11" s="155" t="str">
        <f>CURRENCY.CODE_2</f>
        <v>---</v>
      </c>
      <c r="H11" s="154" t="str">
        <f>'DICTIONARY-2'!$A$28</f>
        <v>stary nr zamówienia</v>
      </c>
      <c r="I11" s="154" t="str">
        <f>'DICTIONARY-2'!$A$29</f>
        <v>nowy nr zamówienia</v>
      </c>
      <c r="J11" s="155" t="str">
        <f>CURRENCY.CODE_1</f>
        <v>EUR</v>
      </c>
      <c r="K11" s="155" t="str">
        <f>CURRENCY.CODE_2</f>
        <v>---</v>
      </c>
    </row>
    <row r="12" spans="1:11" x14ac:dyDescent="0.25">
      <c r="A12" s="156">
        <v>40</v>
      </c>
      <c r="B12" s="156" t="s">
        <v>85</v>
      </c>
      <c r="C12" s="156">
        <v>33</v>
      </c>
      <c r="D12" s="156" t="s">
        <v>1390</v>
      </c>
      <c r="E12" s="321" t="s">
        <v>4304</v>
      </c>
      <c r="F12" s="339" t="str">
        <f>IFERROR(IF(OR(E12='DICTIONARY-5'!$A$2,E12='DICTIONARY-5'!$A$4,ISBLANK(E12)),VLOOKUP(D12,LIST!$A$6:$L$3250,CURR_1.SEARCH.OLD,0),VLOOKUP(E12,LIST!$B$6:$L$3250,CURR_1.SEARCH.NEW,0)),'DICTIONARY-5'!$A$2)</f>
        <v>78,-</v>
      </c>
      <c r="G12" s="339" t="str">
        <f>IFERROR(IF(OR(E12='DICTIONARY-5'!$A$2,E12='DICTIONARY-5'!$A$4,ISBLANK(E12)),VLOOKUP(D12,LIST!$A$6:$M$3250,CURR_2.SEARCH.OLD,0),VLOOKUP(E12,LIST!$B$6:$M$3250,CURR_2.SEARCH.NEW,0)),'DICTIONARY-5'!$A$2)</f>
        <v/>
      </c>
      <c r="H12" s="156" t="s">
        <v>1391</v>
      </c>
      <c r="I12" s="321" t="s">
        <v>2857</v>
      </c>
      <c r="J12" s="339" t="str">
        <f>IFERROR(IF(OR(I12='DICTIONARY-5'!$A$2,I12='DICTIONARY-5'!$A$4,ISBLANK(I12)),VLOOKUP(H12,LIST!$A$6:$L$3250,CURR_1.SEARCH.OLD,0),VLOOKUP(I12,LIST!$B$6:$L$3250,CURR_1.SEARCH.NEW,0)),'DICTIONARY-5'!$A$2)</f>
        <v>16,-</v>
      </c>
      <c r="K12" s="339" t="str">
        <f>IFERROR(IF(OR(I12='DICTIONARY-5'!$A$2,I12='DICTIONARY-5'!$A$4,ISBLANK(I12)),VLOOKUP(H12,LIST!$A$6:$M$3250,CURR_2.SEARCH.OLD,0),VLOOKUP(I12,LIST!$B$6:$M$3250,CURR_2.SEARCH.NEW,0)),'DICTIONARY-5'!$A$2)</f>
        <v/>
      </c>
    </row>
    <row r="13" spans="1:11" x14ac:dyDescent="0.25">
      <c r="A13" s="156">
        <v>50</v>
      </c>
      <c r="B13" s="156" t="s">
        <v>85</v>
      </c>
      <c r="C13" s="156">
        <v>43</v>
      </c>
      <c r="D13" s="156" t="s">
        <v>1392</v>
      </c>
      <c r="E13" s="321" t="s">
        <v>4305</v>
      </c>
      <c r="F13" s="339" t="str">
        <f>IFERROR(IF(OR(E13='DICTIONARY-5'!$A$2,E13='DICTIONARY-5'!$A$4,ISBLANK(E13)),VLOOKUP(D13,LIST!$A$6:$L$3250,CURR_1.SEARCH.OLD,0),VLOOKUP(E13,LIST!$B$6:$L$3250,CURR_1.SEARCH.NEW,0)),'DICTIONARY-5'!$A$2)</f>
        <v>83,-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156" t="s">
        <v>1393</v>
      </c>
      <c r="I13" s="321" t="s">
        <v>2858</v>
      </c>
      <c r="J13" s="339" t="str">
        <f>IFERROR(IF(OR(I13='DICTIONARY-5'!$A$2,I13='DICTIONARY-5'!$A$4,ISBLANK(I13)),VLOOKUP(H13,LIST!$A$6:$L$3250,CURR_1.SEARCH.OLD,0),VLOOKUP(I13,LIST!$B$6:$L$3250,CURR_1.SEARCH.NEW,0)),'DICTIONARY-5'!$A$2)</f>
        <v>16,-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156">
        <v>65</v>
      </c>
      <c r="B14" s="156" t="s">
        <v>85</v>
      </c>
      <c r="C14" s="156">
        <v>46</v>
      </c>
      <c r="D14" s="156" t="s">
        <v>1394</v>
      </c>
      <c r="E14" s="321" t="s">
        <v>4306</v>
      </c>
      <c r="F14" s="339" t="str">
        <f>IFERROR(IF(OR(E14='DICTIONARY-5'!$A$2,E14='DICTIONARY-5'!$A$4,ISBLANK(E14)),VLOOKUP(D14,LIST!$A$6:$L$3250,CURR_1.SEARCH.OLD,0),VLOOKUP(E14,LIST!$B$6:$L$3250,CURR_1.SEARCH.NEW,0)),'DICTIONARY-5'!$A$2)</f>
        <v>91,-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56" t="s">
        <v>1395</v>
      </c>
      <c r="I14" s="321" t="s">
        <v>2859</v>
      </c>
      <c r="J14" s="339" t="str">
        <f>IFERROR(IF(OR(I14='DICTIONARY-5'!$A$2,I14='DICTIONARY-5'!$A$4,ISBLANK(I14)),VLOOKUP(H14,LIST!$A$6:$L$3250,CURR_1.SEARCH.OLD,0),VLOOKUP(I14,LIST!$B$6:$L$3250,CURR_1.SEARCH.NEW,0)),'DICTIONARY-5'!$A$2)</f>
        <v>16,-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156">
        <v>80</v>
      </c>
      <c r="B15" s="156" t="s">
        <v>85</v>
      </c>
      <c r="C15" s="156">
        <v>64</v>
      </c>
      <c r="D15" s="156" t="s">
        <v>1396</v>
      </c>
      <c r="E15" s="321" t="s">
        <v>4307</v>
      </c>
      <c r="F15" s="339" t="str">
        <f>IFERROR(IF(OR(E15='DICTIONARY-5'!$A$2,E15='DICTIONARY-5'!$A$4,ISBLANK(E15)),VLOOKUP(D15,LIST!$A$6:$L$3250,CURR_1.SEARCH.OLD,0),VLOOKUP(E15,LIST!$B$6:$L$3250,CURR_1.SEARCH.NEW,0)),'DICTIONARY-5'!$A$2)</f>
        <v>117,-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56" t="s">
        <v>1397</v>
      </c>
      <c r="I15" s="321" t="s">
        <v>2860</v>
      </c>
      <c r="J15" s="339" t="str">
        <f>IFERROR(IF(OR(I15='DICTIONARY-5'!$A$2,I15='DICTIONARY-5'!$A$4,ISBLANK(I15)),VLOOKUP(H15,LIST!$A$6:$L$3250,CURR_1.SEARCH.OLD,0),VLOOKUP(I15,LIST!$B$6:$L$3250,CURR_1.SEARCH.NEW,0)),'DICTIONARY-5'!$A$2)</f>
        <v>17,-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156">
        <v>100</v>
      </c>
      <c r="B16" s="156" t="s">
        <v>85</v>
      </c>
      <c r="C16" s="156">
        <v>64</v>
      </c>
      <c r="D16" s="156" t="s">
        <v>1398</v>
      </c>
      <c r="E16" s="321" t="s">
        <v>4308</v>
      </c>
      <c r="F16" s="339" t="str">
        <f>IFERROR(IF(OR(E16='DICTIONARY-5'!$A$2,E16='DICTIONARY-5'!$A$4,ISBLANK(E16)),VLOOKUP(D16,LIST!$A$6:$L$3250,CURR_1.SEARCH.OLD,0),VLOOKUP(E16,LIST!$B$6:$L$3250,CURR_1.SEARCH.NEW,0)),'DICTIONARY-5'!$A$2)</f>
        <v>129,-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56" t="s">
        <v>1399</v>
      </c>
      <c r="I16" s="321" t="s">
        <v>2861</v>
      </c>
      <c r="J16" s="339" t="str">
        <f>IFERROR(IF(OR(I16='DICTIONARY-5'!$A$2,I16='DICTIONARY-5'!$A$4,ISBLANK(I16)),VLOOKUP(H16,LIST!$A$6:$L$3250,CURR_1.SEARCH.OLD,0),VLOOKUP(I16,LIST!$B$6:$L$3250,CURR_1.SEARCH.NEW,0)),'DICTIONARY-5'!$A$2)</f>
        <v>23,-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156">
        <v>125</v>
      </c>
      <c r="B17" s="156" t="s">
        <v>85</v>
      </c>
      <c r="C17" s="156">
        <v>70</v>
      </c>
      <c r="D17" s="156" t="s">
        <v>1400</v>
      </c>
      <c r="E17" s="321" t="s">
        <v>4309</v>
      </c>
      <c r="F17" s="339" t="str">
        <f>IFERROR(IF(OR(E17='DICTIONARY-5'!$A$2,E17='DICTIONARY-5'!$A$4,ISBLANK(E17)),VLOOKUP(D17,LIST!$A$6:$L$3250,CURR_1.SEARCH.OLD,0),VLOOKUP(E17,LIST!$B$6:$L$3250,CURR_1.SEARCH.NEW,0)),'DICTIONARY-5'!$A$2)</f>
        <v>176,-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156" t="s">
        <v>1401</v>
      </c>
      <c r="I17" s="321" t="s">
        <v>2862</v>
      </c>
      <c r="J17" s="339" t="str">
        <f>IFERROR(IF(OR(I17='DICTIONARY-5'!$A$2,I17='DICTIONARY-5'!$A$4,ISBLANK(I17)),VLOOKUP(H17,LIST!$A$6:$L$3250,CURR_1.SEARCH.OLD,0),VLOOKUP(I17,LIST!$B$6:$L$3250,CURR_1.SEARCH.NEW,0)),'DICTIONARY-5'!$A$2)</f>
        <v>30,-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156">
        <v>150</v>
      </c>
      <c r="B18" s="156" t="s">
        <v>85</v>
      </c>
      <c r="C18" s="156">
        <v>76</v>
      </c>
      <c r="D18" s="156" t="s">
        <v>1402</v>
      </c>
      <c r="E18" s="321" t="s">
        <v>4310</v>
      </c>
      <c r="F18" s="339" t="str">
        <f>IFERROR(IF(OR(E18='DICTIONARY-5'!$A$2,E18='DICTIONARY-5'!$A$4,ISBLANK(E18)),VLOOKUP(D18,LIST!$A$6:$L$3250,CURR_1.SEARCH.OLD,0),VLOOKUP(E18,LIST!$B$6:$L$3250,CURR_1.SEARCH.NEW,0)),'DICTIONARY-5'!$A$2)</f>
        <v>195,-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156" t="s">
        <v>1403</v>
      </c>
      <c r="I18" s="321" t="s">
        <v>2863</v>
      </c>
      <c r="J18" s="339" t="str">
        <f>IFERROR(IF(OR(I18='DICTIONARY-5'!$A$2,I18='DICTIONARY-5'!$A$4,ISBLANK(I18)),VLOOKUP(H18,LIST!$A$6:$L$3250,CURR_1.SEARCH.OLD,0),VLOOKUP(I18,LIST!$B$6:$L$3250,CURR_1.SEARCH.NEW,0)),'DICTIONARY-5'!$A$2)</f>
        <v>37,-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156">
        <v>200</v>
      </c>
      <c r="B19" s="156">
        <v>16</v>
      </c>
      <c r="C19" s="156">
        <v>89</v>
      </c>
      <c r="D19" s="156" t="s">
        <v>1404</v>
      </c>
      <c r="E19" s="321" t="s">
        <v>4311</v>
      </c>
      <c r="F19" s="339" t="str">
        <f>IFERROR(IF(OR(E19='DICTIONARY-5'!$A$2,E19='DICTIONARY-5'!$A$4,ISBLANK(E19)),VLOOKUP(D19,LIST!$A$6:$L$3250,CURR_1.SEARCH.OLD,0),VLOOKUP(E19,LIST!$B$6:$L$3250,CURR_1.SEARCH.NEW,0)),'DICTIONARY-5'!$A$2)</f>
        <v>281,-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156" t="s">
        <v>1405</v>
      </c>
      <c r="I19" s="321" t="s">
        <v>2864</v>
      </c>
      <c r="J19" s="339" t="str">
        <f>IFERROR(IF(OR(I19='DICTIONARY-5'!$A$2,I19='DICTIONARY-5'!$A$4,ISBLANK(I19)),VLOOKUP(H19,LIST!$A$6:$L$3250,CURR_1.SEARCH.OLD,0),VLOOKUP(I19,LIST!$B$6:$L$3250,CURR_1.SEARCH.NEW,0)),'DICTIONARY-5'!$A$2)</f>
        <v>49,-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156">
        <v>250</v>
      </c>
      <c r="B20" s="156">
        <v>16</v>
      </c>
      <c r="C20" s="156">
        <v>114</v>
      </c>
      <c r="D20" s="156" t="s">
        <v>1406</v>
      </c>
      <c r="E20" s="321" t="s">
        <v>4312</v>
      </c>
      <c r="F20" s="339" t="str">
        <f>IFERROR(IF(OR(E20='DICTIONARY-5'!$A$2,E20='DICTIONARY-5'!$A$4,ISBLANK(E20)),VLOOKUP(D20,LIST!$A$6:$L$3250,CURR_1.SEARCH.OLD,0),VLOOKUP(E20,LIST!$B$6:$L$3250,CURR_1.SEARCH.NEW,0)),'DICTIONARY-5'!$A$2)</f>
        <v>527,-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156" t="s">
        <v>1407</v>
      </c>
      <c r="I20" s="321" t="s">
        <v>2865</v>
      </c>
      <c r="J20" s="339" t="str">
        <f>IFERROR(IF(OR(I20='DICTIONARY-5'!$A$2,I20='DICTIONARY-5'!$A$4,ISBLANK(I20)),VLOOKUP(H20,LIST!$A$6:$L$3250,CURR_1.SEARCH.OLD,0),VLOOKUP(I20,LIST!$B$6:$L$3250,CURR_1.SEARCH.NEW,0)),'DICTIONARY-5'!$A$2)</f>
        <v>72,-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A21" s="156">
        <v>300</v>
      </c>
      <c r="B21" s="156">
        <v>16</v>
      </c>
      <c r="C21" s="156">
        <v>114</v>
      </c>
      <c r="D21" s="156" t="s">
        <v>1408</v>
      </c>
      <c r="E21" s="321" t="s">
        <v>4313</v>
      </c>
      <c r="F21" s="339" t="str">
        <f>IFERROR(IF(OR(E21='DICTIONARY-5'!$A$2,E21='DICTIONARY-5'!$A$4,ISBLANK(E21)),VLOOKUP(D21,LIST!$A$6:$L$3250,CURR_1.SEARCH.OLD,0),VLOOKUP(E21,LIST!$B$6:$L$3250,CURR_1.SEARCH.NEW,0)),'DICTIONARY-5'!$A$2)</f>
        <v>652,-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156" t="s">
        <v>1409</v>
      </c>
      <c r="I21" s="321" t="s">
        <v>2866</v>
      </c>
      <c r="J21" s="339" t="str">
        <f>IFERROR(IF(OR(I21='DICTIONARY-5'!$A$2,I21='DICTIONARY-5'!$A$4,ISBLANK(I21)),VLOOKUP(H21,LIST!$A$6:$L$3250,CURR_1.SEARCH.OLD,0),VLOOKUP(I21,LIST!$B$6:$L$3250,CURR_1.SEARCH.NEW,0)),'DICTIONARY-5'!$A$2)</f>
        <v>125,-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3" spans="1:11" x14ac:dyDescent="0.25">
      <c r="A23" s="150"/>
    </row>
  </sheetData>
  <sheetProtection algorithmName="SHA-512" hashValue="hJt5uHZFUIl2OUQv4vnIxhUqjSKwB3CmAs9Ou7iaVpGj5tIvkkreODtf6T5xymnWj5A4bCDE2+QasjJNwaaFAA==" saltValue="Hz5TgMWwgjVYUDtspovxaQ==" spinCount="100000" sheet="1" objects="1" scenarios="1" autoFilter="0"/>
  <mergeCells count="5">
    <mergeCell ref="B4:E4"/>
    <mergeCell ref="D9:G9"/>
    <mergeCell ref="H9:K9"/>
    <mergeCell ref="D10:G10"/>
    <mergeCell ref="H10:K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>
    <tabColor theme="1"/>
  </sheetPr>
  <dimension ref="A1:H76"/>
  <sheetViews>
    <sheetView workbookViewId="0"/>
  </sheetViews>
  <sheetFormatPr defaultRowHeight="15" x14ac:dyDescent="0.25"/>
  <cols>
    <col min="1" max="1" width="34" style="508" customWidth="1"/>
    <col min="2" max="2" width="42.85546875" style="690" customWidth="1"/>
    <col min="3" max="5" width="42.85546875" style="586" customWidth="1"/>
    <col min="6" max="6" width="5.42578125" style="581" customWidth="1"/>
    <col min="7" max="7" width="23.7109375" style="582" customWidth="1"/>
    <col min="8" max="8" width="13.28515625" style="693" customWidth="1"/>
  </cols>
  <sheetData>
    <row r="1" spans="1:8" s="504" customFormat="1" ht="15.75" thickBot="1" x14ac:dyDescent="0.3">
      <c r="A1" s="505" t="s">
        <v>5879</v>
      </c>
      <c r="B1" s="691" t="s">
        <v>5880</v>
      </c>
      <c r="C1" s="602" t="s">
        <v>7398</v>
      </c>
      <c r="D1" s="602" t="s">
        <v>5881</v>
      </c>
      <c r="E1" s="602" t="s">
        <v>5882</v>
      </c>
      <c r="F1" s="580" t="s">
        <v>57</v>
      </c>
      <c r="G1" s="580" t="s">
        <v>6728</v>
      </c>
      <c r="H1" s="692"/>
    </row>
    <row r="2" spans="1:8" x14ac:dyDescent="0.25">
      <c r="A2" s="508" t="str">
        <f>IF(CHOOSE(SET.LANGUAGE,'DICTIONARY-6'!B2,'DICTIONARY-6'!C2,'DICTIONARY-6'!D2,'DICTIONARY-6'!E2,'DICTIONARY-6'!F2)=0,("??? "&amp;"DICTIONARY-4/"&amp;"LINE"&amp;(ROW(A2))),CHOOSE(SET.LANGUAGE,'DICTIONARY-6'!B2,'DICTIONARY-6'!C2,'DICTIONARY-6'!D2,'DICTIONARY-6'!E2,'DICTIONARY-6'!F2))</f>
        <v>Przep. kołnierz.</v>
      </c>
      <c r="B2" s="690" t="s">
        <v>6839</v>
      </c>
      <c r="C2" s="586" t="s">
        <v>7712</v>
      </c>
      <c r="D2" s="586" t="s">
        <v>6853</v>
      </c>
      <c r="E2" s="586" t="s">
        <v>7027</v>
      </c>
      <c r="F2" s="581" t="str">
        <f>CONCATENATE(ROW(B2),"❻",B2)</f>
        <v>2❻Uzav. kl.</v>
      </c>
      <c r="G2" s="582" t="str">
        <f>"'DICTIONARY-6'!$A$"&amp;ROW(A2)</f>
        <v>'DICTIONARY-6'!$A$2</v>
      </c>
    </row>
    <row r="3" spans="1:8" x14ac:dyDescent="0.25">
      <c r="A3" s="508" t="str">
        <f>IF(CHOOSE(SET.LANGUAGE,'DICTIONARY-6'!B3,'DICTIONARY-6'!C3,'DICTIONARY-6'!D3,'DICTIONARY-6'!E3,'DICTIONARY-6'!F3)=0,("??? "&amp;"DICTIONARY-4/"&amp;"LINE"&amp;(ROW(A3))),CHOOSE(SET.LANGUAGE,'DICTIONARY-6'!B3,'DICTIONARY-6'!C3,'DICTIONARY-6'!D3,'DICTIONARY-6'!E3,'DICTIONARY-6'!F3))</f>
        <v>Zasuwa</v>
      </c>
      <c r="B3" s="690" t="s">
        <v>6865</v>
      </c>
      <c r="C3" s="586" t="s">
        <v>7713</v>
      </c>
      <c r="D3" s="586" t="s">
        <v>6866</v>
      </c>
      <c r="E3" s="586" t="s">
        <v>7028</v>
      </c>
      <c r="F3" s="581" t="str">
        <f>CONCATENATE(ROW(B3),"❻",B3)</f>
        <v>3❻Šoup.</v>
      </c>
      <c r="G3" s="582" t="str">
        <f>"'DICTIONARY-6'!$A$"&amp;ROW(A3)</f>
        <v>'DICTIONARY-6'!$A$3</v>
      </c>
    </row>
    <row r="4" spans="1:8" x14ac:dyDescent="0.25">
      <c r="A4" s="508" t="str">
        <f>IF(CHOOSE(SET.LANGUAGE,'DICTIONARY-6'!B4,'DICTIONARY-6'!C4,'DICTIONARY-6'!D4,'DICTIONARY-6'!E4,'DICTIONARY-6'!F4)=0,("??? "&amp;"DICTIONARY-4/"&amp;"LINE"&amp;(ROW(A4))),CHOOSE(SET.LANGUAGE,'DICTIONARY-6'!B4,'DICTIONARY-6'!C4,'DICTIONARY-6'!D4,'DICTIONARY-6'!E4,'DICTIONARY-6'!F4))</f>
        <v>Zasuwa z wrzec. wznosz. się</v>
      </c>
      <c r="B4" s="690" t="s">
        <v>6836</v>
      </c>
      <c r="C4" s="586" t="s">
        <v>7714</v>
      </c>
      <c r="D4" s="586" t="s">
        <v>6854</v>
      </c>
      <c r="E4" s="586" t="s">
        <v>7029</v>
      </c>
      <c r="F4" s="581" t="str">
        <f>CONCATENATE(ROW(B4),"❻",B4)</f>
        <v>4❻Šoup. třmen.</v>
      </c>
      <c r="G4" s="582" t="str">
        <f>"'DICTIONARY-6'!$A$"&amp;ROW(A4)</f>
        <v>'DICTIONARY-6'!$A$4</v>
      </c>
    </row>
    <row r="5" spans="1:8" x14ac:dyDescent="0.25">
      <c r="A5" s="508" t="str">
        <f>IF(CHOOSE(SET.LANGUAGE,'DICTIONARY-6'!B5,'DICTIONARY-6'!C5,'DICTIONARY-6'!D5,'DICTIONARY-6'!E5,'DICTIONARY-6'!F5)=0,("??? "&amp;"DICTIONARY-4/"&amp;"LINE"&amp;(ROW(A5))),CHOOSE(SET.LANGUAGE,'DICTIONARY-6'!B5,'DICTIONARY-6'!C5,'DICTIONARY-6'!D5,'DICTIONARY-6'!E5,'DICTIONARY-6'!F5))</f>
        <v>Zasuwa wrzec.</v>
      </c>
      <c r="B5" s="690" t="s">
        <v>7718</v>
      </c>
      <c r="C5" s="586" t="s">
        <v>7719</v>
      </c>
      <c r="D5" s="586" t="s">
        <v>6880</v>
      </c>
      <c r="E5" s="586" t="s">
        <v>7030</v>
      </c>
      <c r="F5" s="581" t="str">
        <f t="shared" ref="F5" si="0">CONCATENATE(ROW(B5),"❻",B5)</f>
        <v>5❻Vřet. šoup.</v>
      </c>
      <c r="G5" s="582" t="str">
        <f t="shared" ref="G5" si="1">"'DICTIONARY-6'!$A$"&amp;ROW(A5)</f>
        <v>'DICTIONARY-6'!$A$5</v>
      </c>
    </row>
    <row r="6" spans="1:8" x14ac:dyDescent="0.25">
      <c r="A6" s="508" t="str">
        <f>IF(CHOOSE(SET.LANGUAGE,'DICTIONARY-6'!B6,'DICTIONARY-6'!C6,'DICTIONARY-6'!D6,'DICTIONARY-6'!E6,'DICTIONARY-6'!F6)=0,("??? "&amp;"DICTIONARY-4/"&amp;"LINE"&amp;(ROW(A6))),CHOOSE(SET.LANGUAGE,'DICTIONARY-6'!B6,'DICTIONARY-6'!C6,'DICTIONARY-6'!D6,'DICTIONARY-6'!E6,'DICTIONARY-6'!F6))</f>
        <v>Zasuwa noż.</v>
      </c>
      <c r="B6" s="690" t="s">
        <v>7717</v>
      </c>
      <c r="C6" s="586" t="s">
        <v>7720</v>
      </c>
      <c r="D6" s="586" t="s">
        <v>6927</v>
      </c>
      <c r="E6" s="586" t="s">
        <v>7031</v>
      </c>
      <c r="F6" s="581" t="str">
        <f t="shared" ref="F6" si="2">CONCATENATE(ROW(B6),"❻",B6)</f>
        <v>6❻Nož. šoup.</v>
      </c>
      <c r="G6" s="582" t="str">
        <f t="shared" ref="G6" si="3">"'DICTIONARY-6'!$A$"&amp;ROW(A6)</f>
        <v>'DICTIONARY-6'!$A$6</v>
      </c>
    </row>
    <row r="7" spans="1:8" x14ac:dyDescent="0.25">
      <c r="A7" s="508" t="str">
        <f>IF(CHOOSE(SET.LANGUAGE,'DICTIONARY-6'!B7,'DICTIONARY-6'!C7,'DICTIONARY-6'!D7,'DICTIONARY-6'!E7,'DICTIONARY-6'!F7)=0,("??? "&amp;"DICTIONARY-4/"&amp;"LINE"&amp;(ROW(A7))),CHOOSE(SET.LANGUAGE,'DICTIONARY-6'!B7,'DICTIONARY-6'!C7,'DICTIONARY-6'!D7,'DICTIONARY-6'!E7,'DICTIONARY-6'!F7))</f>
        <v>Zaw. na-/odpowietrz.</v>
      </c>
      <c r="B7" s="690" t="s">
        <v>7716</v>
      </c>
      <c r="C7" s="586" t="s">
        <v>7715</v>
      </c>
      <c r="D7" s="586" t="s">
        <v>6855</v>
      </c>
      <c r="E7" s="586" t="s">
        <v>7032</v>
      </c>
      <c r="F7" s="581" t="str">
        <f t="shared" ref="F7" si="4">CONCATENATE(ROW(B7),"❻",B7)</f>
        <v>7❻Od-/zavzduš. vent.</v>
      </c>
      <c r="G7" s="582" t="str">
        <f t="shared" ref="G7" si="5">"'DICTIONARY-6'!$A$"&amp;ROW(A7)</f>
        <v>'DICTIONARY-6'!$A$7</v>
      </c>
    </row>
    <row r="8" spans="1:8" x14ac:dyDescent="0.25">
      <c r="A8" s="508" t="str">
        <f>IF(CHOOSE(SET.LANGUAGE,'DICTIONARY-6'!B8,'DICTIONARY-6'!C8,'DICTIONARY-6'!D8,'DICTIONARY-6'!E8,'DICTIONARY-6'!F8)=0,("??? "&amp;"DICTIONARY-4/"&amp;"LINE"&amp;(ROW(A8))),CHOOSE(SET.LANGUAGE,'DICTIONARY-6'!B8,'DICTIONARY-6'!C8,'DICTIONARY-6'!D8,'DICTIONARY-6'!E8,'DICTIONARY-6'!F8))</f>
        <v>Zaw. na-/odpowietrz.</v>
      </c>
      <c r="B8" s="690" t="s">
        <v>6840</v>
      </c>
      <c r="C8" s="586" t="s">
        <v>7692</v>
      </c>
      <c r="D8" s="586" t="s">
        <v>6855</v>
      </c>
      <c r="E8" s="586" t="str">
        <f>$E$7</f>
        <v>Zaw. na-/odpowietrz.</v>
      </c>
      <c r="F8" s="581" t="str">
        <f>CONCATENATE(ROW(B8),"❻",B8)</f>
        <v>8❻Odvzduš. soupr.</v>
      </c>
      <c r="G8" s="582" t="str">
        <f>"'DICTIONARY-6'!$A$"&amp;ROW(A8)</f>
        <v>'DICTIONARY-6'!$A$8</v>
      </c>
    </row>
    <row r="9" spans="1:8" x14ac:dyDescent="0.25">
      <c r="A9" s="508" t="str">
        <f>IF(CHOOSE(SET.LANGUAGE,'DICTIONARY-6'!B9,'DICTIONARY-6'!C9,'DICTIONARY-6'!D9,'DICTIONARY-6'!E9,'DICTIONARY-6'!F9)=0,("??? "&amp;"DICTIONARY-4/"&amp;"LINE"&amp;(ROW(A9))),CHOOSE(SET.LANGUAGE,'DICTIONARY-6'!B9,'DICTIONARY-6'!C9,'DICTIONARY-6'!D9,'DICTIONARY-6'!E9,'DICTIONARY-6'!F9))</f>
        <v>Zaw. powietrz.</v>
      </c>
      <c r="B9" s="690" t="s">
        <v>6851</v>
      </c>
      <c r="C9" s="586" t="s">
        <v>6851</v>
      </c>
      <c r="D9" s="586" t="s">
        <v>6855</v>
      </c>
      <c r="E9" s="586" t="s">
        <v>7033</v>
      </c>
      <c r="F9" s="581" t="str">
        <f t="shared" ref="F9" si="6">CONCATENATE(ROW(B9),"❻",B9)</f>
        <v>9❻Odvzuš. ventil</v>
      </c>
      <c r="G9" s="582" t="str">
        <f t="shared" ref="G9" si="7">"'DICTIONARY-6'!$A$"&amp;ROW(A9)</f>
        <v>'DICTIONARY-6'!$A$9</v>
      </c>
    </row>
    <row r="10" spans="1:8" x14ac:dyDescent="0.25">
      <c r="A10" s="508" t="str">
        <f>IF(CHOOSE(SET.LANGUAGE,'DICTIONARY-6'!B10,'DICTIONARY-6'!C10,'DICTIONARY-6'!D10,'DICTIONARY-6'!E10,'DICTIONARY-6'!F10)=0,("??? "&amp;"DICTIONARY-4/"&amp;"LINE"&amp;(ROW(A10))),CHOOSE(SET.LANGUAGE,'DICTIONARY-6'!B10,'DICTIONARY-6'!C10,'DICTIONARY-6'!D10,'DICTIONARY-6'!E10,'DICTIONARY-6'!F10))</f>
        <v>Hydr. podz.</v>
      </c>
      <c r="B10" s="690" t="s">
        <v>6837</v>
      </c>
      <c r="C10" s="586" t="s">
        <v>6837</v>
      </c>
      <c r="D10" s="586" t="s">
        <v>6838</v>
      </c>
      <c r="E10" s="586" t="s">
        <v>7034</v>
      </c>
      <c r="F10" s="581" t="str">
        <f>CONCATENATE(ROW(B10),"❻",B10)</f>
        <v>10❻Podz. hydr.</v>
      </c>
      <c r="G10" s="582" t="str">
        <f>"'DICTIONARY-6'!$A$"&amp;ROW(A10)</f>
        <v>'DICTIONARY-6'!$A$10</v>
      </c>
    </row>
    <row r="11" spans="1:8" x14ac:dyDescent="0.25">
      <c r="A11" s="508" t="str">
        <f>IF(CHOOSE(SET.LANGUAGE,'DICTIONARY-6'!B11,'DICTIONARY-6'!C11,'DICTIONARY-6'!D11,'DICTIONARY-6'!E11,'DICTIONARY-6'!F11)=0,("??? "&amp;"DICTIONARY-4/"&amp;"LINE"&amp;(ROW(A11))),CHOOSE(SET.LANGUAGE,'DICTIONARY-6'!B11,'DICTIONARY-6'!C11,'DICTIONARY-6'!D11,'DICTIONARY-6'!E11,'DICTIONARY-6'!F11))</f>
        <v>Hydr. nadz.</v>
      </c>
      <c r="B11" s="690" t="s">
        <v>6878</v>
      </c>
      <c r="C11" s="586" t="s">
        <v>6878</v>
      </c>
      <c r="D11" s="586" t="s">
        <v>6879</v>
      </c>
      <c r="E11" s="586" t="s">
        <v>7035</v>
      </c>
      <c r="F11" s="581" t="str">
        <f t="shared" ref="F11" si="8">CONCATENATE(ROW(B11),"❻",B11)</f>
        <v>11❻Nadz. hydr.</v>
      </c>
      <c r="G11" s="582" t="str">
        <f t="shared" ref="G11" si="9">"'DICTIONARY-6'!$A$"&amp;ROW(A11)</f>
        <v>'DICTIONARY-6'!$A$11</v>
      </c>
    </row>
    <row r="12" spans="1:8" x14ac:dyDescent="0.25">
      <c r="A12" s="508" t="str">
        <f>IF(CHOOSE(SET.LANGUAGE,'DICTIONARY-6'!B12,'DICTIONARY-6'!C12,'DICTIONARY-6'!D12,'DICTIONARY-6'!E12,'DICTIONARY-6'!F12)=0,("??? "&amp;"DICTIONARY-4/"&amp;"LINE"&amp;(ROW(A12))),CHOOSE(SET.LANGUAGE,'DICTIONARY-6'!B12,'DICTIONARY-6'!C12,'DICTIONARY-6'!D12,'DICTIONARY-6'!E12,'DICTIONARY-6'!F12))</f>
        <v>Obud. ziemn</v>
      </c>
      <c r="B12" s="690" t="s">
        <v>6844</v>
      </c>
      <c r="C12" s="586" t="s">
        <v>7693</v>
      </c>
      <c r="D12" s="586" t="s">
        <v>6841</v>
      </c>
      <c r="E12" s="586" t="s">
        <v>7036</v>
      </c>
      <c r="F12" s="581" t="str">
        <f t="shared" ref="F12:F30" si="10">CONCATENATE(ROW(B12),"❻",B12)</f>
        <v>12❻Zem. soupr.</v>
      </c>
      <c r="G12" s="582" t="str">
        <f t="shared" ref="G12:G30" si="11">"'DICTIONARY-6'!$A$"&amp;ROW(A12)</f>
        <v>'DICTIONARY-6'!$A$12</v>
      </c>
    </row>
    <row r="13" spans="1:8" x14ac:dyDescent="0.25">
      <c r="A13" s="508" t="str">
        <f>IF(CHOOSE(SET.LANGUAGE,'DICTIONARY-6'!B13,'DICTIONARY-6'!C13,'DICTIONARY-6'!D13,'DICTIONARY-6'!E13,'DICTIONARY-6'!F13)=0,("??? "&amp;"DICTIONARY-4/"&amp;"LINE"&amp;(ROW(A13))),CHOOSE(SET.LANGUAGE,'DICTIONARY-6'!B13,'DICTIONARY-6'!C13,'DICTIONARY-6'!D13,'DICTIONARY-6'!E13,'DICTIONARY-6'!F13))</f>
        <v>Łącznik</v>
      </c>
      <c r="B13" s="690" t="s">
        <v>6845</v>
      </c>
      <c r="C13" s="586" t="s">
        <v>6845</v>
      </c>
      <c r="D13" s="586" t="s">
        <v>6843</v>
      </c>
      <c r="E13" s="586" t="s">
        <v>7037</v>
      </c>
      <c r="F13" s="581" t="str">
        <f t="shared" si="10"/>
        <v>13❻Potr. spojka</v>
      </c>
      <c r="G13" s="582" t="str">
        <f t="shared" si="11"/>
        <v>'DICTIONARY-6'!$A$13</v>
      </c>
    </row>
    <row r="14" spans="1:8" x14ac:dyDescent="0.25">
      <c r="A14" s="508" t="str">
        <f>IF(CHOOSE(SET.LANGUAGE,'DICTIONARY-6'!B14,'DICTIONARY-6'!C14,'DICTIONARY-6'!D14,'DICTIONARY-6'!E14,'DICTIONARY-6'!F14)=0,("??? "&amp;"DICTIONARY-4/"&amp;"LINE"&amp;(ROW(A14))),CHOOSE(SET.LANGUAGE,'DICTIONARY-6'!B14,'DICTIONARY-6'!C14,'DICTIONARY-6'!D14,'DICTIONARY-6'!E14,'DICTIONARY-6'!F14))</f>
        <v>Adapt. kołnierz.</v>
      </c>
      <c r="B14" s="690" t="s">
        <v>6847</v>
      </c>
      <c r="C14" s="586" t="s">
        <v>7694</v>
      </c>
      <c r="D14" s="586" t="s">
        <v>6846</v>
      </c>
      <c r="E14" s="586" t="s">
        <v>7038</v>
      </c>
      <c r="F14" s="581" t="str">
        <f t="shared" si="10"/>
        <v>14❻Přír. adapt.</v>
      </c>
      <c r="G14" s="582" t="str">
        <f t="shared" si="11"/>
        <v>'DICTIONARY-6'!$A$14</v>
      </c>
    </row>
    <row r="15" spans="1:8" x14ac:dyDescent="0.25">
      <c r="A15" s="508" t="str">
        <f>IF(CHOOSE(SET.LANGUAGE,'DICTIONARY-6'!B15,'DICTIONARY-6'!C15,'DICTIONARY-6'!D15,'DICTIONARY-6'!E15,'DICTIONARY-6'!F15)=0,("??? "&amp;"DICTIONARY-4/"&amp;"LINE"&amp;(ROW(A15))),CHOOSE(SET.LANGUAGE,'DICTIONARY-6'!B15,'DICTIONARY-6'!C15,'DICTIONARY-6'!D15,'DICTIONARY-6'!E15,'DICTIONARY-6'!F15))</f>
        <v>Wstawka mont.</v>
      </c>
      <c r="B15" s="690" t="s">
        <v>6848</v>
      </c>
      <c r="C15" s="586" t="s">
        <v>6848</v>
      </c>
      <c r="D15" s="586" t="s">
        <v>6849</v>
      </c>
      <c r="E15" s="586" t="s">
        <v>7039</v>
      </c>
      <c r="F15" s="581" t="str">
        <f t="shared" si="10"/>
        <v>15❻Mont. vl.</v>
      </c>
      <c r="G15" s="582" t="str">
        <f t="shared" si="11"/>
        <v>'DICTIONARY-6'!$A$15</v>
      </c>
    </row>
    <row r="16" spans="1:8" x14ac:dyDescent="0.25">
      <c r="A16" s="508" t="str">
        <f>IF(CHOOSE(SET.LANGUAGE,'DICTIONARY-6'!B16,'DICTIONARY-6'!C16,'DICTIONARY-6'!D16,'DICTIONARY-6'!E16,'DICTIONARY-6'!F16)=0,("??? "&amp;"DICTIONARY-4/"&amp;"LINE"&amp;(ROW(A16))),CHOOSE(SET.LANGUAGE,'DICTIONARY-6'!B16,'DICTIONARY-6'!C16,'DICTIONARY-6'!D16,'DICTIONARY-6'!E16,'DICTIONARY-6'!F16))</f>
        <v>Kosz ssący</v>
      </c>
      <c r="B16" s="690" t="s">
        <v>5718</v>
      </c>
      <c r="C16" s="586" t="s">
        <v>7426</v>
      </c>
      <c r="D16" s="586" t="s">
        <v>6858</v>
      </c>
      <c r="E16" s="586" t="s">
        <v>7008</v>
      </c>
      <c r="F16" s="581" t="str">
        <f t="shared" si="10"/>
        <v>16❻Sací koš</v>
      </c>
      <c r="G16" s="582" t="str">
        <f t="shared" si="11"/>
        <v>'DICTIONARY-6'!$A$16</v>
      </c>
    </row>
    <row r="17" spans="1:7" x14ac:dyDescent="0.25">
      <c r="A17" s="508" t="str">
        <f>IF(CHOOSE(SET.LANGUAGE,'DICTIONARY-6'!B17,'DICTIONARY-6'!C17,'DICTIONARY-6'!D17,'DICTIONARY-6'!E17,'DICTIONARY-6'!F17)=0,("??? "&amp;"DICTIONARY-4/"&amp;"LINE"&amp;(ROW(A17))),CHOOSE(SET.LANGUAGE,'DICTIONARY-6'!B17,'DICTIONARY-6'!C17,'DICTIONARY-6'!D17,'DICTIONARY-6'!E17,'DICTIONARY-6'!F17))</f>
        <v xml:space="preserve"> Zaw. regulacyjny</v>
      </c>
      <c r="B17" s="690" t="s">
        <v>6850</v>
      </c>
      <c r="C17" s="586" t="s">
        <v>6850</v>
      </c>
      <c r="D17" s="586" t="s">
        <v>6856</v>
      </c>
      <c r="E17" s="586" t="s">
        <v>7040</v>
      </c>
      <c r="F17" s="581" t="str">
        <f t="shared" si="10"/>
        <v>17❻Regul. vent.</v>
      </c>
      <c r="G17" s="582" t="str">
        <f t="shared" si="11"/>
        <v>'DICTIONARY-6'!$A$17</v>
      </c>
    </row>
    <row r="18" spans="1:7" x14ac:dyDescent="0.25">
      <c r="A18" s="508" t="str">
        <f>IF(CHOOSE(SET.LANGUAGE,'DICTIONARY-6'!B18,'DICTIONARY-6'!C18,'DICTIONARY-6'!D18,'DICTIONARY-6'!E18,'DICTIONARY-6'!F18)=0,("??? "&amp;"DICTIONARY-4/"&amp;"LINE"&amp;(ROW(A18))),CHOOSE(SET.LANGUAGE,'DICTIONARY-6'!B18,'DICTIONARY-6'!C18,'DICTIONARY-6'!D18,'DICTIONARY-6'!E18,'DICTIONARY-6'!F18))</f>
        <v>Zaw. kul.</v>
      </c>
      <c r="B18" s="690" t="s">
        <v>6852</v>
      </c>
      <c r="C18" s="586" t="s">
        <v>7721</v>
      </c>
      <c r="D18" s="586" t="s">
        <v>6857</v>
      </c>
      <c r="E18" s="586" t="s">
        <v>7041</v>
      </c>
      <c r="F18" s="581" t="str">
        <f t="shared" si="10"/>
        <v>18❻Kul. koh.</v>
      </c>
      <c r="G18" s="582" t="str">
        <f t="shared" si="11"/>
        <v>'DICTIONARY-6'!$A$18</v>
      </c>
    </row>
    <row r="19" spans="1:7" x14ac:dyDescent="0.25">
      <c r="A19" s="508" t="str">
        <f>IF(CHOOSE(SET.LANGUAGE,'DICTIONARY-6'!B19,'DICTIONARY-6'!C19,'DICTIONARY-6'!D19,'DICTIONARY-6'!E19,'DICTIONARY-6'!F19)=0,("??? "&amp;"DICTIONARY-4/"&amp;"LINE"&amp;(ROW(A19))),CHOOSE(SET.LANGUAGE,'DICTIONARY-6'!B19,'DICTIONARY-6'!C19,'DICTIONARY-6'!D19,'DICTIONARY-6'!E19,'DICTIONARY-6'!F19))</f>
        <v>Klapa przeciwcofk.</v>
      </c>
      <c r="B19" s="690" t="s">
        <v>6859</v>
      </c>
      <c r="C19" s="586" t="s">
        <v>6859</v>
      </c>
      <c r="D19" s="586" t="s">
        <v>6860</v>
      </c>
      <c r="E19" s="586" t="s">
        <v>7042</v>
      </c>
      <c r="F19" s="581" t="str">
        <f t="shared" si="10"/>
        <v>19❻Konc. kl.</v>
      </c>
      <c r="G19" s="582" t="str">
        <f t="shared" si="11"/>
        <v>'DICTIONARY-6'!$A$19</v>
      </c>
    </row>
    <row r="20" spans="1:7" x14ac:dyDescent="0.25">
      <c r="A20" s="508" t="str">
        <f>IF(CHOOSE(SET.LANGUAGE,'DICTIONARY-6'!B20,'DICTIONARY-6'!C20,'DICTIONARY-6'!D20,'DICTIONARY-6'!E20,'DICTIONARY-6'!F20)=0,("??? "&amp;"DICTIONARY-4/"&amp;"LINE"&amp;(ROW(A20))),CHOOSE(SET.LANGUAGE,'DICTIONARY-6'!B20,'DICTIONARY-6'!C20,'DICTIONARY-6'!D20,'DICTIONARY-6'!E20,'DICTIONARY-6'!F20))</f>
        <v>Zaw. zwrotny</v>
      </c>
      <c r="B20" s="690" t="s">
        <v>6861</v>
      </c>
      <c r="C20" s="586" t="s">
        <v>7695</v>
      </c>
      <c r="D20" s="586" t="s">
        <v>6863</v>
      </c>
      <c r="E20" s="586" t="s">
        <v>7043</v>
      </c>
      <c r="F20" s="581" t="str">
        <f t="shared" si="10"/>
        <v>20❻Zpět. kl.</v>
      </c>
      <c r="G20" s="582" t="str">
        <f t="shared" si="11"/>
        <v>'DICTIONARY-6'!$A$20</v>
      </c>
    </row>
    <row r="21" spans="1:7" x14ac:dyDescent="0.25">
      <c r="A21" s="508" t="str">
        <f>IF(CHOOSE(SET.LANGUAGE,'DICTIONARY-6'!B21,'DICTIONARY-6'!C21,'DICTIONARY-6'!D21,'DICTIONARY-6'!E21,'DICTIONARY-6'!F21)=0,("??? "&amp;"DICTIONARY-4/"&amp;"LINE"&amp;(ROW(A21))),CHOOSE(SET.LANGUAGE,'DICTIONARY-6'!B21,'DICTIONARY-6'!C21,'DICTIONARY-6'!D21,'DICTIONARY-6'!E21,'DICTIONARY-6'!F21))</f>
        <v>Mostek nawiert.</v>
      </c>
      <c r="B21" s="690" t="s">
        <v>6862</v>
      </c>
      <c r="C21" s="586" t="s">
        <v>7722</v>
      </c>
      <c r="D21" s="586" t="s">
        <v>6864</v>
      </c>
      <c r="E21" s="586" t="s">
        <v>7044</v>
      </c>
      <c r="F21" s="581" t="str">
        <f t="shared" si="10"/>
        <v>21❻Navrt. pas</v>
      </c>
      <c r="G21" s="582" t="str">
        <f t="shared" si="11"/>
        <v>'DICTIONARY-6'!$A$21</v>
      </c>
    </row>
    <row r="22" spans="1:7" x14ac:dyDescent="0.25">
      <c r="A22" s="508" t="str">
        <f>IF(CHOOSE(SET.LANGUAGE,'DICTIONARY-6'!B22,'DICTIONARY-6'!C22,'DICTIONARY-6'!D22,'DICTIONARY-6'!E22,'DICTIONARY-6'!F22)=0,("??? "&amp;"DICTIONARY-4/"&amp;"LINE"&amp;(ROW(A22))),CHOOSE(SET.LANGUAGE,'DICTIONARY-6'!B22,'DICTIONARY-6'!C22,'DICTIONARY-6'!D22,'DICTIONARY-6'!E22,'DICTIONARY-6'!F22))</f>
        <v>do mostków nawiert.</v>
      </c>
      <c r="B22" s="690" t="s">
        <v>7047</v>
      </c>
      <c r="C22" s="586" t="s">
        <v>7723</v>
      </c>
      <c r="D22" s="586" t="s">
        <v>7045</v>
      </c>
      <c r="E22" s="586" t="s">
        <v>7046</v>
      </c>
      <c r="F22" s="581" t="str">
        <f t="shared" si="10"/>
        <v>22❻pro navrt.pasy</v>
      </c>
      <c r="G22" s="582" t="str">
        <f t="shared" si="11"/>
        <v>'DICTIONARY-6'!$A$22</v>
      </c>
    </row>
    <row r="23" spans="1:7" x14ac:dyDescent="0.25">
      <c r="A23" s="508" t="str">
        <f>IF(CHOOSE(SET.LANGUAGE,'DICTIONARY-6'!B23,'DICTIONARY-6'!C23,'DICTIONARY-6'!D23,'DICTIONARY-6'!E23,'DICTIONARY-6'!F23)=0,("??? "&amp;"DICTIONARY-4/"&amp;"LINE"&amp;(ROW(A23))),CHOOSE(SET.LANGUAGE,'DICTIONARY-6'!B23,'DICTIONARY-6'!C23,'DICTIONARY-6'!D23,'DICTIONARY-6'!E23,'DICTIONARY-6'!F23))</f>
        <v>z zasuwa</v>
      </c>
      <c r="B23" s="690" t="s">
        <v>6913</v>
      </c>
      <c r="C23" s="586" t="s">
        <v>7724</v>
      </c>
      <c r="D23" s="586" t="s">
        <v>6915</v>
      </c>
      <c r="E23" s="586" t="s">
        <v>7048</v>
      </c>
      <c r="F23" s="581" t="str">
        <f t="shared" si="10"/>
        <v>23❻se šoup.</v>
      </c>
      <c r="G23" s="582" t="str">
        <f t="shared" si="11"/>
        <v>'DICTIONARY-6'!$A$23</v>
      </c>
    </row>
    <row r="24" spans="1:7" x14ac:dyDescent="0.25">
      <c r="A24" s="508" t="str">
        <f>IF(CHOOSE(SET.LANGUAGE,'DICTIONARY-6'!B24,'DICTIONARY-6'!C24,'DICTIONARY-6'!D24,'DICTIONARY-6'!E24,'DICTIONARY-6'!F24)=0,("??? "&amp;"DICTIONARY-4/"&amp;"LINE"&amp;(ROW(A24))),CHOOSE(SET.LANGUAGE,'DICTIONARY-6'!B24,'DICTIONARY-6'!C24,'DICTIONARY-6'!D24,'DICTIONARY-6'!E24,'DICTIONARY-6'!F24))</f>
        <v>Kształtka</v>
      </c>
      <c r="B24" s="690" t="s">
        <v>6845</v>
      </c>
      <c r="C24" s="586" t="s">
        <v>6845</v>
      </c>
      <c r="D24" s="586" t="s">
        <v>6813</v>
      </c>
      <c r="E24" s="586" t="s">
        <v>7012</v>
      </c>
      <c r="F24" s="581" t="str">
        <f t="shared" si="10"/>
        <v>24❻Potr. spojka</v>
      </c>
      <c r="G24" s="582" t="str">
        <f t="shared" si="11"/>
        <v>'DICTIONARY-6'!$A$24</v>
      </c>
    </row>
    <row r="25" spans="1:7" x14ac:dyDescent="0.25">
      <c r="A25" s="508" t="str">
        <f>IF(CHOOSE(SET.LANGUAGE,'DICTIONARY-6'!B25,'DICTIONARY-6'!C25,'DICTIONARY-6'!D25,'DICTIONARY-6'!E25,'DICTIONARY-6'!F25)=0,("??? "&amp;"DICTIONARY-4/"&amp;"LINE"&amp;(ROW(A25))),CHOOSE(SET.LANGUAGE,'DICTIONARY-6'!B25,'DICTIONARY-6'!C25,'DICTIONARY-6'!D25,'DICTIONARY-6'!E25,'DICTIONARY-6'!F25))</f>
        <v>PE obejma PE100</v>
      </c>
      <c r="B25" s="690" t="s">
        <v>6869</v>
      </c>
      <c r="C25" s="586" t="s">
        <v>7696</v>
      </c>
      <c r="D25" s="586" t="s">
        <v>6870</v>
      </c>
      <c r="E25" s="586" t="s">
        <v>7049</v>
      </c>
      <c r="F25" s="581" t="str">
        <f t="shared" si="10"/>
        <v>25❻Objímka navař. PE100</v>
      </c>
      <c r="G25" s="582" t="str">
        <f t="shared" si="11"/>
        <v>'DICTIONARY-6'!$A$25</v>
      </c>
    </row>
    <row r="26" spans="1:7" x14ac:dyDescent="0.25">
      <c r="A26" s="508" t="str">
        <f>IF(CHOOSE(SET.LANGUAGE,'DICTIONARY-6'!B26,'DICTIONARY-6'!C26,'DICTIONARY-6'!D26,'DICTIONARY-6'!E26,'DICTIONARY-6'!F26)=0,("??? "&amp;"DICTIONARY-4/"&amp;"LINE"&amp;(ROW(A26))),CHOOSE(SET.LANGUAGE,'DICTIONARY-6'!B26,'DICTIONARY-6'!C26,'DICTIONARY-6'!D26,'DICTIONARY-6'!E26,'DICTIONARY-6'!F26))</f>
        <v>pokr. wylotu z tworzywa</v>
      </c>
      <c r="B26" s="690" t="s">
        <v>6872</v>
      </c>
      <c r="C26" s="586" t="s">
        <v>7697</v>
      </c>
      <c r="D26" s="586" t="s">
        <v>6874</v>
      </c>
      <c r="E26" s="586" t="s">
        <v>7051</v>
      </c>
      <c r="F26" s="581" t="str">
        <f t="shared" si="10"/>
        <v>26❻plast. víčko</v>
      </c>
      <c r="G26" s="582" t="str">
        <f t="shared" si="11"/>
        <v>'DICTIONARY-6'!$A$26</v>
      </c>
    </row>
    <row r="27" spans="1:7" x14ac:dyDescent="0.25">
      <c r="A27" s="508" t="str">
        <f>IF(CHOOSE(SET.LANGUAGE,'DICTIONARY-6'!B27,'DICTIONARY-6'!C27,'DICTIONARY-6'!D27,'DICTIONARY-6'!E27,'DICTIONARY-6'!F27)=0,("??? "&amp;"DICTIONARY-4/"&amp;"LINE"&amp;(ROW(A27))),CHOOSE(SET.LANGUAGE,'DICTIONARY-6'!B27,'DICTIONARY-6'!C27,'DICTIONARY-6'!D27,'DICTIONARY-6'!E27,'DICTIONARY-6'!F27))</f>
        <v>pokr. wylotu samozamykająca</v>
      </c>
      <c r="B27" s="690" t="s">
        <v>6873</v>
      </c>
      <c r="C27" s="586" t="s">
        <v>7698</v>
      </c>
      <c r="D27" s="586" t="s">
        <v>6875</v>
      </c>
      <c r="E27" s="586" t="s">
        <v>7050</v>
      </c>
      <c r="F27" s="581" t="str">
        <f t="shared" si="10"/>
        <v>27❻samouzav. víčko</v>
      </c>
      <c r="G27" s="582" t="str">
        <f t="shared" si="11"/>
        <v>'DICTIONARY-6'!$A$27</v>
      </c>
    </row>
    <row r="28" spans="1:7" x14ac:dyDescent="0.25">
      <c r="A28" s="508" t="str">
        <f>IF(CHOOSE(SET.LANGUAGE,'DICTIONARY-6'!B28,'DICTIONARY-6'!C28,'DICTIONARY-6'!D28,'DICTIONARY-6'!E28,'DICTIONARY-6'!F28)=0,("??? "&amp;"DICTIONARY-4/"&amp;"LINE"&amp;(ROW(A28))),CHOOSE(SET.LANGUAGE,'DICTIONARY-6'!B28,'DICTIONARY-6'!C28,'DICTIONARY-6'!D28,'DICTIONARY-6'!E28,'DICTIONARY-6'!F28))</f>
        <v>kły</v>
      </c>
      <c r="B28" s="690" t="s">
        <v>6876</v>
      </c>
      <c r="C28" s="586" t="s">
        <v>6876</v>
      </c>
      <c r="D28" s="586" t="s">
        <v>6877</v>
      </c>
      <c r="E28" s="586" t="s">
        <v>7052</v>
      </c>
      <c r="F28" s="581" t="str">
        <f t="shared" si="10"/>
        <v>28❻zázub.</v>
      </c>
      <c r="G28" s="582" t="str">
        <f t="shared" si="11"/>
        <v>'DICTIONARY-6'!$A$28</v>
      </c>
    </row>
    <row r="29" spans="1:7" x14ac:dyDescent="0.25">
      <c r="A29" s="508" t="str">
        <f>IF(CHOOSE(SET.LANGUAGE,'DICTIONARY-6'!B29,'DICTIONARY-6'!C29,'DICTIONARY-6'!D29,'DICTIONARY-6'!E29,'DICTIONARY-6'!F29)=0,("??? "&amp;"DICTIONARY-4/"&amp;"LINE"&amp;(ROW(A29))),CHOOSE(SET.LANGUAGE,'DICTIONARY-6'!B29,'DICTIONARY-6'!C29,'DICTIONARY-6'!D29,'DICTIONARY-6'!E29,'DICTIONARY-6'!F29))</f>
        <v>Zest. sterow.</v>
      </c>
      <c r="B29" s="690" t="s">
        <v>7725</v>
      </c>
      <c r="C29" s="586" t="s">
        <v>7725</v>
      </c>
      <c r="D29" s="586" t="s">
        <v>6881</v>
      </c>
      <c r="E29" s="586" t="s">
        <v>7053</v>
      </c>
      <c r="F29" s="581" t="str">
        <f t="shared" si="10"/>
        <v>29❻Ovl. sest.</v>
      </c>
      <c r="G29" s="582" t="str">
        <f t="shared" si="11"/>
        <v>'DICTIONARY-6'!$A$29</v>
      </c>
    </row>
    <row r="30" spans="1:7" x14ac:dyDescent="0.25">
      <c r="A30" s="508" t="str">
        <f>IF(CHOOSE(SET.LANGUAGE,'DICTIONARY-6'!B30,'DICTIONARY-6'!C30,'DICTIONARY-6'!D30,'DICTIONARY-6'!E30,'DICTIONARY-6'!F30)=0,("??? "&amp;"DICTIONARY-4/"&amp;"LINE"&amp;(ROW(A30))),CHOOSE(SET.LANGUAGE,'DICTIONARY-6'!B30,'DICTIONARY-6'!C30,'DICTIONARY-6'!D30,'DICTIONARY-6'!E30,'DICTIONARY-6'!F30))</f>
        <v>Mu/Mu</v>
      </c>
      <c r="B30" s="690" t="s">
        <v>6882</v>
      </c>
      <c r="C30" s="586" t="s">
        <v>7699</v>
      </c>
      <c r="D30" s="586" t="s">
        <v>6882</v>
      </c>
      <c r="E30" s="586" t="s">
        <v>6882</v>
      </c>
      <c r="F30" s="581" t="str">
        <f t="shared" si="10"/>
        <v>30❻Mu/Mu</v>
      </c>
      <c r="G30" s="582" t="str">
        <f t="shared" si="11"/>
        <v>'DICTIONARY-6'!$A$30</v>
      </c>
    </row>
    <row r="31" spans="1:7" x14ac:dyDescent="0.25">
      <c r="A31" s="508" t="str">
        <f>IF(CHOOSE(SET.LANGUAGE,'DICTIONARY-6'!B31,'DICTIONARY-6'!C31,'DICTIONARY-6'!D31,'DICTIONARY-6'!E31,'DICTIONARY-6'!F31)=0,("??? "&amp;"DICTIONARY-4/"&amp;"LINE"&amp;(ROW(A31))),CHOOSE(SET.LANGUAGE,'DICTIONARY-6'!B31,'DICTIONARY-6'!C31,'DICTIONARY-6'!D31,'DICTIONARY-6'!E31,'DICTIONARY-6'!F31))</f>
        <v>Mu/Sp</v>
      </c>
      <c r="B31" s="690" t="s">
        <v>6902</v>
      </c>
      <c r="C31" s="586" t="s">
        <v>7700</v>
      </c>
      <c r="D31" s="586" t="s">
        <v>6902</v>
      </c>
      <c r="E31" s="586" t="s">
        <v>6902</v>
      </c>
      <c r="F31" s="581" t="str">
        <f t="shared" ref="F31:F32" si="12">CONCATENATE(ROW(B31),"❻",B31)</f>
        <v>31❻Mu/Sp</v>
      </c>
      <c r="G31" s="582" t="str">
        <f t="shared" ref="G31:G32" si="13">"'DICTIONARY-6'!$A$"&amp;ROW(A31)</f>
        <v>'DICTIONARY-6'!$A$31</v>
      </c>
    </row>
    <row r="32" spans="1:7" x14ac:dyDescent="0.25">
      <c r="A32" s="508" t="str">
        <f>IF(CHOOSE(SET.LANGUAGE,'DICTIONARY-6'!B32,'DICTIONARY-6'!C32,'DICTIONARY-6'!D32,'DICTIONARY-6'!E32,'DICTIONARY-6'!F32)=0,("??? "&amp;"DICTIONARY-4/"&amp;"LINE"&amp;(ROW(A32))),CHOOSE(SET.LANGUAGE,'DICTIONARY-6'!B32,'DICTIONARY-6'!C32,'DICTIONARY-6'!D32,'DICTIONARY-6'!E32,'DICTIONARY-6'!F32))</f>
        <v>Fl/Sp</v>
      </c>
      <c r="B32" s="690" t="s">
        <v>6903</v>
      </c>
      <c r="C32" s="586" t="s">
        <v>7701</v>
      </c>
      <c r="D32" s="586" t="s">
        <v>6903</v>
      </c>
      <c r="E32" s="586" t="s">
        <v>6903</v>
      </c>
      <c r="F32" s="581" t="str">
        <f t="shared" si="12"/>
        <v>32❻Fl/Sp</v>
      </c>
      <c r="G32" s="582" t="str">
        <f t="shared" si="13"/>
        <v>'DICTIONARY-6'!$A$32</v>
      </c>
    </row>
    <row r="33" spans="1:7" x14ac:dyDescent="0.25">
      <c r="A33" s="508" t="str">
        <f>IF(CHOOSE(SET.LANGUAGE,'DICTIONARY-6'!B33,'DICTIONARY-6'!C33,'DICTIONARY-6'!D33,'DICTIONARY-6'!E33,'DICTIONARY-6'!F33)=0,("??? "&amp;"DICTIONARY-4/"&amp;"LINE"&amp;(ROW(A33))),CHOOSE(SET.LANGUAGE,'DICTIONARY-6'!B33,'DICTIONARY-6'!C33,'DICTIONARY-6'!D33,'DICTIONARY-6'!E33,'DICTIONARY-6'!F33))</f>
        <v>wskaźnik położenia</v>
      </c>
      <c r="B33" s="690" t="s">
        <v>7726</v>
      </c>
      <c r="C33" s="586" t="s">
        <v>7726</v>
      </c>
      <c r="D33" s="586" t="s">
        <v>6883</v>
      </c>
      <c r="E33" s="586" t="s">
        <v>7054</v>
      </c>
      <c r="F33" s="581" t="str">
        <f t="shared" ref="F33:F43" si="14">CONCATENATE(ROW(B33),"❻",B33)</f>
        <v>33❻ukaz. polohy</v>
      </c>
      <c r="G33" s="582" t="str">
        <f t="shared" ref="G33:G43" si="15">"'DICTIONARY-6'!$A$"&amp;ROW(A33)</f>
        <v>'DICTIONARY-6'!$A$33</v>
      </c>
    </row>
    <row r="34" spans="1:7" x14ac:dyDescent="0.25">
      <c r="A34" s="508" t="str">
        <f>IF(CHOOSE(SET.LANGUAGE,'DICTIONARY-6'!B34,'DICTIONARY-6'!C34,'DICTIONARY-6'!D34,'DICTIONARY-6'!E34,'DICTIONARY-6'!F34)=0,("??? "&amp;"DICTIONARY-4/"&amp;"LINE"&amp;(ROW(A34))),CHOOSE(SET.LANGUAGE,'DICTIONARY-6'!B34,'DICTIONARY-6'!C34,'DICTIONARY-6'!D34,'DICTIONARY-6'!E34,'DICTIONARY-6'!F34))</f>
        <v>śr.stal węglowa</v>
      </c>
      <c r="B34" s="690" t="s">
        <v>6896</v>
      </c>
      <c r="C34" s="586" t="s">
        <v>7702</v>
      </c>
      <c r="D34" s="586" t="s">
        <v>6888</v>
      </c>
      <c r="E34" s="586" t="s">
        <v>7055</v>
      </c>
      <c r="F34" s="581" t="str">
        <f t="shared" si="14"/>
        <v>34❻šr. ocel</v>
      </c>
      <c r="G34" s="582" t="str">
        <f t="shared" si="15"/>
        <v>'DICTIONARY-6'!$A$34</v>
      </c>
    </row>
    <row r="35" spans="1:7" x14ac:dyDescent="0.25">
      <c r="A35" s="508" t="str">
        <f>IF(CHOOSE(SET.LANGUAGE,'DICTIONARY-6'!B35,'DICTIONARY-6'!C35,'DICTIONARY-6'!D35,'DICTIONARY-6'!E35,'DICTIONARY-6'!F35)=0,("??? "&amp;"DICTIONARY-4/"&amp;"LINE"&amp;(ROW(A35))),CHOOSE(SET.LANGUAGE,'DICTIONARY-6'!B35,'DICTIONARY-6'!C35,'DICTIONARY-6'!D35,'DICTIONARY-6'!E35,'DICTIONARY-6'!F35))</f>
        <v>śr.stal nierdzewna</v>
      </c>
      <c r="B35" s="690" t="s">
        <v>6897</v>
      </c>
      <c r="C35" s="586" t="s">
        <v>7703</v>
      </c>
      <c r="D35" s="586" t="s">
        <v>6889</v>
      </c>
      <c r="E35" s="586" t="s">
        <v>7056</v>
      </c>
      <c r="F35" s="581" t="str">
        <f t="shared" si="14"/>
        <v>35❻šr. nerez</v>
      </c>
      <c r="G35" s="582" t="str">
        <f t="shared" si="15"/>
        <v>'DICTIONARY-6'!$A$35</v>
      </c>
    </row>
    <row r="36" spans="1:7" x14ac:dyDescent="0.25">
      <c r="A36" s="508" t="str">
        <f>IF(CHOOSE(SET.LANGUAGE,'DICTIONARY-6'!B36,'DICTIONARY-6'!C36,'DICTIONARY-6'!D36,'DICTIONARY-6'!E36,'DICTIONARY-6'!F36)=0,("??? "&amp;"DICTIONARY-4/"&amp;"LINE"&amp;(ROW(A36))),CHOOSE(SET.LANGUAGE,'DICTIONARY-6'!B36,'DICTIONARY-6'!C36,'DICTIONARY-6'!D36,'DICTIONARY-6'!E36,'DICTIONARY-6'!F36))</f>
        <v>SYNT.</v>
      </c>
      <c r="B36" s="690" t="s">
        <v>6890</v>
      </c>
      <c r="C36" s="586" t="s">
        <v>6890</v>
      </c>
      <c r="D36" s="586" t="s">
        <v>6890</v>
      </c>
      <c r="E36" s="586" t="s">
        <v>6890</v>
      </c>
      <c r="F36" s="581" t="str">
        <f t="shared" si="14"/>
        <v>36❻SYNT.</v>
      </c>
      <c r="G36" s="582" t="str">
        <f t="shared" si="15"/>
        <v>'DICTIONARY-6'!$A$36</v>
      </c>
    </row>
    <row r="37" spans="1:7" x14ac:dyDescent="0.25">
      <c r="A37" s="508" t="str">
        <f>IF(CHOOSE(SET.LANGUAGE,'DICTIONARY-6'!B37,'DICTIONARY-6'!C37,'DICTIONARY-6'!D37,'DICTIONARY-6'!E37,'DICTIONARY-6'!F37)=0,("??? "&amp;"DICTIONARY-4/"&amp;"LINE"&amp;(ROW(A37))),CHOOSE(SET.LANGUAGE,'DICTIONARY-6'!B37,'DICTIONARY-6'!C37,'DICTIONARY-6'!D37,'DICTIONARY-6'!E37,'DICTIONARY-6'!F37))</f>
        <v>EPOX.</v>
      </c>
      <c r="B37" s="690" t="s">
        <v>7057</v>
      </c>
      <c r="C37" s="586" t="s">
        <v>7057</v>
      </c>
      <c r="D37" s="586" t="s">
        <v>7057</v>
      </c>
      <c r="E37" s="586" t="s">
        <v>7057</v>
      </c>
      <c r="F37" s="581" t="str">
        <f t="shared" si="14"/>
        <v>37❻EPOX.</v>
      </c>
      <c r="G37" s="582" t="str">
        <f t="shared" si="15"/>
        <v>'DICTIONARY-6'!$A$37</v>
      </c>
    </row>
    <row r="38" spans="1:7" x14ac:dyDescent="0.25">
      <c r="A38" s="508" t="str">
        <f>IF(CHOOSE(SET.LANGUAGE,'DICTIONARY-6'!B38,'DICTIONARY-6'!C38,'DICTIONARY-6'!D38,'DICTIONARY-6'!E38,'DICTIONARY-6'!F38)=0,("??? "&amp;"DICTIONARY-4/"&amp;"LINE"&amp;(ROW(A38))),CHOOSE(SET.LANGUAGE,'DICTIONARY-6'!B38,'DICTIONARY-6'!C38,'DICTIONARY-6'!D38,'DICTIONARY-6'!E38,'DICTIONARY-6'!F38))</f>
        <v>cert. 3.1</v>
      </c>
      <c r="B38" s="690" t="s">
        <v>6891</v>
      </c>
      <c r="C38" s="586" t="s">
        <v>6891</v>
      </c>
      <c r="D38" s="586" t="s">
        <v>6892</v>
      </c>
      <c r="E38" s="586" t="s">
        <v>6892</v>
      </c>
      <c r="F38" s="581" t="str">
        <f t="shared" si="14"/>
        <v>38❻zk. 3.1</v>
      </c>
      <c r="G38" s="582" t="str">
        <f t="shared" si="15"/>
        <v>'DICTIONARY-6'!$A$38</v>
      </c>
    </row>
    <row r="39" spans="1:7" x14ac:dyDescent="0.25">
      <c r="A39" s="508" t="str">
        <f>IF(CHOOSE(SET.LANGUAGE,'DICTIONARY-6'!B39,'DICTIONARY-6'!C39,'DICTIONARY-6'!D39,'DICTIONARY-6'!E39,'DICTIONARY-6'!F39)=0,("??? "&amp;"DICTIONARY-4/"&amp;"LINE"&amp;(ROW(A39))),CHOOSE(SET.LANGUAGE,'DICTIONARY-6'!B39,'DICTIONARY-6'!C39,'DICTIONARY-6'!D39,'DICTIONARY-6'!E39,'DICTIONARY-6'!F39))</f>
        <v>bez gwint. owiertu</v>
      </c>
      <c r="B39" s="690" t="s">
        <v>7727</v>
      </c>
      <c r="C39" s="586" t="s">
        <v>7727</v>
      </c>
      <c r="D39" s="586" t="s">
        <v>6901</v>
      </c>
      <c r="E39" s="586" t="s">
        <v>7058</v>
      </c>
      <c r="F39" s="581" t="str">
        <f t="shared" si="14"/>
        <v>39❻bez závitu</v>
      </c>
      <c r="G39" s="582" t="str">
        <f t="shared" si="15"/>
        <v>'DICTIONARY-6'!$A$39</v>
      </c>
    </row>
    <row r="40" spans="1:7" x14ac:dyDescent="0.25">
      <c r="A40" s="508" t="str">
        <f>IF(CHOOSE(SET.LANGUAGE,'DICTIONARY-6'!B40,'DICTIONARY-6'!C40,'DICTIONARY-6'!D40,'DICTIONARY-6'!E40,'DICTIONARY-6'!F40)=0,("??? "&amp;"DICTIONARY-4/"&amp;"LINE"&amp;(ROW(A40))),CHOOSE(SET.LANGUAGE,'DICTIONARY-6'!B40,'DICTIONARY-6'!C40,'DICTIONARY-6'!D40,'DICTIONARY-6'!E40,'DICTIONARY-6'!F40))</f>
        <v>z pierścieniem blokującym</v>
      </c>
      <c r="B40" s="690" t="s">
        <v>6893</v>
      </c>
      <c r="C40" s="586" t="s">
        <v>7704</v>
      </c>
      <c r="D40" s="586" t="s">
        <v>6894</v>
      </c>
      <c r="E40" s="586" t="s">
        <v>7059</v>
      </c>
      <c r="F40" s="581" t="str">
        <f t="shared" si="14"/>
        <v>40❻s uzam. prstencem</v>
      </c>
      <c r="G40" s="582" t="str">
        <f t="shared" si="15"/>
        <v>'DICTIONARY-6'!$A$40</v>
      </c>
    </row>
    <row r="41" spans="1:7" x14ac:dyDescent="0.25">
      <c r="A41" s="508" t="str">
        <f>IF(CHOOSE(SET.LANGUAGE,'DICTIONARY-6'!B41,'DICTIONARY-6'!C41,'DICTIONARY-6'!D41,'DICTIONARY-6'!E41,'DICTIONARY-6'!F41)=0,("??? "&amp;"DICTIONARY-4/"&amp;"LINE"&amp;(ROW(A41))),CHOOSE(SET.LANGUAGE,'DICTIONARY-6'!B41,'DICTIONARY-6'!C41,'DICTIONARY-6'!D41,'DICTIONARY-6'!E41,'DICTIONARY-6'!F41))</f>
        <v>kolano stopowe</v>
      </c>
      <c r="B41" s="690" t="s">
        <v>6895</v>
      </c>
      <c r="C41" s="586" t="s">
        <v>7728</v>
      </c>
      <c r="D41" s="584" t="str">
        <f>LOWER('DICTIONARY-3'!D347)</f>
        <v>base elbow</v>
      </c>
      <c r="E41" s="586" t="s">
        <v>7060</v>
      </c>
      <c r="F41" s="581" t="str">
        <f t="shared" si="14"/>
        <v>41❻patk. koleno</v>
      </c>
      <c r="G41" s="582" t="str">
        <f t="shared" si="15"/>
        <v>'DICTIONARY-6'!$A$41</v>
      </c>
    </row>
    <row r="42" spans="1:7" x14ac:dyDescent="0.25">
      <c r="A42" s="508" t="str">
        <f>IF(CHOOSE(SET.LANGUAGE,'DICTIONARY-6'!B42,'DICTIONARY-6'!C42,'DICTIONARY-6'!D42,'DICTIONARY-6'!E42,'DICTIONARY-6'!F42)=0,("??? "&amp;"DICTIONARY-4/"&amp;"LINE"&amp;(ROW(A42))),CHOOSE(SET.LANGUAGE,'DICTIONARY-6'!B42,'DICTIONARY-6'!C42,'DICTIONARY-6'!D42,'DICTIONARY-6'!E42,'DICTIONARY-6'!F42))</f>
        <v>wbudow. zaw.</v>
      </c>
      <c r="B42" s="690" t="s">
        <v>6899</v>
      </c>
      <c r="C42" s="586" t="s">
        <v>7705</v>
      </c>
      <c r="D42" s="586" t="s">
        <v>6900</v>
      </c>
      <c r="E42" s="586" t="s">
        <v>7061</v>
      </c>
      <c r="F42" s="581" t="str">
        <f t="shared" si="14"/>
        <v>42❻vnitř. ventil</v>
      </c>
      <c r="G42" s="582" t="str">
        <f t="shared" si="15"/>
        <v>'DICTIONARY-6'!$A$42</v>
      </c>
    </row>
    <row r="43" spans="1:7" x14ac:dyDescent="0.25">
      <c r="A43" s="508" t="str">
        <f>IF(CHOOSE(SET.LANGUAGE,'DICTIONARY-6'!B43,'DICTIONARY-6'!C43,'DICTIONARY-6'!D43,'DICTIONARY-6'!E43,'DICTIONARY-6'!F43)=0,("??? "&amp;"DICTIONARY-4/"&amp;"LINE"&amp;(ROW(A43))),CHOOSE(SET.LANGUAGE,'DICTIONARY-6'!B43,'DICTIONARY-6'!C43,'DICTIONARY-6'!D43,'DICTIONARY-6'!E43,'DICTIONARY-6'!F43))</f>
        <v>śruba/podkł.</v>
      </c>
      <c r="B43" s="690" t="s">
        <v>6908</v>
      </c>
      <c r="C43" s="586" t="s">
        <v>7729</v>
      </c>
      <c r="D43" s="586" t="s">
        <v>6909</v>
      </c>
      <c r="E43" s="586" t="s">
        <v>7063</v>
      </c>
      <c r="F43" s="581" t="str">
        <f t="shared" si="14"/>
        <v>43❻šroub/podl.</v>
      </c>
      <c r="G43" s="582" t="str">
        <f t="shared" si="15"/>
        <v>'DICTIONARY-6'!$A$43</v>
      </c>
    </row>
    <row r="44" spans="1:7" x14ac:dyDescent="0.25">
      <c r="A44" s="508" t="str">
        <f>IF(CHOOSE(SET.LANGUAGE,'DICTIONARY-6'!B44,'DICTIONARY-6'!C44,'DICTIONARY-6'!D44,'DICTIONARY-6'!E44,'DICTIONARY-6'!F44)=0,("??? "&amp;"DICTIONARY-4/"&amp;"LINE"&amp;(ROW(A44))),CHOOSE(SET.LANGUAGE,'DICTIONARY-6'!B44,'DICTIONARY-6'!C44,'DICTIONARY-6'!D44,'DICTIONARY-6'!E44,'DICTIONARY-6'!F44))</f>
        <v>pływak PP</v>
      </c>
      <c r="B44" s="690" t="s">
        <v>6917</v>
      </c>
      <c r="C44" s="586" t="s">
        <v>7730</v>
      </c>
      <c r="D44" s="586" t="s">
        <v>6918</v>
      </c>
      <c r="E44" s="605" t="s">
        <v>7064</v>
      </c>
      <c r="F44" s="581" t="str">
        <f t="shared" ref="F44:F56" si="16">CONCATENATE(ROW(B44),"❻",B44)</f>
        <v>44❻plast. plov.</v>
      </c>
      <c r="G44" s="582" t="str">
        <f t="shared" ref="G44:G56" si="17">"'DICTIONARY-6'!$A$"&amp;ROW(A44)</f>
        <v>'DICTIONARY-6'!$A$44</v>
      </c>
    </row>
    <row r="45" spans="1:7" x14ac:dyDescent="0.25">
      <c r="A45" s="508" t="str">
        <f>IF(CHOOSE(SET.LANGUAGE,'DICTIONARY-6'!B45,'DICTIONARY-6'!C45,'DICTIONARY-6'!D45,'DICTIONARY-6'!E45,'DICTIONARY-6'!F45)=0,("??? "&amp;"DICTIONARY-4/"&amp;"LINE"&amp;(ROW(A45))),CHOOSE(SET.LANGUAGE,'DICTIONARY-6'!B45,'DICTIONARY-6'!C45,'DICTIONARY-6'!D45,'DICTIONARY-6'!E45,'DICTIONARY-6'!F45))</f>
        <v>dla cystern kolejowych</v>
      </c>
      <c r="B45" s="690" t="s">
        <v>6919</v>
      </c>
      <c r="C45" s="586" t="s">
        <v>6919</v>
      </c>
      <c r="D45" s="586" t="s">
        <v>7062</v>
      </c>
      <c r="E45" s="586" t="s">
        <v>7065</v>
      </c>
      <c r="F45" s="581" t="str">
        <f t="shared" si="16"/>
        <v>45❻cisternový</v>
      </c>
      <c r="G45" s="582" t="str">
        <f t="shared" si="17"/>
        <v>'DICTIONARY-6'!$A$45</v>
      </c>
    </row>
    <row r="46" spans="1:7" x14ac:dyDescent="0.25">
      <c r="A46" s="508" t="str">
        <f>IF(CHOOSE(SET.LANGUAGE,'DICTIONARY-6'!B46,'DICTIONARY-6'!C46,'DICTIONARY-6'!D46,'DICTIONARY-6'!E46,'DICTIONARY-6'!F46)=0,("??? "&amp;"DICTIONARY-4/"&amp;"LINE"&amp;(ROW(A46))),CHOOSE(SET.LANGUAGE,'DICTIONARY-6'!B46,'DICTIONARY-6'!C46,'DICTIONARY-6'!D46,'DICTIONARY-6'!E46,'DICTIONARY-6'!F46))</f>
        <v>reduk.</v>
      </c>
      <c r="B46" s="690" t="s">
        <v>6924</v>
      </c>
      <c r="C46" s="586" t="s">
        <v>6924</v>
      </c>
      <c r="D46" s="586" t="s">
        <v>6923</v>
      </c>
      <c r="E46" s="586" t="s">
        <v>6924</v>
      </c>
      <c r="F46" s="581" t="str">
        <f t="shared" si="16"/>
        <v>46❻reduk.</v>
      </c>
      <c r="G46" s="582" t="str">
        <f t="shared" si="17"/>
        <v>'DICTIONARY-6'!$A$46</v>
      </c>
    </row>
    <row r="47" spans="1:7" x14ac:dyDescent="0.25">
      <c r="A47" s="508" t="str">
        <f>IF(CHOOSE(SET.LANGUAGE,'DICTIONARY-6'!B47,'DICTIONARY-6'!C47,'DICTIONARY-6'!D47,'DICTIONARY-6'!E47,'DICTIONARY-6'!F47)=0,("??? "&amp;"DICTIONARY-4/"&amp;"LINE"&amp;(ROW(A47))),CHOOSE(SET.LANGUAGE,'DICTIONARY-6'!B47,'DICTIONARY-6'!C47,'DICTIONARY-6'!D47,'DICTIONARY-6'!E47,'DICTIONARY-6'!F47))</f>
        <v>szybkozamykającą</v>
      </c>
      <c r="B47" s="690" t="s">
        <v>6928</v>
      </c>
      <c r="C47" s="586" t="s">
        <v>7731</v>
      </c>
      <c r="D47" s="586" t="s">
        <v>6929</v>
      </c>
      <c r="E47" s="586" t="s">
        <v>7066</v>
      </c>
      <c r="F47" s="581" t="str">
        <f t="shared" si="16"/>
        <v>47❻rychlouzav.</v>
      </c>
      <c r="G47" s="582" t="str">
        <f t="shared" si="17"/>
        <v>'DICTIONARY-6'!$A$47</v>
      </c>
    </row>
    <row r="48" spans="1:7" x14ac:dyDescent="0.25">
      <c r="A48" s="508" t="str">
        <f>IF(CHOOSE(SET.LANGUAGE,'DICTIONARY-6'!B48,'DICTIONARY-6'!C48,'DICTIONARY-6'!D48,'DICTIONARY-6'!E48,'DICTIONARY-6'!F48)=0,("??? "&amp;"DICTIONARY-4/"&amp;"LINE"&amp;(ROW(A48))),CHOOSE(SET.LANGUAGE,'DICTIONARY-6'!B48,'DICTIONARY-6'!C48,'DICTIONARY-6'!D48,'DICTIONARY-6'!E48,'DICTIONARY-6'!F48))</f>
        <v>mechan. wskaźn. położenia</v>
      </c>
      <c r="B48" s="690" t="s">
        <v>6931</v>
      </c>
      <c r="C48" s="586" t="s">
        <v>6931</v>
      </c>
      <c r="D48" s="586" t="s">
        <v>6932</v>
      </c>
      <c r="E48" s="586" t="s">
        <v>7067</v>
      </c>
      <c r="F48" s="581" t="str">
        <f t="shared" si="16"/>
        <v>48❻ukaz.pol.</v>
      </c>
      <c r="G48" s="582" t="str">
        <f t="shared" si="17"/>
        <v>'DICTIONARY-6'!$A$48</v>
      </c>
    </row>
    <row r="49" spans="1:8" x14ac:dyDescent="0.25">
      <c r="A49" s="508" t="str">
        <f>IF(CHOOSE(SET.LANGUAGE,'DICTIONARY-6'!B49,'DICTIONARY-6'!C49,'DICTIONARY-6'!D49,'DICTIONARY-6'!E49,'DICTIONARY-6'!F49)=0,("??? "&amp;"DICTIONARY-4/"&amp;"LINE"&amp;(ROW(A49))),CHOOSE(SET.LANGUAGE,'DICTIONARY-6'!B49,'DICTIONARY-6'!C49,'DICTIONARY-6'!D49,'DICTIONARY-6'!E49,'DICTIONARY-6'!F49))</f>
        <v>czujniki elektromech.</v>
      </c>
      <c r="B49" s="690" t="s">
        <v>6933</v>
      </c>
      <c r="C49" s="586" t="s">
        <v>6933</v>
      </c>
      <c r="D49" s="586" t="s">
        <v>6935</v>
      </c>
      <c r="E49" s="586" t="s">
        <v>7074</v>
      </c>
      <c r="F49" s="581" t="str">
        <f t="shared" si="16"/>
        <v>49❻mech.spínače</v>
      </c>
      <c r="G49" s="582" t="str">
        <f t="shared" si="17"/>
        <v>'DICTIONARY-6'!$A$49</v>
      </c>
    </row>
    <row r="50" spans="1:8" x14ac:dyDescent="0.25">
      <c r="A50" s="508" t="str">
        <f>IF(CHOOSE(SET.LANGUAGE,'DICTIONARY-6'!B50,'DICTIONARY-6'!C50,'DICTIONARY-6'!D50,'DICTIONARY-6'!E50,'DICTIONARY-6'!F50)=0,("??? "&amp;"DICTIONARY-4/"&amp;"LINE"&amp;(ROW(A50))),CHOOSE(SET.LANGUAGE,'DICTIONARY-6'!B50,'DICTIONARY-6'!C50,'DICTIONARY-6'!D50,'DICTIONARY-6'!E50,'DICTIONARY-6'!F50))</f>
        <v>czujniki indukcyjne</v>
      </c>
      <c r="B50" s="690" t="s">
        <v>6934</v>
      </c>
      <c r="C50" s="586" t="s">
        <v>6934</v>
      </c>
      <c r="D50" s="586" t="s">
        <v>6936</v>
      </c>
      <c r="E50" s="586" t="s">
        <v>7068</v>
      </c>
      <c r="F50" s="581" t="str">
        <f t="shared" si="16"/>
        <v>50❻ind.snímače</v>
      </c>
      <c r="G50" s="582" t="str">
        <f t="shared" si="17"/>
        <v>'DICTIONARY-6'!$A$50</v>
      </c>
    </row>
    <row r="51" spans="1:8" x14ac:dyDescent="0.25">
      <c r="A51" s="508" t="str">
        <f>IF(CHOOSE(SET.LANGUAGE,'DICTIONARY-6'!B51,'DICTIONARY-6'!C51,'DICTIONARY-6'!D51,'DICTIONARY-6'!E51,'DICTIONARY-6'!F51)=0,("??? "&amp;"DICTIONARY-4/"&amp;"LINE"&amp;(ROW(A51))),CHOOSE(SET.LANGUAGE,'DICTIONARY-6'!B51,'DICTIONARY-6'!C51,'DICTIONARY-6'!D51,'DICTIONARY-6'!E51,'DICTIONARY-6'!F51))</f>
        <v>St.</v>
      </c>
      <c r="B51" s="690" t="s">
        <v>6941</v>
      </c>
      <c r="C51" s="586" t="s">
        <v>6941</v>
      </c>
      <c r="D51" s="586" t="s">
        <v>6941</v>
      </c>
      <c r="E51" s="586" t="s">
        <v>6941</v>
      </c>
      <c r="F51" s="581" t="str">
        <f t="shared" si="16"/>
        <v>51❻St.</v>
      </c>
      <c r="G51" s="582" t="str">
        <f t="shared" si="17"/>
        <v>'DICTIONARY-6'!$A$51</v>
      </c>
      <c r="H51" s="694" t="s">
        <v>6254</v>
      </c>
    </row>
    <row r="52" spans="1:8" ht="15" customHeight="1" x14ac:dyDescent="0.25">
      <c r="A52" s="508" t="str">
        <f>IF(CHOOSE(SET.LANGUAGE,'DICTIONARY-6'!B52,'DICTIONARY-6'!C52,'DICTIONARY-6'!D52,'DICTIONARY-6'!E52,'DICTIONARY-6'!F52)=0,("??? "&amp;"DICTIONARY-4/"&amp;"LINE"&amp;(ROW(A52))),CHOOSE(SET.LANGUAGE,'DICTIONARY-6'!B52,'DICTIONARY-6'!C52,'DICTIONARY-6'!D52,'DICTIONARY-6'!E52,'DICTIONARY-6'!F52))</f>
        <v>z kołnierz. przesuw.</v>
      </c>
      <c r="B52" s="690" t="s">
        <v>6945</v>
      </c>
      <c r="C52" s="586" t="s">
        <v>7706</v>
      </c>
      <c r="D52" s="586" t="s">
        <v>7069</v>
      </c>
      <c r="E52" s="586" t="s">
        <v>7070</v>
      </c>
      <c r="F52" s="581" t="str">
        <f t="shared" si="16"/>
        <v>52❻s posuv. přírub.</v>
      </c>
      <c r="G52" s="582" t="str">
        <f t="shared" si="17"/>
        <v>'DICTIONARY-6'!$A$52</v>
      </c>
    </row>
    <row r="53" spans="1:8" ht="15" customHeight="1" x14ac:dyDescent="0.25">
      <c r="A53" s="508" t="str">
        <f>IF(CHOOSE(SET.LANGUAGE,'DICTIONARY-6'!B53,'DICTIONARY-6'!C53,'DICTIONARY-6'!D53,'DICTIONARY-6'!E53,'DICTIONARY-6'!F53)=0,("??? "&amp;"DICTIONARY-4/"&amp;"LINE"&amp;(ROW(A53))),CHOOSE(SET.LANGUAGE,'DICTIONARY-6'!B53,'DICTIONARY-6'!C53,'DICTIONARY-6'!D53,'DICTIONARY-6'!E53,'DICTIONARY-6'!F53))</f>
        <v>do koryta</v>
      </c>
      <c r="B53" s="690" t="s">
        <v>6946</v>
      </c>
      <c r="C53" s="586" t="s">
        <v>6946</v>
      </c>
      <c r="D53" s="586" t="s">
        <v>7071</v>
      </c>
      <c r="E53" s="586" t="s">
        <v>6946</v>
      </c>
      <c r="F53" s="581" t="str">
        <f t="shared" si="16"/>
        <v>53❻do koryta</v>
      </c>
      <c r="G53" s="582" t="str">
        <f t="shared" si="17"/>
        <v>'DICTIONARY-6'!$A$53</v>
      </c>
    </row>
    <row r="54" spans="1:8" ht="15" customHeight="1" x14ac:dyDescent="0.25">
      <c r="A54" s="508" t="str">
        <f>IF(CHOOSE(SET.LANGUAGE,'DICTIONARY-6'!B54,'DICTIONARY-6'!C54,'DICTIONARY-6'!D54,'DICTIONARY-6'!E54,'DICTIONARY-6'!F54)=0,("??? "&amp;"DICTIONARY-4/"&amp;"LINE"&amp;(ROW(A54))),CHOOSE(SET.LANGUAGE,'DICTIONARY-6'!B54,'DICTIONARY-6'!C54,'DICTIONARY-6'!D54,'DICTIONARY-6'!E54,'DICTIONARY-6'!F54))</f>
        <v>przedłuż.</v>
      </c>
      <c r="B54" s="690" t="s">
        <v>6949</v>
      </c>
      <c r="C54" s="586" t="s">
        <v>7707</v>
      </c>
      <c r="D54" s="586" t="s">
        <v>6950</v>
      </c>
      <c r="E54" s="586" t="s">
        <v>7072</v>
      </c>
      <c r="F54" s="581" t="str">
        <f t="shared" si="16"/>
        <v>54❻prodl.</v>
      </c>
      <c r="G54" s="582" t="str">
        <f t="shared" si="17"/>
        <v>'DICTIONARY-6'!$A$54</v>
      </c>
    </row>
    <row r="55" spans="1:8" ht="15" customHeight="1" x14ac:dyDescent="0.25">
      <c r="A55" s="508" t="str">
        <f>IF(CHOOSE(SET.LANGUAGE,'DICTIONARY-6'!B55,'DICTIONARY-6'!C55,'DICTIONARY-6'!D55,'DICTIONARY-6'!E55,'DICTIONARY-6'!F55)=0,("??? "&amp;"DICTIONARY-4/"&amp;"LINE"&amp;(ROW(A55))),CHOOSE(SET.LANGUAGE,'DICTIONARY-6'!B55,'DICTIONARY-6'!C55,'DICTIONARY-6'!D55,'DICTIONARY-6'!E55,'DICTIONARY-6'!F55))</f>
        <v>końc. kwadr.</v>
      </c>
      <c r="B55" s="690" t="s">
        <v>6951</v>
      </c>
      <c r="C55" s="586" t="s">
        <v>6951</v>
      </c>
      <c r="D55" s="586" t="s">
        <v>7073</v>
      </c>
      <c r="E55" s="586" t="s">
        <v>7287</v>
      </c>
      <c r="F55" s="581" t="str">
        <f t="shared" si="16"/>
        <v>55❻nástav.</v>
      </c>
      <c r="G55" s="582" t="str">
        <f t="shared" si="17"/>
        <v>'DICTIONARY-6'!$A$55</v>
      </c>
    </row>
    <row r="56" spans="1:8" x14ac:dyDescent="0.25">
      <c r="A56" s="508" t="str">
        <f>IF(CHOOSE(SET.LANGUAGE,'DICTIONARY-6'!B56,'DICTIONARY-6'!C56,'DICTIONARY-6'!D56,'DICTIONARY-6'!E56,'DICTIONARY-6'!F56)=0,("??? "&amp;"DICTIONARY-4/"&amp;"LINE"&amp;(ROW(A56))),CHOOSE(SET.LANGUAGE,'DICTIONARY-6'!B56,'DICTIONARY-6'!C56,'DICTIONARY-6'!D56,'DICTIONARY-6'!E56,'DICTIONARY-6'!F56))</f>
        <v>konsola</v>
      </c>
      <c r="B56" s="690" t="s">
        <v>6952</v>
      </c>
      <c r="C56" s="586" t="s">
        <v>6952</v>
      </c>
      <c r="D56" s="586" t="s">
        <v>6954</v>
      </c>
      <c r="E56" s="586" t="s">
        <v>7285</v>
      </c>
      <c r="F56" s="581" t="str">
        <f t="shared" si="16"/>
        <v>56❻konz.</v>
      </c>
      <c r="G56" s="582" t="str">
        <f t="shared" si="17"/>
        <v>'DICTIONARY-6'!$A$56</v>
      </c>
    </row>
    <row r="57" spans="1:8" x14ac:dyDescent="0.25">
      <c r="A57" s="508" t="str">
        <f>IF(CHOOSE(SET.LANGUAGE,'DICTIONARY-6'!B57,'DICTIONARY-6'!C57,'DICTIONARY-6'!D57,'DICTIONARY-6'!E57,'DICTIONARY-6'!F57)=0,("??? "&amp;"DICTIONARY-4/"&amp;"LINE"&amp;(ROW(A57))),CHOOSE(SET.LANGUAGE,'DICTIONARY-6'!B57,'DICTIONARY-6'!C57,'DICTIONARY-6'!D57,'DICTIONARY-6'!E57,'DICTIONARY-6'!F57))</f>
        <v>kolumienka</v>
      </c>
      <c r="B57" s="690" t="s">
        <v>6953</v>
      </c>
      <c r="C57" s="586" t="s">
        <v>6953</v>
      </c>
      <c r="D57" s="586" t="s">
        <v>6955</v>
      </c>
      <c r="E57" s="586" t="s">
        <v>7286</v>
      </c>
      <c r="F57" s="581" t="str">
        <f t="shared" ref="F57:F76" si="18">CONCATENATE(ROW(B57),"❻",B57)</f>
        <v>57❻stoj.</v>
      </c>
      <c r="G57" s="582" t="str">
        <f t="shared" ref="G57:G76" si="19">"'DICTIONARY-6'!$A$"&amp;ROW(A57)</f>
        <v>'DICTIONARY-6'!$A$57</v>
      </c>
    </row>
    <row r="58" spans="1:8" x14ac:dyDescent="0.25">
      <c r="A58" s="508" t="str">
        <f>IF(CHOOSE(SET.LANGUAGE,'DICTIONARY-6'!B58,'DICTIONARY-6'!C58,'DICTIONARY-6'!D58,'DICTIONARY-6'!E58,'DICTIONARY-6'!F58)=0,("??? "&amp;"DICTIONARY-4/"&amp;"LINE"&amp;(ROW(A58))),CHOOSE(SET.LANGUAGE,'DICTIONARY-6'!B58,'DICTIONARY-6'!C58,'DICTIONARY-6'!D58,'DICTIONARY-6'!E58,'DICTIONARY-6'!F58))</f>
        <v>całk. ogumowana</v>
      </c>
      <c r="B58" s="690" t="s">
        <v>6957</v>
      </c>
      <c r="C58" s="586" t="s">
        <v>6957</v>
      </c>
      <c r="D58" s="586" t="s">
        <v>6958</v>
      </c>
      <c r="E58" s="586" t="s">
        <v>7075</v>
      </c>
      <c r="F58" s="581" t="str">
        <f t="shared" si="18"/>
        <v>58❻celopogum.</v>
      </c>
      <c r="G58" s="582" t="str">
        <f t="shared" si="19"/>
        <v>'DICTIONARY-6'!$A$58</v>
      </c>
    </row>
    <row r="59" spans="1:8" x14ac:dyDescent="0.25">
      <c r="A59" s="508" t="str">
        <f>IF(CHOOSE(SET.LANGUAGE,'DICTIONARY-6'!B59,'DICTIONARY-6'!C59,'DICTIONARY-6'!D59,'DICTIONARY-6'!E59,'DICTIONARY-6'!F59)=0,("??? "&amp;"DICTIONARY-4/"&amp;"LINE"&amp;(ROW(A59))),CHOOSE(SET.LANGUAGE,'DICTIONARY-6'!B59,'DICTIONARY-6'!C59,'DICTIONARY-6'!D59,'DICTIONARY-6'!E59,'DICTIONARY-6'!F59))</f>
        <v>bez zaw.</v>
      </c>
      <c r="B59" s="690" t="s">
        <v>6966</v>
      </c>
      <c r="C59" s="586" t="s">
        <v>6966</v>
      </c>
      <c r="D59" s="586" t="s">
        <v>6967</v>
      </c>
      <c r="E59" s="586" t="s">
        <v>7078</v>
      </c>
      <c r="F59" s="581" t="str">
        <f t="shared" si="18"/>
        <v>59❻bez uzáv.</v>
      </c>
      <c r="G59" s="582" t="str">
        <f t="shared" si="19"/>
        <v>'DICTIONARY-6'!$A$59</v>
      </c>
    </row>
    <row r="60" spans="1:8" x14ac:dyDescent="0.25">
      <c r="A60" s="508" t="str">
        <f>IF(CHOOSE(SET.LANGUAGE,'DICTIONARY-6'!B60,'DICTIONARY-6'!C60,'DICTIONARY-6'!D60,'DICTIONARY-6'!E60,'DICTIONARY-6'!F60)=0,("??? "&amp;"DICTIONARY-4/"&amp;"LINE"&amp;(ROW(A60))),CHOOSE(SET.LANGUAGE,'DICTIONARY-6'!B60,'DICTIONARY-6'!C60,'DICTIONARY-6'!D60,'DICTIONARY-6'!E60,'DICTIONARY-6'!F60))</f>
        <v>z zasuwa mosiężna</v>
      </c>
      <c r="B60" s="690" t="s">
        <v>6959</v>
      </c>
      <c r="C60" s="586" t="s">
        <v>7733</v>
      </c>
      <c r="D60" s="586" t="s">
        <v>6960</v>
      </c>
      <c r="E60" s="586" t="s">
        <v>7077</v>
      </c>
      <c r="F60" s="581" t="str">
        <f t="shared" si="18"/>
        <v>60❻s mos. šoup.</v>
      </c>
      <c r="G60" s="582" t="str">
        <f t="shared" si="19"/>
        <v>'DICTIONARY-6'!$A$60</v>
      </c>
    </row>
    <row r="61" spans="1:8" x14ac:dyDescent="0.25">
      <c r="A61" s="508" t="str">
        <f>IF(CHOOSE(SET.LANGUAGE,'DICTIONARY-6'!B61,'DICTIONARY-6'!C61,'DICTIONARY-6'!D61,'DICTIONARY-6'!E61,'DICTIONARY-6'!F61)=0,("??? "&amp;"DICTIONARY-4/"&amp;"LINE"&amp;(ROW(A61))),CHOOSE(SET.LANGUAGE,'DICTIONARY-6'!B61,'DICTIONARY-6'!C61,'DICTIONARY-6'!D61,'DICTIONARY-6'!E61,'DICTIONARY-6'!F61))</f>
        <v>z zasuwa</v>
      </c>
      <c r="B61" s="690" t="s">
        <v>6963</v>
      </c>
      <c r="C61" s="586" t="s">
        <v>7734</v>
      </c>
      <c r="D61" s="586" t="s">
        <v>6964</v>
      </c>
      <c r="E61" s="586" t="s">
        <v>7048</v>
      </c>
      <c r="F61" s="581" t="str">
        <f t="shared" si="18"/>
        <v>61❻s lit. šoup.</v>
      </c>
      <c r="G61" s="582" t="str">
        <f t="shared" si="19"/>
        <v>'DICTIONARY-6'!$A$61</v>
      </c>
    </row>
    <row r="62" spans="1:8" x14ac:dyDescent="0.25">
      <c r="A62" s="508" t="str">
        <f>IF(CHOOSE(SET.LANGUAGE,'DICTIONARY-6'!B62,'DICTIONARY-6'!C62,'DICTIONARY-6'!D62,'DICTIONARY-6'!E62,'DICTIONARY-6'!F62)=0,("??? "&amp;"DICTIONARY-4/"&amp;"LINE"&amp;(ROW(A62))),CHOOSE(SET.LANGUAGE,'DICTIONARY-6'!B62,'DICTIONARY-6'!C62,'DICTIONARY-6'!D62,'DICTIONARY-6'!E62,'DICTIONARY-6'!F62))</f>
        <v>z zaw. kul.</v>
      </c>
      <c r="B62" s="690" t="s">
        <v>6914</v>
      </c>
      <c r="C62" s="586" t="s">
        <v>7732</v>
      </c>
      <c r="D62" s="586" t="s">
        <v>6965</v>
      </c>
      <c r="E62" s="586" t="s">
        <v>7076</v>
      </c>
      <c r="F62" s="581" t="str">
        <f t="shared" si="18"/>
        <v>62❻s kul.k.</v>
      </c>
      <c r="G62" s="582" t="str">
        <f t="shared" si="19"/>
        <v>'DICTIONARY-6'!$A$62</v>
      </c>
    </row>
    <row r="63" spans="1:8" x14ac:dyDescent="0.25">
      <c r="A63" s="508" t="str">
        <f>IF(CHOOSE(SET.LANGUAGE,'DICTIONARY-6'!B63,'DICTIONARY-6'!C63,'DICTIONARY-6'!D63,'DICTIONARY-6'!E63,'DICTIONARY-6'!F63)=0,("??? "&amp;"DICTIONARY-4/"&amp;"LINE"&amp;(ROW(A63))),CHOOSE(SET.LANGUAGE,'DICTIONARY-6'!B63,'DICTIONARY-6'!C63,'DICTIONARY-6'!D63,'DICTIONARY-6'!E63,'DICTIONARY-6'!F63))</f>
        <v>końc.</v>
      </c>
      <c r="B63" s="690" t="s">
        <v>6961</v>
      </c>
      <c r="C63" s="586" t="s">
        <v>6961</v>
      </c>
      <c r="D63" s="586" t="s">
        <v>6962</v>
      </c>
      <c r="E63" s="586" t="s">
        <v>7079</v>
      </c>
      <c r="F63" s="581" t="str">
        <f t="shared" si="18"/>
        <v>63❻konc.</v>
      </c>
      <c r="G63" s="582" t="str">
        <f t="shared" si="19"/>
        <v>'DICTIONARY-6'!$A$63</v>
      </c>
    </row>
    <row r="64" spans="1:8" x14ac:dyDescent="0.25">
      <c r="A64" s="508" t="str">
        <f>IF(CHOOSE(SET.LANGUAGE,'DICTIONARY-6'!B64,'DICTIONARY-6'!C64,'DICTIONARY-6'!D64,'DICTIONARY-6'!E64,'DICTIONARY-6'!F64)=0,("??? "&amp;"DICTIONARY-4/"&amp;"LINE"&amp;(ROW(A64))),CHOOSE(SET.LANGUAGE,'DICTIONARY-6'!B64,'DICTIONARY-6'!C64,'DICTIONARY-6'!D64,'DICTIONARY-6'!E64,'DICTIONARY-6'!F64))</f>
        <v>wiertło</v>
      </c>
      <c r="B64" s="690" t="s">
        <v>6971</v>
      </c>
      <c r="C64" s="586" t="s">
        <v>6971</v>
      </c>
      <c r="D64" s="586" t="s">
        <v>6972</v>
      </c>
      <c r="E64" s="586" t="s">
        <v>7080</v>
      </c>
      <c r="F64" s="581" t="str">
        <f t="shared" si="18"/>
        <v>64❻vrták</v>
      </c>
      <c r="G64" s="582" t="str">
        <f t="shared" si="19"/>
        <v>'DICTIONARY-6'!$A$64</v>
      </c>
    </row>
    <row r="65" spans="1:7" x14ac:dyDescent="0.25">
      <c r="A65" s="508" t="str">
        <f>IF(CHOOSE(SET.LANGUAGE,'DICTIONARY-6'!B65,'DICTIONARY-6'!C65,'DICTIONARY-6'!D65,'DICTIONARY-6'!E65,'DICTIONARY-6'!F65)=0,("??? "&amp;"DICTIONARY-4/"&amp;"LINE"&amp;(ROW(A65))),CHOOSE(SET.LANGUAGE,'DICTIONARY-6'!B65,'DICTIONARY-6'!C65,'DICTIONARY-6'!D65,'DICTIONARY-6'!E65,'DICTIONARY-6'!F65))</f>
        <v>zewn.</v>
      </c>
      <c r="B65" s="690" t="s">
        <v>6973</v>
      </c>
      <c r="C65" s="586" t="s">
        <v>6973</v>
      </c>
      <c r="D65" s="586" t="s">
        <v>6974</v>
      </c>
      <c r="E65" s="586" t="s">
        <v>7084</v>
      </c>
      <c r="F65" s="581" t="str">
        <f t="shared" si="18"/>
        <v>65❻výst.</v>
      </c>
      <c r="G65" s="582" t="str">
        <f t="shared" si="19"/>
        <v>'DICTIONARY-6'!$A$65</v>
      </c>
    </row>
    <row r="66" spans="1:7" x14ac:dyDescent="0.25">
      <c r="A66" s="508" t="str">
        <f>IF(CHOOSE(SET.LANGUAGE,'DICTIONARY-6'!B66,'DICTIONARY-6'!C66,'DICTIONARY-6'!D66,'DICTIONARY-6'!E66,'DICTIONARY-6'!F66)=0,("??? "&amp;"DICTIONARY-4/"&amp;"LINE"&amp;(ROW(A66))),CHOOSE(SET.LANGUAGE,'DICTIONARY-6'!B66,'DICTIONARY-6'!C66,'DICTIONARY-6'!D66,'DICTIONARY-6'!E66,'DICTIONARY-6'!F66))</f>
        <v>wewn.</v>
      </c>
      <c r="B66" s="690" t="s">
        <v>7083</v>
      </c>
      <c r="C66" s="586" t="s">
        <v>7708</v>
      </c>
      <c r="D66" s="586" t="s">
        <v>6975</v>
      </c>
      <c r="E66" s="586" t="s">
        <v>7081</v>
      </c>
      <c r="F66" s="581" t="str">
        <f t="shared" si="18"/>
        <v>66❻vnit.</v>
      </c>
      <c r="G66" s="582" t="str">
        <f t="shared" si="19"/>
        <v>'DICTIONARY-6'!$A$66</v>
      </c>
    </row>
    <row r="67" spans="1:7" x14ac:dyDescent="0.25">
      <c r="A67" s="508" t="str">
        <f>IF(CHOOSE(SET.LANGUAGE,'DICTIONARY-6'!B67,'DICTIONARY-6'!C67,'DICTIONARY-6'!D67,'DICTIONARY-6'!E67,'DICTIONARY-6'!F67)=0,("??? "&amp;"DICTIONARY-4/"&amp;"LINE"&amp;(ROW(A67))),CHOOSE(SET.LANGUAGE,'DICTIONARY-6'!B67,'DICTIONARY-6'!C67,'DICTIONARY-6'!D67,'DICTIONARY-6'!E67,'DICTIONARY-6'!F67))</f>
        <v>zewn.</v>
      </c>
      <c r="B67" s="690" t="s">
        <v>7082</v>
      </c>
      <c r="C67" s="586" t="s">
        <v>7735</v>
      </c>
      <c r="D67" s="586" t="s">
        <v>6976</v>
      </c>
      <c r="E67" s="586" t="s">
        <v>7084</v>
      </c>
      <c r="F67" s="581" t="str">
        <f t="shared" si="18"/>
        <v>67❻vně.</v>
      </c>
      <c r="G67" s="582" t="str">
        <f t="shared" si="19"/>
        <v>'DICTIONARY-6'!$A$67</v>
      </c>
    </row>
    <row r="68" spans="1:7" x14ac:dyDescent="0.25">
      <c r="A68" s="508" t="str">
        <f>IF(CHOOSE(SET.LANGUAGE,'DICTIONARY-6'!B68,'DICTIONARY-6'!C68,'DICTIONARY-6'!D68,'DICTIONARY-6'!E68,'DICTIONARY-6'!F68)=0,("??? "&amp;"DICTIONARY-4/"&amp;"LINE"&amp;(ROW(A68))),CHOOSE(SET.LANGUAGE,'DICTIONARY-6'!B68,'DICTIONARY-6'!C68,'DICTIONARY-6'!D68,'DICTIONARY-6'!E68,'DICTIONARY-6'!F68))</f>
        <v>spawane Ni-Cr siodło</v>
      </c>
      <c r="B68" s="690" t="s">
        <v>7230</v>
      </c>
      <c r="C68" s="586" t="s">
        <v>7230</v>
      </c>
      <c r="D68" s="586" t="s">
        <v>7231</v>
      </c>
      <c r="E68" s="586" t="s">
        <v>7085</v>
      </c>
      <c r="F68" s="581" t="str">
        <f t="shared" si="18"/>
        <v>68❻sedlo Ni-Cr návar</v>
      </c>
      <c r="G68" s="582" t="str">
        <f t="shared" si="19"/>
        <v>'DICTIONARY-6'!$A$68</v>
      </c>
    </row>
    <row r="69" spans="1:7" x14ac:dyDescent="0.25">
      <c r="A69" s="508" t="str">
        <f>IF(CHOOSE(SET.LANGUAGE,'DICTIONARY-6'!B69,'DICTIONARY-6'!C69,'DICTIONARY-6'!D69,'DICTIONARY-6'!E69,'DICTIONARY-6'!F69)=0,("??? "&amp;"DICTIONARY-4/"&amp;"LINE"&amp;(ROW(A69))),CHOOSE(SET.LANGUAGE,'DICTIONARY-6'!B69,'DICTIONARY-6'!C69,'DICTIONARY-6'!D69,'DICTIONARY-6'!E69,'DICTIONARY-6'!F69))</f>
        <v>zabud. pozioma</v>
      </c>
      <c r="B69" s="690" t="s">
        <v>6979</v>
      </c>
      <c r="C69" s="586" t="s">
        <v>6979</v>
      </c>
      <c r="D69" s="586" t="s">
        <v>6979</v>
      </c>
      <c r="E69" s="586" t="s">
        <v>7087</v>
      </c>
      <c r="F69" s="581" t="str">
        <f t="shared" si="18"/>
        <v>69❻vert.</v>
      </c>
      <c r="G69" s="582" t="str">
        <f t="shared" si="19"/>
        <v>'DICTIONARY-6'!$A$69</v>
      </c>
    </row>
    <row r="70" spans="1:7" x14ac:dyDescent="0.25">
      <c r="A70" s="508" t="str">
        <f>IF(CHOOSE(SET.LANGUAGE,'DICTIONARY-6'!B70,'DICTIONARY-6'!C70,'DICTIONARY-6'!D70,'DICTIONARY-6'!E70,'DICTIONARY-6'!F70)=0,("??? "&amp;"DICTIONARY-4/"&amp;"LINE"&amp;(ROW(A70))),CHOOSE(SET.LANGUAGE,'DICTIONARY-6'!B70,'DICTIONARY-6'!C70,'DICTIONARY-6'!D70,'DICTIONARY-6'!E70,'DICTIONARY-6'!F70))</f>
        <v>zabud. pionowa</v>
      </c>
      <c r="B70" s="690" t="s">
        <v>6980</v>
      </c>
      <c r="C70" s="586" t="s">
        <v>6980</v>
      </c>
      <c r="D70" s="586" t="s">
        <v>6980</v>
      </c>
      <c r="E70" s="586" t="s">
        <v>7086</v>
      </c>
      <c r="F70" s="581" t="str">
        <f t="shared" si="18"/>
        <v>70❻horiz.</v>
      </c>
      <c r="G70" s="582" t="str">
        <f t="shared" si="19"/>
        <v>'DICTIONARY-6'!$A$70</v>
      </c>
    </row>
    <row r="71" spans="1:7" x14ac:dyDescent="0.25">
      <c r="A71" s="508" t="str">
        <f>IF(CHOOSE(SET.LANGUAGE,'DICTIONARY-6'!B71,'DICTIONARY-6'!C71,'DICTIONARY-6'!D71,'DICTIONARY-6'!E71,'DICTIONARY-6'!F71)=0,("??? "&amp;"DICTIONARY-4/"&amp;"LINE"&amp;(ROW(A71))),CHOOSE(SET.LANGUAGE,'DICTIONARY-6'!B71,'DICTIONARY-6'!C71,'DICTIONARY-6'!D71,'DICTIONARY-6'!E71,'DICTIONARY-6'!F71))</f>
        <v>klatka ochronna</v>
      </c>
      <c r="B71" s="690" t="s">
        <v>6981</v>
      </c>
      <c r="C71" s="586" t="s">
        <v>6981</v>
      </c>
      <c r="D71" s="586" t="s">
        <v>6982</v>
      </c>
      <c r="E71" s="586" t="s">
        <v>7088</v>
      </c>
      <c r="F71" s="581" t="str">
        <f t="shared" si="18"/>
        <v>71❻kryt</v>
      </c>
      <c r="G71" s="582" t="str">
        <f t="shared" si="19"/>
        <v>'DICTIONARY-6'!$A$71</v>
      </c>
    </row>
    <row r="72" spans="1:7" x14ac:dyDescent="0.25">
      <c r="A72" s="508" t="str">
        <f>IF(CHOOSE(SET.LANGUAGE,'DICTIONARY-6'!B72,'DICTIONARY-6'!C72,'DICTIONARY-6'!D72,'DICTIONARY-6'!E72,'DICTIONARY-6'!F72)=0,("??? "&amp;"DICTIONARY-4/"&amp;"LINE"&amp;(ROW(A72))),CHOOSE(SET.LANGUAGE,'DICTIONARY-6'!B72,'DICTIONARY-6'!C72,'DICTIONARY-6'!D72,'DICTIONARY-6'!E72,'DICTIONARY-6'!F72))</f>
        <v>z wpustem</v>
      </c>
      <c r="B72" s="690" t="s">
        <v>6984</v>
      </c>
      <c r="C72" s="586" t="s">
        <v>7709</v>
      </c>
      <c r="D72" s="586" t="s">
        <v>6983</v>
      </c>
      <c r="E72" s="586" t="s">
        <v>7089</v>
      </c>
      <c r="F72" s="581" t="str">
        <f t="shared" si="18"/>
        <v>72❻s dr. pro pero</v>
      </c>
      <c r="G72" s="582" t="str">
        <f t="shared" si="19"/>
        <v>'DICTIONARY-6'!$A$72</v>
      </c>
    </row>
    <row r="73" spans="1:7" x14ac:dyDescent="0.25">
      <c r="A73" s="508" t="str">
        <f>IF(CHOOSE(SET.LANGUAGE,'DICTIONARY-6'!B73,'DICTIONARY-6'!C73,'DICTIONARY-6'!D73,'DICTIONARY-6'!E73,'DICTIONARY-6'!F73)=0,("??? "&amp;"DICTIONARY-4/"&amp;"LINE"&amp;(ROW(A73))),CHOOSE(SET.LANGUAGE,'DICTIONARY-6'!B73,'DICTIONARY-6'!C73,'DICTIONARY-6'!D73,'DICTIONARY-6'!E73,'DICTIONARY-6'!F73))</f>
        <v>kołnierz.</v>
      </c>
      <c r="B73" s="690" t="s">
        <v>6985</v>
      </c>
      <c r="C73" s="586" t="s">
        <v>7710</v>
      </c>
      <c r="D73" s="584" t="str">
        <f>LOWER('DICTIONARY-3'!D241)</f>
        <v>flange</v>
      </c>
      <c r="E73" s="586" t="s">
        <v>7090</v>
      </c>
      <c r="F73" s="581" t="str">
        <f t="shared" si="18"/>
        <v>73❻přírub.</v>
      </c>
      <c r="G73" s="582" t="str">
        <f t="shared" si="19"/>
        <v>'DICTIONARY-6'!$A$73</v>
      </c>
    </row>
    <row r="74" spans="1:7" x14ac:dyDescent="0.25">
      <c r="A74" s="508" t="str">
        <f>IF(CHOOSE(SET.LANGUAGE,'DICTIONARY-6'!B74,'DICTIONARY-6'!C74,'DICTIONARY-6'!D74,'DICTIONARY-6'!E74,'DICTIONARY-6'!F74)=0,("??? "&amp;"DICTIONARY-4/"&amp;"LINE"&amp;(ROW(A74))),CHOOSE(SET.LANGUAGE,'DICTIONARY-6'!B74,'DICTIONARY-6'!C74,'DICTIONARY-6'!D74,'DICTIONARY-6'!E74,'DICTIONARY-6'!F74))</f>
        <v>do ruroc. tłocz.</v>
      </c>
      <c r="B74" s="690" t="s">
        <v>6986</v>
      </c>
      <c r="C74" s="586" t="s">
        <v>6986</v>
      </c>
      <c r="D74" s="586" t="s">
        <v>6987</v>
      </c>
      <c r="E74" s="586" t="s">
        <v>7091</v>
      </c>
      <c r="F74" s="581" t="str">
        <f t="shared" si="18"/>
        <v>74❻tlak. potr.</v>
      </c>
      <c r="G74" s="582" t="str">
        <f t="shared" si="19"/>
        <v>'DICTIONARY-6'!$A$74</v>
      </c>
    </row>
    <row r="75" spans="1:7" x14ac:dyDescent="0.25">
      <c r="A75" s="508" t="str">
        <f>IF(CHOOSE(SET.LANGUAGE,'DICTIONARY-6'!B75,'DICTIONARY-6'!C75,'DICTIONARY-6'!D75,'DICTIONARY-6'!E75,'DICTIONARY-6'!F75)=0,("??? "&amp;"DICTIONARY-4/"&amp;"LINE"&amp;(ROW(A75))),CHOOSE(SET.LANGUAGE,'DICTIONARY-6'!B75,'DICTIONARY-6'!C75,'DICTIONARY-6'!D75,'DICTIONARY-6'!E75,'DICTIONARY-6'!F75))</f>
        <v>płyta pion.</v>
      </c>
      <c r="B75" s="690" t="s">
        <v>6988</v>
      </c>
      <c r="C75" s="586" t="s">
        <v>7736</v>
      </c>
      <c r="D75" s="586" t="s">
        <v>6989</v>
      </c>
      <c r="E75" s="586" t="s">
        <v>7092</v>
      </c>
      <c r="F75" s="581" t="str">
        <f t="shared" si="18"/>
        <v>75❻svisl. tal.</v>
      </c>
      <c r="G75" s="582" t="str">
        <f t="shared" si="19"/>
        <v>'DICTIONARY-6'!$A$75</v>
      </c>
    </row>
    <row r="76" spans="1:7" x14ac:dyDescent="0.25">
      <c r="A76" s="508" t="str">
        <f>IF(CHOOSE(SET.LANGUAGE,'DICTIONARY-6'!B76,'DICTIONARY-6'!C76,'DICTIONARY-6'!D76,'DICTIONARY-6'!E76,'DICTIONARY-6'!F76)=0,("??? "&amp;"DICTIONARY-4/"&amp;"LINE"&amp;(ROW(A76))),CHOOSE(SET.LANGUAGE,'DICTIONARY-6'!B76,'DICTIONARY-6'!C76,'DICTIONARY-6'!D76,'DICTIONARY-6'!E76,'DICTIONARY-6'!F76))</f>
        <v>ruroc.</v>
      </c>
      <c r="B76" s="690" t="s">
        <v>7360</v>
      </c>
      <c r="C76" s="586" t="s">
        <v>7711</v>
      </c>
      <c r="D76" s="586" t="s">
        <v>7361</v>
      </c>
      <c r="E76" s="586" t="s">
        <v>7362</v>
      </c>
      <c r="F76" s="581" t="str">
        <f t="shared" si="18"/>
        <v>76❻potr.</v>
      </c>
      <c r="G76" s="582" t="str">
        <f t="shared" si="19"/>
        <v>'DICTIONARY-6'!$A$76</v>
      </c>
    </row>
  </sheetData>
  <sheetProtection algorithmName="SHA-512" hashValue="xc+M3fNhqVhEAcIk4Agf12Vgxqlyylkc55hchyxRpoWUNRaYbIN+v/ky9Ss7GO9Jfveh77RYD515CM0gbUi+OQ==" saltValue="EJm/Jf13tCZ+36dPkJLW2w==" spinCount="100000" sheet="1" objects="1" scenarios="1" autoFilter="0"/>
  <conditionalFormatting sqref="B1:E1048576">
    <cfRule type="containsBlanks" dxfId="15" priority="3">
      <formula>LEN(TRIM(B1))=0</formula>
    </cfRule>
  </conditionalFormatting>
  <conditionalFormatting sqref="A1">
    <cfRule type="expression" dxfId="14" priority="1">
      <formula>CODE(LEFT(A1,1))&gt;90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0">
    <tabColor rgb="FFFFC000"/>
  </sheetPr>
  <dimension ref="A1:E36"/>
  <sheetViews>
    <sheetView workbookViewId="0"/>
  </sheetViews>
  <sheetFormatPr defaultColWidth="9.140625" defaultRowHeight="15" x14ac:dyDescent="0.25"/>
  <cols>
    <col min="1" max="1" width="9.140625" style="146"/>
    <col min="2" max="3" width="22.140625" style="146" customWidth="1"/>
    <col min="4" max="5" width="12.85546875" style="146" customWidth="1"/>
    <col min="6" max="16384" width="9.140625" style="146"/>
  </cols>
  <sheetData>
    <row r="1" spans="1:5" s="408" customFormat="1" ht="45" customHeight="1" thickBot="1" x14ac:dyDescent="0.3">
      <c r="A1" s="430"/>
      <c r="B1" s="430"/>
      <c r="C1" s="430"/>
    </row>
    <row r="2" spans="1:5" s="467" customFormat="1" ht="4.5" customHeight="1" x14ac:dyDescent="0.25">
      <c r="A2" s="466"/>
    </row>
    <row r="3" spans="1:5" ht="15.75" thickBot="1" x14ac:dyDescent="0.3">
      <c r="A3" s="147"/>
      <c r="B3" s="148"/>
      <c r="C3" s="148"/>
    </row>
    <row r="4" spans="1:5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5" x14ac:dyDescent="0.25">
      <c r="A5" s="147"/>
      <c r="B5" s="148"/>
      <c r="C5" s="148"/>
    </row>
    <row r="6" spans="1:5" ht="16.5" thickBot="1" x14ac:dyDescent="0.3">
      <c r="A6" s="712" t="str">
        <f>CONCATENATE('DICTIONARY-3'!$A$31," ",'DICTIONARY-3'!$A$203," / ",'DICTIONARY-3'!$A$318)</f>
        <v xml:space="preserve">HADE Klapa przeciwcofkowa / Montaż na wolnym końcu rury </v>
      </c>
      <c r="B6" s="712"/>
      <c r="C6" s="712"/>
      <c r="D6" s="712"/>
      <c r="E6" s="712"/>
    </row>
    <row r="7" spans="1:5" x14ac:dyDescent="0.25">
      <c r="A7" s="150" t="str">
        <f>CONCATENATE('DICTIONARY-1'!$A$10,": ",SETTINGS!$C$57)</f>
        <v>Grupa rabatowa: HADE</v>
      </c>
      <c r="B7" s="144"/>
      <c r="C7" s="144"/>
      <c r="D7" s="145"/>
      <c r="E7" s="145"/>
    </row>
    <row r="8" spans="1:5" x14ac:dyDescent="0.25">
      <c r="A8" s="151"/>
      <c r="B8" s="144"/>
      <c r="C8" s="144"/>
      <c r="D8" s="145"/>
      <c r="E8" s="145"/>
    </row>
    <row r="9" spans="1:5" x14ac:dyDescent="0.25">
      <c r="A9" s="152" t="str">
        <f>'DICTIONARY-2'!$A$5&amp;" 1)"</f>
        <v>Da 1)</v>
      </c>
      <c r="B9" s="1013" t="str">
        <f>'DICTIONARY-3'!$A$36</f>
        <v>HADE PTK-BS</v>
      </c>
      <c r="C9" s="1014"/>
      <c r="D9" s="1014"/>
      <c r="E9" s="1015"/>
    </row>
    <row r="10" spans="1:5" x14ac:dyDescent="0.25">
      <c r="A10" s="153"/>
      <c r="B10" s="1010" t="str">
        <f>LOWER('DICTIONARY-3'!$A$300)</f>
        <v>dla rur ze stali, żeliwa i betonu</v>
      </c>
      <c r="C10" s="1011"/>
      <c r="D10" s="1011"/>
      <c r="E10" s="1012"/>
    </row>
    <row r="11" spans="1:5" x14ac:dyDescent="0.25">
      <c r="A11" s="153" t="str">
        <f>'DICTIONARY-2'!$A$18</f>
        <v>[mm]</v>
      </c>
      <c r="B11" s="154" t="str">
        <f>'DICTIONARY-2'!$A$28</f>
        <v>stary nr zamówienia</v>
      </c>
      <c r="C11" s="154" t="str">
        <f>'DICTIONARY-2'!$A$29</f>
        <v>nowy nr zamówienia</v>
      </c>
      <c r="D11" s="155" t="str">
        <f>CURRENCY.CODE_1</f>
        <v>EUR</v>
      </c>
      <c r="E11" s="155" t="str">
        <f>CURRENCY.CODE_2</f>
        <v>---</v>
      </c>
    </row>
    <row r="12" spans="1:5" x14ac:dyDescent="0.25">
      <c r="A12" s="156">
        <v>290</v>
      </c>
      <c r="B12" s="156" t="s">
        <v>1411</v>
      </c>
      <c r="C12" s="321" t="s">
        <v>4517</v>
      </c>
      <c r="D12" s="339" t="str">
        <f>IFERROR(IF(OR(C12='DICTIONARY-5'!$A$2,C12='DICTIONARY-5'!$A$4,ISBLANK(C12)),VLOOKUP(B12,LIST!$A$6:$L$3250,CURR_1.SEARCH.OLD,0),VLOOKUP(C12,LIST!$B$6:$L$3250,CURR_1.SEARCH.NEW,0)),'DICTIONARY-5'!$A$2)</f>
        <v>1 080,-</v>
      </c>
      <c r="E12" s="339" t="str">
        <f>IFERROR(IF(OR(C12='DICTIONARY-5'!$A$2,C12='DICTIONARY-5'!$A$4,ISBLANK(C12)),VLOOKUP(B12,LIST!$A$6:$M$3250,CURR_2.SEARCH.OLD,0),VLOOKUP(C12,LIST!$B$6:$M$3250,CURR_2.SEARCH.NEW,0)),'DICTIONARY-5'!$A$2)</f>
        <v/>
      </c>
    </row>
    <row r="13" spans="1:5" x14ac:dyDescent="0.25">
      <c r="A13" s="156">
        <v>390</v>
      </c>
      <c r="B13" s="156" t="s">
        <v>1412</v>
      </c>
      <c r="C13" s="321" t="s">
        <v>4524</v>
      </c>
      <c r="D13" s="339" t="str">
        <f>IFERROR(IF(OR(C13='DICTIONARY-5'!$A$2,C13='DICTIONARY-5'!$A$4,ISBLANK(C13)),VLOOKUP(B13,LIST!$A$6:$L$3250,CURR_1.SEARCH.OLD,0),VLOOKUP(C13,LIST!$B$6:$L$3250,CURR_1.SEARCH.NEW,0)),'DICTIONARY-5'!$A$2)</f>
        <v>1 323,-</v>
      </c>
      <c r="E13" s="339" t="str">
        <f>IFERROR(IF(OR(C13='DICTIONARY-5'!$A$2,C13='DICTIONARY-5'!$A$4,ISBLANK(C13)),VLOOKUP(B13,LIST!$A$6:$M$3250,CURR_2.SEARCH.OLD,0),VLOOKUP(C13,LIST!$B$6:$M$3250,CURR_2.SEARCH.NEW,0)),'DICTIONARY-5'!$A$2)</f>
        <v/>
      </c>
    </row>
    <row r="14" spans="1:5" x14ac:dyDescent="0.25">
      <c r="A14" s="156">
        <v>490</v>
      </c>
      <c r="B14" s="156" t="s">
        <v>1413</v>
      </c>
      <c r="C14" s="321" t="s">
        <v>4531</v>
      </c>
      <c r="D14" s="339" t="str">
        <f>IFERROR(IF(OR(C14='DICTIONARY-5'!$A$2,C14='DICTIONARY-5'!$A$4,ISBLANK(C14)),VLOOKUP(B14,LIST!$A$6:$L$3250,CURR_1.SEARCH.OLD,0),VLOOKUP(C14,LIST!$B$6:$L$3250,CURR_1.SEARCH.NEW,0)),'DICTIONARY-5'!$A$2)</f>
        <v>1 694,-</v>
      </c>
      <c r="E14" s="339" t="str">
        <f>IFERROR(IF(OR(C14='DICTIONARY-5'!$A$2,C14='DICTIONARY-5'!$A$4,ISBLANK(C14)),VLOOKUP(B14,LIST!$A$6:$M$3250,CURR_2.SEARCH.OLD,0),VLOOKUP(C14,LIST!$B$6:$M$3250,CURR_2.SEARCH.NEW,0)),'DICTIONARY-5'!$A$2)</f>
        <v/>
      </c>
    </row>
    <row r="15" spans="1:5" x14ac:dyDescent="0.25">
      <c r="A15" s="156">
        <v>590</v>
      </c>
      <c r="B15" s="156" t="s">
        <v>1414</v>
      </c>
      <c r="C15" s="321" t="s">
        <v>4538</v>
      </c>
      <c r="D15" s="339" t="str">
        <f>IFERROR(IF(OR(C15='DICTIONARY-5'!$A$2,C15='DICTIONARY-5'!$A$4,ISBLANK(C15)),VLOOKUP(B15,LIST!$A$6:$L$3250,CURR_1.SEARCH.OLD,0),VLOOKUP(C15,LIST!$B$6:$L$3250,CURR_1.SEARCH.NEW,0)),'DICTIONARY-5'!$A$2)</f>
        <v>3 165,-</v>
      </c>
      <c r="E15" s="339" t="str">
        <f>IFERROR(IF(OR(C15='DICTIONARY-5'!$A$2,C15='DICTIONARY-5'!$A$4,ISBLANK(C15)),VLOOKUP(B15,LIST!$A$6:$M$3250,CURR_2.SEARCH.OLD,0),VLOOKUP(C15,LIST!$B$6:$M$3250,CURR_2.SEARCH.NEW,0)),'DICTIONARY-5'!$A$2)</f>
        <v/>
      </c>
    </row>
    <row r="16" spans="1:5" x14ac:dyDescent="0.25">
      <c r="A16" s="156">
        <v>690</v>
      </c>
      <c r="B16" s="156" t="s">
        <v>1415</v>
      </c>
      <c r="C16" s="321" t="s">
        <v>4545</v>
      </c>
      <c r="D16" s="339" t="str">
        <f>IFERROR(IF(OR(C16='DICTIONARY-5'!$A$2,C16='DICTIONARY-5'!$A$4,ISBLANK(C16)),VLOOKUP(B16,LIST!$A$6:$L$3250,CURR_1.SEARCH.OLD,0),VLOOKUP(C16,LIST!$B$6:$L$3250,CURR_1.SEARCH.NEW,0)),'DICTIONARY-5'!$A$2)</f>
        <v>2 449,-</v>
      </c>
      <c r="E16" s="339" t="str">
        <f>IFERROR(IF(OR(C16='DICTIONARY-5'!$A$2,C16='DICTIONARY-5'!$A$4,ISBLANK(C16)),VLOOKUP(B16,LIST!$A$6:$M$3250,CURR_2.SEARCH.OLD,0),VLOOKUP(C16,LIST!$B$6:$M$3250,CURR_2.SEARCH.NEW,0)),'DICTIONARY-5'!$A$2)</f>
        <v/>
      </c>
    </row>
    <row r="17" spans="1:5" x14ac:dyDescent="0.25">
      <c r="A17" s="156">
        <v>790</v>
      </c>
      <c r="B17" s="156" t="s">
        <v>1416</v>
      </c>
      <c r="C17" s="321" t="s">
        <v>4551</v>
      </c>
      <c r="D17" s="339" t="str">
        <f>IFERROR(IF(OR(C17='DICTIONARY-5'!$A$2,C17='DICTIONARY-5'!$A$4,ISBLANK(C17)),VLOOKUP(B17,LIST!$A$6:$L$3250,CURR_1.SEARCH.OLD,0),VLOOKUP(C17,LIST!$B$6:$L$3250,CURR_1.SEARCH.NEW,0)),'DICTIONARY-5'!$A$2)</f>
        <v>4 358,-</v>
      </c>
      <c r="E17" s="339" t="str">
        <f>IFERROR(IF(OR(C17='DICTIONARY-5'!$A$2,C17='DICTIONARY-5'!$A$4,ISBLANK(C17)),VLOOKUP(B17,LIST!$A$6:$M$3250,CURR_2.SEARCH.OLD,0),VLOOKUP(C17,LIST!$B$6:$M$3250,CURR_2.SEARCH.NEW,0)),'DICTIONARY-5'!$A$2)</f>
        <v/>
      </c>
    </row>
    <row r="18" spans="1:5" x14ac:dyDescent="0.25">
      <c r="A18" s="156">
        <v>890</v>
      </c>
      <c r="B18" s="156" t="s">
        <v>1417</v>
      </c>
      <c r="C18" s="321" t="s">
        <v>4557</v>
      </c>
      <c r="D18" s="339" t="str">
        <f>IFERROR(IF(OR(C18='DICTIONARY-5'!$A$2,C18='DICTIONARY-5'!$A$4,ISBLANK(C18)),VLOOKUP(B18,LIST!$A$6:$L$3250,CURR_1.SEARCH.OLD,0),VLOOKUP(C18,LIST!$B$6:$L$3250,CURR_1.SEARCH.NEW,0)),'DICTIONARY-5'!$A$2)</f>
        <v>5 509,-</v>
      </c>
      <c r="E18" s="339" t="str">
        <f>IFERROR(IF(OR(C18='DICTIONARY-5'!$A$2,C18='DICTIONARY-5'!$A$4,ISBLANK(C18)),VLOOKUP(B18,LIST!$A$6:$M$3250,CURR_2.SEARCH.OLD,0),VLOOKUP(C18,LIST!$B$6:$M$3250,CURR_2.SEARCH.NEW,0)),'DICTIONARY-5'!$A$2)</f>
        <v/>
      </c>
    </row>
    <row r="19" spans="1:5" x14ac:dyDescent="0.25">
      <c r="A19" s="156">
        <v>990</v>
      </c>
      <c r="B19" s="156" t="s">
        <v>1418</v>
      </c>
      <c r="C19" s="321" t="s">
        <v>4563</v>
      </c>
      <c r="D19" s="339" t="str">
        <f>IFERROR(IF(OR(C19='DICTIONARY-5'!$A$2,C19='DICTIONARY-5'!$A$4,ISBLANK(C19)),VLOOKUP(B19,LIST!$A$6:$L$3250,CURR_1.SEARCH.OLD,0),VLOOKUP(C19,LIST!$B$6:$L$3250,CURR_1.SEARCH.NEW,0)),'DICTIONARY-5'!$A$2)</f>
        <v>6 414,-</v>
      </c>
      <c r="E19" s="339" t="str">
        <f>IFERROR(IF(OR(C19='DICTIONARY-5'!$A$2,C19='DICTIONARY-5'!$A$4,ISBLANK(C19)),VLOOKUP(B19,LIST!$A$6:$M$3250,CURR_2.SEARCH.OLD,0),VLOOKUP(C19,LIST!$B$6:$M$3250,CURR_2.SEARCH.NEW,0)),'DICTIONARY-5'!$A$2)</f>
        <v/>
      </c>
    </row>
    <row r="21" spans="1:5" x14ac:dyDescent="0.25">
      <c r="A21" s="548" t="str">
        <f>"1) "&amp;'DICTIONARY-5'!$A$77</f>
        <v>1) Zewnętrzna średnica przyłącza klapy</v>
      </c>
    </row>
    <row r="22" spans="1:5" x14ac:dyDescent="0.25">
      <c r="A22" s="146" t="str">
        <f>'DICTIONARY-5'!$A$3&amp;" DN 150 ... 250, DN 1200 ... 2000"</f>
        <v>Na zapytanie:  DN 150 ... 250, DN 1200 ... 2000</v>
      </c>
    </row>
    <row r="25" spans="1:5" x14ac:dyDescent="0.25">
      <c r="A25" s="152" t="str">
        <f>'DICTIONARY-2'!$A$5&amp;" 1)"</f>
        <v>Da 1)</v>
      </c>
      <c r="B25" s="1013" t="str">
        <f>'DICTIONARY-3'!$A$37</f>
        <v>HADE PTK-P</v>
      </c>
      <c r="C25" s="1014"/>
      <c r="D25" s="1014"/>
      <c r="E25" s="1015"/>
    </row>
    <row r="26" spans="1:5" x14ac:dyDescent="0.25">
      <c r="A26" s="153"/>
      <c r="B26" s="1010" t="str">
        <f>REPLACE('DICTIONARY-3'!$A$303,1,1,LOWER(LEFT('DICTIONARY-3'!$A$303,1)))</f>
        <v>dla rur z PVC i PE</v>
      </c>
      <c r="C26" s="1011"/>
      <c r="D26" s="1011"/>
      <c r="E26" s="1012"/>
    </row>
    <row r="27" spans="1:5" x14ac:dyDescent="0.25">
      <c r="A27" s="153" t="str">
        <f>'DICTIONARY-2'!$A$18</f>
        <v>[mm]</v>
      </c>
      <c r="B27" s="154" t="str">
        <f>'DICTIONARY-2'!$A$28</f>
        <v>stary nr zamówienia</v>
      </c>
      <c r="C27" s="154" t="str">
        <f>'DICTIONARY-2'!$A$29</f>
        <v>nowy nr zamówienia</v>
      </c>
      <c r="D27" s="155" t="str">
        <f>CURRENCY.CODE_1</f>
        <v>EUR</v>
      </c>
      <c r="E27" s="155" t="str">
        <f>CURRENCY.CODE_2</f>
        <v>---</v>
      </c>
    </row>
    <row r="28" spans="1:5" x14ac:dyDescent="0.25">
      <c r="A28" s="156">
        <v>160</v>
      </c>
      <c r="B28" s="156" t="s">
        <v>1419</v>
      </c>
      <c r="C28" s="321" t="s">
        <v>4496</v>
      </c>
      <c r="D28" s="339" t="str">
        <f>IFERROR(IF(OR(C28='DICTIONARY-5'!$A$2,C28='DICTIONARY-5'!$A$4,ISBLANK(C28)),VLOOKUP(B28,LIST!$A$6:$L$3250,CURR_1.SEARCH.OLD,0),VLOOKUP(C28,LIST!$B$6:$L$3250,CURR_1.SEARCH.NEW,0)),'DICTIONARY-5'!$A$2)</f>
        <v>543,-</v>
      </c>
      <c r="E28" s="339" t="str">
        <f>IFERROR(IF(OR(C28='DICTIONARY-5'!$A$2,C28='DICTIONARY-5'!$A$4,ISBLANK(C28)),VLOOKUP(B28,LIST!$A$6:$M$3250,CURR_2.SEARCH.OLD,0),VLOOKUP(C28,LIST!$B$6:$M$3250,CURR_2.SEARCH.NEW,0)),'DICTIONARY-5'!$A$2)</f>
        <v/>
      </c>
    </row>
    <row r="29" spans="1:5" x14ac:dyDescent="0.25">
      <c r="A29" s="156">
        <v>200</v>
      </c>
      <c r="B29" s="156" t="s">
        <v>1420</v>
      </c>
      <c r="C29" s="321" t="s">
        <v>4504</v>
      </c>
      <c r="D29" s="339" t="str">
        <f>IFERROR(IF(OR(C29='DICTIONARY-5'!$A$2,C29='DICTIONARY-5'!$A$4,ISBLANK(C29)),VLOOKUP(B29,LIST!$A$6:$L$3250,CURR_1.SEARCH.OLD,0),VLOOKUP(C29,LIST!$B$6:$L$3250,CURR_1.SEARCH.NEW,0)),'DICTIONARY-5'!$A$2)</f>
        <v>597,-</v>
      </c>
      <c r="E29" s="339" t="str">
        <f>IFERROR(IF(OR(C29='DICTIONARY-5'!$A$2,C29='DICTIONARY-5'!$A$4,ISBLANK(C29)),VLOOKUP(B29,LIST!$A$6:$M$3250,CURR_2.SEARCH.OLD,0),VLOOKUP(C29,LIST!$B$6:$M$3250,CURR_2.SEARCH.NEW,0)),'DICTIONARY-5'!$A$2)</f>
        <v/>
      </c>
    </row>
    <row r="30" spans="1:5" x14ac:dyDescent="0.25">
      <c r="A30" s="156">
        <v>250</v>
      </c>
      <c r="B30" s="156" t="s">
        <v>1421</v>
      </c>
      <c r="C30" s="321" t="s">
        <v>4510</v>
      </c>
      <c r="D30" s="339" t="str">
        <f>IFERROR(IF(OR(C30='DICTIONARY-5'!$A$2,C30='DICTIONARY-5'!$A$4,ISBLANK(C30)),VLOOKUP(B30,LIST!$A$6:$L$3250,CURR_1.SEARCH.OLD,0),VLOOKUP(C30,LIST!$B$6:$L$3250,CURR_1.SEARCH.NEW,0)),'DICTIONARY-5'!$A$2)</f>
        <v>730,-</v>
      </c>
      <c r="E30" s="339" t="str">
        <f>IFERROR(IF(OR(C30='DICTIONARY-5'!$A$2,C30='DICTIONARY-5'!$A$4,ISBLANK(C30)),VLOOKUP(B30,LIST!$A$6:$M$3250,CURR_2.SEARCH.OLD,0),VLOOKUP(C30,LIST!$B$6:$M$3250,CURR_2.SEARCH.NEW,0)),'DICTIONARY-5'!$A$2)</f>
        <v/>
      </c>
    </row>
    <row r="31" spans="1:5" x14ac:dyDescent="0.25">
      <c r="A31" s="156">
        <v>315</v>
      </c>
      <c r="B31" s="156" t="s">
        <v>1422</v>
      </c>
      <c r="C31" s="321" t="s">
        <v>4521</v>
      </c>
      <c r="D31" s="339" t="str">
        <f>IFERROR(IF(OR(C31='DICTIONARY-5'!$A$2,C31='DICTIONARY-5'!$A$4,ISBLANK(C31)),VLOOKUP(B31,LIST!$A$6:$L$3250,CURR_1.SEARCH.OLD,0),VLOOKUP(C31,LIST!$B$6:$L$3250,CURR_1.SEARCH.NEW,0)),'DICTIONARY-5'!$A$2)</f>
        <v>829,-</v>
      </c>
      <c r="E31" s="339" t="str">
        <f>IFERROR(IF(OR(C31='DICTIONARY-5'!$A$2,C31='DICTIONARY-5'!$A$4,ISBLANK(C31)),VLOOKUP(B31,LIST!$A$6:$M$3250,CURR_2.SEARCH.OLD,0),VLOOKUP(C31,LIST!$B$6:$M$3250,CURR_2.SEARCH.NEW,0)),'DICTIONARY-5'!$A$2)</f>
        <v/>
      </c>
    </row>
    <row r="32" spans="1:5" x14ac:dyDescent="0.25">
      <c r="A32" s="156">
        <v>400</v>
      </c>
      <c r="B32" s="156" t="s">
        <v>1423</v>
      </c>
      <c r="C32" s="321" t="s">
        <v>4527</v>
      </c>
      <c r="D32" s="339" t="str">
        <f>IFERROR(IF(OR(C32='DICTIONARY-5'!$A$2,C32='DICTIONARY-5'!$A$4,ISBLANK(C32)),VLOOKUP(B32,LIST!$A$6:$L$3250,CURR_1.SEARCH.OLD,0),VLOOKUP(C32,LIST!$B$6:$L$3250,CURR_1.SEARCH.NEW,0)),'DICTIONARY-5'!$A$2)</f>
        <v>1 086,-</v>
      </c>
      <c r="E32" s="339" t="str">
        <f>IFERROR(IF(OR(C32='DICTIONARY-5'!$A$2,C32='DICTIONARY-5'!$A$4,ISBLANK(C32)),VLOOKUP(B32,LIST!$A$6:$M$3250,CURR_2.SEARCH.OLD,0),VLOOKUP(C32,LIST!$B$6:$M$3250,CURR_2.SEARCH.NEW,0)),'DICTIONARY-5'!$A$2)</f>
        <v/>
      </c>
    </row>
    <row r="33" spans="1:5" x14ac:dyDescent="0.25">
      <c r="A33" s="156">
        <v>500</v>
      </c>
      <c r="B33" s="156" t="s">
        <v>1424</v>
      </c>
      <c r="C33" s="321" t="s">
        <v>4534</v>
      </c>
      <c r="D33" s="339" t="str">
        <f>IFERROR(IF(OR(C33='DICTIONARY-5'!$A$2,C33='DICTIONARY-5'!$A$4,ISBLANK(C33)),VLOOKUP(B33,LIST!$A$6:$L$3250,CURR_1.SEARCH.OLD,0),VLOOKUP(C33,LIST!$B$6:$L$3250,CURR_1.SEARCH.NEW,0)),'DICTIONARY-5'!$A$2)</f>
        <v>1 340,-</v>
      </c>
      <c r="E33" s="339" t="str">
        <f>IFERROR(IF(OR(C33='DICTIONARY-5'!$A$2,C33='DICTIONARY-5'!$A$4,ISBLANK(C33)),VLOOKUP(B33,LIST!$A$6:$M$3250,CURR_2.SEARCH.OLD,0),VLOOKUP(C33,LIST!$B$6:$M$3250,CURR_2.SEARCH.NEW,0)),'DICTIONARY-5'!$A$2)</f>
        <v/>
      </c>
    </row>
    <row r="34" spans="1:5" x14ac:dyDescent="0.25">
      <c r="A34" s="156">
        <v>630</v>
      </c>
      <c r="B34" s="156" t="s">
        <v>1425</v>
      </c>
      <c r="C34" s="321" t="s">
        <v>4541</v>
      </c>
      <c r="D34" s="339" t="str">
        <f>IFERROR(IF(OR(C34='DICTIONARY-5'!$A$2,C34='DICTIONARY-5'!$A$4,ISBLANK(C34)),VLOOKUP(B34,LIST!$A$6:$L$3250,CURR_1.SEARCH.OLD,0),VLOOKUP(C34,LIST!$B$6:$L$3250,CURR_1.SEARCH.NEW,0)),'DICTIONARY-5'!$A$2)</f>
        <v>2 207,-</v>
      </c>
      <c r="E34" s="339" t="str">
        <f>IFERROR(IF(OR(C34='DICTIONARY-5'!$A$2,C34='DICTIONARY-5'!$A$4,ISBLANK(C34)),VLOOKUP(B34,LIST!$A$6:$M$3250,CURR_2.SEARCH.OLD,0),VLOOKUP(C34,LIST!$B$6:$M$3250,CURR_2.SEARCH.NEW,0)),'DICTIONARY-5'!$A$2)</f>
        <v/>
      </c>
    </row>
    <row r="36" spans="1:5" x14ac:dyDescent="0.25">
      <c r="A36" s="548" t="str">
        <f>"1) "&amp;'DICTIONARY-5'!$A$77</f>
        <v>1) Zewnętrzna średnica przyłącza klapy</v>
      </c>
    </row>
  </sheetData>
  <sheetProtection algorithmName="SHA-512" hashValue="tiNh/uSlORtjjNXJ6Jg0U82EuIQfHTBuaDDIBRXqEP1+lghVTGbrUqUBKC0BBdXzJ1NYz7gFAtUfsyy5kVmz1Q==" saltValue="yDe9rvTNfzlhhGT9m3qoxQ==" spinCount="100000" sheet="1" objects="1" scenarios="1" autoFilter="0"/>
  <mergeCells count="5">
    <mergeCell ref="B4:E4"/>
    <mergeCell ref="B25:E25"/>
    <mergeCell ref="B9:E9"/>
    <mergeCell ref="B10:E10"/>
    <mergeCell ref="B26:E2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1">
    <tabColor rgb="FFFFC000"/>
  </sheetPr>
  <dimension ref="A1:I54"/>
  <sheetViews>
    <sheetView workbookViewId="0"/>
  </sheetViews>
  <sheetFormatPr defaultColWidth="9.140625" defaultRowHeight="15" x14ac:dyDescent="0.25"/>
  <cols>
    <col min="1" max="1" width="9.140625" style="144"/>
    <col min="2" max="3" width="22.140625" style="144" customWidth="1"/>
    <col min="4" max="5" width="12.85546875" style="145" customWidth="1"/>
    <col min="6" max="7" width="22.140625" style="145" customWidth="1"/>
    <col min="8" max="9" width="12.85546875" style="145" customWidth="1"/>
    <col min="10" max="16384" width="9.140625" style="146"/>
  </cols>
  <sheetData>
    <row r="1" spans="1:9" s="408" customFormat="1" ht="45" customHeight="1" thickBot="1" x14ac:dyDescent="0.3">
      <c r="A1" s="430"/>
      <c r="B1" s="430"/>
      <c r="C1" s="430"/>
      <c r="D1" s="409"/>
      <c r="E1" s="409"/>
      <c r="F1" s="409"/>
      <c r="G1" s="409"/>
      <c r="H1" s="409"/>
      <c r="I1" s="409"/>
    </row>
    <row r="2" spans="1:9" s="467" customFormat="1" ht="4.5" customHeight="1" x14ac:dyDescent="0.25">
      <c r="A2" s="466"/>
      <c r="B2" s="468"/>
      <c r="C2" s="468"/>
      <c r="D2" s="469"/>
      <c r="E2" s="469"/>
      <c r="F2" s="469"/>
      <c r="G2" s="469"/>
      <c r="H2" s="469"/>
      <c r="I2" s="469"/>
    </row>
    <row r="3" spans="1:9" ht="15.75" thickBot="1" x14ac:dyDescent="0.3">
      <c r="A3" s="147"/>
      <c r="B3" s="148"/>
      <c r="C3" s="148"/>
    </row>
    <row r="4" spans="1:9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9" x14ac:dyDescent="0.25">
      <c r="A5" s="147"/>
      <c r="B5" s="148"/>
      <c r="C5" s="148"/>
    </row>
    <row r="6" spans="1:9" ht="16.5" thickBot="1" x14ac:dyDescent="0.3">
      <c r="A6" s="712" t="str">
        <f>CONCATENATE('DICTIONARY-3'!$A$31," ",'DICTIONARY-3'!$A$203," / ",'DICTIONARY-3'!$A$319)</f>
        <v>HADE Klapa przeciwcofkowa / Montaż na pionowej betonowej ścianie</v>
      </c>
      <c r="B6" s="712"/>
      <c r="C6" s="712"/>
      <c r="D6" s="712"/>
      <c r="E6" s="712"/>
      <c r="F6" s="712"/>
      <c r="G6" s="712"/>
      <c r="H6" s="712"/>
      <c r="I6" s="712"/>
    </row>
    <row r="7" spans="1:9" x14ac:dyDescent="0.25">
      <c r="A7" s="149" t="str">
        <f>'DICTIONARY-5'!$A$142</f>
        <v>Klapy PTK-G nie należy instalować do pracy pod wodą</v>
      </c>
    </row>
    <row r="8" spans="1:9" x14ac:dyDescent="0.25">
      <c r="A8" s="150" t="str">
        <f>CONCATENATE('DICTIONARY-1'!$A$10,": ",SETTINGS!$C$57)</f>
        <v>Grupa rabatowa: HADE</v>
      </c>
    </row>
    <row r="9" spans="1:9" x14ac:dyDescent="0.25">
      <c r="A9" s="151"/>
    </row>
    <row r="10" spans="1:9" x14ac:dyDescent="0.25">
      <c r="A10" s="152" t="str">
        <f>'DICTIONARY-2'!$A$2</f>
        <v>DN</v>
      </c>
      <c r="B10" s="1013" t="str">
        <f>'DICTIONARY-3'!$A$34</f>
        <v>HADE PTK-G</v>
      </c>
      <c r="C10" s="1014"/>
      <c r="D10" s="1014"/>
      <c r="E10" s="1015"/>
      <c r="F10" s="1013" t="str">
        <f>LOWER('DICTIONARY-3'!$A$231)</f>
        <v>zestaw kotwiący</v>
      </c>
      <c r="G10" s="1014"/>
      <c r="H10" s="1014"/>
      <c r="I10" s="1015"/>
    </row>
    <row r="11" spans="1:9" x14ac:dyDescent="0.25">
      <c r="A11" s="153"/>
      <c r="B11" s="1010" t="str">
        <f>LOWER('DICTIONARY-3'!$A$310)</f>
        <v>z płytą pionową</v>
      </c>
      <c r="C11" s="1011"/>
      <c r="D11" s="1011"/>
      <c r="E11" s="1012"/>
      <c r="F11" s="1010"/>
      <c r="G11" s="1011"/>
      <c r="H11" s="1011"/>
      <c r="I11" s="1012"/>
    </row>
    <row r="12" spans="1:9" x14ac:dyDescent="0.25">
      <c r="A12" s="153"/>
      <c r="B12" s="154" t="str">
        <f>'DICTIONARY-2'!$A$28</f>
        <v>stary nr zamówienia</v>
      </c>
      <c r="C12" s="154" t="str">
        <f>'DICTIONARY-2'!$A$29</f>
        <v>nowy nr zamówienia</v>
      </c>
      <c r="D12" s="155" t="str">
        <f>CURRENCY.CODE_1</f>
        <v>EUR</v>
      </c>
      <c r="E12" s="155" t="str">
        <f>CURRENCY.CODE_2</f>
        <v>---</v>
      </c>
      <c r="F12" s="154" t="str">
        <f>'DICTIONARY-2'!$A$28</f>
        <v>stary nr zamówienia</v>
      </c>
      <c r="G12" s="154" t="str">
        <f>'DICTIONARY-2'!$A$29</f>
        <v>nowy nr zamówienia</v>
      </c>
      <c r="H12" s="155" t="str">
        <f>CURRENCY.CODE_1</f>
        <v>EUR</v>
      </c>
      <c r="I12" s="155" t="str">
        <f>CURRENCY.CODE_2</f>
        <v>---</v>
      </c>
    </row>
    <row r="13" spans="1:9" x14ac:dyDescent="0.25">
      <c r="A13" s="156">
        <v>150</v>
      </c>
      <c r="B13" s="156" t="s">
        <v>1426</v>
      </c>
      <c r="C13" s="321" t="s">
        <v>4493</v>
      </c>
      <c r="D13" s="339" t="str">
        <f>IFERROR(IF(OR(C13='DICTIONARY-5'!$A$2,C13='DICTIONARY-5'!$A$4,ISBLANK(C13)),VLOOKUP(B13,LIST!$A$6:$L$3250,CURR_1.SEARCH.OLD,0),VLOOKUP(C13,LIST!$B$6:$L$3250,CURR_1.SEARCH.NEW,0)),'DICTIONARY-5'!$A$2)</f>
        <v>420,-</v>
      </c>
      <c r="E13" s="339" t="str">
        <f>IFERROR(IF(OR(C13='DICTIONARY-5'!$A$2,C13='DICTIONARY-5'!$A$4,ISBLANK(C13)),VLOOKUP(B13,LIST!$A$6:$M$3250,CURR_2.SEARCH.OLD,0),VLOOKUP(C13,LIST!$B$6:$M$3250,CURR_2.SEARCH.NEW,0)),'DICTIONARY-5'!$A$2)</f>
        <v/>
      </c>
      <c r="F13" s="156" t="s">
        <v>1427</v>
      </c>
      <c r="G13" s="321" t="s">
        <v>4612</v>
      </c>
      <c r="H13" s="339" t="str">
        <f>IFERROR(IF(OR(G13='DICTIONARY-5'!$A$2,G13='DICTIONARY-5'!$A$4,ISBLANK(G13)),VLOOKUP(F13,LIST!$A$6:$L$3250,CURR_1.SEARCH.OLD,0),VLOOKUP(G13,LIST!$B$6:$L$3250,CURR_1.SEARCH.NEW,0)),'DICTIONARY-5'!$A$2)</f>
        <v>82,-</v>
      </c>
      <c r="I13" s="339" t="str">
        <f>IFERROR(IF(OR(G13='DICTIONARY-5'!$A$2,G13='DICTIONARY-5'!$A$4,ISBLANK(G13)),VLOOKUP(F13,LIST!$A$6:$M$3250,CURR_2.SEARCH.OLD,0),VLOOKUP(G13,LIST!$B$6:$M$3250,CURR_2.SEARCH.NEW,0)),'DICTIONARY-5'!$A$2)</f>
        <v/>
      </c>
    </row>
    <row r="14" spans="1:9" x14ac:dyDescent="0.25">
      <c r="A14" s="156">
        <v>200</v>
      </c>
      <c r="B14" s="156" t="s">
        <v>1428</v>
      </c>
      <c r="C14" s="321" t="s">
        <v>4503</v>
      </c>
      <c r="D14" s="339" t="str">
        <f>IFERROR(IF(OR(C14='DICTIONARY-5'!$A$2,C14='DICTIONARY-5'!$A$4,ISBLANK(C14)),VLOOKUP(B14,LIST!$A$6:$L$3250,CURR_1.SEARCH.OLD,0),VLOOKUP(C14,LIST!$B$6:$L$3250,CURR_1.SEARCH.NEW,0)),'DICTIONARY-5'!$A$2)</f>
        <v>495,-</v>
      </c>
      <c r="E14" s="339" t="str">
        <f>IFERROR(IF(OR(C14='DICTIONARY-5'!$A$2,C14='DICTIONARY-5'!$A$4,ISBLANK(C14)),VLOOKUP(B14,LIST!$A$6:$M$3250,CURR_2.SEARCH.OLD,0),VLOOKUP(C14,LIST!$B$6:$M$3250,CURR_2.SEARCH.NEW,0)),'DICTIONARY-5'!$A$2)</f>
        <v/>
      </c>
      <c r="F14" s="156" t="s">
        <v>1429</v>
      </c>
      <c r="G14" s="321" t="s">
        <v>4613</v>
      </c>
      <c r="H14" s="339" t="str">
        <f>IFERROR(IF(OR(G14='DICTIONARY-5'!$A$2,G14='DICTIONARY-5'!$A$4,ISBLANK(G14)),VLOOKUP(F14,LIST!$A$6:$L$3250,CURR_1.SEARCH.OLD,0),VLOOKUP(G14,LIST!$B$6:$L$3250,CURR_1.SEARCH.NEW,0)),'DICTIONARY-5'!$A$2)</f>
        <v>82,-</v>
      </c>
      <c r="I14" s="339" t="str">
        <f>IFERROR(IF(OR(G14='DICTIONARY-5'!$A$2,G14='DICTIONARY-5'!$A$4,ISBLANK(G14)),VLOOKUP(F14,LIST!$A$6:$M$3250,CURR_2.SEARCH.OLD,0),VLOOKUP(G14,LIST!$B$6:$M$3250,CURR_2.SEARCH.NEW,0)),'DICTIONARY-5'!$A$2)</f>
        <v/>
      </c>
    </row>
    <row r="15" spans="1:9" x14ac:dyDescent="0.25">
      <c r="A15" s="156">
        <v>250</v>
      </c>
      <c r="B15" s="156" t="s">
        <v>1430</v>
      </c>
      <c r="C15" s="321" t="s">
        <v>4509</v>
      </c>
      <c r="D15" s="339" t="str">
        <f>IFERROR(IF(OR(C15='DICTIONARY-5'!$A$2,C15='DICTIONARY-5'!$A$4,ISBLANK(C15)),VLOOKUP(B15,LIST!$A$6:$L$3250,CURR_1.SEARCH.OLD,0),VLOOKUP(C15,LIST!$B$6:$L$3250,CURR_1.SEARCH.NEW,0)),'DICTIONARY-5'!$A$2)</f>
        <v>577,-</v>
      </c>
      <c r="E15" s="339" t="str">
        <f>IFERROR(IF(OR(C15='DICTIONARY-5'!$A$2,C15='DICTIONARY-5'!$A$4,ISBLANK(C15)),VLOOKUP(B15,LIST!$A$6:$M$3250,CURR_2.SEARCH.OLD,0),VLOOKUP(C15,LIST!$B$6:$M$3250,CURR_2.SEARCH.NEW,0)),'DICTIONARY-5'!$A$2)</f>
        <v/>
      </c>
      <c r="F15" s="156" t="s">
        <v>1431</v>
      </c>
      <c r="G15" s="321" t="s">
        <v>4614</v>
      </c>
      <c r="H15" s="339" t="str">
        <f>IFERROR(IF(OR(G15='DICTIONARY-5'!$A$2,G15='DICTIONARY-5'!$A$4,ISBLANK(G15)),VLOOKUP(F15,LIST!$A$6:$L$3250,CURR_1.SEARCH.OLD,0),VLOOKUP(G15,LIST!$B$6:$L$3250,CURR_1.SEARCH.NEW,0)),'DICTIONARY-5'!$A$2)</f>
        <v>86,-</v>
      </c>
      <c r="I15" s="339" t="str">
        <f>IFERROR(IF(OR(G15='DICTIONARY-5'!$A$2,G15='DICTIONARY-5'!$A$4,ISBLANK(G15)),VLOOKUP(F15,LIST!$A$6:$M$3250,CURR_2.SEARCH.OLD,0),VLOOKUP(G15,LIST!$B$6:$M$3250,CURR_2.SEARCH.NEW,0)),'DICTIONARY-5'!$A$2)</f>
        <v/>
      </c>
    </row>
    <row r="16" spans="1:9" x14ac:dyDescent="0.25">
      <c r="A16" s="156">
        <v>300</v>
      </c>
      <c r="B16" s="156" t="s">
        <v>1432</v>
      </c>
      <c r="C16" s="321" t="s">
        <v>4519</v>
      </c>
      <c r="D16" s="339" t="str">
        <f>IFERROR(IF(OR(C16='DICTIONARY-5'!$A$2,C16='DICTIONARY-5'!$A$4,ISBLANK(C16)),VLOOKUP(B16,LIST!$A$6:$L$3250,CURR_1.SEARCH.OLD,0),VLOOKUP(C16,LIST!$B$6:$L$3250,CURR_1.SEARCH.NEW,0)),'DICTIONARY-5'!$A$2)</f>
        <v>631,-</v>
      </c>
      <c r="E16" s="339" t="str">
        <f>IFERROR(IF(OR(C16='DICTIONARY-5'!$A$2,C16='DICTIONARY-5'!$A$4,ISBLANK(C16)),VLOOKUP(B16,LIST!$A$6:$M$3250,CURR_2.SEARCH.OLD,0),VLOOKUP(C16,LIST!$B$6:$M$3250,CURR_2.SEARCH.NEW,0)),'DICTIONARY-5'!$A$2)</f>
        <v/>
      </c>
      <c r="F16" s="156" t="s">
        <v>1433</v>
      </c>
      <c r="G16" s="321" t="s">
        <v>4615</v>
      </c>
      <c r="H16" s="339" t="str">
        <f>IFERROR(IF(OR(G16='DICTIONARY-5'!$A$2,G16='DICTIONARY-5'!$A$4,ISBLANK(G16)),VLOOKUP(F16,LIST!$A$6:$L$3250,CURR_1.SEARCH.OLD,0),VLOOKUP(G16,LIST!$B$6:$L$3250,CURR_1.SEARCH.NEW,0)),'DICTIONARY-5'!$A$2)</f>
        <v>79,-</v>
      </c>
      <c r="I16" s="339" t="str">
        <f>IFERROR(IF(OR(G16='DICTIONARY-5'!$A$2,G16='DICTIONARY-5'!$A$4,ISBLANK(G16)),VLOOKUP(F16,LIST!$A$6:$M$3250,CURR_2.SEARCH.OLD,0),VLOOKUP(G16,LIST!$B$6:$M$3250,CURR_2.SEARCH.NEW,0)),'DICTIONARY-5'!$A$2)</f>
        <v/>
      </c>
    </row>
    <row r="17" spans="1:9" x14ac:dyDescent="0.25">
      <c r="A17" s="156">
        <v>400</v>
      </c>
      <c r="B17" s="156" t="s">
        <v>1434</v>
      </c>
      <c r="C17" s="321" t="s">
        <v>4526</v>
      </c>
      <c r="D17" s="339" t="str">
        <f>IFERROR(IF(OR(C17='DICTIONARY-5'!$A$2,C17='DICTIONARY-5'!$A$4,ISBLANK(C17)),VLOOKUP(B17,LIST!$A$6:$L$3250,CURR_1.SEARCH.OLD,0),VLOOKUP(C17,LIST!$B$6:$L$3250,CURR_1.SEARCH.NEW,0)),'DICTIONARY-5'!$A$2)</f>
        <v>899,-</v>
      </c>
      <c r="E17" s="339" t="str">
        <f>IFERROR(IF(OR(C17='DICTIONARY-5'!$A$2,C17='DICTIONARY-5'!$A$4,ISBLANK(C17)),VLOOKUP(B17,LIST!$A$6:$M$3250,CURR_2.SEARCH.OLD,0),VLOOKUP(C17,LIST!$B$6:$M$3250,CURR_2.SEARCH.NEW,0)),'DICTIONARY-5'!$A$2)</f>
        <v/>
      </c>
      <c r="F17" s="156" t="s">
        <v>1435</v>
      </c>
      <c r="G17" s="321" t="s">
        <v>4616</v>
      </c>
      <c r="H17" s="339" t="str">
        <f>IFERROR(IF(OR(G17='DICTIONARY-5'!$A$2,G17='DICTIONARY-5'!$A$4,ISBLANK(G17)),VLOOKUP(F17,LIST!$A$6:$L$3250,CURR_1.SEARCH.OLD,0),VLOOKUP(G17,LIST!$B$6:$L$3250,CURR_1.SEARCH.NEW,0)),'DICTIONARY-5'!$A$2)</f>
        <v>113,-</v>
      </c>
      <c r="I17" s="339" t="str">
        <f>IFERROR(IF(OR(G17='DICTIONARY-5'!$A$2,G17='DICTIONARY-5'!$A$4,ISBLANK(G17)),VLOOKUP(F17,LIST!$A$6:$M$3250,CURR_2.SEARCH.OLD,0),VLOOKUP(G17,LIST!$B$6:$M$3250,CURR_2.SEARCH.NEW,0)),'DICTIONARY-5'!$A$2)</f>
        <v/>
      </c>
    </row>
    <row r="18" spans="1:9" x14ac:dyDescent="0.25">
      <c r="A18" s="156">
        <v>500</v>
      </c>
      <c r="B18" s="156" t="s">
        <v>1436</v>
      </c>
      <c r="C18" s="321" t="s">
        <v>4533</v>
      </c>
      <c r="D18" s="339" t="str">
        <f>IFERROR(IF(OR(C18='DICTIONARY-5'!$A$2,C18='DICTIONARY-5'!$A$4,ISBLANK(C18)),VLOOKUP(B18,LIST!$A$6:$L$3250,CURR_1.SEARCH.OLD,0),VLOOKUP(C18,LIST!$B$6:$L$3250,CURR_1.SEARCH.NEW,0)),'DICTIONARY-5'!$A$2)</f>
        <v>1 095,-</v>
      </c>
      <c r="E18" s="339" t="str">
        <f>IFERROR(IF(OR(C18='DICTIONARY-5'!$A$2,C18='DICTIONARY-5'!$A$4,ISBLANK(C18)),VLOOKUP(B18,LIST!$A$6:$M$3250,CURR_2.SEARCH.OLD,0),VLOOKUP(C18,LIST!$B$6:$M$3250,CURR_2.SEARCH.NEW,0)),'DICTIONARY-5'!$A$2)</f>
        <v/>
      </c>
      <c r="F18" s="156" t="s">
        <v>1437</v>
      </c>
      <c r="G18" s="321" t="s">
        <v>4617</v>
      </c>
      <c r="H18" s="339" t="str">
        <f>IFERROR(IF(OR(G18='DICTIONARY-5'!$A$2,G18='DICTIONARY-5'!$A$4,ISBLANK(G18)),VLOOKUP(F18,LIST!$A$6:$L$3250,CURR_1.SEARCH.OLD,0),VLOOKUP(G18,LIST!$B$6:$L$3250,CURR_1.SEARCH.NEW,0)),'DICTIONARY-5'!$A$2)</f>
        <v>133,-</v>
      </c>
      <c r="I18" s="339" t="str">
        <f>IFERROR(IF(OR(G18='DICTIONARY-5'!$A$2,G18='DICTIONARY-5'!$A$4,ISBLANK(G18)),VLOOKUP(F18,LIST!$A$6:$M$3250,CURR_2.SEARCH.OLD,0),VLOOKUP(G18,LIST!$B$6:$M$3250,CURR_2.SEARCH.NEW,0)),'DICTIONARY-5'!$A$2)</f>
        <v/>
      </c>
    </row>
    <row r="19" spans="1:9" x14ac:dyDescent="0.25">
      <c r="A19" s="156">
        <v>600</v>
      </c>
      <c r="B19" s="156" t="s">
        <v>1438</v>
      </c>
      <c r="C19" s="321" t="s">
        <v>4540</v>
      </c>
      <c r="D19" s="339" t="str">
        <f>IFERROR(IF(OR(C19='DICTIONARY-5'!$A$2,C19='DICTIONARY-5'!$A$4,ISBLANK(C19)),VLOOKUP(B19,LIST!$A$6:$L$3250,CURR_1.SEARCH.OLD,0),VLOOKUP(C19,LIST!$B$6:$L$3250,CURR_1.SEARCH.NEW,0)),'DICTIONARY-5'!$A$2)</f>
        <v>1 535,-</v>
      </c>
      <c r="E19" s="339" t="str">
        <f>IFERROR(IF(OR(C19='DICTIONARY-5'!$A$2,C19='DICTIONARY-5'!$A$4,ISBLANK(C19)),VLOOKUP(B19,LIST!$A$6:$M$3250,CURR_2.SEARCH.OLD,0),VLOOKUP(C19,LIST!$B$6:$M$3250,CURR_2.SEARCH.NEW,0)),'DICTIONARY-5'!$A$2)</f>
        <v/>
      </c>
      <c r="F19" s="156" t="s">
        <v>1439</v>
      </c>
      <c r="G19" s="321" t="s">
        <v>4618</v>
      </c>
      <c r="H19" s="339" t="str">
        <f>IFERROR(IF(OR(G19='DICTIONARY-5'!$A$2,G19='DICTIONARY-5'!$A$4,ISBLANK(G19)),VLOOKUP(F19,LIST!$A$6:$L$3250,CURR_1.SEARCH.OLD,0),VLOOKUP(G19,LIST!$B$6:$L$3250,CURR_1.SEARCH.NEW,0)),'DICTIONARY-5'!$A$2)</f>
        <v>160,-</v>
      </c>
      <c r="I19" s="339" t="str">
        <f>IFERROR(IF(OR(G19='DICTIONARY-5'!$A$2,G19='DICTIONARY-5'!$A$4,ISBLANK(G19)),VLOOKUP(F19,LIST!$A$6:$M$3250,CURR_2.SEARCH.OLD,0),VLOOKUP(G19,LIST!$B$6:$M$3250,CURR_2.SEARCH.NEW,0)),'DICTIONARY-5'!$A$2)</f>
        <v/>
      </c>
    </row>
    <row r="20" spans="1:9" x14ac:dyDescent="0.25">
      <c r="A20" s="156">
        <v>700</v>
      </c>
      <c r="B20" s="156" t="s">
        <v>1440</v>
      </c>
      <c r="C20" s="321" t="s">
        <v>4547</v>
      </c>
      <c r="D20" s="339" t="str">
        <f>IFERROR(IF(OR(C20='DICTIONARY-5'!$A$2,C20='DICTIONARY-5'!$A$4,ISBLANK(C20)),VLOOKUP(B20,LIST!$A$6:$L$3250,CURR_1.SEARCH.OLD,0),VLOOKUP(C20,LIST!$B$6:$L$3250,CURR_1.SEARCH.NEW,0)),'DICTIONARY-5'!$A$2)</f>
        <v>1 938,-</v>
      </c>
      <c r="E20" s="339" t="str">
        <f>IFERROR(IF(OR(C20='DICTIONARY-5'!$A$2,C20='DICTIONARY-5'!$A$4,ISBLANK(C20)),VLOOKUP(B20,LIST!$A$6:$M$3250,CURR_2.SEARCH.OLD,0),VLOOKUP(C20,LIST!$B$6:$M$3250,CURR_2.SEARCH.NEW,0)),'DICTIONARY-5'!$A$2)</f>
        <v/>
      </c>
      <c r="F20" s="156" t="s">
        <v>1441</v>
      </c>
      <c r="G20" s="321" t="s">
        <v>4619</v>
      </c>
      <c r="H20" s="339" t="str">
        <f>IFERROR(IF(OR(G20='DICTIONARY-5'!$A$2,G20='DICTIONARY-5'!$A$4,ISBLANK(G20)),VLOOKUP(F20,LIST!$A$6:$L$3250,CURR_1.SEARCH.OLD,0),VLOOKUP(G20,LIST!$B$6:$L$3250,CURR_1.SEARCH.NEW,0)),'DICTIONARY-5'!$A$2)</f>
        <v>154,-</v>
      </c>
      <c r="I20" s="339" t="str">
        <f>IFERROR(IF(OR(G20='DICTIONARY-5'!$A$2,G20='DICTIONARY-5'!$A$4,ISBLANK(G20)),VLOOKUP(F20,LIST!$A$6:$M$3250,CURR_2.SEARCH.OLD,0),VLOOKUP(G20,LIST!$B$6:$M$3250,CURR_2.SEARCH.NEW,0)),'DICTIONARY-5'!$A$2)</f>
        <v/>
      </c>
    </row>
    <row r="21" spans="1:9" x14ac:dyDescent="0.25">
      <c r="A21" s="156">
        <v>800</v>
      </c>
      <c r="B21" s="156" t="s">
        <v>1442</v>
      </c>
      <c r="C21" s="321" t="s">
        <v>4553</v>
      </c>
      <c r="D21" s="339" t="str">
        <f>IFERROR(IF(OR(C21='DICTIONARY-5'!$A$2,C21='DICTIONARY-5'!$A$4,ISBLANK(C21)),VLOOKUP(B21,LIST!$A$6:$L$3250,CURR_1.SEARCH.OLD,0),VLOOKUP(C21,LIST!$B$6:$L$3250,CURR_1.SEARCH.NEW,0)),'DICTIONARY-5'!$A$2)</f>
        <v>2 511,-</v>
      </c>
      <c r="E21" s="339" t="str">
        <f>IFERROR(IF(OR(C21='DICTIONARY-5'!$A$2,C21='DICTIONARY-5'!$A$4,ISBLANK(C21)),VLOOKUP(B21,LIST!$A$6:$M$3250,CURR_2.SEARCH.OLD,0),VLOOKUP(C21,LIST!$B$6:$M$3250,CURR_2.SEARCH.NEW,0)),'DICTIONARY-5'!$A$2)</f>
        <v/>
      </c>
      <c r="F21" s="156" t="s">
        <v>1443</v>
      </c>
      <c r="G21" s="321" t="s">
        <v>4620</v>
      </c>
      <c r="H21" s="339" t="str">
        <f>IFERROR(IF(OR(G21='DICTIONARY-5'!$A$2,G21='DICTIONARY-5'!$A$4,ISBLANK(G21)),VLOOKUP(F21,LIST!$A$6:$L$3250,CURR_1.SEARCH.OLD,0),VLOOKUP(G21,LIST!$B$6:$L$3250,CURR_1.SEARCH.NEW,0)),'DICTIONARY-5'!$A$2)</f>
        <v>191,-</v>
      </c>
      <c r="I21" s="339" t="str">
        <f>IFERROR(IF(OR(G21='DICTIONARY-5'!$A$2,G21='DICTIONARY-5'!$A$4,ISBLANK(G21)),VLOOKUP(F21,LIST!$A$6:$M$3250,CURR_2.SEARCH.OLD,0),VLOOKUP(G21,LIST!$B$6:$M$3250,CURR_2.SEARCH.NEW,0)),'DICTIONARY-5'!$A$2)</f>
        <v/>
      </c>
    </row>
    <row r="22" spans="1:9" x14ac:dyDescent="0.25">
      <c r="A22" s="156">
        <v>900</v>
      </c>
      <c r="B22" s="156" t="s">
        <v>1444</v>
      </c>
      <c r="C22" s="321" t="s">
        <v>4559</v>
      </c>
      <c r="D22" s="339" t="str">
        <f>IFERROR(IF(OR(C22='DICTIONARY-5'!$A$2,C22='DICTIONARY-5'!$A$4,ISBLANK(C22)),VLOOKUP(B22,LIST!$A$6:$L$3250,CURR_1.SEARCH.OLD,0),VLOOKUP(C22,LIST!$B$6:$L$3250,CURR_1.SEARCH.NEW,0)),'DICTIONARY-5'!$A$2)</f>
        <v>3 262,-</v>
      </c>
      <c r="E22" s="339" t="str">
        <f>IFERROR(IF(OR(C22='DICTIONARY-5'!$A$2,C22='DICTIONARY-5'!$A$4,ISBLANK(C22)),VLOOKUP(B22,LIST!$A$6:$M$3250,CURR_2.SEARCH.OLD,0),VLOOKUP(C22,LIST!$B$6:$M$3250,CURR_2.SEARCH.NEW,0)),'DICTIONARY-5'!$A$2)</f>
        <v/>
      </c>
      <c r="F22" s="156" t="s">
        <v>1445</v>
      </c>
      <c r="G22" s="321" t="s">
        <v>4621</v>
      </c>
      <c r="H22" s="339" t="str">
        <f>IFERROR(IF(OR(G22='DICTIONARY-5'!$A$2,G22='DICTIONARY-5'!$A$4,ISBLANK(G22)),VLOOKUP(F22,LIST!$A$6:$L$3250,CURR_1.SEARCH.OLD,0),VLOOKUP(G22,LIST!$B$6:$L$3250,CURR_1.SEARCH.NEW,0)),'DICTIONARY-5'!$A$2)</f>
        <v>231,-</v>
      </c>
      <c r="I22" s="339" t="str">
        <f>IFERROR(IF(OR(G22='DICTIONARY-5'!$A$2,G22='DICTIONARY-5'!$A$4,ISBLANK(G22)),VLOOKUP(F22,LIST!$A$6:$M$3250,CURR_2.SEARCH.OLD,0),VLOOKUP(G22,LIST!$B$6:$M$3250,CURR_2.SEARCH.NEW,0)),'DICTIONARY-5'!$A$2)</f>
        <v/>
      </c>
    </row>
    <row r="23" spans="1:9" x14ac:dyDescent="0.25">
      <c r="A23" s="156">
        <v>1000</v>
      </c>
      <c r="B23" s="156" t="s">
        <v>1446</v>
      </c>
      <c r="C23" s="321" t="s">
        <v>4565</v>
      </c>
      <c r="D23" s="339" t="str">
        <f>IFERROR(IF(OR(C23='DICTIONARY-5'!$A$2,C23='DICTIONARY-5'!$A$4,ISBLANK(C23)),VLOOKUP(B23,LIST!$A$6:$L$3250,CURR_1.SEARCH.OLD,0),VLOOKUP(C23,LIST!$B$6:$L$3250,CURR_1.SEARCH.NEW,0)),'DICTIONARY-5'!$A$2)</f>
        <v>3 613,-</v>
      </c>
      <c r="E23" s="339" t="str">
        <f>IFERROR(IF(OR(C23='DICTIONARY-5'!$A$2,C23='DICTIONARY-5'!$A$4,ISBLANK(C23)),VLOOKUP(B23,LIST!$A$6:$M$3250,CURR_2.SEARCH.OLD,0),VLOOKUP(C23,LIST!$B$6:$M$3250,CURR_2.SEARCH.NEW,0)),'DICTIONARY-5'!$A$2)</f>
        <v/>
      </c>
      <c r="F23" s="156" t="s">
        <v>1447</v>
      </c>
      <c r="G23" s="321" t="s">
        <v>4622</v>
      </c>
      <c r="H23" s="339" t="str">
        <f>IFERROR(IF(OR(G23='DICTIONARY-5'!$A$2,G23='DICTIONARY-5'!$A$4,ISBLANK(G23)),VLOOKUP(F23,LIST!$A$6:$L$3250,CURR_1.SEARCH.OLD,0),VLOOKUP(G23,LIST!$B$6:$L$3250,CURR_1.SEARCH.NEW,0)),'DICTIONARY-5'!$A$2)</f>
        <v>254,-</v>
      </c>
      <c r="I23" s="339" t="str">
        <f>IFERROR(IF(OR(G23='DICTIONARY-5'!$A$2,G23='DICTIONARY-5'!$A$4,ISBLANK(G23)),VLOOKUP(F23,LIST!$A$6:$M$3250,CURR_2.SEARCH.OLD,0),VLOOKUP(G23,LIST!$B$6:$M$3250,CURR_2.SEARCH.NEW,0)),'DICTIONARY-5'!$A$2)</f>
        <v/>
      </c>
    </row>
    <row r="24" spans="1:9" x14ac:dyDescent="0.25">
      <c r="A24" s="156">
        <v>1100</v>
      </c>
      <c r="B24" s="156" t="s">
        <v>1448</v>
      </c>
      <c r="C24" s="321" t="s">
        <v>4570</v>
      </c>
      <c r="D24" s="339" t="str">
        <f>IFERROR(IF(OR(C24='DICTIONARY-5'!$A$2,C24='DICTIONARY-5'!$A$4,ISBLANK(C24)),VLOOKUP(B24,LIST!$A$6:$L$3250,CURR_1.SEARCH.OLD,0),VLOOKUP(C24,LIST!$B$6:$L$3250,CURR_1.SEARCH.NEW,0)),'DICTIONARY-5'!$A$2)</f>
        <v>4 974,-</v>
      </c>
      <c r="E24" s="339" t="str">
        <f>IFERROR(IF(OR(C24='DICTIONARY-5'!$A$2,C24='DICTIONARY-5'!$A$4,ISBLANK(C24)),VLOOKUP(B24,LIST!$A$6:$M$3250,CURR_2.SEARCH.OLD,0),VLOOKUP(C24,LIST!$B$6:$M$3250,CURR_2.SEARCH.NEW,0)),'DICTIONARY-5'!$A$2)</f>
        <v/>
      </c>
      <c r="F24" s="156" t="s">
        <v>1449</v>
      </c>
      <c r="G24" s="321" t="s">
        <v>4638</v>
      </c>
      <c r="H24" s="339" t="str">
        <f>IFERROR(IF(OR(G24='DICTIONARY-5'!$A$2,G24='DICTIONARY-5'!$A$4,ISBLANK(G24)),VLOOKUP(F24,LIST!$A$6:$L$3250,CURR_1.SEARCH.OLD,0),VLOOKUP(G24,LIST!$B$6:$L$3250,CURR_1.SEARCH.NEW,0)),'DICTIONARY-5'!$A$2)</f>
        <v>273,-</v>
      </c>
      <c r="I24" s="339" t="str">
        <f>IFERROR(IF(OR(G24='DICTIONARY-5'!$A$2,G24='DICTIONARY-5'!$A$4,ISBLANK(G24)),VLOOKUP(F24,LIST!$A$6:$M$3250,CURR_2.SEARCH.OLD,0),VLOOKUP(G24,LIST!$B$6:$M$3250,CURR_2.SEARCH.NEW,0)),'DICTIONARY-5'!$A$2)</f>
        <v/>
      </c>
    </row>
    <row r="25" spans="1:9" x14ac:dyDescent="0.25">
      <c r="A25" s="156">
        <v>1200</v>
      </c>
      <c r="B25" s="156" t="s">
        <v>1450</v>
      </c>
      <c r="C25" s="321" t="s">
        <v>4575</v>
      </c>
      <c r="D25" s="339" t="str">
        <f>IFERROR(IF(OR(C25='DICTIONARY-5'!$A$2,C25='DICTIONARY-5'!$A$4,ISBLANK(C25)),VLOOKUP(B25,LIST!$A$6:$L$3250,CURR_1.SEARCH.OLD,0),VLOOKUP(C25,LIST!$B$6:$L$3250,CURR_1.SEARCH.NEW,0)),'DICTIONARY-5'!$A$2)</f>
        <v>5 430,-</v>
      </c>
      <c r="E25" s="339" t="str">
        <f>IFERROR(IF(OR(C25='DICTIONARY-5'!$A$2,C25='DICTIONARY-5'!$A$4,ISBLANK(C25)),VLOOKUP(B25,LIST!$A$6:$M$3250,CURR_2.SEARCH.OLD,0),VLOOKUP(C25,LIST!$B$6:$M$3250,CURR_2.SEARCH.NEW,0)),'DICTIONARY-5'!$A$2)</f>
        <v/>
      </c>
      <c r="F25" s="156" t="s">
        <v>1451</v>
      </c>
      <c r="G25" s="321" t="s">
        <v>4623</v>
      </c>
      <c r="H25" s="339" t="str">
        <f>IFERROR(IF(OR(G25='DICTIONARY-5'!$A$2,G25='DICTIONARY-5'!$A$4,ISBLANK(G25)),VLOOKUP(F25,LIST!$A$6:$L$3250,CURR_1.SEARCH.OLD,0),VLOOKUP(G25,LIST!$B$6:$L$3250,CURR_1.SEARCH.NEW,0)),'DICTIONARY-5'!$A$2)</f>
        <v>310,-</v>
      </c>
      <c r="I25" s="339" t="str">
        <f>IFERROR(IF(OR(G25='DICTIONARY-5'!$A$2,G25='DICTIONARY-5'!$A$4,ISBLANK(G25)),VLOOKUP(F25,LIST!$A$6:$M$3250,CURR_2.SEARCH.OLD,0),VLOOKUP(G25,LIST!$B$6:$M$3250,CURR_2.SEARCH.NEW,0)),'DICTIONARY-5'!$A$2)</f>
        <v/>
      </c>
    </row>
    <row r="26" spans="1:9" x14ac:dyDescent="0.25">
      <c r="A26" s="156">
        <v>1300</v>
      </c>
      <c r="B26" s="156" t="s">
        <v>1452</v>
      </c>
      <c r="C26" s="321" t="s">
        <v>4579</v>
      </c>
      <c r="D26" s="339" t="str">
        <f>IFERROR(IF(OR(C26='DICTIONARY-5'!$A$2,C26='DICTIONARY-5'!$A$4,ISBLANK(C26)),VLOOKUP(B26,LIST!$A$6:$L$3250,CURR_1.SEARCH.OLD,0),VLOOKUP(C26,LIST!$B$6:$L$3250,CURR_1.SEARCH.NEW,0)),'DICTIONARY-5'!$A$2)</f>
        <v>6 239,-</v>
      </c>
      <c r="E26" s="339" t="str">
        <f>IFERROR(IF(OR(C26='DICTIONARY-5'!$A$2,C26='DICTIONARY-5'!$A$4,ISBLANK(C26)),VLOOKUP(B26,LIST!$A$6:$M$3250,CURR_2.SEARCH.OLD,0),VLOOKUP(C26,LIST!$B$6:$M$3250,CURR_2.SEARCH.NEW,0)),'DICTIONARY-5'!$A$2)</f>
        <v/>
      </c>
      <c r="F26" s="156" t="s">
        <v>1453</v>
      </c>
      <c r="G26" s="321" t="s">
        <v>4639</v>
      </c>
      <c r="H26" s="339" t="str">
        <f>IFERROR(IF(OR(G26='DICTIONARY-5'!$A$2,G26='DICTIONARY-5'!$A$4,ISBLANK(G26)),VLOOKUP(F26,LIST!$A$6:$L$3250,CURR_1.SEARCH.OLD,0),VLOOKUP(G26,LIST!$B$6:$L$3250,CURR_1.SEARCH.NEW,0)),'DICTIONARY-5'!$A$2)</f>
        <v>422,-</v>
      </c>
      <c r="I26" s="339" t="str">
        <f>IFERROR(IF(OR(G26='DICTIONARY-5'!$A$2,G26='DICTIONARY-5'!$A$4,ISBLANK(G26)),VLOOKUP(F26,LIST!$A$6:$M$3250,CURR_2.SEARCH.OLD,0),VLOOKUP(G26,LIST!$B$6:$M$3250,CURR_2.SEARCH.NEW,0)),'DICTIONARY-5'!$A$2)</f>
        <v/>
      </c>
    </row>
    <row r="27" spans="1:9" x14ac:dyDescent="0.25">
      <c r="A27" s="156">
        <v>1400</v>
      </c>
      <c r="B27" s="156" t="s">
        <v>1454</v>
      </c>
      <c r="C27" s="321" t="s">
        <v>4584</v>
      </c>
      <c r="D27" s="339" t="str">
        <f>IFERROR(IF(OR(C27='DICTIONARY-5'!$A$2,C27='DICTIONARY-5'!$A$4,ISBLANK(C27)),VLOOKUP(B27,LIST!$A$6:$L$3250,CURR_1.SEARCH.OLD,0),VLOOKUP(C27,LIST!$B$6:$L$3250,CURR_1.SEARCH.NEW,0)),'DICTIONARY-5'!$A$2)</f>
        <v>6 892,-</v>
      </c>
      <c r="E27" s="339" t="str">
        <f>IFERROR(IF(OR(C27='DICTIONARY-5'!$A$2,C27='DICTIONARY-5'!$A$4,ISBLANK(C27)),VLOOKUP(B27,LIST!$A$6:$M$3250,CURR_2.SEARCH.OLD,0),VLOOKUP(C27,LIST!$B$6:$M$3250,CURR_2.SEARCH.NEW,0)),'DICTIONARY-5'!$A$2)</f>
        <v/>
      </c>
      <c r="F27" s="156" t="s">
        <v>1455</v>
      </c>
      <c r="G27" s="321" t="s">
        <v>4640</v>
      </c>
      <c r="H27" s="339" t="str">
        <f>IFERROR(IF(OR(G27='DICTIONARY-5'!$A$2,G27='DICTIONARY-5'!$A$4,ISBLANK(G27)),VLOOKUP(F27,LIST!$A$6:$L$3250,CURR_1.SEARCH.OLD,0),VLOOKUP(G27,LIST!$B$6:$L$3250,CURR_1.SEARCH.NEW,0)),'DICTIONARY-5'!$A$2)</f>
        <v>433,-</v>
      </c>
      <c r="I27" s="339" t="str">
        <f>IFERROR(IF(OR(G27='DICTIONARY-5'!$A$2,G27='DICTIONARY-5'!$A$4,ISBLANK(G27)),VLOOKUP(F27,LIST!$A$6:$M$3250,CURR_2.SEARCH.OLD,0),VLOOKUP(G27,LIST!$B$6:$M$3250,CURR_2.SEARCH.NEW,0)),'DICTIONARY-5'!$A$2)</f>
        <v/>
      </c>
    </row>
    <row r="28" spans="1:9" x14ac:dyDescent="0.25">
      <c r="A28" s="156">
        <v>1500</v>
      </c>
      <c r="B28" s="156" t="s">
        <v>1456</v>
      </c>
      <c r="C28" s="321" t="s">
        <v>4589</v>
      </c>
      <c r="D28" s="339" t="str">
        <f>IFERROR(IF(OR(C28='DICTIONARY-5'!$A$2,C28='DICTIONARY-5'!$A$4,ISBLANK(C28)),VLOOKUP(B28,LIST!$A$6:$L$3250,CURR_1.SEARCH.OLD,0),VLOOKUP(C28,LIST!$B$6:$L$3250,CURR_1.SEARCH.NEW,0)),'DICTIONARY-5'!$A$2)</f>
        <v>8 431,-</v>
      </c>
      <c r="E28" s="339" t="str">
        <f>IFERROR(IF(OR(C28='DICTIONARY-5'!$A$2,C28='DICTIONARY-5'!$A$4,ISBLANK(C28)),VLOOKUP(B28,LIST!$A$6:$M$3250,CURR_2.SEARCH.OLD,0),VLOOKUP(C28,LIST!$B$6:$M$3250,CURR_2.SEARCH.NEW,0)),'DICTIONARY-5'!$A$2)</f>
        <v/>
      </c>
      <c r="F28" s="156" t="s">
        <v>1457</v>
      </c>
      <c r="G28" s="321" t="s">
        <v>4624</v>
      </c>
      <c r="H28" s="339" t="str">
        <f>IFERROR(IF(OR(G28='DICTIONARY-5'!$A$2,G28='DICTIONARY-5'!$A$4,ISBLANK(G28)),VLOOKUP(F28,LIST!$A$6:$L$3250,CURR_1.SEARCH.OLD,0),VLOOKUP(G28,LIST!$B$6:$L$3250,CURR_1.SEARCH.NEW,0)),'DICTIONARY-5'!$A$2)</f>
        <v>500,-</v>
      </c>
      <c r="I28" s="339" t="str">
        <f>IFERROR(IF(OR(G28='DICTIONARY-5'!$A$2,G28='DICTIONARY-5'!$A$4,ISBLANK(G28)),VLOOKUP(F28,LIST!$A$6:$M$3250,CURR_2.SEARCH.OLD,0),VLOOKUP(G28,LIST!$B$6:$M$3250,CURR_2.SEARCH.NEW,0)),'DICTIONARY-5'!$A$2)</f>
        <v/>
      </c>
    </row>
    <row r="29" spans="1:9" x14ac:dyDescent="0.25">
      <c r="A29" s="156">
        <v>1600</v>
      </c>
      <c r="B29" s="156" t="s">
        <v>1458</v>
      </c>
      <c r="C29" s="321" t="s">
        <v>4594</v>
      </c>
      <c r="D29" s="339" t="str">
        <f>IFERROR(IF(OR(C29='DICTIONARY-5'!$A$2,C29='DICTIONARY-5'!$A$4,ISBLANK(C29)),VLOOKUP(B29,LIST!$A$6:$L$3250,CURR_1.SEARCH.OLD,0),VLOOKUP(C29,LIST!$B$6:$L$3250,CURR_1.SEARCH.NEW,0)),'DICTIONARY-5'!$A$2)</f>
        <v>11 807,-</v>
      </c>
      <c r="E29" s="339" t="str">
        <f>IFERROR(IF(OR(C29='DICTIONARY-5'!$A$2,C29='DICTIONARY-5'!$A$4,ISBLANK(C29)),VLOOKUP(B29,LIST!$A$6:$M$3250,CURR_2.SEARCH.OLD,0),VLOOKUP(C29,LIST!$B$6:$M$3250,CURR_2.SEARCH.NEW,0)),'DICTIONARY-5'!$A$2)</f>
        <v/>
      </c>
      <c r="F29" s="156" t="s">
        <v>1459</v>
      </c>
      <c r="G29" s="321" t="s">
        <v>4641</v>
      </c>
      <c r="H29" s="339" t="str">
        <f>IFERROR(IF(OR(G29='DICTIONARY-5'!$A$2,G29='DICTIONARY-5'!$A$4,ISBLANK(G29)),VLOOKUP(F29,LIST!$A$6:$L$3250,CURR_1.SEARCH.OLD,0),VLOOKUP(G29,LIST!$B$6:$L$3250,CURR_1.SEARCH.NEW,0)),'DICTIONARY-5'!$A$2)</f>
        <v>528,-</v>
      </c>
      <c r="I29" s="339" t="str">
        <f>IFERROR(IF(OR(G29='DICTIONARY-5'!$A$2,G29='DICTIONARY-5'!$A$4,ISBLANK(G29)),VLOOKUP(F29,LIST!$A$6:$M$3250,CURR_2.SEARCH.OLD,0),VLOOKUP(G29,LIST!$B$6:$M$3250,CURR_2.SEARCH.NEW,0)),'DICTIONARY-5'!$A$2)</f>
        <v/>
      </c>
    </row>
    <row r="30" spans="1:9" x14ac:dyDescent="0.25">
      <c r="A30" s="156">
        <v>1800</v>
      </c>
      <c r="B30" s="156" t="s">
        <v>1460</v>
      </c>
      <c r="C30" s="321" t="s">
        <v>4599</v>
      </c>
      <c r="D30" s="339" t="str">
        <f>IFERROR(IF(OR(C30='DICTIONARY-5'!$A$2,C30='DICTIONARY-5'!$A$4,ISBLANK(C30)),VLOOKUP(B30,LIST!$A$6:$L$3250,CURR_1.SEARCH.OLD,0),VLOOKUP(C30,LIST!$B$6:$L$3250,CURR_1.SEARCH.NEW,0)),'DICTIONARY-5'!$A$2)</f>
        <v>14 580,-</v>
      </c>
      <c r="E30" s="339" t="str">
        <f>IFERROR(IF(OR(C30='DICTIONARY-5'!$A$2,C30='DICTIONARY-5'!$A$4,ISBLANK(C30)),VLOOKUP(B30,LIST!$A$6:$M$3250,CURR_2.SEARCH.OLD,0),VLOOKUP(C30,LIST!$B$6:$M$3250,CURR_2.SEARCH.NEW,0)),'DICTIONARY-5'!$A$2)</f>
        <v/>
      </c>
      <c r="F30" s="156" t="s">
        <v>1461</v>
      </c>
      <c r="G30" s="321" t="str">
        <f>'DICTIONARY-5'!$A$2</f>
        <v>na zapytanie</v>
      </c>
      <c r="H30" s="339" t="str">
        <f>IFERROR(IF(OR(G30='DICTIONARY-5'!$A$2,G30='DICTIONARY-5'!$A$4,ISBLANK(G30)),VLOOKUP(F30,LIST!$A$6:$L$3250,CURR_1.SEARCH.OLD,0),VLOOKUP(G30,LIST!$B$6:$L$3250,CURR_1.SEARCH.NEW,0)),'DICTIONARY-5'!$A$2)</f>
        <v>na zapytanie</v>
      </c>
      <c r="I30" s="339" t="str">
        <f>IFERROR(IF(OR(G30='DICTIONARY-5'!$A$2,G30='DICTIONARY-5'!$A$4,ISBLANK(G30)),VLOOKUP(F30,LIST!$A$6:$M$3250,CURR_2.SEARCH.OLD,0),VLOOKUP(G30,LIST!$B$6:$M$3250,CURR_2.SEARCH.NEW,0)),'DICTIONARY-5'!$A$2)</f>
        <v/>
      </c>
    </row>
    <row r="31" spans="1:9" x14ac:dyDescent="0.25">
      <c r="A31" s="156">
        <v>2000</v>
      </c>
      <c r="B31" s="156" t="s">
        <v>1462</v>
      </c>
      <c r="C31" s="321" t="str">
        <f>'DICTIONARY-5'!$A$2</f>
        <v>na zapytanie</v>
      </c>
      <c r="D31" s="339" t="str">
        <f>IFERROR(IF(OR(C31='DICTIONARY-5'!$A$2,C31='DICTIONARY-5'!$A$4,ISBLANK(C31)),VLOOKUP(B31,LIST!$A$6:$L$3250,CURR_1.SEARCH.OLD,0),VLOOKUP(C31,LIST!$B$6:$L$3250,CURR_1.SEARCH.NEW,0)),'DICTIONARY-5'!$A$2)</f>
        <v>na zapytanie</v>
      </c>
      <c r="E31" s="339" t="str">
        <f>IFERROR(IF(OR(C31='DICTIONARY-5'!$A$2,C31='DICTIONARY-5'!$A$4,ISBLANK(C31)),VLOOKUP(B31,LIST!$A$6:$M$3250,CURR_2.SEARCH.OLD,0),VLOOKUP(C31,LIST!$B$6:$M$3250,CURR_2.SEARCH.NEW,0)),'DICTIONARY-5'!$A$2)</f>
        <v/>
      </c>
      <c r="F31" s="156" t="s">
        <v>1463</v>
      </c>
      <c r="G31" s="321" t="str">
        <f>'DICTIONARY-5'!$A$2</f>
        <v>na zapytanie</v>
      </c>
      <c r="H31" s="339" t="str">
        <f>IFERROR(IF(OR(G31='DICTIONARY-5'!$A$2,G31='DICTIONARY-5'!$A$4,ISBLANK(G31)),VLOOKUP(F31,LIST!$A$6:$L$3250,CURR_1.SEARCH.OLD,0),VLOOKUP(G31,LIST!$B$6:$L$3250,CURR_1.SEARCH.NEW,0)),'DICTIONARY-5'!$A$2)</f>
        <v>na zapytanie</v>
      </c>
      <c r="I31" s="339" t="str">
        <f>IFERROR(IF(OR(G31='DICTIONARY-5'!$A$2,G31='DICTIONARY-5'!$A$4,ISBLANK(G31)),VLOOKUP(F31,LIST!$A$6:$M$3250,CURR_2.SEARCH.OLD,0),VLOOKUP(G31,LIST!$B$6:$M$3250,CURR_2.SEARCH.NEW,0)),'DICTIONARY-5'!$A$2)</f>
        <v/>
      </c>
    </row>
    <row r="32" spans="1:9" x14ac:dyDescent="0.25">
      <c r="A32" s="159"/>
    </row>
    <row r="34" spans="1:9" ht="15" customHeight="1" x14ac:dyDescent="0.25">
      <c r="A34" s="152" t="str">
        <f>'DICTIONARY-2'!$A$2</f>
        <v>DN</v>
      </c>
      <c r="B34" s="1013" t="str">
        <f>'DICTIONARY-3'!$A$35</f>
        <v>HADE PTK-A</v>
      </c>
      <c r="C34" s="1014"/>
      <c r="D34" s="1014"/>
      <c r="E34" s="1015"/>
      <c r="F34" s="1013" t="str">
        <f>LOWER('DICTIONARY-3'!$A$231)</f>
        <v>zestaw kotwiący</v>
      </c>
      <c r="G34" s="1014"/>
      <c r="H34" s="1014"/>
      <c r="I34" s="1015"/>
    </row>
    <row r="35" spans="1:9" x14ac:dyDescent="0.25">
      <c r="A35" s="153"/>
      <c r="B35" s="1010" t="str">
        <f>LOWER('DICTIONARY-3'!$A$309)</f>
        <v>ze skośną płytą</v>
      </c>
      <c r="C35" s="1011"/>
      <c r="D35" s="1011"/>
      <c r="E35" s="1012"/>
      <c r="F35" s="1010"/>
      <c r="G35" s="1011"/>
      <c r="H35" s="1011"/>
      <c r="I35" s="1012"/>
    </row>
    <row r="36" spans="1:9" x14ac:dyDescent="0.25">
      <c r="A36" s="153"/>
      <c r="B36" s="154" t="str">
        <f>'DICTIONARY-2'!$A$28</f>
        <v>stary nr zamówienia</v>
      </c>
      <c r="C36" s="154" t="str">
        <f>'DICTIONARY-2'!$A$29</f>
        <v>nowy nr zamówienia</v>
      </c>
      <c r="D36" s="155" t="str">
        <f>CURRENCY.CODE_1</f>
        <v>EUR</v>
      </c>
      <c r="E36" s="155" t="str">
        <f>CURRENCY.CODE_2</f>
        <v>---</v>
      </c>
      <c r="F36" s="154" t="str">
        <f>'DICTIONARY-2'!$A$28</f>
        <v>stary nr zamówienia</v>
      </c>
      <c r="G36" s="154" t="str">
        <f>'DICTIONARY-2'!$A$29</f>
        <v>nowy nr zamówienia</v>
      </c>
      <c r="H36" s="155" t="str">
        <f>CURRENCY.CODE_1</f>
        <v>EUR</v>
      </c>
      <c r="I36" s="155" t="str">
        <f>CURRENCY.CODE_2</f>
        <v>---</v>
      </c>
    </row>
    <row r="37" spans="1:9" x14ac:dyDescent="0.25">
      <c r="A37" s="156">
        <v>150</v>
      </c>
      <c r="B37" s="156" t="s">
        <v>1464</v>
      </c>
      <c r="C37" s="321" t="s">
        <v>4491</v>
      </c>
      <c r="D37" s="339" t="str">
        <f>IFERROR(IF(OR(C37='DICTIONARY-5'!$A$2,C37='DICTIONARY-5'!$A$4,ISBLANK(C37)),VLOOKUP(B37,LIST!$A$6:$L$3250,CURR_1.SEARCH.OLD,0),VLOOKUP(C37,LIST!$B$6:$L$3250,CURR_1.SEARCH.NEW,0)),'DICTIONARY-5'!$A$2)</f>
        <v>712,-</v>
      </c>
      <c r="E37" s="339" t="str">
        <f>IFERROR(IF(OR(C37='DICTIONARY-5'!$A$2,C37='DICTIONARY-5'!$A$4,ISBLANK(C37)),VLOOKUP(B37,LIST!$A$6:$M$3250,CURR_2.SEARCH.OLD,0),VLOOKUP(C37,LIST!$B$6:$M$3250,CURR_2.SEARCH.NEW,0)),'DICTIONARY-5'!$A$2)</f>
        <v/>
      </c>
      <c r="F37" s="156" t="s">
        <v>1465</v>
      </c>
      <c r="G37" s="321" t="s">
        <v>4625</v>
      </c>
      <c r="H37" s="339" t="str">
        <f>IFERROR(IF(OR(G37='DICTIONARY-5'!$A$2,G37='DICTIONARY-5'!$A$4,ISBLANK(G37)),VLOOKUP(F37,LIST!$A$6:$L$3250,CURR_1.SEARCH.OLD,0),VLOOKUP(G37,LIST!$B$6:$L$3250,CURR_1.SEARCH.NEW,0)),'DICTIONARY-5'!$A$2)</f>
        <v>78,-</v>
      </c>
      <c r="I37" s="339" t="str">
        <f>IFERROR(IF(OR(G37='DICTIONARY-5'!$A$2,G37='DICTIONARY-5'!$A$4,ISBLANK(G37)),VLOOKUP(F37,LIST!$A$6:$M$3250,CURR_2.SEARCH.OLD,0),VLOOKUP(G37,LIST!$B$6:$M$3250,CURR_2.SEARCH.NEW,0)),'DICTIONARY-5'!$A$2)</f>
        <v/>
      </c>
    </row>
    <row r="38" spans="1:9" x14ac:dyDescent="0.25">
      <c r="A38" s="156">
        <v>200</v>
      </c>
      <c r="B38" s="156" t="s">
        <v>1466</v>
      </c>
      <c r="C38" s="321" t="s">
        <v>4501</v>
      </c>
      <c r="D38" s="339" t="str">
        <f>IFERROR(IF(OR(C38='DICTIONARY-5'!$A$2,C38='DICTIONARY-5'!$A$4,ISBLANK(C38)),VLOOKUP(B38,LIST!$A$6:$L$3250,CURR_1.SEARCH.OLD,0),VLOOKUP(C38,LIST!$B$6:$L$3250,CURR_1.SEARCH.NEW,0)),'DICTIONARY-5'!$A$2)</f>
        <v>832,-</v>
      </c>
      <c r="E38" s="339" t="str">
        <f>IFERROR(IF(OR(C38='DICTIONARY-5'!$A$2,C38='DICTIONARY-5'!$A$4,ISBLANK(C38)),VLOOKUP(B38,LIST!$A$6:$M$3250,CURR_2.SEARCH.OLD,0),VLOOKUP(C38,LIST!$B$6:$M$3250,CURR_2.SEARCH.NEW,0)),'DICTIONARY-5'!$A$2)</f>
        <v/>
      </c>
      <c r="F38" s="156" t="s">
        <v>1467</v>
      </c>
      <c r="G38" s="321" t="s">
        <v>4626</v>
      </c>
      <c r="H38" s="339" t="str">
        <f>IFERROR(IF(OR(G38='DICTIONARY-5'!$A$2,G38='DICTIONARY-5'!$A$4,ISBLANK(G38)),VLOOKUP(F38,LIST!$A$6:$L$3250,CURR_1.SEARCH.OLD,0),VLOOKUP(G38,LIST!$B$6:$L$3250,CURR_1.SEARCH.NEW,0)),'DICTIONARY-5'!$A$2)</f>
        <v>76,-</v>
      </c>
      <c r="I38" s="339" t="str">
        <f>IFERROR(IF(OR(G38='DICTIONARY-5'!$A$2,G38='DICTIONARY-5'!$A$4,ISBLANK(G38)),VLOOKUP(F38,LIST!$A$6:$M$3250,CURR_2.SEARCH.OLD,0),VLOOKUP(G38,LIST!$B$6:$M$3250,CURR_2.SEARCH.NEW,0)),'DICTIONARY-5'!$A$2)</f>
        <v/>
      </c>
    </row>
    <row r="39" spans="1:9" x14ac:dyDescent="0.25">
      <c r="A39" s="156">
        <v>250</v>
      </c>
      <c r="B39" s="156" t="s">
        <v>1468</v>
      </c>
      <c r="C39" s="321" t="s">
        <v>4507</v>
      </c>
      <c r="D39" s="339" t="str">
        <f>IFERROR(IF(OR(C39='DICTIONARY-5'!$A$2,C39='DICTIONARY-5'!$A$4,ISBLANK(C39)),VLOOKUP(B39,LIST!$A$6:$L$3250,CURR_1.SEARCH.OLD,0),VLOOKUP(C39,LIST!$B$6:$L$3250,CURR_1.SEARCH.NEW,0)),'DICTIONARY-5'!$A$2)</f>
        <v>1 013,-</v>
      </c>
      <c r="E39" s="339" t="str">
        <f>IFERROR(IF(OR(C39='DICTIONARY-5'!$A$2,C39='DICTIONARY-5'!$A$4,ISBLANK(C39)),VLOOKUP(B39,LIST!$A$6:$M$3250,CURR_2.SEARCH.OLD,0),VLOOKUP(C39,LIST!$B$6:$M$3250,CURR_2.SEARCH.NEW,0)),'DICTIONARY-5'!$A$2)</f>
        <v/>
      </c>
      <c r="F39" s="156" t="s">
        <v>1469</v>
      </c>
      <c r="G39" s="321" t="s">
        <v>4627</v>
      </c>
      <c r="H39" s="339" t="str">
        <f>IFERROR(IF(OR(G39='DICTIONARY-5'!$A$2,G39='DICTIONARY-5'!$A$4,ISBLANK(G39)),VLOOKUP(F39,LIST!$A$6:$L$3250,CURR_1.SEARCH.OLD,0),VLOOKUP(G39,LIST!$B$6:$L$3250,CURR_1.SEARCH.NEW,0)),'DICTIONARY-5'!$A$2)</f>
        <v>79,-</v>
      </c>
      <c r="I39" s="339" t="str">
        <f>IFERROR(IF(OR(G39='DICTIONARY-5'!$A$2,G39='DICTIONARY-5'!$A$4,ISBLANK(G39)),VLOOKUP(F39,LIST!$A$6:$M$3250,CURR_2.SEARCH.OLD,0),VLOOKUP(G39,LIST!$B$6:$M$3250,CURR_2.SEARCH.NEW,0)),'DICTIONARY-5'!$A$2)</f>
        <v/>
      </c>
    </row>
    <row r="40" spans="1:9" x14ac:dyDescent="0.25">
      <c r="A40" s="156">
        <v>300</v>
      </c>
      <c r="B40" s="156" t="s">
        <v>1470</v>
      </c>
      <c r="C40" s="321" t="s">
        <v>4516</v>
      </c>
      <c r="D40" s="339" t="str">
        <f>IFERROR(IF(OR(C40='DICTIONARY-5'!$A$2,C40='DICTIONARY-5'!$A$4,ISBLANK(C40)),VLOOKUP(B40,LIST!$A$6:$L$3250,CURR_1.SEARCH.OLD,0),VLOOKUP(C40,LIST!$B$6:$L$3250,CURR_1.SEARCH.NEW,0)),'DICTIONARY-5'!$A$2)</f>
        <v>1 225,-</v>
      </c>
      <c r="E40" s="339" t="str">
        <f>IFERROR(IF(OR(C40='DICTIONARY-5'!$A$2,C40='DICTIONARY-5'!$A$4,ISBLANK(C40)),VLOOKUP(B40,LIST!$A$6:$M$3250,CURR_2.SEARCH.OLD,0),VLOOKUP(C40,LIST!$B$6:$M$3250,CURR_2.SEARCH.NEW,0)),'DICTIONARY-5'!$A$2)</f>
        <v/>
      </c>
      <c r="F40" s="156" t="s">
        <v>1471</v>
      </c>
      <c r="G40" s="321" t="s">
        <v>4628</v>
      </c>
      <c r="H40" s="339" t="str">
        <f>IFERROR(IF(OR(G40='DICTIONARY-5'!$A$2,G40='DICTIONARY-5'!$A$4,ISBLANK(G40)),VLOOKUP(F40,LIST!$A$6:$L$3250,CURR_1.SEARCH.OLD,0),VLOOKUP(G40,LIST!$B$6:$L$3250,CURR_1.SEARCH.NEW,0)),'DICTIONARY-5'!$A$2)</f>
        <v>76,-</v>
      </c>
      <c r="I40" s="339" t="str">
        <f>IFERROR(IF(OR(G40='DICTIONARY-5'!$A$2,G40='DICTIONARY-5'!$A$4,ISBLANK(G40)),VLOOKUP(F40,LIST!$A$6:$M$3250,CURR_2.SEARCH.OLD,0),VLOOKUP(G40,LIST!$B$6:$M$3250,CURR_2.SEARCH.NEW,0)),'DICTIONARY-5'!$A$2)</f>
        <v/>
      </c>
    </row>
    <row r="41" spans="1:9" x14ac:dyDescent="0.25">
      <c r="A41" s="156">
        <v>400</v>
      </c>
      <c r="B41" s="156" t="s">
        <v>1472</v>
      </c>
      <c r="C41" s="321" t="s">
        <v>4523</v>
      </c>
      <c r="D41" s="339" t="str">
        <f>IFERROR(IF(OR(C41='DICTIONARY-5'!$A$2,C41='DICTIONARY-5'!$A$4,ISBLANK(C41)),VLOOKUP(B41,LIST!$A$6:$L$3250,CURR_1.SEARCH.OLD,0),VLOOKUP(C41,LIST!$B$6:$L$3250,CURR_1.SEARCH.NEW,0)),'DICTIONARY-5'!$A$2)</f>
        <v>1 807,-</v>
      </c>
      <c r="E41" s="339" t="str">
        <f>IFERROR(IF(OR(C41='DICTIONARY-5'!$A$2,C41='DICTIONARY-5'!$A$4,ISBLANK(C41)),VLOOKUP(B41,LIST!$A$6:$M$3250,CURR_2.SEARCH.OLD,0),VLOOKUP(C41,LIST!$B$6:$M$3250,CURR_2.SEARCH.NEW,0)),'DICTIONARY-5'!$A$2)</f>
        <v/>
      </c>
      <c r="F41" s="156" t="s">
        <v>1473</v>
      </c>
      <c r="G41" s="321" t="s">
        <v>4629</v>
      </c>
      <c r="H41" s="339" t="str">
        <f>IFERROR(IF(OR(G41='DICTIONARY-5'!$A$2,G41='DICTIONARY-5'!$A$4,ISBLANK(G41)),VLOOKUP(F41,LIST!$A$6:$L$3250,CURR_1.SEARCH.OLD,0),VLOOKUP(G41,LIST!$B$6:$L$3250,CURR_1.SEARCH.NEW,0)),'DICTIONARY-5'!$A$2)</f>
        <v>107,-</v>
      </c>
      <c r="I41" s="339" t="str">
        <f>IFERROR(IF(OR(G41='DICTIONARY-5'!$A$2,G41='DICTIONARY-5'!$A$4,ISBLANK(G41)),VLOOKUP(F41,LIST!$A$6:$M$3250,CURR_2.SEARCH.OLD,0),VLOOKUP(G41,LIST!$B$6:$M$3250,CURR_2.SEARCH.NEW,0)),'DICTIONARY-5'!$A$2)</f>
        <v/>
      </c>
    </row>
    <row r="42" spans="1:9" x14ac:dyDescent="0.25">
      <c r="A42" s="156">
        <v>500</v>
      </c>
      <c r="B42" s="156" t="s">
        <v>1474</v>
      </c>
      <c r="C42" s="321" t="s">
        <v>4530</v>
      </c>
      <c r="D42" s="339" t="str">
        <f>IFERROR(IF(OR(C42='DICTIONARY-5'!$A$2,C42='DICTIONARY-5'!$A$4,ISBLANK(C42)),VLOOKUP(B42,LIST!$A$6:$L$3250,CURR_1.SEARCH.OLD,0),VLOOKUP(C42,LIST!$B$6:$L$3250,CURR_1.SEARCH.NEW,0)),'DICTIONARY-5'!$A$2)</f>
        <v>2 465,-</v>
      </c>
      <c r="E42" s="339" t="str">
        <f>IFERROR(IF(OR(C42='DICTIONARY-5'!$A$2,C42='DICTIONARY-5'!$A$4,ISBLANK(C42)),VLOOKUP(B42,LIST!$A$6:$M$3250,CURR_2.SEARCH.OLD,0),VLOOKUP(C42,LIST!$B$6:$M$3250,CURR_2.SEARCH.NEW,0)),'DICTIONARY-5'!$A$2)</f>
        <v/>
      </c>
      <c r="F42" s="156" t="s">
        <v>1475</v>
      </c>
      <c r="G42" s="321" t="s">
        <v>4630</v>
      </c>
      <c r="H42" s="339" t="str">
        <f>IFERROR(IF(OR(G42='DICTIONARY-5'!$A$2,G42='DICTIONARY-5'!$A$4,ISBLANK(G42)),VLOOKUP(F42,LIST!$A$6:$L$3250,CURR_1.SEARCH.OLD,0),VLOOKUP(G42,LIST!$B$6:$L$3250,CURR_1.SEARCH.NEW,0)),'DICTIONARY-5'!$A$2)</f>
        <v>126,-</v>
      </c>
      <c r="I42" s="339" t="str">
        <f>IFERROR(IF(OR(G42='DICTIONARY-5'!$A$2,G42='DICTIONARY-5'!$A$4,ISBLANK(G42)),VLOOKUP(F42,LIST!$A$6:$M$3250,CURR_2.SEARCH.OLD,0),VLOOKUP(G42,LIST!$B$6:$M$3250,CURR_2.SEARCH.NEW,0)),'DICTIONARY-5'!$A$2)</f>
        <v/>
      </c>
    </row>
    <row r="43" spans="1:9" x14ac:dyDescent="0.25">
      <c r="A43" s="156">
        <v>600</v>
      </c>
      <c r="B43" s="156" t="s">
        <v>1476</v>
      </c>
      <c r="C43" s="321" t="s">
        <v>4537</v>
      </c>
      <c r="D43" s="339" t="str">
        <f>IFERROR(IF(OR(C43='DICTIONARY-5'!$A$2,C43='DICTIONARY-5'!$A$4,ISBLANK(C43)),VLOOKUP(B43,LIST!$A$6:$L$3250,CURR_1.SEARCH.OLD,0),VLOOKUP(C43,LIST!$B$6:$L$3250,CURR_1.SEARCH.NEW,0)),'DICTIONARY-5'!$A$2)</f>
        <v>2 842,-</v>
      </c>
      <c r="E43" s="339" t="str">
        <f>IFERROR(IF(OR(C43='DICTIONARY-5'!$A$2,C43='DICTIONARY-5'!$A$4,ISBLANK(C43)),VLOOKUP(B43,LIST!$A$6:$M$3250,CURR_2.SEARCH.OLD,0),VLOOKUP(C43,LIST!$B$6:$M$3250,CURR_2.SEARCH.NEW,0)),'DICTIONARY-5'!$A$2)</f>
        <v/>
      </c>
      <c r="F43" s="156" t="s">
        <v>1477</v>
      </c>
      <c r="G43" s="321" t="s">
        <v>4631</v>
      </c>
      <c r="H43" s="339" t="str">
        <f>IFERROR(IF(OR(G43='DICTIONARY-5'!$A$2,G43='DICTIONARY-5'!$A$4,ISBLANK(G43)),VLOOKUP(F43,LIST!$A$6:$L$3250,CURR_1.SEARCH.OLD,0),VLOOKUP(G43,LIST!$B$6:$L$3250,CURR_1.SEARCH.NEW,0)),'DICTIONARY-5'!$A$2)</f>
        <v>161,-</v>
      </c>
      <c r="I43" s="339" t="str">
        <f>IFERROR(IF(OR(G43='DICTIONARY-5'!$A$2,G43='DICTIONARY-5'!$A$4,ISBLANK(G43)),VLOOKUP(F43,LIST!$A$6:$M$3250,CURR_2.SEARCH.OLD,0),VLOOKUP(G43,LIST!$B$6:$M$3250,CURR_2.SEARCH.NEW,0)),'DICTIONARY-5'!$A$2)</f>
        <v/>
      </c>
    </row>
    <row r="44" spans="1:9" x14ac:dyDescent="0.25">
      <c r="A44" s="156">
        <v>700</v>
      </c>
      <c r="B44" s="156" t="s">
        <v>1478</v>
      </c>
      <c r="C44" s="321" t="s">
        <v>4544</v>
      </c>
      <c r="D44" s="339" t="str">
        <f>IFERROR(IF(OR(C44='DICTIONARY-5'!$A$2,C44='DICTIONARY-5'!$A$4,ISBLANK(C44)),VLOOKUP(B44,LIST!$A$6:$L$3250,CURR_1.SEARCH.OLD,0),VLOOKUP(C44,LIST!$B$6:$L$3250,CURR_1.SEARCH.NEW,0)),'DICTIONARY-5'!$A$2)</f>
        <v>3 247,-</v>
      </c>
      <c r="E44" s="339" t="str">
        <f>IFERROR(IF(OR(C44='DICTIONARY-5'!$A$2,C44='DICTIONARY-5'!$A$4,ISBLANK(C44)),VLOOKUP(B44,LIST!$A$6:$M$3250,CURR_2.SEARCH.OLD,0),VLOOKUP(C44,LIST!$B$6:$M$3250,CURR_2.SEARCH.NEW,0)),'DICTIONARY-5'!$A$2)</f>
        <v/>
      </c>
      <c r="F44" s="156" t="s">
        <v>1479</v>
      </c>
      <c r="G44" s="321" t="s">
        <v>4632</v>
      </c>
      <c r="H44" s="339" t="str">
        <f>IFERROR(IF(OR(G44='DICTIONARY-5'!$A$2,G44='DICTIONARY-5'!$A$4,ISBLANK(G44)),VLOOKUP(F44,LIST!$A$6:$L$3250,CURR_1.SEARCH.OLD,0),VLOOKUP(G44,LIST!$B$6:$L$3250,CURR_1.SEARCH.NEW,0)),'DICTIONARY-5'!$A$2)</f>
        <v>156,-</v>
      </c>
      <c r="I44" s="339" t="str">
        <f>IFERROR(IF(OR(G44='DICTIONARY-5'!$A$2,G44='DICTIONARY-5'!$A$4,ISBLANK(G44)),VLOOKUP(F44,LIST!$A$6:$M$3250,CURR_2.SEARCH.OLD,0),VLOOKUP(G44,LIST!$B$6:$M$3250,CURR_2.SEARCH.NEW,0)),'DICTIONARY-5'!$A$2)</f>
        <v/>
      </c>
    </row>
    <row r="45" spans="1:9" x14ac:dyDescent="0.25">
      <c r="A45" s="156">
        <v>800</v>
      </c>
      <c r="B45" s="156" t="s">
        <v>1480</v>
      </c>
      <c r="C45" s="321" t="s">
        <v>4550</v>
      </c>
      <c r="D45" s="339" t="str">
        <f>IFERROR(IF(OR(C45='DICTIONARY-5'!$A$2,C45='DICTIONARY-5'!$A$4,ISBLANK(C45)),VLOOKUP(B45,LIST!$A$6:$L$3250,CURR_1.SEARCH.OLD,0),VLOOKUP(C45,LIST!$B$6:$L$3250,CURR_1.SEARCH.NEW,0)),'DICTIONARY-5'!$A$2)</f>
        <v>3 723,-</v>
      </c>
      <c r="E45" s="339" t="str">
        <f>IFERROR(IF(OR(C45='DICTIONARY-5'!$A$2,C45='DICTIONARY-5'!$A$4,ISBLANK(C45)),VLOOKUP(B45,LIST!$A$6:$M$3250,CURR_2.SEARCH.OLD,0),VLOOKUP(C45,LIST!$B$6:$M$3250,CURR_2.SEARCH.NEW,0)),'DICTIONARY-5'!$A$2)</f>
        <v/>
      </c>
      <c r="F45" s="156" t="s">
        <v>1481</v>
      </c>
      <c r="G45" s="321" t="s">
        <v>4633</v>
      </c>
      <c r="H45" s="339" t="str">
        <f>IFERROR(IF(OR(G45='DICTIONARY-5'!$A$2,G45='DICTIONARY-5'!$A$4,ISBLANK(G45)),VLOOKUP(F45,LIST!$A$6:$L$3250,CURR_1.SEARCH.OLD,0),VLOOKUP(G45,LIST!$B$6:$L$3250,CURR_1.SEARCH.NEW,0)),'DICTIONARY-5'!$A$2)</f>
        <v>176,-</v>
      </c>
      <c r="I45" s="339" t="str">
        <f>IFERROR(IF(OR(G45='DICTIONARY-5'!$A$2,G45='DICTIONARY-5'!$A$4,ISBLANK(G45)),VLOOKUP(F45,LIST!$A$6:$M$3250,CURR_2.SEARCH.OLD,0),VLOOKUP(G45,LIST!$B$6:$M$3250,CURR_2.SEARCH.NEW,0)),'DICTIONARY-5'!$A$2)</f>
        <v/>
      </c>
    </row>
    <row r="46" spans="1:9" x14ac:dyDescent="0.25">
      <c r="A46" s="156">
        <v>900</v>
      </c>
      <c r="B46" s="156" t="s">
        <v>1482</v>
      </c>
      <c r="C46" s="321" t="s">
        <v>4556</v>
      </c>
      <c r="D46" s="339" t="str">
        <f>IFERROR(IF(OR(C46='DICTIONARY-5'!$A$2,C46='DICTIONARY-5'!$A$4,ISBLANK(C46)),VLOOKUP(B46,LIST!$A$6:$L$3250,CURR_1.SEARCH.OLD,0),VLOOKUP(C46,LIST!$B$6:$L$3250,CURR_1.SEARCH.NEW,0)),'DICTIONARY-5'!$A$2)</f>
        <v>5 066,-</v>
      </c>
      <c r="E46" s="339" t="str">
        <f>IFERROR(IF(OR(C46='DICTIONARY-5'!$A$2,C46='DICTIONARY-5'!$A$4,ISBLANK(C46)),VLOOKUP(B46,LIST!$A$6:$M$3250,CURR_2.SEARCH.OLD,0),VLOOKUP(C46,LIST!$B$6:$M$3250,CURR_2.SEARCH.NEW,0)),'DICTIONARY-5'!$A$2)</f>
        <v/>
      </c>
      <c r="F46" s="156" t="s">
        <v>1483</v>
      </c>
      <c r="G46" s="321" t="s">
        <v>4634</v>
      </c>
      <c r="H46" s="339" t="str">
        <f>IFERROR(IF(OR(G46='DICTIONARY-5'!$A$2,G46='DICTIONARY-5'!$A$4,ISBLANK(G46)),VLOOKUP(F46,LIST!$A$6:$L$3250,CURR_1.SEARCH.OLD,0),VLOOKUP(G46,LIST!$B$6:$L$3250,CURR_1.SEARCH.NEW,0)),'DICTIONARY-5'!$A$2)</f>
        <v>219,-</v>
      </c>
      <c r="I46" s="339" t="str">
        <f>IFERROR(IF(OR(G46='DICTIONARY-5'!$A$2,G46='DICTIONARY-5'!$A$4,ISBLANK(G46)),VLOOKUP(F46,LIST!$A$6:$M$3250,CURR_2.SEARCH.OLD,0),VLOOKUP(G46,LIST!$B$6:$M$3250,CURR_2.SEARCH.NEW,0)),'DICTIONARY-5'!$A$2)</f>
        <v/>
      </c>
    </row>
    <row r="47" spans="1:9" x14ac:dyDescent="0.25">
      <c r="A47" s="156">
        <v>1000</v>
      </c>
      <c r="B47" s="156" t="s">
        <v>1484</v>
      </c>
      <c r="C47" s="321" t="s">
        <v>4562</v>
      </c>
      <c r="D47" s="339" t="str">
        <f>IFERROR(IF(OR(C47='DICTIONARY-5'!$A$2,C47='DICTIONARY-5'!$A$4,ISBLANK(C47)),VLOOKUP(B47,LIST!$A$6:$L$3250,CURR_1.SEARCH.OLD,0),VLOOKUP(C47,LIST!$B$6:$L$3250,CURR_1.SEARCH.NEW,0)),'DICTIONARY-5'!$A$2)</f>
        <v>5 828,-</v>
      </c>
      <c r="E47" s="339" t="str">
        <f>IFERROR(IF(OR(C47='DICTIONARY-5'!$A$2,C47='DICTIONARY-5'!$A$4,ISBLANK(C47)),VLOOKUP(B47,LIST!$A$6:$M$3250,CURR_2.SEARCH.OLD,0),VLOOKUP(C47,LIST!$B$6:$M$3250,CURR_2.SEARCH.NEW,0)),'DICTIONARY-5'!$A$2)</f>
        <v/>
      </c>
      <c r="F47" s="156" t="s">
        <v>1485</v>
      </c>
      <c r="G47" s="321" t="s">
        <v>4635</v>
      </c>
      <c r="H47" s="339" t="str">
        <f>IFERROR(IF(OR(G47='DICTIONARY-5'!$A$2,G47='DICTIONARY-5'!$A$4,ISBLANK(G47)),VLOOKUP(F47,LIST!$A$6:$L$3250,CURR_1.SEARCH.OLD,0),VLOOKUP(G47,LIST!$B$6:$L$3250,CURR_1.SEARCH.NEW,0)),'DICTIONARY-5'!$A$2)</f>
        <v>239,-</v>
      </c>
      <c r="I47" s="339" t="str">
        <f>IFERROR(IF(OR(G47='DICTIONARY-5'!$A$2,G47='DICTIONARY-5'!$A$4,ISBLANK(G47)),VLOOKUP(F47,LIST!$A$6:$M$3250,CURR_2.SEARCH.OLD,0),VLOOKUP(G47,LIST!$B$6:$M$3250,CURR_2.SEARCH.NEW,0)),'DICTIONARY-5'!$A$2)</f>
        <v/>
      </c>
    </row>
    <row r="48" spans="1:9" x14ac:dyDescent="0.25">
      <c r="A48" s="156">
        <v>1100</v>
      </c>
      <c r="B48" s="156" t="s">
        <v>1486</v>
      </c>
      <c r="C48" s="321" t="s">
        <v>4568</v>
      </c>
      <c r="D48" s="339" t="str">
        <f>IFERROR(IF(OR(C48='DICTIONARY-5'!$A$2,C48='DICTIONARY-5'!$A$4,ISBLANK(C48)),VLOOKUP(B48,LIST!$A$6:$L$3250,CURR_1.SEARCH.OLD,0),VLOOKUP(C48,LIST!$B$6:$L$3250,CURR_1.SEARCH.NEW,0)),'DICTIONARY-5'!$A$2)</f>
        <v>9 841,-</v>
      </c>
      <c r="E48" s="339" t="str">
        <f>IFERROR(IF(OR(C48='DICTIONARY-5'!$A$2,C48='DICTIONARY-5'!$A$4,ISBLANK(C48)),VLOOKUP(B48,LIST!$A$6:$M$3250,CURR_2.SEARCH.OLD,0),VLOOKUP(C48,LIST!$B$6:$M$3250,CURR_2.SEARCH.NEW,0)),'DICTIONARY-5'!$A$2)</f>
        <v/>
      </c>
      <c r="F48" s="156" t="s">
        <v>1487</v>
      </c>
      <c r="G48" s="321" t="s">
        <v>4642</v>
      </c>
      <c r="H48" s="339" t="str">
        <f>IFERROR(IF(OR(G48='DICTIONARY-5'!$A$2,G48='DICTIONARY-5'!$A$4,ISBLANK(G48)),VLOOKUP(F48,LIST!$A$6:$L$3250,CURR_1.SEARCH.OLD,0),VLOOKUP(G48,LIST!$B$6:$L$3250,CURR_1.SEARCH.NEW,0)),'DICTIONARY-5'!$A$2)</f>
        <v>506,-</v>
      </c>
      <c r="I48" s="339" t="str">
        <f>IFERROR(IF(OR(G48='DICTIONARY-5'!$A$2,G48='DICTIONARY-5'!$A$4,ISBLANK(G48)),VLOOKUP(F48,LIST!$A$6:$M$3250,CURR_2.SEARCH.OLD,0),VLOOKUP(G48,LIST!$B$6:$M$3250,CURR_2.SEARCH.NEW,0)),'DICTIONARY-5'!$A$2)</f>
        <v/>
      </c>
    </row>
    <row r="49" spans="1:9" x14ac:dyDescent="0.25">
      <c r="A49" s="156">
        <v>1200</v>
      </c>
      <c r="B49" s="156" t="s">
        <v>1488</v>
      </c>
      <c r="C49" s="321" t="s">
        <v>4573</v>
      </c>
      <c r="D49" s="339" t="str">
        <f>IFERROR(IF(OR(C49='DICTIONARY-5'!$A$2,C49='DICTIONARY-5'!$A$4,ISBLANK(C49)),VLOOKUP(B49,LIST!$A$6:$L$3250,CURR_1.SEARCH.OLD,0),VLOOKUP(C49,LIST!$B$6:$L$3250,CURR_1.SEARCH.NEW,0)),'DICTIONARY-5'!$A$2)</f>
        <v>8 509,-</v>
      </c>
      <c r="E49" s="339" t="str">
        <f>IFERROR(IF(OR(C49='DICTIONARY-5'!$A$2,C49='DICTIONARY-5'!$A$4,ISBLANK(C49)),VLOOKUP(B49,LIST!$A$6:$M$3250,CURR_2.SEARCH.OLD,0),VLOOKUP(C49,LIST!$B$6:$M$3250,CURR_2.SEARCH.NEW,0)),'DICTIONARY-5'!$A$2)</f>
        <v/>
      </c>
      <c r="F49" s="156" t="s">
        <v>1489</v>
      </c>
      <c r="G49" s="321" t="s">
        <v>4636</v>
      </c>
      <c r="H49" s="339" t="str">
        <f>IFERROR(IF(OR(G49='DICTIONARY-5'!$A$2,G49='DICTIONARY-5'!$A$4,ISBLANK(G49)),VLOOKUP(F49,LIST!$A$6:$L$3250,CURR_1.SEARCH.OLD,0),VLOOKUP(G49,LIST!$B$6:$L$3250,CURR_1.SEARCH.NEW,0)),'DICTIONARY-5'!$A$2)</f>
        <v>281,-</v>
      </c>
      <c r="I49" s="339" t="str">
        <f>IFERROR(IF(OR(G49='DICTIONARY-5'!$A$2,G49='DICTIONARY-5'!$A$4,ISBLANK(G49)),VLOOKUP(F49,LIST!$A$6:$M$3250,CURR_2.SEARCH.OLD,0),VLOOKUP(G49,LIST!$B$6:$M$3250,CURR_2.SEARCH.NEW,0)),'DICTIONARY-5'!$A$2)</f>
        <v/>
      </c>
    </row>
    <row r="50" spans="1:9" x14ac:dyDescent="0.25">
      <c r="A50" s="156">
        <v>1400</v>
      </c>
      <c r="B50" s="156" t="s">
        <v>1490</v>
      </c>
      <c r="C50" s="321" t="s">
        <v>4582</v>
      </c>
      <c r="D50" s="339" t="str">
        <f>IFERROR(IF(OR(C50='DICTIONARY-5'!$A$2,C50='DICTIONARY-5'!$A$4,ISBLANK(C50)),VLOOKUP(B50,LIST!$A$6:$L$3250,CURR_1.SEARCH.OLD,0),VLOOKUP(C50,LIST!$B$6:$L$3250,CURR_1.SEARCH.NEW,0)),'DICTIONARY-5'!$A$2)</f>
        <v>12 491,-</v>
      </c>
      <c r="E50" s="339" t="str">
        <f>IFERROR(IF(OR(C50='DICTIONARY-5'!$A$2,C50='DICTIONARY-5'!$A$4,ISBLANK(C50)),VLOOKUP(B50,LIST!$A$6:$M$3250,CURR_2.SEARCH.OLD,0),VLOOKUP(C50,LIST!$B$6:$M$3250,CURR_2.SEARCH.NEW,0)),'DICTIONARY-5'!$A$2)</f>
        <v/>
      </c>
      <c r="F50" s="156" t="s">
        <v>1491</v>
      </c>
      <c r="G50" s="321" t="s">
        <v>4643</v>
      </c>
      <c r="H50" s="339" t="str">
        <f>IFERROR(IF(OR(G50='DICTIONARY-5'!$A$2,G50='DICTIONARY-5'!$A$4,ISBLANK(G50)),VLOOKUP(F50,LIST!$A$6:$L$3250,CURR_1.SEARCH.OLD,0),VLOOKUP(G50,LIST!$B$6:$L$3250,CURR_1.SEARCH.NEW,0)),'DICTIONARY-5'!$A$2)</f>
        <v>418,-</v>
      </c>
      <c r="I50" s="339" t="str">
        <f>IFERROR(IF(OR(G50='DICTIONARY-5'!$A$2,G50='DICTIONARY-5'!$A$4,ISBLANK(G50)),VLOOKUP(F50,LIST!$A$6:$M$3250,CURR_2.SEARCH.OLD,0),VLOOKUP(G50,LIST!$B$6:$M$3250,CURR_2.SEARCH.NEW,0)),'DICTIONARY-5'!$A$2)</f>
        <v/>
      </c>
    </row>
    <row r="51" spans="1:9" x14ac:dyDescent="0.25">
      <c r="A51" s="156">
        <v>1500</v>
      </c>
      <c r="B51" s="156" t="s">
        <v>1492</v>
      </c>
      <c r="C51" s="321" t="s">
        <v>4587</v>
      </c>
      <c r="D51" s="339" t="str">
        <f>IFERROR(IF(OR(C51='DICTIONARY-5'!$A$2,C51='DICTIONARY-5'!$A$4,ISBLANK(C51)),VLOOKUP(B51,LIST!$A$6:$L$3250,CURR_1.SEARCH.OLD,0),VLOOKUP(C51,LIST!$B$6:$L$3250,CURR_1.SEARCH.NEW,0)),'DICTIONARY-5'!$A$2)</f>
        <v>13 894,-</v>
      </c>
      <c r="E51" s="339" t="str">
        <f>IFERROR(IF(OR(C51='DICTIONARY-5'!$A$2,C51='DICTIONARY-5'!$A$4,ISBLANK(C51)),VLOOKUP(B51,LIST!$A$6:$M$3250,CURR_2.SEARCH.OLD,0),VLOOKUP(C51,LIST!$B$6:$M$3250,CURR_2.SEARCH.NEW,0)),'DICTIONARY-5'!$A$2)</f>
        <v/>
      </c>
      <c r="F51" s="156" t="s">
        <v>1493</v>
      </c>
      <c r="G51" s="321" t="s">
        <v>4637</v>
      </c>
      <c r="H51" s="339" t="str">
        <f>IFERROR(IF(OR(G51='DICTIONARY-5'!$A$2,G51='DICTIONARY-5'!$A$4,ISBLANK(G51)),VLOOKUP(F51,LIST!$A$6:$L$3250,CURR_1.SEARCH.OLD,0),VLOOKUP(G51,LIST!$B$6:$L$3250,CURR_1.SEARCH.NEW,0)),'DICTIONARY-5'!$A$2)</f>
        <v>462,-</v>
      </c>
      <c r="I51" s="339" t="str">
        <f>IFERROR(IF(OR(G51='DICTIONARY-5'!$A$2,G51='DICTIONARY-5'!$A$4,ISBLANK(G51)),VLOOKUP(F51,LIST!$A$6:$M$3250,CURR_2.SEARCH.OLD,0),VLOOKUP(G51,LIST!$B$6:$M$3250,CURR_2.SEARCH.NEW,0)),'DICTIONARY-5'!$A$2)</f>
        <v/>
      </c>
    </row>
    <row r="52" spans="1:9" x14ac:dyDescent="0.25">
      <c r="A52" s="156">
        <v>1600</v>
      </c>
      <c r="B52" s="156" t="s">
        <v>1494</v>
      </c>
      <c r="C52" s="321" t="s">
        <v>4592</v>
      </c>
      <c r="D52" s="339" t="str">
        <f>IFERROR(IF(OR(C52='DICTIONARY-5'!$A$2,C52='DICTIONARY-5'!$A$4,ISBLANK(C52)),VLOOKUP(B52,LIST!$A$6:$L$3250,CURR_1.SEARCH.OLD,0),VLOOKUP(C52,LIST!$B$6:$L$3250,CURR_1.SEARCH.NEW,0)),'DICTIONARY-5'!$A$2)</f>
        <v>16 578,-</v>
      </c>
      <c r="E52" s="339" t="str">
        <f>IFERROR(IF(OR(C52='DICTIONARY-5'!$A$2,C52='DICTIONARY-5'!$A$4,ISBLANK(C52)),VLOOKUP(B52,LIST!$A$6:$M$3250,CURR_2.SEARCH.OLD,0),VLOOKUP(C52,LIST!$B$6:$M$3250,CURR_2.SEARCH.NEW,0)),'DICTIONARY-5'!$A$2)</f>
        <v/>
      </c>
      <c r="F52" s="156" t="s">
        <v>1495</v>
      </c>
      <c r="G52" s="321" t="s">
        <v>4644</v>
      </c>
      <c r="H52" s="339" t="str">
        <f>IFERROR(IF(OR(G52='DICTIONARY-5'!$A$2,G52='DICTIONARY-5'!$A$4,ISBLANK(G52)),VLOOKUP(F52,LIST!$A$6:$L$3250,CURR_1.SEARCH.OLD,0),VLOOKUP(G52,LIST!$B$6:$L$3250,CURR_1.SEARCH.NEW,0)),'DICTIONARY-5'!$A$2)</f>
        <v>490,-</v>
      </c>
      <c r="I52" s="339" t="str">
        <f>IFERROR(IF(OR(G52='DICTIONARY-5'!$A$2,G52='DICTIONARY-5'!$A$4,ISBLANK(G52)),VLOOKUP(F52,LIST!$A$6:$M$3250,CURR_2.SEARCH.OLD,0),VLOOKUP(G52,LIST!$B$6:$M$3250,CURR_2.SEARCH.NEW,0)),'DICTIONARY-5'!$A$2)</f>
        <v/>
      </c>
    </row>
    <row r="53" spans="1:9" x14ac:dyDescent="0.25">
      <c r="A53" s="156">
        <v>1800</v>
      </c>
      <c r="B53" s="156" t="s">
        <v>1496</v>
      </c>
      <c r="C53" s="321" t="s">
        <v>4597</v>
      </c>
      <c r="D53" s="339" t="str">
        <f>IFERROR(IF(OR(C53='DICTIONARY-5'!$A$2,C53='DICTIONARY-5'!$A$4,ISBLANK(C53)),VLOOKUP(B53,LIST!$A$6:$L$3250,CURR_1.SEARCH.OLD,0),VLOOKUP(C53,LIST!$B$6:$L$3250,CURR_1.SEARCH.NEW,0)),'DICTIONARY-5'!$A$2)</f>
        <v>25 859,-</v>
      </c>
      <c r="E53" s="339" t="str">
        <f>IFERROR(IF(OR(C53='DICTIONARY-5'!$A$2,C53='DICTIONARY-5'!$A$4,ISBLANK(C53)),VLOOKUP(B53,LIST!$A$6:$M$3250,CURR_2.SEARCH.OLD,0),VLOOKUP(C53,LIST!$B$6:$M$3250,CURR_2.SEARCH.NEW,0)),'DICTIONARY-5'!$A$2)</f>
        <v/>
      </c>
      <c r="F53" s="156" t="s">
        <v>1497</v>
      </c>
      <c r="G53" s="321" t="s">
        <v>4645</v>
      </c>
      <c r="H53" s="339" t="str">
        <f>IFERROR(IF(OR(G53='DICTIONARY-5'!$A$2,G53='DICTIONARY-5'!$A$4,ISBLANK(G53)),VLOOKUP(F53,LIST!$A$6:$L$3250,CURR_1.SEARCH.OLD,0),VLOOKUP(G53,LIST!$B$6:$L$3250,CURR_1.SEARCH.NEW,0)),'DICTIONARY-5'!$A$2)</f>
        <v>512,-</v>
      </c>
      <c r="I53" s="339" t="str">
        <f>IFERROR(IF(OR(G53='DICTIONARY-5'!$A$2,G53='DICTIONARY-5'!$A$4,ISBLANK(G53)),VLOOKUP(F53,LIST!$A$6:$M$3250,CURR_2.SEARCH.OLD,0),VLOOKUP(G53,LIST!$B$6:$M$3250,CURR_2.SEARCH.NEW,0)),'DICTIONARY-5'!$A$2)</f>
        <v/>
      </c>
    </row>
    <row r="54" spans="1:9" x14ac:dyDescent="0.25">
      <c r="A54" s="156">
        <v>2000</v>
      </c>
      <c r="B54" s="156" t="s">
        <v>1498</v>
      </c>
      <c r="C54" s="321" t="s">
        <v>4606</v>
      </c>
      <c r="D54" s="339" t="str">
        <f>IFERROR(IF(OR(C54='DICTIONARY-5'!$A$2,C54='DICTIONARY-5'!$A$4,ISBLANK(C54)),VLOOKUP(B54,LIST!$A$6:$L$3250,CURR_1.SEARCH.OLD,0),VLOOKUP(C54,LIST!$B$6:$L$3250,CURR_1.SEARCH.NEW,0)),'DICTIONARY-5'!$A$2)</f>
        <v>24 868,-</v>
      </c>
      <c r="E54" s="339" t="str">
        <f>IFERROR(IF(OR(C54='DICTIONARY-5'!$A$2,C54='DICTIONARY-5'!$A$4,ISBLANK(C54)),VLOOKUP(B54,LIST!$A$6:$M$3250,CURR_2.SEARCH.OLD,0),VLOOKUP(C54,LIST!$B$6:$M$3250,CURR_2.SEARCH.NEW,0)),'DICTIONARY-5'!$A$2)</f>
        <v/>
      </c>
      <c r="F54" s="156" t="s">
        <v>1499</v>
      </c>
      <c r="G54" s="321" t="s">
        <v>4646</v>
      </c>
      <c r="H54" s="339" t="str">
        <f>IFERROR(IF(OR(G54='DICTIONARY-5'!$A$2,G54='DICTIONARY-5'!$A$4,ISBLANK(G54)),VLOOKUP(F54,LIST!$A$6:$L$3250,CURR_1.SEARCH.OLD,0),VLOOKUP(G54,LIST!$B$6:$L$3250,CURR_1.SEARCH.NEW,0)),'DICTIONARY-5'!$A$2)</f>
        <v>591,-</v>
      </c>
      <c r="I54" s="339" t="str">
        <f>IFERROR(IF(OR(G54='DICTIONARY-5'!$A$2,G54='DICTIONARY-5'!$A$4,ISBLANK(G54)),VLOOKUP(F54,LIST!$A$6:$M$3250,CURR_2.SEARCH.OLD,0),VLOOKUP(G54,LIST!$B$6:$M$3250,CURR_2.SEARCH.NEW,0)),'DICTIONARY-5'!$A$2)</f>
        <v/>
      </c>
    </row>
  </sheetData>
  <sheetProtection algorithmName="SHA-512" hashValue="yw83kxSJ4GVbuhwINn54yzs9Wy2oLbaq54IrxVCAyWZ6limfx+NOXsQk6ESFTUjG9cfaDEoTz40ykwVJFxws7g==" saltValue="+FHwqGKJeEpVGwiOs5nqNA==" spinCount="100000" sheet="1" objects="1" scenarios="1" autoFilter="0"/>
  <mergeCells count="9">
    <mergeCell ref="B4:E4"/>
    <mergeCell ref="B35:E35"/>
    <mergeCell ref="F35:I35"/>
    <mergeCell ref="B10:E10"/>
    <mergeCell ref="F10:I10"/>
    <mergeCell ref="B34:E34"/>
    <mergeCell ref="F34:I34"/>
    <mergeCell ref="B11:E11"/>
    <mergeCell ref="F11:I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2">
    <tabColor rgb="FFFFC000"/>
  </sheetPr>
  <dimension ref="A1:F56"/>
  <sheetViews>
    <sheetView workbookViewId="0"/>
  </sheetViews>
  <sheetFormatPr defaultColWidth="9.140625" defaultRowHeight="15" x14ac:dyDescent="0.25"/>
  <cols>
    <col min="1" max="2" width="9.140625" style="146"/>
    <col min="3" max="4" width="22.140625" style="146" customWidth="1"/>
    <col min="5" max="6" width="12.85546875" style="146" customWidth="1"/>
    <col min="7" max="16384" width="9.140625" style="146"/>
  </cols>
  <sheetData>
    <row r="1" spans="1:6" s="408" customFormat="1" ht="45" customHeight="1" thickBot="1" x14ac:dyDescent="0.3">
      <c r="A1" s="430"/>
      <c r="B1" s="430"/>
      <c r="C1" s="430"/>
      <c r="D1" s="430"/>
    </row>
    <row r="2" spans="1:6" s="467" customFormat="1" ht="4.5" customHeight="1" x14ac:dyDescent="0.25">
      <c r="A2" s="466"/>
    </row>
    <row r="3" spans="1:6" ht="15.75" thickBot="1" x14ac:dyDescent="0.3">
      <c r="A3" s="147"/>
      <c r="B3" s="148"/>
      <c r="C3" s="148"/>
      <c r="D3" s="148"/>
    </row>
    <row r="4" spans="1:6" ht="15.75" thickBot="1" x14ac:dyDescent="0.3">
      <c r="A4" s="824">
        <f>ADD.DISCOUNT</f>
        <v>0</v>
      </c>
      <c r="B4" s="933" t="str">
        <f>HYPERLINK("#'LIST'!ADD.DISCOUNT","» "&amp;'DICTIONARY-1'!$A$5)</f>
        <v>» Ustaw globalny dodatkowy rabat</v>
      </c>
      <c r="C4" s="1005"/>
      <c r="D4" s="1005"/>
      <c r="E4" s="1006"/>
    </row>
    <row r="5" spans="1:6" x14ac:dyDescent="0.25">
      <c r="A5" s="147"/>
      <c r="B5" s="148"/>
      <c r="C5" s="148"/>
      <c r="D5" s="148"/>
    </row>
    <row r="6" spans="1:6" ht="16.5" thickBot="1" x14ac:dyDescent="0.3">
      <c r="A6" s="712" t="str">
        <f>CONCATENATE('DICTIONARY-3'!$A$31," ",'DICTIONARY-3'!$A$203," / ",'DICTIONARY-3'!$A$320)</f>
        <v>HADE Klapa przeciwcofkowa / Montaż na kołnierz</v>
      </c>
      <c r="B6" s="712"/>
      <c r="C6" s="712"/>
      <c r="D6" s="712"/>
      <c r="E6" s="712"/>
      <c r="F6" s="712"/>
    </row>
    <row r="7" spans="1:6" x14ac:dyDescent="0.25">
      <c r="A7" s="150" t="str">
        <f>CONCATENATE('DICTIONARY-1'!$A$10,": ",SETTINGS!$C$57)</f>
        <v>Grupa rabatowa: HADE</v>
      </c>
      <c r="B7" s="150"/>
      <c r="C7" s="144"/>
      <c r="D7" s="144"/>
      <c r="E7" s="145"/>
      <c r="F7" s="145"/>
    </row>
    <row r="8" spans="1:6" x14ac:dyDescent="0.25">
      <c r="A8" s="151"/>
      <c r="B8" s="151"/>
      <c r="C8" s="144"/>
      <c r="D8" s="144"/>
      <c r="E8" s="162"/>
      <c r="F8" s="162"/>
    </row>
    <row r="9" spans="1:6" x14ac:dyDescent="0.25">
      <c r="A9" s="152" t="str">
        <f>'DICTIONARY-2'!$A$2</f>
        <v>DN</v>
      </c>
      <c r="B9" s="174" t="str">
        <f>'DICTIONARY-2'!$A$3</f>
        <v>PN</v>
      </c>
      <c r="C9" s="1013" t="str">
        <f>'DICTIONARY-3'!$A$32</f>
        <v>HADE PTK-F</v>
      </c>
      <c r="D9" s="1014"/>
      <c r="E9" s="1014"/>
      <c r="F9" s="1015"/>
    </row>
    <row r="10" spans="1:6" x14ac:dyDescent="0.25">
      <c r="A10" s="153"/>
      <c r="B10" s="527"/>
      <c r="C10" s="1010" t="str">
        <f>LOWER('DICTIONARY-3'!$A$309)</f>
        <v>ze skośną płytą</v>
      </c>
      <c r="D10" s="1011"/>
      <c r="E10" s="1011"/>
      <c r="F10" s="1012"/>
    </row>
    <row r="11" spans="1:6" x14ac:dyDescent="0.25">
      <c r="A11" s="153"/>
      <c r="B11" s="153"/>
      <c r="C11" s="154" t="str">
        <f>'DICTIONARY-2'!$A$28</f>
        <v>stary nr zamówienia</v>
      </c>
      <c r="D11" s="154" t="str">
        <f>'DICTIONARY-2'!$A$29</f>
        <v>nowy nr zamówienia</v>
      </c>
      <c r="E11" s="155" t="str">
        <f>CURRENCY.CODE_1</f>
        <v>EUR</v>
      </c>
      <c r="F11" s="155" t="str">
        <f>CURRENCY.CODE_2</f>
        <v>---</v>
      </c>
    </row>
    <row r="12" spans="1:6" x14ac:dyDescent="0.25">
      <c r="A12" s="156">
        <v>150</v>
      </c>
      <c r="B12" s="156">
        <v>10</v>
      </c>
      <c r="C12" s="156" t="s">
        <v>1500</v>
      </c>
      <c r="D12" s="321" t="s">
        <v>4492</v>
      </c>
      <c r="E12" s="339" t="str">
        <f>IFERROR(IF(OR(D12='DICTIONARY-5'!$A$2,D12='DICTIONARY-5'!$A$4,ISBLANK(D12)),VLOOKUP(C12,LIST!$A$6:$L$3250,CURR_1.SEARCH.OLD,0),VLOOKUP(D12,LIST!$B$6:$L$3250,CURR_1.SEARCH.NEW,0)),'DICTIONARY-5'!$A$2)</f>
        <v>712,-</v>
      </c>
      <c r="F12" s="339" t="str">
        <f>IFERROR(IF(OR(D12='DICTIONARY-5'!$A$2,D12='DICTIONARY-5'!$A$4,ISBLANK(D12)),VLOOKUP(C12,LIST!$A$6:$M$3250,CURR_2.SEARCH.OLD,0),VLOOKUP(D12,LIST!$B$6:$M$3250,CURR_2.SEARCH.NEW,0)),'DICTIONARY-5'!$A$2)</f>
        <v/>
      </c>
    </row>
    <row r="13" spans="1:6" x14ac:dyDescent="0.25">
      <c r="A13" s="156">
        <v>200</v>
      </c>
      <c r="B13" s="156">
        <v>10</v>
      </c>
      <c r="C13" s="156" t="s">
        <v>1501</v>
      </c>
      <c r="D13" s="321" t="s">
        <v>4502</v>
      </c>
      <c r="E13" s="339" t="str">
        <f>IFERROR(IF(OR(D13='DICTIONARY-5'!$A$2,D13='DICTIONARY-5'!$A$4,ISBLANK(D13)),VLOOKUP(C13,LIST!$A$6:$L$3250,CURR_1.SEARCH.OLD,0),VLOOKUP(D13,LIST!$B$6:$L$3250,CURR_1.SEARCH.NEW,0)),'DICTIONARY-5'!$A$2)</f>
        <v>904,-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</row>
    <row r="14" spans="1:6" x14ac:dyDescent="0.25">
      <c r="A14" s="156">
        <v>250</v>
      </c>
      <c r="B14" s="156">
        <v>10</v>
      </c>
      <c r="C14" s="156" t="s">
        <v>1502</v>
      </c>
      <c r="D14" s="321" t="s">
        <v>4508</v>
      </c>
      <c r="E14" s="339" t="str">
        <f>IFERROR(IF(OR(D14='DICTIONARY-5'!$A$2,D14='DICTIONARY-5'!$A$4,ISBLANK(D14)),VLOOKUP(C14,LIST!$A$6:$L$3250,CURR_1.SEARCH.OLD,0),VLOOKUP(D14,LIST!$B$6:$L$3250,CURR_1.SEARCH.NEW,0)),'DICTIONARY-5'!$A$2)</f>
        <v>983,-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6" x14ac:dyDescent="0.25">
      <c r="A15" s="156">
        <v>300</v>
      </c>
      <c r="B15" s="156">
        <v>10</v>
      </c>
      <c r="C15" s="156" t="s">
        <v>1503</v>
      </c>
      <c r="D15" s="321" t="s">
        <v>4518</v>
      </c>
      <c r="E15" s="339" t="str">
        <f>IFERROR(IF(OR(D15='DICTIONARY-5'!$A$2,D15='DICTIONARY-5'!$A$4,ISBLANK(D15)),VLOOKUP(C15,LIST!$A$6:$L$3250,CURR_1.SEARCH.OLD,0),VLOOKUP(D15,LIST!$B$6:$L$3250,CURR_1.SEARCH.NEW,0)),'DICTIONARY-5'!$A$2)</f>
        <v>1 281,-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</row>
    <row r="16" spans="1:6" x14ac:dyDescent="0.25">
      <c r="A16" s="156">
        <v>400</v>
      </c>
      <c r="B16" s="156">
        <v>10</v>
      </c>
      <c r="C16" s="156" t="s">
        <v>1504</v>
      </c>
      <c r="D16" s="321" t="s">
        <v>4525</v>
      </c>
      <c r="E16" s="339" t="str">
        <f>IFERROR(IF(OR(D16='DICTIONARY-5'!$A$2,D16='DICTIONARY-5'!$A$4,ISBLANK(D16)),VLOOKUP(C16,LIST!$A$6:$L$3250,CURR_1.SEARCH.OLD,0),VLOOKUP(D16,LIST!$B$6:$L$3250,CURR_1.SEARCH.NEW,0)),'DICTIONARY-5'!$A$2)</f>
        <v>1 757,-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</row>
    <row r="17" spans="1:6" x14ac:dyDescent="0.25">
      <c r="A17" s="156">
        <v>500</v>
      </c>
      <c r="B17" s="156">
        <v>10</v>
      </c>
      <c r="C17" s="156" t="s">
        <v>1505</v>
      </c>
      <c r="D17" s="321" t="s">
        <v>4532</v>
      </c>
      <c r="E17" s="339" t="str">
        <f>IFERROR(IF(OR(D17='DICTIONARY-5'!$A$2,D17='DICTIONARY-5'!$A$4,ISBLANK(D17)),VLOOKUP(C17,LIST!$A$6:$L$3250,CURR_1.SEARCH.OLD,0),VLOOKUP(D17,LIST!$B$6:$L$3250,CURR_1.SEARCH.NEW,0)),'DICTIONARY-5'!$A$2)</f>
        <v>2 451,-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</row>
    <row r="18" spans="1:6" x14ac:dyDescent="0.25">
      <c r="A18" s="156">
        <v>600</v>
      </c>
      <c r="B18" s="156">
        <v>10</v>
      </c>
      <c r="C18" s="156" t="s">
        <v>1506</v>
      </c>
      <c r="D18" s="321" t="s">
        <v>4539</v>
      </c>
      <c r="E18" s="339" t="str">
        <f>IFERROR(IF(OR(D18='DICTIONARY-5'!$A$2,D18='DICTIONARY-5'!$A$4,ISBLANK(D18)),VLOOKUP(C18,LIST!$A$6:$L$3250,CURR_1.SEARCH.OLD,0),VLOOKUP(D18,LIST!$B$6:$L$3250,CURR_1.SEARCH.NEW,0)),'DICTIONARY-5'!$A$2)</f>
        <v>2 846,-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</row>
    <row r="19" spans="1:6" x14ac:dyDescent="0.25">
      <c r="A19" s="156">
        <v>700</v>
      </c>
      <c r="B19" s="156">
        <v>10</v>
      </c>
      <c r="C19" s="156" t="s">
        <v>1507</v>
      </c>
      <c r="D19" s="321" t="s">
        <v>4546</v>
      </c>
      <c r="E19" s="339" t="str">
        <f>IFERROR(IF(OR(D19='DICTIONARY-5'!$A$2,D19='DICTIONARY-5'!$A$4,ISBLANK(D19)),VLOOKUP(C19,LIST!$A$6:$L$3250,CURR_1.SEARCH.OLD,0),VLOOKUP(D19,LIST!$B$6:$L$3250,CURR_1.SEARCH.NEW,0)),'DICTIONARY-5'!$A$2)</f>
        <v>3 460,-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</row>
    <row r="20" spans="1:6" x14ac:dyDescent="0.25">
      <c r="A20" s="156">
        <v>800</v>
      </c>
      <c r="B20" s="156">
        <v>10</v>
      </c>
      <c r="C20" s="156" t="s">
        <v>1508</v>
      </c>
      <c r="D20" s="321" t="s">
        <v>4552</v>
      </c>
      <c r="E20" s="339" t="str">
        <f>IFERROR(IF(OR(D20='DICTIONARY-5'!$A$2,D20='DICTIONARY-5'!$A$4,ISBLANK(D20)),VLOOKUP(C20,LIST!$A$6:$L$3250,CURR_1.SEARCH.OLD,0),VLOOKUP(D20,LIST!$B$6:$L$3250,CURR_1.SEARCH.NEW,0)),'DICTIONARY-5'!$A$2)</f>
        <v>4 195,-</v>
      </c>
      <c r="F20" s="339" t="str">
        <f>IFERROR(IF(OR(D20='DICTIONARY-5'!$A$2,D20='DICTIONARY-5'!$A$4,ISBLANK(D20)),VLOOKUP(C20,LIST!$A$6:$M$3250,CURR_2.SEARCH.OLD,0),VLOOKUP(D20,LIST!$B$6:$M$3250,CURR_2.SEARCH.NEW,0)),'DICTIONARY-5'!$A$2)</f>
        <v/>
      </c>
    </row>
    <row r="21" spans="1:6" x14ac:dyDescent="0.25">
      <c r="A21" s="156">
        <v>900</v>
      </c>
      <c r="B21" s="156">
        <v>10</v>
      </c>
      <c r="C21" s="156" t="s">
        <v>1509</v>
      </c>
      <c r="D21" s="321" t="s">
        <v>4558</v>
      </c>
      <c r="E21" s="339" t="str">
        <f>IFERROR(IF(OR(D21='DICTIONARY-5'!$A$2,D21='DICTIONARY-5'!$A$4,ISBLANK(D21)),VLOOKUP(C21,LIST!$A$6:$L$3250,CURR_1.SEARCH.OLD,0),VLOOKUP(D21,LIST!$B$6:$L$3250,CURR_1.SEARCH.NEW,0)),'DICTIONARY-5'!$A$2)</f>
        <v>5 139,-</v>
      </c>
      <c r="F21" s="339" t="str">
        <f>IFERROR(IF(OR(D21='DICTIONARY-5'!$A$2,D21='DICTIONARY-5'!$A$4,ISBLANK(D21)),VLOOKUP(C21,LIST!$A$6:$M$3250,CURR_2.SEARCH.OLD,0),VLOOKUP(D21,LIST!$B$6:$M$3250,CURR_2.SEARCH.NEW,0)),'DICTIONARY-5'!$A$2)</f>
        <v/>
      </c>
    </row>
    <row r="22" spans="1:6" x14ac:dyDescent="0.25">
      <c r="A22" s="156">
        <v>1000</v>
      </c>
      <c r="B22" s="156">
        <v>10</v>
      </c>
      <c r="C22" s="156" t="s">
        <v>1510</v>
      </c>
      <c r="D22" s="321" t="s">
        <v>4564</v>
      </c>
      <c r="E22" s="339" t="str">
        <f>IFERROR(IF(OR(D22='DICTIONARY-5'!$A$2,D22='DICTIONARY-5'!$A$4,ISBLANK(D22)),VLOOKUP(C22,LIST!$A$6:$L$3250,CURR_1.SEARCH.OLD,0),VLOOKUP(D22,LIST!$B$6:$L$3250,CURR_1.SEARCH.NEW,0)),'DICTIONARY-5'!$A$2)</f>
        <v>6 098,-</v>
      </c>
      <c r="F22" s="339" t="str">
        <f>IFERROR(IF(OR(D22='DICTIONARY-5'!$A$2,D22='DICTIONARY-5'!$A$4,ISBLANK(D22)),VLOOKUP(C22,LIST!$A$6:$M$3250,CURR_2.SEARCH.OLD,0),VLOOKUP(D22,LIST!$B$6:$M$3250,CURR_2.SEARCH.NEW,0)),'DICTIONARY-5'!$A$2)</f>
        <v/>
      </c>
    </row>
    <row r="23" spans="1:6" x14ac:dyDescent="0.25">
      <c r="A23" s="156">
        <v>1100</v>
      </c>
      <c r="B23" s="156">
        <v>10</v>
      </c>
      <c r="C23" s="156" t="s">
        <v>1511</v>
      </c>
      <c r="D23" s="321" t="s">
        <v>4569</v>
      </c>
      <c r="E23" s="339" t="str">
        <f>IFERROR(IF(OR(D23='DICTIONARY-5'!$A$2,D23='DICTIONARY-5'!$A$4,ISBLANK(D23)),VLOOKUP(C23,LIST!$A$6:$L$3250,CURR_1.SEARCH.OLD,0),VLOOKUP(D23,LIST!$B$6:$L$3250,CURR_1.SEARCH.NEW,0)),'DICTIONARY-5'!$A$2)</f>
        <v>9 841,-</v>
      </c>
      <c r="F23" s="339" t="str">
        <f>IFERROR(IF(OR(D23='DICTIONARY-5'!$A$2,D23='DICTIONARY-5'!$A$4,ISBLANK(D23)),VLOOKUP(C23,LIST!$A$6:$M$3250,CURR_2.SEARCH.OLD,0),VLOOKUP(D23,LIST!$B$6:$M$3250,CURR_2.SEARCH.NEW,0)),'DICTIONARY-5'!$A$2)</f>
        <v/>
      </c>
    </row>
    <row r="24" spans="1:6" x14ac:dyDescent="0.25">
      <c r="A24" s="156">
        <v>1200</v>
      </c>
      <c r="B24" s="156">
        <v>10</v>
      </c>
      <c r="C24" s="156" t="s">
        <v>1512</v>
      </c>
      <c r="D24" s="321" t="s">
        <v>4574</v>
      </c>
      <c r="E24" s="339" t="str">
        <f>IFERROR(IF(OR(D24='DICTIONARY-5'!$A$2,D24='DICTIONARY-5'!$A$4,ISBLANK(D24)),VLOOKUP(C24,LIST!$A$6:$L$3250,CURR_1.SEARCH.OLD,0),VLOOKUP(D24,LIST!$B$6:$L$3250,CURR_1.SEARCH.NEW,0)),'DICTIONARY-5'!$A$2)</f>
        <v>9 135,-</v>
      </c>
      <c r="F24" s="339" t="str">
        <f>IFERROR(IF(OR(D24='DICTIONARY-5'!$A$2,D24='DICTIONARY-5'!$A$4,ISBLANK(D24)),VLOOKUP(C24,LIST!$A$6:$M$3250,CURR_2.SEARCH.OLD,0),VLOOKUP(D24,LIST!$B$6:$M$3250,CURR_2.SEARCH.NEW,0)),'DICTIONARY-5'!$A$2)</f>
        <v/>
      </c>
    </row>
    <row r="25" spans="1:6" x14ac:dyDescent="0.25">
      <c r="A25" s="156">
        <v>1300</v>
      </c>
      <c r="B25" s="156">
        <v>10</v>
      </c>
      <c r="C25" s="156" t="s">
        <v>1513</v>
      </c>
      <c r="D25" s="321" t="s">
        <v>4578</v>
      </c>
      <c r="E25" s="339" t="str">
        <f>IFERROR(IF(OR(D25='DICTIONARY-5'!$A$2,D25='DICTIONARY-5'!$A$4,ISBLANK(D25)),VLOOKUP(C25,LIST!$A$6:$L$3250,CURR_1.SEARCH.OLD,0),VLOOKUP(D25,LIST!$B$6:$L$3250,CURR_1.SEARCH.NEW,0)),'DICTIONARY-5'!$A$2)</f>
        <v>14 752,-</v>
      </c>
      <c r="F25" s="339" t="str">
        <f>IFERROR(IF(OR(D25='DICTIONARY-5'!$A$2,D25='DICTIONARY-5'!$A$4,ISBLANK(D25)),VLOOKUP(C25,LIST!$A$6:$M$3250,CURR_2.SEARCH.OLD,0),VLOOKUP(D25,LIST!$B$6:$M$3250,CURR_2.SEARCH.NEW,0)),'DICTIONARY-5'!$A$2)</f>
        <v/>
      </c>
    </row>
    <row r="26" spans="1:6" x14ac:dyDescent="0.25">
      <c r="A26" s="156">
        <v>1400</v>
      </c>
      <c r="B26" s="156">
        <v>10</v>
      </c>
      <c r="C26" s="156" t="s">
        <v>1514</v>
      </c>
      <c r="D26" s="321" t="s">
        <v>4583</v>
      </c>
      <c r="E26" s="339" t="str">
        <f>IFERROR(IF(OR(D26='DICTIONARY-5'!$A$2,D26='DICTIONARY-5'!$A$4,ISBLANK(D26)),VLOOKUP(C26,LIST!$A$6:$L$3250,CURR_1.SEARCH.OLD,0),VLOOKUP(D26,LIST!$B$6:$L$3250,CURR_1.SEARCH.NEW,0)),'DICTIONARY-5'!$A$2)</f>
        <v>16 073,-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</row>
    <row r="27" spans="1:6" x14ac:dyDescent="0.25">
      <c r="A27" s="156">
        <v>1500</v>
      </c>
      <c r="B27" s="156">
        <v>10</v>
      </c>
      <c r="C27" s="156" t="s">
        <v>1515</v>
      </c>
      <c r="D27" s="321" t="s">
        <v>4588</v>
      </c>
      <c r="E27" s="339" t="str">
        <f>IFERROR(IF(OR(D27='DICTIONARY-5'!$A$2,D27='DICTIONARY-5'!$A$4,ISBLANK(D27)),VLOOKUP(C27,LIST!$A$6:$L$3250,CURR_1.SEARCH.OLD,0),VLOOKUP(D27,LIST!$B$6:$L$3250,CURR_1.SEARCH.NEW,0)),'DICTIONARY-5'!$A$2)</f>
        <v>14 592,-</v>
      </c>
      <c r="F27" s="339" t="str">
        <f>IFERROR(IF(OR(D27='DICTIONARY-5'!$A$2,D27='DICTIONARY-5'!$A$4,ISBLANK(D27)),VLOOKUP(C27,LIST!$A$6:$M$3250,CURR_2.SEARCH.OLD,0),VLOOKUP(D27,LIST!$B$6:$M$3250,CURR_2.SEARCH.NEW,0)),'DICTIONARY-5'!$A$2)</f>
        <v/>
      </c>
    </row>
    <row r="28" spans="1:6" x14ac:dyDescent="0.25">
      <c r="A28" s="156">
        <v>1600</v>
      </c>
      <c r="B28" s="156">
        <v>10</v>
      </c>
      <c r="C28" s="156" t="s">
        <v>1516</v>
      </c>
      <c r="D28" s="321" t="s">
        <v>4593</v>
      </c>
      <c r="E28" s="339" t="str">
        <f>IFERROR(IF(OR(D28='DICTIONARY-5'!$A$2,D28='DICTIONARY-5'!$A$4,ISBLANK(D28)),VLOOKUP(C28,LIST!$A$6:$L$3250,CURR_1.SEARCH.OLD,0),VLOOKUP(D28,LIST!$B$6:$L$3250,CURR_1.SEARCH.NEW,0)),'DICTIONARY-5'!$A$2)</f>
        <v>17 956,-</v>
      </c>
      <c r="F28" s="339" t="str">
        <f>IFERROR(IF(OR(D28='DICTIONARY-5'!$A$2,D28='DICTIONARY-5'!$A$4,ISBLANK(D28)),VLOOKUP(C28,LIST!$A$6:$M$3250,CURR_2.SEARCH.OLD,0),VLOOKUP(D28,LIST!$B$6:$M$3250,CURR_2.SEARCH.NEW,0)),'DICTIONARY-5'!$A$2)</f>
        <v/>
      </c>
    </row>
    <row r="29" spans="1:6" x14ac:dyDescent="0.25">
      <c r="A29" s="156">
        <v>1800</v>
      </c>
      <c r="B29" s="156">
        <v>10</v>
      </c>
      <c r="C29" s="156" t="s">
        <v>1517</v>
      </c>
      <c r="D29" s="321" t="s">
        <v>4598</v>
      </c>
      <c r="E29" s="339" t="str">
        <f>IFERROR(IF(OR(D29='DICTIONARY-5'!$A$2,D29='DICTIONARY-5'!$A$4,ISBLANK(D29)),VLOOKUP(C29,LIST!$A$6:$L$3250,CURR_1.SEARCH.OLD,0),VLOOKUP(D29,LIST!$B$6:$L$3250,CURR_1.SEARCH.NEW,0)),'DICTIONARY-5'!$A$2)</f>
        <v>21 281,-</v>
      </c>
      <c r="F29" s="339" t="str">
        <f>IFERROR(IF(OR(D29='DICTIONARY-5'!$A$2,D29='DICTIONARY-5'!$A$4,ISBLANK(D29)),VLOOKUP(C29,LIST!$A$6:$M$3250,CURR_2.SEARCH.OLD,0),VLOOKUP(D29,LIST!$B$6:$M$3250,CURR_2.SEARCH.NEW,0)),'DICTIONARY-5'!$A$2)</f>
        <v/>
      </c>
    </row>
    <row r="30" spans="1:6" x14ac:dyDescent="0.25">
      <c r="A30" s="156">
        <v>2000</v>
      </c>
      <c r="B30" s="156">
        <v>10</v>
      </c>
      <c r="C30" s="156" t="s">
        <v>1518</v>
      </c>
      <c r="D30" s="321" t="s">
        <v>4607</v>
      </c>
      <c r="E30" s="339" t="str">
        <f>IFERROR(IF(OR(D30='DICTIONARY-5'!$A$2,D30='DICTIONARY-5'!$A$4,ISBLANK(D30)),VLOOKUP(C30,LIST!$A$6:$L$3250,CURR_1.SEARCH.OLD,0),VLOOKUP(D30,LIST!$B$6:$L$3250,CURR_1.SEARCH.NEW,0)),'DICTIONARY-5'!$A$2)</f>
        <v>26 338,-</v>
      </c>
      <c r="F30" s="339" t="str">
        <f>IFERROR(IF(OR(D30='DICTIONARY-5'!$A$2,D30='DICTIONARY-5'!$A$4,ISBLANK(D30)),VLOOKUP(C30,LIST!$A$6:$M$3250,CURR_2.SEARCH.OLD,0),VLOOKUP(D30,LIST!$B$6:$M$3250,CURR_2.SEARCH.NEW,0)),'DICTIONARY-5'!$A$2)</f>
        <v/>
      </c>
    </row>
    <row r="33" spans="1:6" x14ac:dyDescent="0.25">
      <c r="A33" s="152" t="str">
        <f>'DICTIONARY-2'!$A$2</f>
        <v>DN</v>
      </c>
      <c r="B33" s="174" t="str">
        <f>'DICTIONARY-2'!$A$3</f>
        <v>PN</v>
      </c>
      <c r="C33" s="1013" t="str">
        <f>'DICTIONARY-3'!$A$33</f>
        <v>HADE PWK-F</v>
      </c>
      <c r="D33" s="1014"/>
      <c r="E33" s="1014"/>
      <c r="F33" s="1015"/>
    </row>
    <row r="34" spans="1:6" ht="15" customHeight="1" x14ac:dyDescent="0.25">
      <c r="A34" s="153"/>
      <c r="B34" s="527"/>
      <c r="C34" s="1010" t="str">
        <f>LOWER('DICTIONARY-3'!$A$309)&amp;", "&amp;'DICTIONARY-5'!$A$144</f>
        <v>ze skośną płytą, do rurociągu tłocznym</v>
      </c>
      <c r="D34" s="1011"/>
      <c r="E34" s="1011"/>
      <c r="F34" s="1012"/>
    </row>
    <row r="35" spans="1:6" x14ac:dyDescent="0.25">
      <c r="A35" s="153"/>
      <c r="B35" s="153"/>
      <c r="C35" s="154" t="str">
        <f>'DICTIONARY-2'!$A$28</f>
        <v>stary nr zamówienia</v>
      </c>
      <c r="D35" s="154" t="str">
        <f>'DICTIONARY-2'!$A$29</f>
        <v>nowy nr zamówienia</v>
      </c>
      <c r="E35" s="155" t="str">
        <f>CURRENCY.CODE_1</f>
        <v>EUR</v>
      </c>
      <c r="F35" s="155" t="str">
        <f>CURRENCY.CODE_2</f>
        <v>---</v>
      </c>
    </row>
    <row r="36" spans="1:6" x14ac:dyDescent="0.25">
      <c r="A36" s="156">
        <v>150</v>
      </c>
      <c r="B36" s="156">
        <v>10</v>
      </c>
      <c r="C36" s="156" t="s">
        <v>1519</v>
      </c>
      <c r="D36" s="321" t="s">
        <v>4494</v>
      </c>
      <c r="E36" s="339" t="str">
        <f>IFERROR(IF(OR(D36='DICTIONARY-5'!$A$2,D36='DICTIONARY-5'!$A$4,ISBLANK(D36)),VLOOKUP(C36,LIST!$A$6:$L$3250,CURR_1.SEARCH.OLD,0),VLOOKUP(D36,LIST!$B$6:$L$3250,CURR_1.SEARCH.NEW,0)),'DICTIONARY-5'!$A$2)</f>
        <v>887,-</v>
      </c>
      <c r="F36" s="339" t="str">
        <f>IFERROR(IF(OR(D36='DICTIONARY-5'!$A$2,D36='DICTIONARY-5'!$A$4,ISBLANK(D36)),VLOOKUP(C36,LIST!$A$6:$M$3250,CURR_2.SEARCH.OLD,0),VLOOKUP(D36,LIST!$B$6:$M$3250,CURR_2.SEARCH.NEW,0)),'DICTIONARY-5'!$A$2)</f>
        <v/>
      </c>
    </row>
    <row r="37" spans="1:6" x14ac:dyDescent="0.25">
      <c r="A37" s="156">
        <v>200</v>
      </c>
      <c r="B37" s="156">
        <v>10</v>
      </c>
      <c r="C37" s="156" t="s">
        <v>1520</v>
      </c>
      <c r="D37" s="321" t="s">
        <v>4505</v>
      </c>
      <c r="E37" s="339" t="str">
        <f>IFERROR(IF(OR(D37='DICTIONARY-5'!$A$2,D37='DICTIONARY-5'!$A$4,ISBLANK(D37)),VLOOKUP(C37,LIST!$A$6:$L$3250,CURR_1.SEARCH.OLD,0),VLOOKUP(D37,LIST!$B$6:$L$3250,CURR_1.SEARCH.NEW,0)),'DICTIONARY-5'!$A$2)</f>
        <v>1 022,-</v>
      </c>
      <c r="F37" s="339" t="str">
        <f>IFERROR(IF(OR(D37='DICTIONARY-5'!$A$2,D37='DICTIONARY-5'!$A$4,ISBLANK(D37)),VLOOKUP(C37,LIST!$A$6:$M$3250,CURR_2.SEARCH.OLD,0),VLOOKUP(D37,LIST!$B$6:$M$3250,CURR_2.SEARCH.NEW,0)),'DICTIONARY-5'!$A$2)</f>
        <v/>
      </c>
    </row>
    <row r="38" spans="1:6" x14ac:dyDescent="0.25">
      <c r="A38" s="156">
        <v>250</v>
      </c>
      <c r="B38" s="156">
        <v>10</v>
      </c>
      <c r="C38" s="156" t="s">
        <v>1521</v>
      </c>
      <c r="D38" s="321" t="s">
        <v>4511</v>
      </c>
      <c r="E38" s="339" t="str">
        <f>IFERROR(IF(OR(D38='DICTIONARY-5'!$A$2,D38='DICTIONARY-5'!$A$4,ISBLANK(D38)),VLOOKUP(C38,LIST!$A$6:$L$3250,CURR_1.SEARCH.OLD,0),VLOOKUP(D38,LIST!$B$6:$L$3250,CURR_1.SEARCH.NEW,0)),'DICTIONARY-5'!$A$2)</f>
        <v>1 184,-</v>
      </c>
      <c r="F38" s="339" t="str">
        <f>IFERROR(IF(OR(D38='DICTIONARY-5'!$A$2,D38='DICTIONARY-5'!$A$4,ISBLANK(D38)),VLOOKUP(C38,LIST!$A$6:$M$3250,CURR_2.SEARCH.OLD,0),VLOOKUP(D38,LIST!$B$6:$M$3250,CURR_2.SEARCH.NEW,0)),'DICTIONARY-5'!$A$2)</f>
        <v/>
      </c>
    </row>
    <row r="39" spans="1:6" x14ac:dyDescent="0.25">
      <c r="A39" s="156">
        <v>300</v>
      </c>
      <c r="B39" s="156">
        <v>10</v>
      </c>
      <c r="C39" s="156" t="s">
        <v>1522</v>
      </c>
      <c r="D39" s="321" t="s">
        <v>4520</v>
      </c>
      <c r="E39" s="339" t="str">
        <f>IFERROR(IF(OR(D39='DICTIONARY-5'!$A$2,D39='DICTIONARY-5'!$A$4,ISBLANK(D39)),VLOOKUP(C39,LIST!$A$6:$L$3250,CURR_1.SEARCH.OLD,0),VLOOKUP(D39,LIST!$B$6:$L$3250,CURR_1.SEARCH.NEW,0)),'DICTIONARY-5'!$A$2)</f>
        <v>1 543,-</v>
      </c>
      <c r="F39" s="339" t="str">
        <f>IFERROR(IF(OR(D39='DICTIONARY-5'!$A$2,D39='DICTIONARY-5'!$A$4,ISBLANK(D39)),VLOOKUP(C39,LIST!$A$6:$M$3250,CURR_2.SEARCH.OLD,0),VLOOKUP(D39,LIST!$B$6:$M$3250,CURR_2.SEARCH.NEW,0)),'DICTIONARY-5'!$A$2)</f>
        <v/>
      </c>
    </row>
    <row r="40" spans="1:6" x14ac:dyDescent="0.25">
      <c r="A40" s="156">
        <v>400</v>
      </c>
      <c r="B40" s="156">
        <v>10</v>
      </c>
      <c r="C40" s="156" t="s">
        <v>1523</v>
      </c>
      <c r="D40" s="321" t="s">
        <v>4528</v>
      </c>
      <c r="E40" s="339" t="str">
        <f>IFERROR(IF(OR(D40='DICTIONARY-5'!$A$2,D40='DICTIONARY-5'!$A$4,ISBLANK(D40)),VLOOKUP(C40,LIST!$A$6:$L$3250,CURR_1.SEARCH.OLD,0),VLOOKUP(D40,LIST!$B$6:$L$3250,CURR_1.SEARCH.NEW,0)),'DICTIONARY-5'!$A$2)</f>
        <v>2 036,-</v>
      </c>
      <c r="F40" s="339" t="str">
        <f>IFERROR(IF(OR(D40='DICTIONARY-5'!$A$2,D40='DICTIONARY-5'!$A$4,ISBLANK(D40)),VLOOKUP(C40,LIST!$A$6:$M$3250,CURR_2.SEARCH.OLD,0),VLOOKUP(D40,LIST!$B$6:$M$3250,CURR_2.SEARCH.NEW,0)),'DICTIONARY-5'!$A$2)</f>
        <v/>
      </c>
    </row>
    <row r="41" spans="1:6" x14ac:dyDescent="0.25">
      <c r="A41" s="156">
        <v>500</v>
      </c>
      <c r="B41" s="156">
        <v>10</v>
      </c>
      <c r="C41" s="156" t="s">
        <v>1524</v>
      </c>
      <c r="D41" s="321" t="s">
        <v>4535</v>
      </c>
      <c r="E41" s="339" t="str">
        <f>IFERROR(IF(OR(D41='DICTIONARY-5'!$A$2,D41='DICTIONARY-5'!$A$4,ISBLANK(D41)),VLOOKUP(C41,LIST!$A$6:$L$3250,CURR_1.SEARCH.OLD,0),VLOOKUP(D41,LIST!$B$6:$L$3250,CURR_1.SEARCH.NEW,0)),'DICTIONARY-5'!$A$2)</f>
        <v>2 747,-</v>
      </c>
      <c r="F41" s="339" t="str">
        <f>IFERROR(IF(OR(D41='DICTIONARY-5'!$A$2,D41='DICTIONARY-5'!$A$4,ISBLANK(D41)),VLOOKUP(C41,LIST!$A$6:$M$3250,CURR_2.SEARCH.OLD,0),VLOOKUP(D41,LIST!$B$6:$M$3250,CURR_2.SEARCH.NEW,0)),'DICTIONARY-5'!$A$2)</f>
        <v/>
      </c>
    </row>
    <row r="42" spans="1:6" x14ac:dyDescent="0.25">
      <c r="A42" s="156">
        <v>600</v>
      </c>
      <c r="B42" s="156">
        <v>10</v>
      </c>
      <c r="C42" s="156" t="s">
        <v>1525</v>
      </c>
      <c r="D42" s="321" t="s">
        <v>4542</v>
      </c>
      <c r="E42" s="339" t="str">
        <f>IFERROR(IF(OR(D42='DICTIONARY-5'!$A$2,D42='DICTIONARY-5'!$A$4,ISBLANK(D42)),VLOOKUP(C42,LIST!$A$6:$L$3250,CURR_1.SEARCH.OLD,0),VLOOKUP(D42,LIST!$B$6:$L$3250,CURR_1.SEARCH.NEW,0)),'DICTIONARY-5'!$A$2)</f>
        <v>3 291,-</v>
      </c>
      <c r="F42" s="339" t="str">
        <f>IFERROR(IF(OR(D42='DICTIONARY-5'!$A$2,D42='DICTIONARY-5'!$A$4,ISBLANK(D42)),VLOOKUP(C42,LIST!$A$6:$M$3250,CURR_2.SEARCH.OLD,0),VLOOKUP(D42,LIST!$B$6:$M$3250,CURR_2.SEARCH.NEW,0)),'DICTIONARY-5'!$A$2)</f>
        <v/>
      </c>
    </row>
    <row r="43" spans="1:6" x14ac:dyDescent="0.25">
      <c r="A43" s="156">
        <v>700</v>
      </c>
      <c r="B43" s="156">
        <v>10</v>
      </c>
      <c r="C43" s="156" t="s">
        <v>1526</v>
      </c>
      <c r="D43" s="321" t="s">
        <v>4548</v>
      </c>
      <c r="E43" s="339" t="str">
        <f>IFERROR(IF(OR(D43='DICTIONARY-5'!$A$2,D43='DICTIONARY-5'!$A$4,ISBLANK(D43)),VLOOKUP(C43,LIST!$A$6:$L$3250,CURR_1.SEARCH.OLD,0),VLOOKUP(D43,LIST!$B$6:$L$3250,CURR_1.SEARCH.NEW,0)),'DICTIONARY-5'!$A$2)</f>
        <v>3 808,-</v>
      </c>
      <c r="F43" s="339" t="str">
        <f>IFERROR(IF(OR(D43='DICTIONARY-5'!$A$2,D43='DICTIONARY-5'!$A$4,ISBLANK(D43)),VLOOKUP(C43,LIST!$A$6:$M$3250,CURR_2.SEARCH.OLD,0),VLOOKUP(D43,LIST!$B$6:$M$3250,CURR_2.SEARCH.NEW,0)),'DICTIONARY-5'!$A$2)</f>
        <v/>
      </c>
    </row>
    <row r="44" spans="1:6" x14ac:dyDescent="0.25">
      <c r="A44" s="156">
        <v>800</v>
      </c>
      <c r="B44" s="156">
        <v>10</v>
      </c>
      <c r="C44" s="156" t="s">
        <v>1527</v>
      </c>
      <c r="D44" s="321" t="s">
        <v>4554</v>
      </c>
      <c r="E44" s="339" t="str">
        <f>IFERROR(IF(OR(D44='DICTIONARY-5'!$A$2,D44='DICTIONARY-5'!$A$4,ISBLANK(D44)),VLOOKUP(C44,LIST!$A$6:$L$3250,CURR_1.SEARCH.OLD,0),VLOOKUP(D44,LIST!$B$6:$L$3250,CURR_1.SEARCH.NEW,0)),'DICTIONARY-5'!$A$2)</f>
        <v>4 539,-</v>
      </c>
      <c r="F44" s="339" t="str">
        <f>IFERROR(IF(OR(D44='DICTIONARY-5'!$A$2,D44='DICTIONARY-5'!$A$4,ISBLANK(D44)),VLOOKUP(C44,LIST!$A$6:$M$3250,CURR_2.SEARCH.OLD,0),VLOOKUP(D44,LIST!$B$6:$M$3250,CURR_2.SEARCH.NEW,0)),'DICTIONARY-5'!$A$2)</f>
        <v/>
      </c>
    </row>
    <row r="45" spans="1:6" x14ac:dyDescent="0.25">
      <c r="A45" s="156">
        <v>900</v>
      </c>
      <c r="B45" s="156">
        <v>10</v>
      </c>
      <c r="C45" s="156" t="s">
        <v>1528</v>
      </c>
      <c r="D45" s="321" t="s">
        <v>4560</v>
      </c>
      <c r="E45" s="339" t="str">
        <f>IFERROR(IF(OR(D45='DICTIONARY-5'!$A$2,D45='DICTIONARY-5'!$A$4,ISBLANK(D45)),VLOOKUP(C45,LIST!$A$6:$L$3250,CURR_1.SEARCH.OLD,0),VLOOKUP(D45,LIST!$B$6:$L$3250,CURR_1.SEARCH.NEW,0)),'DICTIONARY-5'!$A$2)</f>
        <v>5 425,-</v>
      </c>
      <c r="F45" s="339" t="str">
        <f>IFERROR(IF(OR(D45='DICTIONARY-5'!$A$2,D45='DICTIONARY-5'!$A$4,ISBLANK(D45)),VLOOKUP(C45,LIST!$A$6:$M$3250,CURR_2.SEARCH.OLD,0),VLOOKUP(D45,LIST!$B$6:$M$3250,CURR_2.SEARCH.NEW,0)),'DICTIONARY-5'!$A$2)</f>
        <v/>
      </c>
    </row>
    <row r="46" spans="1:6" x14ac:dyDescent="0.25">
      <c r="A46" s="156">
        <v>1000</v>
      </c>
      <c r="B46" s="156">
        <v>10</v>
      </c>
      <c r="C46" s="156" t="s">
        <v>1529</v>
      </c>
      <c r="D46" s="321" t="s">
        <v>4566</v>
      </c>
      <c r="E46" s="339" t="str">
        <f>IFERROR(IF(OR(D46='DICTIONARY-5'!$A$2,D46='DICTIONARY-5'!$A$4,ISBLANK(D46)),VLOOKUP(C46,LIST!$A$6:$L$3250,CURR_1.SEARCH.OLD,0),VLOOKUP(D46,LIST!$B$6:$L$3250,CURR_1.SEARCH.NEW,0)),'DICTIONARY-5'!$A$2)</f>
        <v>6 648,-</v>
      </c>
      <c r="F46" s="339" t="str">
        <f>IFERROR(IF(OR(D46='DICTIONARY-5'!$A$2,D46='DICTIONARY-5'!$A$4,ISBLANK(D46)),VLOOKUP(C46,LIST!$A$6:$M$3250,CURR_2.SEARCH.OLD,0),VLOOKUP(D46,LIST!$B$6:$M$3250,CURR_2.SEARCH.NEW,0)),'DICTIONARY-5'!$A$2)</f>
        <v/>
      </c>
    </row>
    <row r="47" spans="1:6" x14ac:dyDescent="0.25">
      <c r="A47" s="156">
        <v>1100</v>
      </c>
      <c r="B47" s="156">
        <v>10</v>
      </c>
      <c r="C47" s="156" t="s">
        <v>1530</v>
      </c>
      <c r="D47" s="321" t="s">
        <v>4571</v>
      </c>
      <c r="E47" s="339" t="str">
        <f>IFERROR(IF(OR(D47='DICTIONARY-5'!$A$2,D47='DICTIONARY-5'!$A$4,ISBLANK(D47)),VLOOKUP(C47,LIST!$A$6:$L$3250,CURR_1.SEARCH.OLD,0),VLOOKUP(D47,LIST!$B$6:$L$3250,CURR_1.SEARCH.NEW,0)),'DICTIONARY-5'!$A$2)</f>
        <v>10 479,-</v>
      </c>
      <c r="F47" s="339" t="str">
        <f>IFERROR(IF(OR(D47='DICTIONARY-5'!$A$2,D47='DICTIONARY-5'!$A$4,ISBLANK(D47)),VLOOKUP(C47,LIST!$A$6:$M$3250,CURR_2.SEARCH.OLD,0),VLOOKUP(D47,LIST!$B$6:$M$3250,CURR_2.SEARCH.NEW,0)),'DICTIONARY-5'!$A$2)</f>
        <v/>
      </c>
    </row>
    <row r="48" spans="1:6" x14ac:dyDescent="0.25">
      <c r="A48" s="156">
        <v>1200</v>
      </c>
      <c r="B48" s="156">
        <v>10</v>
      </c>
      <c r="C48" s="156" t="s">
        <v>1531</v>
      </c>
      <c r="D48" s="321" t="s">
        <v>4576</v>
      </c>
      <c r="E48" s="339" t="str">
        <f>IFERROR(IF(OR(D48='DICTIONARY-5'!$A$2,D48='DICTIONARY-5'!$A$4,ISBLANK(D48)),VLOOKUP(C48,LIST!$A$6:$L$3250,CURR_1.SEARCH.OLD,0),VLOOKUP(D48,LIST!$B$6:$L$3250,CURR_1.SEARCH.NEW,0)),'DICTIONARY-5'!$A$2)</f>
        <v>9 345,-</v>
      </c>
      <c r="F48" s="339" t="str">
        <f>IFERROR(IF(OR(D48='DICTIONARY-5'!$A$2,D48='DICTIONARY-5'!$A$4,ISBLANK(D48)),VLOOKUP(C48,LIST!$A$6:$M$3250,CURR_2.SEARCH.OLD,0),VLOOKUP(D48,LIST!$B$6:$M$3250,CURR_2.SEARCH.NEW,0)),'DICTIONARY-5'!$A$2)</f>
        <v/>
      </c>
    </row>
    <row r="49" spans="1:6" x14ac:dyDescent="0.25">
      <c r="A49" s="156">
        <v>1300</v>
      </c>
      <c r="B49" s="156">
        <v>10</v>
      </c>
      <c r="C49" s="156" t="s">
        <v>1532</v>
      </c>
      <c r="D49" s="321" t="s">
        <v>4580</v>
      </c>
      <c r="E49" s="339" t="str">
        <f>IFERROR(IF(OR(D49='DICTIONARY-5'!$A$2,D49='DICTIONARY-5'!$A$4,ISBLANK(D49)),VLOOKUP(C49,LIST!$A$6:$L$3250,CURR_1.SEARCH.OLD,0),VLOOKUP(D49,LIST!$B$6:$L$3250,CURR_1.SEARCH.NEW,0)),'DICTIONARY-5'!$A$2)</f>
        <v>13 202,-</v>
      </c>
      <c r="F49" s="339" t="str">
        <f>IFERROR(IF(OR(D49='DICTIONARY-5'!$A$2,D49='DICTIONARY-5'!$A$4,ISBLANK(D49)),VLOOKUP(C49,LIST!$A$6:$M$3250,CURR_2.SEARCH.OLD,0),VLOOKUP(D49,LIST!$B$6:$M$3250,CURR_2.SEARCH.NEW,0)),'DICTIONARY-5'!$A$2)</f>
        <v/>
      </c>
    </row>
    <row r="50" spans="1:6" x14ac:dyDescent="0.25">
      <c r="A50" s="156">
        <v>1400</v>
      </c>
      <c r="B50" s="156">
        <v>10</v>
      </c>
      <c r="C50" s="156" t="s">
        <v>1533</v>
      </c>
      <c r="D50" s="321" t="s">
        <v>4585</v>
      </c>
      <c r="E50" s="339" t="str">
        <f>IFERROR(IF(OR(D50='DICTIONARY-5'!$A$2,D50='DICTIONARY-5'!$A$4,ISBLANK(D50)),VLOOKUP(C50,LIST!$A$6:$L$3250,CURR_1.SEARCH.OLD,0),VLOOKUP(D50,LIST!$B$6:$L$3250,CURR_1.SEARCH.NEW,0)),'DICTIONARY-5'!$A$2)</f>
        <v>14 310,-</v>
      </c>
      <c r="F50" s="339" t="str">
        <f>IFERROR(IF(OR(D50='DICTIONARY-5'!$A$2,D50='DICTIONARY-5'!$A$4,ISBLANK(D50)),VLOOKUP(C50,LIST!$A$6:$M$3250,CURR_2.SEARCH.OLD,0),VLOOKUP(D50,LIST!$B$6:$M$3250,CURR_2.SEARCH.NEW,0)),'DICTIONARY-5'!$A$2)</f>
        <v/>
      </c>
    </row>
    <row r="51" spans="1:6" x14ac:dyDescent="0.25">
      <c r="A51" s="156">
        <v>1500</v>
      </c>
      <c r="B51" s="156">
        <v>10</v>
      </c>
      <c r="C51" s="156" t="s">
        <v>1534</v>
      </c>
      <c r="D51" s="321" t="s">
        <v>4590</v>
      </c>
      <c r="E51" s="339" t="str">
        <f>IFERROR(IF(OR(D51='DICTIONARY-5'!$A$2,D51='DICTIONARY-5'!$A$4,ISBLANK(D51)),VLOOKUP(C51,LIST!$A$6:$L$3250,CURR_1.SEARCH.OLD,0),VLOOKUP(D51,LIST!$B$6:$L$3250,CURR_1.SEARCH.NEW,0)),'DICTIONARY-5'!$A$2)</f>
        <v>15 291,-</v>
      </c>
      <c r="F51" s="339" t="str">
        <f>IFERROR(IF(OR(D51='DICTIONARY-5'!$A$2,D51='DICTIONARY-5'!$A$4,ISBLANK(D51)),VLOOKUP(C51,LIST!$A$6:$M$3250,CURR_2.SEARCH.OLD,0),VLOOKUP(D51,LIST!$B$6:$M$3250,CURR_2.SEARCH.NEW,0)),'DICTIONARY-5'!$A$2)</f>
        <v/>
      </c>
    </row>
    <row r="52" spans="1:6" x14ac:dyDescent="0.25">
      <c r="A52" s="156">
        <v>1600</v>
      </c>
      <c r="B52" s="156">
        <v>10</v>
      </c>
      <c r="C52" s="156" t="s">
        <v>1535</v>
      </c>
      <c r="D52" s="321" t="s">
        <v>4595</v>
      </c>
      <c r="E52" s="339" t="str">
        <f>IFERROR(IF(OR(D52='DICTIONARY-5'!$A$2,D52='DICTIONARY-5'!$A$4,ISBLANK(D52)),VLOOKUP(C52,LIST!$A$6:$L$3250,CURR_1.SEARCH.OLD,0),VLOOKUP(D52,LIST!$B$6:$L$3250,CURR_1.SEARCH.NEW,0)),'DICTIONARY-5'!$A$2)</f>
        <v>18 519,-</v>
      </c>
      <c r="F52" s="339" t="str">
        <f>IFERROR(IF(OR(D52='DICTIONARY-5'!$A$2,D52='DICTIONARY-5'!$A$4,ISBLANK(D52)),VLOOKUP(C52,LIST!$A$6:$M$3250,CURR_2.SEARCH.OLD,0),VLOOKUP(D52,LIST!$B$6:$M$3250,CURR_2.SEARCH.NEW,0)),'DICTIONARY-5'!$A$2)</f>
        <v/>
      </c>
    </row>
    <row r="53" spans="1:6" x14ac:dyDescent="0.25">
      <c r="A53" s="156">
        <v>1800</v>
      </c>
      <c r="B53" s="156">
        <v>10</v>
      </c>
      <c r="C53" s="156" t="s">
        <v>1536</v>
      </c>
      <c r="D53" s="321" t="s">
        <v>4600</v>
      </c>
      <c r="E53" s="339" t="str">
        <f>IFERROR(IF(OR(D53='DICTIONARY-5'!$A$2,D53='DICTIONARY-5'!$A$4,ISBLANK(D53)),VLOOKUP(C53,LIST!$A$6:$L$3250,CURR_1.SEARCH.OLD,0),VLOOKUP(D53,LIST!$B$6:$L$3250,CURR_1.SEARCH.NEW,0)),'DICTIONARY-5'!$A$2)</f>
        <v>21 907,-</v>
      </c>
      <c r="F53" s="339" t="str">
        <f>IFERROR(IF(OR(D53='DICTIONARY-5'!$A$2,D53='DICTIONARY-5'!$A$4,ISBLANK(D53)),VLOOKUP(C53,LIST!$A$6:$M$3250,CURR_2.SEARCH.OLD,0),VLOOKUP(D53,LIST!$B$6:$M$3250,CURR_2.SEARCH.NEW,0)),'DICTIONARY-5'!$A$2)</f>
        <v/>
      </c>
    </row>
    <row r="54" spans="1:6" x14ac:dyDescent="0.25">
      <c r="A54" s="156">
        <v>2000</v>
      </c>
      <c r="B54" s="156">
        <v>10</v>
      </c>
      <c r="C54" s="156" t="s">
        <v>1537</v>
      </c>
      <c r="D54" s="321" t="s">
        <v>4608</v>
      </c>
      <c r="E54" s="339" t="str">
        <f>IFERROR(IF(OR(D54='DICTIONARY-5'!$A$2,D54='DICTIONARY-5'!$A$4,ISBLANK(D54)),VLOOKUP(C54,LIST!$A$6:$L$3250,CURR_1.SEARCH.OLD,0),VLOOKUP(D54,LIST!$B$6:$L$3250,CURR_1.SEARCH.NEW,0)),'DICTIONARY-5'!$A$2)</f>
        <v>27 178,-</v>
      </c>
      <c r="F54" s="339" t="str">
        <f>IFERROR(IF(OR(D54='DICTIONARY-5'!$A$2,D54='DICTIONARY-5'!$A$4,ISBLANK(D54)),VLOOKUP(C54,LIST!$A$6:$M$3250,CURR_2.SEARCH.OLD,0),VLOOKUP(D54,LIST!$B$6:$M$3250,CURR_2.SEARCH.NEW,0)),'DICTIONARY-5'!$A$2)</f>
        <v/>
      </c>
    </row>
    <row r="56" spans="1:6" x14ac:dyDescent="0.25">
      <c r="A56" s="168" t="str">
        <f>'DICTIONARY-5'!$A$143</f>
        <v>Klapa PWK-F moze być wyposażona w urządzenie do napowietrzania dla powietrza wlotowego i wylotowego</v>
      </c>
    </row>
  </sheetData>
  <sheetProtection algorithmName="SHA-512" hashValue="j4NUdC+ahRmUvK/XxU6QjJ+l150lbf+fX39YbE2IerO6XmQaVLGOPQVTG5+K0dldU4d+48bu0XbmQAV1Qj/T3Q==" saltValue="k95HVprMalG0LdlgvBqhdw==" spinCount="100000" sheet="1" objects="1" scenarios="1" autoFilter="0"/>
  <mergeCells count="5">
    <mergeCell ref="B4:E4"/>
    <mergeCell ref="C9:F9"/>
    <mergeCell ref="C33:F33"/>
    <mergeCell ref="C10:F10"/>
    <mergeCell ref="C34:F3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3">
    <tabColor rgb="FF0F6E23"/>
  </sheetPr>
  <dimension ref="A1:K47"/>
  <sheetViews>
    <sheetView workbookViewId="0"/>
  </sheetViews>
  <sheetFormatPr defaultColWidth="9.140625" defaultRowHeight="15" x14ac:dyDescent="0.25"/>
  <cols>
    <col min="1" max="3" width="9.140625" style="175"/>
    <col min="4" max="5" width="22.140625" style="175" customWidth="1"/>
    <col min="6" max="7" width="12.85546875" style="176" customWidth="1"/>
    <col min="8" max="8" width="22" style="176" customWidth="1"/>
    <col min="9" max="9" width="22" style="175" customWidth="1"/>
    <col min="10" max="11" width="12.85546875" style="176" customWidth="1"/>
    <col min="12" max="16384" width="9.140625" style="177"/>
  </cols>
  <sheetData>
    <row r="1" spans="1:11" s="405" customFormat="1" ht="45" customHeight="1" thickBot="1" x14ac:dyDescent="0.3">
      <c r="A1" s="429"/>
      <c r="B1" s="429"/>
      <c r="C1" s="429"/>
      <c r="D1" s="429"/>
      <c r="E1" s="429"/>
      <c r="F1" s="407"/>
      <c r="G1" s="407"/>
      <c r="H1" s="407"/>
      <c r="I1" s="406"/>
      <c r="J1" s="407"/>
      <c r="K1" s="407"/>
    </row>
    <row r="2" spans="1:11" s="463" customFormat="1" ht="4.5" customHeight="1" x14ac:dyDescent="0.25">
      <c r="A2" s="462"/>
      <c r="B2" s="464"/>
      <c r="C2" s="464"/>
      <c r="D2" s="464"/>
      <c r="E2" s="464"/>
      <c r="F2" s="465"/>
      <c r="G2" s="465"/>
      <c r="H2" s="465"/>
      <c r="I2" s="464"/>
      <c r="J2" s="465"/>
      <c r="K2" s="465"/>
    </row>
    <row r="3" spans="1:11" ht="15.75" thickBot="1" x14ac:dyDescent="0.3">
      <c r="A3" s="178"/>
      <c r="B3" s="179"/>
      <c r="C3" s="179"/>
      <c r="D3" s="179"/>
    </row>
    <row r="4" spans="1:11" ht="15.75" thickBot="1" x14ac:dyDescent="0.3">
      <c r="A4" s="823">
        <f>ADD.DISCOUNT</f>
        <v>0</v>
      </c>
      <c r="B4" s="933" t="str">
        <f>HYPERLINK("#'LIST'!ADD.DISCOUNT","» "&amp;'DICTIONARY-1'!$A$5)</f>
        <v>» Ustaw globalny dodatkowy rabat</v>
      </c>
      <c r="C4" s="1017"/>
      <c r="D4" s="1017"/>
      <c r="E4" s="1018"/>
    </row>
    <row r="5" spans="1:11" x14ac:dyDescent="0.25">
      <c r="A5" s="178"/>
      <c r="B5" s="179"/>
      <c r="C5" s="179"/>
      <c r="D5" s="179"/>
    </row>
    <row r="6" spans="1:11" ht="16.5" thickBot="1" x14ac:dyDescent="0.3">
      <c r="A6" s="712" t="str">
        <f>CONCATENATE('DICTIONARY-3'!$A$145," ",'DICTIONARY-3'!$A$204)</f>
        <v>EKN H Przepustnica kołnierzowa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81" t="str">
        <f>'DICTIONARY-3'!$A$326</f>
        <v>Z przekładnią i kółkiem ręcznym</v>
      </c>
    </row>
    <row r="8" spans="1:11" x14ac:dyDescent="0.25">
      <c r="A8" s="181" t="str">
        <f>CONCATENATE('DICTIONARY-1'!$A$10,": ",SETTINGS!$C$41)</f>
        <v>Grupa rabatowa: EKN (≤DN600)</v>
      </c>
    </row>
    <row r="9" spans="1:11" x14ac:dyDescent="0.25">
      <c r="A9" s="182"/>
      <c r="I9" s="177"/>
      <c r="J9" s="177"/>
      <c r="K9" s="177"/>
    </row>
    <row r="10" spans="1:11" x14ac:dyDescent="0.25">
      <c r="A10" s="183" t="str">
        <f>'DICTIONARY-2'!$A$2</f>
        <v>DN</v>
      </c>
      <c r="B10" s="183" t="str">
        <f>'DICTIONARY-2'!$A$24</f>
        <v>L</v>
      </c>
      <c r="C10" s="183" t="str">
        <f>'DICTIONARY-2'!$A$3</f>
        <v>PN</v>
      </c>
      <c r="D10" s="1020" t="str">
        <f>'DICTIONARY-3'!$A$145</f>
        <v>EKN H</v>
      </c>
      <c r="E10" s="1020"/>
      <c r="F10" s="1020"/>
      <c r="G10" s="1020"/>
      <c r="H10" s="1020" t="str">
        <f>'DICTIONARY-3'!$A$145</f>
        <v>EKN H</v>
      </c>
      <c r="I10" s="1020"/>
      <c r="J10" s="1020"/>
      <c r="K10" s="1020"/>
    </row>
    <row r="11" spans="1:11" ht="15" customHeight="1" x14ac:dyDescent="0.25">
      <c r="A11" s="184"/>
      <c r="B11" s="184"/>
      <c r="C11" s="184"/>
      <c r="D11" s="1019" t="str">
        <f>LOWER('DICTIONARY-3'!$A$352)&amp;" AUMA GSH "&amp;'DICTIONARY-5'!$A$83</f>
        <v>przekładnia AUMA GSH z kółkiem stalowym</v>
      </c>
      <c r="E11" s="1019"/>
      <c r="F11" s="1019"/>
      <c r="G11" s="1019"/>
      <c r="H11" s="1019" t="str">
        <f>LOWER('DICTIONARY-3'!$A$352)&amp;" AUMA GQB "&amp;'DICTIONARY-5'!$A$83</f>
        <v>przekładnia AUMA GQB z kółkiem stalowym</v>
      </c>
      <c r="I11" s="1019"/>
      <c r="J11" s="1019"/>
      <c r="K11" s="1019"/>
    </row>
    <row r="12" spans="1:11" x14ac:dyDescent="0.25">
      <c r="A12" s="184"/>
      <c r="B12" s="184" t="str">
        <f>'DICTIONARY-2'!$A$18</f>
        <v>[mm]</v>
      </c>
      <c r="C12" s="184"/>
      <c r="D12" s="185" t="str">
        <f>'DICTIONARY-2'!$A$28</f>
        <v>stary nr zamówienia</v>
      </c>
      <c r="E12" s="185" t="str">
        <f>'DICTIONARY-2'!$A$29</f>
        <v>nowy nr zamówienia</v>
      </c>
      <c r="F12" s="186" t="str">
        <f>CURRENCY.CODE_1</f>
        <v>EUR</v>
      </c>
      <c r="G12" s="186" t="str">
        <f>CURRENCY.CODE_2</f>
        <v>---</v>
      </c>
      <c r="H12" s="185" t="str">
        <f>'DICTIONARY-2'!$A$28</f>
        <v>stary nr zamówienia</v>
      </c>
      <c r="I12" s="185" t="str">
        <f>'DICTIONARY-2'!$A$29</f>
        <v>nowy nr zamówienia</v>
      </c>
      <c r="J12" s="186" t="str">
        <f>CURRENCY.CODE_1</f>
        <v>EUR</v>
      </c>
      <c r="K12" s="186" t="str">
        <f>CURRENCY.CODE_2</f>
        <v>---</v>
      </c>
    </row>
    <row r="13" spans="1:11" x14ac:dyDescent="0.25">
      <c r="A13" s="187">
        <v>150</v>
      </c>
      <c r="B13" s="187">
        <v>210</v>
      </c>
      <c r="C13" s="341" t="s">
        <v>85</v>
      </c>
      <c r="D13" s="498" t="s">
        <v>7888</v>
      </c>
      <c r="E13" s="316" t="s">
        <v>7889</v>
      </c>
      <c r="F13" s="339" t="str">
        <f>IFERROR(IF(OR(E13='DICTIONARY-5'!$A$2,E13='DICTIONARY-5'!$A$4,ISBLANK(E13)),VLOOKUP(C13,LIST!$A$6:$L$3250,CURR_1.SEARCH.OLD,0),VLOOKUP(E13,LIST!$B$6:$L$3250,CURR_1.SEARCH.NEW,0)),'DICTIONARY-5'!$A$2)</f>
        <v>1 281,-</v>
      </c>
      <c r="G13" s="339" t="str">
        <f>IFERROR(IF(OR(E13='DICTIONARY-5'!$A$2,E13='DICTIONARY-5'!$A$4,ISBLANK(E13)),VLOOKUP(C13,LIST!$A$6:$M$3250,CURR_2.SEARCH.OLD,0),VLOOKUP(E13,LIST!$B$6:$M$3250,CURR_2.SEARCH.NEW,0)),'DICTIONARY-5'!$A$2)</f>
        <v/>
      </c>
      <c r="H13" s="498"/>
      <c r="I13" s="719"/>
      <c r="J13" s="339"/>
      <c r="K13" s="339"/>
    </row>
    <row r="14" spans="1:11" x14ac:dyDescent="0.25">
      <c r="A14" s="187">
        <v>200</v>
      </c>
      <c r="B14" s="187">
        <v>230</v>
      </c>
      <c r="C14" s="187">
        <v>10</v>
      </c>
      <c r="D14" s="498" t="s">
        <v>7890</v>
      </c>
      <c r="E14" s="316" t="s">
        <v>7891</v>
      </c>
      <c r="F14" s="339" t="str">
        <f>IFERROR(IF(OR(E14='DICTIONARY-5'!$A$2,E14='DICTIONARY-5'!$A$4,ISBLANK(E14)),VLOOKUP(C14,LIST!$A$6:$L$3250,CURR_1.SEARCH.OLD,0),VLOOKUP(E14,LIST!$B$6:$L$3250,CURR_1.SEARCH.NEW,0)),'DICTIONARY-5'!$A$2)</f>
        <v>1 507,-</v>
      </c>
      <c r="G14" s="339" t="str">
        <f>IFERROR(IF(OR(E14='DICTIONARY-5'!$A$2,E14='DICTIONARY-5'!$A$4,ISBLANK(E14)),VLOOKUP(C14,LIST!$A$6:$M$3250,CURR_2.SEARCH.OLD,0),VLOOKUP(E14,LIST!$B$6:$M$3250,CURR_2.SEARCH.NEW,0)),'DICTIONARY-5'!$A$2)</f>
        <v/>
      </c>
      <c r="H14" s="498"/>
      <c r="I14" s="719"/>
      <c r="J14" s="339"/>
      <c r="K14" s="339"/>
    </row>
    <row r="15" spans="1:11" x14ac:dyDescent="0.25">
      <c r="A15" s="187">
        <v>200</v>
      </c>
      <c r="B15" s="187">
        <v>230</v>
      </c>
      <c r="C15" s="187">
        <v>16</v>
      </c>
      <c r="D15" s="498" t="s">
        <v>7892</v>
      </c>
      <c r="E15" s="316" t="s">
        <v>7893</v>
      </c>
      <c r="F15" s="339" t="str">
        <f>IFERROR(IF(OR(E15='DICTIONARY-5'!$A$2,E15='DICTIONARY-5'!$A$4,ISBLANK(E15)),VLOOKUP(C15,LIST!$A$6:$L$3250,CURR_1.SEARCH.OLD,0),VLOOKUP(E15,LIST!$B$6:$L$3250,CURR_1.SEARCH.NEW,0)),'DICTIONARY-5'!$A$2)</f>
        <v>1 521,-</v>
      </c>
      <c r="G15" s="339" t="str">
        <f>IFERROR(IF(OR(E15='DICTIONARY-5'!$A$2,E15='DICTIONARY-5'!$A$4,ISBLANK(E15)),VLOOKUP(C15,LIST!$A$6:$M$3250,CURR_2.SEARCH.OLD,0),VLOOKUP(E15,LIST!$B$6:$M$3250,CURR_2.SEARCH.NEW,0)),'DICTIONARY-5'!$A$2)</f>
        <v/>
      </c>
      <c r="H15" s="498"/>
      <c r="I15" s="719"/>
      <c r="J15" s="339"/>
      <c r="K15" s="339"/>
    </row>
    <row r="16" spans="1:11" x14ac:dyDescent="0.25">
      <c r="A16" s="187">
        <v>250</v>
      </c>
      <c r="B16" s="187">
        <v>250</v>
      </c>
      <c r="C16" s="187">
        <v>10</v>
      </c>
      <c r="D16" s="498" t="s">
        <v>7894</v>
      </c>
      <c r="E16" s="316" t="s">
        <v>7895</v>
      </c>
      <c r="F16" s="339" t="str">
        <f>IFERROR(IF(OR(E16='DICTIONARY-5'!$A$2,E16='DICTIONARY-5'!$A$4,ISBLANK(E16)),VLOOKUP(C16,LIST!$A$6:$L$3250,CURR_1.SEARCH.OLD,0),VLOOKUP(E16,LIST!$B$6:$L$3250,CURR_1.SEARCH.NEW,0)),'DICTIONARY-5'!$A$2)</f>
        <v>1 697,-</v>
      </c>
      <c r="G16" s="339" t="str">
        <f>IFERROR(IF(OR(E16='DICTIONARY-5'!$A$2,E16='DICTIONARY-5'!$A$4,ISBLANK(E16)),VLOOKUP(C16,LIST!$A$6:$M$3250,CURR_2.SEARCH.OLD,0),VLOOKUP(E16,LIST!$B$6:$M$3250,CURR_2.SEARCH.NEW,0)),'DICTIONARY-5'!$A$2)</f>
        <v/>
      </c>
      <c r="H16" s="498"/>
      <c r="I16" s="719"/>
      <c r="J16" s="339"/>
      <c r="K16" s="339"/>
    </row>
    <row r="17" spans="1:11" x14ac:dyDescent="0.25">
      <c r="A17" s="187">
        <v>250</v>
      </c>
      <c r="B17" s="187">
        <v>250</v>
      </c>
      <c r="C17" s="187">
        <v>16</v>
      </c>
      <c r="D17" s="498" t="s">
        <v>7896</v>
      </c>
      <c r="E17" s="316" t="s">
        <v>7897</v>
      </c>
      <c r="F17" s="339" t="str">
        <f>IFERROR(IF(OR(E17='DICTIONARY-5'!$A$2,E17='DICTIONARY-5'!$A$4,ISBLANK(E17)),VLOOKUP(C17,LIST!$A$6:$L$3250,CURR_1.SEARCH.OLD,0),VLOOKUP(E17,LIST!$B$6:$L$3250,CURR_1.SEARCH.NEW,0)),'DICTIONARY-5'!$A$2)</f>
        <v>1 717,-</v>
      </c>
      <c r="G17" s="339" t="str">
        <f>IFERROR(IF(OR(E17='DICTIONARY-5'!$A$2,E17='DICTIONARY-5'!$A$4,ISBLANK(E17)),VLOOKUP(C17,LIST!$A$6:$M$3250,CURR_2.SEARCH.OLD,0),VLOOKUP(E17,LIST!$B$6:$M$3250,CURR_2.SEARCH.NEW,0)),'DICTIONARY-5'!$A$2)</f>
        <v/>
      </c>
      <c r="H17" s="498"/>
      <c r="I17" s="719"/>
      <c r="J17" s="339"/>
      <c r="K17" s="339"/>
    </row>
    <row r="18" spans="1:11" x14ac:dyDescent="0.25">
      <c r="A18" s="187">
        <v>300</v>
      </c>
      <c r="B18" s="187">
        <v>270</v>
      </c>
      <c r="C18" s="187">
        <v>10</v>
      </c>
      <c r="D18" s="498" t="s">
        <v>7898</v>
      </c>
      <c r="E18" s="316" t="s">
        <v>7899</v>
      </c>
      <c r="F18" s="339" t="str">
        <f>IFERROR(IF(OR(E18='DICTIONARY-5'!$A$2,E18='DICTIONARY-5'!$A$4,ISBLANK(E18)),VLOOKUP(C18,LIST!$A$6:$L$3250,CURR_1.SEARCH.OLD,0),VLOOKUP(E18,LIST!$B$6:$L$3250,CURR_1.SEARCH.NEW,0)),'DICTIONARY-5'!$A$2)</f>
        <v>2 001,-</v>
      </c>
      <c r="G18" s="339" t="str">
        <f>IFERROR(IF(OR(E18='DICTIONARY-5'!$A$2,E18='DICTIONARY-5'!$A$4,ISBLANK(E18)),VLOOKUP(C18,LIST!$A$6:$M$3250,CURR_2.SEARCH.OLD,0),VLOOKUP(E18,LIST!$B$6:$M$3250,CURR_2.SEARCH.NEW,0)),'DICTIONARY-5'!$A$2)</f>
        <v/>
      </c>
      <c r="H18" s="498"/>
      <c r="I18" s="719"/>
      <c r="J18" s="339"/>
      <c r="K18" s="339"/>
    </row>
    <row r="19" spans="1:11" x14ac:dyDescent="0.25">
      <c r="A19" s="187">
        <v>300</v>
      </c>
      <c r="B19" s="187">
        <v>270</v>
      </c>
      <c r="C19" s="187">
        <v>16</v>
      </c>
      <c r="D19" s="498" t="s">
        <v>7900</v>
      </c>
      <c r="E19" s="316" t="s">
        <v>7901</v>
      </c>
      <c r="F19" s="339" t="str">
        <f>IFERROR(IF(OR(E19='DICTIONARY-5'!$A$2,E19='DICTIONARY-5'!$A$4,ISBLANK(E19)),VLOOKUP(C19,LIST!$A$6:$L$3250,CURR_1.SEARCH.OLD,0),VLOOKUP(E19,LIST!$B$6:$L$3250,CURR_1.SEARCH.NEW,0)),'DICTIONARY-5'!$A$2)</f>
        <v>2 022,-</v>
      </c>
      <c r="G19" s="339" t="str">
        <f>IFERROR(IF(OR(E19='DICTIONARY-5'!$A$2,E19='DICTIONARY-5'!$A$4,ISBLANK(E19)),VLOOKUP(C19,LIST!$A$6:$M$3250,CURR_2.SEARCH.OLD,0),VLOOKUP(E19,LIST!$B$6:$M$3250,CURR_2.SEARCH.NEW,0)),'DICTIONARY-5'!$A$2)</f>
        <v/>
      </c>
      <c r="H19" s="498"/>
      <c r="I19" s="719"/>
      <c r="J19" s="339"/>
      <c r="K19" s="339"/>
    </row>
    <row r="20" spans="1:11" x14ac:dyDescent="0.25">
      <c r="A20" s="187">
        <v>350</v>
      </c>
      <c r="B20" s="187">
        <v>290</v>
      </c>
      <c r="C20" s="187">
        <v>10</v>
      </c>
      <c r="D20" s="498" t="s">
        <v>7902</v>
      </c>
      <c r="E20" s="316" t="s">
        <v>7903</v>
      </c>
      <c r="F20" s="339" t="str">
        <f>IFERROR(IF(OR(E20='DICTIONARY-5'!$A$2,E20='DICTIONARY-5'!$A$4,ISBLANK(E20)),VLOOKUP(C20,LIST!$A$6:$L$3250,CURR_1.SEARCH.OLD,0),VLOOKUP(E20,LIST!$B$6:$L$3250,CURR_1.SEARCH.NEW,0)),'DICTIONARY-5'!$A$2)</f>
        <v>2 391,-</v>
      </c>
      <c r="G20" s="339" t="str">
        <f>IFERROR(IF(OR(E20='DICTIONARY-5'!$A$2,E20='DICTIONARY-5'!$A$4,ISBLANK(E20)),VLOOKUP(C20,LIST!$A$6:$M$3250,CURR_2.SEARCH.OLD,0),VLOOKUP(E20,LIST!$B$6:$M$3250,CURR_2.SEARCH.NEW,0)),'DICTIONARY-5'!$A$2)</f>
        <v/>
      </c>
      <c r="H20" s="498"/>
      <c r="I20" s="719"/>
      <c r="J20" s="339"/>
      <c r="K20" s="339"/>
    </row>
    <row r="21" spans="1:11" x14ac:dyDescent="0.25">
      <c r="A21" s="187">
        <v>350</v>
      </c>
      <c r="B21" s="187">
        <v>290</v>
      </c>
      <c r="C21" s="187">
        <v>16</v>
      </c>
      <c r="D21" s="175" t="s">
        <v>7904</v>
      </c>
      <c r="E21" s="316" t="s">
        <v>7905</v>
      </c>
      <c r="F21" s="339" t="str">
        <f>IFERROR(IF(OR(E21='DICTIONARY-5'!$A$2,E21='DICTIONARY-5'!$A$4,ISBLANK(E21)),VLOOKUP(C21,LIST!$A$6:$L$3250,CURR_1.SEARCH.OLD,0),VLOOKUP(E21,LIST!$B$6:$L$3250,CURR_1.SEARCH.NEW,0)),'DICTIONARY-5'!$A$2)</f>
        <v>2 562,-</v>
      </c>
      <c r="G21" s="339" t="str">
        <f>IFERROR(IF(OR(E21='DICTIONARY-5'!$A$2,E21='DICTIONARY-5'!$A$4,ISBLANK(E21)),VLOOKUP(C21,LIST!$A$6:$M$3250,CURR_2.SEARCH.OLD,0),VLOOKUP(E21,LIST!$B$6:$M$3250,CURR_2.SEARCH.NEW,0)),'DICTIONARY-5'!$A$2)</f>
        <v/>
      </c>
      <c r="H21" s="175"/>
      <c r="I21" s="719"/>
      <c r="J21" s="339"/>
      <c r="K21" s="339"/>
    </row>
    <row r="22" spans="1:11" x14ac:dyDescent="0.25">
      <c r="A22" s="187">
        <v>400</v>
      </c>
      <c r="B22" s="187">
        <v>310</v>
      </c>
      <c r="C22" s="187">
        <v>10</v>
      </c>
      <c r="D22" s="498" t="s">
        <v>7906</v>
      </c>
      <c r="E22" s="316" t="s">
        <v>7907</v>
      </c>
      <c r="F22" s="339" t="str">
        <f>IFERROR(IF(OR(E22='DICTIONARY-5'!$A$2,E22='DICTIONARY-5'!$A$4,ISBLANK(E22)),VLOOKUP(C22,LIST!$A$6:$L$3250,CURR_1.SEARCH.OLD,0),VLOOKUP(E22,LIST!$B$6:$L$3250,CURR_1.SEARCH.NEW,0)),'DICTIONARY-5'!$A$2)</f>
        <v>2 732,-</v>
      </c>
      <c r="G22" s="339" t="str">
        <f>IFERROR(IF(OR(E22='DICTIONARY-5'!$A$2,E22='DICTIONARY-5'!$A$4,ISBLANK(E22)),VLOOKUP(C22,LIST!$A$6:$M$3250,CURR_2.SEARCH.OLD,0),VLOOKUP(E22,LIST!$B$6:$M$3250,CURR_2.SEARCH.NEW,0)),'DICTIONARY-5'!$A$2)</f>
        <v/>
      </c>
      <c r="H22" s="498"/>
      <c r="I22" s="719"/>
      <c r="J22" s="339"/>
      <c r="K22" s="339"/>
    </row>
    <row r="23" spans="1:11" x14ac:dyDescent="0.25">
      <c r="A23" s="187">
        <v>400</v>
      </c>
      <c r="B23" s="187">
        <v>310</v>
      </c>
      <c r="C23" s="187">
        <v>16</v>
      </c>
      <c r="D23" s="498"/>
      <c r="E23" s="316"/>
      <c r="F23" s="339"/>
      <c r="G23" s="339"/>
      <c r="H23" s="498" t="s">
        <v>7908</v>
      </c>
      <c r="I23" s="719" t="s">
        <v>7909</v>
      </c>
      <c r="J23" s="339" t="str">
        <f>IFERROR(IF(OR(I23='DICTIONARY-5'!$A$2,I23='DICTIONARY-5'!$A$4,ISBLANK(I23)),VLOOKUP(#REF!,LIST!$A$6:$L$3250,CURR_1.SEARCH.OLD,0),VLOOKUP(I23,LIST!$B$6:$L$3250,CURR_1.SEARCH.NEW,0)),'DICTIONARY-5'!$A$2)</f>
        <v>3 067,-</v>
      </c>
      <c r="K23" s="339" t="str">
        <f>IFERROR(IF(OR(I23='DICTIONARY-5'!$A$2,I23='DICTIONARY-5'!$A$4,ISBLANK(I23)),VLOOKUP(#REF!,LIST!$A$6:$M$3250,CURR_2.SEARCH.OLD,0),VLOOKUP(I23,LIST!$B$6:$M$3250,CURR_2.SEARCH.NEW,0)),'DICTIONARY-5'!$A$2)</f>
        <v/>
      </c>
    </row>
    <row r="24" spans="1:11" x14ac:dyDescent="0.25">
      <c r="A24" s="187">
        <v>450</v>
      </c>
      <c r="B24" s="187">
        <v>330</v>
      </c>
      <c r="C24" s="187">
        <v>10</v>
      </c>
      <c r="D24" s="498"/>
      <c r="E24" s="316"/>
      <c r="F24" s="339"/>
      <c r="G24" s="339"/>
      <c r="H24" s="498" t="str">
        <f>'DICTIONARY-5'!$A$2</f>
        <v>na zapytanie</v>
      </c>
      <c r="I24" s="719" t="str">
        <f>'DICTIONARY-5'!$A$2</f>
        <v>na zapytanie</v>
      </c>
      <c r="J24" s="339" t="str">
        <f>IFERROR(IF(OR(I24='DICTIONARY-5'!$A$2,I24='DICTIONARY-5'!$A$4,ISBLANK(I24)),VLOOKUP(#REF!,LIST!$A$6:$L$3250,CURR_1.SEARCH.OLD,0),VLOOKUP(I24,LIST!$B$6:$L$3250,CURR_1.SEARCH.NEW,0)),'DICTIONARY-5'!$A$2)</f>
        <v>na zapytanie</v>
      </c>
      <c r="K24" s="339" t="str">
        <f>IFERROR(IF(OR(I24='DICTIONARY-5'!$A$2,I24='DICTIONARY-5'!$A$4,ISBLANK(I24)),VLOOKUP(#REF!,LIST!$A$6:$M$3250,CURR_2.SEARCH.OLD,0),VLOOKUP(I24,LIST!$B$6:$M$3250,CURR_2.SEARCH.NEW,0)),'DICTIONARY-5'!$A$2)</f>
        <v>na zapytanie</v>
      </c>
    </row>
    <row r="25" spans="1:11" x14ac:dyDescent="0.25">
      <c r="A25" s="187">
        <v>450</v>
      </c>
      <c r="B25" s="187">
        <v>330</v>
      </c>
      <c r="C25" s="187">
        <v>16</v>
      </c>
      <c r="D25" s="498"/>
      <c r="E25" s="316"/>
      <c r="F25" s="339"/>
      <c r="G25" s="339"/>
      <c r="H25" s="498" t="s">
        <v>7910</v>
      </c>
      <c r="I25" s="719" t="s">
        <v>7911</v>
      </c>
      <c r="J25" s="339" t="str">
        <f>IFERROR(IF(OR(I25='DICTIONARY-5'!$A$2,I25='DICTIONARY-5'!$A$4,ISBLANK(I25)),VLOOKUP(#REF!,LIST!$A$6:$L$3250,CURR_1.SEARCH.OLD,0),VLOOKUP(I25,LIST!$B$6:$L$3250,CURR_1.SEARCH.NEW,0)),'DICTIONARY-5'!$A$2)</f>
        <v>3 451,-</v>
      </c>
      <c r="K25" s="339" t="str">
        <f>IFERROR(IF(OR(I25='DICTIONARY-5'!$A$2,I25='DICTIONARY-5'!$A$4,ISBLANK(I25)),VLOOKUP(#REF!,LIST!$A$6:$M$3250,CURR_2.SEARCH.OLD,0),VLOOKUP(I25,LIST!$B$6:$M$3250,CURR_2.SEARCH.NEW,0)),'DICTIONARY-5'!$A$2)</f>
        <v/>
      </c>
    </row>
    <row r="26" spans="1:11" x14ac:dyDescent="0.25">
      <c r="A26" s="187">
        <v>500</v>
      </c>
      <c r="B26" s="187">
        <v>350</v>
      </c>
      <c r="C26" s="187">
        <v>10</v>
      </c>
      <c r="D26" s="498"/>
      <c r="E26" s="316"/>
      <c r="F26" s="339"/>
      <c r="G26" s="339"/>
      <c r="H26" s="498" t="s">
        <v>7912</v>
      </c>
      <c r="I26" s="719" t="s">
        <v>7913</v>
      </c>
      <c r="J26" s="339" t="str">
        <f>IFERROR(IF(OR(I26='DICTIONARY-5'!$A$2,I26='DICTIONARY-5'!$A$4,ISBLANK(I26)),VLOOKUP(#REF!,LIST!$A$6:$L$3250,CURR_1.SEARCH.OLD,0),VLOOKUP(I26,LIST!$B$6:$L$3250,CURR_1.SEARCH.NEW,0)),'DICTIONARY-5'!$A$2)</f>
        <v>3 369,-</v>
      </c>
      <c r="K26" s="339" t="str">
        <f>IFERROR(IF(OR(I26='DICTIONARY-5'!$A$2,I26='DICTIONARY-5'!$A$4,ISBLANK(I26)),VLOOKUP(#REF!,LIST!$A$6:$M$3250,CURR_2.SEARCH.OLD,0),VLOOKUP(I26,LIST!$B$6:$M$3250,CURR_2.SEARCH.NEW,0)),'DICTIONARY-5'!$A$2)</f>
        <v/>
      </c>
    </row>
    <row r="27" spans="1:11" x14ac:dyDescent="0.25">
      <c r="A27" s="187">
        <v>500</v>
      </c>
      <c r="B27" s="187">
        <v>350</v>
      </c>
      <c r="C27" s="187">
        <v>16</v>
      </c>
      <c r="D27" s="498"/>
      <c r="E27" s="316"/>
      <c r="F27" s="339"/>
      <c r="G27" s="339"/>
      <c r="H27" s="498" t="s">
        <v>7914</v>
      </c>
      <c r="I27" s="719" t="s">
        <v>7915</v>
      </c>
      <c r="J27" s="339" t="str">
        <f>IFERROR(IF(OR(I27='DICTIONARY-5'!$A$2,I27='DICTIONARY-5'!$A$4,ISBLANK(I27)),VLOOKUP(#REF!,LIST!$A$6:$L$3250,CURR_1.SEARCH.OLD,0),VLOOKUP(I27,LIST!$B$6:$L$3250,CURR_1.SEARCH.NEW,0)),'DICTIONARY-5'!$A$2)</f>
        <v>4 164,-</v>
      </c>
      <c r="K27" s="339" t="str">
        <f>IFERROR(IF(OR(I27='DICTIONARY-5'!$A$2,I27='DICTIONARY-5'!$A$4,ISBLANK(I27)),VLOOKUP(#REF!,LIST!$A$6:$M$3250,CURR_2.SEARCH.OLD,0),VLOOKUP(I27,LIST!$B$6:$M$3250,CURR_2.SEARCH.NEW,0)),'DICTIONARY-5'!$A$2)</f>
        <v/>
      </c>
    </row>
    <row r="28" spans="1:11" x14ac:dyDescent="0.25">
      <c r="A28" s="187">
        <v>600</v>
      </c>
      <c r="B28" s="187">
        <v>390</v>
      </c>
      <c r="C28" s="187">
        <v>10</v>
      </c>
      <c r="D28" s="498"/>
      <c r="E28" s="316"/>
      <c r="F28" s="339"/>
      <c r="G28" s="339"/>
      <c r="H28" s="498" t="s">
        <v>7916</v>
      </c>
      <c r="I28" s="719" t="s">
        <v>7917</v>
      </c>
      <c r="J28" s="339" t="str">
        <f>IFERROR(IF(OR(I28='DICTIONARY-5'!$A$2,I28='DICTIONARY-5'!$A$4,ISBLANK(I28)),VLOOKUP(#REF!,LIST!$A$6:$L$3250,CURR_1.SEARCH.OLD,0),VLOOKUP(I28,LIST!$B$6:$L$3250,CURR_1.SEARCH.NEW,0)),'DICTIONARY-5'!$A$2)</f>
        <v>4 571,-</v>
      </c>
      <c r="K28" s="339" t="str">
        <f>IFERROR(IF(OR(I28='DICTIONARY-5'!$A$2,I28='DICTIONARY-5'!$A$4,ISBLANK(I28)),VLOOKUP(#REF!,LIST!$A$6:$M$3250,CURR_2.SEARCH.OLD,0),VLOOKUP(I28,LIST!$B$6:$M$3250,CURR_2.SEARCH.NEW,0)),'DICTIONARY-5'!$A$2)</f>
        <v/>
      </c>
    </row>
    <row r="29" spans="1:11" x14ac:dyDescent="0.25">
      <c r="A29" s="187">
        <v>600</v>
      </c>
      <c r="B29" s="187">
        <v>390</v>
      </c>
      <c r="C29" s="187">
        <v>16</v>
      </c>
      <c r="D29" s="498"/>
      <c r="E29" s="316"/>
      <c r="F29" s="339"/>
      <c r="G29" s="339"/>
      <c r="H29" s="498" t="s">
        <v>7918</v>
      </c>
      <c r="I29" s="719" t="s">
        <v>7919</v>
      </c>
      <c r="J29" s="339" t="str">
        <f>IFERROR(IF(OR(I29='DICTIONARY-5'!$A$2,I29='DICTIONARY-5'!$A$4,ISBLANK(I29)),VLOOKUP(#REF!,LIST!$A$6:$L$3250,CURR_1.SEARCH.OLD,0),VLOOKUP(I29,LIST!$B$6:$L$3250,CURR_1.SEARCH.NEW,0)),'DICTIONARY-5'!$A$2)</f>
        <v>5 937,-</v>
      </c>
      <c r="K29" s="339" t="str">
        <f>IFERROR(IF(OR(I29='DICTIONARY-5'!$A$2,I29='DICTIONARY-5'!$A$4,ISBLANK(I29)),VLOOKUP(#REF!,LIST!$A$6:$M$3250,CURR_2.SEARCH.OLD,0),VLOOKUP(I29,LIST!$B$6:$M$3250,CURR_2.SEARCH.NEW,0)),'DICTIONARY-5'!$A$2)</f>
        <v/>
      </c>
    </row>
    <row r="31" spans="1:11" x14ac:dyDescent="0.25">
      <c r="A31" s="146" t="str">
        <f>'DICTIONARY-5'!$A$3&amp;" DN 700 ... 1200 ("&amp;'DICTIONARY-3'!$A$145&amp;"), DN 1400 ... 4000 ("&amp;'DICTIONARY-3'!$A$146&amp;")"</f>
        <v>Na zapytanie:  DN 700 ... 1200 (EKN H), DN 1400 ... 4000 (EKN M)</v>
      </c>
    </row>
    <row r="32" spans="1:11" x14ac:dyDescent="0.25">
      <c r="E32" s="188"/>
      <c r="I32" s="188"/>
    </row>
    <row r="33" spans="1:11" x14ac:dyDescent="0.25">
      <c r="I33" s="177"/>
      <c r="J33" s="177"/>
      <c r="K33" s="177"/>
    </row>
    <row r="34" spans="1:11" x14ac:dyDescent="0.25">
      <c r="A34" s="183" t="str">
        <f>'DICTIONARY-2'!$A$2</f>
        <v>DN</v>
      </c>
      <c r="B34" s="183" t="str">
        <f>'DICTIONARY-2'!$A$24</f>
        <v>L</v>
      </c>
      <c r="C34" s="183" t="str">
        <f>'DICTIONARY-2'!$A$3</f>
        <v>PN</v>
      </c>
      <c r="D34" s="1020" t="str">
        <f>'DICTIONARY-3'!$A$145</f>
        <v>EKN H</v>
      </c>
      <c r="E34" s="1020"/>
      <c r="F34" s="1020"/>
      <c r="G34" s="1020"/>
      <c r="H34" s="1020" t="str">
        <f>'DICTIONARY-3'!$A$145</f>
        <v>EKN H</v>
      </c>
      <c r="I34" s="1020"/>
      <c r="J34" s="1020"/>
      <c r="K34" s="1020"/>
    </row>
    <row r="35" spans="1:11" x14ac:dyDescent="0.25">
      <c r="A35" s="184"/>
      <c r="B35" s="184"/>
      <c r="C35" s="184"/>
      <c r="D35" s="1019" t="str">
        <f>LOWER('DICTIONARY-3'!$A$352)&amp;" AUMA GSH"</f>
        <v>przekładnia AUMA GSH</v>
      </c>
      <c r="E35" s="1019"/>
      <c r="F35" s="1019"/>
      <c r="G35" s="1019"/>
      <c r="H35" s="1019" t="str">
        <f>LOWER('DICTIONARY-3'!$A$352)&amp;" AUMA GQB"</f>
        <v>przekładnia AUMA GQB</v>
      </c>
      <c r="I35" s="1019"/>
      <c r="J35" s="1019"/>
      <c r="K35" s="1019"/>
    </row>
    <row r="36" spans="1:11" x14ac:dyDescent="0.25">
      <c r="A36" s="190"/>
      <c r="B36" s="190" t="str">
        <f>'DICTIONARY-2'!$A$18</f>
        <v>[mm]</v>
      </c>
      <c r="C36" s="184"/>
      <c r="D36" s="185" t="str">
        <f>'DICTIONARY-2'!$A$28</f>
        <v>stary nr zamówienia</v>
      </c>
      <c r="E36" s="185" t="str">
        <f>'DICTIONARY-2'!$A$29</f>
        <v>nowy nr zamówienia</v>
      </c>
      <c r="F36" s="186" t="str">
        <f>CURRENCY.CODE_1</f>
        <v>EUR</v>
      </c>
      <c r="G36" s="186" t="str">
        <f>CURRENCY.CODE_2</f>
        <v>---</v>
      </c>
      <c r="H36" s="185" t="str">
        <f>'DICTIONARY-2'!$A$28</f>
        <v>stary nr zamówienia</v>
      </c>
      <c r="I36" s="185" t="str">
        <f>'DICTIONARY-2'!$A$29</f>
        <v>nowy nr zamówienia</v>
      </c>
      <c r="J36" s="186" t="str">
        <f>CURRENCY.CODE_1</f>
        <v>EUR</v>
      </c>
      <c r="K36" s="186" t="str">
        <f>CURRENCY.CODE_2</f>
        <v>---</v>
      </c>
    </row>
    <row r="37" spans="1:11" x14ac:dyDescent="0.25">
      <c r="A37" s="187">
        <v>150</v>
      </c>
      <c r="B37" s="187">
        <v>210</v>
      </c>
      <c r="C37" s="187">
        <v>25</v>
      </c>
      <c r="D37" s="498" t="s">
        <v>7920</v>
      </c>
      <c r="E37" s="317" t="s">
        <v>7921</v>
      </c>
      <c r="F37" s="339" t="str">
        <f>IFERROR(IF(OR(E37='DICTIONARY-5'!$A$2,E37='DICTIONARY-5'!$A$4,ISBLANK(E37)),VLOOKUP(C37,LIST!$A$6:$L$3250,CURR_1.SEARCH.OLD,0),VLOOKUP(E37,LIST!$B$6:$L$3250,CURR_1.SEARCH.NEW,0)),'DICTIONARY-5'!$A$2)</f>
        <v>1 295,-</v>
      </c>
      <c r="G37" s="339" t="str">
        <f>IFERROR(IF(OR(E37='DICTIONARY-5'!$A$2,E37='DICTIONARY-5'!$A$4,ISBLANK(E37)),VLOOKUP(C37,LIST!$A$6:$M$3250,CURR_2.SEARCH.OLD,0),VLOOKUP(E37,LIST!$B$6:$M$3250,CURR_2.SEARCH.NEW,0)),'DICTIONARY-5'!$A$2)</f>
        <v/>
      </c>
      <c r="H37" s="498"/>
      <c r="I37" s="317"/>
      <c r="J37" s="339"/>
      <c r="K37" s="339"/>
    </row>
    <row r="38" spans="1:11" x14ac:dyDescent="0.25">
      <c r="A38" s="187">
        <v>200</v>
      </c>
      <c r="B38" s="187">
        <v>230</v>
      </c>
      <c r="C38" s="187">
        <v>25</v>
      </c>
      <c r="D38" s="498" t="s">
        <v>7922</v>
      </c>
      <c r="E38" s="317" t="s">
        <v>7923</v>
      </c>
      <c r="F38" s="339" t="str">
        <f>IFERROR(IF(OR(E38='DICTIONARY-5'!$A$2,E38='DICTIONARY-5'!$A$4,ISBLANK(E38)),VLOOKUP(C38,LIST!$A$6:$L$3250,CURR_1.SEARCH.OLD,0),VLOOKUP(E38,LIST!$B$6:$L$3250,CURR_1.SEARCH.NEW,0)),'DICTIONARY-5'!$A$2)</f>
        <v>1 513,-</v>
      </c>
      <c r="G38" s="339" t="str">
        <f>IFERROR(IF(OR(E38='DICTIONARY-5'!$A$2,E38='DICTIONARY-5'!$A$4,ISBLANK(E38)),VLOOKUP(C38,LIST!$A$6:$M$3250,CURR_2.SEARCH.OLD,0),VLOOKUP(E38,LIST!$B$6:$M$3250,CURR_2.SEARCH.NEW,0)),'DICTIONARY-5'!$A$2)</f>
        <v/>
      </c>
      <c r="H38" s="498"/>
      <c r="I38" s="317"/>
      <c r="J38" s="339"/>
      <c r="K38" s="339"/>
    </row>
    <row r="39" spans="1:11" x14ac:dyDescent="0.25">
      <c r="A39" s="187">
        <v>250</v>
      </c>
      <c r="B39" s="187">
        <v>250</v>
      </c>
      <c r="C39" s="187">
        <v>25</v>
      </c>
      <c r="D39" s="498" t="s">
        <v>7924</v>
      </c>
      <c r="E39" s="317" t="s">
        <v>7925</v>
      </c>
      <c r="F39" s="339" t="str">
        <f>IFERROR(IF(OR(E39='DICTIONARY-5'!$A$2,E39='DICTIONARY-5'!$A$4,ISBLANK(E39)),VLOOKUP(C39,LIST!$A$6:$L$3250,CURR_1.SEARCH.OLD,0),VLOOKUP(E39,LIST!$B$6:$L$3250,CURR_1.SEARCH.NEW,0)),'DICTIONARY-5'!$A$2)</f>
        <v>1 777,-</v>
      </c>
      <c r="G39" s="339" t="str">
        <f>IFERROR(IF(OR(E39='DICTIONARY-5'!$A$2,E39='DICTIONARY-5'!$A$4,ISBLANK(E39)),VLOOKUP(C39,LIST!$A$6:$M$3250,CURR_2.SEARCH.OLD,0),VLOOKUP(E39,LIST!$B$6:$M$3250,CURR_2.SEARCH.NEW,0)),'DICTIONARY-5'!$A$2)</f>
        <v/>
      </c>
      <c r="H39" s="498"/>
      <c r="I39" s="317"/>
      <c r="J39" s="339"/>
      <c r="K39" s="339"/>
    </row>
    <row r="40" spans="1:11" x14ac:dyDescent="0.25">
      <c r="A40" s="187">
        <v>300</v>
      </c>
      <c r="B40" s="187">
        <v>270</v>
      </c>
      <c r="C40" s="187">
        <v>25</v>
      </c>
      <c r="D40" s="498"/>
      <c r="E40" s="317"/>
      <c r="F40" s="339"/>
      <c r="G40" s="339"/>
      <c r="H40" s="498" t="s">
        <v>7926</v>
      </c>
      <c r="I40" s="317" t="s">
        <v>7927</v>
      </c>
      <c r="J40" s="339" t="str">
        <f>IFERROR(IF(OR(I40='DICTIONARY-5'!$A$2,I40='DICTIONARY-5'!$A$4,ISBLANK(I40)),VLOOKUP(G40,LIST!$A$6:$L$3250,CURR_1.SEARCH.OLD,0),VLOOKUP(I40,LIST!$B$6:$L$3250,CURR_1.SEARCH.NEW,0)),'DICTIONARY-5'!$A$2)</f>
        <v>2 329,-</v>
      </c>
      <c r="K40" s="339" t="str">
        <f>IFERROR(IF(OR(I40='DICTIONARY-5'!$A$2,I40='DICTIONARY-5'!$A$4,ISBLANK(I40)),VLOOKUP(G40,LIST!$A$6:$M$3250,CURR_2.SEARCH.OLD,0),VLOOKUP(I40,LIST!$B$6:$M$3250,CURR_2.SEARCH.NEW,0)),'DICTIONARY-5'!$A$2)</f>
        <v/>
      </c>
    </row>
    <row r="41" spans="1:11" x14ac:dyDescent="0.25">
      <c r="A41" s="187">
        <v>350</v>
      </c>
      <c r="B41" s="187">
        <v>290</v>
      </c>
      <c r="C41" s="187">
        <v>25</v>
      </c>
      <c r="D41" s="498"/>
      <c r="E41" s="317"/>
      <c r="F41" s="339"/>
      <c r="G41" s="339"/>
      <c r="H41" s="498" t="s">
        <v>7928</v>
      </c>
      <c r="I41" s="317" t="s">
        <v>7929</v>
      </c>
      <c r="J41" s="339" t="str">
        <f>IFERROR(IF(OR(I41='DICTIONARY-5'!$A$2,I41='DICTIONARY-5'!$A$4,ISBLANK(I41)),VLOOKUP(G41,LIST!$A$6:$L$3250,CURR_1.SEARCH.OLD,0),VLOOKUP(I41,LIST!$B$6:$L$3250,CURR_1.SEARCH.NEW,0)),'DICTIONARY-5'!$A$2)</f>
        <v>2 691,-</v>
      </c>
      <c r="K41" s="339" t="str">
        <f>IFERROR(IF(OR(I41='DICTIONARY-5'!$A$2,I41='DICTIONARY-5'!$A$4,ISBLANK(I41)),VLOOKUP(G41,LIST!$A$6:$M$3250,CURR_2.SEARCH.OLD,0),VLOOKUP(I41,LIST!$B$6:$M$3250,CURR_2.SEARCH.NEW,0)),'DICTIONARY-5'!$A$2)</f>
        <v/>
      </c>
    </row>
    <row r="42" spans="1:11" x14ac:dyDescent="0.25">
      <c r="A42" s="187">
        <v>400</v>
      </c>
      <c r="B42" s="187">
        <v>310</v>
      </c>
      <c r="C42" s="187">
        <v>25</v>
      </c>
      <c r="D42" s="498"/>
      <c r="E42" s="317"/>
      <c r="F42" s="339"/>
      <c r="G42" s="339"/>
      <c r="H42" s="498" t="s">
        <v>7930</v>
      </c>
      <c r="I42" s="317" t="s">
        <v>7931</v>
      </c>
      <c r="J42" s="339" t="str">
        <f>IFERROR(IF(OR(I42='DICTIONARY-5'!$A$2,I42='DICTIONARY-5'!$A$4,ISBLANK(I42)),VLOOKUP(G42,LIST!$A$6:$L$3250,CURR_1.SEARCH.OLD,0),VLOOKUP(I42,LIST!$B$6:$L$3250,CURR_1.SEARCH.NEW,0)),'DICTIONARY-5'!$A$2)</f>
        <v>3 166,-</v>
      </c>
      <c r="K42" s="339" t="str">
        <f>IFERROR(IF(OR(I42='DICTIONARY-5'!$A$2,I42='DICTIONARY-5'!$A$4,ISBLANK(I42)),VLOOKUP(G42,LIST!$A$6:$M$3250,CURR_2.SEARCH.OLD,0),VLOOKUP(I42,LIST!$B$6:$M$3250,CURR_2.SEARCH.NEW,0)),'DICTIONARY-5'!$A$2)</f>
        <v/>
      </c>
    </row>
    <row r="43" spans="1:11" x14ac:dyDescent="0.25">
      <c r="A43" s="187">
        <v>450</v>
      </c>
      <c r="B43" s="187">
        <v>330</v>
      </c>
      <c r="C43" s="187">
        <v>25</v>
      </c>
      <c r="D43" s="498"/>
      <c r="E43" s="719"/>
      <c r="F43" s="339"/>
      <c r="G43" s="339"/>
      <c r="H43" s="498" t="str">
        <f>'DICTIONARY-5'!$A$2</f>
        <v>na zapytanie</v>
      </c>
      <c r="I43" s="719" t="str">
        <f>'DICTIONARY-5'!$A$2</f>
        <v>na zapytanie</v>
      </c>
      <c r="J43" s="339" t="str">
        <f>IFERROR(IF(OR(I43='DICTIONARY-5'!$A$2,I43='DICTIONARY-5'!$A$4,ISBLANK(I43)),VLOOKUP(G43,LIST!$A$6:$L$3250,CURR_1.SEARCH.OLD,0),VLOOKUP(I43,LIST!$B$6:$L$3250,CURR_1.SEARCH.NEW,0)),'DICTIONARY-5'!$A$2)</f>
        <v>na zapytanie</v>
      </c>
      <c r="K43" s="339" t="str">
        <f>IFERROR(IF(OR(I43='DICTIONARY-5'!$A$2,I43='DICTIONARY-5'!$A$4,ISBLANK(I43)),VLOOKUP(G43,LIST!$A$6:$M$3250,CURR_2.SEARCH.OLD,0),VLOOKUP(I43,LIST!$B$6:$M$3250,CURR_2.SEARCH.NEW,0)),'DICTIONARY-5'!$A$2)</f>
        <v>na zapytanie</v>
      </c>
    </row>
    <row r="44" spans="1:11" x14ac:dyDescent="0.25">
      <c r="A44" s="187">
        <v>500</v>
      </c>
      <c r="B44" s="187">
        <v>350</v>
      </c>
      <c r="C44" s="187">
        <v>25</v>
      </c>
      <c r="D44" s="498"/>
      <c r="E44" s="317"/>
      <c r="F44" s="339"/>
      <c r="G44" s="339"/>
      <c r="H44" s="498" t="s">
        <v>7932</v>
      </c>
      <c r="I44" s="317" t="s">
        <v>7933</v>
      </c>
      <c r="J44" s="339" t="str">
        <f>IFERROR(IF(OR(I44='DICTIONARY-5'!$A$2,I44='DICTIONARY-5'!$A$4,ISBLANK(I44)),VLOOKUP(G44,LIST!$A$6:$L$3250,CURR_1.SEARCH.OLD,0),VLOOKUP(I44,LIST!$B$6:$L$3250,CURR_1.SEARCH.NEW,0)),'DICTIONARY-5'!$A$2)</f>
        <v>5 610,-</v>
      </c>
      <c r="K44" s="339" t="str">
        <f>IFERROR(IF(OR(I44='DICTIONARY-5'!$A$2,I44='DICTIONARY-5'!$A$4,ISBLANK(I44)),VLOOKUP(G44,LIST!$A$6:$M$3250,CURR_2.SEARCH.OLD,0),VLOOKUP(I44,LIST!$B$6:$M$3250,CURR_2.SEARCH.NEW,0)),'DICTIONARY-5'!$A$2)</f>
        <v/>
      </c>
    </row>
    <row r="45" spans="1:11" x14ac:dyDescent="0.25">
      <c r="A45" s="187">
        <v>600</v>
      </c>
      <c r="B45" s="187">
        <v>390</v>
      </c>
      <c r="C45" s="187">
        <v>25</v>
      </c>
      <c r="D45" s="498"/>
      <c r="E45" s="317"/>
      <c r="F45" s="339"/>
      <c r="G45" s="339"/>
      <c r="H45" s="498" t="s">
        <v>7934</v>
      </c>
      <c r="I45" s="317" t="s">
        <v>7935</v>
      </c>
      <c r="J45" s="339" t="str">
        <f>IFERROR(IF(OR(I45='DICTIONARY-5'!$A$2,I45='DICTIONARY-5'!$A$4,ISBLANK(I45)),VLOOKUP(G45,LIST!$A$6:$L$3250,CURR_1.SEARCH.OLD,0),VLOOKUP(I45,LIST!$B$6:$L$3250,CURR_1.SEARCH.NEW,0)),'DICTIONARY-5'!$A$2)</f>
        <v>7 975,-</v>
      </c>
      <c r="K45" s="339" t="str">
        <f>IFERROR(IF(OR(I45='DICTIONARY-5'!$A$2,I45='DICTIONARY-5'!$A$4,ISBLANK(I45)),VLOOKUP(G45,LIST!$A$6:$M$3250,CURR_2.SEARCH.OLD,0),VLOOKUP(I45,LIST!$B$6:$M$3250,CURR_2.SEARCH.NEW,0)),'DICTIONARY-5'!$A$2)</f>
        <v/>
      </c>
    </row>
    <row r="47" spans="1:11" x14ac:dyDescent="0.25">
      <c r="A47" s="146" t="str">
        <f>'DICTIONARY-5'!$A$3&amp;" DN 700 ... 1200 ("&amp;LOWER('DICTIONARY-1'!$A$10)&amp;" "&amp;'DICTIONARY-2'!$A$32&amp;" "&amp;"18)"</f>
        <v>Na zapytanie:  DN 700 ... 1200 (grupa rabatowa RB 18)</v>
      </c>
    </row>
  </sheetData>
  <sheetProtection algorithmName="SHA-512" hashValue="gLGYJAuQl/KMtOauvpUTpWg/FL0m1tQxoxtgbSXOrp36JwzUlxBcvhYiwjMp7oi8P30bZsefw6fJ0GgQBSO6EA==" saltValue="gxNT8nBTPAJ+kWU1HdKz4w==" spinCount="100000" sheet="1" objects="1" scenarios="1" autoFilter="0"/>
  <mergeCells count="9">
    <mergeCell ref="B4:E4"/>
    <mergeCell ref="H35:K35"/>
    <mergeCell ref="D34:G34"/>
    <mergeCell ref="D35:G35"/>
    <mergeCell ref="D10:G10"/>
    <mergeCell ref="D11:G11"/>
    <mergeCell ref="H10:K10"/>
    <mergeCell ref="H11:K11"/>
    <mergeCell ref="H34:K3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4">
    <tabColor rgb="FF0F6E23"/>
  </sheetPr>
  <dimension ref="A1:L22"/>
  <sheetViews>
    <sheetView workbookViewId="0"/>
  </sheetViews>
  <sheetFormatPr defaultColWidth="9.140625" defaultRowHeight="15" x14ac:dyDescent="0.25"/>
  <cols>
    <col min="1" max="3" width="9.140625" style="177"/>
    <col min="4" max="5" width="22.140625" style="177" customWidth="1"/>
    <col min="6" max="7" width="12.85546875" style="177" customWidth="1"/>
    <col min="8" max="8" width="9.140625" style="177" customWidth="1"/>
    <col min="9" max="10" width="22.140625" style="177" customWidth="1"/>
    <col min="11" max="12" width="12.85546875" style="177" customWidth="1"/>
    <col min="13" max="16384" width="9.140625" style="177"/>
  </cols>
  <sheetData>
    <row r="1" spans="1:12" s="405" customFormat="1" ht="45" customHeight="1" thickBot="1" x14ac:dyDescent="0.3">
      <c r="A1" s="429"/>
      <c r="B1" s="429"/>
      <c r="C1" s="429"/>
      <c r="D1" s="429"/>
    </row>
    <row r="2" spans="1:12" s="463" customFormat="1" ht="4.5" customHeight="1" x14ac:dyDescent="0.25">
      <c r="A2" s="462"/>
    </row>
    <row r="3" spans="1:12" ht="15.75" thickBot="1" x14ac:dyDescent="0.3">
      <c r="A3" s="178"/>
      <c r="B3" s="179"/>
      <c r="C3" s="179"/>
    </row>
    <row r="4" spans="1:12" ht="15.75" thickBot="1" x14ac:dyDescent="0.3">
      <c r="A4" s="823">
        <f>ADD.DISCOUNT</f>
        <v>0</v>
      </c>
      <c r="B4" s="933" t="str">
        <f>HYPERLINK("#'LIST'!ADD.DISCOUNT","» "&amp;'DICTIONARY-1'!$A$5)</f>
        <v>» Ustaw globalny dodatkowy rabat</v>
      </c>
      <c r="C4" s="1017"/>
      <c r="D4" s="1017"/>
      <c r="E4" s="1018"/>
    </row>
    <row r="5" spans="1:12" x14ac:dyDescent="0.25">
      <c r="A5" s="178"/>
      <c r="B5" s="179"/>
      <c r="C5" s="179"/>
    </row>
    <row r="6" spans="1:12" ht="16.5" thickBot="1" x14ac:dyDescent="0.3">
      <c r="A6" s="712" t="str">
        <f>CONCATENATE('DICTIONARY-3'!$A$146," ",'DICTIONARY-3'!$A$204," / ",'DICTIONARY-3'!$A$261)</f>
        <v>EKN M Przepustnica kołnierzowa / Do zabudowy w ziemi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</row>
    <row r="7" spans="1:12" x14ac:dyDescent="0.25">
      <c r="A7" s="181" t="str">
        <f>'DICTIONARY-3'!$A$322</f>
        <v xml:space="preserve">Przygotowana do podłączenia obudowy teleskopowej VA-TELESKOP i zabudowy podziemnej </v>
      </c>
      <c r="B7" s="175"/>
      <c r="C7" s="175"/>
      <c r="D7" s="175"/>
      <c r="E7" s="175"/>
      <c r="F7" s="176"/>
      <c r="G7" s="176"/>
      <c r="H7" s="176"/>
      <c r="I7" s="175"/>
      <c r="J7" s="175"/>
      <c r="K7" s="176"/>
      <c r="L7" s="176"/>
    </row>
    <row r="8" spans="1:12" x14ac:dyDescent="0.25">
      <c r="A8" s="181" t="str">
        <f>CONCATENATE('DICTIONARY-1'!$A$10,": ",SETTINGS!$C$41)</f>
        <v>Grupa rabatowa: EKN (≤DN600)</v>
      </c>
      <c r="B8" s="175"/>
      <c r="C8" s="175"/>
      <c r="D8" s="175"/>
      <c r="E8" s="175"/>
      <c r="F8" s="176"/>
      <c r="G8" s="176"/>
      <c r="H8" s="176"/>
      <c r="I8" s="175"/>
      <c r="J8" s="175"/>
      <c r="K8" s="176"/>
      <c r="L8" s="176"/>
    </row>
    <row r="9" spans="1:12" x14ac:dyDescent="0.25">
      <c r="A9" s="182"/>
      <c r="B9" s="175"/>
      <c r="C9" s="175"/>
      <c r="D9" s="175"/>
      <c r="E9" s="175"/>
      <c r="F9" s="176"/>
      <c r="G9" s="176"/>
      <c r="H9" s="176"/>
      <c r="I9" s="175"/>
      <c r="J9" s="175"/>
      <c r="K9" s="176"/>
      <c r="L9" s="176"/>
    </row>
    <row r="10" spans="1:12" x14ac:dyDescent="0.25">
      <c r="A10" s="183" t="str">
        <f>'DICTIONARY-2'!$A$2</f>
        <v>DN</v>
      </c>
      <c r="B10" s="183" t="str">
        <f>'DICTIONARY-2'!$A$24</f>
        <v>L</v>
      </c>
      <c r="C10" s="183" t="str">
        <f>'DICTIONARY-2'!$A$3</f>
        <v>PN</v>
      </c>
      <c r="D10" s="1020" t="str">
        <f>'DICTIONARY-3'!$A$146</f>
        <v>EKN M</v>
      </c>
      <c r="E10" s="1020"/>
      <c r="F10" s="1020"/>
      <c r="G10" s="1020"/>
      <c r="H10" s="183" t="str">
        <f>'DICTIONARY-2'!$A$3</f>
        <v>PN</v>
      </c>
      <c r="I10" s="1020" t="str">
        <f>'DICTIONARY-3'!$A$146</f>
        <v>EKN M</v>
      </c>
      <c r="J10" s="1020"/>
      <c r="K10" s="1020"/>
      <c r="L10" s="1020"/>
    </row>
    <row r="11" spans="1:12" x14ac:dyDescent="0.25">
      <c r="A11" s="184"/>
      <c r="B11" s="184"/>
      <c r="C11" s="184"/>
      <c r="D11" s="1019" t="str">
        <f>LOWER('DICTIONARY-3'!$A$261)</f>
        <v>do zabudowy w ziemi</v>
      </c>
      <c r="E11" s="1019"/>
      <c r="F11" s="1019"/>
      <c r="G11" s="1019"/>
      <c r="H11" s="184"/>
      <c r="I11" s="1019" t="str">
        <f>LOWER('DICTIONARY-3'!$A$261)</f>
        <v>do zabudowy w ziemi</v>
      </c>
      <c r="J11" s="1019"/>
      <c r="K11" s="1019"/>
      <c r="L11" s="1019"/>
    </row>
    <row r="12" spans="1:12" x14ac:dyDescent="0.25">
      <c r="A12" s="184"/>
      <c r="B12" s="184" t="str">
        <f>'DICTIONARY-2'!$A$18</f>
        <v>[mm]</v>
      </c>
      <c r="C12" s="184"/>
      <c r="D12" s="185" t="str">
        <f>'DICTIONARY-2'!$A$28</f>
        <v>stary nr zamówienia</v>
      </c>
      <c r="E12" s="185" t="str">
        <f>'DICTIONARY-2'!$A$29</f>
        <v>nowy nr zamówienia</v>
      </c>
      <c r="F12" s="186" t="str">
        <f>CURRENCY.CODE_1</f>
        <v>EUR</v>
      </c>
      <c r="G12" s="186" t="str">
        <f>CURRENCY.CODE_2</f>
        <v>---</v>
      </c>
      <c r="H12" s="184"/>
      <c r="I12" s="185" t="str">
        <f>'DICTIONARY-2'!$A$28</f>
        <v>stary nr zamówienia</v>
      </c>
      <c r="J12" s="185" t="str">
        <f>'DICTIONARY-2'!$A$29</f>
        <v>nowy nr zamówienia</v>
      </c>
      <c r="K12" s="186" t="str">
        <f>CURRENCY.CODE_1</f>
        <v>EUR</v>
      </c>
      <c r="L12" s="186" t="str">
        <f>CURRENCY.CODE_2</f>
        <v>---</v>
      </c>
    </row>
    <row r="13" spans="1:12" x14ac:dyDescent="0.25">
      <c r="A13" s="187">
        <v>150</v>
      </c>
      <c r="B13" s="187">
        <v>210</v>
      </c>
      <c r="C13" s="187">
        <v>10.16</v>
      </c>
      <c r="D13" s="498" t="s">
        <v>4926</v>
      </c>
      <c r="E13" s="319" t="s">
        <v>1540</v>
      </c>
      <c r="F13" s="339" t="str">
        <f>IFERROR(IF(OR(E13='DICTIONARY-5'!$A$2,E13='DICTIONARY-5'!$A$4,ISBLANK(E13)),VLOOKUP(D13,LIST!$A$6:$L$3250,CURR_1.SEARCH.OLD,0),VLOOKUP(E13,LIST!$B$6:$L$3250,CURR_1.SEARCH.NEW,0)),'DICTIONARY-5'!$A$2)</f>
        <v>na zapytanie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730" t="s">
        <v>85</v>
      </c>
      <c r="I13" s="498" t="s">
        <v>4926</v>
      </c>
      <c r="J13" s="319" t="s">
        <v>1540</v>
      </c>
      <c r="K13" s="339" t="str">
        <f>IFERROR(IF(OR(J13='DICTIONARY-5'!$A$2,J13='DICTIONARY-5'!$A$4,ISBLANK(J13)),VLOOKUP(I13,LIST!$A$6:$L$3250,CURR_1.SEARCH.OLD,0),VLOOKUP(J13,LIST!$B$6:$L$3250,CURR_1.SEARCH.NEW,0)),'DICTIONARY-5'!$A$2)</f>
        <v>na zapytanie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</row>
    <row r="14" spans="1:12" x14ac:dyDescent="0.25">
      <c r="A14" s="187">
        <v>200</v>
      </c>
      <c r="B14" s="187">
        <v>230</v>
      </c>
      <c r="C14" s="187">
        <v>10</v>
      </c>
      <c r="D14" s="498" t="s">
        <v>4927</v>
      </c>
      <c r="E14" s="319" t="s">
        <v>1540</v>
      </c>
      <c r="F14" s="339" t="str">
        <f>IFERROR(IF(OR(E14='DICTIONARY-5'!$A$2,E14='DICTIONARY-5'!$A$4,ISBLANK(E14)),VLOOKUP(D14,LIST!$A$6:$L$3250,CURR_1.SEARCH.OLD,0),VLOOKUP(E14,LIST!$B$6:$L$3250,CURR_1.SEARCH.NEW,0)),'DICTIONARY-5'!$A$2)</f>
        <v>na zapytanie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87">
        <v>16</v>
      </c>
      <c r="I14" s="498" t="s">
        <v>4934</v>
      </c>
      <c r="J14" s="319" t="s">
        <v>1540</v>
      </c>
      <c r="K14" s="339" t="str">
        <f>IFERROR(IF(OR(J14='DICTIONARY-5'!$A$2,J14='DICTIONARY-5'!$A$4,ISBLANK(J14)),VLOOKUP(I14,LIST!$A$6:$L$3250,CURR_1.SEARCH.OLD,0),VLOOKUP(J14,LIST!$B$6:$L$3250,CURR_1.SEARCH.NEW,0)),'DICTIONARY-5'!$A$2)</f>
        <v>na zapytanie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</row>
    <row r="15" spans="1:12" x14ac:dyDescent="0.25">
      <c r="A15" s="187">
        <v>250</v>
      </c>
      <c r="B15" s="187">
        <v>250</v>
      </c>
      <c r="C15" s="187">
        <v>10</v>
      </c>
      <c r="D15" s="498" t="s">
        <v>4928</v>
      </c>
      <c r="E15" s="319" t="s">
        <v>1540</v>
      </c>
      <c r="F15" s="339" t="str">
        <f>IFERROR(IF(OR(E15='DICTIONARY-5'!$A$2,E15='DICTIONARY-5'!$A$4,ISBLANK(E15)),VLOOKUP(D15,LIST!$A$6:$L$3250,CURR_1.SEARCH.OLD,0),VLOOKUP(E15,LIST!$B$6:$L$3250,CURR_1.SEARCH.NEW,0)),'DICTIONARY-5'!$A$2)</f>
        <v>na zapytanie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87">
        <v>16</v>
      </c>
      <c r="I15" s="498" t="s">
        <v>4935</v>
      </c>
      <c r="J15" s="319" t="s">
        <v>1540</v>
      </c>
      <c r="K15" s="339" t="str">
        <f>IFERROR(IF(OR(J15='DICTIONARY-5'!$A$2,J15='DICTIONARY-5'!$A$4,ISBLANK(J15)),VLOOKUP(I15,LIST!$A$6:$L$3250,CURR_1.SEARCH.OLD,0),VLOOKUP(J15,LIST!$B$6:$L$3250,CURR_1.SEARCH.NEW,0)),'DICTIONARY-5'!$A$2)</f>
        <v>na zapytanie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</row>
    <row r="16" spans="1:12" x14ac:dyDescent="0.25">
      <c r="A16" s="187">
        <v>300</v>
      </c>
      <c r="B16" s="187">
        <v>270</v>
      </c>
      <c r="C16" s="187">
        <v>10</v>
      </c>
      <c r="D16" s="498" t="s">
        <v>4929</v>
      </c>
      <c r="E16" s="319" t="s">
        <v>1540</v>
      </c>
      <c r="F16" s="339" t="str">
        <f>IFERROR(IF(OR(E16='DICTIONARY-5'!$A$2,E16='DICTIONARY-5'!$A$4,ISBLANK(E16)),VLOOKUP(D16,LIST!$A$6:$L$3250,CURR_1.SEARCH.OLD,0),VLOOKUP(E16,LIST!$B$6:$L$3250,CURR_1.SEARCH.NEW,0)),'DICTIONARY-5'!$A$2)</f>
        <v>na zapytanie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87">
        <v>16</v>
      </c>
      <c r="I16" s="498" t="s">
        <v>4936</v>
      </c>
      <c r="J16" s="319" t="s">
        <v>1540</v>
      </c>
      <c r="K16" s="339" t="str">
        <f>IFERROR(IF(OR(J16='DICTIONARY-5'!$A$2,J16='DICTIONARY-5'!$A$4,ISBLANK(J16)),VLOOKUP(I16,LIST!$A$6:$L$3250,CURR_1.SEARCH.OLD,0),VLOOKUP(J16,LIST!$B$6:$L$3250,CURR_1.SEARCH.NEW,0)),'DICTIONARY-5'!$A$2)</f>
        <v>na zapytanie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</row>
    <row r="17" spans="1:12" x14ac:dyDescent="0.25">
      <c r="A17" s="187">
        <v>350</v>
      </c>
      <c r="B17" s="187">
        <v>290</v>
      </c>
      <c r="C17" s="187">
        <v>10</v>
      </c>
      <c r="D17" s="498" t="s">
        <v>4930</v>
      </c>
      <c r="E17" s="319" t="s">
        <v>1540</v>
      </c>
      <c r="F17" s="339" t="str">
        <f>IFERROR(IF(OR(E17='DICTIONARY-5'!$A$2,E17='DICTIONARY-5'!$A$4,ISBLANK(E17)),VLOOKUP(D17,LIST!$A$6:$L$3250,CURR_1.SEARCH.OLD,0),VLOOKUP(E17,LIST!$B$6:$L$3250,CURR_1.SEARCH.NEW,0)),'DICTIONARY-5'!$A$2)</f>
        <v>na zapytanie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187">
        <v>16</v>
      </c>
      <c r="I17" s="498" t="s">
        <v>4937</v>
      </c>
      <c r="J17" s="319" t="s">
        <v>1540</v>
      </c>
      <c r="K17" s="339" t="str">
        <f>IFERROR(IF(OR(J17='DICTIONARY-5'!$A$2,J17='DICTIONARY-5'!$A$4,ISBLANK(J17)),VLOOKUP(I17,LIST!$A$6:$L$3250,CURR_1.SEARCH.OLD,0),VLOOKUP(J17,LIST!$B$6:$L$3250,CURR_1.SEARCH.NEW,0)),'DICTIONARY-5'!$A$2)</f>
        <v>na zapytanie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</row>
    <row r="18" spans="1:12" x14ac:dyDescent="0.25">
      <c r="A18" s="187">
        <v>400</v>
      </c>
      <c r="B18" s="187">
        <v>310</v>
      </c>
      <c r="C18" s="187">
        <v>10</v>
      </c>
      <c r="D18" s="498" t="s">
        <v>4931</v>
      </c>
      <c r="E18" s="319" t="s">
        <v>1540</v>
      </c>
      <c r="F18" s="339" t="str">
        <f>IFERROR(IF(OR(E18='DICTIONARY-5'!$A$2,E18='DICTIONARY-5'!$A$4,ISBLANK(E18)),VLOOKUP(D18,LIST!$A$6:$L$3250,CURR_1.SEARCH.OLD,0),VLOOKUP(E18,LIST!$B$6:$L$3250,CURR_1.SEARCH.NEW,0)),'DICTIONARY-5'!$A$2)</f>
        <v>na zapytanie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187">
        <v>16</v>
      </c>
      <c r="I18" s="498" t="s">
        <v>4938</v>
      </c>
      <c r="J18" s="319" t="s">
        <v>1540</v>
      </c>
      <c r="K18" s="339" t="str">
        <f>IFERROR(IF(OR(J18='DICTIONARY-5'!$A$2,J18='DICTIONARY-5'!$A$4,ISBLANK(J18)),VLOOKUP(I18,LIST!$A$6:$L$3250,CURR_1.SEARCH.OLD,0),VLOOKUP(J18,LIST!$B$6:$L$3250,CURR_1.SEARCH.NEW,0)),'DICTIONARY-5'!$A$2)</f>
        <v>na zapytanie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</row>
    <row r="19" spans="1:12" x14ac:dyDescent="0.25">
      <c r="A19" s="187">
        <v>500</v>
      </c>
      <c r="B19" s="187">
        <v>350</v>
      </c>
      <c r="C19" s="187">
        <v>10</v>
      </c>
      <c r="D19" s="498" t="s">
        <v>4932</v>
      </c>
      <c r="E19" s="319" t="s">
        <v>1540</v>
      </c>
      <c r="F19" s="339" t="str">
        <f>IFERROR(IF(OR(E19='DICTIONARY-5'!$A$2,E19='DICTIONARY-5'!$A$4,ISBLANK(E19)),VLOOKUP(D19,LIST!$A$6:$L$3250,CURR_1.SEARCH.OLD,0),VLOOKUP(E19,LIST!$B$6:$L$3250,CURR_1.SEARCH.NEW,0)),'DICTIONARY-5'!$A$2)</f>
        <v>na zapytanie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187">
        <v>16</v>
      </c>
      <c r="I19" s="498" t="s">
        <v>4939</v>
      </c>
      <c r="J19" s="319" t="s">
        <v>1540</v>
      </c>
      <c r="K19" s="339" t="str">
        <f>IFERROR(IF(OR(J19='DICTIONARY-5'!$A$2,J19='DICTIONARY-5'!$A$4,ISBLANK(J19)),VLOOKUP(I19,LIST!$A$6:$L$3250,CURR_1.SEARCH.OLD,0),VLOOKUP(J19,LIST!$B$6:$L$3250,CURR_1.SEARCH.NEW,0)),'DICTIONARY-5'!$A$2)</f>
        <v>na zapytanie</v>
      </c>
      <c r="L19" s="339" t="str">
        <f>IFERROR(IF(OR(J19='DICTIONARY-5'!$A$2,J19='DICTIONARY-5'!$A$4,ISBLANK(J19)),VLOOKUP(I19,LIST!$A$6:$M$3250,CURR_2.SEARCH.OLD,0),VLOOKUP(J19,LIST!$B$6:$M$3250,CURR_2.SEARCH.NEW,0)),'DICTIONARY-5'!$A$2)</f>
        <v/>
      </c>
    </row>
    <row r="20" spans="1:12" x14ac:dyDescent="0.25">
      <c r="A20" s="187">
        <v>600</v>
      </c>
      <c r="B20" s="187">
        <v>390</v>
      </c>
      <c r="C20" s="187">
        <v>10</v>
      </c>
      <c r="D20" s="498" t="s">
        <v>4933</v>
      </c>
      <c r="E20" s="319" t="s">
        <v>1540</v>
      </c>
      <c r="F20" s="339" t="str">
        <f>IFERROR(IF(OR(E20='DICTIONARY-5'!$A$2,E20='DICTIONARY-5'!$A$4,ISBLANK(E20)),VLOOKUP(D20,LIST!$A$6:$L$3250,CURR_1.SEARCH.OLD,0),VLOOKUP(E20,LIST!$B$6:$L$3250,CURR_1.SEARCH.NEW,0)),'DICTIONARY-5'!$A$2)</f>
        <v>na zapytanie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187">
        <v>16</v>
      </c>
      <c r="I20" s="498" t="s">
        <v>4940</v>
      </c>
      <c r="J20" s="319" t="s">
        <v>1540</v>
      </c>
      <c r="K20" s="339" t="str">
        <f>IFERROR(IF(OR(J20='DICTIONARY-5'!$A$2,J20='DICTIONARY-5'!$A$4,ISBLANK(J20)),VLOOKUP(I20,LIST!$A$6:$L$3250,CURR_1.SEARCH.OLD,0),VLOOKUP(J20,LIST!$B$6:$L$3250,CURR_1.SEARCH.NEW,0)),'DICTIONARY-5'!$A$2)</f>
        <v>na zapytanie</v>
      </c>
      <c r="L20" s="339" t="str">
        <f>IFERROR(IF(OR(J20='DICTIONARY-5'!$A$2,J20='DICTIONARY-5'!$A$4,ISBLANK(J20)),VLOOKUP(I20,LIST!$A$6:$M$3250,CURR_2.SEARCH.OLD,0),VLOOKUP(J20,LIST!$B$6:$M$3250,CURR_2.SEARCH.NEW,0)),'DICTIONARY-5'!$A$2)</f>
        <v/>
      </c>
    </row>
    <row r="21" spans="1:12" x14ac:dyDescent="0.25">
      <c r="A21" s="175"/>
      <c r="B21" s="175"/>
      <c r="C21" s="175"/>
      <c r="D21" s="175"/>
      <c r="E21" s="175"/>
      <c r="F21" s="176"/>
      <c r="G21" s="176"/>
      <c r="H21" s="176"/>
      <c r="I21" s="175"/>
      <c r="J21" s="175"/>
      <c r="K21" s="176"/>
      <c r="L21" s="176"/>
    </row>
    <row r="22" spans="1:12" x14ac:dyDescent="0.25">
      <c r="A22" s="189"/>
      <c r="B22" s="175"/>
      <c r="C22" s="175"/>
      <c r="D22" s="175"/>
      <c r="E22" s="175"/>
      <c r="F22" s="176"/>
      <c r="G22" s="176"/>
      <c r="H22" s="176"/>
      <c r="I22" s="175"/>
      <c r="J22" s="175"/>
      <c r="K22" s="176"/>
      <c r="L22" s="176"/>
    </row>
  </sheetData>
  <sheetProtection algorithmName="SHA-512" hashValue="gBsIJ3XxZ2UjOM3thKzEum1g0o1tcVjuIMPvU20YEW3UYiYDGQ29zuv2jaWvv+i44bQZPJyzHt4+1VDVhUwLTg==" saltValue="SAKITfrnM3LwkRKGOFPDfw==" spinCount="100000" sheet="1" objects="1" scenarios="1" autoFilter="0"/>
  <mergeCells count="5">
    <mergeCell ref="B4:E4"/>
    <mergeCell ref="D10:G10"/>
    <mergeCell ref="I10:L10"/>
    <mergeCell ref="D11:G11"/>
    <mergeCell ref="I11:L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8">
    <tabColor rgb="FF0F6E23"/>
  </sheetPr>
  <dimension ref="A1:K83"/>
  <sheetViews>
    <sheetView workbookViewId="0"/>
  </sheetViews>
  <sheetFormatPr defaultColWidth="9.140625" defaultRowHeight="15" x14ac:dyDescent="0.25"/>
  <cols>
    <col min="1" max="3" width="9.140625" style="175"/>
    <col min="4" max="5" width="22.140625" style="175" customWidth="1"/>
    <col min="6" max="7" width="12.85546875" style="176" customWidth="1"/>
    <col min="8" max="9" width="22.140625" style="175" customWidth="1"/>
    <col min="10" max="11" width="12.85546875" style="176" customWidth="1"/>
    <col min="12" max="16384" width="9.140625" style="177"/>
  </cols>
  <sheetData>
    <row r="1" spans="1:11" s="405" customFormat="1" ht="45" customHeight="1" thickBot="1" x14ac:dyDescent="0.3">
      <c r="A1" s="429"/>
      <c r="B1" s="429"/>
      <c r="C1" s="429"/>
      <c r="D1" s="429"/>
      <c r="E1" s="406"/>
      <c r="F1" s="407"/>
      <c r="G1" s="407"/>
      <c r="H1" s="406"/>
      <c r="I1" s="406"/>
      <c r="J1" s="407"/>
      <c r="K1" s="407"/>
    </row>
    <row r="2" spans="1:11" s="463" customFormat="1" ht="4.5" customHeight="1" x14ac:dyDescent="0.25">
      <c r="A2" s="462"/>
      <c r="B2" s="464"/>
      <c r="C2" s="464"/>
      <c r="D2" s="464"/>
      <c r="E2" s="464"/>
      <c r="F2" s="465"/>
      <c r="G2" s="465"/>
      <c r="H2" s="464"/>
      <c r="I2" s="464"/>
      <c r="J2" s="465"/>
      <c r="K2" s="465"/>
    </row>
    <row r="3" spans="1:11" ht="15.75" thickBot="1" x14ac:dyDescent="0.3">
      <c r="A3" s="178"/>
      <c r="B3" s="179"/>
      <c r="C3" s="179"/>
    </row>
    <row r="4" spans="1:11" ht="15.75" thickBot="1" x14ac:dyDescent="0.3">
      <c r="A4" s="823">
        <f>ADD.DISCOUNT</f>
        <v>0</v>
      </c>
      <c r="B4" s="933" t="str">
        <f>HYPERLINK("#'LIST'!ADD.DISCOUNT","» "&amp;'DICTIONARY-1'!$A$5)</f>
        <v>» Ustaw globalny dodatkowy rabat</v>
      </c>
      <c r="C4" s="1017"/>
      <c r="D4" s="1017"/>
      <c r="E4" s="1018"/>
    </row>
    <row r="5" spans="1:11" x14ac:dyDescent="0.25">
      <c r="A5" s="178"/>
      <c r="B5" s="179"/>
      <c r="C5" s="179"/>
    </row>
    <row r="6" spans="1:11" ht="16.5" thickBot="1" x14ac:dyDescent="0.3">
      <c r="A6" s="712" t="str">
        <f>CONCATENATE('DICTIONARY-3'!$A$149," ",'DICTIONARY-3'!$A$204," / ",'DICTIONARY-3'!$A$323)</f>
        <v>CEREX 300-W Przepustnica kołnierzowa / Z dźwignią stalową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80" t="str">
        <f>'DICTIONARY-5'!$A$146</f>
        <v>Typ WAFER z otworami gwintowanymi pod śruby kołnierza</v>
      </c>
    </row>
    <row r="8" spans="1:11" x14ac:dyDescent="0.25">
      <c r="A8" s="180" t="str">
        <f>CONCATENATE('DICTIONARY-1'!$A$10,": ",SETTINGS!$C$42)</f>
        <v>Grupa rabatowa: CEREX 300</v>
      </c>
    </row>
    <row r="9" spans="1:11" x14ac:dyDescent="0.25">
      <c r="A9" s="182"/>
    </row>
    <row r="10" spans="1:11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020" t="str">
        <f>'DICTIONARY-3'!$A$149</f>
        <v>CEREX 300-W</v>
      </c>
      <c r="E10" s="1020"/>
      <c r="F10" s="1020"/>
      <c r="G10" s="1020"/>
      <c r="H10" s="1020" t="str">
        <f>'DICTIONARY-3'!$A$149</f>
        <v>CEREX 300-W</v>
      </c>
      <c r="I10" s="1020"/>
      <c r="J10" s="1020"/>
      <c r="K10" s="1020"/>
    </row>
    <row r="11" spans="1:11" x14ac:dyDescent="0.25">
      <c r="A11" s="184"/>
      <c r="B11" s="184"/>
      <c r="C11" s="184"/>
      <c r="D11" s="1019" t="str">
        <f>'DICTIONARY-5'!$A$43&amp;": "&amp;'DICTIONARY-5'!$A$44&amp;", "&amp;'DICTIONARY-5'!$A$147&amp;": "&amp;'DICTIONARY-5'!$A$50</f>
        <v xml:space="preserve">guma: EPDM, dysk: żeliwo sferoidalne </v>
      </c>
      <c r="E11" s="1019"/>
      <c r="F11" s="1019"/>
      <c r="G11" s="1019"/>
      <c r="H11" s="1019" t="str">
        <f>'DICTIONARY-5'!$A$43&amp;": "&amp;'DICTIONARY-5'!$A$44&amp;", "&amp;'DICTIONARY-5'!$A$147&amp;": "&amp;'DICTIONARY-5'!$A$32</f>
        <v>guma: EPDM, dysk: stal nierdzewna</v>
      </c>
      <c r="I11" s="1019"/>
      <c r="J11" s="1019"/>
      <c r="K11" s="1019"/>
    </row>
    <row r="12" spans="1:11" x14ac:dyDescent="0.25">
      <c r="A12" s="190"/>
      <c r="B12" s="190"/>
      <c r="C12" s="190" t="str">
        <f>'DICTIONARY-2'!$A$18</f>
        <v>[mm]</v>
      </c>
      <c r="D12" s="191" t="str">
        <f>'DICTIONARY-2'!$A$28</f>
        <v>stary nr zamówienia</v>
      </c>
      <c r="E12" s="191" t="str">
        <f>'DICTIONARY-2'!$A$29</f>
        <v>nowy nr zamówienia</v>
      </c>
      <c r="F12" s="186" t="str">
        <f>CURRENCY.CODE_1</f>
        <v>EUR</v>
      </c>
      <c r="G12" s="186" t="str">
        <f>CURRENCY.CODE_2</f>
        <v>---</v>
      </c>
      <c r="H12" s="191" t="str">
        <f>'DICTIONARY-2'!$A$28</f>
        <v>stary nr zamówienia</v>
      </c>
      <c r="I12" s="191" t="str">
        <f>'DICTIONARY-2'!$A$29</f>
        <v>nowy nr zamówienia</v>
      </c>
      <c r="J12" s="186" t="str">
        <f>CURRENCY.CODE_1</f>
        <v>EUR</v>
      </c>
      <c r="K12" s="186" t="str">
        <f>CURRENCY.CODE_2</f>
        <v>---</v>
      </c>
    </row>
    <row r="13" spans="1:11" x14ac:dyDescent="0.25">
      <c r="A13" s="187">
        <v>50</v>
      </c>
      <c r="B13" s="187" t="s">
        <v>85</v>
      </c>
      <c r="C13" s="187">
        <v>43</v>
      </c>
      <c r="D13" s="187" t="s">
        <v>1704</v>
      </c>
      <c r="E13" s="317" t="s">
        <v>3747</v>
      </c>
      <c r="F13" s="339" t="str">
        <f>IFERROR(IF(OR(E13='DICTIONARY-5'!$A$2,E13='DICTIONARY-5'!$A$4,ISBLANK(E13)),VLOOKUP(D13,LIST!$A$6:$L$3250,CURR_1.SEARCH.OLD,0),VLOOKUP(E13,LIST!$B$6:$L$3250,CURR_1.SEARCH.NEW,0)),'DICTIONARY-5'!$A$2)</f>
        <v>165,-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187" t="s">
        <v>1705</v>
      </c>
      <c r="I13" s="317" t="s">
        <v>3680</v>
      </c>
      <c r="J13" s="339" t="str">
        <f>IFERROR(IF(OR(I13='DICTIONARY-5'!$A$2,I13='DICTIONARY-5'!$A$4,ISBLANK(I13)),VLOOKUP(H13,LIST!$A$6:$L$3250,CURR_1.SEARCH.OLD,0),VLOOKUP(I13,LIST!$B$6:$L$3250,CURR_1.SEARCH.NEW,0)),'DICTIONARY-5'!$A$2)</f>
        <v>165,-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187">
        <v>65</v>
      </c>
      <c r="B14" s="187" t="s">
        <v>85</v>
      </c>
      <c r="C14" s="187">
        <v>46</v>
      </c>
      <c r="D14" s="187" t="s">
        <v>1706</v>
      </c>
      <c r="E14" s="317" t="s">
        <v>3754</v>
      </c>
      <c r="F14" s="339" t="str">
        <f>IFERROR(IF(OR(E14='DICTIONARY-5'!$A$2,E14='DICTIONARY-5'!$A$4,ISBLANK(E14)),VLOOKUP(D14,LIST!$A$6:$L$3250,CURR_1.SEARCH.OLD,0),VLOOKUP(E14,LIST!$B$6:$L$3250,CURR_1.SEARCH.NEW,0)),'DICTIONARY-5'!$A$2)</f>
        <v>170,-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87" t="s">
        <v>1707</v>
      </c>
      <c r="I14" s="317" t="s">
        <v>3687</v>
      </c>
      <c r="J14" s="339" t="str">
        <f>IFERROR(IF(OR(I14='DICTIONARY-5'!$A$2,I14='DICTIONARY-5'!$A$4,ISBLANK(I14)),VLOOKUP(H14,LIST!$A$6:$L$3250,CURR_1.SEARCH.OLD,0),VLOOKUP(I14,LIST!$B$6:$L$3250,CURR_1.SEARCH.NEW,0)),'DICTIONARY-5'!$A$2)</f>
        <v>172,-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187">
        <v>80</v>
      </c>
      <c r="B15" s="187" t="s">
        <v>85</v>
      </c>
      <c r="C15" s="187">
        <v>46</v>
      </c>
      <c r="D15" s="187" t="s">
        <v>1708</v>
      </c>
      <c r="E15" s="317" t="s">
        <v>3761</v>
      </c>
      <c r="F15" s="339" t="str">
        <f>IFERROR(IF(OR(E15='DICTIONARY-5'!$A$2,E15='DICTIONARY-5'!$A$4,ISBLANK(E15)),VLOOKUP(D15,LIST!$A$6:$L$3250,CURR_1.SEARCH.OLD,0),VLOOKUP(E15,LIST!$B$6:$L$3250,CURR_1.SEARCH.NEW,0)),'DICTIONARY-5'!$A$2)</f>
        <v>178,-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87" t="s">
        <v>1709</v>
      </c>
      <c r="I15" s="317" t="s">
        <v>3694</v>
      </c>
      <c r="J15" s="339" t="str">
        <f>IFERROR(IF(OR(I15='DICTIONARY-5'!$A$2,I15='DICTIONARY-5'!$A$4,ISBLANK(I15)),VLOOKUP(H15,LIST!$A$6:$L$3250,CURR_1.SEARCH.OLD,0),VLOOKUP(I15,LIST!$B$6:$L$3250,CURR_1.SEARCH.NEW,0)),'DICTIONARY-5'!$A$2)</f>
        <v>183,-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187">
        <v>100</v>
      </c>
      <c r="B16" s="187" t="s">
        <v>85</v>
      </c>
      <c r="C16" s="187">
        <v>52</v>
      </c>
      <c r="D16" s="187" t="s">
        <v>1710</v>
      </c>
      <c r="E16" s="317" t="s">
        <v>3768</v>
      </c>
      <c r="F16" s="339" t="str">
        <f>IFERROR(IF(OR(E16='DICTIONARY-5'!$A$2,E16='DICTIONARY-5'!$A$4,ISBLANK(E16)),VLOOKUP(D16,LIST!$A$6:$L$3250,CURR_1.SEARCH.OLD,0),VLOOKUP(E16,LIST!$B$6:$L$3250,CURR_1.SEARCH.NEW,0)),'DICTIONARY-5'!$A$2)</f>
        <v>216,-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87" t="s">
        <v>1711</v>
      </c>
      <c r="I16" s="317" t="s">
        <v>3701</v>
      </c>
      <c r="J16" s="339" t="str">
        <f>IFERROR(IF(OR(I16='DICTIONARY-5'!$A$2,I16='DICTIONARY-5'!$A$4,ISBLANK(I16)),VLOOKUP(H16,LIST!$A$6:$L$3250,CURR_1.SEARCH.OLD,0),VLOOKUP(I16,LIST!$B$6:$L$3250,CURR_1.SEARCH.NEW,0)),'DICTIONARY-5'!$A$2)</f>
        <v>222,-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187">
        <v>125</v>
      </c>
      <c r="B17" s="187" t="s">
        <v>85</v>
      </c>
      <c r="C17" s="187">
        <v>56</v>
      </c>
      <c r="D17" s="187" t="s">
        <v>1712</v>
      </c>
      <c r="E17" s="317" t="s">
        <v>3775</v>
      </c>
      <c r="F17" s="339" t="str">
        <f>IFERROR(IF(OR(E17='DICTIONARY-5'!$A$2,E17='DICTIONARY-5'!$A$4,ISBLANK(E17)),VLOOKUP(D17,LIST!$A$6:$L$3250,CURR_1.SEARCH.OLD,0),VLOOKUP(E17,LIST!$B$6:$L$3250,CURR_1.SEARCH.NEW,0)),'DICTIONARY-5'!$A$2)</f>
        <v>246,-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187" t="s">
        <v>1713</v>
      </c>
      <c r="I17" s="317" t="s">
        <v>3708</v>
      </c>
      <c r="J17" s="339" t="str">
        <f>IFERROR(IF(OR(I17='DICTIONARY-5'!$A$2,I17='DICTIONARY-5'!$A$4,ISBLANK(I17)),VLOOKUP(H17,LIST!$A$6:$L$3250,CURR_1.SEARCH.OLD,0),VLOOKUP(I17,LIST!$B$6:$L$3250,CURR_1.SEARCH.NEW,0)),'DICTIONARY-5'!$A$2)</f>
        <v>262,-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187">
        <v>150</v>
      </c>
      <c r="B18" s="187" t="s">
        <v>85</v>
      </c>
      <c r="C18" s="187">
        <v>56</v>
      </c>
      <c r="D18" s="187" t="s">
        <v>1714</v>
      </c>
      <c r="E18" s="317" t="s">
        <v>3782</v>
      </c>
      <c r="F18" s="339" t="str">
        <f>IFERROR(IF(OR(E18='DICTIONARY-5'!$A$2,E18='DICTIONARY-5'!$A$4,ISBLANK(E18)),VLOOKUP(D18,LIST!$A$6:$L$3250,CURR_1.SEARCH.OLD,0),VLOOKUP(E18,LIST!$B$6:$L$3250,CURR_1.SEARCH.NEW,0)),'DICTIONARY-5'!$A$2)</f>
        <v>342,-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187" t="s">
        <v>1715</v>
      </c>
      <c r="I18" s="317" t="s">
        <v>3715</v>
      </c>
      <c r="J18" s="339" t="str">
        <f>IFERROR(IF(OR(I18='DICTIONARY-5'!$A$2,I18='DICTIONARY-5'!$A$4,ISBLANK(I18)),VLOOKUP(H18,LIST!$A$6:$L$3250,CURR_1.SEARCH.OLD,0),VLOOKUP(I18,LIST!$B$6:$L$3250,CURR_1.SEARCH.NEW,0)),'DICTIONARY-5'!$A$2)</f>
        <v>380,-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187">
        <v>200</v>
      </c>
      <c r="B19" s="187" t="s">
        <v>85</v>
      </c>
      <c r="C19" s="187">
        <v>60</v>
      </c>
      <c r="D19" s="187" t="s">
        <v>1716</v>
      </c>
      <c r="E19" s="317" t="s">
        <v>3789</v>
      </c>
      <c r="F19" s="339" t="str">
        <f>IFERROR(IF(OR(E19='DICTIONARY-5'!$A$2,E19='DICTIONARY-5'!$A$4,ISBLANK(E19)),VLOOKUP(D19,LIST!$A$6:$L$3250,CURR_1.SEARCH.OLD,0),VLOOKUP(E19,LIST!$B$6:$L$3250,CURR_1.SEARCH.NEW,0)),'DICTIONARY-5'!$A$2)</f>
        <v>449,-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187" t="s">
        <v>1717</v>
      </c>
      <c r="I19" s="317" t="s">
        <v>3722</v>
      </c>
      <c r="J19" s="339" t="str">
        <f>IFERROR(IF(OR(I19='DICTIONARY-5'!$A$2,I19='DICTIONARY-5'!$A$4,ISBLANK(I19)),VLOOKUP(H19,LIST!$A$6:$L$3250,CURR_1.SEARCH.OLD,0),VLOOKUP(I19,LIST!$B$6:$L$3250,CURR_1.SEARCH.NEW,0)),'DICTIONARY-5'!$A$2)</f>
        <v>504,-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2" spans="1:11" x14ac:dyDescent="0.25">
      <c r="A22" s="183" t="str">
        <f>'DICTIONARY-2'!$A$2</f>
        <v>DN</v>
      </c>
      <c r="B22" s="183" t="str">
        <f>'DICTIONARY-2'!$A$3</f>
        <v>PN</v>
      </c>
      <c r="C22" s="183" t="str">
        <f>'DICTIONARY-2'!$A$24</f>
        <v>L</v>
      </c>
      <c r="D22" s="1020" t="str">
        <f>'DICTIONARY-3'!$A$149</f>
        <v>CEREX 300-W</v>
      </c>
      <c r="E22" s="1020"/>
      <c r="F22" s="1020"/>
      <c r="G22" s="1020"/>
      <c r="H22" s="1020" t="str">
        <f>'DICTIONARY-3'!$A$149</f>
        <v>CEREX 300-W</v>
      </c>
      <c r="I22" s="1020"/>
      <c r="J22" s="1020"/>
      <c r="K22" s="1020"/>
    </row>
    <row r="23" spans="1:11" x14ac:dyDescent="0.25">
      <c r="A23" s="184"/>
      <c r="B23" s="184"/>
      <c r="C23" s="184"/>
      <c r="D23" s="1019" t="str">
        <f>'DICTIONARY-5'!$A$43&amp;": "&amp;'DICTIONARY-5'!$A$45&amp;", "&amp;'DICTIONARY-5'!$A$147&amp;": "&amp;'DICTIONARY-5'!$A$50</f>
        <v xml:space="preserve">guma: NBR, dysk: żeliwo sferoidalne </v>
      </c>
      <c r="E23" s="1019"/>
      <c r="F23" s="1019"/>
      <c r="G23" s="1019"/>
      <c r="H23" s="1019" t="str">
        <f>'DICTIONARY-5'!$A$43&amp;": "&amp;'DICTIONARY-5'!$A$45&amp;", "&amp;'DICTIONARY-5'!$A$147&amp;": "&amp;'DICTIONARY-5'!$A$32</f>
        <v>guma: NBR, dysk: stal nierdzewna</v>
      </c>
      <c r="I23" s="1019"/>
      <c r="J23" s="1019"/>
      <c r="K23" s="1019"/>
    </row>
    <row r="24" spans="1:11" x14ac:dyDescent="0.25">
      <c r="A24" s="190"/>
      <c r="B24" s="190"/>
      <c r="C24" s="190" t="str">
        <f>'DICTIONARY-2'!$A$18</f>
        <v>[mm]</v>
      </c>
      <c r="D24" s="191" t="str">
        <f>'DICTIONARY-2'!$A$28</f>
        <v>stary nr zamówienia</v>
      </c>
      <c r="E24" s="191" t="str">
        <f>'DICTIONARY-2'!$A$29</f>
        <v>nowy nr zamówienia</v>
      </c>
      <c r="F24" s="186" t="str">
        <f>CURRENCY.CODE_1</f>
        <v>EUR</v>
      </c>
      <c r="G24" s="186" t="str">
        <f>CURRENCY.CODE_2</f>
        <v>---</v>
      </c>
      <c r="H24" s="191" t="str">
        <f>'DICTIONARY-2'!$A$28</f>
        <v>stary nr zamówienia</v>
      </c>
      <c r="I24" s="191" t="str">
        <f>'DICTIONARY-2'!$A$29</f>
        <v>nowy nr zamówienia</v>
      </c>
      <c r="J24" s="186" t="str">
        <f>CURRENCY.CODE_1</f>
        <v>EUR</v>
      </c>
      <c r="K24" s="186" t="str">
        <f>CURRENCY.CODE_2</f>
        <v>---</v>
      </c>
    </row>
    <row r="25" spans="1:11" x14ac:dyDescent="0.25">
      <c r="A25" s="187">
        <v>50</v>
      </c>
      <c r="B25" s="187" t="s">
        <v>85</v>
      </c>
      <c r="C25" s="187">
        <v>43</v>
      </c>
      <c r="D25" s="187" t="s">
        <v>1718</v>
      </c>
      <c r="E25" s="317" t="s">
        <v>3748</v>
      </c>
      <c r="F25" s="339" t="str">
        <f>IFERROR(IF(OR(E25='DICTIONARY-5'!$A$2,E25='DICTIONARY-5'!$A$4,ISBLANK(E25)),VLOOKUP(D25,LIST!$A$6:$L$3250,CURR_1.SEARCH.OLD,0),VLOOKUP(E25,LIST!$B$6:$L$3250,CURR_1.SEARCH.NEW,0)),'DICTIONARY-5'!$A$2)</f>
        <v>167,-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187" t="s">
        <v>1719</v>
      </c>
      <c r="I25" s="317" t="s">
        <v>3681</v>
      </c>
      <c r="J25" s="339" t="str">
        <f>IFERROR(IF(OR(I25='DICTIONARY-5'!$A$2,I25='DICTIONARY-5'!$A$4,ISBLANK(I25)),VLOOKUP(H25,LIST!$A$6:$L$3250,CURR_1.SEARCH.OLD,0),VLOOKUP(I25,LIST!$B$6:$L$3250,CURR_1.SEARCH.NEW,0)),'DICTIONARY-5'!$A$2)</f>
        <v>167,-</v>
      </c>
      <c r="K25" s="339" t="str">
        <f>IFERROR(IF(OR(I25='DICTIONARY-5'!$A$2,I25='DICTIONARY-5'!$A$4,ISBLANK(I25)),VLOOKUP(H25,LIST!$A$6:$M$3250,CURR_2.SEARCH.OLD,0),VLOOKUP(I25,LIST!$B$6:$M$3250,CURR_2.SEARCH.NEW,0)),'DICTIONARY-5'!$A$2)</f>
        <v/>
      </c>
    </row>
    <row r="26" spans="1:11" x14ac:dyDescent="0.25">
      <c r="A26" s="187">
        <v>65</v>
      </c>
      <c r="B26" s="187" t="s">
        <v>85</v>
      </c>
      <c r="C26" s="187">
        <v>46</v>
      </c>
      <c r="D26" s="187" t="s">
        <v>1720</v>
      </c>
      <c r="E26" s="317" t="s">
        <v>3755</v>
      </c>
      <c r="F26" s="339" t="str">
        <f>IFERROR(IF(OR(E26='DICTIONARY-5'!$A$2,E26='DICTIONARY-5'!$A$4,ISBLANK(E26)),VLOOKUP(D26,LIST!$A$6:$L$3250,CURR_1.SEARCH.OLD,0),VLOOKUP(E26,LIST!$B$6:$L$3250,CURR_1.SEARCH.NEW,0)),'DICTIONARY-5'!$A$2)</f>
        <v>182,-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187" t="s">
        <v>1721</v>
      </c>
      <c r="I26" s="317" t="s">
        <v>3688</v>
      </c>
      <c r="J26" s="339" t="str">
        <f>IFERROR(IF(OR(I26='DICTIONARY-5'!$A$2,I26='DICTIONARY-5'!$A$4,ISBLANK(I26)),VLOOKUP(H26,LIST!$A$6:$L$3250,CURR_1.SEARCH.OLD,0),VLOOKUP(I26,LIST!$B$6:$L$3250,CURR_1.SEARCH.NEW,0)),'DICTIONARY-5'!$A$2)</f>
        <v>183,-</v>
      </c>
      <c r="K26" s="339" t="str">
        <f>IFERROR(IF(OR(I26='DICTIONARY-5'!$A$2,I26='DICTIONARY-5'!$A$4,ISBLANK(I26)),VLOOKUP(H26,LIST!$A$6:$M$3250,CURR_2.SEARCH.OLD,0),VLOOKUP(I26,LIST!$B$6:$M$3250,CURR_2.SEARCH.NEW,0)),'DICTIONARY-5'!$A$2)</f>
        <v/>
      </c>
    </row>
    <row r="27" spans="1:11" x14ac:dyDescent="0.25">
      <c r="A27" s="187">
        <v>80</v>
      </c>
      <c r="B27" s="187" t="s">
        <v>85</v>
      </c>
      <c r="C27" s="187">
        <v>46</v>
      </c>
      <c r="D27" s="187" t="s">
        <v>1722</v>
      </c>
      <c r="E27" s="317" t="s">
        <v>3762</v>
      </c>
      <c r="F27" s="339" t="str">
        <f>IFERROR(IF(OR(E27='DICTIONARY-5'!$A$2,E27='DICTIONARY-5'!$A$4,ISBLANK(E27)),VLOOKUP(D27,LIST!$A$6:$L$3250,CURR_1.SEARCH.OLD,0),VLOOKUP(E27,LIST!$B$6:$L$3250,CURR_1.SEARCH.NEW,0)),'DICTIONARY-5'!$A$2)</f>
        <v>188,-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H27" s="187" t="s">
        <v>1723</v>
      </c>
      <c r="I27" s="317" t="s">
        <v>3695</v>
      </c>
      <c r="J27" s="339" t="str">
        <f>IFERROR(IF(OR(I27='DICTIONARY-5'!$A$2,I27='DICTIONARY-5'!$A$4,ISBLANK(I27)),VLOOKUP(H27,LIST!$A$6:$L$3250,CURR_1.SEARCH.OLD,0),VLOOKUP(I27,LIST!$B$6:$L$3250,CURR_1.SEARCH.NEW,0)),'DICTIONARY-5'!$A$2)</f>
        <v>193,-</v>
      </c>
      <c r="K27" s="339" t="str">
        <f>IFERROR(IF(OR(I27='DICTIONARY-5'!$A$2,I27='DICTIONARY-5'!$A$4,ISBLANK(I27)),VLOOKUP(H27,LIST!$A$6:$M$3250,CURR_2.SEARCH.OLD,0),VLOOKUP(I27,LIST!$B$6:$M$3250,CURR_2.SEARCH.NEW,0)),'DICTIONARY-5'!$A$2)</f>
        <v/>
      </c>
    </row>
    <row r="28" spans="1:11" x14ac:dyDescent="0.25">
      <c r="A28" s="187">
        <v>100</v>
      </c>
      <c r="B28" s="187" t="s">
        <v>85</v>
      </c>
      <c r="C28" s="187">
        <v>52</v>
      </c>
      <c r="D28" s="187" t="s">
        <v>1724</v>
      </c>
      <c r="E28" s="317" t="s">
        <v>3769</v>
      </c>
      <c r="F28" s="339" t="str">
        <f>IFERROR(IF(OR(E28='DICTIONARY-5'!$A$2,E28='DICTIONARY-5'!$A$4,ISBLANK(E28)),VLOOKUP(D28,LIST!$A$6:$L$3250,CURR_1.SEARCH.OLD,0),VLOOKUP(E28,LIST!$B$6:$L$3250,CURR_1.SEARCH.NEW,0)),'DICTIONARY-5'!$A$2)</f>
        <v>230,-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187" t="s">
        <v>1725</v>
      </c>
      <c r="I28" s="317" t="s">
        <v>3702</v>
      </c>
      <c r="J28" s="339" t="str">
        <f>IFERROR(IF(OR(I28='DICTIONARY-5'!$A$2,I28='DICTIONARY-5'!$A$4,ISBLANK(I28)),VLOOKUP(H28,LIST!$A$6:$L$3250,CURR_1.SEARCH.OLD,0),VLOOKUP(I28,LIST!$B$6:$L$3250,CURR_1.SEARCH.NEW,0)),'DICTIONARY-5'!$A$2)</f>
        <v>236,-</v>
      </c>
      <c r="K28" s="339" t="str">
        <f>IFERROR(IF(OR(I28='DICTIONARY-5'!$A$2,I28='DICTIONARY-5'!$A$4,ISBLANK(I28)),VLOOKUP(H28,LIST!$A$6:$M$3250,CURR_2.SEARCH.OLD,0),VLOOKUP(I28,LIST!$B$6:$M$3250,CURR_2.SEARCH.NEW,0)),'DICTIONARY-5'!$A$2)</f>
        <v/>
      </c>
    </row>
    <row r="29" spans="1:11" x14ac:dyDescent="0.25">
      <c r="A29" s="187">
        <v>125</v>
      </c>
      <c r="B29" s="187" t="s">
        <v>85</v>
      </c>
      <c r="C29" s="187">
        <v>56</v>
      </c>
      <c r="D29" s="187" t="s">
        <v>1726</v>
      </c>
      <c r="E29" s="317" t="s">
        <v>3776</v>
      </c>
      <c r="F29" s="339" t="str">
        <f>IFERROR(IF(OR(E29='DICTIONARY-5'!$A$2,E29='DICTIONARY-5'!$A$4,ISBLANK(E29)),VLOOKUP(D29,LIST!$A$6:$L$3250,CURR_1.SEARCH.OLD,0),VLOOKUP(E29,LIST!$B$6:$L$3250,CURR_1.SEARCH.NEW,0)),'DICTIONARY-5'!$A$2)</f>
        <v>258,-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H29" s="187" t="s">
        <v>1727</v>
      </c>
      <c r="I29" s="317" t="s">
        <v>3709</v>
      </c>
      <c r="J29" s="339" t="str">
        <f>IFERROR(IF(OR(I29='DICTIONARY-5'!$A$2,I29='DICTIONARY-5'!$A$4,ISBLANK(I29)),VLOOKUP(H29,LIST!$A$6:$L$3250,CURR_1.SEARCH.OLD,0),VLOOKUP(I29,LIST!$B$6:$L$3250,CURR_1.SEARCH.NEW,0)),'DICTIONARY-5'!$A$2)</f>
        <v>273,-</v>
      </c>
      <c r="K29" s="339" t="str">
        <f>IFERROR(IF(OR(I29='DICTIONARY-5'!$A$2,I29='DICTIONARY-5'!$A$4,ISBLANK(I29)),VLOOKUP(H29,LIST!$A$6:$M$3250,CURR_2.SEARCH.OLD,0),VLOOKUP(I29,LIST!$B$6:$M$3250,CURR_2.SEARCH.NEW,0)),'DICTIONARY-5'!$A$2)</f>
        <v/>
      </c>
    </row>
    <row r="30" spans="1:11" x14ac:dyDescent="0.25">
      <c r="A30" s="187">
        <v>150</v>
      </c>
      <c r="B30" s="187" t="s">
        <v>85</v>
      </c>
      <c r="C30" s="187">
        <v>56</v>
      </c>
      <c r="D30" s="187" t="s">
        <v>1728</v>
      </c>
      <c r="E30" s="317" t="s">
        <v>3783</v>
      </c>
      <c r="F30" s="339" t="str">
        <f>IFERROR(IF(OR(E30='DICTIONARY-5'!$A$2,E30='DICTIONARY-5'!$A$4,ISBLANK(E30)),VLOOKUP(D30,LIST!$A$6:$L$3250,CURR_1.SEARCH.OLD,0),VLOOKUP(E30,LIST!$B$6:$L$3250,CURR_1.SEARCH.NEW,0)),'DICTIONARY-5'!$A$2)</f>
        <v>355,-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H30" s="187" t="s">
        <v>1729</v>
      </c>
      <c r="I30" s="317" t="s">
        <v>3716</v>
      </c>
      <c r="J30" s="339" t="str">
        <f>IFERROR(IF(OR(I30='DICTIONARY-5'!$A$2,I30='DICTIONARY-5'!$A$4,ISBLANK(I30)),VLOOKUP(H30,LIST!$A$6:$L$3250,CURR_1.SEARCH.OLD,0),VLOOKUP(I30,LIST!$B$6:$L$3250,CURR_1.SEARCH.NEW,0)),'DICTIONARY-5'!$A$2)</f>
        <v>394,-</v>
      </c>
      <c r="K30" s="339" t="str">
        <f>IFERROR(IF(OR(I30='DICTIONARY-5'!$A$2,I30='DICTIONARY-5'!$A$4,ISBLANK(I30)),VLOOKUP(H30,LIST!$A$6:$M$3250,CURR_2.SEARCH.OLD,0),VLOOKUP(I30,LIST!$B$6:$M$3250,CURR_2.SEARCH.NEW,0)),'DICTIONARY-5'!$A$2)</f>
        <v/>
      </c>
    </row>
    <row r="31" spans="1:11" x14ac:dyDescent="0.25">
      <c r="A31" s="187">
        <v>200</v>
      </c>
      <c r="B31" s="187" t="s">
        <v>85</v>
      </c>
      <c r="C31" s="187">
        <v>60</v>
      </c>
      <c r="D31" s="187" t="s">
        <v>1730</v>
      </c>
      <c r="E31" s="317" t="s">
        <v>3790</v>
      </c>
      <c r="F31" s="339" t="str">
        <f>IFERROR(IF(OR(E31='DICTIONARY-5'!$A$2,E31='DICTIONARY-5'!$A$4,ISBLANK(E31)),VLOOKUP(D31,LIST!$A$6:$L$3250,CURR_1.SEARCH.OLD,0),VLOOKUP(E31,LIST!$B$6:$L$3250,CURR_1.SEARCH.NEW,0)),'DICTIONARY-5'!$A$2)</f>
        <v>467,-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187" t="s">
        <v>1731</v>
      </c>
      <c r="I31" s="317" t="s">
        <v>3723</v>
      </c>
      <c r="J31" s="339" t="str">
        <f>IFERROR(IF(OR(I31='DICTIONARY-5'!$A$2,I31='DICTIONARY-5'!$A$4,ISBLANK(I31)),VLOOKUP(H31,LIST!$A$6:$L$3250,CURR_1.SEARCH.OLD,0),VLOOKUP(I31,LIST!$B$6:$L$3250,CURR_1.SEARCH.NEW,0)),'DICTIONARY-5'!$A$2)</f>
        <v>521,-</v>
      </c>
      <c r="K31" s="339" t="str">
        <f>IFERROR(IF(OR(I31='DICTIONARY-5'!$A$2,I31='DICTIONARY-5'!$A$4,ISBLANK(I31)),VLOOKUP(H31,LIST!$A$6:$M$3250,CURR_2.SEARCH.OLD,0),VLOOKUP(I31,LIST!$B$6:$M$3250,CURR_2.SEARCH.NEW,0)),'DICTIONARY-5'!$A$2)</f>
        <v/>
      </c>
    </row>
    <row r="32" spans="1:11" x14ac:dyDescent="0.25">
      <c r="A32" s="189"/>
    </row>
    <row r="35" spans="1:11" ht="16.5" thickBot="1" x14ac:dyDescent="0.3">
      <c r="A35" s="712" t="str">
        <f>CONCATENATE('DICTIONARY-3'!$A$149," ",'DICTIONARY-3'!$A$204," / ",'DICTIONARY-3'!$A$324)</f>
        <v>CEREX 300-W Przepustnica kołnierzowa / Z dźwignią ze stali nierdzewnej</v>
      </c>
      <c r="B35" s="712"/>
      <c r="C35" s="712"/>
      <c r="D35" s="712"/>
      <c r="E35" s="712"/>
      <c r="F35" s="712"/>
      <c r="G35" s="712"/>
      <c r="H35" s="712"/>
      <c r="I35" s="712"/>
      <c r="J35" s="712"/>
      <c r="K35" s="712"/>
    </row>
    <row r="36" spans="1:11" x14ac:dyDescent="0.25">
      <c r="A36" s="180" t="str">
        <f>'DICTIONARY-5'!$A$146</f>
        <v>Typ WAFER z otworami gwintowanymi pod śruby kołnierza</v>
      </c>
      <c r="G36" s="177"/>
      <c r="H36" s="177"/>
      <c r="I36" s="177"/>
      <c r="J36" s="177"/>
      <c r="K36" s="177"/>
    </row>
    <row r="37" spans="1:11" x14ac:dyDescent="0.25">
      <c r="A37" s="180" t="str">
        <f>CONCATENATE('DICTIONARY-1'!$A$10,": ",SETTINGS!$C$42)</f>
        <v>Grupa rabatowa: CEREX 300</v>
      </c>
      <c r="G37" s="177"/>
      <c r="H37" s="177"/>
      <c r="I37" s="177"/>
      <c r="J37" s="177"/>
      <c r="K37" s="177"/>
    </row>
    <row r="38" spans="1:11" x14ac:dyDescent="0.25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</row>
    <row r="39" spans="1:11" x14ac:dyDescent="0.25">
      <c r="A39" s="183" t="str">
        <f>'DICTIONARY-2'!$A$2</f>
        <v>DN</v>
      </c>
      <c r="B39" s="183" t="str">
        <f>'DICTIONARY-2'!$A$3</f>
        <v>PN</v>
      </c>
      <c r="C39" s="183" t="str">
        <f>'DICTIONARY-2'!$A$24</f>
        <v>L</v>
      </c>
      <c r="D39" s="1020" t="str">
        <f>'DICTIONARY-3'!$A$149</f>
        <v>CEREX 300-W</v>
      </c>
      <c r="E39" s="1020"/>
      <c r="F39" s="1020"/>
      <c r="G39" s="1020"/>
      <c r="H39" s="1020" t="str">
        <f>'DICTIONARY-3'!$A$149</f>
        <v>CEREX 300-W</v>
      </c>
      <c r="I39" s="1020"/>
      <c r="J39" s="1020"/>
      <c r="K39" s="1020"/>
    </row>
    <row r="40" spans="1:11" x14ac:dyDescent="0.25">
      <c r="A40" s="184"/>
      <c r="B40" s="184"/>
      <c r="C40" s="184"/>
      <c r="D40" s="1019" t="str">
        <f>'DICTIONARY-5'!$A$43&amp;": "&amp;'DICTIONARY-5'!$A$44&amp;", "&amp;'DICTIONARY-5'!$A$147&amp;": "&amp;'DICTIONARY-5'!$A$50</f>
        <v xml:space="preserve">guma: EPDM, dysk: żeliwo sferoidalne </v>
      </c>
      <c r="E40" s="1019"/>
      <c r="F40" s="1019"/>
      <c r="G40" s="1019"/>
      <c r="H40" s="1019" t="str">
        <f>'DICTIONARY-5'!$A$43&amp;": "&amp;'DICTIONARY-5'!$A$44&amp;", "&amp;'DICTIONARY-5'!$A$147&amp;": "&amp;'DICTIONARY-5'!$A$32</f>
        <v>guma: EPDM, dysk: stal nierdzewna</v>
      </c>
      <c r="I40" s="1019"/>
      <c r="J40" s="1019"/>
      <c r="K40" s="1019"/>
    </row>
    <row r="41" spans="1:11" x14ac:dyDescent="0.25">
      <c r="A41" s="190"/>
      <c r="B41" s="190"/>
      <c r="C41" s="190" t="str">
        <f>'DICTIONARY-2'!$A$18</f>
        <v>[mm]</v>
      </c>
      <c r="D41" s="191" t="str">
        <f>'DICTIONARY-2'!$A$28</f>
        <v>stary nr zamówienia</v>
      </c>
      <c r="E41" s="191" t="str">
        <f>'DICTIONARY-2'!$A$29</f>
        <v>nowy nr zamówienia</v>
      </c>
      <c r="F41" s="186" t="str">
        <f>CURRENCY.CODE_1</f>
        <v>EUR</v>
      </c>
      <c r="G41" s="186" t="str">
        <f>CURRENCY.CODE_2</f>
        <v>---</v>
      </c>
      <c r="H41" s="191" t="str">
        <f>'DICTIONARY-2'!$A$28</f>
        <v>stary nr zamówienia</v>
      </c>
      <c r="I41" s="191" t="str">
        <f>'DICTIONARY-2'!$A$29</f>
        <v>nowy nr zamówienia</v>
      </c>
      <c r="J41" s="186" t="str">
        <f>CURRENCY.CODE_1</f>
        <v>EUR</v>
      </c>
      <c r="K41" s="186" t="str">
        <f>CURRENCY.CODE_2</f>
        <v>---</v>
      </c>
    </row>
    <row r="42" spans="1:11" x14ac:dyDescent="0.25">
      <c r="A42" s="187">
        <v>50</v>
      </c>
      <c r="B42" s="187" t="s">
        <v>85</v>
      </c>
      <c r="C42" s="187">
        <v>43</v>
      </c>
      <c r="D42" s="187" t="s">
        <v>1732</v>
      </c>
      <c r="E42" s="317" t="s">
        <v>3743</v>
      </c>
      <c r="F42" s="339" t="str">
        <f>IFERROR(IF(OR(E42='DICTIONARY-5'!$A$2,E42='DICTIONARY-5'!$A$4,ISBLANK(E42)),VLOOKUP(D42,LIST!$A$6:$L$3250,CURR_1.SEARCH.OLD,0),VLOOKUP(E42,LIST!$B$6:$L$3250,CURR_1.SEARCH.NEW,0)),'DICTIONARY-5'!$A$2)</f>
        <v>187,-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  <c r="H42" s="187" t="s">
        <v>1733</v>
      </c>
      <c r="I42" s="317" t="s">
        <v>3676</v>
      </c>
      <c r="J42" s="339" t="str">
        <f>IFERROR(IF(OR(I42='DICTIONARY-5'!$A$2,I42='DICTIONARY-5'!$A$4,ISBLANK(I42)),VLOOKUP(H42,LIST!$A$6:$L$3250,CURR_1.SEARCH.OLD,0),VLOOKUP(I42,LIST!$B$6:$L$3250,CURR_1.SEARCH.NEW,0)),'DICTIONARY-5'!$A$2)</f>
        <v>185,-</v>
      </c>
      <c r="K42" s="339" t="str">
        <f>IFERROR(IF(OR(I42='DICTIONARY-5'!$A$2,I42='DICTIONARY-5'!$A$4,ISBLANK(I42)),VLOOKUP(H42,LIST!$A$6:$M$3250,CURR_2.SEARCH.OLD,0),VLOOKUP(I42,LIST!$B$6:$M$3250,CURR_2.SEARCH.NEW,0)),'DICTIONARY-5'!$A$2)</f>
        <v/>
      </c>
    </row>
    <row r="43" spans="1:11" x14ac:dyDescent="0.25">
      <c r="A43" s="187">
        <v>65</v>
      </c>
      <c r="B43" s="187" t="s">
        <v>85</v>
      </c>
      <c r="C43" s="187">
        <v>46</v>
      </c>
      <c r="D43" s="187" t="s">
        <v>1734</v>
      </c>
      <c r="E43" s="317" t="s">
        <v>3750</v>
      </c>
      <c r="F43" s="339" t="str">
        <f>IFERROR(IF(OR(E43='DICTIONARY-5'!$A$2,E43='DICTIONARY-5'!$A$4,ISBLANK(E43)),VLOOKUP(D43,LIST!$A$6:$L$3250,CURR_1.SEARCH.OLD,0),VLOOKUP(E43,LIST!$B$6:$L$3250,CURR_1.SEARCH.NEW,0)),'DICTIONARY-5'!$A$2)</f>
        <v>193,-</v>
      </c>
      <c r="G43" s="339" t="str">
        <f>IFERROR(IF(OR(E43='DICTIONARY-5'!$A$2,E43='DICTIONARY-5'!$A$4,ISBLANK(E43)),VLOOKUP(D43,LIST!$A$6:$M$3250,CURR_2.SEARCH.OLD,0),VLOOKUP(E43,LIST!$B$6:$M$3250,CURR_2.SEARCH.NEW,0)),'DICTIONARY-5'!$A$2)</f>
        <v/>
      </c>
      <c r="H43" s="187" t="s">
        <v>1735</v>
      </c>
      <c r="I43" s="317" t="s">
        <v>3683</v>
      </c>
      <c r="J43" s="339" t="str">
        <f>IFERROR(IF(OR(I43='DICTIONARY-5'!$A$2,I43='DICTIONARY-5'!$A$4,ISBLANK(I43)),VLOOKUP(H43,LIST!$A$6:$L$3250,CURR_1.SEARCH.OLD,0),VLOOKUP(I43,LIST!$B$6:$L$3250,CURR_1.SEARCH.NEW,0)),'DICTIONARY-5'!$A$2)</f>
        <v>194,-</v>
      </c>
      <c r="K43" s="339" t="str">
        <f>IFERROR(IF(OR(I43='DICTIONARY-5'!$A$2,I43='DICTIONARY-5'!$A$4,ISBLANK(I43)),VLOOKUP(H43,LIST!$A$6:$M$3250,CURR_2.SEARCH.OLD,0),VLOOKUP(I43,LIST!$B$6:$M$3250,CURR_2.SEARCH.NEW,0)),'DICTIONARY-5'!$A$2)</f>
        <v/>
      </c>
    </row>
    <row r="44" spans="1:11" x14ac:dyDescent="0.25">
      <c r="A44" s="187">
        <v>80</v>
      </c>
      <c r="B44" s="187" t="s">
        <v>85</v>
      </c>
      <c r="C44" s="187">
        <v>46</v>
      </c>
      <c r="D44" s="187" t="s">
        <v>1736</v>
      </c>
      <c r="E44" s="317" t="s">
        <v>3757</v>
      </c>
      <c r="F44" s="339" t="str">
        <f>IFERROR(IF(OR(E44='DICTIONARY-5'!$A$2,E44='DICTIONARY-5'!$A$4,ISBLANK(E44)),VLOOKUP(D44,LIST!$A$6:$L$3250,CURR_1.SEARCH.OLD,0),VLOOKUP(E44,LIST!$B$6:$L$3250,CURR_1.SEARCH.NEW,0)),'DICTIONARY-5'!$A$2)</f>
        <v>201,-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  <c r="H44" s="187" t="s">
        <v>1737</v>
      </c>
      <c r="I44" s="317" t="s">
        <v>3690</v>
      </c>
      <c r="J44" s="339" t="str">
        <f>IFERROR(IF(OR(I44='DICTIONARY-5'!$A$2,I44='DICTIONARY-5'!$A$4,ISBLANK(I44)),VLOOKUP(H44,LIST!$A$6:$L$3250,CURR_1.SEARCH.OLD,0),VLOOKUP(I44,LIST!$B$6:$L$3250,CURR_1.SEARCH.NEW,0)),'DICTIONARY-5'!$A$2)</f>
        <v>205,-</v>
      </c>
      <c r="K44" s="339" t="str">
        <f>IFERROR(IF(OR(I44='DICTIONARY-5'!$A$2,I44='DICTIONARY-5'!$A$4,ISBLANK(I44)),VLOOKUP(H44,LIST!$A$6:$M$3250,CURR_2.SEARCH.OLD,0),VLOOKUP(I44,LIST!$B$6:$M$3250,CURR_2.SEARCH.NEW,0)),'DICTIONARY-5'!$A$2)</f>
        <v/>
      </c>
    </row>
    <row r="45" spans="1:11" x14ac:dyDescent="0.25">
      <c r="A45" s="187">
        <v>100</v>
      </c>
      <c r="B45" s="187" t="s">
        <v>85</v>
      </c>
      <c r="C45" s="187">
        <v>52</v>
      </c>
      <c r="D45" s="187" t="s">
        <v>1738</v>
      </c>
      <c r="E45" s="317" t="s">
        <v>3764</v>
      </c>
      <c r="F45" s="339" t="str">
        <f>IFERROR(IF(OR(E45='DICTIONARY-5'!$A$2,E45='DICTIONARY-5'!$A$4,ISBLANK(E45)),VLOOKUP(D45,LIST!$A$6:$L$3250,CURR_1.SEARCH.OLD,0),VLOOKUP(E45,LIST!$B$6:$L$3250,CURR_1.SEARCH.NEW,0)),'DICTIONARY-5'!$A$2)</f>
        <v>237,-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  <c r="H45" s="187" t="s">
        <v>1739</v>
      </c>
      <c r="I45" s="317" t="s">
        <v>3697</v>
      </c>
      <c r="J45" s="339" t="str">
        <f>IFERROR(IF(OR(I45='DICTIONARY-5'!$A$2,I45='DICTIONARY-5'!$A$4,ISBLANK(I45)),VLOOKUP(H45,LIST!$A$6:$L$3250,CURR_1.SEARCH.OLD,0),VLOOKUP(I45,LIST!$B$6:$L$3250,CURR_1.SEARCH.NEW,0)),'DICTIONARY-5'!$A$2)</f>
        <v>244,-</v>
      </c>
      <c r="K45" s="339" t="str">
        <f>IFERROR(IF(OR(I45='DICTIONARY-5'!$A$2,I45='DICTIONARY-5'!$A$4,ISBLANK(I45)),VLOOKUP(H45,LIST!$A$6:$M$3250,CURR_2.SEARCH.OLD,0),VLOOKUP(I45,LIST!$B$6:$M$3250,CURR_2.SEARCH.NEW,0)),'DICTIONARY-5'!$A$2)</f>
        <v/>
      </c>
    </row>
    <row r="46" spans="1:11" x14ac:dyDescent="0.25">
      <c r="A46" s="187">
        <v>125</v>
      </c>
      <c r="B46" s="187" t="s">
        <v>85</v>
      </c>
      <c r="C46" s="187">
        <v>56</v>
      </c>
      <c r="D46" s="187" t="s">
        <v>1740</v>
      </c>
      <c r="E46" s="317" t="s">
        <v>3771</v>
      </c>
      <c r="F46" s="339" t="str">
        <f>IFERROR(IF(OR(E46='DICTIONARY-5'!$A$2,E46='DICTIONARY-5'!$A$4,ISBLANK(E46)),VLOOKUP(D46,LIST!$A$6:$L$3250,CURR_1.SEARCH.OLD,0),VLOOKUP(E46,LIST!$B$6:$L$3250,CURR_1.SEARCH.NEW,0)),'DICTIONARY-5'!$A$2)</f>
        <v>268,-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  <c r="H46" s="187" t="s">
        <v>1741</v>
      </c>
      <c r="I46" s="317" t="s">
        <v>3704</v>
      </c>
      <c r="J46" s="339" t="str">
        <f>IFERROR(IF(OR(I46='DICTIONARY-5'!$A$2,I46='DICTIONARY-5'!$A$4,ISBLANK(I46)),VLOOKUP(H46,LIST!$A$6:$L$3250,CURR_1.SEARCH.OLD,0),VLOOKUP(I46,LIST!$B$6:$L$3250,CURR_1.SEARCH.NEW,0)),'DICTIONARY-5'!$A$2)</f>
        <v>283,-</v>
      </c>
      <c r="K46" s="339" t="str">
        <f>IFERROR(IF(OR(I46='DICTIONARY-5'!$A$2,I46='DICTIONARY-5'!$A$4,ISBLANK(I46)),VLOOKUP(H46,LIST!$A$6:$M$3250,CURR_2.SEARCH.OLD,0),VLOOKUP(I46,LIST!$B$6:$M$3250,CURR_2.SEARCH.NEW,0)),'DICTIONARY-5'!$A$2)</f>
        <v/>
      </c>
    </row>
    <row r="47" spans="1:11" x14ac:dyDescent="0.25">
      <c r="A47" s="187">
        <v>150</v>
      </c>
      <c r="B47" s="187" t="s">
        <v>85</v>
      </c>
      <c r="C47" s="187">
        <v>56</v>
      </c>
      <c r="D47" s="187" t="s">
        <v>1742</v>
      </c>
      <c r="E47" s="317" t="s">
        <v>3778</v>
      </c>
      <c r="F47" s="339" t="str">
        <f>IFERROR(IF(OR(E47='DICTIONARY-5'!$A$2,E47='DICTIONARY-5'!$A$4,ISBLANK(E47)),VLOOKUP(D47,LIST!$A$6:$L$3250,CURR_1.SEARCH.OLD,0),VLOOKUP(E47,LIST!$B$6:$L$3250,CURR_1.SEARCH.NEW,0)),'DICTIONARY-5'!$A$2)</f>
        <v>354,-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187" t="s">
        <v>1743</v>
      </c>
      <c r="I47" s="317" t="s">
        <v>3711</v>
      </c>
      <c r="J47" s="339" t="str">
        <f>IFERROR(IF(OR(I47='DICTIONARY-5'!$A$2,I47='DICTIONARY-5'!$A$4,ISBLANK(I47)),VLOOKUP(H47,LIST!$A$6:$L$3250,CURR_1.SEARCH.OLD,0),VLOOKUP(I47,LIST!$B$6:$L$3250,CURR_1.SEARCH.NEW,0)),'DICTIONARY-5'!$A$2)</f>
        <v>393,-</v>
      </c>
      <c r="K47" s="339" t="str">
        <f>IFERROR(IF(OR(I47='DICTIONARY-5'!$A$2,I47='DICTIONARY-5'!$A$4,ISBLANK(I47)),VLOOKUP(H47,LIST!$A$6:$M$3250,CURR_2.SEARCH.OLD,0),VLOOKUP(I47,LIST!$B$6:$M$3250,CURR_2.SEARCH.NEW,0)),'DICTIONARY-5'!$A$2)</f>
        <v/>
      </c>
    </row>
    <row r="48" spans="1:11" x14ac:dyDescent="0.25">
      <c r="A48" s="187">
        <v>200</v>
      </c>
      <c r="B48" s="187" t="s">
        <v>85</v>
      </c>
      <c r="C48" s="187">
        <v>60</v>
      </c>
      <c r="D48" s="187" t="s">
        <v>1744</v>
      </c>
      <c r="E48" s="317" t="s">
        <v>3785</v>
      </c>
      <c r="F48" s="339" t="str">
        <f>IFERROR(IF(OR(E48='DICTIONARY-5'!$A$2,E48='DICTIONARY-5'!$A$4,ISBLANK(E48)),VLOOKUP(D48,LIST!$A$6:$L$3250,CURR_1.SEARCH.OLD,0),VLOOKUP(E48,LIST!$B$6:$L$3250,CURR_1.SEARCH.NEW,0)),'DICTIONARY-5'!$A$2)</f>
        <v>461,-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187" t="s">
        <v>1745</v>
      </c>
      <c r="I48" s="317" t="s">
        <v>3718</v>
      </c>
      <c r="J48" s="339" t="str">
        <f>IFERROR(IF(OR(I48='DICTIONARY-5'!$A$2,I48='DICTIONARY-5'!$A$4,ISBLANK(I48)),VLOOKUP(H48,LIST!$A$6:$L$3250,CURR_1.SEARCH.OLD,0),VLOOKUP(I48,LIST!$B$6:$L$3250,CURR_1.SEARCH.NEW,0)),'DICTIONARY-5'!$A$2)</f>
        <v>516,-</v>
      </c>
      <c r="K48" s="339" t="str">
        <f>IFERROR(IF(OR(I48='DICTIONARY-5'!$A$2,I48='DICTIONARY-5'!$A$4,ISBLANK(I48)),VLOOKUP(H48,LIST!$A$6:$M$3250,CURR_2.SEARCH.OLD,0),VLOOKUP(I48,LIST!$B$6:$M$3250,CURR_2.SEARCH.NEW,0)),'DICTIONARY-5'!$A$2)</f>
        <v/>
      </c>
    </row>
    <row r="51" spans="1:11" x14ac:dyDescent="0.25">
      <c r="A51" s="183" t="str">
        <f>'DICTIONARY-2'!$A$2</f>
        <v>DN</v>
      </c>
      <c r="B51" s="183" t="str">
        <f>'DICTIONARY-2'!$A$3</f>
        <v>PN</v>
      </c>
      <c r="C51" s="183" t="str">
        <f>'DICTIONARY-2'!$A$24</f>
        <v>L</v>
      </c>
      <c r="D51" s="1020" t="str">
        <f>'DICTIONARY-3'!$A$149</f>
        <v>CEREX 300-W</v>
      </c>
      <c r="E51" s="1020"/>
      <c r="F51" s="1020"/>
      <c r="G51" s="1020"/>
      <c r="H51" s="1020" t="str">
        <f>'DICTIONARY-3'!$A$149</f>
        <v>CEREX 300-W</v>
      </c>
      <c r="I51" s="1020"/>
      <c r="J51" s="1020"/>
      <c r="K51" s="1020"/>
    </row>
    <row r="52" spans="1:11" x14ac:dyDescent="0.25">
      <c r="A52" s="184"/>
      <c r="B52" s="184"/>
      <c r="C52" s="184"/>
      <c r="D52" s="1019" t="str">
        <f>'DICTIONARY-5'!$A$43&amp;": "&amp;'DICTIONARY-5'!$A$45&amp;", "&amp;'DICTIONARY-5'!$A$147&amp;": "&amp;'DICTIONARY-5'!$A$50</f>
        <v xml:space="preserve">guma: NBR, dysk: żeliwo sferoidalne </v>
      </c>
      <c r="E52" s="1019"/>
      <c r="F52" s="1019"/>
      <c r="G52" s="1019"/>
      <c r="H52" s="1019" t="str">
        <f>'DICTIONARY-5'!$A$43&amp;": "&amp;'DICTIONARY-5'!$A$45&amp;", "&amp;'DICTIONARY-5'!$A$147&amp;": "&amp;'DICTIONARY-5'!$A$32</f>
        <v>guma: NBR, dysk: stal nierdzewna</v>
      </c>
      <c r="I52" s="1019"/>
      <c r="J52" s="1019"/>
      <c r="K52" s="1019"/>
    </row>
    <row r="53" spans="1:11" x14ac:dyDescent="0.25">
      <c r="A53" s="190"/>
      <c r="B53" s="190"/>
      <c r="C53" s="190" t="str">
        <f>'DICTIONARY-2'!$A$18</f>
        <v>[mm]</v>
      </c>
      <c r="D53" s="191" t="str">
        <f>'DICTIONARY-2'!$A$28</f>
        <v>stary nr zamówienia</v>
      </c>
      <c r="E53" s="191" t="str">
        <f>'DICTIONARY-2'!$A$29</f>
        <v>nowy nr zamówienia</v>
      </c>
      <c r="F53" s="186" t="str">
        <f>CURRENCY.CODE_1</f>
        <v>EUR</v>
      </c>
      <c r="G53" s="186" t="str">
        <f>CURRENCY.CODE_2</f>
        <v>---</v>
      </c>
      <c r="H53" s="191" t="str">
        <f>'DICTIONARY-2'!$A$28</f>
        <v>stary nr zamówienia</v>
      </c>
      <c r="I53" s="191" t="str">
        <f>'DICTIONARY-2'!$A$29</f>
        <v>nowy nr zamówienia</v>
      </c>
      <c r="J53" s="186" t="str">
        <f>CURRENCY.CODE_1</f>
        <v>EUR</v>
      </c>
      <c r="K53" s="186" t="str">
        <f>CURRENCY.CODE_2</f>
        <v>---</v>
      </c>
    </row>
    <row r="54" spans="1:11" x14ac:dyDescent="0.25">
      <c r="A54" s="187">
        <v>50</v>
      </c>
      <c r="B54" s="187" t="s">
        <v>85</v>
      </c>
      <c r="C54" s="187">
        <v>43</v>
      </c>
      <c r="D54" s="187" t="s">
        <v>1746</v>
      </c>
      <c r="E54" s="317" t="s">
        <v>3744</v>
      </c>
      <c r="F54" s="339" t="str">
        <f>IFERROR(IF(OR(E54='DICTIONARY-5'!$A$2,E54='DICTIONARY-5'!$A$4,ISBLANK(E54)),VLOOKUP(D54,LIST!$A$6:$L$3250,CURR_1.SEARCH.OLD,0),VLOOKUP(E54,LIST!$B$6:$L$3250,CURR_1.SEARCH.NEW,0)),'DICTIONARY-5'!$A$2)</f>
        <v>189,-</v>
      </c>
      <c r="G54" s="339" t="str">
        <f>IFERROR(IF(OR(E54='DICTIONARY-5'!$A$2,E54='DICTIONARY-5'!$A$4,ISBLANK(E54)),VLOOKUP(D54,LIST!$A$6:$M$3250,CURR_2.SEARCH.OLD,0),VLOOKUP(E54,LIST!$B$6:$M$3250,CURR_2.SEARCH.NEW,0)),'DICTIONARY-5'!$A$2)</f>
        <v/>
      </c>
      <c r="H54" s="187" t="s">
        <v>1747</v>
      </c>
      <c r="I54" s="317" t="s">
        <v>3677</v>
      </c>
      <c r="J54" s="339" t="str">
        <f>IFERROR(IF(OR(I54='DICTIONARY-5'!$A$2,I54='DICTIONARY-5'!$A$4,ISBLANK(I54)),VLOOKUP(H54,LIST!$A$6:$L$3250,CURR_1.SEARCH.OLD,0),VLOOKUP(I54,LIST!$B$6:$L$3250,CURR_1.SEARCH.NEW,0)),'DICTIONARY-5'!$A$2)</f>
        <v>189,-</v>
      </c>
      <c r="K54" s="339" t="str">
        <f>IFERROR(IF(OR(I54='DICTIONARY-5'!$A$2,I54='DICTIONARY-5'!$A$4,ISBLANK(I54)),VLOOKUP(H54,LIST!$A$6:$M$3250,CURR_2.SEARCH.OLD,0),VLOOKUP(I54,LIST!$B$6:$M$3250,CURR_2.SEARCH.NEW,0)),'DICTIONARY-5'!$A$2)</f>
        <v/>
      </c>
    </row>
    <row r="55" spans="1:11" x14ac:dyDescent="0.25">
      <c r="A55" s="187">
        <v>65</v>
      </c>
      <c r="B55" s="187" t="s">
        <v>85</v>
      </c>
      <c r="C55" s="187">
        <v>46</v>
      </c>
      <c r="D55" s="187" t="s">
        <v>1748</v>
      </c>
      <c r="E55" s="317" t="s">
        <v>3751</v>
      </c>
      <c r="F55" s="339" t="str">
        <f>IFERROR(IF(OR(E55='DICTIONARY-5'!$A$2,E55='DICTIONARY-5'!$A$4,ISBLANK(E55)),VLOOKUP(D55,LIST!$A$6:$L$3250,CURR_1.SEARCH.OLD,0),VLOOKUP(E55,LIST!$B$6:$L$3250,CURR_1.SEARCH.NEW,0)),'DICTIONARY-5'!$A$2)</f>
        <v>204,-</v>
      </c>
      <c r="G55" s="339" t="str">
        <f>IFERROR(IF(OR(E55='DICTIONARY-5'!$A$2,E55='DICTIONARY-5'!$A$4,ISBLANK(E55)),VLOOKUP(D55,LIST!$A$6:$M$3250,CURR_2.SEARCH.OLD,0),VLOOKUP(E55,LIST!$B$6:$M$3250,CURR_2.SEARCH.NEW,0)),'DICTIONARY-5'!$A$2)</f>
        <v/>
      </c>
      <c r="H55" s="187" t="s">
        <v>1749</v>
      </c>
      <c r="I55" s="317" t="s">
        <v>3684</v>
      </c>
      <c r="J55" s="339" t="str">
        <f>IFERROR(IF(OR(I55='DICTIONARY-5'!$A$2,I55='DICTIONARY-5'!$A$4,ISBLANK(I55)),VLOOKUP(H55,LIST!$A$6:$L$3250,CURR_1.SEARCH.OLD,0),VLOOKUP(I55,LIST!$B$6:$L$3250,CURR_1.SEARCH.NEW,0)),'DICTIONARY-5'!$A$2)</f>
        <v>205,-</v>
      </c>
      <c r="K55" s="339" t="str">
        <f>IFERROR(IF(OR(I55='DICTIONARY-5'!$A$2,I55='DICTIONARY-5'!$A$4,ISBLANK(I55)),VLOOKUP(H55,LIST!$A$6:$M$3250,CURR_2.SEARCH.OLD,0),VLOOKUP(I55,LIST!$B$6:$M$3250,CURR_2.SEARCH.NEW,0)),'DICTIONARY-5'!$A$2)</f>
        <v/>
      </c>
    </row>
    <row r="56" spans="1:11" x14ac:dyDescent="0.25">
      <c r="A56" s="187">
        <v>80</v>
      </c>
      <c r="B56" s="187" t="s">
        <v>85</v>
      </c>
      <c r="C56" s="187">
        <v>46</v>
      </c>
      <c r="D56" s="187" t="s">
        <v>1750</v>
      </c>
      <c r="E56" s="317" t="s">
        <v>3758</v>
      </c>
      <c r="F56" s="339" t="str">
        <f>IFERROR(IF(OR(E56='DICTIONARY-5'!$A$2,E56='DICTIONARY-5'!$A$4,ISBLANK(E56)),VLOOKUP(D56,LIST!$A$6:$L$3250,CURR_1.SEARCH.OLD,0),VLOOKUP(E56,LIST!$B$6:$L$3250,CURR_1.SEARCH.NEW,0)),'DICTIONARY-5'!$A$2)</f>
        <v>210,-</v>
      </c>
      <c r="G56" s="339" t="str">
        <f>IFERROR(IF(OR(E56='DICTIONARY-5'!$A$2,E56='DICTIONARY-5'!$A$4,ISBLANK(E56)),VLOOKUP(D56,LIST!$A$6:$M$3250,CURR_2.SEARCH.OLD,0),VLOOKUP(E56,LIST!$B$6:$M$3250,CURR_2.SEARCH.NEW,0)),'DICTIONARY-5'!$A$2)</f>
        <v/>
      </c>
      <c r="H56" s="187" t="s">
        <v>1751</v>
      </c>
      <c r="I56" s="317" t="s">
        <v>3691</v>
      </c>
      <c r="J56" s="339" t="str">
        <f>IFERROR(IF(OR(I56='DICTIONARY-5'!$A$2,I56='DICTIONARY-5'!$A$4,ISBLANK(I56)),VLOOKUP(H56,LIST!$A$6:$L$3250,CURR_1.SEARCH.OLD,0),VLOOKUP(I56,LIST!$B$6:$L$3250,CURR_1.SEARCH.NEW,0)),'DICTIONARY-5'!$A$2)</f>
        <v>215,-</v>
      </c>
      <c r="K56" s="339" t="str">
        <f>IFERROR(IF(OR(I56='DICTIONARY-5'!$A$2,I56='DICTIONARY-5'!$A$4,ISBLANK(I56)),VLOOKUP(H56,LIST!$A$6:$M$3250,CURR_2.SEARCH.OLD,0),VLOOKUP(I56,LIST!$B$6:$M$3250,CURR_2.SEARCH.NEW,0)),'DICTIONARY-5'!$A$2)</f>
        <v/>
      </c>
    </row>
    <row r="57" spans="1:11" x14ac:dyDescent="0.25">
      <c r="A57" s="187">
        <v>100</v>
      </c>
      <c r="B57" s="187" t="s">
        <v>85</v>
      </c>
      <c r="C57" s="187">
        <v>52</v>
      </c>
      <c r="D57" s="187" t="s">
        <v>1752</v>
      </c>
      <c r="E57" s="317" t="s">
        <v>3765</v>
      </c>
      <c r="F57" s="339" t="str">
        <f>IFERROR(IF(OR(E57='DICTIONARY-5'!$A$2,E57='DICTIONARY-5'!$A$4,ISBLANK(E57)),VLOOKUP(D57,LIST!$A$6:$L$3250,CURR_1.SEARCH.OLD,0),VLOOKUP(E57,LIST!$B$6:$L$3250,CURR_1.SEARCH.NEW,0)),'DICTIONARY-5'!$A$2)</f>
        <v>250,-</v>
      </c>
      <c r="G57" s="339" t="str">
        <f>IFERROR(IF(OR(E57='DICTIONARY-5'!$A$2,E57='DICTIONARY-5'!$A$4,ISBLANK(E57)),VLOOKUP(D57,LIST!$A$6:$M$3250,CURR_2.SEARCH.OLD,0),VLOOKUP(E57,LIST!$B$6:$M$3250,CURR_2.SEARCH.NEW,0)),'DICTIONARY-5'!$A$2)</f>
        <v/>
      </c>
      <c r="H57" s="187" t="s">
        <v>1753</v>
      </c>
      <c r="I57" s="317" t="s">
        <v>3698</v>
      </c>
      <c r="J57" s="339" t="str">
        <f>IFERROR(IF(OR(I57='DICTIONARY-5'!$A$2,I57='DICTIONARY-5'!$A$4,ISBLANK(I57)),VLOOKUP(H57,LIST!$A$6:$L$3250,CURR_1.SEARCH.OLD,0),VLOOKUP(I57,LIST!$B$6:$L$3250,CURR_1.SEARCH.NEW,0)),'DICTIONARY-5'!$A$2)</f>
        <v>258,-</v>
      </c>
      <c r="K57" s="339" t="str">
        <f>IFERROR(IF(OR(I57='DICTIONARY-5'!$A$2,I57='DICTIONARY-5'!$A$4,ISBLANK(I57)),VLOOKUP(H57,LIST!$A$6:$M$3250,CURR_2.SEARCH.OLD,0),VLOOKUP(I57,LIST!$B$6:$M$3250,CURR_2.SEARCH.NEW,0)),'DICTIONARY-5'!$A$2)</f>
        <v/>
      </c>
    </row>
    <row r="58" spans="1:11" x14ac:dyDescent="0.25">
      <c r="A58" s="187">
        <v>125</v>
      </c>
      <c r="B58" s="187" t="s">
        <v>85</v>
      </c>
      <c r="C58" s="187">
        <v>56</v>
      </c>
      <c r="D58" s="187" t="s">
        <v>1754</v>
      </c>
      <c r="E58" s="317" t="s">
        <v>3772</v>
      </c>
      <c r="F58" s="339" t="str">
        <f>IFERROR(IF(OR(E58='DICTIONARY-5'!$A$2,E58='DICTIONARY-5'!$A$4,ISBLANK(E58)),VLOOKUP(D58,LIST!$A$6:$L$3250,CURR_1.SEARCH.OLD,0),VLOOKUP(E58,LIST!$B$6:$L$3250,CURR_1.SEARCH.NEW,0)),'DICTIONARY-5'!$A$2)</f>
        <v>279,-</v>
      </c>
      <c r="G58" s="339" t="str">
        <f>IFERROR(IF(OR(E58='DICTIONARY-5'!$A$2,E58='DICTIONARY-5'!$A$4,ISBLANK(E58)),VLOOKUP(D58,LIST!$A$6:$M$3250,CURR_2.SEARCH.OLD,0),VLOOKUP(E58,LIST!$B$6:$M$3250,CURR_2.SEARCH.NEW,0)),'DICTIONARY-5'!$A$2)</f>
        <v/>
      </c>
      <c r="H58" s="187" t="s">
        <v>1755</v>
      </c>
      <c r="I58" s="317" t="s">
        <v>3705</v>
      </c>
      <c r="J58" s="339" t="str">
        <f>IFERROR(IF(OR(I58='DICTIONARY-5'!$A$2,I58='DICTIONARY-5'!$A$4,ISBLANK(I58)),VLOOKUP(H58,LIST!$A$6:$L$3250,CURR_1.SEARCH.OLD,0),VLOOKUP(I58,LIST!$B$6:$L$3250,CURR_1.SEARCH.NEW,0)),'DICTIONARY-5'!$A$2)</f>
        <v>294,-</v>
      </c>
      <c r="K58" s="339" t="str">
        <f>IFERROR(IF(OR(I58='DICTIONARY-5'!$A$2,I58='DICTIONARY-5'!$A$4,ISBLANK(I58)),VLOOKUP(H58,LIST!$A$6:$M$3250,CURR_2.SEARCH.OLD,0),VLOOKUP(I58,LIST!$B$6:$M$3250,CURR_2.SEARCH.NEW,0)),'DICTIONARY-5'!$A$2)</f>
        <v/>
      </c>
    </row>
    <row r="59" spans="1:11" x14ac:dyDescent="0.25">
      <c r="A59" s="187">
        <v>150</v>
      </c>
      <c r="B59" s="187" t="s">
        <v>85</v>
      </c>
      <c r="C59" s="187">
        <v>56</v>
      </c>
      <c r="D59" s="187" t="s">
        <v>1756</v>
      </c>
      <c r="E59" s="317" t="s">
        <v>3779</v>
      </c>
      <c r="F59" s="339" t="str">
        <f>IFERROR(IF(OR(E59='DICTIONARY-5'!$A$2,E59='DICTIONARY-5'!$A$4,ISBLANK(E59)),VLOOKUP(D59,LIST!$A$6:$L$3250,CURR_1.SEARCH.OLD,0),VLOOKUP(E59,LIST!$B$6:$L$3250,CURR_1.SEARCH.NEW,0)),'DICTIONARY-5'!$A$2)</f>
        <v>367,-</v>
      </c>
      <c r="G59" s="339" t="str">
        <f>IFERROR(IF(OR(E59='DICTIONARY-5'!$A$2,E59='DICTIONARY-5'!$A$4,ISBLANK(E59)),VLOOKUP(D59,LIST!$A$6:$M$3250,CURR_2.SEARCH.OLD,0),VLOOKUP(E59,LIST!$B$6:$M$3250,CURR_2.SEARCH.NEW,0)),'DICTIONARY-5'!$A$2)</f>
        <v/>
      </c>
      <c r="H59" s="187" t="s">
        <v>1757</v>
      </c>
      <c r="I59" s="317" t="s">
        <v>3712</v>
      </c>
      <c r="J59" s="339" t="str">
        <f>IFERROR(IF(OR(I59='DICTIONARY-5'!$A$2,I59='DICTIONARY-5'!$A$4,ISBLANK(I59)),VLOOKUP(H59,LIST!$A$6:$L$3250,CURR_1.SEARCH.OLD,0),VLOOKUP(I59,LIST!$B$6:$L$3250,CURR_1.SEARCH.NEW,0)),'DICTIONARY-5'!$A$2)</f>
        <v>406,-</v>
      </c>
      <c r="K59" s="339" t="str">
        <f>IFERROR(IF(OR(I59='DICTIONARY-5'!$A$2,I59='DICTIONARY-5'!$A$4,ISBLANK(I59)),VLOOKUP(H59,LIST!$A$6:$M$3250,CURR_2.SEARCH.OLD,0),VLOOKUP(I59,LIST!$B$6:$M$3250,CURR_2.SEARCH.NEW,0)),'DICTIONARY-5'!$A$2)</f>
        <v/>
      </c>
    </row>
    <row r="60" spans="1:11" x14ac:dyDescent="0.25">
      <c r="A60" s="187">
        <v>200</v>
      </c>
      <c r="B60" s="187" t="s">
        <v>85</v>
      </c>
      <c r="C60" s="187">
        <v>60</v>
      </c>
      <c r="D60" s="187" t="s">
        <v>1758</v>
      </c>
      <c r="E60" s="317" t="s">
        <v>3786</v>
      </c>
      <c r="F60" s="339" t="str">
        <f>IFERROR(IF(OR(E60='DICTIONARY-5'!$A$2,E60='DICTIONARY-5'!$A$4,ISBLANK(E60)),VLOOKUP(D60,LIST!$A$6:$L$3250,CURR_1.SEARCH.OLD,0),VLOOKUP(E60,LIST!$B$6:$L$3250,CURR_1.SEARCH.NEW,0)),'DICTIONARY-5'!$A$2)</f>
        <v>477,-</v>
      </c>
      <c r="G60" s="339" t="str">
        <f>IFERROR(IF(OR(E60='DICTIONARY-5'!$A$2,E60='DICTIONARY-5'!$A$4,ISBLANK(E60)),VLOOKUP(D60,LIST!$A$6:$M$3250,CURR_2.SEARCH.OLD,0),VLOOKUP(E60,LIST!$B$6:$M$3250,CURR_2.SEARCH.NEW,0)),'DICTIONARY-5'!$A$2)</f>
        <v/>
      </c>
      <c r="H60" s="187" t="s">
        <v>1759</v>
      </c>
      <c r="I60" s="317" t="s">
        <v>3719</v>
      </c>
      <c r="J60" s="339" t="str">
        <f>IFERROR(IF(OR(I60='DICTIONARY-5'!$A$2,I60='DICTIONARY-5'!$A$4,ISBLANK(I60)),VLOOKUP(H60,LIST!$A$6:$L$3250,CURR_1.SEARCH.OLD,0),VLOOKUP(I60,LIST!$B$6:$L$3250,CURR_1.SEARCH.NEW,0)),'DICTIONARY-5'!$A$2)</f>
        <v>533,-</v>
      </c>
      <c r="K60" s="339" t="str">
        <f>IFERROR(IF(OR(I60='DICTIONARY-5'!$A$2,I60='DICTIONARY-5'!$A$4,ISBLANK(I60)),VLOOKUP(H60,LIST!$A$6:$M$3250,CURR_2.SEARCH.OLD,0),VLOOKUP(I60,LIST!$B$6:$M$3250,CURR_2.SEARCH.NEW,0)),'DICTIONARY-5'!$A$2)</f>
        <v/>
      </c>
    </row>
    <row r="64" spans="1:11" ht="16.5" thickBot="1" x14ac:dyDescent="0.3">
      <c r="A64" s="712" t="str">
        <f>CONCATENATE('DICTIONARY-3'!$A$149," ",'DICTIONARY-3'!$A$204," / ",'DICTIONARY-3'!$A$325)</f>
        <v>CEREX 300-W Przepustnica kołnierzowa / Z dźwignią żeliwną</v>
      </c>
      <c r="B64" s="712"/>
      <c r="C64" s="712"/>
      <c r="D64" s="712"/>
      <c r="E64" s="712"/>
      <c r="F64" s="712"/>
      <c r="G64" s="712"/>
      <c r="H64" s="712"/>
      <c r="I64" s="712"/>
      <c r="J64" s="712"/>
      <c r="K64" s="712"/>
    </row>
    <row r="65" spans="1:11" x14ac:dyDescent="0.25">
      <c r="A65" s="180" t="str">
        <f>'DICTIONARY-5'!$A$146</f>
        <v>Typ WAFER z otworami gwintowanymi pod śruby kołnierza</v>
      </c>
      <c r="G65" s="177"/>
      <c r="H65" s="177"/>
      <c r="I65" s="177"/>
      <c r="J65" s="177"/>
      <c r="K65" s="177"/>
    </row>
    <row r="66" spans="1:11" x14ac:dyDescent="0.25">
      <c r="A66" s="180" t="str">
        <f>CONCATENATE('DICTIONARY-1'!$A$10,": ",SETTINGS!$C$42)</f>
        <v>Grupa rabatowa: CEREX 300</v>
      </c>
      <c r="G66" s="177"/>
      <c r="H66" s="177"/>
      <c r="I66" s="177"/>
      <c r="J66" s="177"/>
      <c r="K66" s="177"/>
    </row>
    <row r="67" spans="1:11" x14ac:dyDescent="0.25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</row>
    <row r="68" spans="1:11" x14ac:dyDescent="0.25">
      <c r="A68" s="183" t="str">
        <f>'DICTIONARY-2'!$A$2</f>
        <v>DN</v>
      </c>
      <c r="B68" s="183" t="str">
        <f>'DICTIONARY-2'!$A$3</f>
        <v>PN</v>
      </c>
      <c r="C68" s="183" t="str">
        <f>'DICTIONARY-2'!$A$24</f>
        <v>L</v>
      </c>
      <c r="D68" s="1020" t="str">
        <f>'DICTIONARY-3'!$A$149</f>
        <v>CEREX 300-W</v>
      </c>
      <c r="E68" s="1020"/>
      <c r="F68" s="1020"/>
      <c r="G68" s="1020"/>
      <c r="H68" s="1020" t="str">
        <f>'DICTIONARY-3'!$A$149</f>
        <v>CEREX 300-W</v>
      </c>
      <c r="I68" s="1020"/>
      <c r="J68" s="1020"/>
      <c r="K68" s="1020"/>
    </row>
    <row r="69" spans="1:11" x14ac:dyDescent="0.25">
      <c r="A69" s="184"/>
      <c r="B69" s="184"/>
      <c r="C69" s="184"/>
      <c r="D69" s="1019" t="str">
        <f>'DICTIONARY-5'!$A$43&amp;": "&amp;'DICTIONARY-5'!$A$44&amp;", "&amp;'DICTIONARY-5'!$A$147&amp;": "&amp;'DICTIONARY-5'!$A$50</f>
        <v xml:space="preserve">guma: EPDM, dysk: żeliwo sferoidalne </v>
      </c>
      <c r="E69" s="1019"/>
      <c r="F69" s="1019"/>
      <c r="G69" s="1019"/>
      <c r="H69" s="1019" t="str">
        <f>'DICTIONARY-5'!$A$43&amp;": "&amp;'DICTIONARY-5'!$A$44&amp;", "&amp;'DICTIONARY-5'!$A$147&amp;": "&amp;'DICTIONARY-5'!$A$32</f>
        <v>guma: EPDM, dysk: stal nierdzewna</v>
      </c>
      <c r="I69" s="1019"/>
      <c r="J69" s="1019"/>
      <c r="K69" s="1019"/>
    </row>
    <row r="70" spans="1:11" x14ac:dyDescent="0.25">
      <c r="A70" s="190"/>
      <c r="B70" s="190"/>
      <c r="C70" s="190" t="str">
        <f>'DICTIONARY-2'!$A$18</f>
        <v>[mm]</v>
      </c>
      <c r="D70" s="191" t="str">
        <f>'DICTIONARY-2'!$A$28</f>
        <v>stary nr zamówienia</v>
      </c>
      <c r="E70" s="191" t="str">
        <f>'DICTIONARY-2'!$A$29</f>
        <v>nowy nr zamówienia</v>
      </c>
      <c r="F70" s="186" t="str">
        <f>CURRENCY.CODE_1</f>
        <v>EUR</v>
      </c>
      <c r="G70" s="186" t="str">
        <f>CURRENCY.CODE_2</f>
        <v>---</v>
      </c>
      <c r="H70" s="191" t="str">
        <f>'DICTIONARY-2'!$A$28</f>
        <v>stary nr zamówienia</v>
      </c>
      <c r="I70" s="191" t="str">
        <f>'DICTIONARY-2'!$A$29</f>
        <v>nowy nr zamówienia</v>
      </c>
      <c r="J70" s="186" t="str">
        <f>CURRENCY.CODE_1</f>
        <v>EUR</v>
      </c>
      <c r="K70" s="186" t="str">
        <f>CURRENCY.CODE_2</f>
        <v>---</v>
      </c>
    </row>
    <row r="71" spans="1:11" x14ac:dyDescent="0.25">
      <c r="A71" s="187">
        <v>250</v>
      </c>
      <c r="B71" s="192" t="s">
        <v>1605</v>
      </c>
      <c r="C71" s="187">
        <v>68</v>
      </c>
      <c r="D71" s="187" t="s">
        <v>1760</v>
      </c>
      <c r="E71" s="317" t="s">
        <v>3793</v>
      </c>
      <c r="F71" s="339" t="str">
        <f>IFERROR(IF(OR(E71='DICTIONARY-5'!$A$2,E71='DICTIONARY-5'!$A$4,ISBLANK(E71)),VLOOKUP(D71,LIST!$A$6:$L$3250,CURR_1.SEARCH.OLD,0),VLOOKUP(E71,LIST!$B$6:$L$3250,CURR_1.SEARCH.NEW,0)),'DICTIONARY-5'!$A$2)</f>
        <v>545,-</v>
      </c>
      <c r="G71" s="339" t="str">
        <f>IFERROR(IF(OR(E71='DICTIONARY-5'!$A$2,E71='DICTIONARY-5'!$A$4,ISBLANK(E71)),VLOOKUP(D71,LIST!$A$6:$M$3250,CURR_2.SEARCH.OLD,0),VLOOKUP(E71,LIST!$B$6:$M$3250,CURR_2.SEARCH.NEW,0)),'DICTIONARY-5'!$A$2)</f>
        <v/>
      </c>
      <c r="H71" s="187" t="s">
        <v>1761</v>
      </c>
      <c r="I71" s="317" t="s">
        <v>3726</v>
      </c>
      <c r="J71" s="339" t="str">
        <f>IFERROR(IF(OR(I71='DICTIONARY-5'!$A$2,I71='DICTIONARY-5'!$A$4,ISBLANK(I71)),VLOOKUP(H71,LIST!$A$6:$L$3250,CURR_1.SEARCH.OLD,0),VLOOKUP(I71,LIST!$B$6:$L$3250,CURR_1.SEARCH.NEW,0)),'DICTIONARY-5'!$A$2)</f>
        <v>696,-</v>
      </c>
      <c r="K71" s="339" t="str">
        <f>IFERROR(IF(OR(I71='DICTIONARY-5'!$A$2,I71='DICTIONARY-5'!$A$4,ISBLANK(I71)),VLOOKUP(H71,LIST!$A$6:$M$3250,CURR_2.SEARCH.OLD,0),VLOOKUP(I71,LIST!$B$6:$M$3250,CURR_2.SEARCH.NEW,0)),'DICTIONARY-5'!$A$2)</f>
        <v/>
      </c>
    </row>
    <row r="72" spans="1:11" x14ac:dyDescent="0.25">
      <c r="A72" s="187">
        <v>300</v>
      </c>
      <c r="B72" s="192" t="s">
        <v>1605</v>
      </c>
      <c r="C72" s="187">
        <v>78</v>
      </c>
      <c r="D72" s="187" t="s">
        <v>1762</v>
      </c>
      <c r="E72" s="317" t="s">
        <v>3797</v>
      </c>
      <c r="F72" s="339" t="str">
        <f>IFERROR(IF(OR(E72='DICTIONARY-5'!$A$2,E72='DICTIONARY-5'!$A$4,ISBLANK(E72)),VLOOKUP(D72,LIST!$A$6:$L$3250,CURR_1.SEARCH.OLD,0),VLOOKUP(E72,LIST!$B$6:$L$3250,CURR_1.SEARCH.NEW,0)),'DICTIONARY-5'!$A$2)</f>
        <v>721,-</v>
      </c>
      <c r="G72" s="339" t="str">
        <f>IFERROR(IF(OR(E72='DICTIONARY-5'!$A$2,E72='DICTIONARY-5'!$A$4,ISBLANK(E72)),VLOOKUP(D72,LIST!$A$6:$M$3250,CURR_2.SEARCH.OLD,0),VLOOKUP(E72,LIST!$B$6:$M$3250,CURR_2.SEARCH.NEW,0)),'DICTIONARY-5'!$A$2)</f>
        <v/>
      </c>
      <c r="H72" s="187" t="s">
        <v>1763</v>
      </c>
      <c r="I72" s="317" t="s">
        <v>3730</v>
      </c>
      <c r="J72" s="339" t="str">
        <f>IFERROR(IF(OR(I72='DICTIONARY-5'!$A$2,I72='DICTIONARY-5'!$A$4,ISBLANK(I72)),VLOOKUP(H72,LIST!$A$6:$L$3250,CURR_1.SEARCH.OLD,0),VLOOKUP(I72,LIST!$B$6:$L$3250,CURR_1.SEARCH.NEW,0)),'DICTIONARY-5'!$A$2)</f>
        <v>943,-</v>
      </c>
      <c r="K72" s="339" t="str">
        <f>IFERROR(IF(OR(I72='DICTIONARY-5'!$A$2,I72='DICTIONARY-5'!$A$4,ISBLANK(I72)),VLOOKUP(H72,LIST!$A$6:$M$3250,CURR_2.SEARCH.OLD,0),VLOOKUP(I72,LIST!$B$6:$M$3250,CURR_2.SEARCH.NEW,0)),'DICTIONARY-5'!$A$2)</f>
        <v/>
      </c>
    </row>
    <row r="73" spans="1:11" x14ac:dyDescent="0.25">
      <c r="J73" s="177"/>
      <c r="K73" s="177"/>
    </row>
    <row r="74" spans="1:11" x14ac:dyDescent="0.25">
      <c r="A74" s="552" t="str">
        <f>"1) "&amp;'DICTIONARY-5'!$A$92&amp;": max. 0,6 MPa / 6 bar"</f>
        <v>1) Ciśnienie robocze: max. 0,6 MPa / 6 bar</v>
      </c>
      <c r="B74" s="177"/>
      <c r="C74" s="177"/>
      <c r="D74" s="177"/>
      <c r="E74" s="177"/>
      <c r="F74" s="177"/>
      <c r="G74" s="177"/>
      <c r="H74" s="177"/>
      <c r="I74" s="177"/>
      <c r="J74" s="177"/>
      <c r="K74" s="177"/>
    </row>
    <row r="75" spans="1:11" x14ac:dyDescent="0.25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</row>
    <row r="76" spans="1:11" x14ac:dyDescent="0.25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</row>
    <row r="77" spans="1:11" x14ac:dyDescent="0.25">
      <c r="A77" s="183" t="str">
        <f>'DICTIONARY-2'!$A$2</f>
        <v>DN</v>
      </c>
      <c r="B77" s="183" t="str">
        <f>'DICTIONARY-2'!$A$3</f>
        <v>PN</v>
      </c>
      <c r="C77" s="183" t="str">
        <f>'DICTIONARY-2'!$A$24</f>
        <v>L</v>
      </c>
      <c r="D77" s="1020" t="str">
        <f>'DICTIONARY-3'!$A$149</f>
        <v>CEREX 300-W</v>
      </c>
      <c r="E77" s="1020"/>
      <c r="F77" s="1020"/>
      <c r="G77" s="1020"/>
      <c r="H77" s="1020" t="str">
        <f>'DICTIONARY-3'!$A$149</f>
        <v>CEREX 300-W</v>
      </c>
      <c r="I77" s="1020"/>
      <c r="J77" s="1020"/>
      <c r="K77" s="1020"/>
    </row>
    <row r="78" spans="1:11" x14ac:dyDescent="0.25">
      <c r="A78" s="184"/>
      <c r="B78" s="184"/>
      <c r="C78" s="184"/>
      <c r="D78" s="1019" t="str">
        <f>'DICTIONARY-5'!$A$43&amp;": "&amp;'DICTIONARY-5'!$A$45&amp;", "&amp;'DICTIONARY-5'!$A$147&amp;": "&amp;'DICTIONARY-5'!$A$50</f>
        <v xml:space="preserve">guma: NBR, dysk: żeliwo sferoidalne </v>
      </c>
      <c r="E78" s="1019"/>
      <c r="F78" s="1019"/>
      <c r="G78" s="1019"/>
      <c r="H78" s="1019" t="str">
        <f>'DICTIONARY-5'!$A$43&amp;": "&amp;'DICTIONARY-5'!$A$45&amp;", "&amp;'DICTIONARY-5'!$A$147&amp;": "&amp;'DICTIONARY-5'!$A$32</f>
        <v>guma: NBR, dysk: stal nierdzewna</v>
      </c>
      <c r="I78" s="1019"/>
      <c r="J78" s="1019"/>
      <c r="K78" s="1019"/>
    </row>
    <row r="79" spans="1:11" x14ac:dyDescent="0.25">
      <c r="A79" s="190"/>
      <c r="B79" s="190"/>
      <c r="C79" s="190" t="str">
        <f>'DICTIONARY-2'!$A$18</f>
        <v>[mm]</v>
      </c>
      <c r="D79" s="191" t="str">
        <f>'DICTIONARY-2'!$A$28</f>
        <v>stary nr zamówienia</v>
      </c>
      <c r="E79" s="191" t="str">
        <f>'DICTIONARY-2'!$A$29</f>
        <v>nowy nr zamówienia</v>
      </c>
      <c r="F79" s="186" t="str">
        <f>CURRENCY.CODE_1</f>
        <v>EUR</v>
      </c>
      <c r="G79" s="186" t="str">
        <f>CURRENCY.CODE_2</f>
        <v>---</v>
      </c>
      <c r="H79" s="191" t="str">
        <f>'DICTIONARY-2'!$A$28</f>
        <v>stary nr zamówienia</v>
      </c>
      <c r="I79" s="191" t="str">
        <f>'DICTIONARY-2'!$A$29</f>
        <v>nowy nr zamówienia</v>
      </c>
      <c r="J79" s="186" t="str">
        <f>CURRENCY.CODE_1</f>
        <v>EUR</v>
      </c>
      <c r="K79" s="186" t="str">
        <f>CURRENCY.CODE_2</f>
        <v>---</v>
      </c>
    </row>
    <row r="80" spans="1:11" x14ac:dyDescent="0.25">
      <c r="A80" s="187">
        <v>250</v>
      </c>
      <c r="B80" s="192" t="s">
        <v>1605</v>
      </c>
      <c r="C80" s="187">
        <v>68</v>
      </c>
      <c r="D80" s="187" t="s">
        <v>1764</v>
      </c>
      <c r="E80" s="317" t="s">
        <v>3794</v>
      </c>
      <c r="F80" s="339" t="str">
        <f>IFERROR(IF(OR(E80='DICTIONARY-5'!$A$2,E80='DICTIONARY-5'!$A$4,ISBLANK(E80)),VLOOKUP(D80,LIST!$A$6:$L$3250,CURR_1.SEARCH.OLD,0),VLOOKUP(E80,LIST!$B$6:$L$3250,CURR_1.SEARCH.NEW,0)),'DICTIONARY-5'!$A$2)</f>
        <v>555,-</v>
      </c>
      <c r="G80" s="339" t="str">
        <f>IFERROR(IF(OR(E80='DICTIONARY-5'!$A$2,E80='DICTIONARY-5'!$A$4,ISBLANK(E80)),VLOOKUP(D80,LIST!$A$6:$M$3250,CURR_2.SEARCH.OLD,0),VLOOKUP(E80,LIST!$B$6:$M$3250,CURR_2.SEARCH.NEW,0)),'DICTIONARY-5'!$A$2)</f>
        <v/>
      </c>
      <c r="H80" s="187" t="s">
        <v>1765</v>
      </c>
      <c r="I80" s="317" t="s">
        <v>3727</v>
      </c>
      <c r="J80" s="339" t="str">
        <f>IFERROR(IF(OR(I80='DICTIONARY-5'!$A$2,I80='DICTIONARY-5'!$A$4,ISBLANK(I80)),VLOOKUP(H80,LIST!$A$6:$L$3250,CURR_1.SEARCH.OLD,0),VLOOKUP(I80,LIST!$B$6:$L$3250,CURR_1.SEARCH.NEW,0)),'DICTIONARY-5'!$A$2)</f>
        <v>707,-</v>
      </c>
      <c r="K80" s="339" t="str">
        <f>IFERROR(IF(OR(I80='DICTIONARY-5'!$A$2,I80='DICTIONARY-5'!$A$4,ISBLANK(I80)),VLOOKUP(H80,LIST!$A$6:$M$3250,CURR_2.SEARCH.OLD,0),VLOOKUP(I80,LIST!$B$6:$M$3250,CURR_2.SEARCH.NEW,0)),'DICTIONARY-5'!$A$2)</f>
        <v/>
      </c>
    </row>
    <row r="81" spans="1:11" x14ac:dyDescent="0.25">
      <c r="A81" s="187">
        <v>300</v>
      </c>
      <c r="B81" s="192" t="s">
        <v>1605</v>
      </c>
      <c r="C81" s="187">
        <v>78</v>
      </c>
      <c r="D81" s="187" t="s">
        <v>1766</v>
      </c>
      <c r="E81" s="317" t="s">
        <v>3798</v>
      </c>
      <c r="F81" s="339" t="str">
        <f>IFERROR(IF(OR(E81='DICTIONARY-5'!$A$2,E81='DICTIONARY-5'!$A$4,ISBLANK(E81)),VLOOKUP(D81,LIST!$A$6:$L$3250,CURR_1.SEARCH.OLD,0),VLOOKUP(E81,LIST!$B$6:$L$3250,CURR_1.SEARCH.NEW,0)),'DICTIONARY-5'!$A$2)</f>
        <v>734,-</v>
      </c>
      <c r="G81" s="339" t="str">
        <f>IFERROR(IF(OR(E81='DICTIONARY-5'!$A$2,E81='DICTIONARY-5'!$A$4,ISBLANK(E81)),VLOOKUP(D81,LIST!$A$6:$M$3250,CURR_2.SEARCH.OLD,0),VLOOKUP(E81,LIST!$B$6:$M$3250,CURR_2.SEARCH.NEW,0)),'DICTIONARY-5'!$A$2)</f>
        <v/>
      </c>
      <c r="H81" s="187" t="s">
        <v>1767</v>
      </c>
      <c r="I81" s="317" t="s">
        <v>3731</v>
      </c>
      <c r="J81" s="339" t="str">
        <f>IFERROR(IF(OR(I81='DICTIONARY-5'!$A$2,I81='DICTIONARY-5'!$A$4,ISBLANK(I81)),VLOOKUP(H81,LIST!$A$6:$L$3250,CURR_1.SEARCH.OLD,0),VLOOKUP(I81,LIST!$B$6:$L$3250,CURR_1.SEARCH.NEW,0)),'DICTIONARY-5'!$A$2)</f>
        <v>959,-</v>
      </c>
      <c r="K81" s="339" t="str">
        <f>IFERROR(IF(OR(I81='DICTIONARY-5'!$A$2,I81='DICTIONARY-5'!$A$4,ISBLANK(I81)),VLOOKUP(H81,LIST!$A$6:$M$3250,CURR_2.SEARCH.OLD,0),VLOOKUP(I81,LIST!$B$6:$M$3250,CURR_2.SEARCH.NEW,0)),'DICTIONARY-5'!$A$2)</f>
        <v/>
      </c>
    </row>
    <row r="83" spans="1:11" x14ac:dyDescent="0.25">
      <c r="A83" s="552" t="str">
        <f>"1) "&amp;'DICTIONARY-5'!$A$92&amp;": max. 0,6 MPa / 6 bar"</f>
        <v>1) Ciśnienie robocze: max. 0,6 MPa / 6 bar</v>
      </c>
      <c r="B83" s="177"/>
      <c r="C83" s="177"/>
      <c r="D83" s="177"/>
      <c r="E83" s="177"/>
      <c r="F83" s="177"/>
      <c r="G83" s="177"/>
      <c r="H83" s="177"/>
      <c r="I83" s="177"/>
      <c r="J83" s="177"/>
      <c r="K83" s="177"/>
    </row>
  </sheetData>
  <sheetProtection algorithmName="SHA-512" hashValue="Rs9DOWjaqN6n5FBCkT2obS8bosXkKLcJDXbKufUr/2gUv3fNIiQciT/XdO68sjjvqQ8FSYchjwJ2i8Hp7U7I+A==" saltValue="/b/I2nOy7ZnvZNqI/6vz6w==" spinCount="100000" sheet="1" objects="1" scenarios="1" autoFilter="0"/>
  <mergeCells count="25">
    <mergeCell ref="B4:E4"/>
    <mergeCell ref="D39:G39"/>
    <mergeCell ref="H39:K39"/>
    <mergeCell ref="D10:G10"/>
    <mergeCell ref="H10:K10"/>
    <mergeCell ref="D22:G22"/>
    <mergeCell ref="H22:K22"/>
    <mergeCell ref="D11:G11"/>
    <mergeCell ref="H11:K11"/>
    <mergeCell ref="D23:G23"/>
    <mergeCell ref="H23:K23"/>
    <mergeCell ref="D40:G40"/>
    <mergeCell ref="H40:K40"/>
    <mergeCell ref="D52:G52"/>
    <mergeCell ref="H52:K52"/>
    <mergeCell ref="D78:G78"/>
    <mergeCell ref="H78:K78"/>
    <mergeCell ref="D69:G69"/>
    <mergeCell ref="H69:K69"/>
    <mergeCell ref="D51:G51"/>
    <mergeCell ref="H51:K51"/>
    <mergeCell ref="D68:G68"/>
    <mergeCell ref="H68:K68"/>
    <mergeCell ref="D77:G77"/>
    <mergeCell ref="H77:K7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9">
    <tabColor rgb="FF0F6E23"/>
  </sheetPr>
  <dimension ref="A1:K53"/>
  <sheetViews>
    <sheetView workbookViewId="0"/>
  </sheetViews>
  <sheetFormatPr defaultColWidth="9.140625" defaultRowHeight="15" x14ac:dyDescent="0.25"/>
  <cols>
    <col min="1" max="3" width="9.140625" style="177"/>
    <col min="4" max="5" width="22.140625" style="177" customWidth="1"/>
    <col min="6" max="7" width="12.85546875" style="177" customWidth="1"/>
    <col min="8" max="9" width="22.140625" style="177" customWidth="1"/>
    <col min="10" max="11" width="12.85546875" style="177" customWidth="1"/>
    <col min="12" max="16384" width="9.140625" style="177"/>
  </cols>
  <sheetData>
    <row r="1" spans="1:11" s="405" customFormat="1" ht="45" customHeight="1" thickBot="1" x14ac:dyDescent="0.3">
      <c r="A1" s="429"/>
      <c r="B1" s="429"/>
      <c r="C1" s="429"/>
      <c r="D1" s="429"/>
    </row>
    <row r="2" spans="1:11" s="463" customFormat="1" ht="4.5" customHeight="1" x14ac:dyDescent="0.25">
      <c r="A2" s="462"/>
    </row>
    <row r="3" spans="1:11" ht="15.75" thickBot="1" x14ac:dyDescent="0.3">
      <c r="A3" s="178"/>
      <c r="B3" s="179"/>
      <c r="C3" s="179"/>
    </row>
    <row r="4" spans="1:11" ht="15.75" thickBot="1" x14ac:dyDescent="0.3">
      <c r="A4" s="823">
        <f>ADD.DISCOUNT</f>
        <v>0</v>
      </c>
      <c r="B4" s="933" t="str">
        <f>HYPERLINK("#'LIST'!ADD.DISCOUNT","» "&amp;'DICTIONARY-1'!$A$5)</f>
        <v>» Ustaw globalny dodatkowy rabat</v>
      </c>
      <c r="C4" s="1017"/>
      <c r="D4" s="1017"/>
      <c r="E4" s="1018"/>
    </row>
    <row r="5" spans="1:11" x14ac:dyDescent="0.25">
      <c r="A5" s="178"/>
      <c r="B5" s="179"/>
      <c r="C5" s="179"/>
    </row>
    <row r="6" spans="1:11" ht="16.5" thickBot="1" x14ac:dyDescent="0.3">
      <c r="A6" s="712" t="str">
        <f>CONCATENATE('DICTIONARY-3'!$A$149," ",'DICTIONARY-3'!$A$204," / ",'DICTIONARY-3'!$A$326)</f>
        <v>CEREX 300-W Przepustnica kołnierzowa / Z przekładnią i kółkiem ręcznym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80" t="str">
        <f>'DICTIONARY-5'!$A$146</f>
        <v>Typ WAFER z otworami gwintowanymi pod śruby kołnierza</v>
      </c>
      <c r="B7" s="175"/>
      <c r="C7" s="175"/>
      <c r="D7" s="175"/>
      <c r="E7" s="175"/>
      <c r="F7" s="176"/>
      <c r="G7" s="176"/>
      <c r="H7" s="175"/>
      <c r="I7" s="175"/>
      <c r="J7" s="176"/>
      <c r="K7" s="176"/>
    </row>
    <row r="8" spans="1:11" x14ac:dyDescent="0.25">
      <c r="A8" s="180" t="str">
        <f>CONCATENATE('DICTIONARY-1'!$A$10,": ",SETTINGS!$C$42)</f>
        <v>Grupa rabatowa: CEREX 300</v>
      </c>
      <c r="B8" s="175"/>
      <c r="C8" s="175"/>
      <c r="D8" s="175"/>
      <c r="E8" s="175"/>
      <c r="F8" s="176"/>
      <c r="G8" s="176"/>
      <c r="H8" s="175"/>
      <c r="I8" s="175"/>
      <c r="J8" s="176"/>
      <c r="K8" s="176"/>
    </row>
    <row r="9" spans="1:11" x14ac:dyDescent="0.25">
      <c r="A9" s="182"/>
      <c r="B9" s="175"/>
      <c r="C9" s="175"/>
      <c r="D9" s="175"/>
      <c r="E9" s="175"/>
      <c r="F9" s="176"/>
      <c r="G9" s="176"/>
      <c r="H9" s="175"/>
      <c r="I9" s="175"/>
      <c r="J9" s="176"/>
      <c r="K9" s="176"/>
    </row>
    <row r="10" spans="1:11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020" t="str">
        <f>'DICTIONARY-3'!$A$149</f>
        <v>CEREX 300-W</v>
      </c>
      <c r="E10" s="1020"/>
      <c r="F10" s="1020"/>
      <c r="G10" s="1020"/>
      <c r="H10" s="1020" t="str">
        <f>'DICTIONARY-3'!$A$149</f>
        <v>CEREX 300-W</v>
      </c>
      <c r="I10" s="1020"/>
      <c r="J10" s="1020"/>
      <c r="K10" s="1020"/>
    </row>
    <row r="11" spans="1:11" x14ac:dyDescent="0.25">
      <c r="A11" s="184"/>
      <c r="B11" s="184"/>
      <c r="C11" s="184"/>
      <c r="D11" s="1019" t="str">
        <f>'DICTIONARY-5'!$A$43&amp;": "&amp;'DICTIONARY-5'!$A$44&amp;", "&amp;'DICTIONARY-5'!$A$147&amp;": "&amp;'DICTIONARY-5'!$A$50</f>
        <v xml:space="preserve">guma: EPDM, dysk: żeliwo sferoidalne </v>
      </c>
      <c r="E11" s="1019"/>
      <c r="F11" s="1019"/>
      <c r="G11" s="1019"/>
      <c r="H11" s="1019" t="str">
        <f>'DICTIONARY-5'!$A$43&amp;": "&amp;'DICTIONARY-5'!$A$44&amp;", "&amp;'DICTIONARY-5'!$A$147&amp;": "&amp;'DICTIONARY-5'!$A$32</f>
        <v>guma: EPDM, dysk: stal nierdzewna</v>
      </c>
      <c r="I11" s="1019"/>
      <c r="J11" s="1019"/>
      <c r="K11" s="1019"/>
    </row>
    <row r="12" spans="1:11" x14ac:dyDescent="0.25">
      <c r="A12" s="190"/>
      <c r="B12" s="190"/>
      <c r="C12" s="190" t="str">
        <f>'DICTIONARY-2'!$A$18</f>
        <v>[mm]</v>
      </c>
      <c r="D12" s="191" t="str">
        <f>'DICTIONARY-2'!$A$28</f>
        <v>stary nr zamówienia</v>
      </c>
      <c r="E12" s="191" t="str">
        <f>'DICTIONARY-2'!$A$29</f>
        <v>nowy nr zamówienia</v>
      </c>
      <c r="F12" s="186" t="str">
        <f>CURRENCY.CODE_1</f>
        <v>EUR</v>
      </c>
      <c r="G12" s="186" t="str">
        <f>CURRENCY.CODE_2</f>
        <v>---</v>
      </c>
      <c r="H12" s="191" t="str">
        <f>'DICTIONARY-2'!$A$28</f>
        <v>stary nr zamówienia</v>
      </c>
      <c r="I12" s="191" t="str">
        <f>'DICTIONARY-2'!$A$29</f>
        <v>nowy nr zamówienia</v>
      </c>
      <c r="J12" s="186" t="str">
        <f>CURRENCY.CODE_1</f>
        <v>EUR</v>
      </c>
      <c r="K12" s="186" t="str">
        <f>CURRENCY.CODE_2</f>
        <v>---</v>
      </c>
    </row>
    <row r="13" spans="1:11" x14ac:dyDescent="0.25">
      <c r="A13" s="187">
        <v>50</v>
      </c>
      <c r="B13" s="187" t="s">
        <v>85</v>
      </c>
      <c r="C13" s="187">
        <v>43</v>
      </c>
      <c r="D13" s="187" t="s">
        <v>1768</v>
      </c>
      <c r="E13" s="317" t="s">
        <v>3745</v>
      </c>
      <c r="F13" s="339" t="str">
        <f>IFERROR(IF(OR(E13='DICTIONARY-5'!$A$2,E13='DICTIONARY-5'!$A$4,ISBLANK(E13)),VLOOKUP(D13,LIST!$A$6:$L$3250,CURR_1.SEARCH.OLD,0),VLOOKUP(E13,LIST!$B$6:$L$3250,CURR_1.SEARCH.NEW,0)),'DICTIONARY-5'!$A$2)</f>
        <v>237,-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187" t="s">
        <v>1769</v>
      </c>
      <c r="I13" s="317" t="s">
        <v>3678</v>
      </c>
      <c r="J13" s="339" t="str">
        <f>IFERROR(IF(OR(I13='DICTIONARY-5'!$A$2,I13='DICTIONARY-5'!$A$4,ISBLANK(I13)),VLOOKUP(H13,LIST!$A$6:$L$3250,CURR_1.SEARCH.OLD,0),VLOOKUP(I13,LIST!$B$6:$L$3250,CURR_1.SEARCH.NEW,0)),'DICTIONARY-5'!$A$2)</f>
        <v>237,-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187">
        <v>65</v>
      </c>
      <c r="B14" s="187" t="s">
        <v>85</v>
      </c>
      <c r="C14" s="187">
        <v>46</v>
      </c>
      <c r="D14" s="187" t="s">
        <v>1770</v>
      </c>
      <c r="E14" s="317" t="s">
        <v>3752</v>
      </c>
      <c r="F14" s="339" t="str">
        <f>IFERROR(IF(OR(E14='DICTIONARY-5'!$A$2,E14='DICTIONARY-5'!$A$4,ISBLANK(E14)),VLOOKUP(D14,LIST!$A$6:$L$3250,CURR_1.SEARCH.OLD,0),VLOOKUP(E14,LIST!$B$6:$L$3250,CURR_1.SEARCH.NEW,0)),'DICTIONARY-5'!$A$2)</f>
        <v>243,-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87" t="s">
        <v>1771</v>
      </c>
      <c r="I14" s="317" t="s">
        <v>3685</v>
      </c>
      <c r="J14" s="339" t="str">
        <f>IFERROR(IF(OR(I14='DICTIONARY-5'!$A$2,I14='DICTIONARY-5'!$A$4,ISBLANK(I14)),VLOOKUP(H14,LIST!$A$6:$L$3250,CURR_1.SEARCH.OLD,0),VLOOKUP(I14,LIST!$B$6:$L$3250,CURR_1.SEARCH.NEW,0)),'DICTIONARY-5'!$A$2)</f>
        <v>245,-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187">
        <v>80</v>
      </c>
      <c r="B15" s="187" t="s">
        <v>85</v>
      </c>
      <c r="C15" s="187">
        <v>46</v>
      </c>
      <c r="D15" s="187" t="s">
        <v>1772</v>
      </c>
      <c r="E15" s="317" t="s">
        <v>3759</v>
      </c>
      <c r="F15" s="339" t="str">
        <f>IFERROR(IF(OR(E15='DICTIONARY-5'!$A$2,E15='DICTIONARY-5'!$A$4,ISBLANK(E15)),VLOOKUP(D15,LIST!$A$6:$L$3250,CURR_1.SEARCH.OLD,0),VLOOKUP(E15,LIST!$B$6:$L$3250,CURR_1.SEARCH.NEW,0)),'DICTIONARY-5'!$A$2)</f>
        <v>251,-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87" t="s">
        <v>1773</v>
      </c>
      <c r="I15" s="317" t="s">
        <v>3692</v>
      </c>
      <c r="J15" s="339" t="str">
        <f>IFERROR(IF(OR(I15='DICTIONARY-5'!$A$2,I15='DICTIONARY-5'!$A$4,ISBLANK(I15)),VLOOKUP(H15,LIST!$A$6:$L$3250,CURR_1.SEARCH.OLD,0),VLOOKUP(I15,LIST!$B$6:$L$3250,CURR_1.SEARCH.NEW,0)),'DICTIONARY-5'!$A$2)</f>
        <v>255,-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187">
        <v>100</v>
      </c>
      <c r="B16" s="187" t="s">
        <v>85</v>
      </c>
      <c r="C16" s="187">
        <v>52</v>
      </c>
      <c r="D16" s="187" t="s">
        <v>1774</v>
      </c>
      <c r="E16" s="317" t="s">
        <v>3766</v>
      </c>
      <c r="F16" s="339" t="str">
        <f>IFERROR(IF(OR(E16='DICTIONARY-5'!$A$2,E16='DICTIONARY-5'!$A$4,ISBLANK(E16)),VLOOKUP(D16,LIST!$A$6:$L$3250,CURR_1.SEARCH.OLD,0),VLOOKUP(E16,LIST!$B$6:$L$3250,CURR_1.SEARCH.NEW,0)),'DICTIONARY-5'!$A$2)</f>
        <v>292,-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87" t="s">
        <v>1775</v>
      </c>
      <c r="I16" s="317" t="s">
        <v>3699</v>
      </c>
      <c r="J16" s="339" t="str">
        <f>IFERROR(IF(OR(I16='DICTIONARY-5'!$A$2,I16='DICTIONARY-5'!$A$4,ISBLANK(I16)),VLOOKUP(H16,LIST!$A$6:$L$3250,CURR_1.SEARCH.OLD,0),VLOOKUP(I16,LIST!$B$6:$L$3250,CURR_1.SEARCH.NEW,0)),'DICTIONARY-5'!$A$2)</f>
        <v>298,-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187">
        <v>125</v>
      </c>
      <c r="B17" s="187" t="s">
        <v>85</v>
      </c>
      <c r="C17" s="187">
        <v>56</v>
      </c>
      <c r="D17" s="187" t="s">
        <v>1776</v>
      </c>
      <c r="E17" s="317" t="s">
        <v>3773</v>
      </c>
      <c r="F17" s="339" t="str">
        <f>IFERROR(IF(OR(E17='DICTIONARY-5'!$A$2,E17='DICTIONARY-5'!$A$4,ISBLANK(E17)),VLOOKUP(D17,LIST!$A$6:$L$3250,CURR_1.SEARCH.OLD,0),VLOOKUP(E17,LIST!$B$6:$L$3250,CURR_1.SEARCH.NEW,0)),'DICTIONARY-5'!$A$2)</f>
        <v>322,-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187" t="s">
        <v>1777</v>
      </c>
      <c r="I17" s="317" t="s">
        <v>3706</v>
      </c>
      <c r="J17" s="339" t="str">
        <f>IFERROR(IF(OR(I17='DICTIONARY-5'!$A$2,I17='DICTIONARY-5'!$A$4,ISBLANK(I17)),VLOOKUP(H17,LIST!$A$6:$L$3250,CURR_1.SEARCH.OLD,0),VLOOKUP(I17,LIST!$B$6:$L$3250,CURR_1.SEARCH.NEW,0)),'DICTIONARY-5'!$A$2)</f>
        <v>337,-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187">
        <v>150</v>
      </c>
      <c r="B18" s="187" t="s">
        <v>85</v>
      </c>
      <c r="C18" s="187">
        <v>56</v>
      </c>
      <c r="D18" s="187" t="s">
        <v>1778</v>
      </c>
      <c r="E18" s="317" t="s">
        <v>3780</v>
      </c>
      <c r="F18" s="339" t="str">
        <f>IFERROR(IF(OR(E18='DICTIONARY-5'!$A$2,E18='DICTIONARY-5'!$A$4,ISBLANK(E18)),VLOOKUP(D18,LIST!$A$6:$L$3250,CURR_1.SEARCH.OLD,0),VLOOKUP(E18,LIST!$B$6:$L$3250,CURR_1.SEARCH.NEW,0)),'DICTIONARY-5'!$A$2)</f>
        <v>425,-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187" t="s">
        <v>1779</v>
      </c>
      <c r="I18" s="317" t="s">
        <v>3713</v>
      </c>
      <c r="J18" s="339" t="str">
        <f>IFERROR(IF(OR(I18='DICTIONARY-5'!$A$2,I18='DICTIONARY-5'!$A$4,ISBLANK(I18)),VLOOKUP(H18,LIST!$A$6:$L$3250,CURR_1.SEARCH.OLD,0),VLOOKUP(I18,LIST!$B$6:$L$3250,CURR_1.SEARCH.NEW,0)),'DICTIONARY-5'!$A$2)</f>
        <v>463,-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187">
        <v>200</v>
      </c>
      <c r="B19" s="187" t="s">
        <v>85</v>
      </c>
      <c r="C19" s="187">
        <v>60</v>
      </c>
      <c r="D19" s="187" t="s">
        <v>1780</v>
      </c>
      <c r="E19" s="317" t="s">
        <v>3787</v>
      </c>
      <c r="F19" s="339" t="str">
        <f>IFERROR(IF(OR(E19='DICTIONARY-5'!$A$2,E19='DICTIONARY-5'!$A$4,ISBLANK(E19)),VLOOKUP(D19,LIST!$A$6:$L$3250,CURR_1.SEARCH.OLD,0),VLOOKUP(E19,LIST!$B$6:$L$3250,CURR_1.SEARCH.NEW,0)),'DICTIONARY-5'!$A$2)</f>
        <v>569,-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187" t="s">
        <v>1781</v>
      </c>
      <c r="I19" s="317" t="s">
        <v>3720</v>
      </c>
      <c r="J19" s="339" t="str">
        <f>IFERROR(IF(OR(I19='DICTIONARY-5'!$A$2,I19='DICTIONARY-5'!$A$4,ISBLANK(I19)),VLOOKUP(H19,LIST!$A$6:$L$3250,CURR_1.SEARCH.OLD,0),VLOOKUP(I19,LIST!$B$6:$L$3250,CURR_1.SEARCH.NEW,0)),'DICTIONARY-5'!$A$2)</f>
        <v>624,-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187">
        <v>250</v>
      </c>
      <c r="B20" s="187" t="s">
        <v>85</v>
      </c>
      <c r="C20" s="187">
        <v>68</v>
      </c>
      <c r="D20" s="187" t="s">
        <v>1782</v>
      </c>
      <c r="E20" s="317" t="s">
        <v>3791</v>
      </c>
      <c r="F20" s="339" t="str">
        <f>IFERROR(IF(OR(E20='DICTIONARY-5'!$A$2,E20='DICTIONARY-5'!$A$4,ISBLANK(E20)),VLOOKUP(D20,LIST!$A$6:$L$3250,CURR_1.SEARCH.OLD,0),VLOOKUP(E20,LIST!$B$6:$L$3250,CURR_1.SEARCH.NEW,0)),'DICTIONARY-5'!$A$2)</f>
        <v>596,-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187" t="s">
        <v>1783</v>
      </c>
      <c r="I20" s="317" t="s">
        <v>3724</v>
      </c>
      <c r="J20" s="339" t="str">
        <f>IFERROR(IF(OR(I20='DICTIONARY-5'!$A$2,I20='DICTIONARY-5'!$A$4,ISBLANK(I20)),VLOOKUP(H20,LIST!$A$6:$L$3250,CURR_1.SEARCH.OLD,0),VLOOKUP(I20,LIST!$B$6:$L$3250,CURR_1.SEARCH.NEW,0)),'DICTIONARY-5'!$A$2)</f>
        <v>749,-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A21" s="187">
        <v>300</v>
      </c>
      <c r="B21" s="187" t="s">
        <v>85</v>
      </c>
      <c r="C21" s="187">
        <v>78</v>
      </c>
      <c r="D21" s="187" t="s">
        <v>1784</v>
      </c>
      <c r="E21" s="317" t="s">
        <v>3795</v>
      </c>
      <c r="F21" s="339" t="str">
        <f>IFERROR(IF(OR(E21='DICTIONARY-5'!$A$2,E21='DICTIONARY-5'!$A$4,ISBLANK(E21)),VLOOKUP(D21,LIST!$A$6:$L$3250,CURR_1.SEARCH.OLD,0),VLOOKUP(E21,LIST!$B$6:$L$3250,CURR_1.SEARCH.NEW,0)),'DICTIONARY-5'!$A$2)</f>
        <v>849,-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187" t="s">
        <v>1785</v>
      </c>
      <c r="I21" s="317" t="s">
        <v>3728</v>
      </c>
      <c r="J21" s="339" t="str">
        <f>IFERROR(IF(OR(I21='DICTIONARY-5'!$A$2,I21='DICTIONARY-5'!$A$4,ISBLANK(I21)),VLOOKUP(H21,LIST!$A$6:$L$3250,CURR_1.SEARCH.OLD,0),VLOOKUP(I21,LIST!$B$6:$L$3250,CURR_1.SEARCH.NEW,0)),'DICTIONARY-5'!$A$2)</f>
        <v>1 071,-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2" spans="1:11" x14ac:dyDescent="0.25">
      <c r="A22" s="187">
        <v>350</v>
      </c>
      <c r="B22" s="187" t="s">
        <v>85</v>
      </c>
      <c r="C22" s="187">
        <v>78</v>
      </c>
      <c r="D22" s="187" t="s">
        <v>1786</v>
      </c>
      <c r="E22" s="317" t="s">
        <v>3799</v>
      </c>
      <c r="F22" s="339" t="str">
        <f>IFERROR(IF(OR(E22='DICTIONARY-5'!$A$2,E22='DICTIONARY-5'!$A$4,ISBLANK(E22)),VLOOKUP(D22,LIST!$A$6:$L$3250,CURR_1.SEARCH.OLD,0),VLOOKUP(E22,LIST!$B$6:$L$3250,CURR_1.SEARCH.NEW,0)),'DICTIONARY-5'!$A$2)</f>
        <v>1 135,-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187" t="s">
        <v>1787</v>
      </c>
      <c r="I22" s="317" t="s">
        <v>3732</v>
      </c>
      <c r="J22" s="339" t="str">
        <f>IFERROR(IF(OR(I22='DICTIONARY-5'!$A$2,I22='DICTIONARY-5'!$A$4,ISBLANK(I22)),VLOOKUP(H22,LIST!$A$6:$L$3250,CURR_1.SEARCH.OLD,0),VLOOKUP(I22,LIST!$B$6:$L$3250,CURR_1.SEARCH.NEW,0)),'DICTIONARY-5'!$A$2)</f>
        <v>1 492,-</v>
      </c>
      <c r="K22" s="339" t="str">
        <f>IFERROR(IF(OR(I22='DICTIONARY-5'!$A$2,I22='DICTIONARY-5'!$A$4,ISBLANK(I22)),VLOOKUP(H22,LIST!$A$6:$M$3250,CURR_2.SEARCH.OLD,0),VLOOKUP(I22,LIST!$B$6:$M$3250,CURR_2.SEARCH.NEW,0)),'DICTIONARY-5'!$A$2)</f>
        <v/>
      </c>
    </row>
    <row r="23" spans="1:11" x14ac:dyDescent="0.25">
      <c r="A23" s="187">
        <v>400</v>
      </c>
      <c r="B23" s="187" t="s">
        <v>85</v>
      </c>
      <c r="C23" s="187">
        <v>102</v>
      </c>
      <c r="D23" s="187" t="s">
        <v>1788</v>
      </c>
      <c r="E23" s="317" t="s">
        <v>3801</v>
      </c>
      <c r="F23" s="339" t="str">
        <f>IFERROR(IF(OR(E23='DICTIONARY-5'!$A$2,E23='DICTIONARY-5'!$A$4,ISBLANK(E23)),VLOOKUP(D23,LIST!$A$6:$L$3250,CURR_1.SEARCH.OLD,0),VLOOKUP(E23,LIST!$B$6:$L$3250,CURR_1.SEARCH.NEW,0)),'DICTIONARY-5'!$A$2)</f>
        <v>1 450,-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187" t="s">
        <v>1789</v>
      </c>
      <c r="I23" s="317" t="s">
        <v>3734</v>
      </c>
      <c r="J23" s="339" t="str">
        <f>IFERROR(IF(OR(I23='DICTIONARY-5'!$A$2,I23='DICTIONARY-5'!$A$4,ISBLANK(I23)),VLOOKUP(H23,LIST!$A$6:$L$3250,CURR_1.SEARCH.OLD,0),VLOOKUP(I23,LIST!$B$6:$L$3250,CURR_1.SEARCH.NEW,0)),'DICTIONARY-5'!$A$2)</f>
        <v>2 007,-</v>
      </c>
      <c r="K23" s="339" t="str">
        <f>IFERROR(IF(OR(I23='DICTIONARY-5'!$A$2,I23='DICTIONARY-5'!$A$4,ISBLANK(I23)),VLOOKUP(H23,LIST!$A$6:$M$3250,CURR_2.SEARCH.OLD,0),VLOOKUP(I23,LIST!$B$6:$M$3250,CURR_2.SEARCH.NEW,0)),'DICTIONARY-5'!$A$2)</f>
        <v/>
      </c>
    </row>
    <row r="24" spans="1:11" x14ac:dyDescent="0.25">
      <c r="A24" s="187">
        <v>450</v>
      </c>
      <c r="B24" s="187" t="s">
        <v>1790</v>
      </c>
      <c r="C24" s="187">
        <v>114</v>
      </c>
      <c r="D24" s="187" t="s">
        <v>1791</v>
      </c>
      <c r="E24" s="317" t="s">
        <v>3803</v>
      </c>
      <c r="F24" s="339" t="str">
        <f>IFERROR(IF(OR(E24='DICTIONARY-5'!$A$2,E24='DICTIONARY-5'!$A$4,ISBLANK(E24)),VLOOKUP(D24,LIST!$A$6:$L$3250,CURR_1.SEARCH.OLD,0),VLOOKUP(E24,LIST!$B$6:$L$3250,CURR_1.SEARCH.NEW,0)),'DICTIONARY-5'!$A$2)</f>
        <v>2 292,-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187" t="s">
        <v>1792</v>
      </c>
      <c r="I24" s="317" t="s">
        <v>3736</v>
      </c>
      <c r="J24" s="339" t="str">
        <f>IFERROR(IF(OR(I24='DICTIONARY-5'!$A$2,I24='DICTIONARY-5'!$A$4,ISBLANK(I24)),VLOOKUP(H24,LIST!$A$6:$L$3250,CURR_1.SEARCH.OLD,0),VLOOKUP(I24,LIST!$B$6:$L$3250,CURR_1.SEARCH.NEW,0)),'DICTIONARY-5'!$A$2)</f>
        <v>3 327,-</v>
      </c>
      <c r="K24" s="339" t="str">
        <f>IFERROR(IF(OR(I24='DICTIONARY-5'!$A$2,I24='DICTIONARY-5'!$A$4,ISBLANK(I24)),VLOOKUP(H24,LIST!$A$6:$M$3250,CURR_2.SEARCH.OLD,0),VLOOKUP(I24,LIST!$B$6:$M$3250,CURR_2.SEARCH.NEW,0)),'DICTIONARY-5'!$A$2)</f>
        <v/>
      </c>
    </row>
    <row r="25" spans="1:11" x14ac:dyDescent="0.25">
      <c r="A25" s="187">
        <v>500</v>
      </c>
      <c r="B25" s="187">
        <v>10</v>
      </c>
      <c r="C25" s="187">
        <v>127</v>
      </c>
      <c r="D25" s="187" t="s">
        <v>1793</v>
      </c>
      <c r="E25" s="317" t="s">
        <v>3813</v>
      </c>
      <c r="F25" s="339" t="str">
        <f>IFERROR(IF(OR(E25='DICTIONARY-5'!$A$2,E25='DICTIONARY-5'!$A$4,ISBLANK(E25)),VLOOKUP(D25,LIST!$A$6:$L$3250,CURR_1.SEARCH.OLD,0),VLOOKUP(E25,LIST!$B$6:$L$3250,CURR_1.SEARCH.NEW,0)),'DICTIONARY-5'!$A$2)</f>
        <v>2 610,-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187" t="s">
        <v>1794</v>
      </c>
      <c r="I25" s="317" t="s">
        <v>3809</v>
      </c>
      <c r="J25" s="339" t="str">
        <f>IFERROR(IF(OR(I25='DICTIONARY-5'!$A$2,I25='DICTIONARY-5'!$A$4,ISBLANK(I25)),VLOOKUP(H25,LIST!$A$6:$L$3250,CURR_1.SEARCH.OLD,0),VLOOKUP(I25,LIST!$B$6:$L$3250,CURR_1.SEARCH.NEW,0)),'DICTIONARY-5'!$A$2)</f>
        <v>3 909,-</v>
      </c>
      <c r="K25" s="339" t="str">
        <f>IFERROR(IF(OR(I25='DICTIONARY-5'!$A$2,I25='DICTIONARY-5'!$A$4,ISBLANK(I25)),VLOOKUP(H25,LIST!$A$6:$M$3250,CURR_2.SEARCH.OLD,0),VLOOKUP(I25,LIST!$B$6:$M$3250,CURR_2.SEARCH.NEW,0)),'DICTIONARY-5'!$A$2)</f>
        <v/>
      </c>
    </row>
    <row r="26" spans="1:11" x14ac:dyDescent="0.25">
      <c r="A26" s="187">
        <v>500</v>
      </c>
      <c r="B26" s="187" t="s">
        <v>436</v>
      </c>
      <c r="C26" s="187">
        <v>127</v>
      </c>
      <c r="D26" s="187" t="s">
        <v>1795</v>
      </c>
      <c r="E26" s="317" t="s">
        <v>3805</v>
      </c>
      <c r="F26" s="339" t="str">
        <f>IFERROR(IF(OR(E26='DICTIONARY-5'!$A$2,E26='DICTIONARY-5'!$A$4,ISBLANK(E26)),VLOOKUP(D26,LIST!$A$6:$L$3250,CURR_1.SEARCH.OLD,0),VLOOKUP(E26,LIST!$B$6:$L$3250,CURR_1.SEARCH.NEW,0)),'DICTIONARY-5'!$A$2)</f>
        <v>2 605,-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187" t="s">
        <v>1796</v>
      </c>
      <c r="I26" s="317" t="s">
        <v>3738</v>
      </c>
      <c r="J26" s="339" t="str">
        <f>IFERROR(IF(OR(I26='DICTIONARY-5'!$A$2,I26='DICTIONARY-5'!$A$4,ISBLANK(I26)),VLOOKUP(H26,LIST!$A$6:$L$3250,CURR_1.SEARCH.OLD,0),VLOOKUP(I26,LIST!$B$6:$L$3250,CURR_1.SEARCH.NEW,0)),'DICTIONARY-5'!$A$2)</f>
        <v>4 793,-</v>
      </c>
      <c r="K26" s="339" t="str">
        <f>IFERROR(IF(OR(I26='DICTIONARY-5'!$A$2,I26='DICTIONARY-5'!$A$4,ISBLANK(I26)),VLOOKUP(H26,LIST!$A$6:$M$3250,CURR_2.SEARCH.OLD,0),VLOOKUP(I26,LIST!$B$6:$M$3250,CURR_2.SEARCH.NEW,0)),'DICTIONARY-5'!$A$2)</f>
        <v/>
      </c>
    </row>
    <row r="27" spans="1:11" x14ac:dyDescent="0.25">
      <c r="A27" s="187">
        <v>600</v>
      </c>
      <c r="B27" s="187">
        <v>10</v>
      </c>
      <c r="C27" s="187">
        <v>154</v>
      </c>
      <c r="D27" s="187" t="s">
        <v>1797</v>
      </c>
      <c r="E27" s="317" t="s">
        <v>3815</v>
      </c>
      <c r="F27" s="339" t="str">
        <f>IFERROR(IF(OR(E27='DICTIONARY-5'!$A$2,E27='DICTIONARY-5'!$A$4,ISBLANK(E27)),VLOOKUP(D27,LIST!$A$6:$L$3250,CURR_1.SEARCH.OLD,0),VLOOKUP(E27,LIST!$B$6:$L$3250,CURR_1.SEARCH.NEW,0)),'DICTIONARY-5'!$A$2)</f>
        <v>4 369,-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H27" s="187" t="s">
        <v>1798</v>
      </c>
      <c r="I27" s="317" t="s">
        <v>3811</v>
      </c>
      <c r="J27" s="339" t="str">
        <f>IFERROR(IF(OR(I27='DICTIONARY-5'!$A$2,I27='DICTIONARY-5'!$A$4,ISBLANK(I27)),VLOOKUP(H27,LIST!$A$6:$L$3250,CURR_1.SEARCH.OLD,0),VLOOKUP(I27,LIST!$B$6:$L$3250,CURR_1.SEARCH.NEW,0)),'DICTIONARY-5'!$A$2)</f>
        <v>6 479,-</v>
      </c>
      <c r="K27" s="339" t="str">
        <f>IFERROR(IF(OR(I27='DICTIONARY-5'!$A$2,I27='DICTIONARY-5'!$A$4,ISBLANK(I27)),VLOOKUP(H27,LIST!$A$6:$M$3250,CURR_2.SEARCH.OLD,0),VLOOKUP(I27,LIST!$B$6:$M$3250,CURR_2.SEARCH.NEW,0)),'DICTIONARY-5'!$A$2)</f>
        <v/>
      </c>
    </row>
    <row r="28" spans="1:11" x14ac:dyDescent="0.25">
      <c r="A28" s="187">
        <v>600</v>
      </c>
      <c r="B28" s="187" t="s">
        <v>436</v>
      </c>
      <c r="C28" s="187">
        <v>154</v>
      </c>
      <c r="D28" s="187" t="s">
        <v>1799</v>
      </c>
      <c r="E28" s="317" t="s">
        <v>3807</v>
      </c>
      <c r="F28" s="339" t="str">
        <f>IFERROR(IF(OR(E28='DICTIONARY-5'!$A$2,E28='DICTIONARY-5'!$A$4,ISBLANK(E28)),VLOOKUP(D28,LIST!$A$6:$L$3250,CURR_1.SEARCH.OLD,0),VLOOKUP(E28,LIST!$B$6:$L$3250,CURR_1.SEARCH.NEW,0)),'DICTIONARY-5'!$A$2)</f>
        <v>4 364,-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187" t="s">
        <v>1800</v>
      </c>
      <c r="I28" s="317" t="s">
        <v>3740</v>
      </c>
      <c r="J28" s="339" t="str">
        <f>IFERROR(IF(OR(I28='DICTIONARY-5'!$A$2,I28='DICTIONARY-5'!$A$4,ISBLANK(I28)),VLOOKUP(H28,LIST!$A$6:$L$3250,CURR_1.SEARCH.OLD,0),VLOOKUP(I28,LIST!$B$6:$L$3250,CURR_1.SEARCH.NEW,0)),'DICTIONARY-5'!$A$2)</f>
        <v>6 827,-</v>
      </c>
      <c r="K28" s="339" t="str">
        <f>IFERROR(IF(OR(I28='DICTIONARY-5'!$A$2,I28='DICTIONARY-5'!$A$4,ISBLANK(I28)),VLOOKUP(H28,LIST!$A$6:$M$3250,CURR_2.SEARCH.OLD,0),VLOOKUP(I28,LIST!$B$6:$M$3250,CURR_2.SEARCH.NEW,0)),'DICTIONARY-5'!$A$2)</f>
        <v/>
      </c>
    </row>
    <row r="30" spans="1:11" x14ac:dyDescent="0.25">
      <c r="A30" s="552" t="str">
        <f>"1) "&amp;'DICTIONARY-5'!$A$92&amp;": max. 1,0 MPa / 10 bar, "&amp;LOWER('DICTIONARY-5'!$A$3)&amp;" 1,6 MPa / 16 bar"</f>
        <v>1) Ciśnienie robocze: max. 1,0 MPa / 10 bar, na zapytanie:  1,6 MPa / 16 bar</v>
      </c>
      <c r="B30" s="175"/>
      <c r="C30" s="175"/>
      <c r="D30" s="175"/>
      <c r="E30" s="175"/>
      <c r="F30" s="176"/>
      <c r="G30" s="176"/>
      <c r="H30" s="175"/>
      <c r="I30" s="175"/>
      <c r="J30" s="176"/>
      <c r="K30" s="176"/>
    </row>
    <row r="31" spans="1:11" x14ac:dyDescent="0.25">
      <c r="A31" s="189"/>
      <c r="B31" s="175"/>
      <c r="C31" s="175"/>
      <c r="D31" s="175"/>
      <c r="E31" s="175"/>
      <c r="F31" s="176"/>
      <c r="G31" s="176"/>
      <c r="H31" s="175"/>
      <c r="I31" s="175"/>
      <c r="J31" s="176"/>
      <c r="K31" s="176"/>
    </row>
    <row r="32" spans="1:11" x14ac:dyDescent="0.25">
      <c r="A32" s="182"/>
      <c r="B32" s="175"/>
      <c r="C32" s="175"/>
      <c r="D32" s="175"/>
      <c r="E32" s="175"/>
      <c r="F32" s="176"/>
      <c r="G32" s="176"/>
      <c r="H32" s="175"/>
      <c r="I32" s="175"/>
      <c r="J32" s="176"/>
      <c r="K32" s="176"/>
    </row>
    <row r="33" spans="1:11" x14ac:dyDescent="0.25">
      <c r="A33" s="183" t="str">
        <f>'DICTIONARY-2'!$A$2</f>
        <v>DN</v>
      </c>
      <c r="B33" s="183" t="str">
        <f>'DICTIONARY-2'!$A$3</f>
        <v>PN</v>
      </c>
      <c r="C33" s="183" t="str">
        <f>'DICTIONARY-2'!$A$24</f>
        <v>L</v>
      </c>
      <c r="D33" s="1020" t="str">
        <f>'DICTIONARY-3'!$A$149</f>
        <v>CEREX 300-W</v>
      </c>
      <c r="E33" s="1020"/>
      <c r="F33" s="1020"/>
      <c r="G33" s="1020"/>
      <c r="H33" s="1020" t="str">
        <f>'DICTIONARY-3'!$A$149</f>
        <v>CEREX 300-W</v>
      </c>
      <c r="I33" s="1020"/>
      <c r="J33" s="1020"/>
      <c r="K33" s="1020"/>
    </row>
    <row r="34" spans="1:11" x14ac:dyDescent="0.25">
      <c r="A34" s="184"/>
      <c r="B34" s="184"/>
      <c r="C34" s="184"/>
      <c r="D34" s="1019" t="str">
        <f>'DICTIONARY-5'!$A$43&amp;": "&amp;'DICTIONARY-5'!$A$45&amp;", "&amp;'DICTIONARY-5'!$A$147&amp;": "&amp;'DICTIONARY-5'!$A$50</f>
        <v xml:space="preserve">guma: NBR, dysk: żeliwo sferoidalne </v>
      </c>
      <c r="E34" s="1019"/>
      <c r="F34" s="1019"/>
      <c r="G34" s="1019"/>
      <c r="H34" s="1019" t="str">
        <f>'DICTIONARY-5'!$A$43&amp;": "&amp;'DICTIONARY-5'!$A$45&amp;", "&amp;'DICTIONARY-5'!$A$147&amp;": "&amp;'DICTIONARY-5'!$A$32</f>
        <v>guma: NBR, dysk: stal nierdzewna</v>
      </c>
      <c r="I34" s="1019"/>
      <c r="J34" s="1019"/>
      <c r="K34" s="1019"/>
    </row>
    <row r="35" spans="1:11" x14ac:dyDescent="0.25">
      <c r="A35" s="190"/>
      <c r="B35" s="190"/>
      <c r="C35" s="190" t="str">
        <f>'DICTIONARY-2'!$A$18</f>
        <v>[mm]</v>
      </c>
      <c r="D35" s="191" t="str">
        <f>'DICTIONARY-2'!$A$28</f>
        <v>stary nr zamówienia</v>
      </c>
      <c r="E35" s="191" t="str">
        <f>'DICTIONARY-2'!$A$29</f>
        <v>nowy nr zamówienia</v>
      </c>
      <c r="F35" s="186" t="str">
        <f>CURRENCY.CODE_1</f>
        <v>EUR</v>
      </c>
      <c r="G35" s="186" t="str">
        <f>CURRENCY.CODE_2</f>
        <v>---</v>
      </c>
      <c r="H35" s="191" t="str">
        <f>'DICTIONARY-2'!$A$28</f>
        <v>stary nr zamówienia</v>
      </c>
      <c r="I35" s="191" t="str">
        <f>'DICTIONARY-2'!$A$29</f>
        <v>nowy nr zamówienia</v>
      </c>
      <c r="J35" s="186" t="str">
        <f>CURRENCY.CODE_1</f>
        <v>EUR</v>
      </c>
      <c r="K35" s="186" t="str">
        <f>CURRENCY.CODE_2</f>
        <v>---</v>
      </c>
    </row>
    <row r="36" spans="1:11" x14ac:dyDescent="0.25">
      <c r="A36" s="187">
        <v>50</v>
      </c>
      <c r="B36" s="187" t="s">
        <v>85</v>
      </c>
      <c r="C36" s="187">
        <v>43</v>
      </c>
      <c r="D36" s="187" t="s">
        <v>1801</v>
      </c>
      <c r="E36" s="317" t="s">
        <v>3746</v>
      </c>
      <c r="F36" s="339" t="str">
        <f>IFERROR(IF(OR(E36='DICTIONARY-5'!$A$2,E36='DICTIONARY-5'!$A$4,ISBLANK(E36)),VLOOKUP(D36,LIST!$A$6:$L$3250,CURR_1.SEARCH.OLD,0),VLOOKUP(E36,LIST!$B$6:$L$3250,CURR_1.SEARCH.NEW,0)),'DICTIONARY-5'!$A$2)</f>
        <v>240,-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H36" s="187" t="s">
        <v>1802</v>
      </c>
      <c r="I36" s="317" t="s">
        <v>3679</v>
      </c>
      <c r="J36" s="339" t="str">
        <f>IFERROR(IF(OR(I36='DICTIONARY-5'!$A$2,I36='DICTIONARY-5'!$A$4,ISBLANK(I36)),VLOOKUP(H36,LIST!$A$6:$L$3250,CURR_1.SEARCH.OLD,0),VLOOKUP(I36,LIST!$B$6:$L$3250,CURR_1.SEARCH.NEW,0)),'DICTIONARY-5'!$A$2)</f>
        <v>239,-</v>
      </c>
      <c r="K36" s="339" t="str">
        <f>IFERROR(IF(OR(I36='DICTIONARY-5'!$A$2,I36='DICTIONARY-5'!$A$4,ISBLANK(I36)),VLOOKUP(H36,LIST!$A$6:$M$3250,CURR_2.SEARCH.OLD,0),VLOOKUP(I36,LIST!$B$6:$M$3250,CURR_2.SEARCH.NEW,0)),'DICTIONARY-5'!$A$2)</f>
        <v/>
      </c>
    </row>
    <row r="37" spans="1:11" x14ac:dyDescent="0.25">
      <c r="A37" s="187">
        <v>65</v>
      </c>
      <c r="B37" s="187" t="s">
        <v>85</v>
      </c>
      <c r="C37" s="187">
        <v>46</v>
      </c>
      <c r="D37" s="187" t="s">
        <v>1803</v>
      </c>
      <c r="E37" s="317" t="s">
        <v>3753</v>
      </c>
      <c r="F37" s="339" t="str">
        <f>IFERROR(IF(OR(E37='DICTIONARY-5'!$A$2,E37='DICTIONARY-5'!$A$4,ISBLANK(E37)),VLOOKUP(D37,LIST!$A$6:$L$3250,CURR_1.SEARCH.OLD,0),VLOOKUP(E37,LIST!$B$6:$L$3250,CURR_1.SEARCH.NEW,0)),'DICTIONARY-5'!$A$2)</f>
        <v>254,-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  <c r="H37" s="187" t="s">
        <v>1804</v>
      </c>
      <c r="I37" s="317" t="s">
        <v>3686</v>
      </c>
      <c r="J37" s="339" t="str">
        <f>IFERROR(IF(OR(I37='DICTIONARY-5'!$A$2,I37='DICTIONARY-5'!$A$4,ISBLANK(I37)),VLOOKUP(H37,LIST!$A$6:$L$3250,CURR_1.SEARCH.OLD,0),VLOOKUP(I37,LIST!$B$6:$L$3250,CURR_1.SEARCH.NEW,0)),'DICTIONARY-5'!$A$2)</f>
        <v>257,-</v>
      </c>
      <c r="K37" s="339" t="str">
        <f>IFERROR(IF(OR(I37='DICTIONARY-5'!$A$2,I37='DICTIONARY-5'!$A$4,ISBLANK(I37)),VLOOKUP(H37,LIST!$A$6:$M$3250,CURR_2.SEARCH.OLD,0),VLOOKUP(I37,LIST!$B$6:$M$3250,CURR_2.SEARCH.NEW,0)),'DICTIONARY-5'!$A$2)</f>
        <v/>
      </c>
    </row>
    <row r="38" spans="1:11" x14ac:dyDescent="0.25">
      <c r="A38" s="187">
        <v>80</v>
      </c>
      <c r="B38" s="187" t="s">
        <v>85</v>
      </c>
      <c r="C38" s="187">
        <v>46</v>
      </c>
      <c r="D38" s="187" t="s">
        <v>1805</v>
      </c>
      <c r="E38" s="317" t="s">
        <v>3760</v>
      </c>
      <c r="F38" s="339" t="str">
        <f>IFERROR(IF(OR(E38='DICTIONARY-5'!$A$2,E38='DICTIONARY-5'!$A$4,ISBLANK(E38)),VLOOKUP(D38,LIST!$A$6:$L$3250,CURR_1.SEARCH.OLD,0),VLOOKUP(E38,LIST!$B$6:$L$3250,CURR_1.SEARCH.NEW,0)),'DICTIONARY-5'!$A$2)</f>
        <v>260,-</v>
      </c>
      <c r="G38" s="339" t="str">
        <f>IFERROR(IF(OR(E38='DICTIONARY-5'!$A$2,E38='DICTIONARY-5'!$A$4,ISBLANK(E38)),VLOOKUP(D38,LIST!$A$6:$M$3250,CURR_2.SEARCH.OLD,0),VLOOKUP(E38,LIST!$B$6:$M$3250,CURR_2.SEARCH.NEW,0)),'DICTIONARY-5'!$A$2)</f>
        <v/>
      </c>
      <c r="H38" s="187" t="s">
        <v>1806</v>
      </c>
      <c r="I38" s="317" t="s">
        <v>3693</v>
      </c>
      <c r="J38" s="339" t="str">
        <f>IFERROR(IF(OR(I38='DICTIONARY-5'!$A$2,I38='DICTIONARY-5'!$A$4,ISBLANK(I38)),VLOOKUP(H38,LIST!$A$6:$L$3250,CURR_1.SEARCH.OLD,0),VLOOKUP(I38,LIST!$B$6:$L$3250,CURR_1.SEARCH.NEW,0)),'DICTIONARY-5'!$A$2)</f>
        <v>265,-</v>
      </c>
      <c r="K38" s="339" t="str">
        <f>IFERROR(IF(OR(I38='DICTIONARY-5'!$A$2,I38='DICTIONARY-5'!$A$4,ISBLANK(I38)),VLOOKUP(H38,LIST!$A$6:$M$3250,CURR_2.SEARCH.OLD,0),VLOOKUP(I38,LIST!$B$6:$M$3250,CURR_2.SEARCH.NEW,0)),'DICTIONARY-5'!$A$2)</f>
        <v/>
      </c>
    </row>
    <row r="39" spans="1:11" x14ac:dyDescent="0.25">
      <c r="A39" s="187">
        <v>100</v>
      </c>
      <c r="B39" s="187" t="s">
        <v>85</v>
      </c>
      <c r="C39" s="187">
        <v>52</v>
      </c>
      <c r="D39" s="187" t="s">
        <v>1807</v>
      </c>
      <c r="E39" s="317" t="s">
        <v>3767</v>
      </c>
      <c r="F39" s="339" t="str">
        <f>IFERROR(IF(OR(E39='DICTIONARY-5'!$A$2,E39='DICTIONARY-5'!$A$4,ISBLANK(E39)),VLOOKUP(D39,LIST!$A$6:$L$3250,CURR_1.SEARCH.OLD,0),VLOOKUP(E39,LIST!$B$6:$L$3250,CURR_1.SEARCH.NEW,0)),'DICTIONARY-5'!$A$2)</f>
        <v>305,-</v>
      </c>
      <c r="G39" s="339" t="str">
        <f>IFERROR(IF(OR(E39='DICTIONARY-5'!$A$2,E39='DICTIONARY-5'!$A$4,ISBLANK(E39)),VLOOKUP(D39,LIST!$A$6:$M$3250,CURR_2.SEARCH.OLD,0),VLOOKUP(E39,LIST!$B$6:$M$3250,CURR_2.SEARCH.NEW,0)),'DICTIONARY-5'!$A$2)</f>
        <v/>
      </c>
      <c r="H39" s="187" t="s">
        <v>1808</v>
      </c>
      <c r="I39" s="317" t="s">
        <v>3700</v>
      </c>
      <c r="J39" s="339" t="str">
        <f>IFERROR(IF(OR(I39='DICTIONARY-5'!$A$2,I39='DICTIONARY-5'!$A$4,ISBLANK(I39)),VLOOKUP(H39,LIST!$A$6:$L$3250,CURR_1.SEARCH.OLD,0),VLOOKUP(I39,LIST!$B$6:$L$3250,CURR_1.SEARCH.NEW,0)),'DICTIONARY-5'!$A$2)</f>
        <v>311,-</v>
      </c>
      <c r="K39" s="339" t="str">
        <f>IFERROR(IF(OR(I39='DICTIONARY-5'!$A$2,I39='DICTIONARY-5'!$A$4,ISBLANK(I39)),VLOOKUP(H39,LIST!$A$6:$M$3250,CURR_2.SEARCH.OLD,0),VLOOKUP(I39,LIST!$B$6:$M$3250,CURR_2.SEARCH.NEW,0)),'DICTIONARY-5'!$A$2)</f>
        <v/>
      </c>
    </row>
    <row r="40" spans="1:11" x14ac:dyDescent="0.25">
      <c r="A40" s="187">
        <v>125</v>
      </c>
      <c r="B40" s="187" t="s">
        <v>85</v>
      </c>
      <c r="C40" s="187">
        <v>56</v>
      </c>
      <c r="D40" s="187" t="s">
        <v>1809</v>
      </c>
      <c r="E40" s="317" t="s">
        <v>3774</v>
      </c>
      <c r="F40" s="339" t="str">
        <f>IFERROR(IF(OR(E40='DICTIONARY-5'!$A$2,E40='DICTIONARY-5'!$A$4,ISBLANK(E40)),VLOOKUP(D40,LIST!$A$6:$L$3250,CURR_1.SEARCH.OLD,0),VLOOKUP(E40,LIST!$B$6:$L$3250,CURR_1.SEARCH.NEW,0)),'DICTIONARY-5'!$A$2)</f>
        <v>334,-</v>
      </c>
      <c r="G40" s="339" t="str">
        <f>IFERROR(IF(OR(E40='DICTIONARY-5'!$A$2,E40='DICTIONARY-5'!$A$4,ISBLANK(E40)),VLOOKUP(D40,LIST!$A$6:$M$3250,CURR_2.SEARCH.OLD,0),VLOOKUP(E40,LIST!$B$6:$M$3250,CURR_2.SEARCH.NEW,0)),'DICTIONARY-5'!$A$2)</f>
        <v/>
      </c>
      <c r="H40" s="187" t="s">
        <v>1810</v>
      </c>
      <c r="I40" s="317" t="s">
        <v>3707</v>
      </c>
      <c r="J40" s="339" t="str">
        <f>IFERROR(IF(OR(I40='DICTIONARY-5'!$A$2,I40='DICTIONARY-5'!$A$4,ISBLANK(I40)),VLOOKUP(H40,LIST!$A$6:$L$3250,CURR_1.SEARCH.OLD,0),VLOOKUP(I40,LIST!$B$6:$L$3250,CURR_1.SEARCH.NEW,0)),'DICTIONARY-5'!$A$2)</f>
        <v>348,-</v>
      </c>
      <c r="K40" s="339" t="str">
        <f>IFERROR(IF(OR(I40='DICTIONARY-5'!$A$2,I40='DICTIONARY-5'!$A$4,ISBLANK(I40)),VLOOKUP(H40,LIST!$A$6:$M$3250,CURR_2.SEARCH.OLD,0),VLOOKUP(I40,LIST!$B$6:$M$3250,CURR_2.SEARCH.NEW,0)),'DICTIONARY-5'!$A$2)</f>
        <v/>
      </c>
    </row>
    <row r="41" spans="1:11" x14ac:dyDescent="0.25">
      <c r="A41" s="187">
        <v>150</v>
      </c>
      <c r="B41" s="187" t="s">
        <v>85</v>
      </c>
      <c r="C41" s="187">
        <v>56</v>
      </c>
      <c r="D41" s="187" t="s">
        <v>1811</v>
      </c>
      <c r="E41" s="317" t="s">
        <v>3781</v>
      </c>
      <c r="F41" s="339" t="str">
        <f>IFERROR(IF(OR(E41='DICTIONARY-5'!$A$2,E41='DICTIONARY-5'!$A$4,ISBLANK(E41)),VLOOKUP(D41,LIST!$A$6:$L$3250,CURR_1.SEARCH.OLD,0),VLOOKUP(E41,LIST!$B$6:$L$3250,CURR_1.SEARCH.NEW,0)),'DICTIONARY-5'!$A$2)</f>
        <v>438,-</v>
      </c>
      <c r="G41" s="339" t="str">
        <f>IFERROR(IF(OR(E41='DICTIONARY-5'!$A$2,E41='DICTIONARY-5'!$A$4,ISBLANK(E41)),VLOOKUP(D41,LIST!$A$6:$M$3250,CURR_2.SEARCH.OLD,0),VLOOKUP(E41,LIST!$B$6:$M$3250,CURR_2.SEARCH.NEW,0)),'DICTIONARY-5'!$A$2)</f>
        <v/>
      </c>
      <c r="H41" s="187" t="s">
        <v>1812</v>
      </c>
      <c r="I41" s="317" t="s">
        <v>3714</v>
      </c>
      <c r="J41" s="339" t="str">
        <f>IFERROR(IF(OR(I41='DICTIONARY-5'!$A$2,I41='DICTIONARY-5'!$A$4,ISBLANK(I41)),VLOOKUP(H41,LIST!$A$6:$L$3250,CURR_1.SEARCH.OLD,0),VLOOKUP(I41,LIST!$B$6:$L$3250,CURR_1.SEARCH.NEW,0)),'DICTIONARY-5'!$A$2)</f>
        <v>477,-</v>
      </c>
      <c r="K41" s="339" t="str">
        <f>IFERROR(IF(OR(I41='DICTIONARY-5'!$A$2,I41='DICTIONARY-5'!$A$4,ISBLANK(I41)),VLOOKUP(H41,LIST!$A$6:$M$3250,CURR_2.SEARCH.OLD,0),VLOOKUP(I41,LIST!$B$6:$M$3250,CURR_2.SEARCH.NEW,0)),'DICTIONARY-5'!$A$2)</f>
        <v/>
      </c>
    </row>
    <row r="42" spans="1:11" x14ac:dyDescent="0.25">
      <c r="A42" s="187">
        <v>200</v>
      </c>
      <c r="B42" s="187" t="s">
        <v>85</v>
      </c>
      <c r="C42" s="187">
        <v>60</v>
      </c>
      <c r="D42" s="187" t="s">
        <v>1813</v>
      </c>
      <c r="E42" s="317" t="s">
        <v>3788</v>
      </c>
      <c r="F42" s="339" t="str">
        <f>IFERROR(IF(OR(E42='DICTIONARY-5'!$A$2,E42='DICTIONARY-5'!$A$4,ISBLANK(E42)),VLOOKUP(D42,LIST!$A$6:$L$3250,CURR_1.SEARCH.OLD,0),VLOOKUP(E42,LIST!$B$6:$L$3250,CURR_1.SEARCH.NEW,0)),'DICTIONARY-5'!$A$2)</f>
        <v>586,-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  <c r="H42" s="187" t="s">
        <v>1814</v>
      </c>
      <c r="I42" s="317" t="s">
        <v>3721</v>
      </c>
      <c r="J42" s="339" t="str">
        <f>IFERROR(IF(OR(I42='DICTIONARY-5'!$A$2,I42='DICTIONARY-5'!$A$4,ISBLANK(I42)),VLOOKUP(H42,LIST!$A$6:$L$3250,CURR_1.SEARCH.OLD,0),VLOOKUP(I42,LIST!$B$6:$L$3250,CURR_1.SEARCH.NEW,0)),'DICTIONARY-5'!$A$2)</f>
        <v>642,-</v>
      </c>
      <c r="K42" s="339" t="str">
        <f>IFERROR(IF(OR(I42='DICTIONARY-5'!$A$2,I42='DICTIONARY-5'!$A$4,ISBLANK(I42)),VLOOKUP(H42,LIST!$A$6:$M$3250,CURR_2.SEARCH.OLD,0),VLOOKUP(I42,LIST!$B$6:$M$3250,CURR_2.SEARCH.NEW,0)),'DICTIONARY-5'!$A$2)</f>
        <v/>
      </c>
    </row>
    <row r="43" spans="1:11" x14ac:dyDescent="0.25">
      <c r="A43" s="187">
        <v>250</v>
      </c>
      <c r="B43" s="187" t="s">
        <v>85</v>
      </c>
      <c r="C43" s="187">
        <v>68</v>
      </c>
      <c r="D43" s="187" t="s">
        <v>1815</v>
      </c>
      <c r="E43" s="317" t="s">
        <v>3792</v>
      </c>
      <c r="F43" s="339" t="str">
        <f>IFERROR(IF(OR(E43='DICTIONARY-5'!$A$2,E43='DICTIONARY-5'!$A$4,ISBLANK(E43)),VLOOKUP(D43,LIST!$A$6:$L$3250,CURR_1.SEARCH.OLD,0),VLOOKUP(E43,LIST!$B$6:$L$3250,CURR_1.SEARCH.NEW,0)),'DICTIONARY-5'!$A$2)</f>
        <v>608,-</v>
      </c>
      <c r="G43" s="339" t="str">
        <f>IFERROR(IF(OR(E43='DICTIONARY-5'!$A$2,E43='DICTIONARY-5'!$A$4,ISBLANK(E43)),VLOOKUP(D43,LIST!$A$6:$M$3250,CURR_2.SEARCH.OLD,0),VLOOKUP(E43,LIST!$B$6:$M$3250,CURR_2.SEARCH.NEW,0)),'DICTIONARY-5'!$A$2)</f>
        <v/>
      </c>
      <c r="H43" s="187" t="s">
        <v>1816</v>
      </c>
      <c r="I43" s="317" t="s">
        <v>3725</v>
      </c>
      <c r="J43" s="339" t="str">
        <f>IFERROR(IF(OR(I43='DICTIONARY-5'!$A$2,I43='DICTIONARY-5'!$A$4,ISBLANK(I43)),VLOOKUP(H43,LIST!$A$6:$L$3250,CURR_1.SEARCH.OLD,0),VLOOKUP(I43,LIST!$B$6:$L$3250,CURR_1.SEARCH.NEW,0)),'DICTIONARY-5'!$A$2)</f>
        <v>758,-</v>
      </c>
      <c r="K43" s="339" t="str">
        <f>IFERROR(IF(OR(I43='DICTIONARY-5'!$A$2,I43='DICTIONARY-5'!$A$4,ISBLANK(I43)),VLOOKUP(H43,LIST!$A$6:$M$3250,CURR_2.SEARCH.OLD,0),VLOOKUP(I43,LIST!$B$6:$M$3250,CURR_2.SEARCH.NEW,0)),'DICTIONARY-5'!$A$2)</f>
        <v/>
      </c>
    </row>
    <row r="44" spans="1:11" x14ac:dyDescent="0.25">
      <c r="A44" s="187">
        <v>300</v>
      </c>
      <c r="B44" s="187" t="s">
        <v>85</v>
      </c>
      <c r="C44" s="187">
        <v>78</v>
      </c>
      <c r="D44" s="187" t="s">
        <v>1817</v>
      </c>
      <c r="E44" s="492" t="s">
        <v>3796</v>
      </c>
      <c r="F44" s="339" t="str">
        <f>IFERROR(IF(OR(E44='DICTIONARY-5'!$A$2,E44='DICTIONARY-5'!$A$4,ISBLANK(E44)),VLOOKUP(D44,LIST!$A$6:$L$3250,CURR_1.SEARCH.OLD,0),VLOOKUP(E44,LIST!$B$6:$L$3250,CURR_1.SEARCH.NEW,0)),'DICTIONARY-5'!$A$2)</f>
        <v>857,-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  <c r="H44" s="187" t="s">
        <v>1818</v>
      </c>
      <c r="I44" s="317" t="s">
        <v>3729</v>
      </c>
      <c r="J44" s="339" t="str">
        <f>IFERROR(IF(OR(I44='DICTIONARY-5'!$A$2,I44='DICTIONARY-5'!$A$4,ISBLANK(I44)),VLOOKUP(H44,LIST!$A$6:$L$3250,CURR_1.SEARCH.OLD,0),VLOOKUP(I44,LIST!$B$6:$L$3250,CURR_1.SEARCH.NEW,0)),'DICTIONARY-5'!$A$2)</f>
        <v>1 084,-</v>
      </c>
      <c r="K44" s="339" t="str">
        <f>IFERROR(IF(OR(I44='DICTIONARY-5'!$A$2,I44='DICTIONARY-5'!$A$4,ISBLANK(I44)),VLOOKUP(H44,LIST!$A$6:$M$3250,CURR_2.SEARCH.OLD,0),VLOOKUP(I44,LIST!$B$6:$M$3250,CURR_2.SEARCH.NEW,0)),'DICTIONARY-5'!$A$2)</f>
        <v/>
      </c>
    </row>
    <row r="45" spans="1:11" x14ac:dyDescent="0.25">
      <c r="A45" s="187">
        <v>350</v>
      </c>
      <c r="B45" s="187" t="s">
        <v>85</v>
      </c>
      <c r="C45" s="187">
        <v>78</v>
      </c>
      <c r="D45" s="187" t="s">
        <v>1819</v>
      </c>
      <c r="E45" s="317" t="s">
        <v>3800</v>
      </c>
      <c r="F45" s="339" t="str">
        <f>IFERROR(IF(OR(E45='DICTIONARY-5'!$A$2,E45='DICTIONARY-5'!$A$4,ISBLANK(E45)),VLOOKUP(D45,LIST!$A$6:$L$3250,CURR_1.SEARCH.OLD,0),VLOOKUP(E45,LIST!$B$6:$L$3250,CURR_1.SEARCH.NEW,0)),'DICTIONARY-5'!$A$2)</f>
        <v>1 140,-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  <c r="H45" s="187" t="s">
        <v>1820</v>
      </c>
      <c r="I45" s="317" t="s">
        <v>3733</v>
      </c>
      <c r="J45" s="339" t="str">
        <f>IFERROR(IF(OR(I45='DICTIONARY-5'!$A$2,I45='DICTIONARY-5'!$A$4,ISBLANK(I45)),VLOOKUP(H45,LIST!$A$6:$L$3250,CURR_1.SEARCH.OLD,0),VLOOKUP(I45,LIST!$B$6:$L$3250,CURR_1.SEARCH.NEW,0)),'DICTIONARY-5'!$A$2)</f>
        <v>1 511,-</v>
      </c>
      <c r="K45" s="339" t="str">
        <f>IFERROR(IF(OR(I45='DICTIONARY-5'!$A$2,I45='DICTIONARY-5'!$A$4,ISBLANK(I45)),VLOOKUP(H45,LIST!$A$6:$M$3250,CURR_2.SEARCH.OLD,0),VLOOKUP(I45,LIST!$B$6:$M$3250,CURR_2.SEARCH.NEW,0)),'DICTIONARY-5'!$A$2)</f>
        <v/>
      </c>
    </row>
    <row r="46" spans="1:11" x14ac:dyDescent="0.25">
      <c r="A46" s="187">
        <v>400</v>
      </c>
      <c r="B46" s="187" t="s">
        <v>85</v>
      </c>
      <c r="C46" s="187">
        <v>102</v>
      </c>
      <c r="D46" s="187" t="s">
        <v>1821</v>
      </c>
      <c r="E46" s="317" t="s">
        <v>3802</v>
      </c>
      <c r="F46" s="339" t="str">
        <f>IFERROR(IF(OR(E46='DICTIONARY-5'!$A$2,E46='DICTIONARY-5'!$A$4,ISBLANK(E46)),VLOOKUP(D46,LIST!$A$6:$L$3250,CURR_1.SEARCH.OLD,0),VLOOKUP(E46,LIST!$B$6:$L$3250,CURR_1.SEARCH.NEW,0)),'DICTIONARY-5'!$A$2)</f>
        <v>1 517,-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  <c r="H46" s="187" t="s">
        <v>1822</v>
      </c>
      <c r="I46" s="317" t="s">
        <v>3735</v>
      </c>
      <c r="J46" s="339" t="str">
        <f>IFERROR(IF(OR(I46='DICTIONARY-5'!$A$2,I46='DICTIONARY-5'!$A$4,ISBLANK(I46)),VLOOKUP(H46,LIST!$A$6:$L$3250,CURR_1.SEARCH.OLD,0),VLOOKUP(I46,LIST!$B$6:$L$3250,CURR_1.SEARCH.NEW,0)),'DICTIONARY-5'!$A$2)</f>
        <v>2 073,-</v>
      </c>
      <c r="K46" s="339" t="str">
        <f>IFERROR(IF(OR(I46='DICTIONARY-5'!$A$2,I46='DICTIONARY-5'!$A$4,ISBLANK(I46)),VLOOKUP(H46,LIST!$A$6:$M$3250,CURR_2.SEARCH.OLD,0),VLOOKUP(I46,LIST!$B$6:$M$3250,CURR_2.SEARCH.NEW,0)),'DICTIONARY-5'!$A$2)</f>
        <v/>
      </c>
    </row>
    <row r="47" spans="1:11" x14ac:dyDescent="0.25">
      <c r="A47" s="187">
        <v>450</v>
      </c>
      <c r="B47" s="187" t="s">
        <v>1790</v>
      </c>
      <c r="C47" s="187">
        <v>114</v>
      </c>
      <c r="D47" s="187" t="s">
        <v>1823</v>
      </c>
      <c r="E47" s="317" t="s">
        <v>3804</v>
      </c>
      <c r="F47" s="339" t="str">
        <f>IFERROR(IF(OR(E47='DICTIONARY-5'!$A$2,E47='DICTIONARY-5'!$A$4,ISBLANK(E47)),VLOOKUP(D47,LIST!$A$6:$L$3250,CURR_1.SEARCH.OLD,0),VLOOKUP(E47,LIST!$B$6:$L$3250,CURR_1.SEARCH.NEW,0)),'DICTIONARY-5'!$A$2)</f>
        <v>2 290,-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187" t="s">
        <v>1824</v>
      </c>
      <c r="I47" s="317" t="s">
        <v>3737</v>
      </c>
      <c r="J47" s="339" t="str">
        <f>IFERROR(IF(OR(I47='DICTIONARY-5'!$A$2,I47='DICTIONARY-5'!$A$4,ISBLANK(I47)),VLOOKUP(H47,LIST!$A$6:$L$3250,CURR_1.SEARCH.OLD,0),VLOOKUP(I47,LIST!$B$6:$L$3250,CURR_1.SEARCH.NEW,0)),'DICTIONARY-5'!$A$2)</f>
        <v>3 326,-</v>
      </c>
      <c r="K47" s="339" t="str">
        <f>IFERROR(IF(OR(I47='DICTIONARY-5'!$A$2,I47='DICTIONARY-5'!$A$4,ISBLANK(I47)),VLOOKUP(H47,LIST!$A$6:$M$3250,CURR_2.SEARCH.OLD,0),VLOOKUP(I47,LIST!$B$6:$M$3250,CURR_2.SEARCH.NEW,0)),'DICTIONARY-5'!$A$2)</f>
        <v/>
      </c>
    </row>
    <row r="48" spans="1:11" x14ac:dyDescent="0.25">
      <c r="A48" s="187">
        <v>500</v>
      </c>
      <c r="B48" s="187">
        <v>10</v>
      </c>
      <c r="C48" s="187">
        <v>127</v>
      </c>
      <c r="D48" s="187" t="s">
        <v>1825</v>
      </c>
      <c r="E48" s="317" t="s">
        <v>3814</v>
      </c>
      <c r="F48" s="339" t="str">
        <f>IFERROR(IF(OR(E48='DICTIONARY-5'!$A$2,E48='DICTIONARY-5'!$A$4,ISBLANK(E48)),VLOOKUP(D48,LIST!$A$6:$L$3250,CURR_1.SEARCH.OLD,0),VLOOKUP(E48,LIST!$B$6:$L$3250,CURR_1.SEARCH.NEW,0)),'DICTIONARY-5'!$A$2)</f>
        <v>2 675,-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187" t="s">
        <v>1826</v>
      </c>
      <c r="I48" s="317" t="s">
        <v>3810</v>
      </c>
      <c r="J48" s="339" t="str">
        <f>IFERROR(IF(OR(I48='DICTIONARY-5'!$A$2,I48='DICTIONARY-5'!$A$4,ISBLANK(I48)),VLOOKUP(H48,LIST!$A$6:$L$3250,CURR_1.SEARCH.OLD,0),VLOOKUP(I48,LIST!$B$6:$L$3250,CURR_1.SEARCH.NEW,0)),'DICTIONARY-5'!$A$2)</f>
        <v>3 975,-</v>
      </c>
      <c r="K48" s="339" t="str">
        <f>IFERROR(IF(OR(I48='DICTIONARY-5'!$A$2,I48='DICTIONARY-5'!$A$4,ISBLANK(I48)),VLOOKUP(H48,LIST!$A$6:$M$3250,CURR_2.SEARCH.OLD,0),VLOOKUP(I48,LIST!$B$6:$M$3250,CURR_2.SEARCH.NEW,0)),'DICTIONARY-5'!$A$2)</f>
        <v/>
      </c>
    </row>
    <row r="49" spans="1:11" x14ac:dyDescent="0.25">
      <c r="A49" s="187">
        <v>500</v>
      </c>
      <c r="B49" s="187" t="s">
        <v>436</v>
      </c>
      <c r="C49" s="187">
        <v>127</v>
      </c>
      <c r="D49" s="187" t="s">
        <v>1827</v>
      </c>
      <c r="E49" s="317" t="s">
        <v>3806</v>
      </c>
      <c r="F49" s="339" t="str">
        <f>IFERROR(IF(OR(E49='DICTIONARY-5'!$A$2,E49='DICTIONARY-5'!$A$4,ISBLANK(E49)),VLOOKUP(D49,LIST!$A$6:$L$3250,CURR_1.SEARCH.OLD,0),VLOOKUP(E49,LIST!$B$6:$L$3250,CURR_1.SEARCH.NEW,0)),'DICTIONARY-5'!$A$2)</f>
        <v>2 672,-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  <c r="H49" s="187" t="s">
        <v>1828</v>
      </c>
      <c r="I49" s="317" t="s">
        <v>3739</v>
      </c>
      <c r="J49" s="339" t="str">
        <f>IFERROR(IF(OR(I49='DICTIONARY-5'!$A$2,I49='DICTIONARY-5'!$A$4,ISBLANK(I49)),VLOOKUP(H49,LIST!$A$6:$L$3250,CURR_1.SEARCH.OLD,0),VLOOKUP(I49,LIST!$B$6:$L$3250,CURR_1.SEARCH.NEW,0)),'DICTIONARY-5'!$A$2)</f>
        <v>4 859,-</v>
      </c>
      <c r="K49" s="339" t="str">
        <f>IFERROR(IF(OR(I49='DICTIONARY-5'!$A$2,I49='DICTIONARY-5'!$A$4,ISBLANK(I49)),VLOOKUP(H49,LIST!$A$6:$M$3250,CURR_2.SEARCH.OLD,0),VLOOKUP(I49,LIST!$B$6:$M$3250,CURR_2.SEARCH.NEW,0)),'DICTIONARY-5'!$A$2)</f>
        <v/>
      </c>
    </row>
    <row r="50" spans="1:11" x14ac:dyDescent="0.25">
      <c r="A50" s="187">
        <v>600</v>
      </c>
      <c r="B50" s="187">
        <v>10</v>
      </c>
      <c r="C50" s="187">
        <v>154</v>
      </c>
      <c r="D50" s="187" t="s">
        <v>1829</v>
      </c>
      <c r="E50" s="317" t="s">
        <v>3816</v>
      </c>
      <c r="F50" s="339" t="str">
        <f>IFERROR(IF(OR(E50='DICTIONARY-5'!$A$2,E50='DICTIONARY-5'!$A$4,ISBLANK(E50)),VLOOKUP(D50,LIST!$A$6:$L$3250,CURR_1.SEARCH.OLD,0),VLOOKUP(E50,LIST!$B$6:$L$3250,CURR_1.SEARCH.NEW,0)),'DICTIONARY-5'!$A$2)</f>
        <v>4 369,-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  <c r="H50" s="187" t="s">
        <v>1830</v>
      </c>
      <c r="I50" s="317" t="s">
        <v>3812</v>
      </c>
      <c r="J50" s="339" t="str">
        <f>IFERROR(IF(OR(I50='DICTIONARY-5'!$A$2,I50='DICTIONARY-5'!$A$4,ISBLANK(I50)),VLOOKUP(H50,LIST!$A$6:$L$3250,CURR_1.SEARCH.OLD,0),VLOOKUP(I50,LIST!$B$6:$L$3250,CURR_1.SEARCH.NEW,0)),'DICTIONARY-5'!$A$2)</f>
        <v>6 478,-</v>
      </c>
      <c r="K50" s="339" t="str">
        <f>IFERROR(IF(OR(I50='DICTIONARY-5'!$A$2,I50='DICTIONARY-5'!$A$4,ISBLANK(I50)),VLOOKUP(H50,LIST!$A$6:$M$3250,CURR_2.SEARCH.OLD,0),VLOOKUP(I50,LIST!$B$6:$M$3250,CURR_2.SEARCH.NEW,0)),'DICTIONARY-5'!$A$2)</f>
        <v/>
      </c>
    </row>
    <row r="51" spans="1:11" x14ac:dyDescent="0.25">
      <c r="A51" s="187">
        <v>600</v>
      </c>
      <c r="B51" s="187" t="s">
        <v>436</v>
      </c>
      <c r="C51" s="187">
        <v>154</v>
      </c>
      <c r="D51" s="187" t="s">
        <v>1831</v>
      </c>
      <c r="E51" s="317" t="s">
        <v>3808</v>
      </c>
      <c r="F51" s="339" t="str">
        <f>IFERROR(IF(OR(E51='DICTIONARY-5'!$A$2,E51='DICTIONARY-5'!$A$4,ISBLANK(E51)),VLOOKUP(D51,LIST!$A$6:$L$3250,CURR_1.SEARCH.OLD,0),VLOOKUP(E51,LIST!$B$6:$L$3250,CURR_1.SEARCH.NEW,0)),'DICTIONARY-5'!$A$2)</f>
        <v>4 363,-</v>
      </c>
      <c r="G51" s="339" t="str">
        <f>IFERROR(IF(OR(E51='DICTIONARY-5'!$A$2,E51='DICTIONARY-5'!$A$4,ISBLANK(E51)),VLOOKUP(D51,LIST!$A$6:$M$3250,CURR_2.SEARCH.OLD,0),VLOOKUP(E51,LIST!$B$6:$M$3250,CURR_2.SEARCH.NEW,0)),'DICTIONARY-5'!$A$2)</f>
        <v/>
      </c>
      <c r="H51" s="187" t="s">
        <v>1832</v>
      </c>
      <c r="I51" s="317" t="s">
        <v>3741</v>
      </c>
      <c r="J51" s="339" t="str">
        <f>IFERROR(IF(OR(I51='DICTIONARY-5'!$A$2,I51='DICTIONARY-5'!$A$4,ISBLANK(I51)),VLOOKUP(H51,LIST!$A$6:$L$3250,CURR_1.SEARCH.OLD,0),VLOOKUP(I51,LIST!$B$6:$L$3250,CURR_1.SEARCH.NEW,0)),'DICTIONARY-5'!$A$2)</f>
        <v>6 826,-</v>
      </c>
      <c r="K51" s="339" t="str">
        <f>IFERROR(IF(OR(I51='DICTIONARY-5'!$A$2,I51='DICTIONARY-5'!$A$4,ISBLANK(I51)),VLOOKUP(H51,LIST!$A$6:$M$3250,CURR_2.SEARCH.OLD,0),VLOOKUP(I51,LIST!$B$6:$M$3250,CURR_2.SEARCH.NEW,0)),'DICTIONARY-5'!$A$2)</f>
        <v/>
      </c>
    </row>
    <row r="53" spans="1:11" x14ac:dyDescent="0.25">
      <c r="A53" s="552" t="str">
        <f>"1) "&amp;'DICTIONARY-5'!$A$92&amp;": max. 1,0 MPa / 10 bar, "&amp;LOWER('DICTIONARY-5'!$A$3)&amp;" 1,6 MPa / 16 bar"</f>
        <v>1) Ciśnienie robocze: max. 1,0 MPa / 10 bar, na zapytanie:  1,6 MPa / 16 bar</v>
      </c>
      <c r="B53" s="175"/>
      <c r="C53" s="175"/>
      <c r="D53" s="175"/>
      <c r="E53" s="175"/>
      <c r="F53" s="176"/>
      <c r="G53" s="176"/>
      <c r="H53" s="175"/>
      <c r="I53" s="175"/>
      <c r="J53" s="176"/>
      <c r="K53" s="176"/>
    </row>
  </sheetData>
  <sheetProtection algorithmName="SHA-512" hashValue="Z5ZLbXaboXh+19rcqlrUNDAjFbQRWWAvUdOAagv7bvQGCmgfaetjZaaPx1Rwd44klTbQogh+eb/0fBBKl4UJvg==" saltValue="r7sQfjmiYOH/q/xBdQG0ew==" spinCount="100000" sheet="1" objects="1" scenarios="1" autoFilter="0"/>
  <mergeCells count="9">
    <mergeCell ref="B4:E4"/>
    <mergeCell ref="D34:G34"/>
    <mergeCell ref="H34:K34"/>
    <mergeCell ref="D10:G10"/>
    <mergeCell ref="H10:K10"/>
    <mergeCell ref="D33:G33"/>
    <mergeCell ref="H33:K33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0">
    <tabColor rgb="FF0F6E23"/>
  </sheetPr>
  <dimension ref="A1:L32"/>
  <sheetViews>
    <sheetView workbookViewId="0"/>
  </sheetViews>
  <sheetFormatPr defaultColWidth="9.140625" defaultRowHeight="15" x14ac:dyDescent="0.25"/>
  <cols>
    <col min="1" max="3" width="9.140625" style="177"/>
    <col min="4" max="5" width="22.140625" style="177" customWidth="1"/>
    <col min="6" max="7" width="12.85546875" style="177" customWidth="1"/>
    <col min="8" max="8" width="9.140625" style="177"/>
    <col min="9" max="10" width="22.140625" style="177" customWidth="1"/>
    <col min="11" max="12" width="12.85546875" style="177" customWidth="1"/>
    <col min="13" max="16384" width="9.140625" style="177"/>
  </cols>
  <sheetData>
    <row r="1" spans="1:12" s="405" customFormat="1" ht="45" customHeight="1" thickBot="1" x14ac:dyDescent="0.3">
      <c r="A1" s="429"/>
      <c r="B1" s="429"/>
      <c r="C1" s="429"/>
      <c r="D1" s="429"/>
    </row>
    <row r="2" spans="1:12" s="463" customFormat="1" ht="4.5" customHeight="1" x14ac:dyDescent="0.25">
      <c r="A2" s="462"/>
    </row>
    <row r="3" spans="1:12" ht="15.75" thickBot="1" x14ac:dyDescent="0.3">
      <c r="A3" s="178"/>
      <c r="B3" s="179"/>
      <c r="C3" s="179"/>
    </row>
    <row r="4" spans="1:12" ht="15.75" thickBot="1" x14ac:dyDescent="0.3">
      <c r="A4" s="823">
        <f>ADD.DISCOUNT</f>
        <v>0</v>
      </c>
      <c r="B4" s="933" t="str">
        <f>HYPERLINK("#'LIST'!ADD.DISCOUNT","» "&amp;'DICTIONARY-1'!$A$5)</f>
        <v>» Ustaw globalny dodatkowy rabat</v>
      </c>
      <c r="C4" s="1017"/>
      <c r="D4" s="1017"/>
      <c r="E4" s="1018"/>
    </row>
    <row r="5" spans="1:12" x14ac:dyDescent="0.25">
      <c r="A5" s="178"/>
      <c r="B5" s="179"/>
      <c r="C5" s="179"/>
    </row>
    <row r="6" spans="1:12" ht="16.5" thickBot="1" x14ac:dyDescent="0.3">
      <c r="A6" s="712" t="str">
        <f>CONCATENATE('DICTIONARY-3'!$A$149," ",'DICTIONARY-3'!$A$204," / ",'DICTIONARY-3'!$A$327)</f>
        <v>CEREX 300-W Przepustnica kołnierzowa / Z wolnym wałkiem do przyłaczenia zestawu pływaka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</row>
    <row r="7" spans="1:12" x14ac:dyDescent="0.25">
      <c r="A7" s="180" t="str">
        <f>'DICTIONARY-5'!$A$146</f>
        <v>Typ WAFER z otworami gwintowanymi pod śruby kołnierza</v>
      </c>
      <c r="B7" s="175"/>
      <c r="C7" s="175"/>
      <c r="D7" s="175"/>
      <c r="E7" s="175"/>
      <c r="F7" s="176"/>
      <c r="G7" s="176"/>
      <c r="I7" s="176"/>
      <c r="J7" s="176"/>
      <c r="K7" s="176"/>
      <c r="L7" s="176"/>
    </row>
    <row r="8" spans="1:12" x14ac:dyDescent="0.25">
      <c r="A8" s="180" t="str">
        <f>CONCATENATE('DICTIONARY-1'!$A$10,": ",SETTINGS!$C$42)</f>
        <v>Grupa rabatowa: CEREX 300</v>
      </c>
      <c r="B8" s="175"/>
      <c r="C8" s="175"/>
      <c r="D8" s="175"/>
      <c r="E8" s="175"/>
      <c r="F8" s="176"/>
      <c r="G8" s="176"/>
    </row>
    <row r="9" spans="1:12" x14ac:dyDescent="0.25">
      <c r="A9" s="182"/>
      <c r="B9" s="175"/>
      <c r="C9" s="175"/>
      <c r="D9" s="175"/>
      <c r="E9" s="175"/>
      <c r="F9" s="176"/>
      <c r="G9" s="176"/>
      <c r="I9" s="935" t="str">
        <f>'DICTIONARY-5'!$A$5</f>
        <v xml:space="preserve">Należy zamówić oddzielnie </v>
      </c>
      <c r="J9" s="936"/>
      <c r="K9" s="936"/>
      <c r="L9" s="937"/>
    </row>
    <row r="10" spans="1:12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022" t="str">
        <f>'DICTIONARY-3'!$A$149</f>
        <v>CEREX 300-W</v>
      </c>
      <c r="E10" s="1022"/>
      <c r="F10" s="1022"/>
      <c r="G10" s="1022"/>
      <c r="I10" s="950" t="str">
        <f>LOWER('DICTIONARY-3'!$A$239)</f>
        <v>zestaw z pływakiem</v>
      </c>
      <c r="J10" s="951"/>
      <c r="K10" s="951"/>
      <c r="L10" s="952"/>
    </row>
    <row r="11" spans="1:12" x14ac:dyDescent="0.25">
      <c r="A11" s="184"/>
      <c r="B11" s="184"/>
      <c r="C11" s="184"/>
      <c r="D11" s="1021" t="str">
        <f>'DICTIONARY-5'!$A$43&amp;": "&amp;'DICTIONARY-5'!$A$44&amp;", "&amp;'DICTIONARY-5'!$A$147&amp;": "&amp;'DICTIONARY-5'!$A$50</f>
        <v xml:space="preserve">guma: EPDM, dysk: żeliwo sferoidalne </v>
      </c>
      <c r="E11" s="1021"/>
      <c r="F11" s="1021"/>
      <c r="G11" s="1021"/>
      <c r="I11" s="939"/>
      <c r="J11" s="940"/>
      <c r="K11" s="940"/>
      <c r="L11" s="941"/>
    </row>
    <row r="12" spans="1:12" x14ac:dyDescent="0.25">
      <c r="A12" s="190"/>
      <c r="B12" s="190"/>
      <c r="C12" s="190" t="str">
        <f>'DICTIONARY-2'!$A$18</f>
        <v>[mm]</v>
      </c>
      <c r="D12" s="191" t="str">
        <f>'DICTIONARY-2'!$A$28</f>
        <v>stary nr zamówienia</v>
      </c>
      <c r="E12" s="191" t="str">
        <f>'DICTIONARY-2'!$A$29</f>
        <v>nowy nr zamówienia</v>
      </c>
      <c r="F12" s="186" t="str">
        <f>CURRENCY.CODE_1</f>
        <v>EUR</v>
      </c>
      <c r="G12" s="186" t="str">
        <f>CURRENCY.CODE_2</f>
        <v>---</v>
      </c>
      <c r="I12" s="165" t="str">
        <f>'DICTIONARY-2'!$A$28</f>
        <v>stary nr zamówienia</v>
      </c>
      <c r="J12" s="165" t="str">
        <f>'DICTIONARY-2'!$A$29</f>
        <v>nowy nr zamówienia</v>
      </c>
      <c r="K12" s="166" t="str">
        <f>CURRENCY.CODE_1</f>
        <v>EUR</v>
      </c>
      <c r="L12" s="166" t="str">
        <f>CURRENCY.CODE_2</f>
        <v>---</v>
      </c>
    </row>
    <row r="13" spans="1:12" x14ac:dyDescent="0.25">
      <c r="A13" s="187">
        <v>50</v>
      </c>
      <c r="B13" s="187" t="s">
        <v>85</v>
      </c>
      <c r="C13" s="187">
        <v>43</v>
      </c>
      <c r="D13" s="187" t="s">
        <v>1833</v>
      </c>
      <c r="E13" s="317" t="s">
        <v>3742</v>
      </c>
      <c r="F13" s="339" t="str">
        <f>IFERROR(IF(OR(E13='DICTIONARY-5'!$A$2,E13='DICTIONARY-5'!$A$4,ISBLANK(E13)),VLOOKUP(D13,LIST!$A$6:$L$3250,CURR_1.SEARCH.OLD,0),VLOOKUP(E13,LIST!$B$6:$L$3250,CURR_1.SEARCH.NEW,0)),'DICTIONARY-5'!$A$2)</f>
        <v>145,-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I13" s="194" t="s">
        <v>1835</v>
      </c>
      <c r="J13" s="318" t="s">
        <v>2977</v>
      </c>
      <c r="K13" s="339" t="str">
        <f>IFERROR(IF(OR(J13='DICTIONARY-5'!$A$2,J13='DICTIONARY-5'!$A$4,ISBLANK(J13)),VLOOKUP(I13,LIST!$A$6:$L$3250,CURR_1.SEARCH.OLD,0),VLOOKUP(J13,LIST!$B$6:$L$3250,CURR_1.SEARCH.NEW,0)),'DICTIONARY-5'!$A$2)</f>
        <v>407,-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</row>
    <row r="14" spans="1:12" x14ac:dyDescent="0.25">
      <c r="A14" s="187">
        <v>65</v>
      </c>
      <c r="B14" s="187" t="s">
        <v>85</v>
      </c>
      <c r="C14" s="187">
        <v>46</v>
      </c>
      <c r="D14" s="187" t="s">
        <v>1836</v>
      </c>
      <c r="E14" s="317" t="s">
        <v>3749</v>
      </c>
      <c r="F14" s="339" t="str">
        <f>IFERROR(IF(OR(E14='DICTIONARY-5'!$A$2,E14='DICTIONARY-5'!$A$4,ISBLANK(E14)),VLOOKUP(D14,LIST!$A$6:$L$3250,CURR_1.SEARCH.OLD,0),VLOOKUP(E14,LIST!$B$6:$L$3250,CURR_1.SEARCH.NEW,0)),'DICTIONARY-5'!$A$2)</f>
        <v>148,-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I14" s="194" t="s">
        <v>1835</v>
      </c>
      <c r="J14" s="318" t="s">
        <v>2977</v>
      </c>
      <c r="K14" s="339" t="str">
        <f>IFERROR(IF(OR(J14='DICTIONARY-5'!$A$2,J14='DICTIONARY-5'!$A$4,ISBLANK(J14)),VLOOKUP(I14,LIST!$A$6:$L$3250,CURR_1.SEARCH.OLD,0),VLOOKUP(J14,LIST!$B$6:$L$3250,CURR_1.SEARCH.NEW,0)),'DICTIONARY-5'!$A$2)</f>
        <v>407,-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</row>
    <row r="15" spans="1:12" x14ac:dyDescent="0.25">
      <c r="A15" s="187">
        <v>80</v>
      </c>
      <c r="B15" s="187" t="s">
        <v>85</v>
      </c>
      <c r="C15" s="187">
        <v>46</v>
      </c>
      <c r="D15" s="187" t="s">
        <v>1838</v>
      </c>
      <c r="E15" s="317" t="s">
        <v>3756</v>
      </c>
      <c r="F15" s="339" t="str">
        <f>IFERROR(IF(OR(E15='DICTIONARY-5'!$A$2,E15='DICTIONARY-5'!$A$4,ISBLANK(E15)),VLOOKUP(D15,LIST!$A$6:$L$3250,CURR_1.SEARCH.OLD,0),VLOOKUP(E15,LIST!$B$6:$L$3250,CURR_1.SEARCH.NEW,0)),'DICTIONARY-5'!$A$2)</f>
        <v>156,-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I15" s="194" t="s">
        <v>1835</v>
      </c>
      <c r="J15" s="318" t="s">
        <v>2977</v>
      </c>
      <c r="K15" s="339" t="str">
        <f>IFERROR(IF(OR(J15='DICTIONARY-5'!$A$2,J15='DICTIONARY-5'!$A$4,ISBLANK(J15)),VLOOKUP(I15,LIST!$A$6:$L$3250,CURR_1.SEARCH.OLD,0),VLOOKUP(J15,LIST!$B$6:$L$3250,CURR_1.SEARCH.NEW,0)),'DICTIONARY-5'!$A$2)</f>
        <v>407,-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</row>
    <row r="16" spans="1:12" x14ac:dyDescent="0.25">
      <c r="A16" s="187">
        <v>100</v>
      </c>
      <c r="B16" s="187" t="s">
        <v>85</v>
      </c>
      <c r="C16" s="187">
        <v>52</v>
      </c>
      <c r="D16" s="187" t="s">
        <v>1840</v>
      </c>
      <c r="E16" s="317" t="s">
        <v>3763</v>
      </c>
      <c r="F16" s="339" t="str">
        <f>IFERROR(IF(OR(E16='DICTIONARY-5'!$A$2,E16='DICTIONARY-5'!$A$4,ISBLANK(E16)),VLOOKUP(D16,LIST!$A$6:$L$3250,CURR_1.SEARCH.OLD,0),VLOOKUP(E16,LIST!$B$6:$L$3250,CURR_1.SEARCH.NEW,0)),'DICTIONARY-5'!$A$2)</f>
        <v>193,-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I16" s="194" t="s">
        <v>1842</v>
      </c>
      <c r="J16" s="318" t="s">
        <v>2978</v>
      </c>
      <c r="K16" s="339" t="str">
        <f>IFERROR(IF(OR(J16='DICTIONARY-5'!$A$2,J16='DICTIONARY-5'!$A$4,ISBLANK(J16)),VLOOKUP(I16,LIST!$A$6:$L$3250,CURR_1.SEARCH.OLD,0),VLOOKUP(J16,LIST!$B$6:$L$3250,CURR_1.SEARCH.NEW,0)),'DICTIONARY-5'!$A$2)</f>
        <v>408,-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</row>
    <row r="17" spans="1:12" x14ac:dyDescent="0.25">
      <c r="A17" s="187">
        <v>125</v>
      </c>
      <c r="B17" s="187" t="s">
        <v>85</v>
      </c>
      <c r="C17" s="187">
        <v>56</v>
      </c>
      <c r="D17" s="187" t="s">
        <v>1843</v>
      </c>
      <c r="E17" s="317" t="s">
        <v>3770</v>
      </c>
      <c r="F17" s="339" t="str">
        <f>IFERROR(IF(OR(E17='DICTIONARY-5'!$A$2,E17='DICTIONARY-5'!$A$4,ISBLANK(E17)),VLOOKUP(D17,LIST!$A$6:$L$3250,CURR_1.SEARCH.OLD,0),VLOOKUP(E17,LIST!$B$6:$L$3250,CURR_1.SEARCH.NEW,0)),'DICTIONARY-5'!$A$2)</f>
        <v>223,-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I17" s="194" t="s">
        <v>1845</v>
      </c>
      <c r="J17" s="318" t="s">
        <v>2979</v>
      </c>
      <c r="K17" s="339" t="str">
        <f>IFERROR(IF(OR(J17='DICTIONARY-5'!$A$2,J17='DICTIONARY-5'!$A$4,ISBLANK(J17)),VLOOKUP(I17,LIST!$A$6:$L$3250,CURR_1.SEARCH.OLD,0),VLOOKUP(J17,LIST!$B$6:$L$3250,CURR_1.SEARCH.NEW,0)),'DICTIONARY-5'!$A$2)</f>
        <v>275,-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</row>
    <row r="18" spans="1:12" x14ac:dyDescent="0.25">
      <c r="A18" s="187">
        <v>150</v>
      </c>
      <c r="B18" s="187" t="s">
        <v>85</v>
      </c>
      <c r="C18" s="187">
        <v>56</v>
      </c>
      <c r="D18" s="187" t="s">
        <v>1846</v>
      </c>
      <c r="E18" s="317" t="s">
        <v>3777</v>
      </c>
      <c r="F18" s="339" t="str">
        <f>IFERROR(IF(OR(E18='DICTIONARY-5'!$A$2,E18='DICTIONARY-5'!$A$4,ISBLANK(E18)),VLOOKUP(D18,LIST!$A$6:$L$3250,CURR_1.SEARCH.OLD,0),VLOOKUP(E18,LIST!$B$6:$L$3250,CURR_1.SEARCH.NEW,0)),'DICTIONARY-5'!$A$2)</f>
        <v>302,-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I18" s="194" t="s">
        <v>1848</v>
      </c>
      <c r="J18" s="318" t="s">
        <v>2980</v>
      </c>
      <c r="K18" s="339" t="str">
        <f>IFERROR(IF(OR(J18='DICTIONARY-5'!$A$2,J18='DICTIONARY-5'!$A$4,ISBLANK(J18)),VLOOKUP(I18,LIST!$A$6:$L$3250,CURR_1.SEARCH.OLD,0),VLOOKUP(J18,LIST!$B$6:$L$3250,CURR_1.SEARCH.NEW,0)),'DICTIONARY-5'!$A$2)</f>
        <v>680,-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</row>
    <row r="19" spans="1:12" x14ac:dyDescent="0.25">
      <c r="A19" s="187">
        <v>200</v>
      </c>
      <c r="B19" s="187" t="s">
        <v>85</v>
      </c>
      <c r="C19" s="187">
        <v>60</v>
      </c>
      <c r="D19" s="187" t="s">
        <v>1849</v>
      </c>
      <c r="E19" s="317" t="s">
        <v>3784</v>
      </c>
      <c r="F19" s="339" t="str">
        <f>IFERROR(IF(OR(E19='DICTIONARY-5'!$A$2,E19='DICTIONARY-5'!$A$4,ISBLANK(E19)),VLOOKUP(D19,LIST!$A$6:$L$3250,CURR_1.SEARCH.OLD,0),VLOOKUP(E19,LIST!$B$6:$L$3250,CURR_1.SEARCH.NEW,0)),'DICTIONARY-5'!$A$2)</f>
        <v>408,-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I19" s="194" t="s">
        <v>1851</v>
      </c>
      <c r="J19" s="318" t="s">
        <v>2981</v>
      </c>
      <c r="K19" s="339" t="str">
        <f>IFERROR(IF(OR(J19='DICTIONARY-5'!$A$2,J19='DICTIONARY-5'!$A$4,ISBLANK(J19)),VLOOKUP(I19,LIST!$A$6:$L$3250,CURR_1.SEARCH.OLD,0),VLOOKUP(J19,LIST!$B$6:$L$3250,CURR_1.SEARCH.NEW,0)),'DICTIONARY-5'!$A$2)</f>
        <v>692,-</v>
      </c>
      <c r="L19" s="339" t="str">
        <f>IFERROR(IF(OR(J19='DICTIONARY-5'!$A$2,J19='DICTIONARY-5'!$A$4,ISBLANK(J19)),VLOOKUP(I19,LIST!$A$6:$M$3250,CURR_2.SEARCH.OLD,0),VLOOKUP(J19,LIST!$B$6:$M$3250,CURR_2.SEARCH.NEW,0)),'DICTIONARY-5'!$A$2)</f>
        <v/>
      </c>
    </row>
    <row r="20" spans="1:12" x14ac:dyDescent="0.25">
      <c r="A20" s="175"/>
      <c r="B20" s="175"/>
      <c r="C20" s="175"/>
      <c r="D20" s="175"/>
      <c r="E20" s="175"/>
      <c r="F20" s="176"/>
      <c r="G20" s="176"/>
    </row>
    <row r="21" spans="1:12" x14ac:dyDescent="0.25">
      <c r="A21" s="175"/>
      <c r="B21" s="175"/>
      <c r="C21" s="175"/>
      <c r="D21" s="175"/>
      <c r="E21" s="175"/>
      <c r="F21" s="176"/>
      <c r="G21" s="176"/>
    </row>
    <row r="22" spans="1:12" x14ac:dyDescent="0.25">
      <c r="I22" s="935" t="str">
        <f>'DICTIONARY-5'!$A$5</f>
        <v xml:space="preserve">Należy zamówić oddzielnie </v>
      </c>
      <c r="J22" s="936"/>
      <c r="K22" s="936"/>
      <c r="L22" s="937"/>
    </row>
    <row r="23" spans="1:12" ht="15" customHeight="1" x14ac:dyDescent="0.25">
      <c r="A23" s="183" t="str">
        <f>'DICTIONARY-2'!$A$2</f>
        <v>DN</v>
      </c>
      <c r="B23" s="183" t="str">
        <f>'DICTIONARY-2'!$A$3</f>
        <v>PN</v>
      </c>
      <c r="C23" s="183" t="str">
        <f>'DICTIONARY-2'!$A$24</f>
        <v>L</v>
      </c>
      <c r="D23" s="1022" t="str">
        <f>'DICTIONARY-3'!$A$149</f>
        <v>CEREX 300-W</v>
      </c>
      <c r="E23" s="1022"/>
      <c r="F23" s="1022"/>
      <c r="G23" s="1022"/>
      <c r="I23" s="950" t="str">
        <f>LOWER('DICTIONARY-3'!$A$239)</f>
        <v>zestaw z pływakiem</v>
      </c>
      <c r="J23" s="951"/>
      <c r="K23" s="951"/>
      <c r="L23" s="952"/>
    </row>
    <row r="24" spans="1:12" x14ac:dyDescent="0.25">
      <c r="A24" s="184"/>
      <c r="B24" s="184"/>
      <c r="C24" s="184"/>
      <c r="D24" s="1021" t="str">
        <f>'DICTIONARY-5'!$A$43&amp;": "&amp;'DICTIONARY-5'!$A$44&amp;", "&amp;'DICTIONARY-5'!$A$147&amp;": "&amp;'DICTIONARY-5'!$A$32</f>
        <v>guma: EPDM, dysk: stal nierdzewna</v>
      </c>
      <c r="E24" s="1021"/>
      <c r="F24" s="1021"/>
      <c r="G24" s="1021"/>
      <c r="I24" s="939"/>
      <c r="J24" s="940"/>
      <c r="K24" s="940"/>
      <c r="L24" s="941"/>
    </row>
    <row r="25" spans="1:12" ht="15" customHeight="1" x14ac:dyDescent="0.25">
      <c r="A25" s="190"/>
      <c r="B25" s="190"/>
      <c r="C25" s="190" t="str">
        <f>'DICTIONARY-2'!$A$18</f>
        <v>[mm]</v>
      </c>
      <c r="D25" s="191" t="str">
        <f>'DICTIONARY-2'!$A$28</f>
        <v>stary nr zamówienia</v>
      </c>
      <c r="E25" s="191" t="str">
        <f>'DICTIONARY-2'!$A$29</f>
        <v>nowy nr zamówienia</v>
      </c>
      <c r="F25" s="186" t="str">
        <f>CURRENCY.CODE_1</f>
        <v>EUR</v>
      </c>
      <c r="G25" s="186" t="str">
        <f>CURRENCY.CODE_2</f>
        <v>---</v>
      </c>
      <c r="I25" s="165" t="str">
        <f>'DICTIONARY-2'!$A$28</f>
        <v>stary nr zamówienia</v>
      </c>
      <c r="J25" s="165" t="str">
        <f>'DICTIONARY-2'!$A$29</f>
        <v>nowy nr zamówienia</v>
      </c>
      <c r="K25" s="166" t="str">
        <f>CURRENCY.CODE_1</f>
        <v>EUR</v>
      </c>
      <c r="L25" s="166" t="str">
        <f>CURRENCY.CODE_2</f>
        <v>---</v>
      </c>
    </row>
    <row r="26" spans="1:12" x14ac:dyDescent="0.25">
      <c r="A26" s="187">
        <v>50</v>
      </c>
      <c r="B26" s="187" t="s">
        <v>85</v>
      </c>
      <c r="C26" s="187">
        <v>43</v>
      </c>
      <c r="D26" s="187" t="s">
        <v>1834</v>
      </c>
      <c r="E26" s="317" t="s">
        <v>3675</v>
      </c>
      <c r="F26" s="339" t="str">
        <f>IFERROR(IF(OR(E26='DICTIONARY-5'!$A$2,E26='DICTIONARY-5'!$A$4,ISBLANK(E26)),VLOOKUP(D26,LIST!$A$6:$L$3250,CURR_1.SEARCH.OLD,0),VLOOKUP(E26,LIST!$B$6:$L$3250,CURR_1.SEARCH.NEW,0)),'DICTIONARY-5'!$A$2)</f>
        <v>140,-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I26" s="194" t="s">
        <v>1835</v>
      </c>
      <c r="J26" s="318" t="s">
        <v>2977</v>
      </c>
      <c r="K26" s="339" t="str">
        <f>IFERROR(IF(OR(J26='DICTIONARY-5'!$A$2,J26='DICTIONARY-5'!$A$4,ISBLANK(J26)),VLOOKUP(I26,LIST!$A$6:$L$3250,CURR_1.SEARCH.OLD,0),VLOOKUP(J26,LIST!$B$6:$L$3250,CURR_1.SEARCH.NEW,0)),'DICTIONARY-5'!$A$2)</f>
        <v>407,-</v>
      </c>
      <c r="L26" s="339" t="str">
        <f>IFERROR(IF(OR(J26='DICTIONARY-5'!$A$2,J26='DICTIONARY-5'!$A$4,ISBLANK(J26)),VLOOKUP(I26,LIST!$A$6:$M$3250,CURR_2.SEARCH.OLD,0),VLOOKUP(J26,LIST!$B$6:$M$3250,CURR_2.SEARCH.NEW,0)),'DICTIONARY-5'!$A$2)</f>
        <v/>
      </c>
    </row>
    <row r="27" spans="1:12" x14ac:dyDescent="0.25">
      <c r="A27" s="187">
        <v>65</v>
      </c>
      <c r="B27" s="187" t="s">
        <v>85</v>
      </c>
      <c r="C27" s="187">
        <v>46</v>
      </c>
      <c r="D27" s="187" t="s">
        <v>1837</v>
      </c>
      <c r="E27" s="317" t="s">
        <v>3682</v>
      </c>
      <c r="F27" s="339" t="str">
        <f>IFERROR(IF(OR(E27='DICTIONARY-5'!$A$2,E27='DICTIONARY-5'!$A$4,ISBLANK(E27)),VLOOKUP(D27,LIST!$A$6:$L$3250,CURR_1.SEARCH.OLD,0),VLOOKUP(E27,LIST!$B$6:$L$3250,CURR_1.SEARCH.NEW,0)),'DICTIONARY-5'!$A$2)</f>
        <v>150,-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I27" s="194" t="s">
        <v>1835</v>
      </c>
      <c r="J27" s="318" t="s">
        <v>2977</v>
      </c>
      <c r="K27" s="339" t="str">
        <f>IFERROR(IF(OR(J27='DICTIONARY-5'!$A$2,J27='DICTIONARY-5'!$A$4,ISBLANK(J27)),VLOOKUP(I27,LIST!$A$6:$L$3250,CURR_1.SEARCH.OLD,0),VLOOKUP(J27,LIST!$B$6:$L$3250,CURR_1.SEARCH.NEW,0)),'DICTIONARY-5'!$A$2)</f>
        <v>407,-</v>
      </c>
      <c r="L27" s="339" t="str">
        <f>IFERROR(IF(OR(J27='DICTIONARY-5'!$A$2,J27='DICTIONARY-5'!$A$4,ISBLANK(J27)),VLOOKUP(I27,LIST!$A$6:$M$3250,CURR_2.SEARCH.OLD,0),VLOOKUP(J27,LIST!$B$6:$M$3250,CURR_2.SEARCH.NEW,0)),'DICTIONARY-5'!$A$2)</f>
        <v/>
      </c>
    </row>
    <row r="28" spans="1:12" x14ac:dyDescent="0.25">
      <c r="A28" s="187">
        <v>80</v>
      </c>
      <c r="B28" s="187" t="s">
        <v>85</v>
      </c>
      <c r="C28" s="187">
        <v>46</v>
      </c>
      <c r="D28" s="187" t="s">
        <v>1839</v>
      </c>
      <c r="E28" s="317" t="s">
        <v>3689</v>
      </c>
      <c r="F28" s="339" t="str">
        <f>IFERROR(IF(OR(E28='DICTIONARY-5'!$A$2,E28='DICTIONARY-5'!$A$4,ISBLANK(E28)),VLOOKUP(D28,LIST!$A$6:$L$3250,CURR_1.SEARCH.OLD,0),VLOOKUP(E28,LIST!$B$6:$L$3250,CURR_1.SEARCH.NEW,0)),'DICTIONARY-5'!$A$2)</f>
        <v>160,-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I28" s="194" t="s">
        <v>1835</v>
      </c>
      <c r="J28" s="318" t="s">
        <v>2977</v>
      </c>
      <c r="K28" s="339" t="str">
        <f>IFERROR(IF(OR(J28='DICTIONARY-5'!$A$2,J28='DICTIONARY-5'!$A$4,ISBLANK(J28)),VLOOKUP(I28,LIST!$A$6:$L$3250,CURR_1.SEARCH.OLD,0),VLOOKUP(J28,LIST!$B$6:$L$3250,CURR_1.SEARCH.NEW,0)),'DICTIONARY-5'!$A$2)</f>
        <v>407,-</v>
      </c>
      <c r="L28" s="339" t="str">
        <f>IFERROR(IF(OR(J28='DICTIONARY-5'!$A$2,J28='DICTIONARY-5'!$A$4,ISBLANK(J28)),VLOOKUP(I28,LIST!$A$6:$M$3250,CURR_2.SEARCH.OLD,0),VLOOKUP(J28,LIST!$B$6:$M$3250,CURR_2.SEARCH.NEW,0)),'DICTIONARY-5'!$A$2)</f>
        <v/>
      </c>
    </row>
    <row r="29" spans="1:12" x14ac:dyDescent="0.25">
      <c r="A29" s="187">
        <v>100</v>
      </c>
      <c r="B29" s="187" t="s">
        <v>85</v>
      </c>
      <c r="C29" s="187">
        <v>52</v>
      </c>
      <c r="D29" s="187" t="s">
        <v>1841</v>
      </c>
      <c r="E29" s="317" t="s">
        <v>3696</v>
      </c>
      <c r="F29" s="339" t="str">
        <f>IFERROR(IF(OR(E29='DICTIONARY-5'!$A$2,E29='DICTIONARY-5'!$A$4,ISBLANK(E29)),VLOOKUP(D29,LIST!$A$6:$L$3250,CURR_1.SEARCH.OLD,0),VLOOKUP(E29,LIST!$B$6:$L$3250,CURR_1.SEARCH.NEW,0)),'DICTIONARY-5'!$A$2)</f>
        <v>198,-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I29" s="194" t="s">
        <v>1842</v>
      </c>
      <c r="J29" s="318" t="s">
        <v>2978</v>
      </c>
      <c r="K29" s="339" t="str">
        <f>IFERROR(IF(OR(J29='DICTIONARY-5'!$A$2,J29='DICTIONARY-5'!$A$4,ISBLANK(J29)),VLOOKUP(I29,LIST!$A$6:$L$3250,CURR_1.SEARCH.OLD,0),VLOOKUP(J29,LIST!$B$6:$L$3250,CURR_1.SEARCH.NEW,0)),'DICTIONARY-5'!$A$2)</f>
        <v>408,-</v>
      </c>
      <c r="L29" s="339" t="str">
        <f>IFERROR(IF(OR(J29='DICTIONARY-5'!$A$2,J29='DICTIONARY-5'!$A$4,ISBLANK(J29)),VLOOKUP(I29,LIST!$A$6:$M$3250,CURR_2.SEARCH.OLD,0),VLOOKUP(J29,LIST!$B$6:$M$3250,CURR_2.SEARCH.NEW,0)),'DICTIONARY-5'!$A$2)</f>
        <v/>
      </c>
    </row>
    <row r="30" spans="1:12" x14ac:dyDescent="0.25">
      <c r="A30" s="187">
        <v>125</v>
      </c>
      <c r="B30" s="187" t="s">
        <v>85</v>
      </c>
      <c r="C30" s="187">
        <v>56</v>
      </c>
      <c r="D30" s="187" t="s">
        <v>1844</v>
      </c>
      <c r="E30" s="317" t="s">
        <v>3703</v>
      </c>
      <c r="F30" s="339" t="str">
        <f>IFERROR(IF(OR(E30='DICTIONARY-5'!$A$2,E30='DICTIONARY-5'!$A$4,ISBLANK(E30)),VLOOKUP(D30,LIST!$A$6:$L$3250,CURR_1.SEARCH.OLD,0),VLOOKUP(E30,LIST!$B$6:$L$3250,CURR_1.SEARCH.NEW,0)),'DICTIONARY-5'!$A$2)</f>
        <v>238,-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I30" s="194" t="s">
        <v>1845</v>
      </c>
      <c r="J30" s="318" t="s">
        <v>2979</v>
      </c>
      <c r="K30" s="339" t="str">
        <f>IFERROR(IF(OR(J30='DICTIONARY-5'!$A$2,J30='DICTIONARY-5'!$A$4,ISBLANK(J30)),VLOOKUP(I30,LIST!$A$6:$L$3250,CURR_1.SEARCH.OLD,0),VLOOKUP(J30,LIST!$B$6:$L$3250,CURR_1.SEARCH.NEW,0)),'DICTIONARY-5'!$A$2)</f>
        <v>275,-</v>
      </c>
      <c r="L30" s="339" t="str">
        <f>IFERROR(IF(OR(J30='DICTIONARY-5'!$A$2,J30='DICTIONARY-5'!$A$4,ISBLANK(J30)),VLOOKUP(I30,LIST!$A$6:$M$3250,CURR_2.SEARCH.OLD,0),VLOOKUP(J30,LIST!$B$6:$M$3250,CURR_2.SEARCH.NEW,0)),'DICTIONARY-5'!$A$2)</f>
        <v/>
      </c>
    </row>
    <row r="31" spans="1:12" x14ac:dyDescent="0.25">
      <c r="A31" s="187">
        <v>150</v>
      </c>
      <c r="B31" s="187" t="s">
        <v>85</v>
      </c>
      <c r="C31" s="187">
        <v>56</v>
      </c>
      <c r="D31" s="187" t="s">
        <v>1847</v>
      </c>
      <c r="E31" s="317" t="s">
        <v>3710</v>
      </c>
      <c r="F31" s="339" t="str">
        <f>IFERROR(IF(OR(E31='DICTIONARY-5'!$A$2,E31='DICTIONARY-5'!$A$4,ISBLANK(E31)),VLOOKUP(D31,LIST!$A$6:$L$3250,CURR_1.SEARCH.OLD,0),VLOOKUP(E31,LIST!$B$6:$L$3250,CURR_1.SEARCH.NEW,0)),'DICTIONARY-5'!$A$2)</f>
        <v>351,-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I31" s="194" t="s">
        <v>1848</v>
      </c>
      <c r="J31" s="318" t="s">
        <v>2980</v>
      </c>
      <c r="K31" s="339" t="str">
        <f>IFERROR(IF(OR(J31='DICTIONARY-5'!$A$2,J31='DICTIONARY-5'!$A$4,ISBLANK(J31)),VLOOKUP(I31,LIST!$A$6:$L$3250,CURR_1.SEARCH.OLD,0),VLOOKUP(J31,LIST!$B$6:$L$3250,CURR_1.SEARCH.NEW,0)),'DICTIONARY-5'!$A$2)</f>
        <v>680,-</v>
      </c>
      <c r="L31" s="339" t="str">
        <f>IFERROR(IF(OR(J31='DICTIONARY-5'!$A$2,J31='DICTIONARY-5'!$A$4,ISBLANK(J31)),VLOOKUP(I31,LIST!$A$6:$M$3250,CURR_2.SEARCH.OLD,0),VLOOKUP(J31,LIST!$B$6:$M$3250,CURR_2.SEARCH.NEW,0)),'DICTIONARY-5'!$A$2)</f>
        <v/>
      </c>
    </row>
    <row r="32" spans="1:12" x14ac:dyDescent="0.25">
      <c r="A32" s="187">
        <v>200</v>
      </c>
      <c r="B32" s="187" t="s">
        <v>85</v>
      </c>
      <c r="C32" s="187">
        <v>60</v>
      </c>
      <c r="D32" s="187" t="s">
        <v>1850</v>
      </c>
      <c r="E32" s="317" t="s">
        <v>3717</v>
      </c>
      <c r="F32" s="339" t="str">
        <f>IFERROR(IF(OR(E32='DICTIONARY-5'!$A$2,E32='DICTIONARY-5'!$A$4,ISBLANK(E32)),VLOOKUP(D32,LIST!$A$6:$L$3250,CURR_1.SEARCH.OLD,0),VLOOKUP(E32,LIST!$B$6:$L$3250,CURR_1.SEARCH.NEW,0)),'DICTIONARY-5'!$A$2)</f>
        <v>462,-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I32" s="194" t="s">
        <v>1851</v>
      </c>
      <c r="J32" s="318" t="s">
        <v>2981</v>
      </c>
      <c r="K32" s="339" t="str">
        <f>IFERROR(IF(OR(J32='DICTIONARY-5'!$A$2,J32='DICTIONARY-5'!$A$4,ISBLANK(J32)),VLOOKUP(I32,LIST!$A$6:$L$3250,CURR_1.SEARCH.OLD,0),VLOOKUP(J32,LIST!$B$6:$L$3250,CURR_1.SEARCH.NEW,0)),'DICTIONARY-5'!$A$2)</f>
        <v>692,-</v>
      </c>
      <c r="L32" s="339" t="str">
        <f>IFERROR(IF(OR(J32='DICTIONARY-5'!$A$2,J32='DICTIONARY-5'!$A$4,ISBLANK(J32)),VLOOKUP(I32,LIST!$A$6:$M$3250,CURR_2.SEARCH.OLD,0),VLOOKUP(J32,LIST!$B$6:$M$3250,CURR_2.SEARCH.NEW,0)),'DICTIONARY-5'!$A$2)</f>
        <v/>
      </c>
    </row>
  </sheetData>
  <sheetProtection algorithmName="SHA-512" hashValue="1C1JdoLf+oXEAoXz0JG6XGWmqhJXvZHW+4bNZEUtvfuXt050RRn3uununqSqQDxWSmpr8lBHZASsFWDjVCZHwg==" saltValue="+OL9ojScK4QgID7p+I+ZZw==" spinCount="100000" sheet="1" objects="1" scenarios="1" autoFilter="0"/>
  <mergeCells count="11">
    <mergeCell ref="B4:E4"/>
    <mergeCell ref="I9:L9"/>
    <mergeCell ref="I22:L22"/>
    <mergeCell ref="D24:G24"/>
    <mergeCell ref="I11:L11"/>
    <mergeCell ref="I24:L24"/>
    <mergeCell ref="D10:G10"/>
    <mergeCell ref="I10:L10"/>
    <mergeCell ref="D23:G23"/>
    <mergeCell ref="I23:L23"/>
    <mergeCell ref="D11:G11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55">
    <tabColor rgb="FF0F6E23"/>
  </sheetPr>
  <dimension ref="A1:K87"/>
  <sheetViews>
    <sheetView workbookViewId="0"/>
  </sheetViews>
  <sheetFormatPr defaultColWidth="9.140625" defaultRowHeight="15" x14ac:dyDescent="0.25"/>
  <cols>
    <col min="1" max="3" width="9.140625" style="177"/>
    <col min="4" max="5" width="22.140625" style="177" customWidth="1"/>
    <col min="6" max="7" width="12.85546875" style="177" customWidth="1"/>
    <col min="8" max="9" width="22.140625" style="177" customWidth="1"/>
    <col min="10" max="11" width="12.85546875" style="177" customWidth="1"/>
    <col min="12" max="16384" width="9.140625" style="177"/>
  </cols>
  <sheetData>
    <row r="1" spans="1:11" s="405" customFormat="1" ht="45" customHeight="1" thickBot="1" x14ac:dyDescent="0.3">
      <c r="A1" s="429"/>
      <c r="B1" s="429"/>
      <c r="C1" s="429"/>
      <c r="D1" s="429"/>
    </row>
    <row r="2" spans="1:11" s="463" customFormat="1" ht="4.5" customHeight="1" x14ac:dyDescent="0.25">
      <c r="A2" s="462"/>
    </row>
    <row r="3" spans="1:11" ht="15.75" thickBot="1" x14ac:dyDescent="0.3">
      <c r="A3" s="178"/>
      <c r="B3" s="179"/>
      <c r="C3" s="179"/>
    </row>
    <row r="4" spans="1:11" ht="15.75" thickBot="1" x14ac:dyDescent="0.3">
      <c r="A4" s="823">
        <f>ADD.DISCOUNT</f>
        <v>0</v>
      </c>
      <c r="B4" s="933" t="str">
        <f>HYPERLINK("#'LIST'!ADD.DISCOUNT","» "&amp;'DICTIONARY-1'!$A$5)</f>
        <v>» Ustaw globalny dodatkowy rabat</v>
      </c>
      <c r="C4" s="1017"/>
      <c r="D4" s="1017"/>
      <c r="E4" s="1018"/>
    </row>
    <row r="5" spans="1:11" x14ac:dyDescent="0.25">
      <c r="A5" s="178"/>
      <c r="B5" s="179"/>
      <c r="C5" s="179"/>
    </row>
    <row r="6" spans="1:11" ht="16.5" thickBot="1" x14ac:dyDescent="0.3">
      <c r="A6" s="712" t="str">
        <f>CONCATENATE('DICTIONARY-3'!$A$148," ",'DICTIONARY-3'!$A$204," / ",'DICTIONARY-3'!$A$323)</f>
        <v>CEREX 300-L Przepustnica kołnierzowa / Z dźwignią stalową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80" t="str">
        <f>'DICTIONARY-5'!$A$145</f>
        <v>Typ Lug z otworami centrującymi do montażu na śruby</v>
      </c>
      <c r="B7" s="175"/>
      <c r="C7" s="175"/>
      <c r="D7" s="175"/>
      <c r="E7" s="175"/>
      <c r="F7" s="176"/>
      <c r="G7" s="176"/>
      <c r="H7" s="175"/>
      <c r="I7" s="175"/>
      <c r="J7" s="176"/>
      <c r="K7" s="176"/>
    </row>
    <row r="8" spans="1:11" x14ac:dyDescent="0.25">
      <c r="A8" s="180" t="str">
        <f>CONCATENATE('DICTIONARY-1'!$A$10,": ",SETTINGS!$C$42)</f>
        <v>Grupa rabatowa: CEREX 300</v>
      </c>
      <c r="B8" s="175"/>
      <c r="C8" s="175"/>
      <c r="D8" s="175"/>
      <c r="E8" s="175"/>
      <c r="F8" s="176"/>
      <c r="G8" s="176"/>
      <c r="H8" s="175"/>
      <c r="I8" s="175"/>
      <c r="J8" s="176"/>
      <c r="K8" s="176"/>
    </row>
    <row r="9" spans="1:11" x14ac:dyDescent="0.25">
      <c r="A9" s="182"/>
      <c r="B9" s="175"/>
      <c r="C9" s="175"/>
      <c r="D9" s="175"/>
      <c r="E9" s="175"/>
      <c r="F9" s="176"/>
      <c r="G9" s="176"/>
      <c r="H9" s="175"/>
      <c r="I9" s="175"/>
      <c r="J9" s="176"/>
      <c r="K9" s="176"/>
    </row>
    <row r="10" spans="1:11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020" t="str">
        <f>'DICTIONARY-3'!$A$148</f>
        <v>CEREX 300-L</v>
      </c>
      <c r="E10" s="1020"/>
      <c r="F10" s="1020"/>
      <c r="G10" s="1020"/>
      <c r="H10" s="1020" t="str">
        <f>'DICTIONARY-3'!$A$148</f>
        <v>CEREX 300-L</v>
      </c>
      <c r="I10" s="1020"/>
      <c r="J10" s="1020"/>
      <c r="K10" s="1020"/>
    </row>
    <row r="11" spans="1:11" x14ac:dyDescent="0.25">
      <c r="A11" s="184"/>
      <c r="B11" s="184"/>
      <c r="C11" s="184"/>
      <c r="D11" s="1019" t="str">
        <f>'DICTIONARY-5'!$A$43&amp;": "&amp;'DICTIONARY-5'!$A$44&amp;", "&amp;'DICTIONARY-5'!$A$147&amp;": "&amp;'DICTIONARY-5'!$A$50</f>
        <v xml:space="preserve">guma: EPDM, dysk: żeliwo sferoidalne </v>
      </c>
      <c r="E11" s="1019"/>
      <c r="F11" s="1019"/>
      <c r="G11" s="1019"/>
      <c r="H11" s="1019" t="str">
        <f>'DICTIONARY-5'!$A$43&amp;": "&amp;'DICTIONARY-5'!$A$44&amp;", "&amp;'DICTIONARY-5'!$A$147&amp;": "&amp;'DICTIONARY-5'!$A$32</f>
        <v>guma: EPDM, dysk: stal nierdzewna</v>
      </c>
      <c r="I11" s="1019"/>
      <c r="J11" s="1019"/>
      <c r="K11" s="1019"/>
    </row>
    <row r="12" spans="1:11" x14ac:dyDescent="0.25">
      <c r="A12" s="190"/>
      <c r="B12" s="190"/>
      <c r="C12" s="190" t="str">
        <f>'DICTIONARY-2'!$A$18</f>
        <v>[mm]</v>
      </c>
      <c r="D12" s="191" t="str">
        <f>'DICTIONARY-2'!$A$28</f>
        <v>stary nr zamówienia</v>
      </c>
      <c r="E12" s="191" t="str">
        <f>'DICTIONARY-2'!$A$29</f>
        <v>nowy nr zamówienia</v>
      </c>
      <c r="F12" s="186" t="str">
        <f>CURRENCY.CODE_1</f>
        <v>EUR</v>
      </c>
      <c r="G12" s="186" t="str">
        <f>CURRENCY.CODE_2</f>
        <v>---</v>
      </c>
      <c r="H12" s="191" t="str">
        <f>'DICTIONARY-2'!$A$28</f>
        <v>stary nr zamówienia</v>
      </c>
      <c r="I12" s="191" t="str">
        <f>'DICTIONARY-2'!$A$29</f>
        <v>nowy nr zamówienia</v>
      </c>
      <c r="J12" s="186" t="str">
        <f>CURRENCY.CODE_1</f>
        <v>EUR</v>
      </c>
      <c r="K12" s="186" t="str">
        <f>CURRENCY.CODE_2</f>
        <v>---</v>
      </c>
    </row>
    <row r="13" spans="1:11" x14ac:dyDescent="0.25">
      <c r="A13" s="187">
        <v>50</v>
      </c>
      <c r="B13" s="187" t="s">
        <v>85</v>
      </c>
      <c r="C13" s="187">
        <v>43</v>
      </c>
      <c r="D13" s="187" t="s">
        <v>1541</v>
      </c>
      <c r="E13" s="317" t="s">
        <v>3877</v>
      </c>
      <c r="F13" s="339" t="str">
        <f>IFERROR(IF(OR(E13='DICTIONARY-5'!$A$2,E13='DICTIONARY-5'!$A$4,ISBLANK(E13)),VLOOKUP(D13,LIST!$A$6:$L$3250,CURR_1.SEARCH.OLD,0),VLOOKUP(E13,LIST!$B$6:$L$3250,CURR_1.SEARCH.NEW,0)),'DICTIONARY-5'!$A$2)</f>
        <v>182,-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187" t="s">
        <v>1542</v>
      </c>
      <c r="I13" s="317" t="s">
        <v>3821</v>
      </c>
      <c r="J13" s="339" t="str">
        <f>IFERROR(IF(OR(I13='DICTIONARY-5'!$A$2,I13='DICTIONARY-5'!$A$4,ISBLANK(I13)),VLOOKUP(H13,LIST!$A$6:$L$3250,CURR_1.SEARCH.OLD,0),VLOOKUP(I13,LIST!$B$6:$L$3250,CURR_1.SEARCH.NEW,0)),'DICTIONARY-5'!$A$2)</f>
        <v>181,-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187">
        <v>65</v>
      </c>
      <c r="B14" s="187" t="s">
        <v>85</v>
      </c>
      <c r="C14" s="187">
        <v>46</v>
      </c>
      <c r="D14" s="187" t="s">
        <v>1543</v>
      </c>
      <c r="E14" s="317" t="s">
        <v>3883</v>
      </c>
      <c r="F14" s="339" t="str">
        <f>IFERROR(IF(OR(E14='DICTIONARY-5'!$A$2,E14='DICTIONARY-5'!$A$4,ISBLANK(E14)),VLOOKUP(D14,LIST!$A$6:$L$3250,CURR_1.SEARCH.OLD,0),VLOOKUP(E14,LIST!$B$6:$L$3250,CURR_1.SEARCH.NEW,0)),'DICTIONARY-5'!$A$2)</f>
        <v>184,-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87" t="s">
        <v>1544</v>
      </c>
      <c r="I14" s="317" t="s">
        <v>3827</v>
      </c>
      <c r="J14" s="339" t="str">
        <f>IFERROR(IF(OR(I14='DICTIONARY-5'!$A$2,I14='DICTIONARY-5'!$A$4,ISBLANK(I14)),VLOOKUP(H14,LIST!$A$6:$L$3250,CURR_1.SEARCH.OLD,0),VLOOKUP(I14,LIST!$B$6:$L$3250,CURR_1.SEARCH.NEW,0)),'DICTIONARY-5'!$A$2)</f>
        <v>187,-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187">
        <v>80</v>
      </c>
      <c r="B15" s="187" t="s">
        <v>85</v>
      </c>
      <c r="C15" s="187">
        <v>46</v>
      </c>
      <c r="D15" s="187" t="s">
        <v>1545</v>
      </c>
      <c r="E15" s="317" t="s">
        <v>3889</v>
      </c>
      <c r="F15" s="339" t="str">
        <f>IFERROR(IF(OR(E15='DICTIONARY-5'!$A$2,E15='DICTIONARY-5'!$A$4,ISBLANK(E15)),VLOOKUP(D15,LIST!$A$6:$L$3250,CURR_1.SEARCH.OLD,0),VLOOKUP(E15,LIST!$B$6:$L$3250,CURR_1.SEARCH.NEW,0)),'DICTIONARY-5'!$A$2)</f>
        <v>216,-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87" t="s">
        <v>1546</v>
      </c>
      <c r="I15" s="317" t="s">
        <v>3833</v>
      </c>
      <c r="J15" s="339" t="str">
        <f>IFERROR(IF(OR(I15='DICTIONARY-5'!$A$2,I15='DICTIONARY-5'!$A$4,ISBLANK(I15)),VLOOKUP(H15,LIST!$A$6:$L$3250,CURR_1.SEARCH.OLD,0),VLOOKUP(I15,LIST!$B$6:$L$3250,CURR_1.SEARCH.NEW,0)),'DICTIONARY-5'!$A$2)</f>
        <v>221,-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ht="15" customHeight="1" x14ac:dyDescent="0.25">
      <c r="A16" s="187">
        <v>100</v>
      </c>
      <c r="B16" s="187" t="s">
        <v>85</v>
      </c>
      <c r="C16" s="187">
        <v>52</v>
      </c>
      <c r="D16" s="187" t="s">
        <v>1547</v>
      </c>
      <c r="E16" s="317" t="s">
        <v>3895</v>
      </c>
      <c r="F16" s="339" t="str">
        <f>IFERROR(IF(OR(E16='DICTIONARY-5'!$A$2,E16='DICTIONARY-5'!$A$4,ISBLANK(E16)),VLOOKUP(D16,LIST!$A$6:$L$3250,CURR_1.SEARCH.OLD,0),VLOOKUP(E16,LIST!$B$6:$L$3250,CURR_1.SEARCH.NEW,0)),'DICTIONARY-5'!$A$2)</f>
        <v>243,-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87" t="s">
        <v>1548</v>
      </c>
      <c r="I16" s="317" t="s">
        <v>3839</v>
      </c>
      <c r="J16" s="339" t="str">
        <f>IFERROR(IF(OR(I16='DICTIONARY-5'!$A$2,I16='DICTIONARY-5'!$A$4,ISBLANK(I16)),VLOOKUP(H16,LIST!$A$6:$L$3250,CURR_1.SEARCH.OLD,0),VLOOKUP(I16,LIST!$B$6:$L$3250,CURR_1.SEARCH.NEW,0)),'DICTIONARY-5'!$A$2)</f>
        <v>250,-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187">
        <v>125</v>
      </c>
      <c r="B17" s="187" t="s">
        <v>85</v>
      </c>
      <c r="C17" s="187">
        <v>56</v>
      </c>
      <c r="D17" s="187" t="s">
        <v>1549</v>
      </c>
      <c r="E17" s="317" t="s">
        <v>3901</v>
      </c>
      <c r="F17" s="339" t="str">
        <f>IFERROR(IF(OR(E17='DICTIONARY-5'!$A$2,E17='DICTIONARY-5'!$A$4,ISBLANK(E17)),VLOOKUP(D17,LIST!$A$6:$L$3250,CURR_1.SEARCH.OLD,0),VLOOKUP(E17,LIST!$B$6:$L$3250,CURR_1.SEARCH.NEW,0)),'DICTIONARY-5'!$A$2)</f>
        <v>279,-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187" t="s">
        <v>1550</v>
      </c>
      <c r="I17" s="317" t="s">
        <v>3845</v>
      </c>
      <c r="J17" s="339" t="str">
        <f>IFERROR(IF(OR(I17='DICTIONARY-5'!$A$2,I17='DICTIONARY-5'!$A$4,ISBLANK(I17)),VLOOKUP(H17,LIST!$A$6:$L$3250,CURR_1.SEARCH.OLD,0),VLOOKUP(I17,LIST!$B$6:$L$3250,CURR_1.SEARCH.NEW,0)),'DICTIONARY-5'!$A$2)</f>
        <v>294,-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187">
        <v>150</v>
      </c>
      <c r="B18" s="187" t="s">
        <v>85</v>
      </c>
      <c r="C18" s="187">
        <v>56</v>
      </c>
      <c r="D18" s="187" t="s">
        <v>1551</v>
      </c>
      <c r="E18" s="317" t="s">
        <v>3907</v>
      </c>
      <c r="F18" s="339" t="str">
        <f>IFERROR(IF(OR(E18='DICTIONARY-5'!$A$2,E18='DICTIONARY-5'!$A$4,ISBLANK(E18)),VLOOKUP(D18,LIST!$A$6:$L$3250,CURR_1.SEARCH.OLD,0),VLOOKUP(E18,LIST!$B$6:$L$3250,CURR_1.SEARCH.NEW,0)),'DICTIONARY-5'!$A$2)</f>
        <v>376,-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187" t="s">
        <v>1552</v>
      </c>
      <c r="I18" s="317" t="s">
        <v>3851</v>
      </c>
      <c r="J18" s="339" t="str">
        <f>IFERROR(IF(OR(I18='DICTIONARY-5'!$A$2,I18='DICTIONARY-5'!$A$4,ISBLANK(I18)),VLOOKUP(H18,LIST!$A$6:$L$3250,CURR_1.SEARCH.OLD,0),VLOOKUP(I18,LIST!$B$6:$L$3250,CURR_1.SEARCH.NEW,0)),'DICTIONARY-5'!$A$2)</f>
        <v>415,-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187">
        <v>200</v>
      </c>
      <c r="B19" s="187">
        <v>10</v>
      </c>
      <c r="C19" s="187">
        <v>60</v>
      </c>
      <c r="D19" s="187" t="s">
        <v>1553</v>
      </c>
      <c r="E19" s="317" t="s">
        <v>3957</v>
      </c>
      <c r="F19" s="339" t="str">
        <f>IFERROR(IF(OR(E19='DICTIONARY-5'!$A$2,E19='DICTIONARY-5'!$A$4,ISBLANK(E19)),VLOOKUP(D19,LIST!$A$6:$L$3250,CURR_1.SEARCH.OLD,0),VLOOKUP(E19,LIST!$B$6:$L$3250,CURR_1.SEARCH.NEW,0)),'DICTIONARY-5'!$A$2)</f>
        <v>484,-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187" t="s">
        <v>1554</v>
      </c>
      <c r="I19" s="317" t="s">
        <v>3933</v>
      </c>
      <c r="J19" s="339" t="str">
        <f>IFERROR(IF(OR(I19='DICTIONARY-5'!$A$2,I19='DICTIONARY-5'!$A$4,ISBLANK(I19)),VLOOKUP(H19,LIST!$A$6:$L$3250,CURR_1.SEARCH.OLD,0),VLOOKUP(I19,LIST!$B$6:$L$3250,CURR_1.SEARCH.NEW,0)),'DICTIONARY-5'!$A$2)</f>
        <v>540,-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187">
        <v>200</v>
      </c>
      <c r="B20" s="187">
        <v>16</v>
      </c>
      <c r="C20" s="187">
        <v>60</v>
      </c>
      <c r="D20" s="187" t="s">
        <v>1555</v>
      </c>
      <c r="E20" s="317" t="s">
        <v>3913</v>
      </c>
      <c r="F20" s="339" t="str">
        <f>IFERROR(IF(OR(E20='DICTIONARY-5'!$A$2,E20='DICTIONARY-5'!$A$4,ISBLANK(E20)),VLOOKUP(D20,LIST!$A$6:$L$3250,CURR_1.SEARCH.OLD,0),VLOOKUP(E20,LIST!$B$6:$L$3250,CURR_1.SEARCH.NEW,0)),'DICTIONARY-5'!$A$2)</f>
        <v>531,-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187" t="s">
        <v>1556</v>
      </c>
      <c r="I20" s="317" t="s">
        <v>3857</v>
      </c>
      <c r="J20" s="339" t="str">
        <f>IFERROR(IF(OR(I20='DICTIONARY-5'!$A$2,I20='DICTIONARY-5'!$A$4,ISBLANK(I20)),VLOOKUP(H20,LIST!$A$6:$L$3250,CURR_1.SEARCH.OLD,0),VLOOKUP(I20,LIST!$B$6:$L$3250,CURR_1.SEARCH.NEW,0)),'DICTIONARY-5'!$A$2)</f>
        <v>587,-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A21" s="175"/>
      <c r="B21" s="175"/>
      <c r="C21" s="175"/>
      <c r="D21" s="175"/>
      <c r="E21" s="175"/>
      <c r="F21" s="176"/>
      <c r="G21" s="176"/>
      <c r="H21" s="175"/>
      <c r="I21" s="175"/>
      <c r="J21" s="176"/>
      <c r="K21" s="176"/>
    </row>
    <row r="22" spans="1:11" x14ac:dyDescent="0.25">
      <c r="A22" s="182"/>
      <c r="B22" s="175"/>
      <c r="C22" s="175"/>
      <c r="D22" s="175"/>
      <c r="E22" s="175"/>
      <c r="F22" s="176"/>
      <c r="G22" s="176"/>
      <c r="H22" s="175"/>
      <c r="I22" s="175"/>
      <c r="J22" s="176"/>
      <c r="K22" s="176"/>
    </row>
    <row r="23" spans="1:11" x14ac:dyDescent="0.25">
      <c r="A23" s="183" t="str">
        <f>'DICTIONARY-2'!$A$2</f>
        <v>DN</v>
      </c>
      <c r="B23" s="183" t="str">
        <f>'DICTIONARY-2'!$A$3</f>
        <v>PN</v>
      </c>
      <c r="C23" s="183" t="str">
        <f>'DICTIONARY-2'!$A$24</f>
        <v>L</v>
      </c>
      <c r="D23" s="1020" t="str">
        <f>'DICTIONARY-3'!$A$148</f>
        <v>CEREX 300-L</v>
      </c>
      <c r="E23" s="1020"/>
      <c r="F23" s="1020"/>
      <c r="G23" s="1020"/>
      <c r="H23" s="1020" t="str">
        <f>'DICTIONARY-3'!$A$148</f>
        <v>CEREX 300-L</v>
      </c>
      <c r="I23" s="1020"/>
      <c r="J23" s="1020"/>
      <c r="K23" s="1020"/>
    </row>
    <row r="24" spans="1:11" x14ac:dyDescent="0.25">
      <c r="A24" s="184"/>
      <c r="B24" s="184"/>
      <c r="C24" s="184"/>
      <c r="D24" s="1019" t="str">
        <f>'DICTIONARY-5'!$A$43&amp;": "&amp;'DICTIONARY-5'!$A$45&amp;", "&amp;'DICTIONARY-5'!$A$147&amp;": "&amp;'DICTIONARY-5'!$A$50</f>
        <v xml:space="preserve">guma: NBR, dysk: żeliwo sferoidalne </v>
      </c>
      <c r="E24" s="1019"/>
      <c r="F24" s="1019"/>
      <c r="G24" s="1019"/>
      <c r="H24" s="1019" t="str">
        <f>'DICTIONARY-5'!$A$43&amp;": "&amp;'DICTIONARY-5'!$A$45&amp;", "&amp;'DICTIONARY-5'!$A$147&amp;": "&amp;'DICTIONARY-5'!$A$32</f>
        <v>guma: NBR, dysk: stal nierdzewna</v>
      </c>
      <c r="I24" s="1019"/>
      <c r="J24" s="1019"/>
      <c r="K24" s="1019"/>
    </row>
    <row r="25" spans="1:11" x14ac:dyDescent="0.25">
      <c r="A25" s="190"/>
      <c r="B25" s="190"/>
      <c r="C25" s="190" t="str">
        <f>'DICTIONARY-2'!$A$18</f>
        <v>[mm]</v>
      </c>
      <c r="D25" s="191" t="str">
        <f>'DICTIONARY-2'!$A$28</f>
        <v>stary nr zamówienia</v>
      </c>
      <c r="E25" s="191" t="str">
        <f>'DICTIONARY-2'!$A$29</f>
        <v>nowy nr zamówienia</v>
      </c>
      <c r="F25" s="186" t="str">
        <f>CURRENCY.CODE_1</f>
        <v>EUR</v>
      </c>
      <c r="G25" s="186" t="str">
        <f>CURRENCY.CODE_2</f>
        <v>---</v>
      </c>
      <c r="H25" s="191" t="str">
        <f>'DICTIONARY-2'!$A$28</f>
        <v>stary nr zamówienia</v>
      </c>
      <c r="I25" s="191" t="str">
        <f>'DICTIONARY-2'!$A$29</f>
        <v>nowy nr zamówienia</v>
      </c>
      <c r="J25" s="186" t="str">
        <f>CURRENCY.CODE_1</f>
        <v>EUR</v>
      </c>
      <c r="K25" s="186" t="str">
        <f>CURRENCY.CODE_2</f>
        <v>---</v>
      </c>
    </row>
    <row r="26" spans="1:11" x14ac:dyDescent="0.25">
      <c r="A26" s="187">
        <v>50</v>
      </c>
      <c r="B26" s="187" t="s">
        <v>85</v>
      </c>
      <c r="C26" s="187">
        <v>43</v>
      </c>
      <c r="D26" s="187" t="s">
        <v>1557</v>
      </c>
      <c r="E26" s="317" t="s">
        <v>3878</v>
      </c>
      <c r="F26" s="339" t="str">
        <f>IFERROR(IF(OR(E26='DICTIONARY-5'!$A$2,E26='DICTIONARY-5'!$A$4,ISBLANK(E26)),VLOOKUP(D26,LIST!$A$6:$L$3250,CURR_1.SEARCH.OLD,0),VLOOKUP(E26,LIST!$B$6:$L$3250,CURR_1.SEARCH.NEW,0)),'DICTIONARY-5'!$A$2)</f>
        <v>185,-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187" t="s">
        <v>1558</v>
      </c>
      <c r="I26" s="317" t="s">
        <v>3822</v>
      </c>
      <c r="J26" s="339" t="str">
        <f>IFERROR(IF(OR(I26='DICTIONARY-5'!$A$2,I26='DICTIONARY-5'!$A$4,ISBLANK(I26)),VLOOKUP(H26,LIST!$A$6:$L$3250,CURR_1.SEARCH.OLD,0),VLOOKUP(I26,LIST!$B$6:$L$3250,CURR_1.SEARCH.NEW,0)),'DICTIONARY-5'!$A$2)</f>
        <v>185,-</v>
      </c>
      <c r="K26" s="339" t="str">
        <f>IFERROR(IF(OR(I26='DICTIONARY-5'!$A$2,I26='DICTIONARY-5'!$A$4,ISBLANK(I26)),VLOOKUP(H26,LIST!$A$6:$M$3250,CURR_2.SEARCH.OLD,0),VLOOKUP(I26,LIST!$B$6:$M$3250,CURR_2.SEARCH.NEW,0)),'DICTIONARY-5'!$A$2)</f>
        <v/>
      </c>
    </row>
    <row r="27" spans="1:11" x14ac:dyDescent="0.25">
      <c r="A27" s="187">
        <v>65</v>
      </c>
      <c r="B27" s="187" t="s">
        <v>85</v>
      </c>
      <c r="C27" s="187">
        <v>46</v>
      </c>
      <c r="D27" s="187" t="s">
        <v>1559</v>
      </c>
      <c r="E27" s="317" t="s">
        <v>3884</v>
      </c>
      <c r="F27" s="339" t="str">
        <f>IFERROR(IF(OR(E27='DICTIONARY-5'!$A$2,E27='DICTIONARY-5'!$A$4,ISBLANK(E27)),VLOOKUP(D27,LIST!$A$6:$L$3250,CURR_1.SEARCH.OLD,0),VLOOKUP(E27,LIST!$B$6:$L$3250,CURR_1.SEARCH.NEW,0)),'DICTIONARY-5'!$A$2)</f>
        <v>197,-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H27" s="187" t="s">
        <v>1560</v>
      </c>
      <c r="I27" s="317" t="s">
        <v>3828</v>
      </c>
      <c r="J27" s="339" t="str">
        <f>IFERROR(IF(OR(I27='DICTIONARY-5'!$A$2,I27='DICTIONARY-5'!$A$4,ISBLANK(I27)),VLOOKUP(H27,LIST!$A$6:$L$3250,CURR_1.SEARCH.OLD,0),VLOOKUP(I27,LIST!$B$6:$L$3250,CURR_1.SEARCH.NEW,0)),'DICTIONARY-5'!$A$2)</f>
        <v>198,-</v>
      </c>
      <c r="K27" s="339" t="str">
        <f>IFERROR(IF(OR(I27='DICTIONARY-5'!$A$2,I27='DICTIONARY-5'!$A$4,ISBLANK(I27)),VLOOKUP(H27,LIST!$A$6:$M$3250,CURR_2.SEARCH.OLD,0),VLOOKUP(I27,LIST!$B$6:$M$3250,CURR_2.SEARCH.NEW,0)),'DICTIONARY-5'!$A$2)</f>
        <v/>
      </c>
    </row>
    <row r="28" spans="1:11" x14ac:dyDescent="0.25">
      <c r="A28" s="187">
        <v>80</v>
      </c>
      <c r="B28" s="187" t="s">
        <v>85</v>
      </c>
      <c r="C28" s="187">
        <v>46</v>
      </c>
      <c r="D28" s="187" t="s">
        <v>1561</v>
      </c>
      <c r="E28" s="317" t="s">
        <v>3890</v>
      </c>
      <c r="F28" s="339" t="str">
        <f>IFERROR(IF(OR(E28='DICTIONARY-5'!$A$2,E28='DICTIONARY-5'!$A$4,ISBLANK(E28)),VLOOKUP(D28,LIST!$A$6:$L$3250,CURR_1.SEARCH.OLD,0),VLOOKUP(E28,LIST!$B$6:$L$3250,CURR_1.SEARCH.NEW,0)),'DICTIONARY-5'!$A$2)</f>
        <v>227,-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187" t="s">
        <v>1562</v>
      </c>
      <c r="I28" s="317" t="s">
        <v>3834</v>
      </c>
      <c r="J28" s="339" t="str">
        <f>IFERROR(IF(OR(I28='DICTIONARY-5'!$A$2,I28='DICTIONARY-5'!$A$4,ISBLANK(I28)),VLOOKUP(H28,LIST!$A$6:$L$3250,CURR_1.SEARCH.OLD,0),VLOOKUP(I28,LIST!$B$6:$L$3250,CURR_1.SEARCH.NEW,0)),'DICTIONARY-5'!$A$2)</f>
        <v>232,-</v>
      </c>
      <c r="K28" s="339" t="str">
        <f>IFERROR(IF(OR(I28='DICTIONARY-5'!$A$2,I28='DICTIONARY-5'!$A$4,ISBLANK(I28)),VLOOKUP(H28,LIST!$A$6:$M$3250,CURR_2.SEARCH.OLD,0),VLOOKUP(I28,LIST!$B$6:$M$3250,CURR_2.SEARCH.NEW,0)),'DICTIONARY-5'!$A$2)</f>
        <v/>
      </c>
    </row>
    <row r="29" spans="1:11" x14ac:dyDescent="0.25">
      <c r="A29" s="187">
        <v>100</v>
      </c>
      <c r="B29" s="187" t="s">
        <v>85</v>
      </c>
      <c r="C29" s="187">
        <v>52</v>
      </c>
      <c r="D29" s="187" t="s">
        <v>1563</v>
      </c>
      <c r="E29" s="317" t="s">
        <v>3896</v>
      </c>
      <c r="F29" s="339" t="str">
        <f>IFERROR(IF(OR(E29='DICTIONARY-5'!$A$2,E29='DICTIONARY-5'!$A$4,ISBLANK(E29)),VLOOKUP(D29,LIST!$A$6:$L$3250,CURR_1.SEARCH.OLD,0),VLOOKUP(E29,LIST!$B$6:$L$3250,CURR_1.SEARCH.NEW,0)),'DICTIONARY-5'!$A$2)</f>
        <v>259,-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H29" s="187" t="s">
        <v>1564</v>
      </c>
      <c r="I29" s="317" t="s">
        <v>3840</v>
      </c>
      <c r="J29" s="339" t="str">
        <f>IFERROR(IF(OR(I29='DICTIONARY-5'!$A$2,I29='DICTIONARY-5'!$A$4,ISBLANK(I29)),VLOOKUP(H29,LIST!$A$6:$L$3250,CURR_1.SEARCH.OLD,0),VLOOKUP(I29,LIST!$B$6:$L$3250,CURR_1.SEARCH.NEW,0)),'DICTIONARY-5'!$A$2)</f>
        <v>265,-</v>
      </c>
      <c r="K29" s="339" t="str">
        <f>IFERROR(IF(OR(I29='DICTIONARY-5'!$A$2,I29='DICTIONARY-5'!$A$4,ISBLANK(I29)),VLOOKUP(H29,LIST!$A$6:$M$3250,CURR_2.SEARCH.OLD,0),VLOOKUP(I29,LIST!$B$6:$M$3250,CURR_2.SEARCH.NEW,0)),'DICTIONARY-5'!$A$2)</f>
        <v/>
      </c>
    </row>
    <row r="30" spans="1:11" x14ac:dyDescent="0.25">
      <c r="A30" s="187">
        <v>125</v>
      </c>
      <c r="B30" s="187" t="s">
        <v>85</v>
      </c>
      <c r="C30" s="187">
        <v>56</v>
      </c>
      <c r="D30" s="187" t="s">
        <v>1565</v>
      </c>
      <c r="E30" s="317" t="s">
        <v>3902</v>
      </c>
      <c r="F30" s="339" t="str">
        <f>IFERROR(IF(OR(E30='DICTIONARY-5'!$A$2,E30='DICTIONARY-5'!$A$4,ISBLANK(E30)),VLOOKUP(D30,LIST!$A$6:$L$3250,CURR_1.SEARCH.OLD,0),VLOOKUP(E30,LIST!$B$6:$L$3250,CURR_1.SEARCH.NEW,0)),'DICTIONARY-5'!$A$2)</f>
        <v>293,-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H30" s="187" t="s">
        <v>1566</v>
      </c>
      <c r="I30" s="317" t="s">
        <v>3846</v>
      </c>
      <c r="J30" s="339" t="str">
        <f>IFERROR(IF(OR(I30='DICTIONARY-5'!$A$2,I30='DICTIONARY-5'!$A$4,ISBLANK(I30)),VLOOKUP(H30,LIST!$A$6:$L$3250,CURR_1.SEARCH.OLD,0),VLOOKUP(I30,LIST!$B$6:$L$3250,CURR_1.SEARCH.NEW,0)),'DICTIONARY-5'!$A$2)</f>
        <v>308,-</v>
      </c>
      <c r="K30" s="339" t="str">
        <f>IFERROR(IF(OR(I30='DICTIONARY-5'!$A$2,I30='DICTIONARY-5'!$A$4,ISBLANK(I30)),VLOOKUP(H30,LIST!$A$6:$M$3250,CURR_2.SEARCH.OLD,0),VLOOKUP(I30,LIST!$B$6:$M$3250,CURR_2.SEARCH.NEW,0)),'DICTIONARY-5'!$A$2)</f>
        <v/>
      </c>
    </row>
    <row r="31" spans="1:11" x14ac:dyDescent="0.25">
      <c r="A31" s="187">
        <v>150</v>
      </c>
      <c r="B31" s="187" t="s">
        <v>85</v>
      </c>
      <c r="C31" s="187">
        <v>56</v>
      </c>
      <c r="D31" s="187" t="s">
        <v>1567</v>
      </c>
      <c r="E31" s="317" t="s">
        <v>3908</v>
      </c>
      <c r="F31" s="339" t="str">
        <f>IFERROR(IF(OR(E31='DICTIONARY-5'!$A$2,E31='DICTIONARY-5'!$A$4,ISBLANK(E31)),VLOOKUP(D31,LIST!$A$6:$L$3250,CURR_1.SEARCH.OLD,0),VLOOKUP(E31,LIST!$B$6:$L$3250,CURR_1.SEARCH.NEW,0)),'DICTIONARY-5'!$A$2)</f>
        <v>392,-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187" t="s">
        <v>1568</v>
      </c>
      <c r="I31" s="317" t="s">
        <v>3852</v>
      </c>
      <c r="J31" s="339" t="str">
        <f>IFERROR(IF(OR(I31='DICTIONARY-5'!$A$2,I31='DICTIONARY-5'!$A$4,ISBLANK(I31)),VLOOKUP(H31,LIST!$A$6:$L$3250,CURR_1.SEARCH.OLD,0),VLOOKUP(I31,LIST!$B$6:$L$3250,CURR_1.SEARCH.NEW,0)),'DICTIONARY-5'!$A$2)</f>
        <v>430,-</v>
      </c>
      <c r="K31" s="339" t="str">
        <f>IFERROR(IF(OR(I31='DICTIONARY-5'!$A$2,I31='DICTIONARY-5'!$A$4,ISBLANK(I31)),VLOOKUP(H31,LIST!$A$6:$M$3250,CURR_2.SEARCH.OLD,0),VLOOKUP(I31,LIST!$B$6:$M$3250,CURR_2.SEARCH.NEW,0)),'DICTIONARY-5'!$A$2)</f>
        <v/>
      </c>
    </row>
    <row r="32" spans="1:11" x14ac:dyDescent="0.25">
      <c r="A32" s="187">
        <v>200</v>
      </c>
      <c r="B32" s="187">
        <v>10</v>
      </c>
      <c r="C32" s="187">
        <v>60</v>
      </c>
      <c r="D32" s="187" t="s">
        <v>1569</v>
      </c>
      <c r="E32" s="317" t="s">
        <v>3958</v>
      </c>
      <c r="F32" s="339" t="str">
        <f>IFERROR(IF(OR(E32='DICTIONARY-5'!$A$2,E32='DICTIONARY-5'!$A$4,ISBLANK(E32)),VLOOKUP(D32,LIST!$A$6:$L$3250,CURR_1.SEARCH.OLD,0),VLOOKUP(E32,LIST!$B$6:$L$3250,CURR_1.SEARCH.NEW,0)),'DICTIONARY-5'!$A$2)</f>
        <v>502,-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H32" s="187" t="s">
        <v>1570</v>
      </c>
      <c r="I32" s="317" t="s">
        <v>3934</v>
      </c>
      <c r="J32" s="339" t="str">
        <f>IFERROR(IF(OR(I32='DICTIONARY-5'!$A$2,I32='DICTIONARY-5'!$A$4,ISBLANK(I32)),VLOOKUP(H32,LIST!$A$6:$L$3250,CURR_1.SEARCH.OLD,0),VLOOKUP(I32,LIST!$B$6:$L$3250,CURR_1.SEARCH.NEW,0)),'DICTIONARY-5'!$A$2)</f>
        <v>556,-</v>
      </c>
      <c r="K32" s="339" t="str">
        <f>IFERROR(IF(OR(I32='DICTIONARY-5'!$A$2,I32='DICTIONARY-5'!$A$4,ISBLANK(I32)),VLOOKUP(H32,LIST!$A$6:$M$3250,CURR_2.SEARCH.OLD,0),VLOOKUP(I32,LIST!$B$6:$M$3250,CURR_2.SEARCH.NEW,0)),'DICTIONARY-5'!$A$2)</f>
        <v/>
      </c>
    </row>
    <row r="33" spans="1:11" x14ac:dyDescent="0.25">
      <c r="A33" s="187">
        <v>200</v>
      </c>
      <c r="B33" s="187">
        <v>16</v>
      </c>
      <c r="C33" s="187">
        <v>60</v>
      </c>
      <c r="D33" s="187" t="s">
        <v>1571</v>
      </c>
      <c r="E33" s="317" t="s">
        <v>3914</v>
      </c>
      <c r="F33" s="339" t="str">
        <f>IFERROR(IF(OR(E33='DICTIONARY-5'!$A$2,E33='DICTIONARY-5'!$A$4,ISBLANK(E33)),VLOOKUP(D33,LIST!$A$6:$L$3250,CURR_1.SEARCH.OLD,0),VLOOKUP(E33,LIST!$B$6:$L$3250,CURR_1.SEARCH.NEW,0)),'DICTIONARY-5'!$A$2)</f>
        <v>551,-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H33" s="187" t="s">
        <v>1572</v>
      </c>
      <c r="I33" s="317" t="s">
        <v>3858</v>
      </c>
      <c r="J33" s="339" t="str">
        <f>IFERROR(IF(OR(I33='DICTIONARY-5'!$A$2,I33='DICTIONARY-5'!$A$4,ISBLANK(I33)),VLOOKUP(H33,LIST!$A$6:$L$3250,CURR_1.SEARCH.OLD,0),VLOOKUP(I33,LIST!$B$6:$L$3250,CURR_1.SEARCH.NEW,0)),'DICTIONARY-5'!$A$2)</f>
        <v>607,-</v>
      </c>
      <c r="K33" s="339" t="str">
        <f>IFERROR(IF(OR(I33='DICTIONARY-5'!$A$2,I33='DICTIONARY-5'!$A$4,ISBLANK(I33)),VLOOKUP(H33,LIST!$A$6:$M$3250,CURR_2.SEARCH.OLD,0),VLOOKUP(I33,LIST!$B$6:$M$3250,CURR_2.SEARCH.NEW,0)),'DICTIONARY-5'!$A$2)</f>
        <v/>
      </c>
    </row>
    <row r="37" spans="1:11" ht="16.5" thickBot="1" x14ac:dyDescent="0.3">
      <c r="A37" s="712" t="str">
        <f>CONCATENATE('DICTIONARY-3'!$A$148," ",'DICTIONARY-3'!$A$204," / ",'DICTIONARY-3'!$A$324)</f>
        <v>CEREX 300-L Przepustnica kołnierzowa / Z dźwignią ze stali nierdzewnej</v>
      </c>
      <c r="B37" s="712"/>
      <c r="C37" s="712"/>
      <c r="D37" s="712"/>
      <c r="E37" s="712"/>
      <c r="F37" s="712"/>
      <c r="G37" s="712"/>
      <c r="H37" s="712"/>
      <c r="I37" s="712"/>
      <c r="J37" s="712"/>
      <c r="K37" s="712"/>
    </row>
    <row r="38" spans="1:11" x14ac:dyDescent="0.25">
      <c r="A38" s="180" t="str">
        <f>'DICTIONARY-5'!$A$145</f>
        <v>Typ Lug z otworami centrującymi do montażu na śruby</v>
      </c>
      <c r="B38" s="175"/>
      <c r="C38" s="175"/>
      <c r="D38" s="175"/>
      <c r="E38" s="175"/>
      <c r="F38" s="176"/>
      <c r="G38" s="176"/>
      <c r="H38" s="175"/>
      <c r="I38" s="175"/>
      <c r="J38" s="176"/>
      <c r="K38" s="176"/>
    </row>
    <row r="39" spans="1:11" x14ac:dyDescent="0.25">
      <c r="A39" s="180" t="str">
        <f>CONCATENATE('DICTIONARY-1'!$A$10,": ",SETTINGS!$C$42)</f>
        <v>Grupa rabatowa: CEREX 300</v>
      </c>
      <c r="B39" s="175"/>
      <c r="C39" s="175"/>
      <c r="D39" s="175"/>
      <c r="E39" s="175"/>
      <c r="F39" s="176"/>
      <c r="G39" s="176"/>
      <c r="H39" s="175"/>
      <c r="I39" s="175"/>
      <c r="J39" s="176"/>
      <c r="K39" s="176"/>
    </row>
    <row r="40" spans="1:11" x14ac:dyDescent="0.25">
      <c r="A40" s="182"/>
      <c r="B40" s="175"/>
      <c r="C40" s="175"/>
      <c r="D40" s="175"/>
      <c r="E40" s="175"/>
      <c r="F40" s="176"/>
      <c r="G40" s="176"/>
      <c r="H40" s="175"/>
      <c r="I40" s="175"/>
      <c r="J40" s="176"/>
      <c r="K40" s="176"/>
    </row>
    <row r="41" spans="1:11" x14ac:dyDescent="0.25">
      <c r="A41" s="183" t="str">
        <f>'DICTIONARY-2'!$A$2</f>
        <v>DN</v>
      </c>
      <c r="B41" s="183" t="str">
        <f>'DICTIONARY-2'!$A$3</f>
        <v>PN</v>
      </c>
      <c r="C41" s="183" t="str">
        <f>'DICTIONARY-2'!$A$24</f>
        <v>L</v>
      </c>
      <c r="D41" s="1020" t="str">
        <f>'DICTIONARY-3'!$A$148</f>
        <v>CEREX 300-L</v>
      </c>
      <c r="E41" s="1020"/>
      <c r="F41" s="1020"/>
      <c r="G41" s="1020"/>
      <c r="H41" s="1020" t="str">
        <f>'DICTIONARY-3'!$A$148</f>
        <v>CEREX 300-L</v>
      </c>
      <c r="I41" s="1020"/>
      <c r="J41" s="1020"/>
      <c r="K41" s="1020"/>
    </row>
    <row r="42" spans="1:11" x14ac:dyDescent="0.25">
      <c r="A42" s="184"/>
      <c r="B42" s="184"/>
      <c r="C42" s="184"/>
      <c r="D42" s="1019" t="str">
        <f>'DICTIONARY-5'!$A$43&amp;": "&amp;'DICTIONARY-5'!$A$44&amp;", "&amp;'DICTIONARY-5'!$A$147&amp;": "&amp;'DICTIONARY-5'!$A$50</f>
        <v xml:space="preserve">guma: EPDM, dysk: żeliwo sferoidalne </v>
      </c>
      <c r="E42" s="1019"/>
      <c r="F42" s="1019"/>
      <c r="G42" s="1019"/>
      <c r="H42" s="1019" t="str">
        <f>'DICTIONARY-5'!$A$43&amp;": "&amp;'DICTIONARY-5'!$A$44&amp;", "&amp;'DICTIONARY-5'!$A$147&amp;": "&amp;'DICTIONARY-5'!$A$32</f>
        <v>guma: EPDM, dysk: stal nierdzewna</v>
      </c>
      <c r="I42" s="1019"/>
      <c r="J42" s="1019"/>
      <c r="K42" s="1019"/>
    </row>
    <row r="43" spans="1:11" x14ac:dyDescent="0.25">
      <c r="A43" s="190"/>
      <c r="B43" s="190"/>
      <c r="C43" s="190" t="str">
        <f>'DICTIONARY-2'!$A$18</f>
        <v>[mm]</v>
      </c>
      <c r="D43" s="191" t="str">
        <f>'DICTIONARY-2'!$A$28</f>
        <v>stary nr zamówienia</v>
      </c>
      <c r="E43" s="191" t="str">
        <f>'DICTIONARY-2'!$A$29</f>
        <v>nowy nr zamówienia</v>
      </c>
      <c r="F43" s="186" t="str">
        <f>CURRENCY.CODE_1</f>
        <v>EUR</v>
      </c>
      <c r="G43" s="186" t="str">
        <f>CURRENCY.CODE_2</f>
        <v>---</v>
      </c>
      <c r="H43" s="191" t="str">
        <f>'DICTIONARY-2'!$A$28</f>
        <v>stary nr zamówienia</v>
      </c>
      <c r="I43" s="191" t="str">
        <f>'DICTIONARY-2'!$A$29</f>
        <v>nowy nr zamówienia</v>
      </c>
      <c r="J43" s="186" t="str">
        <f>CURRENCY.CODE_1</f>
        <v>EUR</v>
      </c>
      <c r="K43" s="186" t="str">
        <f>CURRENCY.CODE_2</f>
        <v>---</v>
      </c>
    </row>
    <row r="44" spans="1:11" x14ac:dyDescent="0.25">
      <c r="A44" s="187">
        <v>50</v>
      </c>
      <c r="B44" s="187" t="s">
        <v>85</v>
      </c>
      <c r="C44" s="187">
        <v>43</v>
      </c>
      <c r="D44" s="187" t="s">
        <v>1573</v>
      </c>
      <c r="E44" s="317" t="s">
        <v>3873</v>
      </c>
      <c r="F44" s="339" t="str">
        <f>IFERROR(IF(OR(E44='DICTIONARY-5'!$A$2,E44='DICTIONARY-5'!$A$4,ISBLANK(E44)),VLOOKUP(D44,LIST!$A$6:$L$3250,CURR_1.SEARCH.OLD,0),VLOOKUP(E44,LIST!$B$6:$L$3250,CURR_1.SEARCH.NEW,0)),'DICTIONARY-5'!$A$2)</f>
        <v>204,-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  <c r="H44" s="187" t="s">
        <v>1574</v>
      </c>
      <c r="I44" s="317" t="s">
        <v>3817</v>
      </c>
      <c r="J44" s="339" t="str">
        <f>IFERROR(IF(OR(I44='DICTIONARY-5'!$A$2,I44='DICTIONARY-5'!$A$4,ISBLANK(I44)),VLOOKUP(H44,LIST!$A$6:$L$3250,CURR_1.SEARCH.OLD,0),VLOOKUP(I44,LIST!$B$6:$L$3250,CURR_1.SEARCH.NEW,0)),'DICTIONARY-5'!$A$2)</f>
        <v>203,-</v>
      </c>
      <c r="K44" s="339" t="str">
        <f>IFERROR(IF(OR(I44='DICTIONARY-5'!$A$2,I44='DICTIONARY-5'!$A$4,ISBLANK(I44)),VLOOKUP(H44,LIST!$A$6:$M$3250,CURR_2.SEARCH.OLD,0),VLOOKUP(I44,LIST!$B$6:$M$3250,CURR_2.SEARCH.NEW,0)),'DICTIONARY-5'!$A$2)</f>
        <v/>
      </c>
    </row>
    <row r="45" spans="1:11" x14ac:dyDescent="0.25">
      <c r="A45" s="187">
        <v>65</v>
      </c>
      <c r="B45" s="187" t="s">
        <v>85</v>
      </c>
      <c r="C45" s="187">
        <v>46</v>
      </c>
      <c r="D45" s="187" t="s">
        <v>1575</v>
      </c>
      <c r="E45" s="317" t="s">
        <v>3879</v>
      </c>
      <c r="F45" s="339" t="str">
        <f>IFERROR(IF(OR(E45='DICTIONARY-5'!$A$2,E45='DICTIONARY-5'!$A$4,ISBLANK(E45)),VLOOKUP(D45,LIST!$A$6:$L$3250,CURR_1.SEARCH.OLD,0),VLOOKUP(E45,LIST!$B$6:$L$3250,CURR_1.SEARCH.NEW,0)),'DICTIONARY-5'!$A$2)</f>
        <v>206,-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  <c r="H45" s="187" t="s">
        <v>1576</v>
      </c>
      <c r="I45" s="317" t="s">
        <v>3823</v>
      </c>
      <c r="J45" s="339" t="str">
        <f>IFERROR(IF(OR(I45='DICTIONARY-5'!$A$2,I45='DICTIONARY-5'!$A$4,ISBLANK(I45)),VLOOKUP(H45,LIST!$A$6:$L$3250,CURR_1.SEARCH.OLD,0),VLOOKUP(I45,LIST!$B$6:$L$3250,CURR_1.SEARCH.NEW,0)),'DICTIONARY-5'!$A$2)</f>
        <v>208,-</v>
      </c>
      <c r="K45" s="339" t="str">
        <f>IFERROR(IF(OR(I45='DICTIONARY-5'!$A$2,I45='DICTIONARY-5'!$A$4,ISBLANK(I45)),VLOOKUP(H45,LIST!$A$6:$M$3250,CURR_2.SEARCH.OLD,0),VLOOKUP(I45,LIST!$B$6:$M$3250,CURR_2.SEARCH.NEW,0)),'DICTIONARY-5'!$A$2)</f>
        <v/>
      </c>
    </row>
    <row r="46" spans="1:11" x14ac:dyDescent="0.25">
      <c r="A46" s="187">
        <v>80</v>
      </c>
      <c r="B46" s="187" t="s">
        <v>85</v>
      </c>
      <c r="C46" s="187">
        <v>46</v>
      </c>
      <c r="D46" s="187" t="s">
        <v>1577</v>
      </c>
      <c r="E46" s="317" t="s">
        <v>3885</v>
      </c>
      <c r="F46" s="339" t="str">
        <f>IFERROR(IF(OR(E46='DICTIONARY-5'!$A$2,E46='DICTIONARY-5'!$A$4,ISBLANK(E46)),VLOOKUP(D46,LIST!$A$6:$L$3250,CURR_1.SEARCH.OLD,0),VLOOKUP(E46,LIST!$B$6:$L$3250,CURR_1.SEARCH.NEW,0)),'DICTIONARY-5'!$A$2)</f>
        <v>238,-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  <c r="H46" s="187" t="s">
        <v>1578</v>
      </c>
      <c r="I46" s="317" t="s">
        <v>3829</v>
      </c>
      <c r="J46" s="339" t="str">
        <f>IFERROR(IF(OR(I46='DICTIONARY-5'!$A$2,I46='DICTIONARY-5'!$A$4,ISBLANK(I46)),VLOOKUP(H46,LIST!$A$6:$L$3250,CURR_1.SEARCH.OLD,0),VLOOKUP(I46,LIST!$B$6:$L$3250,CURR_1.SEARCH.NEW,0)),'DICTIONARY-5'!$A$2)</f>
        <v>241,-</v>
      </c>
      <c r="K46" s="339" t="str">
        <f>IFERROR(IF(OR(I46='DICTIONARY-5'!$A$2,I46='DICTIONARY-5'!$A$4,ISBLANK(I46)),VLOOKUP(H46,LIST!$A$6:$M$3250,CURR_2.SEARCH.OLD,0),VLOOKUP(I46,LIST!$B$6:$M$3250,CURR_2.SEARCH.NEW,0)),'DICTIONARY-5'!$A$2)</f>
        <v/>
      </c>
    </row>
    <row r="47" spans="1:11" x14ac:dyDescent="0.25">
      <c r="A47" s="187">
        <v>100</v>
      </c>
      <c r="B47" s="187" t="s">
        <v>85</v>
      </c>
      <c r="C47" s="187">
        <v>52</v>
      </c>
      <c r="D47" s="187" t="s">
        <v>1579</v>
      </c>
      <c r="E47" s="317" t="s">
        <v>3891</v>
      </c>
      <c r="F47" s="339" t="str">
        <f>IFERROR(IF(OR(E47='DICTIONARY-5'!$A$2,E47='DICTIONARY-5'!$A$4,ISBLANK(E47)),VLOOKUP(D47,LIST!$A$6:$L$3250,CURR_1.SEARCH.OLD,0),VLOOKUP(E47,LIST!$B$6:$L$3250,CURR_1.SEARCH.NEW,0)),'DICTIONARY-5'!$A$2)</f>
        <v>265,-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187" t="s">
        <v>1580</v>
      </c>
      <c r="I47" s="317" t="s">
        <v>3835</v>
      </c>
      <c r="J47" s="339" t="str">
        <f>IFERROR(IF(OR(I47='DICTIONARY-5'!$A$2,I47='DICTIONARY-5'!$A$4,ISBLANK(I47)),VLOOKUP(H47,LIST!$A$6:$L$3250,CURR_1.SEARCH.OLD,0),VLOOKUP(I47,LIST!$B$6:$L$3250,CURR_1.SEARCH.NEW,0)),'DICTIONARY-5'!$A$2)</f>
        <v>271,-</v>
      </c>
      <c r="K47" s="339" t="str">
        <f>IFERROR(IF(OR(I47='DICTIONARY-5'!$A$2,I47='DICTIONARY-5'!$A$4,ISBLANK(I47)),VLOOKUP(H47,LIST!$A$6:$M$3250,CURR_2.SEARCH.OLD,0),VLOOKUP(I47,LIST!$B$6:$M$3250,CURR_2.SEARCH.NEW,0)),'DICTIONARY-5'!$A$2)</f>
        <v/>
      </c>
    </row>
    <row r="48" spans="1:11" x14ac:dyDescent="0.25">
      <c r="A48" s="187">
        <v>125</v>
      </c>
      <c r="B48" s="187" t="s">
        <v>85</v>
      </c>
      <c r="C48" s="187">
        <v>56</v>
      </c>
      <c r="D48" s="187" t="s">
        <v>1581</v>
      </c>
      <c r="E48" s="317" t="s">
        <v>3897</v>
      </c>
      <c r="F48" s="339" t="str">
        <f>IFERROR(IF(OR(E48='DICTIONARY-5'!$A$2,E48='DICTIONARY-5'!$A$4,ISBLANK(E48)),VLOOKUP(D48,LIST!$A$6:$L$3250,CURR_1.SEARCH.OLD,0),VLOOKUP(E48,LIST!$B$6:$L$3250,CURR_1.SEARCH.NEW,0)),'DICTIONARY-5'!$A$2)</f>
        <v>300,-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187" t="s">
        <v>1582</v>
      </c>
      <c r="I48" s="317" t="s">
        <v>3841</v>
      </c>
      <c r="J48" s="339" t="str">
        <f>IFERROR(IF(OR(I48='DICTIONARY-5'!$A$2,I48='DICTIONARY-5'!$A$4,ISBLANK(I48)),VLOOKUP(H48,LIST!$A$6:$L$3250,CURR_1.SEARCH.OLD,0),VLOOKUP(I48,LIST!$B$6:$L$3250,CURR_1.SEARCH.NEW,0)),'DICTIONARY-5'!$A$2)</f>
        <v>316,-</v>
      </c>
      <c r="K48" s="339" t="str">
        <f>IFERROR(IF(OR(I48='DICTIONARY-5'!$A$2,I48='DICTIONARY-5'!$A$4,ISBLANK(I48)),VLOOKUP(H48,LIST!$A$6:$M$3250,CURR_2.SEARCH.OLD,0),VLOOKUP(I48,LIST!$B$6:$M$3250,CURR_2.SEARCH.NEW,0)),'DICTIONARY-5'!$A$2)</f>
        <v/>
      </c>
    </row>
    <row r="49" spans="1:11" x14ac:dyDescent="0.25">
      <c r="A49" s="187">
        <v>150</v>
      </c>
      <c r="B49" s="187" t="s">
        <v>85</v>
      </c>
      <c r="C49" s="187">
        <v>56</v>
      </c>
      <c r="D49" s="187" t="s">
        <v>1583</v>
      </c>
      <c r="E49" s="317" t="s">
        <v>3903</v>
      </c>
      <c r="F49" s="339" t="str">
        <f>IFERROR(IF(OR(E49='DICTIONARY-5'!$A$2,E49='DICTIONARY-5'!$A$4,ISBLANK(E49)),VLOOKUP(D49,LIST!$A$6:$L$3250,CURR_1.SEARCH.OLD,0),VLOOKUP(E49,LIST!$B$6:$L$3250,CURR_1.SEARCH.NEW,0)),'DICTIONARY-5'!$A$2)</f>
        <v>388,-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  <c r="H49" s="187" t="s">
        <v>1584</v>
      </c>
      <c r="I49" s="317" t="s">
        <v>3847</v>
      </c>
      <c r="J49" s="339" t="str">
        <f>IFERROR(IF(OR(I49='DICTIONARY-5'!$A$2,I49='DICTIONARY-5'!$A$4,ISBLANK(I49)),VLOOKUP(H49,LIST!$A$6:$L$3250,CURR_1.SEARCH.OLD,0),VLOOKUP(I49,LIST!$B$6:$L$3250,CURR_1.SEARCH.NEW,0)),'DICTIONARY-5'!$A$2)</f>
        <v>427,-</v>
      </c>
      <c r="K49" s="339" t="str">
        <f>IFERROR(IF(OR(I49='DICTIONARY-5'!$A$2,I49='DICTIONARY-5'!$A$4,ISBLANK(I49)),VLOOKUP(H49,LIST!$A$6:$M$3250,CURR_2.SEARCH.OLD,0),VLOOKUP(I49,LIST!$B$6:$M$3250,CURR_2.SEARCH.NEW,0)),'DICTIONARY-5'!$A$2)</f>
        <v/>
      </c>
    </row>
    <row r="50" spans="1:11" x14ac:dyDescent="0.25">
      <c r="A50" s="187">
        <v>200</v>
      </c>
      <c r="B50" s="187">
        <v>10</v>
      </c>
      <c r="C50" s="187">
        <v>60</v>
      </c>
      <c r="D50" s="187" t="s">
        <v>1585</v>
      </c>
      <c r="E50" s="317" t="s">
        <v>3953</v>
      </c>
      <c r="F50" s="339" t="str">
        <f>IFERROR(IF(OR(E50='DICTIONARY-5'!$A$2,E50='DICTIONARY-5'!$A$4,ISBLANK(E50)),VLOOKUP(D50,LIST!$A$6:$L$3250,CURR_1.SEARCH.OLD,0),VLOOKUP(E50,LIST!$B$6:$L$3250,CURR_1.SEARCH.NEW,0)),'DICTIONARY-5'!$A$2)</f>
        <v>497,-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  <c r="H50" s="187" t="s">
        <v>1586</v>
      </c>
      <c r="I50" s="317" t="s">
        <v>3929</v>
      </c>
      <c r="J50" s="339" t="str">
        <f>IFERROR(IF(OR(I50='DICTIONARY-5'!$A$2,I50='DICTIONARY-5'!$A$4,ISBLANK(I50)),VLOOKUP(H50,LIST!$A$6:$L$3250,CURR_1.SEARCH.OLD,0),VLOOKUP(I50,LIST!$B$6:$L$3250,CURR_1.SEARCH.NEW,0)),'DICTIONARY-5'!$A$2)</f>
        <v>552,-</v>
      </c>
      <c r="K50" s="339" t="str">
        <f>IFERROR(IF(OR(I50='DICTIONARY-5'!$A$2,I50='DICTIONARY-5'!$A$4,ISBLANK(I50)),VLOOKUP(H50,LIST!$A$6:$M$3250,CURR_2.SEARCH.OLD,0),VLOOKUP(I50,LIST!$B$6:$M$3250,CURR_2.SEARCH.NEW,0)),'DICTIONARY-5'!$A$2)</f>
        <v/>
      </c>
    </row>
    <row r="51" spans="1:11" x14ac:dyDescent="0.25">
      <c r="A51" s="187">
        <v>200</v>
      </c>
      <c r="B51" s="187">
        <v>16</v>
      </c>
      <c r="C51" s="187">
        <v>60</v>
      </c>
      <c r="D51" s="187" t="s">
        <v>1587</v>
      </c>
      <c r="E51" s="317" t="s">
        <v>3909</v>
      </c>
      <c r="F51" s="339" t="str">
        <f>IFERROR(IF(OR(E51='DICTIONARY-5'!$A$2,E51='DICTIONARY-5'!$A$4,ISBLANK(E51)),VLOOKUP(D51,LIST!$A$6:$L$3250,CURR_1.SEARCH.OLD,0),VLOOKUP(E51,LIST!$B$6:$L$3250,CURR_1.SEARCH.NEW,0)),'DICTIONARY-5'!$A$2)</f>
        <v>543,-</v>
      </c>
      <c r="G51" s="339" t="str">
        <f>IFERROR(IF(OR(E51='DICTIONARY-5'!$A$2,E51='DICTIONARY-5'!$A$4,ISBLANK(E51)),VLOOKUP(D51,LIST!$A$6:$M$3250,CURR_2.SEARCH.OLD,0),VLOOKUP(E51,LIST!$B$6:$M$3250,CURR_2.SEARCH.NEW,0)),'DICTIONARY-5'!$A$2)</f>
        <v/>
      </c>
      <c r="H51" s="187" t="s">
        <v>1588</v>
      </c>
      <c r="I51" s="317" t="s">
        <v>3853</v>
      </c>
      <c r="J51" s="339" t="str">
        <f>IFERROR(IF(OR(I51='DICTIONARY-5'!$A$2,I51='DICTIONARY-5'!$A$4,ISBLANK(I51)),VLOOKUP(H51,LIST!$A$6:$L$3250,CURR_1.SEARCH.OLD,0),VLOOKUP(I51,LIST!$B$6:$L$3250,CURR_1.SEARCH.NEW,0)),'DICTIONARY-5'!$A$2)</f>
        <v>600,-</v>
      </c>
      <c r="K51" s="339" t="str">
        <f>IFERROR(IF(OR(I51='DICTIONARY-5'!$A$2,I51='DICTIONARY-5'!$A$4,ISBLANK(I51)),VLOOKUP(H51,LIST!$A$6:$M$3250,CURR_2.SEARCH.OLD,0),VLOOKUP(I51,LIST!$B$6:$M$3250,CURR_2.SEARCH.NEW,0)),'DICTIONARY-5'!$A$2)</f>
        <v/>
      </c>
    </row>
    <row r="53" spans="1:11" x14ac:dyDescent="0.25">
      <c r="A53" s="182"/>
      <c r="B53" s="175"/>
      <c r="C53" s="175"/>
      <c r="D53" s="175"/>
      <c r="E53" s="175"/>
      <c r="F53" s="176"/>
      <c r="G53" s="176"/>
      <c r="H53" s="175"/>
      <c r="I53" s="175"/>
      <c r="J53" s="176"/>
      <c r="K53" s="176"/>
    </row>
    <row r="54" spans="1:11" x14ac:dyDescent="0.25">
      <c r="A54" s="183" t="str">
        <f>'DICTIONARY-2'!$A$2</f>
        <v>DN</v>
      </c>
      <c r="B54" s="183" t="str">
        <f>'DICTIONARY-2'!$A$3</f>
        <v>PN</v>
      </c>
      <c r="C54" s="183" t="str">
        <f>'DICTIONARY-2'!$A$24</f>
        <v>L</v>
      </c>
      <c r="D54" s="1020" t="str">
        <f>'DICTIONARY-3'!$A$148</f>
        <v>CEREX 300-L</v>
      </c>
      <c r="E54" s="1020"/>
      <c r="F54" s="1020"/>
      <c r="G54" s="1020"/>
      <c r="H54" s="1020" t="str">
        <f>'DICTIONARY-3'!$A$148</f>
        <v>CEREX 300-L</v>
      </c>
      <c r="I54" s="1020"/>
      <c r="J54" s="1020"/>
      <c r="K54" s="1020"/>
    </row>
    <row r="55" spans="1:11" x14ac:dyDescent="0.25">
      <c r="A55" s="184"/>
      <c r="B55" s="184"/>
      <c r="C55" s="184"/>
      <c r="D55" s="1019" t="str">
        <f>'DICTIONARY-5'!$A$43&amp;": "&amp;'DICTIONARY-5'!$A$45&amp;", "&amp;'DICTIONARY-5'!$A$147&amp;": "&amp;'DICTIONARY-5'!$A$50</f>
        <v xml:space="preserve">guma: NBR, dysk: żeliwo sferoidalne </v>
      </c>
      <c r="E55" s="1019"/>
      <c r="F55" s="1019"/>
      <c r="G55" s="1019"/>
      <c r="H55" s="1019" t="str">
        <f>'DICTIONARY-5'!$A$43&amp;": "&amp;'DICTIONARY-5'!$A$45&amp;", "&amp;'DICTIONARY-5'!$A$147&amp;": "&amp;'DICTIONARY-5'!$A$32</f>
        <v>guma: NBR, dysk: stal nierdzewna</v>
      </c>
      <c r="I55" s="1019"/>
      <c r="J55" s="1019"/>
      <c r="K55" s="1019"/>
    </row>
    <row r="56" spans="1:11" x14ac:dyDescent="0.25">
      <c r="A56" s="190"/>
      <c r="B56" s="190"/>
      <c r="C56" s="190" t="str">
        <f>'DICTIONARY-2'!$A$18</f>
        <v>[mm]</v>
      </c>
      <c r="D56" s="191" t="str">
        <f>'DICTIONARY-2'!$A$28</f>
        <v>stary nr zamówienia</v>
      </c>
      <c r="E56" s="191" t="str">
        <f>'DICTIONARY-2'!$A$29</f>
        <v>nowy nr zamówienia</v>
      </c>
      <c r="F56" s="186" t="str">
        <f>CURRENCY.CODE_1</f>
        <v>EUR</v>
      </c>
      <c r="G56" s="186" t="str">
        <f>CURRENCY.CODE_2</f>
        <v>---</v>
      </c>
      <c r="H56" s="191" t="str">
        <f>'DICTIONARY-2'!$A$28</f>
        <v>stary nr zamówienia</v>
      </c>
      <c r="I56" s="191" t="str">
        <f>'DICTIONARY-2'!$A$29</f>
        <v>nowy nr zamówienia</v>
      </c>
      <c r="J56" s="186" t="str">
        <f>CURRENCY.CODE_1</f>
        <v>EUR</v>
      </c>
      <c r="K56" s="186" t="str">
        <f>CURRENCY.CODE_2</f>
        <v>---</v>
      </c>
    </row>
    <row r="57" spans="1:11" x14ac:dyDescent="0.25">
      <c r="A57" s="187">
        <v>50</v>
      </c>
      <c r="B57" s="187" t="s">
        <v>85</v>
      </c>
      <c r="C57" s="187">
        <v>43</v>
      </c>
      <c r="D57" s="187" t="s">
        <v>1589</v>
      </c>
      <c r="E57" s="317" t="s">
        <v>3874</v>
      </c>
      <c r="F57" s="339" t="str">
        <f>IFERROR(IF(OR(E57='DICTIONARY-5'!$A$2,E57='DICTIONARY-5'!$A$4,ISBLANK(E57)),VLOOKUP(D57,LIST!$A$6:$L$3250,CURR_1.SEARCH.OLD,0),VLOOKUP(E57,LIST!$B$6:$L$3250,CURR_1.SEARCH.NEW,0)),'DICTIONARY-5'!$A$2)</f>
        <v>208,-</v>
      </c>
      <c r="G57" s="339" t="str">
        <f>IFERROR(IF(OR(E57='DICTIONARY-5'!$A$2,E57='DICTIONARY-5'!$A$4,ISBLANK(E57)),VLOOKUP(D57,LIST!$A$6:$M$3250,CURR_2.SEARCH.OLD,0),VLOOKUP(E57,LIST!$B$6:$M$3250,CURR_2.SEARCH.NEW,0)),'DICTIONARY-5'!$A$2)</f>
        <v/>
      </c>
      <c r="H57" s="187" t="s">
        <v>1590</v>
      </c>
      <c r="I57" s="317" t="s">
        <v>3818</v>
      </c>
      <c r="J57" s="339" t="str">
        <f>IFERROR(IF(OR(I57='DICTIONARY-5'!$A$2,I57='DICTIONARY-5'!$A$4,ISBLANK(I57)),VLOOKUP(H57,LIST!$A$6:$L$3250,CURR_1.SEARCH.OLD,0),VLOOKUP(I57,LIST!$B$6:$L$3250,CURR_1.SEARCH.NEW,0)),'DICTIONARY-5'!$A$2)</f>
        <v>206,-</v>
      </c>
      <c r="K57" s="339" t="str">
        <f>IFERROR(IF(OR(I57='DICTIONARY-5'!$A$2,I57='DICTIONARY-5'!$A$4,ISBLANK(I57)),VLOOKUP(H57,LIST!$A$6:$M$3250,CURR_2.SEARCH.OLD,0),VLOOKUP(I57,LIST!$B$6:$M$3250,CURR_2.SEARCH.NEW,0)),'DICTIONARY-5'!$A$2)</f>
        <v/>
      </c>
    </row>
    <row r="58" spans="1:11" x14ac:dyDescent="0.25">
      <c r="A58" s="187">
        <v>65</v>
      </c>
      <c r="B58" s="187" t="s">
        <v>85</v>
      </c>
      <c r="C58" s="187">
        <v>46</v>
      </c>
      <c r="D58" s="187" t="s">
        <v>1591</v>
      </c>
      <c r="E58" s="317" t="s">
        <v>3880</v>
      </c>
      <c r="F58" s="339" t="str">
        <f>IFERROR(IF(OR(E58='DICTIONARY-5'!$A$2,E58='DICTIONARY-5'!$A$4,ISBLANK(E58)),VLOOKUP(D58,LIST!$A$6:$L$3250,CURR_1.SEARCH.OLD,0),VLOOKUP(E58,LIST!$B$6:$L$3250,CURR_1.SEARCH.NEW,0)),'DICTIONARY-5'!$A$2)</f>
        <v>218,-</v>
      </c>
      <c r="G58" s="339" t="str">
        <f>IFERROR(IF(OR(E58='DICTIONARY-5'!$A$2,E58='DICTIONARY-5'!$A$4,ISBLANK(E58)),VLOOKUP(D58,LIST!$A$6:$M$3250,CURR_2.SEARCH.OLD,0),VLOOKUP(E58,LIST!$B$6:$M$3250,CURR_2.SEARCH.NEW,0)),'DICTIONARY-5'!$A$2)</f>
        <v/>
      </c>
      <c r="H58" s="187" t="s">
        <v>1592</v>
      </c>
      <c r="I58" s="317" t="s">
        <v>3824</v>
      </c>
      <c r="J58" s="339" t="str">
        <f>IFERROR(IF(OR(I58='DICTIONARY-5'!$A$2,I58='DICTIONARY-5'!$A$4,ISBLANK(I58)),VLOOKUP(H58,LIST!$A$6:$L$3250,CURR_1.SEARCH.OLD,0),VLOOKUP(I58,LIST!$B$6:$L$3250,CURR_1.SEARCH.NEW,0)),'DICTIONARY-5'!$A$2)</f>
        <v>221,-</v>
      </c>
      <c r="K58" s="339" t="str">
        <f>IFERROR(IF(OR(I58='DICTIONARY-5'!$A$2,I58='DICTIONARY-5'!$A$4,ISBLANK(I58)),VLOOKUP(H58,LIST!$A$6:$M$3250,CURR_2.SEARCH.OLD,0),VLOOKUP(I58,LIST!$B$6:$M$3250,CURR_2.SEARCH.NEW,0)),'DICTIONARY-5'!$A$2)</f>
        <v/>
      </c>
    </row>
    <row r="59" spans="1:11" x14ac:dyDescent="0.25">
      <c r="A59" s="187">
        <v>80</v>
      </c>
      <c r="B59" s="187" t="s">
        <v>85</v>
      </c>
      <c r="C59" s="187">
        <v>46</v>
      </c>
      <c r="D59" s="187" t="s">
        <v>1593</v>
      </c>
      <c r="E59" s="317" t="s">
        <v>3886</v>
      </c>
      <c r="F59" s="339" t="str">
        <f>IFERROR(IF(OR(E59='DICTIONARY-5'!$A$2,E59='DICTIONARY-5'!$A$4,ISBLANK(E59)),VLOOKUP(D59,LIST!$A$6:$L$3250,CURR_1.SEARCH.OLD,0),VLOOKUP(E59,LIST!$B$6:$L$3250,CURR_1.SEARCH.NEW,0)),'DICTIONARY-5'!$A$2)</f>
        <v>249,-</v>
      </c>
      <c r="G59" s="339" t="str">
        <f>IFERROR(IF(OR(E59='DICTIONARY-5'!$A$2,E59='DICTIONARY-5'!$A$4,ISBLANK(E59)),VLOOKUP(D59,LIST!$A$6:$M$3250,CURR_2.SEARCH.OLD,0),VLOOKUP(E59,LIST!$B$6:$M$3250,CURR_2.SEARCH.NEW,0)),'DICTIONARY-5'!$A$2)</f>
        <v/>
      </c>
      <c r="H59" s="187" t="s">
        <v>1594</v>
      </c>
      <c r="I59" s="317" t="s">
        <v>3830</v>
      </c>
      <c r="J59" s="339" t="str">
        <f>IFERROR(IF(OR(I59='DICTIONARY-5'!$A$2,I59='DICTIONARY-5'!$A$4,ISBLANK(I59)),VLOOKUP(H59,LIST!$A$6:$L$3250,CURR_1.SEARCH.OLD,0),VLOOKUP(I59,LIST!$B$6:$L$3250,CURR_1.SEARCH.NEW,0)),'DICTIONARY-5'!$A$2)</f>
        <v>254,-</v>
      </c>
      <c r="K59" s="339" t="str">
        <f>IFERROR(IF(OR(I59='DICTIONARY-5'!$A$2,I59='DICTIONARY-5'!$A$4,ISBLANK(I59)),VLOOKUP(H59,LIST!$A$6:$M$3250,CURR_2.SEARCH.OLD,0),VLOOKUP(I59,LIST!$B$6:$M$3250,CURR_2.SEARCH.NEW,0)),'DICTIONARY-5'!$A$2)</f>
        <v/>
      </c>
    </row>
    <row r="60" spans="1:11" x14ac:dyDescent="0.25">
      <c r="A60" s="187">
        <v>100</v>
      </c>
      <c r="B60" s="187" t="s">
        <v>85</v>
      </c>
      <c r="C60" s="187">
        <v>52</v>
      </c>
      <c r="D60" s="187" t="s">
        <v>1595</v>
      </c>
      <c r="E60" s="317" t="s">
        <v>3892</v>
      </c>
      <c r="F60" s="339" t="str">
        <f>IFERROR(IF(OR(E60='DICTIONARY-5'!$A$2,E60='DICTIONARY-5'!$A$4,ISBLANK(E60)),VLOOKUP(D60,LIST!$A$6:$L$3250,CURR_1.SEARCH.OLD,0),VLOOKUP(E60,LIST!$B$6:$L$3250,CURR_1.SEARCH.NEW,0)),'DICTIONARY-5'!$A$2)</f>
        <v>279,-</v>
      </c>
      <c r="G60" s="339" t="str">
        <f>IFERROR(IF(OR(E60='DICTIONARY-5'!$A$2,E60='DICTIONARY-5'!$A$4,ISBLANK(E60)),VLOOKUP(D60,LIST!$A$6:$M$3250,CURR_2.SEARCH.OLD,0),VLOOKUP(E60,LIST!$B$6:$M$3250,CURR_2.SEARCH.NEW,0)),'DICTIONARY-5'!$A$2)</f>
        <v/>
      </c>
      <c r="H60" s="187" t="s">
        <v>1596</v>
      </c>
      <c r="I60" s="317" t="s">
        <v>3836</v>
      </c>
      <c r="J60" s="339" t="str">
        <f>IFERROR(IF(OR(I60='DICTIONARY-5'!$A$2,I60='DICTIONARY-5'!$A$4,ISBLANK(I60)),VLOOKUP(H60,LIST!$A$6:$L$3250,CURR_1.SEARCH.OLD,0),VLOOKUP(I60,LIST!$B$6:$L$3250,CURR_1.SEARCH.NEW,0)),'DICTIONARY-5'!$A$2)</f>
        <v>287,-</v>
      </c>
      <c r="K60" s="339" t="str">
        <f>IFERROR(IF(OR(I60='DICTIONARY-5'!$A$2,I60='DICTIONARY-5'!$A$4,ISBLANK(I60)),VLOOKUP(H60,LIST!$A$6:$M$3250,CURR_2.SEARCH.OLD,0),VLOOKUP(I60,LIST!$B$6:$M$3250,CURR_2.SEARCH.NEW,0)),'DICTIONARY-5'!$A$2)</f>
        <v/>
      </c>
    </row>
    <row r="61" spans="1:11" x14ac:dyDescent="0.25">
      <c r="A61" s="187">
        <v>125</v>
      </c>
      <c r="B61" s="187" t="s">
        <v>85</v>
      </c>
      <c r="C61" s="187">
        <v>56</v>
      </c>
      <c r="D61" s="187" t="s">
        <v>1597</v>
      </c>
      <c r="E61" s="317" t="s">
        <v>3898</v>
      </c>
      <c r="F61" s="339" t="str">
        <f>IFERROR(IF(OR(E61='DICTIONARY-5'!$A$2,E61='DICTIONARY-5'!$A$4,ISBLANK(E61)),VLOOKUP(D61,LIST!$A$6:$L$3250,CURR_1.SEARCH.OLD,0),VLOOKUP(E61,LIST!$B$6:$L$3250,CURR_1.SEARCH.NEW,0)),'DICTIONARY-5'!$A$2)</f>
        <v>314,-</v>
      </c>
      <c r="G61" s="339" t="str">
        <f>IFERROR(IF(OR(E61='DICTIONARY-5'!$A$2,E61='DICTIONARY-5'!$A$4,ISBLANK(E61)),VLOOKUP(D61,LIST!$A$6:$M$3250,CURR_2.SEARCH.OLD,0),VLOOKUP(E61,LIST!$B$6:$M$3250,CURR_2.SEARCH.NEW,0)),'DICTIONARY-5'!$A$2)</f>
        <v/>
      </c>
      <c r="H61" s="187" t="s">
        <v>1598</v>
      </c>
      <c r="I61" s="317" t="s">
        <v>3842</v>
      </c>
      <c r="J61" s="339" t="str">
        <f>IFERROR(IF(OR(I61='DICTIONARY-5'!$A$2,I61='DICTIONARY-5'!$A$4,ISBLANK(I61)),VLOOKUP(H61,LIST!$A$6:$L$3250,CURR_1.SEARCH.OLD,0),VLOOKUP(I61,LIST!$B$6:$L$3250,CURR_1.SEARCH.NEW,0)),'DICTIONARY-5'!$A$2)</f>
        <v>329,-</v>
      </c>
      <c r="K61" s="339" t="str">
        <f>IFERROR(IF(OR(I61='DICTIONARY-5'!$A$2,I61='DICTIONARY-5'!$A$4,ISBLANK(I61)),VLOOKUP(H61,LIST!$A$6:$M$3250,CURR_2.SEARCH.OLD,0),VLOOKUP(I61,LIST!$B$6:$M$3250,CURR_2.SEARCH.NEW,0)),'DICTIONARY-5'!$A$2)</f>
        <v/>
      </c>
    </row>
    <row r="62" spans="1:11" x14ac:dyDescent="0.25">
      <c r="A62" s="187">
        <v>150</v>
      </c>
      <c r="B62" s="187" t="s">
        <v>85</v>
      </c>
      <c r="C62" s="187">
        <v>56</v>
      </c>
      <c r="D62" s="187" t="s">
        <v>1599</v>
      </c>
      <c r="E62" s="317" t="s">
        <v>3904</v>
      </c>
      <c r="F62" s="339" t="str">
        <f>IFERROR(IF(OR(E62='DICTIONARY-5'!$A$2,E62='DICTIONARY-5'!$A$4,ISBLANK(E62)),VLOOKUP(D62,LIST!$A$6:$L$3250,CURR_1.SEARCH.OLD,0),VLOOKUP(E62,LIST!$B$6:$L$3250,CURR_1.SEARCH.NEW,0)),'DICTIONARY-5'!$A$2)</f>
        <v>404,-</v>
      </c>
      <c r="G62" s="339" t="str">
        <f>IFERROR(IF(OR(E62='DICTIONARY-5'!$A$2,E62='DICTIONARY-5'!$A$4,ISBLANK(E62)),VLOOKUP(D62,LIST!$A$6:$M$3250,CURR_2.SEARCH.OLD,0),VLOOKUP(E62,LIST!$B$6:$M$3250,CURR_2.SEARCH.NEW,0)),'DICTIONARY-5'!$A$2)</f>
        <v/>
      </c>
      <c r="H62" s="187" t="s">
        <v>1600</v>
      </c>
      <c r="I62" s="317" t="s">
        <v>3848</v>
      </c>
      <c r="J62" s="339" t="str">
        <f>IFERROR(IF(OR(I62='DICTIONARY-5'!$A$2,I62='DICTIONARY-5'!$A$4,ISBLANK(I62)),VLOOKUP(H62,LIST!$A$6:$L$3250,CURR_1.SEARCH.OLD,0),VLOOKUP(I62,LIST!$B$6:$L$3250,CURR_1.SEARCH.NEW,0)),'DICTIONARY-5'!$A$2)</f>
        <v>443,-</v>
      </c>
      <c r="K62" s="339" t="str">
        <f>IFERROR(IF(OR(I62='DICTIONARY-5'!$A$2,I62='DICTIONARY-5'!$A$4,ISBLANK(I62)),VLOOKUP(H62,LIST!$A$6:$M$3250,CURR_2.SEARCH.OLD,0),VLOOKUP(I62,LIST!$B$6:$M$3250,CURR_2.SEARCH.NEW,0)),'DICTIONARY-5'!$A$2)</f>
        <v/>
      </c>
    </row>
    <row r="63" spans="1:11" x14ac:dyDescent="0.25">
      <c r="A63" s="187">
        <v>200</v>
      </c>
      <c r="B63" s="187">
        <v>10</v>
      </c>
      <c r="C63" s="187">
        <v>60</v>
      </c>
      <c r="D63" s="187" t="s">
        <v>1601</v>
      </c>
      <c r="E63" s="317" t="s">
        <v>3954</v>
      </c>
      <c r="F63" s="339" t="str">
        <f>IFERROR(IF(OR(E63='DICTIONARY-5'!$A$2,E63='DICTIONARY-5'!$A$4,ISBLANK(E63)),VLOOKUP(D63,LIST!$A$6:$L$3250,CURR_1.SEARCH.OLD,0),VLOOKUP(E63,LIST!$B$6:$L$3250,CURR_1.SEARCH.NEW,0)),'DICTIONARY-5'!$A$2)</f>
        <v>512,-</v>
      </c>
      <c r="G63" s="339" t="str">
        <f>IFERROR(IF(OR(E63='DICTIONARY-5'!$A$2,E63='DICTIONARY-5'!$A$4,ISBLANK(E63)),VLOOKUP(D63,LIST!$A$6:$M$3250,CURR_2.SEARCH.OLD,0),VLOOKUP(E63,LIST!$B$6:$M$3250,CURR_2.SEARCH.NEW,0)),'DICTIONARY-5'!$A$2)</f>
        <v/>
      </c>
      <c r="H63" s="187" t="s">
        <v>1602</v>
      </c>
      <c r="I63" s="317" t="s">
        <v>3930</v>
      </c>
      <c r="J63" s="339" t="str">
        <f>IFERROR(IF(OR(I63='DICTIONARY-5'!$A$2,I63='DICTIONARY-5'!$A$4,ISBLANK(I63)),VLOOKUP(H63,LIST!$A$6:$L$3250,CURR_1.SEARCH.OLD,0),VLOOKUP(I63,LIST!$B$6:$L$3250,CURR_1.SEARCH.NEW,0)),'DICTIONARY-5'!$A$2)</f>
        <v>568,-</v>
      </c>
      <c r="K63" s="339" t="str">
        <f>IFERROR(IF(OR(I63='DICTIONARY-5'!$A$2,I63='DICTIONARY-5'!$A$4,ISBLANK(I63)),VLOOKUP(H63,LIST!$A$6:$M$3250,CURR_2.SEARCH.OLD,0),VLOOKUP(I63,LIST!$B$6:$M$3250,CURR_2.SEARCH.NEW,0)),'DICTIONARY-5'!$A$2)</f>
        <v/>
      </c>
    </row>
    <row r="64" spans="1:11" x14ac:dyDescent="0.25">
      <c r="A64" s="187">
        <v>200</v>
      </c>
      <c r="B64" s="187">
        <v>16</v>
      </c>
      <c r="C64" s="187">
        <v>60</v>
      </c>
      <c r="D64" s="187" t="s">
        <v>1603</v>
      </c>
      <c r="E64" s="317" t="s">
        <v>3910</v>
      </c>
      <c r="F64" s="339" t="str">
        <f>IFERROR(IF(OR(E64='DICTIONARY-5'!$A$2,E64='DICTIONARY-5'!$A$4,ISBLANK(E64)),VLOOKUP(D64,LIST!$A$6:$L$3250,CURR_1.SEARCH.OLD,0),VLOOKUP(E64,LIST!$B$6:$L$3250,CURR_1.SEARCH.NEW,0)),'DICTIONARY-5'!$A$2)</f>
        <v>562,-</v>
      </c>
      <c r="G64" s="339" t="str">
        <f>IFERROR(IF(OR(E64='DICTIONARY-5'!$A$2,E64='DICTIONARY-5'!$A$4,ISBLANK(E64)),VLOOKUP(D64,LIST!$A$6:$M$3250,CURR_2.SEARCH.OLD,0),VLOOKUP(E64,LIST!$B$6:$M$3250,CURR_2.SEARCH.NEW,0)),'DICTIONARY-5'!$A$2)</f>
        <v/>
      </c>
      <c r="H64" s="187" t="s">
        <v>1604</v>
      </c>
      <c r="I64" s="317" t="s">
        <v>3854</v>
      </c>
      <c r="J64" s="339" t="str">
        <f>IFERROR(IF(OR(I64='DICTIONARY-5'!$A$2,I64='DICTIONARY-5'!$A$4,ISBLANK(I64)),VLOOKUP(H64,LIST!$A$6:$L$3250,CURR_1.SEARCH.OLD,0),VLOOKUP(I64,LIST!$B$6:$L$3250,CURR_1.SEARCH.NEW,0)),'DICTIONARY-5'!$A$2)</f>
        <v>618,-</v>
      </c>
      <c r="K64" s="339" t="str">
        <f>IFERROR(IF(OR(I64='DICTIONARY-5'!$A$2,I64='DICTIONARY-5'!$A$4,ISBLANK(I64)),VLOOKUP(H64,LIST!$A$6:$M$3250,CURR_2.SEARCH.OLD,0),VLOOKUP(I64,LIST!$B$6:$M$3250,CURR_2.SEARCH.NEW,0)),'DICTIONARY-5'!$A$2)</f>
        <v/>
      </c>
    </row>
    <row r="68" spans="1:11" ht="16.5" thickBot="1" x14ac:dyDescent="0.3">
      <c r="A68" s="712" t="str">
        <f>CONCATENATE('DICTIONARY-3'!$A$148," ",'DICTIONARY-3'!$A$204," / ",'DICTIONARY-3'!$A$325)</f>
        <v>CEREX 300-L Przepustnica kołnierzowa / Z dźwignią żeliwną</v>
      </c>
      <c r="B68" s="712"/>
      <c r="C68" s="712"/>
      <c r="D68" s="712"/>
      <c r="E68" s="712"/>
      <c r="F68" s="712"/>
      <c r="G68" s="712"/>
      <c r="H68" s="712"/>
      <c r="I68" s="712"/>
      <c r="J68" s="712"/>
      <c r="K68" s="712"/>
    </row>
    <row r="69" spans="1:11" x14ac:dyDescent="0.25">
      <c r="A69" s="180" t="str">
        <f>'DICTIONARY-5'!$A$145</f>
        <v>Typ Lug z otworami centrującymi do montażu na śruby</v>
      </c>
      <c r="B69" s="175"/>
      <c r="C69" s="175"/>
      <c r="D69" s="175"/>
      <c r="E69" s="175"/>
      <c r="F69" s="176"/>
      <c r="G69" s="176"/>
      <c r="H69" s="175"/>
      <c r="I69" s="175"/>
      <c r="J69" s="176"/>
      <c r="K69" s="176"/>
    </row>
    <row r="70" spans="1:11" x14ac:dyDescent="0.25">
      <c r="A70" s="180" t="str">
        <f>CONCATENATE('DICTIONARY-1'!$A$10,": ",SETTINGS!$C$42)</f>
        <v>Grupa rabatowa: CEREX 300</v>
      </c>
      <c r="B70" s="175"/>
      <c r="C70" s="175"/>
      <c r="D70" s="175"/>
      <c r="E70" s="175"/>
      <c r="F70" s="176"/>
      <c r="G70" s="176"/>
      <c r="H70" s="175"/>
      <c r="I70" s="175"/>
      <c r="J70" s="176"/>
      <c r="K70" s="176"/>
    </row>
    <row r="71" spans="1:11" x14ac:dyDescent="0.25">
      <c r="A71" s="182"/>
      <c r="B71" s="175"/>
      <c r="C71" s="175"/>
      <c r="D71" s="175"/>
      <c r="E71" s="175"/>
      <c r="F71" s="176"/>
      <c r="G71" s="176"/>
      <c r="H71" s="175"/>
      <c r="I71" s="175"/>
      <c r="J71" s="176"/>
      <c r="K71" s="176"/>
    </row>
    <row r="72" spans="1:11" x14ac:dyDescent="0.25">
      <c r="A72" s="183" t="str">
        <f>'DICTIONARY-2'!$A$2</f>
        <v>DN</v>
      </c>
      <c r="B72" s="183" t="str">
        <f>'DICTIONARY-2'!$A$3</f>
        <v>PN</v>
      </c>
      <c r="C72" s="183" t="str">
        <f>'DICTIONARY-2'!$A$24</f>
        <v>L</v>
      </c>
      <c r="D72" s="1020" t="str">
        <f>'DICTIONARY-3'!$A$148</f>
        <v>CEREX 300-L</v>
      </c>
      <c r="E72" s="1020"/>
      <c r="F72" s="1020"/>
      <c r="G72" s="1020"/>
      <c r="H72" s="1020" t="str">
        <f>'DICTIONARY-3'!$A$148</f>
        <v>CEREX 300-L</v>
      </c>
      <c r="I72" s="1020"/>
      <c r="J72" s="1020"/>
      <c r="K72" s="1020"/>
    </row>
    <row r="73" spans="1:11" x14ac:dyDescent="0.25">
      <c r="A73" s="184"/>
      <c r="B73" s="184"/>
      <c r="C73" s="184"/>
      <c r="D73" s="1019" t="str">
        <f>'DICTIONARY-5'!$A$43&amp;": "&amp;'DICTIONARY-5'!$A$44&amp;", "&amp;'DICTIONARY-5'!$A$147&amp;": "&amp;'DICTIONARY-5'!$A$50</f>
        <v xml:space="preserve">guma: EPDM, dysk: żeliwo sferoidalne </v>
      </c>
      <c r="E73" s="1019"/>
      <c r="F73" s="1019"/>
      <c r="G73" s="1019"/>
      <c r="H73" s="1019" t="str">
        <f>'DICTIONARY-5'!$A$43&amp;": "&amp;'DICTIONARY-5'!$A$44&amp;", "&amp;'DICTIONARY-5'!$A$147&amp;": "&amp;'DICTIONARY-5'!$A$32</f>
        <v>guma: EPDM, dysk: stal nierdzewna</v>
      </c>
      <c r="I73" s="1019"/>
      <c r="J73" s="1019"/>
      <c r="K73" s="1019"/>
    </row>
    <row r="74" spans="1:11" x14ac:dyDescent="0.25">
      <c r="A74" s="190"/>
      <c r="B74" s="190"/>
      <c r="C74" s="190" t="str">
        <f>'DICTIONARY-2'!$A$18</f>
        <v>[mm]</v>
      </c>
      <c r="D74" s="191" t="str">
        <f>'DICTIONARY-2'!$A$28</f>
        <v>stary nr zamówienia</v>
      </c>
      <c r="E74" s="191" t="str">
        <f>'DICTIONARY-2'!$A$29</f>
        <v>nowy nr zamówienia</v>
      </c>
      <c r="F74" s="186" t="str">
        <f>CURRENCY.CODE_1</f>
        <v>EUR</v>
      </c>
      <c r="G74" s="186" t="str">
        <f>CURRENCY.CODE_2</f>
        <v>---</v>
      </c>
      <c r="H74" s="191" t="str">
        <f>'DICTIONARY-2'!$A$28</f>
        <v>stary nr zamówienia</v>
      </c>
      <c r="I74" s="191" t="str">
        <f>'DICTIONARY-2'!$A$29</f>
        <v>nowy nr zamówienia</v>
      </c>
      <c r="J74" s="186" t="str">
        <f>CURRENCY.CODE_1</f>
        <v>EUR</v>
      </c>
      <c r="K74" s="186" t="str">
        <f>CURRENCY.CODE_2</f>
        <v>---</v>
      </c>
    </row>
    <row r="75" spans="1:11" x14ac:dyDescent="0.25">
      <c r="A75" s="187">
        <v>250</v>
      </c>
      <c r="B75" s="192" t="s">
        <v>1605</v>
      </c>
      <c r="C75" s="187">
        <v>68</v>
      </c>
      <c r="D75" s="187" t="s">
        <v>1606</v>
      </c>
      <c r="E75" s="317" t="s">
        <v>3961</v>
      </c>
      <c r="F75" s="339" t="str">
        <f>IFERROR(IF(OR(E75='DICTIONARY-5'!$A$2,E75='DICTIONARY-5'!$A$4,ISBLANK(E75)),VLOOKUP(D75,LIST!$A$6:$L$3250,CURR_1.SEARCH.OLD,0),VLOOKUP(E75,LIST!$B$6:$L$3250,CURR_1.SEARCH.NEW,0)),'DICTIONARY-5'!$A$2)</f>
        <v>637,-</v>
      </c>
      <c r="G75" s="339" t="str">
        <f>IFERROR(IF(OR(E75='DICTIONARY-5'!$A$2,E75='DICTIONARY-5'!$A$4,ISBLANK(E75)),VLOOKUP(D75,LIST!$A$6:$M$3250,CURR_2.SEARCH.OLD,0),VLOOKUP(E75,LIST!$B$6:$M$3250,CURR_2.SEARCH.NEW,0)),'DICTIONARY-5'!$A$2)</f>
        <v/>
      </c>
      <c r="H75" s="187" t="s">
        <v>1607</v>
      </c>
      <c r="I75" s="317" t="s">
        <v>3937</v>
      </c>
      <c r="J75" s="339" t="str">
        <f>IFERROR(IF(OR(I75='DICTIONARY-5'!$A$2,I75='DICTIONARY-5'!$A$4,ISBLANK(I75)),VLOOKUP(H75,LIST!$A$6:$L$3250,CURR_1.SEARCH.OLD,0),VLOOKUP(I75,LIST!$B$6:$L$3250,CURR_1.SEARCH.NEW,0)),'DICTIONARY-5'!$A$2)</f>
        <v>789,-</v>
      </c>
      <c r="K75" s="339" t="str">
        <f>IFERROR(IF(OR(I75='DICTIONARY-5'!$A$2,I75='DICTIONARY-5'!$A$4,ISBLANK(I75)),VLOOKUP(H75,LIST!$A$6:$M$3250,CURR_2.SEARCH.OLD,0),VLOOKUP(I75,LIST!$B$6:$M$3250,CURR_2.SEARCH.NEW,0)),'DICTIONARY-5'!$A$2)</f>
        <v/>
      </c>
    </row>
    <row r="76" spans="1:11" x14ac:dyDescent="0.25">
      <c r="A76" s="187">
        <v>300</v>
      </c>
      <c r="B76" s="192" t="s">
        <v>1605</v>
      </c>
      <c r="C76" s="187">
        <v>78</v>
      </c>
      <c r="D76" s="187" t="s">
        <v>1608</v>
      </c>
      <c r="E76" s="317" t="s">
        <v>3965</v>
      </c>
      <c r="F76" s="339" t="str">
        <f>IFERROR(IF(OR(E76='DICTIONARY-5'!$A$2,E76='DICTIONARY-5'!$A$4,ISBLANK(E76)),VLOOKUP(D76,LIST!$A$6:$L$3250,CURR_1.SEARCH.OLD,0),VLOOKUP(E76,LIST!$B$6:$L$3250,CURR_1.SEARCH.NEW,0)),'DICTIONARY-5'!$A$2)</f>
        <v>810,-</v>
      </c>
      <c r="G76" s="339" t="str">
        <f>IFERROR(IF(OR(E76='DICTIONARY-5'!$A$2,E76='DICTIONARY-5'!$A$4,ISBLANK(E76)),VLOOKUP(D76,LIST!$A$6:$M$3250,CURR_2.SEARCH.OLD,0),VLOOKUP(E76,LIST!$B$6:$M$3250,CURR_2.SEARCH.NEW,0)),'DICTIONARY-5'!$A$2)</f>
        <v/>
      </c>
      <c r="H76" s="187" t="s">
        <v>1609</v>
      </c>
      <c r="I76" s="317" t="s">
        <v>3941</v>
      </c>
      <c r="J76" s="339" t="str">
        <f>IFERROR(IF(OR(I76='DICTIONARY-5'!$A$2,I76='DICTIONARY-5'!$A$4,ISBLANK(I76)),VLOOKUP(H76,LIST!$A$6:$L$3250,CURR_1.SEARCH.OLD,0),VLOOKUP(I76,LIST!$B$6:$L$3250,CURR_1.SEARCH.NEW,0)),'DICTIONARY-5'!$A$2)</f>
        <v>1 034,-</v>
      </c>
      <c r="K76" s="339" t="str">
        <f>IFERROR(IF(OR(I76='DICTIONARY-5'!$A$2,I76='DICTIONARY-5'!$A$4,ISBLANK(I76)),VLOOKUP(H76,LIST!$A$6:$M$3250,CURR_2.SEARCH.OLD,0),VLOOKUP(I76,LIST!$B$6:$M$3250,CURR_2.SEARCH.NEW,0)),'DICTIONARY-5'!$A$2)</f>
        <v/>
      </c>
    </row>
    <row r="78" spans="1:11" x14ac:dyDescent="0.25">
      <c r="A78" s="552" t="str">
        <f>"1) "&amp;'DICTIONARY-5'!$A$92&amp;": max. 0,6 MPa / 6 bar"</f>
        <v>1) Ciśnienie robocze: max. 0,6 MPa / 6 bar</v>
      </c>
    </row>
    <row r="80" spans="1:11" x14ac:dyDescent="0.25">
      <c r="A80" s="182"/>
      <c r="B80" s="175"/>
      <c r="C80" s="175"/>
      <c r="D80" s="175"/>
      <c r="E80" s="175"/>
      <c r="F80" s="176"/>
      <c r="G80" s="176"/>
      <c r="H80" s="175"/>
      <c r="I80" s="175"/>
      <c r="J80" s="176"/>
      <c r="K80" s="176"/>
    </row>
    <row r="81" spans="1:11" x14ac:dyDescent="0.25">
      <c r="A81" s="183" t="str">
        <f>'DICTIONARY-2'!$A$2</f>
        <v>DN</v>
      </c>
      <c r="B81" s="183" t="str">
        <f>'DICTIONARY-2'!$A$3</f>
        <v>PN</v>
      </c>
      <c r="C81" s="183" t="str">
        <f>'DICTIONARY-2'!$A$24</f>
        <v>L</v>
      </c>
      <c r="D81" s="1020" t="str">
        <f>'DICTIONARY-3'!$A$148</f>
        <v>CEREX 300-L</v>
      </c>
      <c r="E81" s="1020"/>
      <c r="F81" s="1020"/>
      <c r="G81" s="1020"/>
      <c r="H81" s="1020" t="str">
        <f>'DICTIONARY-3'!$A$148</f>
        <v>CEREX 300-L</v>
      </c>
      <c r="I81" s="1020"/>
      <c r="J81" s="1020"/>
      <c r="K81" s="1020"/>
    </row>
    <row r="82" spans="1:11" x14ac:dyDescent="0.25">
      <c r="A82" s="184"/>
      <c r="B82" s="184"/>
      <c r="C82" s="184"/>
      <c r="D82" s="1019" t="str">
        <f>'DICTIONARY-5'!$A$43&amp;": "&amp;'DICTIONARY-5'!$A$45&amp;", "&amp;'DICTIONARY-5'!$A$147&amp;": "&amp;'DICTIONARY-5'!$A$50</f>
        <v xml:space="preserve">guma: NBR, dysk: żeliwo sferoidalne </v>
      </c>
      <c r="E82" s="1019"/>
      <c r="F82" s="1019"/>
      <c r="G82" s="1019"/>
      <c r="H82" s="1019" t="str">
        <f>'DICTIONARY-5'!$A$43&amp;": "&amp;'DICTIONARY-5'!$A$45&amp;", "&amp;'DICTIONARY-5'!$A$147&amp;": "&amp;'DICTIONARY-5'!$A$32</f>
        <v>guma: NBR, dysk: stal nierdzewna</v>
      </c>
      <c r="I82" s="1019"/>
      <c r="J82" s="1019"/>
      <c r="K82" s="1019"/>
    </row>
    <row r="83" spans="1:11" x14ac:dyDescent="0.25">
      <c r="A83" s="190"/>
      <c r="B83" s="190"/>
      <c r="C83" s="190" t="str">
        <f>'DICTIONARY-2'!$A$18</f>
        <v>[mm]</v>
      </c>
      <c r="D83" s="191" t="str">
        <f>'DICTIONARY-2'!$A$28</f>
        <v>stary nr zamówienia</v>
      </c>
      <c r="E83" s="191" t="str">
        <f>'DICTIONARY-2'!$A$29</f>
        <v>nowy nr zamówienia</v>
      </c>
      <c r="F83" s="186" t="str">
        <f>CURRENCY.CODE_1</f>
        <v>EUR</v>
      </c>
      <c r="G83" s="186" t="str">
        <f>CURRENCY.CODE_2</f>
        <v>---</v>
      </c>
      <c r="H83" s="191" t="str">
        <f>'DICTIONARY-2'!$A$28</f>
        <v>stary nr zamówienia</v>
      </c>
      <c r="I83" s="191" t="str">
        <f>'DICTIONARY-2'!$A$29</f>
        <v>nowy nr zamówienia</v>
      </c>
      <c r="J83" s="186" t="str">
        <f>CURRENCY.CODE_1</f>
        <v>EUR</v>
      </c>
      <c r="K83" s="186" t="str">
        <f>CURRENCY.CODE_2</f>
        <v>---</v>
      </c>
    </row>
    <row r="84" spans="1:11" x14ac:dyDescent="0.25">
      <c r="A84" s="187">
        <v>250</v>
      </c>
      <c r="B84" s="192" t="s">
        <v>1605</v>
      </c>
      <c r="C84" s="187">
        <v>68</v>
      </c>
      <c r="D84" s="187" t="s">
        <v>1610</v>
      </c>
      <c r="E84" s="317" t="s">
        <v>3962</v>
      </c>
      <c r="F84" s="339" t="str">
        <f>IFERROR(IF(OR(E84='DICTIONARY-5'!$A$2,E84='DICTIONARY-5'!$A$4,ISBLANK(E84)),VLOOKUP(D84,LIST!$A$6:$L$3250,CURR_1.SEARCH.OLD,0),VLOOKUP(E84,LIST!$B$6:$L$3250,CURR_1.SEARCH.NEW,0)),'DICTIONARY-5'!$A$2)</f>
        <v>649,-</v>
      </c>
      <c r="G84" s="339" t="str">
        <f>IFERROR(IF(OR(E84='DICTIONARY-5'!$A$2,E84='DICTIONARY-5'!$A$4,ISBLANK(E84)),VLOOKUP(D84,LIST!$A$6:$M$3250,CURR_2.SEARCH.OLD,0),VLOOKUP(E84,LIST!$B$6:$M$3250,CURR_2.SEARCH.NEW,0)),'DICTIONARY-5'!$A$2)</f>
        <v/>
      </c>
      <c r="H84" s="187" t="s">
        <v>1611</v>
      </c>
      <c r="I84" s="317" t="s">
        <v>3938</v>
      </c>
      <c r="J84" s="339" t="str">
        <f>IFERROR(IF(OR(I84='DICTIONARY-5'!$A$2,I84='DICTIONARY-5'!$A$4,ISBLANK(I84)),VLOOKUP(H84,LIST!$A$6:$L$3250,CURR_1.SEARCH.OLD,0),VLOOKUP(I84,LIST!$B$6:$L$3250,CURR_1.SEARCH.NEW,0)),'DICTIONARY-5'!$A$2)</f>
        <v>800,-</v>
      </c>
      <c r="K84" s="339" t="str">
        <f>IFERROR(IF(OR(I84='DICTIONARY-5'!$A$2,I84='DICTIONARY-5'!$A$4,ISBLANK(I84)),VLOOKUP(H84,LIST!$A$6:$M$3250,CURR_2.SEARCH.OLD,0),VLOOKUP(I84,LIST!$B$6:$M$3250,CURR_2.SEARCH.NEW,0)),'DICTIONARY-5'!$A$2)</f>
        <v/>
      </c>
    </row>
    <row r="85" spans="1:11" x14ac:dyDescent="0.25">
      <c r="A85" s="187">
        <v>300</v>
      </c>
      <c r="B85" s="192" t="s">
        <v>1605</v>
      </c>
      <c r="C85" s="187">
        <v>78</v>
      </c>
      <c r="D85" s="187" t="s">
        <v>1612</v>
      </c>
      <c r="E85" s="317" t="s">
        <v>3966</v>
      </c>
      <c r="F85" s="339" t="str">
        <f>IFERROR(IF(OR(E85='DICTIONARY-5'!$A$2,E85='DICTIONARY-5'!$A$4,ISBLANK(E85)),VLOOKUP(D85,LIST!$A$6:$L$3250,CURR_1.SEARCH.OLD,0),VLOOKUP(E85,LIST!$B$6:$L$3250,CURR_1.SEARCH.NEW,0)),'DICTIONARY-5'!$A$2)</f>
        <v>822,-</v>
      </c>
      <c r="G85" s="339" t="str">
        <f>IFERROR(IF(OR(E85='DICTIONARY-5'!$A$2,E85='DICTIONARY-5'!$A$4,ISBLANK(E85)),VLOOKUP(D85,LIST!$A$6:$M$3250,CURR_2.SEARCH.OLD,0),VLOOKUP(E85,LIST!$B$6:$M$3250,CURR_2.SEARCH.NEW,0)),'DICTIONARY-5'!$A$2)</f>
        <v/>
      </c>
      <c r="H85" s="187" t="s">
        <v>1613</v>
      </c>
      <c r="I85" s="317" t="s">
        <v>3942</v>
      </c>
      <c r="J85" s="339" t="str">
        <f>IFERROR(IF(OR(I85='DICTIONARY-5'!$A$2,I85='DICTIONARY-5'!$A$4,ISBLANK(I85)),VLOOKUP(H85,LIST!$A$6:$L$3250,CURR_1.SEARCH.OLD,0),VLOOKUP(I85,LIST!$B$6:$L$3250,CURR_1.SEARCH.NEW,0)),'DICTIONARY-5'!$A$2)</f>
        <v>1 048,-</v>
      </c>
      <c r="K85" s="339" t="str">
        <f>IFERROR(IF(OR(I85='DICTIONARY-5'!$A$2,I85='DICTIONARY-5'!$A$4,ISBLANK(I85)),VLOOKUP(H85,LIST!$A$6:$M$3250,CURR_2.SEARCH.OLD,0),VLOOKUP(I85,LIST!$B$6:$M$3250,CURR_2.SEARCH.NEW,0)),'DICTIONARY-5'!$A$2)</f>
        <v/>
      </c>
    </row>
    <row r="87" spans="1:11" x14ac:dyDescent="0.25">
      <c r="A87" s="552" t="str">
        <f>"1) "&amp;'DICTIONARY-5'!$A$92&amp;": max. 0,6 MPa / 6 bar"</f>
        <v>1) Ciśnienie robocze: max. 0,6 MPa / 6 bar</v>
      </c>
    </row>
  </sheetData>
  <sheetProtection algorithmName="SHA-512" hashValue="3iiCQgfLAnDEPn754F1+nzF6MhtKdmwrMzZuvycISp4fYmOjDn04f5kRjGSM4OymUgV60kStDuyN8FQsveC+5A==" saltValue="f9sOxCiHwODMKc4o7VInRA==" spinCount="100000" sheet="1" objects="1" scenarios="1" autoFilter="0"/>
  <mergeCells count="25">
    <mergeCell ref="B4:E4"/>
    <mergeCell ref="D41:G41"/>
    <mergeCell ref="H41:K41"/>
    <mergeCell ref="D10:G10"/>
    <mergeCell ref="H10:K10"/>
    <mergeCell ref="D23:G23"/>
    <mergeCell ref="H23:K23"/>
    <mergeCell ref="D11:G11"/>
    <mergeCell ref="H11:K11"/>
    <mergeCell ref="D24:G24"/>
    <mergeCell ref="H24:K24"/>
    <mergeCell ref="D82:G82"/>
    <mergeCell ref="H82:K82"/>
    <mergeCell ref="D42:G42"/>
    <mergeCell ref="H42:K42"/>
    <mergeCell ref="D73:G73"/>
    <mergeCell ref="H73:K73"/>
    <mergeCell ref="D55:G55"/>
    <mergeCell ref="H55:K55"/>
    <mergeCell ref="D54:G54"/>
    <mergeCell ref="H54:K54"/>
    <mergeCell ref="D72:G72"/>
    <mergeCell ref="H72:K72"/>
    <mergeCell ref="D81:G81"/>
    <mergeCell ref="H81:K81"/>
  </mergeCells>
  <pageMargins left="0.7" right="0.7" top="0.78740157499999996" bottom="0.78740157499999996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56">
    <tabColor rgb="FF0F6E23"/>
  </sheetPr>
  <dimension ref="A1:K65"/>
  <sheetViews>
    <sheetView workbookViewId="0"/>
  </sheetViews>
  <sheetFormatPr defaultColWidth="9.140625" defaultRowHeight="15" x14ac:dyDescent="0.25"/>
  <cols>
    <col min="1" max="3" width="9.140625" style="175"/>
    <col min="4" max="5" width="22.140625" style="175" customWidth="1"/>
    <col min="6" max="7" width="12.85546875" style="176" customWidth="1"/>
    <col min="8" max="9" width="22.140625" style="175" customWidth="1"/>
    <col min="10" max="11" width="12.85546875" style="176" customWidth="1"/>
    <col min="12" max="16384" width="9.140625" style="177"/>
  </cols>
  <sheetData>
    <row r="1" spans="1:11" s="405" customFormat="1" ht="45" customHeight="1" thickBot="1" x14ac:dyDescent="0.3">
      <c r="A1" s="429"/>
      <c r="B1" s="429"/>
      <c r="C1" s="429"/>
      <c r="D1" s="429"/>
      <c r="E1" s="406"/>
      <c r="F1" s="407"/>
      <c r="G1" s="407"/>
      <c r="H1" s="406"/>
      <c r="I1" s="406"/>
      <c r="J1" s="407"/>
      <c r="K1" s="407"/>
    </row>
    <row r="2" spans="1:11" s="463" customFormat="1" ht="4.5" customHeight="1" x14ac:dyDescent="0.25">
      <c r="A2" s="462"/>
      <c r="B2" s="464"/>
      <c r="C2" s="464"/>
      <c r="D2" s="464"/>
      <c r="E2" s="464"/>
      <c r="F2" s="465"/>
      <c r="G2" s="465"/>
      <c r="H2" s="464"/>
      <c r="I2" s="464"/>
      <c r="J2" s="465"/>
      <c r="K2" s="465"/>
    </row>
    <row r="3" spans="1:11" ht="15.75" thickBot="1" x14ac:dyDescent="0.3">
      <c r="A3" s="178"/>
      <c r="B3" s="179"/>
      <c r="C3" s="179"/>
    </row>
    <row r="4" spans="1:11" ht="15.75" thickBot="1" x14ac:dyDescent="0.3">
      <c r="A4" s="823">
        <f>ADD.DISCOUNT</f>
        <v>0</v>
      </c>
      <c r="B4" s="933" t="str">
        <f>HYPERLINK("#'LIST'!ADD.DISCOUNT","» "&amp;'DICTIONARY-1'!$A$5)</f>
        <v>» Ustaw globalny dodatkowy rabat</v>
      </c>
      <c r="C4" s="1017"/>
      <c r="D4" s="1017"/>
      <c r="E4" s="1018"/>
    </row>
    <row r="5" spans="1:11" x14ac:dyDescent="0.25">
      <c r="A5" s="178"/>
      <c r="B5" s="179"/>
      <c r="C5" s="179"/>
    </row>
    <row r="6" spans="1:11" ht="16.5" thickBot="1" x14ac:dyDescent="0.3">
      <c r="A6" s="712" t="str">
        <f>CONCATENATE('DICTIONARY-3'!$A$148," ",'DICTIONARY-3'!$A$204," / ",'DICTIONARY-3'!$A$326)</f>
        <v>CEREX 300-L Przepustnica kołnierzowa / Z przekładnią i kółkiem ręcznym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80" t="str">
        <f>'DICTIONARY-5'!$A$145</f>
        <v>Typ Lug z otworami centrującymi do montażu na śruby</v>
      </c>
    </row>
    <row r="8" spans="1:11" x14ac:dyDescent="0.25">
      <c r="A8" s="180" t="str">
        <f>CONCATENATE('DICTIONARY-1'!$A$10,": ",SETTINGS!$C$42)</f>
        <v>Grupa rabatowa: CEREX 300</v>
      </c>
    </row>
    <row r="9" spans="1:11" x14ac:dyDescent="0.25">
      <c r="A9" s="182"/>
    </row>
    <row r="10" spans="1:11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020" t="str">
        <f>'DICTIONARY-3'!$A$148</f>
        <v>CEREX 300-L</v>
      </c>
      <c r="E10" s="1020"/>
      <c r="F10" s="1020"/>
      <c r="G10" s="1020"/>
      <c r="H10" s="1020" t="str">
        <f>'DICTIONARY-3'!$A$148</f>
        <v>CEREX 300-L</v>
      </c>
      <c r="I10" s="1020"/>
      <c r="J10" s="1020"/>
      <c r="K10" s="1020"/>
    </row>
    <row r="11" spans="1:11" x14ac:dyDescent="0.25">
      <c r="A11" s="184"/>
      <c r="B11" s="184"/>
      <c r="C11" s="184"/>
      <c r="D11" s="1019" t="str">
        <f>'DICTIONARY-5'!$A$43&amp;": "&amp;'DICTIONARY-5'!$A$44&amp;", "&amp;'DICTIONARY-5'!$A$147&amp;": "&amp;'DICTIONARY-5'!$A$50</f>
        <v xml:space="preserve">guma: EPDM, dysk: żeliwo sferoidalne </v>
      </c>
      <c r="E11" s="1019"/>
      <c r="F11" s="1019"/>
      <c r="G11" s="1019"/>
      <c r="H11" s="1019" t="str">
        <f>'DICTIONARY-5'!$A$43&amp;": "&amp;'DICTIONARY-5'!$A$44&amp;", "&amp;'DICTIONARY-5'!$A$147&amp;": "&amp;'DICTIONARY-5'!$A$32</f>
        <v>guma: EPDM, dysk: stal nierdzewna</v>
      </c>
      <c r="I11" s="1019"/>
      <c r="J11" s="1019"/>
      <c r="K11" s="1019"/>
    </row>
    <row r="12" spans="1:11" x14ac:dyDescent="0.25">
      <c r="A12" s="190"/>
      <c r="B12" s="190"/>
      <c r="C12" s="190" t="str">
        <f>'DICTIONARY-2'!$A$18</f>
        <v>[mm]</v>
      </c>
      <c r="D12" s="191" t="str">
        <f>'DICTIONARY-2'!$A$28</f>
        <v>stary nr zamówienia</v>
      </c>
      <c r="E12" s="191" t="str">
        <f>'DICTIONARY-2'!$A$29</f>
        <v>nowy nr zamówienia</v>
      </c>
      <c r="F12" s="186" t="str">
        <f>CURRENCY.CODE_1</f>
        <v>EUR</v>
      </c>
      <c r="G12" s="186" t="str">
        <f>CURRENCY.CODE_2</f>
        <v>---</v>
      </c>
      <c r="H12" s="191" t="str">
        <f>'DICTIONARY-2'!$A$28</f>
        <v>stary nr zamówienia</v>
      </c>
      <c r="I12" s="191" t="str">
        <f>'DICTIONARY-2'!$A$29</f>
        <v>nowy nr zamówienia</v>
      </c>
      <c r="J12" s="186" t="str">
        <f>CURRENCY.CODE_1</f>
        <v>EUR</v>
      </c>
      <c r="K12" s="186" t="str">
        <f>CURRENCY.CODE_2</f>
        <v>---</v>
      </c>
    </row>
    <row r="13" spans="1:11" x14ac:dyDescent="0.25">
      <c r="A13" s="187">
        <v>50</v>
      </c>
      <c r="B13" s="187" t="s">
        <v>1614</v>
      </c>
      <c r="C13" s="187">
        <v>43</v>
      </c>
      <c r="D13" s="187" t="s">
        <v>1615</v>
      </c>
      <c r="E13" s="317" t="s">
        <v>3875</v>
      </c>
      <c r="F13" s="339" t="str">
        <f>IFERROR(IF(OR(E13='DICTIONARY-5'!$A$2,E13='DICTIONARY-5'!$A$4,ISBLANK(E13)),VLOOKUP(D13,LIST!$A$6:$L$3250,CURR_1.SEARCH.OLD,0),VLOOKUP(E13,LIST!$B$6:$L$3250,CURR_1.SEARCH.NEW,0)),'DICTIONARY-5'!$A$2)</f>
        <v>254,-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187" t="s">
        <v>1616</v>
      </c>
      <c r="I13" s="317" t="s">
        <v>3819</v>
      </c>
      <c r="J13" s="339" t="str">
        <f>IFERROR(IF(OR(I13='DICTIONARY-5'!$A$2,I13='DICTIONARY-5'!$A$4,ISBLANK(I13)),VLOOKUP(H13,LIST!$A$6:$L$3250,CURR_1.SEARCH.OLD,0),VLOOKUP(I13,LIST!$B$6:$L$3250,CURR_1.SEARCH.NEW,0)),'DICTIONARY-5'!$A$2)</f>
        <v>254,-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187">
        <v>65</v>
      </c>
      <c r="B14" s="187" t="s">
        <v>1614</v>
      </c>
      <c r="C14" s="187">
        <v>46</v>
      </c>
      <c r="D14" s="187" t="s">
        <v>1617</v>
      </c>
      <c r="E14" s="317" t="s">
        <v>3881</v>
      </c>
      <c r="F14" s="339" t="str">
        <f>IFERROR(IF(OR(E14='DICTIONARY-5'!$A$2,E14='DICTIONARY-5'!$A$4,ISBLANK(E14)),VLOOKUP(D14,LIST!$A$6:$L$3250,CURR_1.SEARCH.OLD,0),VLOOKUP(E14,LIST!$B$6:$L$3250,CURR_1.SEARCH.NEW,0)),'DICTIONARY-5'!$A$2)</f>
        <v>258,-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187" t="s">
        <v>1618</v>
      </c>
      <c r="I14" s="317" t="s">
        <v>3825</v>
      </c>
      <c r="J14" s="339" t="str">
        <f>IFERROR(IF(OR(I14='DICTIONARY-5'!$A$2,I14='DICTIONARY-5'!$A$4,ISBLANK(I14)),VLOOKUP(H14,LIST!$A$6:$L$3250,CURR_1.SEARCH.OLD,0),VLOOKUP(I14,LIST!$B$6:$L$3250,CURR_1.SEARCH.NEW,0)),'DICTIONARY-5'!$A$2)</f>
        <v>259,-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187">
        <v>80</v>
      </c>
      <c r="B15" s="187" t="s">
        <v>1614</v>
      </c>
      <c r="C15" s="187">
        <v>46</v>
      </c>
      <c r="D15" s="187" t="s">
        <v>1619</v>
      </c>
      <c r="E15" s="317" t="s">
        <v>3887</v>
      </c>
      <c r="F15" s="339" t="str">
        <f>IFERROR(IF(OR(E15='DICTIONARY-5'!$A$2,E15='DICTIONARY-5'!$A$4,ISBLANK(E15)),VLOOKUP(D15,LIST!$A$6:$L$3250,CURR_1.SEARCH.OLD,0),VLOOKUP(E15,LIST!$B$6:$L$3250,CURR_1.SEARCH.NEW,0)),'DICTIONARY-5'!$A$2)</f>
        <v>288,-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187" t="s">
        <v>1620</v>
      </c>
      <c r="I15" s="317" t="s">
        <v>3831</v>
      </c>
      <c r="J15" s="339" t="str">
        <f>IFERROR(IF(OR(I15='DICTIONARY-5'!$A$2,I15='DICTIONARY-5'!$A$4,ISBLANK(I15)),VLOOKUP(H15,LIST!$A$6:$L$3250,CURR_1.SEARCH.OLD,0),VLOOKUP(I15,LIST!$B$6:$L$3250,CURR_1.SEARCH.NEW,0)),'DICTIONARY-5'!$A$2)</f>
        <v>293,-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187">
        <v>100</v>
      </c>
      <c r="B16" s="187" t="s">
        <v>1614</v>
      </c>
      <c r="C16" s="187">
        <v>52</v>
      </c>
      <c r="D16" s="187" t="s">
        <v>1621</v>
      </c>
      <c r="E16" s="317" t="s">
        <v>3893</v>
      </c>
      <c r="F16" s="339" t="str">
        <f>IFERROR(IF(OR(E16='DICTIONARY-5'!$A$2,E16='DICTIONARY-5'!$A$4,ISBLANK(E16)),VLOOKUP(D16,LIST!$A$6:$L$3250,CURR_1.SEARCH.OLD,0),VLOOKUP(E16,LIST!$B$6:$L$3250,CURR_1.SEARCH.NEW,0)),'DICTIONARY-5'!$A$2)</f>
        <v>318,-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187" t="s">
        <v>1622</v>
      </c>
      <c r="I16" s="317" t="s">
        <v>3837</v>
      </c>
      <c r="J16" s="339" t="str">
        <f>IFERROR(IF(OR(I16='DICTIONARY-5'!$A$2,I16='DICTIONARY-5'!$A$4,ISBLANK(I16)),VLOOKUP(H16,LIST!$A$6:$L$3250,CURR_1.SEARCH.OLD,0),VLOOKUP(I16,LIST!$B$6:$L$3250,CURR_1.SEARCH.NEW,0)),'DICTIONARY-5'!$A$2)</f>
        <v>326,-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187">
        <v>125</v>
      </c>
      <c r="B17" s="187" t="s">
        <v>1614</v>
      </c>
      <c r="C17" s="187">
        <v>56</v>
      </c>
      <c r="D17" s="187" t="s">
        <v>1623</v>
      </c>
      <c r="E17" s="317" t="s">
        <v>3899</v>
      </c>
      <c r="F17" s="339" t="str">
        <f>IFERROR(IF(OR(E17='DICTIONARY-5'!$A$2,E17='DICTIONARY-5'!$A$4,ISBLANK(E17)),VLOOKUP(D17,LIST!$A$6:$L$3250,CURR_1.SEARCH.OLD,0),VLOOKUP(E17,LIST!$B$6:$L$3250,CURR_1.SEARCH.NEW,0)),'DICTIONARY-5'!$A$2)</f>
        <v>354,-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187" t="s">
        <v>1624</v>
      </c>
      <c r="I17" s="317" t="s">
        <v>3843</v>
      </c>
      <c r="J17" s="339" t="str">
        <f>IFERROR(IF(OR(I17='DICTIONARY-5'!$A$2,I17='DICTIONARY-5'!$A$4,ISBLANK(I17)),VLOOKUP(H17,LIST!$A$6:$L$3250,CURR_1.SEARCH.OLD,0),VLOOKUP(I17,LIST!$B$6:$L$3250,CURR_1.SEARCH.NEW,0)),'DICTIONARY-5'!$A$2)</f>
        <v>369,-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187">
        <v>150</v>
      </c>
      <c r="B18" s="187" t="s">
        <v>1614</v>
      </c>
      <c r="C18" s="187">
        <v>56</v>
      </c>
      <c r="D18" s="187" t="s">
        <v>1625</v>
      </c>
      <c r="E18" s="317" t="s">
        <v>3905</v>
      </c>
      <c r="F18" s="339" t="str">
        <f>IFERROR(IF(OR(E18='DICTIONARY-5'!$A$2,E18='DICTIONARY-5'!$A$4,ISBLANK(E18)),VLOOKUP(D18,LIST!$A$6:$L$3250,CURR_1.SEARCH.OLD,0),VLOOKUP(E18,LIST!$B$6:$L$3250,CURR_1.SEARCH.NEW,0)),'DICTIONARY-5'!$A$2)</f>
        <v>459,-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187" t="s">
        <v>1626</v>
      </c>
      <c r="I18" s="317" t="s">
        <v>3849</v>
      </c>
      <c r="J18" s="339" t="str">
        <f>IFERROR(IF(OR(I18='DICTIONARY-5'!$A$2,I18='DICTIONARY-5'!$A$4,ISBLANK(I18)),VLOOKUP(H18,LIST!$A$6:$L$3250,CURR_1.SEARCH.OLD,0),VLOOKUP(I18,LIST!$B$6:$L$3250,CURR_1.SEARCH.NEW,0)),'DICTIONARY-5'!$A$2)</f>
        <v>498,-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187">
        <v>200</v>
      </c>
      <c r="B19" s="187">
        <v>10</v>
      </c>
      <c r="C19" s="187">
        <v>60</v>
      </c>
      <c r="D19" s="187" t="s">
        <v>1627</v>
      </c>
      <c r="E19" s="317" t="s">
        <v>3955</v>
      </c>
      <c r="F19" s="339" t="str">
        <f>IFERROR(IF(OR(E19='DICTIONARY-5'!$A$2,E19='DICTIONARY-5'!$A$4,ISBLANK(E19)),VLOOKUP(D19,LIST!$A$6:$L$3250,CURR_1.SEARCH.OLD,0),VLOOKUP(E19,LIST!$B$6:$L$3250,CURR_1.SEARCH.NEW,0)),'DICTIONARY-5'!$A$2)</f>
        <v>605,-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187" t="s">
        <v>1628</v>
      </c>
      <c r="I19" s="317" t="s">
        <v>3931</v>
      </c>
      <c r="J19" s="339" t="str">
        <f>IFERROR(IF(OR(I19='DICTIONARY-5'!$A$2,I19='DICTIONARY-5'!$A$4,ISBLANK(I19)),VLOOKUP(H19,LIST!$A$6:$L$3250,CURR_1.SEARCH.OLD,0),VLOOKUP(I19,LIST!$B$6:$L$3250,CURR_1.SEARCH.NEW,0)),'DICTIONARY-5'!$A$2)</f>
        <v>660,-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187">
        <v>200</v>
      </c>
      <c r="B20" s="187">
        <v>16</v>
      </c>
      <c r="C20" s="187">
        <v>60</v>
      </c>
      <c r="D20" s="187" t="s">
        <v>1629</v>
      </c>
      <c r="E20" s="317" t="s">
        <v>3911</v>
      </c>
      <c r="F20" s="339" t="str">
        <f>IFERROR(IF(OR(E20='DICTIONARY-5'!$A$2,E20='DICTIONARY-5'!$A$4,ISBLANK(E20)),VLOOKUP(D20,LIST!$A$6:$L$3250,CURR_1.SEARCH.OLD,0),VLOOKUP(E20,LIST!$B$6:$L$3250,CURR_1.SEARCH.NEW,0)),'DICTIONARY-5'!$A$2)</f>
        <v>651,-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187" t="s">
        <v>1630</v>
      </c>
      <c r="I20" s="317" t="s">
        <v>3855</v>
      </c>
      <c r="J20" s="339" t="str">
        <f>IFERROR(IF(OR(I20='DICTIONARY-5'!$A$2,I20='DICTIONARY-5'!$A$4,ISBLANK(I20)),VLOOKUP(H20,LIST!$A$6:$L$3250,CURR_1.SEARCH.OLD,0),VLOOKUP(I20,LIST!$B$6:$L$3250,CURR_1.SEARCH.NEW,0)),'DICTIONARY-5'!$A$2)</f>
        <v>708,-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A21" s="187">
        <v>250</v>
      </c>
      <c r="B21" s="187">
        <v>10</v>
      </c>
      <c r="C21" s="187">
        <v>68</v>
      </c>
      <c r="D21" s="187" t="s">
        <v>1631</v>
      </c>
      <c r="E21" s="317" t="s">
        <v>3959</v>
      </c>
      <c r="F21" s="339" t="str">
        <f>IFERROR(IF(OR(E21='DICTIONARY-5'!$A$2,E21='DICTIONARY-5'!$A$4,ISBLANK(E21)),VLOOKUP(D21,LIST!$A$6:$L$3250,CURR_1.SEARCH.OLD,0),VLOOKUP(E21,LIST!$B$6:$L$3250,CURR_1.SEARCH.NEW,0)),'DICTIONARY-5'!$A$2)</f>
        <v>689,-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187" t="s">
        <v>1632</v>
      </c>
      <c r="I21" s="317" t="s">
        <v>3935</v>
      </c>
      <c r="J21" s="339" t="str">
        <f>IFERROR(IF(OR(I21='DICTIONARY-5'!$A$2,I21='DICTIONARY-5'!$A$4,ISBLANK(I21)),VLOOKUP(H21,LIST!$A$6:$L$3250,CURR_1.SEARCH.OLD,0),VLOOKUP(I21,LIST!$B$6:$L$3250,CURR_1.SEARCH.NEW,0)),'DICTIONARY-5'!$A$2)</f>
        <v>841,-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2" spans="1:11" x14ac:dyDescent="0.25">
      <c r="A22" s="187">
        <v>250</v>
      </c>
      <c r="B22" s="187">
        <v>16</v>
      </c>
      <c r="C22" s="187">
        <v>68</v>
      </c>
      <c r="D22" s="187" t="s">
        <v>1633</v>
      </c>
      <c r="E22" s="317" t="s">
        <v>3915</v>
      </c>
      <c r="F22" s="339" t="str">
        <f>IFERROR(IF(OR(E22='DICTIONARY-5'!$A$2,E22='DICTIONARY-5'!$A$4,ISBLANK(E22)),VLOOKUP(D22,LIST!$A$6:$L$3250,CURR_1.SEARCH.OLD,0),VLOOKUP(E22,LIST!$B$6:$L$3250,CURR_1.SEARCH.NEW,0)),'DICTIONARY-5'!$A$2)</f>
        <v>698,-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187" t="s">
        <v>1634</v>
      </c>
      <c r="I22" s="317" t="s">
        <v>3859</v>
      </c>
      <c r="J22" s="339" t="str">
        <f>IFERROR(IF(OR(I22='DICTIONARY-5'!$A$2,I22='DICTIONARY-5'!$A$4,ISBLANK(I22)),VLOOKUP(H22,LIST!$A$6:$L$3250,CURR_1.SEARCH.OLD,0),VLOOKUP(I22,LIST!$B$6:$L$3250,CURR_1.SEARCH.NEW,0)),'DICTIONARY-5'!$A$2)</f>
        <v>849,-</v>
      </c>
      <c r="K22" s="339" t="str">
        <f>IFERROR(IF(OR(I22='DICTIONARY-5'!$A$2,I22='DICTIONARY-5'!$A$4,ISBLANK(I22)),VLOOKUP(H22,LIST!$A$6:$M$3250,CURR_2.SEARCH.OLD,0),VLOOKUP(I22,LIST!$B$6:$M$3250,CURR_2.SEARCH.NEW,0)),'DICTIONARY-5'!$A$2)</f>
        <v/>
      </c>
    </row>
    <row r="23" spans="1:11" x14ac:dyDescent="0.25">
      <c r="A23" s="187">
        <v>300</v>
      </c>
      <c r="B23" s="187">
        <v>10</v>
      </c>
      <c r="C23" s="187">
        <v>78</v>
      </c>
      <c r="D23" s="187" t="s">
        <v>1635</v>
      </c>
      <c r="E23" s="317" t="s">
        <v>3963</v>
      </c>
      <c r="F23" s="339" t="str">
        <f>IFERROR(IF(OR(E23='DICTIONARY-5'!$A$2,E23='DICTIONARY-5'!$A$4,ISBLANK(E23)),VLOOKUP(D23,LIST!$A$6:$L$3250,CURR_1.SEARCH.OLD,0),VLOOKUP(E23,LIST!$B$6:$L$3250,CURR_1.SEARCH.NEW,0)),'DICTIONARY-5'!$A$2)</f>
        <v>938,-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187" t="s">
        <v>1636</v>
      </c>
      <c r="I23" s="317" t="s">
        <v>3939</v>
      </c>
      <c r="J23" s="339" t="str">
        <f>IFERROR(IF(OR(I23='DICTIONARY-5'!$A$2,I23='DICTIONARY-5'!$A$4,ISBLANK(I23)),VLOOKUP(H23,LIST!$A$6:$L$3250,CURR_1.SEARCH.OLD,0),VLOOKUP(I23,LIST!$B$6:$L$3250,CURR_1.SEARCH.NEW,0)),'DICTIONARY-5'!$A$2)</f>
        <v>1 161,-</v>
      </c>
      <c r="K23" s="339" t="str">
        <f>IFERROR(IF(OR(I23='DICTIONARY-5'!$A$2,I23='DICTIONARY-5'!$A$4,ISBLANK(I23)),VLOOKUP(H23,LIST!$A$6:$M$3250,CURR_2.SEARCH.OLD,0),VLOOKUP(I23,LIST!$B$6:$M$3250,CURR_2.SEARCH.NEW,0)),'DICTIONARY-5'!$A$2)</f>
        <v/>
      </c>
    </row>
    <row r="24" spans="1:11" x14ac:dyDescent="0.25">
      <c r="A24" s="187">
        <v>300</v>
      </c>
      <c r="B24" s="187">
        <v>16</v>
      </c>
      <c r="C24" s="187">
        <v>78</v>
      </c>
      <c r="D24" s="187" t="s">
        <v>1637</v>
      </c>
      <c r="E24" s="317" t="s">
        <v>3917</v>
      </c>
      <c r="F24" s="339" t="str">
        <f>IFERROR(IF(OR(E24='DICTIONARY-5'!$A$2,E24='DICTIONARY-5'!$A$4,ISBLANK(E24)),VLOOKUP(D24,LIST!$A$6:$L$3250,CURR_1.SEARCH.OLD,0),VLOOKUP(E24,LIST!$B$6:$L$3250,CURR_1.SEARCH.NEW,0)),'DICTIONARY-5'!$A$2)</f>
        <v>940,-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187" t="s">
        <v>1638</v>
      </c>
      <c r="I24" s="317" t="s">
        <v>3861</v>
      </c>
      <c r="J24" s="339" t="str">
        <f>IFERROR(IF(OR(I24='DICTIONARY-5'!$A$2,I24='DICTIONARY-5'!$A$4,ISBLANK(I24)),VLOOKUP(H24,LIST!$A$6:$L$3250,CURR_1.SEARCH.OLD,0),VLOOKUP(I24,LIST!$B$6:$L$3250,CURR_1.SEARCH.NEW,0)),'DICTIONARY-5'!$A$2)</f>
        <v>1 163,-</v>
      </c>
      <c r="K24" s="339" t="str">
        <f>IFERROR(IF(OR(I24='DICTIONARY-5'!$A$2,I24='DICTIONARY-5'!$A$4,ISBLANK(I24)),VLOOKUP(H24,LIST!$A$6:$M$3250,CURR_2.SEARCH.OLD,0),VLOOKUP(I24,LIST!$B$6:$M$3250,CURR_2.SEARCH.NEW,0)),'DICTIONARY-5'!$A$2)</f>
        <v/>
      </c>
    </row>
    <row r="25" spans="1:11" x14ac:dyDescent="0.25">
      <c r="A25" s="187">
        <v>350</v>
      </c>
      <c r="B25" s="187">
        <v>10</v>
      </c>
      <c r="C25" s="187">
        <v>78</v>
      </c>
      <c r="D25" s="187" t="s">
        <v>1639</v>
      </c>
      <c r="E25" s="317" t="s">
        <v>3967</v>
      </c>
      <c r="F25" s="339" t="str">
        <f>IFERROR(IF(OR(E25='DICTIONARY-5'!$A$2,E25='DICTIONARY-5'!$A$4,ISBLANK(E25)),VLOOKUP(D25,LIST!$A$6:$L$3250,CURR_1.SEARCH.OLD,0),VLOOKUP(E25,LIST!$B$6:$L$3250,CURR_1.SEARCH.NEW,0)),'DICTIONARY-5'!$A$2)</f>
        <v>1 269,-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193" t="s">
        <v>1640</v>
      </c>
      <c r="I25" s="317" t="s">
        <v>3943</v>
      </c>
      <c r="J25" s="339" t="str">
        <f>IFERROR(IF(OR(I25='DICTIONARY-5'!$A$2,I25='DICTIONARY-5'!$A$4,ISBLANK(I25)),VLOOKUP(H25,LIST!$A$6:$L$3250,CURR_1.SEARCH.OLD,0),VLOOKUP(I25,LIST!$B$6:$L$3250,CURR_1.SEARCH.NEW,0)),'DICTIONARY-5'!$A$2)</f>
        <v>1 626,-</v>
      </c>
      <c r="K25" s="339" t="str">
        <f>IFERROR(IF(OR(I25='DICTIONARY-5'!$A$2,I25='DICTIONARY-5'!$A$4,ISBLANK(I25)),VLOOKUP(H25,LIST!$A$6:$M$3250,CURR_2.SEARCH.OLD,0),VLOOKUP(I25,LIST!$B$6:$M$3250,CURR_2.SEARCH.NEW,0)),'DICTIONARY-5'!$A$2)</f>
        <v/>
      </c>
    </row>
    <row r="26" spans="1:11" x14ac:dyDescent="0.25">
      <c r="A26" s="187">
        <v>350</v>
      </c>
      <c r="B26" s="187">
        <v>16</v>
      </c>
      <c r="C26" s="187">
        <v>78</v>
      </c>
      <c r="D26" s="187" t="s">
        <v>1641</v>
      </c>
      <c r="E26" s="317" t="s">
        <v>3919</v>
      </c>
      <c r="F26" s="339" t="str">
        <f>IFERROR(IF(OR(E26='DICTIONARY-5'!$A$2,E26='DICTIONARY-5'!$A$4,ISBLANK(E26)),VLOOKUP(D26,LIST!$A$6:$L$3250,CURR_1.SEARCH.OLD,0),VLOOKUP(E26,LIST!$B$6:$L$3250,CURR_1.SEARCH.NEW,0)),'DICTIONARY-5'!$A$2)</f>
        <v>1 297,-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193" t="s">
        <v>1642</v>
      </c>
      <c r="I26" s="317" t="s">
        <v>3863</v>
      </c>
      <c r="J26" s="339" t="str">
        <f>IFERROR(IF(OR(I26='DICTIONARY-5'!$A$2,I26='DICTIONARY-5'!$A$4,ISBLANK(I26)),VLOOKUP(H26,LIST!$A$6:$L$3250,CURR_1.SEARCH.OLD,0),VLOOKUP(I26,LIST!$B$6:$L$3250,CURR_1.SEARCH.NEW,0)),'DICTIONARY-5'!$A$2)</f>
        <v>1 654,-</v>
      </c>
      <c r="K26" s="339" t="str">
        <f>IFERROR(IF(OR(I26='DICTIONARY-5'!$A$2,I26='DICTIONARY-5'!$A$4,ISBLANK(I26)),VLOOKUP(H26,LIST!$A$6:$M$3250,CURR_2.SEARCH.OLD,0),VLOOKUP(I26,LIST!$B$6:$M$3250,CURR_2.SEARCH.NEW,0)),'DICTIONARY-5'!$A$2)</f>
        <v/>
      </c>
    </row>
    <row r="27" spans="1:11" x14ac:dyDescent="0.25">
      <c r="A27" s="187">
        <v>400</v>
      </c>
      <c r="B27" s="187">
        <v>10</v>
      </c>
      <c r="C27" s="187">
        <v>102</v>
      </c>
      <c r="D27" s="187" t="s">
        <v>1643</v>
      </c>
      <c r="E27" s="317" t="s">
        <v>3969</v>
      </c>
      <c r="F27" s="339" t="str">
        <f>IFERROR(IF(OR(E27='DICTIONARY-5'!$A$2,E27='DICTIONARY-5'!$A$4,ISBLANK(E27)),VLOOKUP(D27,LIST!$A$6:$L$3250,CURR_1.SEARCH.OLD,0),VLOOKUP(E27,LIST!$B$6:$L$3250,CURR_1.SEARCH.NEW,0)),'DICTIONARY-5'!$A$2)</f>
        <v>1 590,-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H27" s="187" t="s">
        <v>1644</v>
      </c>
      <c r="I27" s="317" t="s">
        <v>3945</v>
      </c>
      <c r="J27" s="339" t="str">
        <f>IFERROR(IF(OR(I27='DICTIONARY-5'!$A$2,I27='DICTIONARY-5'!$A$4,ISBLANK(I27)),VLOOKUP(H27,LIST!$A$6:$L$3250,CURR_1.SEARCH.OLD,0),VLOOKUP(I27,LIST!$B$6:$L$3250,CURR_1.SEARCH.NEW,0)),'DICTIONARY-5'!$A$2)</f>
        <v>2 130,-</v>
      </c>
      <c r="K27" s="339" t="str">
        <f>IFERROR(IF(OR(I27='DICTIONARY-5'!$A$2,I27='DICTIONARY-5'!$A$4,ISBLANK(I27)),VLOOKUP(H27,LIST!$A$6:$M$3250,CURR_2.SEARCH.OLD,0),VLOOKUP(I27,LIST!$B$6:$M$3250,CURR_2.SEARCH.NEW,0)),'DICTIONARY-5'!$A$2)</f>
        <v/>
      </c>
    </row>
    <row r="28" spans="1:11" x14ac:dyDescent="0.25">
      <c r="A28" s="187">
        <v>400</v>
      </c>
      <c r="B28" s="187">
        <v>16</v>
      </c>
      <c r="C28" s="187">
        <v>102</v>
      </c>
      <c r="D28" s="187" t="s">
        <v>1645</v>
      </c>
      <c r="E28" s="317" t="s">
        <v>3921</v>
      </c>
      <c r="F28" s="339" t="str">
        <f>IFERROR(IF(OR(E28='DICTIONARY-5'!$A$2,E28='DICTIONARY-5'!$A$4,ISBLANK(E28)),VLOOKUP(D28,LIST!$A$6:$L$3250,CURR_1.SEARCH.OLD,0),VLOOKUP(E28,LIST!$B$6:$L$3250,CURR_1.SEARCH.NEW,0)),'DICTIONARY-5'!$A$2)</f>
        <v>1 610,-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187" t="s">
        <v>1646</v>
      </c>
      <c r="I28" s="317" t="s">
        <v>3865</v>
      </c>
      <c r="J28" s="339" t="str">
        <f>IFERROR(IF(OR(I28='DICTIONARY-5'!$A$2,I28='DICTIONARY-5'!$A$4,ISBLANK(I28)),VLOOKUP(H28,LIST!$A$6:$L$3250,CURR_1.SEARCH.OLD,0),VLOOKUP(I28,LIST!$B$6:$L$3250,CURR_1.SEARCH.NEW,0)),'DICTIONARY-5'!$A$2)</f>
        <v>2 168,-</v>
      </c>
      <c r="K28" s="339" t="str">
        <f>IFERROR(IF(OR(I28='DICTIONARY-5'!$A$2,I28='DICTIONARY-5'!$A$4,ISBLANK(I28)),VLOOKUP(H28,LIST!$A$6:$M$3250,CURR_2.SEARCH.OLD,0),VLOOKUP(I28,LIST!$B$6:$M$3250,CURR_2.SEARCH.NEW,0)),'DICTIONARY-5'!$A$2)</f>
        <v/>
      </c>
    </row>
    <row r="29" spans="1:11" x14ac:dyDescent="0.25">
      <c r="A29" s="187">
        <v>450</v>
      </c>
      <c r="B29" s="187">
        <v>10</v>
      </c>
      <c r="C29" s="187">
        <v>114</v>
      </c>
      <c r="D29" s="187" t="s">
        <v>1647</v>
      </c>
      <c r="E29" s="317" t="s">
        <v>3971</v>
      </c>
      <c r="F29" s="339" t="str">
        <f>IFERROR(IF(OR(E29='DICTIONARY-5'!$A$2,E29='DICTIONARY-5'!$A$4,ISBLANK(E29)),VLOOKUP(D29,LIST!$A$6:$L$3250,CURR_1.SEARCH.OLD,0),VLOOKUP(E29,LIST!$B$6:$L$3250,CURR_1.SEARCH.NEW,0)),'DICTIONARY-5'!$A$2)</f>
        <v>2 547,-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H29" s="187" t="s">
        <v>1648</v>
      </c>
      <c r="I29" s="317" t="s">
        <v>3947</v>
      </c>
      <c r="J29" s="339" t="str">
        <f>IFERROR(IF(OR(I29='DICTIONARY-5'!$A$2,I29='DICTIONARY-5'!$A$4,ISBLANK(I29)),VLOOKUP(H29,LIST!$A$6:$L$3250,CURR_1.SEARCH.OLD,0),VLOOKUP(I29,LIST!$B$6:$L$3250,CURR_1.SEARCH.NEW,0)),'DICTIONARY-5'!$A$2)</f>
        <v>3 342,-</v>
      </c>
      <c r="K29" s="339" t="str">
        <f>IFERROR(IF(OR(I29='DICTIONARY-5'!$A$2,I29='DICTIONARY-5'!$A$4,ISBLANK(I29)),VLOOKUP(H29,LIST!$A$6:$M$3250,CURR_2.SEARCH.OLD,0),VLOOKUP(I29,LIST!$B$6:$M$3250,CURR_2.SEARCH.NEW,0)),'DICTIONARY-5'!$A$2)</f>
        <v/>
      </c>
    </row>
    <row r="30" spans="1:11" x14ac:dyDescent="0.25">
      <c r="A30" s="187">
        <v>450</v>
      </c>
      <c r="B30" s="187" t="s">
        <v>436</v>
      </c>
      <c r="C30" s="187">
        <v>114</v>
      </c>
      <c r="D30" s="187" t="s">
        <v>1649</v>
      </c>
      <c r="E30" s="317" t="s">
        <v>3923</v>
      </c>
      <c r="F30" s="339" t="str">
        <f>IFERROR(IF(OR(E30='DICTIONARY-5'!$A$2,E30='DICTIONARY-5'!$A$4,ISBLANK(E30)),VLOOKUP(D30,LIST!$A$6:$L$3250,CURR_1.SEARCH.OLD,0),VLOOKUP(E30,LIST!$B$6:$L$3250,CURR_1.SEARCH.NEW,0)),'DICTIONARY-5'!$A$2)</f>
        <v>2 689,-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H30" s="187" t="s">
        <v>1650</v>
      </c>
      <c r="I30" s="317" t="s">
        <v>3867</v>
      </c>
      <c r="J30" s="339" t="str">
        <f>IFERROR(IF(OR(I30='DICTIONARY-5'!$A$2,I30='DICTIONARY-5'!$A$4,ISBLANK(I30)),VLOOKUP(H30,LIST!$A$6:$L$3250,CURR_1.SEARCH.OLD,0),VLOOKUP(I30,LIST!$B$6:$L$3250,CURR_1.SEARCH.NEW,0)),'DICTIONARY-5'!$A$2)</f>
        <v>3 725,-</v>
      </c>
      <c r="K30" s="339" t="str">
        <f>IFERROR(IF(OR(I30='DICTIONARY-5'!$A$2,I30='DICTIONARY-5'!$A$4,ISBLANK(I30)),VLOOKUP(H30,LIST!$A$6:$M$3250,CURR_2.SEARCH.OLD,0),VLOOKUP(I30,LIST!$B$6:$M$3250,CURR_2.SEARCH.NEW,0)),'DICTIONARY-5'!$A$2)</f>
        <v/>
      </c>
    </row>
    <row r="31" spans="1:11" x14ac:dyDescent="0.25">
      <c r="A31" s="187">
        <v>500</v>
      </c>
      <c r="B31" s="187">
        <v>10</v>
      </c>
      <c r="C31" s="187">
        <v>127</v>
      </c>
      <c r="D31" s="187" t="s">
        <v>1651</v>
      </c>
      <c r="E31" s="317" t="s">
        <v>3973</v>
      </c>
      <c r="F31" s="339" t="str">
        <f>IFERROR(IF(OR(E31='DICTIONARY-5'!$A$2,E31='DICTIONARY-5'!$A$4,ISBLANK(E31)),VLOOKUP(D31,LIST!$A$6:$L$3250,CURR_1.SEARCH.OLD,0),VLOOKUP(E31,LIST!$B$6:$L$3250,CURR_1.SEARCH.NEW,0)),'DICTIONARY-5'!$A$2)</f>
        <v>3 327,-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187" t="s">
        <v>1652</v>
      </c>
      <c r="I31" s="317" t="s">
        <v>3949</v>
      </c>
      <c r="J31" s="339" t="str">
        <f>IFERROR(IF(OR(I31='DICTIONARY-5'!$A$2,I31='DICTIONARY-5'!$A$4,ISBLANK(I31)),VLOOKUP(H31,LIST!$A$6:$L$3250,CURR_1.SEARCH.OLD,0),VLOOKUP(I31,LIST!$B$6:$L$3250,CURR_1.SEARCH.NEW,0)),'DICTIONARY-5'!$A$2)</f>
        <v>4 627,-</v>
      </c>
      <c r="K31" s="339" t="str">
        <f>IFERROR(IF(OR(I31='DICTIONARY-5'!$A$2,I31='DICTIONARY-5'!$A$4,ISBLANK(I31)),VLOOKUP(H31,LIST!$A$6:$M$3250,CURR_2.SEARCH.OLD,0),VLOOKUP(I31,LIST!$B$6:$M$3250,CURR_2.SEARCH.NEW,0)),'DICTIONARY-5'!$A$2)</f>
        <v/>
      </c>
    </row>
    <row r="32" spans="1:11" x14ac:dyDescent="0.25">
      <c r="A32" s="187">
        <v>500</v>
      </c>
      <c r="B32" s="187" t="s">
        <v>436</v>
      </c>
      <c r="C32" s="187">
        <v>127</v>
      </c>
      <c r="D32" s="187" t="s">
        <v>1653</v>
      </c>
      <c r="E32" s="317" t="s">
        <v>3925</v>
      </c>
      <c r="F32" s="339" t="str">
        <f>IFERROR(IF(OR(E32='DICTIONARY-5'!$A$2,E32='DICTIONARY-5'!$A$4,ISBLANK(E32)),VLOOKUP(D32,LIST!$A$6:$L$3250,CURR_1.SEARCH.OLD,0),VLOOKUP(E32,LIST!$B$6:$L$3250,CURR_1.SEARCH.NEW,0)),'DICTIONARY-5'!$A$2)</f>
        <v>3 653,-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H32" s="187" t="s">
        <v>1654</v>
      </c>
      <c r="I32" s="317" t="s">
        <v>3869</v>
      </c>
      <c r="J32" s="339" t="str">
        <f>IFERROR(IF(OR(I32='DICTIONARY-5'!$A$2,I32='DICTIONARY-5'!$A$4,ISBLANK(I32)),VLOOKUP(H32,LIST!$A$6:$L$3250,CURR_1.SEARCH.OLD,0),VLOOKUP(I32,LIST!$B$6:$L$3250,CURR_1.SEARCH.NEW,0)),'DICTIONARY-5'!$A$2)</f>
        <v>5 841,-</v>
      </c>
      <c r="K32" s="339" t="str">
        <f>IFERROR(IF(OR(I32='DICTIONARY-5'!$A$2,I32='DICTIONARY-5'!$A$4,ISBLANK(I32)),VLOOKUP(H32,LIST!$A$6:$M$3250,CURR_2.SEARCH.OLD,0),VLOOKUP(I32,LIST!$B$6:$M$3250,CURR_2.SEARCH.NEW,0)),'DICTIONARY-5'!$A$2)</f>
        <v/>
      </c>
    </row>
    <row r="33" spans="1:11" x14ac:dyDescent="0.25">
      <c r="A33" s="187">
        <v>600</v>
      </c>
      <c r="B33" s="187">
        <v>10</v>
      </c>
      <c r="C33" s="187">
        <v>154</v>
      </c>
      <c r="D33" s="187" t="s">
        <v>1655</v>
      </c>
      <c r="E33" s="317" t="s">
        <v>3975</v>
      </c>
      <c r="F33" s="339" t="str">
        <f>IFERROR(IF(OR(E33='DICTIONARY-5'!$A$2,E33='DICTIONARY-5'!$A$4,ISBLANK(E33)),VLOOKUP(D33,LIST!$A$6:$L$3250,CURR_1.SEARCH.OLD,0),VLOOKUP(E33,LIST!$B$6:$L$3250,CURR_1.SEARCH.NEW,0)),'DICTIONARY-5'!$A$2)</f>
        <v>4 886,-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H33" s="187" t="s">
        <v>1656</v>
      </c>
      <c r="I33" s="317" t="s">
        <v>3951</v>
      </c>
      <c r="J33" s="339" t="str">
        <f>IFERROR(IF(OR(I33='DICTIONARY-5'!$A$2,I33='DICTIONARY-5'!$A$4,ISBLANK(I33)),VLOOKUP(H33,LIST!$A$6:$L$3250,CURR_1.SEARCH.OLD,0),VLOOKUP(I33,LIST!$B$6:$L$3250,CURR_1.SEARCH.NEW,0)),'DICTIONARY-5'!$A$2)</f>
        <v>6 997,-</v>
      </c>
      <c r="K33" s="339" t="str">
        <f>IFERROR(IF(OR(I33='DICTIONARY-5'!$A$2,I33='DICTIONARY-5'!$A$4,ISBLANK(I33)),VLOOKUP(H33,LIST!$A$6:$M$3250,CURR_2.SEARCH.OLD,0),VLOOKUP(I33,LIST!$B$6:$M$3250,CURR_2.SEARCH.NEW,0)),'DICTIONARY-5'!$A$2)</f>
        <v/>
      </c>
    </row>
    <row r="34" spans="1:11" x14ac:dyDescent="0.25">
      <c r="A34" s="187">
        <v>600</v>
      </c>
      <c r="B34" s="187" t="s">
        <v>436</v>
      </c>
      <c r="C34" s="187">
        <v>154</v>
      </c>
      <c r="D34" s="187" t="s">
        <v>1657</v>
      </c>
      <c r="E34" s="317" t="s">
        <v>3927</v>
      </c>
      <c r="F34" s="339" t="str">
        <f>IFERROR(IF(OR(E34='DICTIONARY-5'!$A$2,E34='DICTIONARY-5'!$A$4,ISBLANK(E34)),VLOOKUP(D34,LIST!$A$6:$L$3250,CURR_1.SEARCH.OLD,0),VLOOKUP(E34,LIST!$B$6:$L$3250,CURR_1.SEARCH.NEW,0)),'DICTIONARY-5'!$A$2)</f>
        <v>4 774,-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H34" s="187" t="s">
        <v>1658</v>
      </c>
      <c r="I34" s="317" t="s">
        <v>3871</v>
      </c>
      <c r="J34" s="339" t="str">
        <f>IFERROR(IF(OR(I34='DICTIONARY-5'!$A$2,I34='DICTIONARY-5'!$A$4,ISBLANK(I34)),VLOOKUP(H34,LIST!$A$6:$L$3250,CURR_1.SEARCH.OLD,0),VLOOKUP(I34,LIST!$B$6:$L$3250,CURR_1.SEARCH.NEW,0)),'DICTIONARY-5'!$A$2)</f>
        <v>7 239,-</v>
      </c>
      <c r="K34" s="339" t="str">
        <f>IFERROR(IF(OR(I34='DICTIONARY-5'!$A$2,I34='DICTIONARY-5'!$A$4,ISBLANK(I34)),VLOOKUP(H34,LIST!$A$6:$M$3250,CURR_2.SEARCH.OLD,0),VLOOKUP(I34,LIST!$B$6:$M$3250,CURR_2.SEARCH.NEW,0)),'DICTIONARY-5'!$A$2)</f>
        <v/>
      </c>
    </row>
    <row r="35" spans="1:11" x14ac:dyDescent="0.25">
      <c r="A35" s="189"/>
    </row>
    <row r="36" spans="1:11" x14ac:dyDescent="0.25">
      <c r="A36" s="552" t="str">
        <f>"1) "&amp;'DICTIONARY-5'!$A$92&amp;": max. 1,0 MPa / 10 bar, "&amp;LOWER('DICTIONARY-5'!$A$3)&amp;" 1,6 MPa / 16 bar"</f>
        <v>1) Ciśnienie robocze: max. 1,0 MPa / 10 bar, na zapytanie:  1,6 MPa / 16 bar</v>
      </c>
    </row>
    <row r="37" spans="1:11" x14ac:dyDescent="0.25">
      <c r="A37" s="146"/>
    </row>
    <row r="39" spans="1:11" x14ac:dyDescent="0.25">
      <c r="A39" s="183" t="str">
        <f>'DICTIONARY-2'!$A$2</f>
        <v>DN</v>
      </c>
      <c r="B39" s="183" t="str">
        <f>'DICTIONARY-2'!$A$3</f>
        <v>PN</v>
      </c>
      <c r="C39" s="183" t="str">
        <f>'DICTIONARY-2'!$A$24</f>
        <v>L</v>
      </c>
      <c r="D39" s="1020" t="str">
        <f>'DICTIONARY-3'!$A$148</f>
        <v>CEREX 300-L</v>
      </c>
      <c r="E39" s="1020"/>
      <c r="F39" s="1020"/>
      <c r="G39" s="1020"/>
      <c r="H39" s="1020" t="str">
        <f>'DICTIONARY-3'!$A$148</f>
        <v>CEREX 300-L</v>
      </c>
      <c r="I39" s="1020"/>
      <c r="J39" s="1020"/>
      <c r="K39" s="1020"/>
    </row>
    <row r="40" spans="1:11" x14ac:dyDescent="0.25">
      <c r="A40" s="184"/>
      <c r="B40" s="184"/>
      <c r="C40" s="184"/>
      <c r="D40" s="1019" t="str">
        <f>'DICTIONARY-5'!$A$43&amp;": "&amp;'DICTIONARY-5'!$A$45&amp;", "&amp;'DICTIONARY-5'!$A$147&amp;": "&amp;'DICTIONARY-5'!$A$50</f>
        <v xml:space="preserve">guma: NBR, dysk: żeliwo sferoidalne </v>
      </c>
      <c r="E40" s="1019"/>
      <c r="F40" s="1019"/>
      <c r="G40" s="1019"/>
      <c r="H40" s="1019" t="str">
        <f>'DICTIONARY-5'!$A$43&amp;": "&amp;'DICTIONARY-5'!$A$45&amp;", "&amp;'DICTIONARY-5'!$A$147&amp;": "&amp;'DICTIONARY-5'!$A$32</f>
        <v>guma: NBR, dysk: stal nierdzewna</v>
      </c>
      <c r="I40" s="1019"/>
      <c r="J40" s="1019"/>
      <c r="K40" s="1019"/>
    </row>
    <row r="41" spans="1:11" x14ac:dyDescent="0.25">
      <c r="A41" s="190"/>
      <c r="B41" s="190"/>
      <c r="C41" s="190" t="str">
        <f>'DICTIONARY-2'!$A$18</f>
        <v>[mm]</v>
      </c>
      <c r="D41" s="191" t="str">
        <f>'DICTIONARY-2'!$A$28</f>
        <v>stary nr zamówienia</v>
      </c>
      <c r="E41" s="191" t="str">
        <f>'DICTIONARY-2'!$A$29</f>
        <v>nowy nr zamówienia</v>
      </c>
      <c r="F41" s="186" t="str">
        <f>CURRENCY.CODE_1</f>
        <v>EUR</v>
      </c>
      <c r="G41" s="186" t="str">
        <f>CURRENCY.CODE_2</f>
        <v>---</v>
      </c>
      <c r="H41" s="191" t="str">
        <f>'DICTIONARY-2'!$A$28</f>
        <v>stary nr zamówienia</v>
      </c>
      <c r="I41" s="191" t="str">
        <f>'DICTIONARY-2'!$A$29</f>
        <v>nowy nr zamówienia</v>
      </c>
      <c r="J41" s="186" t="str">
        <f>CURRENCY.CODE_1</f>
        <v>EUR</v>
      </c>
      <c r="K41" s="186" t="str">
        <f>CURRENCY.CODE_2</f>
        <v>---</v>
      </c>
    </row>
    <row r="42" spans="1:11" x14ac:dyDescent="0.25">
      <c r="A42" s="187">
        <v>50</v>
      </c>
      <c r="B42" s="187" t="s">
        <v>1614</v>
      </c>
      <c r="C42" s="187">
        <v>43</v>
      </c>
      <c r="D42" s="187" t="s">
        <v>1659</v>
      </c>
      <c r="E42" s="317" t="s">
        <v>3876</v>
      </c>
      <c r="F42" s="339" t="str">
        <f>IFERROR(IF(OR(E42='DICTIONARY-5'!$A$2,E42='DICTIONARY-5'!$A$4,ISBLANK(E42)),VLOOKUP(D42,LIST!$A$6:$L$3250,CURR_1.SEARCH.OLD,0),VLOOKUP(E42,LIST!$B$6:$L$3250,CURR_1.SEARCH.NEW,0)),'DICTIONARY-5'!$A$2)</f>
        <v>259,-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  <c r="H42" s="187" t="s">
        <v>1660</v>
      </c>
      <c r="I42" s="317" t="s">
        <v>3820</v>
      </c>
      <c r="J42" s="339" t="str">
        <f>IFERROR(IF(OR(I42='DICTIONARY-5'!$A$2,I42='DICTIONARY-5'!$A$4,ISBLANK(I42)),VLOOKUP(H42,LIST!$A$6:$L$3250,CURR_1.SEARCH.OLD,0),VLOOKUP(I42,LIST!$B$6:$L$3250,CURR_1.SEARCH.NEW,0)),'DICTIONARY-5'!$A$2)</f>
        <v>258,-</v>
      </c>
      <c r="K42" s="339" t="str">
        <f>IFERROR(IF(OR(I42='DICTIONARY-5'!$A$2,I42='DICTIONARY-5'!$A$4,ISBLANK(I42)),VLOOKUP(H42,LIST!$A$6:$M$3250,CURR_2.SEARCH.OLD,0),VLOOKUP(I42,LIST!$B$6:$M$3250,CURR_2.SEARCH.NEW,0)),'DICTIONARY-5'!$A$2)</f>
        <v/>
      </c>
    </row>
    <row r="43" spans="1:11" x14ac:dyDescent="0.25">
      <c r="A43" s="187">
        <v>65</v>
      </c>
      <c r="B43" s="187" t="s">
        <v>1614</v>
      </c>
      <c r="C43" s="187">
        <v>46</v>
      </c>
      <c r="D43" s="187" t="s">
        <v>1661</v>
      </c>
      <c r="E43" s="317" t="s">
        <v>3882</v>
      </c>
      <c r="F43" s="339" t="str">
        <f>IFERROR(IF(OR(E43='DICTIONARY-5'!$A$2,E43='DICTIONARY-5'!$A$4,ISBLANK(E43)),VLOOKUP(D43,LIST!$A$6:$L$3250,CURR_1.SEARCH.OLD,0),VLOOKUP(E43,LIST!$B$6:$L$3250,CURR_1.SEARCH.NEW,0)),'DICTIONARY-5'!$A$2)</f>
        <v>269,-</v>
      </c>
      <c r="G43" s="339" t="str">
        <f>IFERROR(IF(OR(E43='DICTIONARY-5'!$A$2,E43='DICTIONARY-5'!$A$4,ISBLANK(E43)),VLOOKUP(D43,LIST!$A$6:$M$3250,CURR_2.SEARCH.OLD,0),VLOOKUP(E43,LIST!$B$6:$M$3250,CURR_2.SEARCH.NEW,0)),'DICTIONARY-5'!$A$2)</f>
        <v/>
      </c>
      <c r="H43" s="187" t="s">
        <v>1662</v>
      </c>
      <c r="I43" s="317" t="s">
        <v>3826</v>
      </c>
      <c r="J43" s="339" t="str">
        <f>IFERROR(IF(OR(I43='DICTIONARY-5'!$A$2,I43='DICTIONARY-5'!$A$4,ISBLANK(I43)),VLOOKUP(H43,LIST!$A$6:$L$3250,CURR_1.SEARCH.OLD,0),VLOOKUP(I43,LIST!$B$6:$L$3250,CURR_1.SEARCH.NEW,0)),'DICTIONARY-5'!$A$2)</f>
        <v>271,-</v>
      </c>
      <c r="K43" s="339" t="str">
        <f>IFERROR(IF(OR(I43='DICTIONARY-5'!$A$2,I43='DICTIONARY-5'!$A$4,ISBLANK(I43)),VLOOKUP(H43,LIST!$A$6:$M$3250,CURR_2.SEARCH.OLD,0),VLOOKUP(I43,LIST!$B$6:$M$3250,CURR_2.SEARCH.NEW,0)),'DICTIONARY-5'!$A$2)</f>
        <v/>
      </c>
    </row>
    <row r="44" spans="1:11" x14ac:dyDescent="0.25">
      <c r="A44" s="187">
        <v>80</v>
      </c>
      <c r="B44" s="187" t="s">
        <v>1614</v>
      </c>
      <c r="C44" s="187">
        <v>46</v>
      </c>
      <c r="D44" s="187" t="s">
        <v>1663</v>
      </c>
      <c r="E44" s="317" t="s">
        <v>3888</v>
      </c>
      <c r="F44" s="339" t="str">
        <f>IFERROR(IF(OR(E44='DICTIONARY-5'!$A$2,E44='DICTIONARY-5'!$A$4,ISBLANK(E44)),VLOOKUP(D44,LIST!$A$6:$L$3250,CURR_1.SEARCH.OLD,0),VLOOKUP(E44,LIST!$B$6:$L$3250,CURR_1.SEARCH.NEW,0)),'DICTIONARY-5'!$A$2)</f>
        <v>300,-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  <c r="H44" s="187" t="s">
        <v>1664</v>
      </c>
      <c r="I44" s="317" t="s">
        <v>3832</v>
      </c>
      <c r="J44" s="339" t="str">
        <f>IFERROR(IF(OR(I44='DICTIONARY-5'!$A$2,I44='DICTIONARY-5'!$A$4,ISBLANK(I44)),VLOOKUP(H44,LIST!$A$6:$L$3250,CURR_1.SEARCH.OLD,0),VLOOKUP(I44,LIST!$B$6:$L$3250,CURR_1.SEARCH.NEW,0)),'DICTIONARY-5'!$A$2)</f>
        <v>305,-</v>
      </c>
      <c r="K44" s="339" t="str">
        <f>IFERROR(IF(OR(I44='DICTIONARY-5'!$A$2,I44='DICTIONARY-5'!$A$4,ISBLANK(I44)),VLOOKUP(H44,LIST!$A$6:$M$3250,CURR_2.SEARCH.OLD,0),VLOOKUP(I44,LIST!$B$6:$M$3250,CURR_2.SEARCH.NEW,0)),'DICTIONARY-5'!$A$2)</f>
        <v/>
      </c>
    </row>
    <row r="45" spans="1:11" x14ac:dyDescent="0.25">
      <c r="A45" s="187">
        <v>100</v>
      </c>
      <c r="B45" s="187" t="s">
        <v>1614</v>
      </c>
      <c r="C45" s="187">
        <v>52</v>
      </c>
      <c r="D45" s="187" t="s">
        <v>1665</v>
      </c>
      <c r="E45" s="317" t="s">
        <v>3894</v>
      </c>
      <c r="F45" s="339" t="str">
        <f>IFERROR(IF(OR(E45='DICTIONARY-5'!$A$2,E45='DICTIONARY-5'!$A$4,ISBLANK(E45)),VLOOKUP(D45,LIST!$A$6:$L$3250,CURR_1.SEARCH.OLD,0),VLOOKUP(E45,LIST!$B$6:$L$3250,CURR_1.SEARCH.NEW,0)),'DICTIONARY-5'!$A$2)</f>
        <v>335,-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  <c r="H45" s="187" t="s">
        <v>1666</v>
      </c>
      <c r="I45" s="317" t="s">
        <v>3838</v>
      </c>
      <c r="J45" s="339" t="str">
        <f>IFERROR(IF(OR(I45='DICTIONARY-5'!$A$2,I45='DICTIONARY-5'!$A$4,ISBLANK(I45)),VLOOKUP(H45,LIST!$A$6:$L$3250,CURR_1.SEARCH.OLD,0),VLOOKUP(I45,LIST!$B$6:$L$3250,CURR_1.SEARCH.NEW,0)),'DICTIONARY-5'!$A$2)</f>
        <v>341,-</v>
      </c>
      <c r="K45" s="339" t="str">
        <f>IFERROR(IF(OR(I45='DICTIONARY-5'!$A$2,I45='DICTIONARY-5'!$A$4,ISBLANK(I45)),VLOOKUP(H45,LIST!$A$6:$M$3250,CURR_2.SEARCH.OLD,0),VLOOKUP(I45,LIST!$B$6:$M$3250,CURR_2.SEARCH.NEW,0)),'DICTIONARY-5'!$A$2)</f>
        <v/>
      </c>
    </row>
    <row r="46" spans="1:11" x14ac:dyDescent="0.25">
      <c r="A46" s="187">
        <v>125</v>
      </c>
      <c r="B46" s="187" t="s">
        <v>1614</v>
      </c>
      <c r="C46" s="187">
        <v>56</v>
      </c>
      <c r="D46" s="187" t="s">
        <v>1667</v>
      </c>
      <c r="E46" s="317" t="s">
        <v>3900</v>
      </c>
      <c r="F46" s="339" t="str">
        <f>IFERROR(IF(OR(E46='DICTIONARY-5'!$A$2,E46='DICTIONARY-5'!$A$4,ISBLANK(E46)),VLOOKUP(D46,LIST!$A$6:$L$3250,CURR_1.SEARCH.OLD,0),VLOOKUP(E46,LIST!$B$6:$L$3250,CURR_1.SEARCH.NEW,0)),'DICTIONARY-5'!$A$2)</f>
        <v>367,-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  <c r="H46" s="187" t="s">
        <v>1668</v>
      </c>
      <c r="I46" s="317" t="s">
        <v>3844</v>
      </c>
      <c r="J46" s="339" t="str">
        <f>IFERROR(IF(OR(I46='DICTIONARY-5'!$A$2,I46='DICTIONARY-5'!$A$4,ISBLANK(I46)),VLOOKUP(H46,LIST!$A$6:$L$3250,CURR_1.SEARCH.OLD,0),VLOOKUP(I46,LIST!$B$6:$L$3250,CURR_1.SEARCH.NEW,0)),'DICTIONARY-5'!$A$2)</f>
        <v>382,-</v>
      </c>
      <c r="K46" s="339" t="str">
        <f>IFERROR(IF(OR(I46='DICTIONARY-5'!$A$2,I46='DICTIONARY-5'!$A$4,ISBLANK(I46)),VLOOKUP(H46,LIST!$A$6:$M$3250,CURR_2.SEARCH.OLD,0),VLOOKUP(I46,LIST!$B$6:$M$3250,CURR_2.SEARCH.NEW,0)),'DICTIONARY-5'!$A$2)</f>
        <v/>
      </c>
    </row>
    <row r="47" spans="1:11" x14ac:dyDescent="0.25">
      <c r="A47" s="187">
        <v>150</v>
      </c>
      <c r="B47" s="187" t="s">
        <v>1614</v>
      </c>
      <c r="C47" s="187">
        <v>56</v>
      </c>
      <c r="D47" s="187" t="s">
        <v>1669</v>
      </c>
      <c r="E47" s="317" t="s">
        <v>3906</v>
      </c>
      <c r="F47" s="339" t="str">
        <f>IFERROR(IF(OR(E47='DICTIONARY-5'!$A$2,E47='DICTIONARY-5'!$A$4,ISBLANK(E47)),VLOOKUP(D47,LIST!$A$6:$L$3250,CURR_1.SEARCH.OLD,0),VLOOKUP(E47,LIST!$B$6:$L$3250,CURR_1.SEARCH.NEW,0)),'DICTIONARY-5'!$A$2)</f>
        <v>475,-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187" t="s">
        <v>1670</v>
      </c>
      <c r="I47" s="317" t="s">
        <v>3850</v>
      </c>
      <c r="J47" s="339" t="str">
        <f>IFERROR(IF(OR(I47='DICTIONARY-5'!$A$2,I47='DICTIONARY-5'!$A$4,ISBLANK(I47)),VLOOKUP(H47,LIST!$A$6:$L$3250,CURR_1.SEARCH.OLD,0),VLOOKUP(I47,LIST!$B$6:$L$3250,CURR_1.SEARCH.NEW,0)),'DICTIONARY-5'!$A$2)</f>
        <v>513,-</v>
      </c>
      <c r="K47" s="339" t="str">
        <f>IFERROR(IF(OR(I47='DICTIONARY-5'!$A$2,I47='DICTIONARY-5'!$A$4,ISBLANK(I47)),VLOOKUP(H47,LIST!$A$6:$M$3250,CURR_2.SEARCH.OLD,0),VLOOKUP(I47,LIST!$B$6:$M$3250,CURR_2.SEARCH.NEW,0)),'DICTIONARY-5'!$A$2)</f>
        <v/>
      </c>
    </row>
    <row r="48" spans="1:11" x14ac:dyDescent="0.25">
      <c r="A48" s="187">
        <v>200</v>
      </c>
      <c r="B48" s="187">
        <v>10</v>
      </c>
      <c r="C48" s="187">
        <v>60</v>
      </c>
      <c r="D48" s="187" t="s">
        <v>1671</v>
      </c>
      <c r="E48" s="317" t="s">
        <v>3956</v>
      </c>
      <c r="F48" s="339" t="str">
        <f>IFERROR(IF(OR(E48='DICTIONARY-5'!$A$2,E48='DICTIONARY-5'!$A$4,ISBLANK(E48)),VLOOKUP(D48,LIST!$A$6:$L$3250,CURR_1.SEARCH.OLD,0),VLOOKUP(E48,LIST!$B$6:$L$3250,CURR_1.SEARCH.NEW,0)),'DICTIONARY-5'!$A$2)</f>
        <v>621,-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187" t="s">
        <v>1672</v>
      </c>
      <c r="I48" s="317" t="s">
        <v>3932</v>
      </c>
      <c r="J48" s="339" t="str">
        <f>IFERROR(IF(OR(I48='DICTIONARY-5'!$A$2,I48='DICTIONARY-5'!$A$4,ISBLANK(I48)),VLOOKUP(H48,LIST!$A$6:$L$3250,CURR_1.SEARCH.OLD,0),VLOOKUP(I48,LIST!$B$6:$L$3250,CURR_1.SEARCH.NEW,0)),'DICTIONARY-5'!$A$2)</f>
        <v>677,-</v>
      </c>
      <c r="K48" s="339" t="str">
        <f>IFERROR(IF(OR(I48='DICTIONARY-5'!$A$2,I48='DICTIONARY-5'!$A$4,ISBLANK(I48)),VLOOKUP(H48,LIST!$A$6:$M$3250,CURR_2.SEARCH.OLD,0),VLOOKUP(I48,LIST!$B$6:$M$3250,CURR_2.SEARCH.NEW,0)),'DICTIONARY-5'!$A$2)</f>
        <v/>
      </c>
    </row>
    <row r="49" spans="1:11" x14ac:dyDescent="0.25">
      <c r="A49" s="187">
        <v>200</v>
      </c>
      <c r="B49" s="187">
        <v>16</v>
      </c>
      <c r="C49" s="187">
        <v>60</v>
      </c>
      <c r="D49" s="187" t="s">
        <v>1673</v>
      </c>
      <c r="E49" s="317" t="s">
        <v>3912</v>
      </c>
      <c r="F49" s="339" t="str">
        <f>IFERROR(IF(OR(E49='DICTIONARY-5'!$A$2,E49='DICTIONARY-5'!$A$4,ISBLANK(E49)),VLOOKUP(D49,LIST!$A$6:$L$3250,CURR_1.SEARCH.OLD,0),VLOOKUP(E49,LIST!$B$6:$L$3250,CURR_1.SEARCH.NEW,0)),'DICTIONARY-5'!$A$2)</f>
        <v>671,-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  <c r="H49" s="187" t="s">
        <v>1674</v>
      </c>
      <c r="I49" s="317" t="s">
        <v>3856</v>
      </c>
      <c r="J49" s="339" t="str">
        <f>IFERROR(IF(OR(I49='DICTIONARY-5'!$A$2,I49='DICTIONARY-5'!$A$4,ISBLANK(I49)),VLOOKUP(H49,LIST!$A$6:$L$3250,CURR_1.SEARCH.OLD,0),VLOOKUP(I49,LIST!$B$6:$L$3250,CURR_1.SEARCH.NEW,0)),'DICTIONARY-5'!$A$2)</f>
        <v>727,-</v>
      </c>
      <c r="K49" s="339" t="str">
        <f>IFERROR(IF(OR(I49='DICTIONARY-5'!$A$2,I49='DICTIONARY-5'!$A$4,ISBLANK(I49)),VLOOKUP(H49,LIST!$A$6:$M$3250,CURR_2.SEARCH.OLD,0),VLOOKUP(I49,LIST!$B$6:$M$3250,CURR_2.SEARCH.NEW,0)),'DICTIONARY-5'!$A$2)</f>
        <v/>
      </c>
    </row>
    <row r="50" spans="1:11" x14ac:dyDescent="0.25">
      <c r="A50" s="187">
        <v>250</v>
      </c>
      <c r="B50" s="187">
        <v>10</v>
      </c>
      <c r="C50" s="187">
        <v>68</v>
      </c>
      <c r="D50" s="187" t="s">
        <v>1675</v>
      </c>
      <c r="E50" s="317" t="s">
        <v>3960</v>
      </c>
      <c r="F50" s="339" t="str">
        <f>IFERROR(IF(OR(E50='DICTIONARY-5'!$A$2,E50='DICTIONARY-5'!$A$4,ISBLANK(E50)),VLOOKUP(D50,LIST!$A$6:$L$3250,CURR_1.SEARCH.OLD,0),VLOOKUP(E50,LIST!$B$6:$L$3250,CURR_1.SEARCH.NEW,0)),'DICTIONARY-5'!$A$2)</f>
        <v>699,-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  <c r="H50" s="187" t="s">
        <v>1676</v>
      </c>
      <c r="I50" s="317" t="s">
        <v>3936</v>
      </c>
      <c r="J50" s="339" t="str">
        <f>IFERROR(IF(OR(I50='DICTIONARY-5'!$A$2,I50='DICTIONARY-5'!$A$4,ISBLANK(I50)),VLOOKUP(H50,LIST!$A$6:$L$3250,CURR_1.SEARCH.OLD,0),VLOOKUP(I50,LIST!$B$6:$L$3250,CURR_1.SEARCH.NEW,0)),'DICTIONARY-5'!$A$2)</f>
        <v>852,-</v>
      </c>
      <c r="K50" s="339" t="str">
        <f>IFERROR(IF(OR(I50='DICTIONARY-5'!$A$2,I50='DICTIONARY-5'!$A$4,ISBLANK(I50)),VLOOKUP(H50,LIST!$A$6:$M$3250,CURR_2.SEARCH.OLD,0),VLOOKUP(I50,LIST!$B$6:$M$3250,CURR_2.SEARCH.NEW,0)),'DICTIONARY-5'!$A$2)</f>
        <v/>
      </c>
    </row>
    <row r="51" spans="1:11" x14ac:dyDescent="0.25">
      <c r="A51" s="187">
        <v>250</v>
      </c>
      <c r="B51" s="187">
        <v>16</v>
      </c>
      <c r="C51" s="187">
        <v>68</v>
      </c>
      <c r="D51" s="187" t="s">
        <v>1677</v>
      </c>
      <c r="E51" s="317" t="s">
        <v>3916</v>
      </c>
      <c r="F51" s="339" t="str">
        <f>IFERROR(IF(OR(E51='DICTIONARY-5'!$A$2,E51='DICTIONARY-5'!$A$4,ISBLANK(E51)),VLOOKUP(D51,LIST!$A$6:$L$3250,CURR_1.SEARCH.OLD,0),VLOOKUP(E51,LIST!$B$6:$L$3250,CURR_1.SEARCH.NEW,0)),'DICTIONARY-5'!$A$2)</f>
        <v>712,-</v>
      </c>
      <c r="G51" s="339" t="str">
        <f>IFERROR(IF(OR(E51='DICTIONARY-5'!$A$2,E51='DICTIONARY-5'!$A$4,ISBLANK(E51)),VLOOKUP(D51,LIST!$A$6:$M$3250,CURR_2.SEARCH.OLD,0),VLOOKUP(E51,LIST!$B$6:$M$3250,CURR_2.SEARCH.NEW,0)),'DICTIONARY-5'!$A$2)</f>
        <v/>
      </c>
      <c r="H51" s="187" t="s">
        <v>1678</v>
      </c>
      <c r="I51" s="317" t="s">
        <v>3860</v>
      </c>
      <c r="J51" s="339" t="str">
        <f>IFERROR(IF(OR(I51='DICTIONARY-5'!$A$2,I51='DICTIONARY-5'!$A$4,ISBLANK(I51)),VLOOKUP(H51,LIST!$A$6:$L$3250,CURR_1.SEARCH.OLD,0),VLOOKUP(I51,LIST!$B$6:$L$3250,CURR_1.SEARCH.NEW,0)),'DICTIONARY-5'!$A$2)</f>
        <v>862,-</v>
      </c>
      <c r="K51" s="339" t="str">
        <f>IFERROR(IF(OR(I51='DICTIONARY-5'!$A$2,I51='DICTIONARY-5'!$A$4,ISBLANK(I51)),VLOOKUP(H51,LIST!$A$6:$M$3250,CURR_2.SEARCH.OLD,0),VLOOKUP(I51,LIST!$B$6:$M$3250,CURR_2.SEARCH.NEW,0)),'DICTIONARY-5'!$A$2)</f>
        <v/>
      </c>
    </row>
    <row r="52" spans="1:11" x14ac:dyDescent="0.25">
      <c r="A52" s="187">
        <v>300</v>
      </c>
      <c r="B52" s="187">
        <v>10</v>
      </c>
      <c r="C52" s="187">
        <v>78</v>
      </c>
      <c r="D52" s="187" t="s">
        <v>1679</v>
      </c>
      <c r="E52" s="317" t="s">
        <v>3964</v>
      </c>
      <c r="F52" s="339" t="str">
        <f>IFERROR(IF(OR(E52='DICTIONARY-5'!$A$2,E52='DICTIONARY-5'!$A$4,ISBLANK(E52)),VLOOKUP(D52,LIST!$A$6:$L$3250,CURR_1.SEARCH.OLD,0),VLOOKUP(E52,LIST!$B$6:$L$3250,CURR_1.SEARCH.NEW,0)),'DICTIONARY-5'!$A$2)</f>
        <v>947,-</v>
      </c>
      <c r="G52" s="339" t="str">
        <f>IFERROR(IF(OR(E52='DICTIONARY-5'!$A$2,E52='DICTIONARY-5'!$A$4,ISBLANK(E52)),VLOOKUP(D52,LIST!$A$6:$M$3250,CURR_2.SEARCH.OLD,0),VLOOKUP(E52,LIST!$B$6:$M$3250,CURR_2.SEARCH.NEW,0)),'DICTIONARY-5'!$A$2)</f>
        <v/>
      </c>
      <c r="H52" s="187" t="s">
        <v>1680</v>
      </c>
      <c r="I52" s="317" t="s">
        <v>3940</v>
      </c>
      <c r="J52" s="339" t="str">
        <f>IFERROR(IF(OR(I52='DICTIONARY-5'!$A$2,I52='DICTIONARY-5'!$A$4,ISBLANK(I52)),VLOOKUP(H52,LIST!$A$6:$L$3250,CURR_1.SEARCH.OLD,0),VLOOKUP(I52,LIST!$B$6:$L$3250,CURR_1.SEARCH.NEW,0)),'DICTIONARY-5'!$A$2)</f>
        <v>1 172,-</v>
      </c>
      <c r="K52" s="339" t="str">
        <f>IFERROR(IF(OR(I52='DICTIONARY-5'!$A$2,I52='DICTIONARY-5'!$A$4,ISBLANK(I52)),VLOOKUP(H52,LIST!$A$6:$M$3250,CURR_2.SEARCH.OLD,0),VLOOKUP(I52,LIST!$B$6:$M$3250,CURR_2.SEARCH.NEW,0)),'DICTIONARY-5'!$A$2)</f>
        <v/>
      </c>
    </row>
    <row r="53" spans="1:11" x14ac:dyDescent="0.25">
      <c r="A53" s="187">
        <v>300</v>
      </c>
      <c r="B53" s="187">
        <v>16</v>
      </c>
      <c r="C53" s="187">
        <v>78</v>
      </c>
      <c r="D53" s="187" t="s">
        <v>1681</v>
      </c>
      <c r="E53" s="317" t="s">
        <v>3918</v>
      </c>
      <c r="F53" s="339" t="str">
        <f>IFERROR(IF(OR(E53='DICTIONARY-5'!$A$2,E53='DICTIONARY-5'!$A$4,ISBLANK(E53)),VLOOKUP(D53,LIST!$A$6:$L$3250,CURR_1.SEARCH.OLD,0),VLOOKUP(E53,LIST!$B$6:$L$3250,CURR_1.SEARCH.NEW,0)),'DICTIONARY-5'!$A$2)</f>
        <v>953,-</v>
      </c>
      <c r="G53" s="339" t="str">
        <f>IFERROR(IF(OR(E53='DICTIONARY-5'!$A$2,E53='DICTIONARY-5'!$A$4,ISBLANK(E53)),VLOOKUP(D53,LIST!$A$6:$M$3250,CURR_2.SEARCH.OLD,0),VLOOKUP(E53,LIST!$B$6:$M$3250,CURR_2.SEARCH.NEW,0)),'DICTIONARY-5'!$A$2)</f>
        <v/>
      </c>
      <c r="H53" s="187" t="s">
        <v>1682</v>
      </c>
      <c r="I53" s="317" t="s">
        <v>3862</v>
      </c>
      <c r="J53" s="339" t="str">
        <f>IFERROR(IF(OR(I53='DICTIONARY-5'!$A$2,I53='DICTIONARY-5'!$A$4,ISBLANK(I53)),VLOOKUP(H53,LIST!$A$6:$L$3250,CURR_1.SEARCH.OLD,0),VLOOKUP(I53,LIST!$B$6:$L$3250,CURR_1.SEARCH.NEW,0)),'DICTIONARY-5'!$A$2)</f>
        <v>1 178,-</v>
      </c>
      <c r="K53" s="339" t="str">
        <f>IFERROR(IF(OR(I53='DICTIONARY-5'!$A$2,I53='DICTIONARY-5'!$A$4,ISBLANK(I53)),VLOOKUP(H53,LIST!$A$6:$M$3250,CURR_2.SEARCH.OLD,0),VLOOKUP(I53,LIST!$B$6:$M$3250,CURR_2.SEARCH.NEW,0)),'DICTIONARY-5'!$A$2)</f>
        <v/>
      </c>
    </row>
    <row r="54" spans="1:11" x14ac:dyDescent="0.25">
      <c r="A54" s="187">
        <v>350</v>
      </c>
      <c r="B54" s="187">
        <v>10</v>
      </c>
      <c r="C54" s="187">
        <v>78</v>
      </c>
      <c r="D54" s="187" t="s">
        <v>1683</v>
      </c>
      <c r="E54" s="317" t="s">
        <v>3968</v>
      </c>
      <c r="F54" s="339" t="str">
        <f>IFERROR(IF(OR(E54='DICTIONARY-5'!$A$2,E54='DICTIONARY-5'!$A$4,ISBLANK(E54)),VLOOKUP(D54,LIST!$A$6:$L$3250,CURR_1.SEARCH.OLD,0),VLOOKUP(E54,LIST!$B$6:$L$3250,CURR_1.SEARCH.NEW,0)),'DICTIONARY-5'!$A$2)</f>
        <v>1 274,-</v>
      </c>
      <c r="G54" s="339" t="str">
        <f>IFERROR(IF(OR(E54='DICTIONARY-5'!$A$2,E54='DICTIONARY-5'!$A$4,ISBLANK(E54)),VLOOKUP(D54,LIST!$A$6:$M$3250,CURR_2.SEARCH.OLD,0),VLOOKUP(E54,LIST!$B$6:$M$3250,CURR_2.SEARCH.NEW,0)),'DICTIONARY-5'!$A$2)</f>
        <v/>
      </c>
      <c r="H54" s="187" t="s">
        <v>1684</v>
      </c>
      <c r="I54" s="317" t="s">
        <v>3944</v>
      </c>
      <c r="J54" s="339" t="str">
        <f>IFERROR(IF(OR(I54='DICTIONARY-5'!$A$2,I54='DICTIONARY-5'!$A$4,ISBLANK(I54)),VLOOKUP(H54,LIST!$A$6:$L$3250,CURR_1.SEARCH.OLD,0),VLOOKUP(I54,LIST!$B$6:$L$3250,CURR_1.SEARCH.NEW,0)),'DICTIONARY-5'!$A$2)</f>
        <v>1 631,-</v>
      </c>
      <c r="K54" s="339" t="str">
        <f>IFERROR(IF(OR(I54='DICTIONARY-5'!$A$2,I54='DICTIONARY-5'!$A$4,ISBLANK(I54)),VLOOKUP(H54,LIST!$A$6:$M$3250,CURR_2.SEARCH.OLD,0),VLOOKUP(I54,LIST!$B$6:$M$3250,CURR_2.SEARCH.NEW,0)),'DICTIONARY-5'!$A$2)</f>
        <v/>
      </c>
    </row>
    <row r="55" spans="1:11" x14ac:dyDescent="0.25">
      <c r="A55" s="187">
        <v>350</v>
      </c>
      <c r="B55" s="187">
        <v>16</v>
      </c>
      <c r="C55" s="187">
        <v>78</v>
      </c>
      <c r="D55" s="187" t="s">
        <v>1685</v>
      </c>
      <c r="E55" s="317" t="s">
        <v>3920</v>
      </c>
      <c r="F55" s="339" t="str">
        <f>IFERROR(IF(OR(E55='DICTIONARY-5'!$A$2,E55='DICTIONARY-5'!$A$4,ISBLANK(E55)),VLOOKUP(D55,LIST!$A$6:$L$3250,CURR_1.SEARCH.OLD,0),VLOOKUP(E55,LIST!$B$6:$L$3250,CURR_1.SEARCH.NEW,0)),'DICTIONARY-5'!$A$2)</f>
        <v>1 301,-</v>
      </c>
      <c r="G55" s="339" t="str">
        <f>IFERROR(IF(OR(E55='DICTIONARY-5'!$A$2,E55='DICTIONARY-5'!$A$4,ISBLANK(E55)),VLOOKUP(D55,LIST!$A$6:$M$3250,CURR_2.SEARCH.OLD,0),VLOOKUP(E55,LIST!$B$6:$M$3250,CURR_2.SEARCH.NEW,0)),'DICTIONARY-5'!$A$2)</f>
        <v/>
      </c>
      <c r="H55" s="187" t="s">
        <v>1686</v>
      </c>
      <c r="I55" s="317" t="s">
        <v>3864</v>
      </c>
      <c r="J55" s="339" t="str">
        <f>IFERROR(IF(OR(I55='DICTIONARY-5'!$A$2,I55='DICTIONARY-5'!$A$4,ISBLANK(I55)),VLOOKUP(H55,LIST!$A$6:$L$3250,CURR_1.SEARCH.OLD,0),VLOOKUP(I55,LIST!$B$6:$L$3250,CURR_1.SEARCH.NEW,0)),'DICTIONARY-5'!$A$2)</f>
        <v>1 658,-</v>
      </c>
      <c r="K55" s="339" t="str">
        <f>IFERROR(IF(OR(I55='DICTIONARY-5'!$A$2,I55='DICTIONARY-5'!$A$4,ISBLANK(I55)),VLOOKUP(H55,LIST!$A$6:$M$3250,CURR_2.SEARCH.OLD,0),VLOOKUP(I55,LIST!$B$6:$M$3250,CURR_2.SEARCH.NEW,0)),'DICTIONARY-5'!$A$2)</f>
        <v/>
      </c>
    </row>
    <row r="56" spans="1:11" x14ac:dyDescent="0.25">
      <c r="A56" s="187">
        <v>400</v>
      </c>
      <c r="B56" s="187">
        <v>10</v>
      </c>
      <c r="C56" s="187">
        <v>102</v>
      </c>
      <c r="D56" s="187" t="s">
        <v>1687</v>
      </c>
      <c r="E56" s="317" t="s">
        <v>3970</v>
      </c>
      <c r="F56" s="339" t="str">
        <f>IFERROR(IF(OR(E56='DICTIONARY-5'!$A$2,E56='DICTIONARY-5'!$A$4,ISBLANK(E56)),VLOOKUP(D56,LIST!$A$6:$L$3250,CURR_1.SEARCH.OLD,0),VLOOKUP(E56,LIST!$B$6:$L$3250,CURR_1.SEARCH.NEW,0)),'DICTIONARY-5'!$A$2)</f>
        <v>1 655,-</v>
      </c>
      <c r="G56" s="339" t="str">
        <f>IFERROR(IF(OR(E56='DICTIONARY-5'!$A$2,E56='DICTIONARY-5'!$A$4,ISBLANK(E56)),VLOOKUP(D56,LIST!$A$6:$M$3250,CURR_2.SEARCH.OLD,0),VLOOKUP(E56,LIST!$B$6:$M$3250,CURR_2.SEARCH.NEW,0)),'DICTIONARY-5'!$A$2)</f>
        <v/>
      </c>
      <c r="H56" s="187" t="s">
        <v>1688</v>
      </c>
      <c r="I56" s="317" t="s">
        <v>3946</v>
      </c>
      <c r="J56" s="339" t="str">
        <f>IFERROR(IF(OR(I56='DICTIONARY-5'!$A$2,I56='DICTIONARY-5'!$A$4,ISBLANK(I56)),VLOOKUP(H56,LIST!$A$6:$L$3250,CURR_1.SEARCH.OLD,0),VLOOKUP(I56,LIST!$B$6:$L$3250,CURR_1.SEARCH.NEW,0)),'DICTIONARY-5'!$A$2)</f>
        <v>2 196,-</v>
      </c>
      <c r="K56" s="339" t="str">
        <f>IFERROR(IF(OR(I56='DICTIONARY-5'!$A$2,I56='DICTIONARY-5'!$A$4,ISBLANK(I56)),VLOOKUP(H56,LIST!$A$6:$M$3250,CURR_2.SEARCH.OLD,0),VLOOKUP(I56,LIST!$B$6:$M$3250,CURR_2.SEARCH.NEW,0)),'DICTIONARY-5'!$A$2)</f>
        <v/>
      </c>
    </row>
    <row r="57" spans="1:11" x14ac:dyDescent="0.25">
      <c r="A57" s="187">
        <v>400</v>
      </c>
      <c r="B57" s="187">
        <v>16</v>
      </c>
      <c r="C57" s="187">
        <v>102</v>
      </c>
      <c r="D57" s="187" t="s">
        <v>1689</v>
      </c>
      <c r="E57" s="317" t="s">
        <v>3922</v>
      </c>
      <c r="F57" s="339" t="str">
        <f>IFERROR(IF(OR(E57='DICTIONARY-5'!$A$2,E57='DICTIONARY-5'!$A$4,ISBLANK(E57)),VLOOKUP(D57,LIST!$A$6:$L$3250,CURR_1.SEARCH.OLD,0),VLOOKUP(E57,LIST!$B$6:$L$3250,CURR_1.SEARCH.NEW,0)),'DICTIONARY-5'!$A$2)</f>
        <v>1 676,-</v>
      </c>
      <c r="G57" s="339" t="str">
        <f>IFERROR(IF(OR(E57='DICTIONARY-5'!$A$2,E57='DICTIONARY-5'!$A$4,ISBLANK(E57)),VLOOKUP(D57,LIST!$A$6:$M$3250,CURR_2.SEARCH.OLD,0),VLOOKUP(E57,LIST!$B$6:$M$3250,CURR_2.SEARCH.NEW,0)),'DICTIONARY-5'!$A$2)</f>
        <v/>
      </c>
      <c r="H57" s="187" t="s">
        <v>1690</v>
      </c>
      <c r="I57" s="317" t="s">
        <v>3866</v>
      </c>
      <c r="J57" s="339" t="str">
        <f>IFERROR(IF(OR(I57='DICTIONARY-5'!$A$2,I57='DICTIONARY-5'!$A$4,ISBLANK(I57)),VLOOKUP(H57,LIST!$A$6:$L$3250,CURR_1.SEARCH.OLD,0),VLOOKUP(I57,LIST!$B$6:$L$3250,CURR_1.SEARCH.NEW,0)),'DICTIONARY-5'!$A$2)</f>
        <v>2 234,-</v>
      </c>
      <c r="K57" s="339" t="str">
        <f>IFERROR(IF(OR(I57='DICTIONARY-5'!$A$2,I57='DICTIONARY-5'!$A$4,ISBLANK(I57)),VLOOKUP(H57,LIST!$A$6:$M$3250,CURR_2.SEARCH.OLD,0),VLOOKUP(I57,LIST!$B$6:$M$3250,CURR_2.SEARCH.NEW,0)),'DICTIONARY-5'!$A$2)</f>
        <v/>
      </c>
    </row>
    <row r="58" spans="1:11" x14ac:dyDescent="0.25">
      <c r="A58" s="187">
        <v>450</v>
      </c>
      <c r="B58" s="187">
        <v>10</v>
      </c>
      <c r="C58" s="187">
        <v>114</v>
      </c>
      <c r="D58" s="187" t="s">
        <v>1691</v>
      </c>
      <c r="E58" s="317" t="s">
        <v>3972</v>
      </c>
      <c r="F58" s="339" t="str">
        <f>IFERROR(IF(OR(E58='DICTIONARY-5'!$A$2,E58='DICTIONARY-5'!$A$4,ISBLANK(E58)),VLOOKUP(D58,LIST!$A$6:$L$3250,CURR_1.SEARCH.OLD,0),VLOOKUP(E58,LIST!$B$6:$L$3250,CURR_1.SEARCH.NEW,0)),'DICTIONARY-5'!$A$2)</f>
        <v>2 543,-</v>
      </c>
      <c r="G58" s="339" t="str">
        <f>IFERROR(IF(OR(E58='DICTIONARY-5'!$A$2,E58='DICTIONARY-5'!$A$4,ISBLANK(E58)),VLOOKUP(D58,LIST!$A$6:$M$3250,CURR_2.SEARCH.OLD,0),VLOOKUP(E58,LIST!$B$6:$M$3250,CURR_2.SEARCH.NEW,0)),'DICTIONARY-5'!$A$2)</f>
        <v/>
      </c>
      <c r="H58" s="187" t="s">
        <v>1692</v>
      </c>
      <c r="I58" s="317" t="s">
        <v>3948</v>
      </c>
      <c r="J58" s="339" t="str">
        <f>IFERROR(IF(OR(I58='DICTIONARY-5'!$A$2,I58='DICTIONARY-5'!$A$4,ISBLANK(I58)),VLOOKUP(H58,LIST!$A$6:$L$3250,CURR_1.SEARCH.OLD,0),VLOOKUP(I58,LIST!$B$6:$L$3250,CURR_1.SEARCH.NEW,0)),'DICTIONARY-5'!$A$2)</f>
        <v>3 341,-</v>
      </c>
      <c r="K58" s="339" t="str">
        <f>IFERROR(IF(OR(I58='DICTIONARY-5'!$A$2,I58='DICTIONARY-5'!$A$4,ISBLANK(I58)),VLOOKUP(H58,LIST!$A$6:$M$3250,CURR_2.SEARCH.OLD,0),VLOOKUP(I58,LIST!$B$6:$M$3250,CURR_2.SEARCH.NEW,0)),'DICTIONARY-5'!$A$2)</f>
        <v/>
      </c>
    </row>
    <row r="59" spans="1:11" x14ac:dyDescent="0.25">
      <c r="A59" s="187">
        <v>450</v>
      </c>
      <c r="B59" s="187" t="s">
        <v>436</v>
      </c>
      <c r="C59" s="187">
        <v>114</v>
      </c>
      <c r="D59" s="187" t="s">
        <v>1693</v>
      </c>
      <c r="E59" s="317" t="s">
        <v>3924</v>
      </c>
      <c r="F59" s="339" t="str">
        <f>IFERROR(IF(OR(E59='DICTIONARY-5'!$A$2,E59='DICTIONARY-5'!$A$4,ISBLANK(E59)),VLOOKUP(D59,LIST!$A$6:$L$3250,CURR_1.SEARCH.OLD,0),VLOOKUP(E59,LIST!$B$6:$L$3250,CURR_1.SEARCH.NEW,0)),'DICTIONARY-5'!$A$2)</f>
        <v>2 688,-</v>
      </c>
      <c r="G59" s="339" t="str">
        <f>IFERROR(IF(OR(E59='DICTIONARY-5'!$A$2,E59='DICTIONARY-5'!$A$4,ISBLANK(E59)),VLOOKUP(D59,LIST!$A$6:$M$3250,CURR_2.SEARCH.OLD,0),VLOOKUP(E59,LIST!$B$6:$M$3250,CURR_2.SEARCH.NEW,0)),'DICTIONARY-5'!$A$2)</f>
        <v/>
      </c>
      <c r="H59" s="187" t="s">
        <v>1694</v>
      </c>
      <c r="I59" s="317" t="s">
        <v>3868</v>
      </c>
      <c r="J59" s="339" t="str">
        <f>IFERROR(IF(OR(I59='DICTIONARY-5'!$A$2,I59='DICTIONARY-5'!$A$4,ISBLANK(I59)),VLOOKUP(H59,LIST!$A$6:$L$3250,CURR_1.SEARCH.OLD,0),VLOOKUP(I59,LIST!$B$6:$L$3250,CURR_1.SEARCH.NEW,0)),'DICTIONARY-5'!$A$2)</f>
        <v>3 723,-</v>
      </c>
      <c r="K59" s="339" t="str">
        <f>IFERROR(IF(OR(I59='DICTIONARY-5'!$A$2,I59='DICTIONARY-5'!$A$4,ISBLANK(I59)),VLOOKUP(H59,LIST!$A$6:$M$3250,CURR_2.SEARCH.OLD,0),VLOOKUP(I59,LIST!$B$6:$M$3250,CURR_2.SEARCH.NEW,0)),'DICTIONARY-5'!$A$2)</f>
        <v/>
      </c>
    </row>
    <row r="60" spans="1:11" x14ac:dyDescent="0.25">
      <c r="A60" s="187">
        <v>500</v>
      </c>
      <c r="B60" s="187">
        <v>10</v>
      </c>
      <c r="C60" s="187">
        <v>127</v>
      </c>
      <c r="D60" s="187" t="s">
        <v>1695</v>
      </c>
      <c r="E60" s="317" t="s">
        <v>3974</v>
      </c>
      <c r="F60" s="339" t="str">
        <f>IFERROR(IF(OR(E60='DICTIONARY-5'!$A$2,E60='DICTIONARY-5'!$A$4,ISBLANK(E60)),VLOOKUP(D60,LIST!$A$6:$L$3250,CURR_1.SEARCH.OLD,0),VLOOKUP(E60,LIST!$B$6:$L$3250,CURR_1.SEARCH.NEW,0)),'DICTIONARY-5'!$A$2)</f>
        <v>3 394,-</v>
      </c>
      <c r="G60" s="339" t="str">
        <f>IFERROR(IF(OR(E60='DICTIONARY-5'!$A$2,E60='DICTIONARY-5'!$A$4,ISBLANK(E60)),VLOOKUP(D60,LIST!$A$6:$M$3250,CURR_2.SEARCH.OLD,0),VLOOKUP(E60,LIST!$B$6:$M$3250,CURR_2.SEARCH.NEW,0)),'DICTIONARY-5'!$A$2)</f>
        <v/>
      </c>
      <c r="H60" s="187" t="s">
        <v>1696</v>
      </c>
      <c r="I60" s="317" t="s">
        <v>3950</v>
      </c>
      <c r="J60" s="339" t="str">
        <f>IFERROR(IF(OR(I60='DICTIONARY-5'!$A$2,I60='DICTIONARY-5'!$A$4,ISBLANK(I60)),VLOOKUP(H60,LIST!$A$6:$L$3250,CURR_1.SEARCH.OLD,0),VLOOKUP(I60,LIST!$B$6:$L$3250,CURR_1.SEARCH.NEW,0)),'DICTIONARY-5'!$A$2)</f>
        <v>4 693,-</v>
      </c>
      <c r="K60" s="339" t="str">
        <f>IFERROR(IF(OR(I60='DICTIONARY-5'!$A$2,I60='DICTIONARY-5'!$A$4,ISBLANK(I60)),VLOOKUP(H60,LIST!$A$6:$M$3250,CURR_2.SEARCH.OLD,0),VLOOKUP(I60,LIST!$B$6:$M$3250,CURR_2.SEARCH.NEW,0)),'DICTIONARY-5'!$A$2)</f>
        <v/>
      </c>
    </row>
    <row r="61" spans="1:11" x14ac:dyDescent="0.25">
      <c r="A61" s="187">
        <v>500</v>
      </c>
      <c r="B61" s="187" t="s">
        <v>436</v>
      </c>
      <c r="C61" s="187">
        <v>127</v>
      </c>
      <c r="D61" s="187" t="s">
        <v>1697</v>
      </c>
      <c r="E61" s="317" t="s">
        <v>3926</v>
      </c>
      <c r="F61" s="339" t="str">
        <f>IFERROR(IF(OR(E61='DICTIONARY-5'!$A$2,E61='DICTIONARY-5'!$A$4,ISBLANK(E61)),VLOOKUP(D61,LIST!$A$6:$L$3250,CURR_1.SEARCH.OLD,0),VLOOKUP(E61,LIST!$B$6:$L$3250,CURR_1.SEARCH.NEW,0)),'DICTIONARY-5'!$A$2)</f>
        <v>3 720,-</v>
      </c>
      <c r="G61" s="339" t="str">
        <f>IFERROR(IF(OR(E61='DICTIONARY-5'!$A$2,E61='DICTIONARY-5'!$A$4,ISBLANK(E61)),VLOOKUP(D61,LIST!$A$6:$M$3250,CURR_2.SEARCH.OLD,0),VLOOKUP(E61,LIST!$B$6:$M$3250,CURR_2.SEARCH.NEW,0)),'DICTIONARY-5'!$A$2)</f>
        <v/>
      </c>
      <c r="H61" s="187" t="s">
        <v>1698</v>
      </c>
      <c r="I61" s="317" t="s">
        <v>3870</v>
      </c>
      <c r="J61" s="339" t="str">
        <f>IFERROR(IF(OR(I61='DICTIONARY-5'!$A$2,I61='DICTIONARY-5'!$A$4,ISBLANK(I61)),VLOOKUP(H61,LIST!$A$6:$L$3250,CURR_1.SEARCH.OLD,0),VLOOKUP(I61,LIST!$B$6:$L$3250,CURR_1.SEARCH.NEW,0)),'DICTIONARY-5'!$A$2)</f>
        <v>5 908,-</v>
      </c>
      <c r="K61" s="339" t="str">
        <f>IFERROR(IF(OR(I61='DICTIONARY-5'!$A$2,I61='DICTIONARY-5'!$A$4,ISBLANK(I61)),VLOOKUP(H61,LIST!$A$6:$M$3250,CURR_2.SEARCH.OLD,0),VLOOKUP(I61,LIST!$B$6:$M$3250,CURR_2.SEARCH.NEW,0)),'DICTIONARY-5'!$A$2)</f>
        <v/>
      </c>
    </row>
    <row r="62" spans="1:11" x14ac:dyDescent="0.25">
      <c r="A62" s="187">
        <v>600</v>
      </c>
      <c r="B62" s="187">
        <v>10</v>
      </c>
      <c r="C62" s="187">
        <v>154</v>
      </c>
      <c r="D62" s="187" t="s">
        <v>1699</v>
      </c>
      <c r="E62" s="317" t="s">
        <v>3976</v>
      </c>
      <c r="F62" s="339" t="str">
        <f>IFERROR(IF(OR(E62='DICTIONARY-5'!$A$2,E62='DICTIONARY-5'!$A$4,ISBLANK(E62)),VLOOKUP(D62,LIST!$A$6:$L$3250,CURR_1.SEARCH.OLD,0),VLOOKUP(E62,LIST!$B$6:$L$3250,CURR_1.SEARCH.NEW,0)),'DICTIONARY-5'!$A$2)</f>
        <v>4 885,-</v>
      </c>
      <c r="G62" s="339" t="str">
        <f>IFERROR(IF(OR(E62='DICTIONARY-5'!$A$2,E62='DICTIONARY-5'!$A$4,ISBLANK(E62)),VLOOKUP(D62,LIST!$A$6:$M$3250,CURR_2.SEARCH.OLD,0),VLOOKUP(E62,LIST!$B$6:$M$3250,CURR_2.SEARCH.NEW,0)),'DICTIONARY-5'!$A$2)</f>
        <v/>
      </c>
      <c r="H62" s="187" t="s">
        <v>1700</v>
      </c>
      <c r="I62" s="317" t="s">
        <v>3952</v>
      </c>
      <c r="J62" s="339" t="str">
        <f>IFERROR(IF(OR(I62='DICTIONARY-5'!$A$2,I62='DICTIONARY-5'!$A$4,ISBLANK(I62)),VLOOKUP(H62,LIST!$A$6:$L$3250,CURR_1.SEARCH.OLD,0),VLOOKUP(I62,LIST!$B$6:$L$3250,CURR_1.SEARCH.NEW,0)),'DICTIONARY-5'!$A$2)</f>
        <v>6 996,-</v>
      </c>
      <c r="K62" s="339" t="str">
        <f>IFERROR(IF(OR(I62='DICTIONARY-5'!$A$2,I62='DICTIONARY-5'!$A$4,ISBLANK(I62)),VLOOKUP(H62,LIST!$A$6:$M$3250,CURR_2.SEARCH.OLD,0),VLOOKUP(I62,LIST!$B$6:$M$3250,CURR_2.SEARCH.NEW,0)),'DICTIONARY-5'!$A$2)</f>
        <v/>
      </c>
    </row>
    <row r="63" spans="1:11" x14ac:dyDescent="0.25">
      <c r="A63" s="187">
        <v>600</v>
      </c>
      <c r="B63" s="187" t="s">
        <v>436</v>
      </c>
      <c r="C63" s="187">
        <v>154</v>
      </c>
      <c r="D63" s="187" t="s">
        <v>1701</v>
      </c>
      <c r="E63" s="317" t="s">
        <v>3928</v>
      </c>
      <c r="F63" s="339" t="str">
        <f>IFERROR(IF(OR(E63='DICTIONARY-5'!$A$2,E63='DICTIONARY-5'!$A$4,ISBLANK(E63)),VLOOKUP(D63,LIST!$A$6:$L$3250,CURR_1.SEARCH.OLD,0),VLOOKUP(E63,LIST!$B$6:$L$3250,CURR_1.SEARCH.NEW,0)),'DICTIONARY-5'!$A$2)</f>
        <v>4 774,-</v>
      </c>
      <c r="G63" s="339" t="str">
        <f>IFERROR(IF(OR(E63='DICTIONARY-5'!$A$2,E63='DICTIONARY-5'!$A$4,ISBLANK(E63)),VLOOKUP(D63,LIST!$A$6:$M$3250,CURR_2.SEARCH.OLD,0),VLOOKUP(E63,LIST!$B$6:$M$3250,CURR_2.SEARCH.NEW,0)),'DICTIONARY-5'!$A$2)</f>
        <v/>
      </c>
      <c r="H63" s="187" t="s">
        <v>1702</v>
      </c>
      <c r="I63" s="317" t="s">
        <v>3872</v>
      </c>
      <c r="J63" s="339" t="str">
        <f>IFERROR(IF(OR(I63='DICTIONARY-5'!$A$2,I63='DICTIONARY-5'!$A$4,ISBLANK(I63)),VLOOKUP(H63,LIST!$A$6:$L$3250,CURR_1.SEARCH.OLD,0),VLOOKUP(I63,LIST!$B$6:$L$3250,CURR_1.SEARCH.NEW,0)),'DICTIONARY-5'!$A$2)</f>
        <v>7 237,-</v>
      </c>
      <c r="K63" s="339" t="str">
        <f>IFERROR(IF(OR(I63='DICTIONARY-5'!$A$2,I63='DICTIONARY-5'!$A$4,ISBLANK(I63)),VLOOKUP(H63,LIST!$A$6:$M$3250,CURR_2.SEARCH.OLD,0),VLOOKUP(I63,LIST!$B$6:$M$3250,CURR_2.SEARCH.NEW,0)),'DICTIONARY-5'!$A$2)</f>
        <v/>
      </c>
    </row>
    <row r="65" spans="1:1" x14ac:dyDescent="0.25">
      <c r="A65" s="552" t="str">
        <f>"1) "&amp;'DICTIONARY-5'!$A$92&amp;": max. 1,0 MPa / 10 bar, "&amp;LOWER('DICTIONARY-5'!$A$3)&amp;" 1,6 MPa / 16 bar"</f>
        <v>1) Ciśnienie robocze: max. 1,0 MPa / 10 bar, na zapytanie:  1,6 MPa / 16 bar</v>
      </c>
    </row>
  </sheetData>
  <sheetProtection algorithmName="SHA-512" hashValue="QBdR/CPhl6qiVQM/StnAEH8pLAAvRwcCFzpUUrHX8PG12HqRgrzMeSgjMq0OGsPl8VVktohKfGeNkdxDGIxa9Q==" saltValue="JAUYHs/c99J0SsSIAQNB3A==" spinCount="100000" sheet="1" objects="1" scenarios="1" autoFilter="0"/>
  <mergeCells count="9">
    <mergeCell ref="B4:E4"/>
    <mergeCell ref="D40:G40"/>
    <mergeCell ref="H40:K40"/>
    <mergeCell ref="D10:G10"/>
    <mergeCell ref="H10:K10"/>
    <mergeCell ref="D39:G39"/>
    <mergeCell ref="H39:K39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>
    <tabColor theme="1"/>
  </sheetPr>
  <dimension ref="A1:I93"/>
  <sheetViews>
    <sheetView workbookViewId="0"/>
  </sheetViews>
  <sheetFormatPr defaultRowHeight="15" x14ac:dyDescent="0.25"/>
  <cols>
    <col min="1" max="1" width="34" style="508" customWidth="1"/>
    <col min="2" max="2" width="42.85546875" style="690" customWidth="1"/>
    <col min="3" max="5" width="42.85546875" style="586" customWidth="1"/>
    <col min="6" max="6" width="5.42578125" style="581" customWidth="1"/>
    <col min="7" max="7" width="23.7109375" style="582" customWidth="1"/>
    <col min="8" max="9" width="5" style="795" customWidth="1"/>
  </cols>
  <sheetData>
    <row r="1" spans="1:9" s="504" customFormat="1" ht="15.75" thickBot="1" x14ac:dyDescent="0.3">
      <c r="A1" s="505" t="s">
        <v>5879</v>
      </c>
      <c r="B1" s="691" t="s">
        <v>5880</v>
      </c>
      <c r="C1" s="602" t="s">
        <v>7398</v>
      </c>
      <c r="D1" s="602" t="s">
        <v>5881</v>
      </c>
      <c r="E1" s="602" t="s">
        <v>5882</v>
      </c>
      <c r="F1" s="580" t="s">
        <v>57</v>
      </c>
      <c r="G1" s="580" t="s">
        <v>6728</v>
      </c>
      <c r="H1" s="580" t="s">
        <v>7854</v>
      </c>
      <c r="I1" s="580" t="s">
        <v>8153</v>
      </c>
    </row>
    <row r="2" spans="1:9" x14ac:dyDescent="0.25">
      <c r="A2" s="508" t="str">
        <f>IF(CHOOSE(SET.LANGUAGE,'DICTIONARY-7'!B2,'DICTIONARY-7'!C2,'DICTIONARY-7'!D2,'DICTIONARY-7'!E2,'DICTIONARY-7'!F2)=0,("??? "&amp;"DICTIONARY-4/"&amp;"LINE"&amp;(ROW(A2))),CHOOSE(SET.LANGUAGE,'DICTIONARY-7'!B2,'DICTIONARY-7'!C2,'DICTIONARY-7'!D2,'DICTIONARY-7'!E2,'DICTIONARY-7'!F2))</f>
        <v xml:space="preserve">BETA HA, BETA-ZZ, BETA-Z (cast iron) </v>
      </c>
      <c r="B2" s="690" t="s">
        <v>8236</v>
      </c>
      <c r="C2" s="586" t="s">
        <v>8236</v>
      </c>
      <c r="D2" s="586" t="s">
        <v>8247</v>
      </c>
      <c r="E2" s="586" t="s">
        <v>8247</v>
      </c>
      <c r="F2" s="581" t="str">
        <f>CONCATENATE(ROW(B2),"❻",B2)</f>
        <v>2❻BETA HA, BETA-ZZ, BETA-Z (litinové)</v>
      </c>
      <c r="G2" s="582" t="str">
        <f>"'DICTIONARY-6'!$A$"&amp;ROW(A2)</f>
        <v>'DICTIONARY-6'!$A$2</v>
      </c>
      <c r="H2" s="795" t="s">
        <v>7817</v>
      </c>
      <c r="I2" s="795" t="s">
        <v>8154</v>
      </c>
    </row>
    <row r="3" spans="1:9" x14ac:dyDescent="0.25">
      <c r="A3" s="508" t="str">
        <f>IF(CHOOSE(SET.LANGUAGE,'DICTIONARY-7'!B3,'DICTIONARY-7'!C3,'DICTIONARY-7'!D3,'DICTIONARY-7'!E3,'DICTIONARY-7'!F3)=0,("??? "&amp;"DICTIONARY-4/"&amp;"LINE"&amp;(ROW(A3))),CHOOSE(SET.LANGUAGE,'DICTIONARY-7'!B3,'DICTIONARY-7'!C3,'DICTIONARY-7'!D3,'DICTIONARY-7'!E3,'DICTIONARY-7'!F3))</f>
        <v xml:space="preserve">BETA-K, BETA-Z (brass) </v>
      </c>
      <c r="B3" s="690" t="s">
        <v>8237</v>
      </c>
      <c r="C3" s="586" t="s">
        <v>8237</v>
      </c>
      <c r="D3" s="586" t="s">
        <v>8248</v>
      </c>
      <c r="E3" s="586" t="s">
        <v>8248</v>
      </c>
      <c r="F3" s="581" t="str">
        <f>CONCATENATE(ROW(B3),"❻",B3)</f>
        <v>3❻BETA-K, BETA-Z (mosazné)</v>
      </c>
      <c r="G3" s="582" t="str">
        <f>"'DICTIONARY-6'!$A$"&amp;ROW(A3)</f>
        <v>'DICTIONARY-6'!$A$3</v>
      </c>
      <c r="H3" s="795" t="s">
        <v>8155</v>
      </c>
      <c r="I3" s="795" t="s">
        <v>8154</v>
      </c>
    </row>
    <row r="4" spans="1:9" x14ac:dyDescent="0.25">
      <c r="A4" s="508" t="str">
        <f>IF(CHOOSE(SET.LANGUAGE,'DICTIONARY-7'!B4,'DICTIONARY-7'!C4,'DICTIONARY-7'!D4,'DICTIONARY-7'!E4,'DICTIONARY-7'!F4)=0,("??? "&amp;"DICTIONARY-4/"&amp;"LINE"&amp;(ROW(A4))),CHOOSE(SET.LANGUAGE,'DICTIONARY-7'!B4,'DICTIONARY-7'!C4,'DICTIONARY-7'!D4,'DICTIONARY-7'!E4,'DICTIONARY-7'!F4))</f>
        <v>BETA 200 BAIO</v>
      </c>
      <c r="B4" s="690" t="s">
        <v>8092</v>
      </c>
      <c r="C4" s="586" t="s">
        <v>8092</v>
      </c>
      <c r="D4" s="586" t="s">
        <v>8092</v>
      </c>
      <c r="E4" s="586" t="s">
        <v>8092</v>
      </c>
      <c r="F4" s="581" t="str">
        <f>CONCATENATE(ROW(B4),"❻",B4)</f>
        <v>4❻BETA 200 BAIO</v>
      </c>
      <c r="G4" s="582" t="str">
        <f>"'DICTIONARY-6'!$A$"&amp;ROW(A4)</f>
        <v>'DICTIONARY-6'!$A$4</v>
      </c>
      <c r="H4" s="795" t="s">
        <v>7850</v>
      </c>
      <c r="I4" s="795" t="s">
        <v>8156</v>
      </c>
    </row>
    <row r="5" spans="1:9" x14ac:dyDescent="0.25">
      <c r="A5" s="508" t="str">
        <f>IF(CHOOSE(SET.LANGUAGE,'DICTIONARY-7'!B5,'DICTIONARY-7'!C5,'DICTIONARY-7'!D5,'DICTIONARY-7'!E5,'DICTIONARY-7'!F5)=0,("??? "&amp;"DICTIONARY-4/"&amp;"LINE"&amp;(ROW(A5))),CHOOSE(SET.LANGUAGE,'DICTIONARY-7'!B5,'DICTIONARY-7'!C5,'DICTIONARY-7'!D5,'DICTIONARY-7'!E5,'DICTIONARY-7'!F5))</f>
        <v>BETA 200</v>
      </c>
      <c r="B5" s="690" t="s">
        <v>3</v>
      </c>
      <c r="C5" s="586" t="s">
        <v>3</v>
      </c>
      <c r="D5" s="586" t="s">
        <v>3</v>
      </c>
      <c r="E5" s="586" t="s">
        <v>3</v>
      </c>
      <c r="F5" s="581" t="str">
        <f t="shared" ref="F5:F7" si="0">CONCATENATE(ROW(B5),"❻",B5)</f>
        <v>5❻BETA 200</v>
      </c>
      <c r="G5" s="582" t="str">
        <f t="shared" ref="G5:G7" si="1">"'DICTIONARY-6'!$A$"&amp;ROW(A5)</f>
        <v>'DICTIONARY-6'!$A$5</v>
      </c>
      <c r="H5" s="795" t="s">
        <v>7787</v>
      </c>
      <c r="I5" s="795" t="s">
        <v>8157</v>
      </c>
    </row>
    <row r="6" spans="1:9" x14ac:dyDescent="0.25">
      <c r="A6" s="508" t="str">
        <f>IF(CHOOSE(SET.LANGUAGE,'DICTIONARY-7'!B6,'DICTIONARY-7'!C6,'DICTIONARY-7'!D6,'DICTIONARY-7'!E6,'DICTIONARY-7'!F6)=0,("??? "&amp;"DICTIONARY-4/"&amp;"LINE"&amp;(ROW(A6))),CHOOSE(SET.LANGUAGE,'DICTIONARY-7'!B6,'DICTIONARY-7'!C6,'DICTIONARY-7'!D6,'DICTIONARY-7'!E6,'DICTIONARY-7'!F6))</f>
        <v>BETA 200 Exchange Valve</v>
      </c>
      <c r="B6" s="690" t="s">
        <v>6155</v>
      </c>
      <c r="C6" s="586" t="s">
        <v>6155</v>
      </c>
      <c r="D6" s="586" t="s">
        <v>8093</v>
      </c>
      <c r="E6" s="586" t="s">
        <v>8093</v>
      </c>
      <c r="F6" s="581" t="str">
        <f t="shared" si="0"/>
        <v>6❻BETA 200 TS</v>
      </c>
      <c r="G6" s="582" t="str">
        <f t="shared" si="1"/>
        <v>'DICTIONARY-6'!$A$6</v>
      </c>
      <c r="H6" s="795" t="s">
        <v>7788</v>
      </c>
      <c r="I6" s="795" t="s">
        <v>8157</v>
      </c>
    </row>
    <row r="7" spans="1:9" x14ac:dyDescent="0.25">
      <c r="A7" s="508" t="str">
        <f>IF(CHOOSE(SET.LANGUAGE,'DICTIONARY-7'!B7,'DICTIONARY-7'!C7,'DICTIONARY-7'!D7,'DICTIONARY-7'!E7,'DICTIONARY-7'!F7)=0,("??? "&amp;"DICTIONARY-4/"&amp;"LINE"&amp;(ROW(A7))),CHOOSE(SET.LANGUAGE,'DICTIONARY-7'!B7,'DICTIONARY-7'!C7,'DICTIONARY-7'!D7,'DICTIONARY-7'!E7,'DICTIONARY-7'!F7))</f>
        <v>EKOplus</v>
      </c>
      <c r="B7" s="690" t="s">
        <v>8238</v>
      </c>
      <c r="C7" s="586" t="s">
        <v>8238</v>
      </c>
      <c r="D7" s="586" t="s">
        <v>1</v>
      </c>
      <c r="E7" s="586" t="s">
        <v>1</v>
      </c>
      <c r="F7" s="581" t="str">
        <f t="shared" si="0"/>
        <v>7❻EKOplus voda</v>
      </c>
      <c r="G7" s="582" t="str">
        <f t="shared" si="1"/>
        <v>'DICTIONARY-6'!$A$7</v>
      </c>
      <c r="H7" s="795" t="s">
        <v>7789</v>
      </c>
      <c r="I7" s="795" t="s">
        <v>8158</v>
      </c>
    </row>
    <row r="8" spans="1:9" x14ac:dyDescent="0.25">
      <c r="A8" s="508" t="str">
        <f>IF(CHOOSE(SET.LANGUAGE,'DICTIONARY-7'!B8,'DICTIONARY-7'!C8,'DICTIONARY-7'!D8,'DICTIONARY-7'!E8,'DICTIONARY-7'!F8)=0,("??? "&amp;"DICTIONARY-4/"&amp;"LINE"&amp;(ROW(A8))),CHOOSE(SET.LANGUAGE,'DICTIONARY-7'!B8,'DICTIONARY-7'!C8,'DICTIONARY-7'!D8,'DICTIONARY-7'!E8,'DICTIONARY-7'!F8))</f>
        <v>EKOplus PE Water</v>
      </c>
      <c r="B8" s="690" t="s">
        <v>8239</v>
      </c>
      <c r="C8" s="586" t="s">
        <v>8239</v>
      </c>
      <c r="D8" s="586" t="s">
        <v>8094</v>
      </c>
      <c r="E8" s="586" t="s">
        <v>8094</v>
      </c>
      <c r="F8" s="581" t="str">
        <f>CONCATENATE(ROW(B8),"❻",B8)</f>
        <v>8❻EKOplus PE voda</v>
      </c>
      <c r="G8" s="582" t="str">
        <f>"'DICTIONARY-6'!$A$"&amp;ROW(A8)</f>
        <v>'DICTIONARY-6'!$A$8</v>
      </c>
      <c r="H8" s="795" t="s">
        <v>7791</v>
      </c>
      <c r="I8" s="795" t="s">
        <v>8158</v>
      </c>
    </row>
    <row r="9" spans="1:9" x14ac:dyDescent="0.25">
      <c r="A9" s="508" t="str">
        <f>IF(CHOOSE(SET.LANGUAGE,'DICTIONARY-7'!B9,'DICTIONARY-7'!C9,'DICTIONARY-7'!D9,'DICTIONARY-7'!E9,'DICTIONARY-7'!F9)=0,("??? "&amp;"DICTIONARY-4/"&amp;"LINE"&amp;(ROW(A9))),CHOOSE(SET.LANGUAGE,'DICTIONARY-7'!B9,'DICTIONARY-7'!C9,'DICTIONARY-7'!D9,'DICTIONARY-7'!E9,'DICTIONARY-7'!F9))</f>
        <v>EKOplus Gas</v>
      </c>
      <c r="B9" s="690" t="s">
        <v>8240</v>
      </c>
      <c r="C9" s="586" t="s">
        <v>8240</v>
      </c>
      <c r="D9" s="586" t="s">
        <v>8095</v>
      </c>
      <c r="E9" s="586" t="s">
        <v>8095</v>
      </c>
      <c r="F9" s="581" t="str">
        <f t="shared" ref="F9" si="2">CONCATENATE(ROW(B9),"❻",B9)</f>
        <v>9❻EKOplus plyn</v>
      </c>
      <c r="G9" s="582" t="str">
        <f t="shared" ref="G9" si="3">"'DICTIONARY-6'!$A$"&amp;ROW(A9)</f>
        <v>'DICTIONARY-6'!$A$9</v>
      </c>
      <c r="H9" s="795" t="s">
        <v>7852</v>
      </c>
      <c r="I9" s="795" t="s">
        <v>8159</v>
      </c>
    </row>
    <row r="10" spans="1:9" x14ac:dyDescent="0.25">
      <c r="A10" s="508" t="str">
        <f>IF(CHOOSE(SET.LANGUAGE,'DICTIONARY-7'!B10,'DICTIONARY-7'!C10,'DICTIONARY-7'!D10,'DICTIONARY-7'!E10,'DICTIONARY-7'!F10)=0,("??? "&amp;"DICTIONARY-4/"&amp;"LINE"&amp;(ROW(A10))),CHOOSE(SET.LANGUAGE,'DICTIONARY-7'!B10,'DICTIONARY-7'!C10,'DICTIONARY-7'!D10,'DICTIONARY-7'!E10,'DICTIONARY-7'!F10))</f>
        <v>EKOplus Sea Water</v>
      </c>
      <c r="B10" s="690" t="s">
        <v>8241</v>
      </c>
      <c r="C10" s="586" t="s">
        <v>8241</v>
      </c>
      <c r="D10" s="586" t="s">
        <v>8313</v>
      </c>
      <c r="E10" s="586" t="s">
        <v>8313</v>
      </c>
      <c r="F10" s="581" t="str">
        <f>CONCATENATE(ROW(B10),"❻",B10)</f>
        <v>10❻EKOplus mořská voda</v>
      </c>
      <c r="G10" s="582" t="str">
        <f>"'DICTIONARY-6'!$A$"&amp;ROW(A10)</f>
        <v>'DICTIONARY-6'!$A$10</v>
      </c>
      <c r="H10" s="795" t="s">
        <v>7793</v>
      </c>
      <c r="I10" s="795" t="s">
        <v>8159</v>
      </c>
    </row>
    <row r="11" spans="1:9" x14ac:dyDescent="0.25">
      <c r="A11" s="508" t="str">
        <f>IF(CHOOSE(SET.LANGUAGE,'DICTIONARY-7'!B11,'DICTIONARY-7'!C11,'DICTIONARY-7'!D11,'DICTIONARY-7'!E11,'DICTIONARY-7'!F11)=0,("??? "&amp;"DICTIONARY-4/"&amp;"LINE"&amp;(ROW(A11))),CHOOSE(SET.LANGUAGE,'DICTIONARY-7'!B11,'DICTIONARY-7'!C11,'DICTIONARY-7'!D11,'DICTIONARY-7'!E11,'DICTIONARY-7'!F11))</f>
        <v>EKOplus Waste Water</v>
      </c>
      <c r="B11" s="690" t="s">
        <v>8242</v>
      </c>
      <c r="C11" s="586" t="s">
        <v>8242</v>
      </c>
      <c r="D11" s="586" t="s">
        <v>8096</v>
      </c>
      <c r="E11" s="586" t="s">
        <v>8096</v>
      </c>
      <c r="F11" s="581" t="str">
        <f t="shared" ref="F11:F74" si="4">CONCATENATE(ROW(B11),"❻",B11)</f>
        <v>11❻EKOplus odpadní voda</v>
      </c>
      <c r="G11" s="582" t="str">
        <f t="shared" ref="G11:G74" si="5">"'DICTIONARY-6'!$A$"&amp;ROW(A11)</f>
        <v>'DICTIONARY-6'!$A$11</v>
      </c>
      <c r="H11" s="795" t="s">
        <v>7792</v>
      </c>
      <c r="I11" s="795" t="s">
        <v>8159</v>
      </c>
    </row>
    <row r="12" spans="1:9" x14ac:dyDescent="0.25">
      <c r="A12" s="508" t="str">
        <f>IF(CHOOSE(SET.LANGUAGE,'DICTIONARY-7'!B12,'DICTIONARY-7'!C12,'DICTIONARY-7'!D12,'DICTIONARY-7'!E12,'DICTIONARY-7'!F12)=0,("??? "&amp;"DICTIONARY-4/"&amp;"LINE"&amp;(ROW(A12))),CHOOSE(SET.LANGUAGE,'DICTIONARY-7'!B12,'DICTIONARY-7'!C12,'DICTIONARY-7'!D12,'DICTIONARY-7'!E12,'DICTIONARY-7'!F12))</f>
        <v>EKOplus (with Actuator)</v>
      </c>
      <c r="B12" s="690" t="s">
        <v>8133</v>
      </c>
      <c r="C12" s="586" t="s">
        <v>8133</v>
      </c>
      <c r="D12" s="586" t="s">
        <v>8097</v>
      </c>
      <c r="E12" s="586" t="s">
        <v>8097</v>
      </c>
      <c r="F12" s="581" t="str">
        <f t="shared" si="4"/>
        <v>12❻EKOplus s pohonem</v>
      </c>
      <c r="G12" s="582" t="str">
        <f t="shared" si="5"/>
        <v>'DICTIONARY-6'!$A$12</v>
      </c>
      <c r="H12" s="795" t="s">
        <v>7790</v>
      </c>
      <c r="I12" s="795" t="s">
        <v>8160</v>
      </c>
    </row>
    <row r="13" spans="1:9" x14ac:dyDescent="0.25">
      <c r="A13" s="508" t="str">
        <f>IF(CHOOSE(SET.LANGUAGE,'DICTIONARY-7'!B13,'DICTIONARY-7'!C13,'DICTIONARY-7'!D13,'DICTIONARY-7'!E13,'DICTIONARY-7'!F13)=0,("??? "&amp;"DICTIONARY-4/"&amp;"LINE"&amp;(ROW(A13))),CHOOSE(SET.LANGUAGE,'DICTIONARY-7'!B13,'DICTIONARY-7'!C13,'DICTIONARY-7'!D13,'DICTIONARY-7'!E13,'DICTIONARY-7'!F13))</f>
        <v>IKOplus</v>
      </c>
      <c r="B13" s="690" t="s">
        <v>2</v>
      </c>
      <c r="C13" s="586" t="s">
        <v>2</v>
      </c>
      <c r="D13" s="586" t="s">
        <v>2</v>
      </c>
      <c r="E13" s="586" t="s">
        <v>2</v>
      </c>
      <c r="F13" s="581" t="str">
        <f t="shared" si="4"/>
        <v>13❻IKOplus</v>
      </c>
      <c r="G13" s="582" t="str">
        <f t="shared" si="5"/>
        <v>'DICTIONARY-6'!$A$13</v>
      </c>
      <c r="H13" s="795" t="s">
        <v>7794</v>
      </c>
      <c r="I13" s="795" t="s">
        <v>8161</v>
      </c>
    </row>
    <row r="14" spans="1:9" x14ac:dyDescent="0.25">
      <c r="A14" s="508" t="str">
        <f>IF(CHOOSE(SET.LANGUAGE,'DICTIONARY-7'!B14,'DICTIONARY-7'!C14,'DICTIONARY-7'!D14,'DICTIONARY-7'!E14,'DICTIONARY-7'!F14)=0,("??? "&amp;"DICTIONARY-4/"&amp;"LINE"&amp;(ROW(A14))),CHOOSE(SET.LANGUAGE,'DICTIONARY-7'!B14,'DICTIONARY-7'!C14,'DICTIONARY-7'!D14,'DICTIONARY-7'!E14,'DICTIONARY-7'!F14))</f>
        <v>ERIplus</v>
      </c>
      <c r="B14" s="690" t="s">
        <v>9</v>
      </c>
      <c r="C14" s="586" t="s">
        <v>9</v>
      </c>
      <c r="D14" s="586" t="s">
        <v>9</v>
      </c>
      <c r="E14" s="586" t="s">
        <v>9</v>
      </c>
      <c r="F14" s="581" t="str">
        <f t="shared" si="4"/>
        <v>14❻ERIplus</v>
      </c>
      <c r="G14" s="582" t="str">
        <f t="shared" si="5"/>
        <v>'DICTIONARY-6'!$A$14</v>
      </c>
      <c r="H14" s="795" t="s">
        <v>7799</v>
      </c>
      <c r="I14" s="795" t="s">
        <v>8162</v>
      </c>
    </row>
    <row r="15" spans="1:9" x14ac:dyDescent="0.25">
      <c r="A15" s="508" t="str">
        <f>IF(CHOOSE(SET.LANGUAGE,'DICTIONARY-7'!B15,'DICTIONARY-7'!C15,'DICTIONARY-7'!D15,'DICTIONARY-7'!E15,'DICTIONARY-7'!F15)=0,("??? "&amp;"DICTIONARY-4/"&amp;"LINE"&amp;(ROW(A15))),CHOOSE(SET.LANGUAGE,'DICTIONARY-7'!B15,'DICTIONARY-7'!C15,'DICTIONARY-7'!D15,'DICTIONARY-7'!E15,'DICTIONARY-7'!F15))</f>
        <v>EROXplus</v>
      </c>
      <c r="B15" s="690" t="s">
        <v>8</v>
      </c>
      <c r="C15" s="586" t="s">
        <v>8</v>
      </c>
      <c r="D15" s="586" t="s">
        <v>8</v>
      </c>
      <c r="E15" s="586" t="s">
        <v>8</v>
      </c>
      <c r="F15" s="581" t="str">
        <f t="shared" si="4"/>
        <v>15❻EROXplus</v>
      </c>
      <c r="G15" s="582" t="str">
        <f t="shared" si="5"/>
        <v>'DICTIONARY-6'!$A$15</v>
      </c>
      <c r="H15" s="795" t="s">
        <v>7800</v>
      </c>
      <c r="I15" s="795" t="s">
        <v>8162</v>
      </c>
    </row>
    <row r="16" spans="1:9" x14ac:dyDescent="0.25">
      <c r="A16" s="508" t="str">
        <f>IF(CHOOSE(SET.LANGUAGE,'DICTIONARY-7'!B16,'DICTIONARY-7'!C16,'DICTIONARY-7'!D16,'DICTIONARY-7'!E16,'DICTIONARY-7'!F16)=0,("??? "&amp;"DICTIONARY-4/"&amp;"LINE"&amp;(ROW(A16))),CHOOSE(SET.LANGUAGE,'DICTIONARY-7'!B16,'DICTIONARY-7'!C16,'DICTIONARY-7'!D16,'DICTIONARY-7'!E16,'DICTIONARY-7'!F16))</f>
        <v>MONO</v>
      </c>
      <c r="B16" s="690" t="s">
        <v>6</v>
      </c>
      <c r="C16" s="586" t="s">
        <v>6</v>
      </c>
      <c r="D16" s="586" t="s">
        <v>6</v>
      </c>
      <c r="E16" s="586" t="s">
        <v>6</v>
      </c>
      <c r="F16" s="581" t="str">
        <f t="shared" si="4"/>
        <v>16❻MONO</v>
      </c>
      <c r="G16" s="582" t="str">
        <f t="shared" si="5"/>
        <v>'DICTIONARY-6'!$A$16</v>
      </c>
      <c r="H16" s="795" t="s">
        <v>7795</v>
      </c>
      <c r="I16" s="795" t="s">
        <v>8163</v>
      </c>
    </row>
    <row r="17" spans="1:9" x14ac:dyDescent="0.25">
      <c r="A17" s="508" t="str">
        <f>IF(CHOOSE(SET.LANGUAGE,'DICTIONARY-7'!B17,'DICTIONARY-7'!C17,'DICTIONARY-7'!D17,'DICTIONARY-7'!E17,'DICTIONARY-7'!F17)=0,("??? "&amp;"DICTIONARY-4/"&amp;"LINE"&amp;(ROW(A17))),CHOOSE(SET.LANGUAGE,'DICTIONARY-7'!B17,'DICTIONARY-7'!C17,'DICTIONARY-7'!D17,'DICTIONARY-7'!E17,'DICTIONARY-7'!F17))</f>
        <v>ZETA</v>
      </c>
      <c r="B17" s="690" t="s">
        <v>7</v>
      </c>
      <c r="C17" s="586" t="s">
        <v>7</v>
      </c>
      <c r="D17" s="586" t="s">
        <v>7</v>
      </c>
      <c r="E17" s="586" t="s">
        <v>7</v>
      </c>
      <c r="F17" s="581" t="str">
        <f t="shared" si="4"/>
        <v>17❻ZETA</v>
      </c>
      <c r="G17" s="582" t="str">
        <f t="shared" si="5"/>
        <v>'DICTIONARY-6'!$A$17</v>
      </c>
      <c r="H17" s="795" t="s">
        <v>7796</v>
      </c>
      <c r="I17" s="795" t="s">
        <v>8163</v>
      </c>
    </row>
    <row r="18" spans="1:9" x14ac:dyDescent="0.25">
      <c r="A18" s="508" t="str">
        <f>IF(CHOOSE(SET.LANGUAGE,'DICTIONARY-7'!B18,'DICTIONARY-7'!C18,'DICTIONARY-7'!D18,'DICTIONARY-7'!E18,'DICTIONARY-7'!F18)=0,("??? "&amp;"DICTIONARY-4/"&amp;"LINE"&amp;(ROW(A18))),CHOOSE(SET.LANGUAGE,'DICTIONARY-7'!B18,'DICTIONARY-7'!C18,'DICTIONARY-7'!D18,'DICTIONARY-7'!E18,'DICTIONARY-7'!F18))</f>
        <v>ZETAcontrol</v>
      </c>
      <c r="B18" s="690" t="s">
        <v>5556</v>
      </c>
      <c r="C18" s="586" t="s">
        <v>5556</v>
      </c>
      <c r="D18" s="586" t="s">
        <v>5556</v>
      </c>
      <c r="E18" s="586" t="s">
        <v>5556</v>
      </c>
      <c r="F18" s="581" t="str">
        <f t="shared" si="4"/>
        <v>18❻ZETAcontrol</v>
      </c>
      <c r="G18" s="582" t="str">
        <f t="shared" si="5"/>
        <v>'DICTIONARY-6'!$A$18</v>
      </c>
      <c r="H18" s="795" t="s">
        <v>7980</v>
      </c>
      <c r="I18" s="795" t="s">
        <v>8163</v>
      </c>
    </row>
    <row r="19" spans="1:9" x14ac:dyDescent="0.25">
      <c r="A19" s="508" t="str">
        <f>IF(CHOOSE(SET.LANGUAGE,'DICTIONARY-7'!B19,'DICTIONARY-7'!C19,'DICTIONARY-7'!D19,'DICTIONARY-7'!E19,'DICTIONARY-7'!F19)=0,("??? "&amp;"DICTIONARY-4/"&amp;"LINE"&amp;(ROW(A19))),CHOOSE(SET.LANGUAGE,'DICTIONARY-7'!B19,'DICTIONARY-7'!C19,'DICTIONARY-7'!D19,'DICTIONARY-7'!E19,'DICTIONARY-7'!F19))</f>
        <v>ZETA (with E-Actuator)</v>
      </c>
      <c r="B19" s="690" t="s">
        <v>8134</v>
      </c>
      <c r="C19" s="586" t="s">
        <v>8134</v>
      </c>
      <c r="D19" s="586" t="s">
        <v>8098</v>
      </c>
      <c r="E19" s="586" t="s">
        <v>8098</v>
      </c>
      <c r="F19" s="581" t="str">
        <f t="shared" si="4"/>
        <v>19❻ZETA s el. servopohonem</v>
      </c>
      <c r="G19" s="582" t="str">
        <f t="shared" si="5"/>
        <v>'DICTIONARY-6'!$A$19</v>
      </c>
      <c r="H19" s="795" t="s">
        <v>7797</v>
      </c>
      <c r="I19" s="795" t="s">
        <v>8164</v>
      </c>
    </row>
    <row r="20" spans="1:9" x14ac:dyDescent="0.25">
      <c r="A20" s="508" t="str">
        <f>IF(CHOOSE(SET.LANGUAGE,'DICTIONARY-7'!B20,'DICTIONARY-7'!C20,'DICTIONARY-7'!D20,'DICTIONARY-7'!E20,'DICTIONARY-7'!F20)=0,("??? "&amp;"DICTIONARY-4/"&amp;"LINE"&amp;(ROW(A20))),CHOOSE(SET.LANGUAGE,'DICTIONARY-7'!B20,'DICTIONARY-7'!C20,'DICTIONARY-7'!D20,'DICTIONARY-7'!E20,'DICTIONARY-7'!F20))</f>
        <v>ZETA (with Pneumatic Actuator)</v>
      </c>
      <c r="B20" s="690" t="s">
        <v>8135</v>
      </c>
      <c r="C20" s="586" t="s">
        <v>8135</v>
      </c>
      <c r="D20" s="586" t="s">
        <v>8099</v>
      </c>
      <c r="E20" s="586" t="s">
        <v>8099</v>
      </c>
      <c r="F20" s="581" t="str">
        <f t="shared" si="4"/>
        <v>20❻ZETA s pneupohonem</v>
      </c>
      <c r="G20" s="582" t="str">
        <f t="shared" si="5"/>
        <v>'DICTIONARY-6'!$A$20</v>
      </c>
      <c r="H20" s="795" t="s">
        <v>7798</v>
      </c>
      <c r="I20" s="795" t="s">
        <v>8164</v>
      </c>
    </row>
    <row r="21" spans="1:9" x14ac:dyDescent="0.25">
      <c r="A21" s="508" t="str">
        <f>IF(CHOOSE(SET.LANGUAGE,'DICTIONARY-7'!B21,'DICTIONARY-7'!C21,'DICTIONARY-7'!D21,'DICTIONARY-7'!E21,'DICTIONARY-7'!F21)=0,("??? "&amp;"DICTIONARY-4/"&amp;"LINE"&amp;(ROW(A21))),CHOOSE(SET.LANGUAGE,'DICTIONARY-7'!B21,'DICTIONARY-7'!C21,'DICTIONARY-7'!D21,'DICTIONARY-7'!E21,'DICTIONARY-7'!F21))</f>
        <v>Drilling Sets</v>
      </c>
      <c r="B21" s="690" t="s">
        <v>8136</v>
      </c>
      <c r="C21" s="586" t="s">
        <v>8136</v>
      </c>
      <c r="D21" s="586" t="s">
        <v>8100</v>
      </c>
      <c r="E21" s="586" t="s">
        <v>8100</v>
      </c>
      <c r="F21" s="581" t="str">
        <f t="shared" si="4"/>
        <v>21❻Navrtávače potrubí</v>
      </c>
      <c r="G21" s="582" t="str">
        <f t="shared" si="5"/>
        <v>'DICTIONARY-6'!$A$21</v>
      </c>
      <c r="H21" s="795" t="s">
        <v>7810</v>
      </c>
      <c r="I21" s="795" t="s">
        <v>8165</v>
      </c>
    </row>
    <row r="22" spans="1:9" x14ac:dyDescent="0.25">
      <c r="A22" s="508" t="str">
        <f>IF(CHOOSE(SET.LANGUAGE,'DICTIONARY-7'!B22,'DICTIONARY-7'!C22,'DICTIONARY-7'!D22,'DICTIONARY-7'!E22,'DICTIONARY-7'!F22)=0,("??? "&amp;"DICTIONARY-4/"&amp;"LINE"&amp;(ROW(A22))),CHOOSE(SET.LANGUAGE,'DICTIONARY-7'!B22,'DICTIONARY-7'!C22,'DICTIONARY-7'!D22,'DICTIONARY-7'!E22,'DICTIONARY-7'!F22))</f>
        <v>HOD</v>
      </c>
      <c r="B22" s="690" t="s">
        <v>14</v>
      </c>
      <c r="C22" s="586" t="s">
        <v>14</v>
      </c>
      <c r="D22" s="586" t="s">
        <v>14</v>
      </c>
      <c r="E22" s="586" t="s">
        <v>14</v>
      </c>
      <c r="F22" s="581" t="str">
        <f t="shared" si="4"/>
        <v>22❻HOD</v>
      </c>
      <c r="G22" s="582" t="str">
        <f t="shared" si="5"/>
        <v>'DICTIONARY-6'!$A$22</v>
      </c>
      <c r="H22" s="795" t="s">
        <v>7812</v>
      </c>
      <c r="I22" s="795" t="s">
        <v>8165</v>
      </c>
    </row>
    <row r="23" spans="1:9" x14ac:dyDescent="0.25">
      <c r="A23" s="508" t="str">
        <f>IF(CHOOSE(SET.LANGUAGE,'DICTIONARY-7'!B23,'DICTIONARY-7'!C23,'DICTIONARY-7'!D23,'DICTIONARY-7'!E23,'DICTIONARY-7'!F23)=0,("??? "&amp;"DICTIONARY-4/"&amp;"LINE"&amp;(ROW(A23))),CHOOSE(SET.LANGUAGE,'DICTIONARY-7'!B23,'DICTIONARY-7'!C23,'DICTIONARY-7'!D23,'DICTIONARY-7'!E23,'DICTIONARY-7'!F23))</f>
        <v>HODlock</v>
      </c>
      <c r="B23" s="690" t="s">
        <v>5574</v>
      </c>
      <c r="C23" s="586" t="s">
        <v>5574</v>
      </c>
      <c r="D23" s="586" t="s">
        <v>5574</v>
      </c>
      <c r="E23" s="586" t="s">
        <v>5574</v>
      </c>
      <c r="F23" s="581" t="str">
        <f t="shared" si="4"/>
        <v>23❻HODlock</v>
      </c>
      <c r="G23" s="582" t="str">
        <f t="shared" si="5"/>
        <v>'DICTIONARY-6'!$A$23</v>
      </c>
      <c r="H23" s="795" t="s">
        <v>7819</v>
      </c>
      <c r="I23" s="795" t="s">
        <v>8165</v>
      </c>
    </row>
    <row r="24" spans="1:9" x14ac:dyDescent="0.25">
      <c r="A24" s="508" t="str">
        <f>IF(CHOOSE(SET.LANGUAGE,'DICTIONARY-7'!B24,'DICTIONARY-7'!C24,'DICTIONARY-7'!D24,'DICTIONARY-7'!E24,'DICTIONARY-7'!F24)=0,("??? "&amp;"DICTIONARY-4/"&amp;"LINE"&amp;(ROW(A24))),CHOOSE(SET.LANGUAGE,'DICTIONARY-7'!B24,'DICTIONARY-7'!C24,'DICTIONARY-7'!D24,'DICTIONARY-7'!E24,'DICTIONARY-7'!F24))</f>
        <v>House Connection Bracket</v>
      </c>
      <c r="B24" s="690" t="s">
        <v>6690</v>
      </c>
      <c r="C24" s="586" t="s">
        <v>6690</v>
      </c>
      <c r="D24" s="586" t="s">
        <v>8101</v>
      </c>
      <c r="E24" s="586" t="s">
        <v>8101</v>
      </c>
      <c r="F24" s="581" t="str">
        <f t="shared" si="4"/>
        <v>24❻Třmen pro navrt. pas</v>
      </c>
      <c r="G24" s="582" t="str">
        <f t="shared" si="5"/>
        <v>'DICTIONARY-6'!$A$24</v>
      </c>
      <c r="H24" s="795" t="s">
        <v>7811</v>
      </c>
      <c r="I24" s="795" t="s">
        <v>8165</v>
      </c>
    </row>
    <row r="25" spans="1:9" x14ac:dyDescent="0.25">
      <c r="A25" s="508" t="str">
        <f>IF(CHOOSE(SET.LANGUAGE,'DICTIONARY-7'!B25,'DICTIONARY-7'!C25,'DICTIONARY-7'!D25,'DICTIONARY-7'!E25,'DICTIONARY-7'!F25)=0,("??? "&amp;"DICTIONARY-4/"&amp;"LINE"&amp;(ROW(A25))),CHOOSE(SET.LANGUAGE,'DICTIONARY-7'!B25,'DICTIONARY-7'!C25,'DICTIONARY-7'!D25,'DICTIONARY-7'!E25,'DICTIONARY-7'!F25))</f>
        <v>PE Sleeve (TERRA-K12)</v>
      </c>
      <c r="B25" s="690" t="s">
        <v>8137</v>
      </c>
      <c r="C25" s="586" t="s">
        <v>8137</v>
      </c>
      <c r="D25" s="586" t="s">
        <v>8102</v>
      </c>
      <c r="E25" s="586" t="s">
        <v>8102</v>
      </c>
      <c r="F25" s="581" t="str">
        <f t="shared" si="4"/>
        <v>25❻PE Objímka pro TERRA-K12</v>
      </c>
      <c r="G25" s="582" t="str">
        <f t="shared" si="5"/>
        <v>'DICTIONARY-6'!$A$25</v>
      </c>
      <c r="H25" s="795" t="s">
        <v>7816</v>
      </c>
      <c r="I25" s="795" t="s">
        <v>8165</v>
      </c>
    </row>
    <row r="26" spans="1:9" x14ac:dyDescent="0.25">
      <c r="A26" s="508" t="str">
        <f>IF(CHOOSE(SET.LANGUAGE,'DICTIONARY-7'!B26,'DICTIONARY-7'!C26,'DICTIONARY-7'!D26,'DICTIONARY-7'!E26,'DICTIONARY-7'!F26)=0,("??? "&amp;"DICTIONARY-4/"&amp;"LINE"&amp;(ROW(A26))),CHOOSE(SET.LANGUAGE,'DICTIONARY-7'!B26,'DICTIONARY-7'!C26,'DICTIONARY-7'!D26,'DICTIONARY-7'!E26,'DICTIONARY-7'!F26))</f>
        <v>TERRA K1 PVC</v>
      </c>
      <c r="B26" s="690" t="s">
        <v>8103</v>
      </c>
      <c r="C26" s="586" t="s">
        <v>8103</v>
      </c>
      <c r="D26" s="586" t="s">
        <v>8103</v>
      </c>
      <c r="E26" s="586" t="s">
        <v>8103</v>
      </c>
      <c r="F26" s="581" t="str">
        <f t="shared" si="4"/>
        <v>26❻TERRA K1 PVC</v>
      </c>
      <c r="G26" s="582" t="str">
        <f t="shared" si="5"/>
        <v>'DICTIONARY-6'!$A$26</v>
      </c>
      <c r="H26" s="795" t="s">
        <v>7814</v>
      </c>
      <c r="I26" s="795" t="s">
        <v>8165</v>
      </c>
    </row>
    <row r="27" spans="1:9" x14ac:dyDescent="0.25">
      <c r="A27" s="508" t="str">
        <f>IF(CHOOSE(SET.LANGUAGE,'DICTIONARY-7'!B27,'DICTIONARY-7'!C27,'DICTIONARY-7'!D27,'DICTIONARY-7'!E27,'DICTIONARY-7'!F27)=0,("??? "&amp;"DICTIONARY-4/"&amp;"LINE"&amp;(ROW(A27))),CHOOSE(SET.LANGUAGE,'DICTIONARY-7'!B27,'DICTIONARY-7'!C27,'DICTIONARY-7'!D27,'DICTIONARY-7'!E27,'DICTIONARY-7'!F27))</f>
        <v>TERRA K2 PE-HD</v>
      </c>
      <c r="B27" s="690" t="s">
        <v>8104</v>
      </c>
      <c r="C27" s="586" t="s">
        <v>8104</v>
      </c>
      <c r="D27" s="586" t="s">
        <v>8104</v>
      </c>
      <c r="E27" s="586" t="s">
        <v>8104</v>
      </c>
      <c r="F27" s="581" t="str">
        <f t="shared" si="4"/>
        <v>27❻TERRA K2 PE-HD</v>
      </c>
      <c r="G27" s="582" t="str">
        <f t="shared" si="5"/>
        <v>'DICTIONARY-6'!$A$27</v>
      </c>
      <c r="H27" s="795" t="s">
        <v>8166</v>
      </c>
      <c r="I27" s="795" t="s">
        <v>8165</v>
      </c>
    </row>
    <row r="28" spans="1:9" x14ac:dyDescent="0.25">
      <c r="A28" s="508" t="str">
        <f>IF(CHOOSE(SET.LANGUAGE,'DICTIONARY-7'!B28,'DICTIONARY-7'!C28,'DICTIONARY-7'!D28,'DICTIONARY-7'!E28,'DICTIONARY-7'!F28)=0,("??? "&amp;"DICTIONARY-4/"&amp;"LINE"&amp;(ROW(A28))),CHOOSE(SET.LANGUAGE,'DICTIONARY-7'!B28,'DICTIONARY-7'!C28,'DICTIONARY-7'!D28,'DICTIONARY-7'!E28,'DICTIONARY-7'!F28))</f>
        <v>TERRA K3</v>
      </c>
      <c r="B28" s="690" t="s">
        <v>8105</v>
      </c>
      <c r="C28" s="586" t="s">
        <v>8105</v>
      </c>
      <c r="D28" s="586" t="s">
        <v>8105</v>
      </c>
      <c r="E28" s="586" t="s">
        <v>8105</v>
      </c>
      <c r="F28" s="581" t="str">
        <f t="shared" si="4"/>
        <v>28❻TERRA K3</v>
      </c>
      <c r="G28" s="582" t="str">
        <f t="shared" si="5"/>
        <v>'DICTIONARY-6'!$A$28</v>
      </c>
      <c r="H28" s="795" t="s">
        <v>8167</v>
      </c>
      <c r="I28" s="795" t="s">
        <v>8165</v>
      </c>
    </row>
    <row r="29" spans="1:9" x14ac:dyDescent="0.25">
      <c r="A29" s="508" t="str">
        <f>IF(CHOOSE(SET.LANGUAGE,'DICTIONARY-7'!B29,'DICTIONARY-7'!C29,'DICTIONARY-7'!D29,'DICTIONARY-7'!E29,'DICTIONARY-7'!F29)=0,("??? "&amp;"DICTIONARY-4/"&amp;"LINE"&amp;(ROW(A29))),CHOOSE(SET.LANGUAGE,'DICTIONARY-7'!B29,'DICTIONARY-7'!C29,'DICTIONARY-7'!D29,'DICTIONARY-7'!E29,'DICTIONARY-7'!F29))</f>
        <v>TERRA K3 BAIO</v>
      </c>
      <c r="B29" s="690" t="s">
        <v>8106</v>
      </c>
      <c r="C29" s="586" t="s">
        <v>8106</v>
      </c>
      <c r="D29" s="586" t="s">
        <v>8106</v>
      </c>
      <c r="E29" s="586" t="s">
        <v>8106</v>
      </c>
      <c r="F29" s="581" t="str">
        <f t="shared" si="4"/>
        <v>29❻TERRA K3 BAIO</v>
      </c>
      <c r="G29" s="582" t="str">
        <f t="shared" si="5"/>
        <v>'DICTIONARY-6'!$A$29</v>
      </c>
      <c r="H29" s="795" t="s">
        <v>7821</v>
      </c>
      <c r="I29" s="795" t="s">
        <v>8165</v>
      </c>
    </row>
    <row r="30" spans="1:9" x14ac:dyDescent="0.25">
      <c r="A30" s="508" t="str">
        <f>IF(CHOOSE(SET.LANGUAGE,'DICTIONARY-7'!B30,'DICTIONARY-7'!C30,'DICTIONARY-7'!D30,'DICTIONARY-7'!E30,'DICTIONARY-7'!F30)=0,("??? "&amp;"DICTIONARY-4/"&amp;"LINE"&amp;(ROW(A30))),CHOOSE(SET.LANGUAGE,'DICTIONARY-7'!B30,'DICTIONARY-7'!C30,'DICTIONARY-7'!D30,'DICTIONARY-7'!E30,'DICTIONARY-7'!F30))</f>
        <v>TERRA K4</v>
      </c>
      <c r="B30" s="690" t="s">
        <v>8107</v>
      </c>
      <c r="C30" s="586" t="s">
        <v>8107</v>
      </c>
      <c r="D30" s="586" t="s">
        <v>8107</v>
      </c>
      <c r="E30" s="586" t="s">
        <v>8107</v>
      </c>
      <c r="F30" s="581" t="str">
        <f t="shared" si="4"/>
        <v>30❻TERRA K4</v>
      </c>
      <c r="G30" s="582" t="str">
        <f t="shared" si="5"/>
        <v>'DICTIONARY-6'!$A$30</v>
      </c>
      <c r="H30" s="795" t="s">
        <v>8168</v>
      </c>
      <c r="I30" s="795" t="s">
        <v>8165</v>
      </c>
    </row>
    <row r="31" spans="1:9" x14ac:dyDescent="0.25">
      <c r="A31" s="508" t="str">
        <f>IF(CHOOSE(SET.LANGUAGE,'DICTIONARY-7'!B31,'DICTIONARY-7'!C31,'DICTIONARY-7'!D31,'DICTIONARY-7'!E31,'DICTIONARY-7'!F31)=0,("??? "&amp;"DICTIONARY-4/"&amp;"LINE"&amp;(ROW(A31))),CHOOSE(SET.LANGUAGE,'DICTIONARY-7'!B31,'DICTIONARY-7'!C31,'DICTIONARY-7'!D31,'DICTIONARY-7'!E31,'DICTIONARY-7'!F31))</f>
        <v>TERRA M1 BAIO</v>
      </c>
      <c r="B31" s="690" t="s">
        <v>8108</v>
      </c>
      <c r="C31" s="586" t="s">
        <v>8108</v>
      </c>
      <c r="D31" s="586" t="s">
        <v>8108</v>
      </c>
      <c r="E31" s="586" t="s">
        <v>8108</v>
      </c>
      <c r="F31" s="581" t="str">
        <f t="shared" si="4"/>
        <v>31❻TERRA M1 BAIO</v>
      </c>
      <c r="G31" s="582" t="str">
        <f t="shared" si="5"/>
        <v>'DICTIONARY-6'!$A$31</v>
      </c>
      <c r="H31" s="795" t="s">
        <v>7820</v>
      </c>
      <c r="I31" s="795" t="s">
        <v>8165</v>
      </c>
    </row>
    <row r="32" spans="1:9" x14ac:dyDescent="0.25">
      <c r="A32" s="508" t="str">
        <f>IF(CHOOSE(SET.LANGUAGE,'DICTIONARY-7'!B32,'DICTIONARY-7'!C32,'DICTIONARY-7'!D32,'DICTIONARY-7'!E32,'DICTIONARY-7'!F32)=0,("??? "&amp;"DICTIONARY-4/"&amp;"LINE"&amp;(ROW(A32))),CHOOSE(SET.LANGUAGE,'DICTIONARY-7'!B32,'DICTIONARY-7'!C32,'DICTIONARY-7'!D32,'DICTIONARY-7'!E32,'DICTIONARY-7'!F32))</f>
        <v>TERRA M1/TERRAlock</v>
      </c>
      <c r="B32" s="690" t="s">
        <v>8109</v>
      </c>
      <c r="C32" s="586" t="s">
        <v>8109</v>
      </c>
      <c r="D32" s="586" t="s">
        <v>8109</v>
      </c>
      <c r="E32" s="586" t="s">
        <v>8109</v>
      </c>
      <c r="F32" s="581" t="str">
        <f t="shared" si="4"/>
        <v>32❻TERRA M1/TERRAlock</v>
      </c>
      <c r="G32" s="582" t="str">
        <f t="shared" si="5"/>
        <v>'DICTIONARY-6'!$A$32</v>
      </c>
      <c r="H32" s="795" t="s">
        <v>7813</v>
      </c>
      <c r="I32" s="795" t="s">
        <v>8165</v>
      </c>
    </row>
    <row r="33" spans="1:9" x14ac:dyDescent="0.25">
      <c r="A33" s="508" t="str">
        <f>IF(CHOOSE(SET.LANGUAGE,'DICTIONARY-7'!B33,'DICTIONARY-7'!C33,'DICTIONARY-7'!D33,'DICTIONARY-7'!E33,'DICTIONARY-7'!F33)=0,("??? "&amp;"DICTIONARY-4/"&amp;"LINE"&amp;(ROW(A33))),CHOOSE(SET.LANGUAGE,'DICTIONARY-7'!B33,'DICTIONARY-7'!C33,'DICTIONARY-7'!D33,'DICTIONARY-7'!E33,'DICTIONARY-7'!F33))</f>
        <v>TERRA-K12</v>
      </c>
      <c r="B33" s="690" t="s">
        <v>16</v>
      </c>
      <c r="C33" s="586" t="s">
        <v>16</v>
      </c>
      <c r="D33" s="586" t="s">
        <v>16</v>
      </c>
      <c r="E33" s="586" t="s">
        <v>16</v>
      </c>
      <c r="F33" s="581" t="str">
        <f t="shared" si="4"/>
        <v>33❻TERRA-K12</v>
      </c>
      <c r="G33" s="582" t="str">
        <f t="shared" si="5"/>
        <v>'DICTIONARY-6'!$A$33</v>
      </c>
      <c r="H33" s="795" t="s">
        <v>7815</v>
      </c>
      <c r="I33" s="795" t="s">
        <v>8165</v>
      </c>
    </row>
    <row r="34" spans="1:9" x14ac:dyDescent="0.25">
      <c r="A34" s="508" t="str">
        <f>IF(CHOOSE(SET.LANGUAGE,'DICTIONARY-7'!B34,'DICTIONARY-7'!C34,'DICTIONARY-7'!D34,'DICTIONARY-7'!E34,'DICTIONARY-7'!F34)=0,("??? "&amp;"DICTIONARY-4/"&amp;"LINE"&amp;(ROW(A34))),CHOOSE(SET.LANGUAGE,'DICTIONARY-7'!B34,'DICTIONARY-7'!C34,'DICTIONARY-7'!D34,'DICTIONARY-7'!E34,'DICTIONARY-7'!F34))</f>
        <v>BAIO Fittings</v>
      </c>
      <c r="B34" s="690" t="s">
        <v>8138</v>
      </c>
      <c r="C34" s="586" t="s">
        <v>8138</v>
      </c>
      <c r="D34" s="586" t="s">
        <v>5930</v>
      </c>
      <c r="E34" s="586" t="s">
        <v>5930</v>
      </c>
      <c r="F34" s="581" t="str">
        <f t="shared" si="4"/>
        <v>34❻BAIO tvarovky</v>
      </c>
      <c r="G34" s="582" t="str">
        <f t="shared" si="5"/>
        <v>'DICTIONARY-6'!$A$34</v>
      </c>
      <c r="H34" s="795" t="s">
        <v>7851</v>
      </c>
      <c r="I34" s="795" t="s">
        <v>8169</v>
      </c>
    </row>
    <row r="35" spans="1:9" x14ac:dyDescent="0.25">
      <c r="A35" s="508" t="str">
        <f>IF(CHOOSE(SET.LANGUAGE,'DICTIONARY-7'!B35,'DICTIONARY-7'!C35,'DICTIONARY-7'!D35,'DICTIONARY-7'!E35,'DICTIONARY-7'!F35)=0,("??? "&amp;"DICTIONARY-4/"&amp;"LINE"&amp;(ROW(A35))),CHOOSE(SET.LANGUAGE,'DICTIONARY-7'!B35,'DICTIONARY-7'!C35,'DICTIONARY-7'!D35,'DICTIONARY-7'!E35,'DICTIONARY-7'!F35))</f>
        <v>EKN (&gt;DN600)</v>
      </c>
      <c r="B35" s="690" t="s">
        <v>8110</v>
      </c>
      <c r="C35" s="586" t="s">
        <v>8110</v>
      </c>
      <c r="D35" s="586" t="s">
        <v>8110</v>
      </c>
      <c r="E35" s="586" t="s">
        <v>8110</v>
      </c>
      <c r="F35" s="581" t="str">
        <f t="shared" si="4"/>
        <v>35❻EKN (&gt;DN600)</v>
      </c>
      <c r="G35" s="582" t="str">
        <f t="shared" si="5"/>
        <v>'DICTIONARY-6'!$A$35</v>
      </c>
      <c r="H35" s="795" t="s">
        <v>7853</v>
      </c>
      <c r="I35" s="795" t="s">
        <v>8170</v>
      </c>
    </row>
    <row r="36" spans="1:9" x14ac:dyDescent="0.25">
      <c r="A36" s="508" t="str">
        <f>IF(CHOOSE(SET.LANGUAGE,'DICTIONARY-7'!B36,'DICTIONARY-7'!C36,'DICTIONARY-7'!D36,'DICTIONARY-7'!E36,'DICTIONARY-7'!F36)=0,("??? "&amp;"DICTIONARY-4/"&amp;"LINE"&amp;(ROW(A36))),CHOOSE(SET.LANGUAGE,'DICTIONARY-7'!B36,'DICTIONARY-7'!C36,'DICTIONARY-7'!D36,'DICTIONARY-7'!E36,'DICTIONARY-7'!F36))</f>
        <v>EKN (≤DN600)</v>
      </c>
      <c r="B36" s="690" t="s">
        <v>8111</v>
      </c>
      <c r="C36" s="586" t="s">
        <v>8111</v>
      </c>
      <c r="D36" s="586" t="s">
        <v>8111</v>
      </c>
      <c r="E36" s="586" t="s">
        <v>8111</v>
      </c>
      <c r="F36" s="581" t="str">
        <f t="shared" si="4"/>
        <v>36❻EKN (≤DN600)</v>
      </c>
      <c r="G36" s="582" t="str">
        <f t="shared" si="5"/>
        <v>'DICTIONARY-6'!$A$36</v>
      </c>
      <c r="H36" s="795" t="s">
        <v>7830</v>
      </c>
      <c r="I36" s="795" t="s">
        <v>8170</v>
      </c>
    </row>
    <row r="37" spans="1:9" x14ac:dyDescent="0.25">
      <c r="A37" s="508" t="str">
        <f>IF(CHOOSE(SET.LANGUAGE,'DICTIONARY-7'!B37,'DICTIONARY-7'!C37,'DICTIONARY-7'!D37,'DICTIONARY-7'!E37,'DICTIONARY-7'!F37)=0,("??? "&amp;"DICTIONARY-4/"&amp;"LINE"&amp;(ROW(A37))),CHOOSE(SET.LANGUAGE,'DICTIONARY-7'!B37,'DICTIONARY-7'!C37,'DICTIONARY-7'!D37,'DICTIONARY-7'!E37,'DICTIONARY-7'!F37))</f>
        <v>CEREX 300</v>
      </c>
      <c r="B37" s="690" t="s">
        <v>8112</v>
      </c>
      <c r="C37" s="586" t="s">
        <v>8112</v>
      </c>
      <c r="D37" s="586" t="s">
        <v>8112</v>
      </c>
      <c r="E37" s="586" t="s">
        <v>8112</v>
      </c>
      <c r="F37" s="581" t="str">
        <f t="shared" si="4"/>
        <v>37❻CEREX 300</v>
      </c>
      <c r="G37" s="582" t="str">
        <f t="shared" si="5"/>
        <v>'DICTIONARY-6'!$A$37</v>
      </c>
      <c r="H37" s="795" t="s">
        <v>7832</v>
      </c>
      <c r="I37" s="795" t="s">
        <v>8171</v>
      </c>
    </row>
    <row r="38" spans="1:9" x14ac:dyDescent="0.25">
      <c r="A38" s="508" t="str">
        <f>IF(CHOOSE(SET.LANGUAGE,'DICTIONARY-7'!B38,'DICTIONARY-7'!C38,'DICTIONARY-7'!D38,'DICTIONARY-7'!E38,'DICTIONARY-7'!F38)=0,("??? "&amp;"DICTIONARY-4/"&amp;"LINE"&amp;(ROW(A38))),CHOOSE(SET.LANGUAGE,'DICTIONARY-7'!B38,'DICTIONARY-7'!C38,'DICTIONARY-7'!D38,'DICTIONARY-7'!E38,'DICTIONARY-7'!F38))</f>
        <v>DUOJET</v>
      </c>
      <c r="B38" s="690" t="s">
        <v>28</v>
      </c>
      <c r="C38" s="586" t="s">
        <v>28</v>
      </c>
      <c r="D38" s="586" t="s">
        <v>28</v>
      </c>
      <c r="E38" s="586" t="s">
        <v>28</v>
      </c>
      <c r="F38" s="581" t="str">
        <f t="shared" si="4"/>
        <v>38❻DUOJET</v>
      </c>
      <c r="G38" s="582" t="str">
        <f t="shared" si="5"/>
        <v>'DICTIONARY-6'!$A$38</v>
      </c>
      <c r="H38" s="795" t="s">
        <v>7834</v>
      </c>
      <c r="I38" s="795" t="s">
        <v>8172</v>
      </c>
    </row>
    <row r="39" spans="1:9" x14ac:dyDescent="0.25">
      <c r="A39" s="508" t="str">
        <f>IF(CHOOSE(SET.LANGUAGE,'DICTIONARY-7'!B39,'DICTIONARY-7'!C39,'DICTIONARY-7'!D39,'DICTIONARY-7'!E39,'DICTIONARY-7'!F39)=0,("??? "&amp;"DICTIONARY-4/"&amp;"LINE"&amp;(ROW(A39))),CHOOSE(SET.LANGUAGE,'DICTIONARY-7'!B39,'DICTIONARY-7'!C39,'DICTIONARY-7'!D39,'DICTIONARY-7'!E39,'DICTIONARY-7'!F39))</f>
        <v>FLOWJET</v>
      </c>
      <c r="B39" s="690" t="s">
        <v>31</v>
      </c>
      <c r="C39" s="586" t="s">
        <v>31</v>
      </c>
      <c r="D39" s="586" t="s">
        <v>31</v>
      </c>
      <c r="E39" s="586" t="s">
        <v>31</v>
      </c>
      <c r="F39" s="581" t="str">
        <f t="shared" si="4"/>
        <v>39❻FLOWJET</v>
      </c>
      <c r="G39" s="582" t="str">
        <f t="shared" si="5"/>
        <v>'DICTIONARY-6'!$A$39</v>
      </c>
      <c r="H39" s="795" t="s">
        <v>7835</v>
      </c>
      <c r="I39" s="795" t="s">
        <v>8172</v>
      </c>
    </row>
    <row r="40" spans="1:9" x14ac:dyDescent="0.25">
      <c r="A40" s="508" t="str">
        <f>IF(CHOOSE(SET.LANGUAGE,'DICTIONARY-7'!B40,'DICTIONARY-7'!C40,'DICTIONARY-7'!D40,'DICTIONARY-7'!E40,'DICTIONARY-7'!F40)=0,("??? "&amp;"DICTIONARY-4/"&amp;"LINE"&amp;(ROW(A40))),CHOOSE(SET.LANGUAGE,'DICTIONARY-7'!B40,'DICTIONARY-7'!C40,'DICTIONARY-7'!D40,'DICTIONARY-7'!E40,'DICTIONARY-7'!F40))</f>
        <v>BEV-E</v>
      </c>
      <c r="B40" s="690" t="s">
        <v>5576</v>
      </c>
      <c r="C40" s="586" t="s">
        <v>5576</v>
      </c>
      <c r="D40" s="586" t="s">
        <v>5576</v>
      </c>
      <c r="E40" s="586" t="s">
        <v>5576</v>
      </c>
      <c r="F40" s="581" t="str">
        <f t="shared" si="4"/>
        <v>40❻BEV-E</v>
      </c>
      <c r="G40" s="582" t="str">
        <f t="shared" si="5"/>
        <v>'DICTIONARY-6'!$A$40</v>
      </c>
      <c r="H40" s="795" t="s">
        <v>7836</v>
      </c>
      <c r="I40" s="795" t="s">
        <v>8173</v>
      </c>
    </row>
    <row r="41" spans="1:9" x14ac:dyDescent="0.25">
      <c r="A41" s="508" t="str">
        <f>IF(CHOOSE(SET.LANGUAGE,'DICTIONARY-7'!B41,'DICTIONARY-7'!C41,'DICTIONARY-7'!D41,'DICTIONARY-7'!E41,'DICTIONARY-7'!F41)=0,("??? "&amp;"DICTIONARY-4/"&amp;"LINE"&amp;(ROW(A41))),CHOOSE(SET.LANGUAGE,'DICTIONARY-7'!B41,'DICTIONARY-7'!C41,'DICTIONARY-7'!D41,'DICTIONARY-7'!E41,'DICTIONARY-7'!F41))</f>
        <v>BEV-Garnitur</v>
      </c>
      <c r="B41" s="690" t="s">
        <v>8243</v>
      </c>
      <c r="C41" s="586" t="s">
        <v>8243</v>
      </c>
      <c r="D41" s="586" t="s">
        <v>8249</v>
      </c>
      <c r="E41" s="586" t="s">
        <v>8249</v>
      </c>
      <c r="F41" s="581" t="str">
        <f t="shared" si="4"/>
        <v>41❻BEV-G</v>
      </c>
      <c r="G41" s="582" t="str">
        <f t="shared" si="5"/>
        <v>'DICTIONARY-6'!$A$41</v>
      </c>
      <c r="H41" s="795" t="s">
        <v>7855</v>
      </c>
      <c r="I41" s="795" t="s">
        <v>8173</v>
      </c>
    </row>
    <row r="42" spans="1:9" x14ac:dyDescent="0.25">
      <c r="A42" s="508" t="str">
        <f>IF(CHOOSE(SET.LANGUAGE,'DICTIONARY-7'!B42,'DICTIONARY-7'!C42,'DICTIONARY-7'!D42,'DICTIONARY-7'!E42,'DICTIONARY-7'!F42)=0,("??? "&amp;"DICTIONARY-4/"&amp;"LINE"&amp;(ROW(A42))),CHOOSE(SET.LANGUAGE,'DICTIONARY-7'!B42,'DICTIONARY-7'!C42,'DICTIONARY-7'!D42,'DICTIONARY-7'!E42,'DICTIONARY-7'!F42))</f>
        <v>HILL</v>
      </c>
      <c r="B42" s="690" t="s">
        <v>30</v>
      </c>
      <c r="C42" s="586" t="s">
        <v>30</v>
      </c>
      <c r="D42" s="586" t="s">
        <v>30</v>
      </c>
      <c r="E42" s="586" t="s">
        <v>30</v>
      </c>
      <c r="F42" s="581" t="str">
        <f t="shared" si="4"/>
        <v>42❻HILL</v>
      </c>
      <c r="G42" s="582" t="str">
        <f t="shared" si="5"/>
        <v>'DICTIONARY-6'!$A$42</v>
      </c>
      <c r="H42" s="795" t="s">
        <v>7837</v>
      </c>
      <c r="I42" s="795" t="s">
        <v>8173</v>
      </c>
    </row>
    <row r="43" spans="1:9" x14ac:dyDescent="0.25">
      <c r="A43" s="508" t="str">
        <f>IF(CHOOSE(SET.LANGUAGE,'DICTIONARY-7'!B43,'DICTIONARY-7'!C43,'DICTIONARY-7'!D43,'DICTIONARY-7'!E43,'DICTIONARY-7'!F43)=0,("??? "&amp;"DICTIONARY-4/"&amp;"LINE"&amp;(ROW(A43))),CHOOSE(SET.LANGUAGE,'DICTIONARY-7'!B43,'DICTIONARY-7'!C43,'DICTIONARY-7'!D43,'DICTIONARY-7'!E43,'DICTIONARY-7'!F43))</f>
        <v>TWINJET</v>
      </c>
      <c r="B43" s="690" t="s">
        <v>65</v>
      </c>
      <c r="C43" s="586" t="s">
        <v>65</v>
      </c>
      <c r="D43" s="586" t="s">
        <v>65</v>
      </c>
      <c r="E43" s="586" t="s">
        <v>65</v>
      </c>
      <c r="F43" s="581" t="str">
        <f t="shared" si="4"/>
        <v>43❻TWINJET</v>
      </c>
      <c r="G43" s="582" t="str">
        <f t="shared" si="5"/>
        <v>'DICTIONARY-6'!$A$43</v>
      </c>
      <c r="H43" s="795" t="s">
        <v>7833</v>
      </c>
      <c r="I43" s="795" t="s">
        <v>8173</v>
      </c>
    </row>
    <row r="44" spans="1:9" x14ac:dyDescent="0.25">
      <c r="A44" s="508" t="str">
        <f>IF(CHOOSE(SET.LANGUAGE,'DICTIONARY-7'!B44,'DICTIONARY-7'!C44,'DICTIONARY-7'!D44,'DICTIONARY-7'!E44,'DICTIONARY-7'!F44)=0,("??? "&amp;"DICTIONARY-4/"&amp;"LINE"&amp;(ROW(A44))),CHOOSE(SET.LANGUAGE,'DICTIONARY-7'!B44,'DICTIONARY-7'!C44,'DICTIONARY-7'!D44,'DICTIONARY-7'!E44,'DICTIONARY-7'!F44))</f>
        <v>TOP-STOP</v>
      </c>
      <c r="B44" s="690" t="s">
        <v>22</v>
      </c>
      <c r="C44" s="586" t="s">
        <v>22</v>
      </c>
      <c r="D44" s="586" t="s">
        <v>22</v>
      </c>
      <c r="E44" s="605" t="s">
        <v>22</v>
      </c>
      <c r="F44" s="581" t="str">
        <f t="shared" si="4"/>
        <v>44❻TOP-STOP</v>
      </c>
      <c r="G44" s="582" t="str">
        <f t="shared" si="5"/>
        <v>'DICTIONARY-6'!$A$44</v>
      </c>
      <c r="H44" s="795" t="s">
        <v>7827</v>
      </c>
      <c r="I44" s="795" t="s">
        <v>8174</v>
      </c>
    </row>
    <row r="45" spans="1:9" x14ac:dyDescent="0.25">
      <c r="A45" s="508" t="str">
        <f>IF(CHOOSE(SET.LANGUAGE,'DICTIONARY-7'!B45,'DICTIONARY-7'!C45,'DICTIONARY-7'!D45,'DICTIONARY-7'!E45,'DICTIONARY-7'!F45)=0,("??? "&amp;"DICTIONARY-4/"&amp;"LINE"&amp;(ROW(A45))),CHOOSE(SET.LANGUAGE,'DICTIONARY-7'!B45,'DICTIONARY-7'!C45,'DICTIONARY-7'!D45,'DICTIONARY-7'!E45,'DICTIONARY-7'!F45))</f>
        <v>AW Disc Check Valve</v>
      </c>
      <c r="B45" s="690" t="s">
        <v>8113</v>
      </c>
      <c r="C45" s="586" t="s">
        <v>8113</v>
      </c>
      <c r="D45" s="586" t="s">
        <v>8113</v>
      </c>
      <c r="E45" s="586" t="s">
        <v>8113</v>
      </c>
      <c r="F45" s="581" t="str">
        <f t="shared" si="4"/>
        <v>45❻AW Disc Check Valve</v>
      </c>
      <c r="G45" s="582" t="str">
        <f t="shared" si="5"/>
        <v>'DICTIONARY-6'!$A$45</v>
      </c>
      <c r="H45" s="795" t="s">
        <v>8175</v>
      </c>
      <c r="I45" s="795" t="s">
        <v>8176</v>
      </c>
    </row>
    <row r="46" spans="1:9" x14ac:dyDescent="0.25">
      <c r="A46" s="508" t="str">
        <f>IF(CHOOSE(SET.LANGUAGE,'DICTIONARY-7'!B46,'DICTIONARY-7'!C46,'DICTIONARY-7'!D46,'DICTIONARY-7'!E46,'DICTIONARY-7'!F46)=0,("??? "&amp;"DICTIONARY-4/"&amp;"LINE"&amp;(ROW(A46))),CHOOSE(SET.LANGUAGE,'DICTIONARY-7'!B46,'DICTIONARY-7'!C46,'DICTIONARY-7'!D46,'DICTIONARY-7'!E46,'DICTIONARY-7'!F46))</f>
        <v>KRV</v>
      </c>
      <c r="B46" s="690" t="s">
        <v>21</v>
      </c>
      <c r="C46" s="586" t="s">
        <v>21</v>
      </c>
      <c r="D46" s="586" t="s">
        <v>21</v>
      </c>
      <c r="E46" s="586" t="s">
        <v>21</v>
      </c>
      <c r="F46" s="581" t="str">
        <f t="shared" si="4"/>
        <v>46❻KRV</v>
      </c>
      <c r="G46" s="582" t="str">
        <f t="shared" si="5"/>
        <v>'DICTIONARY-6'!$A$46</v>
      </c>
      <c r="H46" s="795" t="s">
        <v>7826</v>
      </c>
      <c r="I46" s="795" t="s">
        <v>8176</v>
      </c>
    </row>
    <row r="47" spans="1:9" x14ac:dyDescent="0.25">
      <c r="A47" s="508" t="str">
        <f>IF(CHOOSE(SET.LANGUAGE,'DICTIONARY-7'!B47,'DICTIONARY-7'!C47,'DICTIONARY-7'!D47,'DICTIONARY-7'!E47,'DICTIONARY-7'!F47)=0,("??? "&amp;"DICTIONARY-4/"&amp;"LINE"&amp;(ROW(A47))),CHOOSE(SET.LANGUAGE,'DICTIONARY-7'!B47,'DICTIONARY-7'!C47,'DICTIONARY-7'!D47,'DICTIONARY-7'!E47,'DICTIONARY-7'!F47))</f>
        <v>RETA</v>
      </c>
      <c r="B47" s="690" t="s">
        <v>19</v>
      </c>
      <c r="C47" s="586" t="s">
        <v>19</v>
      </c>
      <c r="D47" s="586" t="s">
        <v>19</v>
      </c>
      <c r="E47" s="586" t="s">
        <v>19</v>
      </c>
      <c r="F47" s="581" t="str">
        <f t="shared" si="4"/>
        <v>47❻RETA</v>
      </c>
      <c r="G47" s="582" t="str">
        <f t="shared" si="5"/>
        <v>'DICTIONARY-6'!$A$47</v>
      </c>
      <c r="H47" s="795" t="s">
        <v>7824</v>
      </c>
      <c r="I47" s="795" t="s">
        <v>8176</v>
      </c>
    </row>
    <row r="48" spans="1:9" x14ac:dyDescent="0.25">
      <c r="A48" s="508" t="str">
        <f>IF(CHOOSE(SET.LANGUAGE,'DICTIONARY-7'!B48,'DICTIONARY-7'!C48,'DICTIONARY-7'!D48,'DICTIONARY-7'!E48,'DICTIONARY-7'!F48)=0,("??? "&amp;"DICTIONARY-4/"&amp;"LINE"&amp;(ROW(A48))),CHOOSE(SET.LANGUAGE,'DICTIONARY-7'!B48,'DICTIONARY-7'!C48,'DICTIONARY-7'!D48,'DICTIONARY-7'!E48,'DICTIONARY-7'!F48))</f>
        <v>RETO-STOP</v>
      </c>
      <c r="B48" s="690" t="s">
        <v>18</v>
      </c>
      <c r="C48" s="586" t="s">
        <v>18</v>
      </c>
      <c r="D48" s="586" t="s">
        <v>18</v>
      </c>
      <c r="E48" s="586" t="s">
        <v>18</v>
      </c>
      <c r="F48" s="581" t="str">
        <f t="shared" si="4"/>
        <v>48❻RETO-STOP</v>
      </c>
      <c r="G48" s="582" t="str">
        <f t="shared" si="5"/>
        <v>'DICTIONARY-6'!$A$48</v>
      </c>
      <c r="H48" s="795" t="s">
        <v>7823</v>
      </c>
      <c r="I48" s="795" t="s">
        <v>8176</v>
      </c>
    </row>
    <row r="49" spans="1:9" x14ac:dyDescent="0.25">
      <c r="A49" s="508" t="str">
        <f>IF(CHOOSE(SET.LANGUAGE,'DICTIONARY-7'!B49,'DICTIONARY-7'!C49,'DICTIONARY-7'!D49,'DICTIONARY-7'!E49,'DICTIONARY-7'!F49)=0,("??? "&amp;"DICTIONARY-4/"&amp;"LINE"&amp;(ROW(A49))),CHOOSE(SET.LANGUAGE,'DICTIONARY-7'!B49,'DICTIONARY-7'!C49,'DICTIONARY-7'!D49,'DICTIONARY-7'!E49,'DICTIONARY-7'!F49))</f>
        <v>SAK</v>
      </c>
      <c r="B49" s="690" t="s">
        <v>35</v>
      </c>
      <c r="C49" s="586" t="s">
        <v>35</v>
      </c>
      <c r="D49" s="586" t="s">
        <v>35</v>
      </c>
      <c r="E49" s="586" t="s">
        <v>35</v>
      </c>
      <c r="F49" s="581" t="str">
        <f t="shared" si="4"/>
        <v>49❻SAK</v>
      </c>
      <c r="G49" s="582" t="str">
        <f t="shared" si="5"/>
        <v>'DICTIONARY-6'!$A$49</v>
      </c>
      <c r="H49" s="795" t="s">
        <v>7842</v>
      </c>
      <c r="I49" s="795" t="s">
        <v>8176</v>
      </c>
    </row>
    <row r="50" spans="1:9" x14ac:dyDescent="0.25">
      <c r="A50" s="508" t="str">
        <f>IF(CHOOSE(SET.LANGUAGE,'DICTIONARY-7'!B50,'DICTIONARY-7'!C50,'DICTIONARY-7'!D50,'DICTIONARY-7'!E50,'DICTIONARY-7'!F50)=0,("??? "&amp;"DICTIONARY-4/"&amp;"LINE"&amp;(ROW(A50))),CHOOSE(SET.LANGUAGE,'DICTIONARY-7'!B50,'DICTIONARY-7'!C50,'DICTIONARY-7'!D50,'DICTIONARY-7'!E50,'DICTIONARY-7'!F50))</f>
        <v>ZAKA</v>
      </c>
      <c r="B50" s="690" t="s">
        <v>24</v>
      </c>
      <c r="C50" s="586" t="s">
        <v>24</v>
      </c>
      <c r="D50" s="586" t="s">
        <v>24</v>
      </c>
      <c r="E50" s="586" t="s">
        <v>24</v>
      </c>
      <c r="F50" s="581" t="str">
        <f t="shared" si="4"/>
        <v>50❻ZAKA</v>
      </c>
      <c r="G50" s="582" t="str">
        <f t="shared" si="5"/>
        <v>'DICTIONARY-6'!$A$50</v>
      </c>
      <c r="H50" s="795" t="s">
        <v>8177</v>
      </c>
      <c r="I50" s="795" t="s">
        <v>8176</v>
      </c>
    </row>
    <row r="51" spans="1:9" x14ac:dyDescent="0.25">
      <c r="A51" s="508" t="str">
        <f>IF(CHOOSE(SET.LANGUAGE,'DICTIONARY-7'!B51,'DICTIONARY-7'!C51,'DICTIONARY-7'!D51,'DICTIONARY-7'!E51,'DICTIONARY-7'!F51)=0,("??? "&amp;"DICTIONARY-4/"&amp;"LINE"&amp;(ROW(A51))),CHOOSE(SET.LANGUAGE,'DICTIONARY-7'!B51,'DICTIONARY-7'!C51,'DICTIONARY-7'!D51,'DICTIONARY-7'!E51,'DICTIONARY-7'!F51))</f>
        <v>ZETKA</v>
      </c>
      <c r="B51" s="690" t="s">
        <v>23</v>
      </c>
      <c r="C51" s="586" t="s">
        <v>23</v>
      </c>
      <c r="D51" s="586" t="s">
        <v>23</v>
      </c>
      <c r="E51" s="586" t="s">
        <v>23</v>
      </c>
      <c r="F51" s="581" t="str">
        <f t="shared" si="4"/>
        <v>51❻ZETKA</v>
      </c>
      <c r="G51" s="582" t="str">
        <f t="shared" si="5"/>
        <v>'DICTIONARY-6'!$A$51</v>
      </c>
      <c r="H51" s="795" t="s">
        <v>7828</v>
      </c>
      <c r="I51" s="795" t="s">
        <v>8176</v>
      </c>
    </row>
    <row r="52" spans="1:9" ht="15" customHeight="1" x14ac:dyDescent="0.25">
      <c r="A52" s="508" t="str">
        <f>IF(CHOOSE(SET.LANGUAGE,'DICTIONARY-7'!B52,'DICTIONARY-7'!C52,'DICTIONARY-7'!D52,'DICTIONARY-7'!E52,'DICTIONARY-7'!F52)=0,("??? "&amp;"DICTIONARY-4/"&amp;"LINE"&amp;(ROW(A52))),CHOOSE(SET.LANGUAGE,'DICTIONARY-7'!B52,'DICTIONARY-7'!C52,'DICTIONARY-7'!D52,'DICTIONARY-7'!E52,'DICTIONARY-7'!F52))</f>
        <v>SKR</v>
      </c>
      <c r="B52" s="690" t="s">
        <v>17</v>
      </c>
      <c r="C52" s="586" t="s">
        <v>17</v>
      </c>
      <c r="D52" s="586" t="s">
        <v>17</v>
      </c>
      <c r="E52" s="586" t="s">
        <v>17</v>
      </c>
      <c r="F52" s="581" t="str">
        <f t="shared" si="4"/>
        <v>52❻SKR</v>
      </c>
      <c r="G52" s="582" t="str">
        <f t="shared" si="5"/>
        <v>'DICTIONARY-6'!$A$52</v>
      </c>
      <c r="H52" s="795" t="s">
        <v>7822</v>
      </c>
      <c r="I52" s="795" t="s">
        <v>8178</v>
      </c>
    </row>
    <row r="53" spans="1:9" ht="15" customHeight="1" x14ac:dyDescent="0.25">
      <c r="A53" s="508" t="str">
        <f>IF(CHOOSE(SET.LANGUAGE,'DICTIONARY-7'!B53,'DICTIONARY-7'!C53,'DICTIONARY-7'!D53,'DICTIONARY-7'!E53,'DICTIONARY-7'!F53)=0,("??? "&amp;"DICTIONARY-4/"&amp;"LINE"&amp;(ROW(A53))),CHOOSE(SET.LANGUAGE,'DICTIONARY-7'!B53,'DICTIONARY-7'!C53,'DICTIONARY-7'!D53,'DICTIONARY-7'!E53,'DICTIONARY-7'!F53))</f>
        <v>HADE</v>
      </c>
      <c r="B53" s="690" t="s">
        <v>25</v>
      </c>
      <c r="C53" s="586" t="s">
        <v>25</v>
      </c>
      <c r="D53" s="586" t="s">
        <v>25</v>
      </c>
      <c r="E53" s="586" t="s">
        <v>25</v>
      </c>
      <c r="F53" s="581" t="str">
        <f t="shared" si="4"/>
        <v>53❻HADE</v>
      </c>
      <c r="G53" s="582" t="str">
        <f t="shared" si="5"/>
        <v>'DICTIONARY-6'!$A$53</v>
      </c>
      <c r="H53" s="795" t="s">
        <v>7829</v>
      </c>
      <c r="I53" s="795" t="s">
        <v>8179</v>
      </c>
    </row>
    <row r="54" spans="1:9" ht="15" customHeight="1" x14ac:dyDescent="0.25">
      <c r="A54" s="508" t="str">
        <f>IF(CHOOSE(SET.LANGUAGE,'DICTIONARY-7'!B54,'DICTIONARY-7'!C54,'DICTIONARY-7'!D54,'DICTIONARY-7'!E54,'DICTIONARY-7'!F54)=0,("??? "&amp;"DICTIONARY-4/"&amp;"LINE"&amp;(ROW(A54))),CHOOSE(SET.LANGUAGE,'DICTIONARY-7'!B54,'DICTIONARY-7'!C54,'DICTIONARY-7'!D54,'DICTIONARY-7'!E54,'DICTIONARY-7'!F54))</f>
        <v>LIMU-STOP</v>
      </c>
      <c r="B54" s="690" t="s">
        <v>20</v>
      </c>
      <c r="C54" s="586" t="s">
        <v>20</v>
      </c>
      <c r="D54" s="586" t="s">
        <v>20</v>
      </c>
      <c r="E54" s="586" t="s">
        <v>20</v>
      </c>
      <c r="F54" s="581" t="str">
        <f t="shared" si="4"/>
        <v>54❻LIMU-STOP</v>
      </c>
      <c r="G54" s="582" t="str">
        <f t="shared" si="5"/>
        <v>'DICTIONARY-6'!$A$54</v>
      </c>
      <c r="H54" s="795" t="s">
        <v>7825</v>
      </c>
      <c r="I54" s="795" t="s">
        <v>8180</v>
      </c>
    </row>
    <row r="55" spans="1:9" ht="15" customHeight="1" x14ac:dyDescent="0.25">
      <c r="A55" s="508" t="str">
        <f>IF(CHOOSE(SET.LANGUAGE,'DICTIONARY-7'!B55,'DICTIONARY-7'!C55,'DICTIONARY-7'!D55,'DICTIONARY-7'!E55,'DICTIONARY-7'!F55)=0,("??? "&amp;"DICTIONARY-4/"&amp;"LINE"&amp;(ROW(A55))),CHOOSE(SET.LANGUAGE,'DICTIONARY-7'!B55,'DICTIONARY-7'!C55,'DICTIONARY-7'!D55,'DICTIONARY-7'!E55,'DICTIONARY-7'!F55))</f>
        <v>DURA</v>
      </c>
      <c r="B55" s="690" t="s">
        <v>32</v>
      </c>
      <c r="C55" s="586" t="s">
        <v>32</v>
      </c>
      <c r="D55" s="586" t="s">
        <v>32</v>
      </c>
      <c r="E55" s="586" t="s">
        <v>32</v>
      </c>
      <c r="F55" s="581" t="str">
        <f t="shared" si="4"/>
        <v>55❻DURA</v>
      </c>
      <c r="G55" s="582" t="str">
        <f t="shared" si="5"/>
        <v>'DICTIONARY-6'!$A$55</v>
      </c>
      <c r="H55" s="795" t="s">
        <v>7840</v>
      </c>
      <c r="I55" s="795" t="s">
        <v>8181</v>
      </c>
    </row>
    <row r="56" spans="1:9" x14ac:dyDescent="0.25">
      <c r="A56" s="508" t="str">
        <f>IF(CHOOSE(SET.LANGUAGE,'DICTIONARY-7'!B56,'DICTIONARY-7'!C56,'DICTIONARY-7'!D56,'DICTIONARY-7'!E56,'DICTIONARY-7'!F56)=0,("??? "&amp;"DICTIONARY-4/"&amp;"LINE"&amp;(ROW(A56))),CHOOSE(SET.LANGUAGE,'DICTIONARY-7'!B56,'DICTIONARY-7'!C56,'DICTIONARY-7'!D56,'DICTIONARY-7'!E56,'DICTIONARY-7'!F56))</f>
        <v>PICO-H</v>
      </c>
      <c r="B56" s="690" t="s">
        <v>70</v>
      </c>
      <c r="C56" s="586" t="s">
        <v>70</v>
      </c>
      <c r="D56" s="586" t="s">
        <v>70</v>
      </c>
      <c r="E56" s="586" t="s">
        <v>70</v>
      </c>
      <c r="F56" s="581" t="str">
        <f t="shared" si="4"/>
        <v>56❻PICO-H</v>
      </c>
      <c r="G56" s="582" t="str">
        <f t="shared" si="5"/>
        <v>'DICTIONARY-6'!$A$56</v>
      </c>
      <c r="H56" s="795" t="s">
        <v>7838</v>
      </c>
      <c r="I56" s="795" t="s">
        <v>8182</v>
      </c>
    </row>
    <row r="57" spans="1:9" x14ac:dyDescent="0.25">
      <c r="A57" s="508" t="str">
        <f>IF(CHOOSE(SET.LANGUAGE,'DICTIONARY-7'!B57,'DICTIONARY-7'!C57,'DICTIONARY-7'!D57,'DICTIONARY-7'!E57,'DICTIONARY-7'!F57)=0,("??? "&amp;"DICTIONARY-4/"&amp;"LINE"&amp;(ROW(A57))),CHOOSE(SET.LANGUAGE,'DICTIONARY-7'!B57,'DICTIONARY-7'!C57,'DICTIONARY-7'!D57,'DICTIONARY-7'!E57,'DICTIONARY-7'!F57))</f>
        <v>NOVA 284</v>
      </c>
      <c r="B57" s="690" t="s">
        <v>5577</v>
      </c>
      <c r="C57" s="586" t="s">
        <v>5577</v>
      </c>
      <c r="D57" s="586" t="s">
        <v>5577</v>
      </c>
      <c r="E57" s="586" t="s">
        <v>5577</v>
      </c>
      <c r="F57" s="581" t="str">
        <f t="shared" si="4"/>
        <v>57❻NOVA 284</v>
      </c>
      <c r="G57" s="582" t="str">
        <f t="shared" si="5"/>
        <v>'DICTIONARY-6'!$A$57</v>
      </c>
      <c r="H57" s="795" t="s">
        <v>7802</v>
      </c>
      <c r="I57" s="795" t="s">
        <v>8183</v>
      </c>
    </row>
    <row r="58" spans="1:9" x14ac:dyDescent="0.25">
      <c r="A58" s="508" t="str">
        <f>IF(CHOOSE(SET.LANGUAGE,'DICTIONARY-7'!B58,'DICTIONARY-7'!C58,'DICTIONARY-7'!D58,'DICTIONARY-7'!E58,'DICTIONARY-7'!F58)=0,("??? "&amp;"DICTIONARY-4/"&amp;"LINE"&amp;(ROW(A58))),CHOOSE(SET.LANGUAGE,'DICTIONARY-7'!B58,'DICTIONARY-7'!C58,'DICTIONARY-7'!D58,'DICTIONARY-7'!E58,'DICTIONARY-7'!F58))</f>
        <v>NOVA 284 (not used anymore)</v>
      </c>
      <c r="B58" s="690" t="s">
        <v>8244</v>
      </c>
      <c r="C58" s="586" t="s">
        <v>8244</v>
      </c>
      <c r="D58" s="586" t="s">
        <v>8250</v>
      </c>
      <c r="E58" s="586" t="s">
        <v>8250</v>
      </c>
      <c r="F58" s="581" t="str">
        <f t="shared" si="4"/>
        <v>58❻NOVA 284 (již nepoužíváno)</v>
      </c>
      <c r="G58" s="582" t="str">
        <f t="shared" si="5"/>
        <v>'DICTIONARY-6'!$A$58</v>
      </c>
      <c r="H58" s="795" t="s">
        <v>8184</v>
      </c>
      <c r="I58" s="795" t="s">
        <v>8183</v>
      </c>
    </row>
    <row r="59" spans="1:9" x14ac:dyDescent="0.25">
      <c r="A59" s="508" t="str">
        <f>IF(CHOOSE(SET.LANGUAGE,'DICTIONARY-7'!B59,'DICTIONARY-7'!C59,'DICTIONARY-7'!D59,'DICTIONARY-7'!E59,'DICTIONARY-7'!F59)=0,("??? "&amp;"DICTIONARY-4/"&amp;"LINE"&amp;(ROW(A59))),CHOOSE(SET.LANGUAGE,'DICTIONARY-7'!B59,'DICTIONARY-7'!C59,'DICTIONARY-7'!D59,'DICTIONARY-7'!E59,'DICTIONARY-7'!F59))</f>
        <v>NOVA 1885</v>
      </c>
      <c r="B59" s="690" t="s">
        <v>5578</v>
      </c>
      <c r="C59" s="586" t="s">
        <v>5578</v>
      </c>
      <c r="D59" s="586" t="s">
        <v>5578</v>
      </c>
      <c r="E59" s="586" t="s">
        <v>5578</v>
      </c>
      <c r="F59" s="581" t="str">
        <f t="shared" si="4"/>
        <v>59❻NOVA 1885</v>
      </c>
      <c r="G59" s="582" t="str">
        <f t="shared" si="5"/>
        <v>'DICTIONARY-6'!$A$59</v>
      </c>
      <c r="H59" s="795" t="s">
        <v>7804</v>
      </c>
      <c r="I59" s="795" t="s">
        <v>8183</v>
      </c>
    </row>
    <row r="60" spans="1:9" x14ac:dyDescent="0.25">
      <c r="A60" s="508" t="str">
        <f>IF(CHOOSE(SET.LANGUAGE,'DICTIONARY-7'!B60,'DICTIONARY-7'!C60,'DICTIONARY-7'!D60,'DICTIONARY-7'!E60,'DICTIONARY-7'!F60)=0,("??? "&amp;"DICTIONARY-4/"&amp;"LINE"&amp;(ROW(A60))),CHOOSE(SET.LANGUAGE,'DICTIONARY-7'!B60,'DICTIONARY-7'!C60,'DICTIONARY-7'!D60,'DICTIONARY-7'!E60,'DICTIONARY-7'!F60))</f>
        <v>NOVA Niro / 365</v>
      </c>
      <c r="B60" s="690" t="s">
        <v>8245</v>
      </c>
      <c r="C60" s="586" t="s">
        <v>8245</v>
      </c>
      <c r="D60" s="586" t="s">
        <v>8251</v>
      </c>
      <c r="E60" s="586" t="s">
        <v>8251</v>
      </c>
      <c r="F60" s="581" t="str">
        <f t="shared" si="4"/>
        <v>60❻NOVA NIRO, NOVA NIRO 365</v>
      </c>
      <c r="G60" s="582" t="str">
        <f t="shared" si="5"/>
        <v>'DICTIONARY-6'!$A$60</v>
      </c>
      <c r="H60" s="795" t="s">
        <v>7805</v>
      </c>
      <c r="I60" s="795" t="s">
        <v>8183</v>
      </c>
    </row>
    <row r="61" spans="1:9" x14ac:dyDescent="0.25">
      <c r="A61" s="508" t="str">
        <f>IF(CHOOSE(SET.LANGUAGE,'DICTIONARY-7'!B61,'DICTIONARY-7'!C61,'DICTIONARY-7'!D61,'DICTIONARY-7'!E61,'DICTIONARY-7'!F61)=0,("??? "&amp;"DICTIONARY-4/"&amp;"LINE"&amp;(ROW(A61))),CHOOSE(SET.LANGUAGE,'DICTIONARY-7'!B61,'DICTIONARY-7'!C61,'DICTIONARY-7'!D61,'DICTIONARY-7'!E61,'DICTIONARY-7'!F61))</f>
        <v>RIGUS</v>
      </c>
      <c r="B61" s="690" t="s">
        <v>11</v>
      </c>
      <c r="C61" s="586" t="s">
        <v>11</v>
      </c>
      <c r="D61" s="586" t="s">
        <v>11</v>
      </c>
      <c r="E61" s="586" t="s">
        <v>11</v>
      </c>
      <c r="F61" s="581" t="str">
        <f t="shared" si="4"/>
        <v>61❻RIGUS</v>
      </c>
      <c r="G61" s="582" t="str">
        <f t="shared" si="5"/>
        <v>'DICTIONARY-6'!$A$61</v>
      </c>
      <c r="H61" s="795" t="s">
        <v>7806</v>
      </c>
      <c r="I61" s="795" t="s">
        <v>8183</v>
      </c>
    </row>
    <row r="62" spans="1:9" x14ac:dyDescent="0.25">
      <c r="A62" s="508" t="str">
        <f>IF(CHOOSE(SET.LANGUAGE,'DICTIONARY-7'!B62,'DICTIONARY-7'!C62,'DICTIONARY-7'!D62,'DICTIONARY-7'!E62,'DICTIONARY-7'!F62)=0,("??? "&amp;"DICTIONARY-4/"&amp;"LINE"&amp;(ROW(A62))),CHOOSE(SET.LANGUAGE,'DICTIONARY-7'!B62,'DICTIONARY-7'!C62,'DICTIONARY-7'!D62,'DICTIONARY-7'!E62,'DICTIONARY-7'!F62))</f>
        <v>UEH NOVA 150 AU/AFU</v>
      </c>
      <c r="B62" s="690" t="s">
        <v>848</v>
      </c>
      <c r="C62" s="586" t="s">
        <v>848</v>
      </c>
      <c r="D62" s="586" t="s">
        <v>8114</v>
      </c>
      <c r="E62" s="586" t="s">
        <v>8114</v>
      </c>
      <c r="F62" s="581" t="str">
        <f t="shared" si="4"/>
        <v>62❻NOVA 150</v>
      </c>
      <c r="G62" s="582" t="str">
        <f t="shared" si="5"/>
        <v>'DICTIONARY-6'!$A$62</v>
      </c>
      <c r="H62" s="795" t="s">
        <v>7803</v>
      </c>
      <c r="I62" s="795" t="s">
        <v>8185</v>
      </c>
    </row>
    <row r="63" spans="1:9" x14ac:dyDescent="0.25">
      <c r="A63" s="508" t="str">
        <f>IF(CHOOSE(SET.LANGUAGE,'DICTIONARY-7'!B63,'DICTIONARY-7'!C63,'DICTIONARY-7'!D63,'DICTIONARY-7'!E63,'DICTIONARY-7'!F63)=0,("??? "&amp;"DICTIONARY-4/"&amp;"LINE"&amp;(ROW(A63))),CHOOSE(SET.LANGUAGE,'DICTIONARY-7'!B63,'DICTIONARY-7'!C63,'DICTIONARY-7'!D63,'DICTIONARY-7'!E63,'DICTIONARY-7'!F63))</f>
        <v>SUPRA</v>
      </c>
      <c r="B63" s="690" t="s">
        <v>8115</v>
      </c>
      <c r="C63" s="586" t="s">
        <v>8115</v>
      </c>
      <c r="D63" s="586" t="s">
        <v>8115</v>
      </c>
      <c r="E63" s="586" t="s">
        <v>8115</v>
      </c>
      <c r="F63" s="581" t="str">
        <f t="shared" si="4"/>
        <v>63❻SUPRA</v>
      </c>
      <c r="G63" s="582" t="str">
        <f t="shared" si="5"/>
        <v>'DICTIONARY-6'!$A$63</v>
      </c>
      <c r="H63" s="795" t="s">
        <v>8186</v>
      </c>
      <c r="I63" s="795" t="s">
        <v>8187</v>
      </c>
    </row>
    <row r="64" spans="1:9" x14ac:dyDescent="0.25">
      <c r="A64" s="508" t="str">
        <f>IF(CHOOSE(SET.LANGUAGE,'DICTIONARY-7'!B64,'DICTIONARY-7'!C64,'DICTIONARY-7'!D64,'DICTIONARY-7'!E64,'DICTIONARY-7'!F64)=0,("??? "&amp;"DICTIONARY-4/"&amp;"LINE"&amp;(ROW(A64))),CHOOSE(SET.LANGUAGE,'DICTIONARY-7'!B64,'DICTIONARY-7'!C64,'DICTIONARY-7'!D64,'DICTIONARY-7'!E64,'DICTIONARY-7'!F64))</f>
        <v>HYDRUS BAIO / SUPRA BAIO</v>
      </c>
      <c r="B64" s="690" t="s">
        <v>8246</v>
      </c>
      <c r="C64" s="586" t="s">
        <v>8246</v>
      </c>
      <c r="D64" s="586" t="s">
        <v>8246</v>
      </c>
      <c r="E64" s="586" t="s">
        <v>8246</v>
      </c>
      <c r="F64" s="581" t="str">
        <f t="shared" si="4"/>
        <v>64❻HYDRUS BAIO / SUPRA BAIO</v>
      </c>
      <c r="G64" s="582" t="str">
        <f t="shared" si="5"/>
        <v>'DICTIONARY-6'!$A$64</v>
      </c>
      <c r="H64" s="795" t="s">
        <v>8188</v>
      </c>
      <c r="I64" s="795" t="s">
        <v>8189</v>
      </c>
    </row>
    <row r="65" spans="1:9" x14ac:dyDescent="0.25">
      <c r="A65" s="508" t="str">
        <f>IF(CHOOSE(SET.LANGUAGE,'DICTIONARY-7'!B65,'DICTIONARY-7'!C65,'DICTIONARY-7'!D65,'DICTIONARY-7'!E65,'DICTIONARY-7'!F65)=0,("??? "&amp;"DICTIONARY-4/"&amp;"LINE"&amp;(ROW(A65))),CHOOSE(SET.LANGUAGE,'DICTIONARY-7'!B65,'DICTIONARY-7'!C65,'DICTIONARY-7'!D65,'DICTIONARY-7'!E65,'DICTIONARY-7'!F65))</f>
        <v>HYDRUS G</v>
      </c>
      <c r="B65" s="690" t="s">
        <v>55</v>
      </c>
      <c r="C65" s="586" t="s">
        <v>55</v>
      </c>
      <c r="D65" s="586" t="s">
        <v>55</v>
      </c>
      <c r="E65" s="586" t="s">
        <v>55</v>
      </c>
      <c r="F65" s="581" t="str">
        <f t="shared" si="4"/>
        <v>65❻HYDRUS G</v>
      </c>
      <c r="G65" s="582" t="str">
        <f t="shared" si="5"/>
        <v>'DICTIONARY-6'!$A$65</v>
      </c>
      <c r="H65" s="795" t="s">
        <v>7801</v>
      </c>
      <c r="I65" s="795" t="s">
        <v>8190</v>
      </c>
    </row>
    <row r="66" spans="1:9" x14ac:dyDescent="0.25">
      <c r="A66" s="508" t="str">
        <f>IF(CHOOSE(SET.LANGUAGE,'DICTIONARY-7'!B66,'DICTIONARY-7'!C66,'DICTIONARY-7'!D66,'DICTIONARY-7'!E66,'DICTIONARY-7'!F66)=0,("??? "&amp;"DICTIONARY-4/"&amp;"LINE"&amp;(ROW(A66))),CHOOSE(SET.LANGUAGE,'DICTIONARY-7'!B66,'DICTIONARY-7'!C66,'DICTIONARY-7'!D66,'DICTIONARY-7'!E66,'DICTIONARY-7'!F66))</f>
        <v>LADA</v>
      </c>
      <c r="B66" s="690" t="s">
        <v>40</v>
      </c>
      <c r="C66" s="586" t="s">
        <v>40</v>
      </c>
      <c r="D66" s="586" t="s">
        <v>40</v>
      </c>
      <c r="E66" s="586" t="s">
        <v>40</v>
      </c>
      <c r="F66" s="581" t="str">
        <f t="shared" si="4"/>
        <v>66❻LADA</v>
      </c>
      <c r="G66" s="582" t="str">
        <f t="shared" si="5"/>
        <v>'DICTIONARY-6'!$A$66</v>
      </c>
      <c r="H66" s="795" t="s">
        <v>7845</v>
      </c>
      <c r="I66" s="795" t="s">
        <v>8191</v>
      </c>
    </row>
    <row r="67" spans="1:9" x14ac:dyDescent="0.25">
      <c r="A67" s="508" t="str">
        <f>IF(CHOOSE(SET.LANGUAGE,'DICTIONARY-7'!B67,'DICTIONARY-7'!C67,'DICTIONARY-7'!D67,'DICTIONARY-7'!E67,'DICTIONARY-7'!F67)=0,("??? "&amp;"DICTIONARY-4/"&amp;"LINE"&amp;(ROW(A67))),CHOOSE(SET.LANGUAGE,'DICTIONARY-7'!B67,'DICTIONARY-7'!C67,'DICTIONARY-7'!D67,'DICTIONARY-7'!E67,'DICTIONARY-7'!F67))</f>
        <v>Telemax Accessories</v>
      </c>
      <c r="B67" s="690" t="s">
        <v>8139</v>
      </c>
      <c r="C67" s="586" t="s">
        <v>8139</v>
      </c>
      <c r="D67" s="586" t="s">
        <v>8116</v>
      </c>
      <c r="E67" s="586" t="s">
        <v>8116</v>
      </c>
      <c r="F67" s="581" t="str">
        <f t="shared" si="4"/>
        <v>67❻TELEMAX příslušenství</v>
      </c>
      <c r="G67" s="582" t="str">
        <f t="shared" si="5"/>
        <v>'DICTIONARY-6'!$A$67</v>
      </c>
      <c r="H67" s="795" t="s">
        <v>7847</v>
      </c>
      <c r="I67" s="795" t="s">
        <v>8191</v>
      </c>
    </row>
    <row r="68" spans="1:9" x14ac:dyDescent="0.25">
      <c r="A68" s="508" t="str">
        <f>IF(CHOOSE(SET.LANGUAGE,'DICTIONARY-7'!B68,'DICTIONARY-7'!C68,'DICTIONARY-7'!D68,'DICTIONARY-7'!E68,'DICTIONARY-7'!F68)=0,("??? "&amp;"DICTIONARY-4/"&amp;"LINE"&amp;(ROW(A68))),CHOOSE(SET.LANGUAGE,'DICTIONARY-7'!B68,'DICTIONARY-7'!C68,'DICTIONARY-7'!D68,'DICTIONARY-7'!E68,'DICTIONARY-7'!F68))</f>
        <v>Telemax Galvanized</v>
      </c>
      <c r="B68" s="690" t="s">
        <v>8140</v>
      </c>
      <c r="C68" s="586" t="s">
        <v>8140</v>
      </c>
      <c r="D68" s="586" t="s">
        <v>8117</v>
      </c>
      <c r="E68" s="586" t="s">
        <v>8117</v>
      </c>
      <c r="F68" s="581" t="str">
        <f t="shared" si="4"/>
        <v>68❻TELEMAX (pozink.)</v>
      </c>
      <c r="G68" s="582" t="str">
        <f t="shared" si="5"/>
        <v>'DICTIONARY-6'!$A$68</v>
      </c>
      <c r="H68" s="795" t="s">
        <v>7848</v>
      </c>
      <c r="I68" s="795" t="s">
        <v>8191</v>
      </c>
    </row>
    <row r="69" spans="1:9" x14ac:dyDescent="0.25">
      <c r="A69" s="508" t="str">
        <f>IF(CHOOSE(SET.LANGUAGE,'DICTIONARY-7'!B69,'DICTIONARY-7'!C69,'DICTIONARY-7'!D69,'DICTIONARY-7'!E69,'DICTIONARY-7'!F69)=0,("??? "&amp;"DICTIONARY-4/"&amp;"LINE"&amp;(ROW(A69))),CHOOSE(SET.LANGUAGE,'DICTIONARY-7'!B69,'DICTIONARY-7'!C69,'DICTIONARY-7'!D69,'DICTIONARY-7'!E69,'DICTIONARY-7'!F69))</f>
        <v>Telemax Niro/PATENTplus/VA-TELESKOP</v>
      </c>
      <c r="B69" s="690" t="s">
        <v>8141</v>
      </c>
      <c r="C69" s="586" t="s">
        <v>8141</v>
      </c>
      <c r="D69" s="586" t="s">
        <v>8118</v>
      </c>
      <c r="E69" s="586" t="s">
        <v>8118</v>
      </c>
      <c r="F69" s="581" t="str">
        <f t="shared" si="4"/>
        <v>69❻TELEMAX (nerez.), PATENTplus, VA-TELESKOP</v>
      </c>
      <c r="G69" s="582" t="str">
        <f t="shared" si="5"/>
        <v>'DICTIONARY-6'!$A$69</v>
      </c>
      <c r="H69" s="795" t="s">
        <v>7846</v>
      </c>
      <c r="I69" s="795" t="s">
        <v>8191</v>
      </c>
    </row>
    <row r="70" spans="1:9" x14ac:dyDescent="0.25">
      <c r="A70" s="508" t="str">
        <f>IF(CHOOSE(SET.LANGUAGE,'DICTIONARY-7'!B70,'DICTIONARY-7'!C70,'DICTIONARY-7'!D70,'DICTIONARY-7'!E70,'DICTIONARY-7'!F70)=0,("??? "&amp;"DICTIONARY-4/"&amp;"LINE"&amp;(ROW(A70))),CHOOSE(SET.LANGUAGE,'DICTIONARY-7'!B70,'DICTIONARY-7'!C70,'DICTIONARY-7'!D70,'DICTIONARY-7'!E70,'DICTIONARY-7'!F70))</f>
        <v>VARIplus</v>
      </c>
      <c r="B70" s="690" t="s">
        <v>5905</v>
      </c>
      <c r="C70" s="586" t="s">
        <v>5905</v>
      </c>
      <c r="D70" s="586" t="s">
        <v>5905</v>
      </c>
      <c r="E70" s="586" t="s">
        <v>5905</v>
      </c>
      <c r="F70" s="581" t="str">
        <f t="shared" si="4"/>
        <v>70❻VARIplus</v>
      </c>
      <c r="G70" s="582" t="str">
        <f t="shared" si="5"/>
        <v>'DICTIONARY-6'!$A$70</v>
      </c>
      <c r="H70" s="795" t="s">
        <v>7843</v>
      </c>
      <c r="I70" s="795" t="s">
        <v>8192</v>
      </c>
    </row>
    <row r="71" spans="1:9" x14ac:dyDescent="0.25">
      <c r="A71" s="508" t="str">
        <f>IF(CHOOSE(SET.LANGUAGE,'DICTIONARY-7'!B71,'DICTIONARY-7'!C71,'DICTIONARY-7'!D71,'DICTIONARY-7'!E71,'DICTIONARY-7'!F71)=0,("??? "&amp;"DICTIONARY-4/"&amp;"LINE"&amp;(ROW(A71))),CHOOSE(SET.LANGUAGE,'DICTIONARY-7'!B71,'DICTIONARY-7'!C71,'DICTIONARY-7'!D71,'DICTIONARY-7'!E71,'DICTIONARY-7'!F71))</f>
        <v>SPARE PARTS</v>
      </c>
      <c r="B71" s="690" t="s">
        <v>8142</v>
      </c>
      <c r="C71" s="586" t="s">
        <v>8142</v>
      </c>
      <c r="D71" s="586" t="s">
        <v>8119</v>
      </c>
      <c r="E71" s="586" t="s">
        <v>8119</v>
      </c>
      <c r="F71" s="581" t="str">
        <f t="shared" si="4"/>
        <v>71❻Náhr. díly</v>
      </c>
      <c r="G71" s="582" t="str">
        <f t="shared" si="5"/>
        <v>'DICTIONARY-6'!$A$71</v>
      </c>
      <c r="H71" s="795" t="s">
        <v>8193</v>
      </c>
      <c r="I71" s="795" t="s">
        <v>8194</v>
      </c>
    </row>
    <row r="72" spans="1:9" x14ac:dyDescent="0.25">
      <c r="A72" s="508" t="str">
        <f>IF(CHOOSE(SET.LANGUAGE,'DICTIONARY-7'!B72,'DICTIONARY-7'!C72,'DICTIONARY-7'!D72,'DICTIONARY-7'!E72,'DICTIONARY-7'!F72)=0,("??? "&amp;"DICTIONARY-4/"&amp;"LINE"&amp;(ROW(A72))),CHOOSE(SET.LANGUAGE,'DICTIONARY-7'!B72,'DICTIONARY-7'!C72,'DICTIONARY-7'!D72,'DICTIONARY-7'!E72,'DICTIONARY-7'!F72))</f>
        <v>Accessory components</v>
      </c>
      <c r="B72" s="690" t="s">
        <v>5082</v>
      </c>
      <c r="C72" s="586" t="s">
        <v>5082</v>
      </c>
      <c r="D72" s="586" t="s">
        <v>8120</v>
      </c>
      <c r="E72" s="586" t="s">
        <v>8120</v>
      </c>
      <c r="F72" s="581" t="str">
        <f t="shared" si="4"/>
        <v>72❻Příslušenství</v>
      </c>
      <c r="G72" s="582" t="str">
        <f t="shared" si="5"/>
        <v>'DICTIONARY-6'!$A$72</v>
      </c>
      <c r="H72" s="795" t="s">
        <v>7807</v>
      </c>
      <c r="I72" s="795" t="s">
        <v>8195</v>
      </c>
    </row>
    <row r="73" spans="1:9" x14ac:dyDescent="0.25">
      <c r="A73" s="508" t="str">
        <f>IF(CHOOSE(SET.LANGUAGE,'DICTIONARY-7'!B73,'DICTIONARY-7'!C73,'DICTIONARY-7'!D73,'DICTIONARY-7'!E73,'DICTIONARY-7'!F73)=0,("??? "&amp;"DICTIONARY-4/"&amp;"LINE"&amp;(ROW(A73))),CHOOSE(SET.LANGUAGE,'DICTIONARY-7'!B73,'DICTIONARY-7'!C73,'DICTIONARY-7'!D73,'DICTIONARY-7'!E73,'DICTIONARY-7'!F73))</f>
        <v>T-KLIC</v>
      </c>
      <c r="B73" s="690" t="s">
        <v>6138</v>
      </c>
      <c r="C73" s="586" t="s">
        <v>6138</v>
      </c>
      <c r="D73" s="586" t="s">
        <v>8121</v>
      </c>
      <c r="E73" s="586" t="s">
        <v>8121</v>
      </c>
      <c r="F73" s="581" t="str">
        <f t="shared" si="4"/>
        <v>73❻T-klíč</v>
      </c>
      <c r="G73" s="582" t="str">
        <f t="shared" si="5"/>
        <v>'DICTIONARY-6'!$A$73</v>
      </c>
      <c r="H73" s="795" t="s">
        <v>7809</v>
      </c>
      <c r="I73" s="795" t="s">
        <v>8195</v>
      </c>
    </row>
    <row r="74" spans="1:9" x14ac:dyDescent="0.25">
      <c r="A74" s="508" t="str">
        <f>IF(CHOOSE(SET.LANGUAGE,'DICTIONARY-7'!B74,'DICTIONARY-7'!C74,'DICTIONARY-7'!D74,'DICTIONARY-7'!E74,'DICTIONARY-7'!F74)=0,("??? "&amp;"DICTIONARY-4/"&amp;"LINE"&amp;(ROW(A74))),CHOOSE(SET.LANGUAGE,'DICTIONARY-7'!B74,'DICTIONARY-7'!C74,'DICTIONARY-7'!D74,'DICTIONARY-7'!E74,'DICTIONARY-7'!F74))</f>
        <v>Handwheel</v>
      </c>
      <c r="B74" s="690" t="s">
        <v>1538</v>
      </c>
      <c r="C74" s="586" t="s">
        <v>1538</v>
      </c>
      <c r="D74" s="586" t="s">
        <v>8122</v>
      </c>
      <c r="E74" s="586" t="s">
        <v>8122</v>
      </c>
      <c r="F74" s="581" t="str">
        <f t="shared" si="4"/>
        <v>74❻Ruční kolo</v>
      </c>
      <c r="G74" s="582" t="str">
        <f t="shared" si="5"/>
        <v>'DICTIONARY-6'!$A$74</v>
      </c>
      <c r="H74" s="795" t="s">
        <v>7831</v>
      </c>
      <c r="I74" s="795" t="s">
        <v>8196</v>
      </c>
    </row>
    <row r="75" spans="1:9" x14ac:dyDescent="0.25">
      <c r="A75" s="508" t="str">
        <f>IF(CHOOSE(SET.LANGUAGE,'DICTIONARY-7'!B75,'DICTIONARY-7'!C75,'DICTIONARY-7'!D75,'DICTIONARY-7'!E75,'DICTIONARY-7'!F75)=0,("??? "&amp;"DICTIONARY-4/"&amp;"LINE"&amp;(ROW(A75))),CHOOSE(SET.LANGUAGE,'DICTIONARY-7'!B75,'DICTIONARY-7'!C75,'DICTIONARY-7'!D75,'DICTIONARY-7'!E75,'DICTIONARY-7'!F75))</f>
        <v>OTHERS</v>
      </c>
      <c r="B75" s="690" t="s">
        <v>8143</v>
      </c>
      <c r="C75" s="586" t="s">
        <v>8143</v>
      </c>
      <c r="D75" s="586" t="s">
        <v>8123</v>
      </c>
      <c r="E75" s="586" t="s">
        <v>8123</v>
      </c>
      <c r="F75" s="581" t="str">
        <f t="shared" ref="F75:F76" si="6">CONCATENATE(ROW(B75),"❻",B75)</f>
        <v>75❻Ostatní výrobky</v>
      </c>
      <c r="G75" s="582" t="str">
        <f t="shared" ref="G75:G76" si="7">"'DICTIONARY-6'!$A$"&amp;ROW(A75)</f>
        <v>'DICTIONARY-6'!$A$75</v>
      </c>
      <c r="H75" s="795" t="s">
        <v>8197</v>
      </c>
      <c r="I75" s="795" t="s">
        <v>8198</v>
      </c>
    </row>
    <row r="76" spans="1:9" x14ac:dyDescent="0.25">
      <c r="A76" s="508" t="str">
        <f>IF(CHOOSE(SET.LANGUAGE,'DICTIONARY-7'!B76,'DICTIONARY-7'!C76,'DICTIONARY-7'!D76,'DICTIONARY-7'!E76,'DICTIONARY-7'!F76)=0,("??? "&amp;"DICTIONARY-4/"&amp;"LINE"&amp;(ROW(A76))),CHOOSE(SET.LANGUAGE,'DICTIONARY-7'!B76,'DICTIONARY-7'!C76,'DICTIONARY-7'!D76,'DICTIONARY-7'!E76,'DICTIONARY-7'!F76))</f>
        <v>OTHERS (with Actuator)</v>
      </c>
      <c r="B76" s="690" t="s">
        <v>8144</v>
      </c>
      <c r="C76" s="586" t="s">
        <v>8144</v>
      </c>
      <c r="D76" s="586" t="s">
        <v>8124</v>
      </c>
      <c r="E76" s="586" t="s">
        <v>8124</v>
      </c>
      <c r="F76" s="581" t="str">
        <f t="shared" si="6"/>
        <v>76❻Ostatní výrobky s pohonem</v>
      </c>
      <c r="G76" s="582" t="str">
        <f t="shared" si="7"/>
        <v>'DICTIONARY-6'!$A$76</v>
      </c>
      <c r="H76" s="795" t="s">
        <v>8199</v>
      </c>
      <c r="I76" s="795" t="s">
        <v>8200</v>
      </c>
    </row>
    <row r="77" spans="1:9" x14ac:dyDescent="0.25">
      <c r="A77" s="508" t="str">
        <f>IF(CHOOSE(SET.LANGUAGE,'DICTIONARY-7'!B77,'DICTIONARY-7'!C77,'DICTIONARY-7'!D77,'DICTIONARY-7'!E77,'DICTIONARY-7'!F77)=0,("??? "&amp;"DICTIONARY-4/"&amp;"LINE"&amp;(ROW(A77))),CHOOSE(SET.LANGUAGE,'DICTIONARY-7'!B77,'DICTIONARY-7'!C77,'DICTIONARY-7'!D77,'DICTIONARY-7'!E77,'DICTIONARY-7'!F77))</f>
        <v>ALKA</v>
      </c>
      <c r="B77" s="690" t="s">
        <v>27</v>
      </c>
      <c r="C77" s="586" t="s">
        <v>27</v>
      </c>
      <c r="D77" s="586" t="s">
        <v>27</v>
      </c>
      <c r="E77" s="586" t="s">
        <v>27</v>
      </c>
      <c r="F77" s="581" t="str">
        <f t="shared" ref="F77:F93" si="8">CONCATENATE(ROW(B77),"❻",B77)</f>
        <v>77❻ALKA</v>
      </c>
      <c r="G77" s="582" t="str">
        <f t="shared" ref="G77:G93" si="9">"'DICTIONARY-6'!$A$"&amp;ROW(A77)</f>
        <v>'DICTIONARY-6'!$A$77</v>
      </c>
      <c r="H77" s="795" t="s">
        <v>7857</v>
      </c>
      <c r="I77" s="795" t="s">
        <v>8201</v>
      </c>
    </row>
    <row r="78" spans="1:9" x14ac:dyDescent="0.25">
      <c r="A78" s="508" t="str">
        <f>IF(CHOOSE(SET.LANGUAGE,'DICTIONARY-7'!B78,'DICTIONARY-7'!C78,'DICTIONARY-7'!D78,'DICTIONARY-7'!E78,'DICTIONARY-7'!F78)=0,("??? "&amp;"DICTIONARY-4/"&amp;"LINE"&amp;(ROW(A78))),CHOOSE(SET.LANGUAGE,'DICTIONARY-7'!B78,'DICTIONARY-7'!C78,'DICTIONARY-7'!D78,'DICTIONARY-7'!E78,'DICTIONARY-7'!F78))</f>
        <v>RIKO</v>
      </c>
      <c r="B78" s="690" t="s">
        <v>33</v>
      </c>
      <c r="C78" s="586" t="s">
        <v>33</v>
      </c>
      <c r="D78" s="586" t="s">
        <v>33</v>
      </c>
      <c r="E78" s="586" t="s">
        <v>33</v>
      </c>
      <c r="F78" s="581" t="str">
        <f t="shared" si="8"/>
        <v>78❻RIKO</v>
      </c>
      <c r="G78" s="582" t="str">
        <f t="shared" si="9"/>
        <v>'DICTIONARY-6'!$A$78</v>
      </c>
      <c r="H78" s="795" t="s">
        <v>8202</v>
      </c>
      <c r="I78" s="795" t="s">
        <v>8203</v>
      </c>
    </row>
    <row r="79" spans="1:9" x14ac:dyDescent="0.25">
      <c r="A79" s="508" t="str">
        <f>IF(CHOOSE(SET.LANGUAGE,'DICTIONARY-7'!B79,'DICTIONARY-7'!C79,'DICTIONARY-7'!D79,'DICTIONARY-7'!E79,'DICTIONARY-7'!F79)=0,("??? "&amp;"DICTIONARY-4/"&amp;"LINE"&amp;(ROW(A79))),CHOOSE(SET.LANGUAGE,'DICTIONARY-7'!B79,'DICTIONARY-7'!C79,'DICTIONARY-7'!D79,'DICTIONARY-7'!E79,'DICTIONARY-7'!F79))</f>
        <v>KSSplus</v>
      </c>
      <c r="B79" s="690" t="s">
        <v>64</v>
      </c>
      <c r="C79" s="586" t="s">
        <v>64</v>
      </c>
      <c r="D79" s="586" t="s">
        <v>64</v>
      </c>
      <c r="E79" s="586" t="s">
        <v>64</v>
      </c>
      <c r="F79" s="581" t="str">
        <f t="shared" si="8"/>
        <v>79❻KSSplus</v>
      </c>
      <c r="G79" s="582" t="str">
        <f t="shared" si="9"/>
        <v>'DICTIONARY-6'!$A$79</v>
      </c>
      <c r="H79" s="795" t="s">
        <v>8204</v>
      </c>
      <c r="I79" s="795" t="s">
        <v>8205</v>
      </c>
    </row>
    <row r="80" spans="1:9" x14ac:dyDescent="0.25">
      <c r="A80" s="508" t="str">
        <f>IF(CHOOSE(SET.LANGUAGE,'DICTIONARY-7'!B80,'DICTIONARY-7'!C80,'DICTIONARY-7'!D80,'DICTIONARY-7'!E80,'DICTIONARY-7'!F80)=0,("??? "&amp;"DICTIONARY-4/"&amp;"LINE"&amp;(ROW(A80))),CHOOSE(SET.LANGUAGE,'DICTIONARY-7'!B80,'DICTIONARY-7'!C80,'DICTIONARY-7'!D80,'DICTIONARY-7'!E80,'DICTIONARY-7'!F80))</f>
        <v>PICO-M</v>
      </c>
      <c r="B80" s="690" t="s">
        <v>71</v>
      </c>
      <c r="C80" s="586" t="s">
        <v>71</v>
      </c>
      <c r="D80" s="586" t="s">
        <v>71</v>
      </c>
      <c r="E80" s="586" t="s">
        <v>71</v>
      </c>
      <c r="F80" s="581" t="str">
        <f t="shared" si="8"/>
        <v>80❻PICO-M</v>
      </c>
      <c r="G80" s="582" t="str">
        <f t="shared" si="9"/>
        <v>'DICTIONARY-6'!$A$80</v>
      </c>
      <c r="H80" s="795" t="s">
        <v>7839</v>
      </c>
      <c r="I80" s="795" t="s">
        <v>8206</v>
      </c>
    </row>
    <row r="81" spans="1:9" x14ac:dyDescent="0.25">
      <c r="A81" s="508" t="str">
        <f>IF(CHOOSE(SET.LANGUAGE,'DICTIONARY-7'!B81,'DICTIONARY-7'!C81,'DICTIONARY-7'!D81,'DICTIONARY-7'!E81,'DICTIONARY-7'!F81)=0,("??? "&amp;"DICTIONARY-4/"&amp;"LINE"&amp;(ROW(A81))),CHOOSE(SET.LANGUAGE,'DICTIONARY-7'!B81,'DICTIONARY-7'!C81,'DICTIONARY-7'!D81,'DICTIONARY-7'!E81,'DICTIONARY-7'!F81))</f>
        <v>MONTY</v>
      </c>
      <c r="B81" s="690" t="s">
        <v>37</v>
      </c>
      <c r="C81" s="586" t="s">
        <v>37</v>
      </c>
      <c r="D81" s="586" t="s">
        <v>37</v>
      </c>
      <c r="E81" s="586" t="s">
        <v>37</v>
      </c>
      <c r="F81" s="581" t="str">
        <f t="shared" si="8"/>
        <v>81❻MONTY</v>
      </c>
      <c r="G81" s="582" t="str">
        <f t="shared" si="9"/>
        <v>'DICTIONARY-6'!$A$81</v>
      </c>
      <c r="H81" s="795" t="s">
        <v>7856</v>
      </c>
      <c r="I81" s="795" t="s">
        <v>8207</v>
      </c>
    </row>
    <row r="82" spans="1:9" x14ac:dyDescent="0.25">
      <c r="A82" s="508" t="str">
        <f>IF(CHOOSE(SET.LANGUAGE,'DICTIONARY-7'!B82,'DICTIONARY-7'!C82,'DICTIONARY-7'!D82,'DICTIONARY-7'!E82,'DICTIONARY-7'!F82)=0,("??? "&amp;"DICTIONARY-4/"&amp;"LINE"&amp;(ROW(A82))),CHOOSE(SET.LANGUAGE,'DICTIONARY-7'!B82,'DICTIONARY-7'!C82,'DICTIONARY-7'!D82,'DICTIONARY-7'!E82,'DICTIONARY-7'!F82))</f>
        <v>FORTE</v>
      </c>
      <c r="B82" s="690" t="s">
        <v>34</v>
      </c>
      <c r="C82" s="586" t="s">
        <v>34</v>
      </c>
      <c r="D82" s="586" t="s">
        <v>34</v>
      </c>
      <c r="E82" s="586" t="s">
        <v>34</v>
      </c>
      <c r="F82" s="581" t="str">
        <f t="shared" si="8"/>
        <v>82❻FORTE</v>
      </c>
      <c r="G82" s="582" t="str">
        <f t="shared" si="9"/>
        <v>'DICTIONARY-6'!$A$82</v>
      </c>
      <c r="H82" s="795" t="s">
        <v>7841</v>
      </c>
      <c r="I82" s="795" t="s">
        <v>8208</v>
      </c>
    </row>
    <row r="83" spans="1:9" x14ac:dyDescent="0.25">
      <c r="A83" s="508" t="str">
        <f>IF(CHOOSE(SET.LANGUAGE,'DICTIONARY-7'!B83,'DICTIONARY-7'!C83,'DICTIONARY-7'!D83,'DICTIONARY-7'!E83,'DICTIONARY-7'!F83)=0,("??? "&amp;"DICTIONARY-4/"&amp;"LINE"&amp;(ROW(A83))),CHOOSE(SET.LANGUAGE,'DICTIONARY-7'!B83,'DICTIONARY-7'!C83,'DICTIONARY-7'!D83,'DICTIONARY-7'!E83,'DICTIONARY-7'!F83))</f>
        <v>SERIOplus</v>
      </c>
      <c r="B83" s="690" t="s">
        <v>43</v>
      </c>
      <c r="C83" s="586" t="s">
        <v>43</v>
      </c>
      <c r="D83" s="586" t="s">
        <v>43</v>
      </c>
      <c r="E83" s="586" t="s">
        <v>43</v>
      </c>
      <c r="F83" s="581" t="str">
        <f t="shared" si="8"/>
        <v>83❻SERIOplus</v>
      </c>
      <c r="G83" s="582" t="str">
        <f t="shared" si="9"/>
        <v>'DICTIONARY-6'!$A$83</v>
      </c>
      <c r="H83" s="795" t="s">
        <v>8209</v>
      </c>
      <c r="I83" s="795" t="s">
        <v>8210</v>
      </c>
    </row>
    <row r="84" spans="1:9" x14ac:dyDescent="0.25">
      <c r="A84" s="508" t="str">
        <f>IF(CHOOSE(SET.LANGUAGE,'DICTIONARY-7'!B84,'DICTIONARY-7'!C84,'DICTIONARY-7'!D84,'DICTIONARY-7'!E84,'DICTIONARY-7'!F84)=0,("??? "&amp;"DICTIONARY-4/"&amp;"LINE"&amp;(ROW(A84))),CHOOSE(SET.LANGUAGE,'DICTIONARY-7'!B84,'DICTIONARY-7'!C84,'DICTIONARY-7'!D84,'DICTIONARY-7'!E84,'DICTIONARY-7'!F84))</f>
        <v>REMO</v>
      </c>
      <c r="B84" s="690" t="s">
        <v>39</v>
      </c>
      <c r="C84" s="586" t="s">
        <v>39</v>
      </c>
      <c r="D84" s="586" t="s">
        <v>39</v>
      </c>
      <c r="E84" s="586" t="s">
        <v>39</v>
      </c>
      <c r="F84" s="581" t="str">
        <f t="shared" si="8"/>
        <v>84❻REMO</v>
      </c>
      <c r="G84" s="582" t="str">
        <f t="shared" si="9"/>
        <v>'DICTIONARY-6'!$A$84</v>
      </c>
      <c r="H84" s="795" t="s">
        <v>8211</v>
      </c>
      <c r="I84" s="795" t="s">
        <v>8212</v>
      </c>
    </row>
    <row r="85" spans="1:9" x14ac:dyDescent="0.25">
      <c r="A85" s="508" t="str">
        <f>IF(CHOOSE(SET.LANGUAGE,'DICTIONARY-7'!B85,'DICTIONARY-7'!C85,'DICTIONARY-7'!D85,'DICTIONARY-7'!E85,'DICTIONARY-7'!F85)=0,("??? "&amp;"DICTIONARY-4/"&amp;"LINE"&amp;(ROW(A85))),CHOOSE(SET.LANGUAGE,'DICTIONARY-7'!B85,'DICTIONARY-7'!C85,'DICTIONARY-7'!D85,'DICTIONARY-7'!E85,'DICTIONARY-7'!F85))</f>
        <v>STREET CAPS</v>
      </c>
      <c r="B85" s="690" t="s">
        <v>8145</v>
      </c>
      <c r="C85" s="586" t="s">
        <v>8145</v>
      </c>
      <c r="D85" s="586" t="s">
        <v>8125</v>
      </c>
      <c r="E85" s="586" t="s">
        <v>8125</v>
      </c>
      <c r="F85" s="581" t="str">
        <f t="shared" si="8"/>
        <v>85❻Poklopy</v>
      </c>
      <c r="G85" s="582" t="str">
        <f t="shared" si="9"/>
        <v>'DICTIONARY-6'!$A$85</v>
      </c>
      <c r="H85" s="795" t="s">
        <v>7849</v>
      </c>
      <c r="I85" s="795" t="s">
        <v>8213</v>
      </c>
    </row>
    <row r="86" spans="1:9" x14ac:dyDescent="0.25">
      <c r="A86" s="508" t="str">
        <f>IF(CHOOSE(SET.LANGUAGE,'DICTIONARY-7'!B86,'DICTIONARY-7'!C86,'DICTIONARY-7'!D86,'DICTIONARY-7'!E86,'DICTIONARY-7'!F86)=0,("??? "&amp;"DICTIONARY-4/"&amp;"LINE"&amp;(ROW(A86))),CHOOSE(SET.LANGUAGE,'DICTIONARY-7'!B86,'DICTIONARY-7'!C86,'DICTIONARY-7'!D86,'DICTIONARY-7'!E86,'DICTIONARY-7'!F86))</f>
        <v>BALL VALVES</v>
      </c>
      <c r="B86" s="690" t="s">
        <v>8146</v>
      </c>
      <c r="C86" s="586" t="s">
        <v>8146</v>
      </c>
      <c r="D86" s="586" t="s">
        <v>8126</v>
      </c>
      <c r="E86" s="586" t="s">
        <v>8126</v>
      </c>
      <c r="F86" s="581" t="str">
        <f t="shared" si="8"/>
        <v>86❻Kulové kohouty (dom. uzávěry)</v>
      </c>
      <c r="G86" s="582" t="str">
        <f t="shared" si="9"/>
        <v>'DICTIONARY-6'!$A$86</v>
      </c>
      <c r="H86" s="795" t="s">
        <v>7818</v>
      </c>
      <c r="I86" s="795" t="s">
        <v>8214</v>
      </c>
    </row>
    <row r="87" spans="1:9" x14ac:dyDescent="0.25">
      <c r="A87" s="508" t="str">
        <f>IF(CHOOSE(SET.LANGUAGE,'DICTIONARY-7'!B87,'DICTIONARY-7'!C87,'DICTIONARY-7'!D87,'DICTIONARY-7'!E87,'DICTIONARY-7'!F87)=0,("??? "&amp;"DICTIONARY-4/"&amp;"LINE"&amp;(ROW(A87))),CHOOSE(SET.LANGUAGE,'DICTIONARY-7'!B87,'DICTIONARY-7'!C87,'DICTIONARY-7'!D87,'DICTIONARY-7'!E87,'DICTIONARY-7'!F87))</f>
        <v>Hydrant Accessories</v>
      </c>
      <c r="B87" s="690" t="s">
        <v>8147</v>
      </c>
      <c r="C87" s="586" t="s">
        <v>8147</v>
      </c>
      <c r="D87" s="586" t="s">
        <v>8127</v>
      </c>
      <c r="E87" s="586" t="s">
        <v>8127</v>
      </c>
      <c r="F87" s="581" t="str">
        <f t="shared" si="8"/>
        <v>87❻Přílušenství hydrantů</v>
      </c>
      <c r="G87" s="582" t="str">
        <f t="shared" si="9"/>
        <v>'DICTIONARY-6'!$A$87</v>
      </c>
      <c r="H87" s="795" t="s">
        <v>7808</v>
      </c>
      <c r="I87" s="795" t="s">
        <v>8215</v>
      </c>
    </row>
    <row r="88" spans="1:9" x14ac:dyDescent="0.25">
      <c r="A88" s="508" t="str">
        <f>IF(CHOOSE(SET.LANGUAGE,'DICTIONARY-7'!B88,'DICTIONARY-7'!C88,'DICTIONARY-7'!D88,'DICTIONARY-7'!E88,'DICTIONARY-7'!F88)=0,("??? "&amp;"DICTIONARY-4/"&amp;"LINE"&amp;(ROW(A88))),CHOOSE(SET.LANGUAGE,'DICTIONARY-7'!B88,'DICTIONARY-7'!C88,'DICTIONARY-7'!D88,'DICTIONARY-7'!E88,'DICTIONARY-7'!F88))</f>
        <v>VAF</v>
      </c>
      <c r="B88" s="690" t="s">
        <v>38</v>
      </c>
      <c r="C88" s="586" t="s">
        <v>38</v>
      </c>
      <c r="D88" s="586" t="s">
        <v>38</v>
      </c>
      <c r="E88" s="586" t="s">
        <v>38</v>
      </c>
      <c r="F88" s="581" t="str">
        <f t="shared" si="8"/>
        <v>88❻VAF</v>
      </c>
      <c r="G88" s="582" t="str">
        <f t="shared" si="9"/>
        <v>'DICTIONARY-6'!$A$88</v>
      </c>
      <c r="H88" s="795" t="s">
        <v>7844</v>
      </c>
      <c r="I88" s="795" t="s">
        <v>8216</v>
      </c>
    </row>
    <row r="89" spans="1:9" x14ac:dyDescent="0.25">
      <c r="A89" s="508" t="str">
        <f>IF(CHOOSE(SET.LANGUAGE,'DICTIONARY-7'!B89,'DICTIONARY-7'!C89,'DICTIONARY-7'!D89,'DICTIONARY-7'!E89,'DICTIONARY-7'!F89)=0,("??? "&amp;"DICTIONARY-4/"&amp;"LINE"&amp;(ROW(A89))),CHOOSE(SET.LANGUAGE,'DICTIONARY-7'!B89,'DICTIONARY-7'!C89,'DICTIONARY-7'!D89,'DICTIONARY-7'!E89,'DICTIONARY-7'!F89))</f>
        <v>CEREX 300 (with Actuator)</v>
      </c>
      <c r="B89" s="690" t="s">
        <v>8148</v>
      </c>
      <c r="C89" s="586" t="s">
        <v>8148</v>
      </c>
      <c r="D89" s="586" t="s">
        <v>8128</v>
      </c>
      <c r="E89" s="586" t="s">
        <v>8128</v>
      </c>
      <c r="F89" s="581" t="str">
        <f t="shared" si="8"/>
        <v>89❻CEREX 300 s pohonem</v>
      </c>
      <c r="G89" s="582" t="str">
        <f t="shared" si="9"/>
        <v>'DICTIONARY-6'!$A$89</v>
      </c>
      <c r="H89" s="795" t="s">
        <v>8217</v>
      </c>
      <c r="I89" s="795" t="s">
        <v>8218</v>
      </c>
    </row>
    <row r="90" spans="1:9" x14ac:dyDescent="0.25">
      <c r="A90" s="508" t="str">
        <f>IF(CHOOSE(SET.LANGUAGE,'DICTIONARY-7'!B90,'DICTIONARY-7'!C90,'DICTIONARY-7'!D90,'DICTIONARY-7'!E90,'DICTIONARY-7'!F90)=0,("??? "&amp;"DICTIONARY-4/"&amp;"LINE"&amp;(ROW(A90))),CHOOSE(SET.LANGUAGE,'DICTIONARY-7'!B90,'DICTIONARY-7'!C90,'DICTIONARY-7'!D90,'DICTIONARY-7'!E90,'DICTIONARY-7'!F90))</f>
        <v>DURA (with Actuator)</v>
      </c>
      <c r="B90" s="690" t="s">
        <v>8149</v>
      </c>
      <c r="C90" s="586" t="s">
        <v>8149</v>
      </c>
      <c r="D90" s="586" t="s">
        <v>8129</v>
      </c>
      <c r="E90" s="586" t="s">
        <v>8129</v>
      </c>
      <c r="F90" s="581" t="str">
        <f t="shared" si="8"/>
        <v>90❻DURA s el. servopohonem</v>
      </c>
      <c r="G90" s="582" t="str">
        <f t="shared" si="9"/>
        <v>'DICTIONARY-6'!$A$90</v>
      </c>
      <c r="H90" s="795" t="s">
        <v>8219</v>
      </c>
      <c r="I90" s="795" t="s">
        <v>8220</v>
      </c>
    </row>
    <row r="91" spans="1:9" x14ac:dyDescent="0.25">
      <c r="A91" s="508" t="str">
        <f>IF(CHOOSE(SET.LANGUAGE,'DICTIONARY-7'!B91,'DICTIONARY-7'!C91,'DICTIONARY-7'!D91,'DICTIONARY-7'!E91,'DICTIONARY-7'!F91)=0,("??? "&amp;"DICTIONARY-4/"&amp;"LINE"&amp;(ROW(A91))),CHOOSE(SET.LANGUAGE,'DICTIONARY-7'!B91,'DICTIONARY-7'!C91,'DICTIONARY-7'!D91,'DICTIONARY-7'!E91,'DICTIONARY-7'!F91))</f>
        <v>EKN (&gt;DN600) (with Actuator)</v>
      </c>
      <c r="B91" s="690" t="s">
        <v>8150</v>
      </c>
      <c r="C91" s="586" t="s">
        <v>8150</v>
      </c>
      <c r="D91" s="586" t="s">
        <v>8130</v>
      </c>
      <c r="E91" s="586" t="s">
        <v>8130</v>
      </c>
      <c r="F91" s="581" t="str">
        <f t="shared" si="8"/>
        <v>91❻EKN s pohonem (&gt;DN600)</v>
      </c>
      <c r="G91" s="582" t="str">
        <f t="shared" si="9"/>
        <v>'DICTIONARY-6'!$A$91</v>
      </c>
      <c r="H91" s="795" t="s">
        <v>8221</v>
      </c>
      <c r="I91" s="795" t="s">
        <v>8222</v>
      </c>
    </row>
    <row r="92" spans="1:9" x14ac:dyDescent="0.25">
      <c r="A92" s="508" t="str">
        <f>IF(CHOOSE(SET.LANGUAGE,'DICTIONARY-7'!B92,'DICTIONARY-7'!C92,'DICTIONARY-7'!D92,'DICTIONARY-7'!E92,'DICTIONARY-7'!F92)=0,("??? "&amp;"DICTIONARY-4/"&amp;"LINE"&amp;(ROW(A92))),CHOOSE(SET.LANGUAGE,'DICTIONARY-7'!B92,'DICTIONARY-7'!C92,'DICTIONARY-7'!D92,'DICTIONARY-7'!E92,'DICTIONARY-7'!F92))</f>
        <v>EKN (≤DN600) (with Actuator)</v>
      </c>
      <c r="B92" s="690" t="s">
        <v>8151</v>
      </c>
      <c r="C92" s="586" t="s">
        <v>8151</v>
      </c>
      <c r="D92" s="586" t="s">
        <v>8131</v>
      </c>
      <c r="E92" s="586" t="s">
        <v>8131</v>
      </c>
      <c r="F92" s="581" t="str">
        <f t="shared" si="8"/>
        <v>92❻EKN s pohonem (≤DN600)</v>
      </c>
      <c r="G92" s="582" t="str">
        <f t="shared" si="9"/>
        <v>'DICTIONARY-6'!$A$92</v>
      </c>
      <c r="H92" s="795" t="s">
        <v>8223</v>
      </c>
      <c r="I92" s="795" t="s">
        <v>8222</v>
      </c>
    </row>
    <row r="93" spans="1:9" x14ac:dyDescent="0.25">
      <c r="A93" s="508" t="str">
        <f>IF(CHOOSE(SET.LANGUAGE,'DICTIONARY-7'!B93,'DICTIONARY-7'!C93,'DICTIONARY-7'!D93,'DICTIONARY-7'!E93,'DICTIONARY-7'!F93)=0,("??? "&amp;"DICTIONARY-4/"&amp;"LINE"&amp;(ROW(A93))),CHOOSE(SET.LANGUAGE,'DICTIONARY-7'!B93,'DICTIONARY-7'!C93,'DICTIONARY-7'!D93,'DICTIONARY-7'!E93,'DICTIONARY-7'!F93))</f>
        <v>Chamber Hydrant</v>
      </c>
      <c r="B93" s="690" t="s">
        <v>8152</v>
      </c>
      <c r="C93" s="586" t="s">
        <v>8152</v>
      </c>
      <c r="D93" s="586" t="s">
        <v>8132</v>
      </c>
      <c r="E93" s="586" t="s">
        <v>8132</v>
      </c>
      <c r="F93" s="581" t="str">
        <f t="shared" si="8"/>
        <v>93❻Komorový hydrant</v>
      </c>
      <c r="G93" s="582" t="str">
        <f t="shared" si="9"/>
        <v>'DICTIONARY-6'!$A$93</v>
      </c>
      <c r="H93" s="795" t="s">
        <v>8224</v>
      </c>
      <c r="I93" s="795" t="s">
        <v>8225</v>
      </c>
    </row>
  </sheetData>
  <sheetProtection algorithmName="SHA-512" hashValue="QuOcmENySMDeqnNW5yJvIVnbNAywWLn1zb9/sWpx4F2fecdIzJ++h8Rnm3Ze4I7uzntLL/KJOp4Co63UX/epbQ==" saltValue="gLWgiVRSgOMSwa4BhE7omQ==" spinCount="100000" sheet="1" objects="1" scenarios="1" autoFilter="0"/>
  <conditionalFormatting sqref="B1:E1048576">
    <cfRule type="containsBlanks" dxfId="13" priority="2">
      <formula>LEN(TRIM(B1))=0</formula>
    </cfRule>
  </conditionalFormatting>
  <conditionalFormatting sqref="A1">
    <cfRule type="expression" dxfId="12" priority="1">
      <formula>CODE(LEFT(A1,1))&gt;90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57">
    <tabColor rgb="FF0F6E23"/>
  </sheetPr>
  <dimension ref="A1:H24"/>
  <sheetViews>
    <sheetView workbookViewId="0"/>
  </sheetViews>
  <sheetFormatPr defaultColWidth="9.140625" defaultRowHeight="15" x14ac:dyDescent="0.25"/>
  <cols>
    <col min="1" max="3" width="9.140625" style="177"/>
    <col min="4" max="5" width="22.140625" style="177" customWidth="1"/>
    <col min="6" max="7" width="12.85546875" style="177" customWidth="1"/>
    <col min="8" max="16384" width="9.140625" style="177"/>
  </cols>
  <sheetData>
    <row r="1" spans="1:8" s="405" customFormat="1" ht="45" customHeight="1" thickBot="1" x14ac:dyDescent="0.3">
      <c r="A1" s="429"/>
      <c r="B1" s="429"/>
      <c r="C1" s="429"/>
      <c r="D1" s="429"/>
    </row>
    <row r="2" spans="1:8" s="463" customFormat="1" ht="4.5" customHeight="1" x14ac:dyDescent="0.25">
      <c r="A2" s="462"/>
    </row>
    <row r="3" spans="1:8" ht="15.75" thickBot="1" x14ac:dyDescent="0.3">
      <c r="A3" s="178"/>
      <c r="B3" s="179"/>
      <c r="C3" s="179"/>
    </row>
    <row r="4" spans="1:8" ht="15.75" thickBot="1" x14ac:dyDescent="0.3">
      <c r="A4" s="823">
        <f>ADD.DISCOUNT</f>
        <v>0</v>
      </c>
      <c r="B4" s="933" t="str">
        <f>HYPERLINK("#'LIST'!ADD.DISCOUNT","» "&amp;'DICTIONARY-1'!$A$5)</f>
        <v>» Ustaw globalny dodatkowy rabat</v>
      </c>
      <c r="C4" s="1017"/>
      <c r="D4" s="1017"/>
      <c r="E4" s="1018"/>
    </row>
    <row r="5" spans="1:8" x14ac:dyDescent="0.25">
      <c r="A5" s="178"/>
      <c r="B5" s="179"/>
      <c r="C5" s="179"/>
    </row>
    <row r="6" spans="1:8" ht="16.5" thickBot="1" x14ac:dyDescent="0.3">
      <c r="A6" s="712" t="str">
        <f>'DICTIONARY-3'!$A$105</f>
        <v>Przeciwkołnierz</v>
      </c>
      <c r="B6" s="712"/>
      <c r="C6" s="712"/>
      <c r="D6" s="712"/>
      <c r="E6" s="712"/>
      <c r="F6" s="712"/>
      <c r="G6" s="712"/>
    </row>
    <row r="7" spans="1:8" x14ac:dyDescent="0.25">
      <c r="A7" s="180" t="str">
        <f>PROPER('DICTIONARY-5'!$A$7)&amp;" "&amp;'DICTIONARY-3'!$A$148</f>
        <v>Dla CEREX 300-L</v>
      </c>
      <c r="B7" s="175"/>
      <c r="C7" s="175"/>
      <c r="D7" s="175"/>
      <c r="E7" s="175"/>
      <c r="F7" s="176"/>
      <c r="G7" s="176"/>
    </row>
    <row r="8" spans="1:8" x14ac:dyDescent="0.25">
      <c r="A8" s="180" t="str">
        <f>CONCATENATE('DICTIONARY-1'!$A$10,": ",SETTINGS!$C$76)</f>
        <v>Grupa rabatowa: Accessory components</v>
      </c>
      <c r="B8" s="175"/>
      <c r="C8" s="175"/>
      <c r="D8" s="175"/>
      <c r="E8" s="175"/>
      <c r="F8" s="176"/>
      <c r="G8" s="176"/>
    </row>
    <row r="9" spans="1:8" x14ac:dyDescent="0.25">
      <c r="A9" s="182"/>
      <c r="B9" s="175"/>
      <c r="C9" s="175"/>
      <c r="D9" s="175"/>
      <c r="E9" s="175"/>
      <c r="F9" s="176"/>
      <c r="G9" s="176"/>
    </row>
    <row r="10" spans="1:8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020" t="str">
        <f>'DICTIONARY-3'!$A$105</f>
        <v>Przeciwkołnierz</v>
      </c>
      <c r="E10" s="1020"/>
      <c r="F10" s="1020"/>
      <c r="G10" s="1020"/>
    </row>
    <row r="11" spans="1:8" x14ac:dyDescent="0.25">
      <c r="A11" s="184"/>
      <c r="B11" s="184"/>
      <c r="C11" s="184"/>
      <c r="D11" s="1019" t="str">
        <f>'DICTIONARY-5'!$A$7&amp;" "&amp;'DICTIONARY-3'!$A$148</f>
        <v>dla CEREX 300-L</v>
      </c>
      <c r="E11" s="1019"/>
      <c r="F11" s="1019"/>
      <c r="G11" s="1019"/>
    </row>
    <row r="12" spans="1:8" x14ac:dyDescent="0.25">
      <c r="A12" s="190"/>
      <c r="B12" s="190"/>
      <c r="C12" s="190" t="str">
        <f>'DICTIONARY-2'!$A$18</f>
        <v>[mm]</v>
      </c>
      <c r="D12" s="191" t="str">
        <f>'DICTIONARY-2'!$A$28</f>
        <v>stary nr zamówienia</v>
      </c>
      <c r="E12" s="191" t="str">
        <f>'DICTIONARY-2'!$A$29</f>
        <v>nowy nr zamówienia</v>
      </c>
      <c r="F12" s="186" t="str">
        <f>CURRENCY.CODE_1</f>
        <v>EUR</v>
      </c>
      <c r="G12" s="186" t="str">
        <f>CURRENCY.CODE_2</f>
        <v>---</v>
      </c>
      <c r="H12" s="529"/>
    </row>
    <row r="13" spans="1:8" x14ac:dyDescent="0.25">
      <c r="A13" s="187">
        <v>50</v>
      </c>
      <c r="B13" s="187" t="s">
        <v>85</v>
      </c>
      <c r="C13" s="187">
        <v>20</v>
      </c>
      <c r="D13" s="187" t="s">
        <v>1853</v>
      </c>
      <c r="E13" s="317" t="s">
        <v>2739</v>
      </c>
      <c r="F13" s="339" t="str">
        <f>IFERROR(IF(OR(E13='DICTIONARY-5'!$A$2,E13='DICTIONARY-5'!$A$4,ISBLANK(E13)),VLOOKUP(D13,LIST!$A$6:$L$3250,CURR_1.SEARCH.OLD,0),VLOOKUP(E13,LIST!$B$6:$L$3250,CURR_1.SEARCH.NEW,0)),'DICTIONARY-5'!$A$2)</f>
        <v>21,-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8" x14ac:dyDescent="0.25">
      <c r="A14" s="187">
        <v>65</v>
      </c>
      <c r="B14" s="187" t="s">
        <v>85</v>
      </c>
      <c r="C14" s="187">
        <v>20</v>
      </c>
      <c r="D14" s="187" t="s">
        <v>1854</v>
      </c>
      <c r="E14" s="317" t="s">
        <v>2740</v>
      </c>
      <c r="F14" s="339" t="str">
        <f>IFERROR(IF(OR(E14='DICTIONARY-5'!$A$2,E14='DICTIONARY-5'!$A$4,ISBLANK(E14)),VLOOKUP(D14,LIST!$A$6:$L$3250,CURR_1.SEARCH.OLD,0),VLOOKUP(E14,LIST!$B$6:$L$3250,CURR_1.SEARCH.NEW,0)),'DICTIONARY-5'!$A$2)</f>
        <v>24,-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8" x14ac:dyDescent="0.25">
      <c r="A15" s="187">
        <v>80</v>
      </c>
      <c r="B15" s="187" t="s">
        <v>85</v>
      </c>
      <c r="C15" s="187">
        <v>20</v>
      </c>
      <c r="D15" s="187" t="s">
        <v>1855</v>
      </c>
      <c r="E15" s="317" t="s">
        <v>2741</v>
      </c>
      <c r="F15" s="339" t="str">
        <f>IFERROR(IF(OR(E15='DICTIONARY-5'!$A$2,E15='DICTIONARY-5'!$A$4,ISBLANK(E15)),VLOOKUP(D15,LIST!$A$6:$L$3250,CURR_1.SEARCH.OLD,0),VLOOKUP(E15,LIST!$B$6:$L$3250,CURR_1.SEARCH.NEW,0)),'DICTIONARY-5'!$A$2)</f>
        <v>37,-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8" x14ac:dyDescent="0.25">
      <c r="A16" s="187">
        <v>100</v>
      </c>
      <c r="B16" s="187" t="s">
        <v>85</v>
      </c>
      <c r="C16" s="187">
        <v>22</v>
      </c>
      <c r="D16" s="187" t="s">
        <v>1856</v>
      </c>
      <c r="E16" s="317" t="s">
        <v>2742</v>
      </c>
      <c r="F16" s="339" t="str">
        <f>IFERROR(IF(OR(E16='DICTIONARY-5'!$A$2,E16='DICTIONARY-5'!$A$4,ISBLANK(E16)),VLOOKUP(D16,LIST!$A$6:$L$3250,CURR_1.SEARCH.OLD,0),VLOOKUP(E16,LIST!$B$6:$L$3250,CURR_1.SEARCH.NEW,0)),'DICTIONARY-5'!$A$2)</f>
        <v>52,-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187">
        <v>125</v>
      </c>
      <c r="B17" s="187" t="s">
        <v>85</v>
      </c>
      <c r="C17" s="187">
        <v>22</v>
      </c>
      <c r="D17" s="187" t="s">
        <v>1857</v>
      </c>
      <c r="E17" s="317" t="s">
        <v>2743</v>
      </c>
      <c r="F17" s="339" t="str">
        <f>IFERROR(IF(OR(E17='DICTIONARY-5'!$A$2,E17='DICTIONARY-5'!$A$4,ISBLANK(E17)),VLOOKUP(D17,LIST!$A$6:$L$3250,CURR_1.SEARCH.OLD,0),VLOOKUP(E17,LIST!$B$6:$L$3250,CURR_1.SEARCH.NEW,0)),'DICTIONARY-5'!$A$2)</f>
        <v>65,-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187">
        <v>150</v>
      </c>
      <c r="B18" s="187" t="s">
        <v>85</v>
      </c>
      <c r="C18" s="187">
        <v>24</v>
      </c>
      <c r="D18" s="187" t="s">
        <v>1858</v>
      </c>
      <c r="E18" s="317" t="s">
        <v>2744</v>
      </c>
      <c r="F18" s="339" t="str">
        <f>IFERROR(IF(OR(E18='DICTIONARY-5'!$A$2,E18='DICTIONARY-5'!$A$4,ISBLANK(E18)),VLOOKUP(D18,LIST!$A$6:$L$3250,CURR_1.SEARCH.OLD,0),VLOOKUP(E18,LIST!$B$6:$L$3250,CURR_1.SEARCH.NEW,0)),'DICTIONARY-5'!$A$2)</f>
        <v>80,-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187">
        <v>200</v>
      </c>
      <c r="B19" s="187">
        <v>16</v>
      </c>
      <c r="C19" s="187">
        <v>26</v>
      </c>
      <c r="D19" s="187" t="s">
        <v>1859</v>
      </c>
      <c r="E19" s="317" t="s">
        <v>2745</v>
      </c>
      <c r="F19" s="339" t="str">
        <f>IFERROR(IF(OR(E19='DICTIONARY-5'!$A$2,E19='DICTIONARY-5'!$A$4,ISBLANK(E19)),VLOOKUP(D19,LIST!$A$6:$L$3250,CURR_1.SEARCH.OLD,0),VLOOKUP(E19,LIST!$B$6:$L$3250,CURR_1.SEARCH.NEW,0)),'DICTIONARY-5'!$A$2)</f>
        <v>122,-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0" spans="1:7" x14ac:dyDescent="0.25">
      <c r="A20" s="187">
        <v>250</v>
      </c>
      <c r="B20" s="187">
        <v>16</v>
      </c>
      <c r="C20" s="187">
        <v>29</v>
      </c>
      <c r="D20" s="187" t="s">
        <v>1860</v>
      </c>
      <c r="E20" s="317" t="s">
        <v>2746</v>
      </c>
      <c r="F20" s="339" t="str">
        <f>IFERROR(IF(OR(E20='DICTIONARY-5'!$A$2,E20='DICTIONARY-5'!$A$4,ISBLANK(E20)),VLOOKUP(D20,LIST!$A$6:$L$3250,CURR_1.SEARCH.OLD,0),VLOOKUP(E20,LIST!$B$6:$L$3250,CURR_1.SEARCH.NEW,0)),'DICTIONARY-5'!$A$2)</f>
        <v>176,-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</row>
    <row r="21" spans="1:7" x14ac:dyDescent="0.25">
      <c r="A21" s="187">
        <v>300</v>
      </c>
      <c r="B21" s="187">
        <v>16</v>
      </c>
      <c r="C21" s="187">
        <v>32</v>
      </c>
      <c r="D21" s="187" t="s">
        <v>1861</v>
      </c>
      <c r="E21" s="317" t="s">
        <v>2747</v>
      </c>
      <c r="F21" s="339" t="str">
        <f>IFERROR(IF(OR(E21='DICTIONARY-5'!$A$2,E21='DICTIONARY-5'!$A$4,ISBLANK(E21)),VLOOKUP(D21,LIST!$A$6:$L$3250,CURR_1.SEARCH.OLD,0),VLOOKUP(E21,LIST!$B$6:$L$3250,CURR_1.SEARCH.NEW,0)),'DICTIONARY-5'!$A$2)</f>
        <v>237,-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</row>
    <row r="22" spans="1:7" x14ac:dyDescent="0.25">
      <c r="A22" s="175"/>
      <c r="B22" s="175"/>
      <c r="C22" s="175"/>
      <c r="D22" s="175"/>
      <c r="E22" s="175"/>
      <c r="F22" s="176"/>
      <c r="G22" s="176"/>
    </row>
    <row r="23" spans="1:7" x14ac:dyDescent="0.25">
      <c r="A23" s="175"/>
      <c r="B23" s="175"/>
    </row>
    <row r="24" spans="1:7" x14ac:dyDescent="0.25">
      <c r="A24" s="189"/>
      <c r="B24" s="175"/>
    </row>
  </sheetData>
  <sheetProtection algorithmName="SHA-512" hashValue="OJtBrdTKXOwE3WftjZyjnPnAjn+ls5TxGWMCwpAGeQA3BnfIVre03r7Ghu8AZxXX09lVDTy3RODeJ3OI5OJoBA==" saltValue="w/gbeTXRAIwWBdzTJTEF4g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10">
    <tabColor rgb="FF0A9B1E"/>
  </sheetPr>
  <dimension ref="A1:K67"/>
  <sheetViews>
    <sheetView workbookViewId="0"/>
  </sheetViews>
  <sheetFormatPr defaultColWidth="9.140625" defaultRowHeight="15" x14ac:dyDescent="0.25"/>
  <cols>
    <col min="1" max="3" width="9.140625" style="366"/>
    <col min="4" max="5" width="22.140625" style="366" customWidth="1"/>
    <col min="6" max="7" width="12.85546875" style="366" customWidth="1"/>
    <col min="8" max="9" width="22.140625" style="366" customWidth="1"/>
    <col min="10" max="11" width="12.85546875" style="366" customWidth="1"/>
    <col min="12" max="16384" width="9.140625" style="366"/>
  </cols>
  <sheetData>
    <row r="1" spans="1:11" s="384" customFormat="1" ht="45" customHeight="1" thickBot="1" x14ac:dyDescent="0.3">
      <c r="A1" s="422"/>
      <c r="B1" s="422"/>
      <c r="C1" s="422"/>
      <c r="D1" s="422"/>
    </row>
    <row r="2" spans="1:11" s="435" customFormat="1" ht="4.5" customHeight="1" x14ac:dyDescent="0.25">
      <c r="A2" s="434"/>
    </row>
    <row r="3" spans="1:11" ht="15.75" thickBot="1" x14ac:dyDescent="0.3">
      <c r="A3" s="367"/>
      <c r="B3" s="368"/>
      <c r="C3" s="368"/>
    </row>
    <row r="4" spans="1:11" ht="15.75" thickBot="1" x14ac:dyDescent="0.3">
      <c r="A4" s="822">
        <f>ADD.DISCOUNT</f>
        <v>0</v>
      </c>
      <c r="B4" s="933" t="str">
        <f>HYPERLINK("#'LIST'!ADD.DISCOUNT","» "&amp;'DICTIONARY-1'!$A$5)</f>
        <v>» Ustaw globalny dodatkowy rabat</v>
      </c>
      <c r="C4" s="962"/>
      <c r="D4" s="962"/>
      <c r="E4" s="963"/>
    </row>
    <row r="5" spans="1:11" x14ac:dyDescent="0.25">
      <c r="A5" s="367"/>
      <c r="B5" s="368"/>
      <c r="C5" s="368"/>
    </row>
    <row r="6" spans="1:11" ht="16.5" thickBot="1" x14ac:dyDescent="0.3">
      <c r="A6" s="712" t="str">
        <f>CONCATENATE('DICTIONARY-3'!$A$148," ",'DICTIONARY-3'!$A$204," / ",'DICTIONARY-3'!$A$243)</f>
        <v>CEREX 300-L Przepustnica kołnierzowa / Z wolnym końcem wałka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374" t="str">
        <f>'DICTIONARY-5'!$A$212</f>
        <v>Z wolnym wałkiem do zamontowania napędu elektrycznego SQ/SQR lub napędu pneumatycznego</v>
      </c>
      <c r="B7" s="363"/>
      <c r="C7" s="363"/>
      <c r="D7" s="363"/>
      <c r="E7" s="363"/>
      <c r="F7" s="364"/>
      <c r="G7" s="364"/>
      <c r="H7" s="363"/>
      <c r="I7" s="363"/>
      <c r="J7" s="364"/>
      <c r="K7" s="364"/>
    </row>
    <row r="8" spans="1:11" x14ac:dyDescent="0.25">
      <c r="A8" s="279" t="str">
        <f>CONCATENATE('DICTIONARY-1'!$A$10,": ",SETTINGS!$C$42)</f>
        <v>Grupa rabatowa: CEREX 300</v>
      </c>
      <c r="B8" s="363"/>
      <c r="C8" s="363"/>
      <c r="D8" s="363"/>
      <c r="E8" s="363"/>
      <c r="F8" s="364"/>
      <c r="G8" s="364"/>
      <c r="H8" s="363"/>
      <c r="I8" s="363"/>
      <c r="J8" s="364"/>
      <c r="K8" s="364"/>
    </row>
    <row r="9" spans="1:11" x14ac:dyDescent="0.25">
      <c r="A9" s="370"/>
      <c r="B9" s="363"/>
      <c r="C9" s="363"/>
      <c r="D9" s="363"/>
      <c r="E9" s="363"/>
      <c r="F9" s="364"/>
      <c r="G9" s="364"/>
      <c r="H9" s="363"/>
      <c r="I9" s="363"/>
      <c r="J9" s="364"/>
      <c r="K9" s="364"/>
    </row>
    <row r="10" spans="1:11" x14ac:dyDescent="0.25">
      <c r="A10" s="561" t="str">
        <f>'DICTIONARY-2'!$A$2</f>
        <v>DN</v>
      </c>
      <c r="B10" s="561" t="str">
        <f>'DICTIONARY-2'!$A$3</f>
        <v>PN</v>
      </c>
      <c r="C10" s="561" t="str">
        <f>'DICTIONARY-2'!$A$24</f>
        <v>L</v>
      </c>
      <c r="D10" s="967" t="str">
        <f>'DICTIONARY-3'!$A$148</f>
        <v>CEREX 300-L</v>
      </c>
      <c r="E10" s="967"/>
      <c r="F10" s="967"/>
      <c r="G10" s="967"/>
      <c r="H10" s="967" t="str">
        <f>'DICTIONARY-3'!$A$148</f>
        <v>CEREX 300-L</v>
      </c>
      <c r="I10" s="967"/>
      <c r="J10" s="967"/>
      <c r="K10" s="967"/>
    </row>
    <row r="11" spans="1:11" x14ac:dyDescent="0.25">
      <c r="A11" s="562"/>
      <c r="B11" s="562"/>
      <c r="C11" s="562"/>
      <c r="D11" s="1023" t="str">
        <f>'DICTIONARY-5'!$A$43&amp;": "&amp;'DICTIONARY-5'!$A$44&amp;", "&amp;'DICTIONARY-5'!$A$147&amp;": "&amp;'DICTIONARY-5'!$A$50</f>
        <v xml:space="preserve">guma: EPDM, dysk: żeliwo sferoidalne </v>
      </c>
      <c r="E11" s="1023"/>
      <c r="F11" s="1023"/>
      <c r="G11" s="1023"/>
      <c r="H11" s="1023" t="str">
        <f>'DICTIONARY-5'!$A$43&amp;": "&amp;'DICTIONARY-5'!$A$44&amp;", "&amp;'DICTIONARY-5'!$A$147&amp;": "&amp;'DICTIONARY-5'!$A$32</f>
        <v>guma: EPDM, dysk: stal nierdzewna</v>
      </c>
      <c r="I11" s="1023"/>
      <c r="J11" s="1023"/>
      <c r="K11" s="1023"/>
    </row>
    <row r="12" spans="1:11" x14ac:dyDescent="0.25">
      <c r="A12" s="564"/>
      <c r="B12" s="564"/>
      <c r="C12" s="564" t="str">
        <f>'DICTIONARY-2'!$A$18</f>
        <v>[mm]</v>
      </c>
      <c r="D12" s="565" t="str">
        <f>'DICTIONARY-2'!$A$28</f>
        <v>stary nr zamówienia</v>
      </c>
      <c r="E12" s="565" t="str">
        <f>'DICTIONARY-2'!$A$29</f>
        <v>nowy nr zamówienia</v>
      </c>
      <c r="F12" s="566" t="str">
        <f>CURRENCY.CODE_1</f>
        <v>EUR</v>
      </c>
      <c r="G12" s="566" t="str">
        <f>CURRENCY.CODE_2</f>
        <v>---</v>
      </c>
      <c r="H12" s="565" t="str">
        <f>'DICTIONARY-2'!$A$28</f>
        <v>stary nr zamówienia</v>
      </c>
      <c r="I12" s="565" t="str">
        <f>'DICTIONARY-2'!$A$29</f>
        <v>nowy nr zamówienia</v>
      </c>
      <c r="J12" s="566" t="str">
        <f>CURRENCY.CODE_1</f>
        <v>EUR</v>
      </c>
      <c r="K12" s="566" t="str">
        <f>CURRENCY.CODE_2</f>
        <v>---</v>
      </c>
    </row>
    <row r="13" spans="1:11" x14ac:dyDescent="0.25">
      <c r="A13" s="371">
        <v>50</v>
      </c>
      <c r="B13" s="371" t="s">
        <v>1614</v>
      </c>
      <c r="C13" s="371">
        <v>43</v>
      </c>
      <c r="D13" s="371" t="s">
        <v>5177</v>
      </c>
      <c r="E13" s="502" t="s">
        <v>5359</v>
      </c>
      <c r="F13" s="339" t="str">
        <f>IFERROR(IF(OR(E13='DICTIONARY-5'!$A$2,E13='DICTIONARY-5'!$A$4,ISBLANK(E13)),VLOOKUP(D13,LIST!$A$6:$L$3250,CURR_1.SEARCH.OLD,0),VLOOKUP(E13,LIST!$B$6:$L$3250,CURR_1.SEARCH.NEW,0)),'DICTIONARY-5'!$A$2)</f>
        <v>157,-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371" t="s">
        <v>5178</v>
      </c>
      <c r="I13" s="502" t="s">
        <v>5381</v>
      </c>
      <c r="J13" s="339" t="str">
        <f>IFERROR(IF(OR(I13='DICTIONARY-5'!$A$2,I13='DICTIONARY-5'!$A$4,ISBLANK(I13)),VLOOKUP(H13,LIST!$A$6:$L$3250,CURR_1.SEARCH.OLD,0),VLOOKUP(I13,LIST!$B$6:$L$3250,CURR_1.SEARCH.NEW,0)),'DICTIONARY-5'!$A$2)</f>
        <v>155,-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371">
        <v>65</v>
      </c>
      <c r="B14" s="371" t="s">
        <v>1614</v>
      </c>
      <c r="C14" s="371">
        <v>46</v>
      </c>
      <c r="D14" s="371" t="s">
        <v>5179</v>
      </c>
      <c r="E14" s="502" t="s">
        <v>5360</v>
      </c>
      <c r="F14" s="339" t="str">
        <f>IFERROR(IF(OR(E14='DICTIONARY-5'!$A$2,E14='DICTIONARY-5'!$A$4,ISBLANK(E14)),VLOOKUP(D14,LIST!$A$6:$L$3250,CURR_1.SEARCH.OLD,0),VLOOKUP(E14,LIST!$B$6:$L$3250,CURR_1.SEARCH.NEW,0)),'DICTIONARY-5'!$A$2)</f>
        <v>162,-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371" t="s">
        <v>5180</v>
      </c>
      <c r="I14" s="502" t="s">
        <v>5382</v>
      </c>
      <c r="J14" s="339" t="str">
        <f>IFERROR(IF(OR(I14='DICTIONARY-5'!$A$2,I14='DICTIONARY-5'!$A$4,ISBLANK(I14)),VLOOKUP(H14,LIST!$A$6:$L$3250,CURR_1.SEARCH.OLD,0),VLOOKUP(I14,LIST!$B$6:$L$3250,CURR_1.SEARCH.NEW,0)),'DICTIONARY-5'!$A$2)</f>
        <v>163,-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371">
        <v>80</v>
      </c>
      <c r="B15" s="371" t="s">
        <v>1614</v>
      </c>
      <c r="C15" s="371">
        <v>46</v>
      </c>
      <c r="D15" s="371" t="s">
        <v>5181</v>
      </c>
      <c r="E15" s="502" t="s">
        <v>5361</v>
      </c>
      <c r="F15" s="339" t="str">
        <f>IFERROR(IF(OR(E15='DICTIONARY-5'!$A$2,E15='DICTIONARY-5'!$A$4,ISBLANK(E15)),VLOOKUP(D15,LIST!$A$6:$L$3250,CURR_1.SEARCH.OLD,0),VLOOKUP(E15,LIST!$B$6:$L$3250,CURR_1.SEARCH.NEW,0)),'DICTIONARY-5'!$A$2)</f>
        <v>193,-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371" t="s">
        <v>5182</v>
      </c>
      <c r="I15" s="502" t="s">
        <v>5383</v>
      </c>
      <c r="J15" s="339" t="str">
        <f>IFERROR(IF(OR(I15='DICTIONARY-5'!$A$2,I15='DICTIONARY-5'!$A$4,ISBLANK(I15)),VLOOKUP(H15,LIST!$A$6:$L$3250,CURR_1.SEARCH.OLD,0),VLOOKUP(I15,LIST!$B$6:$L$3250,CURR_1.SEARCH.NEW,0)),'DICTIONARY-5'!$A$2)</f>
        <v>197,-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371">
        <v>100</v>
      </c>
      <c r="B16" s="371" t="s">
        <v>1614</v>
      </c>
      <c r="C16" s="371">
        <v>52</v>
      </c>
      <c r="D16" s="371" t="s">
        <v>5183</v>
      </c>
      <c r="E16" s="502" t="s">
        <v>5362</v>
      </c>
      <c r="F16" s="339" t="str">
        <f>IFERROR(IF(OR(E16='DICTIONARY-5'!$A$2,E16='DICTIONARY-5'!$A$4,ISBLANK(E16)),VLOOKUP(D16,LIST!$A$6:$L$3250,CURR_1.SEARCH.OLD,0),VLOOKUP(E16,LIST!$B$6:$L$3250,CURR_1.SEARCH.NEW,0)),'DICTIONARY-5'!$A$2)</f>
        <v>219,-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371" t="s">
        <v>5184</v>
      </c>
      <c r="I16" s="502" t="s">
        <v>5384</v>
      </c>
      <c r="J16" s="339" t="str">
        <f>IFERROR(IF(OR(I16='DICTIONARY-5'!$A$2,I16='DICTIONARY-5'!$A$4,ISBLANK(I16)),VLOOKUP(H16,LIST!$A$6:$L$3250,CURR_1.SEARCH.OLD,0),VLOOKUP(I16,LIST!$B$6:$L$3250,CURR_1.SEARCH.NEW,0)),'DICTIONARY-5'!$A$2)</f>
        <v>222,-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371">
        <v>125</v>
      </c>
      <c r="B17" s="371" t="s">
        <v>1614</v>
      </c>
      <c r="C17" s="371">
        <v>56</v>
      </c>
      <c r="D17" s="371" t="s">
        <v>5185</v>
      </c>
      <c r="E17" s="502" t="s">
        <v>5363</v>
      </c>
      <c r="F17" s="339" t="str">
        <f>IFERROR(IF(OR(E17='DICTIONARY-5'!$A$2,E17='DICTIONARY-5'!$A$4,ISBLANK(E17)),VLOOKUP(D17,LIST!$A$6:$L$3250,CURR_1.SEARCH.OLD,0),VLOOKUP(E17,LIST!$B$6:$L$3250,CURR_1.SEARCH.NEW,0)),'DICTIONARY-5'!$A$2)</f>
        <v>255,-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371" t="s">
        <v>5186</v>
      </c>
      <c r="I17" s="502" t="s">
        <v>5385</v>
      </c>
      <c r="J17" s="339" t="str">
        <f>IFERROR(IF(OR(I17='DICTIONARY-5'!$A$2,I17='DICTIONARY-5'!$A$4,ISBLANK(I17)),VLOOKUP(H17,LIST!$A$6:$L$3250,CURR_1.SEARCH.OLD,0),VLOOKUP(I17,LIST!$B$6:$L$3250,CURR_1.SEARCH.NEW,0)),'DICTIONARY-5'!$A$2)</f>
        <v>271,-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371">
        <v>150</v>
      </c>
      <c r="B18" s="371" t="s">
        <v>1614</v>
      </c>
      <c r="C18" s="371">
        <v>56</v>
      </c>
      <c r="D18" s="371" t="s">
        <v>5187</v>
      </c>
      <c r="E18" s="502" t="s">
        <v>5364</v>
      </c>
      <c r="F18" s="339" t="str">
        <f>IFERROR(IF(OR(E18='DICTIONARY-5'!$A$2,E18='DICTIONARY-5'!$A$4,ISBLANK(E18)),VLOOKUP(D18,LIST!$A$6:$L$3250,CURR_1.SEARCH.OLD,0),VLOOKUP(E18,LIST!$B$6:$L$3250,CURR_1.SEARCH.NEW,0)),'DICTIONARY-5'!$A$2)</f>
        <v>338,-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371" t="s">
        <v>5188</v>
      </c>
      <c r="I18" s="502" t="s">
        <v>5386</v>
      </c>
      <c r="J18" s="339" t="str">
        <f>IFERROR(IF(OR(I18='DICTIONARY-5'!$A$2,I18='DICTIONARY-5'!$A$4,ISBLANK(I18)),VLOOKUP(H18,LIST!$A$6:$L$3250,CURR_1.SEARCH.OLD,0),VLOOKUP(I18,LIST!$B$6:$L$3250,CURR_1.SEARCH.NEW,0)),'DICTIONARY-5'!$A$2)</f>
        <v>376,-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371">
        <v>200</v>
      </c>
      <c r="B19" s="371">
        <v>10</v>
      </c>
      <c r="C19" s="371">
        <v>60</v>
      </c>
      <c r="D19" s="371" t="s">
        <v>5189</v>
      </c>
      <c r="E19" s="502" t="s">
        <v>5365</v>
      </c>
      <c r="F19" s="339" t="str">
        <f>IFERROR(IF(OR(E19='DICTIONARY-5'!$A$2,E19='DICTIONARY-5'!$A$4,ISBLANK(E19)),VLOOKUP(D19,LIST!$A$6:$L$3250,CURR_1.SEARCH.OLD,0),VLOOKUP(E19,LIST!$B$6:$L$3250,CURR_1.SEARCH.NEW,0)),'DICTIONARY-5'!$A$2)</f>
        <v>446,-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371" t="s">
        <v>5190</v>
      </c>
      <c r="I19" s="502" t="s">
        <v>5387</v>
      </c>
      <c r="J19" s="339" t="str">
        <f>IFERROR(IF(OR(I19='DICTIONARY-5'!$A$2,I19='DICTIONARY-5'!$A$4,ISBLANK(I19)),VLOOKUP(H19,LIST!$A$6:$L$3250,CURR_1.SEARCH.OLD,0),VLOOKUP(I19,LIST!$B$6:$L$3250,CURR_1.SEARCH.NEW,0)),'DICTIONARY-5'!$A$2)</f>
        <v>500,-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371">
        <v>200</v>
      </c>
      <c r="B20" s="371">
        <v>16</v>
      </c>
      <c r="C20" s="371">
        <v>60</v>
      </c>
      <c r="D20" s="371" t="s">
        <v>5191</v>
      </c>
      <c r="E20" s="502" t="s">
        <v>5366</v>
      </c>
      <c r="F20" s="339" t="str">
        <f>IFERROR(IF(OR(E20='DICTIONARY-5'!$A$2,E20='DICTIONARY-5'!$A$4,ISBLANK(E20)),VLOOKUP(D20,LIST!$A$6:$L$3250,CURR_1.SEARCH.OLD,0),VLOOKUP(E20,LIST!$B$6:$L$3250,CURR_1.SEARCH.NEW,0)),'DICTIONARY-5'!$A$2)</f>
        <v>490,-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371" t="s">
        <v>5192</v>
      </c>
      <c r="I20" s="502" t="s">
        <v>5388</v>
      </c>
      <c r="J20" s="339" t="str">
        <f>IFERROR(IF(OR(I20='DICTIONARY-5'!$A$2,I20='DICTIONARY-5'!$A$4,ISBLANK(I20)),VLOOKUP(H20,LIST!$A$6:$L$3250,CURR_1.SEARCH.OLD,0),VLOOKUP(I20,LIST!$B$6:$L$3250,CURR_1.SEARCH.NEW,0)),'DICTIONARY-5'!$A$2)</f>
        <v>547,-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A21" s="371">
        <v>250</v>
      </c>
      <c r="B21" s="371">
        <v>10</v>
      </c>
      <c r="C21" s="371">
        <v>68</v>
      </c>
      <c r="D21" s="371" t="s">
        <v>5193</v>
      </c>
      <c r="E21" s="502" t="s">
        <v>5367</v>
      </c>
      <c r="F21" s="339" t="str">
        <f>IFERROR(IF(OR(E21='DICTIONARY-5'!$A$2,E21='DICTIONARY-5'!$A$4,ISBLANK(E21)),VLOOKUP(D21,LIST!$A$6:$L$3250,CURR_1.SEARCH.OLD,0),VLOOKUP(E21,LIST!$B$6:$L$3250,CURR_1.SEARCH.NEW,0)),'DICTIONARY-5'!$A$2)</f>
        <v>530,-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371" t="s">
        <v>5194</v>
      </c>
      <c r="I21" s="502" t="s">
        <v>5389</v>
      </c>
      <c r="J21" s="339" t="str">
        <f>IFERROR(IF(OR(I21='DICTIONARY-5'!$A$2,I21='DICTIONARY-5'!$A$4,ISBLANK(I21)),VLOOKUP(H21,LIST!$A$6:$L$3250,CURR_1.SEARCH.OLD,0),VLOOKUP(I21,LIST!$B$6:$L$3250,CURR_1.SEARCH.NEW,0)),'DICTIONARY-5'!$A$2)</f>
        <v>680,-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2" spans="1:11" x14ac:dyDescent="0.25">
      <c r="A22" s="371">
        <v>250</v>
      </c>
      <c r="B22" s="371">
        <v>16</v>
      </c>
      <c r="C22" s="371">
        <v>68</v>
      </c>
      <c r="D22" s="371" t="s">
        <v>5195</v>
      </c>
      <c r="E22" s="502" t="s">
        <v>5368</v>
      </c>
      <c r="F22" s="339" t="str">
        <f>IFERROR(IF(OR(E22='DICTIONARY-5'!$A$2,E22='DICTIONARY-5'!$A$4,ISBLANK(E22)),VLOOKUP(D22,LIST!$A$6:$L$3250,CURR_1.SEARCH.OLD,0),VLOOKUP(E22,LIST!$B$6:$L$3250,CURR_1.SEARCH.NEW,0)),'DICTIONARY-5'!$A$2)</f>
        <v>535,-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371" t="s">
        <v>5196</v>
      </c>
      <c r="I22" s="502" t="s">
        <v>5390</v>
      </c>
      <c r="J22" s="339" t="str">
        <f>IFERROR(IF(OR(I22='DICTIONARY-5'!$A$2,I22='DICTIONARY-5'!$A$4,ISBLANK(I22)),VLOOKUP(H22,LIST!$A$6:$L$3250,CURR_1.SEARCH.OLD,0),VLOOKUP(I22,LIST!$B$6:$L$3250,CURR_1.SEARCH.NEW,0)),'DICTIONARY-5'!$A$2)</f>
        <v>687,-</v>
      </c>
      <c r="K22" s="339" t="str">
        <f>IFERROR(IF(OR(I22='DICTIONARY-5'!$A$2,I22='DICTIONARY-5'!$A$4,ISBLANK(I22)),VLOOKUP(H22,LIST!$A$6:$M$3250,CURR_2.SEARCH.OLD,0),VLOOKUP(I22,LIST!$B$6:$M$3250,CURR_2.SEARCH.NEW,0)),'DICTIONARY-5'!$A$2)</f>
        <v/>
      </c>
    </row>
    <row r="23" spans="1:11" x14ac:dyDescent="0.25">
      <c r="A23" s="371">
        <v>300</v>
      </c>
      <c r="B23" s="371">
        <v>10</v>
      </c>
      <c r="C23" s="371">
        <v>78</v>
      </c>
      <c r="D23" s="371" t="s">
        <v>5197</v>
      </c>
      <c r="E23" s="502" t="s">
        <v>5369</v>
      </c>
      <c r="F23" s="339" t="str">
        <f>IFERROR(IF(OR(E23='DICTIONARY-5'!$A$2,E23='DICTIONARY-5'!$A$4,ISBLANK(E23)),VLOOKUP(D23,LIST!$A$6:$L$3250,CURR_1.SEARCH.OLD,0),VLOOKUP(E23,LIST!$B$6:$L$3250,CURR_1.SEARCH.NEW,0)),'DICTIONARY-5'!$A$2)</f>
        <v>724,-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371" t="s">
        <v>5198</v>
      </c>
      <c r="I23" s="502" t="s">
        <v>5391</v>
      </c>
      <c r="J23" s="339" t="str">
        <f>IFERROR(IF(OR(I23='DICTIONARY-5'!$A$2,I23='DICTIONARY-5'!$A$4,ISBLANK(I23)),VLOOKUP(H23,LIST!$A$6:$L$3250,CURR_1.SEARCH.OLD,0),VLOOKUP(I23,LIST!$B$6:$L$3250,CURR_1.SEARCH.NEW,0)),'DICTIONARY-5'!$A$2)</f>
        <v>929,-</v>
      </c>
      <c r="K23" s="339" t="str">
        <f>IFERROR(IF(OR(I23='DICTIONARY-5'!$A$2,I23='DICTIONARY-5'!$A$4,ISBLANK(I23)),VLOOKUP(H23,LIST!$A$6:$M$3250,CURR_2.SEARCH.OLD,0),VLOOKUP(I23,LIST!$B$6:$M$3250,CURR_2.SEARCH.NEW,0)),'DICTIONARY-5'!$A$2)</f>
        <v/>
      </c>
    </row>
    <row r="24" spans="1:11" x14ac:dyDescent="0.25">
      <c r="A24" s="371">
        <v>300</v>
      </c>
      <c r="B24" s="371">
        <v>16</v>
      </c>
      <c r="C24" s="371">
        <v>78</v>
      </c>
      <c r="D24" s="371" t="s">
        <v>5199</v>
      </c>
      <c r="E24" s="502" t="s">
        <v>5370</v>
      </c>
      <c r="F24" s="339" t="str">
        <f>IFERROR(IF(OR(E24='DICTIONARY-5'!$A$2,E24='DICTIONARY-5'!$A$4,ISBLANK(E24)),VLOOKUP(D24,LIST!$A$6:$L$3250,CURR_1.SEARCH.OLD,0),VLOOKUP(E24,LIST!$B$6:$L$3250,CURR_1.SEARCH.NEW,0)),'DICTIONARY-5'!$A$2)</f>
        <v>709,-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371" t="s">
        <v>5200</v>
      </c>
      <c r="I24" s="502" t="s">
        <v>5392</v>
      </c>
      <c r="J24" s="339" t="str">
        <f>IFERROR(IF(OR(I24='DICTIONARY-5'!$A$2,I24='DICTIONARY-5'!$A$4,ISBLANK(I24)),VLOOKUP(H24,LIST!$A$6:$L$3250,CURR_1.SEARCH.OLD,0),VLOOKUP(I24,LIST!$B$6:$L$3250,CURR_1.SEARCH.NEW,0)),'DICTIONARY-5'!$A$2)</f>
        <v>932,-</v>
      </c>
      <c r="K24" s="339" t="str">
        <f>IFERROR(IF(OR(I24='DICTIONARY-5'!$A$2,I24='DICTIONARY-5'!$A$4,ISBLANK(I24)),VLOOKUP(H24,LIST!$A$6:$M$3250,CURR_2.SEARCH.OLD,0),VLOOKUP(I24,LIST!$B$6:$M$3250,CURR_2.SEARCH.NEW,0)),'DICTIONARY-5'!$A$2)</f>
        <v/>
      </c>
    </row>
    <row r="25" spans="1:11" x14ac:dyDescent="0.25">
      <c r="A25" s="371">
        <v>350</v>
      </c>
      <c r="B25" s="371">
        <v>10</v>
      </c>
      <c r="C25" s="371">
        <v>78</v>
      </c>
      <c r="D25" s="376" t="s">
        <v>5201</v>
      </c>
      <c r="E25" s="502" t="s">
        <v>5371</v>
      </c>
      <c r="F25" s="339" t="str">
        <f>IFERROR(IF(OR(E25='DICTIONARY-5'!$A$2,E25='DICTIONARY-5'!$A$4,ISBLANK(E25)),VLOOKUP(D25,LIST!$A$6:$L$3250,CURR_1.SEARCH.OLD,0),VLOOKUP(E25,LIST!$B$6:$L$3250,CURR_1.SEARCH.NEW,0)),'DICTIONARY-5'!$A$2)</f>
        <v>1 034,-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376" t="s">
        <v>5202</v>
      </c>
      <c r="I25" s="502" t="s">
        <v>5393</v>
      </c>
      <c r="J25" s="339" t="str">
        <f>IFERROR(IF(OR(I25='DICTIONARY-5'!$A$2,I25='DICTIONARY-5'!$A$4,ISBLANK(I25)),VLOOKUP(H25,LIST!$A$6:$L$3250,CURR_1.SEARCH.OLD,0),VLOOKUP(I25,LIST!$B$6:$L$3250,CURR_1.SEARCH.NEW,0)),'DICTIONARY-5'!$A$2)</f>
        <v>1 389,-</v>
      </c>
      <c r="K25" s="339" t="str">
        <f>IFERROR(IF(OR(I25='DICTIONARY-5'!$A$2,I25='DICTIONARY-5'!$A$4,ISBLANK(I25)),VLOOKUP(H25,LIST!$A$6:$M$3250,CURR_2.SEARCH.OLD,0),VLOOKUP(I25,LIST!$B$6:$M$3250,CURR_2.SEARCH.NEW,0)),'DICTIONARY-5'!$A$2)</f>
        <v/>
      </c>
    </row>
    <row r="26" spans="1:11" x14ac:dyDescent="0.25">
      <c r="A26" s="371">
        <v>350</v>
      </c>
      <c r="B26" s="371">
        <v>16</v>
      </c>
      <c r="C26" s="371">
        <v>78</v>
      </c>
      <c r="D26" s="376" t="s">
        <v>5203</v>
      </c>
      <c r="E26" s="502" t="s">
        <v>5372</v>
      </c>
      <c r="F26" s="339" t="str">
        <f>IFERROR(IF(OR(E26='DICTIONARY-5'!$A$2,E26='DICTIONARY-5'!$A$4,ISBLANK(E26)),VLOOKUP(D26,LIST!$A$6:$L$3250,CURR_1.SEARCH.OLD,0),VLOOKUP(E26,LIST!$B$6:$L$3250,CURR_1.SEARCH.NEW,0)),'DICTIONARY-5'!$A$2)</f>
        <v>1 060,-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376" t="s">
        <v>5204</v>
      </c>
      <c r="I26" s="502" t="s">
        <v>5394</v>
      </c>
      <c r="J26" s="339" t="str">
        <f>IFERROR(IF(OR(I26='DICTIONARY-5'!$A$2,I26='DICTIONARY-5'!$A$4,ISBLANK(I26)),VLOOKUP(H26,LIST!$A$6:$L$3250,CURR_1.SEARCH.OLD,0),VLOOKUP(I26,LIST!$B$6:$L$3250,CURR_1.SEARCH.NEW,0)),'DICTIONARY-5'!$A$2)</f>
        <v>1 417,-</v>
      </c>
      <c r="K26" s="339" t="str">
        <f>IFERROR(IF(OR(I26='DICTIONARY-5'!$A$2,I26='DICTIONARY-5'!$A$4,ISBLANK(I26)),VLOOKUP(H26,LIST!$A$6:$M$3250,CURR_2.SEARCH.OLD,0),VLOOKUP(I26,LIST!$B$6:$M$3250,CURR_2.SEARCH.NEW,0)),'DICTIONARY-5'!$A$2)</f>
        <v/>
      </c>
    </row>
    <row r="27" spans="1:11" x14ac:dyDescent="0.25">
      <c r="A27" s="371">
        <v>400</v>
      </c>
      <c r="B27" s="371">
        <v>10</v>
      </c>
      <c r="C27" s="371">
        <v>102</v>
      </c>
      <c r="D27" s="371" t="s">
        <v>5205</v>
      </c>
      <c r="E27" s="502" t="s">
        <v>5373</v>
      </c>
      <c r="F27" s="339" t="str">
        <f>IFERROR(IF(OR(E27='DICTIONARY-5'!$A$2,E27='DICTIONARY-5'!$A$4,ISBLANK(E27)),VLOOKUP(D27,LIST!$A$6:$L$3250,CURR_1.SEARCH.OLD,0),VLOOKUP(E27,LIST!$B$6:$L$3250,CURR_1.SEARCH.NEW,0)),'DICTIONARY-5'!$A$2)</f>
        <v>1 311,-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H27" s="371" t="s">
        <v>5206</v>
      </c>
      <c r="I27" s="502" t="s">
        <v>5395</v>
      </c>
      <c r="J27" s="339" t="str">
        <f>IFERROR(IF(OR(I27='DICTIONARY-5'!$A$2,I27='DICTIONARY-5'!$A$4,ISBLANK(I27)),VLOOKUP(H27,LIST!$A$6:$L$3250,CURR_1.SEARCH.OLD,0),VLOOKUP(I27,LIST!$B$6:$L$3250,CURR_1.SEARCH.NEW,0)),'DICTIONARY-5'!$A$2)</f>
        <v>1 851,-</v>
      </c>
      <c r="K27" s="339" t="str">
        <f>IFERROR(IF(OR(I27='DICTIONARY-5'!$A$2,I27='DICTIONARY-5'!$A$4,ISBLANK(I27)),VLOOKUP(H27,LIST!$A$6:$M$3250,CURR_2.SEARCH.OLD,0),VLOOKUP(I27,LIST!$B$6:$M$3250,CURR_2.SEARCH.NEW,0)),'DICTIONARY-5'!$A$2)</f>
        <v/>
      </c>
    </row>
    <row r="28" spans="1:11" x14ac:dyDescent="0.25">
      <c r="A28" s="371">
        <v>400</v>
      </c>
      <c r="B28" s="371">
        <v>16</v>
      </c>
      <c r="C28" s="371">
        <v>102</v>
      </c>
      <c r="D28" s="371" t="s">
        <v>5207</v>
      </c>
      <c r="E28" s="502" t="s">
        <v>5374</v>
      </c>
      <c r="F28" s="339" t="str">
        <f>IFERROR(IF(OR(E28='DICTIONARY-5'!$A$2,E28='DICTIONARY-5'!$A$4,ISBLANK(E28)),VLOOKUP(D28,LIST!$A$6:$L$3250,CURR_1.SEARCH.OLD,0),VLOOKUP(E28,LIST!$B$6:$L$3250,CURR_1.SEARCH.NEW,0)),'DICTIONARY-5'!$A$2)</f>
        <v>1 395,-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371" t="s">
        <v>5208</v>
      </c>
      <c r="I28" s="502" t="s">
        <v>5396</v>
      </c>
      <c r="J28" s="339" t="str">
        <f>IFERROR(IF(OR(I28='DICTIONARY-5'!$A$2,I28='DICTIONARY-5'!$A$4,ISBLANK(I28)),VLOOKUP(H28,LIST!$A$6:$L$3250,CURR_1.SEARCH.OLD,0),VLOOKUP(I28,LIST!$B$6:$L$3250,CURR_1.SEARCH.NEW,0)),'DICTIONARY-5'!$A$2)</f>
        <v>1 889,-</v>
      </c>
      <c r="K28" s="339" t="str">
        <f>IFERROR(IF(OR(I28='DICTIONARY-5'!$A$2,I28='DICTIONARY-5'!$A$4,ISBLANK(I28)),VLOOKUP(H28,LIST!$A$6:$M$3250,CURR_2.SEARCH.OLD,0),VLOOKUP(I28,LIST!$B$6:$M$3250,CURR_2.SEARCH.NEW,0)),'DICTIONARY-5'!$A$2)</f>
        <v/>
      </c>
    </row>
    <row r="29" spans="1:11" x14ac:dyDescent="0.25">
      <c r="A29" s="371">
        <v>450</v>
      </c>
      <c r="B29" s="371">
        <v>10</v>
      </c>
      <c r="C29" s="371">
        <v>114</v>
      </c>
      <c r="D29" s="371" t="s">
        <v>5209</v>
      </c>
      <c r="E29" s="502" t="s">
        <v>5375</v>
      </c>
      <c r="F29" s="339" t="str">
        <f>IFERROR(IF(OR(E29='DICTIONARY-5'!$A$2,E29='DICTIONARY-5'!$A$4,ISBLANK(E29)),VLOOKUP(D29,LIST!$A$6:$L$3250,CURR_1.SEARCH.OLD,0),VLOOKUP(E29,LIST!$B$6:$L$3250,CURR_1.SEARCH.NEW,0)),'DICTIONARY-5'!$A$2)</f>
        <v>2 144,-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H29" s="371" t="s">
        <v>5210</v>
      </c>
      <c r="I29" s="502" t="s">
        <v>5397</v>
      </c>
      <c r="J29" s="339" t="str">
        <f>IFERROR(IF(OR(I29='DICTIONARY-5'!$A$2,I29='DICTIONARY-5'!$A$4,ISBLANK(I29)),VLOOKUP(H29,LIST!$A$6:$L$3250,CURR_1.SEARCH.OLD,0),VLOOKUP(I29,LIST!$B$6:$L$3250,CURR_1.SEARCH.NEW,0)),'DICTIONARY-5'!$A$2)</f>
        <v>2 941,-</v>
      </c>
      <c r="K29" s="339" t="str">
        <f>IFERROR(IF(OR(I29='DICTIONARY-5'!$A$2,I29='DICTIONARY-5'!$A$4,ISBLANK(I29)),VLOOKUP(H29,LIST!$A$6:$M$3250,CURR_2.SEARCH.OLD,0),VLOOKUP(I29,LIST!$B$6:$M$3250,CURR_2.SEARCH.NEW,0)),'DICTIONARY-5'!$A$2)</f>
        <v/>
      </c>
    </row>
    <row r="30" spans="1:11" x14ac:dyDescent="0.25">
      <c r="A30" s="371">
        <v>450</v>
      </c>
      <c r="B30" s="371" t="s">
        <v>436</v>
      </c>
      <c r="C30" s="371">
        <v>114</v>
      </c>
      <c r="D30" s="371" t="s">
        <v>5211</v>
      </c>
      <c r="E30" s="502" t="s">
        <v>5376</v>
      </c>
      <c r="F30" s="339" t="str">
        <f>IFERROR(IF(OR(E30='DICTIONARY-5'!$A$2,E30='DICTIONARY-5'!$A$4,ISBLANK(E30)),VLOOKUP(D30,LIST!$A$6:$L$3250,CURR_1.SEARCH.OLD,0),VLOOKUP(E30,LIST!$B$6:$L$3250,CURR_1.SEARCH.NEW,0)),'DICTIONARY-5'!$A$2)</f>
        <v>2 289,-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H30" s="371" t="s">
        <v>5212</v>
      </c>
      <c r="I30" s="502" t="s">
        <v>5398</v>
      </c>
      <c r="J30" s="339" t="str">
        <f>IFERROR(IF(OR(I30='DICTIONARY-5'!$A$2,I30='DICTIONARY-5'!$A$4,ISBLANK(I30)),VLOOKUP(H30,LIST!$A$6:$L$3250,CURR_1.SEARCH.OLD,0),VLOOKUP(I30,LIST!$B$6:$L$3250,CURR_1.SEARCH.NEW,0)),'DICTIONARY-5'!$A$2)</f>
        <v>3 324,-</v>
      </c>
      <c r="K30" s="339" t="str">
        <f>IFERROR(IF(OR(I30='DICTIONARY-5'!$A$2,I30='DICTIONARY-5'!$A$4,ISBLANK(I30)),VLOOKUP(H30,LIST!$A$6:$M$3250,CURR_2.SEARCH.OLD,0),VLOOKUP(I30,LIST!$B$6:$M$3250,CURR_2.SEARCH.NEW,0)),'DICTIONARY-5'!$A$2)</f>
        <v/>
      </c>
    </row>
    <row r="31" spans="1:11" x14ac:dyDescent="0.25">
      <c r="A31" s="371">
        <v>500</v>
      </c>
      <c r="B31" s="371">
        <v>10</v>
      </c>
      <c r="C31" s="371">
        <v>127</v>
      </c>
      <c r="D31" s="371" t="s">
        <v>5213</v>
      </c>
      <c r="E31" s="502" t="s">
        <v>5377</v>
      </c>
      <c r="F31" s="339" t="str">
        <f>IFERROR(IF(OR(E31='DICTIONARY-5'!$A$2,E31='DICTIONARY-5'!$A$4,ISBLANK(E31)),VLOOKUP(D31,LIST!$A$6:$L$3250,CURR_1.SEARCH.OLD,0),VLOOKUP(E31,LIST!$B$6:$L$3250,CURR_1.SEARCH.NEW,0)),'DICTIONARY-5'!$A$2)</f>
        <v>2 884,-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371" t="s">
        <v>5214</v>
      </c>
      <c r="I31" s="502" t="s">
        <v>5399</v>
      </c>
      <c r="J31" s="339" t="str">
        <f>IFERROR(IF(OR(I31='DICTIONARY-5'!$A$2,I31='DICTIONARY-5'!$A$4,ISBLANK(I31)),VLOOKUP(H31,LIST!$A$6:$L$3250,CURR_1.SEARCH.OLD,0),VLOOKUP(I31,LIST!$B$6:$L$3250,CURR_1.SEARCH.NEW,0)),'DICTIONARY-5'!$A$2)</f>
        <v>4 183,-</v>
      </c>
      <c r="K31" s="339" t="str">
        <f>IFERROR(IF(OR(I31='DICTIONARY-5'!$A$2,I31='DICTIONARY-5'!$A$4,ISBLANK(I31)),VLOOKUP(H31,LIST!$A$6:$M$3250,CURR_2.SEARCH.OLD,0),VLOOKUP(I31,LIST!$B$6:$M$3250,CURR_2.SEARCH.NEW,0)),'DICTIONARY-5'!$A$2)</f>
        <v/>
      </c>
    </row>
    <row r="32" spans="1:11" x14ac:dyDescent="0.25">
      <c r="A32" s="371">
        <v>500</v>
      </c>
      <c r="B32" s="371" t="s">
        <v>436</v>
      </c>
      <c r="C32" s="371">
        <v>127</v>
      </c>
      <c r="D32" s="371" t="s">
        <v>5215</v>
      </c>
      <c r="E32" s="502" t="s">
        <v>5378</v>
      </c>
      <c r="F32" s="339" t="str">
        <f>IFERROR(IF(OR(E32='DICTIONARY-5'!$A$2,E32='DICTIONARY-5'!$A$4,ISBLANK(E32)),VLOOKUP(D32,LIST!$A$6:$L$3250,CURR_1.SEARCH.OLD,0),VLOOKUP(E32,LIST!$B$6:$L$3250,CURR_1.SEARCH.NEW,0)),'DICTIONARY-5'!$A$2)</f>
        <v>3 208,-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H32" s="371" t="s">
        <v>5216</v>
      </c>
      <c r="I32" s="502" t="s">
        <v>5400</v>
      </c>
      <c r="J32" s="339" t="str">
        <f>IFERROR(IF(OR(I32='DICTIONARY-5'!$A$2,I32='DICTIONARY-5'!$A$4,ISBLANK(I32)),VLOOKUP(H32,LIST!$A$6:$L$3250,CURR_1.SEARCH.OLD,0),VLOOKUP(I32,LIST!$B$6:$L$3250,CURR_1.SEARCH.NEW,0)),'DICTIONARY-5'!$A$2)</f>
        <v>5 398,-</v>
      </c>
      <c r="K32" s="339" t="str">
        <f>IFERROR(IF(OR(I32='DICTIONARY-5'!$A$2,I32='DICTIONARY-5'!$A$4,ISBLANK(I32)),VLOOKUP(H32,LIST!$A$6:$M$3250,CURR_2.SEARCH.OLD,0),VLOOKUP(I32,LIST!$B$6:$M$3250,CURR_2.SEARCH.NEW,0)),'DICTIONARY-5'!$A$2)</f>
        <v/>
      </c>
    </row>
    <row r="33" spans="1:11" x14ac:dyDescent="0.25">
      <c r="A33" s="371">
        <v>600</v>
      </c>
      <c r="B33" s="371">
        <v>10</v>
      </c>
      <c r="C33" s="371">
        <v>154</v>
      </c>
      <c r="D33" s="371" t="s">
        <v>5217</v>
      </c>
      <c r="E33" s="502" t="s">
        <v>5379</v>
      </c>
      <c r="F33" s="339" t="str">
        <f>IFERROR(IF(OR(E33='DICTIONARY-5'!$A$2,E33='DICTIONARY-5'!$A$4,ISBLANK(E33)),VLOOKUP(D33,LIST!$A$6:$L$3250,CURR_1.SEARCH.OLD,0),VLOOKUP(E33,LIST!$B$6:$L$3250,CURR_1.SEARCH.NEW,0)),'DICTIONARY-5'!$A$2)</f>
        <v>4 064,-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H33" s="371" t="s">
        <v>5218</v>
      </c>
      <c r="I33" s="502" t="s">
        <v>5401</v>
      </c>
      <c r="J33" s="339" t="str">
        <f>IFERROR(IF(OR(I33='DICTIONARY-5'!$A$2,I33='DICTIONARY-5'!$A$4,ISBLANK(I33)),VLOOKUP(H33,LIST!$A$6:$L$3250,CURR_1.SEARCH.OLD,0),VLOOKUP(I33,LIST!$B$6:$L$3250,CURR_1.SEARCH.NEW,0)),'DICTIONARY-5'!$A$2)</f>
        <v>6 175,-</v>
      </c>
      <c r="K33" s="339" t="str">
        <f>IFERROR(IF(OR(I33='DICTIONARY-5'!$A$2,I33='DICTIONARY-5'!$A$4,ISBLANK(I33)),VLOOKUP(H33,LIST!$A$6:$M$3250,CURR_2.SEARCH.OLD,0),VLOOKUP(I33,LIST!$B$6:$M$3250,CURR_2.SEARCH.NEW,0)),'DICTIONARY-5'!$A$2)</f>
        <v/>
      </c>
    </row>
    <row r="34" spans="1:11" x14ac:dyDescent="0.25">
      <c r="A34" s="371">
        <v>600</v>
      </c>
      <c r="B34" s="371" t="s">
        <v>436</v>
      </c>
      <c r="C34" s="371">
        <v>154</v>
      </c>
      <c r="D34" s="371" t="s">
        <v>5219</v>
      </c>
      <c r="E34" s="502" t="s">
        <v>5380</v>
      </c>
      <c r="F34" s="339" t="str">
        <f>IFERROR(IF(OR(E34='DICTIONARY-5'!$A$2,E34='DICTIONARY-5'!$A$4,ISBLANK(E34)),VLOOKUP(D34,LIST!$A$6:$L$3250,CURR_1.SEARCH.OLD,0),VLOOKUP(E34,LIST!$B$6:$L$3250,CURR_1.SEARCH.NEW,0)),'DICTIONARY-5'!$A$2)</f>
        <v>3 951,-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H34" s="371" t="s">
        <v>5220</v>
      </c>
      <c r="I34" s="502" t="s">
        <v>5402</v>
      </c>
      <c r="J34" s="339" t="str">
        <f>IFERROR(IF(OR(I34='DICTIONARY-5'!$A$2,I34='DICTIONARY-5'!$A$4,ISBLANK(I34)),VLOOKUP(H34,LIST!$A$6:$L$3250,CURR_1.SEARCH.OLD,0),VLOOKUP(I34,LIST!$B$6:$L$3250,CURR_1.SEARCH.NEW,0)),'DICTIONARY-5'!$A$2)</f>
        <v>6 416,-</v>
      </c>
      <c r="K34" s="339" t="str">
        <f>IFERROR(IF(OR(I34='DICTIONARY-5'!$A$2,I34='DICTIONARY-5'!$A$4,ISBLANK(I34)),VLOOKUP(H34,LIST!$A$6:$M$3250,CURR_2.SEARCH.OLD,0),VLOOKUP(I34,LIST!$B$6:$M$3250,CURR_2.SEARCH.NEW,0)),'DICTIONARY-5'!$A$2)</f>
        <v/>
      </c>
    </row>
    <row r="35" spans="1:11" x14ac:dyDescent="0.25">
      <c r="A35" s="375"/>
      <c r="B35" s="363"/>
      <c r="C35" s="363"/>
      <c r="D35" s="363"/>
      <c r="E35" s="363"/>
      <c r="F35" s="364"/>
      <c r="G35" s="364"/>
      <c r="H35" s="363"/>
      <c r="I35" s="363"/>
      <c r="J35" s="364"/>
      <c r="K35" s="364"/>
    </row>
    <row r="36" spans="1:11" x14ac:dyDescent="0.25">
      <c r="A36" s="570" t="str">
        <f>"1) "&amp;'DICTIONARY-5'!$A$92&amp;": max. 1,0 MPa / 10 bar"</f>
        <v>1) Ciśnienie robocze: max. 1,0 MPa / 10 bar</v>
      </c>
      <c r="B36" s="363"/>
      <c r="C36" s="363"/>
      <c r="D36" s="363"/>
      <c r="E36" s="363"/>
      <c r="F36" s="364"/>
      <c r="G36" s="364"/>
      <c r="H36" s="363"/>
      <c r="I36" s="363"/>
      <c r="J36" s="364"/>
      <c r="K36" s="364"/>
    </row>
    <row r="37" spans="1:11" x14ac:dyDescent="0.25">
      <c r="A37" s="375" t="str">
        <f>'DICTIONARY-5'!$A$3&amp;"DN 450 ... 600, "&amp;LOWER('DICTIONARY-5'!$A$92)&amp;": max. 1,6 MPa / 16 bar"</f>
        <v>Na zapytanie: DN 450 ... 600, ciśnienie robocze: max. 1,6 MPa / 16 bar</v>
      </c>
      <c r="B37" s="363"/>
      <c r="C37" s="363"/>
      <c r="D37" s="363"/>
      <c r="E37" s="363"/>
      <c r="F37" s="364"/>
      <c r="G37" s="364"/>
      <c r="H37" s="363"/>
      <c r="I37" s="363"/>
      <c r="J37" s="364"/>
      <c r="K37" s="364"/>
    </row>
    <row r="38" spans="1:11" x14ac:dyDescent="0.25">
      <c r="A38" s="375"/>
      <c r="B38" s="363"/>
      <c r="C38" s="363"/>
      <c r="D38" s="363"/>
      <c r="E38" s="363"/>
      <c r="F38" s="364"/>
      <c r="G38" s="364"/>
      <c r="H38" s="363"/>
      <c r="I38" s="363"/>
      <c r="J38" s="364"/>
      <c r="K38" s="364"/>
    </row>
    <row r="39" spans="1:11" x14ac:dyDescent="0.25">
      <c r="A39" s="363"/>
      <c r="B39" s="363"/>
      <c r="C39" s="363"/>
      <c r="D39" s="363"/>
      <c r="E39" s="363"/>
      <c r="F39" s="364"/>
      <c r="G39" s="364"/>
      <c r="H39" s="363"/>
      <c r="I39" s="363"/>
      <c r="J39" s="364"/>
      <c r="K39" s="364"/>
    </row>
    <row r="40" spans="1:11" x14ac:dyDescent="0.25">
      <c r="A40" s="561" t="str">
        <f>'DICTIONARY-2'!$A$2</f>
        <v>DN</v>
      </c>
      <c r="B40" s="561" t="str">
        <f>'DICTIONARY-2'!$A$3</f>
        <v>PN</v>
      </c>
      <c r="C40" s="561" t="str">
        <f>'DICTIONARY-2'!$A$24</f>
        <v>L</v>
      </c>
      <c r="D40" s="967" t="str">
        <f>'DICTIONARY-3'!$A$148</f>
        <v>CEREX 300-L</v>
      </c>
      <c r="E40" s="967"/>
      <c r="F40" s="967"/>
      <c r="G40" s="967"/>
      <c r="H40" s="967" t="str">
        <f>'DICTIONARY-3'!$A$148</f>
        <v>CEREX 300-L</v>
      </c>
      <c r="I40" s="967"/>
      <c r="J40" s="967"/>
      <c r="K40" s="967"/>
    </row>
    <row r="41" spans="1:11" x14ac:dyDescent="0.25">
      <c r="A41" s="562"/>
      <c r="B41" s="562"/>
      <c r="C41" s="562"/>
      <c r="D41" s="1023" t="str">
        <f>'DICTIONARY-5'!$A$43&amp;": "&amp;'DICTIONARY-5'!$A$45&amp;", "&amp;'DICTIONARY-5'!$A$147&amp;": "&amp;'DICTIONARY-5'!$A$50</f>
        <v xml:space="preserve">guma: NBR, dysk: żeliwo sferoidalne </v>
      </c>
      <c r="E41" s="1023"/>
      <c r="F41" s="1023"/>
      <c r="G41" s="1023"/>
      <c r="H41" s="1023" t="str">
        <f>'DICTIONARY-5'!$A$43&amp;": "&amp;'DICTIONARY-5'!$A$45&amp;", "&amp;'DICTIONARY-5'!$A$147&amp;": "&amp;'DICTIONARY-5'!$A$32</f>
        <v>guma: NBR, dysk: stal nierdzewna</v>
      </c>
      <c r="I41" s="1023"/>
      <c r="J41" s="1023"/>
      <c r="K41" s="1023"/>
    </row>
    <row r="42" spans="1:11" x14ac:dyDescent="0.25">
      <c r="A42" s="564"/>
      <c r="B42" s="564"/>
      <c r="C42" s="564" t="str">
        <f>'DICTIONARY-2'!$A$18</f>
        <v>[mm]</v>
      </c>
      <c r="D42" s="565" t="str">
        <f>'DICTIONARY-2'!$A$28</f>
        <v>stary nr zamówienia</v>
      </c>
      <c r="E42" s="565" t="str">
        <f>'DICTIONARY-2'!$A$29</f>
        <v>nowy nr zamówienia</v>
      </c>
      <c r="F42" s="566" t="str">
        <f>CURRENCY.CODE_1</f>
        <v>EUR</v>
      </c>
      <c r="G42" s="566" t="str">
        <f>CURRENCY.CODE_2</f>
        <v>---</v>
      </c>
      <c r="H42" s="565" t="str">
        <f>'DICTIONARY-2'!$A$28</f>
        <v>stary nr zamówienia</v>
      </c>
      <c r="I42" s="565" t="str">
        <f>'DICTIONARY-2'!$A$29</f>
        <v>nowy nr zamówienia</v>
      </c>
      <c r="J42" s="566" t="str">
        <f>CURRENCY.CODE_1</f>
        <v>EUR</v>
      </c>
      <c r="K42" s="566" t="str">
        <f>CURRENCY.CODE_2</f>
        <v>---</v>
      </c>
    </row>
    <row r="43" spans="1:11" x14ac:dyDescent="0.25">
      <c r="A43" s="371">
        <v>50</v>
      </c>
      <c r="B43" s="371" t="s">
        <v>1614</v>
      </c>
      <c r="C43" s="371">
        <v>43</v>
      </c>
      <c r="D43" s="371" t="s">
        <v>5221</v>
      </c>
      <c r="E43" s="502" t="s">
        <v>5403</v>
      </c>
      <c r="F43" s="339" t="str">
        <f>IFERROR(IF(OR(E43='DICTIONARY-5'!$A$2,E43='DICTIONARY-5'!$A$4,ISBLANK(E43)),VLOOKUP(D43,LIST!$A$6:$L$3250,CURR_1.SEARCH.OLD,0),VLOOKUP(E43,LIST!$B$6:$L$3250,CURR_1.SEARCH.NEW,0)),'DICTIONARY-5'!$A$2)</f>
        <v>163,-</v>
      </c>
      <c r="G43" s="339" t="str">
        <f>IFERROR(IF(OR(E43='DICTIONARY-5'!$A$2,E43='DICTIONARY-5'!$A$4,ISBLANK(E43)),VLOOKUP(D43,LIST!$A$6:$M$3250,CURR_2.SEARCH.OLD,0),VLOOKUP(E43,LIST!$B$6:$M$3250,CURR_2.SEARCH.NEW,0)),'DICTIONARY-5'!$A$2)</f>
        <v/>
      </c>
      <c r="H43" s="371" t="s">
        <v>5222</v>
      </c>
      <c r="I43" s="502" t="s">
        <v>5425</v>
      </c>
      <c r="J43" s="339" t="str">
        <f>IFERROR(IF(OR(I43='DICTIONARY-5'!$A$2,I43='DICTIONARY-5'!$A$4,ISBLANK(I43)),VLOOKUP(H43,LIST!$A$6:$L$3250,CURR_1.SEARCH.OLD,0),VLOOKUP(I43,LIST!$B$6:$L$3250,CURR_1.SEARCH.NEW,0)),'DICTIONARY-5'!$A$2)</f>
        <v>162,-</v>
      </c>
      <c r="K43" s="339" t="str">
        <f>IFERROR(IF(OR(I43='DICTIONARY-5'!$A$2,I43='DICTIONARY-5'!$A$4,ISBLANK(I43)),VLOOKUP(H43,LIST!$A$6:$M$3250,CURR_2.SEARCH.OLD,0),VLOOKUP(I43,LIST!$B$6:$M$3250,CURR_2.SEARCH.NEW,0)),'DICTIONARY-5'!$A$2)</f>
        <v/>
      </c>
    </row>
    <row r="44" spans="1:11" x14ac:dyDescent="0.25">
      <c r="A44" s="371">
        <v>65</v>
      </c>
      <c r="B44" s="371" t="s">
        <v>1614</v>
      </c>
      <c r="C44" s="371">
        <v>46</v>
      </c>
      <c r="D44" s="371" t="s">
        <v>5223</v>
      </c>
      <c r="E44" s="502" t="s">
        <v>5404</v>
      </c>
      <c r="F44" s="339" t="str">
        <f>IFERROR(IF(OR(E44='DICTIONARY-5'!$A$2,E44='DICTIONARY-5'!$A$4,ISBLANK(E44)),VLOOKUP(D44,LIST!$A$6:$L$3250,CURR_1.SEARCH.OLD,0),VLOOKUP(E44,LIST!$B$6:$L$3250,CURR_1.SEARCH.NEW,0)),'DICTIONARY-5'!$A$2)</f>
        <v>175,-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  <c r="H44" s="371" t="s">
        <v>5224</v>
      </c>
      <c r="I44" s="502" t="s">
        <v>5426</v>
      </c>
      <c r="J44" s="339" t="str">
        <f>IFERROR(IF(OR(I44='DICTIONARY-5'!$A$2,I44='DICTIONARY-5'!$A$4,ISBLANK(I44)),VLOOKUP(H44,LIST!$A$6:$L$3250,CURR_1.SEARCH.OLD,0),VLOOKUP(I44,LIST!$B$6:$L$3250,CURR_1.SEARCH.NEW,0)),'DICTIONARY-5'!$A$2)</f>
        <v>176,-</v>
      </c>
      <c r="K44" s="339" t="str">
        <f>IFERROR(IF(OR(I44='DICTIONARY-5'!$A$2,I44='DICTIONARY-5'!$A$4,ISBLANK(I44)),VLOOKUP(H44,LIST!$A$6:$M$3250,CURR_2.SEARCH.OLD,0),VLOOKUP(I44,LIST!$B$6:$M$3250,CURR_2.SEARCH.NEW,0)),'DICTIONARY-5'!$A$2)</f>
        <v/>
      </c>
    </row>
    <row r="45" spans="1:11" x14ac:dyDescent="0.25">
      <c r="A45" s="371">
        <v>80</v>
      </c>
      <c r="B45" s="371" t="s">
        <v>1614</v>
      </c>
      <c r="C45" s="371">
        <v>46</v>
      </c>
      <c r="D45" s="371" t="s">
        <v>5225</v>
      </c>
      <c r="E45" s="502" t="s">
        <v>5405</v>
      </c>
      <c r="F45" s="339" t="str">
        <f>IFERROR(IF(OR(E45='DICTIONARY-5'!$A$2,E45='DICTIONARY-5'!$A$4,ISBLANK(E45)),VLOOKUP(D45,LIST!$A$6:$L$3250,CURR_1.SEARCH.OLD,0),VLOOKUP(E45,LIST!$B$6:$L$3250,CURR_1.SEARCH.NEW,0)),'DICTIONARY-5'!$A$2)</f>
        <v>205,-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  <c r="H45" s="371" t="s">
        <v>5226</v>
      </c>
      <c r="I45" s="502" t="s">
        <v>5427</v>
      </c>
      <c r="J45" s="339" t="str">
        <f>IFERROR(IF(OR(I45='DICTIONARY-5'!$A$2,I45='DICTIONARY-5'!$A$4,ISBLANK(I45)),VLOOKUP(H45,LIST!$A$6:$L$3250,CURR_1.SEARCH.OLD,0),VLOOKUP(I45,LIST!$B$6:$L$3250,CURR_1.SEARCH.NEW,0)),'DICTIONARY-5'!$A$2)</f>
        <v>210,-</v>
      </c>
      <c r="K45" s="339" t="str">
        <f>IFERROR(IF(OR(I45='DICTIONARY-5'!$A$2,I45='DICTIONARY-5'!$A$4,ISBLANK(I45)),VLOOKUP(H45,LIST!$A$6:$M$3250,CURR_2.SEARCH.OLD,0),VLOOKUP(I45,LIST!$B$6:$M$3250,CURR_2.SEARCH.NEW,0)),'DICTIONARY-5'!$A$2)</f>
        <v/>
      </c>
    </row>
    <row r="46" spans="1:11" x14ac:dyDescent="0.25">
      <c r="A46" s="371">
        <v>100</v>
      </c>
      <c r="B46" s="371" t="s">
        <v>1614</v>
      </c>
      <c r="C46" s="371">
        <v>52</v>
      </c>
      <c r="D46" s="371" t="s">
        <v>5227</v>
      </c>
      <c r="E46" s="502" t="s">
        <v>5406</v>
      </c>
      <c r="F46" s="339" t="str">
        <f>IFERROR(IF(OR(E46='DICTIONARY-5'!$A$2,E46='DICTIONARY-5'!$A$4,ISBLANK(E46)),VLOOKUP(D46,LIST!$A$6:$L$3250,CURR_1.SEARCH.OLD,0),VLOOKUP(E46,LIST!$B$6:$L$3250,CURR_1.SEARCH.NEW,0)),'DICTIONARY-5'!$A$2)</f>
        <v>236,-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  <c r="H46" s="371" t="s">
        <v>5228</v>
      </c>
      <c r="I46" s="502" t="s">
        <v>5428</v>
      </c>
      <c r="J46" s="339" t="str">
        <f>IFERROR(IF(OR(I46='DICTIONARY-5'!$A$2,I46='DICTIONARY-5'!$A$4,ISBLANK(I46)),VLOOKUP(H46,LIST!$A$6:$L$3250,CURR_1.SEARCH.OLD,0),VLOOKUP(I46,LIST!$B$6:$L$3250,CURR_1.SEARCH.NEW,0)),'DICTIONARY-5'!$A$2)</f>
        <v>241,-</v>
      </c>
      <c r="K46" s="339" t="str">
        <f>IFERROR(IF(OR(I46='DICTIONARY-5'!$A$2,I46='DICTIONARY-5'!$A$4,ISBLANK(I46)),VLOOKUP(H46,LIST!$A$6:$M$3250,CURR_2.SEARCH.OLD,0),VLOOKUP(I46,LIST!$B$6:$M$3250,CURR_2.SEARCH.NEW,0)),'DICTIONARY-5'!$A$2)</f>
        <v/>
      </c>
    </row>
    <row r="47" spans="1:11" x14ac:dyDescent="0.25">
      <c r="A47" s="371">
        <v>125</v>
      </c>
      <c r="B47" s="371" t="s">
        <v>1614</v>
      </c>
      <c r="C47" s="371">
        <v>56</v>
      </c>
      <c r="D47" s="371" t="s">
        <v>5229</v>
      </c>
      <c r="E47" s="502" t="s">
        <v>5407</v>
      </c>
      <c r="F47" s="339" t="str">
        <f>IFERROR(IF(OR(E47='DICTIONARY-5'!$A$2,E47='DICTIONARY-5'!$A$4,ISBLANK(E47)),VLOOKUP(D47,LIST!$A$6:$L$3250,CURR_1.SEARCH.OLD,0),VLOOKUP(E47,LIST!$B$6:$L$3250,CURR_1.SEARCH.NEW,0)),'DICTIONARY-5'!$A$2)</f>
        <v>268,-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371" t="s">
        <v>5230</v>
      </c>
      <c r="I47" s="502" t="s">
        <v>5429</v>
      </c>
      <c r="J47" s="339" t="str">
        <f>IFERROR(IF(OR(I47='DICTIONARY-5'!$A$2,I47='DICTIONARY-5'!$A$4,ISBLANK(I47)),VLOOKUP(H47,LIST!$A$6:$L$3250,CURR_1.SEARCH.OLD,0),VLOOKUP(I47,LIST!$B$6:$L$3250,CURR_1.SEARCH.NEW,0)),'DICTIONARY-5'!$A$2)</f>
        <v>285,-</v>
      </c>
      <c r="K47" s="339" t="str">
        <f>IFERROR(IF(OR(I47='DICTIONARY-5'!$A$2,I47='DICTIONARY-5'!$A$4,ISBLANK(I47)),VLOOKUP(H47,LIST!$A$6:$M$3250,CURR_2.SEARCH.OLD,0),VLOOKUP(I47,LIST!$B$6:$M$3250,CURR_2.SEARCH.NEW,0)),'DICTIONARY-5'!$A$2)</f>
        <v/>
      </c>
    </row>
    <row r="48" spans="1:11" x14ac:dyDescent="0.25">
      <c r="A48" s="371">
        <v>150</v>
      </c>
      <c r="B48" s="371" t="s">
        <v>1614</v>
      </c>
      <c r="C48" s="371">
        <v>56</v>
      </c>
      <c r="D48" s="371" t="s">
        <v>5231</v>
      </c>
      <c r="E48" s="502" t="s">
        <v>5408</v>
      </c>
      <c r="F48" s="339" t="str">
        <f>IFERROR(IF(OR(E48='DICTIONARY-5'!$A$2,E48='DICTIONARY-5'!$A$4,ISBLANK(E48)),VLOOKUP(D48,LIST!$A$6:$L$3250,CURR_1.SEARCH.OLD,0),VLOOKUP(E48,LIST!$B$6:$L$3250,CURR_1.SEARCH.NEW,0)),'DICTIONARY-5'!$A$2)</f>
        <v>352,-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371" t="s">
        <v>5232</v>
      </c>
      <c r="I48" s="502" t="s">
        <v>5430</v>
      </c>
      <c r="J48" s="339" t="str">
        <f>IFERROR(IF(OR(I48='DICTIONARY-5'!$A$2,I48='DICTIONARY-5'!$A$4,ISBLANK(I48)),VLOOKUP(H48,LIST!$A$6:$L$3250,CURR_1.SEARCH.OLD,0),VLOOKUP(I48,LIST!$B$6:$L$3250,CURR_1.SEARCH.NEW,0)),'DICTIONARY-5'!$A$2)</f>
        <v>391,-</v>
      </c>
      <c r="K48" s="339" t="str">
        <f>IFERROR(IF(OR(I48='DICTIONARY-5'!$A$2,I48='DICTIONARY-5'!$A$4,ISBLANK(I48)),VLOOKUP(H48,LIST!$A$6:$M$3250,CURR_2.SEARCH.OLD,0),VLOOKUP(I48,LIST!$B$6:$M$3250,CURR_2.SEARCH.NEW,0)),'DICTIONARY-5'!$A$2)</f>
        <v/>
      </c>
    </row>
    <row r="49" spans="1:11" x14ac:dyDescent="0.25">
      <c r="A49" s="371">
        <v>200</v>
      </c>
      <c r="B49" s="371">
        <v>10</v>
      </c>
      <c r="C49" s="371">
        <v>60</v>
      </c>
      <c r="D49" s="371" t="s">
        <v>5233</v>
      </c>
      <c r="E49" s="502" t="s">
        <v>5409</v>
      </c>
      <c r="F49" s="339" t="str">
        <f>IFERROR(IF(OR(E49='DICTIONARY-5'!$A$2,E49='DICTIONARY-5'!$A$4,ISBLANK(E49)),VLOOKUP(D49,LIST!$A$6:$L$3250,CURR_1.SEARCH.OLD,0),VLOOKUP(E49,LIST!$B$6:$L$3250,CURR_1.SEARCH.NEW,0)),'DICTIONARY-5'!$A$2)</f>
        <v>461,-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  <c r="H49" s="371" t="s">
        <v>5234</v>
      </c>
      <c r="I49" s="502" t="s">
        <v>5431</v>
      </c>
      <c r="J49" s="339" t="str">
        <f>IFERROR(IF(OR(I49='DICTIONARY-5'!$A$2,I49='DICTIONARY-5'!$A$4,ISBLANK(I49)),VLOOKUP(H49,LIST!$A$6:$L$3250,CURR_1.SEARCH.OLD,0),VLOOKUP(I49,LIST!$B$6:$L$3250,CURR_1.SEARCH.NEW,0)),'DICTIONARY-5'!$A$2)</f>
        <v>516,-</v>
      </c>
      <c r="K49" s="339" t="str">
        <f>IFERROR(IF(OR(I49='DICTIONARY-5'!$A$2,I49='DICTIONARY-5'!$A$4,ISBLANK(I49)),VLOOKUP(H49,LIST!$A$6:$M$3250,CURR_2.SEARCH.OLD,0),VLOOKUP(I49,LIST!$B$6:$M$3250,CURR_2.SEARCH.NEW,0)),'DICTIONARY-5'!$A$2)</f>
        <v/>
      </c>
    </row>
    <row r="50" spans="1:11" x14ac:dyDescent="0.25">
      <c r="A50" s="371">
        <v>200</v>
      </c>
      <c r="B50" s="371">
        <v>16</v>
      </c>
      <c r="C50" s="371">
        <v>60</v>
      </c>
      <c r="D50" s="371" t="s">
        <v>5235</v>
      </c>
      <c r="E50" s="502" t="s">
        <v>5410</v>
      </c>
      <c r="F50" s="339" t="str">
        <f>IFERROR(IF(OR(E50='DICTIONARY-5'!$A$2,E50='DICTIONARY-5'!$A$4,ISBLANK(E50)),VLOOKUP(D50,LIST!$A$6:$L$3250,CURR_1.SEARCH.OLD,0),VLOOKUP(E50,LIST!$B$6:$L$3250,CURR_1.SEARCH.NEW,0)),'DICTIONARY-5'!$A$2)</f>
        <v>510,-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  <c r="H50" s="371" t="s">
        <v>5236</v>
      </c>
      <c r="I50" s="502" t="s">
        <v>5432</v>
      </c>
      <c r="J50" s="339" t="str">
        <f>IFERROR(IF(OR(I50='DICTIONARY-5'!$A$2,I50='DICTIONARY-5'!$A$4,ISBLANK(I50)),VLOOKUP(H50,LIST!$A$6:$L$3250,CURR_1.SEARCH.OLD,0),VLOOKUP(I50,LIST!$B$6:$L$3250,CURR_1.SEARCH.NEW,0)),'DICTIONARY-5'!$A$2)</f>
        <v>566,-</v>
      </c>
      <c r="K50" s="339" t="str">
        <f>IFERROR(IF(OR(I50='DICTIONARY-5'!$A$2,I50='DICTIONARY-5'!$A$4,ISBLANK(I50)),VLOOKUP(H50,LIST!$A$6:$M$3250,CURR_2.SEARCH.OLD,0),VLOOKUP(I50,LIST!$B$6:$M$3250,CURR_2.SEARCH.NEW,0)),'DICTIONARY-5'!$A$2)</f>
        <v/>
      </c>
    </row>
    <row r="51" spans="1:11" x14ac:dyDescent="0.25">
      <c r="A51" s="371">
        <v>250</v>
      </c>
      <c r="B51" s="371">
        <v>10</v>
      </c>
      <c r="C51" s="371">
        <v>68</v>
      </c>
      <c r="D51" s="371" t="s">
        <v>5237</v>
      </c>
      <c r="E51" s="502" t="s">
        <v>5411</v>
      </c>
      <c r="F51" s="339" t="str">
        <f>IFERROR(IF(OR(E51='DICTIONARY-5'!$A$2,E51='DICTIONARY-5'!$A$4,ISBLANK(E51)),VLOOKUP(D51,LIST!$A$6:$L$3250,CURR_1.SEARCH.OLD,0),VLOOKUP(E51,LIST!$B$6:$L$3250,CURR_1.SEARCH.NEW,0)),'DICTIONARY-5'!$A$2)</f>
        <v>537,-</v>
      </c>
      <c r="G51" s="339" t="str">
        <f>IFERROR(IF(OR(E51='DICTIONARY-5'!$A$2,E51='DICTIONARY-5'!$A$4,ISBLANK(E51)),VLOOKUP(D51,LIST!$A$6:$M$3250,CURR_2.SEARCH.OLD,0),VLOOKUP(E51,LIST!$B$6:$M$3250,CURR_2.SEARCH.NEW,0)),'DICTIONARY-5'!$A$2)</f>
        <v/>
      </c>
      <c r="H51" s="371" t="s">
        <v>5238</v>
      </c>
      <c r="I51" s="502" t="s">
        <v>5433</v>
      </c>
      <c r="J51" s="339" t="str">
        <f>IFERROR(IF(OR(I51='DICTIONARY-5'!$A$2,I51='DICTIONARY-5'!$A$4,ISBLANK(I51)),VLOOKUP(H51,LIST!$A$6:$L$3250,CURR_1.SEARCH.OLD,0),VLOOKUP(I51,LIST!$B$6:$L$3250,CURR_1.SEARCH.NEW,0)),'DICTIONARY-5'!$A$2)</f>
        <v>689,-</v>
      </c>
      <c r="K51" s="339" t="str">
        <f>IFERROR(IF(OR(I51='DICTIONARY-5'!$A$2,I51='DICTIONARY-5'!$A$4,ISBLANK(I51)),VLOOKUP(H51,LIST!$A$6:$M$3250,CURR_2.SEARCH.OLD,0),VLOOKUP(I51,LIST!$B$6:$M$3250,CURR_2.SEARCH.NEW,0)),'DICTIONARY-5'!$A$2)</f>
        <v/>
      </c>
    </row>
    <row r="52" spans="1:11" x14ac:dyDescent="0.25">
      <c r="A52" s="371">
        <v>250</v>
      </c>
      <c r="B52" s="371">
        <v>16</v>
      </c>
      <c r="C52" s="371">
        <v>68</v>
      </c>
      <c r="D52" s="371" t="s">
        <v>5239</v>
      </c>
      <c r="E52" s="502" t="s">
        <v>5412</v>
      </c>
      <c r="F52" s="339" t="str">
        <f>IFERROR(IF(OR(E52='DICTIONARY-5'!$A$2,E52='DICTIONARY-5'!$A$4,ISBLANK(E52)),VLOOKUP(D52,LIST!$A$6:$L$3250,CURR_1.SEARCH.OLD,0),VLOOKUP(E52,LIST!$B$6:$L$3250,CURR_1.SEARCH.NEW,0)),'DICTIONARY-5'!$A$2)</f>
        <v>549,-</v>
      </c>
      <c r="G52" s="339" t="str">
        <f>IFERROR(IF(OR(E52='DICTIONARY-5'!$A$2,E52='DICTIONARY-5'!$A$4,ISBLANK(E52)),VLOOKUP(D52,LIST!$A$6:$M$3250,CURR_2.SEARCH.OLD,0),VLOOKUP(E52,LIST!$B$6:$M$3250,CURR_2.SEARCH.NEW,0)),'DICTIONARY-5'!$A$2)</f>
        <v/>
      </c>
      <c r="H52" s="371" t="s">
        <v>5240</v>
      </c>
      <c r="I52" s="502" t="s">
        <v>5434</v>
      </c>
      <c r="J52" s="339" t="str">
        <f>IFERROR(IF(OR(I52='DICTIONARY-5'!$A$2,I52='DICTIONARY-5'!$A$4,ISBLANK(I52)),VLOOKUP(H52,LIST!$A$6:$L$3250,CURR_1.SEARCH.OLD,0),VLOOKUP(I52,LIST!$B$6:$L$3250,CURR_1.SEARCH.NEW,0)),'DICTIONARY-5'!$A$2)</f>
        <v>700,-</v>
      </c>
      <c r="K52" s="339" t="str">
        <f>IFERROR(IF(OR(I52='DICTIONARY-5'!$A$2,I52='DICTIONARY-5'!$A$4,ISBLANK(I52)),VLOOKUP(H52,LIST!$A$6:$M$3250,CURR_2.SEARCH.OLD,0),VLOOKUP(I52,LIST!$B$6:$M$3250,CURR_2.SEARCH.NEW,0)),'DICTIONARY-5'!$A$2)</f>
        <v/>
      </c>
    </row>
    <row r="53" spans="1:11" x14ac:dyDescent="0.25">
      <c r="A53" s="371">
        <v>300</v>
      </c>
      <c r="B53" s="371">
        <v>10</v>
      </c>
      <c r="C53" s="371">
        <v>78</v>
      </c>
      <c r="D53" s="371" t="s">
        <v>5241</v>
      </c>
      <c r="E53" s="502" t="s">
        <v>5413</v>
      </c>
      <c r="F53" s="339" t="str">
        <f>IFERROR(IF(OR(E53='DICTIONARY-5'!$A$2,E53='DICTIONARY-5'!$A$4,ISBLANK(E53)),VLOOKUP(D53,LIST!$A$6:$L$3250,CURR_1.SEARCH.OLD,0),VLOOKUP(E53,LIST!$B$6:$L$3250,CURR_1.SEARCH.NEW,0)),'DICTIONARY-5'!$A$2)</f>
        <v>715,-</v>
      </c>
      <c r="G53" s="339" t="str">
        <f>IFERROR(IF(OR(E53='DICTIONARY-5'!$A$2,E53='DICTIONARY-5'!$A$4,ISBLANK(E53)),VLOOKUP(D53,LIST!$A$6:$M$3250,CURR_2.SEARCH.OLD,0),VLOOKUP(E53,LIST!$B$6:$M$3250,CURR_2.SEARCH.NEW,0)),'DICTIONARY-5'!$A$2)</f>
        <v/>
      </c>
      <c r="H53" s="371" t="s">
        <v>5242</v>
      </c>
      <c r="I53" s="502" t="s">
        <v>5435</v>
      </c>
      <c r="J53" s="339" t="str">
        <f>IFERROR(IF(OR(I53='DICTIONARY-5'!$A$2,I53='DICTIONARY-5'!$A$4,ISBLANK(I53)),VLOOKUP(H53,LIST!$A$6:$L$3250,CURR_1.SEARCH.OLD,0),VLOOKUP(I53,LIST!$B$6:$L$3250,CURR_1.SEARCH.NEW,0)),'DICTIONARY-5'!$A$2)</f>
        <v>940,-</v>
      </c>
      <c r="K53" s="339" t="str">
        <f>IFERROR(IF(OR(I53='DICTIONARY-5'!$A$2,I53='DICTIONARY-5'!$A$4,ISBLANK(I53)),VLOOKUP(H53,LIST!$A$6:$M$3250,CURR_2.SEARCH.OLD,0),VLOOKUP(I53,LIST!$B$6:$M$3250,CURR_2.SEARCH.NEW,0)),'DICTIONARY-5'!$A$2)</f>
        <v/>
      </c>
    </row>
    <row r="54" spans="1:11" x14ac:dyDescent="0.25">
      <c r="A54" s="371">
        <v>300</v>
      </c>
      <c r="B54" s="371">
        <v>16</v>
      </c>
      <c r="C54" s="371">
        <v>78</v>
      </c>
      <c r="D54" s="371" t="s">
        <v>5243</v>
      </c>
      <c r="E54" s="502" t="s">
        <v>5414</v>
      </c>
      <c r="F54" s="339" t="str">
        <f>IFERROR(IF(OR(E54='DICTIONARY-5'!$A$2,E54='DICTIONARY-5'!$A$4,ISBLANK(E54)),VLOOKUP(D54,LIST!$A$6:$L$3250,CURR_1.SEARCH.OLD,0),VLOOKUP(E54,LIST!$B$6:$L$3250,CURR_1.SEARCH.NEW,0)),'DICTIONARY-5'!$A$2)</f>
        <v>721,-</v>
      </c>
      <c r="G54" s="339" t="str">
        <f>IFERROR(IF(OR(E54='DICTIONARY-5'!$A$2,E54='DICTIONARY-5'!$A$4,ISBLANK(E54)),VLOOKUP(D54,LIST!$A$6:$M$3250,CURR_2.SEARCH.OLD,0),VLOOKUP(E54,LIST!$B$6:$M$3250,CURR_2.SEARCH.NEW,0)),'DICTIONARY-5'!$A$2)</f>
        <v/>
      </c>
      <c r="H54" s="371" t="s">
        <v>5244</v>
      </c>
      <c r="I54" s="502" t="s">
        <v>5436</v>
      </c>
      <c r="J54" s="339" t="str">
        <f>IFERROR(IF(OR(I54='DICTIONARY-5'!$A$2,I54='DICTIONARY-5'!$A$4,ISBLANK(I54)),VLOOKUP(H54,LIST!$A$6:$L$3250,CURR_1.SEARCH.OLD,0),VLOOKUP(I54,LIST!$B$6:$L$3250,CURR_1.SEARCH.NEW,0)),'DICTIONARY-5'!$A$2)</f>
        <v>947,-</v>
      </c>
      <c r="K54" s="339" t="str">
        <f>IFERROR(IF(OR(I54='DICTIONARY-5'!$A$2,I54='DICTIONARY-5'!$A$4,ISBLANK(I54)),VLOOKUP(H54,LIST!$A$6:$M$3250,CURR_2.SEARCH.OLD,0),VLOOKUP(I54,LIST!$B$6:$M$3250,CURR_2.SEARCH.NEW,0)),'DICTIONARY-5'!$A$2)</f>
        <v/>
      </c>
    </row>
    <row r="55" spans="1:11" x14ac:dyDescent="0.25">
      <c r="A55" s="371">
        <v>350</v>
      </c>
      <c r="B55" s="371">
        <v>10</v>
      </c>
      <c r="C55" s="371">
        <v>78</v>
      </c>
      <c r="D55" s="371" t="s">
        <v>5245</v>
      </c>
      <c r="E55" s="502" t="s">
        <v>5415</v>
      </c>
      <c r="F55" s="339" t="str">
        <f>IFERROR(IF(OR(E55='DICTIONARY-5'!$A$2,E55='DICTIONARY-5'!$A$4,ISBLANK(E55)),VLOOKUP(D55,LIST!$A$6:$L$3250,CURR_1.SEARCH.OLD,0),VLOOKUP(E55,LIST!$B$6:$L$3250,CURR_1.SEARCH.NEW,0)),'DICTIONARY-5'!$A$2)</f>
        <v>1 037,-</v>
      </c>
      <c r="G55" s="339" t="str">
        <f>IFERROR(IF(OR(E55='DICTIONARY-5'!$A$2,E55='DICTIONARY-5'!$A$4,ISBLANK(E55)),VLOOKUP(D55,LIST!$A$6:$M$3250,CURR_2.SEARCH.OLD,0),VLOOKUP(E55,LIST!$B$6:$M$3250,CURR_2.SEARCH.NEW,0)),'DICTIONARY-5'!$A$2)</f>
        <v/>
      </c>
      <c r="H55" s="371" t="s">
        <v>5246</v>
      </c>
      <c r="I55" s="502" t="s">
        <v>5437</v>
      </c>
      <c r="J55" s="339" t="str">
        <f>IFERROR(IF(OR(I55='DICTIONARY-5'!$A$2,I55='DICTIONARY-5'!$A$4,ISBLANK(I55)),VLOOKUP(H55,LIST!$A$6:$L$3250,CURR_1.SEARCH.OLD,0),VLOOKUP(I55,LIST!$B$6:$L$3250,CURR_1.SEARCH.NEW,0)),'DICTIONARY-5'!$A$2)</f>
        <v>1 394,-</v>
      </c>
      <c r="K55" s="339" t="str">
        <f>IFERROR(IF(OR(I55='DICTIONARY-5'!$A$2,I55='DICTIONARY-5'!$A$4,ISBLANK(I55)),VLOOKUP(H55,LIST!$A$6:$M$3250,CURR_2.SEARCH.OLD,0),VLOOKUP(I55,LIST!$B$6:$M$3250,CURR_2.SEARCH.NEW,0)),'DICTIONARY-5'!$A$2)</f>
        <v/>
      </c>
    </row>
    <row r="56" spans="1:11" x14ac:dyDescent="0.25">
      <c r="A56" s="371">
        <v>350</v>
      </c>
      <c r="B56" s="371">
        <v>16</v>
      </c>
      <c r="C56" s="371">
        <v>78</v>
      </c>
      <c r="D56" s="371" t="s">
        <v>5247</v>
      </c>
      <c r="E56" s="502" t="s">
        <v>5416</v>
      </c>
      <c r="F56" s="339" t="str">
        <f>IFERROR(IF(OR(E56='DICTIONARY-5'!$A$2,E56='DICTIONARY-5'!$A$4,ISBLANK(E56)),VLOOKUP(D56,LIST!$A$6:$L$3250,CURR_1.SEARCH.OLD,0),VLOOKUP(E56,LIST!$B$6:$L$3250,CURR_1.SEARCH.NEW,0)),'DICTIONARY-5'!$A$2)</f>
        <v>1 065,-</v>
      </c>
      <c r="G56" s="339" t="str">
        <f>IFERROR(IF(OR(E56='DICTIONARY-5'!$A$2,E56='DICTIONARY-5'!$A$4,ISBLANK(E56)),VLOOKUP(D56,LIST!$A$6:$M$3250,CURR_2.SEARCH.OLD,0),VLOOKUP(E56,LIST!$B$6:$M$3250,CURR_2.SEARCH.NEW,0)),'DICTIONARY-5'!$A$2)</f>
        <v/>
      </c>
      <c r="H56" s="371" t="s">
        <v>5248</v>
      </c>
      <c r="I56" s="502" t="s">
        <v>5438</v>
      </c>
      <c r="J56" s="339" t="str">
        <f>IFERROR(IF(OR(I56='DICTIONARY-5'!$A$2,I56='DICTIONARY-5'!$A$4,ISBLANK(I56)),VLOOKUP(H56,LIST!$A$6:$L$3250,CURR_1.SEARCH.OLD,0),VLOOKUP(I56,LIST!$B$6:$L$3250,CURR_1.SEARCH.NEW,0)),'DICTIONARY-5'!$A$2)</f>
        <v>1 421,-</v>
      </c>
      <c r="K56" s="339" t="str">
        <f>IFERROR(IF(OR(I56='DICTIONARY-5'!$A$2,I56='DICTIONARY-5'!$A$4,ISBLANK(I56)),VLOOKUP(H56,LIST!$A$6:$M$3250,CURR_2.SEARCH.OLD,0),VLOOKUP(I56,LIST!$B$6:$M$3250,CURR_2.SEARCH.NEW,0)),'DICTIONARY-5'!$A$2)</f>
        <v/>
      </c>
    </row>
    <row r="57" spans="1:11" x14ac:dyDescent="0.25">
      <c r="A57" s="371">
        <v>400</v>
      </c>
      <c r="B57" s="371">
        <v>10</v>
      </c>
      <c r="C57" s="371">
        <v>102</v>
      </c>
      <c r="D57" s="371" t="s">
        <v>5249</v>
      </c>
      <c r="E57" s="502" t="s">
        <v>5417</v>
      </c>
      <c r="F57" s="339" t="str">
        <f>IFERROR(IF(OR(E57='DICTIONARY-5'!$A$2,E57='DICTIONARY-5'!$A$4,ISBLANK(E57)),VLOOKUP(D57,LIST!$A$6:$L$3250,CURR_1.SEARCH.OLD,0),VLOOKUP(E57,LIST!$B$6:$L$3250,CURR_1.SEARCH.NEW,0)),'DICTIONARY-5'!$A$2)</f>
        <v>1 378,-</v>
      </c>
      <c r="G57" s="339" t="str">
        <f>IFERROR(IF(OR(E57='DICTIONARY-5'!$A$2,E57='DICTIONARY-5'!$A$4,ISBLANK(E57)),VLOOKUP(D57,LIST!$A$6:$M$3250,CURR_2.SEARCH.OLD,0),VLOOKUP(E57,LIST!$B$6:$M$3250,CURR_2.SEARCH.NEW,0)),'DICTIONARY-5'!$A$2)</f>
        <v/>
      </c>
      <c r="H57" s="371" t="s">
        <v>5250</v>
      </c>
      <c r="I57" s="502" t="s">
        <v>5439</v>
      </c>
      <c r="J57" s="339" t="str">
        <f>IFERROR(IF(OR(I57='DICTIONARY-5'!$A$2,I57='DICTIONARY-5'!$A$4,ISBLANK(I57)),VLOOKUP(H57,LIST!$A$6:$L$3250,CURR_1.SEARCH.OLD,0),VLOOKUP(I57,LIST!$B$6:$L$3250,CURR_1.SEARCH.NEW,0)),'DICTIONARY-5'!$A$2)</f>
        <v>1 918,-</v>
      </c>
      <c r="K57" s="339" t="str">
        <f>IFERROR(IF(OR(I57='DICTIONARY-5'!$A$2,I57='DICTIONARY-5'!$A$4,ISBLANK(I57)),VLOOKUP(H57,LIST!$A$6:$M$3250,CURR_2.SEARCH.OLD,0),VLOOKUP(I57,LIST!$B$6:$M$3250,CURR_2.SEARCH.NEW,0)),'DICTIONARY-5'!$A$2)</f>
        <v/>
      </c>
    </row>
    <row r="58" spans="1:11" x14ac:dyDescent="0.25">
      <c r="A58" s="371">
        <v>400</v>
      </c>
      <c r="B58" s="371">
        <v>16</v>
      </c>
      <c r="C58" s="371">
        <v>102</v>
      </c>
      <c r="D58" s="371" t="s">
        <v>5251</v>
      </c>
      <c r="E58" s="502" t="s">
        <v>5418</v>
      </c>
      <c r="F58" s="339" t="str">
        <f>IFERROR(IF(OR(E58='DICTIONARY-5'!$A$2,E58='DICTIONARY-5'!$A$4,ISBLANK(E58)),VLOOKUP(D58,LIST!$A$6:$L$3250,CURR_1.SEARCH.OLD,0),VLOOKUP(E58,LIST!$B$6:$L$3250,CURR_1.SEARCH.NEW,0)),'DICTIONARY-5'!$A$2)</f>
        <v>1 398,-</v>
      </c>
      <c r="G58" s="339" t="str">
        <f>IFERROR(IF(OR(E58='DICTIONARY-5'!$A$2,E58='DICTIONARY-5'!$A$4,ISBLANK(E58)),VLOOKUP(D58,LIST!$A$6:$M$3250,CURR_2.SEARCH.OLD,0),VLOOKUP(E58,LIST!$B$6:$M$3250,CURR_2.SEARCH.NEW,0)),'DICTIONARY-5'!$A$2)</f>
        <v/>
      </c>
      <c r="H58" s="371" t="s">
        <v>5252</v>
      </c>
      <c r="I58" s="502" t="s">
        <v>5440</v>
      </c>
      <c r="J58" s="339" t="str">
        <f>IFERROR(IF(OR(I58='DICTIONARY-5'!$A$2,I58='DICTIONARY-5'!$A$4,ISBLANK(I58)),VLOOKUP(H58,LIST!$A$6:$L$3250,CURR_1.SEARCH.OLD,0),VLOOKUP(I58,LIST!$B$6:$L$3250,CURR_1.SEARCH.NEW,0)),'DICTIONARY-5'!$A$2)</f>
        <v>1 954,-</v>
      </c>
      <c r="K58" s="339" t="str">
        <f>IFERROR(IF(OR(I58='DICTIONARY-5'!$A$2,I58='DICTIONARY-5'!$A$4,ISBLANK(I58)),VLOOKUP(H58,LIST!$A$6:$M$3250,CURR_2.SEARCH.OLD,0),VLOOKUP(I58,LIST!$B$6:$M$3250,CURR_2.SEARCH.NEW,0)),'DICTIONARY-5'!$A$2)</f>
        <v/>
      </c>
    </row>
    <row r="59" spans="1:11" x14ac:dyDescent="0.25">
      <c r="A59" s="371">
        <v>450</v>
      </c>
      <c r="B59" s="371">
        <v>10</v>
      </c>
      <c r="C59" s="371">
        <v>114</v>
      </c>
      <c r="D59" s="371" t="s">
        <v>5253</v>
      </c>
      <c r="E59" s="502" t="s">
        <v>5419</v>
      </c>
      <c r="F59" s="339" t="str">
        <f>IFERROR(IF(OR(E59='DICTIONARY-5'!$A$2,E59='DICTIONARY-5'!$A$4,ISBLANK(E59)),VLOOKUP(D59,LIST!$A$6:$L$3250,CURR_1.SEARCH.OLD,0),VLOOKUP(E59,LIST!$B$6:$L$3250,CURR_1.SEARCH.NEW,0)),'DICTIONARY-5'!$A$2)</f>
        <v>2 143,-</v>
      </c>
      <c r="G59" s="339" t="str">
        <f>IFERROR(IF(OR(E59='DICTIONARY-5'!$A$2,E59='DICTIONARY-5'!$A$4,ISBLANK(E59)),VLOOKUP(D59,LIST!$A$6:$M$3250,CURR_2.SEARCH.OLD,0),VLOOKUP(E59,LIST!$B$6:$M$3250,CURR_2.SEARCH.NEW,0)),'DICTIONARY-5'!$A$2)</f>
        <v/>
      </c>
      <c r="H59" s="371" t="s">
        <v>5254</v>
      </c>
      <c r="I59" s="502" t="s">
        <v>5441</v>
      </c>
      <c r="J59" s="339" t="str">
        <f>IFERROR(IF(OR(I59='DICTIONARY-5'!$A$2,I59='DICTIONARY-5'!$A$4,ISBLANK(I59)),VLOOKUP(H59,LIST!$A$6:$L$3250,CURR_1.SEARCH.OLD,0),VLOOKUP(I59,LIST!$B$6:$L$3250,CURR_1.SEARCH.NEW,0)),'DICTIONARY-5'!$A$2)</f>
        <v>2 940,-</v>
      </c>
      <c r="K59" s="339" t="str">
        <f>IFERROR(IF(OR(I59='DICTIONARY-5'!$A$2,I59='DICTIONARY-5'!$A$4,ISBLANK(I59)),VLOOKUP(H59,LIST!$A$6:$M$3250,CURR_2.SEARCH.OLD,0),VLOOKUP(I59,LIST!$B$6:$M$3250,CURR_2.SEARCH.NEW,0)),'DICTIONARY-5'!$A$2)</f>
        <v/>
      </c>
    </row>
    <row r="60" spans="1:11" x14ac:dyDescent="0.25">
      <c r="A60" s="371">
        <v>450</v>
      </c>
      <c r="B60" s="371" t="s">
        <v>436</v>
      </c>
      <c r="C60" s="371">
        <v>114</v>
      </c>
      <c r="D60" s="371" t="s">
        <v>5255</v>
      </c>
      <c r="E60" s="502" t="s">
        <v>5420</v>
      </c>
      <c r="F60" s="339" t="str">
        <f>IFERROR(IF(OR(E60='DICTIONARY-5'!$A$2,E60='DICTIONARY-5'!$A$4,ISBLANK(E60)),VLOOKUP(D60,LIST!$A$6:$L$3250,CURR_1.SEARCH.OLD,0),VLOOKUP(E60,LIST!$B$6:$L$3250,CURR_1.SEARCH.NEW,0)),'DICTIONARY-5'!$A$2)</f>
        <v>2 288,-</v>
      </c>
      <c r="G60" s="339" t="str">
        <f>IFERROR(IF(OR(E60='DICTIONARY-5'!$A$2,E60='DICTIONARY-5'!$A$4,ISBLANK(E60)),VLOOKUP(D60,LIST!$A$6:$M$3250,CURR_2.SEARCH.OLD,0),VLOOKUP(E60,LIST!$B$6:$M$3250,CURR_2.SEARCH.NEW,0)),'DICTIONARY-5'!$A$2)</f>
        <v/>
      </c>
      <c r="H60" s="371" t="s">
        <v>5256</v>
      </c>
      <c r="I60" s="502" t="s">
        <v>5442</v>
      </c>
      <c r="J60" s="339" t="str">
        <f>IFERROR(IF(OR(I60='DICTIONARY-5'!$A$2,I60='DICTIONARY-5'!$A$4,ISBLANK(I60)),VLOOKUP(H60,LIST!$A$6:$L$3250,CURR_1.SEARCH.OLD,0),VLOOKUP(I60,LIST!$B$6:$L$3250,CURR_1.SEARCH.NEW,0)),'DICTIONARY-5'!$A$2)</f>
        <v>3 322,-</v>
      </c>
      <c r="K60" s="339" t="str">
        <f>IFERROR(IF(OR(I60='DICTIONARY-5'!$A$2,I60='DICTIONARY-5'!$A$4,ISBLANK(I60)),VLOOKUP(H60,LIST!$A$6:$M$3250,CURR_2.SEARCH.OLD,0),VLOOKUP(I60,LIST!$B$6:$M$3250,CURR_2.SEARCH.NEW,0)),'DICTIONARY-5'!$A$2)</f>
        <v/>
      </c>
    </row>
    <row r="61" spans="1:11" x14ac:dyDescent="0.25">
      <c r="A61" s="371">
        <v>500</v>
      </c>
      <c r="B61" s="371">
        <v>10</v>
      </c>
      <c r="C61" s="371">
        <v>127</v>
      </c>
      <c r="D61" s="371" t="s">
        <v>5257</v>
      </c>
      <c r="E61" s="502" t="s">
        <v>5421</v>
      </c>
      <c r="F61" s="339" t="str">
        <f>IFERROR(IF(OR(E61='DICTIONARY-5'!$A$2,E61='DICTIONARY-5'!$A$4,ISBLANK(E61)),VLOOKUP(D61,LIST!$A$6:$L$3250,CURR_1.SEARCH.OLD,0),VLOOKUP(E61,LIST!$B$6:$L$3250,CURR_1.SEARCH.NEW,0)),'DICTIONARY-5'!$A$2)</f>
        <v>2 951,-</v>
      </c>
      <c r="G61" s="339" t="str">
        <f>IFERROR(IF(OR(E61='DICTIONARY-5'!$A$2,E61='DICTIONARY-5'!$A$4,ISBLANK(E61)),VLOOKUP(D61,LIST!$A$6:$M$3250,CURR_2.SEARCH.OLD,0),VLOOKUP(E61,LIST!$B$6:$M$3250,CURR_2.SEARCH.NEW,0)),'DICTIONARY-5'!$A$2)</f>
        <v/>
      </c>
      <c r="H61" s="371" t="s">
        <v>5258</v>
      </c>
      <c r="I61" s="502" t="s">
        <v>5443</v>
      </c>
      <c r="J61" s="339" t="str">
        <f>IFERROR(IF(OR(I61='DICTIONARY-5'!$A$2,I61='DICTIONARY-5'!$A$4,ISBLANK(I61)),VLOOKUP(H61,LIST!$A$6:$L$3250,CURR_1.SEARCH.OLD,0),VLOOKUP(I61,LIST!$B$6:$L$3250,CURR_1.SEARCH.NEW,0)),'DICTIONARY-5'!$A$2)</f>
        <v>4 250,-</v>
      </c>
      <c r="K61" s="339" t="str">
        <f>IFERROR(IF(OR(I61='DICTIONARY-5'!$A$2,I61='DICTIONARY-5'!$A$4,ISBLANK(I61)),VLOOKUP(H61,LIST!$A$6:$M$3250,CURR_2.SEARCH.OLD,0),VLOOKUP(I61,LIST!$B$6:$M$3250,CURR_2.SEARCH.NEW,0)),'DICTIONARY-5'!$A$2)</f>
        <v/>
      </c>
    </row>
    <row r="62" spans="1:11" x14ac:dyDescent="0.25">
      <c r="A62" s="371">
        <v>500</v>
      </c>
      <c r="B62" s="371" t="s">
        <v>436</v>
      </c>
      <c r="C62" s="371">
        <v>127</v>
      </c>
      <c r="D62" s="371" t="s">
        <v>5259</v>
      </c>
      <c r="E62" s="502" t="s">
        <v>5422</v>
      </c>
      <c r="F62" s="339" t="str">
        <f>IFERROR(IF(OR(E62='DICTIONARY-5'!$A$2,E62='DICTIONARY-5'!$A$4,ISBLANK(E62)),VLOOKUP(D62,LIST!$A$6:$L$3250,CURR_1.SEARCH.OLD,0),VLOOKUP(E62,LIST!$B$6:$L$3250,CURR_1.SEARCH.NEW,0)),'DICTIONARY-5'!$A$2)</f>
        <v>3 276,-</v>
      </c>
      <c r="G62" s="339" t="str">
        <f>IFERROR(IF(OR(E62='DICTIONARY-5'!$A$2,E62='DICTIONARY-5'!$A$4,ISBLANK(E62)),VLOOKUP(D62,LIST!$A$6:$M$3250,CURR_2.SEARCH.OLD,0),VLOOKUP(E62,LIST!$B$6:$M$3250,CURR_2.SEARCH.NEW,0)),'DICTIONARY-5'!$A$2)</f>
        <v/>
      </c>
      <c r="H62" s="371" t="s">
        <v>5260</v>
      </c>
      <c r="I62" s="502" t="s">
        <v>5444</v>
      </c>
      <c r="J62" s="339" t="str">
        <f>IFERROR(IF(OR(I62='DICTIONARY-5'!$A$2,I62='DICTIONARY-5'!$A$4,ISBLANK(I62)),VLOOKUP(H62,LIST!$A$6:$L$3250,CURR_1.SEARCH.OLD,0),VLOOKUP(I62,LIST!$B$6:$L$3250,CURR_1.SEARCH.NEW,0)),'DICTIONARY-5'!$A$2)</f>
        <v>5 464,-</v>
      </c>
      <c r="K62" s="339" t="str">
        <f>IFERROR(IF(OR(I62='DICTIONARY-5'!$A$2,I62='DICTIONARY-5'!$A$4,ISBLANK(I62)),VLOOKUP(H62,LIST!$A$6:$M$3250,CURR_2.SEARCH.OLD,0),VLOOKUP(I62,LIST!$B$6:$M$3250,CURR_2.SEARCH.NEW,0)),'DICTIONARY-5'!$A$2)</f>
        <v/>
      </c>
    </row>
    <row r="63" spans="1:11" x14ac:dyDescent="0.25">
      <c r="A63" s="371">
        <v>600</v>
      </c>
      <c r="B63" s="371">
        <v>10</v>
      </c>
      <c r="C63" s="371">
        <v>154</v>
      </c>
      <c r="D63" s="371" t="s">
        <v>5261</v>
      </c>
      <c r="E63" s="502" t="s">
        <v>5423</v>
      </c>
      <c r="F63" s="339" t="str">
        <f>IFERROR(IF(OR(E63='DICTIONARY-5'!$A$2,E63='DICTIONARY-5'!$A$4,ISBLANK(E63)),VLOOKUP(D63,LIST!$A$6:$L$3250,CURR_1.SEARCH.OLD,0),VLOOKUP(E63,LIST!$B$6:$L$3250,CURR_1.SEARCH.NEW,0)),'DICTIONARY-5'!$A$2)</f>
        <v>4 062,-</v>
      </c>
      <c r="G63" s="339" t="str">
        <f>IFERROR(IF(OR(E63='DICTIONARY-5'!$A$2,E63='DICTIONARY-5'!$A$4,ISBLANK(E63)),VLOOKUP(D63,LIST!$A$6:$M$3250,CURR_2.SEARCH.OLD,0),VLOOKUP(E63,LIST!$B$6:$M$3250,CURR_2.SEARCH.NEW,0)),'DICTIONARY-5'!$A$2)</f>
        <v/>
      </c>
      <c r="H63" s="371" t="s">
        <v>5262</v>
      </c>
      <c r="I63" s="502" t="s">
        <v>5445</v>
      </c>
      <c r="J63" s="339" t="str">
        <f>IFERROR(IF(OR(I63='DICTIONARY-5'!$A$2,I63='DICTIONARY-5'!$A$4,ISBLANK(I63)),VLOOKUP(H63,LIST!$A$6:$L$3250,CURR_1.SEARCH.OLD,0),VLOOKUP(I63,LIST!$B$6:$L$3250,CURR_1.SEARCH.NEW,0)),'DICTIONARY-5'!$A$2)</f>
        <v>6 173,-</v>
      </c>
      <c r="K63" s="339" t="str">
        <f>IFERROR(IF(OR(I63='DICTIONARY-5'!$A$2,I63='DICTIONARY-5'!$A$4,ISBLANK(I63)),VLOOKUP(H63,LIST!$A$6:$M$3250,CURR_2.SEARCH.OLD,0),VLOOKUP(I63,LIST!$B$6:$M$3250,CURR_2.SEARCH.NEW,0)),'DICTIONARY-5'!$A$2)</f>
        <v/>
      </c>
    </row>
    <row r="64" spans="1:11" x14ac:dyDescent="0.25">
      <c r="A64" s="371">
        <v>600</v>
      </c>
      <c r="B64" s="371" t="s">
        <v>436</v>
      </c>
      <c r="C64" s="371">
        <v>154</v>
      </c>
      <c r="D64" s="371" t="s">
        <v>5263</v>
      </c>
      <c r="E64" s="502" t="s">
        <v>5424</v>
      </c>
      <c r="F64" s="339" t="str">
        <f>IFERROR(IF(OR(E64='DICTIONARY-5'!$A$2,E64='DICTIONARY-5'!$A$4,ISBLANK(E64)),VLOOKUP(D64,LIST!$A$6:$L$3250,CURR_1.SEARCH.OLD,0),VLOOKUP(E64,LIST!$B$6:$L$3250,CURR_1.SEARCH.NEW,0)),'DICTIONARY-5'!$A$2)</f>
        <v>3 950,-</v>
      </c>
      <c r="G64" s="339" t="str">
        <f>IFERROR(IF(OR(E64='DICTIONARY-5'!$A$2,E64='DICTIONARY-5'!$A$4,ISBLANK(E64)),VLOOKUP(D64,LIST!$A$6:$M$3250,CURR_2.SEARCH.OLD,0),VLOOKUP(E64,LIST!$B$6:$M$3250,CURR_2.SEARCH.NEW,0)),'DICTIONARY-5'!$A$2)</f>
        <v/>
      </c>
      <c r="H64" s="371" t="s">
        <v>5264</v>
      </c>
      <c r="I64" s="502" t="s">
        <v>5446</v>
      </c>
      <c r="J64" s="339" t="str">
        <f>IFERROR(IF(OR(I64='DICTIONARY-5'!$A$2,I64='DICTIONARY-5'!$A$4,ISBLANK(I64)),VLOOKUP(H64,LIST!$A$6:$L$3250,CURR_1.SEARCH.OLD,0),VLOOKUP(I64,LIST!$B$6:$L$3250,CURR_1.SEARCH.NEW,0)),'DICTIONARY-5'!$A$2)</f>
        <v>6 415,-</v>
      </c>
      <c r="K64" s="339" t="str">
        <f>IFERROR(IF(OR(I64='DICTIONARY-5'!$A$2,I64='DICTIONARY-5'!$A$4,ISBLANK(I64)),VLOOKUP(H64,LIST!$A$6:$M$3250,CURR_2.SEARCH.OLD,0),VLOOKUP(I64,LIST!$B$6:$M$3250,CURR_2.SEARCH.NEW,0)),'DICTIONARY-5'!$A$2)</f>
        <v/>
      </c>
    </row>
    <row r="65" spans="1:1" x14ac:dyDescent="0.25">
      <c r="A65" s="377"/>
    </row>
    <row r="66" spans="1:1" x14ac:dyDescent="0.25">
      <c r="A66" s="570" t="str">
        <f>"1) "&amp;'DICTIONARY-5'!$A$92&amp;": max. 1,0 MPa / 10 bar"</f>
        <v>1) Ciśnienie robocze: max. 1,0 MPa / 10 bar</v>
      </c>
    </row>
    <row r="67" spans="1:1" x14ac:dyDescent="0.25">
      <c r="A67" s="375" t="str">
        <f>'DICTIONARY-5'!$A$3&amp;"DN 450 ... 600, "&amp;LOWER('DICTIONARY-5'!$A$92)&amp;": max. 1,6 MPa / 16 bar"</f>
        <v>Na zapytanie: DN 450 ... 600, ciśnienie robocze: max. 1,6 MPa / 16 bar</v>
      </c>
    </row>
  </sheetData>
  <sheetProtection algorithmName="SHA-512" hashValue="p/iIiNFiDgapVeQ02oH6I7jGdKX8YjUe3QVfUXjQHBnGKBzVJc9b4I3f2bsxCso997XHePf7B+si7cEZIruKmw==" saltValue="hqVPAUh1V5/PezTqD97Vvg==" spinCount="100000" sheet="1" objects="1" scenarios="1" autoFilter="0"/>
  <mergeCells count="9">
    <mergeCell ref="B4:E4"/>
    <mergeCell ref="D41:G41"/>
    <mergeCell ref="H41:K41"/>
    <mergeCell ref="D10:G10"/>
    <mergeCell ref="H10:K10"/>
    <mergeCell ref="D40:G40"/>
    <mergeCell ref="H40:K40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11">
    <tabColor rgb="FF0A9B1E"/>
  </sheetPr>
  <dimension ref="A1:K55"/>
  <sheetViews>
    <sheetView workbookViewId="0"/>
  </sheetViews>
  <sheetFormatPr defaultColWidth="9.140625" defaultRowHeight="15" x14ac:dyDescent="0.25"/>
  <cols>
    <col min="1" max="3" width="9.140625" style="366"/>
    <col min="4" max="5" width="22.140625" style="366" customWidth="1"/>
    <col min="6" max="7" width="12.85546875" style="366" customWidth="1"/>
    <col min="8" max="9" width="22.140625" style="366" customWidth="1"/>
    <col min="10" max="11" width="12.85546875" style="366" customWidth="1"/>
    <col min="12" max="16384" width="9.140625" style="366"/>
  </cols>
  <sheetData>
    <row r="1" spans="1:11" s="384" customFormat="1" ht="45" customHeight="1" thickBot="1" x14ac:dyDescent="0.3">
      <c r="A1" s="422"/>
      <c r="B1" s="422"/>
      <c r="C1" s="422"/>
      <c r="D1" s="422"/>
    </row>
    <row r="2" spans="1:11" s="435" customFormat="1" ht="4.5" customHeight="1" x14ac:dyDescent="0.25">
      <c r="A2" s="434"/>
    </row>
    <row r="3" spans="1:11" ht="15.75" thickBot="1" x14ac:dyDescent="0.3">
      <c r="A3" s="367"/>
      <c r="B3" s="368"/>
      <c r="C3" s="368"/>
    </row>
    <row r="4" spans="1:11" ht="15.75" thickBot="1" x14ac:dyDescent="0.3">
      <c r="A4" s="822">
        <f>ADD.DISCOUNT</f>
        <v>0</v>
      </c>
      <c r="B4" s="933" t="str">
        <f>HYPERLINK("#'LIST'!ADD.DISCOUNT","» "&amp;'DICTIONARY-1'!$A$5)</f>
        <v>» Ustaw globalny dodatkowy rabat</v>
      </c>
      <c r="C4" s="962"/>
      <c r="D4" s="962"/>
      <c r="E4" s="963"/>
    </row>
    <row r="5" spans="1:11" x14ac:dyDescent="0.25">
      <c r="A5" s="367"/>
      <c r="B5" s="368"/>
      <c r="C5" s="368"/>
    </row>
    <row r="6" spans="1:11" ht="16.5" thickBot="1" x14ac:dyDescent="0.3">
      <c r="A6" s="712" t="str">
        <f>CONCATENATE('DICTIONARY-3'!$A$149," ",'DICTIONARY-3'!$A$204," / ",'DICTIONARY-3'!$A$243)</f>
        <v>CEREX 300-W Przepustnica kołnierzowa / Z wolnym końcem wałka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374" t="str">
        <f>'DICTIONARY-5'!$A$212</f>
        <v>Z wolnym wałkiem do zamontowania napędu elektrycznego SQ/SQR lub napędu pneumatycznego</v>
      </c>
      <c r="B7" s="363"/>
      <c r="C7" s="363"/>
      <c r="D7" s="363"/>
      <c r="E7" s="363"/>
      <c r="F7" s="364"/>
      <c r="G7" s="364"/>
      <c r="H7" s="363"/>
      <c r="I7" s="363"/>
      <c r="J7" s="364"/>
      <c r="K7" s="364"/>
    </row>
    <row r="8" spans="1:11" x14ac:dyDescent="0.25">
      <c r="A8" s="279" t="str">
        <f>CONCATENATE('DICTIONARY-1'!$A$10,": ",SETTINGS!$C$42)</f>
        <v>Grupa rabatowa: CEREX 300</v>
      </c>
      <c r="B8" s="363"/>
      <c r="C8" s="363"/>
      <c r="D8" s="363"/>
      <c r="E8" s="363"/>
      <c r="F8" s="364"/>
      <c r="G8" s="364"/>
      <c r="H8" s="363"/>
      <c r="I8" s="363"/>
      <c r="J8" s="364"/>
      <c r="K8" s="364"/>
    </row>
    <row r="9" spans="1:11" x14ac:dyDescent="0.25">
      <c r="A9" s="370"/>
      <c r="B9" s="363"/>
      <c r="C9" s="363"/>
      <c r="D9" s="363"/>
      <c r="E9" s="363"/>
      <c r="F9" s="364"/>
      <c r="G9" s="364"/>
      <c r="H9" s="363"/>
      <c r="I9" s="363"/>
      <c r="J9" s="364"/>
      <c r="K9" s="364"/>
    </row>
    <row r="10" spans="1:11" x14ac:dyDescent="0.25">
      <c r="A10" s="561" t="str">
        <f>'DICTIONARY-2'!$A$2</f>
        <v>DN</v>
      </c>
      <c r="B10" s="561" t="str">
        <f>'DICTIONARY-2'!$A$3</f>
        <v>PN</v>
      </c>
      <c r="C10" s="561" t="str">
        <f>'DICTIONARY-2'!$A$24</f>
        <v>L</v>
      </c>
      <c r="D10" s="967" t="str">
        <f>'DICTIONARY-3'!$A$149</f>
        <v>CEREX 300-W</v>
      </c>
      <c r="E10" s="967"/>
      <c r="F10" s="967"/>
      <c r="G10" s="967"/>
      <c r="H10" s="967" t="str">
        <f>'DICTIONARY-3'!$A$149</f>
        <v>CEREX 300-W</v>
      </c>
      <c r="I10" s="967"/>
      <c r="J10" s="967"/>
      <c r="K10" s="967"/>
    </row>
    <row r="11" spans="1:11" x14ac:dyDescent="0.25">
      <c r="A11" s="562"/>
      <c r="B11" s="562"/>
      <c r="C11" s="562"/>
      <c r="D11" s="1023" t="str">
        <f>'DICTIONARY-5'!$A$43&amp;": "&amp;'DICTIONARY-5'!$A$44&amp;", "&amp;'DICTIONARY-5'!$A$147&amp;": "&amp;'DICTIONARY-5'!$A$50</f>
        <v xml:space="preserve">guma: EPDM, dysk: żeliwo sferoidalne </v>
      </c>
      <c r="E11" s="1023"/>
      <c r="F11" s="1023"/>
      <c r="G11" s="1023"/>
      <c r="H11" s="1023" t="str">
        <f>'DICTIONARY-5'!$A$43&amp;": "&amp;'DICTIONARY-5'!$A$44&amp;", "&amp;'DICTIONARY-5'!$A$147&amp;": "&amp;'DICTIONARY-5'!$A$32</f>
        <v>guma: EPDM, dysk: stal nierdzewna</v>
      </c>
      <c r="I11" s="1023"/>
      <c r="J11" s="1023"/>
      <c r="K11" s="1023"/>
    </row>
    <row r="12" spans="1:11" x14ac:dyDescent="0.25">
      <c r="A12" s="564"/>
      <c r="B12" s="564"/>
      <c r="C12" s="564" t="str">
        <f>'DICTIONARY-2'!$A$18</f>
        <v>[mm]</v>
      </c>
      <c r="D12" s="565" t="str">
        <f>'DICTIONARY-2'!$A$28</f>
        <v>stary nr zamówienia</v>
      </c>
      <c r="E12" s="565" t="str">
        <f>'DICTIONARY-2'!$A$29</f>
        <v>nowy nr zamówienia</v>
      </c>
      <c r="F12" s="566" t="str">
        <f>CURRENCY.CODE_1</f>
        <v>EUR</v>
      </c>
      <c r="G12" s="566" t="str">
        <f>CURRENCY.CODE_2</f>
        <v>---</v>
      </c>
      <c r="H12" s="565" t="str">
        <f>'DICTIONARY-2'!$A$28</f>
        <v>stary nr zamówienia</v>
      </c>
      <c r="I12" s="565" t="str">
        <f>'DICTIONARY-2'!$A$29</f>
        <v>nowy nr zamówienia</v>
      </c>
      <c r="J12" s="566" t="str">
        <f>CURRENCY.CODE_1</f>
        <v>EUR</v>
      </c>
      <c r="K12" s="566" t="str">
        <f>CURRENCY.CODE_2</f>
        <v>---</v>
      </c>
    </row>
    <row r="13" spans="1:11" x14ac:dyDescent="0.25">
      <c r="A13" s="371">
        <v>50</v>
      </c>
      <c r="B13" s="371" t="s">
        <v>85</v>
      </c>
      <c r="C13" s="371">
        <v>43</v>
      </c>
      <c r="D13" s="371" t="s">
        <v>1833</v>
      </c>
      <c r="E13" s="502" t="s">
        <v>3742</v>
      </c>
      <c r="F13" s="339" t="str">
        <f>IFERROR(IF(OR(E13='DICTIONARY-5'!$A$2,E13='DICTIONARY-5'!$A$4,ISBLANK(E13)),VLOOKUP(D13,LIST!$A$6:$L$3250,CURR_1.SEARCH.OLD,0),VLOOKUP(E13,LIST!$B$6:$L$3250,CURR_1.SEARCH.NEW,0)),'DICTIONARY-5'!$A$2)</f>
        <v>145,-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371" t="s">
        <v>1834</v>
      </c>
      <c r="I13" s="502" t="s">
        <v>3675</v>
      </c>
      <c r="J13" s="339" t="str">
        <f>IFERROR(IF(OR(I13='DICTIONARY-5'!$A$2,I13='DICTIONARY-5'!$A$4,ISBLANK(I13)),VLOOKUP(H13,LIST!$A$6:$L$3250,CURR_1.SEARCH.OLD,0),VLOOKUP(I13,LIST!$B$6:$L$3250,CURR_1.SEARCH.NEW,0)),'DICTIONARY-5'!$A$2)</f>
        <v>140,-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371">
        <v>65</v>
      </c>
      <c r="B14" s="371" t="s">
        <v>85</v>
      </c>
      <c r="C14" s="371">
        <v>46</v>
      </c>
      <c r="D14" s="371" t="s">
        <v>1836</v>
      </c>
      <c r="E14" s="502" t="s">
        <v>3749</v>
      </c>
      <c r="F14" s="339" t="str">
        <f>IFERROR(IF(OR(E14='DICTIONARY-5'!$A$2,E14='DICTIONARY-5'!$A$4,ISBLANK(E14)),VLOOKUP(D14,LIST!$A$6:$L$3250,CURR_1.SEARCH.OLD,0),VLOOKUP(E14,LIST!$B$6:$L$3250,CURR_1.SEARCH.NEW,0)),'DICTIONARY-5'!$A$2)</f>
        <v>148,-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371" t="s">
        <v>1837</v>
      </c>
      <c r="I14" s="502" t="s">
        <v>3682</v>
      </c>
      <c r="J14" s="339" t="str">
        <f>IFERROR(IF(OR(I14='DICTIONARY-5'!$A$2,I14='DICTIONARY-5'!$A$4,ISBLANK(I14)),VLOOKUP(H14,LIST!$A$6:$L$3250,CURR_1.SEARCH.OLD,0),VLOOKUP(I14,LIST!$B$6:$L$3250,CURR_1.SEARCH.NEW,0)),'DICTIONARY-5'!$A$2)</f>
        <v>150,-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371">
        <v>80</v>
      </c>
      <c r="B15" s="371" t="s">
        <v>85</v>
      </c>
      <c r="C15" s="371">
        <v>46</v>
      </c>
      <c r="D15" s="371" t="s">
        <v>1838</v>
      </c>
      <c r="E15" s="502" t="s">
        <v>3756</v>
      </c>
      <c r="F15" s="339" t="str">
        <f>IFERROR(IF(OR(E15='DICTIONARY-5'!$A$2,E15='DICTIONARY-5'!$A$4,ISBLANK(E15)),VLOOKUP(D15,LIST!$A$6:$L$3250,CURR_1.SEARCH.OLD,0),VLOOKUP(E15,LIST!$B$6:$L$3250,CURR_1.SEARCH.NEW,0)),'DICTIONARY-5'!$A$2)</f>
        <v>156,-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371" t="s">
        <v>1839</v>
      </c>
      <c r="I15" s="502" t="s">
        <v>3689</v>
      </c>
      <c r="J15" s="339" t="str">
        <f>IFERROR(IF(OR(I15='DICTIONARY-5'!$A$2,I15='DICTIONARY-5'!$A$4,ISBLANK(I15)),VLOOKUP(H15,LIST!$A$6:$L$3250,CURR_1.SEARCH.OLD,0),VLOOKUP(I15,LIST!$B$6:$L$3250,CURR_1.SEARCH.NEW,0)),'DICTIONARY-5'!$A$2)</f>
        <v>160,-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371">
        <v>100</v>
      </c>
      <c r="B16" s="371" t="s">
        <v>85</v>
      </c>
      <c r="C16" s="371">
        <v>52</v>
      </c>
      <c r="D16" s="371" t="s">
        <v>1840</v>
      </c>
      <c r="E16" s="502" t="s">
        <v>3763</v>
      </c>
      <c r="F16" s="339" t="str">
        <f>IFERROR(IF(OR(E16='DICTIONARY-5'!$A$2,E16='DICTIONARY-5'!$A$4,ISBLANK(E16)),VLOOKUP(D16,LIST!$A$6:$L$3250,CURR_1.SEARCH.OLD,0),VLOOKUP(E16,LIST!$B$6:$L$3250,CURR_1.SEARCH.NEW,0)),'DICTIONARY-5'!$A$2)</f>
        <v>193,-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371" t="s">
        <v>1841</v>
      </c>
      <c r="I16" s="502" t="s">
        <v>3696</v>
      </c>
      <c r="J16" s="339" t="str">
        <f>IFERROR(IF(OR(I16='DICTIONARY-5'!$A$2,I16='DICTIONARY-5'!$A$4,ISBLANK(I16)),VLOOKUP(H16,LIST!$A$6:$L$3250,CURR_1.SEARCH.OLD,0),VLOOKUP(I16,LIST!$B$6:$L$3250,CURR_1.SEARCH.NEW,0)),'DICTIONARY-5'!$A$2)</f>
        <v>198,-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371">
        <v>125</v>
      </c>
      <c r="B17" s="371" t="s">
        <v>85</v>
      </c>
      <c r="C17" s="371">
        <v>56</v>
      </c>
      <c r="D17" s="371" t="s">
        <v>1843</v>
      </c>
      <c r="E17" s="502" t="s">
        <v>3770</v>
      </c>
      <c r="F17" s="339" t="str">
        <f>IFERROR(IF(OR(E17='DICTIONARY-5'!$A$2,E17='DICTIONARY-5'!$A$4,ISBLANK(E17)),VLOOKUP(D17,LIST!$A$6:$L$3250,CURR_1.SEARCH.OLD,0),VLOOKUP(E17,LIST!$B$6:$L$3250,CURR_1.SEARCH.NEW,0)),'DICTIONARY-5'!$A$2)</f>
        <v>223,-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371" t="s">
        <v>1844</v>
      </c>
      <c r="I17" s="502" t="s">
        <v>3703</v>
      </c>
      <c r="J17" s="339" t="str">
        <f>IFERROR(IF(OR(I17='DICTIONARY-5'!$A$2,I17='DICTIONARY-5'!$A$4,ISBLANK(I17)),VLOOKUP(H17,LIST!$A$6:$L$3250,CURR_1.SEARCH.OLD,0),VLOOKUP(I17,LIST!$B$6:$L$3250,CURR_1.SEARCH.NEW,0)),'DICTIONARY-5'!$A$2)</f>
        <v>238,-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371">
        <v>150</v>
      </c>
      <c r="B18" s="371" t="s">
        <v>85</v>
      </c>
      <c r="C18" s="371">
        <v>56</v>
      </c>
      <c r="D18" s="371" t="s">
        <v>1846</v>
      </c>
      <c r="E18" s="502" t="s">
        <v>3777</v>
      </c>
      <c r="F18" s="339" t="str">
        <f>IFERROR(IF(OR(E18='DICTIONARY-5'!$A$2,E18='DICTIONARY-5'!$A$4,ISBLANK(E18)),VLOOKUP(D18,LIST!$A$6:$L$3250,CURR_1.SEARCH.OLD,0),VLOOKUP(E18,LIST!$B$6:$L$3250,CURR_1.SEARCH.NEW,0)),'DICTIONARY-5'!$A$2)</f>
        <v>302,-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371" t="s">
        <v>1847</v>
      </c>
      <c r="I18" s="502" t="s">
        <v>3710</v>
      </c>
      <c r="J18" s="339" t="str">
        <f>IFERROR(IF(OR(I18='DICTIONARY-5'!$A$2,I18='DICTIONARY-5'!$A$4,ISBLANK(I18)),VLOOKUP(H18,LIST!$A$6:$L$3250,CURR_1.SEARCH.OLD,0),VLOOKUP(I18,LIST!$B$6:$L$3250,CURR_1.SEARCH.NEW,0)),'DICTIONARY-5'!$A$2)</f>
        <v>351,-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371">
        <v>200</v>
      </c>
      <c r="B19" s="371" t="s">
        <v>85</v>
      </c>
      <c r="C19" s="371">
        <v>60</v>
      </c>
      <c r="D19" s="371" t="s">
        <v>1849</v>
      </c>
      <c r="E19" s="502" t="s">
        <v>3784</v>
      </c>
      <c r="F19" s="339" t="str">
        <f>IFERROR(IF(OR(E19='DICTIONARY-5'!$A$2,E19='DICTIONARY-5'!$A$4,ISBLANK(E19)),VLOOKUP(D19,LIST!$A$6:$L$3250,CURR_1.SEARCH.OLD,0),VLOOKUP(E19,LIST!$B$6:$L$3250,CURR_1.SEARCH.NEW,0)),'DICTIONARY-5'!$A$2)</f>
        <v>408,-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371" t="s">
        <v>1850</v>
      </c>
      <c r="I19" s="502" t="s">
        <v>3717</v>
      </c>
      <c r="J19" s="339" t="str">
        <f>IFERROR(IF(OR(I19='DICTIONARY-5'!$A$2,I19='DICTIONARY-5'!$A$4,ISBLANK(I19)),VLOOKUP(H19,LIST!$A$6:$L$3250,CURR_1.SEARCH.OLD,0),VLOOKUP(I19,LIST!$B$6:$L$3250,CURR_1.SEARCH.NEW,0)),'DICTIONARY-5'!$A$2)</f>
        <v>462,-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371">
        <v>250</v>
      </c>
      <c r="B20" s="371" t="s">
        <v>85</v>
      </c>
      <c r="C20" s="371">
        <v>68</v>
      </c>
      <c r="D20" s="371" t="s">
        <v>5265</v>
      </c>
      <c r="E20" s="502" t="s">
        <v>5447</v>
      </c>
      <c r="F20" s="339" t="str">
        <f>IFERROR(IF(OR(E20='DICTIONARY-5'!$A$2,E20='DICTIONARY-5'!$A$4,ISBLANK(E20)),VLOOKUP(D20,LIST!$A$6:$L$3250,CURR_1.SEARCH.OLD,0),VLOOKUP(E20,LIST!$B$6:$L$3250,CURR_1.SEARCH.NEW,0)),'DICTIONARY-5'!$A$2)</f>
        <v>435,-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371" t="s">
        <v>5266</v>
      </c>
      <c r="I20" s="502" t="s">
        <v>5456</v>
      </c>
      <c r="J20" s="339" t="str">
        <f>IFERROR(IF(OR(I20='DICTIONARY-5'!$A$2,I20='DICTIONARY-5'!$A$4,ISBLANK(I20)),VLOOKUP(H20,LIST!$A$6:$L$3250,CURR_1.SEARCH.OLD,0),VLOOKUP(I20,LIST!$B$6:$L$3250,CURR_1.SEARCH.NEW,0)),'DICTIONARY-5'!$A$2)</f>
        <v>587,-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A21" s="371">
        <v>300</v>
      </c>
      <c r="B21" s="371" t="s">
        <v>85</v>
      </c>
      <c r="C21" s="371">
        <v>78</v>
      </c>
      <c r="D21" s="371" t="s">
        <v>5267</v>
      </c>
      <c r="E21" s="502" t="s">
        <v>5448</v>
      </c>
      <c r="F21" s="339" t="str">
        <f>IFERROR(IF(OR(E21='DICTIONARY-5'!$A$2,E21='DICTIONARY-5'!$A$4,ISBLANK(E21)),VLOOKUP(D21,LIST!$A$6:$L$3250,CURR_1.SEARCH.OLD,0),VLOOKUP(E21,LIST!$B$6:$L$3250,CURR_1.SEARCH.NEW,0)),'DICTIONARY-5'!$A$2)</f>
        <v>617,-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371" t="s">
        <v>5268</v>
      </c>
      <c r="I21" s="502" t="s">
        <v>5457</v>
      </c>
      <c r="J21" s="339" t="str">
        <f>IFERROR(IF(OR(I21='DICTIONARY-5'!$A$2,I21='DICTIONARY-5'!$A$4,ISBLANK(I21)),VLOOKUP(H21,LIST!$A$6:$L$3250,CURR_1.SEARCH.OLD,0),VLOOKUP(I21,LIST!$B$6:$L$3250,CURR_1.SEARCH.NEW,0)),'DICTIONARY-5'!$A$2)</f>
        <v>863,-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2" spans="1:11" x14ac:dyDescent="0.25">
      <c r="A22" s="371">
        <v>350</v>
      </c>
      <c r="B22" s="371" t="s">
        <v>85</v>
      </c>
      <c r="C22" s="371">
        <v>78</v>
      </c>
      <c r="D22" s="371" t="s">
        <v>5269</v>
      </c>
      <c r="E22" s="502" t="s">
        <v>5449</v>
      </c>
      <c r="F22" s="339" t="str">
        <f>IFERROR(IF(OR(E22='DICTIONARY-5'!$A$2,E22='DICTIONARY-5'!$A$4,ISBLANK(E22)),VLOOKUP(D22,LIST!$A$6:$L$3250,CURR_1.SEARCH.OLD,0),VLOOKUP(E22,LIST!$B$6:$L$3250,CURR_1.SEARCH.NEW,0)),'DICTIONARY-5'!$A$2)</f>
        <v>899,-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371" t="s">
        <v>5270</v>
      </c>
      <c r="I22" s="502" t="s">
        <v>5458</v>
      </c>
      <c r="J22" s="339" t="str">
        <f>IFERROR(IF(OR(I22='DICTIONARY-5'!$A$2,I22='DICTIONARY-5'!$A$4,ISBLANK(I22)),VLOOKUP(H22,LIST!$A$6:$L$3250,CURR_1.SEARCH.OLD,0),VLOOKUP(I22,LIST!$B$6:$L$3250,CURR_1.SEARCH.NEW,0)),'DICTIONARY-5'!$A$2)</f>
        <v>1 255,-</v>
      </c>
      <c r="K22" s="339" t="str">
        <f>IFERROR(IF(OR(I22='DICTIONARY-5'!$A$2,I22='DICTIONARY-5'!$A$4,ISBLANK(I22)),VLOOKUP(H22,LIST!$A$6:$M$3250,CURR_2.SEARCH.OLD,0),VLOOKUP(I22,LIST!$B$6:$M$3250,CURR_2.SEARCH.NEW,0)),'DICTIONARY-5'!$A$2)</f>
        <v/>
      </c>
    </row>
    <row r="23" spans="1:11" x14ac:dyDescent="0.25">
      <c r="A23" s="371">
        <v>400</v>
      </c>
      <c r="B23" s="371" t="s">
        <v>85</v>
      </c>
      <c r="C23" s="371">
        <v>102</v>
      </c>
      <c r="D23" s="371" t="s">
        <v>5271</v>
      </c>
      <c r="E23" s="502" t="s">
        <v>5450</v>
      </c>
      <c r="F23" s="339" t="str">
        <f>IFERROR(IF(OR(E23='DICTIONARY-5'!$A$2,E23='DICTIONARY-5'!$A$4,ISBLANK(E23)),VLOOKUP(D23,LIST!$A$6:$L$3250,CURR_1.SEARCH.OLD,0),VLOOKUP(E23,LIST!$B$6:$L$3250,CURR_1.SEARCH.NEW,0)),'DICTIONARY-5'!$A$2)</f>
        <v>1 241,-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371" t="s">
        <v>5272</v>
      </c>
      <c r="I23" s="502" t="s">
        <v>5459</v>
      </c>
      <c r="J23" s="339" t="str">
        <f>IFERROR(IF(OR(I23='DICTIONARY-5'!$A$2,I23='DICTIONARY-5'!$A$4,ISBLANK(I23)),VLOOKUP(H23,LIST!$A$6:$L$3250,CURR_1.SEARCH.OLD,0),VLOOKUP(I23,LIST!$B$6:$L$3250,CURR_1.SEARCH.NEW,0)),'DICTIONARY-5'!$A$2)</f>
        <v>1 729,-</v>
      </c>
      <c r="K23" s="339" t="str">
        <f>IFERROR(IF(OR(I23='DICTIONARY-5'!$A$2,I23='DICTIONARY-5'!$A$4,ISBLANK(I23)),VLOOKUP(H23,LIST!$A$6:$M$3250,CURR_2.SEARCH.OLD,0),VLOOKUP(I23,LIST!$B$6:$M$3250,CURR_2.SEARCH.NEW,0)),'DICTIONARY-5'!$A$2)</f>
        <v/>
      </c>
    </row>
    <row r="24" spans="1:11" x14ac:dyDescent="0.25">
      <c r="A24" s="371">
        <v>450</v>
      </c>
      <c r="B24" s="371" t="s">
        <v>1790</v>
      </c>
      <c r="C24" s="371">
        <v>114</v>
      </c>
      <c r="D24" s="371" t="s">
        <v>5273</v>
      </c>
      <c r="E24" s="502" t="s">
        <v>5451</v>
      </c>
      <c r="F24" s="339" t="str">
        <f>IFERROR(IF(OR(E24='DICTIONARY-5'!$A$2,E24='DICTIONARY-5'!$A$4,ISBLANK(E24)),VLOOKUP(D24,LIST!$A$6:$L$3250,CURR_1.SEARCH.OLD,0),VLOOKUP(E24,LIST!$B$6:$L$3250,CURR_1.SEARCH.NEW,0)),'DICTIONARY-5'!$A$2)</f>
        <v>1 891,-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371" t="s">
        <v>5274</v>
      </c>
      <c r="I24" s="502" t="s">
        <v>5460</v>
      </c>
      <c r="J24" s="339" t="str">
        <f>IFERROR(IF(OR(I24='DICTIONARY-5'!$A$2,I24='DICTIONARY-5'!$A$4,ISBLANK(I24)),VLOOKUP(H24,LIST!$A$6:$L$3250,CURR_1.SEARCH.OLD,0),VLOOKUP(I24,LIST!$B$6:$L$3250,CURR_1.SEARCH.NEW,0)),'DICTIONARY-5'!$A$2)</f>
        <v>2 927,-</v>
      </c>
      <c r="K24" s="339" t="str">
        <f>IFERROR(IF(OR(I24='DICTIONARY-5'!$A$2,I24='DICTIONARY-5'!$A$4,ISBLANK(I24)),VLOOKUP(H24,LIST!$A$6:$M$3250,CURR_2.SEARCH.OLD,0),VLOOKUP(I24,LIST!$B$6:$M$3250,CURR_2.SEARCH.NEW,0)),'DICTIONARY-5'!$A$2)</f>
        <v/>
      </c>
    </row>
    <row r="25" spans="1:11" x14ac:dyDescent="0.25">
      <c r="A25" s="371">
        <v>500</v>
      </c>
      <c r="B25" s="371">
        <v>10</v>
      </c>
      <c r="C25" s="371">
        <v>127</v>
      </c>
      <c r="D25" s="371" t="s">
        <v>5275</v>
      </c>
      <c r="E25" s="502" t="s">
        <v>5452</v>
      </c>
      <c r="F25" s="339" t="str">
        <f>IFERROR(IF(OR(E25='DICTIONARY-5'!$A$2,E25='DICTIONARY-5'!$A$4,ISBLANK(E25)),VLOOKUP(D25,LIST!$A$6:$L$3250,CURR_1.SEARCH.OLD,0),VLOOKUP(E25,LIST!$B$6:$L$3250,CURR_1.SEARCH.NEW,0)),'DICTIONARY-5'!$A$2)</f>
        <v>2 165,-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H25" s="371" t="s">
        <v>5276</v>
      </c>
      <c r="I25" s="502" t="s">
        <v>5461</v>
      </c>
      <c r="J25" s="339" t="str">
        <f>IFERROR(IF(OR(I25='DICTIONARY-5'!$A$2,I25='DICTIONARY-5'!$A$4,ISBLANK(I25)),VLOOKUP(H25,LIST!$A$6:$L$3250,CURR_1.SEARCH.OLD,0),VLOOKUP(I25,LIST!$B$6:$L$3250,CURR_1.SEARCH.NEW,0)),'DICTIONARY-5'!$A$2)</f>
        <v>3 465,-</v>
      </c>
      <c r="K25" s="339" t="str">
        <f>IFERROR(IF(OR(I25='DICTIONARY-5'!$A$2,I25='DICTIONARY-5'!$A$4,ISBLANK(I25)),VLOOKUP(H25,LIST!$A$6:$M$3250,CURR_2.SEARCH.OLD,0),VLOOKUP(I25,LIST!$B$6:$M$3250,CURR_2.SEARCH.NEW,0)),'DICTIONARY-5'!$A$2)</f>
        <v/>
      </c>
    </row>
    <row r="26" spans="1:11" x14ac:dyDescent="0.25">
      <c r="A26" s="371">
        <v>500</v>
      </c>
      <c r="B26" s="371" t="s">
        <v>436</v>
      </c>
      <c r="C26" s="371">
        <v>127</v>
      </c>
      <c r="D26" s="371" t="s">
        <v>5277</v>
      </c>
      <c r="E26" s="502" t="s">
        <v>5453</v>
      </c>
      <c r="F26" s="339" t="str">
        <f>IFERROR(IF(OR(E26='DICTIONARY-5'!$A$2,E26='DICTIONARY-5'!$A$4,ISBLANK(E26)),VLOOKUP(D26,LIST!$A$6:$L$3250,CURR_1.SEARCH.OLD,0),VLOOKUP(E26,LIST!$B$6:$L$3250,CURR_1.SEARCH.NEW,0)),'DICTIONARY-5'!$A$2)</f>
        <v>2 162,-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H26" s="371" t="s">
        <v>5278</v>
      </c>
      <c r="I26" s="502" t="s">
        <v>5462</v>
      </c>
      <c r="J26" s="339" t="str">
        <f>IFERROR(IF(OR(I26='DICTIONARY-5'!$A$2,I26='DICTIONARY-5'!$A$4,ISBLANK(I26)),VLOOKUP(H26,LIST!$A$6:$L$3250,CURR_1.SEARCH.OLD,0),VLOOKUP(I26,LIST!$B$6:$L$3250,CURR_1.SEARCH.NEW,0)),'DICTIONARY-5'!$A$2)</f>
        <v>4 349,-</v>
      </c>
      <c r="K26" s="339" t="str">
        <f>IFERROR(IF(OR(I26='DICTIONARY-5'!$A$2,I26='DICTIONARY-5'!$A$4,ISBLANK(I26)),VLOOKUP(H26,LIST!$A$6:$M$3250,CURR_2.SEARCH.OLD,0),VLOOKUP(I26,LIST!$B$6:$M$3250,CURR_2.SEARCH.NEW,0)),'DICTIONARY-5'!$A$2)</f>
        <v/>
      </c>
    </row>
    <row r="27" spans="1:11" x14ac:dyDescent="0.25">
      <c r="A27" s="371">
        <v>600</v>
      </c>
      <c r="B27" s="371">
        <v>10</v>
      </c>
      <c r="C27" s="371">
        <v>154</v>
      </c>
      <c r="D27" s="371" t="s">
        <v>5279</v>
      </c>
      <c r="E27" s="502" t="s">
        <v>5454</v>
      </c>
      <c r="F27" s="339" t="str">
        <f>IFERROR(IF(OR(E27='DICTIONARY-5'!$A$2,E27='DICTIONARY-5'!$A$4,ISBLANK(E27)),VLOOKUP(D27,LIST!$A$6:$L$3250,CURR_1.SEARCH.OLD,0),VLOOKUP(E27,LIST!$B$6:$L$3250,CURR_1.SEARCH.NEW,0)),'DICTIONARY-5'!$A$2)</f>
        <v>3 585,-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  <c r="H27" s="371" t="s">
        <v>5280</v>
      </c>
      <c r="I27" s="502" t="s">
        <v>5463</v>
      </c>
      <c r="J27" s="339" t="str">
        <f>IFERROR(IF(OR(I27='DICTIONARY-5'!$A$2,I27='DICTIONARY-5'!$A$4,ISBLANK(I27)),VLOOKUP(H27,LIST!$A$6:$L$3250,CURR_1.SEARCH.OLD,0),VLOOKUP(I27,LIST!$B$6:$L$3250,CURR_1.SEARCH.NEW,0)),'DICTIONARY-5'!$A$2)</f>
        <v>5 656,-</v>
      </c>
      <c r="K27" s="339" t="str">
        <f>IFERROR(IF(OR(I27='DICTIONARY-5'!$A$2,I27='DICTIONARY-5'!$A$4,ISBLANK(I27)),VLOOKUP(H27,LIST!$A$6:$M$3250,CURR_2.SEARCH.OLD,0),VLOOKUP(I27,LIST!$B$6:$M$3250,CURR_2.SEARCH.NEW,0)),'DICTIONARY-5'!$A$2)</f>
        <v/>
      </c>
    </row>
    <row r="28" spans="1:11" x14ac:dyDescent="0.25">
      <c r="A28" s="371">
        <v>600</v>
      </c>
      <c r="B28" s="371" t="s">
        <v>436</v>
      </c>
      <c r="C28" s="371">
        <v>154</v>
      </c>
      <c r="D28" s="371" t="s">
        <v>5281</v>
      </c>
      <c r="E28" s="502" t="s">
        <v>5455</v>
      </c>
      <c r="F28" s="339" t="str">
        <f>IFERROR(IF(OR(E28='DICTIONARY-5'!$A$2,E28='DICTIONARY-5'!$A$4,ISBLANK(E28)),VLOOKUP(D28,LIST!$A$6:$L$3250,CURR_1.SEARCH.OLD,0),VLOOKUP(E28,LIST!$B$6:$L$3250,CURR_1.SEARCH.NEW,0)),'DICTIONARY-5'!$A$2)</f>
        <v>3 541,-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371" t="s">
        <v>5282</v>
      </c>
      <c r="I28" s="502" t="s">
        <v>5464</v>
      </c>
      <c r="J28" s="339" t="str">
        <f>IFERROR(IF(OR(I28='DICTIONARY-5'!$A$2,I28='DICTIONARY-5'!$A$4,ISBLANK(I28)),VLOOKUP(H28,LIST!$A$6:$L$3250,CURR_1.SEARCH.OLD,0),VLOOKUP(I28,LIST!$B$6:$L$3250,CURR_1.SEARCH.NEW,0)),'DICTIONARY-5'!$A$2)</f>
        <v>6 003,-</v>
      </c>
      <c r="K28" s="339" t="str">
        <f>IFERROR(IF(OR(I28='DICTIONARY-5'!$A$2,I28='DICTIONARY-5'!$A$4,ISBLANK(I28)),VLOOKUP(H28,LIST!$A$6:$M$3250,CURR_2.SEARCH.OLD,0),VLOOKUP(I28,LIST!$B$6:$M$3250,CURR_2.SEARCH.NEW,0)),'DICTIONARY-5'!$A$2)</f>
        <v/>
      </c>
    </row>
    <row r="29" spans="1:11" x14ac:dyDescent="0.25">
      <c r="A29" s="377"/>
      <c r="B29" s="363"/>
      <c r="C29" s="363"/>
      <c r="D29" s="363"/>
      <c r="E29" s="363"/>
      <c r="F29" s="364"/>
      <c r="G29" s="364"/>
      <c r="H29" s="363"/>
      <c r="I29" s="363"/>
      <c r="J29" s="364"/>
      <c r="K29" s="364"/>
    </row>
    <row r="30" spans="1:11" x14ac:dyDescent="0.25">
      <c r="A30" s="570" t="str">
        <f>"1) "&amp;'DICTIONARY-5'!$A$92&amp;": max. 1,0 MPa / 10 bar"</f>
        <v>1) Ciśnienie robocze: max. 1,0 MPa / 10 bar</v>
      </c>
      <c r="B30" s="363"/>
      <c r="C30" s="363"/>
      <c r="D30" s="363"/>
      <c r="E30" s="363"/>
      <c r="F30" s="364"/>
      <c r="G30" s="364"/>
      <c r="H30" s="363"/>
      <c r="I30" s="363"/>
      <c r="J30" s="364"/>
      <c r="K30" s="364"/>
    </row>
    <row r="31" spans="1:11" x14ac:dyDescent="0.25">
      <c r="A31" s="375" t="str">
        <f>'DICTIONARY-5'!$A$3&amp;"DN 450 ... 600, "&amp;LOWER('DICTIONARY-5'!$A$92)&amp;": max. 1,6 MPa / 16 bar"</f>
        <v>Na zapytanie: DN 450 ... 600, ciśnienie robocze: max. 1,6 MPa / 16 bar</v>
      </c>
      <c r="B31" s="363"/>
      <c r="C31" s="363"/>
      <c r="D31" s="363"/>
      <c r="E31" s="363"/>
      <c r="F31" s="364"/>
      <c r="G31" s="364"/>
      <c r="H31" s="363"/>
      <c r="I31" s="363"/>
      <c r="J31" s="364"/>
      <c r="K31" s="364"/>
    </row>
    <row r="32" spans="1:11" x14ac:dyDescent="0.25">
      <c r="A32" s="375"/>
      <c r="B32" s="363"/>
      <c r="C32" s="363"/>
      <c r="D32" s="363"/>
      <c r="E32" s="363"/>
      <c r="F32" s="364"/>
      <c r="G32" s="364"/>
      <c r="H32" s="363"/>
      <c r="I32" s="363"/>
      <c r="J32" s="364"/>
      <c r="K32" s="364"/>
    </row>
    <row r="33" spans="1:11" x14ac:dyDescent="0.25">
      <c r="A33" s="370"/>
      <c r="B33" s="363"/>
      <c r="C33" s="363"/>
      <c r="D33" s="363"/>
      <c r="E33" s="363"/>
      <c r="F33" s="364"/>
      <c r="G33" s="364"/>
      <c r="H33" s="363"/>
      <c r="I33" s="363"/>
      <c r="J33" s="364"/>
      <c r="K33" s="364"/>
    </row>
    <row r="34" spans="1:11" x14ac:dyDescent="0.25">
      <c r="A34" s="561" t="str">
        <f>'DICTIONARY-2'!$A$2</f>
        <v>DN</v>
      </c>
      <c r="B34" s="561" t="str">
        <f>'DICTIONARY-2'!$A$3</f>
        <v>PN</v>
      </c>
      <c r="C34" s="561" t="str">
        <f>'DICTIONARY-2'!$A$24</f>
        <v>L</v>
      </c>
      <c r="D34" s="967" t="str">
        <f>'DICTIONARY-3'!$A$149</f>
        <v>CEREX 300-W</v>
      </c>
      <c r="E34" s="967"/>
      <c r="F34" s="967"/>
      <c r="G34" s="967"/>
      <c r="H34" s="967" t="str">
        <f>'DICTIONARY-3'!$A$149</f>
        <v>CEREX 300-W</v>
      </c>
      <c r="I34" s="967"/>
      <c r="J34" s="967"/>
      <c r="K34" s="967"/>
    </row>
    <row r="35" spans="1:11" x14ac:dyDescent="0.25">
      <c r="A35" s="562"/>
      <c r="B35" s="562"/>
      <c r="C35" s="562"/>
      <c r="D35" s="1023" t="str">
        <f>'DICTIONARY-5'!$A$43&amp;": "&amp;'DICTIONARY-5'!$A$45&amp;", "&amp;'DICTIONARY-5'!$A$147&amp;": "&amp;'DICTIONARY-5'!$A$50</f>
        <v xml:space="preserve">guma: NBR, dysk: żeliwo sferoidalne </v>
      </c>
      <c r="E35" s="1023"/>
      <c r="F35" s="1023"/>
      <c r="G35" s="1023"/>
      <c r="H35" s="1023" t="str">
        <f>'DICTIONARY-5'!$A$43&amp;": "&amp;'DICTIONARY-5'!$A$45&amp;", "&amp;'DICTIONARY-5'!$A$147&amp;": "&amp;'DICTIONARY-5'!$A$32</f>
        <v>guma: NBR, dysk: stal nierdzewna</v>
      </c>
      <c r="I35" s="1023"/>
      <c r="J35" s="1023"/>
      <c r="K35" s="1023"/>
    </row>
    <row r="36" spans="1:11" x14ac:dyDescent="0.25">
      <c r="A36" s="564"/>
      <c r="B36" s="564"/>
      <c r="C36" s="564" t="str">
        <f>'DICTIONARY-2'!$A$18</f>
        <v>[mm]</v>
      </c>
      <c r="D36" s="565" t="str">
        <f>'DICTIONARY-2'!$A$28</f>
        <v>stary nr zamówienia</v>
      </c>
      <c r="E36" s="565" t="str">
        <f>'DICTIONARY-2'!$A$29</f>
        <v>nowy nr zamówienia</v>
      </c>
      <c r="F36" s="566" t="str">
        <f>CURRENCY.CODE_1</f>
        <v>EUR</v>
      </c>
      <c r="G36" s="566" t="str">
        <f>CURRENCY.CODE_2</f>
        <v>---</v>
      </c>
      <c r="H36" s="565" t="str">
        <f>'DICTIONARY-2'!$A$28</f>
        <v>stary nr zamówienia</v>
      </c>
      <c r="I36" s="565" t="str">
        <f>'DICTIONARY-2'!$A$29</f>
        <v>nowy nr zamówienia</v>
      </c>
      <c r="J36" s="566" t="str">
        <f>CURRENCY.CODE_1</f>
        <v>EUR</v>
      </c>
      <c r="K36" s="566" t="str">
        <f>CURRENCY.CODE_2</f>
        <v>---</v>
      </c>
    </row>
    <row r="37" spans="1:11" x14ac:dyDescent="0.25">
      <c r="A37" s="371">
        <v>50</v>
      </c>
      <c r="B37" s="371" t="s">
        <v>85</v>
      </c>
      <c r="C37" s="371">
        <v>43</v>
      </c>
      <c r="D37" s="371" t="s">
        <v>5283</v>
      </c>
      <c r="E37" s="502" t="s">
        <v>5465</v>
      </c>
      <c r="F37" s="339" t="str">
        <f>IFERROR(IF(OR(E37='DICTIONARY-5'!$A$2,E37='DICTIONARY-5'!$A$4,ISBLANK(E37)),VLOOKUP(D37,LIST!$A$6:$L$3250,CURR_1.SEARCH.OLD,0),VLOOKUP(E37,LIST!$B$6:$L$3250,CURR_1.SEARCH.NEW,0)),'DICTIONARY-5'!$A$2)</f>
        <v>145,-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  <c r="H37" s="371" t="s">
        <v>5284</v>
      </c>
      <c r="I37" s="502" t="s">
        <v>5481</v>
      </c>
      <c r="J37" s="339" t="str">
        <f>IFERROR(IF(OR(I37='DICTIONARY-5'!$A$2,I37='DICTIONARY-5'!$A$4,ISBLANK(I37)),VLOOKUP(H37,LIST!$A$6:$L$3250,CURR_1.SEARCH.OLD,0),VLOOKUP(I37,LIST!$B$6:$L$3250,CURR_1.SEARCH.NEW,0)),'DICTIONARY-5'!$A$2)</f>
        <v>145,-</v>
      </c>
      <c r="K37" s="339" t="str">
        <f>IFERROR(IF(OR(I37='DICTIONARY-5'!$A$2,I37='DICTIONARY-5'!$A$4,ISBLANK(I37)),VLOOKUP(H37,LIST!$A$6:$M$3250,CURR_2.SEARCH.OLD,0),VLOOKUP(I37,LIST!$B$6:$M$3250,CURR_2.SEARCH.NEW,0)),'DICTIONARY-5'!$A$2)</f>
        <v/>
      </c>
    </row>
    <row r="38" spans="1:11" x14ac:dyDescent="0.25">
      <c r="A38" s="371">
        <v>65</v>
      </c>
      <c r="B38" s="371" t="s">
        <v>85</v>
      </c>
      <c r="C38" s="371">
        <v>46</v>
      </c>
      <c r="D38" s="371" t="s">
        <v>5285</v>
      </c>
      <c r="E38" s="502" t="s">
        <v>5466</v>
      </c>
      <c r="F38" s="339" t="str">
        <f>IFERROR(IF(OR(E38='DICTIONARY-5'!$A$2,E38='DICTIONARY-5'!$A$4,ISBLANK(E38)),VLOOKUP(D38,LIST!$A$6:$L$3250,CURR_1.SEARCH.OLD,0),VLOOKUP(E38,LIST!$B$6:$L$3250,CURR_1.SEARCH.NEW,0)),'DICTIONARY-5'!$A$2)</f>
        <v>159,-</v>
      </c>
      <c r="G38" s="339" t="str">
        <f>IFERROR(IF(OR(E38='DICTIONARY-5'!$A$2,E38='DICTIONARY-5'!$A$4,ISBLANK(E38)),VLOOKUP(D38,LIST!$A$6:$M$3250,CURR_2.SEARCH.OLD,0),VLOOKUP(E38,LIST!$B$6:$M$3250,CURR_2.SEARCH.NEW,0)),'DICTIONARY-5'!$A$2)</f>
        <v/>
      </c>
      <c r="H38" s="371" t="s">
        <v>5286</v>
      </c>
      <c r="I38" s="502" t="s">
        <v>5482</v>
      </c>
      <c r="J38" s="339" t="str">
        <f>IFERROR(IF(OR(I38='DICTIONARY-5'!$A$2,I38='DICTIONARY-5'!$A$4,ISBLANK(I38)),VLOOKUP(H38,LIST!$A$6:$L$3250,CURR_1.SEARCH.OLD,0),VLOOKUP(I38,LIST!$B$6:$L$3250,CURR_1.SEARCH.NEW,0)),'DICTIONARY-5'!$A$2)</f>
        <v>161,-</v>
      </c>
      <c r="K38" s="339" t="str">
        <f>IFERROR(IF(OR(I38='DICTIONARY-5'!$A$2,I38='DICTIONARY-5'!$A$4,ISBLANK(I38)),VLOOKUP(H38,LIST!$A$6:$M$3250,CURR_2.SEARCH.OLD,0),VLOOKUP(I38,LIST!$B$6:$M$3250,CURR_2.SEARCH.NEW,0)),'DICTIONARY-5'!$A$2)</f>
        <v/>
      </c>
    </row>
    <row r="39" spans="1:11" x14ac:dyDescent="0.25">
      <c r="A39" s="371">
        <v>80</v>
      </c>
      <c r="B39" s="371" t="s">
        <v>85</v>
      </c>
      <c r="C39" s="371">
        <v>46</v>
      </c>
      <c r="D39" s="371" t="s">
        <v>5287</v>
      </c>
      <c r="E39" s="502" t="s">
        <v>5467</v>
      </c>
      <c r="F39" s="339" t="str">
        <f>IFERROR(IF(OR(E39='DICTIONARY-5'!$A$2,E39='DICTIONARY-5'!$A$4,ISBLANK(E39)),VLOOKUP(D39,LIST!$A$6:$L$3250,CURR_1.SEARCH.OLD,0),VLOOKUP(E39,LIST!$B$6:$L$3250,CURR_1.SEARCH.NEW,0)),'DICTIONARY-5'!$A$2)</f>
        <v>165,-</v>
      </c>
      <c r="G39" s="339" t="str">
        <f>IFERROR(IF(OR(E39='DICTIONARY-5'!$A$2,E39='DICTIONARY-5'!$A$4,ISBLANK(E39)),VLOOKUP(D39,LIST!$A$6:$M$3250,CURR_2.SEARCH.OLD,0),VLOOKUP(E39,LIST!$B$6:$M$3250,CURR_2.SEARCH.NEW,0)),'DICTIONARY-5'!$A$2)</f>
        <v/>
      </c>
      <c r="H39" s="371" t="s">
        <v>5288</v>
      </c>
      <c r="I39" s="502" t="s">
        <v>5483</v>
      </c>
      <c r="J39" s="339" t="str">
        <f>IFERROR(IF(OR(I39='DICTIONARY-5'!$A$2,I39='DICTIONARY-5'!$A$4,ISBLANK(I39)),VLOOKUP(H39,LIST!$A$6:$L$3250,CURR_1.SEARCH.OLD,0),VLOOKUP(I39,LIST!$B$6:$L$3250,CURR_1.SEARCH.NEW,0)),'DICTIONARY-5'!$A$2)</f>
        <v>169,-</v>
      </c>
      <c r="K39" s="339" t="str">
        <f>IFERROR(IF(OR(I39='DICTIONARY-5'!$A$2,I39='DICTIONARY-5'!$A$4,ISBLANK(I39)),VLOOKUP(H39,LIST!$A$6:$M$3250,CURR_2.SEARCH.OLD,0),VLOOKUP(I39,LIST!$B$6:$M$3250,CURR_2.SEARCH.NEW,0)),'DICTIONARY-5'!$A$2)</f>
        <v/>
      </c>
    </row>
    <row r="40" spans="1:11" x14ac:dyDescent="0.25">
      <c r="A40" s="371">
        <v>100</v>
      </c>
      <c r="B40" s="371" t="s">
        <v>85</v>
      </c>
      <c r="C40" s="371">
        <v>52</v>
      </c>
      <c r="D40" s="371" t="s">
        <v>5289</v>
      </c>
      <c r="E40" s="502" t="s">
        <v>5468</v>
      </c>
      <c r="F40" s="339" t="str">
        <f>IFERROR(IF(OR(E40='DICTIONARY-5'!$A$2,E40='DICTIONARY-5'!$A$4,ISBLANK(E40)),VLOOKUP(D40,LIST!$A$6:$L$3250,CURR_1.SEARCH.OLD,0),VLOOKUP(E40,LIST!$B$6:$L$3250,CURR_1.SEARCH.NEW,0)),'DICTIONARY-5'!$A$2)</f>
        <v>206,-</v>
      </c>
      <c r="G40" s="339" t="str">
        <f>IFERROR(IF(OR(E40='DICTIONARY-5'!$A$2,E40='DICTIONARY-5'!$A$4,ISBLANK(E40)),VLOOKUP(D40,LIST!$A$6:$M$3250,CURR_2.SEARCH.OLD,0),VLOOKUP(E40,LIST!$B$6:$M$3250,CURR_2.SEARCH.NEW,0)),'DICTIONARY-5'!$A$2)</f>
        <v/>
      </c>
      <c r="H40" s="371" t="s">
        <v>5290</v>
      </c>
      <c r="I40" s="502" t="s">
        <v>5484</v>
      </c>
      <c r="J40" s="339" t="str">
        <f>IFERROR(IF(OR(I40='DICTIONARY-5'!$A$2,I40='DICTIONARY-5'!$A$4,ISBLANK(I40)),VLOOKUP(H40,LIST!$A$6:$L$3250,CURR_1.SEARCH.OLD,0),VLOOKUP(I40,LIST!$B$6:$L$3250,CURR_1.SEARCH.NEW,0)),'DICTIONARY-5'!$A$2)</f>
        <v>212,-</v>
      </c>
      <c r="K40" s="339" t="str">
        <f>IFERROR(IF(OR(I40='DICTIONARY-5'!$A$2,I40='DICTIONARY-5'!$A$4,ISBLANK(I40)),VLOOKUP(H40,LIST!$A$6:$M$3250,CURR_2.SEARCH.OLD,0),VLOOKUP(I40,LIST!$B$6:$M$3250,CURR_2.SEARCH.NEW,0)),'DICTIONARY-5'!$A$2)</f>
        <v/>
      </c>
    </row>
    <row r="41" spans="1:11" x14ac:dyDescent="0.25">
      <c r="A41" s="371">
        <v>125</v>
      </c>
      <c r="B41" s="371" t="s">
        <v>85</v>
      </c>
      <c r="C41" s="371">
        <v>56</v>
      </c>
      <c r="D41" s="371" t="s">
        <v>5291</v>
      </c>
      <c r="E41" s="502" t="s">
        <v>5469</v>
      </c>
      <c r="F41" s="339" t="str">
        <f>IFERROR(IF(OR(E41='DICTIONARY-5'!$A$2,E41='DICTIONARY-5'!$A$4,ISBLANK(E41)),VLOOKUP(D41,LIST!$A$6:$L$3250,CURR_1.SEARCH.OLD,0),VLOOKUP(E41,LIST!$B$6:$L$3250,CURR_1.SEARCH.NEW,0)),'DICTIONARY-5'!$A$2)</f>
        <v>234,-</v>
      </c>
      <c r="G41" s="339" t="str">
        <f>IFERROR(IF(OR(E41='DICTIONARY-5'!$A$2,E41='DICTIONARY-5'!$A$4,ISBLANK(E41)),VLOOKUP(D41,LIST!$A$6:$M$3250,CURR_2.SEARCH.OLD,0),VLOOKUP(E41,LIST!$B$6:$M$3250,CURR_2.SEARCH.NEW,0)),'DICTIONARY-5'!$A$2)</f>
        <v/>
      </c>
      <c r="H41" s="371" t="s">
        <v>5292</v>
      </c>
      <c r="I41" s="502" t="s">
        <v>5485</v>
      </c>
      <c r="J41" s="339" t="str">
        <f>IFERROR(IF(OR(I41='DICTIONARY-5'!$A$2,I41='DICTIONARY-5'!$A$4,ISBLANK(I41)),VLOOKUP(H41,LIST!$A$6:$L$3250,CURR_1.SEARCH.OLD,0),VLOOKUP(I41,LIST!$B$6:$L$3250,CURR_1.SEARCH.NEW,0)),'DICTIONARY-5'!$A$2)</f>
        <v>249,-</v>
      </c>
      <c r="K41" s="339" t="str">
        <f>IFERROR(IF(OR(I41='DICTIONARY-5'!$A$2,I41='DICTIONARY-5'!$A$4,ISBLANK(I41)),VLOOKUP(H41,LIST!$A$6:$M$3250,CURR_2.SEARCH.OLD,0),VLOOKUP(I41,LIST!$B$6:$M$3250,CURR_2.SEARCH.NEW,0)),'DICTIONARY-5'!$A$2)</f>
        <v/>
      </c>
    </row>
    <row r="42" spans="1:11" x14ac:dyDescent="0.25">
      <c r="A42" s="371">
        <v>150</v>
      </c>
      <c r="B42" s="371" t="s">
        <v>85</v>
      </c>
      <c r="C42" s="371">
        <v>56</v>
      </c>
      <c r="D42" s="371" t="s">
        <v>5293</v>
      </c>
      <c r="E42" s="502" t="s">
        <v>5470</v>
      </c>
      <c r="F42" s="339" t="str">
        <f>IFERROR(IF(OR(E42='DICTIONARY-5'!$A$2,E42='DICTIONARY-5'!$A$4,ISBLANK(E42)),VLOOKUP(D42,LIST!$A$6:$L$3250,CURR_1.SEARCH.OLD,0),VLOOKUP(E42,LIST!$B$6:$L$3250,CURR_1.SEARCH.NEW,0)),'DICTIONARY-5'!$A$2)</f>
        <v>326,-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  <c r="H42" s="371" t="s">
        <v>5294</v>
      </c>
      <c r="I42" s="502" t="s">
        <v>5486</v>
      </c>
      <c r="J42" s="339" t="str">
        <f>IFERROR(IF(OR(I42='DICTIONARY-5'!$A$2,I42='DICTIONARY-5'!$A$4,ISBLANK(I42)),VLOOKUP(H42,LIST!$A$6:$L$3250,CURR_1.SEARCH.OLD,0),VLOOKUP(I42,LIST!$B$6:$L$3250,CURR_1.SEARCH.NEW,0)),'DICTIONARY-5'!$A$2)</f>
        <v>354,-</v>
      </c>
      <c r="K42" s="339" t="str">
        <f>IFERROR(IF(OR(I42='DICTIONARY-5'!$A$2,I42='DICTIONARY-5'!$A$4,ISBLANK(I42)),VLOOKUP(H42,LIST!$A$6:$M$3250,CURR_2.SEARCH.OLD,0),VLOOKUP(I42,LIST!$B$6:$M$3250,CURR_2.SEARCH.NEW,0)),'DICTIONARY-5'!$A$2)</f>
        <v/>
      </c>
    </row>
    <row r="43" spans="1:11" x14ac:dyDescent="0.25">
      <c r="A43" s="371">
        <v>200</v>
      </c>
      <c r="B43" s="371" t="s">
        <v>85</v>
      </c>
      <c r="C43" s="371">
        <v>60</v>
      </c>
      <c r="D43" s="371" t="s">
        <v>5295</v>
      </c>
      <c r="E43" s="502" t="s">
        <v>5471</v>
      </c>
      <c r="F43" s="339" t="str">
        <f>IFERROR(IF(OR(E43='DICTIONARY-5'!$A$2,E43='DICTIONARY-5'!$A$4,ISBLANK(E43)),VLOOKUP(D43,LIST!$A$6:$L$3250,CURR_1.SEARCH.OLD,0),VLOOKUP(E43,LIST!$B$6:$L$3250,CURR_1.SEARCH.NEW,0)),'DICTIONARY-5'!$A$2)</f>
        <v>426,-</v>
      </c>
      <c r="G43" s="339" t="str">
        <f>IFERROR(IF(OR(E43='DICTIONARY-5'!$A$2,E43='DICTIONARY-5'!$A$4,ISBLANK(E43)),VLOOKUP(D43,LIST!$A$6:$M$3250,CURR_2.SEARCH.OLD,0),VLOOKUP(E43,LIST!$B$6:$M$3250,CURR_2.SEARCH.NEW,0)),'DICTIONARY-5'!$A$2)</f>
        <v/>
      </c>
      <c r="H43" s="371" t="s">
        <v>5296</v>
      </c>
      <c r="I43" s="502" t="s">
        <v>5487</v>
      </c>
      <c r="J43" s="339" t="str">
        <f>IFERROR(IF(OR(I43='DICTIONARY-5'!$A$2,I43='DICTIONARY-5'!$A$4,ISBLANK(I43)),VLOOKUP(H43,LIST!$A$6:$L$3250,CURR_1.SEARCH.OLD,0),VLOOKUP(I43,LIST!$B$6:$L$3250,CURR_1.SEARCH.NEW,0)),'DICTIONARY-5'!$A$2)</f>
        <v>482,-</v>
      </c>
      <c r="K43" s="339" t="str">
        <f>IFERROR(IF(OR(I43='DICTIONARY-5'!$A$2,I43='DICTIONARY-5'!$A$4,ISBLANK(I43)),VLOOKUP(H43,LIST!$A$6:$M$3250,CURR_2.SEARCH.OLD,0),VLOOKUP(I43,LIST!$B$6:$M$3250,CURR_2.SEARCH.NEW,0)),'DICTIONARY-5'!$A$2)</f>
        <v/>
      </c>
    </row>
    <row r="44" spans="1:11" x14ac:dyDescent="0.25">
      <c r="A44" s="371">
        <v>250</v>
      </c>
      <c r="B44" s="371" t="s">
        <v>85</v>
      </c>
      <c r="C44" s="371">
        <v>68</v>
      </c>
      <c r="D44" s="371" t="s">
        <v>5297</v>
      </c>
      <c r="E44" s="502" t="s">
        <v>5472</v>
      </c>
      <c r="F44" s="339" t="str">
        <f>IFERROR(IF(OR(E44='DICTIONARY-5'!$A$2,E44='DICTIONARY-5'!$A$4,ISBLANK(E44)),VLOOKUP(D44,LIST!$A$6:$L$3250,CURR_1.SEARCH.OLD,0),VLOOKUP(E44,LIST!$B$6:$L$3250,CURR_1.SEARCH.NEW,0)),'DICTIONARY-5'!$A$2)</f>
        <v>446,-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  <c r="H44" s="371" t="s">
        <v>5298</v>
      </c>
      <c r="I44" s="502" t="s">
        <v>5488</v>
      </c>
      <c r="J44" s="339" t="str">
        <f>IFERROR(IF(OR(I44='DICTIONARY-5'!$A$2,I44='DICTIONARY-5'!$A$4,ISBLANK(I44)),VLOOKUP(H44,LIST!$A$6:$L$3250,CURR_1.SEARCH.OLD,0),VLOOKUP(I44,LIST!$B$6:$L$3250,CURR_1.SEARCH.NEW,0)),'DICTIONARY-5'!$A$2)</f>
        <v>596,-</v>
      </c>
      <c r="K44" s="339" t="str">
        <f>IFERROR(IF(OR(I44='DICTIONARY-5'!$A$2,I44='DICTIONARY-5'!$A$4,ISBLANK(I44)),VLOOKUP(H44,LIST!$A$6:$M$3250,CURR_2.SEARCH.OLD,0),VLOOKUP(I44,LIST!$B$6:$M$3250,CURR_2.SEARCH.NEW,0)),'DICTIONARY-5'!$A$2)</f>
        <v/>
      </c>
    </row>
    <row r="45" spans="1:11" x14ac:dyDescent="0.25">
      <c r="A45" s="371">
        <v>300</v>
      </c>
      <c r="B45" s="371" t="s">
        <v>85</v>
      </c>
      <c r="C45" s="371">
        <v>78</v>
      </c>
      <c r="D45" s="371" t="s">
        <v>5299</v>
      </c>
      <c r="E45" s="502" t="s">
        <v>5473</v>
      </c>
      <c r="F45" s="339" t="str">
        <f>IFERROR(IF(OR(E45='DICTIONARY-5'!$A$2,E45='DICTIONARY-5'!$A$4,ISBLANK(E45)),VLOOKUP(D45,LIST!$A$6:$L$3250,CURR_1.SEARCH.OLD,0),VLOOKUP(E45,LIST!$B$6:$L$3250,CURR_1.SEARCH.NEW,0)),'DICTIONARY-5'!$A$2)</f>
        <v>640,-</v>
      </c>
      <c r="G45" s="339" t="str">
        <f>IFERROR(IF(OR(E45='DICTIONARY-5'!$A$2,E45='DICTIONARY-5'!$A$4,ISBLANK(E45)),VLOOKUP(D45,LIST!$A$6:$M$3250,CURR_2.SEARCH.OLD,0),VLOOKUP(E45,LIST!$B$6:$M$3250,CURR_2.SEARCH.NEW,0)),'DICTIONARY-5'!$A$2)</f>
        <v/>
      </c>
      <c r="H45" s="371" t="s">
        <v>5300</v>
      </c>
      <c r="I45" s="502" t="s">
        <v>5489</v>
      </c>
      <c r="J45" s="339" t="str">
        <f>IFERROR(IF(OR(I45='DICTIONARY-5'!$A$2,I45='DICTIONARY-5'!$A$4,ISBLANK(I45)),VLOOKUP(H45,LIST!$A$6:$L$3250,CURR_1.SEARCH.OLD,0),VLOOKUP(I45,LIST!$B$6:$L$3250,CURR_1.SEARCH.NEW,0)),'DICTIONARY-5'!$A$2)</f>
        <v>852,-</v>
      </c>
      <c r="K45" s="339" t="str">
        <f>IFERROR(IF(OR(I45='DICTIONARY-5'!$A$2,I45='DICTIONARY-5'!$A$4,ISBLANK(I45)),VLOOKUP(H45,LIST!$A$6:$M$3250,CURR_2.SEARCH.OLD,0),VLOOKUP(I45,LIST!$B$6:$M$3250,CURR_2.SEARCH.NEW,0)),'DICTIONARY-5'!$A$2)</f>
        <v/>
      </c>
    </row>
    <row r="46" spans="1:11" x14ac:dyDescent="0.25">
      <c r="A46" s="371">
        <v>350</v>
      </c>
      <c r="B46" s="371" t="s">
        <v>85</v>
      </c>
      <c r="C46" s="371">
        <v>78</v>
      </c>
      <c r="D46" s="371" t="s">
        <v>5301</v>
      </c>
      <c r="E46" s="502" t="s">
        <v>5474</v>
      </c>
      <c r="F46" s="339" t="str">
        <f>IFERROR(IF(OR(E46='DICTIONARY-5'!$A$2,E46='DICTIONARY-5'!$A$4,ISBLANK(E46)),VLOOKUP(D46,LIST!$A$6:$L$3250,CURR_1.SEARCH.OLD,0),VLOOKUP(E46,LIST!$B$6:$L$3250,CURR_1.SEARCH.NEW,0)),'DICTIONARY-5'!$A$2)</f>
        <v>916,-</v>
      </c>
      <c r="G46" s="339" t="str">
        <f>IFERROR(IF(OR(E46='DICTIONARY-5'!$A$2,E46='DICTIONARY-5'!$A$4,ISBLANK(E46)),VLOOKUP(D46,LIST!$A$6:$M$3250,CURR_2.SEARCH.OLD,0),VLOOKUP(E46,LIST!$B$6:$M$3250,CURR_2.SEARCH.NEW,0)),'DICTIONARY-5'!$A$2)</f>
        <v/>
      </c>
      <c r="H46" s="371" t="s">
        <v>5302</v>
      </c>
      <c r="I46" s="502" t="s">
        <v>5490</v>
      </c>
      <c r="J46" s="339" t="str">
        <f>IFERROR(IF(OR(I46='DICTIONARY-5'!$A$2,I46='DICTIONARY-5'!$A$4,ISBLANK(I46)),VLOOKUP(H46,LIST!$A$6:$L$3250,CURR_1.SEARCH.OLD,0),VLOOKUP(I46,LIST!$B$6:$L$3250,CURR_1.SEARCH.NEW,0)),'DICTIONARY-5'!$A$2)</f>
        <v>1 270,-</v>
      </c>
      <c r="K46" s="339" t="str">
        <f>IFERROR(IF(OR(I46='DICTIONARY-5'!$A$2,I46='DICTIONARY-5'!$A$4,ISBLANK(I46)),VLOOKUP(H46,LIST!$A$6:$M$3250,CURR_2.SEARCH.OLD,0),VLOOKUP(I46,LIST!$B$6:$M$3250,CURR_2.SEARCH.NEW,0)),'DICTIONARY-5'!$A$2)</f>
        <v/>
      </c>
    </row>
    <row r="47" spans="1:11" x14ac:dyDescent="0.25">
      <c r="A47" s="371">
        <v>400</v>
      </c>
      <c r="B47" s="371" t="s">
        <v>85</v>
      </c>
      <c r="C47" s="371">
        <v>102</v>
      </c>
      <c r="D47" s="371" t="s">
        <v>5303</v>
      </c>
      <c r="E47" s="502" t="s">
        <v>5475</v>
      </c>
      <c r="F47" s="339" t="str">
        <f>IFERROR(IF(OR(E47='DICTIONARY-5'!$A$2,E47='DICTIONARY-5'!$A$4,ISBLANK(E47)),VLOOKUP(D47,LIST!$A$6:$L$3250,CURR_1.SEARCH.OLD,0),VLOOKUP(E47,LIST!$B$6:$L$3250,CURR_1.SEARCH.NEW,0)),'DICTIONARY-5'!$A$2)</f>
        <v>1 237,-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371" t="s">
        <v>5304</v>
      </c>
      <c r="I47" s="502" t="s">
        <v>5491</v>
      </c>
      <c r="J47" s="339" t="str">
        <f>IFERROR(IF(OR(I47='DICTIONARY-5'!$A$2,I47='DICTIONARY-5'!$A$4,ISBLANK(I47)),VLOOKUP(H47,LIST!$A$6:$L$3250,CURR_1.SEARCH.OLD,0),VLOOKUP(I47,LIST!$B$6:$L$3250,CURR_1.SEARCH.NEW,0)),'DICTIONARY-5'!$A$2)</f>
        <v>1 794,-</v>
      </c>
      <c r="K47" s="339" t="str">
        <f>IFERROR(IF(OR(I47='DICTIONARY-5'!$A$2,I47='DICTIONARY-5'!$A$4,ISBLANK(I47)),VLOOKUP(H47,LIST!$A$6:$M$3250,CURR_2.SEARCH.OLD,0),VLOOKUP(I47,LIST!$B$6:$M$3250,CURR_2.SEARCH.NEW,0)),'DICTIONARY-5'!$A$2)</f>
        <v/>
      </c>
    </row>
    <row r="48" spans="1:11" x14ac:dyDescent="0.25">
      <c r="A48" s="371">
        <v>450</v>
      </c>
      <c r="B48" s="371" t="s">
        <v>1790</v>
      </c>
      <c r="C48" s="371">
        <v>114</v>
      </c>
      <c r="D48" s="371" t="s">
        <v>5305</v>
      </c>
      <c r="E48" s="502" t="s">
        <v>5476</v>
      </c>
      <c r="F48" s="339" t="str">
        <f>IFERROR(IF(OR(E48='DICTIONARY-5'!$A$2,E48='DICTIONARY-5'!$A$4,ISBLANK(E48)),VLOOKUP(D48,LIST!$A$6:$L$3250,CURR_1.SEARCH.OLD,0),VLOOKUP(E48,LIST!$B$6:$L$3250,CURR_1.SEARCH.NEW,0)),'DICTIONARY-5'!$A$2)</f>
        <v>1 890,-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371" t="s">
        <v>5306</v>
      </c>
      <c r="I48" s="502" t="s">
        <v>5492</v>
      </c>
      <c r="J48" s="339" t="str">
        <f>IFERROR(IF(OR(I48='DICTIONARY-5'!$A$2,I48='DICTIONARY-5'!$A$4,ISBLANK(I48)),VLOOKUP(H48,LIST!$A$6:$L$3250,CURR_1.SEARCH.OLD,0),VLOOKUP(I48,LIST!$B$6:$L$3250,CURR_1.SEARCH.NEW,0)),'DICTIONARY-5'!$A$2)</f>
        <v>2 925,-</v>
      </c>
      <c r="K48" s="339" t="str">
        <f>IFERROR(IF(OR(I48='DICTIONARY-5'!$A$2,I48='DICTIONARY-5'!$A$4,ISBLANK(I48)),VLOOKUP(H48,LIST!$A$6:$M$3250,CURR_2.SEARCH.OLD,0),VLOOKUP(I48,LIST!$B$6:$M$3250,CURR_2.SEARCH.NEW,0)),'DICTIONARY-5'!$A$2)</f>
        <v/>
      </c>
    </row>
    <row r="49" spans="1:11" x14ac:dyDescent="0.25">
      <c r="A49" s="371">
        <v>500</v>
      </c>
      <c r="B49" s="371">
        <v>10</v>
      </c>
      <c r="C49" s="371">
        <v>127</v>
      </c>
      <c r="D49" s="371" t="s">
        <v>5307</v>
      </c>
      <c r="E49" s="502" t="s">
        <v>5477</v>
      </c>
      <c r="F49" s="339" t="str">
        <f>IFERROR(IF(OR(E49='DICTIONARY-5'!$A$2,E49='DICTIONARY-5'!$A$4,ISBLANK(E49)),VLOOKUP(D49,LIST!$A$6:$L$3250,CURR_1.SEARCH.OLD,0),VLOOKUP(E49,LIST!$B$6:$L$3250,CURR_1.SEARCH.NEW,0)),'DICTIONARY-5'!$A$2)</f>
        <v>2 230,-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  <c r="H49" s="371" t="s">
        <v>5308</v>
      </c>
      <c r="I49" s="502" t="s">
        <v>5493</v>
      </c>
      <c r="J49" s="339" t="str">
        <f>IFERROR(IF(OR(I49='DICTIONARY-5'!$A$2,I49='DICTIONARY-5'!$A$4,ISBLANK(I49)),VLOOKUP(H49,LIST!$A$6:$L$3250,CURR_1.SEARCH.OLD,0),VLOOKUP(I49,LIST!$B$6:$L$3250,CURR_1.SEARCH.NEW,0)),'DICTIONARY-5'!$A$2)</f>
        <v>3 532,-</v>
      </c>
      <c r="K49" s="339" t="str">
        <f>IFERROR(IF(OR(I49='DICTIONARY-5'!$A$2,I49='DICTIONARY-5'!$A$4,ISBLANK(I49)),VLOOKUP(H49,LIST!$A$6:$M$3250,CURR_2.SEARCH.OLD,0),VLOOKUP(I49,LIST!$B$6:$M$3250,CURR_2.SEARCH.NEW,0)),'DICTIONARY-5'!$A$2)</f>
        <v/>
      </c>
    </row>
    <row r="50" spans="1:11" x14ac:dyDescent="0.25">
      <c r="A50" s="371">
        <v>500</v>
      </c>
      <c r="B50" s="371" t="s">
        <v>436</v>
      </c>
      <c r="C50" s="371">
        <v>127</v>
      </c>
      <c r="D50" s="371" t="s">
        <v>5309</v>
      </c>
      <c r="E50" s="502" t="s">
        <v>5478</v>
      </c>
      <c r="F50" s="339" t="str">
        <f>IFERROR(IF(OR(E50='DICTIONARY-5'!$A$2,E50='DICTIONARY-5'!$A$4,ISBLANK(E50)),VLOOKUP(D50,LIST!$A$6:$L$3250,CURR_1.SEARCH.OLD,0),VLOOKUP(E50,LIST!$B$6:$L$3250,CURR_1.SEARCH.NEW,0)),'DICTIONARY-5'!$A$2)</f>
        <v>2 228,-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  <c r="H50" s="371" t="s">
        <v>5310</v>
      </c>
      <c r="I50" s="502" t="s">
        <v>5494</v>
      </c>
      <c r="J50" s="339" t="str">
        <f>IFERROR(IF(OR(I50='DICTIONARY-5'!$A$2,I50='DICTIONARY-5'!$A$4,ISBLANK(I50)),VLOOKUP(H50,LIST!$A$6:$L$3250,CURR_1.SEARCH.OLD,0),VLOOKUP(I50,LIST!$B$6:$L$3250,CURR_1.SEARCH.NEW,0)),'DICTIONARY-5'!$A$2)</f>
        <v>4 417,-</v>
      </c>
      <c r="K50" s="339" t="str">
        <f>IFERROR(IF(OR(I50='DICTIONARY-5'!$A$2,I50='DICTIONARY-5'!$A$4,ISBLANK(I50)),VLOOKUP(H50,LIST!$A$6:$M$3250,CURR_2.SEARCH.OLD,0),VLOOKUP(I50,LIST!$B$6:$M$3250,CURR_2.SEARCH.NEW,0)),'DICTIONARY-5'!$A$2)</f>
        <v/>
      </c>
    </row>
    <row r="51" spans="1:11" x14ac:dyDescent="0.25">
      <c r="A51" s="371">
        <v>600</v>
      </c>
      <c r="B51" s="371">
        <v>10</v>
      </c>
      <c r="C51" s="371">
        <v>154</v>
      </c>
      <c r="D51" s="371" t="s">
        <v>5311</v>
      </c>
      <c r="E51" s="502" t="s">
        <v>5479</v>
      </c>
      <c r="F51" s="339" t="str">
        <f>IFERROR(IF(OR(E51='DICTIONARY-5'!$A$2,E51='DICTIONARY-5'!$A$4,ISBLANK(E51)),VLOOKUP(D51,LIST!$A$6:$L$3250,CURR_1.SEARCH.OLD,0),VLOOKUP(E51,LIST!$B$6:$L$3250,CURR_1.SEARCH.NEW,0)),'DICTIONARY-5'!$A$2)</f>
        <v>3 544,-</v>
      </c>
      <c r="G51" s="339" t="str">
        <f>IFERROR(IF(OR(E51='DICTIONARY-5'!$A$2,E51='DICTIONARY-5'!$A$4,ISBLANK(E51)),VLOOKUP(D51,LIST!$A$6:$M$3250,CURR_2.SEARCH.OLD,0),VLOOKUP(E51,LIST!$B$6:$M$3250,CURR_2.SEARCH.NEW,0)),'DICTIONARY-5'!$A$2)</f>
        <v/>
      </c>
      <c r="H51" s="371" t="s">
        <v>5312</v>
      </c>
      <c r="I51" s="502" t="s">
        <v>5495</v>
      </c>
      <c r="J51" s="339" t="str">
        <f>IFERROR(IF(OR(I51='DICTIONARY-5'!$A$2,I51='DICTIONARY-5'!$A$4,ISBLANK(I51)),VLOOKUP(H51,LIST!$A$6:$L$3250,CURR_1.SEARCH.OLD,0),VLOOKUP(I51,LIST!$B$6:$L$3250,CURR_1.SEARCH.NEW,0)),'DICTIONARY-5'!$A$2)</f>
        <v>5 654,-</v>
      </c>
      <c r="K51" s="339" t="str">
        <f>IFERROR(IF(OR(I51='DICTIONARY-5'!$A$2,I51='DICTIONARY-5'!$A$4,ISBLANK(I51)),VLOOKUP(H51,LIST!$A$6:$M$3250,CURR_2.SEARCH.OLD,0),VLOOKUP(I51,LIST!$B$6:$M$3250,CURR_2.SEARCH.NEW,0)),'DICTIONARY-5'!$A$2)</f>
        <v/>
      </c>
    </row>
    <row r="52" spans="1:11" x14ac:dyDescent="0.25">
      <c r="A52" s="371">
        <v>600</v>
      </c>
      <c r="B52" s="371" t="s">
        <v>436</v>
      </c>
      <c r="C52" s="371">
        <v>154</v>
      </c>
      <c r="D52" s="371" t="s">
        <v>5313</v>
      </c>
      <c r="E52" s="502" t="s">
        <v>5480</v>
      </c>
      <c r="F52" s="339" t="str">
        <f>IFERROR(IF(OR(E52='DICTIONARY-5'!$A$2,E52='DICTIONARY-5'!$A$4,ISBLANK(E52)),VLOOKUP(D52,LIST!$A$6:$L$3250,CURR_1.SEARCH.OLD,0),VLOOKUP(E52,LIST!$B$6:$L$3250,CURR_1.SEARCH.NEW,0)),'DICTIONARY-5'!$A$2)</f>
        <v>3 539,-</v>
      </c>
      <c r="G52" s="339" t="str">
        <f>IFERROR(IF(OR(E52='DICTIONARY-5'!$A$2,E52='DICTIONARY-5'!$A$4,ISBLANK(E52)),VLOOKUP(D52,LIST!$A$6:$M$3250,CURR_2.SEARCH.OLD,0),VLOOKUP(E52,LIST!$B$6:$M$3250,CURR_2.SEARCH.NEW,0)),'DICTIONARY-5'!$A$2)</f>
        <v/>
      </c>
      <c r="H52" s="371" t="s">
        <v>5314</v>
      </c>
      <c r="I52" s="502" t="s">
        <v>5496</v>
      </c>
      <c r="J52" s="339" t="str">
        <f>IFERROR(IF(OR(I52='DICTIONARY-5'!$A$2,I52='DICTIONARY-5'!$A$4,ISBLANK(I52)),VLOOKUP(H52,LIST!$A$6:$L$3250,CURR_1.SEARCH.OLD,0),VLOOKUP(I52,LIST!$B$6:$L$3250,CURR_1.SEARCH.NEW,0)),'DICTIONARY-5'!$A$2)</f>
        <v>6 002,-</v>
      </c>
      <c r="K52" s="339" t="str">
        <f>IFERROR(IF(OR(I52='DICTIONARY-5'!$A$2,I52='DICTIONARY-5'!$A$4,ISBLANK(I52)),VLOOKUP(H52,LIST!$A$6:$M$3250,CURR_2.SEARCH.OLD,0),VLOOKUP(I52,LIST!$B$6:$M$3250,CURR_2.SEARCH.NEW,0)),'DICTIONARY-5'!$A$2)</f>
        <v/>
      </c>
    </row>
    <row r="53" spans="1:11" x14ac:dyDescent="0.25">
      <c r="A53" s="377"/>
      <c r="B53" s="363"/>
      <c r="C53" s="363"/>
      <c r="D53" s="363"/>
      <c r="E53" s="363"/>
      <c r="F53" s="364"/>
      <c r="G53" s="364"/>
      <c r="H53" s="363"/>
      <c r="I53" s="363"/>
      <c r="J53" s="364"/>
      <c r="K53" s="364"/>
    </row>
    <row r="54" spans="1:11" x14ac:dyDescent="0.25">
      <c r="A54" s="570" t="str">
        <f>"1) "&amp;'DICTIONARY-5'!$A$92&amp;": max. 1,0 MPa / 10 bar"</f>
        <v>1) Ciśnienie robocze: max. 1,0 MPa / 10 bar</v>
      </c>
    </row>
    <row r="55" spans="1:11" x14ac:dyDescent="0.25">
      <c r="A55" s="375" t="str">
        <f>'DICTIONARY-5'!$A$3&amp;"DN 450 ... 600, "&amp;LOWER('DICTIONARY-5'!$A$92)&amp;": max. 1,6 MPa / 16 bar"</f>
        <v>Na zapytanie: DN 450 ... 600, ciśnienie robocze: max. 1,6 MPa / 16 bar</v>
      </c>
    </row>
  </sheetData>
  <sheetProtection algorithmName="SHA-512" hashValue="nIQlzeew6MUNJZzQvk0t4bpeB03FHbJyBzI3Hyk0LE8jAttluvMwC0MfPfc8U6l2iJzGg06W9DuWt6yrufdCRQ==" saltValue="9K07wZ1HD/gOdo9l8dtYUw==" spinCount="100000" sheet="1" objects="1" scenarios="1" autoFilter="0"/>
  <mergeCells count="9">
    <mergeCell ref="B4:E4"/>
    <mergeCell ref="D35:G35"/>
    <mergeCell ref="H35:K35"/>
    <mergeCell ref="D10:G10"/>
    <mergeCell ref="H10:K10"/>
    <mergeCell ref="D34:G34"/>
    <mergeCell ref="H34:K34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2">
    <tabColor rgb="FFFFC000"/>
  </sheetPr>
  <dimension ref="A1:L50"/>
  <sheetViews>
    <sheetView workbookViewId="0"/>
  </sheetViews>
  <sheetFormatPr defaultColWidth="9.140625" defaultRowHeight="15" x14ac:dyDescent="0.25"/>
  <cols>
    <col min="1" max="1" width="9.140625" style="200"/>
    <col min="2" max="2" width="12.28515625" style="200" customWidth="1"/>
    <col min="3" max="3" width="10.140625" style="200" customWidth="1"/>
    <col min="4" max="5" width="22.140625" style="200" customWidth="1"/>
    <col min="6" max="7" width="12.85546875" style="201" customWidth="1"/>
    <col min="8" max="8" width="9.140625" style="209"/>
    <col min="9" max="10" width="22.140625" style="195" customWidth="1"/>
    <col min="11" max="12" width="12.85546875" style="195" customWidth="1"/>
    <col min="13" max="16384" width="9.140625" style="195"/>
  </cols>
  <sheetData>
    <row r="1" spans="1:12" s="401" customFormat="1" ht="45" customHeight="1" thickBot="1" x14ac:dyDescent="0.3">
      <c r="A1" s="428"/>
      <c r="B1" s="428"/>
      <c r="C1" s="428"/>
      <c r="D1" s="428"/>
      <c r="E1" s="402"/>
      <c r="F1" s="403"/>
      <c r="G1" s="403"/>
      <c r="H1" s="404"/>
    </row>
    <row r="2" spans="1:12" s="458" customFormat="1" ht="4.5" customHeight="1" x14ac:dyDescent="0.25">
      <c r="A2" s="457"/>
      <c r="B2" s="459"/>
      <c r="C2" s="459"/>
      <c r="D2" s="459"/>
      <c r="E2" s="459"/>
      <c r="F2" s="460"/>
      <c r="G2" s="460"/>
      <c r="H2" s="461"/>
    </row>
    <row r="3" spans="1:12" ht="15.75" thickBot="1" x14ac:dyDescent="0.3">
      <c r="A3" s="196"/>
      <c r="B3" s="197"/>
      <c r="C3" s="197"/>
    </row>
    <row r="4" spans="1:12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12" x14ac:dyDescent="0.25">
      <c r="A5" s="196"/>
      <c r="B5" s="197"/>
      <c r="C5" s="197"/>
    </row>
    <row r="6" spans="1:12" ht="16.5" thickBot="1" x14ac:dyDescent="0.3">
      <c r="A6" s="712" t="str">
        <f>CONCATENATE('DICTIONARY-3'!$A$107," ",'DICTIONARY-3'!$A$206,)</f>
        <v>DUOJET Zawór na- i odpowietrzający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</row>
    <row r="7" spans="1:12" x14ac:dyDescent="0.25">
      <c r="A7" s="210" t="str">
        <f>'DICTIONARY-5'!$A$150&amp;", "&amp;'DICTIONARY-5'!$A$203&amp;": "&amp;'DICTIONARY-5'!$A$32&amp;", "&amp;LOWER('DICTIONARY-3'!$A$150)&amp;": "&amp;'DICTIONARY-5'!$A$53</f>
        <v>Jednokomorowy, pokrywa: stal nierdzewna, pływak: tworzywo sztuczne</v>
      </c>
      <c r="B7" s="202"/>
      <c r="C7" s="202"/>
      <c r="D7" s="202"/>
      <c r="E7" s="202"/>
    </row>
    <row r="8" spans="1:12" x14ac:dyDescent="0.25">
      <c r="A8" s="210" t="str">
        <f>CONCATENATE('DICTIONARY-1'!$A$10,": ",SETTINGS!$C$43)</f>
        <v>Grupa rabatowa: DUOJET</v>
      </c>
      <c r="B8" s="202"/>
      <c r="C8" s="202"/>
      <c r="D8" s="202"/>
      <c r="E8" s="202"/>
    </row>
    <row r="10" spans="1:12" ht="15" customHeight="1" x14ac:dyDescent="0.25">
      <c r="A10" s="203" t="str">
        <f>'DICTIONARY-2'!$A$2</f>
        <v>DN</v>
      </c>
      <c r="B10" s="1024" t="str">
        <f>'DICTIONARY-5'!$A$149</f>
        <v>Gwint pokrywy</v>
      </c>
      <c r="C10" s="708" t="str">
        <f>'DICTIONARY-2'!$A$3</f>
        <v>PN</v>
      </c>
      <c r="D10" s="1024" t="str">
        <f>'DICTIONARY-3'!$A$107</f>
        <v>DUOJET</v>
      </c>
      <c r="E10" s="1024"/>
      <c r="F10" s="1024"/>
      <c r="G10" s="1024"/>
      <c r="H10" s="708" t="str">
        <f>'DICTIONARY-2'!$A$3</f>
        <v>PN</v>
      </c>
      <c r="I10" s="1024" t="str">
        <f>'DICTIONARY-3'!$A$107</f>
        <v>DUOJET</v>
      </c>
      <c r="J10" s="1024"/>
      <c r="K10" s="1024"/>
      <c r="L10" s="1024"/>
    </row>
    <row r="11" spans="1:12" x14ac:dyDescent="0.25">
      <c r="A11" s="204"/>
      <c r="B11" s="1028"/>
      <c r="C11" s="709"/>
      <c r="D11" s="1025"/>
      <c r="E11" s="1025"/>
      <c r="F11" s="1025"/>
      <c r="G11" s="1025"/>
      <c r="H11" s="709"/>
      <c r="I11" s="1025"/>
      <c r="J11" s="1025"/>
      <c r="K11" s="1025"/>
      <c r="L11" s="1025"/>
    </row>
    <row r="12" spans="1:12" x14ac:dyDescent="0.25">
      <c r="A12" s="211"/>
      <c r="B12" s="211"/>
      <c r="C12" s="211"/>
      <c r="D12" s="212" t="str">
        <f>'DICTIONARY-2'!$A$28</f>
        <v>stary nr zamówienia</v>
      </c>
      <c r="E12" s="212" t="str">
        <f>'DICTIONARY-2'!$A$29</f>
        <v>nowy nr zamówienia</v>
      </c>
      <c r="F12" s="206" t="str">
        <f>CURRENCY.CODE_1</f>
        <v>EUR</v>
      </c>
      <c r="G12" s="206" t="str">
        <f>CURRENCY.CODE_2</f>
        <v>---</v>
      </c>
      <c r="H12" s="211"/>
      <c r="I12" s="212" t="str">
        <f>'DICTIONARY-2'!$A$28</f>
        <v>stary nr zamówienia</v>
      </c>
      <c r="J12" s="212" t="str">
        <f>'DICTIONARY-2'!$A$29</f>
        <v>nowy nr zamówienia</v>
      </c>
      <c r="K12" s="206" t="str">
        <f>CURRENCY.CODE_1</f>
        <v>EUR</v>
      </c>
      <c r="L12" s="206" t="str">
        <f>CURRENCY.CODE_2</f>
        <v>---</v>
      </c>
    </row>
    <row r="13" spans="1:12" x14ac:dyDescent="0.25">
      <c r="A13" s="207">
        <v>50</v>
      </c>
      <c r="B13" s="207" t="s">
        <v>1864</v>
      </c>
      <c r="C13" s="207" t="s">
        <v>85</v>
      </c>
      <c r="D13" s="667" t="s">
        <v>7376</v>
      </c>
      <c r="E13" s="668" t="s">
        <v>7377</v>
      </c>
      <c r="F13" s="339" t="str">
        <f>IFERROR(IF(OR(E13='DICTIONARY-5'!$A$2,E13='DICTIONARY-5'!$A$4,ISBLANK(E13)),VLOOKUP(D13,LIST!$A$6:$L$3250,CURR_1.SEARCH.OLD,0),VLOOKUP(E13,LIST!$B$6:$L$3250,CURR_1.SEARCH.NEW,0)),'DICTIONARY-5'!$A$2)</f>
        <v>346,-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499"/>
      <c r="I13" s="207"/>
      <c r="J13" s="207"/>
      <c r="K13" s="208"/>
      <c r="L13" s="208"/>
    </row>
    <row r="14" spans="1:12" x14ac:dyDescent="0.25">
      <c r="A14" s="207">
        <v>50</v>
      </c>
      <c r="B14" s="207" t="s">
        <v>1865</v>
      </c>
      <c r="C14" s="207" t="s">
        <v>85</v>
      </c>
      <c r="D14" s="207" t="s">
        <v>1866</v>
      </c>
      <c r="E14" s="313" t="s">
        <v>4218</v>
      </c>
      <c r="F14" s="339" t="str">
        <f>IFERROR(IF(OR(E14='DICTIONARY-5'!$A$2,E14='DICTIONARY-5'!$A$4,ISBLANK(E14)),VLOOKUP(D14,LIST!$A$6:$L$3250,CURR_1.SEARCH.OLD,0),VLOOKUP(E14,LIST!$B$6:$L$3250,CURR_1.SEARCH.NEW,0)),'DICTIONARY-5'!$A$2)</f>
        <v>468,-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499">
        <v>25</v>
      </c>
      <c r="I14" s="207" t="s">
        <v>1866</v>
      </c>
      <c r="J14" s="313" t="s">
        <v>4218</v>
      </c>
      <c r="K14" s="339" t="str">
        <f>IFERROR(IF(OR(J14='DICTIONARY-5'!$A$2,J14='DICTIONARY-5'!$A$4,ISBLANK(J14)),VLOOKUP(I14,LIST!$A$6:$L$3250,CURR_1.SEARCH.OLD,0),VLOOKUP(J14,LIST!$B$6:$L$3250,CURR_1.SEARCH.NEW,0)),'DICTIONARY-5'!$A$2)</f>
        <v>468,-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</row>
    <row r="15" spans="1:12" x14ac:dyDescent="0.25">
      <c r="A15" s="207">
        <v>80</v>
      </c>
      <c r="B15" s="207" t="s">
        <v>1867</v>
      </c>
      <c r="C15" s="207" t="s">
        <v>85</v>
      </c>
      <c r="D15" s="207" t="s">
        <v>1868</v>
      </c>
      <c r="E15" s="313" t="s">
        <v>4219</v>
      </c>
      <c r="F15" s="339" t="str">
        <f>IFERROR(IF(OR(E15='DICTIONARY-5'!$A$2,E15='DICTIONARY-5'!$A$4,ISBLANK(E15)),VLOOKUP(D15,LIST!$A$6:$L$3250,CURR_1.SEARCH.OLD,0),VLOOKUP(E15,LIST!$B$6:$L$3250,CURR_1.SEARCH.NEW,0)),'DICTIONARY-5'!$A$2)</f>
        <v>457,-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499">
        <v>25</v>
      </c>
      <c r="I15" s="207" t="s">
        <v>1868</v>
      </c>
      <c r="J15" s="313" t="s">
        <v>4219</v>
      </c>
      <c r="K15" s="339" t="str">
        <f>IFERROR(IF(OR(J15='DICTIONARY-5'!$A$2,J15='DICTIONARY-5'!$A$4,ISBLANK(J15)),VLOOKUP(I15,LIST!$A$6:$L$3250,CURR_1.SEARCH.OLD,0),VLOOKUP(J15,LIST!$B$6:$L$3250,CURR_1.SEARCH.NEW,0)),'DICTIONARY-5'!$A$2)</f>
        <v>457,-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</row>
    <row r="16" spans="1:12" x14ac:dyDescent="0.25">
      <c r="A16" s="207">
        <v>100</v>
      </c>
      <c r="B16" s="207" t="s">
        <v>1869</v>
      </c>
      <c r="C16" s="207" t="s">
        <v>85</v>
      </c>
      <c r="D16" s="207" t="s">
        <v>1870</v>
      </c>
      <c r="E16" s="313" t="s">
        <v>4213</v>
      </c>
      <c r="F16" s="339" t="str">
        <f>IFERROR(IF(OR(E16='DICTIONARY-5'!$A$2,E16='DICTIONARY-5'!$A$4,ISBLANK(E16)),VLOOKUP(D16,LIST!$A$6:$L$3250,CURR_1.SEARCH.OLD,0),VLOOKUP(E16,LIST!$B$6:$L$3250,CURR_1.SEARCH.NEW,0)),'DICTIONARY-5'!$A$2)</f>
        <v>561,-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499">
        <v>25</v>
      </c>
      <c r="I16" s="207" t="s">
        <v>1871</v>
      </c>
      <c r="J16" s="313" t="s">
        <v>4221</v>
      </c>
      <c r="K16" s="339" t="str">
        <f>IFERROR(IF(OR(J16='DICTIONARY-5'!$A$2,J16='DICTIONARY-5'!$A$4,ISBLANK(J16)),VLOOKUP(I16,LIST!$A$6:$L$3250,CURR_1.SEARCH.OLD,0),VLOOKUP(J16,LIST!$B$6:$L$3250,CURR_1.SEARCH.NEW,0)),'DICTIONARY-5'!$A$2)</f>
        <v>565,-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</row>
    <row r="17" spans="1:12" x14ac:dyDescent="0.25">
      <c r="A17" s="207">
        <v>150</v>
      </c>
      <c r="B17" s="207" t="s">
        <v>1872</v>
      </c>
      <c r="C17" s="207" t="s">
        <v>85</v>
      </c>
      <c r="D17" s="207" t="s">
        <v>1873</v>
      </c>
      <c r="E17" s="313" t="s">
        <v>4215</v>
      </c>
      <c r="F17" s="339" t="str">
        <f>IFERROR(IF(OR(E17='DICTIONARY-5'!$A$2,E17='DICTIONARY-5'!$A$4,ISBLANK(E17)),VLOOKUP(D17,LIST!$A$6:$L$3250,CURR_1.SEARCH.OLD,0),VLOOKUP(E17,LIST!$B$6:$L$3250,CURR_1.SEARCH.NEW,0)),'DICTIONARY-5'!$A$2)</f>
        <v>927,-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499">
        <v>25</v>
      </c>
      <c r="I17" s="207" t="s">
        <v>1874</v>
      </c>
      <c r="J17" s="313" t="s">
        <v>4222</v>
      </c>
      <c r="K17" s="339" t="str">
        <f>IFERROR(IF(OR(J17='DICTIONARY-5'!$A$2,J17='DICTIONARY-5'!$A$4,ISBLANK(J17)),VLOOKUP(I17,LIST!$A$6:$L$3250,CURR_1.SEARCH.OLD,0),VLOOKUP(J17,LIST!$B$6:$L$3250,CURR_1.SEARCH.NEW,0)),'DICTIONARY-5'!$A$2)</f>
        <v>990,-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</row>
    <row r="18" spans="1:12" x14ac:dyDescent="0.25">
      <c r="A18" s="207">
        <v>200</v>
      </c>
      <c r="B18" s="207" t="s">
        <v>1872</v>
      </c>
      <c r="C18" s="207">
        <v>10</v>
      </c>
      <c r="D18" s="207" t="s">
        <v>1875</v>
      </c>
      <c r="E18" s="313" t="s">
        <v>4212</v>
      </c>
      <c r="F18" s="339" t="str">
        <f>IFERROR(IF(OR(E18='DICTIONARY-5'!$A$2,E18='DICTIONARY-5'!$A$4,ISBLANK(E18)),VLOOKUP(D18,LIST!$A$6:$L$3250,CURR_1.SEARCH.OLD,0),VLOOKUP(E18,LIST!$B$6:$L$3250,CURR_1.SEARCH.NEW,0)),'DICTIONARY-5'!$A$2)</f>
        <v>993,-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499">
        <v>25</v>
      </c>
      <c r="I18" s="207" t="s">
        <v>1876</v>
      </c>
      <c r="J18" s="313" t="s">
        <v>4223</v>
      </c>
      <c r="K18" s="339" t="str">
        <f>IFERROR(IF(OR(J18='DICTIONARY-5'!$A$2,J18='DICTIONARY-5'!$A$4,ISBLANK(J18)),VLOOKUP(I18,LIST!$A$6:$L$3250,CURR_1.SEARCH.OLD,0),VLOOKUP(J18,LIST!$B$6:$L$3250,CURR_1.SEARCH.NEW,0)),'DICTIONARY-5'!$A$2)</f>
        <v>1 011,-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</row>
    <row r="19" spans="1:12" x14ac:dyDescent="0.25">
      <c r="A19" s="207">
        <v>200</v>
      </c>
      <c r="B19" s="207" t="s">
        <v>1872</v>
      </c>
      <c r="C19" s="207">
        <v>16</v>
      </c>
      <c r="D19" s="207" t="s">
        <v>1877</v>
      </c>
      <c r="E19" s="313" t="s">
        <v>4217</v>
      </c>
      <c r="F19" s="339" t="str">
        <f>IFERROR(IF(OR(E19='DICTIONARY-5'!$A$2,E19='DICTIONARY-5'!$A$4,ISBLANK(E19)),VLOOKUP(D19,LIST!$A$6:$L$3250,CURR_1.SEARCH.OLD,0),VLOOKUP(E19,LIST!$B$6:$L$3250,CURR_1.SEARCH.NEW,0)),'DICTIONARY-5'!$A$2)</f>
        <v>993,-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499"/>
      <c r="I19" s="207"/>
      <c r="J19" s="207"/>
      <c r="K19" s="208"/>
      <c r="L19" s="208"/>
    </row>
    <row r="23" spans="1:12" ht="16.5" thickBot="1" x14ac:dyDescent="0.3">
      <c r="A23" s="712" t="str">
        <f>CONCATENATE('DICTIONARY-3'!$A$107," ",'DICTIONARY-3'!$A$206," / ",'DICTIONARY-3'!$A$304)</f>
        <v>DUOJET Zawór na- i odpowietrzający / Ze zintegrowanym zaworem kulowym</v>
      </c>
      <c r="B23" s="712"/>
      <c r="C23" s="712"/>
      <c r="D23" s="712"/>
      <c r="E23" s="712"/>
      <c r="F23" s="712"/>
      <c r="G23" s="712"/>
      <c r="H23" s="712"/>
      <c r="I23" s="712"/>
      <c r="J23" s="712"/>
      <c r="K23" s="712"/>
      <c r="L23" s="712"/>
    </row>
    <row r="24" spans="1:12" x14ac:dyDescent="0.25">
      <c r="A24" s="210" t="str">
        <f>'DICTIONARY-5'!$A$150&amp;", "&amp;'DICTIONARY-5'!$A$203&amp;": "&amp;'DICTIONARY-5'!$A$32&amp;", "&amp;LOWER('DICTIONARY-3'!$A$150)&amp;": "&amp;'DICTIONARY-5'!$A$53</f>
        <v>Jednokomorowy, pokrywa: stal nierdzewna, pływak: tworzywo sztuczne</v>
      </c>
      <c r="B24" s="202"/>
      <c r="C24" s="202"/>
      <c r="D24" s="202"/>
      <c r="E24" s="202"/>
    </row>
    <row r="25" spans="1:12" x14ac:dyDescent="0.25">
      <c r="A25" s="210" t="str">
        <f>CONCATENATE('DICTIONARY-1'!$A$10,": ",SETTINGS!$C$43)</f>
        <v>Grupa rabatowa: DUOJET</v>
      </c>
      <c r="B25" s="202"/>
      <c r="C25" s="202"/>
      <c r="D25" s="202"/>
      <c r="E25" s="202"/>
    </row>
    <row r="27" spans="1:12" ht="15" customHeight="1" x14ac:dyDescent="0.25">
      <c r="A27" s="203" t="str">
        <f>'DICTIONARY-2'!$A$2</f>
        <v>DN</v>
      </c>
      <c r="B27" s="1024" t="str">
        <f>'DICTIONARY-5'!$A$149</f>
        <v>Gwint pokrywy</v>
      </c>
      <c r="C27" s="708" t="str">
        <f>'DICTIONARY-2'!$A$3</f>
        <v>PN</v>
      </c>
      <c r="D27" s="1024" t="str">
        <f>'DICTIONARY-3'!$A$107</f>
        <v>DUOJET</v>
      </c>
      <c r="E27" s="1024"/>
      <c r="F27" s="1024"/>
      <c r="G27" s="1024"/>
      <c r="H27" s="708" t="str">
        <f>'DICTIONARY-2'!$A$3</f>
        <v>PN</v>
      </c>
      <c r="I27" s="1024" t="str">
        <f>'DICTIONARY-3'!$A$107</f>
        <v>DUOJET</v>
      </c>
      <c r="J27" s="1024"/>
      <c r="K27" s="1024"/>
      <c r="L27" s="1024"/>
    </row>
    <row r="28" spans="1:12" ht="15" customHeight="1" x14ac:dyDescent="0.25">
      <c r="A28" s="204"/>
      <c r="B28" s="1028"/>
      <c r="C28" s="709"/>
      <c r="D28" s="1025" t="str">
        <f>LOWER('DICTIONARY-3'!$A$304)</f>
        <v>ze zintegrowanym zaworem kulowym</v>
      </c>
      <c r="E28" s="1025"/>
      <c r="F28" s="1025"/>
      <c r="G28" s="1025"/>
      <c r="H28" s="709"/>
      <c r="I28" s="1025" t="str">
        <f>LOWER('DICTIONARY-3'!$A$304)</f>
        <v>ze zintegrowanym zaworem kulowym</v>
      </c>
      <c r="J28" s="1025"/>
      <c r="K28" s="1025"/>
      <c r="L28" s="1025"/>
    </row>
    <row r="29" spans="1:12" x14ac:dyDescent="0.25">
      <c r="A29" s="211"/>
      <c r="B29" s="211"/>
      <c r="C29" s="211"/>
      <c r="D29" s="212" t="str">
        <f>'DICTIONARY-2'!$A$28</f>
        <v>stary nr zamówienia</v>
      </c>
      <c r="E29" s="212" t="str">
        <f>'DICTIONARY-2'!$A$29</f>
        <v>nowy nr zamówienia</v>
      </c>
      <c r="F29" s="206" t="str">
        <f>CURRENCY.CODE_1</f>
        <v>EUR</v>
      </c>
      <c r="G29" s="206" t="str">
        <f>CURRENCY.CODE_2</f>
        <v>---</v>
      </c>
      <c r="H29" s="211"/>
      <c r="I29" s="212" t="str">
        <f>'DICTIONARY-2'!$A$28</f>
        <v>stary nr zamówienia</v>
      </c>
      <c r="J29" s="212" t="str">
        <f>'DICTIONARY-2'!$A$29</f>
        <v>nowy nr zamówienia</v>
      </c>
      <c r="K29" s="206" t="str">
        <f>CURRENCY.CODE_1</f>
        <v>EUR</v>
      </c>
      <c r="L29" s="206" t="str">
        <f>CURRENCY.CODE_2</f>
        <v>---</v>
      </c>
    </row>
    <row r="30" spans="1:12" x14ac:dyDescent="0.25">
      <c r="A30" s="207">
        <v>50</v>
      </c>
      <c r="B30" s="207" t="s">
        <v>1864</v>
      </c>
      <c r="C30" s="207" t="s">
        <v>85</v>
      </c>
      <c r="D30" s="717" t="s">
        <v>4900</v>
      </c>
      <c r="E30" s="718" t="s">
        <v>1886</v>
      </c>
      <c r="F30" s="339" t="str">
        <f>IFERROR(IF(OR(E30='DICTIONARY-5'!$A$2,E30='DICTIONARY-5'!$A$4,ISBLANK(E30)),VLOOKUP(D30,LIST!$A$6:$L$3250,CURR_1.SEARCH.OLD,0),VLOOKUP(E30,LIST!$B$6:$L$3250,CURR_1.SEARCH.NEW,0)),'DICTIONARY-5'!$A$2)</f>
        <v>331,-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H30" s="499"/>
      <c r="I30" s="207"/>
      <c r="J30" s="207"/>
      <c r="K30" s="208"/>
      <c r="L30" s="208"/>
    </row>
    <row r="31" spans="1:12" x14ac:dyDescent="0.25">
      <c r="A31" s="207">
        <v>50</v>
      </c>
      <c r="B31" s="207" t="s">
        <v>1865</v>
      </c>
      <c r="C31" s="207" t="s">
        <v>85</v>
      </c>
      <c r="D31" s="717" t="s">
        <v>4899</v>
      </c>
      <c r="E31" s="718" t="s">
        <v>1887</v>
      </c>
      <c r="F31" s="339" t="str">
        <f>IFERROR(IF(OR(E31='DICTIONARY-5'!$A$2,E31='DICTIONARY-5'!$A$4,ISBLANK(E31)),VLOOKUP(D31,LIST!$A$6:$L$3250,CURR_1.SEARCH.OLD,0),VLOOKUP(E31,LIST!$B$6:$L$3250,CURR_1.SEARCH.NEW,0)),'DICTIONARY-5'!$A$2)</f>
        <v>500,-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499">
        <v>25</v>
      </c>
      <c r="I31" s="717" t="s">
        <v>4899</v>
      </c>
      <c r="J31" s="718" t="s">
        <v>1887</v>
      </c>
      <c r="K31" s="339" t="str">
        <f>IFERROR(IF(OR(J31='DICTIONARY-5'!$A$2,J31='DICTIONARY-5'!$A$4,ISBLANK(J31)),VLOOKUP(I31,LIST!$A$6:$L$3250,CURR_1.SEARCH.OLD,0),VLOOKUP(J31,LIST!$B$6:$L$3250,CURR_1.SEARCH.NEW,0)),'DICTIONARY-5'!$A$2)</f>
        <v>500,-</v>
      </c>
      <c r="L31" s="339" t="str">
        <f>IFERROR(IF(OR(J31='DICTIONARY-5'!$A$2,J31='DICTIONARY-5'!$A$4,ISBLANK(J31)),VLOOKUP(I31,LIST!$A$6:$M$3250,CURR_2.SEARCH.OLD,0),VLOOKUP(J31,LIST!$B$6:$M$3250,CURR_2.SEARCH.NEW,0)),'DICTIONARY-5'!$A$2)</f>
        <v/>
      </c>
    </row>
    <row r="32" spans="1:12" x14ac:dyDescent="0.25">
      <c r="A32" s="207">
        <v>80</v>
      </c>
      <c r="B32" s="207" t="s">
        <v>1867</v>
      </c>
      <c r="C32" s="207" t="s">
        <v>85</v>
      </c>
      <c r="D32" s="717" t="s">
        <v>4901</v>
      </c>
      <c r="E32" s="718" t="s">
        <v>1888</v>
      </c>
      <c r="F32" s="339" t="str">
        <f>IFERROR(IF(OR(E32='DICTIONARY-5'!$A$2,E32='DICTIONARY-5'!$A$4,ISBLANK(E32)),VLOOKUP(D32,LIST!$A$6:$L$3250,CURR_1.SEARCH.OLD,0),VLOOKUP(E32,LIST!$B$6:$L$3250,CURR_1.SEARCH.NEW,0)),'DICTIONARY-5'!$A$2)</f>
        <v>490,-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H32" s="499">
        <v>25</v>
      </c>
      <c r="I32" s="717" t="s">
        <v>4901</v>
      </c>
      <c r="J32" s="718" t="s">
        <v>1888</v>
      </c>
      <c r="K32" s="339" t="str">
        <f>IFERROR(IF(OR(J32='DICTIONARY-5'!$A$2,J32='DICTIONARY-5'!$A$4,ISBLANK(J32)),VLOOKUP(I32,LIST!$A$6:$L$3250,CURR_1.SEARCH.OLD,0),VLOOKUP(J32,LIST!$B$6:$L$3250,CURR_1.SEARCH.NEW,0)),'DICTIONARY-5'!$A$2)</f>
        <v>490,-</v>
      </c>
      <c r="L32" s="339" t="str">
        <f>IFERROR(IF(OR(J32='DICTIONARY-5'!$A$2,J32='DICTIONARY-5'!$A$4,ISBLANK(J32)),VLOOKUP(I32,LIST!$A$6:$M$3250,CURR_2.SEARCH.OLD,0),VLOOKUP(J32,LIST!$B$6:$M$3250,CURR_2.SEARCH.NEW,0)),'DICTIONARY-5'!$A$2)</f>
        <v/>
      </c>
    </row>
    <row r="33" spans="1:12" x14ac:dyDescent="0.25">
      <c r="A33" s="207">
        <v>100</v>
      </c>
      <c r="B33" s="207" t="s">
        <v>1869</v>
      </c>
      <c r="C33" s="207" t="s">
        <v>85</v>
      </c>
      <c r="D33" s="717" t="s">
        <v>4896</v>
      </c>
      <c r="E33" s="718" t="s">
        <v>1889</v>
      </c>
      <c r="F33" s="339" t="str">
        <f>IFERROR(IF(OR(E33='DICTIONARY-5'!$A$2,E33='DICTIONARY-5'!$A$4,ISBLANK(E33)),VLOOKUP(D33,LIST!$A$6:$L$3250,CURR_1.SEARCH.OLD,0),VLOOKUP(E33,LIST!$B$6:$L$3250,CURR_1.SEARCH.NEW,0)),'DICTIONARY-5'!$A$2)</f>
        <v>595,-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H33" s="499">
        <v>25</v>
      </c>
      <c r="I33" s="717" t="s">
        <v>4902</v>
      </c>
      <c r="J33" s="718" t="s">
        <v>1890</v>
      </c>
      <c r="K33" s="339" t="str">
        <f>IFERROR(IF(OR(J33='DICTIONARY-5'!$A$2,J33='DICTIONARY-5'!$A$4,ISBLANK(J33)),VLOOKUP(I33,LIST!$A$6:$L$3250,CURR_1.SEARCH.OLD,0),VLOOKUP(J33,LIST!$B$6:$L$3250,CURR_1.SEARCH.NEW,0)),'DICTIONARY-5'!$A$2)</f>
        <v>611,-</v>
      </c>
      <c r="L33" s="339" t="str">
        <f>IFERROR(IF(OR(J33='DICTIONARY-5'!$A$2,J33='DICTIONARY-5'!$A$4,ISBLANK(J33)),VLOOKUP(I33,LIST!$A$6:$M$3250,CURR_2.SEARCH.OLD,0),VLOOKUP(J33,LIST!$B$6:$M$3250,CURR_2.SEARCH.NEW,0)),'DICTIONARY-5'!$A$2)</f>
        <v/>
      </c>
    </row>
    <row r="34" spans="1:12" x14ac:dyDescent="0.25">
      <c r="A34" s="207">
        <v>150</v>
      </c>
      <c r="B34" s="207" t="s">
        <v>1872</v>
      </c>
      <c r="C34" s="207" t="s">
        <v>85</v>
      </c>
      <c r="D34" s="717" t="s">
        <v>4897</v>
      </c>
      <c r="E34" s="718" t="s">
        <v>1891</v>
      </c>
      <c r="F34" s="339" t="str">
        <f>IFERROR(IF(OR(E34='DICTIONARY-5'!$A$2,E34='DICTIONARY-5'!$A$4,ISBLANK(E34)),VLOOKUP(D34,LIST!$A$6:$L$3250,CURR_1.SEARCH.OLD,0),VLOOKUP(E34,LIST!$B$6:$L$3250,CURR_1.SEARCH.NEW,0)),'DICTIONARY-5'!$A$2)</f>
        <v>971,-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H34" s="499">
        <v>25</v>
      </c>
      <c r="I34" s="717" t="s">
        <v>4903</v>
      </c>
      <c r="J34" s="718" t="s">
        <v>1892</v>
      </c>
      <c r="K34" s="339" t="str">
        <f>IFERROR(IF(OR(J34='DICTIONARY-5'!$A$2,J34='DICTIONARY-5'!$A$4,ISBLANK(J34)),VLOOKUP(I34,LIST!$A$6:$L$3250,CURR_1.SEARCH.OLD,0),VLOOKUP(J34,LIST!$B$6:$L$3250,CURR_1.SEARCH.NEW,0)),'DICTIONARY-5'!$A$2)</f>
        <v>1 037,-</v>
      </c>
      <c r="L34" s="339" t="str">
        <f>IFERROR(IF(OR(J34='DICTIONARY-5'!$A$2,J34='DICTIONARY-5'!$A$4,ISBLANK(J34)),VLOOKUP(I34,LIST!$A$6:$M$3250,CURR_2.SEARCH.OLD,0),VLOOKUP(J34,LIST!$B$6:$M$3250,CURR_2.SEARCH.NEW,0)),'DICTIONARY-5'!$A$2)</f>
        <v/>
      </c>
    </row>
    <row r="35" spans="1:12" x14ac:dyDescent="0.25">
      <c r="A35" s="207">
        <v>200</v>
      </c>
      <c r="B35" s="207" t="s">
        <v>1872</v>
      </c>
      <c r="C35" s="207">
        <v>10</v>
      </c>
      <c r="D35" s="717" t="s">
        <v>4895</v>
      </c>
      <c r="E35" s="718" t="s">
        <v>1893</v>
      </c>
      <c r="F35" s="339" t="str">
        <f>IFERROR(IF(OR(E35='DICTIONARY-5'!$A$2,E35='DICTIONARY-5'!$A$4,ISBLANK(E35)),VLOOKUP(D35,LIST!$A$6:$L$3250,CURR_1.SEARCH.OLD,0),VLOOKUP(E35,LIST!$B$6:$L$3250,CURR_1.SEARCH.NEW,0)),'DICTIONARY-5'!$A$2)</f>
        <v>1 043,-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H35" s="499">
        <v>25</v>
      </c>
      <c r="I35" s="717" t="s">
        <v>4904</v>
      </c>
      <c r="J35" s="718" t="s">
        <v>1894</v>
      </c>
      <c r="K35" s="339" t="str">
        <f>IFERROR(IF(OR(J35='DICTIONARY-5'!$A$2,J35='DICTIONARY-5'!$A$4,ISBLANK(J35)),VLOOKUP(I35,LIST!$A$6:$L$3250,CURR_1.SEARCH.OLD,0),VLOOKUP(J35,LIST!$B$6:$L$3250,CURR_1.SEARCH.NEW,0)),'DICTIONARY-5'!$A$2)</f>
        <v>1 055,-</v>
      </c>
      <c r="L35" s="339" t="str">
        <f>IFERROR(IF(OR(J35='DICTIONARY-5'!$A$2,J35='DICTIONARY-5'!$A$4,ISBLANK(J35)),VLOOKUP(I35,LIST!$A$6:$M$3250,CURR_2.SEARCH.OLD,0),VLOOKUP(J35,LIST!$B$6:$M$3250,CURR_2.SEARCH.NEW,0)),'DICTIONARY-5'!$A$2)</f>
        <v/>
      </c>
    </row>
    <row r="36" spans="1:12" x14ac:dyDescent="0.25">
      <c r="A36" s="207">
        <v>200</v>
      </c>
      <c r="B36" s="207" t="s">
        <v>1872</v>
      </c>
      <c r="C36" s="207">
        <v>16</v>
      </c>
      <c r="D36" s="717" t="s">
        <v>4898</v>
      </c>
      <c r="E36" s="718" t="s">
        <v>1895</v>
      </c>
      <c r="F36" s="339" t="str">
        <f>IFERROR(IF(OR(E36='DICTIONARY-5'!$A$2,E36='DICTIONARY-5'!$A$4,ISBLANK(E36)),VLOOKUP(D36,LIST!$A$6:$L$3250,CURR_1.SEARCH.OLD,0),VLOOKUP(E36,LIST!$B$6:$L$3250,CURR_1.SEARCH.NEW,0)),'DICTIONARY-5'!$A$2)</f>
        <v>1 045,-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H36" s="499"/>
      <c r="I36" s="207"/>
      <c r="J36" s="207"/>
      <c r="K36" s="208"/>
      <c r="L36" s="208"/>
    </row>
    <row r="40" spans="1:12" ht="16.5" thickBot="1" x14ac:dyDescent="0.3">
      <c r="A40" s="712" t="str">
        <f>CONCATENATE('DICTIONARY-3'!$A$108," ",'DICTIONARY-3'!$A$206," / ",'DICTIONARY-3'!$A$284)</f>
        <v>DUOJET-P Zawór na- i odpowietrzający / Wysokociśnieniowy</v>
      </c>
      <c r="B40" s="712"/>
      <c r="C40" s="712"/>
      <c r="D40" s="712"/>
      <c r="E40" s="712"/>
      <c r="F40" s="712"/>
      <c r="G40" s="712"/>
      <c r="H40" s="712"/>
      <c r="I40" s="712"/>
      <c r="J40" s="712"/>
      <c r="K40" s="712"/>
      <c r="L40" s="712"/>
    </row>
    <row r="41" spans="1:12" x14ac:dyDescent="0.25">
      <c r="A41" s="210" t="str">
        <f>'DICTIONARY-5'!$A$150&amp;", "&amp;'DICTIONARY-5'!$A$203&amp;": "&amp;'DICTIONARY-5'!$A$32&amp;", "&amp;LOWER('DICTIONARY-3'!$A$150)&amp;": "&amp;'DICTIONARY-5'!$A$53</f>
        <v>Jednokomorowy, pokrywa: stal nierdzewna, pływak: tworzywo sztuczne</v>
      </c>
      <c r="B41" s="214"/>
      <c r="C41" s="214"/>
      <c r="D41" s="214"/>
      <c r="E41" s="214"/>
      <c r="F41" s="103"/>
      <c r="G41" s="103"/>
      <c r="H41" s="213"/>
      <c r="I41" s="109"/>
      <c r="J41" s="109"/>
      <c r="K41" s="109"/>
      <c r="L41" s="109"/>
    </row>
    <row r="42" spans="1:12" x14ac:dyDescent="0.25">
      <c r="A42" s="210" t="str">
        <f>CONCATENATE('DICTIONARY-1'!$A$10,": ",SETTINGS!$C$43)</f>
        <v>Grupa rabatowa: DUOJET</v>
      </c>
      <c r="B42" s="214"/>
      <c r="C42" s="214"/>
      <c r="D42" s="214"/>
      <c r="E42" s="214"/>
      <c r="F42" s="103"/>
      <c r="G42" s="103"/>
      <c r="H42" s="213"/>
      <c r="I42" s="109"/>
      <c r="J42" s="109"/>
      <c r="K42" s="109"/>
      <c r="L42" s="109"/>
    </row>
    <row r="43" spans="1:12" x14ac:dyDescent="0.25">
      <c r="A43" s="102"/>
      <c r="B43" s="102"/>
      <c r="C43" s="102"/>
      <c r="D43" s="102"/>
      <c r="E43" s="102"/>
      <c r="F43" s="103"/>
      <c r="G43" s="103"/>
      <c r="H43" s="213"/>
      <c r="I43" s="109"/>
      <c r="J43" s="109"/>
      <c r="K43" s="109"/>
      <c r="L43" s="109"/>
    </row>
    <row r="44" spans="1:12" x14ac:dyDescent="0.25">
      <c r="A44" s="203" t="str">
        <f>'DICTIONARY-2'!$A$2</f>
        <v>DN</v>
      </c>
      <c r="B44" s="1024" t="str">
        <f>'DICTIONARY-5'!$A$149</f>
        <v>Gwint pokrywy</v>
      </c>
      <c r="C44" s="708" t="str">
        <f>'DICTIONARY-2'!$A$3</f>
        <v>PN</v>
      </c>
      <c r="D44" s="1024" t="str">
        <f>'DICTIONARY-3'!$A$108</f>
        <v>DUOJET-P</v>
      </c>
      <c r="E44" s="1024"/>
      <c r="F44" s="1024"/>
      <c r="G44" s="1024"/>
      <c r="H44" s="708" t="str">
        <f>'DICTIONARY-2'!$A$3</f>
        <v>PN</v>
      </c>
      <c r="I44" s="1024" t="str">
        <f>'DICTIONARY-3'!$A$108</f>
        <v>DUOJET-P</v>
      </c>
      <c r="J44" s="1024"/>
      <c r="K44" s="1024"/>
      <c r="L44" s="1024"/>
    </row>
    <row r="45" spans="1:12" x14ac:dyDescent="0.25">
      <c r="A45" s="204"/>
      <c r="B45" s="1028"/>
      <c r="C45" s="709"/>
      <c r="D45" s="1025" t="str">
        <f>LOWER('DICTIONARY-3'!$A$284)</f>
        <v>wysokociśnieniowy</v>
      </c>
      <c r="E45" s="1025"/>
      <c r="F45" s="1025"/>
      <c r="G45" s="1025"/>
      <c r="H45" s="709"/>
      <c r="I45" s="1025" t="str">
        <f>LOWER('DICTIONARY-3'!$A$284)</f>
        <v>wysokociśnieniowy</v>
      </c>
      <c r="J45" s="1025"/>
      <c r="K45" s="1025"/>
      <c r="L45" s="1025"/>
    </row>
    <row r="46" spans="1:12" x14ac:dyDescent="0.25">
      <c r="A46" s="211"/>
      <c r="B46" s="211"/>
      <c r="C46" s="211"/>
      <c r="D46" s="212" t="str">
        <f>'DICTIONARY-2'!$A$28</f>
        <v>stary nr zamówienia</v>
      </c>
      <c r="E46" s="212" t="str">
        <f>'DICTIONARY-2'!$A$29</f>
        <v>nowy nr zamówienia</v>
      </c>
      <c r="F46" s="206" t="str">
        <f>CURRENCY.CODE_1</f>
        <v>EUR</v>
      </c>
      <c r="G46" s="206" t="str">
        <f>CURRENCY.CODE_2</f>
        <v>---</v>
      </c>
      <c r="H46" s="211"/>
      <c r="I46" s="212" t="str">
        <f>'DICTIONARY-2'!$A$28</f>
        <v>stary nr zamówienia</v>
      </c>
      <c r="J46" s="212" t="str">
        <f>'DICTIONARY-2'!$A$29</f>
        <v>nowy nr zamówienia</v>
      </c>
      <c r="K46" s="206" t="str">
        <f>CURRENCY.CODE_1</f>
        <v>EUR</v>
      </c>
      <c r="L46" s="206" t="str">
        <f>CURRENCY.CODE_2</f>
        <v>---</v>
      </c>
    </row>
    <row r="47" spans="1:12" x14ac:dyDescent="0.25">
      <c r="A47" s="106">
        <v>50</v>
      </c>
      <c r="B47" s="106" t="s">
        <v>1867</v>
      </c>
      <c r="C47" s="106" t="s">
        <v>85</v>
      </c>
      <c r="D47" s="106" t="s">
        <v>1878</v>
      </c>
      <c r="E47" s="316" t="s">
        <v>4208</v>
      </c>
      <c r="F47" s="339" t="str">
        <f>IFERROR(IF(OR(E47='DICTIONARY-5'!$A$2,E47='DICTIONARY-5'!$A$4,ISBLANK(E47)),VLOOKUP(D47,LIST!$A$6:$L$3250,CURR_1.SEARCH.OLD,0),VLOOKUP(E47,LIST!$B$6:$L$3250,CURR_1.SEARCH.NEW,0)),'DICTIONARY-5'!$A$2)</f>
        <v>454,-</v>
      </c>
      <c r="G47" s="339" t="str">
        <f>IFERROR(IF(OR(E47='DICTIONARY-5'!$A$2,E47='DICTIONARY-5'!$A$4,ISBLANK(E47)),VLOOKUP(D47,LIST!$A$6:$M$3250,CURR_2.SEARCH.OLD,0),VLOOKUP(E47,LIST!$B$6:$M$3250,CURR_2.SEARCH.NEW,0)),'DICTIONARY-5'!$A$2)</f>
        <v/>
      </c>
      <c r="H47" s="215" t="s">
        <v>44</v>
      </c>
      <c r="I47" s="106" t="s">
        <v>1878</v>
      </c>
      <c r="J47" s="316" t="s">
        <v>4208</v>
      </c>
      <c r="K47" s="339" t="str">
        <f>IFERROR(IF(OR(J47='DICTIONARY-5'!$A$2,J47='DICTIONARY-5'!$A$4,ISBLANK(J47)),VLOOKUP(I47,LIST!$A$6:$L$3250,CURR_1.SEARCH.OLD,0),VLOOKUP(J47,LIST!$B$6:$L$3250,CURR_1.SEARCH.NEW,0)),'DICTIONARY-5'!$A$2)</f>
        <v>454,-</v>
      </c>
      <c r="L47" s="339" t="str">
        <f>IFERROR(IF(OR(J47='DICTIONARY-5'!$A$2,J47='DICTIONARY-5'!$A$4,ISBLANK(J47)),VLOOKUP(I47,LIST!$A$6:$M$3250,CURR_2.SEARCH.OLD,0),VLOOKUP(J47,LIST!$B$6:$M$3250,CURR_2.SEARCH.NEW,0)),'DICTIONARY-5'!$A$2)</f>
        <v/>
      </c>
    </row>
    <row r="48" spans="1:12" x14ac:dyDescent="0.25">
      <c r="A48" s="106">
        <v>80</v>
      </c>
      <c r="B48" s="106" t="s">
        <v>1879</v>
      </c>
      <c r="C48" s="106" t="s">
        <v>85</v>
      </c>
      <c r="D48" s="106" t="s">
        <v>1880</v>
      </c>
      <c r="E48" s="316" t="s">
        <v>4220</v>
      </c>
      <c r="F48" s="339" t="str">
        <f>IFERROR(IF(OR(E48='DICTIONARY-5'!$A$2,E48='DICTIONARY-5'!$A$4,ISBLANK(E48)),VLOOKUP(D48,LIST!$A$6:$L$3250,CURR_1.SEARCH.OLD,0),VLOOKUP(E48,LIST!$B$6:$L$3250,CURR_1.SEARCH.NEW,0)),'DICTIONARY-5'!$A$2)</f>
        <v>677,-</v>
      </c>
      <c r="G48" s="339" t="str">
        <f>IFERROR(IF(OR(E48='DICTIONARY-5'!$A$2,E48='DICTIONARY-5'!$A$4,ISBLANK(E48)),VLOOKUP(D48,LIST!$A$6:$M$3250,CURR_2.SEARCH.OLD,0),VLOOKUP(E48,LIST!$B$6:$M$3250,CURR_2.SEARCH.NEW,0)),'DICTIONARY-5'!$A$2)</f>
        <v/>
      </c>
      <c r="H48" s="215">
        <v>25</v>
      </c>
      <c r="I48" s="106" t="s">
        <v>1880</v>
      </c>
      <c r="J48" s="316" t="s">
        <v>4220</v>
      </c>
      <c r="K48" s="339" t="str">
        <f>IFERROR(IF(OR(J48='DICTIONARY-5'!$A$2,J48='DICTIONARY-5'!$A$4,ISBLANK(J48)),VLOOKUP(I48,LIST!$A$6:$L$3250,CURR_1.SEARCH.OLD,0),VLOOKUP(J48,LIST!$B$6:$L$3250,CURR_1.SEARCH.NEW,0)),'DICTIONARY-5'!$A$2)</f>
        <v>677,-</v>
      </c>
      <c r="L48" s="339" t="str">
        <f>IFERROR(IF(OR(J48='DICTIONARY-5'!$A$2,J48='DICTIONARY-5'!$A$4,ISBLANK(J48)),VLOOKUP(I48,LIST!$A$6:$M$3250,CURR_2.SEARCH.OLD,0),VLOOKUP(J48,LIST!$B$6:$M$3250,CURR_2.SEARCH.NEW,0)),'DICTIONARY-5'!$A$2)</f>
        <v/>
      </c>
    </row>
    <row r="49" spans="1:12" x14ac:dyDescent="0.25">
      <c r="A49" s="106">
        <v>100</v>
      </c>
      <c r="B49" s="106" t="s">
        <v>1872</v>
      </c>
      <c r="C49" s="106" t="s">
        <v>85</v>
      </c>
      <c r="D49" s="106" t="s">
        <v>1881</v>
      </c>
      <c r="E49" s="316" t="s">
        <v>4214</v>
      </c>
      <c r="F49" s="339" t="str">
        <f>IFERROR(IF(OR(E49='DICTIONARY-5'!$A$2,E49='DICTIONARY-5'!$A$4,ISBLANK(E49)),VLOOKUP(D49,LIST!$A$6:$L$3250,CURR_1.SEARCH.OLD,0),VLOOKUP(E49,LIST!$B$6:$L$3250,CURR_1.SEARCH.NEW,0)),'DICTIONARY-5'!$A$2)</f>
        <v>995,-</v>
      </c>
      <c r="G49" s="339" t="str">
        <f>IFERROR(IF(OR(E49='DICTIONARY-5'!$A$2,E49='DICTIONARY-5'!$A$4,ISBLANK(E49)),VLOOKUP(D49,LIST!$A$6:$M$3250,CURR_2.SEARCH.OLD,0),VLOOKUP(E49,LIST!$B$6:$M$3250,CURR_2.SEARCH.NEW,0)),'DICTIONARY-5'!$A$2)</f>
        <v/>
      </c>
      <c r="H49" s="215">
        <v>25</v>
      </c>
      <c r="I49" s="106" t="s">
        <v>1882</v>
      </c>
      <c r="J49" s="316" t="str">
        <f>'DICTIONARY-5'!$A$2</f>
        <v>na zapytanie</v>
      </c>
      <c r="K49" s="339" t="str">
        <f>IFERROR(IF(OR(J49='DICTIONARY-5'!$A$2,J49='DICTIONARY-5'!$A$4,ISBLANK(J49)),VLOOKUP(I49,LIST!$A$6:$L$3250,CURR_1.SEARCH.OLD,0),VLOOKUP(J49,LIST!$B$6:$L$3250,CURR_1.SEARCH.NEW,0)),'DICTIONARY-5'!$A$2)</f>
        <v>na zapytanie</v>
      </c>
      <c r="L49" s="339" t="str">
        <f>IFERROR(IF(OR(J49='DICTIONARY-5'!$A$2,J49='DICTIONARY-5'!$A$4,ISBLANK(J49)),VLOOKUP(I49,LIST!$A$6:$M$3250,CURR_2.SEARCH.OLD,0),VLOOKUP(J49,LIST!$B$6:$M$3250,CURR_2.SEARCH.NEW,0)),'DICTIONARY-5'!$A$2)</f>
        <v/>
      </c>
    </row>
    <row r="50" spans="1:12" x14ac:dyDescent="0.25">
      <c r="A50" s="106">
        <v>150</v>
      </c>
      <c r="B50" s="106" t="s">
        <v>1883</v>
      </c>
      <c r="C50" s="106" t="s">
        <v>85</v>
      </c>
      <c r="D50" s="106" t="s">
        <v>1884</v>
      </c>
      <c r="E50" s="316" t="s">
        <v>4216</v>
      </c>
      <c r="F50" s="339" t="str">
        <f>IFERROR(IF(OR(E50='DICTIONARY-5'!$A$2,E50='DICTIONARY-5'!$A$4,ISBLANK(E50)),VLOOKUP(D50,LIST!$A$6:$L$3250,CURR_1.SEARCH.OLD,0),VLOOKUP(E50,LIST!$B$6:$L$3250,CURR_1.SEARCH.NEW,0)),'DICTIONARY-5'!$A$2)</f>
        <v>2 363,-</v>
      </c>
      <c r="G50" s="339" t="str">
        <f>IFERROR(IF(OR(E50='DICTIONARY-5'!$A$2,E50='DICTIONARY-5'!$A$4,ISBLANK(E50)),VLOOKUP(D50,LIST!$A$6:$M$3250,CURR_2.SEARCH.OLD,0),VLOOKUP(E50,LIST!$B$6:$M$3250,CURR_2.SEARCH.NEW,0)),'DICTIONARY-5'!$A$2)</f>
        <v/>
      </c>
      <c r="H50" s="215">
        <v>25</v>
      </c>
      <c r="I50" s="106" t="s">
        <v>1885</v>
      </c>
      <c r="J50" s="316" t="str">
        <f>'DICTIONARY-5'!$A$2</f>
        <v>na zapytanie</v>
      </c>
      <c r="K50" s="339" t="str">
        <f>IFERROR(IF(OR(J50='DICTIONARY-5'!$A$2,J50='DICTIONARY-5'!$A$4,ISBLANK(J50)),VLOOKUP(I50,LIST!$A$6:$L$3250,CURR_1.SEARCH.OLD,0),VLOOKUP(J50,LIST!$B$6:$L$3250,CURR_1.SEARCH.NEW,0)),'DICTIONARY-5'!$A$2)</f>
        <v>na zapytanie</v>
      </c>
      <c r="L50" s="339" t="str">
        <f>IFERROR(IF(OR(J50='DICTIONARY-5'!$A$2,J50='DICTIONARY-5'!$A$4,ISBLANK(J50)),VLOOKUP(I50,LIST!$A$6:$M$3250,CURR_2.SEARCH.OLD,0),VLOOKUP(J50,LIST!$B$6:$M$3250,CURR_2.SEARCH.NEW,0)),'DICTIONARY-5'!$A$2)</f>
        <v/>
      </c>
    </row>
  </sheetData>
  <sheetProtection algorithmName="SHA-512" hashValue="9Vo+YUN1NXZ4WY05EOVwd6He8ANIG3rFIUsbt8HgOPkKBk1Zb4SF3RrWYeI/03LDn1HvyjQuxbn5aYJiE6kSug==" saltValue="/AquBCWB5cZHr4KLp6X2jg==" spinCount="100000" sheet="1" objects="1" scenarios="1" autoFilter="0"/>
  <mergeCells count="16">
    <mergeCell ref="B4:E4"/>
    <mergeCell ref="B44:B45"/>
    <mergeCell ref="B27:B28"/>
    <mergeCell ref="B10:B11"/>
    <mergeCell ref="D28:G28"/>
    <mergeCell ref="D10:G10"/>
    <mergeCell ref="I28:L28"/>
    <mergeCell ref="D45:G45"/>
    <mergeCell ref="I45:L45"/>
    <mergeCell ref="D44:G44"/>
    <mergeCell ref="I44:L44"/>
    <mergeCell ref="I10:L10"/>
    <mergeCell ref="D27:G27"/>
    <mergeCell ref="I27:L27"/>
    <mergeCell ref="D11:G11"/>
    <mergeCell ref="I11:L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3">
    <tabColor rgb="FFFFC000"/>
  </sheetPr>
  <dimension ref="A1:G32"/>
  <sheetViews>
    <sheetView workbookViewId="0"/>
  </sheetViews>
  <sheetFormatPr defaultColWidth="9.140625" defaultRowHeight="15" x14ac:dyDescent="0.25"/>
  <cols>
    <col min="1" max="1" width="9.140625" style="200"/>
    <col min="2" max="2" width="12.140625" style="200" customWidth="1"/>
    <col min="3" max="3" width="9.140625" style="200"/>
    <col min="4" max="5" width="22.140625" style="200" customWidth="1"/>
    <col min="6" max="7" width="12.85546875" style="201" customWidth="1"/>
    <col min="8" max="16384" width="9.140625" style="195"/>
  </cols>
  <sheetData>
    <row r="1" spans="1:7" s="401" customFormat="1" ht="45" customHeight="1" thickBot="1" x14ac:dyDescent="0.3">
      <c r="A1" s="428"/>
      <c r="B1" s="428"/>
      <c r="C1" s="428"/>
      <c r="D1" s="428"/>
      <c r="E1" s="402"/>
      <c r="F1" s="403"/>
      <c r="G1" s="403"/>
    </row>
    <row r="2" spans="1:7" s="458" customFormat="1" ht="4.5" customHeight="1" x14ac:dyDescent="0.25">
      <c r="A2" s="457"/>
      <c r="B2" s="459"/>
      <c r="C2" s="459"/>
      <c r="D2" s="459"/>
      <c r="E2" s="459"/>
      <c r="F2" s="460"/>
      <c r="G2" s="460"/>
    </row>
    <row r="3" spans="1:7" ht="15.75" thickBot="1" x14ac:dyDescent="0.3">
      <c r="A3" s="196"/>
      <c r="B3" s="197"/>
      <c r="C3" s="197"/>
    </row>
    <row r="4" spans="1:7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7" x14ac:dyDescent="0.25">
      <c r="A5" s="196"/>
      <c r="B5" s="197"/>
      <c r="C5" s="197"/>
    </row>
    <row r="6" spans="1:7" ht="16.5" thickBot="1" x14ac:dyDescent="0.3">
      <c r="A6" s="712" t="str">
        <f>CONCATENATE('DICTIONARY-3'!$A$113," ",'DICTIONARY-3'!$A$206," / ",UPPER('DICTIONARY-5'!$A$14))</f>
        <v>FLOWJET PE Zawór na- i odpowietrzający / ŚCIEKI</v>
      </c>
      <c r="B6" s="712"/>
      <c r="C6" s="712"/>
      <c r="D6" s="712"/>
      <c r="E6" s="712"/>
      <c r="F6" s="712"/>
      <c r="G6" s="712"/>
    </row>
    <row r="7" spans="1:7" x14ac:dyDescent="0.25">
      <c r="A7" s="210" t="str">
        <f>'DICTIONARY-5'!$A$150&amp;", "&amp;LOWER('DICTIONARY-5'!$A$30)&amp;": "&amp;'DICTIONARY-5'!$A$53</f>
        <v>Jednokomorowy, materiał: tworzywo sztuczne</v>
      </c>
    </row>
    <row r="8" spans="1:7" x14ac:dyDescent="0.25">
      <c r="A8" s="199" t="str">
        <f>CONCATENATE('DICTIONARY-1'!$A$10,": ",SETTINGS!$C$44)</f>
        <v>Grupa rabatowa: FLOWJET</v>
      </c>
    </row>
    <row r="9" spans="1:7" x14ac:dyDescent="0.25">
      <c r="A9" s="202"/>
    </row>
    <row r="10" spans="1:7" ht="15" customHeight="1" x14ac:dyDescent="0.25">
      <c r="A10" s="203" t="str">
        <f>'DICTIONARY-2'!$A$2</f>
        <v>DN</v>
      </c>
      <c r="B10" s="1024" t="str">
        <f>'DICTIONARY-5'!$A$149</f>
        <v>Gwint pokrywy</v>
      </c>
      <c r="C10" s="203" t="str">
        <f>'DICTIONARY-2'!$A$3</f>
        <v>PN</v>
      </c>
      <c r="D10" s="1024" t="str">
        <f>'DICTIONARY-3'!$A$113</f>
        <v>FLOWJET PE</v>
      </c>
      <c r="E10" s="1024"/>
      <c r="F10" s="1024"/>
      <c r="G10" s="1024"/>
    </row>
    <row r="11" spans="1:7" x14ac:dyDescent="0.25">
      <c r="A11" s="204"/>
      <c r="B11" s="1028"/>
      <c r="C11" s="204"/>
      <c r="D11" s="1025"/>
      <c r="E11" s="1025"/>
      <c r="F11" s="1025"/>
      <c r="G11" s="1025"/>
    </row>
    <row r="12" spans="1:7" x14ac:dyDescent="0.25">
      <c r="A12" s="204"/>
      <c r="B12" s="211"/>
      <c r="C12" s="204"/>
      <c r="D12" s="205" t="str">
        <f>'DICTIONARY-2'!$A$28</f>
        <v>stary nr zamówienia</v>
      </c>
      <c r="E12" s="205" t="str">
        <f>'DICTIONARY-2'!$A$29</f>
        <v>nowy nr zamówienia</v>
      </c>
      <c r="F12" s="206" t="str">
        <f>CURRENCY.CODE_1</f>
        <v>EUR</v>
      </c>
      <c r="G12" s="206" t="str">
        <f>CURRENCY.CODE_2</f>
        <v>---</v>
      </c>
    </row>
    <row r="13" spans="1:7" x14ac:dyDescent="0.25">
      <c r="A13" s="207">
        <v>50</v>
      </c>
      <c r="B13" s="207" t="s">
        <v>1864</v>
      </c>
      <c r="C13" s="207" t="s">
        <v>85</v>
      </c>
      <c r="D13" s="207" t="s">
        <v>1896</v>
      </c>
      <c r="E13" s="313" t="s">
        <v>4203</v>
      </c>
      <c r="F13" s="339" t="str">
        <f>IFERROR(IF(OR(E13='DICTIONARY-5'!$A$2,E13='DICTIONARY-5'!$A$4,ISBLANK(E13)),VLOOKUP(D13,LIST!$A$6:$L$3250,CURR_1.SEARCH.OLD,0),VLOOKUP(E13,LIST!$B$6:$L$3250,CURR_1.SEARCH.NEW,0)),'DICTIONARY-5'!$A$2)</f>
        <v>933,-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207">
        <v>80</v>
      </c>
      <c r="B14" s="207" t="s">
        <v>1864</v>
      </c>
      <c r="C14" s="207" t="s">
        <v>85</v>
      </c>
      <c r="D14" s="207" t="s">
        <v>1897</v>
      </c>
      <c r="E14" s="313" t="s">
        <v>4204</v>
      </c>
      <c r="F14" s="339" t="str">
        <f>IFERROR(IF(OR(E14='DICTIONARY-5'!$A$2,E14='DICTIONARY-5'!$A$4,ISBLANK(E14)),VLOOKUP(D14,LIST!$A$6:$L$3250,CURR_1.SEARCH.OLD,0),VLOOKUP(E14,LIST!$B$6:$L$3250,CURR_1.SEARCH.NEW,0)),'DICTIONARY-5'!$A$2)</f>
        <v>931,-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207">
        <v>100</v>
      </c>
      <c r="B15" s="207" t="s">
        <v>1864</v>
      </c>
      <c r="C15" s="207" t="s">
        <v>85</v>
      </c>
      <c r="D15" s="207" t="s">
        <v>1898</v>
      </c>
      <c r="E15" s="313" t="s">
        <v>4205</v>
      </c>
      <c r="F15" s="339" t="str">
        <f>IFERROR(IF(OR(E15='DICTIONARY-5'!$A$2,E15='DICTIONARY-5'!$A$4,ISBLANK(E15)),VLOOKUP(D15,LIST!$A$6:$L$3250,CURR_1.SEARCH.OLD,0),VLOOKUP(E15,LIST!$B$6:$L$3250,CURR_1.SEARCH.NEW,0)),'DICTIONARY-5'!$A$2)</f>
        <v>961,-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207">
        <v>150</v>
      </c>
      <c r="B16" s="207" t="s">
        <v>1869</v>
      </c>
      <c r="C16" s="207" t="s">
        <v>85</v>
      </c>
      <c r="D16" s="207" t="s">
        <v>1899</v>
      </c>
      <c r="E16" s="313" t="s">
        <v>4206</v>
      </c>
      <c r="F16" s="339" t="str">
        <f>IFERROR(IF(OR(E16='DICTIONARY-5'!$A$2,E16='DICTIONARY-5'!$A$4,ISBLANK(E16)),VLOOKUP(D16,LIST!$A$6:$L$3250,CURR_1.SEARCH.OLD,0),VLOOKUP(E16,LIST!$B$6:$L$3250,CURR_1.SEARCH.NEW,0)),'DICTIONARY-5'!$A$2)</f>
        <v>1 465,-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207">
        <v>200</v>
      </c>
      <c r="B17" s="207" t="s">
        <v>1869</v>
      </c>
      <c r="C17" s="207">
        <v>10</v>
      </c>
      <c r="D17" s="207" t="s">
        <v>1900</v>
      </c>
      <c r="E17" s="313" t="s">
        <v>4202</v>
      </c>
      <c r="F17" s="339" t="str">
        <f>IFERROR(IF(OR(E17='DICTIONARY-5'!$A$2,E17='DICTIONARY-5'!$A$4,ISBLANK(E17)),VLOOKUP(D17,LIST!$A$6:$L$3250,CURR_1.SEARCH.OLD,0),VLOOKUP(E17,LIST!$B$6:$L$3250,CURR_1.SEARCH.NEW,0)),'DICTIONARY-5'!$A$2)</f>
        <v>1 589,-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207">
        <v>200</v>
      </c>
      <c r="B18" s="207" t="s">
        <v>1869</v>
      </c>
      <c r="C18" s="207">
        <v>16</v>
      </c>
      <c r="D18" s="207" t="s">
        <v>1901</v>
      </c>
      <c r="E18" s="313" t="s">
        <v>4207</v>
      </c>
      <c r="F18" s="339" t="str">
        <f>IFERROR(IF(OR(E18='DICTIONARY-5'!$A$2,E18='DICTIONARY-5'!$A$4,ISBLANK(E18)),VLOOKUP(D18,LIST!$A$6:$L$3250,CURR_1.SEARCH.OLD,0),VLOOKUP(E18,LIST!$B$6:$L$3250,CURR_1.SEARCH.NEW,0)),'DICTIONARY-5'!$A$2)</f>
        <v>1 605,-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20" spans="1:7" x14ac:dyDescent="0.25">
      <c r="A20" s="548"/>
    </row>
    <row r="21" spans="1:7" ht="16.5" thickBot="1" x14ac:dyDescent="0.3">
      <c r="A21" s="712" t="str">
        <f>CONCATENATE('DICTIONARY-3'!$A$114," ",'DICTIONARY-3'!$A$206," / ",UPPER('DICTIONARY-5'!$A$15))</f>
        <v>FLOWJET NIRO Zawór na- i odpowietrzający / WODA MORSKA</v>
      </c>
      <c r="B21" s="712"/>
      <c r="C21" s="712"/>
      <c r="D21" s="712"/>
      <c r="E21" s="712"/>
      <c r="F21" s="712"/>
      <c r="G21" s="712"/>
    </row>
    <row r="22" spans="1:7" x14ac:dyDescent="0.25">
      <c r="A22" s="210" t="str">
        <f>'DICTIONARY-5'!$A$150&amp;", "&amp;LOWER('DICTIONARY-5'!$A$30)&amp;": "&amp;'DICTIONARY-5'!$A$32&amp;" "&amp;'DICTIONARY-5'!$A$39</f>
        <v>Jednokomorowy, materiał: stal nierdzewna 1.4571</v>
      </c>
    </row>
    <row r="23" spans="1:7" x14ac:dyDescent="0.25">
      <c r="A23" s="199" t="str">
        <f>CONCATENATE('DICTIONARY-1'!$A$10,": ",SETTINGS!$C$44)</f>
        <v>Grupa rabatowa: FLOWJET</v>
      </c>
    </row>
    <row r="24" spans="1:7" x14ac:dyDescent="0.25">
      <c r="A24" s="202"/>
    </row>
    <row r="25" spans="1:7" x14ac:dyDescent="0.25">
      <c r="A25" s="203" t="str">
        <f>'DICTIONARY-2'!$A$2</f>
        <v>DN</v>
      </c>
      <c r="B25" s="1024" t="str">
        <f>'DICTIONARY-5'!$A$149</f>
        <v>Gwint pokrywy</v>
      </c>
      <c r="C25" s="203" t="str">
        <f>'DICTIONARY-2'!$A$3</f>
        <v>PN</v>
      </c>
      <c r="D25" s="1024" t="str">
        <f>'DICTIONARY-3'!$A$114</f>
        <v>FLOWJET NIRO</v>
      </c>
      <c r="E25" s="1024"/>
      <c r="F25" s="1024"/>
      <c r="G25" s="1024"/>
    </row>
    <row r="26" spans="1:7" x14ac:dyDescent="0.25">
      <c r="A26" s="204"/>
      <c r="B26" s="1028"/>
      <c r="C26" s="204"/>
      <c r="D26" s="1025"/>
      <c r="E26" s="1025"/>
      <c r="F26" s="1025"/>
      <c r="G26" s="1025"/>
    </row>
    <row r="27" spans="1:7" x14ac:dyDescent="0.25">
      <c r="A27" s="204"/>
      <c r="B27" s="211"/>
      <c r="C27" s="204"/>
      <c r="D27" s="205" t="str">
        <f>'DICTIONARY-2'!$A$28</f>
        <v>stary nr zamówienia</v>
      </c>
      <c r="E27" s="205" t="str">
        <f>'DICTIONARY-2'!$A$29</f>
        <v>nowy nr zamówienia</v>
      </c>
      <c r="F27" s="206" t="str">
        <f>CURRENCY.CODE_1</f>
        <v>EUR</v>
      </c>
      <c r="G27" s="206" t="str">
        <f>CURRENCY.CODE_2</f>
        <v>---</v>
      </c>
    </row>
    <row r="28" spans="1:7" x14ac:dyDescent="0.25">
      <c r="A28" s="207">
        <v>50</v>
      </c>
      <c r="B28" s="207" t="s">
        <v>1864</v>
      </c>
      <c r="C28" s="207" t="s">
        <v>85</v>
      </c>
      <c r="D28" s="207" t="s">
        <v>8307</v>
      </c>
      <c r="E28" s="313" t="s">
        <v>8302</v>
      </c>
      <c r="F28" s="339" t="str">
        <f>IFERROR(IF(OR(E28='DICTIONARY-5'!$A$2,E28='DICTIONARY-5'!$A$4,ISBLANK(E28)),VLOOKUP(D28,LIST!$A$6:$L$3250,CURR_1.SEARCH.OLD,0),VLOOKUP(E28,LIST!$B$6:$L$3250,CURR_1.SEARCH.NEW,0)),'DICTIONARY-5'!$A$2)</f>
        <v>1 589,-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</row>
    <row r="29" spans="1:7" x14ac:dyDescent="0.25">
      <c r="A29" s="207">
        <v>80</v>
      </c>
      <c r="B29" s="207" t="s">
        <v>1864</v>
      </c>
      <c r="C29" s="207" t="s">
        <v>85</v>
      </c>
      <c r="D29" s="207" t="s">
        <v>8308</v>
      </c>
      <c r="E29" s="313" t="s">
        <v>8303</v>
      </c>
      <c r="F29" s="339" t="str">
        <f>IFERROR(IF(OR(E29='DICTIONARY-5'!$A$2,E29='DICTIONARY-5'!$A$4,ISBLANK(E29)),VLOOKUP(D29,LIST!$A$6:$L$3250,CURR_1.SEARCH.OLD,0),VLOOKUP(E29,LIST!$B$6:$L$3250,CURR_1.SEARCH.NEW,0)),'DICTIONARY-5'!$A$2)</f>
        <v>1 651,-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</row>
    <row r="30" spans="1:7" x14ac:dyDescent="0.25">
      <c r="A30" s="207">
        <v>100</v>
      </c>
      <c r="B30" s="207" t="s">
        <v>1864</v>
      </c>
      <c r="C30" s="207" t="s">
        <v>85</v>
      </c>
      <c r="D30" s="207" t="s">
        <v>8309</v>
      </c>
      <c r="E30" s="313" t="s">
        <v>8304</v>
      </c>
      <c r="F30" s="339" t="str">
        <f>IFERROR(IF(OR(E30='DICTIONARY-5'!$A$2,E30='DICTIONARY-5'!$A$4,ISBLANK(E30)),VLOOKUP(D30,LIST!$A$6:$L$3250,CURR_1.SEARCH.OLD,0),VLOOKUP(E30,LIST!$B$6:$L$3250,CURR_1.SEARCH.NEW,0)),'DICTIONARY-5'!$A$2)</f>
        <v>1 809,-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</row>
    <row r="31" spans="1:7" x14ac:dyDescent="0.25">
      <c r="A31" s="207">
        <v>150</v>
      </c>
      <c r="B31" s="207" t="s">
        <v>1869</v>
      </c>
      <c r="C31" s="207" t="s">
        <v>85</v>
      </c>
      <c r="D31" s="207" t="s">
        <v>8310</v>
      </c>
      <c r="E31" s="313" t="s">
        <v>8305</v>
      </c>
      <c r="F31" s="339" t="str">
        <f>IFERROR(IF(OR(E31='DICTIONARY-5'!$A$2,E31='DICTIONARY-5'!$A$4,ISBLANK(E31)),VLOOKUP(D31,LIST!$A$6:$L$3250,CURR_1.SEARCH.OLD,0),VLOOKUP(E31,LIST!$B$6:$L$3250,CURR_1.SEARCH.NEW,0)),'DICTIONARY-5'!$A$2)</f>
        <v>2 486,-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</row>
    <row r="32" spans="1:7" x14ac:dyDescent="0.25">
      <c r="A32" s="207">
        <v>200</v>
      </c>
      <c r="B32" s="207" t="s">
        <v>1869</v>
      </c>
      <c r="C32" s="207">
        <v>16</v>
      </c>
      <c r="D32" s="207" t="s">
        <v>8311</v>
      </c>
      <c r="E32" s="313" t="s">
        <v>8306</v>
      </c>
      <c r="F32" s="339" t="str">
        <f>IFERROR(IF(OR(E32='DICTIONARY-5'!$A$2,E32='DICTIONARY-5'!$A$4,ISBLANK(E32)),VLOOKUP(D32,LIST!$A$6:$L$3250,CURR_1.SEARCH.OLD,0),VLOOKUP(E32,LIST!$B$6:$L$3250,CURR_1.SEARCH.NEW,0)),'DICTIONARY-5'!$A$2)</f>
        <v>2 901,-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</row>
  </sheetData>
  <sheetProtection algorithmName="SHA-512" hashValue="PbdFD0nHFNj+c8LAbYgiHODAhZEBvWlotrahyQmsYu6rrGy1O+RVwNjdFL/X5YTpoe+p5JIlOiLlY8hn/KlE6Q==" saltValue="7hsRsrNPSHUqJBwKulsHcg==" spinCount="100000" sheet="1" objects="1" scenarios="1" autoFilter="0"/>
  <mergeCells count="7">
    <mergeCell ref="D10:G10"/>
    <mergeCell ref="D11:G11"/>
    <mergeCell ref="B10:B11"/>
    <mergeCell ref="B4:E4"/>
    <mergeCell ref="B25:B26"/>
    <mergeCell ref="D25:G25"/>
    <mergeCell ref="D26:G2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4">
    <tabColor rgb="FFFFC000"/>
  </sheetPr>
  <dimension ref="A1:K36"/>
  <sheetViews>
    <sheetView workbookViewId="0"/>
  </sheetViews>
  <sheetFormatPr defaultColWidth="9.140625" defaultRowHeight="15" x14ac:dyDescent="0.25"/>
  <cols>
    <col min="1" max="3" width="9.140625" style="200"/>
    <col min="4" max="5" width="22.140625" style="200" customWidth="1"/>
    <col min="6" max="7" width="12.85546875" style="201" customWidth="1"/>
    <col min="8" max="9" width="22.140625" style="201" customWidth="1"/>
    <col min="10" max="11" width="12.85546875" style="201" customWidth="1"/>
    <col min="12" max="16384" width="9.140625" style="195"/>
  </cols>
  <sheetData>
    <row r="1" spans="1:11" s="401" customFormat="1" ht="45" customHeight="1" thickBot="1" x14ac:dyDescent="0.3">
      <c r="A1" s="428"/>
      <c r="B1" s="428"/>
      <c r="C1" s="428"/>
      <c r="D1" s="428"/>
      <c r="E1" s="402"/>
      <c r="F1" s="403"/>
      <c r="G1" s="403"/>
      <c r="H1" s="403"/>
      <c r="I1" s="403"/>
      <c r="J1" s="403"/>
      <c r="K1" s="403"/>
    </row>
    <row r="2" spans="1:11" s="458" customFormat="1" ht="4.5" customHeight="1" x14ac:dyDescent="0.25">
      <c r="A2" s="457"/>
      <c r="B2" s="459"/>
      <c r="C2" s="459"/>
      <c r="D2" s="459"/>
      <c r="E2" s="459"/>
      <c r="F2" s="460"/>
      <c r="G2" s="460"/>
      <c r="H2" s="460"/>
      <c r="I2" s="460"/>
      <c r="J2" s="460"/>
      <c r="K2" s="460"/>
    </row>
    <row r="3" spans="1:11" ht="15.75" thickBot="1" x14ac:dyDescent="0.3">
      <c r="A3" s="196"/>
      <c r="B3" s="197"/>
      <c r="C3" s="197"/>
    </row>
    <row r="4" spans="1:11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11" x14ac:dyDescent="0.25">
      <c r="A5" s="196"/>
      <c r="B5" s="197"/>
      <c r="C5" s="197"/>
    </row>
    <row r="6" spans="1:11" ht="16.5" thickBot="1" x14ac:dyDescent="0.3">
      <c r="A6" s="712" t="str">
        <f>CONCATENATE('DICTIONARY-3'!$A$110," ",'DICTIONARY-3'!$A$207," / ",'DICTIONARY-3'!$A$261)</f>
        <v>BEV Zawór na- i odpowietrzający / Do zabudowy w ziemi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99" t="str">
        <f>CONCATENATE('DICTIONARY-5'!$A$153,": ",'DICTIONARY-3'!$A$107," ",'DICTIONARY-3'!$A$206,)</f>
        <v>Wbudowany zawór: DUOJET Zawór na- i odpowietrzający</v>
      </c>
    </row>
    <row r="8" spans="1:11" x14ac:dyDescent="0.25">
      <c r="A8" s="199" t="str">
        <f>CONCATENATE('DICTIONARY-1'!$A$10,": ",SETTINGS!$C$46)</f>
        <v>Grupa rabatowa: BEV-Garnitur</v>
      </c>
    </row>
    <row r="9" spans="1:11" x14ac:dyDescent="0.25">
      <c r="A9" s="202"/>
    </row>
    <row r="10" spans="1:11" x14ac:dyDescent="0.25">
      <c r="A10" s="203" t="str">
        <f>'DICTIONARY-2'!$A$2</f>
        <v>DN</v>
      </c>
      <c r="B10" s="203" t="str">
        <f>'DICTIONARY-2'!$A$3</f>
        <v>PN</v>
      </c>
      <c r="C10" s="203" t="str">
        <f>'DICTIONARY-2'!$A$7&amp;" 1)"</f>
        <v>Rd 1)</v>
      </c>
      <c r="D10" s="1024" t="str">
        <f>'DICTIONARY-3'!$A$110</f>
        <v>BEV</v>
      </c>
      <c r="E10" s="1024"/>
      <c r="F10" s="1024"/>
      <c r="G10" s="1024"/>
      <c r="H10" s="1024" t="str">
        <f>'DICTIONARY-3'!$A$110</f>
        <v>BEV</v>
      </c>
      <c r="I10" s="1024"/>
      <c r="J10" s="1024"/>
      <c r="K10" s="1024"/>
    </row>
    <row r="11" spans="1:11" x14ac:dyDescent="0.25">
      <c r="A11" s="204"/>
      <c r="B11" s="204"/>
      <c r="C11" s="204"/>
      <c r="D11" s="1025" t="str">
        <f>'DICTIONARY-3'!$A$107&amp;" DN 50"</f>
        <v>DUOJET DN 50</v>
      </c>
      <c r="E11" s="1025"/>
      <c r="F11" s="1025"/>
      <c r="G11" s="1025"/>
      <c r="H11" s="1025" t="str">
        <f>'DICTIONARY-3'!$A$107&amp;" DN 80"</f>
        <v>DUOJET DN 80</v>
      </c>
      <c r="I11" s="1025"/>
      <c r="J11" s="1025"/>
      <c r="K11" s="1025"/>
    </row>
    <row r="12" spans="1:11" x14ac:dyDescent="0.25">
      <c r="A12" s="211"/>
      <c r="B12" s="211"/>
      <c r="C12" s="211" t="str">
        <f>'DICTIONARY-2'!$A$19</f>
        <v>[m]</v>
      </c>
      <c r="D12" s="212" t="str">
        <f>'DICTIONARY-2'!$A$28</f>
        <v>stary nr zamówienia</v>
      </c>
      <c r="E12" s="212" t="str">
        <f>'DICTIONARY-2'!$A$29</f>
        <v>nowy nr zamówienia</v>
      </c>
      <c r="F12" s="206" t="str">
        <f>CURRENCY.CODE_1</f>
        <v>EUR</v>
      </c>
      <c r="G12" s="206" t="str">
        <f>CURRENCY.CODE_2</f>
        <v>---</v>
      </c>
      <c r="H12" s="212" t="str">
        <f>'DICTIONARY-2'!$A$28</f>
        <v>stary nr zamówienia</v>
      </c>
      <c r="I12" s="212" t="str">
        <f>'DICTIONARY-2'!$A$29</f>
        <v>nowy nr zamówienia</v>
      </c>
      <c r="J12" s="206" t="str">
        <f>CURRENCY.CODE_1</f>
        <v>EUR</v>
      </c>
      <c r="K12" s="206" t="str">
        <f>CURRENCY.CODE_2</f>
        <v>---</v>
      </c>
    </row>
    <row r="13" spans="1:11" ht="15" customHeight="1" x14ac:dyDescent="0.25">
      <c r="A13" s="207">
        <v>50</v>
      </c>
      <c r="B13" s="207">
        <v>16</v>
      </c>
      <c r="C13" s="216">
        <v>1</v>
      </c>
      <c r="D13" s="217" t="s">
        <v>1902</v>
      </c>
      <c r="E13" s="315" t="s">
        <v>4194</v>
      </c>
      <c r="F13" s="339" t="str">
        <f>IFERROR(IF(OR(E13='DICTIONARY-5'!$A$2,E13='DICTIONARY-5'!$A$4,ISBLANK(E13)),VLOOKUP(D13,LIST!$A$6:$L$3250,CURR_1.SEARCH.OLD,0),VLOOKUP(E13,LIST!$B$6:$L$3250,CURR_1.SEARCH.NEW,0)),'DICTIONARY-5'!$A$2)</f>
        <v>1 182,-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207"/>
      <c r="I13" s="221"/>
      <c r="J13" s="208"/>
      <c r="K13" s="208"/>
    </row>
    <row r="14" spans="1:11" x14ac:dyDescent="0.25">
      <c r="A14" s="207">
        <v>50</v>
      </c>
      <c r="B14" s="207">
        <v>16</v>
      </c>
      <c r="C14" s="216">
        <v>1.25</v>
      </c>
      <c r="D14" s="217" t="s">
        <v>1903</v>
      </c>
      <c r="E14" s="315" t="s">
        <v>4195</v>
      </c>
      <c r="F14" s="339" t="str">
        <f>IFERROR(IF(OR(E14='DICTIONARY-5'!$A$2,E14='DICTIONARY-5'!$A$4,ISBLANK(E14)),VLOOKUP(D14,LIST!$A$6:$L$3250,CURR_1.SEARCH.OLD,0),VLOOKUP(E14,LIST!$B$6:$L$3250,CURR_1.SEARCH.NEW,0)),'DICTIONARY-5'!$A$2)</f>
        <v>1 258,-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207"/>
      <c r="I14" s="221"/>
      <c r="J14" s="208"/>
      <c r="K14" s="208"/>
    </row>
    <row r="15" spans="1:11" x14ac:dyDescent="0.25">
      <c r="A15" s="207">
        <v>50</v>
      </c>
      <c r="B15" s="207">
        <v>16</v>
      </c>
      <c r="C15" s="216">
        <v>1.5</v>
      </c>
      <c r="D15" s="217" t="s">
        <v>1904</v>
      </c>
      <c r="E15" s="315" t="s">
        <v>4196</v>
      </c>
      <c r="F15" s="339" t="str">
        <f>IFERROR(IF(OR(E15='DICTIONARY-5'!$A$2,E15='DICTIONARY-5'!$A$4,ISBLANK(E15)),VLOOKUP(D15,LIST!$A$6:$L$3250,CURR_1.SEARCH.OLD,0),VLOOKUP(E15,LIST!$B$6:$L$3250,CURR_1.SEARCH.NEW,0)),'DICTIONARY-5'!$A$2)</f>
        <v>1 309,-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207"/>
      <c r="I15" s="221"/>
      <c r="J15" s="208"/>
      <c r="K15" s="208"/>
    </row>
    <row r="16" spans="1:11" x14ac:dyDescent="0.25">
      <c r="A16" s="207">
        <v>50</v>
      </c>
      <c r="B16" s="207">
        <v>16</v>
      </c>
      <c r="C16" s="216">
        <v>1.75</v>
      </c>
      <c r="D16" s="217" t="s">
        <v>1905</v>
      </c>
      <c r="E16" s="315" t="s">
        <v>4197</v>
      </c>
      <c r="F16" s="339" t="str">
        <f>IFERROR(IF(OR(E16='DICTIONARY-5'!$A$2,E16='DICTIONARY-5'!$A$4,ISBLANK(E16)),VLOOKUP(D16,LIST!$A$6:$L$3250,CURR_1.SEARCH.OLD,0),VLOOKUP(E16,LIST!$B$6:$L$3250,CURR_1.SEARCH.NEW,0)),'DICTIONARY-5'!$A$2)</f>
        <v>1 387,-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207"/>
      <c r="I16" s="221"/>
      <c r="J16" s="208"/>
      <c r="K16" s="208"/>
    </row>
    <row r="17" spans="1:11" x14ac:dyDescent="0.25">
      <c r="A17" s="207">
        <v>80</v>
      </c>
      <c r="B17" s="207">
        <v>16</v>
      </c>
      <c r="C17" s="216">
        <v>1</v>
      </c>
      <c r="D17" s="207" t="s">
        <v>1906</v>
      </c>
      <c r="E17" s="313" t="s">
        <v>4186</v>
      </c>
      <c r="F17" s="339" t="str">
        <f>IFERROR(IF(OR(E17='DICTIONARY-5'!$A$2,E17='DICTIONARY-5'!$A$4,ISBLANK(E17)),VLOOKUP(D17,LIST!$A$6:$L$3250,CURR_1.SEARCH.OLD,0),VLOOKUP(E17,LIST!$B$6:$L$3250,CURR_1.SEARCH.NEW,0)),'DICTIONARY-5'!$A$2)</f>
        <v>1 198,-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207" t="s">
        <v>1907</v>
      </c>
      <c r="I17" s="314" t="s">
        <v>4190</v>
      </c>
      <c r="J17" s="339" t="str">
        <f>IFERROR(IF(OR(I17='DICTIONARY-5'!$A$2,I17='DICTIONARY-5'!$A$4,ISBLANK(I17)),VLOOKUP(H17,LIST!$A$6:$L$3250,CURR_1.SEARCH.OLD,0),VLOOKUP(I17,LIST!$B$6:$L$3250,CURR_1.SEARCH.NEW,0)),'DICTIONARY-5'!$A$2)</f>
        <v>1 423,-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207">
        <v>80</v>
      </c>
      <c r="B18" s="207">
        <v>16</v>
      </c>
      <c r="C18" s="216">
        <v>1.25</v>
      </c>
      <c r="D18" s="207" t="s">
        <v>1908</v>
      </c>
      <c r="E18" s="313" t="s">
        <v>4187</v>
      </c>
      <c r="F18" s="339" t="str">
        <f>IFERROR(IF(OR(E18='DICTIONARY-5'!$A$2,E18='DICTIONARY-5'!$A$4,ISBLANK(E18)),VLOOKUP(D18,LIST!$A$6:$L$3250,CURR_1.SEARCH.OLD,0),VLOOKUP(E18,LIST!$B$6:$L$3250,CURR_1.SEARCH.NEW,0)),'DICTIONARY-5'!$A$2)</f>
        <v>1 275,-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207" t="s">
        <v>1909</v>
      </c>
      <c r="I18" s="314" t="s">
        <v>4191</v>
      </c>
      <c r="J18" s="339" t="str">
        <f>IFERROR(IF(OR(I18='DICTIONARY-5'!$A$2,I18='DICTIONARY-5'!$A$4,ISBLANK(I18)),VLOOKUP(H18,LIST!$A$6:$L$3250,CURR_1.SEARCH.OLD,0),VLOOKUP(I18,LIST!$B$6:$L$3250,CURR_1.SEARCH.NEW,0)),'DICTIONARY-5'!$A$2)</f>
        <v>1 494,-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207">
        <v>80</v>
      </c>
      <c r="B19" s="207">
        <v>16</v>
      </c>
      <c r="C19" s="216">
        <v>1.5</v>
      </c>
      <c r="D19" s="207" t="s">
        <v>1910</v>
      </c>
      <c r="E19" s="313" t="s">
        <v>4188</v>
      </c>
      <c r="F19" s="339" t="str">
        <f>IFERROR(IF(OR(E19='DICTIONARY-5'!$A$2,E19='DICTIONARY-5'!$A$4,ISBLANK(E19)),VLOOKUP(D19,LIST!$A$6:$L$3250,CURR_1.SEARCH.OLD,0),VLOOKUP(E19,LIST!$B$6:$L$3250,CURR_1.SEARCH.NEW,0)),'DICTIONARY-5'!$A$2)</f>
        <v>1 326,-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207" t="s">
        <v>1911</v>
      </c>
      <c r="I19" s="314" t="s">
        <v>4192</v>
      </c>
      <c r="J19" s="339" t="str">
        <f>IFERROR(IF(OR(I19='DICTIONARY-5'!$A$2,I19='DICTIONARY-5'!$A$4,ISBLANK(I19)),VLOOKUP(H19,LIST!$A$6:$L$3250,CURR_1.SEARCH.OLD,0),VLOOKUP(I19,LIST!$B$6:$L$3250,CURR_1.SEARCH.NEW,0)),'DICTIONARY-5'!$A$2)</f>
        <v>1 550,-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207">
        <v>80</v>
      </c>
      <c r="B20" s="207">
        <v>16</v>
      </c>
      <c r="C20" s="216">
        <v>1.75</v>
      </c>
      <c r="D20" s="207" t="s">
        <v>1912</v>
      </c>
      <c r="E20" s="313" t="s">
        <v>4189</v>
      </c>
      <c r="F20" s="339" t="str">
        <f>IFERROR(IF(OR(E20='DICTIONARY-5'!$A$2,E20='DICTIONARY-5'!$A$4,ISBLANK(E20)),VLOOKUP(D20,LIST!$A$6:$L$3250,CURR_1.SEARCH.OLD,0),VLOOKUP(E20,LIST!$B$6:$L$3250,CURR_1.SEARCH.NEW,0)),'DICTIONARY-5'!$A$2)</f>
        <v>1 403,-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207" t="s">
        <v>1913</v>
      </c>
      <c r="I20" s="314" t="s">
        <v>4193</v>
      </c>
      <c r="J20" s="339" t="str">
        <f>IFERROR(IF(OR(I20='DICTIONARY-5'!$A$2,I20='DICTIONARY-5'!$A$4,ISBLANK(I20)),VLOOKUP(H20,LIST!$A$6:$L$3250,CURR_1.SEARCH.OLD,0),VLOOKUP(I20,LIST!$B$6:$L$3250,CURR_1.SEARCH.NEW,0)),'DICTIONARY-5'!$A$2)</f>
        <v>1 629,-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H21" s="200"/>
      <c r="I21" s="200"/>
    </row>
    <row r="22" spans="1:11" x14ac:dyDescent="0.25">
      <c r="A22" s="218" t="str">
        <f>"1) "&amp;'DICTIONARY-5'!$A$85&amp;" - "&amp;'DICTIONARY-5'!$A$87</f>
        <v>1) Głębokość zabudowy - mierzona od górnej krawędzi rury do wierzchu terenu</v>
      </c>
    </row>
    <row r="26" spans="1:11" ht="16.5" thickBot="1" x14ac:dyDescent="0.3">
      <c r="A26" s="712" t="str">
        <f>CONCATENATE('DICTIONARY-3'!$A$110," ",'DICTIONARY-3'!$A$207," / ",'DICTIONARY-1'!$A$34)</f>
        <v>BEV Zawór na- i odpowietrzający / Akcesoria</v>
      </c>
      <c r="B26" s="712"/>
      <c r="C26" s="712"/>
      <c r="D26" s="712"/>
      <c r="E26" s="712"/>
      <c r="F26" s="712"/>
      <c r="G26" s="712"/>
      <c r="H26" s="712"/>
      <c r="I26" s="712"/>
      <c r="J26" s="712"/>
      <c r="K26" s="712"/>
    </row>
    <row r="27" spans="1:11" x14ac:dyDescent="0.25">
      <c r="A27" s="199" t="str">
        <f>CONCATENATE('DICTIONARY-1'!$A$10,": ",SETTINGS!$C$76)</f>
        <v>Grupa rabatowa: Accessory components</v>
      </c>
      <c r="H27" s="195"/>
      <c r="I27" s="195"/>
      <c r="J27" s="195"/>
      <c r="K27" s="195"/>
    </row>
    <row r="28" spans="1:11" x14ac:dyDescent="0.25">
      <c r="A28" s="199" t="str">
        <f>'DICTIONARY-5'!$A$152&amp;": 480 × 480 × 270 mm"</f>
        <v>Wymiary: 480 × 480 × 270 mm</v>
      </c>
      <c r="H28" s="195"/>
      <c r="I28" s="195"/>
      <c r="J28" s="195"/>
      <c r="K28" s="195"/>
    </row>
    <row r="29" spans="1:11" x14ac:dyDescent="0.25">
      <c r="H29" s="195"/>
      <c r="I29" s="195"/>
      <c r="J29" s="195"/>
      <c r="K29" s="195"/>
    </row>
    <row r="30" spans="1:11" x14ac:dyDescent="0.25">
      <c r="A30" s="708" t="str">
        <f>'DICTIONARY-2'!$A$2</f>
        <v>DN</v>
      </c>
      <c r="B30" s="203"/>
      <c r="C30" s="203"/>
      <c r="D30" s="1024" t="str">
        <f>'DICTIONARY-3'!$A$110&amp;" "&amp;'DICTIONARY-3'!$A$220</f>
        <v>BEV Skrzynka</v>
      </c>
      <c r="E30" s="1024"/>
      <c r="F30" s="1024"/>
      <c r="G30" s="1024"/>
      <c r="H30" s="1024" t="str">
        <f>'DICTIONARY-3'!$A$110&amp;" "&amp;'DICTIONARY-3'!$A$221</f>
        <v>BEV Płyta podkładowa</v>
      </c>
      <c r="I30" s="1024"/>
      <c r="J30" s="1024"/>
      <c r="K30" s="1024"/>
    </row>
    <row r="31" spans="1:11" x14ac:dyDescent="0.25">
      <c r="A31" s="709"/>
      <c r="B31" s="204"/>
      <c r="C31" s="204"/>
      <c r="D31" s="1025" t="str">
        <f>'DICTIONARY-5'!$A$48</f>
        <v>żeliwo</v>
      </c>
      <c r="E31" s="1025"/>
      <c r="F31" s="1025"/>
      <c r="G31" s="1025"/>
      <c r="H31" s="1025" t="str">
        <f>'DICTIONARY-5'!$A$47</f>
        <v>beton</v>
      </c>
      <c r="I31" s="1025"/>
      <c r="J31" s="1025"/>
      <c r="K31" s="1025"/>
    </row>
    <row r="32" spans="1:11" x14ac:dyDescent="0.25">
      <c r="A32" s="211"/>
      <c r="B32" s="211"/>
      <c r="C32" s="211"/>
      <c r="D32" s="212" t="str">
        <f>'DICTIONARY-2'!$A$28</f>
        <v>stary nr zamówienia</v>
      </c>
      <c r="E32" s="212" t="str">
        <f>'DICTIONARY-2'!$A$29</f>
        <v>nowy nr zamówienia</v>
      </c>
      <c r="F32" s="206" t="str">
        <f>CURRENCY.CODE_1</f>
        <v>EUR</v>
      </c>
      <c r="G32" s="206" t="str">
        <f>CURRENCY.CODE_2</f>
        <v>---</v>
      </c>
      <c r="H32" s="212" t="str">
        <f>'DICTIONARY-2'!$A$28</f>
        <v>stary nr zamówienia</v>
      </c>
      <c r="I32" s="212" t="str">
        <f>'DICTIONARY-2'!$A$29</f>
        <v>nowy nr zamówienia</v>
      </c>
      <c r="J32" s="206" t="str">
        <f>CURRENCY.CODE_1</f>
        <v>EUR</v>
      </c>
      <c r="K32" s="206" t="str">
        <f>CURRENCY.CODE_2</f>
        <v>---</v>
      </c>
    </row>
    <row r="33" spans="1:11" x14ac:dyDescent="0.25">
      <c r="A33" s="207" t="s">
        <v>1916</v>
      </c>
      <c r="B33" s="220"/>
      <c r="C33" s="220"/>
      <c r="D33" s="217" t="s">
        <v>1914</v>
      </c>
      <c r="E33" s="315" t="s">
        <v>4303</v>
      </c>
      <c r="F33" s="339" t="str">
        <f>IFERROR(IF(OR(E33='DICTIONARY-5'!$A$2,E33='DICTIONARY-5'!$A$4,ISBLANK(E33)),VLOOKUP(D33,LIST!$A$6:$L$3250,CURR_1.SEARCH.OLD,0),VLOOKUP(E33,LIST!$B$6:$L$3250,CURR_1.SEARCH.NEW,0)),'DICTIONARY-5'!$A$2)</f>
        <v>495,-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H33" s="217" t="s">
        <v>1915</v>
      </c>
      <c r="I33" s="315" t="s">
        <v>4787</v>
      </c>
      <c r="J33" s="339" t="str">
        <f>IFERROR(IF(OR(I33='DICTIONARY-5'!$A$2,I33='DICTIONARY-5'!$A$4,ISBLANK(I33)),VLOOKUP(H33,LIST!$A$6:$L$3250,CURR_1.SEARCH.OLD,0),VLOOKUP(I33,LIST!$B$6:$L$3250,CURR_1.SEARCH.NEW,0)),'DICTIONARY-5'!$A$2)</f>
        <v>48,-</v>
      </c>
      <c r="K33" s="339" t="str">
        <f>IFERROR(IF(OR(I33='DICTIONARY-5'!$A$2,I33='DICTIONARY-5'!$A$4,ISBLANK(I33)),VLOOKUP(H33,LIST!$A$6:$M$3250,CURR_2.SEARCH.OLD,0),VLOOKUP(I33,LIST!$B$6:$M$3250,CURR_2.SEARCH.NEW,0)),'DICTIONARY-5'!$A$2)</f>
        <v/>
      </c>
    </row>
    <row r="36" spans="1:11" x14ac:dyDescent="0.25">
      <c r="A36" s="218"/>
    </row>
  </sheetData>
  <sheetProtection algorithmName="SHA-512" hashValue="ciReopsxLA3nCCySytgg5nFybdlIiEn7P5PCJEQQqOGkp+xGkbcw9kVfK+V+vg+HeGIDR5gqb+Gg6J9icQokKw==" saltValue="0H6x71IKxKrYUNedg69fkw==" spinCount="100000" sheet="1" objects="1" scenarios="1" autoFilter="0"/>
  <mergeCells count="9">
    <mergeCell ref="B4:E4"/>
    <mergeCell ref="D10:G10"/>
    <mergeCell ref="H10:K10"/>
    <mergeCell ref="D31:G31"/>
    <mergeCell ref="H31:K31"/>
    <mergeCell ref="D30:G30"/>
    <mergeCell ref="H30:K30"/>
    <mergeCell ref="D11:G11"/>
    <mergeCell ref="H11:K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5">
    <tabColor rgb="FFFFC000"/>
  </sheetPr>
  <dimension ref="A1:G19"/>
  <sheetViews>
    <sheetView workbookViewId="0"/>
  </sheetViews>
  <sheetFormatPr defaultColWidth="9.140625" defaultRowHeight="15" x14ac:dyDescent="0.25"/>
  <cols>
    <col min="1" max="2" width="9.140625" style="200"/>
    <col min="3" max="3" width="9.140625" style="200" customWidth="1"/>
    <col min="4" max="5" width="22.140625" style="200" customWidth="1"/>
    <col min="6" max="7" width="12.85546875" style="201" customWidth="1"/>
    <col min="8" max="16384" width="9.140625" style="195"/>
  </cols>
  <sheetData>
    <row r="1" spans="1:7" s="401" customFormat="1" ht="45" customHeight="1" thickBot="1" x14ac:dyDescent="0.3">
      <c r="A1" s="428"/>
      <c r="B1" s="428"/>
      <c r="C1" s="428"/>
      <c r="D1" s="428"/>
      <c r="E1" s="402"/>
      <c r="F1" s="403"/>
      <c r="G1" s="403"/>
    </row>
    <row r="2" spans="1:7" s="458" customFormat="1" ht="4.5" customHeight="1" x14ac:dyDescent="0.25">
      <c r="A2" s="457"/>
      <c r="B2" s="459"/>
      <c r="C2" s="459"/>
      <c r="D2" s="459"/>
      <c r="E2" s="459"/>
      <c r="F2" s="460"/>
      <c r="G2" s="460"/>
    </row>
    <row r="3" spans="1:7" ht="15.75" thickBot="1" x14ac:dyDescent="0.3">
      <c r="A3" s="196"/>
      <c r="B3" s="197"/>
      <c r="C3" s="197"/>
    </row>
    <row r="4" spans="1:7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7" x14ac:dyDescent="0.25">
      <c r="A5" s="196"/>
      <c r="B5" s="197"/>
      <c r="C5" s="197"/>
    </row>
    <row r="6" spans="1:7" ht="16.5" thickBot="1" x14ac:dyDescent="0.3">
      <c r="A6" s="712" t="str">
        <f>CONCATENATE('DICTIONARY-3'!$A$112," ",'DICTIONARY-3'!$A$208,)</f>
        <v>HILL Zawór powietrzny</v>
      </c>
      <c r="B6" s="712"/>
      <c r="C6" s="712"/>
      <c r="D6" s="712"/>
      <c r="E6" s="712"/>
      <c r="F6" s="712"/>
      <c r="G6" s="712"/>
    </row>
    <row r="7" spans="1:7" x14ac:dyDescent="0.25">
      <c r="A7" s="210" t="str">
        <f>CONCATENATE('DICTIONARY-1'!$A$10,": ",SETTINGS!$C$47)</f>
        <v>Grupa rabatowa: HILL</v>
      </c>
    </row>
    <row r="8" spans="1:7" x14ac:dyDescent="0.25">
      <c r="A8" s="195"/>
    </row>
    <row r="9" spans="1:7" x14ac:dyDescent="0.25">
      <c r="A9" s="203" t="str">
        <f>'DICTIONARY-2'!$A$2</f>
        <v>DN</v>
      </c>
      <c r="B9" s="203" t="str">
        <f>'DICTIONARY-2'!$A$3</f>
        <v>PN</v>
      </c>
      <c r="C9" s="203"/>
      <c r="D9" s="1029" t="str">
        <f>'DICTIONARY-3'!$A$112</f>
        <v>HILL</v>
      </c>
      <c r="E9" s="1030"/>
      <c r="F9" s="1030"/>
      <c r="G9" s="1031"/>
    </row>
    <row r="10" spans="1:7" x14ac:dyDescent="0.25">
      <c r="A10" s="204"/>
      <c r="B10" s="204"/>
      <c r="C10" s="204"/>
      <c r="D10" s="1032" t="str">
        <f>LOWER('DICTIONARY-5'!$A$204&amp;": "&amp;LOWER('DICTIONARY-3'!$A$241))</f>
        <v>połączenie: kołnierz</v>
      </c>
      <c r="E10" s="1033"/>
      <c r="F10" s="1033"/>
      <c r="G10" s="1034"/>
    </row>
    <row r="11" spans="1:7" x14ac:dyDescent="0.25">
      <c r="A11" s="211"/>
      <c r="B11" s="211"/>
      <c r="C11" s="211"/>
      <c r="D11" s="219" t="str">
        <f>'DICTIONARY-2'!$A$28</f>
        <v>stary nr zamówienia</v>
      </c>
      <c r="E11" s="219" t="str">
        <f>'DICTIONARY-2'!$A$29</f>
        <v>nowy nr zamówienia</v>
      </c>
      <c r="F11" s="206" t="str">
        <f>CURRENCY.CODE_1</f>
        <v>EUR</v>
      </c>
      <c r="G11" s="206" t="str">
        <f>CURRENCY.CODE_2</f>
        <v>---</v>
      </c>
    </row>
    <row r="12" spans="1:7" x14ac:dyDescent="0.25">
      <c r="A12" s="207">
        <v>50</v>
      </c>
      <c r="B12" s="207">
        <v>10</v>
      </c>
      <c r="C12" s="220"/>
      <c r="D12" s="221" t="s">
        <v>1917</v>
      </c>
      <c r="E12" s="314" t="s">
        <v>4210</v>
      </c>
      <c r="F12" s="339" t="str">
        <f>IFERROR(IF(OR(E12='DICTIONARY-5'!$A$2,E12='DICTIONARY-5'!$A$4,ISBLANK(E12)),VLOOKUP(D12,LIST!$A$6:$L$3250,CURR_1.SEARCH.OLD,0),VLOOKUP(E12,LIST!$B$6:$L$3250,CURR_1.SEARCH.NEW,0)),'DICTIONARY-5'!$A$2)</f>
        <v>121,-</v>
      </c>
      <c r="G12" s="339" t="str">
        <f>IFERROR(IF(OR(E12='DICTIONARY-5'!$A$2,E12='DICTIONARY-5'!$A$4,ISBLANK(E12)),VLOOKUP(D12,LIST!$A$6:$M$3250,CURR_2.SEARCH.OLD,0),VLOOKUP(E12,LIST!$B$6:$M$3250,CURR_2.SEARCH.NEW,0)),'DICTIONARY-5'!$A$2)</f>
        <v/>
      </c>
    </row>
    <row r="13" spans="1:7" x14ac:dyDescent="0.25">
      <c r="A13" s="207">
        <v>80</v>
      </c>
      <c r="B13" s="207">
        <v>10</v>
      </c>
      <c r="C13" s="220"/>
      <c r="D13" s="221" t="s">
        <v>1918</v>
      </c>
      <c r="E13" s="314" t="s">
        <v>4211</v>
      </c>
      <c r="F13" s="339" t="str">
        <f>IFERROR(IF(OR(E13='DICTIONARY-5'!$A$2,E13='DICTIONARY-5'!$A$4,ISBLANK(E13)),VLOOKUP(D13,LIST!$A$6:$L$3250,CURR_1.SEARCH.OLD,0),VLOOKUP(E13,LIST!$B$6:$L$3250,CURR_1.SEARCH.NEW,0)),'DICTIONARY-5'!$A$2)</f>
        <v>126,-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5" spans="1:7" x14ac:dyDescent="0.25">
      <c r="A15" s="202"/>
    </row>
    <row r="16" spans="1:7" x14ac:dyDescent="0.25">
      <c r="A16" s="203" t="str">
        <f>'DICTIONARY-2'!$A$2</f>
        <v>DN</v>
      </c>
      <c r="B16" s="203" t="str">
        <f>'DICTIONARY-2'!$A$3</f>
        <v>PN</v>
      </c>
      <c r="C16" s="1024" t="str">
        <f>'DICTIONARY-5'!$A$134</f>
        <v>Gwint wewnętrzny</v>
      </c>
      <c r="D16" s="1029" t="str">
        <f>'DICTIONARY-3'!$A$112</f>
        <v>HILL</v>
      </c>
      <c r="E16" s="1030"/>
      <c r="F16" s="1030"/>
      <c r="G16" s="1031"/>
    </row>
    <row r="17" spans="1:7" x14ac:dyDescent="0.25">
      <c r="A17" s="204"/>
      <c r="B17" s="204"/>
      <c r="C17" s="1028"/>
      <c r="D17" s="1025" t="str">
        <f>LOWER('DICTIONARY-5'!$A$204&amp;": "&amp;'DICTIONARY-5'!$A$199)</f>
        <v>połączenie: końcówka bosa</v>
      </c>
      <c r="E17" s="1025"/>
      <c r="F17" s="1025"/>
      <c r="G17" s="1025"/>
    </row>
    <row r="18" spans="1:7" x14ac:dyDescent="0.25">
      <c r="A18" s="211"/>
      <c r="B18" s="211"/>
      <c r="C18" s="211"/>
      <c r="D18" s="212" t="str">
        <f>'DICTIONARY-2'!$A$28</f>
        <v>stary nr zamówienia</v>
      </c>
      <c r="E18" s="212" t="str">
        <f>'DICTIONARY-2'!$A$29</f>
        <v>nowy nr zamówienia</v>
      </c>
      <c r="F18" s="206" t="str">
        <f>CURRENCY.CODE_1</f>
        <v>EUR</v>
      </c>
      <c r="G18" s="206" t="str">
        <f>CURRENCY.CODE_2</f>
        <v>---</v>
      </c>
    </row>
    <row r="19" spans="1:7" x14ac:dyDescent="0.25">
      <c r="A19" s="207">
        <v>25</v>
      </c>
      <c r="B19" s="207">
        <v>10</v>
      </c>
      <c r="C19" s="207" t="s">
        <v>1919</v>
      </c>
      <c r="D19" s="207" t="s">
        <v>1920</v>
      </c>
      <c r="E19" s="313" t="s">
        <v>4209</v>
      </c>
      <c r="F19" s="339" t="str">
        <f>IFERROR(IF(OR(E19='DICTIONARY-5'!$A$2,E19='DICTIONARY-5'!$A$4,ISBLANK(E19)),VLOOKUP(D19,LIST!$A$6:$L$3250,CURR_1.SEARCH.OLD,0),VLOOKUP(E19,LIST!$B$6:$L$3250,CURR_1.SEARCH.NEW,0)),'DICTIONARY-5'!$A$2)</f>
        <v>144,-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</sheetData>
  <sheetProtection algorithmName="SHA-512" hashValue="mqw1HvBDSfdTYX14kA3WWO/I9yoRiZnc0+emoXtO4Q4CPUmUZPs0B56lcH3CY8HtE6NR05BOxKsl9Xe+Ek4WPQ==" saltValue="kobvtyzsZB8YVBACotvGNQ==" spinCount="100000" sheet="1" objects="1" scenarios="1" autoFilter="0"/>
  <mergeCells count="6">
    <mergeCell ref="B4:E4"/>
    <mergeCell ref="D9:G9"/>
    <mergeCell ref="D16:G16"/>
    <mergeCell ref="D10:G10"/>
    <mergeCell ref="D17:G17"/>
    <mergeCell ref="C16:C17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09">
    <tabColor rgb="FFF59B00"/>
  </sheetPr>
  <dimension ref="A1:L26"/>
  <sheetViews>
    <sheetView workbookViewId="0"/>
  </sheetViews>
  <sheetFormatPr defaultColWidth="9.140625" defaultRowHeight="15" x14ac:dyDescent="0.25"/>
  <cols>
    <col min="1" max="1" width="9.140625" style="363"/>
    <col min="2" max="2" width="16" style="363" customWidth="1"/>
    <col min="3" max="3" width="9.140625" style="363" customWidth="1"/>
    <col min="4" max="5" width="22.140625" style="363" customWidth="1"/>
    <col min="6" max="7" width="12.85546875" style="364" customWidth="1"/>
    <col min="8" max="8" width="9.140625" style="365"/>
    <col min="9" max="10" width="22.140625" style="366" customWidth="1"/>
    <col min="11" max="12" width="12.85546875" style="366" customWidth="1"/>
    <col min="13" max="16384" width="9.140625" style="366"/>
  </cols>
  <sheetData>
    <row r="1" spans="1:12" s="384" customFormat="1" ht="45" customHeight="1" thickBot="1" x14ac:dyDescent="0.3">
      <c r="A1" s="422"/>
      <c r="B1" s="422"/>
      <c r="C1" s="422"/>
      <c r="D1" s="422"/>
      <c r="E1" s="385"/>
      <c r="F1" s="386"/>
      <c r="G1" s="386"/>
      <c r="H1" s="387"/>
    </row>
    <row r="2" spans="1:12" s="435" customFormat="1" ht="4.5" customHeight="1" x14ac:dyDescent="0.25">
      <c r="A2" s="434"/>
      <c r="B2" s="436"/>
      <c r="C2" s="436"/>
      <c r="D2" s="436"/>
      <c r="E2" s="436"/>
      <c r="F2" s="437"/>
      <c r="G2" s="437"/>
      <c r="H2" s="438"/>
    </row>
    <row r="3" spans="1:12" ht="15.75" thickBot="1" x14ac:dyDescent="0.3">
      <c r="A3" s="367"/>
      <c r="B3" s="368"/>
      <c r="C3" s="368"/>
    </row>
    <row r="4" spans="1:12" ht="15.75" thickBot="1" x14ac:dyDescent="0.3">
      <c r="A4" s="822">
        <f>ADD.DISCOUNT</f>
        <v>0</v>
      </c>
      <c r="B4" s="933" t="str">
        <f>HYPERLINK("#'LIST'!ADD.DISCOUNT","» "&amp;'DICTIONARY-1'!$A$5)</f>
        <v>» Ustaw globalny dodatkowy rabat</v>
      </c>
      <c r="C4" s="962"/>
      <c r="D4" s="962"/>
      <c r="E4" s="963"/>
    </row>
    <row r="5" spans="1:12" x14ac:dyDescent="0.25">
      <c r="A5" s="367"/>
      <c r="B5" s="368"/>
      <c r="C5" s="368"/>
    </row>
    <row r="6" spans="1:12" ht="16.5" thickBot="1" x14ac:dyDescent="0.3">
      <c r="A6" s="712" t="str">
        <f>CONCATENATE('DICTIONARY-3'!$A$109," ",'DICTIONARY-3'!$A$206,)</f>
        <v>TWINJET Zawór na- i odpowietrzający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</row>
    <row r="7" spans="1:12" x14ac:dyDescent="0.25">
      <c r="A7" s="369" t="str">
        <f>'DICTIONARY-5'!$A$151</f>
        <v>Dwukomorowy</v>
      </c>
    </row>
    <row r="8" spans="1:12" x14ac:dyDescent="0.25">
      <c r="A8" s="369" t="str">
        <f>CONCATENATE('DICTIONARY-1'!$A$10,": ",SETTINGS!$C$48)</f>
        <v>Grupa rabatowa: TWINJET</v>
      </c>
      <c r="B8" s="370"/>
      <c r="C8" s="370"/>
      <c r="D8" s="370"/>
      <c r="E8" s="370"/>
    </row>
    <row r="10" spans="1:12" ht="15" customHeight="1" x14ac:dyDescent="0.25">
      <c r="A10" s="561" t="str">
        <f>'DICTIONARY-2'!$A$2</f>
        <v>DN</v>
      </c>
      <c r="B10" s="1024" t="str">
        <f>'DICTIONARY-5'!$A$149</f>
        <v>Gwint pokrywy</v>
      </c>
      <c r="C10" s="703" t="str">
        <f>'DICTIONARY-2'!$A$3</f>
        <v>PN</v>
      </c>
      <c r="D10" s="967" t="str">
        <f>'DICTIONARY-3'!$A$109</f>
        <v>TWINJET</v>
      </c>
      <c r="E10" s="967"/>
      <c r="F10" s="967"/>
      <c r="G10" s="967"/>
      <c r="H10" s="703" t="str">
        <f>'DICTIONARY-2'!$A$3</f>
        <v>PN</v>
      </c>
      <c r="I10" s="967" t="str">
        <f>'DICTIONARY-3'!$A$109</f>
        <v>TWINJET</v>
      </c>
      <c r="J10" s="967"/>
      <c r="K10" s="967"/>
      <c r="L10" s="967"/>
    </row>
    <row r="11" spans="1:12" x14ac:dyDescent="0.25">
      <c r="A11" s="562"/>
      <c r="B11" s="1028"/>
      <c r="C11" s="563"/>
      <c r="D11" s="1023"/>
      <c r="E11" s="1023"/>
      <c r="F11" s="1023"/>
      <c r="G11" s="1023"/>
      <c r="H11" s="563"/>
      <c r="I11" s="1023"/>
      <c r="J11" s="1023"/>
      <c r="K11" s="1023"/>
      <c r="L11" s="1023"/>
    </row>
    <row r="12" spans="1:12" x14ac:dyDescent="0.25">
      <c r="A12" s="564"/>
      <c r="B12" s="564"/>
      <c r="C12" s="564"/>
      <c r="D12" s="565" t="str">
        <f>'DICTIONARY-2'!$A$28</f>
        <v>stary nr zamówienia</v>
      </c>
      <c r="E12" s="565" t="str">
        <f>'DICTIONARY-2'!$A$29</f>
        <v>nowy nr zamówienia</v>
      </c>
      <c r="F12" s="566" t="str">
        <f>CURRENCY.CODE_1</f>
        <v>EUR</v>
      </c>
      <c r="G12" s="566" t="str">
        <f>CURRENCY.CODE_2</f>
        <v>---</v>
      </c>
      <c r="H12" s="564"/>
      <c r="I12" s="565" t="str">
        <f>'DICTIONARY-2'!$A$28</f>
        <v>stary nr zamówienia</v>
      </c>
      <c r="J12" s="565" t="str">
        <f>'DICTIONARY-2'!$A$29</f>
        <v>nowy nr zamówienia</v>
      </c>
      <c r="K12" s="566" t="str">
        <f>CURRENCY.CODE_1</f>
        <v>EUR</v>
      </c>
      <c r="L12" s="566" t="str">
        <f>CURRENCY.CODE_2</f>
        <v>---</v>
      </c>
    </row>
    <row r="13" spans="1:12" x14ac:dyDescent="0.25">
      <c r="A13" s="371">
        <v>50</v>
      </c>
      <c r="B13" s="371" t="s">
        <v>5114</v>
      </c>
      <c r="C13" s="371" t="s">
        <v>85</v>
      </c>
      <c r="D13" s="371" t="s">
        <v>5115</v>
      </c>
      <c r="E13" s="502" t="s">
        <v>5343</v>
      </c>
      <c r="F13" s="339" t="str">
        <f>IFERROR(IF(OR(E13='DICTIONARY-5'!$A$2,E13='DICTIONARY-5'!$A$4,ISBLANK(E13)),VLOOKUP(D13,LIST!$A$6:$L$3250,CURR_1.SEARCH.OLD,0),VLOOKUP(E13,LIST!$B$6:$L$3250,CURR_1.SEARCH.NEW,0)),'DICTIONARY-5'!$A$2)</f>
        <v>283,-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373" t="s">
        <v>44</v>
      </c>
      <c r="I13" s="371" t="s">
        <v>5115</v>
      </c>
      <c r="J13" s="502" t="s">
        <v>5343</v>
      </c>
      <c r="K13" s="339" t="str">
        <f>IFERROR(IF(OR(J13='DICTIONARY-5'!$A$2,J13='DICTIONARY-5'!$A$4,ISBLANK(J13)),VLOOKUP(I13,LIST!$A$6:$L$3250,CURR_1.SEARCH.OLD,0),VLOOKUP(J13,LIST!$B$6:$L$3250,CURR_1.SEARCH.NEW,0)),'DICTIONARY-5'!$A$2)</f>
        <v>283,-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</row>
    <row r="14" spans="1:12" x14ac:dyDescent="0.25">
      <c r="A14" s="371">
        <v>65</v>
      </c>
      <c r="B14" s="371" t="s">
        <v>5114</v>
      </c>
      <c r="C14" s="371" t="s">
        <v>85</v>
      </c>
      <c r="D14" s="371" t="s">
        <v>5116</v>
      </c>
      <c r="E14" s="502" t="s">
        <v>5344</v>
      </c>
      <c r="F14" s="339" t="str">
        <f>IFERROR(IF(OR(E14='DICTIONARY-5'!$A$2,E14='DICTIONARY-5'!$A$4,ISBLANK(E14)),VLOOKUP(D14,LIST!$A$6:$L$3250,CURR_1.SEARCH.OLD,0),VLOOKUP(E14,LIST!$B$6:$L$3250,CURR_1.SEARCH.NEW,0)),'DICTIONARY-5'!$A$2)</f>
        <v>317,-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373" t="s">
        <v>44</v>
      </c>
      <c r="I14" s="371" t="s">
        <v>5116</v>
      </c>
      <c r="J14" s="502" t="s">
        <v>5344</v>
      </c>
      <c r="K14" s="339" t="str">
        <f>IFERROR(IF(OR(J14='DICTIONARY-5'!$A$2,J14='DICTIONARY-5'!$A$4,ISBLANK(J14)),VLOOKUP(I14,LIST!$A$6:$L$3250,CURR_1.SEARCH.OLD,0),VLOOKUP(J14,LIST!$B$6:$L$3250,CURR_1.SEARCH.NEW,0)),'DICTIONARY-5'!$A$2)</f>
        <v>317,-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</row>
    <row r="15" spans="1:12" x14ac:dyDescent="0.25">
      <c r="A15" s="371">
        <v>80</v>
      </c>
      <c r="B15" s="371" t="s">
        <v>5117</v>
      </c>
      <c r="C15" s="371" t="s">
        <v>85</v>
      </c>
      <c r="D15" s="371" t="s">
        <v>5118</v>
      </c>
      <c r="E15" s="502" t="s">
        <v>5345</v>
      </c>
      <c r="F15" s="339" t="str">
        <f>IFERROR(IF(OR(E15='DICTIONARY-5'!$A$2,E15='DICTIONARY-5'!$A$4,ISBLANK(E15)),VLOOKUP(D15,LIST!$A$6:$L$3250,CURR_1.SEARCH.OLD,0),VLOOKUP(E15,LIST!$B$6:$L$3250,CURR_1.SEARCH.NEW,0)),'DICTIONARY-5'!$A$2)</f>
        <v>378,-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373" t="s">
        <v>44</v>
      </c>
      <c r="I15" s="371" t="s">
        <v>5118</v>
      </c>
      <c r="J15" s="502" t="s">
        <v>5345</v>
      </c>
      <c r="K15" s="339" t="str">
        <f>IFERROR(IF(OR(J15='DICTIONARY-5'!$A$2,J15='DICTIONARY-5'!$A$4,ISBLANK(J15)),VLOOKUP(I15,LIST!$A$6:$L$3250,CURR_1.SEARCH.OLD,0),VLOOKUP(J15,LIST!$B$6:$L$3250,CURR_1.SEARCH.NEW,0)),'DICTIONARY-5'!$A$2)</f>
        <v>378,-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</row>
    <row r="16" spans="1:12" x14ac:dyDescent="0.25">
      <c r="A16" s="371">
        <v>100</v>
      </c>
      <c r="B16" s="371" t="s">
        <v>5119</v>
      </c>
      <c r="C16" s="371" t="s">
        <v>85</v>
      </c>
      <c r="D16" s="371" t="s">
        <v>5120</v>
      </c>
      <c r="E16" s="502" t="s">
        <v>5346</v>
      </c>
      <c r="F16" s="339" t="str">
        <f>IFERROR(IF(OR(E16='DICTIONARY-5'!$A$2,E16='DICTIONARY-5'!$A$4,ISBLANK(E16)),VLOOKUP(D16,LIST!$A$6:$L$3250,CURR_1.SEARCH.OLD,0),VLOOKUP(E16,LIST!$B$6:$L$3250,CURR_1.SEARCH.NEW,0)),'DICTIONARY-5'!$A$2)</f>
        <v>414,-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373" t="s">
        <v>44</v>
      </c>
      <c r="I16" s="371" t="s">
        <v>5121</v>
      </c>
      <c r="J16" s="502" t="s">
        <v>5354</v>
      </c>
      <c r="K16" s="339" t="str">
        <f>IFERROR(IF(OR(J16='DICTIONARY-5'!$A$2,J16='DICTIONARY-5'!$A$4,ISBLANK(J16)),VLOOKUP(I16,LIST!$A$6:$L$3250,CURR_1.SEARCH.OLD,0),VLOOKUP(J16,LIST!$B$6:$L$3250,CURR_1.SEARCH.NEW,0)),'DICTIONARY-5'!$A$2)</f>
        <v>412,-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</row>
    <row r="17" spans="1:12" x14ac:dyDescent="0.25">
      <c r="A17" s="371">
        <v>150</v>
      </c>
      <c r="B17" s="371" t="s">
        <v>5122</v>
      </c>
      <c r="C17" s="371" t="s">
        <v>85</v>
      </c>
      <c r="D17" s="371" t="s">
        <v>5123</v>
      </c>
      <c r="E17" s="502" t="s">
        <v>5347</v>
      </c>
      <c r="F17" s="339" t="str">
        <f>IFERROR(IF(OR(E17='DICTIONARY-5'!$A$2,E17='DICTIONARY-5'!$A$4,ISBLANK(E17)),VLOOKUP(D17,LIST!$A$6:$L$3250,CURR_1.SEARCH.OLD,0),VLOOKUP(E17,LIST!$B$6:$L$3250,CURR_1.SEARCH.NEW,0)),'DICTIONARY-5'!$A$2)</f>
        <v>671,-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373" t="s">
        <v>44</v>
      </c>
      <c r="I17" s="371" t="s">
        <v>5124</v>
      </c>
      <c r="J17" s="502" t="s">
        <v>5355</v>
      </c>
      <c r="K17" s="339" t="str">
        <f>IFERROR(IF(OR(J17='DICTIONARY-5'!$A$2,J17='DICTIONARY-5'!$A$4,ISBLANK(J17)),VLOOKUP(I17,LIST!$A$6:$L$3250,CURR_1.SEARCH.OLD,0),VLOOKUP(J17,LIST!$B$6:$L$3250,CURR_1.SEARCH.NEW,0)),'DICTIONARY-5'!$A$2)</f>
        <v>667,-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</row>
    <row r="18" spans="1:12" x14ac:dyDescent="0.25">
      <c r="A18" s="371">
        <v>200</v>
      </c>
      <c r="B18" s="371" t="s">
        <v>5122</v>
      </c>
      <c r="C18" s="371">
        <v>10</v>
      </c>
      <c r="D18" s="371" t="s">
        <v>5125</v>
      </c>
      <c r="E18" s="502" t="s">
        <v>5348</v>
      </c>
      <c r="F18" s="339" t="str">
        <f>IFERROR(IF(OR(E18='DICTIONARY-5'!$A$2,E18='DICTIONARY-5'!$A$4,ISBLANK(E18)),VLOOKUP(D18,LIST!$A$6:$L$3250,CURR_1.SEARCH.OLD,0),VLOOKUP(E18,LIST!$B$6:$L$3250,CURR_1.SEARCH.NEW,0)),'DICTIONARY-5'!$A$2)</f>
        <v>666,-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373" t="s">
        <v>44</v>
      </c>
      <c r="I18" s="371" t="s">
        <v>5126</v>
      </c>
      <c r="J18" s="502" t="s">
        <v>5356</v>
      </c>
      <c r="K18" s="339" t="str">
        <f>IFERROR(IF(OR(J18='DICTIONARY-5'!$A$2,J18='DICTIONARY-5'!$A$4,ISBLANK(J18)),VLOOKUP(I18,LIST!$A$6:$L$3250,CURR_1.SEARCH.OLD,0),VLOOKUP(J18,LIST!$B$6:$L$3250,CURR_1.SEARCH.NEW,0)),'DICTIONARY-5'!$A$2)</f>
        <v>700,-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</row>
    <row r="19" spans="1:12" x14ac:dyDescent="0.25">
      <c r="A19" s="371">
        <v>200</v>
      </c>
      <c r="B19" s="371" t="s">
        <v>5122</v>
      </c>
      <c r="C19" s="371">
        <v>16</v>
      </c>
      <c r="D19" s="371" t="s">
        <v>5127</v>
      </c>
      <c r="E19" s="502" t="s">
        <v>5349</v>
      </c>
      <c r="F19" s="339" t="str">
        <f>IFERROR(IF(OR(E19='DICTIONARY-5'!$A$2,E19='DICTIONARY-5'!$A$4,ISBLANK(E19)),VLOOKUP(D19,LIST!$A$6:$L$3250,CURR_1.SEARCH.OLD,0),VLOOKUP(E19,LIST!$B$6:$L$3250,CURR_1.SEARCH.NEW,0)),'DICTIONARY-5'!$A$2)</f>
        <v>678,-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373"/>
      <c r="I19" s="371"/>
      <c r="J19" s="371"/>
      <c r="K19" s="372"/>
      <c r="L19" s="372"/>
    </row>
    <row r="20" spans="1:12" x14ac:dyDescent="0.25">
      <c r="A20" s="371">
        <v>250</v>
      </c>
      <c r="B20" s="371" t="s">
        <v>5128</v>
      </c>
      <c r="C20" s="371">
        <v>10</v>
      </c>
      <c r="D20" s="371" t="s">
        <v>5129</v>
      </c>
      <c r="E20" s="502" t="s">
        <v>5350</v>
      </c>
      <c r="F20" s="339" t="str">
        <f>IFERROR(IF(OR(E20='DICTIONARY-5'!$A$2,E20='DICTIONARY-5'!$A$4,ISBLANK(E20)),VLOOKUP(D20,LIST!$A$6:$L$3250,CURR_1.SEARCH.OLD,0),VLOOKUP(E20,LIST!$B$6:$L$3250,CURR_1.SEARCH.NEW,0)),'DICTIONARY-5'!$A$2)</f>
        <v>3 404,-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373" t="s">
        <v>44</v>
      </c>
      <c r="I20" s="371" t="s">
        <v>5130</v>
      </c>
      <c r="J20" s="502" t="s">
        <v>5357</v>
      </c>
      <c r="K20" s="339" t="str">
        <f>IFERROR(IF(OR(J20='DICTIONARY-5'!$A$2,J20='DICTIONARY-5'!$A$4,ISBLANK(J20)),VLOOKUP(I20,LIST!$A$6:$L$3250,CURR_1.SEARCH.OLD,0),VLOOKUP(J20,LIST!$B$6:$L$3250,CURR_1.SEARCH.NEW,0)),'DICTIONARY-5'!$A$2)</f>
        <v>3 249,-</v>
      </c>
      <c r="L20" s="339" t="str">
        <f>IFERROR(IF(OR(J20='DICTIONARY-5'!$A$2,J20='DICTIONARY-5'!$A$4,ISBLANK(J20)),VLOOKUP(I20,LIST!$A$6:$M$3250,CURR_2.SEARCH.OLD,0),VLOOKUP(J20,LIST!$B$6:$M$3250,CURR_2.SEARCH.NEW,0)),'DICTIONARY-5'!$A$2)</f>
        <v/>
      </c>
    </row>
    <row r="21" spans="1:12" x14ac:dyDescent="0.25">
      <c r="A21" s="371">
        <v>250</v>
      </c>
      <c r="B21" s="371" t="s">
        <v>5128</v>
      </c>
      <c r="C21" s="371">
        <v>16</v>
      </c>
      <c r="D21" s="371" t="s">
        <v>5131</v>
      </c>
      <c r="E21" s="502" t="s">
        <v>5351</v>
      </c>
      <c r="F21" s="339" t="str">
        <f>IFERROR(IF(OR(E21='DICTIONARY-5'!$A$2,E21='DICTIONARY-5'!$A$4,ISBLANK(E21)),VLOOKUP(D21,LIST!$A$6:$L$3250,CURR_1.SEARCH.OLD,0),VLOOKUP(E21,LIST!$B$6:$L$3250,CURR_1.SEARCH.NEW,0)),'DICTIONARY-5'!$A$2)</f>
        <v>3 404,-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373"/>
      <c r="I21" s="371"/>
      <c r="J21" s="371"/>
      <c r="K21" s="372"/>
      <c r="L21" s="372"/>
    </row>
    <row r="22" spans="1:12" x14ac:dyDescent="0.25">
      <c r="A22" s="371">
        <v>300</v>
      </c>
      <c r="B22" s="371" t="s">
        <v>5128</v>
      </c>
      <c r="C22" s="371">
        <v>10</v>
      </c>
      <c r="D22" s="371" t="s">
        <v>5132</v>
      </c>
      <c r="E22" s="502" t="s">
        <v>5352</v>
      </c>
      <c r="F22" s="339" t="str">
        <f>IFERROR(IF(OR(E22='DICTIONARY-5'!$A$2,E22='DICTIONARY-5'!$A$4,ISBLANK(E22)),VLOOKUP(D22,LIST!$A$6:$L$3250,CURR_1.SEARCH.OLD,0),VLOOKUP(E22,LIST!$B$6:$L$3250,CURR_1.SEARCH.NEW,0)),'DICTIONARY-5'!$A$2)</f>
        <v>3 590,-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373" t="s">
        <v>44</v>
      </c>
      <c r="I22" s="371" t="s">
        <v>5133</v>
      </c>
      <c r="J22" s="502" t="s">
        <v>5358</v>
      </c>
      <c r="K22" s="339" t="str">
        <f>IFERROR(IF(OR(J22='DICTIONARY-5'!$A$2,J22='DICTIONARY-5'!$A$4,ISBLANK(J22)),VLOOKUP(I22,LIST!$A$6:$L$3250,CURR_1.SEARCH.OLD,0),VLOOKUP(J22,LIST!$B$6:$L$3250,CURR_1.SEARCH.NEW,0)),'DICTIONARY-5'!$A$2)</f>
        <v>3 472,-</v>
      </c>
      <c r="L22" s="339" t="str">
        <f>IFERROR(IF(OR(J22='DICTIONARY-5'!$A$2,J22='DICTIONARY-5'!$A$4,ISBLANK(J22)),VLOOKUP(I22,LIST!$A$6:$M$3250,CURR_2.SEARCH.OLD,0),VLOOKUP(J22,LIST!$B$6:$M$3250,CURR_2.SEARCH.NEW,0)),'DICTIONARY-5'!$A$2)</f>
        <v/>
      </c>
    </row>
    <row r="23" spans="1:12" x14ac:dyDescent="0.25">
      <c r="A23" s="371">
        <v>300</v>
      </c>
      <c r="B23" s="371" t="s">
        <v>5128</v>
      </c>
      <c r="C23" s="371">
        <v>16</v>
      </c>
      <c r="D23" s="371" t="s">
        <v>5134</v>
      </c>
      <c r="E23" s="502" t="s">
        <v>5353</v>
      </c>
      <c r="F23" s="339" t="str">
        <f>IFERROR(IF(OR(E23='DICTIONARY-5'!$A$2,E23='DICTIONARY-5'!$A$4,ISBLANK(E23)),VLOOKUP(D23,LIST!$A$6:$L$3250,CURR_1.SEARCH.OLD,0),VLOOKUP(E23,LIST!$B$6:$L$3250,CURR_1.SEARCH.NEW,0)),'DICTIONARY-5'!$A$2)</f>
        <v>3 569,-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373"/>
      <c r="I23" s="371"/>
      <c r="J23" s="371"/>
      <c r="K23" s="372"/>
      <c r="L23" s="372"/>
    </row>
    <row r="26" spans="1:12" x14ac:dyDescent="0.25">
      <c r="D26" s="366"/>
      <c r="E26" s="366"/>
    </row>
  </sheetData>
  <sheetProtection algorithmName="SHA-512" hashValue="4ftdzIfP1BqSPIbKm3qPL5Gy+Y/mPMXeFA6Q8xFK9J6x+3jsnejSowKCK7xW2JLYsMx85w58sA3sMqWPm0gPtQ==" saltValue="BZHd+UPOAPldB9Gu7fo4vA==" spinCount="100000" sheet="1" objects="1" scenarios="1" autoFilter="0"/>
  <mergeCells count="6">
    <mergeCell ref="B4:E4"/>
    <mergeCell ref="D10:G10"/>
    <mergeCell ref="I10:L10"/>
    <mergeCell ref="D11:G11"/>
    <mergeCell ref="I11:L11"/>
    <mergeCell ref="B10:B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9">
    <tabColor rgb="FFF59B00"/>
  </sheetPr>
  <dimension ref="A1:F48"/>
  <sheetViews>
    <sheetView workbookViewId="0"/>
  </sheetViews>
  <sheetFormatPr defaultColWidth="9.140625" defaultRowHeight="15" x14ac:dyDescent="0.25"/>
  <cols>
    <col min="1" max="1" width="9.140625" style="363"/>
    <col min="2" max="2" width="16" style="363" customWidth="1"/>
    <col min="3" max="4" width="22.140625" style="363" customWidth="1"/>
    <col min="5" max="6" width="12.85546875" style="364" customWidth="1"/>
    <col min="7" max="16384" width="9.140625" style="366"/>
  </cols>
  <sheetData>
    <row r="1" spans="1:6" s="384" customFormat="1" ht="45" customHeight="1" thickBot="1" x14ac:dyDescent="0.3">
      <c r="A1" s="422"/>
      <c r="B1" s="422"/>
      <c r="C1" s="422"/>
      <c r="D1" s="385"/>
      <c r="E1" s="386"/>
      <c r="F1" s="386"/>
    </row>
    <row r="2" spans="1:6" s="435" customFormat="1" ht="4.5" customHeight="1" x14ac:dyDescent="0.25">
      <c r="A2" s="434"/>
      <c r="B2" s="436"/>
      <c r="C2" s="436"/>
      <c r="D2" s="436"/>
      <c r="E2" s="437"/>
      <c r="F2" s="437"/>
    </row>
    <row r="3" spans="1:6" ht="15.75" thickBot="1" x14ac:dyDescent="0.3">
      <c r="A3" s="367"/>
      <c r="B3" s="368"/>
    </row>
    <row r="4" spans="1:6" ht="15.75" thickBot="1" x14ac:dyDescent="0.3">
      <c r="A4" s="822">
        <f>ADD.DISCOUNT</f>
        <v>0</v>
      </c>
      <c r="B4" s="933" t="str">
        <f>HYPERLINK("#'LIST'!ADD.DISCOUNT","» "&amp;'DICTIONARY-1'!$A$5)</f>
        <v>» Ustaw globalny dodatkowy rabat</v>
      </c>
      <c r="C4" s="962"/>
      <c r="D4" s="962"/>
      <c r="E4" s="963"/>
    </row>
    <row r="5" spans="1:6" x14ac:dyDescent="0.25">
      <c r="A5" s="367"/>
      <c r="B5" s="368"/>
    </row>
    <row r="6" spans="1:6" ht="16.5" thickBot="1" x14ac:dyDescent="0.3">
      <c r="A6" s="712" t="str">
        <f>CONCATENATE('DICTIONARY-3'!$A$111," ",'DICTIONARY-3'!$A$206)</f>
        <v>BEV-E Zawór na- i odpowietrzający</v>
      </c>
      <c r="B6" s="712"/>
      <c r="C6" s="712"/>
      <c r="D6" s="712"/>
      <c r="E6" s="712"/>
      <c r="F6" s="712"/>
    </row>
    <row r="7" spans="1:6" x14ac:dyDescent="0.25">
      <c r="A7" s="369" t="str">
        <f>CONCATENATE('DICTIONARY-5'!$A$150,", ",LOWER('DICTIONARY-3'!$A$293))</f>
        <v>Jednokomorowy, z gwintem wewnętrznym</v>
      </c>
    </row>
    <row r="8" spans="1:6" x14ac:dyDescent="0.25">
      <c r="A8" s="369" t="str">
        <f>CONCATENATE('DICTIONARY-1'!$A$10,": ",SETTINGS!$C$45)</f>
        <v>Grupa rabatowa: BEV-E</v>
      </c>
      <c r="B8" s="370"/>
      <c r="C8" s="370"/>
      <c r="D8" s="370"/>
    </row>
    <row r="10" spans="1:6" ht="15" customHeight="1" x14ac:dyDescent="0.25">
      <c r="A10" s="1024" t="str">
        <f>'DICTIONARY-2'!$A$26</f>
        <v>G</v>
      </c>
      <c r="B10" s="703" t="str">
        <f>'DICTIONARY-2'!$A$11&amp;" 1)"</f>
        <v>PS/PFA 1)</v>
      </c>
      <c r="C10" s="967" t="str">
        <f>'DICTIONARY-3'!$A$111</f>
        <v>BEV-E</v>
      </c>
      <c r="D10" s="967"/>
      <c r="E10" s="967"/>
      <c r="F10" s="967"/>
    </row>
    <row r="11" spans="1:6" x14ac:dyDescent="0.25">
      <c r="A11" s="1028"/>
      <c r="B11" s="563"/>
      <c r="C11" s="1023"/>
      <c r="D11" s="1023"/>
      <c r="E11" s="1023"/>
      <c r="F11" s="1023"/>
    </row>
    <row r="12" spans="1:6" x14ac:dyDescent="0.25">
      <c r="A12" s="564"/>
      <c r="B12" s="564" t="str">
        <f>'DICTIONARY-2'!$A$21</f>
        <v>[bar]</v>
      </c>
      <c r="C12" s="565" t="str">
        <f>'DICTIONARY-2'!$A$28</f>
        <v>stary nr zamówienia</v>
      </c>
      <c r="D12" s="565" t="str">
        <f>'DICTIONARY-2'!$A$29</f>
        <v>nowy nr zamówienia</v>
      </c>
      <c r="E12" s="566" t="str">
        <f>CURRENCY.CODE_1</f>
        <v>EUR</v>
      </c>
      <c r="F12" s="566" t="str">
        <f>CURRENCY.CODE_2</f>
        <v>---</v>
      </c>
    </row>
    <row r="13" spans="1:6" x14ac:dyDescent="0.25">
      <c r="A13" s="655" t="s">
        <v>7364</v>
      </c>
      <c r="B13" s="655">
        <v>25</v>
      </c>
      <c r="C13" s="371" t="s">
        <v>5545</v>
      </c>
      <c r="D13" s="502" t="s">
        <v>5546</v>
      </c>
      <c r="E13" s="339" t="str">
        <f>IFERROR(IF(OR(D13='DICTIONARY-5'!$A$2,D13='DICTIONARY-5'!$A$4,ISBLANK(D13)),VLOOKUP(C13,LIST!$A$6:$L$3250,CURR_1.SEARCH.OLD,0),VLOOKUP(D13,LIST!$B$6:$L$3250,CURR_1.SEARCH.NEW,0)),'DICTIONARY-5'!$A$2)</f>
        <v>110,-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</row>
    <row r="14" spans="1:6" x14ac:dyDescent="0.25">
      <c r="A14" s="655" t="s">
        <v>7365</v>
      </c>
      <c r="B14" s="655">
        <v>25</v>
      </c>
      <c r="C14" s="371" t="s">
        <v>5547</v>
      </c>
      <c r="D14" s="502" t="s">
        <v>5548</v>
      </c>
      <c r="E14" s="339" t="str">
        <f>IFERROR(IF(OR(D14='DICTIONARY-5'!$A$2,D14='DICTIONARY-5'!$A$4,ISBLANK(D14)),VLOOKUP(C14,LIST!$A$6:$L$3250,CURR_1.SEARCH.OLD,0),VLOOKUP(D14,LIST!$B$6:$L$3250,CURR_1.SEARCH.NEW,0)),'DICTIONARY-5'!$A$2)</f>
        <v>111,-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6" x14ac:dyDescent="0.25">
      <c r="A15" s="371" t="s">
        <v>5114</v>
      </c>
      <c r="B15" s="655">
        <v>25</v>
      </c>
      <c r="C15" s="371" t="s">
        <v>5549</v>
      </c>
      <c r="D15" s="502" t="s">
        <v>5550</v>
      </c>
      <c r="E15" s="339" t="str">
        <f>IFERROR(IF(OR(D15='DICTIONARY-5'!$A$2,D15='DICTIONARY-5'!$A$4,ISBLANK(D15)),VLOOKUP(C15,LIST!$A$6:$L$3250,CURR_1.SEARCH.OLD,0),VLOOKUP(D15,LIST!$B$6:$L$3250,CURR_1.SEARCH.NEW,0)),'DICTIONARY-5'!$A$2)</f>
        <v>112,-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</row>
    <row r="17" spans="1:6" x14ac:dyDescent="0.25">
      <c r="A17" s="218" t="str">
        <f>"1) "&amp;'DICTIONARY-2'!$A$11&amp;" - max. "&amp;LOWER('DICTIONARY-5'!$A$92)</f>
        <v>1) PS/PFA - max. ciśnienie robocze</v>
      </c>
    </row>
    <row r="18" spans="1:6" x14ac:dyDescent="0.25">
      <c r="A18" s="218"/>
    </row>
    <row r="19" spans="1:6" x14ac:dyDescent="0.25">
      <c r="A19" s="218"/>
    </row>
    <row r="20" spans="1:6" x14ac:dyDescent="0.25">
      <c r="C20" s="366"/>
      <c r="D20" s="366"/>
    </row>
    <row r="21" spans="1:6" ht="16.5" thickBot="1" x14ac:dyDescent="0.3">
      <c r="A21" s="712" t="str">
        <f>CONCATENATE('DICTIONARY-3'!$A$111," ",'DICTIONARY-3'!$A$206," / ",'DICTIONARY-3'!$A$304)</f>
        <v>BEV-E Zawór na- i odpowietrzający / Ze zintegrowanym zaworem kulowym</v>
      </c>
      <c r="B21" s="712"/>
      <c r="C21" s="712"/>
      <c r="D21" s="712"/>
      <c r="E21" s="712"/>
      <c r="F21" s="712"/>
    </row>
    <row r="22" spans="1:6" x14ac:dyDescent="0.25">
      <c r="A22" s="369" t="str">
        <f>CONCATENATE('DICTIONARY-5'!$A$150,", ",LOWER('DICTIONARY-3'!$A$293))</f>
        <v>Jednokomorowy, z gwintem wewnętrznym</v>
      </c>
    </row>
    <row r="23" spans="1:6" x14ac:dyDescent="0.25">
      <c r="A23" s="369" t="str">
        <f>CONCATENATE('DICTIONARY-1'!$A$10,": ",SETTINGS!$C$45)</f>
        <v>Grupa rabatowa: BEV-E</v>
      </c>
      <c r="B23" s="370"/>
      <c r="C23" s="370"/>
      <c r="D23" s="370"/>
    </row>
    <row r="25" spans="1:6" x14ac:dyDescent="0.25">
      <c r="A25" s="1024" t="str">
        <f>'DICTIONARY-2'!$A$26</f>
        <v>G</v>
      </c>
      <c r="B25" s="703" t="str">
        <f>'DICTIONARY-2'!$A$11&amp;" 1)"</f>
        <v>PS/PFA 1)</v>
      </c>
      <c r="C25" s="967" t="str">
        <f>'DICTIONARY-3'!$A$111</f>
        <v>BEV-E</v>
      </c>
      <c r="D25" s="967"/>
      <c r="E25" s="967"/>
      <c r="F25" s="967"/>
    </row>
    <row r="26" spans="1:6" x14ac:dyDescent="0.25">
      <c r="A26" s="1028"/>
      <c r="B26" s="563"/>
      <c r="C26" s="1023" t="str">
        <f>LOWER('DICTIONARY-3'!$A$304)</f>
        <v>ze zintegrowanym zaworem kulowym</v>
      </c>
      <c r="D26" s="1023"/>
      <c r="E26" s="1023"/>
      <c r="F26" s="1023"/>
    </row>
    <row r="27" spans="1:6" x14ac:dyDescent="0.25">
      <c r="A27" s="564"/>
      <c r="B27" s="564" t="str">
        <f>'DICTIONARY-2'!$A$21</f>
        <v>[bar]</v>
      </c>
      <c r="C27" s="565" t="str">
        <f>'DICTIONARY-2'!$A$28</f>
        <v>stary nr zamówienia</v>
      </c>
      <c r="D27" s="565" t="str">
        <f>'DICTIONARY-2'!$A$29</f>
        <v>nowy nr zamówienia</v>
      </c>
      <c r="E27" s="566" t="str">
        <f>CURRENCY.CODE_1</f>
        <v>EUR</v>
      </c>
      <c r="F27" s="566" t="str">
        <f>CURRENCY.CODE_2</f>
        <v>---</v>
      </c>
    </row>
    <row r="28" spans="1:6" x14ac:dyDescent="0.25">
      <c r="A28" s="655" t="s">
        <v>7364</v>
      </c>
      <c r="B28" s="655">
        <v>25</v>
      </c>
      <c r="C28" s="371" t="s">
        <v>7369</v>
      </c>
      <c r="D28" s="502" t="s">
        <v>7366</v>
      </c>
      <c r="E28" s="339" t="str">
        <f>IFERROR(IF(OR(D28='DICTIONARY-5'!$A$2,D28='DICTIONARY-5'!$A$4,ISBLANK(D28)),VLOOKUP(C28,LIST!$A$6:$L$3250,CURR_1.SEARCH.OLD,0),VLOOKUP(D28,LIST!$B$6:$L$3250,CURR_1.SEARCH.NEW,0)),'DICTIONARY-5'!$A$2)</f>
        <v>131,-</v>
      </c>
      <c r="F28" s="339" t="str">
        <f>IFERROR(IF(OR(D28='DICTIONARY-5'!$A$2,D28='DICTIONARY-5'!$A$4,ISBLANK(D28)),VLOOKUP(C28,LIST!$A$6:$M$3250,CURR_2.SEARCH.OLD,0),VLOOKUP(D28,LIST!$B$6:$M$3250,CURR_2.SEARCH.NEW,0)),'DICTIONARY-5'!$A$2)</f>
        <v/>
      </c>
    </row>
    <row r="29" spans="1:6" x14ac:dyDescent="0.25">
      <c r="A29" s="655" t="s">
        <v>7365</v>
      </c>
      <c r="B29" s="655">
        <v>25</v>
      </c>
      <c r="C29" s="371" t="s">
        <v>7370</v>
      </c>
      <c r="D29" s="502" t="s">
        <v>7367</v>
      </c>
      <c r="E29" s="339" t="str">
        <f>IFERROR(IF(OR(D29='DICTIONARY-5'!$A$2,D29='DICTIONARY-5'!$A$4,ISBLANK(D29)),VLOOKUP(C29,LIST!$A$6:$L$3250,CURR_1.SEARCH.OLD,0),VLOOKUP(D29,LIST!$B$6:$L$3250,CURR_1.SEARCH.NEW,0)),'DICTIONARY-5'!$A$2)</f>
        <v>138,-</v>
      </c>
      <c r="F29" s="339" t="str">
        <f>IFERROR(IF(OR(D29='DICTIONARY-5'!$A$2,D29='DICTIONARY-5'!$A$4,ISBLANK(D29)),VLOOKUP(C29,LIST!$A$6:$M$3250,CURR_2.SEARCH.OLD,0),VLOOKUP(D29,LIST!$B$6:$M$3250,CURR_2.SEARCH.NEW,0)),'DICTIONARY-5'!$A$2)</f>
        <v/>
      </c>
    </row>
    <row r="30" spans="1:6" x14ac:dyDescent="0.25">
      <c r="A30" s="371" t="s">
        <v>5114</v>
      </c>
      <c r="B30" s="655">
        <v>25</v>
      </c>
      <c r="C30" s="371" t="s">
        <v>7371</v>
      </c>
      <c r="D30" s="502" t="s">
        <v>7368</v>
      </c>
      <c r="E30" s="339" t="str">
        <f>IFERROR(IF(OR(D30='DICTIONARY-5'!$A$2,D30='DICTIONARY-5'!$A$4,ISBLANK(D30)),VLOOKUP(C30,LIST!$A$6:$L$3250,CURR_1.SEARCH.OLD,0),VLOOKUP(D30,LIST!$B$6:$L$3250,CURR_1.SEARCH.NEW,0)),'DICTIONARY-5'!$A$2)</f>
        <v>141,-</v>
      </c>
      <c r="F30" s="339" t="str">
        <f>IFERROR(IF(OR(D30='DICTIONARY-5'!$A$2,D30='DICTIONARY-5'!$A$4,ISBLANK(D30)),VLOOKUP(C30,LIST!$A$6:$M$3250,CURR_2.SEARCH.OLD,0),VLOOKUP(D30,LIST!$B$6:$M$3250,CURR_2.SEARCH.NEW,0)),'DICTIONARY-5'!$A$2)</f>
        <v/>
      </c>
    </row>
    <row r="32" spans="1:6" x14ac:dyDescent="0.25">
      <c r="A32" s="218" t="str">
        <f>"1) "&amp;'DICTIONARY-2'!$A$11&amp;" - max. "&amp;LOWER('DICTIONARY-5'!$A$92)</f>
        <v>1) PS/PFA - max. ciśnienie robocze</v>
      </c>
    </row>
    <row r="36" spans="1:6" ht="16.5" thickBot="1" x14ac:dyDescent="0.3">
      <c r="A36" s="712" t="str">
        <f>CONCATENATE('DICTIONARY-3'!$A$111," ",'DICTIONARY-3'!$A$206," / ",'DICTIONARY-3'!$A$320)</f>
        <v>BEV-E Zawór na- i odpowietrzający / Montaż na kołnierz</v>
      </c>
      <c r="B36" s="712"/>
      <c r="C36" s="712"/>
      <c r="D36" s="712"/>
      <c r="E36" s="712"/>
      <c r="F36" s="712"/>
    </row>
    <row r="37" spans="1:6" x14ac:dyDescent="0.25">
      <c r="A37" s="369" t="str">
        <f>'DICTIONARY-5'!$A$150</f>
        <v>Jednokomorowy</v>
      </c>
    </row>
    <row r="38" spans="1:6" x14ac:dyDescent="0.25">
      <c r="A38" s="369" t="str">
        <f>CONCATENATE('DICTIONARY-1'!$A$10,": ",SETTINGS!$C$45)</f>
        <v>Grupa rabatowa: BEV-E</v>
      </c>
      <c r="B38" s="370"/>
      <c r="C38" s="370"/>
      <c r="D38" s="370"/>
    </row>
    <row r="40" spans="1:6" x14ac:dyDescent="0.25">
      <c r="A40" s="1024" t="s">
        <v>80</v>
      </c>
      <c r="B40" s="1024" t="s">
        <v>81</v>
      </c>
      <c r="C40" s="967" t="str">
        <f>'DICTIONARY-3'!$A$111</f>
        <v>BEV-E</v>
      </c>
      <c r="D40" s="967"/>
      <c r="E40" s="967"/>
      <c r="F40" s="967"/>
    </row>
    <row r="41" spans="1:6" x14ac:dyDescent="0.25">
      <c r="A41" s="1028"/>
      <c r="B41" s="1028"/>
      <c r="C41" s="1023" t="str">
        <f>LOWER('DICTIONARY-3'!$A$320)</f>
        <v>montaż na kołnierz</v>
      </c>
      <c r="D41" s="1023"/>
      <c r="E41" s="1023"/>
      <c r="F41" s="1023"/>
    </row>
    <row r="42" spans="1:6" x14ac:dyDescent="0.25">
      <c r="A42" s="564"/>
      <c r="B42" s="564"/>
      <c r="C42" s="565" t="str">
        <f>'DICTIONARY-2'!$A$28</f>
        <v>stary nr zamówienia</v>
      </c>
      <c r="D42" s="565" t="str">
        <f>'DICTIONARY-2'!$A$29</f>
        <v>nowy nr zamówienia</v>
      </c>
      <c r="E42" s="566" t="str">
        <f>CURRENCY.CODE_1</f>
        <v>EUR</v>
      </c>
      <c r="F42" s="566" t="str">
        <f>CURRENCY.CODE_2</f>
        <v>---</v>
      </c>
    </row>
    <row r="43" spans="1:6" x14ac:dyDescent="0.25">
      <c r="A43" s="655" t="s">
        <v>7374</v>
      </c>
      <c r="B43" s="655" t="s">
        <v>85</v>
      </c>
      <c r="C43" s="371" t="s">
        <v>5551</v>
      </c>
      <c r="D43" s="502" t="s">
        <v>5552</v>
      </c>
      <c r="E43" s="339" t="str">
        <f>IFERROR(IF(OR(D43='DICTIONARY-5'!$A$2,D43='DICTIONARY-5'!$A$4,ISBLANK(D43)),VLOOKUP(C43,LIST!$A$6:$L$3250,CURR_1.SEARCH.OLD,0),VLOOKUP(D43,LIST!$B$6:$L$3250,CURR_1.SEARCH.NEW,0)),'DICTIONARY-5'!$A$2)</f>
        <v>na zapytanie</v>
      </c>
      <c r="F43" s="339" t="str">
        <f>IFERROR(IF(OR(D43='DICTIONARY-5'!$A$2,D43='DICTIONARY-5'!$A$4,ISBLANK(D43)),VLOOKUP(C43,LIST!$A$6:$M$3250,CURR_2.SEARCH.OLD,0),VLOOKUP(D43,LIST!$B$6:$M$3250,CURR_2.SEARCH.NEW,0)),'DICTIONARY-5'!$A$2)</f>
        <v/>
      </c>
    </row>
    <row r="45" spans="1:6" x14ac:dyDescent="0.25">
      <c r="A45" s="218"/>
    </row>
    <row r="48" spans="1:6" x14ac:dyDescent="0.25">
      <c r="F48" s="366"/>
    </row>
  </sheetData>
  <sheetProtection algorithmName="SHA-512" hashValue="ER2siHXmFr/MxJCEY2qobKW2Pxu0eLY3rSSTjjo4J692F5FkyMpF3E9SL2XQQbRqjbZsXn1gl+Mhyaf5AUFnFg==" saltValue="m7uLHisZZbPbqe3y/q2OrQ==" spinCount="100000" sheet="1" objects="1" scenarios="1" autoFilter="0"/>
  <mergeCells count="11">
    <mergeCell ref="B4:E4"/>
    <mergeCell ref="C25:F25"/>
    <mergeCell ref="C26:F26"/>
    <mergeCell ref="A10:A11"/>
    <mergeCell ref="A25:A26"/>
    <mergeCell ref="A40:A41"/>
    <mergeCell ref="C40:F40"/>
    <mergeCell ref="C41:F41"/>
    <mergeCell ref="B40:B41"/>
    <mergeCell ref="C10:F10"/>
    <mergeCell ref="C11:F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66">
    <tabColor rgb="FF0F6E23"/>
  </sheetPr>
  <dimension ref="A1:K36"/>
  <sheetViews>
    <sheetView workbookViewId="0"/>
  </sheetViews>
  <sheetFormatPr defaultColWidth="9.140625" defaultRowHeight="15" x14ac:dyDescent="0.25"/>
  <cols>
    <col min="1" max="3" width="9.140625" style="200"/>
    <col min="4" max="5" width="22.140625" style="200" customWidth="1"/>
    <col min="6" max="7" width="12.85546875" style="201" customWidth="1"/>
    <col min="8" max="9" width="22.140625" style="200" customWidth="1"/>
    <col min="10" max="11" width="12.85546875" style="201" customWidth="1"/>
    <col min="12" max="16384" width="9.140625" style="195"/>
  </cols>
  <sheetData>
    <row r="1" spans="1:11" s="401" customFormat="1" ht="45" customHeight="1" thickBot="1" x14ac:dyDescent="0.3">
      <c r="A1" s="428"/>
      <c r="B1" s="428"/>
      <c r="C1" s="428"/>
      <c r="D1" s="402"/>
      <c r="E1" s="402"/>
      <c r="F1" s="403"/>
      <c r="G1" s="403"/>
      <c r="H1" s="402"/>
      <c r="I1" s="402"/>
      <c r="J1" s="403"/>
      <c r="K1" s="403"/>
    </row>
    <row r="2" spans="1:11" s="458" customFormat="1" ht="4.5" customHeight="1" x14ac:dyDescent="0.25">
      <c r="A2" s="457"/>
      <c r="B2" s="459"/>
      <c r="C2" s="459"/>
      <c r="D2" s="459"/>
      <c r="E2" s="459"/>
      <c r="F2" s="460"/>
      <c r="G2" s="460"/>
      <c r="H2" s="459"/>
      <c r="I2" s="459"/>
      <c r="J2" s="460"/>
      <c r="K2" s="460"/>
    </row>
    <row r="3" spans="1:11" ht="15.75" thickBot="1" x14ac:dyDescent="0.3">
      <c r="A3" s="196"/>
      <c r="B3" s="197"/>
      <c r="C3" s="197"/>
    </row>
    <row r="4" spans="1:11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11" x14ac:dyDescent="0.25">
      <c r="A5" s="196"/>
      <c r="B5" s="197"/>
      <c r="C5" s="197"/>
    </row>
    <row r="6" spans="1:11" ht="16.5" thickBot="1" x14ac:dyDescent="0.3">
      <c r="A6" s="712" t="str">
        <f>CONCATENATE('DICTIONARY-3'!$A$116," ",'DICTIONARY-3'!$A$209,)</f>
        <v>PICO H Zawór regulacyjny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98" t="str">
        <f>'DICTIONARY-5'!$A$154</f>
        <v>Z uniwersalnym cylindrem szczelinowym SZ40 do regulacji bez kawitacji</v>
      </c>
    </row>
    <row r="8" spans="1:11" x14ac:dyDescent="0.25">
      <c r="A8" s="198" t="str">
        <f>CONCATENATE('DICTIONARY-1'!$A$10,": ",SETTINGS!$C$60)</f>
        <v>Grupa rabatowa: PICO-H</v>
      </c>
    </row>
    <row r="9" spans="1:11" x14ac:dyDescent="0.25">
      <c r="A9" s="202"/>
    </row>
    <row r="10" spans="1:11" ht="15" customHeight="1" x14ac:dyDescent="0.25">
      <c r="A10" s="203" t="str">
        <f>'DICTIONARY-2'!$A$2</f>
        <v>DN</v>
      </c>
      <c r="B10" s="203" t="str">
        <f>'DICTIONARY-2'!$A$3</f>
        <v>PN</v>
      </c>
      <c r="C10" s="203" t="str">
        <f>'DICTIONARY-2'!$A$24</f>
        <v>L</v>
      </c>
      <c r="D10" s="1024" t="str">
        <f>'DICTIONARY-3'!$A$116&amp;", "&amp;LOWER('DICTIONARY-2'!$A$36)&amp;" 02"</f>
        <v>PICO H, typ 02</v>
      </c>
      <c r="E10" s="1024"/>
      <c r="F10" s="1024"/>
      <c r="G10" s="1024"/>
      <c r="H10" s="1024" t="str">
        <f>'DICTIONARY-3'!$A$116&amp;", "&amp;LOWER('DICTIONARY-2'!$A$36)&amp;" 03"</f>
        <v>PICO H, typ 03</v>
      </c>
      <c r="I10" s="1024"/>
      <c r="J10" s="1024"/>
      <c r="K10" s="1024"/>
    </row>
    <row r="11" spans="1:11" x14ac:dyDescent="0.25">
      <c r="A11" s="204"/>
      <c r="B11" s="204"/>
      <c r="C11" s="204"/>
      <c r="D11" s="1025" t="str">
        <f>'DICTIONARY-5'!$A$155&amp;" (2-12 bar)"</f>
        <v>do redukcji ciśnienia wylotowego (2-12 bar)</v>
      </c>
      <c r="E11" s="1025"/>
      <c r="F11" s="1025"/>
      <c r="G11" s="1025"/>
      <c r="H11" s="1025" t="str">
        <f>'DICTIONARY-5'!$A$156&amp;" (3-21 bar)"</f>
        <v>do utrzymania stałego ciśnienia (3-21 bar)</v>
      </c>
      <c r="I11" s="1025"/>
      <c r="J11" s="1025"/>
      <c r="K11" s="1025"/>
    </row>
    <row r="12" spans="1:11" x14ac:dyDescent="0.25">
      <c r="A12" s="211"/>
      <c r="B12" s="211"/>
      <c r="C12" s="211" t="str">
        <f>'DICTIONARY-2'!$A$18</f>
        <v>[mm]</v>
      </c>
      <c r="D12" s="219" t="str">
        <f>'DICTIONARY-2'!$A$28</f>
        <v>stary nr zamówienia</v>
      </c>
      <c r="E12" s="219" t="str">
        <f>'DICTIONARY-2'!$A$29</f>
        <v>nowy nr zamówienia</v>
      </c>
      <c r="F12" s="206" t="str">
        <f>CURRENCY.CODE_1</f>
        <v>EUR</v>
      </c>
      <c r="G12" s="206" t="str">
        <f>CURRENCY.CODE_2</f>
        <v>---</v>
      </c>
      <c r="H12" s="219" t="str">
        <f>'DICTIONARY-2'!$A$28</f>
        <v>stary nr zamówienia</v>
      </c>
      <c r="I12" s="219" t="str">
        <f>'DICTIONARY-2'!$A$29</f>
        <v>nowy nr zamówienia</v>
      </c>
      <c r="J12" s="206" t="str">
        <f>CURRENCY.CODE_1</f>
        <v>EUR</v>
      </c>
      <c r="K12" s="206" t="str">
        <f>CURRENCY.CODE_2</f>
        <v>---</v>
      </c>
    </row>
    <row r="13" spans="1:11" x14ac:dyDescent="0.25">
      <c r="A13" s="207">
        <v>50</v>
      </c>
      <c r="B13" s="207" t="s">
        <v>85</v>
      </c>
      <c r="C13" s="207">
        <v>230</v>
      </c>
      <c r="D13" s="207" t="s">
        <v>1921</v>
      </c>
      <c r="E13" s="313" t="s">
        <v>3528</v>
      </c>
      <c r="F13" s="339" t="str">
        <f>IFERROR(IF(OR(E13='DICTIONARY-5'!$A$2,E13='DICTIONARY-5'!$A$4,ISBLANK(E13)),VLOOKUP(D13,LIST!$A$6:$L$3250,CURR_1.SEARCH.OLD,0),VLOOKUP(E13,LIST!$B$6:$L$3250,CURR_1.SEARCH.NEW,0)),'DICTIONARY-5'!$A$2)</f>
        <v>2 310,-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207" t="s">
        <v>1922</v>
      </c>
      <c r="I13" s="313" t="s">
        <v>3546</v>
      </c>
      <c r="J13" s="339" t="str">
        <f>IFERROR(IF(OR(I13='DICTIONARY-5'!$A$2,I13='DICTIONARY-5'!$A$4,ISBLANK(I13)),VLOOKUP(H13,LIST!$A$6:$L$3250,CURR_1.SEARCH.OLD,0),VLOOKUP(I13,LIST!$B$6:$L$3250,CURR_1.SEARCH.NEW,0)),'DICTIONARY-5'!$A$2)</f>
        <v>2 996,-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207">
        <v>65</v>
      </c>
      <c r="B14" s="207" t="s">
        <v>85</v>
      </c>
      <c r="C14" s="207">
        <v>290</v>
      </c>
      <c r="D14" s="207" t="s">
        <v>1923</v>
      </c>
      <c r="E14" s="313" t="s">
        <v>3530</v>
      </c>
      <c r="F14" s="339" t="str">
        <f>IFERROR(IF(OR(E14='DICTIONARY-5'!$A$2,E14='DICTIONARY-5'!$A$4,ISBLANK(E14)),VLOOKUP(D14,LIST!$A$6:$L$3250,CURR_1.SEARCH.OLD,0),VLOOKUP(E14,LIST!$B$6:$L$3250,CURR_1.SEARCH.NEW,0)),'DICTIONARY-5'!$A$2)</f>
        <v>2 554,-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207" t="s">
        <v>1924</v>
      </c>
      <c r="I14" s="313" t="s">
        <v>3547</v>
      </c>
      <c r="J14" s="339" t="str">
        <f>IFERROR(IF(OR(I14='DICTIONARY-5'!$A$2,I14='DICTIONARY-5'!$A$4,ISBLANK(I14)),VLOOKUP(H14,LIST!$A$6:$L$3250,CURR_1.SEARCH.OLD,0),VLOOKUP(I14,LIST!$B$6:$L$3250,CURR_1.SEARCH.NEW,0)),'DICTIONARY-5'!$A$2)</f>
        <v>3 241,-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207">
        <v>80</v>
      </c>
      <c r="B15" s="207" t="s">
        <v>85</v>
      </c>
      <c r="C15" s="207">
        <v>310</v>
      </c>
      <c r="D15" s="207" t="s">
        <v>1925</v>
      </c>
      <c r="E15" s="313" t="s">
        <v>3532</v>
      </c>
      <c r="F15" s="339" t="str">
        <f>IFERROR(IF(OR(E15='DICTIONARY-5'!$A$2,E15='DICTIONARY-5'!$A$4,ISBLANK(E15)),VLOOKUP(D15,LIST!$A$6:$L$3250,CURR_1.SEARCH.OLD,0),VLOOKUP(E15,LIST!$B$6:$L$3250,CURR_1.SEARCH.NEW,0)),'DICTIONARY-5'!$A$2)</f>
        <v>2 567,-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207" t="s">
        <v>1926</v>
      </c>
      <c r="I15" s="313" t="s">
        <v>3548</v>
      </c>
      <c r="J15" s="339" t="str">
        <f>IFERROR(IF(OR(I15='DICTIONARY-5'!$A$2,I15='DICTIONARY-5'!$A$4,ISBLANK(I15)),VLOOKUP(H15,LIST!$A$6:$L$3250,CURR_1.SEARCH.OLD,0),VLOOKUP(I15,LIST!$B$6:$L$3250,CURR_1.SEARCH.NEW,0)),'DICTIONARY-5'!$A$2)</f>
        <v>3 254,-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207">
        <v>100</v>
      </c>
      <c r="B16" s="207" t="s">
        <v>85</v>
      </c>
      <c r="C16" s="207">
        <v>350</v>
      </c>
      <c r="D16" s="207" t="s">
        <v>1927</v>
      </c>
      <c r="E16" s="313" t="s">
        <v>3534</v>
      </c>
      <c r="F16" s="339" t="str">
        <f>IFERROR(IF(OR(E16='DICTIONARY-5'!$A$2,E16='DICTIONARY-5'!$A$4,ISBLANK(E16)),VLOOKUP(D16,LIST!$A$6:$L$3250,CURR_1.SEARCH.OLD,0),VLOOKUP(E16,LIST!$B$6:$L$3250,CURR_1.SEARCH.NEW,0)),'DICTIONARY-5'!$A$2)</f>
        <v>2 647,-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207" t="s">
        <v>1928</v>
      </c>
      <c r="I16" s="313" t="s">
        <v>3549</v>
      </c>
      <c r="J16" s="339" t="str">
        <f>IFERROR(IF(OR(I16='DICTIONARY-5'!$A$2,I16='DICTIONARY-5'!$A$4,ISBLANK(I16)),VLOOKUP(H16,LIST!$A$6:$L$3250,CURR_1.SEARCH.OLD,0),VLOOKUP(I16,LIST!$B$6:$L$3250,CURR_1.SEARCH.NEW,0)),'DICTIONARY-5'!$A$2)</f>
        <v>3 334,-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207">
        <v>125</v>
      </c>
      <c r="B17" s="207" t="s">
        <v>85</v>
      </c>
      <c r="C17" s="207">
        <v>400</v>
      </c>
      <c r="D17" s="207" t="s">
        <v>1929</v>
      </c>
      <c r="E17" s="313" t="s">
        <v>3536</v>
      </c>
      <c r="F17" s="339" t="str">
        <f>IFERROR(IF(OR(E17='DICTIONARY-5'!$A$2,E17='DICTIONARY-5'!$A$4,ISBLANK(E17)),VLOOKUP(D17,LIST!$A$6:$L$3250,CURR_1.SEARCH.OLD,0),VLOOKUP(E17,LIST!$B$6:$L$3250,CURR_1.SEARCH.NEW,0)),'DICTIONARY-5'!$A$2)</f>
        <v>2 795,-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207" t="s">
        <v>1930</v>
      </c>
      <c r="I17" s="313" t="s">
        <v>3550</v>
      </c>
      <c r="J17" s="339" t="str">
        <f>IFERROR(IF(OR(I17='DICTIONARY-5'!$A$2,I17='DICTIONARY-5'!$A$4,ISBLANK(I17)),VLOOKUP(H17,LIST!$A$6:$L$3250,CURR_1.SEARCH.OLD,0),VLOOKUP(I17,LIST!$B$6:$L$3250,CURR_1.SEARCH.NEW,0)),'DICTIONARY-5'!$A$2)</f>
        <v>3 481,-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207">
        <v>150</v>
      </c>
      <c r="B18" s="207" t="s">
        <v>85</v>
      </c>
      <c r="C18" s="207">
        <v>480</v>
      </c>
      <c r="D18" s="207" t="s">
        <v>1931</v>
      </c>
      <c r="E18" s="313" t="s">
        <v>3538</v>
      </c>
      <c r="F18" s="339" t="str">
        <f>IFERROR(IF(OR(E18='DICTIONARY-5'!$A$2,E18='DICTIONARY-5'!$A$4,ISBLANK(E18)),VLOOKUP(D18,LIST!$A$6:$L$3250,CURR_1.SEARCH.OLD,0),VLOOKUP(E18,LIST!$B$6:$L$3250,CURR_1.SEARCH.NEW,0)),'DICTIONARY-5'!$A$2)</f>
        <v>3 471,-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207" t="s">
        <v>1932</v>
      </c>
      <c r="I18" s="313" t="s">
        <v>3551</v>
      </c>
      <c r="J18" s="339" t="str">
        <f>IFERROR(IF(OR(I18='DICTIONARY-5'!$A$2,I18='DICTIONARY-5'!$A$4,ISBLANK(I18)),VLOOKUP(H18,LIST!$A$6:$L$3250,CURR_1.SEARCH.OLD,0),VLOOKUP(I18,LIST!$B$6:$L$3250,CURR_1.SEARCH.NEW,0)),'DICTIONARY-5'!$A$2)</f>
        <v>4 158,-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207">
        <v>200</v>
      </c>
      <c r="B19" s="207">
        <v>10</v>
      </c>
      <c r="C19" s="207">
        <v>600</v>
      </c>
      <c r="D19" s="207" t="s">
        <v>1933</v>
      </c>
      <c r="E19" s="313" t="s">
        <v>3519</v>
      </c>
      <c r="F19" s="339" t="str">
        <f>IFERROR(IF(OR(E19='DICTIONARY-5'!$A$2,E19='DICTIONARY-5'!$A$4,ISBLANK(E19)),VLOOKUP(D19,LIST!$A$6:$L$3250,CURR_1.SEARCH.OLD,0),VLOOKUP(E19,LIST!$B$6:$L$3250,CURR_1.SEARCH.NEW,0)),'DICTIONARY-5'!$A$2)</f>
        <v>4 924,-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207" t="s">
        <v>1934</v>
      </c>
      <c r="I19" s="313" t="s">
        <v>3525</v>
      </c>
      <c r="J19" s="339" t="str">
        <f>IFERROR(IF(OR(I19='DICTIONARY-5'!$A$2,I19='DICTIONARY-5'!$A$4,ISBLANK(I19)),VLOOKUP(H19,LIST!$A$6:$L$3250,CURR_1.SEARCH.OLD,0),VLOOKUP(I19,LIST!$B$6:$L$3250,CURR_1.SEARCH.NEW,0)),'DICTIONARY-5'!$A$2)</f>
        <v>5 611,-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207">
        <v>200</v>
      </c>
      <c r="B20" s="207">
        <v>16</v>
      </c>
      <c r="C20" s="207">
        <v>600</v>
      </c>
      <c r="D20" s="207" t="s">
        <v>1935</v>
      </c>
      <c r="E20" s="313" t="s">
        <v>3540</v>
      </c>
      <c r="F20" s="339" t="str">
        <f>IFERROR(IF(OR(E20='DICTIONARY-5'!$A$2,E20='DICTIONARY-5'!$A$4,ISBLANK(E20)),VLOOKUP(D20,LIST!$A$6:$L$3250,CURR_1.SEARCH.OLD,0),VLOOKUP(E20,LIST!$B$6:$L$3250,CURR_1.SEARCH.NEW,0)),'DICTIONARY-5'!$A$2)</f>
        <v>4 921,-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207" t="s">
        <v>1936</v>
      </c>
      <c r="I20" s="313" t="s">
        <v>3552</v>
      </c>
      <c r="J20" s="339" t="str">
        <f>IFERROR(IF(OR(I20='DICTIONARY-5'!$A$2,I20='DICTIONARY-5'!$A$4,ISBLANK(I20)),VLOOKUP(H20,LIST!$A$6:$L$3250,CURR_1.SEARCH.OLD,0),VLOOKUP(I20,LIST!$B$6:$L$3250,CURR_1.SEARCH.NEW,0)),'DICTIONARY-5'!$A$2)</f>
        <v>5 609,-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A21" s="207">
        <v>250</v>
      </c>
      <c r="B21" s="207">
        <v>10</v>
      </c>
      <c r="C21" s="207">
        <v>730</v>
      </c>
      <c r="D21" s="207" t="s">
        <v>1937</v>
      </c>
      <c r="E21" s="313" t="s">
        <v>3521</v>
      </c>
      <c r="F21" s="339" t="str">
        <f>IFERROR(IF(OR(E21='DICTIONARY-5'!$A$2,E21='DICTIONARY-5'!$A$4,ISBLANK(E21)),VLOOKUP(D21,LIST!$A$6:$L$3250,CURR_1.SEARCH.OLD,0),VLOOKUP(E21,LIST!$B$6:$L$3250,CURR_1.SEARCH.NEW,0)),'DICTIONARY-5'!$A$2)</f>
        <v>6 266,-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207" t="s">
        <v>1938</v>
      </c>
      <c r="I21" s="313" t="s">
        <v>3526</v>
      </c>
      <c r="J21" s="339" t="str">
        <f>IFERROR(IF(OR(I21='DICTIONARY-5'!$A$2,I21='DICTIONARY-5'!$A$4,ISBLANK(I21)),VLOOKUP(H21,LIST!$A$6:$L$3250,CURR_1.SEARCH.OLD,0),VLOOKUP(I21,LIST!$B$6:$L$3250,CURR_1.SEARCH.NEW,0)),'DICTIONARY-5'!$A$2)</f>
        <v>6 953,-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2" spans="1:11" x14ac:dyDescent="0.25">
      <c r="A22" s="207">
        <v>250</v>
      </c>
      <c r="B22" s="207">
        <v>16</v>
      </c>
      <c r="C22" s="207">
        <v>730</v>
      </c>
      <c r="D22" s="207" t="s">
        <v>1939</v>
      </c>
      <c r="E22" s="313" t="s">
        <v>3542</v>
      </c>
      <c r="F22" s="339" t="str">
        <f>IFERROR(IF(OR(E22='DICTIONARY-5'!$A$2,E22='DICTIONARY-5'!$A$4,ISBLANK(E22)),VLOOKUP(D22,LIST!$A$6:$L$3250,CURR_1.SEARCH.OLD,0),VLOOKUP(E22,LIST!$B$6:$L$3250,CURR_1.SEARCH.NEW,0)),'DICTIONARY-5'!$A$2)</f>
        <v>6 262,-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207" t="s">
        <v>1940</v>
      </c>
      <c r="I22" s="313" t="s">
        <v>3553</v>
      </c>
      <c r="J22" s="339" t="str">
        <f>IFERROR(IF(OR(I22='DICTIONARY-5'!$A$2,I22='DICTIONARY-5'!$A$4,ISBLANK(I22)),VLOOKUP(H22,LIST!$A$6:$L$3250,CURR_1.SEARCH.OLD,0),VLOOKUP(I22,LIST!$B$6:$L$3250,CURR_1.SEARCH.NEW,0)),'DICTIONARY-5'!$A$2)</f>
        <v>6 949,-</v>
      </c>
      <c r="K22" s="339" t="str">
        <f>IFERROR(IF(OR(I22='DICTIONARY-5'!$A$2,I22='DICTIONARY-5'!$A$4,ISBLANK(I22)),VLOOKUP(H22,LIST!$A$6:$M$3250,CURR_2.SEARCH.OLD,0),VLOOKUP(I22,LIST!$B$6:$M$3250,CURR_2.SEARCH.NEW,0)),'DICTIONARY-5'!$A$2)</f>
        <v/>
      </c>
    </row>
    <row r="23" spans="1:11" x14ac:dyDescent="0.25">
      <c r="A23" s="207">
        <v>300</v>
      </c>
      <c r="B23" s="207">
        <v>10</v>
      </c>
      <c r="C23" s="207">
        <v>710</v>
      </c>
      <c r="D23" s="207" t="s">
        <v>1941</v>
      </c>
      <c r="E23" s="313" t="s">
        <v>3523</v>
      </c>
      <c r="F23" s="339" t="str">
        <f>IFERROR(IF(OR(E23='DICTIONARY-5'!$A$2,E23='DICTIONARY-5'!$A$4,ISBLANK(E23)),VLOOKUP(D23,LIST!$A$6:$L$3250,CURR_1.SEARCH.OLD,0),VLOOKUP(E23,LIST!$B$6:$L$3250,CURR_1.SEARCH.NEW,0)),'DICTIONARY-5'!$A$2)</f>
        <v>6 319,-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H23" s="207" t="s">
        <v>1942</v>
      </c>
      <c r="I23" s="313" t="s">
        <v>3527</v>
      </c>
      <c r="J23" s="339" t="str">
        <f>IFERROR(IF(OR(I23='DICTIONARY-5'!$A$2,I23='DICTIONARY-5'!$A$4,ISBLANK(I23)),VLOOKUP(H23,LIST!$A$6:$L$3250,CURR_1.SEARCH.OLD,0),VLOOKUP(I23,LIST!$B$6:$L$3250,CURR_1.SEARCH.NEW,0)),'DICTIONARY-5'!$A$2)</f>
        <v>7 006,-</v>
      </c>
      <c r="K23" s="339" t="str">
        <f>IFERROR(IF(OR(I23='DICTIONARY-5'!$A$2,I23='DICTIONARY-5'!$A$4,ISBLANK(I23)),VLOOKUP(H23,LIST!$A$6:$M$3250,CURR_2.SEARCH.OLD,0),VLOOKUP(I23,LIST!$B$6:$M$3250,CURR_2.SEARCH.NEW,0)),'DICTIONARY-5'!$A$2)</f>
        <v/>
      </c>
    </row>
    <row r="24" spans="1:11" x14ac:dyDescent="0.25">
      <c r="A24" s="207">
        <v>300</v>
      </c>
      <c r="B24" s="207">
        <v>16</v>
      </c>
      <c r="C24" s="207">
        <v>710</v>
      </c>
      <c r="D24" s="207" t="s">
        <v>1943</v>
      </c>
      <c r="E24" s="313" t="s">
        <v>3544</v>
      </c>
      <c r="F24" s="339" t="str">
        <f>IFERROR(IF(OR(E24='DICTIONARY-5'!$A$2,E24='DICTIONARY-5'!$A$4,ISBLANK(E24)),VLOOKUP(D24,LIST!$A$6:$L$3250,CURR_1.SEARCH.OLD,0),VLOOKUP(E24,LIST!$B$6:$L$3250,CURR_1.SEARCH.NEW,0)),'DICTIONARY-5'!$A$2)</f>
        <v>6 319,-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H24" s="207" t="s">
        <v>1944</v>
      </c>
      <c r="I24" s="313" t="s">
        <v>3554</v>
      </c>
      <c r="J24" s="339" t="str">
        <f>IFERROR(IF(OR(I24='DICTIONARY-5'!$A$2,I24='DICTIONARY-5'!$A$4,ISBLANK(I24)),VLOOKUP(H24,LIST!$A$6:$L$3250,CURR_1.SEARCH.OLD,0),VLOOKUP(I24,LIST!$B$6:$L$3250,CURR_1.SEARCH.NEW,0)),'DICTIONARY-5'!$A$2)</f>
        <v>7 004,-</v>
      </c>
      <c r="K24" s="339" t="str">
        <f>IFERROR(IF(OR(I24='DICTIONARY-5'!$A$2,I24='DICTIONARY-5'!$A$4,ISBLANK(I24)),VLOOKUP(H24,LIST!$A$6:$M$3250,CURR_2.SEARCH.OLD,0),VLOOKUP(I24,LIST!$B$6:$M$3250,CURR_2.SEARCH.NEW,0)),'DICTIONARY-5'!$A$2)</f>
        <v/>
      </c>
    </row>
    <row r="26" spans="1:11" x14ac:dyDescent="0.25">
      <c r="A26" s="218" t="str">
        <f>'DICTIONARY-5'!$A$157</f>
        <v xml:space="preserve">Każdy zawór należy skonfigurować indywidualnie, dlatego ceny mają jedynie charakter orientacyjny </v>
      </c>
    </row>
    <row r="27" spans="1:11" x14ac:dyDescent="0.25">
      <c r="A27" s="218" t="str">
        <f>'DICTIONARY-5'!$A$3&amp;LOWER('DICTIONARY-2'!$A$36)&amp;" 02 DN 350 ... 600"</f>
        <v>Na zapytanie: typ 02 DN 350 ... 600</v>
      </c>
    </row>
    <row r="28" spans="1:11" x14ac:dyDescent="0.25">
      <c r="A28" s="218" t="str">
        <f>'DICTIONARY-5'!$A$3&amp;LOWER('DICTIONARY-2'!$A$36)&amp;" 03 DN 350 ... 600"</f>
        <v>Na zapytanie: typ 03 DN 350 ... 600</v>
      </c>
    </row>
    <row r="29" spans="1:11" x14ac:dyDescent="0.25">
      <c r="A29" s="218" t="str">
        <f>'DICTIONARY-5'!$A$3&amp;LOWER('DICTIONARY-2'!$A$36)&amp;" 04 "&amp;'DICTIONARY-5'!$A$158</f>
        <v>Na zapytanie: typ 04 do utrzymania poziomu wody za pomocą jednego / dwóch pływaków</v>
      </c>
    </row>
    <row r="30" spans="1:11" x14ac:dyDescent="0.25">
      <c r="A30" s="218" t="str">
        <f>'DICTIONARY-5'!$A$3&amp;LOWER('DICTIONARY-2'!$A$36)&amp;" 05 "&amp;'DICTIONARY-5'!$A$159</f>
        <v>Na zapytanie: typ 05 do regulacji poziomu wody przy pomocy ciśnienia słupa wody</v>
      </c>
    </row>
    <row r="34" spans="1:1" x14ac:dyDescent="0.25">
      <c r="A34" s="218"/>
    </row>
    <row r="35" spans="1:1" x14ac:dyDescent="0.25">
      <c r="A35" s="218"/>
    </row>
    <row r="36" spans="1:1" x14ac:dyDescent="0.25">
      <c r="A36" s="218"/>
    </row>
  </sheetData>
  <sheetProtection algorithmName="SHA-512" hashValue="MFpRsEvC3ZJ1P8KmCdfjYvojChnYXPJLvVLdIuW/L2zhrN/skCBXj2n8buXyDdqMIFQ+fakhe04P1n8GhNrG2g==" saltValue="/2VbcORDw599JTA0UoL1SQ==" spinCount="100000" sheet="1" objects="1" scenarios="1" autoFilter="0"/>
  <mergeCells count="5">
    <mergeCell ref="B4:E4"/>
    <mergeCell ref="D10:G10"/>
    <mergeCell ref="H10:K10"/>
    <mergeCell ref="D11:G11"/>
    <mergeCell ref="H11:K11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2">
    <tabColor theme="1"/>
  </sheetPr>
  <dimension ref="A1:S19"/>
  <sheetViews>
    <sheetView workbookViewId="0"/>
  </sheetViews>
  <sheetFormatPr defaultColWidth="9.140625" defaultRowHeight="15" x14ac:dyDescent="0.25"/>
  <cols>
    <col min="1" max="1" width="15.42578125" style="2" bestFit="1" customWidth="1"/>
    <col min="2" max="2" width="3" style="489" customWidth="1"/>
    <col min="3" max="3" width="2.85546875" style="2" customWidth="1"/>
    <col min="4" max="4" width="18.7109375" style="2" customWidth="1"/>
    <col min="5" max="6" width="5.7109375" style="489" customWidth="1"/>
    <col min="7" max="7" width="2.85546875" style="2" customWidth="1"/>
    <col min="8" max="8" width="14.140625" style="2" customWidth="1"/>
    <col min="9" max="10" width="4.28515625" style="489" customWidth="1"/>
    <col min="11" max="11" width="21" style="489" bestFit="1" customWidth="1"/>
    <col min="12" max="12" width="7.5703125" style="489" bestFit="1" customWidth="1"/>
    <col min="13" max="13" width="7.5703125" style="489" customWidth="1"/>
    <col min="14" max="14" width="4.28515625" style="2" customWidth="1"/>
    <col min="15" max="15" width="23.28515625" style="2" bestFit="1" customWidth="1"/>
    <col min="16" max="16384" width="9.140625" style="2"/>
  </cols>
  <sheetData>
    <row r="1" spans="1:19" ht="16.5" thickBot="1" x14ac:dyDescent="0.3">
      <c r="A1" s="587" t="s">
        <v>5878</v>
      </c>
      <c r="B1" s="588">
        <v>4</v>
      </c>
      <c r="C1" s="589"/>
      <c r="D1" s="587" t="s">
        <v>5901</v>
      </c>
      <c r="E1" s="590">
        <f>E2-1</f>
        <v>0</v>
      </c>
      <c r="F1" s="591">
        <f>F2-1</f>
        <v>0</v>
      </c>
      <c r="H1" s="587" t="s">
        <v>7375</v>
      </c>
      <c r="I1" s="588">
        <v>1</v>
      </c>
      <c r="J1" s="2"/>
      <c r="K1" s="658" t="s">
        <v>7940</v>
      </c>
      <c r="L1" s="784" t="s">
        <v>7945</v>
      </c>
      <c r="M1" s="659" t="s">
        <v>7946</v>
      </c>
      <c r="O1" s="81" t="s">
        <v>5553</v>
      </c>
      <c r="S1" s="512"/>
    </row>
    <row r="2" spans="1:19" x14ac:dyDescent="0.25">
      <c r="A2" s="592" t="s">
        <v>5876</v>
      </c>
      <c r="B2" s="593">
        <v>1</v>
      </c>
      <c r="C2" s="589"/>
      <c r="D2" s="594" t="s">
        <v>5898</v>
      </c>
      <c r="E2" s="595">
        <v>1</v>
      </c>
      <c r="F2" s="593">
        <v>1</v>
      </c>
      <c r="H2" s="592" t="str">
        <f>CONCATENATE(SETTINGS!$G$7,":",SETTINGS!$G$8)</f>
        <v>EUR:---</v>
      </c>
      <c r="I2" s="593">
        <v>1</v>
      </c>
      <c r="K2" s="780" t="s">
        <v>7941</v>
      </c>
      <c r="L2" s="489">
        <v>12</v>
      </c>
      <c r="M2" s="786">
        <f>L2-1</f>
        <v>11</v>
      </c>
      <c r="S2" s="512"/>
    </row>
    <row r="3" spans="1:19" ht="15.75" thickBot="1" x14ac:dyDescent="0.3">
      <c r="A3" s="592" t="s">
        <v>7397</v>
      </c>
      <c r="B3" s="593">
        <v>2</v>
      </c>
      <c r="C3" s="589"/>
      <c r="D3" s="594" t="str">
        <f>FIXED(0,1)</f>
        <v>0,0</v>
      </c>
      <c r="E3" s="595"/>
      <c r="F3" s="593"/>
      <c r="H3" s="596" t="str">
        <f>CONCATENATE(SETTINGS!$G$8,":",SETTINGS!$G$7)</f>
        <v>---:EUR</v>
      </c>
      <c r="I3" s="597">
        <v>2</v>
      </c>
      <c r="K3" s="781" t="s">
        <v>7942</v>
      </c>
      <c r="L3" s="785">
        <f>L2+1</f>
        <v>13</v>
      </c>
      <c r="M3" s="782">
        <f>L2</f>
        <v>12</v>
      </c>
      <c r="S3" s="510"/>
    </row>
    <row r="4" spans="1:19" ht="15.75" thickBot="1" x14ac:dyDescent="0.3">
      <c r="A4" s="592" t="s">
        <v>5877</v>
      </c>
      <c r="B4" s="593">
        <v>3</v>
      </c>
      <c r="C4" s="589"/>
      <c r="D4" s="598" t="str">
        <f>FIXED(0,2)</f>
        <v>0,00</v>
      </c>
      <c r="E4" s="599"/>
      <c r="F4" s="597"/>
      <c r="O4" s="3"/>
    </row>
    <row r="5" spans="1:19" ht="15.75" thickBot="1" x14ac:dyDescent="0.3">
      <c r="A5" s="596" t="s">
        <v>7378</v>
      </c>
      <c r="B5" s="597">
        <v>4</v>
      </c>
      <c r="C5" s="589"/>
      <c r="D5" s="589"/>
      <c r="E5" s="600"/>
      <c r="F5" s="600"/>
      <c r="K5" s="783" t="s">
        <v>7943</v>
      </c>
      <c r="L5" s="783" t="s">
        <v>7947</v>
      </c>
      <c r="O5" s="4"/>
    </row>
    <row r="6" spans="1:19" x14ac:dyDescent="0.25">
      <c r="A6" s="589" t="s">
        <v>5902</v>
      </c>
      <c r="B6" s="600">
        <v>5</v>
      </c>
      <c r="K6" s="783" t="s">
        <v>7944</v>
      </c>
      <c r="L6" s="783" t="s">
        <v>7948</v>
      </c>
      <c r="O6" s="5"/>
    </row>
    <row r="7" spans="1:19" x14ac:dyDescent="0.25">
      <c r="S7" s="578"/>
    </row>
    <row r="8" spans="1:19" x14ac:dyDescent="0.25">
      <c r="O8" s="2" t="s">
        <v>7094</v>
      </c>
      <c r="S8" s="579"/>
    </row>
    <row r="9" spans="1:19" x14ac:dyDescent="0.25">
      <c r="O9" s="606" t="s">
        <v>7093</v>
      </c>
      <c r="S9" s="579"/>
    </row>
    <row r="10" spans="1:19" x14ac:dyDescent="0.25">
      <c r="O10" s="1"/>
      <c r="S10" s="578"/>
    </row>
    <row r="11" spans="1:19" x14ac:dyDescent="0.25">
      <c r="O11" s="1"/>
      <c r="S11" s="687"/>
    </row>
    <row r="12" spans="1:19" x14ac:dyDescent="0.25">
      <c r="O12" s="1"/>
      <c r="S12" s="579"/>
    </row>
    <row r="19" spans="15:15" x14ac:dyDescent="0.25">
      <c r="O19" s="686"/>
    </row>
  </sheetData>
  <sheetProtection algorithmName="SHA-512" hashValue="/gGOuhMn0ZYjbWCKM6dioI+EvWaQ2WcPwn3PYrG9t8JND6uSEvTO+XyQSKcIYIN1pZourk1gVriuoJtEr/T2Xg==" saltValue="4Z8EgKcmzvQcuUBJ/1Jzng==" spinCount="100000" sheet="1" objects="1" scenarios="1" autoFilter="0"/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67">
    <tabColor rgb="FF0F6E23"/>
  </sheetPr>
  <dimension ref="A1:G29"/>
  <sheetViews>
    <sheetView workbookViewId="0"/>
  </sheetViews>
  <sheetFormatPr defaultColWidth="9.140625" defaultRowHeight="15" x14ac:dyDescent="0.25"/>
  <cols>
    <col min="1" max="3" width="9.140625" style="195"/>
    <col min="4" max="5" width="22.140625" style="195" customWidth="1"/>
    <col min="6" max="7" width="12.85546875" style="195" customWidth="1"/>
    <col min="8" max="16384" width="9.140625" style="195"/>
  </cols>
  <sheetData>
    <row r="1" spans="1:7" s="401" customFormat="1" ht="45" customHeight="1" thickBot="1" x14ac:dyDescent="0.3">
      <c r="A1" s="428"/>
      <c r="B1" s="428"/>
      <c r="C1" s="428"/>
    </row>
    <row r="2" spans="1:7" s="458" customFormat="1" ht="4.5" customHeight="1" x14ac:dyDescent="0.25">
      <c r="A2" s="457"/>
    </row>
    <row r="3" spans="1:7" ht="15.75" thickBot="1" x14ac:dyDescent="0.3">
      <c r="A3" s="196"/>
      <c r="B3" s="197"/>
      <c r="C3" s="197"/>
    </row>
    <row r="4" spans="1:7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7" x14ac:dyDescent="0.25">
      <c r="A5" s="196"/>
      <c r="B5" s="197"/>
      <c r="C5" s="197"/>
    </row>
    <row r="6" spans="1:7" ht="16.5" thickBot="1" x14ac:dyDescent="0.3">
      <c r="A6" s="712" t="str">
        <f>CONCATENATE('DICTIONARY-3'!$A$117," ",'DICTIONARY-3'!$A$209,)</f>
        <v>PICO M Zawór regulacyjny</v>
      </c>
      <c r="B6" s="712"/>
      <c r="C6" s="712"/>
      <c r="D6" s="712"/>
      <c r="E6" s="712"/>
      <c r="F6" s="712"/>
      <c r="G6" s="712"/>
    </row>
    <row r="7" spans="1:7" x14ac:dyDescent="0.25">
      <c r="A7" s="198" t="str">
        <f>'DICTIONARY-5'!$A$154</f>
        <v>Z uniwersalnym cylindrem szczelinowym SZ40 do regulacji bez kawitacji</v>
      </c>
      <c r="B7" s="200"/>
      <c r="C7" s="200"/>
      <c r="D7" s="200"/>
      <c r="E7" s="200"/>
      <c r="F7" s="201"/>
      <c r="G7" s="201"/>
    </row>
    <row r="8" spans="1:7" x14ac:dyDescent="0.25">
      <c r="A8" s="198" t="str">
        <f>CONCATENATE('DICTIONARY-1'!$A$10,": ",SETTINGS!$C$84)</f>
        <v>Grupa rabatowa: PICO-M</v>
      </c>
      <c r="B8" s="200"/>
      <c r="C8" s="200"/>
      <c r="D8" s="200"/>
      <c r="E8" s="200"/>
      <c r="F8" s="201"/>
      <c r="G8" s="201"/>
    </row>
    <row r="9" spans="1:7" x14ac:dyDescent="0.25">
      <c r="A9" s="202"/>
      <c r="B9" s="200"/>
      <c r="C9" s="200"/>
      <c r="D9" s="200"/>
      <c r="E9" s="200"/>
      <c r="F9" s="201"/>
      <c r="G9" s="201"/>
    </row>
    <row r="10" spans="1:7" x14ac:dyDescent="0.25">
      <c r="A10" s="203" t="str">
        <f>'DICTIONARY-2'!$A$2</f>
        <v>DN</v>
      </c>
      <c r="B10" s="203" t="str">
        <f>'DICTIONARY-2'!$A$3</f>
        <v>PN</v>
      </c>
      <c r="C10" s="203" t="str">
        <f>'DICTIONARY-2'!$A$24</f>
        <v>L</v>
      </c>
      <c r="D10" s="1030" t="str">
        <f>'DICTIONARY-3'!$A$117</f>
        <v>PICO M</v>
      </c>
      <c r="E10" s="1030"/>
      <c r="F10" s="1030"/>
      <c r="G10" s="1031"/>
    </row>
    <row r="11" spans="1:7" ht="15" customHeight="1" x14ac:dyDescent="0.25">
      <c r="A11" s="204"/>
      <c r="B11" s="204"/>
      <c r="C11" s="204"/>
      <c r="D11" s="1025" t="str">
        <f>'DICTIONARY-5'!$A$155&amp;" (1,5-12 bar)"</f>
        <v>do redukcji ciśnienia wylotowego (1,5-12 bar)</v>
      </c>
      <c r="E11" s="1025"/>
      <c r="F11" s="1025"/>
      <c r="G11" s="1025"/>
    </row>
    <row r="12" spans="1:7" x14ac:dyDescent="0.25">
      <c r="A12" s="211"/>
      <c r="B12" s="211"/>
      <c r="C12" s="211" t="str">
        <f>'DICTIONARY-2'!$A$18</f>
        <v>[mm]</v>
      </c>
      <c r="D12" s="219" t="str">
        <f>'DICTIONARY-2'!$A$28</f>
        <v>stary nr zamówienia</v>
      </c>
      <c r="E12" s="219" t="str">
        <f>'DICTIONARY-2'!$A$29</f>
        <v>nowy nr zamówienia</v>
      </c>
      <c r="F12" s="206" t="str">
        <f>CURRENCY.CODE_1</f>
        <v>EUR</v>
      </c>
      <c r="G12" s="206" t="str">
        <f>CURRENCY.CODE_2</f>
        <v>---</v>
      </c>
    </row>
    <row r="13" spans="1:7" x14ac:dyDescent="0.25">
      <c r="A13" s="207">
        <v>50</v>
      </c>
      <c r="B13" s="207">
        <v>10</v>
      </c>
      <c r="C13" s="207">
        <v>230</v>
      </c>
      <c r="D13" s="207" t="s">
        <v>1945</v>
      </c>
      <c r="E13" s="313" t="s">
        <v>3529</v>
      </c>
      <c r="F13" s="339" t="str">
        <f>IFERROR(IF(OR(E13='DICTIONARY-5'!$A$2,E13='DICTIONARY-5'!$A$4,ISBLANK(E13)),VLOOKUP(D13,LIST!$A$6:$L$3250,CURR_1.SEARCH.OLD,0),VLOOKUP(E13,LIST!$B$6:$L$3250,CURR_1.SEARCH.NEW,0)),'DICTIONARY-5'!$A$2)</f>
        <v>1 490,-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207">
        <v>65</v>
      </c>
      <c r="B14" s="207">
        <v>10</v>
      </c>
      <c r="C14" s="207">
        <v>290</v>
      </c>
      <c r="D14" s="207" t="s">
        <v>1946</v>
      </c>
      <c r="E14" s="313" t="s">
        <v>3531</v>
      </c>
      <c r="F14" s="339" t="str">
        <f>IFERROR(IF(OR(E14='DICTIONARY-5'!$A$2,E14='DICTIONARY-5'!$A$4,ISBLANK(E14)),VLOOKUP(D14,LIST!$A$6:$L$3250,CURR_1.SEARCH.OLD,0),VLOOKUP(E14,LIST!$B$6:$L$3250,CURR_1.SEARCH.NEW,0)),'DICTIONARY-5'!$A$2)</f>
        <v>1 711,-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207">
        <v>80</v>
      </c>
      <c r="B15" s="207">
        <v>10</v>
      </c>
      <c r="C15" s="207">
        <v>310</v>
      </c>
      <c r="D15" s="207" t="s">
        <v>1947</v>
      </c>
      <c r="E15" s="313" t="s">
        <v>3533</v>
      </c>
      <c r="F15" s="339" t="str">
        <f>IFERROR(IF(OR(E15='DICTIONARY-5'!$A$2,E15='DICTIONARY-5'!$A$4,ISBLANK(E15)),VLOOKUP(D15,LIST!$A$6:$L$3250,CURR_1.SEARCH.OLD,0),VLOOKUP(E15,LIST!$B$6:$L$3250,CURR_1.SEARCH.NEW,0)),'DICTIONARY-5'!$A$2)</f>
        <v>1 708,-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207">
        <v>100</v>
      </c>
      <c r="B16" s="207">
        <v>10</v>
      </c>
      <c r="C16" s="207">
        <v>350</v>
      </c>
      <c r="D16" s="207" t="s">
        <v>1948</v>
      </c>
      <c r="E16" s="313" t="s">
        <v>3535</v>
      </c>
      <c r="F16" s="339" t="str">
        <f>IFERROR(IF(OR(E16='DICTIONARY-5'!$A$2,E16='DICTIONARY-5'!$A$4,ISBLANK(E16)),VLOOKUP(D16,LIST!$A$6:$L$3250,CURR_1.SEARCH.OLD,0),VLOOKUP(E16,LIST!$B$6:$L$3250,CURR_1.SEARCH.NEW,0)),'DICTIONARY-5'!$A$2)</f>
        <v>1 818,-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207">
        <v>125</v>
      </c>
      <c r="B17" s="207">
        <v>10</v>
      </c>
      <c r="C17" s="207">
        <v>400</v>
      </c>
      <c r="D17" s="207" t="s">
        <v>1949</v>
      </c>
      <c r="E17" s="313" t="s">
        <v>3537</v>
      </c>
      <c r="F17" s="339" t="str">
        <f>IFERROR(IF(OR(E17='DICTIONARY-5'!$A$2,E17='DICTIONARY-5'!$A$4,ISBLANK(E17)),VLOOKUP(D17,LIST!$A$6:$L$3250,CURR_1.SEARCH.OLD,0),VLOOKUP(E17,LIST!$B$6:$L$3250,CURR_1.SEARCH.NEW,0)),'DICTIONARY-5'!$A$2)</f>
        <v>1 933,-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207">
        <v>150</v>
      </c>
      <c r="B18" s="207">
        <v>10</v>
      </c>
      <c r="C18" s="207">
        <v>480</v>
      </c>
      <c r="D18" s="207" t="s">
        <v>1950</v>
      </c>
      <c r="E18" s="313" t="s">
        <v>3539</v>
      </c>
      <c r="F18" s="339" t="str">
        <f>IFERROR(IF(OR(E18='DICTIONARY-5'!$A$2,E18='DICTIONARY-5'!$A$4,ISBLANK(E18)),VLOOKUP(D18,LIST!$A$6:$L$3250,CURR_1.SEARCH.OLD,0),VLOOKUP(E18,LIST!$B$6:$L$3250,CURR_1.SEARCH.NEW,0)),'DICTIONARY-5'!$A$2)</f>
        <v>2 608,-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207">
        <v>200</v>
      </c>
      <c r="B19" s="207">
        <v>10</v>
      </c>
      <c r="C19" s="207">
        <v>600</v>
      </c>
      <c r="D19" s="207" t="s">
        <v>1951</v>
      </c>
      <c r="E19" s="313" t="s">
        <v>3520</v>
      </c>
      <c r="F19" s="339" t="str">
        <f>IFERROR(IF(OR(E19='DICTIONARY-5'!$A$2,E19='DICTIONARY-5'!$A$4,ISBLANK(E19)),VLOOKUP(D19,LIST!$A$6:$L$3250,CURR_1.SEARCH.OLD,0),VLOOKUP(E19,LIST!$B$6:$L$3250,CURR_1.SEARCH.NEW,0)),'DICTIONARY-5'!$A$2)</f>
        <v>4 119,-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0" spans="1:7" x14ac:dyDescent="0.25">
      <c r="A20" s="207">
        <v>200</v>
      </c>
      <c r="B20" s="207">
        <v>16</v>
      </c>
      <c r="C20" s="207">
        <v>600</v>
      </c>
      <c r="D20" s="207" t="s">
        <v>1952</v>
      </c>
      <c r="E20" s="313" t="s">
        <v>3541</v>
      </c>
      <c r="F20" s="339" t="str">
        <f>IFERROR(IF(OR(E20='DICTIONARY-5'!$A$2,E20='DICTIONARY-5'!$A$4,ISBLANK(E20)),VLOOKUP(D20,LIST!$A$6:$L$3250,CURR_1.SEARCH.OLD,0),VLOOKUP(E20,LIST!$B$6:$L$3250,CURR_1.SEARCH.NEW,0)),'DICTIONARY-5'!$A$2)</f>
        <v>4 106,-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</row>
    <row r="21" spans="1:7" x14ac:dyDescent="0.25">
      <c r="A21" s="207">
        <v>250</v>
      </c>
      <c r="B21" s="207">
        <v>10</v>
      </c>
      <c r="C21" s="207">
        <v>730</v>
      </c>
      <c r="D21" s="207" t="s">
        <v>1953</v>
      </c>
      <c r="E21" s="313" t="s">
        <v>3522</v>
      </c>
      <c r="F21" s="339" t="str">
        <f>IFERROR(IF(OR(E21='DICTIONARY-5'!$A$2,E21='DICTIONARY-5'!$A$4,ISBLANK(E21)),VLOOKUP(D21,LIST!$A$6:$L$3250,CURR_1.SEARCH.OLD,0),VLOOKUP(E21,LIST!$B$6:$L$3250,CURR_1.SEARCH.NEW,0)),'DICTIONARY-5'!$A$2)</f>
        <v>5 460,-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</row>
    <row r="22" spans="1:7" x14ac:dyDescent="0.25">
      <c r="A22" s="207">
        <v>250</v>
      </c>
      <c r="B22" s="207">
        <v>16</v>
      </c>
      <c r="C22" s="207">
        <v>730</v>
      </c>
      <c r="D22" s="207" t="s">
        <v>1954</v>
      </c>
      <c r="E22" s="313" t="s">
        <v>3543</v>
      </c>
      <c r="F22" s="339" t="str">
        <f>IFERROR(IF(OR(E22='DICTIONARY-5'!$A$2,E22='DICTIONARY-5'!$A$4,ISBLANK(E22)),VLOOKUP(D22,LIST!$A$6:$L$3250,CURR_1.SEARCH.OLD,0),VLOOKUP(E22,LIST!$B$6:$L$3250,CURR_1.SEARCH.NEW,0)),'DICTIONARY-5'!$A$2)</f>
        <v>5 460,-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</row>
    <row r="23" spans="1:7" x14ac:dyDescent="0.25">
      <c r="A23" s="207">
        <v>300</v>
      </c>
      <c r="B23" s="207">
        <v>10</v>
      </c>
      <c r="C23" s="207">
        <v>710</v>
      </c>
      <c r="D23" s="207" t="s">
        <v>1955</v>
      </c>
      <c r="E23" s="313" t="s">
        <v>3524</v>
      </c>
      <c r="F23" s="339" t="str">
        <f>IFERROR(IF(OR(E23='DICTIONARY-5'!$A$2,E23='DICTIONARY-5'!$A$4,ISBLANK(E23)),VLOOKUP(D23,LIST!$A$6:$L$3250,CURR_1.SEARCH.OLD,0),VLOOKUP(E23,LIST!$B$6:$L$3250,CURR_1.SEARCH.NEW,0)),'DICTIONARY-5'!$A$2)</f>
        <v>5 496,-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</row>
    <row r="24" spans="1:7" x14ac:dyDescent="0.25">
      <c r="A24" s="207">
        <v>300</v>
      </c>
      <c r="B24" s="207">
        <v>16</v>
      </c>
      <c r="C24" s="207">
        <v>710</v>
      </c>
      <c r="D24" s="207" t="s">
        <v>1956</v>
      </c>
      <c r="E24" s="313" t="s">
        <v>3545</v>
      </c>
      <c r="F24" s="339" t="str">
        <f>IFERROR(IF(OR(E24='DICTIONARY-5'!$A$2,E24='DICTIONARY-5'!$A$4,ISBLANK(E24)),VLOOKUP(D24,LIST!$A$6:$L$3250,CURR_1.SEARCH.OLD,0),VLOOKUP(E24,LIST!$B$6:$L$3250,CURR_1.SEARCH.NEW,0)),'DICTIONARY-5'!$A$2)</f>
        <v>5 496,-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</row>
    <row r="26" spans="1:7" x14ac:dyDescent="0.25">
      <c r="A26" s="218" t="str">
        <f>'DICTIONARY-5'!$A$157</f>
        <v xml:space="preserve">Każdy zawór należy skonfigurować indywidualnie, dlatego ceny mają jedynie charakter orientacyjny </v>
      </c>
    </row>
    <row r="28" spans="1:7" x14ac:dyDescent="0.25">
      <c r="A28" s="200"/>
      <c r="B28" s="200"/>
      <c r="C28" s="200"/>
      <c r="D28" s="200"/>
      <c r="E28" s="200"/>
      <c r="F28" s="201"/>
      <c r="G28" s="201"/>
    </row>
    <row r="29" spans="1:7" x14ac:dyDescent="0.25">
      <c r="B29" s="200"/>
      <c r="C29" s="200"/>
      <c r="D29" s="200"/>
      <c r="E29" s="200"/>
      <c r="F29" s="201"/>
      <c r="G29" s="201"/>
    </row>
  </sheetData>
  <sheetProtection algorithmName="SHA-512" hashValue="M2F1Jtv5+rAjwIMZXiSngxSXa8ij2ZQXp40lCfU6NmfzA+gkHhMI5h6yGID7E8JgopVQFZjYNW4PvpvbncIUnQ==" saltValue="mlaf0ivbzjM1Bav3+5ADZQ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68">
    <tabColor rgb="FF0F6E23"/>
  </sheetPr>
  <dimension ref="A1:K21"/>
  <sheetViews>
    <sheetView workbookViewId="0"/>
  </sheetViews>
  <sheetFormatPr defaultColWidth="9.140625" defaultRowHeight="15" x14ac:dyDescent="0.25"/>
  <cols>
    <col min="1" max="3" width="9.140625" style="200"/>
    <col min="4" max="5" width="22.140625" style="200" customWidth="1"/>
    <col min="6" max="7" width="12.85546875" style="201" customWidth="1"/>
    <col min="8" max="9" width="22.140625" style="195" customWidth="1"/>
    <col min="10" max="11" width="12.85546875" style="195" customWidth="1"/>
    <col min="12" max="16384" width="9.140625" style="195"/>
  </cols>
  <sheetData>
    <row r="1" spans="1:11" s="401" customFormat="1" ht="45" customHeight="1" thickBot="1" x14ac:dyDescent="0.3">
      <c r="A1" s="428"/>
      <c r="B1" s="428"/>
      <c r="C1" s="428"/>
      <c r="D1" s="402"/>
      <c r="E1" s="402"/>
      <c r="F1" s="403"/>
      <c r="G1" s="403"/>
    </row>
    <row r="2" spans="1:11" s="458" customFormat="1" ht="4.5" customHeight="1" x14ac:dyDescent="0.25">
      <c r="A2" s="457"/>
      <c r="B2" s="459"/>
      <c r="C2" s="459"/>
      <c r="D2" s="459"/>
      <c r="E2" s="459"/>
      <c r="F2" s="460"/>
      <c r="G2" s="460"/>
    </row>
    <row r="3" spans="1:11" ht="15.75" thickBot="1" x14ac:dyDescent="0.3">
      <c r="A3" s="196"/>
      <c r="B3" s="197"/>
      <c r="C3" s="197"/>
    </row>
    <row r="4" spans="1:11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11" x14ac:dyDescent="0.25">
      <c r="A5" s="196"/>
      <c r="B5" s="197"/>
      <c r="C5" s="197"/>
    </row>
    <row r="6" spans="1:11" ht="16.5" thickBot="1" x14ac:dyDescent="0.3">
      <c r="A6" s="712" t="str">
        <f>CONCATENATE('DICTIONARY-3'!$A$118," ",'DICTIONARY-3'!$A$210,)</f>
        <v>DURA Zawór regulacyjny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98" t="str">
        <f>'DICTIONARY-5'!$A$154</f>
        <v>Z uniwersalnym cylindrem szczelinowym SZ40 do regulacji bez kawitacji</v>
      </c>
    </row>
    <row r="8" spans="1:11" x14ac:dyDescent="0.25">
      <c r="A8" s="198" t="str">
        <f>CONCATENATE('DICTIONARY-1'!$A$10,": ",SETTINGS!$C$59)</f>
        <v>Grupa rabatowa: DURA</v>
      </c>
    </row>
    <row r="9" spans="1:11" x14ac:dyDescent="0.25">
      <c r="A9" s="202"/>
    </row>
    <row r="10" spans="1:11" x14ac:dyDescent="0.25">
      <c r="A10" s="203" t="str">
        <f>'DICTIONARY-2'!$A$2</f>
        <v>DN</v>
      </c>
      <c r="B10" s="203" t="str">
        <f>'DICTIONARY-2'!$A$3</f>
        <v>PN</v>
      </c>
      <c r="C10" s="203" t="str">
        <f>'DICTIONARY-2'!$A$24</f>
        <v>L</v>
      </c>
      <c r="D10" s="1030" t="str">
        <f>'DICTIONARY-3'!$A$118</f>
        <v>DURA</v>
      </c>
      <c r="E10" s="1030"/>
      <c r="F10" s="1030"/>
      <c r="G10" s="1031"/>
      <c r="H10" s="1030" t="str">
        <f>'DICTIONARY-3'!$A$118</f>
        <v>DURA</v>
      </c>
      <c r="I10" s="1030"/>
      <c r="J10" s="1030"/>
      <c r="K10" s="1031"/>
    </row>
    <row r="11" spans="1:11" x14ac:dyDescent="0.25">
      <c r="A11" s="204"/>
      <c r="B11" s="204"/>
      <c r="C11" s="204"/>
      <c r="D11" s="1033" t="str">
        <f>LOWER('DICTIONARY-3'!$A$242)</f>
        <v>z kółkiem ręcznym</v>
      </c>
      <c r="E11" s="1033"/>
      <c r="F11" s="1033"/>
      <c r="G11" s="1034"/>
      <c r="H11" s="1033" t="str">
        <f>LOWER('DICTIONARY-3'!$A$248)</f>
        <v>przygotowana pod napęd elektryczny</v>
      </c>
      <c r="I11" s="1033"/>
      <c r="J11" s="1033"/>
      <c r="K11" s="1034"/>
    </row>
    <row r="12" spans="1:11" x14ac:dyDescent="0.25">
      <c r="A12" s="211"/>
      <c r="B12" s="211"/>
      <c r="C12" s="211" t="str">
        <f>'DICTIONARY-2'!$A$18</f>
        <v>[mm]</v>
      </c>
      <c r="D12" s="219" t="str">
        <f>'DICTIONARY-2'!$A$28</f>
        <v>stary nr zamówienia</v>
      </c>
      <c r="E12" s="219" t="str">
        <f>'DICTIONARY-2'!$A$29</f>
        <v>nowy nr zamówienia</v>
      </c>
      <c r="F12" s="206" t="str">
        <f>CURRENCY.CODE_1</f>
        <v>EUR</v>
      </c>
      <c r="G12" s="206" t="str">
        <f>CURRENCY.CODE_2</f>
        <v>---</v>
      </c>
      <c r="H12" s="219" t="str">
        <f>'DICTIONARY-2'!$A$28</f>
        <v>stary nr zamówienia</v>
      </c>
      <c r="I12" s="219" t="str">
        <f>'DICTIONARY-2'!$A$29</f>
        <v>nowy nr zamówienia</v>
      </c>
      <c r="J12" s="206" t="str">
        <f>CURRENCY.CODE_1</f>
        <v>EUR</v>
      </c>
      <c r="K12" s="206" t="str">
        <f>CURRENCY.CODE_2</f>
        <v>---</v>
      </c>
    </row>
    <row r="13" spans="1:11" x14ac:dyDescent="0.25">
      <c r="A13" s="207">
        <v>50</v>
      </c>
      <c r="B13" s="207" t="s">
        <v>85</v>
      </c>
      <c r="C13" s="207">
        <v>230</v>
      </c>
      <c r="D13" s="207" t="s">
        <v>1957</v>
      </c>
      <c r="E13" s="313" t="s">
        <v>3555</v>
      </c>
      <c r="F13" s="339" t="str">
        <f>IFERROR(IF(OR(E13='DICTIONARY-5'!$A$2,E13='DICTIONARY-5'!$A$4,ISBLANK(E13)),VLOOKUP(D13,LIST!$A$6:$L$3250,CURR_1.SEARCH.OLD,0),VLOOKUP(E13,LIST!$B$6:$L$3250,CURR_1.SEARCH.NEW,0)),'DICTIONARY-5'!$A$2)</f>
        <v>1 318,-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207" t="s">
        <v>1958</v>
      </c>
      <c r="I13" s="313" t="s">
        <v>3562</v>
      </c>
      <c r="J13" s="339" t="str">
        <f>IFERROR(IF(OR(I13='DICTIONARY-5'!$A$2,I13='DICTIONARY-5'!$A$4,ISBLANK(I13)),VLOOKUP(H13,LIST!$A$6:$L$3250,CURR_1.SEARCH.OLD,0),VLOOKUP(I13,LIST!$B$6:$L$3250,CURR_1.SEARCH.NEW,0)),'DICTIONARY-5'!$A$2)</f>
        <v>1 537,-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207">
        <v>65</v>
      </c>
      <c r="B14" s="207" t="s">
        <v>85</v>
      </c>
      <c r="C14" s="207">
        <v>290</v>
      </c>
      <c r="D14" s="207" t="s">
        <v>1959</v>
      </c>
      <c r="E14" s="313" t="s">
        <v>3556</v>
      </c>
      <c r="F14" s="339" t="str">
        <f>IFERROR(IF(OR(E14='DICTIONARY-5'!$A$2,E14='DICTIONARY-5'!$A$4,ISBLANK(E14)),VLOOKUP(D14,LIST!$A$6:$L$3250,CURR_1.SEARCH.OLD,0),VLOOKUP(E14,LIST!$B$6:$L$3250,CURR_1.SEARCH.NEW,0)),'DICTIONARY-5'!$A$2)</f>
        <v>1 487,-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207" t="s">
        <v>1960</v>
      </c>
      <c r="I14" s="313" t="s">
        <v>3563</v>
      </c>
      <c r="J14" s="339" t="str">
        <f>IFERROR(IF(OR(I14='DICTIONARY-5'!$A$2,I14='DICTIONARY-5'!$A$4,ISBLANK(I14)),VLOOKUP(H14,LIST!$A$6:$L$3250,CURR_1.SEARCH.OLD,0),VLOOKUP(I14,LIST!$B$6:$L$3250,CURR_1.SEARCH.NEW,0)),'DICTIONARY-5'!$A$2)</f>
        <v>1 704,-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207">
        <v>80</v>
      </c>
      <c r="B15" s="207" t="s">
        <v>85</v>
      </c>
      <c r="C15" s="207">
        <v>310</v>
      </c>
      <c r="D15" s="207" t="s">
        <v>1961</v>
      </c>
      <c r="E15" s="313" t="s">
        <v>3557</v>
      </c>
      <c r="F15" s="339" t="str">
        <f>IFERROR(IF(OR(E15='DICTIONARY-5'!$A$2,E15='DICTIONARY-5'!$A$4,ISBLANK(E15)),VLOOKUP(D15,LIST!$A$6:$L$3250,CURR_1.SEARCH.OLD,0),VLOOKUP(E15,LIST!$B$6:$L$3250,CURR_1.SEARCH.NEW,0)),'DICTIONARY-5'!$A$2)</f>
        <v>1 501,-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207" t="s">
        <v>1962</v>
      </c>
      <c r="I15" s="313" t="s">
        <v>3564</v>
      </c>
      <c r="J15" s="339" t="str">
        <f>IFERROR(IF(OR(I15='DICTIONARY-5'!$A$2,I15='DICTIONARY-5'!$A$4,ISBLANK(I15)),VLOOKUP(H15,LIST!$A$6:$L$3250,CURR_1.SEARCH.OLD,0),VLOOKUP(I15,LIST!$B$6:$L$3250,CURR_1.SEARCH.NEW,0)),'DICTIONARY-5'!$A$2)</f>
        <v>1 719,-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207">
        <v>100</v>
      </c>
      <c r="B16" s="207" t="s">
        <v>85</v>
      </c>
      <c r="C16" s="207">
        <v>350</v>
      </c>
      <c r="D16" s="207" t="s">
        <v>1963</v>
      </c>
      <c r="E16" s="313" t="s">
        <v>3558</v>
      </c>
      <c r="F16" s="339" t="str">
        <f>IFERROR(IF(OR(E16='DICTIONARY-5'!$A$2,E16='DICTIONARY-5'!$A$4,ISBLANK(E16)),VLOOKUP(D16,LIST!$A$6:$L$3250,CURR_1.SEARCH.OLD,0),VLOOKUP(E16,LIST!$B$6:$L$3250,CURR_1.SEARCH.NEW,0)),'DICTIONARY-5'!$A$2)</f>
        <v>1 590,-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207" t="s">
        <v>1964</v>
      </c>
      <c r="I16" s="313" t="s">
        <v>3565</v>
      </c>
      <c r="J16" s="339" t="str">
        <f>IFERROR(IF(OR(I16='DICTIONARY-5'!$A$2,I16='DICTIONARY-5'!$A$4,ISBLANK(I16)),VLOOKUP(H16,LIST!$A$6:$L$3250,CURR_1.SEARCH.OLD,0),VLOOKUP(I16,LIST!$B$6:$L$3250,CURR_1.SEARCH.NEW,0)),'DICTIONARY-5'!$A$2)</f>
        <v>1 807,-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207">
        <v>125</v>
      </c>
      <c r="B17" s="207" t="s">
        <v>85</v>
      </c>
      <c r="C17" s="207">
        <v>400</v>
      </c>
      <c r="D17" s="207" t="s">
        <v>1965</v>
      </c>
      <c r="E17" s="313" t="s">
        <v>3559</v>
      </c>
      <c r="F17" s="339" t="str">
        <f>IFERROR(IF(OR(E17='DICTIONARY-5'!$A$2,E17='DICTIONARY-5'!$A$4,ISBLANK(E17)),VLOOKUP(D17,LIST!$A$6:$L$3250,CURR_1.SEARCH.OLD,0),VLOOKUP(E17,LIST!$B$6:$L$3250,CURR_1.SEARCH.NEW,0)),'DICTIONARY-5'!$A$2)</f>
        <v>1 714,-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207" t="s">
        <v>1966</v>
      </c>
      <c r="I17" s="313" t="s">
        <v>3566</v>
      </c>
      <c r="J17" s="339" t="str">
        <f>IFERROR(IF(OR(I17='DICTIONARY-5'!$A$2,I17='DICTIONARY-5'!$A$4,ISBLANK(I17)),VLOOKUP(H17,LIST!$A$6:$L$3250,CURR_1.SEARCH.OLD,0),VLOOKUP(I17,LIST!$B$6:$L$3250,CURR_1.SEARCH.NEW,0)),'DICTIONARY-5'!$A$2)</f>
        <v>1 932,-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207">
        <v>150</v>
      </c>
      <c r="B18" s="207" t="s">
        <v>85</v>
      </c>
      <c r="C18" s="207">
        <v>480</v>
      </c>
      <c r="D18" s="207" t="s">
        <v>1967</v>
      </c>
      <c r="E18" s="313" t="s">
        <v>3560</v>
      </c>
      <c r="F18" s="339" t="str">
        <f>IFERROR(IF(OR(E18='DICTIONARY-5'!$A$2,E18='DICTIONARY-5'!$A$4,ISBLANK(E18)),VLOOKUP(D18,LIST!$A$6:$L$3250,CURR_1.SEARCH.OLD,0),VLOOKUP(E18,LIST!$B$6:$L$3250,CURR_1.SEARCH.NEW,0)),'DICTIONARY-5'!$A$2)</f>
        <v>2 673,-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207" t="s">
        <v>1968</v>
      </c>
      <c r="I18" s="313" t="s">
        <v>3567</v>
      </c>
      <c r="J18" s="339" t="str">
        <f>IFERROR(IF(OR(I18='DICTIONARY-5'!$A$2,I18='DICTIONARY-5'!$A$4,ISBLANK(I18)),VLOOKUP(H18,LIST!$A$6:$L$3250,CURR_1.SEARCH.OLD,0),VLOOKUP(I18,LIST!$B$6:$L$3250,CURR_1.SEARCH.NEW,0)),'DICTIONARY-5'!$A$2)</f>
        <v>2 880,-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207">
        <v>200</v>
      </c>
      <c r="B19" s="207">
        <v>16</v>
      </c>
      <c r="C19" s="207">
        <v>600</v>
      </c>
      <c r="D19" s="207" t="s">
        <v>1969</v>
      </c>
      <c r="E19" s="313" t="s">
        <v>3561</v>
      </c>
      <c r="F19" s="339" t="str">
        <f>IFERROR(IF(OR(E19='DICTIONARY-5'!$A$2,E19='DICTIONARY-5'!$A$4,ISBLANK(E19)),VLOOKUP(D19,LIST!$A$6:$L$3250,CURR_1.SEARCH.OLD,0),VLOOKUP(E19,LIST!$B$6:$L$3250,CURR_1.SEARCH.NEW,0)),'DICTIONARY-5'!$A$2)</f>
        <v>4 396,-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207" t="s">
        <v>1970</v>
      </c>
      <c r="I19" s="313" t="s">
        <v>3568</v>
      </c>
      <c r="J19" s="339" t="str">
        <f>IFERROR(IF(OR(I19='DICTIONARY-5'!$A$2,I19='DICTIONARY-5'!$A$4,ISBLANK(I19)),VLOOKUP(H19,LIST!$A$6:$L$3250,CURR_1.SEARCH.OLD,0),VLOOKUP(I19,LIST!$B$6:$L$3250,CURR_1.SEARCH.NEW,0)),'DICTIONARY-5'!$A$2)</f>
        <v>4 573,-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1" spans="1:11" s="201" customFormat="1" x14ac:dyDescent="0.25">
      <c r="A21" s="218" t="str">
        <f>'DICTIONARY-5'!$A$157</f>
        <v xml:space="preserve">Każdy zawór należy skonfigurować indywidualnie, dlatego ceny mają jedynie charakter orientacyjny </v>
      </c>
      <c r="B21" s="200"/>
      <c r="C21" s="200"/>
      <c r="D21" s="200"/>
      <c r="E21" s="200"/>
      <c r="H21" s="195"/>
      <c r="I21" s="195"/>
      <c r="J21" s="195"/>
      <c r="K21" s="195"/>
    </row>
  </sheetData>
  <sheetProtection algorithmName="SHA-512" hashValue="tg0wsm7V03BS1aUYtnSf/y/0zEBI/nX+4MTCSZsU8haOapLMSp7aB9d8UFdIfa6focEhKEz+SSKRUALVKkvAxg==" saltValue="clCxjPZWhbfQ/ShOTru5EA==" spinCount="100000" sheet="1" objects="1" scenarios="1" autoFilter="0"/>
  <mergeCells count="5">
    <mergeCell ref="B4:E4"/>
    <mergeCell ref="D10:G10"/>
    <mergeCell ref="H10:K10"/>
    <mergeCell ref="D11:G11"/>
    <mergeCell ref="H11:K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69">
    <tabColor rgb="FFFFC000"/>
  </sheetPr>
  <dimension ref="A1:L42"/>
  <sheetViews>
    <sheetView workbookViewId="0"/>
  </sheetViews>
  <sheetFormatPr defaultColWidth="9.140625" defaultRowHeight="15" x14ac:dyDescent="0.25"/>
  <cols>
    <col min="1" max="3" width="9.140625" style="200"/>
    <col min="4" max="5" width="22.140625" style="200" customWidth="1"/>
    <col min="6" max="7" width="12.85546875" style="201" customWidth="1"/>
    <col min="8" max="9" width="22.140625" style="200" customWidth="1"/>
    <col min="10" max="11" width="12.85546875" style="201" customWidth="1"/>
    <col min="12" max="12" width="11.42578125" style="195" customWidth="1"/>
    <col min="13" max="16384" width="9.140625" style="195"/>
  </cols>
  <sheetData>
    <row r="1" spans="1:11" s="401" customFormat="1" ht="45" customHeight="1" thickBot="1" x14ac:dyDescent="0.3">
      <c r="A1" s="428"/>
      <c r="B1" s="428"/>
      <c r="C1" s="428"/>
      <c r="D1" s="428"/>
      <c r="E1" s="402"/>
      <c r="F1" s="403"/>
      <c r="G1" s="403"/>
      <c r="H1" s="402"/>
      <c r="I1" s="402"/>
      <c r="J1" s="403"/>
      <c r="K1" s="403"/>
    </row>
    <row r="2" spans="1:11" s="458" customFormat="1" ht="4.5" customHeight="1" x14ac:dyDescent="0.25">
      <c r="A2" s="457"/>
      <c r="B2" s="459"/>
      <c r="C2" s="459"/>
      <c r="D2" s="459"/>
      <c r="E2" s="459"/>
      <c r="F2" s="460"/>
      <c r="G2" s="460"/>
      <c r="H2" s="459"/>
      <c r="I2" s="459"/>
      <c r="J2" s="460"/>
      <c r="K2" s="460"/>
    </row>
    <row r="3" spans="1:11" ht="15.75" thickBot="1" x14ac:dyDescent="0.3">
      <c r="A3" s="196"/>
      <c r="B3" s="197"/>
      <c r="C3" s="197"/>
    </row>
    <row r="4" spans="1:11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11" x14ac:dyDescent="0.25">
      <c r="A5" s="196"/>
      <c r="B5" s="197"/>
      <c r="C5" s="197"/>
    </row>
    <row r="6" spans="1:11" ht="16.5" thickBot="1" x14ac:dyDescent="0.3">
      <c r="A6" s="712" t="str">
        <f>CONCATENATE('DICTIONARY-3'!$A$121," ",'DICTIONARY-3'!$A$211,)</f>
        <v>FORTE Filtr siatkowy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198" t="str">
        <f>CONCATENATE('DICTIONARY-1'!$A$10,": ",SETTINGS!$C$86)</f>
        <v>Grupa rabatowa: FORTE</v>
      </c>
    </row>
    <row r="8" spans="1:11" x14ac:dyDescent="0.25">
      <c r="A8" s="202"/>
    </row>
    <row r="9" spans="1:11" x14ac:dyDescent="0.25">
      <c r="A9" s="203" t="str">
        <f>'DICTIONARY-2'!$A$2</f>
        <v>DN</v>
      </c>
      <c r="B9" s="203" t="str">
        <f>'DICTIONARY-2'!$A$3</f>
        <v>PN</v>
      </c>
      <c r="C9" s="203" t="str">
        <f>'DICTIONARY-2'!$A$24</f>
        <v>L</v>
      </c>
      <c r="D9" s="1024" t="str">
        <f>'DICTIONARY-3'!$A$121</f>
        <v>FORTE</v>
      </c>
      <c r="E9" s="1024"/>
      <c r="F9" s="1024"/>
      <c r="G9" s="1024"/>
      <c r="H9" s="1024" t="str">
        <f>'DICTIONARY-3'!$A$121</f>
        <v>FORTE</v>
      </c>
      <c r="I9" s="1024"/>
      <c r="J9" s="1024"/>
      <c r="K9" s="1024"/>
    </row>
    <row r="10" spans="1:11" x14ac:dyDescent="0.25">
      <c r="A10" s="204"/>
      <c r="B10" s="204"/>
      <c r="C10" s="204"/>
      <c r="D10" s="1025" t="str">
        <f>'DICTIONARY-5'!$A$23</f>
        <v>powłoka epoksydowa</v>
      </c>
      <c r="E10" s="1025"/>
      <c r="F10" s="1025"/>
      <c r="G10" s="1025"/>
      <c r="H10" s="1025" t="str">
        <f>'DICTIONARY-5'!$A$24</f>
        <v>powłoka syntetyczna</v>
      </c>
      <c r="I10" s="1025"/>
      <c r="J10" s="1025"/>
      <c r="K10" s="1025"/>
    </row>
    <row r="11" spans="1:11" x14ac:dyDescent="0.25">
      <c r="A11" s="211"/>
      <c r="B11" s="211"/>
      <c r="C11" s="211" t="str">
        <f>'DICTIONARY-2'!$A$18</f>
        <v>[mm]</v>
      </c>
      <c r="D11" s="212" t="str">
        <f>'DICTIONARY-2'!$A$28</f>
        <v>stary nr zamówienia</v>
      </c>
      <c r="E11" s="212" t="str">
        <f>'DICTIONARY-2'!$A$29</f>
        <v>nowy nr zamówienia</v>
      </c>
      <c r="F11" s="206" t="str">
        <f>CURRENCY.CODE_1</f>
        <v>EUR</v>
      </c>
      <c r="G11" s="206" t="str">
        <f>CURRENCY.CODE_2</f>
        <v>---</v>
      </c>
      <c r="H11" s="212" t="str">
        <f>'DICTIONARY-2'!$A$28</f>
        <v>stary nr zamówienia</v>
      </c>
      <c r="I11" s="212" t="str">
        <f>'DICTIONARY-2'!$A$29</f>
        <v>nowy nr zamówienia</v>
      </c>
      <c r="J11" s="206" t="str">
        <f>CURRENCY.CODE_1</f>
        <v>EUR</v>
      </c>
      <c r="K11" s="206" t="str">
        <f>CURRENCY.CODE_2</f>
        <v>---</v>
      </c>
    </row>
    <row r="12" spans="1:11" x14ac:dyDescent="0.25">
      <c r="A12" s="217">
        <v>40</v>
      </c>
      <c r="B12" s="207" t="s">
        <v>85</v>
      </c>
      <c r="C12" s="207">
        <v>200</v>
      </c>
      <c r="D12" s="207" t="s">
        <v>1972</v>
      </c>
      <c r="E12" s="313" t="s">
        <v>4233</v>
      </c>
      <c r="F12" s="339" t="str">
        <f>IFERROR(IF(OR(E12='DICTIONARY-5'!$A$2,E12='DICTIONARY-5'!$A$4,ISBLANK(E12)),VLOOKUP(D12,LIST!$A$6:$L$3250,CURR_1.SEARCH.OLD,0),VLOOKUP(E12,LIST!$B$6:$L$3250,CURR_1.SEARCH.NEW,0)),'DICTIONARY-5'!$A$2)</f>
        <v>118,-</v>
      </c>
      <c r="G12" s="339" t="str">
        <f>IFERROR(IF(OR(E12='DICTIONARY-5'!$A$2,E12='DICTIONARY-5'!$A$4,ISBLANK(E12)),VLOOKUP(D12,LIST!$A$6:$M$3250,CURR_2.SEARCH.OLD,0),VLOOKUP(E12,LIST!$B$6:$M$3250,CURR_2.SEARCH.NEW,0)),'DICTIONARY-5'!$A$2)</f>
        <v/>
      </c>
      <c r="H12" s="207" t="s">
        <v>1971</v>
      </c>
      <c r="I12" s="313" t="s">
        <v>4232</v>
      </c>
      <c r="J12" s="339" t="str">
        <f>IFERROR(IF(OR(I12='DICTIONARY-5'!$A$2,I12='DICTIONARY-5'!$A$4,ISBLANK(I12)),VLOOKUP(H12,LIST!$A$6:$L$3250,CURR_1.SEARCH.OLD,0),VLOOKUP(I12,LIST!$B$6:$L$3250,CURR_1.SEARCH.NEW,0)),'DICTIONARY-5'!$A$2)</f>
        <v>137,-</v>
      </c>
      <c r="K12" s="339" t="str">
        <f>IFERROR(IF(OR(I12='DICTIONARY-5'!$A$2,I12='DICTIONARY-5'!$A$4,ISBLANK(I12)),VLOOKUP(H12,LIST!$A$6:$M$3250,CURR_2.SEARCH.OLD,0),VLOOKUP(I12,LIST!$B$6:$M$3250,CURR_2.SEARCH.NEW,0)),'DICTIONARY-5'!$A$2)</f>
        <v/>
      </c>
    </row>
    <row r="13" spans="1:11" x14ac:dyDescent="0.25">
      <c r="A13" s="217">
        <v>50</v>
      </c>
      <c r="B13" s="207" t="s">
        <v>85</v>
      </c>
      <c r="C13" s="207">
        <v>230</v>
      </c>
      <c r="D13" s="207" t="s">
        <v>1974</v>
      </c>
      <c r="E13" s="313" t="s">
        <v>4235</v>
      </c>
      <c r="F13" s="339" t="str">
        <f>IFERROR(IF(OR(E13='DICTIONARY-5'!$A$2,E13='DICTIONARY-5'!$A$4,ISBLANK(E13)),VLOOKUP(D13,LIST!$A$6:$L$3250,CURR_1.SEARCH.OLD,0),VLOOKUP(E13,LIST!$B$6:$L$3250,CURR_1.SEARCH.NEW,0)),'DICTIONARY-5'!$A$2)</f>
        <v>139,-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207" t="s">
        <v>1973</v>
      </c>
      <c r="I13" s="313" t="s">
        <v>4234</v>
      </c>
      <c r="J13" s="339" t="str">
        <f>IFERROR(IF(OR(I13='DICTIONARY-5'!$A$2,I13='DICTIONARY-5'!$A$4,ISBLANK(I13)),VLOOKUP(H13,LIST!$A$6:$L$3250,CURR_1.SEARCH.OLD,0),VLOOKUP(I13,LIST!$B$6:$L$3250,CURR_1.SEARCH.NEW,0)),'DICTIONARY-5'!$A$2)</f>
        <v>162,-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217">
        <v>65</v>
      </c>
      <c r="B14" s="207" t="s">
        <v>85</v>
      </c>
      <c r="C14" s="207">
        <v>290</v>
      </c>
      <c r="D14" s="207" t="s">
        <v>1976</v>
      </c>
      <c r="E14" s="313" t="s">
        <v>4237</v>
      </c>
      <c r="F14" s="339" t="str">
        <f>IFERROR(IF(OR(E14='DICTIONARY-5'!$A$2,E14='DICTIONARY-5'!$A$4,ISBLANK(E14)),VLOOKUP(D14,LIST!$A$6:$L$3250,CURR_1.SEARCH.OLD,0),VLOOKUP(E14,LIST!$B$6:$L$3250,CURR_1.SEARCH.NEW,0)),'DICTIONARY-5'!$A$2)</f>
        <v>196,-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207" t="s">
        <v>1975</v>
      </c>
      <c r="I14" s="313" t="s">
        <v>4236</v>
      </c>
      <c r="J14" s="339" t="str">
        <f>IFERROR(IF(OR(I14='DICTIONARY-5'!$A$2,I14='DICTIONARY-5'!$A$4,ISBLANK(I14)),VLOOKUP(H14,LIST!$A$6:$L$3250,CURR_1.SEARCH.OLD,0),VLOOKUP(I14,LIST!$B$6:$L$3250,CURR_1.SEARCH.NEW,0)),'DICTIONARY-5'!$A$2)</f>
        <v>221,-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217">
        <v>80</v>
      </c>
      <c r="B15" s="207" t="s">
        <v>85</v>
      </c>
      <c r="C15" s="207">
        <v>310</v>
      </c>
      <c r="D15" s="207" t="s">
        <v>1978</v>
      </c>
      <c r="E15" s="313" t="s">
        <v>4239</v>
      </c>
      <c r="F15" s="339" t="str">
        <f>IFERROR(IF(OR(E15='DICTIONARY-5'!$A$2,E15='DICTIONARY-5'!$A$4,ISBLANK(E15)),VLOOKUP(D15,LIST!$A$6:$L$3250,CURR_1.SEARCH.OLD,0),VLOOKUP(E15,LIST!$B$6:$L$3250,CURR_1.SEARCH.NEW,0)),'DICTIONARY-5'!$A$2)</f>
        <v>223,-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207" t="s">
        <v>1977</v>
      </c>
      <c r="I15" s="313" t="s">
        <v>4238</v>
      </c>
      <c r="J15" s="339" t="str">
        <f>IFERROR(IF(OR(I15='DICTIONARY-5'!$A$2,I15='DICTIONARY-5'!$A$4,ISBLANK(I15)),VLOOKUP(H15,LIST!$A$6:$L$3250,CURR_1.SEARCH.OLD,0),VLOOKUP(I15,LIST!$B$6:$L$3250,CURR_1.SEARCH.NEW,0)),'DICTIONARY-5'!$A$2)</f>
        <v>257,-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217">
        <v>100</v>
      </c>
      <c r="B16" s="207" t="s">
        <v>85</v>
      </c>
      <c r="C16" s="207">
        <v>350</v>
      </c>
      <c r="D16" s="207" t="s">
        <v>1980</v>
      </c>
      <c r="E16" s="313" t="s">
        <v>4241</v>
      </c>
      <c r="F16" s="339" t="str">
        <f>IFERROR(IF(OR(E16='DICTIONARY-5'!$A$2,E16='DICTIONARY-5'!$A$4,ISBLANK(E16)),VLOOKUP(D16,LIST!$A$6:$L$3250,CURR_1.SEARCH.OLD,0),VLOOKUP(E16,LIST!$B$6:$L$3250,CURR_1.SEARCH.NEW,0)),'DICTIONARY-5'!$A$2)</f>
        <v>257,-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207" t="s">
        <v>1979</v>
      </c>
      <c r="I16" s="313" t="s">
        <v>4240</v>
      </c>
      <c r="J16" s="339" t="str">
        <f>IFERROR(IF(OR(I16='DICTIONARY-5'!$A$2,I16='DICTIONARY-5'!$A$4,ISBLANK(I16)),VLOOKUP(H16,LIST!$A$6:$L$3250,CURR_1.SEARCH.OLD,0),VLOOKUP(I16,LIST!$B$6:$L$3250,CURR_1.SEARCH.NEW,0)),'DICTIONARY-5'!$A$2)</f>
        <v>295,-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217">
        <v>125</v>
      </c>
      <c r="B17" s="207" t="s">
        <v>85</v>
      </c>
      <c r="C17" s="207">
        <v>400</v>
      </c>
      <c r="D17" s="207" t="s">
        <v>1982</v>
      </c>
      <c r="E17" s="313" t="s">
        <v>4243</v>
      </c>
      <c r="F17" s="339" t="str">
        <f>IFERROR(IF(OR(E17='DICTIONARY-5'!$A$2,E17='DICTIONARY-5'!$A$4,ISBLANK(E17)),VLOOKUP(D17,LIST!$A$6:$L$3250,CURR_1.SEARCH.OLD,0),VLOOKUP(E17,LIST!$B$6:$L$3250,CURR_1.SEARCH.NEW,0)),'DICTIONARY-5'!$A$2)</f>
        <v>443,-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207" t="s">
        <v>1981</v>
      </c>
      <c r="I17" s="313" t="s">
        <v>4242</v>
      </c>
      <c r="J17" s="339" t="str">
        <f>IFERROR(IF(OR(I17='DICTIONARY-5'!$A$2,I17='DICTIONARY-5'!$A$4,ISBLANK(I17)),VLOOKUP(H17,LIST!$A$6:$L$3250,CURR_1.SEARCH.OLD,0),VLOOKUP(I17,LIST!$B$6:$L$3250,CURR_1.SEARCH.NEW,0)),'DICTIONARY-5'!$A$2)</f>
        <v>481,-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217">
        <v>150</v>
      </c>
      <c r="B18" s="207">
        <v>16</v>
      </c>
      <c r="C18" s="207">
        <v>480</v>
      </c>
      <c r="D18" s="207" t="s">
        <v>1984</v>
      </c>
      <c r="E18" s="313" t="s">
        <v>4245</v>
      </c>
      <c r="F18" s="339" t="str">
        <f>IFERROR(IF(OR(E18='DICTIONARY-5'!$A$2,E18='DICTIONARY-5'!$A$4,ISBLANK(E18)),VLOOKUP(D18,LIST!$A$6:$L$3250,CURR_1.SEARCH.OLD,0),VLOOKUP(E18,LIST!$B$6:$L$3250,CURR_1.SEARCH.NEW,0)),'DICTIONARY-5'!$A$2)</f>
        <v>577,-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207" t="s">
        <v>1983</v>
      </c>
      <c r="I18" s="313" t="s">
        <v>4244</v>
      </c>
      <c r="J18" s="339" t="str">
        <f>IFERROR(IF(OR(I18='DICTIONARY-5'!$A$2,I18='DICTIONARY-5'!$A$4,ISBLANK(I18)),VLOOKUP(H18,LIST!$A$6:$L$3250,CURR_1.SEARCH.OLD,0),VLOOKUP(I18,LIST!$B$6:$L$3250,CURR_1.SEARCH.NEW,0)),'DICTIONARY-5'!$A$2)</f>
        <v>630,-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19" spans="1:11" x14ac:dyDescent="0.25">
      <c r="A19" s="217" t="s">
        <v>162</v>
      </c>
      <c r="B19" s="207">
        <v>10</v>
      </c>
      <c r="C19" s="207">
        <v>600</v>
      </c>
      <c r="D19" s="207" t="s">
        <v>1986</v>
      </c>
      <c r="E19" s="313" t="s">
        <v>4226</v>
      </c>
      <c r="F19" s="339" t="str">
        <f>IFERROR(IF(OR(E19='DICTIONARY-5'!$A$2,E19='DICTIONARY-5'!$A$4,ISBLANK(E19)),VLOOKUP(D19,LIST!$A$6:$L$3250,CURR_1.SEARCH.OLD,0),VLOOKUP(E19,LIST!$B$6:$L$3250,CURR_1.SEARCH.NEW,0)),'DICTIONARY-5'!$A$2)</f>
        <v>1 074,-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  <c r="H19" s="207" t="s">
        <v>1985</v>
      </c>
      <c r="I19" s="313" t="s">
        <v>4227</v>
      </c>
      <c r="J19" s="339" t="str">
        <f>IFERROR(IF(OR(I19='DICTIONARY-5'!$A$2,I19='DICTIONARY-5'!$A$4,ISBLANK(I19)),VLOOKUP(H19,LIST!$A$6:$L$3250,CURR_1.SEARCH.OLD,0),VLOOKUP(I19,LIST!$B$6:$L$3250,CURR_1.SEARCH.NEW,0)),'DICTIONARY-5'!$A$2)</f>
        <v>1 168,-</v>
      </c>
      <c r="K19" s="339" t="str">
        <f>IFERROR(IF(OR(I19='DICTIONARY-5'!$A$2,I19='DICTIONARY-5'!$A$4,ISBLANK(I19)),VLOOKUP(H19,LIST!$A$6:$M$3250,CURR_2.SEARCH.OLD,0),VLOOKUP(I19,LIST!$B$6:$M$3250,CURR_2.SEARCH.NEW,0)),'DICTIONARY-5'!$A$2)</f>
        <v/>
      </c>
    </row>
    <row r="20" spans="1:11" x14ac:dyDescent="0.25">
      <c r="A20" s="217" t="s">
        <v>162</v>
      </c>
      <c r="B20" s="207">
        <v>16</v>
      </c>
      <c r="C20" s="207">
        <v>600</v>
      </c>
      <c r="D20" s="207" t="s">
        <v>1988</v>
      </c>
      <c r="E20" s="313" t="s">
        <v>4225</v>
      </c>
      <c r="F20" s="339" t="str">
        <f>IFERROR(IF(OR(E20='DICTIONARY-5'!$A$2,E20='DICTIONARY-5'!$A$4,ISBLANK(E20)),VLOOKUP(D20,LIST!$A$6:$L$3250,CURR_1.SEARCH.OLD,0),VLOOKUP(E20,LIST!$B$6:$L$3250,CURR_1.SEARCH.NEW,0)),'DICTIONARY-5'!$A$2)</f>
        <v>1 090,-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  <c r="H20" s="207" t="s">
        <v>1987</v>
      </c>
      <c r="I20" s="313" t="s">
        <v>4224</v>
      </c>
      <c r="J20" s="339" t="str">
        <f>IFERROR(IF(OR(I20='DICTIONARY-5'!$A$2,I20='DICTIONARY-5'!$A$4,ISBLANK(I20)),VLOOKUP(H20,LIST!$A$6:$L$3250,CURR_1.SEARCH.OLD,0),VLOOKUP(I20,LIST!$B$6:$L$3250,CURR_1.SEARCH.NEW,0)),'DICTIONARY-5'!$A$2)</f>
        <v>1 163,-</v>
      </c>
      <c r="K20" s="339" t="str">
        <f>IFERROR(IF(OR(I20='DICTIONARY-5'!$A$2,I20='DICTIONARY-5'!$A$4,ISBLANK(I20)),VLOOKUP(H20,LIST!$A$6:$M$3250,CURR_2.SEARCH.OLD,0),VLOOKUP(I20,LIST!$B$6:$M$3250,CURR_2.SEARCH.NEW,0)),'DICTIONARY-5'!$A$2)</f>
        <v/>
      </c>
    </row>
    <row r="21" spans="1:11" x14ac:dyDescent="0.25">
      <c r="A21" s="217" t="s">
        <v>1989</v>
      </c>
      <c r="B21" s="207">
        <v>10</v>
      </c>
      <c r="C21" s="207">
        <v>730</v>
      </c>
      <c r="D21" s="207" t="s">
        <v>1991</v>
      </c>
      <c r="E21" s="313" t="s">
        <v>4230</v>
      </c>
      <c r="F21" s="339" t="str">
        <f>IFERROR(IF(OR(E21='DICTIONARY-5'!$A$2,E21='DICTIONARY-5'!$A$4,ISBLANK(E21)),VLOOKUP(D21,LIST!$A$6:$L$3250,CURR_1.SEARCH.OLD,0),VLOOKUP(E21,LIST!$B$6:$L$3250,CURR_1.SEARCH.NEW,0)),'DICTIONARY-5'!$A$2)</f>
        <v>2 376,-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  <c r="H21" s="207" t="s">
        <v>1990</v>
      </c>
      <c r="I21" s="313" t="s">
        <v>4231</v>
      </c>
      <c r="J21" s="339" t="str">
        <f>IFERROR(IF(OR(I21='DICTIONARY-5'!$A$2,I21='DICTIONARY-5'!$A$4,ISBLANK(I21)),VLOOKUP(H21,LIST!$A$6:$L$3250,CURR_1.SEARCH.OLD,0),VLOOKUP(I21,LIST!$B$6:$L$3250,CURR_1.SEARCH.NEW,0)),'DICTIONARY-5'!$A$2)</f>
        <v>2 318,-</v>
      </c>
      <c r="K21" s="339" t="str">
        <f>IFERROR(IF(OR(I21='DICTIONARY-5'!$A$2,I21='DICTIONARY-5'!$A$4,ISBLANK(I21)),VLOOKUP(H21,LIST!$A$6:$M$3250,CURR_2.SEARCH.OLD,0),VLOOKUP(I21,LIST!$B$6:$M$3250,CURR_2.SEARCH.NEW,0)),'DICTIONARY-5'!$A$2)</f>
        <v/>
      </c>
    </row>
    <row r="22" spans="1:11" x14ac:dyDescent="0.25">
      <c r="A22" s="217" t="s">
        <v>1989</v>
      </c>
      <c r="B22" s="207">
        <v>16</v>
      </c>
      <c r="C22" s="207">
        <v>730</v>
      </c>
      <c r="D22" s="207" t="s">
        <v>1993</v>
      </c>
      <c r="E22" s="313" t="s">
        <v>4229</v>
      </c>
      <c r="F22" s="339" t="str">
        <f>IFERROR(IF(OR(E22='DICTIONARY-5'!$A$2,E22='DICTIONARY-5'!$A$4,ISBLANK(E22)),VLOOKUP(D22,LIST!$A$6:$L$3250,CURR_1.SEARCH.OLD,0),VLOOKUP(E22,LIST!$B$6:$L$3250,CURR_1.SEARCH.NEW,0)),'DICTIONARY-5'!$A$2)</f>
        <v>2 386,-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H22" s="207" t="s">
        <v>1992</v>
      </c>
      <c r="I22" s="313" t="s">
        <v>4228</v>
      </c>
      <c r="J22" s="339" t="str">
        <f>IFERROR(IF(OR(I22='DICTIONARY-5'!$A$2,I22='DICTIONARY-5'!$A$4,ISBLANK(I22)),VLOOKUP(H22,LIST!$A$6:$L$3250,CURR_1.SEARCH.OLD,0),VLOOKUP(I22,LIST!$B$6:$L$3250,CURR_1.SEARCH.NEW,0)),'DICTIONARY-5'!$A$2)</f>
        <v>2 314,-</v>
      </c>
      <c r="K22" s="339" t="str">
        <f>IFERROR(IF(OR(I22='DICTIONARY-5'!$A$2,I22='DICTIONARY-5'!$A$4,ISBLANK(I22)),VLOOKUP(H22,LIST!$A$6:$M$3250,CURR_2.SEARCH.OLD,0),VLOOKUP(I22,LIST!$B$6:$M$3250,CURR_2.SEARCH.NEW,0)),'DICTIONARY-5'!$A$2)</f>
        <v/>
      </c>
    </row>
    <row r="23" spans="1:11" x14ac:dyDescent="0.25">
      <c r="A23" s="222"/>
    </row>
    <row r="24" spans="1:11" x14ac:dyDescent="0.25">
      <c r="A24" s="218" t="str">
        <f>"1) "&amp;'DICTIONARY-3'!$A$311</f>
        <v>1) Z korkiem do czyszczenia</v>
      </c>
    </row>
    <row r="28" spans="1:11" ht="16.5" thickBot="1" x14ac:dyDescent="0.3">
      <c r="A28" s="712" t="str">
        <f>CONCATENATE('DICTIONARY-3'!$A$121," ",'DICTIONARY-3'!$A$211," / ",'DICTIONARY-3'!$A$212)</f>
        <v>FORTE Filtr siatkowy / Wymienny wkład filtrujący</v>
      </c>
      <c r="B28" s="712"/>
      <c r="C28" s="712"/>
      <c r="D28" s="712"/>
      <c r="E28" s="712"/>
      <c r="F28" s="712"/>
      <c r="G28" s="712"/>
    </row>
    <row r="29" spans="1:11" x14ac:dyDescent="0.25">
      <c r="A29" s="198" t="str">
        <f>CONCATENATE('DICTIONARY-1'!$A$10,": ",SETTINGS!$C$75)</f>
        <v>Grupa rabatowa: SPARE PARTS</v>
      </c>
    </row>
    <row r="30" spans="1:11" x14ac:dyDescent="0.25">
      <c r="A30" s="202"/>
    </row>
    <row r="31" spans="1:11" x14ac:dyDescent="0.25">
      <c r="A31" s="203" t="str">
        <f>'DICTIONARY-2'!$A$2</f>
        <v>DN</v>
      </c>
      <c r="B31" s="1024" t="str">
        <f>'DICTIONARY-5'!$A$160</f>
        <v>Wielkośc oczek sita</v>
      </c>
      <c r="C31" s="1024" t="str">
        <f>'DICTIONARY-5'!$A$152</f>
        <v>Wymiary</v>
      </c>
      <c r="D31" s="1024" t="str">
        <f>'DICTIONARY-3'!$A$121</f>
        <v>FORTE</v>
      </c>
      <c r="E31" s="1024"/>
      <c r="F31" s="1024"/>
      <c r="G31" s="1024"/>
    </row>
    <row r="32" spans="1:11" x14ac:dyDescent="0.25">
      <c r="A32" s="204"/>
      <c r="B32" s="1028"/>
      <c r="C32" s="1028"/>
      <c r="D32" s="1025" t="str">
        <f>LOWER('DICTIONARY-3'!$A$212)</f>
        <v>wymienny wkład filtrujący</v>
      </c>
      <c r="E32" s="1025"/>
      <c r="F32" s="1025"/>
      <c r="G32" s="1025"/>
    </row>
    <row r="33" spans="1:12" x14ac:dyDescent="0.25">
      <c r="A33" s="211"/>
      <c r="B33" s="211" t="str">
        <f>'DICTIONARY-2'!$A$18</f>
        <v>[mm]</v>
      </c>
      <c r="C33" s="211" t="str">
        <f>'DICTIONARY-2'!$A$18</f>
        <v>[mm]</v>
      </c>
      <c r="D33" s="212" t="str">
        <f>'DICTIONARY-2'!$A$28</f>
        <v>stary nr zamówienia</v>
      </c>
      <c r="E33" s="212" t="str">
        <f>'DICTIONARY-2'!$A$29</f>
        <v>nowy nr zamówienia</v>
      </c>
      <c r="F33" s="206" t="str">
        <f>CURRENCY.CODE_1</f>
        <v>EUR</v>
      </c>
      <c r="G33" s="206" t="str">
        <f>CURRENCY.CODE_2</f>
        <v>---</v>
      </c>
    </row>
    <row r="34" spans="1:12" x14ac:dyDescent="0.25">
      <c r="A34" s="207">
        <v>40</v>
      </c>
      <c r="B34" s="207">
        <v>0.9</v>
      </c>
      <c r="C34" s="207" t="s">
        <v>2003</v>
      </c>
      <c r="D34" s="207" t="s">
        <v>1994</v>
      </c>
      <c r="E34" s="313" t="s">
        <v>2933</v>
      </c>
      <c r="F34" s="339" t="str">
        <f>IFERROR(IF(OR(E34='DICTIONARY-5'!$A$2,E34='DICTIONARY-5'!$A$4,ISBLANK(E34)),VLOOKUP(D34,LIST!$A$6:$L$3250,CURR_1.SEARCH.OLD,0),VLOOKUP(E34,LIST!$B$6:$L$3250,CURR_1.SEARCH.NEW,0)),'DICTIONARY-5'!$A$2)</f>
        <v>8,-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H34" s="209"/>
      <c r="I34" s="209"/>
    </row>
    <row r="35" spans="1:12" x14ac:dyDescent="0.25">
      <c r="A35" s="207">
        <v>50</v>
      </c>
      <c r="B35" s="207">
        <v>0.9</v>
      </c>
      <c r="C35" s="207" t="s">
        <v>2004</v>
      </c>
      <c r="D35" s="207" t="s">
        <v>1995</v>
      </c>
      <c r="E35" s="313" t="s">
        <v>2934</v>
      </c>
      <c r="F35" s="339" t="str">
        <f>IFERROR(IF(OR(E35='DICTIONARY-5'!$A$2,E35='DICTIONARY-5'!$A$4,ISBLANK(E35)),VLOOKUP(D35,LIST!$A$6:$L$3250,CURR_1.SEARCH.OLD,0),VLOOKUP(E35,LIST!$B$6:$L$3250,CURR_1.SEARCH.NEW,0)),'DICTIONARY-5'!$A$2)</f>
        <v>11,-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H35" s="209"/>
      <c r="I35" s="209"/>
    </row>
    <row r="36" spans="1:12" x14ac:dyDescent="0.25">
      <c r="A36" s="207">
        <v>65</v>
      </c>
      <c r="B36" s="207">
        <v>0.9</v>
      </c>
      <c r="C36" s="207" t="s">
        <v>2005</v>
      </c>
      <c r="D36" s="207" t="s">
        <v>1996</v>
      </c>
      <c r="E36" s="313" t="s">
        <v>2935</v>
      </c>
      <c r="F36" s="339" t="str">
        <f>IFERROR(IF(OR(E36='DICTIONARY-5'!$A$2,E36='DICTIONARY-5'!$A$4,ISBLANK(E36)),VLOOKUP(D36,LIST!$A$6:$L$3250,CURR_1.SEARCH.OLD,0),VLOOKUP(E36,LIST!$B$6:$L$3250,CURR_1.SEARCH.NEW,0)),'DICTIONARY-5'!$A$2)</f>
        <v>16,-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H36" s="209"/>
      <c r="I36" s="209"/>
    </row>
    <row r="37" spans="1:12" x14ac:dyDescent="0.25">
      <c r="A37" s="207">
        <v>80</v>
      </c>
      <c r="B37" s="207">
        <v>1.25</v>
      </c>
      <c r="C37" s="207" t="s">
        <v>2006</v>
      </c>
      <c r="D37" s="207" t="s">
        <v>1997</v>
      </c>
      <c r="E37" s="313" t="s">
        <v>2936</v>
      </c>
      <c r="F37" s="339" t="str">
        <f>IFERROR(IF(OR(E37='DICTIONARY-5'!$A$2,E37='DICTIONARY-5'!$A$4,ISBLANK(E37)),VLOOKUP(D37,LIST!$A$6:$L$3250,CURR_1.SEARCH.OLD,0),VLOOKUP(E37,LIST!$B$6:$L$3250,CURR_1.SEARCH.NEW,0)),'DICTIONARY-5'!$A$2)</f>
        <v>19,-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  <c r="H37" s="209"/>
      <c r="I37" s="209"/>
    </row>
    <row r="38" spans="1:12" x14ac:dyDescent="0.25">
      <c r="A38" s="207">
        <v>100</v>
      </c>
      <c r="B38" s="207">
        <v>1.25</v>
      </c>
      <c r="C38" s="207" t="s">
        <v>2007</v>
      </c>
      <c r="D38" s="207" t="s">
        <v>1998</v>
      </c>
      <c r="E38" s="313" t="s">
        <v>2937</v>
      </c>
      <c r="F38" s="339" t="str">
        <f>IFERROR(IF(OR(E38='DICTIONARY-5'!$A$2,E38='DICTIONARY-5'!$A$4,ISBLANK(E38)),VLOOKUP(D38,LIST!$A$6:$L$3250,CURR_1.SEARCH.OLD,0),VLOOKUP(E38,LIST!$B$6:$L$3250,CURR_1.SEARCH.NEW,0)),'DICTIONARY-5'!$A$2)</f>
        <v>24,-</v>
      </c>
      <c r="G38" s="339" t="str">
        <f>IFERROR(IF(OR(E38='DICTIONARY-5'!$A$2,E38='DICTIONARY-5'!$A$4,ISBLANK(E38)),VLOOKUP(D38,LIST!$A$6:$M$3250,CURR_2.SEARCH.OLD,0),VLOOKUP(E38,LIST!$B$6:$M$3250,CURR_2.SEARCH.NEW,0)),'DICTIONARY-5'!$A$2)</f>
        <v/>
      </c>
      <c r="H38" s="209"/>
      <c r="I38" s="209"/>
    </row>
    <row r="39" spans="1:12" x14ac:dyDescent="0.25">
      <c r="A39" s="207">
        <v>125</v>
      </c>
      <c r="B39" s="207">
        <v>1.25</v>
      </c>
      <c r="C39" s="207" t="s">
        <v>2008</v>
      </c>
      <c r="D39" s="207" t="s">
        <v>1999</v>
      </c>
      <c r="E39" s="313" t="s">
        <v>2938</v>
      </c>
      <c r="F39" s="339" t="str">
        <f>IFERROR(IF(OR(E39='DICTIONARY-5'!$A$2,E39='DICTIONARY-5'!$A$4,ISBLANK(E39)),VLOOKUP(D39,LIST!$A$6:$L$3250,CURR_1.SEARCH.OLD,0),VLOOKUP(E39,LIST!$B$6:$L$3250,CURR_1.SEARCH.NEW,0)),'DICTIONARY-5'!$A$2)</f>
        <v>34,-</v>
      </c>
      <c r="G39" s="339" t="str">
        <f>IFERROR(IF(OR(E39='DICTIONARY-5'!$A$2,E39='DICTIONARY-5'!$A$4,ISBLANK(E39)),VLOOKUP(D39,LIST!$A$6:$M$3250,CURR_2.SEARCH.OLD,0),VLOOKUP(E39,LIST!$B$6:$M$3250,CURR_2.SEARCH.NEW,0)),'DICTIONARY-5'!$A$2)</f>
        <v/>
      </c>
      <c r="H39" s="209"/>
      <c r="I39" s="209"/>
    </row>
    <row r="40" spans="1:12" x14ac:dyDescent="0.25">
      <c r="A40" s="207">
        <v>150</v>
      </c>
      <c r="B40" s="207">
        <v>1.25</v>
      </c>
      <c r="C40" s="207" t="s">
        <v>2009</v>
      </c>
      <c r="D40" s="207" t="s">
        <v>2000</v>
      </c>
      <c r="E40" s="313" t="s">
        <v>2939</v>
      </c>
      <c r="F40" s="339" t="str">
        <f>IFERROR(IF(OR(E40='DICTIONARY-5'!$A$2,E40='DICTIONARY-5'!$A$4,ISBLANK(E40)),VLOOKUP(D40,LIST!$A$6:$L$3250,CURR_1.SEARCH.OLD,0),VLOOKUP(E40,LIST!$B$6:$L$3250,CURR_1.SEARCH.NEW,0)),'DICTIONARY-5'!$A$2)</f>
        <v>52,-</v>
      </c>
      <c r="G40" s="339" t="str">
        <f>IFERROR(IF(OR(E40='DICTIONARY-5'!$A$2,E40='DICTIONARY-5'!$A$4,ISBLANK(E40)),VLOOKUP(D40,LIST!$A$6:$M$3250,CURR_2.SEARCH.OLD,0),VLOOKUP(E40,LIST!$B$6:$M$3250,CURR_2.SEARCH.NEW,0)),'DICTIONARY-5'!$A$2)</f>
        <v/>
      </c>
      <c r="H40" s="209"/>
      <c r="I40" s="209"/>
      <c r="L40" s="223"/>
    </row>
    <row r="41" spans="1:12" x14ac:dyDescent="0.25">
      <c r="A41" s="207">
        <v>200</v>
      </c>
      <c r="B41" s="207">
        <v>1.6</v>
      </c>
      <c r="C41" s="207" t="s">
        <v>2010</v>
      </c>
      <c r="D41" s="207" t="s">
        <v>2001</v>
      </c>
      <c r="E41" s="313" t="s">
        <v>2940</v>
      </c>
      <c r="F41" s="339" t="str">
        <f>IFERROR(IF(OR(E41='DICTIONARY-5'!$A$2,E41='DICTIONARY-5'!$A$4,ISBLANK(E41)),VLOOKUP(D41,LIST!$A$6:$L$3250,CURR_1.SEARCH.OLD,0),VLOOKUP(E41,LIST!$B$6:$L$3250,CURR_1.SEARCH.NEW,0)),'DICTIONARY-5'!$A$2)</f>
        <v>79,-</v>
      </c>
      <c r="G41" s="339" t="str">
        <f>IFERROR(IF(OR(E41='DICTIONARY-5'!$A$2,E41='DICTIONARY-5'!$A$4,ISBLANK(E41)),VLOOKUP(D41,LIST!$A$6:$M$3250,CURR_2.SEARCH.OLD,0),VLOOKUP(E41,LIST!$B$6:$M$3250,CURR_2.SEARCH.NEW,0)),'DICTIONARY-5'!$A$2)</f>
        <v/>
      </c>
      <c r="H41" s="209"/>
      <c r="I41" s="209"/>
    </row>
    <row r="42" spans="1:12" x14ac:dyDescent="0.25">
      <c r="A42" s="207">
        <v>250</v>
      </c>
      <c r="B42" s="207">
        <v>1.6</v>
      </c>
      <c r="C42" s="207" t="s">
        <v>2011</v>
      </c>
      <c r="D42" s="207" t="s">
        <v>2002</v>
      </c>
      <c r="E42" s="313" t="s">
        <v>2941</v>
      </c>
      <c r="F42" s="339" t="str">
        <f>IFERROR(IF(OR(E42='DICTIONARY-5'!$A$2,E42='DICTIONARY-5'!$A$4,ISBLANK(E42)),VLOOKUP(D42,LIST!$A$6:$L$3250,CURR_1.SEARCH.OLD,0),VLOOKUP(E42,LIST!$B$6:$L$3250,CURR_1.SEARCH.NEW,0)),'DICTIONARY-5'!$A$2)</f>
        <v>135,-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  <c r="H42" s="209"/>
      <c r="I42" s="209"/>
    </row>
  </sheetData>
  <sheetProtection algorithmName="SHA-512" hashValue="3IL4P+nlakw1aj6DYK2Er5ig/ikxLzMPZL10jq45LmKgIXsXqSMo09bw1qt6c5BBQF/PQwhCJoRaTg3WPXnE9g==" saltValue="afFsw6H8tHWzeP7DKwpg8A==" spinCount="100000" sheet="1" objects="1" scenarios="1" autoFilter="0"/>
  <mergeCells count="9">
    <mergeCell ref="B4:E4"/>
    <mergeCell ref="H9:K9"/>
    <mergeCell ref="D31:G31"/>
    <mergeCell ref="D10:G10"/>
    <mergeCell ref="H10:K10"/>
    <mergeCell ref="B31:B32"/>
    <mergeCell ref="C31:C32"/>
    <mergeCell ref="D32:G32"/>
    <mergeCell ref="D9:G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0">
    <tabColor rgb="FFFFC000"/>
  </sheetPr>
  <dimension ref="A1:F21"/>
  <sheetViews>
    <sheetView workbookViewId="0"/>
  </sheetViews>
  <sheetFormatPr defaultColWidth="9.140625" defaultRowHeight="15" x14ac:dyDescent="0.25"/>
  <cols>
    <col min="1" max="2" width="9.140625" style="200"/>
    <col min="3" max="4" width="22.140625" style="200" customWidth="1"/>
    <col min="5" max="6" width="12.85546875" style="201" customWidth="1"/>
    <col min="7" max="16384" width="9.140625" style="195"/>
  </cols>
  <sheetData>
    <row r="1" spans="1:6" s="401" customFormat="1" ht="45" customHeight="1" thickBot="1" x14ac:dyDescent="0.3">
      <c r="A1" s="428"/>
      <c r="B1" s="428"/>
      <c r="C1" s="428"/>
      <c r="D1" s="428"/>
      <c r="E1" s="403"/>
      <c r="F1" s="403"/>
    </row>
    <row r="2" spans="1:6" s="458" customFormat="1" ht="4.5" customHeight="1" x14ac:dyDescent="0.25">
      <c r="A2" s="457"/>
      <c r="B2" s="459"/>
      <c r="C2" s="459"/>
      <c r="D2" s="459"/>
      <c r="E2" s="460"/>
      <c r="F2" s="460"/>
    </row>
    <row r="3" spans="1:6" ht="15.75" thickBot="1" x14ac:dyDescent="0.3">
      <c r="A3" s="196"/>
      <c r="B3" s="197"/>
    </row>
    <row r="4" spans="1:6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6" x14ac:dyDescent="0.25">
      <c r="A5" s="196"/>
      <c r="B5" s="197"/>
    </row>
    <row r="6" spans="1:6" ht="16.5" thickBot="1" x14ac:dyDescent="0.3">
      <c r="A6" s="712" t="str">
        <f>CONCATENATE('DICTIONARY-3'!$A$122," ",'DICTIONARY-3'!$A$213," / ",'DICTIONARY-3'!$A$328)</f>
        <v xml:space="preserve">SAK Kosz ssący / Ze zintegrowanym zaworem zwrotnym </v>
      </c>
      <c r="B6" s="712"/>
      <c r="C6" s="712"/>
      <c r="D6" s="712"/>
      <c r="E6" s="712"/>
      <c r="F6" s="712"/>
    </row>
    <row r="7" spans="1:6" x14ac:dyDescent="0.25">
      <c r="A7" s="198" t="str">
        <f>CONCATENATE('DICTIONARY-1'!$A$10,": ",SETTINGS!$C$54)</f>
        <v>Grupa rabatowa: SAK</v>
      </c>
    </row>
    <row r="8" spans="1:6" x14ac:dyDescent="0.25">
      <c r="A8" s="202"/>
    </row>
    <row r="9" spans="1:6" x14ac:dyDescent="0.25">
      <c r="A9" s="203" t="str">
        <f>'DICTIONARY-2'!$A$2</f>
        <v>DN</v>
      </c>
      <c r="B9" s="203" t="str">
        <f>'DICTIONARY-2'!$A$3</f>
        <v>PN</v>
      </c>
      <c r="C9" s="1024" t="str">
        <f>'DICTIONARY-3'!$A$122</f>
        <v>SAK</v>
      </c>
      <c r="D9" s="1024"/>
      <c r="E9" s="1024"/>
      <c r="F9" s="1024"/>
    </row>
    <row r="10" spans="1:6" x14ac:dyDescent="0.25">
      <c r="A10" s="204"/>
      <c r="B10" s="204"/>
      <c r="C10" s="1025" t="str">
        <f>'DICTIONARY-5'!$A$161&amp;": "&amp;'DICTIONARY-5'!$A$32</f>
        <v>sito: stal nierdzewna</v>
      </c>
      <c r="D10" s="1025"/>
      <c r="E10" s="1025"/>
      <c r="F10" s="1025"/>
    </row>
    <row r="11" spans="1:6" x14ac:dyDescent="0.25">
      <c r="A11" s="211"/>
      <c r="B11" s="211"/>
      <c r="C11" s="212" t="str">
        <f>'DICTIONARY-2'!$A$28</f>
        <v>stary nr zamówienia</v>
      </c>
      <c r="D11" s="212" t="str">
        <f>'DICTIONARY-2'!$A$29</f>
        <v>nowy nr zamówienia</v>
      </c>
      <c r="E11" s="206" t="str">
        <f>CURRENCY.CODE_1</f>
        <v>EUR</v>
      </c>
      <c r="F11" s="206" t="str">
        <f>CURRENCY.CODE_2</f>
        <v>---</v>
      </c>
    </row>
    <row r="12" spans="1:6" x14ac:dyDescent="0.25">
      <c r="A12" s="207">
        <v>50</v>
      </c>
      <c r="B12" s="207">
        <v>10</v>
      </c>
      <c r="C12" s="207" t="s">
        <v>2013</v>
      </c>
      <c r="D12" s="313" t="s">
        <v>4828</v>
      </c>
      <c r="E12" s="339" t="str">
        <f>IFERROR(IF(OR(D12='DICTIONARY-5'!$A$2,D12='DICTIONARY-5'!$A$4,ISBLANK(D12)),VLOOKUP(C12,LIST!$A$6:$L$3250,CURR_1.SEARCH.OLD,0),VLOOKUP(D12,LIST!$B$6:$L$3250,CURR_1.SEARCH.NEW,0)),'DICTIONARY-5'!$A$2)</f>
        <v>154,-</v>
      </c>
      <c r="F12" s="339" t="str">
        <f>IFERROR(IF(OR(D12='DICTIONARY-5'!$A$2,D12='DICTIONARY-5'!$A$4,ISBLANK(D12)),VLOOKUP(C12,LIST!$A$6:$M$3250,CURR_2.SEARCH.OLD,0),VLOOKUP(D12,LIST!$B$6:$M$3250,CURR_2.SEARCH.NEW,0)),'DICTIONARY-5'!$A$2)</f>
        <v/>
      </c>
    </row>
    <row r="13" spans="1:6" x14ac:dyDescent="0.25">
      <c r="A13" s="207">
        <v>65</v>
      </c>
      <c r="B13" s="207">
        <v>10</v>
      </c>
      <c r="C13" s="207" t="s">
        <v>2014</v>
      </c>
      <c r="D13" s="313" t="s">
        <v>4829</v>
      </c>
      <c r="E13" s="339" t="str">
        <f>IFERROR(IF(OR(D13='DICTIONARY-5'!$A$2,D13='DICTIONARY-5'!$A$4,ISBLANK(D13)),VLOOKUP(C13,LIST!$A$6:$L$3250,CURR_1.SEARCH.OLD,0),VLOOKUP(D13,LIST!$B$6:$L$3250,CURR_1.SEARCH.NEW,0)),'DICTIONARY-5'!$A$2)</f>
        <v>178,-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</row>
    <row r="14" spans="1:6" x14ac:dyDescent="0.25">
      <c r="A14" s="207">
        <v>80</v>
      </c>
      <c r="B14" s="207">
        <v>10</v>
      </c>
      <c r="C14" s="207" t="s">
        <v>2015</v>
      </c>
      <c r="D14" s="313" t="s">
        <v>4830</v>
      </c>
      <c r="E14" s="339" t="str">
        <f>IFERROR(IF(OR(D14='DICTIONARY-5'!$A$2,D14='DICTIONARY-5'!$A$4,ISBLANK(D14)),VLOOKUP(C14,LIST!$A$6:$L$3250,CURR_1.SEARCH.OLD,0),VLOOKUP(D14,LIST!$B$6:$L$3250,CURR_1.SEARCH.NEW,0)),'DICTIONARY-5'!$A$2)</f>
        <v>189,-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6" x14ac:dyDescent="0.25">
      <c r="A15" s="207">
        <v>100</v>
      </c>
      <c r="B15" s="207">
        <v>10</v>
      </c>
      <c r="C15" s="207" t="s">
        <v>2016</v>
      </c>
      <c r="D15" s="313" t="s">
        <v>4831</v>
      </c>
      <c r="E15" s="339" t="str">
        <f>IFERROR(IF(OR(D15='DICTIONARY-5'!$A$2,D15='DICTIONARY-5'!$A$4,ISBLANK(D15)),VLOOKUP(C15,LIST!$A$6:$L$3250,CURR_1.SEARCH.OLD,0),VLOOKUP(D15,LIST!$B$6:$L$3250,CURR_1.SEARCH.NEW,0)),'DICTIONARY-5'!$A$2)</f>
        <v>237,-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</row>
    <row r="16" spans="1:6" x14ac:dyDescent="0.25">
      <c r="A16" s="207">
        <v>125</v>
      </c>
      <c r="B16" s="207">
        <v>10</v>
      </c>
      <c r="C16" s="207" t="s">
        <v>2017</v>
      </c>
      <c r="D16" s="313" t="s">
        <v>4832</v>
      </c>
      <c r="E16" s="339" t="str">
        <f>IFERROR(IF(OR(D16='DICTIONARY-5'!$A$2,D16='DICTIONARY-5'!$A$4,ISBLANK(D16)),VLOOKUP(C16,LIST!$A$6:$L$3250,CURR_1.SEARCH.OLD,0),VLOOKUP(D16,LIST!$B$6:$L$3250,CURR_1.SEARCH.NEW,0)),'DICTIONARY-5'!$A$2)</f>
        <v>315,-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</row>
    <row r="17" spans="1:6" x14ac:dyDescent="0.25">
      <c r="A17" s="207">
        <v>150</v>
      </c>
      <c r="B17" s="207">
        <v>10</v>
      </c>
      <c r="C17" s="207" t="s">
        <v>2018</v>
      </c>
      <c r="D17" s="313" t="s">
        <v>4833</v>
      </c>
      <c r="E17" s="339" t="str">
        <f>IFERROR(IF(OR(D17='DICTIONARY-5'!$A$2,D17='DICTIONARY-5'!$A$4,ISBLANK(D17)),VLOOKUP(C17,LIST!$A$6:$L$3250,CURR_1.SEARCH.OLD,0),VLOOKUP(D17,LIST!$B$6:$L$3250,CURR_1.SEARCH.NEW,0)),'DICTIONARY-5'!$A$2)</f>
        <v>509,-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</row>
    <row r="18" spans="1:6" x14ac:dyDescent="0.25">
      <c r="A18" s="207">
        <v>200</v>
      </c>
      <c r="B18" s="207">
        <v>10</v>
      </c>
      <c r="C18" s="207" t="s">
        <v>2019</v>
      </c>
      <c r="D18" s="313" t="s">
        <v>4834</v>
      </c>
      <c r="E18" s="339" t="str">
        <f>IFERROR(IF(OR(D18='DICTIONARY-5'!$A$2,D18='DICTIONARY-5'!$A$4,ISBLANK(D18)),VLOOKUP(C18,LIST!$A$6:$L$3250,CURR_1.SEARCH.OLD,0),VLOOKUP(D18,LIST!$B$6:$L$3250,CURR_1.SEARCH.NEW,0)),'DICTIONARY-5'!$A$2)</f>
        <v>701,-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</row>
    <row r="19" spans="1:6" x14ac:dyDescent="0.25">
      <c r="A19" s="207">
        <v>250</v>
      </c>
      <c r="B19" s="207">
        <v>10</v>
      </c>
      <c r="C19" s="207" t="s">
        <v>2020</v>
      </c>
      <c r="D19" s="313" t="s">
        <v>4835</v>
      </c>
      <c r="E19" s="339" t="str">
        <f>IFERROR(IF(OR(D19='DICTIONARY-5'!$A$2,D19='DICTIONARY-5'!$A$4,ISBLANK(D19)),VLOOKUP(C19,LIST!$A$6:$L$3250,CURR_1.SEARCH.OLD,0),VLOOKUP(D19,LIST!$B$6:$L$3250,CURR_1.SEARCH.NEW,0)),'DICTIONARY-5'!$A$2)</f>
        <v>861,-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</row>
    <row r="20" spans="1:6" x14ac:dyDescent="0.25">
      <c r="A20" s="218"/>
    </row>
    <row r="21" spans="1:6" x14ac:dyDescent="0.25">
      <c r="A21" s="218" t="str">
        <f>'DICTIONARY-5'!$A$3&amp;" DN 300 ... 400 ("&amp;LOWER('DICTIONARY-1'!$A$10)&amp;" "&amp;'DICTIONARY-2'!$A$32&amp;" "&amp;"18)"</f>
        <v>Na zapytanie:  DN 300 ... 400 (grupa rabatowa RB 18)</v>
      </c>
    </row>
  </sheetData>
  <sheetProtection algorithmName="SHA-512" hashValue="Zrx7EgtaWvgcARTYhkaueeoXCMSCAVmaXH4B1kFr55GZ16wplYj983R3vLD8ZZ5fch8kS/i0vm12KPM8B7SJiw==" saltValue="aCp4gOWX74kAT5+/9T6iew==" spinCount="100000" sheet="1" objects="1" scenarios="1" autoFilter="0"/>
  <mergeCells count="3">
    <mergeCell ref="C9:F9"/>
    <mergeCell ref="C10:F10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1">
    <tabColor rgb="FFFFC000"/>
  </sheetPr>
  <dimension ref="A1:N74"/>
  <sheetViews>
    <sheetView workbookViewId="0"/>
  </sheetViews>
  <sheetFormatPr defaultColWidth="9.140625" defaultRowHeight="15" x14ac:dyDescent="0.25"/>
  <cols>
    <col min="1" max="4" width="9.140625" style="200"/>
    <col min="5" max="6" width="22.140625" style="200" customWidth="1"/>
    <col min="7" max="8" width="12.85546875" style="201" customWidth="1"/>
    <col min="9" max="9" width="9.140625" style="201"/>
    <col min="10" max="11" width="22.140625" style="195" customWidth="1"/>
    <col min="12" max="13" width="12.85546875" style="195" customWidth="1"/>
    <col min="14" max="14" width="11.42578125" style="195" customWidth="1"/>
    <col min="15" max="16384" width="9.140625" style="195"/>
  </cols>
  <sheetData>
    <row r="1" spans="1:14" s="401" customFormat="1" ht="45" customHeight="1" thickBot="1" x14ac:dyDescent="0.3">
      <c r="A1" s="428"/>
      <c r="B1" s="428"/>
      <c r="C1" s="428"/>
      <c r="D1" s="428"/>
      <c r="E1" s="402"/>
      <c r="F1" s="402"/>
      <c r="G1" s="403"/>
      <c r="H1" s="403"/>
      <c r="I1" s="403"/>
    </row>
    <row r="2" spans="1:14" s="458" customFormat="1" ht="4.5" customHeight="1" x14ac:dyDescent="0.25">
      <c r="A2" s="457"/>
      <c r="B2" s="459"/>
      <c r="C2" s="459"/>
      <c r="D2" s="459"/>
      <c r="E2" s="459"/>
      <c r="F2" s="459"/>
      <c r="G2" s="460"/>
      <c r="H2" s="460"/>
      <c r="I2" s="460"/>
    </row>
    <row r="3" spans="1:14" ht="15.75" thickBot="1" x14ac:dyDescent="0.3">
      <c r="A3" s="196"/>
      <c r="B3" s="197"/>
      <c r="C3" s="197"/>
    </row>
    <row r="4" spans="1:14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14" x14ac:dyDescent="0.25">
      <c r="A5" s="196"/>
      <c r="B5" s="197"/>
      <c r="C5" s="197"/>
    </row>
    <row r="6" spans="1:14" ht="16.5" thickBot="1" x14ac:dyDescent="0.3">
      <c r="A6" s="712" t="str">
        <f>CONCATENATE('DICTIONARY-3'!$A$124," ",'DICTIONARY-3'!$A$214," / ",'DICTIONARY-3'!$A$329)</f>
        <v>VARIplus-DJ Wstawka montażowa / Z galwanizowanymi gwintowanymi kołkami kotwiącymi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  <c r="M6" s="712"/>
    </row>
    <row r="7" spans="1:14" x14ac:dyDescent="0.25">
      <c r="A7" s="198" t="str">
        <f>'DICTIONARY-5'!$A$162</f>
        <v>Z prętami gwintowanymi przechodzącymi obustronnie</v>
      </c>
    </row>
    <row r="8" spans="1:14" x14ac:dyDescent="0.25">
      <c r="A8" s="198" t="str">
        <f>CONCATENATE('DICTIONARY-1'!$A$10,": ",SETTINGS!$C$74)</f>
        <v>Grupa rabatowa: VARIplus</v>
      </c>
    </row>
    <row r="9" spans="1:14" x14ac:dyDescent="0.25">
      <c r="A9" s="202"/>
    </row>
    <row r="10" spans="1:14" x14ac:dyDescent="0.25">
      <c r="A10" s="203" t="str">
        <f>'DICTIONARY-2'!$A$2</f>
        <v>DN</v>
      </c>
      <c r="B10" s="708" t="str">
        <f>'DICTIONARY-2'!$A$24</f>
        <v>L</v>
      </c>
      <c r="C10" s="708" t="str">
        <f>'DICTIONARY-2'!$A$25&amp;" 1)"</f>
        <v>Z 1)</v>
      </c>
      <c r="D10" s="203" t="str">
        <f>'DICTIONARY-2'!$A$3</f>
        <v>PN</v>
      </c>
      <c r="E10" s="1024" t="str">
        <f>'DICTIONARY-3'!$A$124</f>
        <v>VARIplus-DJ</v>
      </c>
      <c r="F10" s="1024"/>
      <c r="G10" s="1024"/>
      <c r="H10" s="1024"/>
      <c r="I10" s="203" t="str">
        <f>'DICTIONARY-2'!$A$3</f>
        <v>PN</v>
      </c>
      <c r="J10" s="1024" t="str">
        <f>'DICTIONARY-3'!$A$124</f>
        <v>VARIplus-DJ</v>
      </c>
      <c r="K10" s="1024"/>
      <c r="L10" s="1024"/>
      <c r="M10" s="1024"/>
      <c r="N10" s="224"/>
    </row>
    <row r="11" spans="1:14" x14ac:dyDescent="0.25">
      <c r="A11" s="204"/>
      <c r="B11" s="709"/>
      <c r="C11" s="709"/>
      <c r="D11" s="204"/>
      <c r="E11" s="1025" t="str">
        <f>'DICTIONARY-5'!$A$164&amp;": "&amp;'DICTIONARY-5'!$A$41&amp;", "&amp;'DICTIONARY-5'!$A$43&amp;": "&amp;'DICTIONARY-5'!$A$44</f>
        <v>pręty gwintowane: stal ocynkowana, guma: EPDM</v>
      </c>
      <c r="F11" s="1025"/>
      <c r="G11" s="1025"/>
      <c r="H11" s="1025"/>
      <c r="I11" s="204"/>
      <c r="J11" s="1025" t="str">
        <f>'DICTIONARY-5'!$A$164&amp;": "&amp;'DICTIONARY-5'!$A$41&amp;", "&amp;'DICTIONARY-5'!$A$43&amp;": "&amp;'DICTIONARY-5'!$A$44</f>
        <v>pręty gwintowane: stal ocynkowana, guma: EPDM</v>
      </c>
      <c r="K11" s="1025"/>
      <c r="L11" s="1025"/>
      <c r="M11" s="1025"/>
      <c r="N11" s="224"/>
    </row>
    <row r="12" spans="1:14" x14ac:dyDescent="0.25">
      <c r="A12" s="204"/>
      <c r="B12" s="204" t="str">
        <f>'DICTIONARY-2'!$A$18</f>
        <v>[mm]</v>
      </c>
      <c r="C12" s="204" t="str">
        <f>'DICTIONARY-2'!$A$18</f>
        <v>[mm]</v>
      </c>
      <c r="D12" s="204"/>
      <c r="E12" s="212" t="str">
        <f>'DICTIONARY-2'!$A$28</f>
        <v>stary nr zamówienia</v>
      </c>
      <c r="F12" s="212" t="str">
        <f>'DICTIONARY-2'!$A$29</f>
        <v>nowy nr zamówienia</v>
      </c>
      <c r="G12" s="206" t="str">
        <f>CURRENCY.CODE_1</f>
        <v>EUR</v>
      </c>
      <c r="H12" s="206" t="str">
        <f>CURRENCY.CODE_2</f>
        <v>---</v>
      </c>
      <c r="I12" s="204"/>
      <c r="J12" s="212" t="str">
        <f>'DICTIONARY-2'!$A$28</f>
        <v>stary nr zamówienia</v>
      </c>
      <c r="K12" s="212" t="str">
        <f>'DICTIONARY-2'!$A$29</f>
        <v>nowy nr zamówienia</v>
      </c>
      <c r="L12" s="206" t="str">
        <f>CURRENCY.CODE_1</f>
        <v>EUR</v>
      </c>
      <c r="M12" s="206" t="str">
        <f>CURRENCY.CODE_2</f>
        <v>---</v>
      </c>
      <c r="N12" s="225"/>
    </row>
    <row r="13" spans="1:14" x14ac:dyDescent="0.25">
      <c r="A13" s="207">
        <v>50</v>
      </c>
      <c r="B13" s="207" t="s">
        <v>2021</v>
      </c>
      <c r="C13" s="207">
        <v>20</v>
      </c>
      <c r="D13" s="207" t="s">
        <v>12</v>
      </c>
      <c r="E13" s="207" t="s">
        <v>2022</v>
      </c>
      <c r="F13" s="313" t="s">
        <v>3595</v>
      </c>
      <c r="G13" s="339" t="str">
        <f>IFERROR(IF(OR(F13='DICTIONARY-5'!$A$2,F13='DICTIONARY-5'!$A$4,ISBLANK(F13)),VLOOKUP(E13,LIST!$A$6:$L$3250,CURR_1.SEARCH.OLD,0),VLOOKUP(F13,LIST!$B$6:$L$3250,CURR_1.SEARCH.NEW,0)),'DICTIONARY-5'!$A$2)</f>
        <v>178,-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  <c r="I13" s="207" t="s">
        <v>36</v>
      </c>
      <c r="J13" s="207" t="s">
        <v>2022</v>
      </c>
      <c r="K13" s="313" t="s">
        <v>3595</v>
      </c>
      <c r="L13" s="339" t="str">
        <f>IFERROR(IF(OR(K13='DICTIONARY-5'!$A$2,K13='DICTIONARY-5'!$A$4,ISBLANK(K13)),VLOOKUP(J13,LIST!$A$6:$L$3250,CURR_1.SEARCH.OLD,0),VLOOKUP(K13,LIST!$B$6:$L$3250,CURR_1.SEARCH.NEW,0)),'DICTIONARY-5'!$A$2)</f>
        <v>178,-</v>
      </c>
      <c r="M13" s="339" t="str">
        <f>IFERROR(IF(OR(K13='DICTIONARY-5'!$A$2,K13='DICTIONARY-5'!$A$4,ISBLANK(K13)),VLOOKUP(J13,LIST!$A$6:$M$3250,CURR_2.SEARCH.OLD,0),VLOOKUP(K13,LIST!$B$6:$M$3250,CURR_2.SEARCH.NEW,0)),'DICTIONARY-5'!$A$2)</f>
        <v/>
      </c>
      <c r="N13" s="201"/>
    </row>
    <row r="14" spans="1:14" x14ac:dyDescent="0.25">
      <c r="A14" s="207">
        <v>65</v>
      </c>
      <c r="B14" s="207" t="s">
        <v>2021</v>
      </c>
      <c r="C14" s="207">
        <v>20</v>
      </c>
      <c r="D14" s="207" t="s">
        <v>12</v>
      </c>
      <c r="E14" s="207" t="s">
        <v>2023</v>
      </c>
      <c r="F14" s="313" t="s">
        <v>3597</v>
      </c>
      <c r="G14" s="339" t="str">
        <f>IFERROR(IF(OR(F14='DICTIONARY-5'!$A$2,F14='DICTIONARY-5'!$A$4,ISBLANK(F14)),VLOOKUP(E14,LIST!$A$6:$L$3250,CURR_1.SEARCH.OLD,0),VLOOKUP(F14,LIST!$B$6:$L$3250,CURR_1.SEARCH.NEW,0)),'DICTIONARY-5'!$A$2)</f>
        <v>209,-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  <c r="I14" s="207" t="s">
        <v>36</v>
      </c>
      <c r="J14" s="207" t="s">
        <v>2023</v>
      </c>
      <c r="K14" s="313" t="s">
        <v>3597</v>
      </c>
      <c r="L14" s="339" t="str">
        <f>IFERROR(IF(OR(K14='DICTIONARY-5'!$A$2,K14='DICTIONARY-5'!$A$4,ISBLANK(K14)),VLOOKUP(J14,LIST!$A$6:$L$3250,CURR_1.SEARCH.OLD,0),VLOOKUP(K14,LIST!$B$6:$L$3250,CURR_1.SEARCH.NEW,0)),'DICTIONARY-5'!$A$2)</f>
        <v>209,-</v>
      </c>
      <c r="M14" s="339" t="str">
        <f>IFERROR(IF(OR(K14='DICTIONARY-5'!$A$2,K14='DICTIONARY-5'!$A$4,ISBLANK(K14)),VLOOKUP(J14,LIST!$A$6:$M$3250,CURR_2.SEARCH.OLD,0),VLOOKUP(K14,LIST!$B$6:$M$3250,CURR_2.SEARCH.NEW,0)),'DICTIONARY-5'!$A$2)</f>
        <v/>
      </c>
      <c r="N14" s="201"/>
    </row>
    <row r="15" spans="1:14" x14ac:dyDescent="0.25">
      <c r="A15" s="207">
        <v>80</v>
      </c>
      <c r="B15" s="207" t="s">
        <v>2021</v>
      </c>
      <c r="C15" s="207">
        <v>20</v>
      </c>
      <c r="D15" s="207" t="s">
        <v>12</v>
      </c>
      <c r="E15" s="207" t="s">
        <v>2024</v>
      </c>
      <c r="F15" s="313" t="s">
        <v>3599</v>
      </c>
      <c r="G15" s="339" t="str">
        <f>IFERROR(IF(OR(F15='DICTIONARY-5'!$A$2,F15='DICTIONARY-5'!$A$4,ISBLANK(F15)),VLOOKUP(E15,LIST!$A$6:$L$3250,CURR_1.SEARCH.OLD,0),VLOOKUP(F15,LIST!$B$6:$L$3250,CURR_1.SEARCH.NEW,0)),'DICTIONARY-5'!$A$2)</f>
        <v>229,-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  <c r="I15" s="207" t="s">
        <v>36</v>
      </c>
      <c r="J15" s="207" t="s">
        <v>2024</v>
      </c>
      <c r="K15" s="313" t="s">
        <v>3599</v>
      </c>
      <c r="L15" s="339" t="str">
        <f>IFERROR(IF(OR(K15='DICTIONARY-5'!$A$2,K15='DICTIONARY-5'!$A$4,ISBLANK(K15)),VLOOKUP(J15,LIST!$A$6:$L$3250,CURR_1.SEARCH.OLD,0),VLOOKUP(K15,LIST!$B$6:$L$3250,CURR_1.SEARCH.NEW,0)),'DICTIONARY-5'!$A$2)</f>
        <v>229,-</v>
      </c>
      <c r="M15" s="339" t="str">
        <f>IFERROR(IF(OR(K15='DICTIONARY-5'!$A$2,K15='DICTIONARY-5'!$A$4,ISBLANK(K15)),VLOOKUP(J15,LIST!$A$6:$M$3250,CURR_2.SEARCH.OLD,0),VLOOKUP(K15,LIST!$B$6:$M$3250,CURR_2.SEARCH.NEW,0)),'DICTIONARY-5'!$A$2)</f>
        <v/>
      </c>
      <c r="N15" s="201"/>
    </row>
    <row r="16" spans="1:14" x14ac:dyDescent="0.25">
      <c r="A16" s="207">
        <v>100</v>
      </c>
      <c r="B16" s="207" t="s">
        <v>2021</v>
      </c>
      <c r="C16" s="207">
        <v>20</v>
      </c>
      <c r="D16" s="207" t="s">
        <v>12</v>
      </c>
      <c r="E16" s="207" t="s">
        <v>2025</v>
      </c>
      <c r="F16" s="313" t="s">
        <v>3601</v>
      </c>
      <c r="G16" s="339" t="str">
        <f>IFERROR(IF(OR(F16='DICTIONARY-5'!$A$2,F16='DICTIONARY-5'!$A$4,ISBLANK(F16)),VLOOKUP(E16,LIST!$A$6:$L$3250,CURR_1.SEARCH.OLD,0),VLOOKUP(F16,LIST!$B$6:$L$3250,CURR_1.SEARCH.NEW,0)),'DICTIONARY-5'!$A$2)</f>
        <v>212,-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  <c r="I16" s="207" t="s">
        <v>36</v>
      </c>
      <c r="J16" s="207" t="s">
        <v>2025</v>
      </c>
      <c r="K16" s="313" t="s">
        <v>3601</v>
      </c>
      <c r="L16" s="339" t="str">
        <f>IFERROR(IF(OR(K16='DICTIONARY-5'!$A$2,K16='DICTIONARY-5'!$A$4,ISBLANK(K16)),VLOOKUP(J16,LIST!$A$6:$L$3250,CURR_1.SEARCH.OLD,0),VLOOKUP(K16,LIST!$B$6:$L$3250,CURR_1.SEARCH.NEW,0)),'DICTIONARY-5'!$A$2)</f>
        <v>212,-</v>
      </c>
      <c r="M16" s="339" t="str">
        <f>IFERROR(IF(OR(K16='DICTIONARY-5'!$A$2,K16='DICTIONARY-5'!$A$4,ISBLANK(K16)),VLOOKUP(J16,LIST!$A$6:$M$3250,CURR_2.SEARCH.OLD,0),VLOOKUP(K16,LIST!$B$6:$M$3250,CURR_2.SEARCH.NEW,0)),'DICTIONARY-5'!$A$2)</f>
        <v/>
      </c>
      <c r="N16" s="201"/>
    </row>
    <row r="17" spans="1:14" x14ac:dyDescent="0.25">
      <c r="A17" s="207">
        <v>125</v>
      </c>
      <c r="B17" s="207" t="s">
        <v>2021</v>
      </c>
      <c r="C17" s="207">
        <v>20</v>
      </c>
      <c r="D17" s="207" t="s">
        <v>12</v>
      </c>
      <c r="E17" s="207" t="s">
        <v>2026</v>
      </c>
      <c r="F17" s="313" t="s">
        <v>3603</v>
      </c>
      <c r="G17" s="339" t="str">
        <f>IFERROR(IF(OR(F17='DICTIONARY-5'!$A$2,F17='DICTIONARY-5'!$A$4,ISBLANK(F17)),VLOOKUP(E17,LIST!$A$6:$L$3250,CURR_1.SEARCH.OLD,0),VLOOKUP(F17,LIST!$B$6:$L$3250,CURR_1.SEARCH.NEW,0)),'DICTIONARY-5'!$A$2)</f>
        <v>241,-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  <c r="I17" s="207" t="s">
        <v>36</v>
      </c>
      <c r="J17" s="207" t="s">
        <v>2026</v>
      </c>
      <c r="K17" s="313" t="s">
        <v>3603</v>
      </c>
      <c r="L17" s="339" t="str">
        <f>IFERROR(IF(OR(K17='DICTIONARY-5'!$A$2,K17='DICTIONARY-5'!$A$4,ISBLANK(K17)),VLOOKUP(J17,LIST!$A$6:$L$3250,CURR_1.SEARCH.OLD,0),VLOOKUP(K17,LIST!$B$6:$L$3250,CURR_1.SEARCH.NEW,0)),'DICTIONARY-5'!$A$2)</f>
        <v>241,-</v>
      </c>
      <c r="M17" s="339" t="str">
        <f>IFERROR(IF(OR(K17='DICTIONARY-5'!$A$2,K17='DICTIONARY-5'!$A$4,ISBLANK(K17)),VLOOKUP(J17,LIST!$A$6:$M$3250,CURR_2.SEARCH.OLD,0),VLOOKUP(K17,LIST!$B$6:$M$3250,CURR_2.SEARCH.NEW,0)),'DICTIONARY-5'!$A$2)</f>
        <v/>
      </c>
      <c r="N17" s="201"/>
    </row>
    <row r="18" spans="1:14" x14ac:dyDescent="0.25">
      <c r="A18" s="207">
        <v>150</v>
      </c>
      <c r="B18" s="207" t="s">
        <v>2021</v>
      </c>
      <c r="C18" s="207">
        <v>20</v>
      </c>
      <c r="D18" s="207" t="s">
        <v>12</v>
      </c>
      <c r="E18" s="207" t="s">
        <v>2027</v>
      </c>
      <c r="F18" s="313" t="s">
        <v>3605</v>
      </c>
      <c r="G18" s="339" t="str">
        <f>IFERROR(IF(OR(F18='DICTIONARY-5'!$A$2,F18='DICTIONARY-5'!$A$4,ISBLANK(F18)),VLOOKUP(E18,LIST!$A$6:$L$3250,CURR_1.SEARCH.OLD,0),VLOOKUP(F18,LIST!$B$6:$L$3250,CURR_1.SEARCH.NEW,0)),'DICTIONARY-5'!$A$2)</f>
        <v>296,-</v>
      </c>
      <c r="H18" s="339" t="str">
        <f>IFERROR(IF(OR(F18='DICTIONARY-5'!$A$2,F18='DICTIONARY-5'!$A$4,ISBLANK(F18)),VLOOKUP(E18,LIST!$A$6:$M$3250,CURR_2.SEARCH.OLD,0),VLOOKUP(F18,LIST!$B$6:$M$3250,CURR_2.SEARCH.NEW,0)),'DICTIONARY-5'!$A$2)</f>
        <v/>
      </c>
      <c r="I18" s="207" t="s">
        <v>36</v>
      </c>
      <c r="J18" s="207" t="s">
        <v>2027</v>
      </c>
      <c r="K18" s="313" t="s">
        <v>3605</v>
      </c>
      <c r="L18" s="339" t="str">
        <f>IFERROR(IF(OR(K18='DICTIONARY-5'!$A$2,K18='DICTIONARY-5'!$A$4,ISBLANK(K18)),VLOOKUP(J18,LIST!$A$6:$L$3250,CURR_1.SEARCH.OLD,0),VLOOKUP(K18,LIST!$B$6:$L$3250,CURR_1.SEARCH.NEW,0)),'DICTIONARY-5'!$A$2)</f>
        <v>296,-</v>
      </c>
      <c r="M18" s="339" t="str">
        <f>IFERROR(IF(OR(K18='DICTIONARY-5'!$A$2,K18='DICTIONARY-5'!$A$4,ISBLANK(K18)),VLOOKUP(J18,LIST!$A$6:$M$3250,CURR_2.SEARCH.OLD,0),VLOOKUP(K18,LIST!$B$6:$M$3250,CURR_2.SEARCH.NEW,0)),'DICTIONARY-5'!$A$2)</f>
        <v/>
      </c>
      <c r="N18" s="201"/>
    </row>
    <row r="19" spans="1:14" x14ac:dyDescent="0.25">
      <c r="A19" s="207">
        <v>200</v>
      </c>
      <c r="B19" s="207" t="s">
        <v>2021</v>
      </c>
      <c r="C19" s="207">
        <v>20</v>
      </c>
      <c r="D19" s="207" t="s">
        <v>12</v>
      </c>
      <c r="E19" s="207" t="s">
        <v>2028</v>
      </c>
      <c r="F19" s="313" t="s">
        <v>3607</v>
      </c>
      <c r="G19" s="339" t="str">
        <f>IFERROR(IF(OR(F19='DICTIONARY-5'!$A$2,F19='DICTIONARY-5'!$A$4,ISBLANK(F19)),VLOOKUP(E19,LIST!$A$6:$L$3250,CURR_1.SEARCH.OLD,0),VLOOKUP(F19,LIST!$B$6:$L$3250,CURR_1.SEARCH.NEW,0)),'DICTIONARY-5'!$A$2)</f>
        <v>405,-</v>
      </c>
      <c r="H19" s="339" t="str">
        <f>IFERROR(IF(OR(F19='DICTIONARY-5'!$A$2,F19='DICTIONARY-5'!$A$4,ISBLANK(F19)),VLOOKUP(E19,LIST!$A$6:$M$3250,CURR_2.SEARCH.OLD,0),VLOOKUP(F19,LIST!$B$6:$M$3250,CURR_2.SEARCH.NEW,0)),'DICTIONARY-5'!$A$2)</f>
        <v/>
      </c>
      <c r="I19" s="207">
        <v>16</v>
      </c>
      <c r="J19" s="207" t="s">
        <v>2029</v>
      </c>
      <c r="K19" s="313" t="s">
        <v>3609</v>
      </c>
      <c r="L19" s="339" t="str">
        <f>IFERROR(IF(OR(K19='DICTIONARY-5'!$A$2,K19='DICTIONARY-5'!$A$4,ISBLANK(K19)),VLOOKUP(J19,LIST!$A$6:$L$3250,CURR_1.SEARCH.OLD,0),VLOOKUP(K19,LIST!$B$6:$L$3250,CURR_1.SEARCH.NEW,0)),'DICTIONARY-5'!$A$2)</f>
        <v>356,-</v>
      </c>
      <c r="M19" s="339" t="str">
        <f>IFERROR(IF(OR(K19='DICTIONARY-5'!$A$2,K19='DICTIONARY-5'!$A$4,ISBLANK(K19)),VLOOKUP(J19,LIST!$A$6:$M$3250,CURR_2.SEARCH.OLD,0),VLOOKUP(K19,LIST!$B$6:$M$3250,CURR_2.SEARCH.NEW,0)),'DICTIONARY-5'!$A$2)</f>
        <v/>
      </c>
      <c r="N19" s="201"/>
    </row>
    <row r="20" spans="1:14" x14ac:dyDescent="0.25">
      <c r="A20" s="207">
        <v>250</v>
      </c>
      <c r="B20" s="207" t="s">
        <v>2030</v>
      </c>
      <c r="C20" s="207">
        <v>20</v>
      </c>
      <c r="D20" s="207" t="s">
        <v>12</v>
      </c>
      <c r="E20" s="207" t="s">
        <v>2031</v>
      </c>
      <c r="F20" s="313" t="s">
        <v>3611</v>
      </c>
      <c r="G20" s="339" t="str">
        <f>IFERROR(IF(OR(F20='DICTIONARY-5'!$A$2,F20='DICTIONARY-5'!$A$4,ISBLANK(F20)),VLOOKUP(E20,LIST!$A$6:$L$3250,CURR_1.SEARCH.OLD,0),VLOOKUP(F20,LIST!$B$6:$L$3250,CURR_1.SEARCH.NEW,0)),'DICTIONARY-5'!$A$2)</f>
        <v>597,-</v>
      </c>
      <c r="H20" s="339" t="str">
        <f>IFERROR(IF(OR(F20='DICTIONARY-5'!$A$2,F20='DICTIONARY-5'!$A$4,ISBLANK(F20)),VLOOKUP(E20,LIST!$A$6:$M$3250,CURR_2.SEARCH.OLD,0),VLOOKUP(F20,LIST!$B$6:$M$3250,CURR_2.SEARCH.NEW,0)),'DICTIONARY-5'!$A$2)</f>
        <v/>
      </c>
      <c r="I20" s="207">
        <v>16</v>
      </c>
      <c r="J20" s="207" t="s">
        <v>2032</v>
      </c>
      <c r="K20" s="313" t="s">
        <v>3613</v>
      </c>
      <c r="L20" s="339" t="str">
        <f>IFERROR(IF(OR(K20='DICTIONARY-5'!$A$2,K20='DICTIONARY-5'!$A$4,ISBLANK(K20)),VLOOKUP(J20,LIST!$A$6:$L$3250,CURR_1.SEARCH.OLD,0),VLOOKUP(K20,LIST!$B$6:$L$3250,CURR_1.SEARCH.NEW,0)),'DICTIONARY-5'!$A$2)</f>
        <v>575,-</v>
      </c>
      <c r="M20" s="339" t="str">
        <f>IFERROR(IF(OR(K20='DICTIONARY-5'!$A$2,K20='DICTIONARY-5'!$A$4,ISBLANK(K20)),VLOOKUP(J20,LIST!$A$6:$M$3250,CURR_2.SEARCH.OLD,0),VLOOKUP(K20,LIST!$B$6:$M$3250,CURR_2.SEARCH.NEW,0)),'DICTIONARY-5'!$A$2)</f>
        <v/>
      </c>
      <c r="N20" s="201"/>
    </row>
    <row r="21" spans="1:14" x14ac:dyDescent="0.25">
      <c r="A21" s="207">
        <v>300</v>
      </c>
      <c r="B21" s="207" t="s">
        <v>2030</v>
      </c>
      <c r="C21" s="207">
        <v>20</v>
      </c>
      <c r="D21" s="207" t="s">
        <v>12</v>
      </c>
      <c r="E21" s="207" t="s">
        <v>2033</v>
      </c>
      <c r="F21" s="313" t="s">
        <v>3615</v>
      </c>
      <c r="G21" s="339" t="str">
        <f>IFERROR(IF(OR(F21='DICTIONARY-5'!$A$2,F21='DICTIONARY-5'!$A$4,ISBLANK(F21)),VLOOKUP(E21,LIST!$A$6:$L$3250,CURR_1.SEARCH.OLD,0),VLOOKUP(F21,LIST!$B$6:$L$3250,CURR_1.SEARCH.NEW,0)),'DICTIONARY-5'!$A$2)</f>
        <v>699,-</v>
      </c>
      <c r="H21" s="339" t="str">
        <f>IFERROR(IF(OR(F21='DICTIONARY-5'!$A$2,F21='DICTIONARY-5'!$A$4,ISBLANK(F21)),VLOOKUP(E21,LIST!$A$6:$M$3250,CURR_2.SEARCH.OLD,0),VLOOKUP(F21,LIST!$B$6:$M$3250,CURR_2.SEARCH.NEW,0)),'DICTIONARY-5'!$A$2)</f>
        <v/>
      </c>
      <c r="I21" s="207">
        <v>16</v>
      </c>
      <c r="J21" s="207" t="s">
        <v>2034</v>
      </c>
      <c r="K21" s="313" t="s">
        <v>3617</v>
      </c>
      <c r="L21" s="339" t="str">
        <f>IFERROR(IF(OR(K21='DICTIONARY-5'!$A$2,K21='DICTIONARY-5'!$A$4,ISBLANK(K21)),VLOOKUP(J21,LIST!$A$6:$L$3250,CURR_1.SEARCH.OLD,0),VLOOKUP(K21,LIST!$B$6:$L$3250,CURR_1.SEARCH.NEW,0)),'DICTIONARY-5'!$A$2)</f>
        <v>656,-</v>
      </c>
      <c r="M21" s="339" t="str">
        <f>IFERROR(IF(OR(K21='DICTIONARY-5'!$A$2,K21='DICTIONARY-5'!$A$4,ISBLANK(K21)),VLOOKUP(J21,LIST!$A$6:$M$3250,CURR_2.SEARCH.OLD,0),VLOOKUP(K21,LIST!$B$6:$M$3250,CURR_2.SEARCH.NEW,0)),'DICTIONARY-5'!$A$2)</f>
        <v/>
      </c>
      <c r="N21" s="201"/>
    </row>
    <row r="22" spans="1:14" x14ac:dyDescent="0.25">
      <c r="A22" s="207">
        <v>350</v>
      </c>
      <c r="B22" s="207" t="s">
        <v>2035</v>
      </c>
      <c r="C22" s="207">
        <v>25</v>
      </c>
      <c r="D22" s="207" t="s">
        <v>12</v>
      </c>
      <c r="E22" s="207" t="s">
        <v>2036</v>
      </c>
      <c r="F22" s="313" t="s">
        <v>3619</v>
      </c>
      <c r="G22" s="339" t="str">
        <f>IFERROR(IF(OR(F22='DICTIONARY-5'!$A$2,F22='DICTIONARY-5'!$A$4,ISBLANK(F22)),VLOOKUP(E22,LIST!$A$6:$L$3250,CURR_1.SEARCH.OLD,0),VLOOKUP(F22,LIST!$B$6:$L$3250,CURR_1.SEARCH.NEW,0)),'DICTIONARY-5'!$A$2)</f>
        <v>1 042,-</v>
      </c>
      <c r="H22" s="339" t="str">
        <f>IFERROR(IF(OR(F22='DICTIONARY-5'!$A$2,F22='DICTIONARY-5'!$A$4,ISBLANK(F22)),VLOOKUP(E22,LIST!$A$6:$M$3250,CURR_2.SEARCH.OLD,0),VLOOKUP(F22,LIST!$B$6:$M$3250,CURR_2.SEARCH.NEW,0)),'DICTIONARY-5'!$A$2)</f>
        <v/>
      </c>
      <c r="I22" s="207">
        <v>16</v>
      </c>
      <c r="J22" s="207" t="s">
        <v>2037</v>
      </c>
      <c r="K22" s="313" t="s">
        <v>3621</v>
      </c>
      <c r="L22" s="339" t="str">
        <f>IFERROR(IF(OR(K22='DICTIONARY-5'!$A$2,K22='DICTIONARY-5'!$A$4,ISBLANK(K22)),VLOOKUP(J22,LIST!$A$6:$L$3250,CURR_1.SEARCH.OLD,0),VLOOKUP(K22,LIST!$B$6:$L$3250,CURR_1.SEARCH.NEW,0)),'DICTIONARY-5'!$A$2)</f>
        <v>867,-</v>
      </c>
      <c r="M22" s="339" t="str">
        <f>IFERROR(IF(OR(K22='DICTIONARY-5'!$A$2,K22='DICTIONARY-5'!$A$4,ISBLANK(K22)),VLOOKUP(J22,LIST!$A$6:$M$3250,CURR_2.SEARCH.OLD,0),VLOOKUP(K22,LIST!$B$6:$M$3250,CURR_2.SEARCH.NEW,0)),'DICTIONARY-5'!$A$2)</f>
        <v/>
      </c>
      <c r="N22" s="201"/>
    </row>
    <row r="23" spans="1:14" x14ac:dyDescent="0.25">
      <c r="A23" s="207">
        <v>400</v>
      </c>
      <c r="B23" s="207" t="s">
        <v>2035</v>
      </c>
      <c r="C23" s="207">
        <v>25</v>
      </c>
      <c r="D23" s="207" t="s">
        <v>12</v>
      </c>
      <c r="E23" s="207" t="s">
        <v>2038</v>
      </c>
      <c r="F23" s="313" t="s">
        <v>3623</v>
      </c>
      <c r="G23" s="339" t="str">
        <f>IFERROR(IF(OR(F23='DICTIONARY-5'!$A$2,F23='DICTIONARY-5'!$A$4,ISBLANK(F23)),VLOOKUP(E23,LIST!$A$6:$L$3250,CURR_1.SEARCH.OLD,0),VLOOKUP(F23,LIST!$B$6:$L$3250,CURR_1.SEARCH.NEW,0)),'DICTIONARY-5'!$A$2)</f>
        <v>1 161,-</v>
      </c>
      <c r="H23" s="339" t="str">
        <f>IFERROR(IF(OR(F23='DICTIONARY-5'!$A$2,F23='DICTIONARY-5'!$A$4,ISBLANK(F23)),VLOOKUP(E23,LIST!$A$6:$M$3250,CURR_2.SEARCH.OLD,0),VLOOKUP(F23,LIST!$B$6:$M$3250,CURR_2.SEARCH.NEW,0)),'DICTIONARY-5'!$A$2)</f>
        <v/>
      </c>
      <c r="I23" s="207">
        <v>16</v>
      </c>
      <c r="J23" s="207" t="s">
        <v>2039</v>
      </c>
      <c r="K23" s="313" t="s">
        <v>3625</v>
      </c>
      <c r="L23" s="339" t="str">
        <f>IFERROR(IF(OR(K23='DICTIONARY-5'!$A$2,K23='DICTIONARY-5'!$A$4,ISBLANK(K23)),VLOOKUP(J23,LIST!$A$6:$L$3250,CURR_1.SEARCH.OLD,0),VLOOKUP(K23,LIST!$B$6:$L$3250,CURR_1.SEARCH.NEW,0)),'DICTIONARY-5'!$A$2)</f>
        <v>1 128,-</v>
      </c>
      <c r="M23" s="339" t="str">
        <f>IFERROR(IF(OR(K23='DICTIONARY-5'!$A$2,K23='DICTIONARY-5'!$A$4,ISBLANK(K23)),VLOOKUP(J23,LIST!$A$6:$M$3250,CURR_2.SEARCH.OLD,0),VLOOKUP(K23,LIST!$B$6:$M$3250,CURR_2.SEARCH.NEW,0)),'DICTIONARY-5'!$A$2)</f>
        <v/>
      </c>
      <c r="N23" s="201"/>
    </row>
    <row r="24" spans="1:14" x14ac:dyDescent="0.25">
      <c r="A24" s="207">
        <v>450</v>
      </c>
      <c r="B24" s="207" t="s">
        <v>2035</v>
      </c>
      <c r="C24" s="207">
        <v>25</v>
      </c>
      <c r="D24" s="207" t="s">
        <v>12</v>
      </c>
      <c r="E24" s="207" t="s">
        <v>2040</v>
      </c>
      <c r="F24" s="313" t="s">
        <v>3627</v>
      </c>
      <c r="G24" s="339" t="str">
        <f>IFERROR(IF(OR(F24='DICTIONARY-5'!$A$2,F24='DICTIONARY-5'!$A$4,ISBLANK(F24)),VLOOKUP(E24,LIST!$A$6:$L$3250,CURR_1.SEARCH.OLD,0),VLOOKUP(F24,LIST!$B$6:$L$3250,CURR_1.SEARCH.NEW,0)),'DICTIONARY-5'!$A$2)</f>
        <v>1 045,-</v>
      </c>
      <c r="H24" s="339" t="str">
        <f>IFERROR(IF(OR(F24='DICTIONARY-5'!$A$2,F24='DICTIONARY-5'!$A$4,ISBLANK(F24)),VLOOKUP(E24,LIST!$A$6:$M$3250,CURR_2.SEARCH.OLD,0),VLOOKUP(F24,LIST!$B$6:$M$3250,CURR_2.SEARCH.NEW,0)),'DICTIONARY-5'!$A$2)</f>
        <v/>
      </c>
      <c r="I24" s="207">
        <v>16</v>
      </c>
      <c r="J24" s="207" t="s">
        <v>2041</v>
      </c>
      <c r="K24" s="313" t="s">
        <v>3629</v>
      </c>
      <c r="L24" s="339" t="str">
        <f>IFERROR(IF(OR(K24='DICTIONARY-5'!$A$2,K24='DICTIONARY-5'!$A$4,ISBLANK(K24)),VLOOKUP(J24,LIST!$A$6:$L$3250,CURR_1.SEARCH.OLD,0),VLOOKUP(K24,LIST!$B$6:$L$3250,CURR_1.SEARCH.NEW,0)),'DICTIONARY-5'!$A$2)</f>
        <v>1 377,-</v>
      </c>
      <c r="M24" s="339" t="str">
        <f>IFERROR(IF(OR(K24='DICTIONARY-5'!$A$2,K24='DICTIONARY-5'!$A$4,ISBLANK(K24)),VLOOKUP(J24,LIST!$A$6:$M$3250,CURR_2.SEARCH.OLD,0),VLOOKUP(K24,LIST!$B$6:$M$3250,CURR_2.SEARCH.NEW,0)),'DICTIONARY-5'!$A$2)</f>
        <v/>
      </c>
      <c r="N24" s="201"/>
    </row>
    <row r="25" spans="1:14" x14ac:dyDescent="0.25">
      <c r="A25" s="207">
        <v>500</v>
      </c>
      <c r="B25" s="207" t="s">
        <v>2035</v>
      </c>
      <c r="C25" s="207">
        <v>25</v>
      </c>
      <c r="D25" s="207" t="s">
        <v>12</v>
      </c>
      <c r="E25" s="207" t="s">
        <v>2042</v>
      </c>
      <c r="F25" s="313" t="s">
        <v>3631</v>
      </c>
      <c r="G25" s="339" t="str">
        <f>IFERROR(IF(OR(F25='DICTIONARY-5'!$A$2,F25='DICTIONARY-5'!$A$4,ISBLANK(F25)),VLOOKUP(E25,LIST!$A$6:$L$3250,CURR_1.SEARCH.OLD,0),VLOOKUP(F25,LIST!$B$6:$L$3250,CURR_1.SEARCH.NEW,0)),'DICTIONARY-5'!$A$2)</f>
        <v>1 543,-</v>
      </c>
      <c r="H25" s="339" t="str">
        <f>IFERROR(IF(OR(F25='DICTIONARY-5'!$A$2,F25='DICTIONARY-5'!$A$4,ISBLANK(F25)),VLOOKUP(E25,LIST!$A$6:$M$3250,CURR_2.SEARCH.OLD,0),VLOOKUP(F25,LIST!$B$6:$M$3250,CURR_2.SEARCH.NEW,0)),'DICTIONARY-5'!$A$2)</f>
        <v/>
      </c>
      <c r="I25" s="207">
        <v>16</v>
      </c>
      <c r="J25" s="207" t="s">
        <v>2043</v>
      </c>
      <c r="K25" s="313" t="s">
        <v>3633</v>
      </c>
      <c r="L25" s="339" t="str">
        <f>IFERROR(IF(OR(K25='DICTIONARY-5'!$A$2,K25='DICTIONARY-5'!$A$4,ISBLANK(K25)),VLOOKUP(J25,LIST!$A$6:$L$3250,CURR_1.SEARCH.OLD,0),VLOOKUP(K25,LIST!$B$6:$L$3250,CURR_1.SEARCH.NEW,0)),'DICTIONARY-5'!$A$2)</f>
        <v>1 855,-</v>
      </c>
      <c r="M25" s="339" t="str">
        <f>IFERROR(IF(OR(K25='DICTIONARY-5'!$A$2,K25='DICTIONARY-5'!$A$4,ISBLANK(K25)),VLOOKUP(J25,LIST!$A$6:$M$3250,CURR_2.SEARCH.OLD,0),VLOOKUP(K25,LIST!$B$6:$M$3250,CURR_2.SEARCH.NEW,0)),'DICTIONARY-5'!$A$2)</f>
        <v/>
      </c>
      <c r="N25" s="201"/>
    </row>
    <row r="26" spans="1:14" x14ac:dyDescent="0.25">
      <c r="A26" s="207">
        <v>600</v>
      </c>
      <c r="B26" s="207" t="s">
        <v>2035</v>
      </c>
      <c r="C26" s="207">
        <v>25</v>
      </c>
      <c r="D26" s="207" t="s">
        <v>12</v>
      </c>
      <c r="E26" s="207" t="s">
        <v>2044</v>
      </c>
      <c r="F26" s="313" t="s">
        <v>3635</v>
      </c>
      <c r="G26" s="339" t="str">
        <f>IFERROR(IF(OR(F26='DICTIONARY-5'!$A$2,F26='DICTIONARY-5'!$A$4,ISBLANK(F26)),VLOOKUP(E26,LIST!$A$6:$L$3250,CURR_1.SEARCH.OLD,0),VLOOKUP(F26,LIST!$B$6:$L$3250,CURR_1.SEARCH.NEW,0)),'DICTIONARY-5'!$A$2)</f>
        <v>1 861,-</v>
      </c>
      <c r="H26" s="339" t="str">
        <f>IFERROR(IF(OR(F26='DICTIONARY-5'!$A$2,F26='DICTIONARY-5'!$A$4,ISBLANK(F26)),VLOOKUP(E26,LIST!$A$6:$M$3250,CURR_2.SEARCH.OLD,0),VLOOKUP(F26,LIST!$B$6:$M$3250,CURR_2.SEARCH.NEW,0)),'DICTIONARY-5'!$A$2)</f>
        <v/>
      </c>
      <c r="I26" s="207">
        <v>16</v>
      </c>
      <c r="J26" s="207" t="s">
        <v>2045</v>
      </c>
      <c r="K26" s="313" t="s">
        <v>3637</v>
      </c>
      <c r="L26" s="339" t="str">
        <f>IFERROR(IF(OR(K26='DICTIONARY-5'!$A$2,K26='DICTIONARY-5'!$A$4,ISBLANK(K26)),VLOOKUP(J26,LIST!$A$6:$L$3250,CURR_1.SEARCH.OLD,0),VLOOKUP(K26,LIST!$B$6:$L$3250,CURR_1.SEARCH.NEW,0)),'DICTIONARY-5'!$A$2)</f>
        <v>1 765,-</v>
      </c>
      <c r="M26" s="339" t="str">
        <f>IFERROR(IF(OR(K26='DICTIONARY-5'!$A$2,K26='DICTIONARY-5'!$A$4,ISBLANK(K26)),VLOOKUP(J26,LIST!$A$6:$M$3250,CURR_2.SEARCH.OLD,0),VLOOKUP(K26,LIST!$B$6:$M$3250,CURR_2.SEARCH.NEW,0)),'DICTIONARY-5'!$A$2)</f>
        <v/>
      </c>
      <c r="N26" s="201"/>
    </row>
    <row r="27" spans="1:14" x14ac:dyDescent="0.25">
      <c r="A27" s="207">
        <v>700</v>
      </c>
      <c r="B27" s="207" t="s">
        <v>2035</v>
      </c>
      <c r="C27" s="207">
        <v>25</v>
      </c>
      <c r="D27" s="207" t="s">
        <v>12</v>
      </c>
      <c r="E27" s="207" t="s">
        <v>2046</v>
      </c>
      <c r="F27" s="313" t="s">
        <v>3639</v>
      </c>
      <c r="G27" s="339" t="str">
        <f>IFERROR(IF(OR(F27='DICTIONARY-5'!$A$2,F27='DICTIONARY-5'!$A$4,ISBLANK(F27)),VLOOKUP(E27,LIST!$A$6:$L$3250,CURR_1.SEARCH.OLD,0),VLOOKUP(F27,LIST!$B$6:$L$3250,CURR_1.SEARCH.NEW,0)),'DICTIONARY-5'!$A$2)</f>
        <v>2 513,-</v>
      </c>
      <c r="H27" s="339" t="str">
        <f>IFERROR(IF(OR(F27='DICTIONARY-5'!$A$2,F27='DICTIONARY-5'!$A$4,ISBLANK(F27)),VLOOKUP(E27,LIST!$A$6:$M$3250,CURR_2.SEARCH.OLD,0),VLOOKUP(F27,LIST!$B$6:$M$3250,CURR_2.SEARCH.NEW,0)),'DICTIONARY-5'!$A$2)</f>
        <v/>
      </c>
      <c r="I27" s="207">
        <v>16</v>
      </c>
      <c r="J27" s="207" t="s">
        <v>2047</v>
      </c>
      <c r="K27" s="313" t="s">
        <v>3641</v>
      </c>
      <c r="L27" s="339" t="str">
        <f>IFERROR(IF(OR(K27='DICTIONARY-5'!$A$2,K27='DICTIONARY-5'!$A$4,ISBLANK(K27)),VLOOKUP(J27,LIST!$A$6:$L$3250,CURR_1.SEARCH.OLD,0),VLOOKUP(K27,LIST!$B$6:$L$3250,CURR_1.SEARCH.NEW,0)),'DICTIONARY-5'!$A$2)</f>
        <v>2 128,-</v>
      </c>
      <c r="M27" s="339" t="str">
        <f>IFERROR(IF(OR(K27='DICTIONARY-5'!$A$2,K27='DICTIONARY-5'!$A$4,ISBLANK(K27)),VLOOKUP(J27,LIST!$A$6:$M$3250,CURR_2.SEARCH.OLD,0),VLOOKUP(K27,LIST!$B$6:$M$3250,CURR_2.SEARCH.NEW,0)),'DICTIONARY-5'!$A$2)</f>
        <v/>
      </c>
      <c r="N27" s="201"/>
    </row>
    <row r="28" spans="1:14" x14ac:dyDescent="0.25">
      <c r="A28" s="207">
        <v>800</v>
      </c>
      <c r="B28" s="207" t="s">
        <v>2035</v>
      </c>
      <c r="C28" s="207">
        <v>25</v>
      </c>
      <c r="D28" s="207" t="s">
        <v>12</v>
      </c>
      <c r="E28" s="207" t="s">
        <v>2048</v>
      </c>
      <c r="F28" s="313" t="s">
        <v>3643</v>
      </c>
      <c r="G28" s="339" t="str">
        <f>IFERROR(IF(OR(F28='DICTIONARY-5'!$A$2,F28='DICTIONARY-5'!$A$4,ISBLANK(F28)),VLOOKUP(E28,LIST!$A$6:$L$3250,CURR_1.SEARCH.OLD,0),VLOOKUP(F28,LIST!$B$6:$L$3250,CURR_1.SEARCH.NEW,0)),'DICTIONARY-5'!$A$2)</f>
        <v>3 212,-</v>
      </c>
      <c r="H28" s="339" t="str">
        <f>IFERROR(IF(OR(F28='DICTIONARY-5'!$A$2,F28='DICTIONARY-5'!$A$4,ISBLANK(F28)),VLOOKUP(E28,LIST!$A$6:$M$3250,CURR_2.SEARCH.OLD,0),VLOOKUP(F28,LIST!$B$6:$M$3250,CURR_2.SEARCH.NEW,0)),'DICTIONARY-5'!$A$2)</f>
        <v/>
      </c>
      <c r="I28" s="207">
        <v>16</v>
      </c>
      <c r="J28" s="207" t="s">
        <v>2049</v>
      </c>
      <c r="K28" s="313" t="s">
        <v>3645</v>
      </c>
      <c r="L28" s="339" t="str">
        <f>IFERROR(IF(OR(K28='DICTIONARY-5'!$A$2,K28='DICTIONARY-5'!$A$4,ISBLANK(K28)),VLOOKUP(J28,LIST!$A$6:$L$3250,CURR_1.SEARCH.OLD,0),VLOOKUP(K28,LIST!$B$6:$L$3250,CURR_1.SEARCH.NEW,0)),'DICTIONARY-5'!$A$2)</f>
        <v>2 744,-</v>
      </c>
      <c r="M28" s="339" t="str">
        <f>IFERROR(IF(OR(K28='DICTIONARY-5'!$A$2,K28='DICTIONARY-5'!$A$4,ISBLANK(K28)),VLOOKUP(J28,LIST!$A$6:$M$3250,CURR_2.SEARCH.OLD,0),VLOOKUP(K28,LIST!$B$6:$M$3250,CURR_2.SEARCH.NEW,0)),'DICTIONARY-5'!$A$2)</f>
        <v/>
      </c>
      <c r="N28" s="201"/>
    </row>
    <row r="29" spans="1:14" x14ac:dyDescent="0.25">
      <c r="A29" s="207">
        <v>900</v>
      </c>
      <c r="B29" s="207" t="s">
        <v>2035</v>
      </c>
      <c r="C29" s="207">
        <v>25</v>
      </c>
      <c r="D29" s="207" t="s">
        <v>12</v>
      </c>
      <c r="E29" s="207" t="s">
        <v>2050</v>
      </c>
      <c r="F29" s="313" t="s">
        <v>3647</v>
      </c>
      <c r="G29" s="339" t="str">
        <f>IFERROR(IF(OR(F29='DICTIONARY-5'!$A$2,F29='DICTIONARY-5'!$A$4,ISBLANK(F29)),VLOOKUP(E29,LIST!$A$6:$L$3250,CURR_1.SEARCH.OLD,0),VLOOKUP(F29,LIST!$B$6:$L$3250,CURR_1.SEARCH.NEW,0)),'DICTIONARY-5'!$A$2)</f>
        <v>3 990,-</v>
      </c>
      <c r="H29" s="339" t="str">
        <f>IFERROR(IF(OR(F29='DICTIONARY-5'!$A$2,F29='DICTIONARY-5'!$A$4,ISBLANK(F29)),VLOOKUP(E29,LIST!$A$6:$M$3250,CURR_2.SEARCH.OLD,0),VLOOKUP(F29,LIST!$B$6:$M$3250,CURR_2.SEARCH.NEW,0)),'DICTIONARY-5'!$A$2)</f>
        <v/>
      </c>
      <c r="I29" s="207">
        <v>16</v>
      </c>
      <c r="J29" s="207" t="s">
        <v>2051</v>
      </c>
      <c r="K29" s="313" t="s">
        <v>3649</v>
      </c>
      <c r="L29" s="339" t="str">
        <f>IFERROR(IF(OR(K29='DICTIONARY-5'!$A$2,K29='DICTIONARY-5'!$A$4,ISBLANK(K29)),VLOOKUP(J29,LIST!$A$6:$L$3250,CURR_1.SEARCH.OLD,0),VLOOKUP(K29,LIST!$B$6:$L$3250,CURR_1.SEARCH.NEW,0)),'DICTIONARY-5'!$A$2)</f>
        <v>3 183,-</v>
      </c>
      <c r="M29" s="339" t="str">
        <f>IFERROR(IF(OR(K29='DICTIONARY-5'!$A$2,K29='DICTIONARY-5'!$A$4,ISBLANK(K29)),VLOOKUP(J29,LIST!$A$6:$M$3250,CURR_2.SEARCH.OLD,0),VLOOKUP(K29,LIST!$B$6:$M$3250,CURR_2.SEARCH.NEW,0)),'DICTIONARY-5'!$A$2)</f>
        <v/>
      </c>
      <c r="N29" s="201"/>
    </row>
    <row r="30" spans="1:14" x14ac:dyDescent="0.25">
      <c r="A30" s="207">
        <v>1000</v>
      </c>
      <c r="B30" s="207" t="s">
        <v>2052</v>
      </c>
      <c r="C30" s="207">
        <v>30</v>
      </c>
      <c r="D30" s="207" t="s">
        <v>12</v>
      </c>
      <c r="E30" s="207" t="s">
        <v>2053</v>
      </c>
      <c r="F30" s="313" t="s">
        <v>3651</v>
      </c>
      <c r="G30" s="339" t="str">
        <f>IFERROR(IF(OR(F30='DICTIONARY-5'!$A$2,F30='DICTIONARY-5'!$A$4,ISBLANK(F30)),VLOOKUP(E30,LIST!$A$6:$L$3250,CURR_1.SEARCH.OLD,0),VLOOKUP(F30,LIST!$B$6:$L$3250,CURR_1.SEARCH.NEW,0)),'DICTIONARY-5'!$A$2)</f>
        <v>4 636,-</v>
      </c>
      <c r="H30" s="339" t="str">
        <f>IFERROR(IF(OR(F30='DICTIONARY-5'!$A$2,F30='DICTIONARY-5'!$A$4,ISBLANK(F30)),VLOOKUP(E30,LIST!$A$6:$M$3250,CURR_2.SEARCH.OLD,0),VLOOKUP(F30,LIST!$B$6:$M$3250,CURR_2.SEARCH.NEW,0)),'DICTIONARY-5'!$A$2)</f>
        <v/>
      </c>
      <c r="I30" s="207">
        <v>16</v>
      </c>
      <c r="J30" s="207" t="s">
        <v>2054</v>
      </c>
      <c r="K30" s="313" t="s">
        <v>3653</v>
      </c>
      <c r="L30" s="339" t="str">
        <f>IFERROR(IF(OR(K30='DICTIONARY-5'!$A$2,K30='DICTIONARY-5'!$A$4,ISBLANK(K30)),VLOOKUP(J30,LIST!$A$6:$L$3250,CURR_1.SEARCH.OLD,0),VLOOKUP(K30,LIST!$B$6:$L$3250,CURR_1.SEARCH.NEW,0)),'DICTIONARY-5'!$A$2)</f>
        <v>3 601,-</v>
      </c>
      <c r="M30" s="339" t="str">
        <f>IFERROR(IF(OR(K30='DICTIONARY-5'!$A$2,K30='DICTIONARY-5'!$A$4,ISBLANK(K30)),VLOOKUP(J30,LIST!$A$6:$M$3250,CURR_2.SEARCH.OLD,0),VLOOKUP(K30,LIST!$B$6:$M$3250,CURR_2.SEARCH.NEW,0)),'DICTIONARY-5'!$A$2)</f>
        <v/>
      </c>
      <c r="N30" s="201"/>
    </row>
    <row r="31" spans="1:14" x14ac:dyDescent="0.25">
      <c r="A31" s="207">
        <v>1200</v>
      </c>
      <c r="B31" s="207" t="s">
        <v>2055</v>
      </c>
      <c r="C31" s="207">
        <v>30</v>
      </c>
      <c r="D31" s="207" t="s">
        <v>12</v>
      </c>
      <c r="E31" s="207" t="s">
        <v>2056</v>
      </c>
      <c r="F31" s="313" t="s">
        <v>3655</v>
      </c>
      <c r="G31" s="339" t="str">
        <f>IFERROR(IF(OR(F31='DICTIONARY-5'!$A$2,F31='DICTIONARY-5'!$A$4,ISBLANK(F31)),VLOOKUP(E31,LIST!$A$6:$L$3250,CURR_1.SEARCH.OLD,0),VLOOKUP(F31,LIST!$B$6:$L$3250,CURR_1.SEARCH.NEW,0)),'DICTIONARY-5'!$A$2)</f>
        <v>7 593,-</v>
      </c>
      <c r="H31" s="339" t="str">
        <f>IFERROR(IF(OR(F31='DICTIONARY-5'!$A$2,F31='DICTIONARY-5'!$A$4,ISBLANK(F31)),VLOOKUP(E31,LIST!$A$6:$M$3250,CURR_2.SEARCH.OLD,0),VLOOKUP(F31,LIST!$B$6:$M$3250,CURR_2.SEARCH.NEW,0)),'DICTIONARY-5'!$A$2)</f>
        <v/>
      </c>
      <c r="I31" s="207">
        <v>16</v>
      </c>
      <c r="J31" s="207" t="s">
        <v>2057</v>
      </c>
      <c r="K31" s="313" t="s">
        <v>3657</v>
      </c>
      <c r="L31" s="339" t="str">
        <f>IFERROR(IF(OR(K31='DICTIONARY-5'!$A$2,K31='DICTIONARY-5'!$A$4,ISBLANK(K31)),VLOOKUP(J31,LIST!$A$6:$L$3250,CURR_1.SEARCH.OLD,0),VLOOKUP(K31,LIST!$B$6:$L$3250,CURR_1.SEARCH.NEW,0)),'DICTIONARY-5'!$A$2)</f>
        <v>6 085,-</v>
      </c>
      <c r="M31" s="339" t="str">
        <f>IFERROR(IF(OR(K31='DICTIONARY-5'!$A$2,K31='DICTIONARY-5'!$A$4,ISBLANK(K31)),VLOOKUP(J31,LIST!$A$6:$M$3250,CURR_2.SEARCH.OLD,0),VLOOKUP(K31,LIST!$B$6:$M$3250,CURR_2.SEARCH.NEW,0)),'DICTIONARY-5'!$A$2)</f>
        <v/>
      </c>
      <c r="N31" s="201"/>
    </row>
    <row r="32" spans="1:14" x14ac:dyDescent="0.25">
      <c r="A32" s="207">
        <v>1400</v>
      </c>
      <c r="B32" s="207" t="s">
        <v>2058</v>
      </c>
      <c r="C32" s="207">
        <v>30</v>
      </c>
      <c r="D32" s="207" t="s">
        <v>12</v>
      </c>
      <c r="E32" s="207" t="s">
        <v>2059</v>
      </c>
      <c r="F32" s="313" t="s">
        <v>3659</v>
      </c>
      <c r="G32" s="339" t="str">
        <f>IFERROR(IF(OR(F32='DICTIONARY-5'!$A$2,F32='DICTIONARY-5'!$A$4,ISBLANK(F32)),VLOOKUP(E32,LIST!$A$6:$L$3250,CURR_1.SEARCH.OLD,0),VLOOKUP(F32,LIST!$B$6:$L$3250,CURR_1.SEARCH.NEW,0)),'DICTIONARY-5'!$A$2)</f>
        <v>14 176,-</v>
      </c>
      <c r="H32" s="339" t="str">
        <f>IFERROR(IF(OR(F32='DICTIONARY-5'!$A$2,F32='DICTIONARY-5'!$A$4,ISBLANK(F32)),VLOOKUP(E32,LIST!$A$6:$M$3250,CURR_2.SEARCH.OLD,0),VLOOKUP(F32,LIST!$B$6:$M$3250,CURR_2.SEARCH.NEW,0)),'DICTIONARY-5'!$A$2)</f>
        <v/>
      </c>
      <c r="I32" s="207">
        <v>16</v>
      </c>
      <c r="J32" s="207" t="s">
        <v>2060</v>
      </c>
      <c r="K32" s="313" t="s">
        <v>3661</v>
      </c>
      <c r="L32" s="339" t="str">
        <f>IFERROR(IF(OR(K32='DICTIONARY-5'!$A$2,K32='DICTIONARY-5'!$A$4,ISBLANK(K32)),VLOOKUP(J32,LIST!$A$6:$L$3250,CURR_1.SEARCH.OLD,0),VLOOKUP(K32,LIST!$B$6:$L$3250,CURR_1.SEARCH.NEW,0)),'DICTIONARY-5'!$A$2)</f>
        <v>9 147,-</v>
      </c>
      <c r="M32" s="339" t="str">
        <f>IFERROR(IF(OR(K32='DICTIONARY-5'!$A$2,K32='DICTIONARY-5'!$A$4,ISBLANK(K32)),VLOOKUP(J32,LIST!$A$6:$M$3250,CURR_2.SEARCH.OLD,0),VLOOKUP(K32,LIST!$B$6:$M$3250,CURR_2.SEARCH.NEW,0)),'DICTIONARY-5'!$A$2)</f>
        <v/>
      </c>
      <c r="N32" s="201"/>
    </row>
    <row r="33" spans="1:14" x14ac:dyDescent="0.25">
      <c r="A33" s="207">
        <v>1600</v>
      </c>
      <c r="B33" s="207" t="s">
        <v>2061</v>
      </c>
      <c r="C33" s="207">
        <v>30</v>
      </c>
      <c r="D33" s="207" t="s">
        <v>12</v>
      </c>
      <c r="E33" s="207" t="s">
        <v>2062</v>
      </c>
      <c r="F33" s="313" t="s">
        <v>3663</v>
      </c>
      <c r="G33" s="339" t="str">
        <f>IFERROR(IF(OR(F33='DICTIONARY-5'!$A$2,F33='DICTIONARY-5'!$A$4,ISBLANK(F33)),VLOOKUP(E33,LIST!$A$6:$L$3250,CURR_1.SEARCH.OLD,0),VLOOKUP(F33,LIST!$B$6:$L$3250,CURR_1.SEARCH.NEW,0)),'DICTIONARY-5'!$A$2)</f>
        <v>24 371,-</v>
      </c>
      <c r="H33" s="339" t="str">
        <f>IFERROR(IF(OR(F33='DICTIONARY-5'!$A$2,F33='DICTIONARY-5'!$A$4,ISBLANK(F33)),VLOOKUP(E33,LIST!$A$6:$M$3250,CURR_2.SEARCH.OLD,0),VLOOKUP(F33,LIST!$B$6:$M$3250,CURR_2.SEARCH.NEW,0)),'DICTIONARY-5'!$A$2)</f>
        <v/>
      </c>
      <c r="I33" s="207">
        <v>16</v>
      </c>
      <c r="J33" s="207" t="s">
        <v>2063</v>
      </c>
      <c r="K33" s="313" t="s">
        <v>3665</v>
      </c>
      <c r="L33" s="339" t="str">
        <f>IFERROR(IF(OR(K33='DICTIONARY-5'!$A$2,K33='DICTIONARY-5'!$A$4,ISBLANK(K33)),VLOOKUP(J33,LIST!$A$6:$L$3250,CURR_1.SEARCH.OLD,0),VLOOKUP(K33,LIST!$B$6:$L$3250,CURR_1.SEARCH.NEW,0)),'DICTIONARY-5'!$A$2)</f>
        <v>25 682,-</v>
      </c>
      <c r="M33" s="339" t="str">
        <f>IFERROR(IF(OR(K33='DICTIONARY-5'!$A$2,K33='DICTIONARY-5'!$A$4,ISBLANK(K33)),VLOOKUP(J33,LIST!$A$6:$M$3250,CURR_2.SEARCH.OLD,0),VLOOKUP(K33,LIST!$B$6:$M$3250,CURR_2.SEARCH.NEW,0)),'DICTIONARY-5'!$A$2)</f>
        <v/>
      </c>
      <c r="N33" s="201"/>
    </row>
    <row r="34" spans="1:14" x14ac:dyDescent="0.25">
      <c r="A34" s="207">
        <v>1800</v>
      </c>
      <c r="B34" s="207" t="s">
        <v>2061</v>
      </c>
      <c r="C34" s="207">
        <v>30</v>
      </c>
      <c r="D34" s="207" t="s">
        <v>12</v>
      </c>
      <c r="E34" s="207" t="s">
        <v>2064</v>
      </c>
      <c r="F34" s="313" t="s">
        <v>3667</v>
      </c>
      <c r="G34" s="339" t="str">
        <f>IFERROR(IF(OR(F34='DICTIONARY-5'!$A$2,F34='DICTIONARY-5'!$A$4,ISBLANK(F34)),VLOOKUP(E34,LIST!$A$6:$L$3250,CURR_1.SEARCH.OLD,0),VLOOKUP(F34,LIST!$B$6:$L$3250,CURR_1.SEARCH.NEW,0)),'DICTIONARY-5'!$A$2)</f>
        <v>35 351,-</v>
      </c>
      <c r="H34" s="339" t="str">
        <f>IFERROR(IF(OR(F34='DICTIONARY-5'!$A$2,F34='DICTIONARY-5'!$A$4,ISBLANK(F34)),VLOOKUP(E34,LIST!$A$6:$M$3250,CURR_2.SEARCH.OLD,0),VLOOKUP(F34,LIST!$B$6:$M$3250,CURR_2.SEARCH.NEW,0)),'DICTIONARY-5'!$A$2)</f>
        <v/>
      </c>
      <c r="I34" s="207">
        <v>16</v>
      </c>
      <c r="J34" s="207" t="s">
        <v>2065</v>
      </c>
      <c r="K34" s="313" t="s">
        <v>3669</v>
      </c>
      <c r="L34" s="339" t="str">
        <f>IFERROR(IF(OR(K34='DICTIONARY-5'!$A$2,K34='DICTIONARY-5'!$A$4,ISBLANK(K34)),VLOOKUP(J34,LIST!$A$6:$L$3250,CURR_1.SEARCH.OLD,0),VLOOKUP(K34,LIST!$B$6:$L$3250,CURR_1.SEARCH.NEW,0)),'DICTIONARY-5'!$A$2)</f>
        <v>37 117,-</v>
      </c>
      <c r="M34" s="339" t="str">
        <f>IFERROR(IF(OR(K34='DICTIONARY-5'!$A$2,K34='DICTIONARY-5'!$A$4,ISBLANK(K34)),VLOOKUP(J34,LIST!$A$6:$M$3250,CURR_2.SEARCH.OLD,0),VLOOKUP(K34,LIST!$B$6:$M$3250,CURR_2.SEARCH.NEW,0)),'DICTIONARY-5'!$A$2)</f>
        <v/>
      </c>
      <c r="N34" s="201"/>
    </row>
    <row r="35" spans="1:14" x14ac:dyDescent="0.25">
      <c r="A35" s="207">
        <v>2000</v>
      </c>
      <c r="B35" s="207" t="s">
        <v>2061</v>
      </c>
      <c r="C35" s="207">
        <v>30</v>
      </c>
      <c r="D35" s="207" t="s">
        <v>12</v>
      </c>
      <c r="E35" s="207" t="s">
        <v>2066</v>
      </c>
      <c r="F35" s="313" t="s">
        <v>3671</v>
      </c>
      <c r="G35" s="339" t="str">
        <f>IFERROR(IF(OR(F35='DICTIONARY-5'!$A$2,F35='DICTIONARY-5'!$A$4,ISBLANK(F35)),VLOOKUP(E35,LIST!$A$6:$L$3250,CURR_1.SEARCH.OLD,0),VLOOKUP(F35,LIST!$B$6:$L$3250,CURR_1.SEARCH.NEW,0)),'DICTIONARY-5'!$A$2)</f>
        <v>41 852,-</v>
      </c>
      <c r="H35" s="339" t="str">
        <f>IFERROR(IF(OR(F35='DICTIONARY-5'!$A$2,F35='DICTIONARY-5'!$A$4,ISBLANK(F35)),VLOOKUP(E35,LIST!$A$6:$M$3250,CURR_2.SEARCH.OLD,0),VLOOKUP(F35,LIST!$B$6:$M$3250,CURR_2.SEARCH.NEW,0)),'DICTIONARY-5'!$A$2)</f>
        <v/>
      </c>
      <c r="I35" s="207">
        <v>16</v>
      </c>
      <c r="J35" s="207" t="s">
        <v>2067</v>
      </c>
      <c r="K35" s="313" t="s">
        <v>3673</v>
      </c>
      <c r="L35" s="339" t="str">
        <f>IFERROR(IF(OR(K35='DICTIONARY-5'!$A$2,K35='DICTIONARY-5'!$A$4,ISBLANK(K35)),VLOOKUP(J35,LIST!$A$6:$L$3250,CURR_1.SEARCH.OLD,0),VLOOKUP(K35,LIST!$B$6:$L$3250,CURR_1.SEARCH.NEW,0)),'DICTIONARY-5'!$A$2)</f>
        <v>43 930,-</v>
      </c>
      <c r="M35" s="339" t="str">
        <f>IFERROR(IF(OR(K35='DICTIONARY-5'!$A$2,K35='DICTIONARY-5'!$A$4,ISBLANK(K35)),VLOOKUP(J35,LIST!$A$6:$M$3250,CURR_2.SEARCH.OLD,0),VLOOKUP(K35,LIST!$B$6:$M$3250,CURR_2.SEARCH.NEW,0)),'DICTIONARY-5'!$A$2)</f>
        <v/>
      </c>
      <c r="N35" s="201"/>
    </row>
    <row r="36" spans="1:14" x14ac:dyDescent="0.25">
      <c r="A36" s="210"/>
      <c r="B36" s="202"/>
      <c r="C36" s="202"/>
      <c r="D36" s="202"/>
      <c r="E36" s="202"/>
      <c r="F36" s="202"/>
      <c r="G36" s="195"/>
      <c r="H36" s="226"/>
      <c r="I36" s="226"/>
      <c r="J36" s="198"/>
      <c r="K36" s="198"/>
    </row>
    <row r="37" spans="1:14" x14ac:dyDescent="0.25">
      <c r="A37" s="218" t="str">
        <f>"1) "&amp;'DICTIONARY-5'!$A$28</f>
        <v>1) W zakresie regulacji Z – odległość można wydłużyć/skrócić długośc centralnej zabudowy L</v>
      </c>
      <c r="G37" s="195"/>
      <c r="H37" s="200"/>
      <c r="I37" s="200"/>
      <c r="J37" s="200"/>
      <c r="K37" s="200"/>
    </row>
    <row r="38" spans="1:14" x14ac:dyDescent="0.25">
      <c r="A38" s="218" t="str">
        <f>'DICTIONARY-5'!$A$3&amp;'DICTIONARY-5'!$A$43&amp;" "&amp;'DICTIONARY-5'!$A$45&amp;" ("&amp;'DICTIONARY-5'!$A$14&amp;")"</f>
        <v>Na zapytanie: guma NBR (ścieki)</v>
      </c>
      <c r="G38" s="195"/>
      <c r="H38" s="200"/>
      <c r="I38" s="200"/>
      <c r="J38" s="200"/>
      <c r="K38" s="200"/>
    </row>
    <row r="39" spans="1:14" x14ac:dyDescent="0.25">
      <c r="A39" s="218"/>
      <c r="G39" s="195"/>
      <c r="H39" s="200"/>
      <c r="I39" s="200"/>
      <c r="J39" s="200"/>
      <c r="K39" s="200"/>
    </row>
    <row r="40" spans="1:14" x14ac:dyDescent="0.25">
      <c r="A40" s="218"/>
      <c r="G40" s="195"/>
      <c r="H40" s="200"/>
      <c r="I40" s="200"/>
      <c r="J40" s="200"/>
      <c r="K40" s="200"/>
    </row>
    <row r="41" spans="1:14" x14ac:dyDescent="0.25">
      <c r="A41" s="218"/>
      <c r="G41" s="195"/>
      <c r="H41" s="200"/>
      <c r="I41" s="200"/>
      <c r="J41" s="200"/>
      <c r="K41" s="200"/>
    </row>
    <row r="42" spans="1:14" ht="16.5" thickBot="1" x14ac:dyDescent="0.3">
      <c r="A42" s="712" t="str">
        <f>CONCATENATE('DICTIONARY-3'!$A$124," ",'DICTIONARY-3'!$A$214," / ",'DICTIONARY-3'!$A$330)</f>
        <v>VARIplus-DJ Wstawka montażowa / Z nierdzewnymi gwintowanymi kołkami kotwiącymi</v>
      </c>
      <c r="B42" s="712"/>
      <c r="C42" s="712"/>
      <c r="D42" s="712"/>
      <c r="E42" s="712"/>
      <c r="F42" s="712"/>
      <c r="G42" s="712"/>
      <c r="H42" s="712"/>
      <c r="I42" s="712"/>
      <c r="J42" s="712"/>
      <c r="K42" s="712"/>
      <c r="L42" s="712"/>
      <c r="M42" s="712"/>
    </row>
    <row r="43" spans="1:14" x14ac:dyDescent="0.25">
      <c r="A43" s="198" t="str">
        <f>'DICTIONARY-5'!$A$162</f>
        <v>Z prętami gwintowanymi przechodzącymi obustronnie</v>
      </c>
      <c r="G43" s="195"/>
      <c r="H43" s="200"/>
      <c r="I43" s="200"/>
      <c r="J43" s="200"/>
      <c r="K43" s="200"/>
    </row>
    <row r="44" spans="1:14" x14ac:dyDescent="0.25">
      <c r="A44" s="198" t="str">
        <f>CONCATENATE('DICTIONARY-1'!$A$10,": ",'DICTIONARY-2'!$A$32," ","16")</f>
        <v>Grupa rabatowa: RB 16</v>
      </c>
      <c r="G44" s="195"/>
      <c r="H44" s="200"/>
      <c r="I44" s="200"/>
      <c r="J44" s="200"/>
      <c r="K44" s="200"/>
    </row>
    <row r="45" spans="1:14" x14ac:dyDescent="0.25">
      <c r="A45" s="218"/>
    </row>
    <row r="46" spans="1:14" x14ac:dyDescent="0.25">
      <c r="A46" s="203" t="str">
        <f>'DICTIONARY-2'!$A$2</f>
        <v>DN</v>
      </c>
      <c r="B46" s="708" t="str">
        <f>'DICTIONARY-2'!$A$24</f>
        <v>L</v>
      </c>
      <c r="C46" s="708" t="str">
        <f>'DICTIONARY-2'!$A$25&amp;" 1)"</f>
        <v>Z 1)</v>
      </c>
      <c r="D46" s="203" t="str">
        <f>'DICTIONARY-2'!$A$3</f>
        <v>PN</v>
      </c>
      <c r="E46" s="1024" t="str">
        <f>'DICTIONARY-3'!$A$124</f>
        <v>VARIplus-DJ</v>
      </c>
      <c r="F46" s="1024"/>
      <c r="G46" s="1024"/>
      <c r="H46" s="1024"/>
      <c r="I46" s="203" t="str">
        <f>'DICTIONARY-2'!$A$3</f>
        <v>PN</v>
      </c>
      <c r="J46" s="1024" t="str">
        <f>'DICTIONARY-3'!$A$124</f>
        <v>VARIplus-DJ</v>
      </c>
      <c r="K46" s="1024"/>
      <c r="L46" s="1024"/>
      <c r="M46" s="1024"/>
      <c r="N46" s="224"/>
    </row>
    <row r="47" spans="1:14" x14ac:dyDescent="0.25">
      <c r="A47" s="204"/>
      <c r="B47" s="709"/>
      <c r="C47" s="709"/>
      <c r="D47" s="204"/>
      <c r="E47" s="1025" t="str">
        <f>'DICTIONARY-5'!$A$164&amp;": "&amp;'DICTIONARY-5'!$A$32&amp;" "&amp;'DICTIONARY-5'!$A$34&amp;", "&amp;'DICTIONARY-5'!$A$43&amp;": "&amp;'DICTIONARY-5'!$A$44</f>
        <v>pręty gwintowane: stal nierdzewna A2, guma: EPDM</v>
      </c>
      <c r="F47" s="1025"/>
      <c r="G47" s="1025"/>
      <c r="H47" s="1025"/>
      <c r="I47" s="204"/>
      <c r="J47" s="1025" t="str">
        <f>'DICTIONARY-5'!$A$164&amp;": "&amp;'DICTIONARY-5'!$A$32&amp;" "&amp;'DICTIONARY-5'!$A$34&amp;", "&amp;'DICTIONARY-5'!$A$43&amp;": "&amp;'DICTIONARY-5'!$A$44</f>
        <v>pręty gwintowane: stal nierdzewna A2, guma: EPDM</v>
      </c>
      <c r="K47" s="1025"/>
      <c r="L47" s="1025"/>
      <c r="M47" s="1025"/>
      <c r="N47" s="224"/>
    </row>
    <row r="48" spans="1:14" x14ac:dyDescent="0.25">
      <c r="A48" s="204"/>
      <c r="B48" s="204" t="str">
        <f>'DICTIONARY-2'!$A$18</f>
        <v>[mm]</v>
      </c>
      <c r="C48" s="204" t="str">
        <f>'DICTIONARY-2'!$A$18</f>
        <v>[mm]</v>
      </c>
      <c r="D48" s="204"/>
      <c r="E48" s="212" t="str">
        <f>'DICTIONARY-2'!$A$28</f>
        <v>stary nr zamówienia</v>
      </c>
      <c r="F48" s="212" t="str">
        <f>'DICTIONARY-2'!$A$29</f>
        <v>nowy nr zamówienia</v>
      </c>
      <c r="G48" s="206" t="str">
        <f>CURRENCY.CODE_1</f>
        <v>EUR</v>
      </c>
      <c r="H48" s="206" t="str">
        <f>CURRENCY.CODE_2</f>
        <v>---</v>
      </c>
      <c r="I48" s="204"/>
      <c r="J48" s="212" t="str">
        <f>'DICTIONARY-2'!$A$28</f>
        <v>stary nr zamówienia</v>
      </c>
      <c r="K48" s="212" t="str">
        <f>'DICTIONARY-2'!$A$29</f>
        <v>nowy nr zamówienia</v>
      </c>
      <c r="L48" s="206" t="str">
        <f>CURRENCY.CODE_1</f>
        <v>EUR</v>
      </c>
      <c r="M48" s="206" t="str">
        <f>CURRENCY.CODE_2</f>
        <v>---</v>
      </c>
      <c r="N48" s="225"/>
    </row>
    <row r="49" spans="1:14" x14ac:dyDescent="0.25">
      <c r="A49" s="207">
        <v>50</v>
      </c>
      <c r="B49" s="207" t="s">
        <v>2021</v>
      </c>
      <c r="C49" s="207">
        <v>20</v>
      </c>
      <c r="D49" s="207" t="s">
        <v>12</v>
      </c>
      <c r="E49" s="207" t="s">
        <v>2068</v>
      </c>
      <c r="F49" s="313" t="s">
        <v>3594</v>
      </c>
      <c r="G49" s="339" t="str">
        <f>IFERROR(IF(OR(F49='DICTIONARY-5'!$A$2,F49='DICTIONARY-5'!$A$4,ISBLANK(F49)),VLOOKUP(E49,LIST!$A$6:$L$3250,CURR_1.SEARCH.OLD,0),VLOOKUP(F49,LIST!$B$6:$L$3250,CURR_1.SEARCH.NEW,0)),'DICTIONARY-5'!$A$2)</f>
        <v>204,-</v>
      </c>
      <c r="H49" s="339" t="str">
        <f>IFERROR(IF(OR(F49='DICTIONARY-5'!$A$2,F49='DICTIONARY-5'!$A$4,ISBLANK(F49)),VLOOKUP(E49,LIST!$A$6:$M$3250,CURR_2.SEARCH.OLD,0),VLOOKUP(F49,LIST!$B$6:$M$3250,CURR_2.SEARCH.NEW,0)),'DICTIONARY-5'!$A$2)</f>
        <v/>
      </c>
      <c r="I49" s="207" t="s">
        <v>36</v>
      </c>
      <c r="J49" s="207" t="s">
        <v>2068</v>
      </c>
      <c r="K49" s="313" t="s">
        <v>3594</v>
      </c>
      <c r="L49" s="339" t="str">
        <f>IFERROR(IF(OR(K49='DICTIONARY-5'!$A$2,K49='DICTIONARY-5'!$A$4,ISBLANK(K49)),VLOOKUP(J49,LIST!$A$6:$L$3250,CURR_1.SEARCH.OLD,0),VLOOKUP(K49,LIST!$B$6:$L$3250,CURR_1.SEARCH.NEW,0)),'DICTIONARY-5'!$A$2)</f>
        <v>204,-</v>
      </c>
      <c r="M49" s="339" t="str">
        <f>IFERROR(IF(OR(K49='DICTIONARY-5'!$A$2,K49='DICTIONARY-5'!$A$4,ISBLANK(K49)),VLOOKUP(J49,LIST!$A$6:$M$3250,CURR_2.SEARCH.OLD,0),VLOOKUP(K49,LIST!$B$6:$M$3250,CURR_2.SEARCH.NEW,0)),'DICTIONARY-5'!$A$2)</f>
        <v/>
      </c>
      <c r="N49" s="201"/>
    </row>
    <row r="50" spans="1:14" x14ac:dyDescent="0.25">
      <c r="A50" s="207">
        <v>65</v>
      </c>
      <c r="B50" s="207" t="s">
        <v>2021</v>
      </c>
      <c r="C50" s="207">
        <v>20</v>
      </c>
      <c r="D50" s="207" t="s">
        <v>12</v>
      </c>
      <c r="E50" s="207" t="s">
        <v>2069</v>
      </c>
      <c r="F50" s="313" t="s">
        <v>3596</v>
      </c>
      <c r="G50" s="339" t="str">
        <f>IFERROR(IF(OR(F50='DICTIONARY-5'!$A$2,F50='DICTIONARY-5'!$A$4,ISBLANK(F50)),VLOOKUP(E50,LIST!$A$6:$L$3250,CURR_1.SEARCH.OLD,0),VLOOKUP(F50,LIST!$B$6:$L$3250,CURR_1.SEARCH.NEW,0)),'DICTIONARY-5'!$A$2)</f>
        <v>234,-</v>
      </c>
      <c r="H50" s="339" t="str">
        <f>IFERROR(IF(OR(F50='DICTIONARY-5'!$A$2,F50='DICTIONARY-5'!$A$4,ISBLANK(F50)),VLOOKUP(E50,LIST!$A$6:$M$3250,CURR_2.SEARCH.OLD,0),VLOOKUP(F50,LIST!$B$6:$M$3250,CURR_2.SEARCH.NEW,0)),'DICTIONARY-5'!$A$2)</f>
        <v/>
      </c>
      <c r="I50" s="207" t="s">
        <v>36</v>
      </c>
      <c r="J50" s="207" t="s">
        <v>2069</v>
      </c>
      <c r="K50" s="313" t="s">
        <v>3596</v>
      </c>
      <c r="L50" s="339" t="str">
        <f>IFERROR(IF(OR(K50='DICTIONARY-5'!$A$2,K50='DICTIONARY-5'!$A$4,ISBLANK(K50)),VLOOKUP(J50,LIST!$A$6:$L$3250,CURR_1.SEARCH.OLD,0),VLOOKUP(K50,LIST!$B$6:$L$3250,CURR_1.SEARCH.NEW,0)),'DICTIONARY-5'!$A$2)</f>
        <v>234,-</v>
      </c>
      <c r="M50" s="339" t="str">
        <f>IFERROR(IF(OR(K50='DICTIONARY-5'!$A$2,K50='DICTIONARY-5'!$A$4,ISBLANK(K50)),VLOOKUP(J50,LIST!$A$6:$M$3250,CURR_2.SEARCH.OLD,0),VLOOKUP(K50,LIST!$B$6:$M$3250,CURR_2.SEARCH.NEW,0)),'DICTIONARY-5'!$A$2)</f>
        <v/>
      </c>
      <c r="N50" s="201"/>
    </row>
    <row r="51" spans="1:14" x14ac:dyDescent="0.25">
      <c r="A51" s="207">
        <v>80</v>
      </c>
      <c r="B51" s="207" t="s">
        <v>2021</v>
      </c>
      <c r="C51" s="207">
        <v>20</v>
      </c>
      <c r="D51" s="207" t="s">
        <v>12</v>
      </c>
      <c r="E51" s="207" t="s">
        <v>2070</v>
      </c>
      <c r="F51" s="313" t="s">
        <v>3598</v>
      </c>
      <c r="G51" s="339" t="str">
        <f>IFERROR(IF(OR(F51='DICTIONARY-5'!$A$2,F51='DICTIONARY-5'!$A$4,ISBLANK(F51)),VLOOKUP(E51,LIST!$A$6:$L$3250,CURR_1.SEARCH.OLD,0),VLOOKUP(F51,LIST!$B$6:$L$3250,CURR_1.SEARCH.NEW,0)),'DICTIONARY-5'!$A$2)</f>
        <v>254,-</v>
      </c>
      <c r="H51" s="339" t="str">
        <f>IFERROR(IF(OR(F51='DICTIONARY-5'!$A$2,F51='DICTIONARY-5'!$A$4,ISBLANK(F51)),VLOOKUP(E51,LIST!$A$6:$M$3250,CURR_2.SEARCH.OLD,0),VLOOKUP(F51,LIST!$B$6:$M$3250,CURR_2.SEARCH.NEW,0)),'DICTIONARY-5'!$A$2)</f>
        <v/>
      </c>
      <c r="I51" s="207" t="s">
        <v>36</v>
      </c>
      <c r="J51" s="207" t="s">
        <v>2070</v>
      </c>
      <c r="K51" s="313" t="s">
        <v>3598</v>
      </c>
      <c r="L51" s="339" t="str">
        <f>IFERROR(IF(OR(K51='DICTIONARY-5'!$A$2,K51='DICTIONARY-5'!$A$4,ISBLANK(K51)),VLOOKUP(J51,LIST!$A$6:$L$3250,CURR_1.SEARCH.OLD,0),VLOOKUP(K51,LIST!$B$6:$L$3250,CURR_1.SEARCH.NEW,0)),'DICTIONARY-5'!$A$2)</f>
        <v>254,-</v>
      </c>
      <c r="M51" s="339" t="str">
        <f>IFERROR(IF(OR(K51='DICTIONARY-5'!$A$2,K51='DICTIONARY-5'!$A$4,ISBLANK(K51)),VLOOKUP(J51,LIST!$A$6:$M$3250,CURR_2.SEARCH.OLD,0),VLOOKUP(K51,LIST!$B$6:$M$3250,CURR_2.SEARCH.NEW,0)),'DICTIONARY-5'!$A$2)</f>
        <v/>
      </c>
      <c r="N51" s="201"/>
    </row>
    <row r="52" spans="1:14" x14ac:dyDescent="0.25">
      <c r="A52" s="207">
        <v>100</v>
      </c>
      <c r="B52" s="207" t="s">
        <v>2021</v>
      </c>
      <c r="C52" s="207">
        <v>20</v>
      </c>
      <c r="D52" s="207" t="s">
        <v>12</v>
      </c>
      <c r="E52" s="207" t="s">
        <v>2071</v>
      </c>
      <c r="F52" s="313" t="s">
        <v>3600</v>
      </c>
      <c r="G52" s="339" t="str">
        <f>IFERROR(IF(OR(F52='DICTIONARY-5'!$A$2,F52='DICTIONARY-5'!$A$4,ISBLANK(F52)),VLOOKUP(E52,LIST!$A$6:$L$3250,CURR_1.SEARCH.OLD,0),VLOOKUP(F52,LIST!$B$6:$L$3250,CURR_1.SEARCH.NEW,0)),'DICTIONARY-5'!$A$2)</f>
        <v>446,-</v>
      </c>
      <c r="H52" s="339" t="str">
        <f>IFERROR(IF(OR(F52='DICTIONARY-5'!$A$2,F52='DICTIONARY-5'!$A$4,ISBLANK(F52)),VLOOKUP(E52,LIST!$A$6:$M$3250,CURR_2.SEARCH.OLD,0),VLOOKUP(F52,LIST!$B$6:$M$3250,CURR_2.SEARCH.NEW,0)),'DICTIONARY-5'!$A$2)</f>
        <v/>
      </c>
      <c r="I52" s="207" t="s">
        <v>36</v>
      </c>
      <c r="J52" s="207" t="s">
        <v>2071</v>
      </c>
      <c r="K52" s="313" t="s">
        <v>3600</v>
      </c>
      <c r="L52" s="339" t="str">
        <f>IFERROR(IF(OR(K52='DICTIONARY-5'!$A$2,K52='DICTIONARY-5'!$A$4,ISBLANK(K52)),VLOOKUP(J52,LIST!$A$6:$L$3250,CURR_1.SEARCH.OLD,0),VLOOKUP(K52,LIST!$B$6:$L$3250,CURR_1.SEARCH.NEW,0)),'DICTIONARY-5'!$A$2)</f>
        <v>446,-</v>
      </c>
      <c r="M52" s="339" t="str">
        <f>IFERROR(IF(OR(K52='DICTIONARY-5'!$A$2,K52='DICTIONARY-5'!$A$4,ISBLANK(K52)),VLOOKUP(J52,LIST!$A$6:$M$3250,CURR_2.SEARCH.OLD,0),VLOOKUP(K52,LIST!$B$6:$M$3250,CURR_2.SEARCH.NEW,0)),'DICTIONARY-5'!$A$2)</f>
        <v/>
      </c>
      <c r="N52" s="201"/>
    </row>
    <row r="53" spans="1:14" x14ac:dyDescent="0.25">
      <c r="A53" s="207">
        <v>125</v>
      </c>
      <c r="B53" s="207" t="s">
        <v>2021</v>
      </c>
      <c r="C53" s="207">
        <v>20</v>
      </c>
      <c r="D53" s="207" t="s">
        <v>12</v>
      </c>
      <c r="E53" s="207" t="s">
        <v>2072</v>
      </c>
      <c r="F53" s="313" t="s">
        <v>3602</v>
      </c>
      <c r="G53" s="339" t="str">
        <f>IFERROR(IF(OR(F53='DICTIONARY-5'!$A$2,F53='DICTIONARY-5'!$A$4,ISBLANK(F53)),VLOOKUP(E53,LIST!$A$6:$L$3250,CURR_1.SEARCH.OLD,0),VLOOKUP(F53,LIST!$B$6:$L$3250,CURR_1.SEARCH.NEW,0)),'DICTIONARY-5'!$A$2)</f>
        <v>267,-</v>
      </c>
      <c r="H53" s="339" t="str">
        <f>IFERROR(IF(OR(F53='DICTIONARY-5'!$A$2,F53='DICTIONARY-5'!$A$4,ISBLANK(F53)),VLOOKUP(E53,LIST!$A$6:$M$3250,CURR_2.SEARCH.OLD,0),VLOOKUP(F53,LIST!$B$6:$M$3250,CURR_2.SEARCH.NEW,0)),'DICTIONARY-5'!$A$2)</f>
        <v/>
      </c>
      <c r="I53" s="207" t="s">
        <v>36</v>
      </c>
      <c r="J53" s="207" t="s">
        <v>2072</v>
      </c>
      <c r="K53" s="313" t="s">
        <v>3602</v>
      </c>
      <c r="L53" s="339" t="str">
        <f>IFERROR(IF(OR(K53='DICTIONARY-5'!$A$2,K53='DICTIONARY-5'!$A$4,ISBLANK(K53)),VLOOKUP(J53,LIST!$A$6:$L$3250,CURR_1.SEARCH.OLD,0),VLOOKUP(K53,LIST!$B$6:$L$3250,CURR_1.SEARCH.NEW,0)),'DICTIONARY-5'!$A$2)</f>
        <v>267,-</v>
      </c>
      <c r="M53" s="339" t="str">
        <f>IFERROR(IF(OR(K53='DICTIONARY-5'!$A$2,K53='DICTIONARY-5'!$A$4,ISBLANK(K53)),VLOOKUP(J53,LIST!$A$6:$M$3250,CURR_2.SEARCH.OLD,0),VLOOKUP(K53,LIST!$B$6:$M$3250,CURR_2.SEARCH.NEW,0)),'DICTIONARY-5'!$A$2)</f>
        <v/>
      </c>
      <c r="N53" s="201"/>
    </row>
    <row r="54" spans="1:14" x14ac:dyDescent="0.25">
      <c r="A54" s="207">
        <v>150</v>
      </c>
      <c r="B54" s="207" t="s">
        <v>2021</v>
      </c>
      <c r="C54" s="207">
        <v>20</v>
      </c>
      <c r="D54" s="207" t="s">
        <v>12</v>
      </c>
      <c r="E54" s="207" t="s">
        <v>2073</v>
      </c>
      <c r="F54" s="313" t="s">
        <v>3604</v>
      </c>
      <c r="G54" s="339" t="str">
        <f>IFERROR(IF(OR(F54='DICTIONARY-5'!$A$2,F54='DICTIONARY-5'!$A$4,ISBLANK(F54)),VLOOKUP(E54,LIST!$A$6:$L$3250,CURR_1.SEARCH.OLD,0),VLOOKUP(F54,LIST!$B$6:$L$3250,CURR_1.SEARCH.NEW,0)),'DICTIONARY-5'!$A$2)</f>
        <v>540,-</v>
      </c>
      <c r="H54" s="339" t="str">
        <f>IFERROR(IF(OR(F54='DICTIONARY-5'!$A$2,F54='DICTIONARY-5'!$A$4,ISBLANK(F54)),VLOOKUP(E54,LIST!$A$6:$M$3250,CURR_2.SEARCH.OLD,0),VLOOKUP(F54,LIST!$B$6:$M$3250,CURR_2.SEARCH.NEW,0)),'DICTIONARY-5'!$A$2)</f>
        <v/>
      </c>
      <c r="I54" s="207" t="s">
        <v>36</v>
      </c>
      <c r="J54" s="207" t="s">
        <v>2073</v>
      </c>
      <c r="K54" s="313" t="s">
        <v>3604</v>
      </c>
      <c r="L54" s="339" t="str">
        <f>IFERROR(IF(OR(K54='DICTIONARY-5'!$A$2,K54='DICTIONARY-5'!$A$4,ISBLANK(K54)),VLOOKUP(J54,LIST!$A$6:$L$3250,CURR_1.SEARCH.OLD,0),VLOOKUP(K54,LIST!$B$6:$L$3250,CURR_1.SEARCH.NEW,0)),'DICTIONARY-5'!$A$2)</f>
        <v>540,-</v>
      </c>
      <c r="M54" s="339" t="str">
        <f>IFERROR(IF(OR(K54='DICTIONARY-5'!$A$2,K54='DICTIONARY-5'!$A$4,ISBLANK(K54)),VLOOKUP(J54,LIST!$A$6:$M$3250,CURR_2.SEARCH.OLD,0),VLOOKUP(K54,LIST!$B$6:$M$3250,CURR_2.SEARCH.NEW,0)),'DICTIONARY-5'!$A$2)</f>
        <v/>
      </c>
      <c r="N54" s="201"/>
    </row>
    <row r="55" spans="1:14" x14ac:dyDescent="0.25">
      <c r="A55" s="207">
        <v>200</v>
      </c>
      <c r="B55" s="207" t="s">
        <v>2021</v>
      </c>
      <c r="C55" s="207">
        <v>20</v>
      </c>
      <c r="D55" s="207" t="s">
        <v>12</v>
      </c>
      <c r="E55" s="207" t="s">
        <v>2074</v>
      </c>
      <c r="F55" s="313" t="s">
        <v>3606</v>
      </c>
      <c r="G55" s="339" t="str">
        <f>IFERROR(IF(OR(F55='DICTIONARY-5'!$A$2,F55='DICTIONARY-5'!$A$4,ISBLANK(F55)),VLOOKUP(E55,LIST!$A$6:$L$3250,CURR_1.SEARCH.OLD,0),VLOOKUP(F55,LIST!$B$6:$L$3250,CURR_1.SEARCH.NEW,0)),'DICTIONARY-5'!$A$2)</f>
        <v>649,-</v>
      </c>
      <c r="H55" s="339" t="str">
        <f>IFERROR(IF(OR(F55='DICTIONARY-5'!$A$2,F55='DICTIONARY-5'!$A$4,ISBLANK(F55)),VLOOKUP(E55,LIST!$A$6:$M$3250,CURR_2.SEARCH.OLD,0),VLOOKUP(F55,LIST!$B$6:$M$3250,CURR_2.SEARCH.NEW,0)),'DICTIONARY-5'!$A$2)</f>
        <v/>
      </c>
      <c r="I55" s="207">
        <v>16</v>
      </c>
      <c r="J55" s="207" t="s">
        <v>2075</v>
      </c>
      <c r="K55" s="313" t="s">
        <v>3608</v>
      </c>
      <c r="L55" s="339" t="str">
        <f>IFERROR(IF(OR(K55='DICTIONARY-5'!$A$2,K55='DICTIONARY-5'!$A$4,ISBLANK(K55)),VLOOKUP(J55,LIST!$A$6:$L$3250,CURR_1.SEARCH.OLD,0),VLOOKUP(K55,LIST!$B$6:$L$3250,CURR_1.SEARCH.NEW,0)),'DICTIONARY-5'!$A$2)</f>
        <v>601,-</v>
      </c>
      <c r="M55" s="339" t="str">
        <f>IFERROR(IF(OR(K55='DICTIONARY-5'!$A$2,K55='DICTIONARY-5'!$A$4,ISBLANK(K55)),VLOOKUP(J55,LIST!$A$6:$M$3250,CURR_2.SEARCH.OLD,0),VLOOKUP(K55,LIST!$B$6:$M$3250,CURR_2.SEARCH.NEW,0)),'DICTIONARY-5'!$A$2)</f>
        <v/>
      </c>
      <c r="N55" s="201"/>
    </row>
    <row r="56" spans="1:14" x14ac:dyDescent="0.25">
      <c r="A56" s="207">
        <v>250</v>
      </c>
      <c r="B56" s="207" t="s">
        <v>2030</v>
      </c>
      <c r="C56" s="207">
        <v>20</v>
      </c>
      <c r="D56" s="207" t="s">
        <v>12</v>
      </c>
      <c r="E56" s="207" t="s">
        <v>2076</v>
      </c>
      <c r="F56" s="313" t="s">
        <v>3610</v>
      </c>
      <c r="G56" s="339" t="str">
        <f>IFERROR(IF(OR(F56='DICTIONARY-5'!$A$2,F56='DICTIONARY-5'!$A$4,ISBLANK(F56)),VLOOKUP(E56,LIST!$A$6:$L$3250,CURR_1.SEARCH.OLD,0),VLOOKUP(F56,LIST!$B$6:$L$3250,CURR_1.SEARCH.NEW,0)),'DICTIONARY-5'!$A$2)</f>
        <v>636,-</v>
      </c>
      <c r="H56" s="339" t="str">
        <f>IFERROR(IF(OR(F56='DICTIONARY-5'!$A$2,F56='DICTIONARY-5'!$A$4,ISBLANK(F56)),VLOOKUP(E56,LIST!$A$6:$M$3250,CURR_2.SEARCH.OLD,0),VLOOKUP(F56,LIST!$B$6:$M$3250,CURR_2.SEARCH.NEW,0)),'DICTIONARY-5'!$A$2)</f>
        <v/>
      </c>
      <c r="I56" s="207">
        <v>16</v>
      </c>
      <c r="J56" s="207" t="s">
        <v>2077</v>
      </c>
      <c r="K56" s="313" t="s">
        <v>3612</v>
      </c>
      <c r="L56" s="339" t="str">
        <f>IFERROR(IF(OR(K56='DICTIONARY-5'!$A$2,K56='DICTIONARY-5'!$A$4,ISBLANK(K56)),VLOOKUP(J56,LIST!$A$6:$L$3250,CURR_1.SEARCH.OLD,0),VLOOKUP(K56,LIST!$B$6:$L$3250,CURR_1.SEARCH.NEW,0)),'DICTIONARY-5'!$A$2)</f>
        <v>649,-</v>
      </c>
      <c r="M56" s="339" t="str">
        <f>IFERROR(IF(OR(K56='DICTIONARY-5'!$A$2,K56='DICTIONARY-5'!$A$4,ISBLANK(K56)),VLOOKUP(J56,LIST!$A$6:$M$3250,CURR_2.SEARCH.OLD,0),VLOOKUP(K56,LIST!$B$6:$M$3250,CURR_2.SEARCH.NEW,0)),'DICTIONARY-5'!$A$2)</f>
        <v/>
      </c>
      <c r="N56" s="201"/>
    </row>
    <row r="57" spans="1:14" x14ac:dyDescent="0.25">
      <c r="A57" s="207">
        <v>300</v>
      </c>
      <c r="B57" s="207" t="s">
        <v>2030</v>
      </c>
      <c r="C57" s="207">
        <v>20</v>
      </c>
      <c r="D57" s="207" t="s">
        <v>12</v>
      </c>
      <c r="E57" s="207" t="s">
        <v>2078</v>
      </c>
      <c r="F57" s="313" t="s">
        <v>3614</v>
      </c>
      <c r="G57" s="339" t="str">
        <f>IFERROR(IF(OR(F57='DICTIONARY-5'!$A$2,F57='DICTIONARY-5'!$A$4,ISBLANK(F57)),VLOOKUP(E57,LIST!$A$6:$L$3250,CURR_1.SEARCH.OLD,0),VLOOKUP(F57,LIST!$B$6:$L$3250,CURR_1.SEARCH.NEW,0)),'DICTIONARY-5'!$A$2)</f>
        <v>738,-</v>
      </c>
      <c r="H57" s="339" t="str">
        <f>IFERROR(IF(OR(F57='DICTIONARY-5'!$A$2,F57='DICTIONARY-5'!$A$4,ISBLANK(F57)),VLOOKUP(E57,LIST!$A$6:$M$3250,CURR_2.SEARCH.OLD,0),VLOOKUP(F57,LIST!$B$6:$M$3250,CURR_2.SEARCH.NEW,0)),'DICTIONARY-5'!$A$2)</f>
        <v/>
      </c>
      <c r="I57" s="207">
        <v>16</v>
      </c>
      <c r="J57" s="207" t="s">
        <v>2079</v>
      </c>
      <c r="K57" s="313" t="s">
        <v>3616</v>
      </c>
      <c r="L57" s="339" t="str">
        <f>IFERROR(IF(OR(K57='DICTIONARY-5'!$A$2,K57='DICTIONARY-5'!$A$4,ISBLANK(K57)),VLOOKUP(J57,LIST!$A$6:$L$3250,CURR_1.SEARCH.OLD,0),VLOOKUP(K57,LIST!$B$6:$L$3250,CURR_1.SEARCH.NEW,0)),'DICTIONARY-5'!$A$2)</f>
        <v>732,-</v>
      </c>
      <c r="M57" s="339" t="str">
        <f>IFERROR(IF(OR(K57='DICTIONARY-5'!$A$2,K57='DICTIONARY-5'!$A$4,ISBLANK(K57)),VLOOKUP(J57,LIST!$A$6:$M$3250,CURR_2.SEARCH.OLD,0),VLOOKUP(K57,LIST!$B$6:$M$3250,CURR_2.SEARCH.NEW,0)),'DICTIONARY-5'!$A$2)</f>
        <v/>
      </c>
      <c r="N57" s="201"/>
    </row>
    <row r="58" spans="1:14" x14ac:dyDescent="0.25">
      <c r="A58" s="207">
        <v>350</v>
      </c>
      <c r="B58" s="207" t="s">
        <v>2035</v>
      </c>
      <c r="C58" s="207">
        <v>25</v>
      </c>
      <c r="D58" s="207" t="s">
        <v>12</v>
      </c>
      <c r="E58" s="207" t="s">
        <v>2080</v>
      </c>
      <c r="F58" s="313" t="s">
        <v>3618</v>
      </c>
      <c r="G58" s="339" t="str">
        <f>IFERROR(IF(OR(F58='DICTIONARY-5'!$A$2,F58='DICTIONARY-5'!$A$4,ISBLANK(F58)),VLOOKUP(E58,LIST!$A$6:$L$3250,CURR_1.SEARCH.OLD,0),VLOOKUP(F58,LIST!$B$6:$L$3250,CURR_1.SEARCH.NEW,0)),'DICTIONARY-5'!$A$2)</f>
        <v>1 093,-</v>
      </c>
      <c r="H58" s="339" t="str">
        <f>IFERROR(IF(OR(F58='DICTIONARY-5'!$A$2,F58='DICTIONARY-5'!$A$4,ISBLANK(F58)),VLOOKUP(E58,LIST!$A$6:$M$3250,CURR_2.SEARCH.OLD,0),VLOOKUP(F58,LIST!$B$6:$M$3250,CURR_2.SEARCH.NEW,0)),'DICTIONARY-5'!$A$2)</f>
        <v/>
      </c>
      <c r="I58" s="207">
        <v>16</v>
      </c>
      <c r="J58" s="207" t="s">
        <v>2081</v>
      </c>
      <c r="K58" s="313" t="s">
        <v>3620</v>
      </c>
      <c r="L58" s="339" t="str">
        <f>IFERROR(IF(OR(K58='DICTIONARY-5'!$A$2,K58='DICTIONARY-5'!$A$4,ISBLANK(K58)),VLOOKUP(J58,LIST!$A$6:$L$3250,CURR_1.SEARCH.OLD,0),VLOOKUP(K58,LIST!$B$6:$L$3250,CURR_1.SEARCH.NEW,0)),'DICTIONARY-5'!$A$2)</f>
        <v>943,-</v>
      </c>
      <c r="M58" s="339" t="str">
        <f>IFERROR(IF(OR(K58='DICTIONARY-5'!$A$2,K58='DICTIONARY-5'!$A$4,ISBLANK(K58)),VLOOKUP(J58,LIST!$A$6:$M$3250,CURR_2.SEARCH.OLD,0),VLOOKUP(K58,LIST!$B$6:$M$3250,CURR_2.SEARCH.NEW,0)),'DICTIONARY-5'!$A$2)</f>
        <v/>
      </c>
      <c r="N58" s="201"/>
    </row>
    <row r="59" spans="1:14" x14ac:dyDescent="0.25">
      <c r="A59" s="207">
        <v>400</v>
      </c>
      <c r="B59" s="207" t="s">
        <v>2035</v>
      </c>
      <c r="C59" s="207">
        <v>25</v>
      </c>
      <c r="D59" s="207" t="s">
        <v>12</v>
      </c>
      <c r="E59" s="207" t="s">
        <v>2082</v>
      </c>
      <c r="F59" s="313" t="s">
        <v>3622</v>
      </c>
      <c r="G59" s="339" t="str">
        <f>IFERROR(IF(OR(F59='DICTIONARY-5'!$A$2,F59='DICTIONARY-5'!$A$4,ISBLANK(F59)),VLOOKUP(E59,LIST!$A$6:$L$3250,CURR_1.SEARCH.OLD,0),VLOOKUP(F59,LIST!$B$6:$L$3250,CURR_1.SEARCH.NEW,0)),'DICTIONARY-5'!$A$2)</f>
        <v>1 237,-</v>
      </c>
      <c r="H59" s="339" t="str">
        <f>IFERROR(IF(OR(F59='DICTIONARY-5'!$A$2,F59='DICTIONARY-5'!$A$4,ISBLANK(F59)),VLOOKUP(E59,LIST!$A$6:$M$3250,CURR_2.SEARCH.OLD,0),VLOOKUP(F59,LIST!$B$6:$M$3250,CURR_2.SEARCH.NEW,0)),'DICTIONARY-5'!$A$2)</f>
        <v/>
      </c>
      <c r="I59" s="207">
        <v>16</v>
      </c>
      <c r="J59" s="207" t="s">
        <v>2083</v>
      </c>
      <c r="K59" s="313" t="s">
        <v>3624</v>
      </c>
      <c r="L59" s="339" t="str">
        <f>IFERROR(IF(OR(K59='DICTIONARY-5'!$A$2,K59='DICTIONARY-5'!$A$4,ISBLANK(K59)),VLOOKUP(J59,LIST!$A$6:$L$3250,CURR_1.SEARCH.OLD,0),VLOOKUP(K59,LIST!$B$6:$L$3250,CURR_1.SEARCH.NEW,0)),'DICTIONARY-5'!$A$2)</f>
        <v>1 238,-</v>
      </c>
      <c r="M59" s="339" t="str">
        <f>IFERROR(IF(OR(K59='DICTIONARY-5'!$A$2,K59='DICTIONARY-5'!$A$4,ISBLANK(K59)),VLOOKUP(J59,LIST!$A$6:$M$3250,CURR_2.SEARCH.OLD,0),VLOOKUP(K59,LIST!$B$6:$M$3250,CURR_2.SEARCH.NEW,0)),'DICTIONARY-5'!$A$2)</f>
        <v/>
      </c>
      <c r="N59" s="201"/>
    </row>
    <row r="60" spans="1:14" x14ac:dyDescent="0.25">
      <c r="A60" s="207">
        <v>450</v>
      </c>
      <c r="B60" s="207" t="s">
        <v>2035</v>
      </c>
      <c r="C60" s="207">
        <v>25</v>
      </c>
      <c r="D60" s="207" t="s">
        <v>12</v>
      </c>
      <c r="E60" s="207" t="s">
        <v>2084</v>
      </c>
      <c r="F60" s="313" t="s">
        <v>3626</v>
      </c>
      <c r="G60" s="339" t="str">
        <f>IFERROR(IF(OR(F60='DICTIONARY-5'!$A$2,F60='DICTIONARY-5'!$A$4,ISBLANK(F60)),VLOOKUP(E60,LIST!$A$6:$L$3250,CURR_1.SEARCH.OLD,0),VLOOKUP(F60,LIST!$B$6:$L$3250,CURR_1.SEARCH.NEW,0)),'DICTIONARY-5'!$A$2)</f>
        <v>1 123,-</v>
      </c>
      <c r="H60" s="339" t="str">
        <f>IFERROR(IF(OR(F60='DICTIONARY-5'!$A$2,F60='DICTIONARY-5'!$A$4,ISBLANK(F60)),VLOOKUP(E60,LIST!$A$6:$M$3250,CURR_2.SEARCH.OLD,0),VLOOKUP(F60,LIST!$B$6:$M$3250,CURR_2.SEARCH.NEW,0)),'DICTIONARY-5'!$A$2)</f>
        <v/>
      </c>
      <c r="I60" s="207">
        <v>16</v>
      </c>
      <c r="J60" s="207" t="s">
        <v>2085</v>
      </c>
      <c r="K60" s="313" t="s">
        <v>3628</v>
      </c>
      <c r="L60" s="339" t="str">
        <f>IFERROR(IF(OR(K60='DICTIONARY-5'!$A$2,K60='DICTIONARY-5'!$A$4,ISBLANK(K60)),VLOOKUP(J60,LIST!$A$6:$L$3250,CURR_1.SEARCH.OLD,0),VLOOKUP(K60,LIST!$B$6:$L$3250,CURR_1.SEARCH.NEW,0)),'DICTIONARY-5'!$A$2)</f>
        <v>1 487,-</v>
      </c>
      <c r="M60" s="339" t="str">
        <f>IFERROR(IF(OR(K60='DICTIONARY-5'!$A$2,K60='DICTIONARY-5'!$A$4,ISBLANK(K60)),VLOOKUP(J60,LIST!$A$6:$M$3250,CURR_2.SEARCH.OLD,0),VLOOKUP(K60,LIST!$B$6:$M$3250,CURR_2.SEARCH.NEW,0)),'DICTIONARY-5'!$A$2)</f>
        <v/>
      </c>
      <c r="N60" s="201"/>
    </row>
    <row r="61" spans="1:14" x14ac:dyDescent="0.25">
      <c r="A61" s="207">
        <v>500</v>
      </c>
      <c r="B61" s="207" t="s">
        <v>2035</v>
      </c>
      <c r="C61" s="207">
        <v>25</v>
      </c>
      <c r="D61" s="207" t="s">
        <v>12</v>
      </c>
      <c r="E61" s="207" t="s">
        <v>2086</v>
      </c>
      <c r="F61" s="313" t="s">
        <v>3630</v>
      </c>
      <c r="G61" s="339" t="str">
        <f>IFERROR(IF(OR(F61='DICTIONARY-5'!$A$2,F61='DICTIONARY-5'!$A$4,ISBLANK(F61)),VLOOKUP(E61,LIST!$A$6:$L$3250,CURR_1.SEARCH.OLD,0),VLOOKUP(F61,LIST!$B$6:$L$3250,CURR_1.SEARCH.NEW,0)),'DICTIONARY-5'!$A$2)</f>
        <v>1 622,-</v>
      </c>
      <c r="H61" s="339" t="str">
        <f>IFERROR(IF(OR(F61='DICTIONARY-5'!$A$2,F61='DICTIONARY-5'!$A$4,ISBLANK(F61)),VLOOKUP(E61,LIST!$A$6:$M$3250,CURR_2.SEARCH.OLD,0),VLOOKUP(F61,LIST!$B$6:$M$3250,CURR_2.SEARCH.NEW,0)),'DICTIONARY-5'!$A$2)</f>
        <v/>
      </c>
      <c r="I61" s="207">
        <v>16</v>
      </c>
      <c r="J61" s="207" t="s">
        <v>2087</v>
      </c>
      <c r="K61" s="313" t="s">
        <v>3632</v>
      </c>
      <c r="L61" s="339" t="str">
        <f>IFERROR(IF(OR(K61='DICTIONARY-5'!$A$2,K61='DICTIONARY-5'!$A$4,ISBLANK(K61)),VLOOKUP(J61,LIST!$A$6:$L$3250,CURR_1.SEARCH.OLD,0),VLOOKUP(K61,LIST!$B$6:$L$3250,CURR_1.SEARCH.NEW,0)),'DICTIONARY-5'!$A$2)</f>
        <v>2 008,-</v>
      </c>
      <c r="M61" s="339" t="str">
        <f>IFERROR(IF(OR(K61='DICTIONARY-5'!$A$2,K61='DICTIONARY-5'!$A$4,ISBLANK(K61)),VLOOKUP(J61,LIST!$A$6:$M$3250,CURR_2.SEARCH.OLD,0),VLOOKUP(K61,LIST!$B$6:$M$3250,CURR_2.SEARCH.NEW,0)),'DICTIONARY-5'!$A$2)</f>
        <v/>
      </c>
      <c r="N61" s="201"/>
    </row>
    <row r="62" spans="1:14" x14ac:dyDescent="0.25">
      <c r="A62" s="207">
        <v>600</v>
      </c>
      <c r="B62" s="207" t="s">
        <v>2035</v>
      </c>
      <c r="C62" s="207">
        <v>25</v>
      </c>
      <c r="D62" s="207" t="s">
        <v>12</v>
      </c>
      <c r="E62" s="207" t="s">
        <v>2088</v>
      </c>
      <c r="F62" s="313" t="s">
        <v>3634</v>
      </c>
      <c r="G62" s="339" t="str">
        <f>IFERROR(IF(OR(F62='DICTIONARY-5'!$A$2,F62='DICTIONARY-5'!$A$4,ISBLANK(F62)),VLOOKUP(E62,LIST!$A$6:$L$3250,CURR_1.SEARCH.OLD,0),VLOOKUP(F62,LIST!$B$6:$L$3250,CURR_1.SEARCH.NEW,0)),'DICTIONARY-5'!$A$2)</f>
        <v>1 972,-</v>
      </c>
      <c r="H62" s="339" t="str">
        <f>IFERROR(IF(OR(F62='DICTIONARY-5'!$A$2,F62='DICTIONARY-5'!$A$4,ISBLANK(F62)),VLOOKUP(E62,LIST!$A$6:$M$3250,CURR_2.SEARCH.OLD,0),VLOOKUP(F62,LIST!$B$6:$M$3250,CURR_2.SEARCH.NEW,0)),'DICTIONARY-5'!$A$2)</f>
        <v/>
      </c>
      <c r="I62" s="207">
        <v>16</v>
      </c>
      <c r="J62" s="207" t="s">
        <v>2089</v>
      </c>
      <c r="K62" s="313" t="s">
        <v>3636</v>
      </c>
      <c r="L62" s="339" t="str">
        <f>IFERROR(IF(OR(K62='DICTIONARY-5'!$A$2,K62='DICTIONARY-5'!$A$4,ISBLANK(K62)),VLOOKUP(J62,LIST!$A$6:$L$3250,CURR_1.SEARCH.OLD,0),VLOOKUP(K62,LIST!$B$6:$L$3250,CURR_1.SEARCH.NEW,0)),'DICTIONARY-5'!$A$2)</f>
        <v>1 996,-</v>
      </c>
      <c r="M62" s="339" t="str">
        <f>IFERROR(IF(OR(K62='DICTIONARY-5'!$A$2,K62='DICTIONARY-5'!$A$4,ISBLANK(K62)),VLOOKUP(J62,LIST!$A$6:$M$3250,CURR_2.SEARCH.OLD,0),VLOOKUP(K62,LIST!$B$6:$M$3250,CURR_2.SEARCH.NEW,0)),'DICTIONARY-5'!$A$2)</f>
        <v/>
      </c>
      <c r="N62" s="201"/>
    </row>
    <row r="63" spans="1:14" x14ac:dyDescent="0.25">
      <c r="A63" s="207">
        <v>700</v>
      </c>
      <c r="B63" s="207" t="s">
        <v>2035</v>
      </c>
      <c r="C63" s="207">
        <v>25</v>
      </c>
      <c r="D63" s="207" t="s">
        <v>12</v>
      </c>
      <c r="E63" s="207" t="s">
        <v>2090</v>
      </c>
      <c r="F63" s="313" t="s">
        <v>3638</v>
      </c>
      <c r="G63" s="339" t="str">
        <f>IFERROR(IF(OR(F63='DICTIONARY-5'!$A$2,F63='DICTIONARY-5'!$A$4,ISBLANK(F63)),VLOOKUP(E63,LIST!$A$6:$L$3250,CURR_1.SEARCH.OLD,0),VLOOKUP(F63,LIST!$B$6:$L$3250,CURR_1.SEARCH.NEW,0)),'DICTIONARY-5'!$A$2)</f>
        <v>2 626,-</v>
      </c>
      <c r="H63" s="339" t="str">
        <f>IFERROR(IF(OR(F63='DICTIONARY-5'!$A$2,F63='DICTIONARY-5'!$A$4,ISBLANK(F63)),VLOOKUP(E63,LIST!$A$6:$M$3250,CURR_2.SEARCH.OLD,0),VLOOKUP(F63,LIST!$B$6:$M$3250,CURR_2.SEARCH.NEW,0)),'DICTIONARY-5'!$A$2)</f>
        <v/>
      </c>
      <c r="I63" s="207">
        <v>16</v>
      </c>
      <c r="J63" s="207" t="s">
        <v>2091</v>
      </c>
      <c r="K63" s="313" t="s">
        <v>3640</v>
      </c>
      <c r="L63" s="339" t="str">
        <f>IFERROR(IF(OR(K63='DICTIONARY-5'!$A$2,K63='DICTIONARY-5'!$A$4,ISBLANK(K63)),VLOOKUP(J63,LIST!$A$6:$L$3250,CURR_1.SEARCH.OLD,0),VLOOKUP(K63,LIST!$B$6:$L$3250,CURR_1.SEARCH.NEW,0)),'DICTIONARY-5'!$A$2)</f>
        <v>2 360,-</v>
      </c>
      <c r="M63" s="339" t="str">
        <f>IFERROR(IF(OR(K63='DICTIONARY-5'!$A$2,K63='DICTIONARY-5'!$A$4,ISBLANK(K63)),VLOOKUP(J63,LIST!$A$6:$M$3250,CURR_2.SEARCH.OLD,0),VLOOKUP(K63,LIST!$B$6:$M$3250,CURR_2.SEARCH.NEW,0)),'DICTIONARY-5'!$A$2)</f>
        <v/>
      </c>
      <c r="N63" s="201"/>
    </row>
    <row r="64" spans="1:14" x14ac:dyDescent="0.25">
      <c r="A64" s="207">
        <v>800</v>
      </c>
      <c r="B64" s="207" t="s">
        <v>2035</v>
      </c>
      <c r="C64" s="207">
        <v>25</v>
      </c>
      <c r="D64" s="207" t="s">
        <v>12</v>
      </c>
      <c r="E64" s="207" t="s">
        <v>2092</v>
      </c>
      <c r="F64" s="313" t="s">
        <v>3642</v>
      </c>
      <c r="G64" s="339" t="str">
        <f>IFERROR(IF(OR(F64='DICTIONARY-5'!$A$2,F64='DICTIONARY-5'!$A$4,ISBLANK(F64)),VLOOKUP(E64,LIST!$A$6:$L$3250,CURR_1.SEARCH.OLD,0),VLOOKUP(F64,LIST!$B$6:$L$3250,CURR_1.SEARCH.NEW,0)),'DICTIONARY-5'!$A$2)</f>
        <v>3 369,-</v>
      </c>
      <c r="H64" s="339" t="str">
        <f>IFERROR(IF(OR(F64='DICTIONARY-5'!$A$2,F64='DICTIONARY-5'!$A$4,ISBLANK(F64)),VLOOKUP(E64,LIST!$A$6:$M$3250,CURR_2.SEARCH.OLD,0),VLOOKUP(F64,LIST!$B$6:$M$3250,CURR_2.SEARCH.NEW,0)),'DICTIONARY-5'!$A$2)</f>
        <v/>
      </c>
      <c r="I64" s="207">
        <v>16</v>
      </c>
      <c r="J64" s="207" t="s">
        <v>2093</v>
      </c>
      <c r="K64" s="313" t="s">
        <v>3644</v>
      </c>
      <c r="L64" s="339" t="str">
        <f>IFERROR(IF(OR(K64='DICTIONARY-5'!$A$2,K64='DICTIONARY-5'!$A$4,ISBLANK(K64)),VLOOKUP(J64,LIST!$A$6:$L$3250,CURR_1.SEARCH.OLD,0),VLOOKUP(K64,LIST!$B$6:$L$3250,CURR_1.SEARCH.NEW,0)),'DICTIONARY-5'!$A$2)</f>
        <v>3 329,-</v>
      </c>
      <c r="M64" s="339" t="str">
        <f>IFERROR(IF(OR(K64='DICTIONARY-5'!$A$2,K64='DICTIONARY-5'!$A$4,ISBLANK(K64)),VLOOKUP(J64,LIST!$A$6:$M$3250,CURR_2.SEARCH.OLD,0),VLOOKUP(K64,LIST!$B$6:$M$3250,CURR_2.SEARCH.NEW,0)),'DICTIONARY-5'!$A$2)</f>
        <v/>
      </c>
      <c r="N64" s="201"/>
    </row>
    <row r="65" spans="1:14" x14ac:dyDescent="0.25">
      <c r="A65" s="207">
        <v>900</v>
      </c>
      <c r="B65" s="207" t="s">
        <v>2035</v>
      </c>
      <c r="C65" s="207">
        <v>25</v>
      </c>
      <c r="D65" s="207" t="s">
        <v>12</v>
      </c>
      <c r="E65" s="207" t="s">
        <v>2094</v>
      </c>
      <c r="F65" s="313" t="s">
        <v>3646</v>
      </c>
      <c r="G65" s="339" t="str">
        <f>IFERROR(IF(OR(F65='DICTIONARY-5'!$A$2,F65='DICTIONARY-5'!$A$4,ISBLANK(F65)),VLOOKUP(E65,LIST!$A$6:$L$3250,CURR_1.SEARCH.OLD,0),VLOOKUP(F65,LIST!$B$6:$L$3250,CURR_1.SEARCH.NEW,0)),'DICTIONARY-5'!$A$2)</f>
        <v>4 260,-</v>
      </c>
      <c r="H65" s="339" t="str">
        <f>IFERROR(IF(OR(F65='DICTIONARY-5'!$A$2,F65='DICTIONARY-5'!$A$4,ISBLANK(F65)),VLOOKUP(E65,LIST!$A$6:$M$3250,CURR_2.SEARCH.OLD,0),VLOOKUP(F65,LIST!$B$6:$M$3250,CURR_2.SEARCH.NEW,0)),'DICTIONARY-5'!$A$2)</f>
        <v/>
      </c>
      <c r="I65" s="207">
        <v>16</v>
      </c>
      <c r="J65" s="207" t="s">
        <v>2095</v>
      </c>
      <c r="K65" s="313" t="s">
        <v>3648</v>
      </c>
      <c r="L65" s="339" t="str">
        <f>IFERROR(IF(OR(K65='DICTIONARY-5'!$A$2,K65='DICTIONARY-5'!$A$4,ISBLANK(K65)),VLOOKUP(J65,LIST!$A$6:$L$3250,CURR_1.SEARCH.OLD,0),VLOOKUP(K65,LIST!$B$6:$L$3250,CURR_1.SEARCH.NEW,0)),'DICTIONARY-5'!$A$2)</f>
        <v>3 871,-</v>
      </c>
      <c r="M65" s="339" t="str">
        <f>IFERROR(IF(OR(K65='DICTIONARY-5'!$A$2,K65='DICTIONARY-5'!$A$4,ISBLANK(K65)),VLOOKUP(J65,LIST!$A$6:$M$3250,CURR_2.SEARCH.OLD,0),VLOOKUP(K65,LIST!$B$6:$M$3250,CURR_2.SEARCH.NEW,0)),'DICTIONARY-5'!$A$2)</f>
        <v/>
      </c>
      <c r="N65" s="201"/>
    </row>
    <row r="66" spans="1:14" x14ac:dyDescent="0.25">
      <c r="A66" s="207">
        <v>1000</v>
      </c>
      <c r="B66" s="207" t="s">
        <v>2052</v>
      </c>
      <c r="C66" s="207">
        <v>30</v>
      </c>
      <c r="D66" s="207" t="s">
        <v>12</v>
      </c>
      <c r="E66" s="207" t="s">
        <v>2096</v>
      </c>
      <c r="F66" s="313" t="s">
        <v>3650</v>
      </c>
      <c r="G66" s="339" t="str">
        <f>IFERROR(IF(OR(F66='DICTIONARY-5'!$A$2,F66='DICTIONARY-5'!$A$4,ISBLANK(F66)),VLOOKUP(E66,LIST!$A$6:$L$3250,CURR_1.SEARCH.OLD,0),VLOOKUP(F66,LIST!$B$6:$L$3250,CURR_1.SEARCH.NEW,0)),'DICTIONARY-5'!$A$2)</f>
        <v>5 034,-</v>
      </c>
      <c r="H66" s="339" t="str">
        <f>IFERROR(IF(OR(F66='DICTIONARY-5'!$A$2,F66='DICTIONARY-5'!$A$4,ISBLANK(F66)),VLOOKUP(E66,LIST!$A$6:$M$3250,CURR_2.SEARCH.OLD,0),VLOOKUP(F66,LIST!$B$6:$M$3250,CURR_2.SEARCH.NEW,0)),'DICTIONARY-5'!$A$2)</f>
        <v/>
      </c>
      <c r="I66" s="207">
        <v>16</v>
      </c>
      <c r="J66" s="207" t="s">
        <v>2097</v>
      </c>
      <c r="K66" s="313" t="s">
        <v>3652</v>
      </c>
      <c r="L66" s="339" t="str">
        <f>IFERROR(IF(OR(K66='DICTIONARY-5'!$A$2,K66='DICTIONARY-5'!$A$4,ISBLANK(K66)),VLOOKUP(J66,LIST!$A$6:$L$3250,CURR_1.SEARCH.OLD,0),VLOOKUP(K66,LIST!$B$6:$L$3250,CURR_1.SEARCH.NEW,0)),'DICTIONARY-5'!$A$2)</f>
        <v>4 353,-</v>
      </c>
      <c r="M66" s="339" t="str">
        <f>IFERROR(IF(OR(K66='DICTIONARY-5'!$A$2,K66='DICTIONARY-5'!$A$4,ISBLANK(K66)),VLOOKUP(J66,LIST!$A$6:$M$3250,CURR_2.SEARCH.OLD,0),VLOOKUP(K66,LIST!$B$6:$M$3250,CURR_2.SEARCH.NEW,0)),'DICTIONARY-5'!$A$2)</f>
        <v/>
      </c>
      <c r="N66" s="201"/>
    </row>
    <row r="67" spans="1:14" x14ac:dyDescent="0.25">
      <c r="A67" s="207">
        <v>1200</v>
      </c>
      <c r="B67" s="207" t="s">
        <v>2055</v>
      </c>
      <c r="C67" s="207">
        <v>30</v>
      </c>
      <c r="D67" s="207" t="s">
        <v>12</v>
      </c>
      <c r="E67" s="207" t="s">
        <v>2098</v>
      </c>
      <c r="F67" s="313" t="s">
        <v>3654</v>
      </c>
      <c r="G67" s="339" t="str">
        <f>IFERROR(IF(OR(F67='DICTIONARY-5'!$A$2,F67='DICTIONARY-5'!$A$4,ISBLANK(F67)),VLOOKUP(E67,LIST!$A$6:$L$3250,CURR_1.SEARCH.OLD,0),VLOOKUP(F67,LIST!$B$6:$L$3250,CURR_1.SEARCH.NEW,0)),'DICTIONARY-5'!$A$2)</f>
        <v>8 343,-</v>
      </c>
      <c r="H67" s="339" t="str">
        <f>IFERROR(IF(OR(F67='DICTIONARY-5'!$A$2,F67='DICTIONARY-5'!$A$4,ISBLANK(F67)),VLOOKUP(E67,LIST!$A$6:$M$3250,CURR_2.SEARCH.OLD,0),VLOOKUP(F67,LIST!$B$6:$M$3250,CURR_2.SEARCH.NEW,0)),'DICTIONARY-5'!$A$2)</f>
        <v/>
      </c>
      <c r="I67" s="207">
        <v>16</v>
      </c>
      <c r="J67" s="207" t="s">
        <v>2099</v>
      </c>
      <c r="K67" s="313" t="s">
        <v>3656</v>
      </c>
      <c r="L67" s="339" t="str">
        <f>IFERROR(IF(OR(K67='DICTIONARY-5'!$A$2,K67='DICTIONARY-5'!$A$4,ISBLANK(K67)),VLOOKUP(J67,LIST!$A$6:$L$3250,CURR_1.SEARCH.OLD,0),VLOOKUP(K67,LIST!$B$6:$L$3250,CURR_1.SEARCH.NEW,0)),'DICTIONARY-5'!$A$2)</f>
        <v>7 620,-</v>
      </c>
      <c r="M67" s="339" t="str">
        <f>IFERROR(IF(OR(K67='DICTIONARY-5'!$A$2,K67='DICTIONARY-5'!$A$4,ISBLANK(K67)),VLOOKUP(J67,LIST!$A$6:$M$3250,CURR_2.SEARCH.OLD,0),VLOOKUP(K67,LIST!$B$6:$M$3250,CURR_2.SEARCH.NEW,0)),'DICTIONARY-5'!$A$2)</f>
        <v/>
      </c>
      <c r="N67" s="201"/>
    </row>
    <row r="68" spans="1:14" x14ac:dyDescent="0.25">
      <c r="A68" s="207">
        <v>1400</v>
      </c>
      <c r="B68" s="207" t="s">
        <v>2058</v>
      </c>
      <c r="C68" s="207">
        <v>30</v>
      </c>
      <c r="D68" s="207" t="s">
        <v>12</v>
      </c>
      <c r="E68" s="207" t="s">
        <v>2100</v>
      </c>
      <c r="F68" s="313" t="s">
        <v>3658</v>
      </c>
      <c r="G68" s="339" t="str">
        <f>IFERROR(IF(OR(F68='DICTIONARY-5'!$A$2,F68='DICTIONARY-5'!$A$4,ISBLANK(F68)),VLOOKUP(E68,LIST!$A$6:$L$3250,CURR_1.SEARCH.OLD,0),VLOOKUP(F68,LIST!$B$6:$L$3250,CURR_1.SEARCH.NEW,0)),'DICTIONARY-5'!$A$2)</f>
        <v>15 238,-</v>
      </c>
      <c r="H68" s="339" t="str">
        <f>IFERROR(IF(OR(F68='DICTIONARY-5'!$A$2,F68='DICTIONARY-5'!$A$4,ISBLANK(F68)),VLOOKUP(E68,LIST!$A$6:$M$3250,CURR_2.SEARCH.OLD,0),VLOOKUP(F68,LIST!$B$6:$M$3250,CURR_2.SEARCH.NEW,0)),'DICTIONARY-5'!$A$2)</f>
        <v/>
      </c>
      <c r="I68" s="207">
        <v>16</v>
      </c>
      <c r="J68" s="207" t="s">
        <v>2101</v>
      </c>
      <c r="K68" s="313" t="s">
        <v>3660</v>
      </c>
      <c r="L68" s="339" t="str">
        <f>IFERROR(IF(OR(K68='DICTIONARY-5'!$A$2,K68='DICTIONARY-5'!$A$4,ISBLANK(K68)),VLOOKUP(J68,LIST!$A$6:$L$3250,CURR_1.SEARCH.OLD,0),VLOOKUP(K68,LIST!$B$6:$L$3250,CURR_1.SEARCH.NEW,0)),'DICTIONARY-5'!$A$2)</f>
        <v>10 636,-</v>
      </c>
      <c r="M68" s="339" t="str">
        <f>IFERROR(IF(OR(K68='DICTIONARY-5'!$A$2,K68='DICTIONARY-5'!$A$4,ISBLANK(K68)),VLOOKUP(J68,LIST!$A$6:$M$3250,CURR_2.SEARCH.OLD,0),VLOOKUP(K68,LIST!$B$6:$M$3250,CURR_2.SEARCH.NEW,0)),'DICTIONARY-5'!$A$2)</f>
        <v/>
      </c>
      <c r="N68" s="201"/>
    </row>
    <row r="69" spans="1:14" x14ac:dyDescent="0.25">
      <c r="A69" s="207">
        <v>1600</v>
      </c>
      <c r="B69" s="207" t="s">
        <v>2061</v>
      </c>
      <c r="C69" s="207">
        <v>30</v>
      </c>
      <c r="D69" s="207" t="s">
        <v>12</v>
      </c>
      <c r="E69" s="207" t="s">
        <v>2102</v>
      </c>
      <c r="F69" s="313" t="s">
        <v>3662</v>
      </c>
      <c r="G69" s="339" t="str">
        <f>IFERROR(IF(OR(F69='DICTIONARY-5'!$A$2,F69='DICTIONARY-5'!$A$4,ISBLANK(F69)),VLOOKUP(E69,LIST!$A$6:$L$3250,CURR_1.SEARCH.OLD,0),VLOOKUP(F69,LIST!$B$6:$L$3250,CURR_1.SEARCH.NEW,0)),'DICTIONARY-5'!$A$2)</f>
        <v>25 716,-</v>
      </c>
      <c r="H69" s="339" t="str">
        <f>IFERROR(IF(OR(F69='DICTIONARY-5'!$A$2,F69='DICTIONARY-5'!$A$4,ISBLANK(F69)),VLOOKUP(E69,LIST!$A$6:$M$3250,CURR_2.SEARCH.OLD,0),VLOOKUP(F69,LIST!$B$6:$M$3250,CURR_2.SEARCH.NEW,0)),'DICTIONARY-5'!$A$2)</f>
        <v/>
      </c>
      <c r="I69" s="207">
        <v>16</v>
      </c>
      <c r="J69" s="207" t="s">
        <v>2103</v>
      </c>
      <c r="K69" s="313" t="s">
        <v>3664</v>
      </c>
      <c r="L69" s="339" t="str">
        <f>IFERROR(IF(OR(K69='DICTIONARY-5'!$A$2,K69='DICTIONARY-5'!$A$4,ISBLANK(K69)),VLOOKUP(J69,LIST!$A$6:$L$3250,CURR_1.SEARCH.OLD,0),VLOOKUP(K69,LIST!$B$6:$L$3250,CURR_1.SEARCH.NEW,0)),'DICTIONARY-5'!$A$2)</f>
        <v>27 726,-</v>
      </c>
      <c r="M69" s="339" t="str">
        <f>IFERROR(IF(OR(K69='DICTIONARY-5'!$A$2,K69='DICTIONARY-5'!$A$4,ISBLANK(K69)),VLOOKUP(J69,LIST!$A$6:$M$3250,CURR_2.SEARCH.OLD,0),VLOOKUP(K69,LIST!$B$6:$M$3250,CURR_2.SEARCH.NEW,0)),'DICTIONARY-5'!$A$2)</f>
        <v/>
      </c>
      <c r="N69" s="201"/>
    </row>
    <row r="70" spans="1:14" x14ac:dyDescent="0.25">
      <c r="A70" s="207">
        <v>1800</v>
      </c>
      <c r="B70" s="207" t="s">
        <v>2061</v>
      </c>
      <c r="C70" s="207">
        <v>30</v>
      </c>
      <c r="D70" s="207" t="s">
        <v>12</v>
      </c>
      <c r="E70" s="207" t="s">
        <v>2104</v>
      </c>
      <c r="F70" s="313" t="s">
        <v>3666</v>
      </c>
      <c r="G70" s="339" t="str">
        <f>IFERROR(IF(OR(F70='DICTIONARY-5'!$A$2,F70='DICTIONARY-5'!$A$4,ISBLANK(F70)),VLOOKUP(E70,LIST!$A$6:$L$3250,CURR_1.SEARCH.OLD,0),VLOOKUP(F70,LIST!$B$6:$L$3250,CURR_1.SEARCH.NEW,0)),'DICTIONARY-5'!$A$2)</f>
        <v>37 236,-</v>
      </c>
      <c r="H70" s="339" t="str">
        <f>IFERROR(IF(OR(F70='DICTIONARY-5'!$A$2,F70='DICTIONARY-5'!$A$4,ISBLANK(F70)),VLOOKUP(E70,LIST!$A$6:$M$3250,CURR_2.SEARCH.OLD,0),VLOOKUP(F70,LIST!$B$6:$M$3250,CURR_2.SEARCH.NEW,0)),'DICTIONARY-5'!$A$2)</f>
        <v/>
      </c>
      <c r="I70" s="207">
        <v>16</v>
      </c>
      <c r="J70" s="207" t="s">
        <v>2105</v>
      </c>
      <c r="K70" s="313" t="s">
        <v>3668</v>
      </c>
      <c r="L70" s="339" t="str">
        <f>IFERROR(IF(OR(K70='DICTIONARY-5'!$A$2,K70='DICTIONARY-5'!$A$4,ISBLANK(K70)),VLOOKUP(J70,LIST!$A$6:$L$3250,CURR_1.SEARCH.OLD,0),VLOOKUP(K70,LIST!$B$6:$L$3250,CURR_1.SEARCH.NEW,0)),'DICTIONARY-5'!$A$2)</f>
        <v>39 924,-</v>
      </c>
      <c r="M70" s="339" t="str">
        <f>IFERROR(IF(OR(K70='DICTIONARY-5'!$A$2,K70='DICTIONARY-5'!$A$4,ISBLANK(K70)),VLOOKUP(J70,LIST!$A$6:$M$3250,CURR_2.SEARCH.OLD,0),VLOOKUP(K70,LIST!$B$6:$M$3250,CURR_2.SEARCH.NEW,0)),'DICTIONARY-5'!$A$2)</f>
        <v/>
      </c>
      <c r="N70" s="201"/>
    </row>
    <row r="71" spans="1:14" x14ac:dyDescent="0.25">
      <c r="A71" s="207">
        <v>2000</v>
      </c>
      <c r="B71" s="207" t="s">
        <v>2061</v>
      </c>
      <c r="C71" s="207">
        <v>30</v>
      </c>
      <c r="D71" s="207" t="s">
        <v>12</v>
      </c>
      <c r="E71" s="207" t="s">
        <v>2106</v>
      </c>
      <c r="F71" s="313" t="s">
        <v>3670</v>
      </c>
      <c r="G71" s="339" t="str">
        <f>IFERROR(IF(OR(F71='DICTIONARY-5'!$A$2,F71='DICTIONARY-5'!$A$4,ISBLANK(F71)),VLOOKUP(E71,LIST!$A$6:$L$3250,CURR_1.SEARCH.OLD,0),VLOOKUP(F71,LIST!$B$6:$L$3250,CURR_1.SEARCH.NEW,0)),'DICTIONARY-5'!$A$2)</f>
        <v>43 960,-</v>
      </c>
      <c r="H71" s="339" t="str">
        <f>IFERROR(IF(OR(F71='DICTIONARY-5'!$A$2,F71='DICTIONARY-5'!$A$4,ISBLANK(F71)),VLOOKUP(E71,LIST!$A$6:$M$3250,CURR_2.SEARCH.OLD,0),VLOOKUP(F71,LIST!$B$6:$M$3250,CURR_2.SEARCH.NEW,0)),'DICTIONARY-5'!$A$2)</f>
        <v/>
      </c>
      <c r="I71" s="207">
        <v>16</v>
      </c>
      <c r="J71" s="207" t="s">
        <v>2107</v>
      </c>
      <c r="K71" s="313" t="s">
        <v>3672</v>
      </c>
      <c r="L71" s="339" t="str">
        <f>IFERROR(IF(OR(K71='DICTIONARY-5'!$A$2,K71='DICTIONARY-5'!$A$4,ISBLANK(K71)),VLOOKUP(J71,LIST!$A$6:$L$3250,CURR_1.SEARCH.OLD,0),VLOOKUP(K71,LIST!$B$6:$L$3250,CURR_1.SEARCH.NEW,0)),'DICTIONARY-5'!$A$2)</f>
        <v>45 642,-</v>
      </c>
      <c r="M71" s="339" t="str">
        <f>IFERROR(IF(OR(K71='DICTIONARY-5'!$A$2,K71='DICTIONARY-5'!$A$4,ISBLANK(K71)),VLOOKUP(J71,LIST!$A$6:$M$3250,CURR_2.SEARCH.OLD,0),VLOOKUP(K71,LIST!$B$6:$M$3250,CURR_2.SEARCH.NEW,0)),'DICTIONARY-5'!$A$2)</f>
        <v/>
      </c>
      <c r="N71" s="201"/>
    </row>
    <row r="73" spans="1:14" x14ac:dyDescent="0.25">
      <c r="A73" s="218" t="str">
        <f>"1) "&amp;'DICTIONARY-5'!$A$28</f>
        <v>1) W zakresie regulacji Z – odległość można wydłużyć/skrócić długośc centralnej zabudowy L</v>
      </c>
    </row>
    <row r="74" spans="1:14" x14ac:dyDescent="0.25">
      <c r="A74" s="218" t="str">
        <f>'DICTIONARY-5'!$A$3&amp;'DICTIONARY-5'!$A$43&amp;" "&amp;'DICTIONARY-5'!$A$45&amp;" ("&amp;'DICTIONARY-5'!$A$14&amp;")"</f>
        <v>Na zapytanie: guma NBR (ścieki)</v>
      </c>
    </row>
  </sheetData>
  <sheetProtection algorithmName="SHA-512" hashValue="sICOMVGHySC1GpQXWPgQNPx7tYLiXXoeHscd6AIwcCxgs2Ks0S2n+K/Gv4iQLuUVA4c94150UvI6RE7qzyZ/wA==" saltValue="MxsSj8I0YLNCxTKRHBevGA==" spinCount="100000" sheet="1" objects="1" scenarios="1" autoFilter="0"/>
  <mergeCells count="9">
    <mergeCell ref="B4:E4"/>
    <mergeCell ref="E47:H47"/>
    <mergeCell ref="J47:M47"/>
    <mergeCell ref="E10:H10"/>
    <mergeCell ref="J10:M10"/>
    <mergeCell ref="E46:H46"/>
    <mergeCell ref="J46:M46"/>
    <mergeCell ref="E11:H11"/>
    <mergeCell ref="J11:M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2">
    <tabColor rgb="FFFFC000"/>
  </sheetPr>
  <dimension ref="A1:L25"/>
  <sheetViews>
    <sheetView workbookViewId="0"/>
  </sheetViews>
  <sheetFormatPr defaultColWidth="9.140625" defaultRowHeight="15" x14ac:dyDescent="0.25"/>
  <cols>
    <col min="1" max="4" width="9.140625" style="200"/>
    <col min="5" max="6" width="22.140625" style="200" customWidth="1"/>
    <col min="7" max="8" width="12.85546875" style="201" customWidth="1"/>
    <col min="9" max="10" width="22.140625" style="200" customWidth="1"/>
    <col min="11" max="12" width="12.85546875" style="201" customWidth="1"/>
    <col min="13" max="16384" width="9.140625" style="195"/>
  </cols>
  <sheetData>
    <row r="1" spans="1:12" s="401" customFormat="1" ht="45" customHeight="1" thickBot="1" x14ac:dyDescent="0.3">
      <c r="A1" s="428"/>
      <c r="B1" s="428"/>
      <c r="C1" s="428"/>
      <c r="D1" s="428"/>
      <c r="E1" s="402"/>
      <c r="F1" s="402"/>
      <c r="G1" s="403"/>
      <c r="H1" s="403"/>
      <c r="I1" s="402"/>
      <c r="J1" s="402"/>
      <c r="K1" s="403"/>
      <c r="L1" s="403"/>
    </row>
    <row r="2" spans="1:12" s="458" customFormat="1" ht="4.5" customHeight="1" x14ac:dyDescent="0.25">
      <c r="A2" s="457"/>
      <c r="B2" s="459"/>
      <c r="C2" s="459"/>
      <c r="D2" s="459"/>
      <c r="E2" s="459"/>
      <c r="F2" s="459"/>
      <c r="G2" s="460"/>
      <c r="H2" s="460"/>
      <c r="I2" s="459"/>
      <c r="J2" s="459"/>
      <c r="K2" s="460"/>
      <c r="L2" s="460"/>
    </row>
    <row r="3" spans="1:12" ht="15.75" thickBot="1" x14ac:dyDescent="0.3">
      <c r="A3" s="196"/>
      <c r="B3" s="197"/>
      <c r="C3" s="197"/>
    </row>
    <row r="4" spans="1:12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12" x14ac:dyDescent="0.25">
      <c r="A5" s="196"/>
      <c r="B5" s="197"/>
      <c r="C5" s="197"/>
    </row>
    <row r="6" spans="1:12" ht="16.5" thickBot="1" x14ac:dyDescent="0.3">
      <c r="A6" s="712" t="str">
        <f>CONCATENATE('DICTIONARY-3'!$A$127," ",'DICTIONARY-3'!$A$214)</f>
        <v>MONTY Wstawka montażowa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</row>
    <row r="7" spans="1:12" x14ac:dyDescent="0.25">
      <c r="A7" s="198" t="str">
        <f>CONCATENATE('DICTIONARY-1'!$A$10,": ",SETTINGS!$C$85)</f>
        <v>Grupa rabatowa: MONTY</v>
      </c>
    </row>
    <row r="8" spans="1:12" x14ac:dyDescent="0.25">
      <c r="A8" s="202"/>
    </row>
    <row r="9" spans="1:12" x14ac:dyDescent="0.25">
      <c r="A9" s="203" t="str">
        <f>'DICTIONARY-2'!$A$2</f>
        <v>DN</v>
      </c>
      <c r="B9" s="203" t="str">
        <f>'DICTIONARY-2'!$A$3</f>
        <v>PN</v>
      </c>
      <c r="C9" s="708" t="str">
        <f>'DICTIONARY-2'!$A$24</f>
        <v>L</v>
      </c>
      <c r="D9" s="708" t="str">
        <f>'DICTIONARY-2'!$A$25&amp;" 1)"</f>
        <v>Z 1)</v>
      </c>
      <c r="E9" s="1024" t="str">
        <f>'DICTIONARY-3'!$A$127</f>
        <v>MONTY</v>
      </c>
      <c r="F9" s="1024"/>
      <c r="G9" s="1024"/>
      <c r="H9" s="1024"/>
      <c r="I9" s="1024" t="str">
        <f>'DICTIONARY-3'!$A$127</f>
        <v>MONTY</v>
      </c>
      <c r="J9" s="1024"/>
      <c r="K9" s="1024"/>
      <c r="L9" s="1024"/>
    </row>
    <row r="10" spans="1:12" x14ac:dyDescent="0.25">
      <c r="A10" s="204"/>
      <c r="B10" s="204"/>
      <c r="C10" s="709"/>
      <c r="D10" s="709"/>
      <c r="E10" s="1025" t="str">
        <f>'DICTIONARY-5'!$A$23&amp;", "&amp;'DICTIONARY-5'!$A$42&amp;": "&amp;'DICTIONARY-5'!$A$54</f>
        <v>powłoka epoksydowa, uszczelka: PTFE</v>
      </c>
      <c r="F10" s="1025"/>
      <c r="G10" s="1025"/>
      <c r="H10" s="1025"/>
      <c r="I10" s="1025" t="str">
        <f>'DICTIONARY-5'!$A$24&amp;", "&amp;'DICTIONARY-5'!$A$42&amp;": "&amp;'DICTIONARY-5'!$A$55</f>
        <v>powłoka syntetyczna, uszczelka: włókno bezazbestowe</v>
      </c>
      <c r="J10" s="1025"/>
      <c r="K10" s="1025"/>
      <c r="L10" s="1025"/>
    </row>
    <row r="11" spans="1:12" x14ac:dyDescent="0.25">
      <c r="A11" s="204"/>
      <c r="B11" s="204"/>
      <c r="C11" s="204" t="str">
        <f>'DICTIONARY-2'!$A$18</f>
        <v>[mm]</v>
      </c>
      <c r="D11" s="204" t="str">
        <f>'DICTIONARY-2'!$A$18</f>
        <v>[mm]</v>
      </c>
      <c r="E11" s="205" t="str">
        <f>'DICTIONARY-2'!$A$28</f>
        <v>stary nr zamówienia</v>
      </c>
      <c r="F11" s="205" t="str">
        <f>'DICTIONARY-2'!$A$29</f>
        <v>nowy nr zamówienia</v>
      </c>
      <c r="G11" s="206" t="str">
        <f>CURRENCY.CODE_1</f>
        <v>EUR</v>
      </c>
      <c r="H11" s="206" t="str">
        <f>CURRENCY.CODE_2</f>
        <v>---</v>
      </c>
      <c r="I11" s="205" t="str">
        <f>'DICTIONARY-2'!$A$28</f>
        <v>stary nr zamówienia</v>
      </c>
      <c r="J11" s="205" t="str">
        <f>'DICTIONARY-2'!$A$29</f>
        <v>nowy nr zamówienia</v>
      </c>
      <c r="K11" s="206" t="str">
        <f>CURRENCY.CODE_1</f>
        <v>EUR</v>
      </c>
      <c r="L11" s="206" t="str">
        <f>CURRENCY.CODE_2</f>
        <v>---</v>
      </c>
    </row>
    <row r="12" spans="1:12" x14ac:dyDescent="0.25">
      <c r="A12" s="207">
        <v>40</v>
      </c>
      <c r="B12" s="207" t="s">
        <v>85</v>
      </c>
      <c r="C12" s="207">
        <v>160</v>
      </c>
      <c r="D12" s="207">
        <v>5</v>
      </c>
      <c r="E12" s="207" t="s">
        <v>2108</v>
      </c>
      <c r="F12" s="313" t="s">
        <v>3573</v>
      </c>
      <c r="G12" s="339" t="str">
        <f>IFERROR(IF(OR(F12='DICTIONARY-5'!$A$2,F12='DICTIONARY-5'!$A$4,ISBLANK(F12)),VLOOKUP(E12,LIST!$A$6:$L$3250,CURR_1.SEARCH.OLD,0),VLOOKUP(F12,LIST!$B$6:$L$3250,CURR_1.SEARCH.NEW,0)),'DICTIONARY-5'!$A$2)</f>
        <v>330,-</v>
      </c>
      <c r="H12" s="339" t="str">
        <f>IFERROR(IF(OR(F12='DICTIONARY-5'!$A$2,F12='DICTIONARY-5'!$A$4,ISBLANK(F12)),VLOOKUP(E12,LIST!$A$6:$M$3250,CURR_2.SEARCH.OLD,0),VLOOKUP(F12,LIST!$B$6:$M$3250,CURR_2.SEARCH.NEW,0)),'DICTIONARY-5'!$A$2)</f>
        <v/>
      </c>
      <c r="I12" s="207" t="s">
        <v>2109</v>
      </c>
      <c r="J12" s="313" t="s">
        <v>3572</v>
      </c>
      <c r="K12" s="339" t="str">
        <f>IFERROR(IF(OR(J12='DICTIONARY-5'!$A$2,J12='DICTIONARY-5'!$A$4,ISBLANK(J12)),VLOOKUP(I12,LIST!$A$6:$L$3250,CURR_1.SEARCH.OLD,0),VLOOKUP(J12,LIST!$B$6:$L$3250,CURR_1.SEARCH.NEW,0)),'DICTIONARY-5'!$A$2)</f>
        <v>335,-</v>
      </c>
      <c r="L12" s="339" t="str">
        <f>IFERROR(IF(OR(J12='DICTIONARY-5'!$A$2,J12='DICTIONARY-5'!$A$4,ISBLANK(J12)),VLOOKUP(I12,LIST!$A$6:$M$3250,CURR_2.SEARCH.OLD,0),VLOOKUP(J12,LIST!$B$6:$M$3250,CURR_2.SEARCH.NEW,0)),'DICTIONARY-5'!$A$2)</f>
        <v/>
      </c>
    </row>
    <row r="13" spans="1:12" x14ac:dyDescent="0.25">
      <c r="A13" s="207">
        <v>50</v>
      </c>
      <c r="B13" s="207" t="s">
        <v>85</v>
      </c>
      <c r="C13" s="207">
        <v>165</v>
      </c>
      <c r="D13" s="207">
        <v>5</v>
      </c>
      <c r="E13" s="207" t="s">
        <v>2110</v>
      </c>
      <c r="F13" s="313" t="s">
        <v>3575</v>
      </c>
      <c r="G13" s="339" t="str">
        <f>IFERROR(IF(OR(F13='DICTIONARY-5'!$A$2,F13='DICTIONARY-5'!$A$4,ISBLANK(F13)),VLOOKUP(E13,LIST!$A$6:$L$3250,CURR_1.SEARCH.OLD,0),VLOOKUP(F13,LIST!$B$6:$L$3250,CURR_1.SEARCH.NEW,0)),'DICTIONARY-5'!$A$2)</f>
        <v>190,-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  <c r="I13" s="207" t="s">
        <v>2111</v>
      </c>
      <c r="J13" s="313" t="s">
        <v>3574</v>
      </c>
      <c r="K13" s="339" t="str">
        <f>IFERROR(IF(OR(J13='DICTIONARY-5'!$A$2,J13='DICTIONARY-5'!$A$4,ISBLANK(J13)),VLOOKUP(I13,LIST!$A$6:$L$3250,CURR_1.SEARCH.OLD,0),VLOOKUP(J13,LIST!$B$6:$L$3250,CURR_1.SEARCH.NEW,0)),'DICTIONARY-5'!$A$2)</f>
        <v>218,-</v>
      </c>
      <c r="L13" s="339" t="str">
        <f>IFERROR(IF(OR(J13='DICTIONARY-5'!$A$2,J13='DICTIONARY-5'!$A$4,ISBLANK(J13)),VLOOKUP(I13,LIST!$A$6:$M$3250,CURR_2.SEARCH.OLD,0),VLOOKUP(J13,LIST!$B$6:$M$3250,CURR_2.SEARCH.NEW,0)),'DICTIONARY-5'!$A$2)</f>
        <v/>
      </c>
    </row>
    <row r="14" spans="1:12" x14ac:dyDescent="0.25">
      <c r="A14" s="207">
        <v>65</v>
      </c>
      <c r="B14" s="207" t="s">
        <v>85</v>
      </c>
      <c r="C14" s="207">
        <v>175</v>
      </c>
      <c r="D14" s="207">
        <v>7</v>
      </c>
      <c r="E14" s="207" t="s">
        <v>2112</v>
      </c>
      <c r="F14" s="313" t="s">
        <v>3577</v>
      </c>
      <c r="G14" s="339" t="str">
        <f>IFERROR(IF(OR(F14='DICTIONARY-5'!$A$2,F14='DICTIONARY-5'!$A$4,ISBLANK(F14)),VLOOKUP(E14,LIST!$A$6:$L$3250,CURR_1.SEARCH.OLD,0),VLOOKUP(F14,LIST!$B$6:$L$3250,CURR_1.SEARCH.NEW,0)),'DICTIONARY-5'!$A$2)</f>
        <v>296,-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  <c r="I14" s="207" t="s">
        <v>2113</v>
      </c>
      <c r="J14" s="313" t="s">
        <v>3576</v>
      </c>
      <c r="K14" s="339" t="str">
        <f>IFERROR(IF(OR(J14='DICTIONARY-5'!$A$2,J14='DICTIONARY-5'!$A$4,ISBLANK(J14)),VLOOKUP(I14,LIST!$A$6:$L$3250,CURR_1.SEARCH.OLD,0),VLOOKUP(J14,LIST!$B$6:$L$3250,CURR_1.SEARCH.NEW,0)),'DICTIONARY-5'!$A$2)</f>
        <v>299,-</v>
      </c>
      <c r="L14" s="339" t="str">
        <f>IFERROR(IF(OR(J14='DICTIONARY-5'!$A$2,J14='DICTIONARY-5'!$A$4,ISBLANK(J14)),VLOOKUP(I14,LIST!$A$6:$M$3250,CURR_2.SEARCH.OLD,0),VLOOKUP(J14,LIST!$B$6:$M$3250,CURR_2.SEARCH.NEW,0)),'DICTIONARY-5'!$A$2)</f>
        <v/>
      </c>
    </row>
    <row r="15" spans="1:12" x14ac:dyDescent="0.25">
      <c r="A15" s="207">
        <v>80</v>
      </c>
      <c r="B15" s="207" t="s">
        <v>85</v>
      </c>
      <c r="C15" s="207">
        <v>180</v>
      </c>
      <c r="D15" s="207">
        <v>8</v>
      </c>
      <c r="E15" s="207" t="s">
        <v>2114</v>
      </c>
      <c r="F15" s="313" t="s">
        <v>3579</v>
      </c>
      <c r="G15" s="339" t="str">
        <f>IFERROR(IF(OR(F15='DICTIONARY-5'!$A$2,F15='DICTIONARY-5'!$A$4,ISBLANK(F15)),VLOOKUP(E15,LIST!$A$6:$L$3250,CURR_1.SEARCH.OLD,0),VLOOKUP(F15,LIST!$B$6:$L$3250,CURR_1.SEARCH.NEW,0)),'DICTIONARY-5'!$A$2)</f>
        <v>232,-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  <c r="I15" s="207" t="s">
        <v>2115</v>
      </c>
      <c r="J15" s="313" t="s">
        <v>3578</v>
      </c>
      <c r="K15" s="339" t="str">
        <f>IFERROR(IF(OR(J15='DICTIONARY-5'!$A$2,J15='DICTIONARY-5'!$A$4,ISBLANK(J15)),VLOOKUP(I15,LIST!$A$6:$L$3250,CURR_1.SEARCH.OLD,0),VLOOKUP(J15,LIST!$B$6:$L$3250,CURR_1.SEARCH.NEW,0)),'DICTIONARY-5'!$A$2)</f>
        <v>234,-</v>
      </c>
      <c r="L15" s="339" t="str">
        <f>IFERROR(IF(OR(J15='DICTIONARY-5'!$A$2,J15='DICTIONARY-5'!$A$4,ISBLANK(J15)),VLOOKUP(I15,LIST!$A$6:$M$3250,CURR_2.SEARCH.OLD,0),VLOOKUP(J15,LIST!$B$6:$M$3250,CURR_2.SEARCH.NEW,0)),'DICTIONARY-5'!$A$2)</f>
        <v/>
      </c>
    </row>
    <row r="16" spans="1:12" x14ac:dyDescent="0.25">
      <c r="A16" s="207">
        <v>100</v>
      </c>
      <c r="B16" s="207" t="s">
        <v>85</v>
      </c>
      <c r="C16" s="207">
        <v>200</v>
      </c>
      <c r="D16" s="207">
        <v>10</v>
      </c>
      <c r="E16" s="207" t="s">
        <v>2116</v>
      </c>
      <c r="F16" s="313" t="s">
        <v>3581</v>
      </c>
      <c r="G16" s="339" t="str">
        <f>IFERROR(IF(OR(F16='DICTIONARY-5'!$A$2,F16='DICTIONARY-5'!$A$4,ISBLANK(F16)),VLOOKUP(E16,LIST!$A$6:$L$3250,CURR_1.SEARCH.OLD,0),VLOOKUP(F16,LIST!$B$6:$L$3250,CURR_1.SEARCH.NEW,0)),'DICTIONARY-5'!$A$2)</f>
        <v>277,-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  <c r="I16" s="207" t="s">
        <v>2117</v>
      </c>
      <c r="J16" s="313" t="s">
        <v>3580</v>
      </c>
      <c r="K16" s="339" t="str">
        <f>IFERROR(IF(OR(J16='DICTIONARY-5'!$A$2,J16='DICTIONARY-5'!$A$4,ISBLANK(J16)),VLOOKUP(I16,LIST!$A$6:$L$3250,CURR_1.SEARCH.OLD,0),VLOOKUP(J16,LIST!$B$6:$L$3250,CURR_1.SEARCH.NEW,0)),'DICTIONARY-5'!$A$2)</f>
        <v>278,-</v>
      </c>
      <c r="L16" s="339" t="str">
        <f>IFERROR(IF(OR(J16='DICTIONARY-5'!$A$2,J16='DICTIONARY-5'!$A$4,ISBLANK(J16)),VLOOKUP(I16,LIST!$A$6:$M$3250,CURR_2.SEARCH.OLD,0),VLOOKUP(J16,LIST!$B$6:$M$3250,CURR_2.SEARCH.NEW,0)),'DICTIONARY-5'!$A$2)</f>
        <v/>
      </c>
    </row>
    <row r="17" spans="1:12" x14ac:dyDescent="0.25">
      <c r="A17" s="207">
        <v>125</v>
      </c>
      <c r="B17" s="207" t="s">
        <v>85</v>
      </c>
      <c r="C17" s="207">
        <v>205</v>
      </c>
      <c r="D17" s="207">
        <v>10</v>
      </c>
      <c r="E17" s="207" t="s">
        <v>2118</v>
      </c>
      <c r="F17" s="313" t="s">
        <v>3583</v>
      </c>
      <c r="G17" s="339" t="str">
        <f>IFERROR(IF(OR(F17='DICTIONARY-5'!$A$2,F17='DICTIONARY-5'!$A$4,ISBLANK(F17)),VLOOKUP(E17,LIST!$A$6:$L$3250,CURR_1.SEARCH.OLD,0),VLOOKUP(F17,LIST!$B$6:$L$3250,CURR_1.SEARCH.NEW,0)),'DICTIONARY-5'!$A$2)</f>
        <v>447,-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  <c r="I17" s="207" t="s">
        <v>2119</v>
      </c>
      <c r="J17" s="313" t="s">
        <v>3582</v>
      </c>
      <c r="K17" s="339" t="str">
        <f>IFERROR(IF(OR(J17='DICTIONARY-5'!$A$2,J17='DICTIONARY-5'!$A$4,ISBLANK(J17)),VLOOKUP(I17,LIST!$A$6:$L$3250,CURR_1.SEARCH.OLD,0),VLOOKUP(J17,LIST!$B$6:$L$3250,CURR_1.SEARCH.NEW,0)),'DICTIONARY-5'!$A$2)</f>
        <v>447,-</v>
      </c>
      <c r="L17" s="339" t="str">
        <f>IFERROR(IF(OR(J17='DICTIONARY-5'!$A$2,J17='DICTIONARY-5'!$A$4,ISBLANK(J17)),VLOOKUP(I17,LIST!$A$6:$M$3250,CURR_2.SEARCH.OLD,0),VLOOKUP(J17,LIST!$B$6:$M$3250,CURR_2.SEARCH.NEW,0)),'DICTIONARY-5'!$A$2)</f>
        <v/>
      </c>
    </row>
    <row r="18" spans="1:12" x14ac:dyDescent="0.25">
      <c r="A18" s="207">
        <v>150</v>
      </c>
      <c r="B18" s="207" t="s">
        <v>85</v>
      </c>
      <c r="C18" s="207">
        <v>210</v>
      </c>
      <c r="D18" s="207">
        <v>10</v>
      </c>
      <c r="E18" s="207" t="s">
        <v>2120</v>
      </c>
      <c r="F18" s="313" t="s">
        <v>3585</v>
      </c>
      <c r="G18" s="339" t="str">
        <f>IFERROR(IF(OR(F18='DICTIONARY-5'!$A$2,F18='DICTIONARY-5'!$A$4,ISBLANK(F18)),VLOOKUP(E18,LIST!$A$6:$L$3250,CURR_1.SEARCH.OLD,0),VLOOKUP(F18,LIST!$B$6:$L$3250,CURR_1.SEARCH.NEW,0)),'DICTIONARY-5'!$A$2)</f>
        <v>430,-</v>
      </c>
      <c r="H18" s="339" t="str">
        <f>IFERROR(IF(OR(F18='DICTIONARY-5'!$A$2,F18='DICTIONARY-5'!$A$4,ISBLANK(F18)),VLOOKUP(E18,LIST!$A$6:$M$3250,CURR_2.SEARCH.OLD,0),VLOOKUP(F18,LIST!$B$6:$M$3250,CURR_2.SEARCH.NEW,0)),'DICTIONARY-5'!$A$2)</f>
        <v/>
      </c>
      <c r="I18" s="207" t="s">
        <v>2121</v>
      </c>
      <c r="J18" s="313" t="s">
        <v>3584</v>
      </c>
      <c r="K18" s="339" t="str">
        <f>IFERROR(IF(OR(J18='DICTIONARY-5'!$A$2,J18='DICTIONARY-5'!$A$4,ISBLANK(J18)),VLOOKUP(I18,LIST!$A$6:$L$3250,CURR_1.SEARCH.OLD,0),VLOOKUP(J18,LIST!$B$6:$L$3250,CURR_1.SEARCH.NEW,0)),'DICTIONARY-5'!$A$2)</f>
        <v>412,-</v>
      </c>
      <c r="L18" s="339" t="str">
        <f>IFERROR(IF(OR(J18='DICTIONARY-5'!$A$2,J18='DICTIONARY-5'!$A$4,ISBLANK(J18)),VLOOKUP(I18,LIST!$A$6:$M$3250,CURR_2.SEARCH.OLD,0),VLOOKUP(J18,LIST!$B$6:$M$3250,CURR_2.SEARCH.NEW,0)),'DICTIONARY-5'!$A$2)</f>
        <v/>
      </c>
    </row>
    <row r="19" spans="1:12" x14ac:dyDescent="0.25">
      <c r="A19" s="207">
        <v>200</v>
      </c>
      <c r="B19" s="207">
        <v>10</v>
      </c>
      <c r="C19" s="207">
        <v>225</v>
      </c>
      <c r="D19" s="207">
        <v>10</v>
      </c>
      <c r="E19" s="207" t="s">
        <v>2122</v>
      </c>
      <c r="F19" s="313" t="s">
        <v>3588</v>
      </c>
      <c r="G19" s="339" t="str">
        <f>IFERROR(IF(OR(F19='DICTIONARY-5'!$A$2,F19='DICTIONARY-5'!$A$4,ISBLANK(F19)),VLOOKUP(E19,LIST!$A$6:$L$3250,CURR_1.SEARCH.OLD,0),VLOOKUP(F19,LIST!$B$6:$L$3250,CURR_1.SEARCH.NEW,0)),'DICTIONARY-5'!$A$2)</f>
        <v>764,-</v>
      </c>
      <c r="H19" s="339" t="str">
        <f>IFERROR(IF(OR(F19='DICTIONARY-5'!$A$2,F19='DICTIONARY-5'!$A$4,ISBLANK(F19)),VLOOKUP(E19,LIST!$A$6:$M$3250,CURR_2.SEARCH.OLD,0),VLOOKUP(F19,LIST!$B$6:$M$3250,CURR_2.SEARCH.NEW,0)),'DICTIONARY-5'!$A$2)</f>
        <v/>
      </c>
      <c r="I19" s="207" t="s">
        <v>2123</v>
      </c>
      <c r="J19" s="313" t="s">
        <v>3589</v>
      </c>
      <c r="K19" s="339" t="str">
        <f>IFERROR(IF(OR(J19='DICTIONARY-5'!$A$2,J19='DICTIONARY-5'!$A$4,ISBLANK(J19)),VLOOKUP(I19,LIST!$A$6:$L$3250,CURR_1.SEARCH.OLD,0),VLOOKUP(J19,LIST!$B$6:$L$3250,CURR_1.SEARCH.NEW,0)),'DICTIONARY-5'!$A$2)</f>
        <v>789,-</v>
      </c>
      <c r="L19" s="339" t="str">
        <f>IFERROR(IF(OR(J19='DICTIONARY-5'!$A$2,J19='DICTIONARY-5'!$A$4,ISBLANK(J19)),VLOOKUP(I19,LIST!$A$6:$M$3250,CURR_2.SEARCH.OLD,0),VLOOKUP(J19,LIST!$B$6:$M$3250,CURR_2.SEARCH.NEW,0)),'DICTIONARY-5'!$A$2)</f>
        <v/>
      </c>
    </row>
    <row r="20" spans="1:12" x14ac:dyDescent="0.25">
      <c r="A20" s="207">
        <v>200</v>
      </c>
      <c r="B20" s="207">
        <v>16</v>
      </c>
      <c r="C20" s="207">
        <v>225</v>
      </c>
      <c r="D20" s="207">
        <v>10</v>
      </c>
      <c r="E20" s="207" t="s">
        <v>2124</v>
      </c>
      <c r="F20" s="313" t="s">
        <v>3587</v>
      </c>
      <c r="G20" s="339" t="str">
        <f>IFERROR(IF(OR(F20='DICTIONARY-5'!$A$2,F20='DICTIONARY-5'!$A$4,ISBLANK(F20)),VLOOKUP(E20,LIST!$A$6:$L$3250,CURR_1.SEARCH.OLD,0),VLOOKUP(F20,LIST!$B$6:$L$3250,CURR_1.SEARCH.NEW,0)),'DICTIONARY-5'!$A$2)</f>
        <v>791,-</v>
      </c>
      <c r="H20" s="339" t="str">
        <f>IFERROR(IF(OR(F20='DICTIONARY-5'!$A$2,F20='DICTIONARY-5'!$A$4,ISBLANK(F20)),VLOOKUP(E20,LIST!$A$6:$M$3250,CURR_2.SEARCH.OLD,0),VLOOKUP(F20,LIST!$B$6:$M$3250,CURR_2.SEARCH.NEW,0)),'DICTIONARY-5'!$A$2)</f>
        <v/>
      </c>
      <c r="I20" s="207" t="s">
        <v>2125</v>
      </c>
      <c r="J20" s="313" t="s">
        <v>3586</v>
      </c>
      <c r="K20" s="339" t="str">
        <f>IFERROR(IF(OR(J20='DICTIONARY-5'!$A$2,J20='DICTIONARY-5'!$A$4,ISBLANK(J20)),VLOOKUP(I20,LIST!$A$6:$L$3250,CURR_1.SEARCH.OLD,0),VLOOKUP(J20,LIST!$B$6:$L$3250,CURR_1.SEARCH.NEW,0)),'DICTIONARY-5'!$A$2)</f>
        <v>778,-</v>
      </c>
      <c r="L20" s="339" t="str">
        <f>IFERROR(IF(OR(J20='DICTIONARY-5'!$A$2,J20='DICTIONARY-5'!$A$4,ISBLANK(J20)),VLOOKUP(I20,LIST!$A$6:$M$3250,CURR_2.SEARCH.OLD,0),VLOOKUP(J20,LIST!$B$6:$M$3250,CURR_2.SEARCH.NEW,0)),'DICTIONARY-5'!$A$2)</f>
        <v/>
      </c>
    </row>
    <row r="21" spans="1:12" x14ac:dyDescent="0.25">
      <c r="A21" s="207">
        <v>250</v>
      </c>
      <c r="B21" s="207">
        <v>10</v>
      </c>
      <c r="C21" s="207">
        <v>250</v>
      </c>
      <c r="D21" s="207">
        <v>15</v>
      </c>
      <c r="E21" s="207" t="s">
        <v>2126</v>
      </c>
      <c r="F21" s="313" t="s">
        <v>3592</v>
      </c>
      <c r="G21" s="339" t="str">
        <f>IFERROR(IF(OR(F21='DICTIONARY-5'!$A$2,F21='DICTIONARY-5'!$A$4,ISBLANK(F21)),VLOOKUP(E21,LIST!$A$6:$L$3250,CURR_1.SEARCH.OLD,0),VLOOKUP(F21,LIST!$B$6:$L$3250,CURR_1.SEARCH.NEW,0)),'DICTIONARY-5'!$A$2)</f>
        <v>1 006,-</v>
      </c>
      <c r="H21" s="339" t="str">
        <f>IFERROR(IF(OR(F21='DICTIONARY-5'!$A$2,F21='DICTIONARY-5'!$A$4,ISBLANK(F21)),VLOOKUP(E21,LIST!$A$6:$M$3250,CURR_2.SEARCH.OLD,0),VLOOKUP(F21,LIST!$B$6:$M$3250,CURR_2.SEARCH.NEW,0)),'DICTIONARY-5'!$A$2)</f>
        <v/>
      </c>
      <c r="I21" s="207" t="s">
        <v>2127</v>
      </c>
      <c r="J21" s="313" t="s">
        <v>3593</v>
      </c>
      <c r="K21" s="339" t="str">
        <f>IFERROR(IF(OR(J21='DICTIONARY-5'!$A$2,J21='DICTIONARY-5'!$A$4,ISBLANK(J21)),VLOOKUP(I21,LIST!$A$6:$L$3250,CURR_1.SEARCH.OLD,0),VLOOKUP(J21,LIST!$B$6:$L$3250,CURR_1.SEARCH.NEW,0)),'DICTIONARY-5'!$A$2)</f>
        <v>983,-</v>
      </c>
      <c r="L21" s="339" t="str">
        <f>IFERROR(IF(OR(J21='DICTIONARY-5'!$A$2,J21='DICTIONARY-5'!$A$4,ISBLANK(J21)),VLOOKUP(I21,LIST!$A$6:$M$3250,CURR_2.SEARCH.OLD,0),VLOOKUP(J21,LIST!$B$6:$M$3250,CURR_2.SEARCH.NEW,0)),'DICTIONARY-5'!$A$2)</f>
        <v/>
      </c>
    </row>
    <row r="22" spans="1:12" x14ac:dyDescent="0.25">
      <c r="A22" s="207">
        <v>250</v>
      </c>
      <c r="B22" s="207">
        <v>16</v>
      </c>
      <c r="C22" s="207">
        <v>250</v>
      </c>
      <c r="D22" s="207">
        <v>15</v>
      </c>
      <c r="E22" s="207" t="s">
        <v>2128</v>
      </c>
      <c r="F22" s="313" t="s">
        <v>3591</v>
      </c>
      <c r="G22" s="339" t="str">
        <f>IFERROR(IF(OR(F22='DICTIONARY-5'!$A$2,F22='DICTIONARY-5'!$A$4,ISBLANK(F22)),VLOOKUP(E22,LIST!$A$6:$L$3250,CURR_1.SEARCH.OLD,0),VLOOKUP(F22,LIST!$B$6:$L$3250,CURR_1.SEARCH.NEW,0)),'DICTIONARY-5'!$A$2)</f>
        <v>1 004,-</v>
      </c>
      <c r="H22" s="339" t="str">
        <f>IFERROR(IF(OR(F22='DICTIONARY-5'!$A$2,F22='DICTIONARY-5'!$A$4,ISBLANK(F22)),VLOOKUP(E22,LIST!$A$6:$M$3250,CURR_2.SEARCH.OLD,0),VLOOKUP(F22,LIST!$B$6:$M$3250,CURR_2.SEARCH.NEW,0)),'DICTIONARY-5'!$A$2)</f>
        <v/>
      </c>
      <c r="I22" s="207" t="s">
        <v>2129</v>
      </c>
      <c r="J22" s="313" t="s">
        <v>3590</v>
      </c>
      <c r="K22" s="339" t="str">
        <f>IFERROR(IF(OR(J22='DICTIONARY-5'!$A$2,J22='DICTIONARY-5'!$A$4,ISBLANK(J22)),VLOOKUP(I22,LIST!$A$6:$L$3250,CURR_1.SEARCH.OLD,0),VLOOKUP(J22,LIST!$B$6:$L$3250,CURR_1.SEARCH.NEW,0)),'DICTIONARY-5'!$A$2)</f>
        <v>983,-</v>
      </c>
      <c r="L22" s="339" t="str">
        <f>IFERROR(IF(OR(J22='DICTIONARY-5'!$A$2,J22='DICTIONARY-5'!$A$4,ISBLANK(J22)),VLOOKUP(I22,LIST!$A$6:$M$3250,CURR_2.SEARCH.OLD,0),VLOOKUP(J22,LIST!$B$6:$M$3250,CURR_2.SEARCH.NEW,0)),'DICTIONARY-5'!$A$2)</f>
        <v/>
      </c>
    </row>
    <row r="24" spans="1:12" x14ac:dyDescent="0.25">
      <c r="A24" s="218" t="str">
        <f>"1) "&amp;'DICTIONARY-5'!$A$28</f>
        <v>1) W zakresie regulacji Z – odległość można wydłużyć/skrócić długośc centralnej zabudowy L</v>
      </c>
    </row>
    <row r="25" spans="1:12" x14ac:dyDescent="0.25">
      <c r="A25" s="218"/>
    </row>
  </sheetData>
  <sheetProtection algorithmName="SHA-512" hashValue="5L/m01g5y7LWh/pOY/aE29iOKPMwZKe+XmWVBC72uEdHtwHXudEqMiyrdxtW90EgBMcusEukebgKXykUBMgDcg==" saltValue="tIRe8SDlpVlVS1T9OqxYdA==" spinCount="100000" sheet="1" objects="1" scenarios="1" autoFilter="0"/>
  <mergeCells count="5">
    <mergeCell ref="B4:E4"/>
    <mergeCell ref="E9:H9"/>
    <mergeCell ref="I9:L9"/>
    <mergeCell ref="E10:H10"/>
    <mergeCell ref="I10:L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3">
    <tabColor rgb="FFFFC000"/>
  </sheetPr>
  <dimension ref="A1:N32"/>
  <sheetViews>
    <sheetView workbookViewId="0"/>
  </sheetViews>
  <sheetFormatPr defaultColWidth="9.140625" defaultRowHeight="15" x14ac:dyDescent="0.25"/>
  <cols>
    <col min="1" max="4" width="9.140625" style="200"/>
    <col min="5" max="6" width="22.140625" style="200" customWidth="1"/>
    <col min="7" max="8" width="12.85546875" style="201" customWidth="1"/>
    <col min="9" max="10" width="9.140625" style="195"/>
    <col min="11" max="12" width="22.140625" style="195" customWidth="1"/>
    <col min="13" max="14" width="12.85546875" style="195" customWidth="1"/>
    <col min="15" max="16384" width="9.140625" style="195"/>
  </cols>
  <sheetData>
    <row r="1" spans="1:14" s="401" customFormat="1" ht="45" customHeight="1" thickBot="1" x14ac:dyDescent="0.3">
      <c r="A1" s="428"/>
      <c r="B1" s="428"/>
      <c r="C1" s="428"/>
      <c r="D1" s="428"/>
      <c r="E1" s="402"/>
      <c r="F1" s="402"/>
      <c r="G1" s="403"/>
      <c r="H1" s="403"/>
    </row>
    <row r="2" spans="1:14" s="458" customFormat="1" ht="4.5" customHeight="1" x14ac:dyDescent="0.25">
      <c r="A2" s="457"/>
      <c r="B2" s="459"/>
      <c r="C2" s="459"/>
      <c r="D2" s="459"/>
      <c r="E2" s="459"/>
      <c r="F2" s="459"/>
      <c r="G2" s="460"/>
      <c r="H2" s="460"/>
    </row>
    <row r="3" spans="1:14" ht="15.75" thickBot="1" x14ac:dyDescent="0.3">
      <c r="A3" s="196"/>
      <c r="B3" s="197"/>
      <c r="C3" s="197"/>
    </row>
    <row r="4" spans="1:14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14" x14ac:dyDescent="0.25">
      <c r="A5" s="196"/>
      <c r="B5" s="197"/>
      <c r="C5" s="197"/>
    </row>
    <row r="6" spans="1:14" ht="16.5" thickBot="1" x14ac:dyDescent="0.3">
      <c r="A6" s="712" t="str">
        <f>CONCATENATE('DICTIONARY-3'!$A$128," ",'DICTIONARY-3'!$A$214)</f>
        <v>VAF Wstawka montażowa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  <c r="M6" s="712"/>
      <c r="N6" s="712"/>
    </row>
    <row r="7" spans="1:14" x14ac:dyDescent="0.25">
      <c r="A7" s="198" t="str">
        <f>'DICTIONARY-5'!$A$163</f>
        <v>Z jednostronnie ustawianym zespołem blokującym</v>
      </c>
    </row>
    <row r="8" spans="1:14" x14ac:dyDescent="0.25">
      <c r="A8" s="198" t="str">
        <f>CONCATENATE('DICTIONARY-1'!$A$10,": ",SETTINGS!$C$92)</f>
        <v>Grupa rabatowa: VAF</v>
      </c>
    </row>
    <row r="9" spans="1:14" x14ac:dyDescent="0.25">
      <c r="A9" s="202"/>
    </row>
    <row r="10" spans="1:14" ht="15" customHeight="1" x14ac:dyDescent="0.25">
      <c r="A10" s="203" t="str">
        <f>'DICTIONARY-2'!$A$2</f>
        <v>DN</v>
      </c>
      <c r="B10" s="708" t="str">
        <f>'DICTIONARY-2'!$A$25&amp;" 1)"</f>
        <v>Z 1)</v>
      </c>
      <c r="C10" s="203" t="str">
        <f>'DICTIONARY-2'!$A$3</f>
        <v>PN</v>
      </c>
      <c r="D10" s="708" t="str">
        <f>'DICTIONARY-2'!$A$24</f>
        <v>L</v>
      </c>
      <c r="E10" s="1024" t="str">
        <f>'DICTIONARY-3'!$A$128</f>
        <v>VAF</v>
      </c>
      <c r="F10" s="1024"/>
      <c r="G10" s="1024"/>
      <c r="H10" s="1024"/>
      <c r="I10" s="203" t="str">
        <f>'DICTIONARY-2'!$A$3</f>
        <v>PN</v>
      </c>
      <c r="J10" s="708" t="str">
        <f>'DICTIONARY-2'!$A$24</f>
        <v>L</v>
      </c>
      <c r="K10" s="1024" t="str">
        <f>'DICTIONARY-3'!$A$128</f>
        <v>VAF</v>
      </c>
      <c r="L10" s="1024"/>
      <c r="M10" s="1024"/>
      <c r="N10" s="1024"/>
    </row>
    <row r="11" spans="1:14" x14ac:dyDescent="0.25">
      <c r="A11" s="204"/>
      <c r="B11" s="709"/>
      <c r="C11" s="204"/>
      <c r="D11" s="709"/>
      <c r="E11" s="1025" t="str">
        <f>'DICTIONARY-5'!$A$43&amp;": "&amp;'DICTIONARY-5'!$A$44</f>
        <v>guma: EPDM</v>
      </c>
      <c r="F11" s="1025"/>
      <c r="G11" s="1025"/>
      <c r="H11" s="1025"/>
      <c r="I11" s="204"/>
      <c r="J11" s="709"/>
      <c r="K11" s="1025" t="str">
        <f>'DICTIONARY-5'!$A$43&amp;": "&amp;'DICTIONARY-5'!$A$44</f>
        <v>guma: EPDM</v>
      </c>
      <c r="L11" s="1025"/>
      <c r="M11" s="1025"/>
      <c r="N11" s="1025"/>
    </row>
    <row r="12" spans="1:14" x14ac:dyDescent="0.25">
      <c r="A12" s="204"/>
      <c r="B12" s="204" t="str">
        <f>'DICTIONARY-2'!$A$18</f>
        <v>[mm]</v>
      </c>
      <c r="C12" s="204"/>
      <c r="D12" s="204" t="str">
        <f>'DICTIONARY-2'!$A$18</f>
        <v>[mm]</v>
      </c>
      <c r="E12" s="205" t="str">
        <f>'DICTIONARY-2'!$A$28</f>
        <v>stary nr zamówienia</v>
      </c>
      <c r="F12" s="205" t="str">
        <f>'DICTIONARY-2'!$A$29</f>
        <v>nowy nr zamówienia</v>
      </c>
      <c r="G12" s="206" t="str">
        <f>CURRENCY.CODE_1</f>
        <v>EUR</v>
      </c>
      <c r="H12" s="206" t="str">
        <f>CURRENCY.CODE_2</f>
        <v>---</v>
      </c>
      <c r="I12" s="204"/>
      <c r="J12" s="204" t="str">
        <f>'DICTIONARY-2'!$A$18</f>
        <v>[mm]</v>
      </c>
      <c r="K12" s="205" t="str">
        <f>'DICTIONARY-2'!$A$28</f>
        <v>stary nr zamówienia</v>
      </c>
      <c r="L12" s="205" t="str">
        <f>'DICTIONARY-2'!$A$29</f>
        <v>nowy nr zamówienia</v>
      </c>
      <c r="M12" s="206" t="str">
        <f>CURRENCY.CODE_1</f>
        <v>EUR</v>
      </c>
      <c r="N12" s="206" t="str">
        <f>CURRENCY.CODE_2</f>
        <v>---</v>
      </c>
    </row>
    <row r="13" spans="1:14" x14ac:dyDescent="0.25">
      <c r="A13" s="207">
        <v>300</v>
      </c>
      <c r="B13" s="207">
        <v>25</v>
      </c>
      <c r="C13" s="207">
        <v>10</v>
      </c>
      <c r="D13" s="207">
        <v>350</v>
      </c>
      <c r="E13" s="207" t="s">
        <v>2132</v>
      </c>
      <c r="F13" s="313" t="s">
        <v>4699</v>
      </c>
      <c r="G13" s="339" t="str">
        <f>IFERROR(IF(OR(F13='DICTIONARY-5'!$A$2,F13='DICTIONARY-5'!$A$4,ISBLANK(F13)),VLOOKUP(E13,LIST!$A$6:$L$3250,CURR_1.SEARCH.OLD,0),VLOOKUP(F13,LIST!$B$6:$L$3250,CURR_1.SEARCH.NEW,0)),'DICTIONARY-5'!$A$2)</f>
        <v>1 575,-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  <c r="I13" s="207">
        <v>16</v>
      </c>
      <c r="J13" s="207">
        <v>375</v>
      </c>
      <c r="K13" s="207" t="s">
        <v>2133</v>
      </c>
      <c r="L13" s="313" t="s">
        <v>4700</v>
      </c>
      <c r="M13" s="339" t="str">
        <f>IFERROR(IF(OR(L13='DICTIONARY-5'!$A$2,L13='DICTIONARY-5'!$A$4,ISBLANK(L13)),VLOOKUP(K13,LIST!$A$6:$L$3250,CURR_1.SEARCH.OLD,0),VLOOKUP(L13,LIST!$B$6:$L$3250,CURR_1.SEARCH.NEW,0)),'DICTIONARY-5'!$A$2)</f>
        <v>1 708,-</v>
      </c>
      <c r="N13" s="339" t="str">
        <f>IFERROR(IF(OR(L13='DICTIONARY-5'!$A$2,L13='DICTIONARY-5'!$A$4,ISBLANK(L13)),VLOOKUP(K13,LIST!$A$6:$M$3250,CURR_2.SEARCH.OLD,0),VLOOKUP(L13,LIST!$B$6:$M$3250,CURR_2.SEARCH.NEW,0)),'DICTIONARY-5'!$A$2)</f>
        <v/>
      </c>
    </row>
    <row r="14" spans="1:14" x14ac:dyDescent="0.25">
      <c r="A14" s="207">
        <v>350</v>
      </c>
      <c r="B14" s="207">
        <v>25</v>
      </c>
      <c r="C14" s="207">
        <v>10</v>
      </c>
      <c r="D14" s="207">
        <v>350</v>
      </c>
      <c r="E14" s="207" t="s">
        <v>2134</v>
      </c>
      <c r="F14" s="313" t="s">
        <v>4701</v>
      </c>
      <c r="G14" s="339" t="str">
        <f>IFERROR(IF(OR(F14='DICTIONARY-5'!$A$2,F14='DICTIONARY-5'!$A$4,ISBLANK(F14)),VLOOKUP(E14,LIST!$A$6:$L$3250,CURR_1.SEARCH.OLD,0),VLOOKUP(F14,LIST!$B$6:$L$3250,CURR_1.SEARCH.NEW,0)),'DICTIONARY-5'!$A$2)</f>
        <v>1 913,-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  <c r="I14" s="207">
        <v>16</v>
      </c>
      <c r="J14" s="207">
        <v>425</v>
      </c>
      <c r="K14" s="207" t="s">
        <v>2135</v>
      </c>
      <c r="L14" s="313" t="s">
        <v>4702</v>
      </c>
      <c r="M14" s="339" t="str">
        <f>IFERROR(IF(OR(L14='DICTIONARY-5'!$A$2,L14='DICTIONARY-5'!$A$4,ISBLANK(L14)),VLOOKUP(K14,LIST!$A$6:$L$3250,CURR_1.SEARCH.OLD,0),VLOOKUP(L14,LIST!$B$6:$L$3250,CURR_1.SEARCH.NEW,0)),'DICTIONARY-5'!$A$2)</f>
        <v>2 150,-</v>
      </c>
      <c r="N14" s="339" t="str">
        <f>IFERROR(IF(OR(L14='DICTIONARY-5'!$A$2,L14='DICTIONARY-5'!$A$4,ISBLANK(L14)),VLOOKUP(K14,LIST!$A$6:$M$3250,CURR_2.SEARCH.OLD,0),VLOOKUP(L14,LIST!$B$6:$M$3250,CURR_2.SEARCH.NEW,0)),'DICTIONARY-5'!$A$2)</f>
        <v/>
      </c>
    </row>
    <row r="15" spans="1:14" x14ac:dyDescent="0.25">
      <c r="A15" s="207">
        <v>400</v>
      </c>
      <c r="B15" s="207">
        <v>25</v>
      </c>
      <c r="C15" s="207">
        <v>10</v>
      </c>
      <c r="D15" s="207">
        <v>375</v>
      </c>
      <c r="E15" s="207" t="s">
        <v>2136</v>
      </c>
      <c r="F15" s="313" t="s">
        <v>4703</v>
      </c>
      <c r="G15" s="339" t="str">
        <f>IFERROR(IF(OR(F15='DICTIONARY-5'!$A$2,F15='DICTIONARY-5'!$A$4,ISBLANK(F15)),VLOOKUP(E15,LIST!$A$6:$L$3250,CURR_1.SEARCH.OLD,0),VLOOKUP(F15,LIST!$B$6:$L$3250,CURR_1.SEARCH.NEW,0)),'DICTIONARY-5'!$A$2)</f>
        <v>2 519,-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  <c r="I15" s="207">
        <v>16</v>
      </c>
      <c r="J15" s="207">
        <v>425</v>
      </c>
      <c r="K15" s="207" t="s">
        <v>2137</v>
      </c>
      <c r="L15" s="313" t="s">
        <v>4704</v>
      </c>
      <c r="M15" s="339" t="str">
        <f>IFERROR(IF(OR(L15='DICTIONARY-5'!$A$2,L15='DICTIONARY-5'!$A$4,ISBLANK(L15)),VLOOKUP(K15,LIST!$A$6:$L$3250,CURR_1.SEARCH.OLD,0),VLOOKUP(L15,LIST!$B$6:$L$3250,CURR_1.SEARCH.NEW,0)),'DICTIONARY-5'!$A$2)</f>
        <v>2 674,-</v>
      </c>
      <c r="N15" s="339" t="str">
        <f>IFERROR(IF(OR(L15='DICTIONARY-5'!$A$2,L15='DICTIONARY-5'!$A$4,ISBLANK(L15)),VLOOKUP(K15,LIST!$A$6:$M$3250,CURR_2.SEARCH.OLD,0),VLOOKUP(L15,LIST!$B$6:$M$3250,CURR_2.SEARCH.NEW,0)),'DICTIONARY-5'!$A$2)</f>
        <v/>
      </c>
    </row>
    <row r="16" spans="1:14" x14ac:dyDescent="0.25">
      <c r="A16" s="207">
        <v>500</v>
      </c>
      <c r="B16" s="207">
        <v>25</v>
      </c>
      <c r="C16" s="207">
        <v>10</v>
      </c>
      <c r="D16" s="207">
        <v>375</v>
      </c>
      <c r="E16" s="207" t="s">
        <v>2138</v>
      </c>
      <c r="F16" s="313" t="s">
        <v>4705</v>
      </c>
      <c r="G16" s="339" t="str">
        <f>IFERROR(IF(OR(F16='DICTIONARY-5'!$A$2,F16='DICTIONARY-5'!$A$4,ISBLANK(F16)),VLOOKUP(E16,LIST!$A$6:$L$3250,CURR_1.SEARCH.OLD,0),VLOOKUP(F16,LIST!$B$6:$L$3250,CURR_1.SEARCH.NEW,0)),'DICTIONARY-5'!$A$2)</f>
        <v>2 979,-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  <c r="I16" s="207">
        <v>16</v>
      </c>
      <c r="J16" s="207">
        <v>450</v>
      </c>
      <c r="K16" s="207" t="s">
        <v>2139</v>
      </c>
      <c r="L16" s="313" t="s">
        <v>4706</v>
      </c>
      <c r="M16" s="339" t="str">
        <f>IFERROR(IF(OR(L16='DICTIONARY-5'!$A$2,L16='DICTIONARY-5'!$A$4,ISBLANK(L16)),VLOOKUP(K16,LIST!$A$6:$L$3250,CURR_1.SEARCH.OLD,0),VLOOKUP(L16,LIST!$B$6:$L$3250,CURR_1.SEARCH.NEW,0)),'DICTIONARY-5'!$A$2)</f>
        <v>4 029,-</v>
      </c>
      <c r="N16" s="339" t="str">
        <f>IFERROR(IF(OR(L16='DICTIONARY-5'!$A$2,L16='DICTIONARY-5'!$A$4,ISBLANK(L16)),VLOOKUP(K16,LIST!$A$6:$M$3250,CURR_2.SEARCH.OLD,0),VLOOKUP(L16,LIST!$B$6:$M$3250,CURR_2.SEARCH.NEW,0)),'DICTIONARY-5'!$A$2)</f>
        <v/>
      </c>
    </row>
    <row r="17" spans="1:14" x14ac:dyDescent="0.25">
      <c r="A17" s="207">
        <v>600</v>
      </c>
      <c r="B17" s="207">
        <v>25</v>
      </c>
      <c r="C17" s="207">
        <v>10</v>
      </c>
      <c r="D17" s="207">
        <v>400</v>
      </c>
      <c r="E17" s="207" t="s">
        <v>2140</v>
      </c>
      <c r="F17" s="313" t="s">
        <v>4707</v>
      </c>
      <c r="G17" s="339" t="str">
        <f>IFERROR(IF(OR(F17='DICTIONARY-5'!$A$2,F17='DICTIONARY-5'!$A$4,ISBLANK(F17)),VLOOKUP(E17,LIST!$A$6:$L$3250,CURR_1.SEARCH.OLD,0),VLOOKUP(F17,LIST!$B$6:$L$3250,CURR_1.SEARCH.NEW,0)),'DICTIONARY-5'!$A$2)</f>
        <v>3 752,-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  <c r="I17" s="207">
        <v>16</v>
      </c>
      <c r="J17" s="207">
        <v>475</v>
      </c>
      <c r="K17" s="207" t="s">
        <v>2141</v>
      </c>
      <c r="L17" s="313" t="s">
        <v>4708</v>
      </c>
      <c r="M17" s="339" t="str">
        <f>IFERROR(IF(OR(L17='DICTIONARY-5'!$A$2,L17='DICTIONARY-5'!$A$4,ISBLANK(L17)),VLOOKUP(K17,LIST!$A$6:$L$3250,CURR_1.SEARCH.OLD,0),VLOOKUP(L17,LIST!$B$6:$L$3250,CURR_1.SEARCH.NEW,0)),'DICTIONARY-5'!$A$2)</f>
        <v>5 870,-</v>
      </c>
      <c r="N17" s="339" t="str">
        <f>IFERROR(IF(OR(L17='DICTIONARY-5'!$A$2,L17='DICTIONARY-5'!$A$4,ISBLANK(L17)),VLOOKUP(K17,LIST!$A$6:$M$3250,CURR_2.SEARCH.OLD,0),VLOOKUP(L17,LIST!$B$6:$M$3250,CURR_2.SEARCH.NEW,0)),'DICTIONARY-5'!$A$2)</f>
        <v/>
      </c>
    </row>
    <row r="18" spans="1:14" x14ac:dyDescent="0.25">
      <c r="A18" s="207">
        <v>700</v>
      </c>
      <c r="B18" s="207">
        <v>25</v>
      </c>
      <c r="C18" s="207">
        <v>10</v>
      </c>
      <c r="D18" s="207">
        <v>400</v>
      </c>
      <c r="E18" s="207" t="s">
        <v>2142</v>
      </c>
      <c r="F18" s="313" t="s">
        <v>4709</v>
      </c>
      <c r="G18" s="339" t="str">
        <f>IFERROR(IF(OR(F18='DICTIONARY-5'!$A$2,F18='DICTIONARY-5'!$A$4,ISBLANK(F18)),VLOOKUP(E18,LIST!$A$6:$L$3250,CURR_1.SEARCH.OLD,0),VLOOKUP(F18,LIST!$B$6:$L$3250,CURR_1.SEARCH.NEW,0)),'DICTIONARY-5'!$A$2)</f>
        <v>4 374,-</v>
      </c>
      <c r="H18" s="339" t="str">
        <f>IFERROR(IF(OR(F18='DICTIONARY-5'!$A$2,F18='DICTIONARY-5'!$A$4,ISBLANK(F18)),VLOOKUP(E18,LIST!$A$6:$M$3250,CURR_2.SEARCH.OLD,0),VLOOKUP(F18,LIST!$B$6:$M$3250,CURR_2.SEARCH.NEW,0)),'DICTIONARY-5'!$A$2)</f>
        <v/>
      </c>
      <c r="I18" s="207">
        <v>16</v>
      </c>
      <c r="J18" s="207">
        <v>475</v>
      </c>
      <c r="K18" s="207" t="s">
        <v>2143</v>
      </c>
      <c r="L18" s="313" t="s">
        <v>4710</v>
      </c>
      <c r="M18" s="339" t="str">
        <f>IFERROR(IF(OR(L18='DICTIONARY-5'!$A$2,L18='DICTIONARY-5'!$A$4,ISBLANK(L18)),VLOOKUP(K18,LIST!$A$6:$L$3250,CURR_1.SEARCH.OLD,0),VLOOKUP(L18,LIST!$B$6:$L$3250,CURR_1.SEARCH.NEW,0)),'DICTIONARY-5'!$A$2)</f>
        <v>6 544,-</v>
      </c>
      <c r="N18" s="339" t="str">
        <f>IFERROR(IF(OR(L18='DICTIONARY-5'!$A$2,L18='DICTIONARY-5'!$A$4,ISBLANK(L18)),VLOOKUP(K18,LIST!$A$6:$M$3250,CURR_2.SEARCH.OLD,0),VLOOKUP(L18,LIST!$B$6:$M$3250,CURR_2.SEARCH.NEW,0)),'DICTIONARY-5'!$A$2)</f>
        <v/>
      </c>
    </row>
    <row r="19" spans="1:14" x14ac:dyDescent="0.25">
      <c r="A19" s="207">
        <v>800</v>
      </c>
      <c r="B19" s="207">
        <v>25</v>
      </c>
      <c r="C19" s="207">
        <v>10</v>
      </c>
      <c r="D19" s="207">
        <v>450</v>
      </c>
      <c r="E19" s="207" t="s">
        <v>2144</v>
      </c>
      <c r="F19" s="313" t="s">
        <v>4711</v>
      </c>
      <c r="G19" s="339" t="str">
        <f>IFERROR(IF(OR(F19='DICTIONARY-5'!$A$2,F19='DICTIONARY-5'!$A$4,ISBLANK(F19)),VLOOKUP(E19,LIST!$A$6:$L$3250,CURR_1.SEARCH.OLD,0),VLOOKUP(F19,LIST!$B$6:$L$3250,CURR_1.SEARCH.NEW,0)),'DICTIONARY-5'!$A$2)</f>
        <v>4 858,-</v>
      </c>
      <c r="H19" s="339" t="str">
        <f>IFERROR(IF(OR(F19='DICTIONARY-5'!$A$2,F19='DICTIONARY-5'!$A$4,ISBLANK(F19)),VLOOKUP(E19,LIST!$A$6:$M$3250,CURR_2.SEARCH.OLD,0),VLOOKUP(F19,LIST!$B$6:$M$3250,CURR_2.SEARCH.NEW,0)),'DICTIONARY-5'!$A$2)</f>
        <v/>
      </c>
      <c r="I19" s="207">
        <v>16</v>
      </c>
      <c r="J19" s="207">
        <v>525</v>
      </c>
      <c r="K19" s="207" t="s">
        <v>2145</v>
      </c>
      <c r="L19" s="313" t="s">
        <v>4712</v>
      </c>
      <c r="M19" s="339" t="str">
        <f>IFERROR(IF(OR(L19='DICTIONARY-5'!$A$2,L19='DICTIONARY-5'!$A$4,ISBLANK(L19)),VLOOKUP(K19,LIST!$A$6:$L$3250,CURR_1.SEARCH.OLD,0),VLOOKUP(L19,LIST!$B$6:$L$3250,CURR_1.SEARCH.NEW,0)),'DICTIONARY-5'!$A$2)</f>
        <v>8 234,-</v>
      </c>
      <c r="N19" s="339" t="str">
        <f>IFERROR(IF(OR(L19='DICTIONARY-5'!$A$2,L19='DICTIONARY-5'!$A$4,ISBLANK(L19)),VLOOKUP(K19,LIST!$A$6:$M$3250,CURR_2.SEARCH.OLD,0),VLOOKUP(L19,LIST!$B$6:$M$3250,CURR_2.SEARCH.NEW,0)),'DICTIONARY-5'!$A$2)</f>
        <v/>
      </c>
    </row>
    <row r="20" spans="1:14" x14ac:dyDescent="0.25">
      <c r="A20" s="207">
        <v>1000</v>
      </c>
      <c r="B20" s="207">
        <v>25</v>
      </c>
      <c r="C20" s="207">
        <v>10</v>
      </c>
      <c r="D20" s="207">
        <v>475</v>
      </c>
      <c r="E20" s="207" t="s">
        <v>2146</v>
      </c>
      <c r="F20" s="313" t="s">
        <v>4713</v>
      </c>
      <c r="G20" s="339" t="str">
        <f>IFERROR(IF(OR(F20='DICTIONARY-5'!$A$2,F20='DICTIONARY-5'!$A$4,ISBLANK(F20)),VLOOKUP(E20,LIST!$A$6:$L$3250,CURR_1.SEARCH.OLD,0),VLOOKUP(F20,LIST!$B$6:$L$3250,CURR_1.SEARCH.NEW,0)),'DICTIONARY-5'!$A$2)</f>
        <v>7 458,-</v>
      </c>
      <c r="H20" s="339" t="str">
        <f>IFERROR(IF(OR(F20='DICTIONARY-5'!$A$2,F20='DICTIONARY-5'!$A$4,ISBLANK(F20)),VLOOKUP(E20,LIST!$A$6:$M$3250,CURR_2.SEARCH.OLD,0),VLOOKUP(F20,LIST!$B$6:$M$3250,CURR_2.SEARCH.NEW,0)),'DICTIONARY-5'!$A$2)</f>
        <v/>
      </c>
      <c r="I20" s="207">
        <v>16</v>
      </c>
      <c r="J20" s="207">
        <v>550</v>
      </c>
      <c r="K20" s="207" t="s">
        <v>2147</v>
      </c>
      <c r="L20" s="313" t="s">
        <v>4714</v>
      </c>
      <c r="M20" s="339" t="str">
        <f>IFERROR(IF(OR(L20='DICTIONARY-5'!$A$2,L20='DICTIONARY-5'!$A$4,ISBLANK(L20)),VLOOKUP(K20,LIST!$A$6:$L$3250,CURR_1.SEARCH.OLD,0),VLOOKUP(L20,LIST!$B$6:$L$3250,CURR_1.SEARCH.NEW,0)),'DICTIONARY-5'!$A$2)</f>
        <v>10 845,-</v>
      </c>
      <c r="N20" s="339" t="str">
        <f>IFERROR(IF(OR(L20='DICTIONARY-5'!$A$2,L20='DICTIONARY-5'!$A$4,ISBLANK(L20)),VLOOKUP(K20,LIST!$A$6:$M$3250,CURR_2.SEARCH.OLD,0),VLOOKUP(L20,LIST!$B$6:$M$3250,CURR_2.SEARCH.NEW,0)),'DICTIONARY-5'!$A$2)</f>
        <v/>
      </c>
    </row>
    <row r="22" spans="1:14" x14ac:dyDescent="0.25">
      <c r="A22" s="218" t="str">
        <f>"1) "&amp;'DICTIONARY-5'!$A$28</f>
        <v>1) W zakresie regulacji Z – odległość można wydłużyć/skrócić długośc centralnej zabudowy L</v>
      </c>
    </row>
    <row r="23" spans="1:14" x14ac:dyDescent="0.25">
      <c r="A23" s="218" t="str">
        <f>'DICTIONARY-5'!$A$3&amp;'DICTIONARY-5'!$A$43&amp;" "&amp;'DICTIONARY-5'!$A$45&amp;" ("&amp;'DICTIONARY-5'!$A$14&amp;")"</f>
        <v>Na zapytanie: guma NBR (ścieki)</v>
      </c>
    </row>
    <row r="25" spans="1:14" x14ac:dyDescent="0.25">
      <c r="K25" s="200"/>
      <c r="L25" s="200"/>
      <c r="M25" s="200"/>
    </row>
    <row r="26" spans="1:14" x14ac:dyDescent="0.25">
      <c r="K26" s="200"/>
      <c r="L26" s="200"/>
      <c r="M26" s="200"/>
    </row>
    <row r="27" spans="1:14" x14ac:dyDescent="0.25">
      <c r="K27" s="200"/>
      <c r="L27" s="200"/>
      <c r="M27" s="200"/>
    </row>
    <row r="28" spans="1:14" x14ac:dyDescent="0.25">
      <c r="K28" s="200"/>
      <c r="L28" s="200"/>
      <c r="M28" s="200"/>
    </row>
    <row r="29" spans="1:14" x14ac:dyDescent="0.25">
      <c r="K29" s="200"/>
      <c r="L29" s="200"/>
      <c r="M29" s="200"/>
    </row>
    <row r="30" spans="1:14" x14ac:dyDescent="0.25">
      <c r="K30" s="200"/>
      <c r="L30" s="200"/>
      <c r="M30" s="200"/>
    </row>
    <row r="31" spans="1:14" x14ac:dyDescent="0.25">
      <c r="K31" s="200"/>
      <c r="L31" s="200"/>
      <c r="M31" s="200"/>
    </row>
    <row r="32" spans="1:14" x14ac:dyDescent="0.25">
      <c r="K32" s="200"/>
      <c r="L32" s="200"/>
      <c r="M32" s="200"/>
    </row>
  </sheetData>
  <sheetProtection algorithmName="SHA-512" hashValue="0mpbIeCn4ieTXpwxGFjwzRsxpKP9+cKadOQMN8xfm8Bnv1upxt1ZNpWaBNB7jgTf7CpyOUuVJXLdMaLt6j4uHQ==" saltValue="5UsdwTJ1vmQPZlM7yrErVQ==" spinCount="100000" sheet="1" objects="1" scenarios="1" autoFilter="0"/>
  <mergeCells count="5">
    <mergeCell ref="B4:E4"/>
    <mergeCell ref="E10:H10"/>
    <mergeCell ref="K10:N10"/>
    <mergeCell ref="E11:H11"/>
    <mergeCell ref="K11:N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4">
    <tabColor rgb="FFFFC000"/>
  </sheetPr>
  <dimension ref="A1:G34"/>
  <sheetViews>
    <sheetView workbookViewId="0"/>
  </sheetViews>
  <sheetFormatPr defaultColWidth="9.140625" defaultRowHeight="15" x14ac:dyDescent="0.25"/>
  <cols>
    <col min="1" max="2" width="9.140625" style="195"/>
    <col min="3" max="3" width="10.85546875" style="195" customWidth="1"/>
    <col min="4" max="5" width="22.140625" style="195" customWidth="1"/>
    <col min="6" max="7" width="12.85546875" style="195" customWidth="1"/>
    <col min="8" max="16384" width="9.140625" style="195"/>
  </cols>
  <sheetData>
    <row r="1" spans="1:7" s="401" customFormat="1" ht="45" customHeight="1" thickBot="1" x14ac:dyDescent="0.3">
      <c r="A1" s="428"/>
      <c r="B1" s="428"/>
      <c r="C1" s="428"/>
      <c r="D1" s="428"/>
    </row>
    <row r="2" spans="1:7" s="458" customFormat="1" ht="4.5" customHeight="1" x14ac:dyDescent="0.25">
      <c r="A2" s="457"/>
    </row>
    <row r="3" spans="1:7" ht="15.75" thickBot="1" x14ac:dyDescent="0.3">
      <c r="A3" s="196"/>
      <c r="B3" s="197"/>
      <c r="C3" s="197"/>
    </row>
    <row r="4" spans="1:7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7" x14ac:dyDescent="0.25">
      <c r="A5" s="196"/>
      <c r="B5" s="197"/>
      <c r="C5" s="197"/>
    </row>
    <row r="6" spans="1:7" ht="16.5" thickBot="1" x14ac:dyDescent="0.3">
      <c r="A6" s="712" t="str">
        <f>CONCATENATE('DICTIONARY-3'!$A$125," ",'DICTIONARY-3'!$A$215," / ",'DICTIONARY-3'!$A$331)</f>
        <v>VARIplus-RFA Adapter kołnierzowy / Bez zabezpieczenia przeciw wyrwaniu</v>
      </c>
      <c r="B6" s="712"/>
      <c r="C6" s="712"/>
      <c r="D6" s="712"/>
      <c r="E6" s="712"/>
      <c r="F6" s="712"/>
      <c r="G6" s="712"/>
    </row>
    <row r="7" spans="1:7" x14ac:dyDescent="0.25">
      <c r="A7" s="198" t="str">
        <f>CONCATENATE('DICTIONARY-1'!$A$10,": ",SETTINGS!$C$74)</f>
        <v>Grupa rabatowa: VARIplus</v>
      </c>
      <c r="B7" s="200"/>
      <c r="C7" s="200"/>
      <c r="D7" s="200"/>
      <c r="E7" s="200"/>
      <c r="F7" s="201"/>
      <c r="G7" s="201"/>
    </row>
    <row r="8" spans="1:7" x14ac:dyDescent="0.25">
      <c r="A8" s="202"/>
      <c r="B8" s="200"/>
      <c r="C8" s="200"/>
      <c r="D8" s="200"/>
      <c r="E8" s="200"/>
      <c r="F8" s="201"/>
      <c r="G8" s="201"/>
    </row>
    <row r="9" spans="1:7" x14ac:dyDescent="0.25">
      <c r="A9" s="203" t="str">
        <f>'DICTIONARY-2'!$A$2</f>
        <v>DN</v>
      </c>
      <c r="B9" s="203" t="str">
        <f>'DICTIONARY-2'!$A$3</f>
        <v>PN</v>
      </c>
      <c r="C9" s="203" t="str">
        <f>'DICTIONARY-2'!$A$5&amp;" 1)"</f>
        <v>Da 1)</v>
      </c>
      <c r="D9" s="1024" t="str">
        <f>'DICTIONARY-3'!$A$125</f>
        <v>VARIplus-RFA</v>
      </c>
      <c r="E9" s="1024"/>
      <c r="F9" s="1024"/>
      <c r="G9" s="1024"/>
    </row>
    <row r="10" spans="1:7" ht="15" customHeight="1" x14ac:dyDescent="0.25">
      <c r="A10" s="204"/>
      <c r="B10" s="204"/>
      <c r="C10" s="204"/>
      <c r="D10" s="1025" t="str">
        <f>LOWER('DICTIONARY-3'!$A$331)&amp;", "&amp;'DICTIONARY-5'!$A$43&amp;": "&amp;'DICTIONARY-5'!$A$44</f>
        <v>bez zabezpieczenia przeciw wyrwaniu, guma: EPDM</v>
      </c>
      <c r="E10" s="1025"/>
      <c r="F10" s="1025"/>
      <c r="G10" s="1025"/>
    </row>
    <row r="11" spans="1:7" x14ac:dyDescent="0.25">
      <c r="A11" s="211"/>
      <c r="B11" s="211"/>
      <c r="C11" s="211" t="str">
        <f>'DICTIONARY-2'!$A$18</f>
        <v>[mm]</v>
      </c>
      <c r="D11" s="212" t="str">
        <f>'DICTIONARY-2'!$A$28</f>
        <v>stary nr zamówienia</v>
      </c>
      <c r="E11" s="212" t="str">
        <f>'DICTIONARY-2'!$A$29</f>
        <v>nowy nr zamówienia</v>
      </c>
      <c r="F11" s="206" t="str">
        <f>CURRENCY.CODE_1</f>
        <v>EUR</v>
      </c>
      <c r="G11" s="206" t="str">
        <f>CURRENCY.CODE_2</f>
        <v>---</v>
      </c>
    </row>
    <row r="12" spans="1:7" x14ac:dyDescent="0.25">
      <c r="A12" s="207">
        <v>50</v>
      </c>
      <c r="B12" s="207" t="s">
        <v>85</v>
      </c>
      <c r="C12" s="227" t="s">
        <v>2149</v>
      </c>
      <c r="D12" s="207" t="s">
        <v>2150</v>
      </c>
      <c r="E12" s="313" t="s">
        <v>4718</v>
      </c>
      <c r="F12" s="339" t="str">
        <f>IFERROR(IF(OR(E12='DICTIONARY-5'!$A$2,E12='DICTIONARY-5'!$A$4,ISBLANK(E12)),VLOOKUP(D12,LIST!$A$6:$L$3250,CURR_1.SEARCH.OLD,0),VLOOKUP(E12,LIST!$B$6:$L$3250,CURR_1.SEARCH.NEW,0)),'DICTIONARY-5'!$A$2)</f>
        <v>50,-</v>
      </c>
      <c r="G12" s="339" t="str">
        <f>IFERROR(IF(OR(E12='DICTIONARY-5'!$A$2,E12='DICTIONARY-5'!$A$4,ISBLANK(E12)),VLOOKUP(D12,LIST!$A$6:$M$3250,CURR_2.SEARCH.OLD,0),VLOOKUP(E12,LIST!$B$6:$M$3250,CURR_2.SEARCH.NEW,0)),'DICTIONARY-5'!$A$2)</f>
        <v/>
      </c>
    </row>
    <row r="13" spans="1:7" x14ac:dyDescent="0.25">
      <c r="A13" s="207">
        <v>65</v>
      </c>
      <c r="B13" s="207" t="s">
        <v>85</v>
      </c>
      <c r="C13" s="227" t="s">
        <v>2151</v>
      </c>
      <c r="D13" s="207" t="s">
        <v>2152</v>
      </c>
      <c r="E13" s="313" t="s">
        <v>4720</v>
      </c>
      <c r="F13" s="339" t="str">
        <f>IFERROR(IF(OR(E13='DICTIONARY-5'!$A$2,E13='DICTIONARY-5'!$A$4,ISBLANK(E13)),VLOOKUP(D13,LIST!$A$6:$L$3250,CURR_1.SEARCH.OLD,0),VLOOKUP(E13,LIST!$B$6:$L$3250,CURR_1.SEARCH.NEW,0)),'DICTIONARY-5'!$A$2)</f>
        <v>58,-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</row>
    <row r="14" spans="1:7" x14ac:dyDescent="0.25">
      <c r="A14" s="207">
        <v>80</v>
      </c>
      <c r="B14" s="207" t="s">
        <v>85</v>
      </c>
      <c r="C14" s="227" t="s">
        <v>2153</v>
      </c>
      <c r="D14" s="207" t="s">
        <v>2154</v>
      </c>
      <c r="E14" s="313" t="s">
        <v>4722</v>
      </c>
      <c r="F14" s="339" t="str">
        <f>IFERROR(IF(OR(E14='DICTIONARY-5'!$A$2,E14='DICTIONARY-5'!$A$4,ISBLANK(E14)),VLOOKUP(D14,LIST!$A$6:$L$3250,CURR_1.SEARCH.OLD,0),VLOOKUP(E14,LIST!$B$6:$L$3250,CURR_1.SEARCH.NEW,0)),'DICTIONARY-5'!$A$2)</f>
        <v>78,-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</row>
    <row r="15" spans="1:7" x14ac:dyDescent="0.25">
      <c r="A15" s="207">
        <v>100</v>
      </c>
      <c r="B15" s="207" t="s">
        <v>85</v>
      </c>
      <c r="C15" s="227" t="s">
        <v>2155</v>
      </c>
      <c r="D15" s="207" t="s">
        <v>2156</v>
      </c>
      <c r="E15" s="313" t="s">
        <v>4724</v>
      </c>
      <c r="F15" s="339" t="str">
        <f>IFERROR(IF(OR(E15='DICTIONARY-5'!$A$2,E15='DICTIONARY-5'!$A$4,ISBLANK(E15)),VLOOKUP(D15,LIST!$A$6:$L$3250,CURR_1.SEARCH.OLD,0),VLOOKUP(E15,LIST!$B$6:$L$3250,CURR_1.SEARCH.NEW,0)),'DICTIONARY-5'!$A$2)</f>
        <v>79,-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</row>
    <row r="16" spans="1:7" x14ac:dyDescent="0.25">
      <c r="A16" s="207">
        <v>125</v>
      </c>
      <c r="B16" s="207" t="s">
        <v>85</v>
      </c>
      <c r="C16" s="227" t="s">
        <v>2157</v>
      </c>
      <c r="D16" s="207" t="s">
        <v>2158</v>
      </c>
      <c r="E16" s="313" t="s">
        <v>4726</v>
      </c>
      <c r="F16" s="339" t="str">
        <f>IFERROR(IF(OR(E16='DICTIONARY-5'!$A$2,E16='DICTIONARY-5'!$A$4,ISBLANK(E16)),VLOOKUP(D16,LIST!$A$6:$L$3250,CURR_1.SEARCH.OLD,0),VLOOKUP(E16,LIST!$B$6:$L$3250,CURR_1.SEARCH.NEW,0)),'DICTIONARY-5'!$A$2)</f>
        <v>122,-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</row>
    <row r="17" spans="1:7" x14ac:dyDescent="0.25">
      <c r="A17" s="207">
        <v>150</v>
      </c>
      <c r="B17" s="207" t="s">
        <v>85</v>
      </c>
      <c r="C17" s="227" t="s">
        <v>2159</v>
      </c>
      <c r="D17" s="207" t="s">
        <v>2160</v>
      </c>
      <c r="E17" s="313" t="s">
        <v>4727</v>
      </c>
      <c r="F17" s="339" t="str">
        <f>IFERROR(IF(OR(E17='DICTIONARY-5'!$A$2,E17='DICTIONARY-5'!$A$4,ISBLANK(E17)),VLOOKUP(D17,LIST!$A$6:$L$3250,CURR_1.SEARCH.OLD,0),VLOOKUP(E17,LIST!$B$6:$L$3250,CURR_1.SEARCH.NEW,0)),'DICTIONARY-5'!$A$2)</f>
        <v>110,-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</row>
    <row r="18" spans="1:7" x14ac:dyDescent="0.25">
      <c r="A18" s="207">
        <v>175</v>
      </c>
      <c r="B18" s="207" t="s">
        <v>85</v>
      </c>
      <c r="C18" s="227" t="s">
        <v>2161</v>
      </c>
      <c r="D18" s="207" t="s">
        <v>2162</v>
      </c>
      <c r="E18" s="313" t="s">
        <v>4730</v>
      </c>
      <c r="F18" s="339" t="str">
        <f>IFERROR(IF(OR(E18='DICTIONARY-5'!$A$2,E18='DICTIONARY-5'!$A$4,ISBLANK(E18)),VLOOKUP(D18,LIST!$A$6:$L$3250,CURR_1.SEARCH.OLD,0),VLOOKUP(E18,LIST!$B$6:$L$3250,CURR_1.SEARCH.NEW,0)),'DICTIONARY-5'!$A$2)</f>
        <v>89,-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</row>
    <row r="19" spans="1:7" x14ac:dyDescent="0.25">
      <c r="A19" s="207">
        <v>200</v>
      </c>
      <c r="B19" s="207" t="s">
        <v>85</v>
      </c>
      <c r="C19" s="227" t="s">
        <v>2163</v>
      </c>
      <c r="D19" s="207" t="s">
        <v>2164</v>
      </c>
      <c r="E19" s="313" t="s">
        <v>4731</v>
      </c>
      <c r="F19" s="339" t="str">
        <f>IFERROR(IF(OR(E19='DICTIONARY-5'!$A$2,E19='DICTIONARY-5'!$A$4,ISBLANK(E19)),VLOOKUP(D19,LIST!$A$6:$L$3250,CURR_1.SEARCH.OLD,0),VLOOKUP(E19,LIST!$B$6:$L$3250,CURR_1.SEARCH.NEW,0)),'DICTIONARY-5'!$A$2)</f>
        <v>135,-</v>
      </c>
      <c r="G19" s="339" t="str">
        <f>IFERROR(IF(OR(E19='DICTIONARY-5'!$A$2,E19='DICTIONARY-5'!$A$4,ISBLANK(E19)),VLOOKUP(D19,LIST!$A$6:$M$3250,CURR_2.SEARCH.OLD,0),VLOOKUP(E19,LIST!$B$6:$M$3250,CURR_2.SEARCH.NEW,0)),'DICTIONARY-5'!$A$2)</f>
        <v/>
      </c>
    </row>
    <row r="20" spans="1:7" x14ac:dyDescent="0.25">
      <c r="A20" s="207">
        <v>225</v>
      </c>
      <c r="B20" s="207" t="s">
        <v>85</v>
      </c>
      <c r="C20" s="227" t="s">
        <v>2165</v>
      </c>
      <c r="D20" s="207" t="s">
        <v>2166</v>
      </c>
      <c r="E20" s="313" t="s">
        <v>4732</v>
      </c>
      <c r="F20" s="339" t="str">
        <f>IFERROR(IF(OR(E20='DICTIONARY-5'!$A$2,E20='DICTIONARY-5'!$A$4,ISBLANK(E20)),VLOOKUP(D20,LIST!$A$6:$L$3250,CURR_1.SEARCH.OLD,0),VLOOKUP(E20,LIST!$B$6:$L$3250,CURR_1.SEARCH.NEW,0)),'DICTIONARY-5'!$A$2)</f>
        <v>159,-</v>
      </c>
      <c r="G20" s="339" t="str">
        <f>IFERROR(IF(OR(E20='DICTIONARY-5'!$A$2,E20='DICTIONARY-5'!$A$4,ISBLANK(E20)),VLOOKUP(D20,LIST!$A$6:$M$3250,CURR_2.SEARCH.OLD,0),VLOOKUP(E20,LIST!$B$6:$M$3250,CURR_2.SEARCH.NEW,0)),'DICTIONARY-5'!$A$2)</f>
        <v/>
      </c>
    </row>
    <row r="21" spans="1:7" x14ac:dyDescent="0.25">
      <c r="A21" s="207">
        <v>250</v>
      </c>
      <c r="B21" s="207" t="s">
        <v>85</v>
      </c>
      <c r="C21" s="227" t="s">
        <v>2167</v>
      </c>
      <c r="D21" s="207" t="s">
        <v>2168</v>
      </c>
      <c r="E21" s="313" t="s">
        <v>4735</v>
      </c>
      <c r="F21" s="339" t="str">
        <f>IFERROR(IF(OR(E21='DICTIONARY-5'!$A$2,E21='DICTIONARY-5'!$A$4,ISBLANK(E21)),VLOOKUP(D21,LIST!$A$6:$L$3250,CURR_1.SEARCH.OLD,0),VLOOKUP(E21,LIST!$B$6:$L$3250,CURR_1.SEARCH.NEW,0)),'DICTIONARY-5'!$A$2)</f>
        <v>174,-</v>
      </c>
      <c r="G21" s="339" t="str">
        <f>IFERROR(IF(OR(E21='DICTIONARY-5'!$A$2,E21='DICTIONARY-5'!$A$4,ISBLANK(E21)),VLOOKUP(D21,LIST!$A$6:$M$3250,CURR_2.SEARCH.OLD,0),VLOOKUP(E21,LIST!$B$6:$M$3250,CURR_2.SEARCH.NEW,0)),'DICTIONARY-5'!$A$2)</f>
        <v/>
      </c>
    </row>
    <row r="22" spans="1:7" x14ac:dyDescent="0.25">
      <c r="A22" s="207">
        <v>250</v>
      </c>
      <c r="B22" s="207" t="s">
        <v>85</v>
      </c>
      <c r="C22" s="227" t="s">
        <v>2169</v>
      </c>
      <c r="D22" s="207" t="s">
        <v>2170</v>
      </c>
      <c r="E22" s="313" t="s">
        <v>4737</v>
      </c>
      <c r="F22" s="339" t="str">
        <f>IFERROR(IF(OR(E22='DICTIONARY-5'!$A$2,E22='DICTIONARY-5'!$A$4,ISBLANK(E22)),VLOOKUP(D22,LIST!$A$6:$L$3250,CURR_1.SEARCH.OLD,0),VLOOKUP(E22,LIST!$B$6:$L$3250,CURR_1.SEARCH.NEW,0)),'DICTIONARY-5'!$A$2)</f>
        <v>197,-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</row>
    <row r="23" spans="1:7" x14ac:dyDescent="0.25">
      <c r="A23" s="207">
        <v>300</v>
      </c>
      <c r="B23" s="207" t="s">
        <v>85</v>
      </c>
      <c r="C23" s="227" t="s">
        <v>2171</v>
      </c>
      <c r="D23" s="207" t="s">
        <v>2172</v>
      </c>
      <c r="E23" s="313" t="s">
        <v>4738</v>
      </c>
      <c r="F23" s="339" t="str">
        <f>IFERROR(IF(OR(E23='DICTIONARY-5'!$A$2,E23='DICTIONARY-5'!$A$4,ISBLANK(E23)),VLOOKUP(D23,LIST!$A$6:$L$3250,CURR_1.SEARCH.OLD,0),VLOOKUP(E23,LIST!$B$6:$L$3250,CURR_1.SEARCH.NEW,0)),'DICTIONARY-5'!$A$2)</f>
        <v>247,-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</row>
    <row r="24" spans="1:7" x14ac:dyDescent="0.25">
      <c r="A24" s="207">
        <v>300</v>
      </c>
      <c r="B24" s="207" t="s">
        <v>85</v>
      </c>
      <c r="C24" s="227" t="s">
        <v>2173</v>
      </c>
      <c r="D24" s="207" t="s">
        <v>2174</v>
      </c>
      <c r="E24" s="313" t="s">
        <v>4740</v>
      </c>
      <c r="F24" s="339" t="str">
        <f>IFERROR(IF(OR(E24='DICTIONARY-5'!$A$2,E24='DICTIONARY-5'!$A$4,ISBLANK(E24)),VLOOKUP(D24,LIST!$A$6:$L$3250,CURR_1.SEARCH.OLD,0),VLOOKUP(E24,LIST!$B$6:$L$3250,CURR_1.SEARCH.NEW,0)),'DICTIONARY-5'!$A$2)</f>
        <v>250,-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</row>
    <row r="25" spans="1:7" x14ac:dyDescent="0.25">
      <c r="A25" s="207">
        <v>350</v>
      </c>
      <c r="B25" s="207" t="s">
        <v>85</v>
      </c>
      <c r="C25" s="227" t="s">
        <v>2175</v>
      </c>
      <c r="D25" s="207" t="s">
        <v>2176</v>
      </c>
      <c r="E25" s="313" t="str">
        <f>'DICTIONARY-5'!$A$2</f>
        <v>na zapytanie</v>
      </c>
      <c r="F25" s="339" t="str">
        <f>IFERROR(IF(OR(E25='DICTIONARY-5'!$A$2,E25='DICTIONARY-5'!$A$4,ISBLANK(E25)),VLOOKUP(D25,LIST!$A$6:$L$3250,CURR_1.SEARCH.OLD,0),VLOOKUP(E25,LIST!$B$6:$L$3250,CURR_1.SEARCH.NEW,0)),'DICTIONARY-5'!$A$2)</f>
        <v>na zapytanie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</row>
    <row r="26" spans="1:7" x14ac:dyDescent="0.25">
      <c r="A26" s="207">
        <v>350</v>
      </c>
      <c r="B26" s="207" t="s">
        <v>85</v>
      </c>
      <c r="C26" s="227" t="s">
        <v>2177</v>
      </c>
      <c r="D26" s="207" t="s">
        <v>2178</v>
      </c>
      <c r="E26" s="313" t="s">
        <v>4742</v>
      </c>
      <c r="F26" s="339" t="str">
        <f>IFERROR(IF(OR(E26='DICTIONARY-5'!$A$2,E26='DICTIONARY-5'!$A$4,ISBLANK(E26)),VLOOKUP(D26,LIST!$A$6:$L$3250,CURR_1.SEARCH.OLD,0),VLOOKUP(E26,LIST!$B$6:$L$3250,CURR_1.SEARCH.NEW,0)),'DICTIONARY-5'!$A$2)</f>
        <v>397,-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</row>
    <row r="27" spans="1:7" x14ac:dyDescent="0.25">
      <c r="A27" s="207">
        <v>400</v>
      </c>
      <c r="B27" s="207" t="s">
        <v>85</v>
      </c>
      <c r="C27" s="227" t="s">
        <v>2179</v>
      </c>
      <c r="D27" s="207" t="s">
        <v>2180</v>
      </c>
      <c r="E27" s="313" t="s">
        <v>4745</v>
      </c>
      <c r="F27" s="339" t="str">
        <f>IFERROR(IF(OR(E27='DICTIONARY-5'!$A$2,E27='DICTIONARY-5'!$A$4,ISBLANK(E27)),VLOOKUP(D27,LIST!$A$6:$L$3250,CURR_1.SEARCH.OLD,0),VLOOKUP(E27,LIST!$B$6:$L$3250,CURR_1.SEARCH.NEW,0)),'DICTIONARY-5'!$A$2)</f>
        <v>520,-</v>
      </c>
      <c r="G27" s="339" t="str">
        <f>IFERROR(IF(OR(E27='DICTIONARY-5'!$A$2,E27='DICTIONARY-5'!$A$4,ISBLANK(E27)),VLOOKUP(D27,LIST!$A$6:$M$3250,CURR_2.SEARCH.OLD,0),VLOOKUP(E27,LIST!$B$6:$M$3250,CURR_2.SEARCH.NEW,0)),'DICTIONARY-5'!$A$2)</f>
        <v/>
      </c>
    </row>
    <row r="28" spans="1:7" x14ac:dyDescent="0.25">
      <c r="A28" s="207">
        <v>400</v>
      </c>
      <c r="B28" s="207" t="s">
        <v>85</v>
      </c>
      <c r="C28" s="227" t="s">
        <v>2181</v>
      </c>
      <c r="D28" s="207" t="s">
        <v>2182</v>
      </c>
      <c r="E28" s="313" t="s">
        <v>4747</v>
      </c>
      <c r="F28" s="339" t="str">
        <f>IFERROR(IF(OR(E28='DICTIONARY-5'!$A$2,E28='DICTIONARY-5'!$A$4,ISBLANK(E28)),VLOOKUP(D28,LIST!$A$6:$L$3250,CURR_1.SEARCH.OLD,0),VLOOKUP(E28,LIST!$B$6:$L$3250,CURR_1.SEARCH.NEW,0)),'DICTIONARY-5'!$A$2)</f>
        <v>400,-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</row>
    <row r="29" spans="1:7" x14ac:dyDescent="0.25">
      <c r="A29" s="207">
        <v>450</v>
      </c>
      <c r="B29" s="207" t="s">
        <v>85</v>
      </c>
      <c r="C29" s="227" t="s">
        <v>2183</v>
      </c>
      <c r="D29" s="207" t="s">
        <v>2184</v>
      </c>
      <c r="E29" s="313" t="s">
        <v>4748</v>
      </c>
      <c r="F29" s="339" t="str">
        <f>IFERROR(IF(OR(E29='DICTIONARY-5'!$A$2,E29='DICTIONARY-5'!$A$4,ISBLANK(E29)),VLOOKUP(D29,LIST!$A$6:$L$3250,CURR_1.SEARCH.OLD,0),VLOOKUP(E29,LIST!$B$6:$L$3250,CURR_1.SEARCH.NEW,0)),'DICTIONARY-5'!$A$2)</f>
        <v>406,-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</row>
    <row r="30" spans="1:7" x14ac:dyDescent="0.25">
      <c r="A30" s="207">
        <v>500</v>
      </c>
      <c r="B30" s="207" t="s">
        <v>85</v>
      </c>
      <c r="C30" s="227" t="s">
        <v>2185</v>
      </c>
      <c r="D30" s="207" t="s">
        <v>2186</v>
      </c>
      <c r="E30" s="313" t="s">
        <v>4751</v>
      </c>
      <c r="F30" s="339" t="str">
        <f>IFERROR(IF(OR(E30='DICTIONARY-5'!$A$2,E30='DICTIONARY-5'!$A$4,ISBLANK(E30)),VLOOKUP(D30,LIST!$A$6:$L$3250,CURR_1.SEARCH.OLD,0),VLOOKUP(E30,LIST!$B$6:$L$3250,CURR_1.SEARCH.NEW,0)),'DICTIONARY-5'!$A$2)</f>
        <v>582,-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</row>
    <row r="31" spans="1:7" x14ac:dyDescent="0.25">
      <c r="A31" s="207">
        <v>600</v>
      </c>
      <c r="B31" s="207" t="s">
        <v>85</v>
      </c>
      <c r="C31" s="227" t="s">
        <v>2187</v>
      </c>
      <c r="D31" s="207" t="s">
        <v>2188</v>
      </c>
      <c r="E31" s="313" t="s">
        <v>4752</v>
      </c>
      <c r="F31" s="339" t="str">
        <f>IFERROR(IF(OR(E31='DICTIONARY-5'!$A$2,E31='DICTIONARY-5'!$A$4,ISBLANK(E31)),VLOOKUP(D31,LIST!$A$6:$L$3250,CURR_1.SEARCH.OLD,0),VLOOKUP(E31,LIST!$B$6:$L$3250,CURR_1.SEARCH.NEW,0)),'DICTIONARY-5'!$A$2)</f>
        <v>603,-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</row>
    <row r="33" spans="1:1" x14ac:dyDescent="0.25">
      <c r="A33" s="218" t="str">
        <f>"1) "&amp;'DICTIONARY-5'!$A$74</f>
        <v>1) Zewnętrzna średnica rury</v>
      </c>
    </row>
    <row r="34" spans="1:1" x14ac:dyDescent="0.25">
      <c r="A34" s="218" t="str">
        <f>'DICTIONARY-5'!$A$3&amp;'DICTIONARY-5'!$A$43&amp;" "&amp;'DICTIONARY-5'!$A$45&amp;" ("&amp;'DICTIONARY-5'!$A$14&amp;")"</f>
        <v>Na zapytanie: guma NBR (ścieki)</v>
      </c>
    </row>
  </sheetData>
  <sheetProtection algorithmName="SHA-512" hashValue="mRxHSdyOh1XmcD7Ym6RJEUXr/J1vCVQZ7Vj2Q6F+EPXi9c8hD0oTpLqBHg2vGC5Nof7OFeCcvSEeeVyp3XDbaA==" saltValue="Mfhie2iMtp7Qr1laCrMA9w==" spinCount="100000" sheet="1" objects="1" scenarios="1" autoFilter="0"/>
  <mergeCells count="3">
    <mergeCell ref="D9:G9"/>
    <mergeCell ref="D10:G10"/>
    <mergeCell ref="B4:E4"/>
  </mergeCells>
  <pageMargins left="0.7" right="0.7" top="0.78740157499999996" bottom="0.78740157499999996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5">
    <tabColor rgb="FFFFC000"/>
  </sheetPr>
  <dimension ref="A1:F35"/>
  <sheetViews>
    <sheetView workbookViewId="0"/>
  </sheetViews>
  <sheetFormatPr defaultColWidth="9.140625" defaultRowHeight="15" x14ac:dyDescent="0.25"/>
  <cols>
    <col min="1" max="1" width="9.140625" style="195"/>
    <col min="2" max="2" width="10.5703125" style="195" customWidth="1"/>
    <col min="3" max="4" width="22.140625" style="195" customWidth="1"/>
    <col min="5" max="6" width="12.85546875" style="195" customWidth="1"/>
    <col min="7" max="16384" width="9.140625" style="195"/>
  </cols>
  <sheetData>
    <row r="1" spans="1:6" s="401" customFormat="1" ht="45" customHeight="1" thickBot="1" x14ac:dyDescent="0.3">
      <c r="A1" s="428"/>
      <c r="B1" s="428"/>
      <c r="C1" s="428"/>
      <c r="D1" s="428"/>
    </row>
    <row r="2" spans="1:6" s="458" customFormat="1" ht="4.5" customHeight="1" x14ac:dyDescent="0.25">
      <c r="A2" s="457"/>
    </row>
    <row r="3" spans="1:6" ht="15.75" thickBot="1" x14ac:dyDescent="0.3">
      <c r="A3" s="196"/>
      <c r="B3" s="197"/>
      <c r="C3" s="197"/>
      <c r="D3" s="197"/>
    </row>
    <row r="4" spans="1:6" ht="15.75" thickBot="1" x14ac:dyDescent="0.3">
      <c r="A4" s="821">
        <f>ADD.DISCOUNT</f>
        <v>0</v>
      </c>
      <c r="B4" s="933" t="str">
        <f>HYPERLINK("#'LIST'!ADD.DISCOUNT","» "&amp;'DICTIONARY-1'!$A$5)</f>
        <v>» Ustaw globalny dodatkowy rabat</v>
      </c>
      <c r="C4" s="1026"/>
      <c r="D4" s="1026"/>
      <c r="E4" s="1027"/>
    </row>
    <row r="5" spans="1:6" x14ac:dyDescent="0.25">
      <c r="A5" s="196"/>
      <c r="B5" s="197"/>
      <c r="C5" s="197"/>
      <c r="D5" s="197"/>
    </row>
    <row r="6" spans="1:6" ht="16.5" thickBot="1" x14ac:dyDescent="0.3">
      <c r="A6" s="712" t="str">
        <f>CONCATENATE('DICTIONARY-3'!$A$126," ",'DICTIONARY-3'!$A$216," / ",'DICTIONARY-3'!$A$331)</f>
        <v>VARIplus-RC Łącznik  / Bez zabezpieczenia przeciw wyrwaniu</v>
      </c>
      <c r="B6" s="712"/>
      <c r="C6" s="712"/>
      <c r="D6" s="712"/>
      <c r="E6" s="712"/>
      <c r="F6" s="712"/>
    </row>
    <row r="7" spans="1:6" x14ac:dyDescent="0.25">
      <c r="A7" s="552" t="str">
        <f>'DICTIONARY-5'!$A$92&amp;": max. 1,6 MPa / 16 bar"</f>
        <v>Ciśnienie robocze: max. 1,6 MPa / 16 bar</v>
      </c>
    </row>
    <row r="8" spans="1:6" x14ac:dyDescent="0.25">
      <c r="A8" s="198" t="str">
        <f>CONCATENATE('DICTIONARY-1'!$A$10,": ",SETTINGS!$C$74)</f>
        <v>Grupa rabatowa: VARIplus</v>
      </c>
      <c r="B8" s="200"/>
      <c r="C8" s="200"/>
      <c r="D8" s="200"/>
      <c r="E8" s="201"/>
      <c r="F8" s="201"/>
    </row>
    <row r="9" spans="1:6" x14ac:dyDescent="0.25">
      <c r="A9" s="202"/>
      <c r="B9" s="200"/>
      <c r="C9" s="200"/>
      <c r="D9" s="200"/>
      <c r="E9" s="201"/>
      <c r="F9" s="201"/>
    </row>
    <row r="10" spans="1:6" x14ac:dyDescent="0.25">
      <c r="A10" s="203" t="str">
        <f>'DICTIONARY-2'!$A$2</f>
        <v>DN</v>
      </c>
      <c r="B10" s="203" t="str">
        <f>'DICTIONARY-2'!$A$5&amp;" 1)"</f>
        <v>Da 1)</v>
      </c>
      <c r="C10" s="1024" t="str">
        <f>'DICTIONARY-3'!$A$126</f>
        <v>VARIplus-RC</v>
      </c>
      <c r="D10" s="1024"/>
      <c r="E10" s="1024"/>
      <c r="F10" s="1024"/>
    </row>
    <row r="11" spans="1:6" ht="15" customHeight="1" x14ac:dyDescent="0.25">
      <c r="A11" s="204"/>
      <c r="B11" s="204"/>
      <c r="C11" s="1025" t="str">
        <f>LOWER('DICTIONARY-3'!$A$331)&amp;", "&amp;'DICTIONARY-5'!$A$43&amp;": "&amp;'DICTIONARY-5'!$A$44</f>
        <v>bez zabezpieczenia przeciw wyrwaniu, guma: EPDM</v>
      </c>
      <c r="D11" s="1025"/>
      <c r="E11" s="1025"/>
      <c r="F11" s="1025"/>
    </row>
    <row r="12" spans="1:6" x14ac:dyDescent="0.25">
      <c r="A12" s="211"/>
      <c r="B12" s="211" t="str">
        <f>'DICTIONARY-2'!$A$18</f>
        <v>[mm]</v>
      </c>
      <c r="C12" s="212" t="str">
        <f>'DICTIONARY-2'!$A$28</f>
        <v>stary nr zamówienia</v>
      </c>
      <c r="D12" s="212" t="str">
        <f>'DICTIONARY-2'!$A$29</f>
        <v>nowy nr zamówienia</v>
      </c>
      <c r="E12" s="206" t="str">
        <f>CURRENCY.CODE_1</f>
        <v>EUR</v>
      </c>
      <c r="F12" s="206" t="str">
        <f>CURRENCY.CODE_2</f>
        <v>---</v>
      </c>
    </row>
    <row r="13" spans="1:6" x14ac:dyDescent="0.25">
      <c r="A13" s="207">
        <v>50</v>
      </c>
      <c r="B13" s="227" t="s">
        <v>2149</v>
      </c>
      <c r="C13" s="207" t="s">
        <v>2189</v>
      </c>
      <c r="D13" s="313" t="s">
        <v>4717</v>
      </c>
      <c r="E13" s="339" t="str">
        <f>IFERROR(IF(OR(D13='DICTIONARY-5'!$A$2,D13='DICTIONARY-5'!$A$4,ISBLANK(D13)),VLOOKUP(C13,LIST!$A$6:$L$3250,CURR_1.SEARCH.OLD,0),VLOOKUP(D13,LIST!$B$6:$L$3250,CURR_1.SEARCH.NEW,0)),'DICTIONARY-5'!$A$2)</f>
        <v>42,-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</row>
    <row r="14" spans="1:6" x14ac:dyDescent="0.25">
      <c r="A14" s="207">
        <v>65</v>
      </c>
      <c r="B14" s="227" t="s">
        <v>2151</v>
      </c>
      <c r="C14" s="207" t="s">
        <v>2190</v>
      </c>
      <c r="D14" s="313" t="s">
        <v>4719</v>
      </c>
      <c r="E14" s="339" t="str">
        <f>IFERROR(IF(OR(D14='DICTIONARY-5'!$A$2,D14='DICTIONARY-5'!$A$4,ISBLANK(D14)),VLOOKUP(C14,LIST!$A$6:$L$3250,CURR_1.SEARCH.OLD,0),VLOOKUP(D14,LIST!$B$6:$L$3250,CURR_1.SEARCH.NEW,0)),'DICTIONARY-5'!$A$2)</f>
        <v>54,-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6" x14ac:dyDescent="0.25">
      <c r="A15" s="207">
        <v>80</v>
      </c>
      <c r="B15" s="227" t="s">
        <v>2153</v>
      </c>
      <c r="C15" s="207" t="s">
        <v>2191</v>
      </c>
      <c r="D15" s="313" t="s">
        <v>4721</v>
      </c>
      <c r="E15" s="339" t="str">
        <f>IFERROR(IF(OR(D15='DICTIONARY-5'!$A$2,D15='DICTIONARY-5'!$A$4,ISBLANK(D15)),VLOOKUP(C15,LIST!$A$6:$L$3250,CURR_1.SEARCH.OLD,0),VLOOKUP(D15,LIST!$B$6:$L$3250,CURR_1.SEARCH.NEW,0)),'DICTIONARY-5'!$A$2)</f>
        <v>61,-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</row>
    <row r="16" spans="1:6" x14ac:dyDescent="0.25">
      <c r="A16" s="207">
        <v>100</v>
      </c>
      <c r="B16" s="227" t="s">
        <v>2155</v>
      </c>
      <c r="C16" s="207" t="s">
        <v>2192</v>
      </c>
      <c r="D16" s="313" t="s">
        <v>4723</v>
      </c>
      <c r="E16" s="339" t="str">
        <f>IFERROR(IF(OR(D16='DICTIONARY-5'!$A$2,D16='DICTIONARY-5'!$A$4,ISBLANK(D16)),VLOOKUP(C16,LIST!$A$6:$L$3250,CURR_1.SEARCH.OLD,0),VLOOKUP(D16,LIST!$B$6:$L$3250,CURR_1.SEARCH.NEW,0)),'DICTIONARY-5'!$A$2)</f>
        <v>68,-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</row>
    <row r="17" spans="1:6" x14ac:dyDescent="0.25">
      <c r="A17" s="207">
        <v>125</v>
      </c>
      <c r="B17" s="227" t="s">
        <v>2157</v>
      </c>
      <c r="C17" s="207" t="s">
        <v>2193</v>
      </c>
      <c r="D17" s="313" t="s">
        <v>4725</v>
      </c>
      <c r="E17" s="339" t="str">
        <f>IFERROR(IF(OR(D17='DICTIONARY-5'!$A$2,D17='DICTIONARY-5'!$A$4,ISBLANK(D17)),VLOOKUP(C17,LIST!$A$6:$L$3250,CURR_1.SEARCH.OLD,0),VLOOKUP(D17,LIST!$B$6:$L$3250,CURR_1.SEARCH.NEW,0)),'DICTIONARY-5'!$A$2)</f>
        <v>75,-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</row>
    <row r="18" spans="1:6" x14ac:dyDescent="0.25">
      <c r="A18" s="207">
        <v>150</v>
      </c>
      <c r="B18" s="227" t="s">
        <v>2159</v>
      </c>
      <c r="C18" s="207" t="s">
        <v>2194</v>
      </c>
      <c r="D18" s="313" t="s">
        <v>4728</v>
      </c>
      <c r="E18" s="339" t="str">
        <f>IFERROR(IF(OR(D18='DICTIONARY-5'!$A$2,D18='DICTIONARY-5'!$A$4,ISBLANK(D18)),VLOOKUP(C18,LIST!$A$6:$L$3250,CURR_1.SEARCH.OLD,0),VLOOKUP(D18,LIST!$B$6:$L$3250,CURR_1.SEARCH.NEW,0)),'DICTIONARY-5'!$A$2)</f>
        <v>116,-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</row>
    <row r="19" spans="1:6" x14ac:dyDescent="0.25">
      <c r="A19" s="207">
        <v>175</v>
      </c>
      <c r="B19" s="227" t="s">
        <v>2161</v>
      </c>
      <c r="C19" s="207" t="s">
        <v>2195</v>
      </c>
      <c r="D19" s="313" t="s">
        <v>4729</v>
      </c>
      <c r="E19" s="339" t="str">
        <f>IFERROR(IF(OR(D19='DICTIONARY-5'!$A$2,D19='DICTIONARY-5'!$A$4,ISBLANK(D19)),VLOOKUP(C19,LIST!$A$6:$L$3250,CURR_1.SEARCH.OLD,0),VLOOKUP(D19,LIST!$B$6:$L$3250,CURR_1.SEARCH.NEW,0)),'DICTIONARY-5'!$A$2)</f>
        <v>107,-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</row>
    <row r="20" spans="1:6" x14ac:dyDescent="0.25">
      <c r="A20" s="207">
        <v>200</v>
      </c>
      <c r="B20" s="227" t="s">
        <v>2163</v>
      </c>
      <c r="C20" s="207" t="s">
        <v>2196</v>
      </c>
      <c r="D20" s="313" t="str">
        <f>'DICTIONARY-5'!$A$2</f>
        <v>na zapytanie</v>
      </c>
      <c r="E20" s="339" t="str">
        <f>IFERROR(IF(OR(D20='DICTIONARY-5'!$A$2,D20='DICTIONARY-5'!$A$4,ISBLANK(D20)),VLOOKUP(C20,LIST!$A$6:$L$3250,CURR_1.SEARCH.OLD,0),VLOOKUP(D20,LIST!$B$6:$L$3250,CURR_1.SEARCH.NEW,0)),'DICTIONARY-5'!$A$2)</f>
        <v>na zapytanie</v>
      </c>
      <c r="F20" s="339" t="str">
        <f>IFERROR(IF(OR(D20='DICTIONARY-5'!$A$2,D20='DICTIONARY-5'!$A$4,ISBLANK(D20)),VLOOKUP(C20,LIST!$A$6:$M$3250,CURR_2.SEARCH.OLD,0),VLOOKUP(D20,LIST!$B$6:$M$3250,CURR_2.SEARCH.NEW,0)),'DICTIONARY-5'!$A$2)</f>
        <v/>
      </c>
    </row>
    <row r="21" spans="1:6" x14ac:dyDescent="0.25">
      <c r="A21" s="207">
        <v>225</v>
      </c>
      <c r="B21" s="227" t="s">
        <v>2165</v>
      </c>
      <c r="C21" s="207" t="s">
        <v>2197</v>
      </c>
      <c r="D21" s="313" t="s">
        <v>4733</v>
      </c>
      <c r="E21" s="339" t="str">
        <f>IFERROR(IF(OR(D21='DICTIONARY-5'!$A$2,D21='DICTIONARY-5'!$A$4,ISBLANK(D21)),VLOOKUP(C21,LIST!$A$6:$L$3250,CURR_1.SEARCH.OLD,0),VLOOKUP(D21,LIST!$B$6:$L$3250,CURR_1.SEARCH.NEW,0)),'DICTIONARY-5'!$A$2)</f>
        <v>117,-</v>
      </c>
      <c r="F21" s="339" t="str">
        <f>IFERROR(IF(OR(D21='DICTIONARY-5'!$A$2,D21='DICTIONARY-5'!$A$4,ISBLANK(D21)),VLOOKUP(C21,LIST!$A$6:$M$3250,CURR_2.SEARCH.OLD,0),VLOOKUP(D21,LIST!$B$6:$M$3250,CURR_2.SEARCH.NEW,0)),'DICTIONARY-5'!$A$2)</f>
        <v/>
      </c>
    </row>
    <row r="22" spans="1:6" x14ac:dyDescent="0.25">
      <c r="A22" s="207">
        <v>250</v>
      </c>
      <c r="B22" s="227" t="s">
        <v>2167</v>
      </c>
      <c r="C22" s="207" t="s">
        <v>2198</v>
      </c>
      <c r="D22" s="313" t="s">
        <v>4734</v>
      </c>
      <c r="E22" s="339" t="str">
        <f>IFERROR(IF(OR(D22='DICTIONARY-5'!$A$2,D22='DICTIONARY-5'!$A$4,ISBLANK(D22)),VLOOKUP(C22,LIST!$A$6:$L$3250,CURR_1.SEARCH.OLD,0),VLOOKUP(D22,LIST!$B$6:$L$3250,CURR_1.SEARCH.NEW,0)),'DICTIONARY-5'!$A$2)</f>
        <v>169,-</v>
      </c>
      <c r="F22" s="339" t="str">
        <f>IFERROR(IF(OR(D22='DICTIONARY-5'!$A$2,D22='DICTIONARY-5'!$A$4,ISBLANK(D22)),VLOOKUP(C22,LIST!$A$6:$M$3250,CURR_2.SEARCH.OLD,0),VLOOKUP(D22,LIST!$B$6:$M$3250,CURR_2.SEARCH.NEW,0)),'DICTIONARY-5'!$A$2)</f>
        <v/>
      </c>
    </row>
    <row r="23" spans="1:6" x14ac:dyDescent="0.25">
      <c r="A23" s="207">
        <v>250</v>
      </c>
      <c r="B23" s="227" t="s">
        <v>2169</v>
      </c>
      <c r="C23" s="207" t="s">
        <v>2199</v>
      </c>
      <c r="D23" s="313" t="s">
        <v>4736</v>
      </c>
      <c r="E23" s="339" t="str">
        <f>IFERROR(IF(OR(D23='DICTIONARY-5'!$A$2,D23='DICTIONARY-5'!$A$4,ISBLANK(D23)),VLOOKUP(C23,LIST!$A$6:$L$3250,CURR_1.SEARCH.OLD,0),VLOOKUP(D23,LIST!$B$6:$L$3250,CURR_1.SEARCH.NEW,0)),'DICTIONARY-5'!$A$2)</f>
        <v>198,-</v>
      </c>
      <c r="F23" s="339" t="str">
        <f>IFERROR(IF(OR(D23='DICTIONARY-5'!$A$2,D23='DICTIONARY-5'!$A$4,ISBLANK(D23)),VLOOKUP(C23,LIST!$A$6:$M$3250,CURR_2.SEARCH.OLD,0),VLOOKUP(D23,LIST!$B$6:$M$3250,CURR_2.SEARCH.NEW,0)),'DICTIONARY-5'!$A$2)</f>
        <v/>
      </c>
    </row>
    <row r="24" spans="1:6" x14ac:dyDescent="0.25">
      <c r="A24" s="207">
        <v>300</v>
      </c>
      <c r="B24" s="227" t="s">
        <v>2171</v>
      </c>
      <c r="C24" s="207" t="s">
        <v>2200</v>
      </c>
      <c r="D24" s="313" t="str">
        <f>'DICTIONARY-5'!$A$2</f>
        <v>na zapytanie</v>
      </c>
      <c r="E24" s="339" t="str">
        <f>IFERROR(IF(OR(D24='DICTIONARY-5'!$A$2,D24='DICTIONARY-5'!$A$4,ISBLANK(D24)),VLOOKUP(C24,LIST!$A$6:$L$3250,CURR_1.SEARCH.OLD,0),VLOOKUP(D24,LIST!$B$6:$L$3250,CURR_1.SEARCH.NEW,0)),'DICTIONARY-5'!$A$2)</f>
        <v>na zapytanie</v>
      </c>
      <c r="F24" s="339" t="str">
        <f>IFERROR(IF(OR(D24='DICTIONARY-5'!$A$2,D24='DICTIONARY-5'!$A$4,ISBLANK(D24)),VLOOKUP(C24,LIST!$A$6:$M$3250,CURR_2.SEARCH.OLD,0),VLOOKUP(D24,LIST!$B$6:$M$3250,CURR_2.SEARCH.NEW,0)),'DICTIONARY-5'!$A$2)</f>
        <v/>
      </c>
    </row>
    <row r="25" spans="1:6" x14ac:dyDescent="0.25">
      <c r="A25" s="207">
        <v>300</v>
      </c>
      <c r="B25" s="227" t="s">
        <v>2173</v>
      </c>
      <c r="C25" s="207" t="s">
        <v>2201</v>
      </c>
      <c r="D25" s="313" t="s">
        <v>4739</v>
      </c>
      <c r="E25" s="339" t="str">
        <f>IFERROR(IF(OR(D25='DICTIONARY-5'!$A$2,D25='DICTIONARY-5'!$A$4,ISBLANK(D25)),VLOOKUP(C25,LIST!$A$6:$L$3250,CURR_1.SEARCH.OLD,0),VLOOKUP(D25,LIST!$B$6:$L$3250,CURR_1.SEARCH.NEW,0)),'DICTIONARY-5'!$A$2)</f>
        <v>266,-</v>
      </c>
      <c r="F25" s="339" t="str">
        <f>IFERROR(IF(OR(D25='DICTIONARY-5'!$A$2,D25='DICTIONARY-5'!$A$4,ISBLANK(D25)),VLOOKUP(C25,LIST!$A$6:$M$3250,CURR_2.SEARCH.OLD,0),VLOOKUP(D25,LIST!$B$6:$M$3250,CURR_2.SEARCH.NEW,0)),'DICTIONARY-5'!$A$2)</f>
        <v/>
      </c>
    </row>
    <row r="26" spans="1:6" x14ac:dyDescent="0.25">
      <c r="A26" s="207">
        <v>350</v>
      </c>
      <c r="B26" s="227" t="s">
        <v>2175</v>
      </c>
      <c r="C26" s="207" t="s">
        <v>2202</v>
      </c>
      <c r="D26" s="313" t="s">
        <v>4741</v>
      </c>
      <c r="E26" s="339" t="str">
        <f>IFERROR(IF(OR(D26='DICTIONARY-5'!$A$2,D26='DICTIONARY-5'!$A$4,ISBLANK(D26)),VLOOKUP(C26,LIST!$A$6:$L$3250,CURR_1.SEARCH.OLD,0),VLOOKUP(D26,LIST!$B$6:$L$3250,CURR_1.SEARCH.NEW,0)),'DICTIONARY-5'!$A$2)</f>
        <v>273,-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</row>
    <row r="27" spans="1:6" x14ac:dyDescent="0.25">
      <c r="A27" s="207">
        <v>350</v>
      </c>
      <c r="B27" s="227" t="s">
        <v>2177</v>
      </c>
      <c r="C27" s="207" t="s">
        <v>2203</v>
      </c>
      <c r="D27" s="313" t="s">
        <v>4743</v>
      </c>
      <c r="E27" s="339" t="str">
        <f>IFERROR(IF(OR(D27='DICTIONARY-5'!$A$2,D27='DICTIONARY-5'!$A$4,ISBLANK(D27)),VLOOKUP(C27,LIST!$A$6:$L$3250,CURR_1.SEARCH.OLD,0),VLOOKUP(D27,LIST!$B$6:$L$3250,CURR_1.SEARCH.NEW,0)),'DICTIONARY-5'!$A$2)</f>
        <v>227,-</v>
      </c>
      <c r="F27" s="339" t="str">
        <f>IFERROR(IF(OR(D27='DICTIONARY-5'!$A$2,D27='DICTIONARY-5'!$A$4,ISBLANK(D27)),VLOOKUP(C27,LIST!$A$6:$M$3250,CURR_2.SEARCH.OLD,0),VLOOKUP(D27,LIST!$B$6:$M$3250,CURR_2.SEARCH.NEW,0)),'DICTIONARY-5'!$A$2)</f>
        <v/>
      </c>
    </row>
    <row r="28" spans="1:6" x14ac:dyDescent="0.25">
      <c r="A28" s="207">
        <v>400</v>
      </c>
      <c r="B28" s="227" t="s">
        <v>2204</v>
      </c>
      <c r="C28" s="207" t="s">
        <v>2205</v>
      </c>
      <c r="D28" s="313" t="s">
        <v>4744</v>
      </c>
      <c r="E28" s="339" t="str">
        <f>IFERROR(IF(OR(D28='DICTIONARY-5'!$A$2,D28='DICTIONARY-5'!$A$4,ISBLANK(D28)),VLOOKUP(C28,LIST!$A$6:$L$3250,CURR_1.SEARCH.OLD,0),VLOOKUP(D28,LIST!$B$6:$L$3250,CURR_1.SEARCH.NEW,0)),'DICTIONARY-5'!$A$2)</f>
        <v>363,-</v>
      </c>
      <c r="F28" s="339" t="str">
        <f>IFERROR(IF(OR(D28='DICTIONARY-5'!$A$2,D28='DICTIONARY-5'!$A$4,ISBLANK(D28)),VLOOKUP(C28,LIST!$A$6:$M$3250,CURR_2.SEARCH.OLD,0),VLOOKUP(D28,LIST!$B$6:$M$3250,CURR_2.SEARCH.NEW,0)),'DICTIONARY-5'!$A$2)</f>
        <v/>
      </c>
    </row>
    <row r="29" spans="1:6" x14ac:dyDescent="0.25">
      <c r="A29" s="207">
        <v>400</v>
      </c>
      <c r="B29" s="227" t="s">
        <v>2179</v>
      </c>
      <c r="C29" s="207" t="s">
        <v>2206</v>
      </c>
      <c r="D29" s="313" t="s">
        <v>4746</v>
      </c>
      <c r="E29" s="339" t="str">
        <f>IFERROR(IF(OR(D29='DICTIONARY-5'!$A$2,D29='DICTIONARY-5'!$A$4,ISBLANK(D29)),VLOOKUP(C29,LIST!$A$6:$L$3250,CURR_1.SEARCH.OLD,0),VLOOKUP(D29,LIST!$B$6:$L$3250,CURR_1.SEARCH.NEW,0)),'DICTIONARY-5'!$A$2)</f>
        <v>305,-</v>
      </c>
      <c r="F29" s="339" t="str">
        <f>IFERROR(IF(OR(D29='DICTIONARY-5'!$A$2,D29='DICTIONARY-5'!$A$4,ISBLANK(D29)),VLOOKUP(C29,LIST!$A$6:$M$3250,CURR_2.SEARCH.OLD,0),VLOOKUP(D29,LIST!$B$6:$M$3250,CURR_2.SEARCH.NEW,0)),'DICTIONARY-5'!$A$2)</f>
        <v/>
      </c>
    </row>
    <row r="30" spans="1:6" x14ac:dyDescent="0.25">
      <c r="A30" s="207">
        <v>450</v>
      </c>
      <c r="B30" s="227" t="s">
        <v>2183</v>
      </c>
      <c r="C30" s="207" t="s">
        <v>2207</v>
      </c>
      <c r="D30" s="313" t="s">
        <v>4749</v>
      </c>
      <c r="E30" s="339" t="str">
        <f>IFERROR(IF(OR(D30='DICTIONARY-5'!$A$2,D30='DICTIONARY-5'!$A$4,ISBLANK(D30)),VLOOKUP(C30,LIST!$A$6:$L$3250,CURR_1.SEARCH.OLD,0),VLOOKUP(D30,LIST!$B$6:$L$3250,CURR_1.SEARCH.NEW,0)),'DICTIONARY-5'!$A$2)</f>
        <v>342,-</v>
      </c>
      <c r="F30" s="339" t="str">
        <f>IFERROR(IF(OR(D30='DICTIONARY-5'!$A$2,D30='DICTIONARY-5'!$A$4,ISBLANK(D30)),VLOOKUP(C30,LIST!$A$6:$M$3250,CURR_2.SEARCH.OLD,0),VLOOKUP(D30,LIST!$B$6:$M$3250,CURR_2.SEARCH.NEW,0)),'DICTIONARY-5'!$A$2)</f>
        <v/>
      </c>
    </row>
    <row r="31" spans="1:6" x14ac:dyDescent="0.25">
      <c r="A31" s="207">
        <v>500</v>
      </c>
      <c r="B31" s="227" t="s">
        <v>2185</v>
      </c>
      <c r="C31" s="207" t="s">
        <v>2208</v>
      </c>
      <c r="D31" s="313" t="s">
        <v>4750</v>
      </c>
      <c r="E31" s="339" t="str">
        <f>IFERROR(IF(OR(D31='DICTIONARY-5'!$A$2,D31='DICTIONARY-5'!$A$4,ISBLANK(D31)),VLOOKUP(C31,LIST!$A$6:$L$3250,CURR_1.SEARCH.OLD,0),VLOOKUP(D31,LIST!$B$6:$L$3250,CURR_1.SEARCH.NEW,0)),'DICTIONARY-5'!$A$2)</f>
        <v>425,-</v>
      </c>
      <c r="F31" s="339" t="str">
        <f>IFERROR(IF(OR(D31='DICTIONARY-5'!$A$2,D31='DICTIONARY-5'!$A$4,ISBLANK(D31)),VLOOKUP(C31,LIST!$A$6:$M$3250,CURR_2.SEARCH.OLD,0),VLOOKUP(D31,LIST!$B$6:$M$3250,CURR_2.SEARCH.NEW,0)),'DICTIONARY-5'!$A$2)</f>
        <v/>
      </c>
    </row>
    <row r="32" spans="1:6" x14ac:dyDescent="0.25">
      <c r="A32" s="207">
        <v>600</v>
      </c>
      <c r="B32" s="227" t="s">
        <v>2187</v>
      </c>
      <c r="C32" s="207" t="s">
        <v>2209</v>
      </c>
      <c r="D32" s="313" t="s">
        <v>4753</v>
      </c>
      <c r="E32" s="339" t="str">
        <f>IFERROR(IF(OR(D32='DICTIONARY-5'!$A$2,D32='DICTIONARY-5'!$A$4,ISBLANK(D32)),VLOOKUP(C32,LIST!$A$6:$L$3250,CURR_1.SEARCH.OLD,0),VLOOKUP(D32,LIST!$B$6:$L$3250,CURR_1.SEARCH.NEW,0)),'DICTIONARY-5'!$A$2)</f>
        <v>469,-</v>
      </c>
      <c r="F32" s="339" t="str">
        <f>IFERROR(IF(OR(D32='DICTIONARY-5'!$A$2,D32='DICTIONARY-5'!$A$4,ISBLANK(D32)),VLOOKUP(C32,LIST!$A$6:$M$3250,CURR_2.SEARCH.OLD,0),VLOOKUP(D32,LIST!$B$6:$M$3250,CURR_2.SEARCH.NEW,0)),'DICTIONARY-5'!$A$2)</f>
        <v/>
      </c>
    </row>
    <row r="34" spans="1:1" x14ac:dyDescent="0.25">
      <c r="A34" s="218" t="str">
        <f>"1) "&amp;'DICTIONARY-5'!$A$74</f>
        <v>1) Zewnętrzna średnica rury</v>
      </c>
    </row>
    <row r="35" spans="1:1" x14ac:dyDescent="0.25">
      <c r="A35" s="218" t="str">
        <f>'DICTIONARY-5'!$A$3&amp;'DICTIONARY-5'!$A$43&amp;" "&amp;'DICTIONARY-5'!$A$45&amp;" ("&amp;'DICTIONARY-5'!$A$14&amp;")"</f>
        <v>Na zapytanie: guma NBR (ścieki)</v>
      </c>
    </row>
  </sheetData>
  <sheetProtection algorithmName="SHA-512" hashValue="M+moYigTZyb980CwFoavb2aDM6BGSfkM8pUJ5mvFgd4ey5y6JAH4JVY1HxgvnOsIfRPU1UlVJvUHjXZ56w+7XQ==" saltValue="KUNi30b0qkLNOd0/E2T87A==" spinCount="100000" sheet="1" objects="1" scenarios="1" autoFilter="0"/>
  <mergeCells count="3">
    <mergeCell ref="C10:F10"/>
    <mergeCell ref="C11:F11"/>
    <mergeCell ref="B4:E4"/>
  </mergeCells>
  <pageMargins left="0.7" right="0.7" top="0.78740157499999996" bottom="0.78740157499999996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6">
    <tabColor rgb="FF0F6E23"/>
  </sheetPr>
  <dimension ref="A1:K65"/>
  <sheetViews>
    <sheetView workbookViewId="0"/>
  </sheetViews>
  <sheetFormatPr defaultColWidth="9.140625" defaultRowHeight="15" x14ac:dyDescent="0.25"/>
  <cols>
    <col min="1" max="2" width="11.42578125" style="230" customWidth="1"/>
    <col min="3" max="4" width="22.140625" style="230" customWidth="1"/>
    <col min="5" max="6" width="12.85546875" style="228" customWidth="1"/>
    <col min="7" max="7" width="9.140625" style="229"/>
    <col min="8" max="9" width="22.140625" style="230" customWidth="1"/>
    <col min="10" max="11" width="12.85546875" style="228" customWidth="1"/>
    <col min="12" max="16384" width="9.140625" style="231"/>
  </cols>
  <sheetData>
    <row r="1" spans="1:11" s="398" customFormat="1" ht="45" customHeight="1" thickBot="1" x14ac:dyDescent="0.3">
      <c r="A1" s="427"/>
      <c r="B1" s="427"/>
      <c r="C1" s="427"/>
      <c r="D1" s="427"/>
      <c r="E1" s="397"/>
      <c r="F1" s="397"/>
      <c r="G1" s="400"/>
      <c r="H1" s="399"/>
      <c r="I1" s="399"/>
      <c r="J1" s="397"/>
      <c r="K1" s="397"/>
    </row>
    <row r="2" spans="1:11" s="454" customFormat="1" ht="4.5" customHeight="1" x14ac:dyDescent="0.25">
      <c r="A2" s="451"/>
      <c r="B2" s="452"/>
      <c r="C2" s="452"/>
      <c r="D2" s="452"/>
      <c r="E2" s="453"/>
      <c r="F2" s="453"/>
      <c r="G2" s="456"/>
      <c r="H2" s="452"/>
      <c r="I2" s="452"/>
      <c r="J2" s="453"/>
      <c r="K2" s="453"/>
    </row>
    <row r="3" spans="1:11" ht="15.75" thickBot="1" x14ac:dyDescent="0.3">
      <c r="A3" s="232"/>
      <c r="B3" s="233"/>
      <c r="C3" s="233"/>
      <c r="D3" s="233"/>
    </row>
    <row r="4" spans="1:11" ht="15.75" thickBot="1" x14ac:dyDescent="0.3">
      <c r="A4" s="820">
        <f>ADD.DISCOUNT</f>
        <v>0</v>
      </c>
      <c r="B4" s="933" t="str">
        <f>HYPERLINK("#'LIST'!ADD.DISCOUNT","» "&amp;'DICTIONARY-1'!$A$5)</f>
        <v>» Ustaw globalny dodatkowy rabat</v>
      </c>
      <c r="C4" s="1037"/>
      <c r="D4" s="1037"/>
      <c r="E4" s="1038"/>
    </row>
    <row r="5" spans="1:11" x14ac:dyDescent="0.25">
      <c r="A5" s="232"/>
      <c r="B5" s="233"/>
      <c r="C5" s="233"/>
      <c r="D5" s="233"/>
    </row>
    <row r="6" spans="1:11" ht="16.5" thickBot="1" x14ac:dyDescent="0.3">
      <c r="A6" s="712" t="str">
        <f>CONCATENATE('DICTIONARY-3'!$A$131," ",'DICTIONARY-3'!$A$219," / ",'DICTIONARY-3'!$A$332)</f>
        <v>LADA-A Obudowa ziemna / Dla zasuw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235" t="str">
        <f>CONCATENATE('DICTIONARY-5'!$A$169," ",LOWER('DICTIONARY-3'!$A$219))</f>
        <v>Sztywna obudowa ziemna</v>
      </c>
      <c r="B7" s="236"/>
    </row>
    <row r="8" spans="1:11" x14ac:dyDescent="0.25">
      <c r="A8" s="235" t="str">
        <f>CONCATENATE('DICTIONARY-1'!$A$10,": ",SETTINGS!$C$70)</f>
        <v>Grupa rabatowa: LADA</v>
      </c>
      <c r="B8" s="236"/>
    </row>
    <row r="9" spans="1:11" x14ac:dyDescent="0.25">
      <c r="A9" s="236"/>
      <c r="B9" s="236"/>
    </row>
    <row r="10" spans="1:11" x14ac:dyDescent="0.25">
      <c r="A10" s="237" t="str">
        <f>'DICTIONARY-2'!$A$2</f>
        <v>DN</v>
      </c>
      <c r="B10" s="237" t="str">
        <f>'DICTIONARY-2'!$A$7&amp;" 1)"</f>
        <v>Rd 1)</v>
      </c>
      <c r="C10" s="1036" t="str">
        <f>'DICTIONARY-3'!$A$131</f>
        <v>LADA-A</v>
      </c>
      <c r="D10" s="1036"/>
      <c r="E10" s="1036"/>
      <c r="F10" s="1036"/>
      <c r="G10" s="237" t="str">
        <f>'DICTIONARY-2'!$A$7&amp;" 1)"</f>
        <v>Rd 1)</v>
      </c>
      <c r="H10" s="1036" t="str">
        <f>'DICTIONARY-3'!$A$131</f>
        <v>LADA-A</v>
      </c>
      <c r="I10" s="1036"/>
      <c r="J10" s="1036"/>
      <c r="K10" s="1036"/>
    </row>
    <row r="11" spans="1:11" x14ac:dyDescent="0.25">
      <c r="A11" s="244"/>
      <c r="B11" s="244"/>
      <c r="C11" s="1035" t="str">
        <f>'DICTIONARY-5'!$A$171&amp;": 27 mm"</f>
        <v>górny kwadrat pod klucz: 27 mm</v>
      </c>
      <c r="D11" s="1035"/>
      <c r="E11" s="1035"/>
      <c r="F11" s="1035"/>
      <c r="G11" s="244"/>
      <c r="H11" s="1035" t="str">
        <f>'DICTIONARY-5'!$A$171&amp;": 27 mm"</f>
        <v>górny kwadrat pod klucz: 27 mm</v>
      </c>
      <c r="I11" s="1035"/>
      <c r="J11" s="1035"/>
      <c r="K11" s="1035"/>
    </row>
    <row r="12" spans="1:11" x14ac:dyDescent="0.25">
      <c r="A12" s="238"/>
      <c r="B12" s="238" t="str">
        <f>'DICTIONARY-2'!$A$19</f>
        <v>[m]</v>
      </c>
      <c r="C12" s="239" t="str">
        <f>'DICTIONARY-2'!$A$28</f>
        <v>stary nr zamówienia</v>
      </c>
      <c r="D12" s="239" t="str">
        <f>'DICTIONARY-2'!$A$29</f>
        <v>nowy nr zamówienia</v>
      </c>
      <c r="E12" s="240" t="str">
        <f>CURRENCY.CODE_1</f>
        <v>EUR</v>
      </c>
      <c r="F12" s="240" t="str">
        <f>CURRENCY.CODE_2</f>
        <v>---</v>
      </c>
      <c r="G12" s="238" t="str">
        <f>'DICTIONARY-2'!$A$19</f>
        <v>[m]</v>
      </c>
      <c r="H12" s="239" t="str">
        <f>'DICTIONARY-2'!$A$28</f>
        <v>stary nr zamówienia</v>
      </c>
      <c r="I12" s="239" t="str">
        <f>'DICTIONARY-2'!$A$29</f>
        <v>nowy nr zamówienia</v>
      </c>
      <c r="J12" s="240" t="str">
        <f>CURRENCY.CODE_1</f>
        <v>EUR</v>
      </c>
      <c r="K12" s="240" t="str">
        <f>CURRENCY.CODE_2</f>
        <v>---</v>
      </c>
    </row>
    <row r="13" spans="1:11" x14ac:dyDescent="0.25">
      <c r="A13" s="241" t="s">
        <v>2210</v>
      </c>
      <c r="B13" s="242">
        <v>1</v>
      </c>
      <c r="C13" s="241" t="s">
        <v>2211</v>
      </c>
      <c r="D13" s="311" t="s">
        <v>4842</v>
      </c>
      <c r="E13" s="339" t="str">
        <f>IFERROR(IF(OR(D13='DICTIONARY-5'!$A$2,D13='DICTIONARY-5'!$A$4,ISBLANK(D13)),VLOOKUP(C13,LIST!$A$6:$L$3250,CURR_1.SEARCH.OLD,0),VLOOKUP(D13,LIST!$B$6:$L$3250,CURR_1.SEARCH.NEW,0)),'DICTIONARY-5'!$A$2)</f>
        <v>26,-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  <c r="G13" s="242">
        <v>1.25</v>
      </c>
      <c r="H13" s="241" t="s">
        <v>2212</v>
      </c>
      <c r="I13" s="311" t="s">
        <v>4843</v>
      </c>
      <c r="J13" s="339" t="str">
        <f>IFERROR(IF(OR(I13='DICTIONARY-5'!$A$2,I13='DICTIONARY-5'!$A$4,ISBLANK(I13)),VLOOKUP(H13,LIST!$A$6:$L$3250,CURR_1.SEARCH.OLD,0),VLOOKUP(I13,LIST!$B$6:$L$3250,CURR_1.SEARCH.NEW,0)),'DICTIONARY-5'!$A$2)</f>
        <v>33,-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241" t="s">
        <v>2213</v>
      </c>
      <c r="B14" s="242">
        <v>1</v>
      </c>
      <c r="C14" s="241" t="s">
        <v>2214</v>
      </c>
      <c r="D14" s="311" t="s">
        <v>4850</v>
      </c>
      <c r="E14" s="339" t="str">
        <f>IFERROR(IF(OR(D14='DICTIONARY-5'!$A$2,D14='DICTIONARY-5'!$A$4,ISBLANK(D14)),VLOOKUP(C14,LIST!$A$6:$L$3250,CURR_1.SEARCH.OLD,0),VLOOKUP(D14,LIST!$B$6:$L$3250,CURR_1.SEARCH.NEW,0)),'DICTIONARY-5'!$A$2)</f>
        <v>28,-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  <c r="G14" s="242">
        <v>1.25</v>
      </c>
      <c r="H14" s="241" t="s">
        <v>2215</v>
      </c>
      <c r="I14" s="311" t="s">
        <v>4851</v>
      </c>
      <c r="J14" s="339" t="str">
        <f>IFERROR(IF(OR(I14='DICTIONARY-5'!$A$2,I14='DICTIONARY-5'!$A$4,ISBLANK(I14)),VLOOKUP(H14,LIST!$A$6:$L$3250,CURR_1.SEARCH.OLD,0),VLOOKUP(I14,LIST!$B$6:$L$3250,CURR_1.SEARCH.NEW,0)),'DICTIONARY-5'!$A$2)</f>
        <v>30,-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241" t="s">
        <v>2216</v>
      </c>
      <c r="B15" s="242">
        <v>1</v>
      </c>
      <c r="C15" s="241" t="s">
        <v>2217</v>
      </c>
      <c r="D15" s="311" t="s">
        <v>4854</v>
      </c>
      <c r="E15" s="339" t="str">
        <f>IFERROR(IF(OR(D15='DICTIONARY-5'!$A$2,D15='DICTIONARY-5'!$A$4,ISBLANK(D15)),VLOOKUP(C15,LIST!$A$6:$L$3250,CURR_1.SEARCH.OLD,0),VLOOKUP(D15,LIST!$B$6:$L$3250,CURR_1.SEARCH.NEW,0)),'DICTIONARY-5'!$A$2)</f>
        <v>26,-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  <c r="G15" s="242">
        <v>1.25</v>
      </c>
      <c r="H15" s="241" t="s">
        <v>2218</v>
      </c>
      <c r="I15" s="311" t="s">
        <v>4855</v>
      </c>
      <c r="J15" s="339" t="str">
        <f>IFERROR(IF(OR(I15='DICTIONARY-5'!$A$2,I15='DICTIONARY-5'!$A$4,ISBLANK(I15)),VLOOKUP(H15,LIST!$A$6:$L$3250,CURR_1.SEARCH.OLD,0),VLOOKUP(I15,LIST!$B$6:$L$3250,CURR_1.SEARCH.NEW,0)),'DICTIONARY-5'!$A$2)</f>
        <v>32,-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241">
        <v>200</v>
      </c>
      <c r="B16" s="242">
        <v>1</v>
      </c>
      <c r="C16" s="241" t="s">
        <v>2219</v>
      </c>
      <c r="D16" s="311" t="s">
        <v>4858</v>
      </c>
      <c r="E16" s="339" t="str">
        <f>IFERROR(IF(OR(D16='DICTIONARY-5'!$A$2,D16='DICTIONARY-5'!$A$4,ISBLANK(D16)),VLOOKUP(C16,LIST!$A$6:$L$3250,CURR_1.SEARCH.OLD,0),VLOOKUP(D16,LIST!$B$6:$L$3250,CURR_1.SEARCH.NEW,0)),'DICTIONARY-5'!$A$2)</f>
        <v>34,-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  <c r="G16" s="242">
        <v>1.25</v>
      </c>
      <c r="H16" s="241" t="s">
        <v>2220</v>
      </c>
      <c r="I16" s="311" t="s">
        <v>4859</v>
      </c>
      <c r="J16" s="339" t="str">
        <f>IFERROR(IF(OR(I16='DICTIONARY-5'!$A$2,I16='DICTIONARY-5'!$A$4,ISBLANK(I16)),VLOOKUP(H16,LIST!$A$6:$L$3250,CURR_1.SEARCH.OLD,0),VLOOKUP(I16,LIST!$B$6:$L$3250,CURR_1.SEARCH.NEW,0)),'DICTIONARY-5'!$A$2)</f>
        <v>37,-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241" t="s">
        <v>2221</v>
      </c>
      <c r="B17" s="242">
        <v>1</v>
      </c>
      <c r="C17" s="241" t="s">
        <v>2222</v>
      </c>
      <c r="D17" s="311" t="s">
        <v>4862</v>
      </c>
      <c r="E17" s="339" t="str">
        <f>IFERROR(IF(OR(D17='DICTIONARY-5'!$A$2,D17='DICTIONARY-5'!$A$4,ISBLANK(D17)),VLOOKUP(C17,LIST!$A$6:$L$3250,CURR_1.SEARCH.OLD,0),VLOOKUP(D17,LIST!$B$6:$L$3250,CURR_1.SEARCH.NEW,0)),'DICTIONARY-5'!$A$2)</f>
        <v>33,-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  <c r="G17" s="242">
        <v>1.25</v>
      </c>
      <c r="H17" s="241" t="s">
        <v>2223</v>
      </c>
      <c r="I17" s="311" t="s">
        <v>4863</v>
      </c>
      <c r="J17" s="339" t="str">
        <f>IFERROR(IF(OR(I17='DICTIONARY-5'!$A$2,I17='DICTIONARY-5'!$A$4,ISBLANK(I17)),VLOOKUP(H17,LIST!$A$6:$L$3250,CURR_1.SEARCH.OLD,0),VLOOKUP(I17,LIST!$B$6:$L$3250,CURR_1.SEARCH.NEW,0)),'DICTIONARY-5'!$A$2)</f>
        <v>36,-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18" spans="1:11" x14ac:dyDescent="0.25">
      <c r="A18" s="241">
        <v>350</v>
      </c>
      <c r="B18" s="242"/>
      <c r="C18" s="241"/>
      <c r="D18" s="241"/>
      <c r="E18" s="243"/>
      <c r="F18" s="243"/>
      <c r="G18" s="242">
        <v>1.25</v>
      </c>
      <c r="H18" s="241" t="s">
        <v>2224</v>
      </c>
      <c r="I18" s="311" t="s">
        <v>4866</v>
      </c>
      <c r="J18" s="339" t="str">
        <f>IFERROR(IF(OR(I18='DICTIONARY-5'!$A$2,I18='DICTIONARY-5'!$A$4,ISBLANK(I18)),VLOOKUP(H18,LIST!$A$6:$L$3250,CURR_1.SEARCH.OLD,0),VLOOKUP(I18,LIST!$B$6:$L$3250,CURR_1.SEARCH.NEW,0)),'DICTIONARY-5'!$A$2)</f>
        <v>28,-</v>
      </c>
      <c r="K18" s="339" t="str">
        <f>IFERROR(IF(OR(I18='DICTIONARY-5'!$A$2,I18='DICTIONARY-5'!$A$4,ISBLANK(I18)),VLOOKUP(H18,LIST!$A$6:$M$3250,CURR_2.SEARCH.OLD,0),VLOOKUP(I18,LIST!$B$6:$M$3250,CURR_2.SEARCH.NEW,0)),'DICTIONARY-5'!$A$2)</f>
        <v/>
      </c>
    </row>
    <row r="21" spans="1:11" x14ac:dyDescent="0.25">
      <c r="A21" s="237" t="str">
        <f>'DICTIONARY-2'!$A$2</f>
        <v>DN</v>
      </c>
      <c r="B21" s="237" t="str">
        <f>'DICTIONARY-2'!$A$7&amp;" 1)"</f>
        <v>Rd 1)</v>
      </c>
      <c r="C21" s="1036" t="str">
        <f>'DICTIONARY-3'!$A$131</f>
        <v>LADA-A</v>
      </c>
      <c r="D21" s="1036"/>
      <c r="E21" s="1036"/>
      <c r="F21" s="1036"/>
      <c r="G21" s="237" t="str">
        <f>'DICTIONARY-2'!$A$7&amp;" 1)"</f>
        <v>Rd 1)</v>
      </c>
      <c r="H21" s="1036" t="str">
        <f>'DICTIONARY-3'!$A$131</f>
        <v>LADA-A</v>
      </c>
      <c r="I21" s="1036"/>
      <c r="J21" s="1036"/>
      <c r="K21" s="1036"/>
    </row>
    <row r="22" spans="1:11" x14ac:dyDescent="0.25">
      <c r="A22" s="244"/>
      <c r="B22" s="244"/>
      <c r="C22" s="1035" t="str">
        <f>'DICTIONARY-5'!$A$171&amp;": 27 mm"</f>
        <v>górny kwadrat pod klucz: 27 mm</v>
      </c>
      <c r="D22" s="1035"/>
      <c r="E22" s="1035"/>
      <c r="F22" s="1035"/>
      <c r="G22" s="244"/>
      <c r="H22" s="1035" t="str">
        <f>'DICTIONARY-5'!$A$171&amp;": 27 mm"</f>
        <v>górny kwadrat pod klucz: 27 mm</v>
      </c>
      <c r="I22" s="1035"/>
      <c r="J22" s="1035"/>
      <c r="K22" s="1035"/>
    </row>
    <row r="23" spans="1:11" x14ac:dyDescent="0.25">
      <c r="A23" s="244"/>
      <c r="B23" s="238" t="str">
        <f>'DICTIONARY-2'!$A$19</f>
        <v>[m]</v>
      </c>
      <c r="C23" s="245" t="str">
        <f>'DICTIONARY-2'!$A$28</f>
        <v>stary nr zamówienia</v>
      </c>
      <c r="D23" s="239" t="str">
        <f>'DICTIONARY-2'!$A$29</f>
        <v>nowy nr zamówienia</v>
      </c>
      <c r="E23" s="240" t="str">
        <f>CURRENCY.CODE_1</f>
        <v>EUR</v>
      </c>
      <c r="F23" s="240" t="str">
        <f>CURRENCY.CODE_2</f>
        <v>---</v>
      </c>
      <c r="G23" s="238" t="str">
        <f>'DICTIONARY-2'!$A$19</f>
        <v>[m]</v>
      </c>
      <c r="H23" s="245" t="str">
        <f>'DICTIONARY-2'!$A$28</f>
        <v>stary nr zamówienia</v>
      </c>
      <c r="I23" s="239" t="str">
        <f>'DICTIONARY-2'!$A$29</f>
        <v>nowy nr zamówienia</v>
      </c>
      <c r="J23" s="240" t="str">
        <f>CURRENCY.CODE_1</f>
        <v>EUR</v>
      </c>
      <c r="K23" s="240" t="str">
        <f>CURRENCY.CODE_2</f>
        <v>---</v>
      </c>
    </row>
    <row r="24" spans="1:11" x14ac:dyDescent="0.25">
      <c r="A24" s="241" t="s">
        <v>2210</v>
      </c>
      <c r="B24" s="242">
        <v>1.5</v>
      </c>
      <c r="C24" s="241" t="s">
        <v>2225</v>
      </c>
      <c r="D24" s="311" t="s">
        <v>4844</v>
      </c>
      <c r="E24" s="339" t="str">
        <f>IFERROR(IF(OR(D24='DICTIONARY-5'!$A$2,D24='DICTIONARY-5'!$A$4,ISBLANK(D24)),VLOOKUP(C24,LIST!$A$6:$L$3250,CURR_1.SEARCH.OLD,0),VLOOKUP(D24,LIST!$B$6:$L$3250,CURR_1.SEARCH.NEW,0)),'DICTIONARY-5'!$A$2)</f>
        <v>35,-</v>
      </c>
      <c r="F24" s="339" t="str">
        <f>IFERROR(IF(OR(D24='DICTIONARY-5'!$A$2,D24='DICTIONARY-5'!$A$4,ISBLANK(D24)),VLOOKUP(C24,LIST!$A$6:$M$3250,CURR_2.SEARCH.OLD,0),VLOOKUP(D24,LIST!$B$6:$M$3250,CURR_2.SEARCH.NEW,0)),'DICTIONARY-5'!$A$2)</f>
        <v/>
      </c>
      <c r="G24" s="242">
        <v>2</v>
      </c>
      <c r="H24" s="241" t="s">
        <v>2226</v>
      </c>
      <c r="I24" s="311" t="s">
        <v>4845</v>
      </c>
      <c r="J24" s="339" t="str">
        <f>IFERROR(IF(OR(I24='DICTIONARY-5'!$A$2,I24='DICTIONARY-5'!$A$4,ISBLANK(I24)),VLOOKUP(H24,LIST!$A$6:$L$3250,CURR_1.SEARCH.OLD,0),VLOOKUP(I24,LIST!$B$6:$L$3250,CURR_1.SEARCH.NEW,0)),'DICTIONARY-5'!$A$2)</f>
        <v>42,-</v>
      </c>
      <c r="K24" s="339" t="str">
        <f>IFERROR(IF(OR(I24='DICTIONARY-5'!$A$2,I24='DICTIONARY-5'!$A$4,ISBLANK(I24)),VLOOKUP(H24,LIST!$A$6:$M$3250,CURR_2.SEARCH.OLD,0),VLOOKUP(I24,LIST!$B$6:$M$3250,CURR_2.SEARCH.NEW,0)),'DICTIONARY-5'!$A$2)</f>
        <v/>
      </c>
    </row>
    <row r="25" spans="1:11" x14ac:dyDescent="0.25">
      <c r="A25" s="241" t="s">
        <v>2213</v>
      </c>
      <c r="B25" s="242">
        <v>1.5</v>
      </c>
      <c r="C25" s="241" t="s">
        <v>2227</v>
      </c>
      <c r="D25" s="311" t="s">
        <v>4852</v>
      </c>
      <c r="E25" s="339" t="str">
        <f>IFERROR(IF(OR(D25='DICTIONARY-5'!$A$2,D25='DICTIONARY-5'!$A$4,ISBLANK(D25)),VLOOKUP(C25,LIST!$A$6:$L$3250,CURR_1.SEARCH.OLD,0),VLOOKUP(D25,LIST!$B$6:$L$3250,CURR_1.SEARCH.NEW,0)),'DICTIONARY-5'!$A$2)</f>
        <v>34,-</v>
      </c>
      <c r="F25" s="339" t="str">
        <f>IFERROR(IF(OR(D25='DICTIONARY-5'!$A$2,D25='DICTIONARY-5'!$A$4,ISBLANK(D25)),VLOOKUP(C25,LIST!$A$6:$M$3250,CURR_2.SEARCH.OLD,0),VLOOKUP(D25,LIST!$B$6:$M$3250,CURR_2.SEARCH.NEW,0)),'DICTIONARY-5'!$A$2)</f>
        <v/>
      </c>
      <c r="G25" s="242">
        <v>2</v>
      </c>
      <c r="H25" s="241" t="s">
        <v>2228</v>
      </c>
      <c r="I25" s="311" t="s">
        <v>4853</v>
      </c>
      <c r="J25" s="339" t="str">
        <f>IFERROR(IF(OR(I25='DICTIONARY-5'!$A$2,I25='DICTIONARY-5'!$A$4,ISBLANK(I25)),VLOOKUP(H25,LIST!$A$6:$L$3250,CURR_1.SEARCH.OLD,0),VLOOKUP(I25,LIST!$B$6:$L$3250,CURR_1.SEARCH.NEW,0)),'DICTIONARY-5'!$A$2)</f>
        <v>41,-</v>
      </c>
      <c r="K25" s="339" t="str">
        <f>IFERROR(IF(OR(I25='DICTIONARY-5'!$A$2,I25='DICTIONARY-5'!$A$4,ISBLANK(I25)),VLOOKUP(H25,LIST!$A$6:$M$3250,CURR_2.SEARCH.OLD,0),VLOOKUP(I25,LIST!$B$6:$M$3250,CURR_2.SEARCH.NEW,0)),'DICTIONARY-5'!$A$2)</f>
        <v/>
      </c>
    </row>
    <row r="26" spans="1:11" x14ac:dyDescent="0.25">
      <c r="A26" s="241" t="s">
        <v>2216</v>
      </c>
      <c r="B26" s="242">
        <v>1.5</v>
      </c>
      <c r="C26" s="241" t="s">
        <v>2229</v>
      </c>
      <c r="D26" s="311" t="s">
        <v>4856</v>
      </c>
      <c r="E26" s="339" t="str">
        <f>IFERROR(IF(OR(D26='DICTIONARY-5'!$A$2,D26='DICTIONARY-5'!$A$4,ISBLANK(D26)),VLOOKUP(C26,LIST!$A$6:$L$3250,CURR_1.SEARCH.OLD,0),VLOOKUP(D26,LIST!$B$6:$L$3250,CURR_1.SEARCH.NEW,0)),'DICTIONARY-5'!$A$2)</f>
        <v>33,-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  <c r="G26" s="242">
        <v>2</v>
      </c>
      <c r="H26" s="241" t="s">
        <v>2230</v>
      </c>
      <c r="I26" s="311" t="s">
        <v>4857</v>
      </c>
      <c r="J26" s="339" t="str">
        <f>IFERROR(IF(OR(I26='DICTIONARY-5'!$A$2,I26='DICTIONARY-5'!$A$4,ISBLANK(I26)),VLOOKUP(H26,LIST!$A$6:$L$3250,CURR_1.SEARCH.OLD,0),VLOOKUP(I26,LIST!$B$6:$L$3250,CURR_1.SEARCH.NEW,0)),'DICTIONARY-5'!$A$2)</f>
        <v>41,-</v>
      </c>
      <c r="K26" s="339" t="str">
        <f>IFERROR(IF(OR(I26='DICTIONARY-5'!$A$2,I26='DICTIONARY-5'!$A$4,ISBLANK(I26)),VLOOKUP(H26,LIST!$A$6:$M$3250,CURR_2.SEARCH.OLD,0),VLOOKUP(I26,LIST!$B$6:$M$3250,CURR_2.SEARCH.NEW,0)),'DICTIONARY-5'!$A$2)</f>
        <v/>
      </c>
    </row>
    <row r="27" spans="1:11" x14ac:dyDescent="0.25">
      <c r="A27" s="241">
        <v>200</v>
      </c>
      <c r="B27" s="242">
        <v>1.5</v>
      </c>
      <c r="C27" s="241" t="s">
        <v>2231</v>
      </c>
      <c r="D27" s="311" t="s">
        <v>4860</v>
      </c>
      <c r="E27" s="339" t="str">
        <f>IFERROR(IF(OR(D27='DICTIONARY-5'!$A$2,D27='DICTIONARY-5'!$A$4,ISBLANK(D27)),VLOOKUP(C27,LIST!$A$6:$L$3250,CURR_1.SEARCH.OLD,0),VLOOKUP(D27,LIST!$B$6:$L$3250,CURR_1.SEARCH.NEW,0)),'DICTIONARY-5'!$A$2)</f>
        <v>44,-</v>
      </c>
      <c r="F27" s="339" t="str">
        <f>IFERROR(IF(OR(D27='DICTIONARY-5'!$A$2,D27='DICTIONARY-5'!$A$4,ISBLANK(D27)),VLOOKUP(C27,LIST!$A$6:$M$3250,CURR_2.SEARCH.OLD,0),VLOOKUP(D27,LIST!$B$6:$M$3250,CURR_2.SEARCH.NEW,0)),'DICTIONARY-5'!$A$2)</f>
        <v/>
      </c>
      <c r="G27" s="242">
        <v>2</v>
      </c>
      <c r="H27" s="241" t="s">
        <v>2232</v>
      </c>
      <c r="I27" s="311" t="s">
        <v>4861</v>
      </c>
      <c r="J27" s="339" t="str">
        <f>IFERROR(IF(OR(I27='DICTIONARY-5'!$A$2,I27='DICTIONARY-5'!$A$4,ISBLANK(I27)),VLOOKUP(H27,LIST!$A$6:$L$3250,CURR_1.SEARCH.OLD,0),VLOOKUP(I27,LIST!$B$6:$L$3250,CURR_1.SEARCH.NEW,0)),'DICTIONARY-5'!$A$2)</f>
        <v>55,-</v>
      </c>
      <c r="K27" s="339" t="str">
        <f>IFERROR(IF(OR(I27='DICTIONARY-5'!$A$2,I27='DICTIONARY-5'!$A$4,ISBLANK(I27)),VLOOKUP(H27,LIST!$A$6:$M$3250,CURR_2.SEARCH.OLD,0),VLOOKUP(I27,LIST!$B$6:$M$3250,CURR_2.SEARCH.NEW,0)),'DICTIONARY-5'!$A$2)</f>
        <v/>
      </c>
    </row>
    <row r="28" spans="1:11" x14ac:dyDescent="0.25">
      <c r="A28" s="241" t="s">
        <v>2221</v>
      </c>
      <c r="B28" s="242">
        <v>1.5</v>
      </c>
      <c r="C28" s="241" t="s">
        <v>2233</v>
      </c>
      <c r="D28" s="311" t="s">
        <v>4864</v>
      </c>
      <c r="E28" s="339" t="str">
        <f>IFERROR(IF(OR(D28='DICTIONARY-5'!$A$2,D28='DICTIONARY-5'!$A$4,ISBLANK(D28)),VLOOKUP(C28,LIST!$A$6:$L$3250,CURR_1.SEARCH.OLD,0),VLOOKUP(D28,LIST!$B$6:$L$3250,CURR_1.SEARCH.NEW,0)),'DICTIONARY-5'!$A$2)</f>
        <v>39,-</v>
      </c>
      <c r="F28" s="339" t="str">
        <f>IFERROR(IF(OR(D28='DICTIONARY-5'!$A$2,D28='DICTIONARY-5'!$A$4,ISBLANK(D28)),VLOOKUP(C28,LIST!$A$6:$M$3250,CURR_2.SEARCH.OLD,0),VLOOKUP(D28,LIST!$B$6:$M$3250,CURR_2.SEARCH.NEW,0)),'DICTIONARY-5'!$A$2)</f>
        <v/>
      </c>
      <c r="G28" s="242">
        <v>2</v>
      </c>
      <c r="H28" s="241" t="s">
        <v>2234</v>
      </c>
      <c r="I28" s="311" t="s">
        <v>4865</v>
      </c>
      <c r="J28" s="339" t="str">
        <f>IFERROR(IF(OR(I28='DICTIONARY-5'!$A$2,I28='DICTIONARY-5'!$A$4,ISBLANK(I28)),VLOOKUP(H28,LIST!$A$6:$L$3250,CURR_1.SEARCH.OLD,0),VLOOKUP(I28,LIST!$B$6:$L$3250,CURR_1.SEARCH.NEW,0)),'DICTIONARY-5'!$A$2)</f>
        <v>51,-</v>
      </c>
      <c r="K28" s="339" t="str">
        <f>IFERROR(IF(OR(I28='DICTIONARY-5'!$A$2,I28='DICTIONARY-5'!$A$4,ISBLANK(I28)),VLOOKUP(H28,LIST!$A$6:$M$3250,CURR_2.SEARCH.OLD,0),VLOOKUP(I28,LIST!$B$6:$M$3250,CURR_2.SEARCH.NEW,0)),'DICTIONARY-5'!$A$2)</f>
        <v/>
      </c>
    </row>
    <row r="29" spans="1:11" x14ac:dyDescent="0.25">
      <c r="A29" s="241">
        <v>350</v>
      </c>
      <c r="B29" s="242">
        <v>1.5</v>
      </c>
      <c r="C29" s="241" t="s">
        <v>2235</v>
      </c>
      <c r="D29" s="311" t="s">
        <v>4867</v>
      </c>
      <c r="E29" s="339" t="str">
        <f>IFERROR(IF(OR(D29='DICTIONARY-5'!$A$2,D29='DICTIONARY-5'!$A$4,ISBLANK(D29)),VLOOKUP(C29,LIST!$A$6:$L$3250,CURR_1.SEARCH.OLD,0),VLOOKUP(D29,LIST!$B$6:$L$3250,CURR_1.SEARCH.NEW,0)),'DICTIONARY-5'!$A$2)</f>
        <v>48,-</v>
      </c>
      <c r="F29" s="339" t="str">
        <f>IFERROR(IF(OR(D29='DICTIONARY-5'!$A$2,D29='DICTIONARY-5'!$A$4,ISBLANK(D29)),VLOOKUP(C29,LIST!$A$6:$M$3250,CURR_2.SEARCH.OLD,0),VLOOKUP(D29,LIST!$B$6:$M$3250,CURR_2.SEARCH.NEW,0)),'DICTIONARY-5'!$A$2)</f>
        <v/>
      </c>
      <c r="G29" s="242">
        <v>2</v>
      </c>
      <c r="H29" s="241" t="s">
        <v>2236</v>
      </c>
      <c r="I29" s="311" t="s">
        <v>4868</v>
      </c>
      <c r="J29" s="339" t="str">
        <f>IFERROR(IF(OR(I29='DICTIONARY-5'!$A$2,I29='DICTIONARY-5'!$A$4,ISBLANK(I29)),VLOOKUP(H29,LIST!$A$6:$L$3250,CURR_1.SEARCH.OLD,0),VLOOKUP(I29,LIST!$B$6:$L$3250,CURR_1.SEARCH.NEW,0)),'DICTIONARY-5'!$A$2)</f>
        <v>44,-</v>
      </c>
      <c r="K29" s="339" t="str">
        <f>IFERROR(IF(OR(I29='DICTIONARY-5'!$A$2,I29='DICTIONARY-5'!$A$4,ISBLANK(I29)),VLOOKUP(H29,LIST!$A$6:$M$3250,CURR_2.SEARCH.OLD,0),VLOOKUP(I29,LIST!$B$6:$M$3250,CURR_2.SEARCH.NEW,0)),'DICTIONARY-5'!$A$2)</f>
        <v/>
      </c>
    </row>
    <row r="30" spans="1:11" x14ac:dyDescent="0.25">
      <c r="A30" s="241" t="s">
        <v>2237</v>
      </c>
      <c r="B30" s="242">
        <v>1.5</v>
      </c>
      <c r="C30" s="241" t="s">
        <v>2238</v>
      </c>
      <c r="D30" s="311" t="s">
        <v>4663</v>
      </c>
      <c r="E30" s="339" t="str">
        <f>IFERROR(IF(OR(D30='DICTIONARY-5'!$A$2,D30='DICTIONARY-5'!$A$4,ISBLANK(D30)),VLOOKUP(C30,LIST!$A$6:$L$3250,CURR_1.SEARCH.OLD,0),VLOOKUP(D30,LIST!$B$6:$L$3250,CURR_1.SEARCH.NEW,0)),'DICTIONARY-5'!$A$2)</f>
        <v>126,-</v>
      </c>
      <c r="F30" s="339" t="str">
        <f>IFERROR(IF(OR(D30='DICTIONARY-5'!$A$2,D30='DICTIONARY-5'!$A$4,ISBLANK(D30)),VLOOKUP(C30,LIST!$A$6:$M$3250,CURR_2.SEARCH.OLD,0),VLOOKUP(D30,LIST!$B$6:$M$3250,CURR_2.SEARCH.NEW,0)),'DICTIONARY-5'!$A$2)</f>
        <v/>
      </c>
      <c r="G30" s="242">
        <v>2</v>
      </c>
      <c r="H30" s="241" t="s">
        <v>2239</v>
      </c>
      <c r="I30" s="311" t="s">
        <v>4869</v>
      </c>
      <c r="J30" s="339" t="str">
        <f>IFERROR(IF(OR(I30='DICTIONARY-5'!$A$2,I30='DICTIONARY-5'!$A$4,ISBLANK(I30)),VLOOKUP(H30,LIST!$A$6:$L$3250,CURR_1.SEARCH.OLD,0),VLOOKUP(I30,LIST!$B$6:$L$3250,CURR_1.SEARCH.NEW,0)),'DICTIONARY-5'!$A$2)</f>
        <v>202,-</v>
      </c>
      <c r="K30" s="339" t="str">
        <f>IFERROR(IF(OR(I30='DICTIONARY-5'!$A$2,I30='DICTIONARY-5'!$A$4,ISBLANK(I30)),VLOOKUP(H30,LIST!$A$6:$M$3250,CURR_2.SEARCH.OLD,0),VLOOKUP(I30,LIST!$B$6:$M$3250,CURR_2.SEARCH.NEW,0)),'DICTIONARY-5'!$A$2)</f>
        <v/>
      </c>
    </row>
    <row r="31" spans="1:11" x14ac:dyDescent="0.25">
      <c r="A31" s="241">
        <v>600</v>
      </c>
      <c r="B31" s="242"/>
      <c r="C31" s="241"/>
      <c r="D31" s="241"/>
      <c r="E31" s="243"/>
      <c r="F31" s="243"/>
      <c r="G31" s="242">
        <v>2</v>
      </c>
      <c r="H31" s="241" t="s">
        <v>2240</v>
      </c>
      <c r="I31" s="312" t="s">
        <v>4870</v>
      </c>
      <c r="J31" s="339" t="str">
        <f>IFERROR(IF(OR(I31='DICTIONARY-5'!$A$2,I31='DICTIONARY-5'!$A$4,ISBLANK(I31)),VLOOKUP(H31,LIST!$A$6:$L$3250,CURR_1.SEARCH.OLD,0),VLOOKUP(I31,LIST!$B$6:$L$3250,CURR_1.SEARCH.NEW,0)),'DICTIONARY-5'!$A$2)</f>
        <v>250,-</v>
      </c>
      <c r="K31" s="339" t="str">
        <f>IFERROR(IF(OR(I31='DICTIONARY-5'!$A$2,I31='DICTIONARY-5'!$A$4,ISBLANK(I31)),VLOOKUP(H31,LIST!$A$6:$M$3250,CURR_2.SEARCH.OLD,0),VLOOKUP(I31,LIST!$B$6:$M$3250,CURR_2.SEARCH.NEW,0)),'DICTIONARY-5'!$A$2)</f>
        <v/>
      </c>
    </row>
    <row r="33" spans="1:9" x14ac:dyDescent="0.25">
      <c r="A33" s="246" t="str">
        <f>"1) "&amp;'DICTIONARY-5'!$A$85&amp;" - "&amp;'DICTIONARY-5'!$A$88</f>
        <v>1) Głębokość zabudowy - mierzona od górnej krawędzi rury do wierzchu terenu</v>
      </c>
    </row>
    <row r="37" spans="1:9" ht="16.5" thickBot="1" x14ac:dyDescent="0.3">
      <c r="A37" s="712" t="str">
        <f>CONCATENATE('DICTIONARY-3'!$A$132," ",'DICTIONARY-3'!$A$219," / ",'DICTIONARY-3'!$A$336)</f>
        <v>LADA-B Obudowa ziemna / Dla mostków nawiertowych z zasuwa</v>
      </c>
      <c r="B37" s="712"/>
      <c r="C37" s="712"/>
      <c r="D37" s="712"/>
      <c r="E37" s="712"/>
      <c r="F37" s="712"/>
      <c r="G37" s="234"/>
      <c r="H37" s="234"/>
      <c r="I37" s="234"/>
    </row>
    <row r="38" spans="1:9" x14ac:dyDescent="0.25">
      <c r="A38" s="235" t="str">
        <f>CONCATENATE('DICTIONARY-5'!$A$169," ",LOWER('DICTIONARY-3'!$A$219))</f>
        <v>Sztywna obudowa ziemna</v>
      </c>
      <c r="C38" s="235"/>
      <c r="D38" s="235"/>
      <c r="E38" s="235"/>
      <c r="F38" s="235"/>
      <c r="G38" s="235"/>
      <c r="H38" s="235"/>
      <c r="I38" s="235"/>
    </row>
    <row r="39" spans="1:9" x14ac:dyDescent="0.25">
      <c r="A39" s="235" t="str">
        <f>CONCATENATE('DICTIONARY-1'!$A$10,": ",SETTINGS!$C$70)</f>
        <v>Grupa rabatowa: LADA</v>
      </c>
      <c r="C39" s="235"/>
      <c r="D39" s="235"/>
      <c r="E39" s="235"/>
      <c r="F39" s="235"/>
      <c r="G39" s="235"/>
      <c r="H39" s="235"/>
      <c r="I39" s="235"/>
    </row>
    <row r="40" spans="1:9" x14ac:dyDescent="0.25">
      <c r="B40" s="231"/>
      <c r="C40" s="231"/>
      <c r="D40" s="231"/>
      <c r="E40" s="231"/>
      <c r="F40" s="231"/>
      <c r="G40" s="231"/>
      <c r="H40" s="231"/>
      <c r="I40" s="231"/>
    </row>
    <row r="41" spans="1:9" x14ac:dyDescent="0.25">
      <c r="A41" s="237"/>
      <c r="B41" s="237" t="str">
        <f>'DICTIONARY-2'!$A$7&amp;" 1)"</f>
        <v>Rd 1)</v>
      </c>
      <c r="C41" s="1036" t="str">
        <f>'DICTIONARY-3'!$A$132</f>
        <v>LADA-B</v>
      </c>
      <c r="D41" s="1036"/>
      <c r="E41" s="1036"/>
      <c r="F41" s="1036"/>
      <c r="G41" s="231"/>
      <c r="H41" s="231"/>
      <c r="I41" s="231"/>
    </row>
    <row r="42" spans="1:9" x14ac:dyDescent="0.25">
      <c r="A42" s="244"/>
      <c r="B42" s="244"/>
      <c r="C42" s="1035" t="str">
        <f>'DICTIONARY-5'!$A$171&amp;": 27 mm"</f>
        <v>górny kwadrat pod klucz: 27 mm</v>
      </c>
      <c r="D42" s="1035"/>
      <c r="E42" s="1035"/>
      <c r="F42" s="1035"/>
      <c r="G42" s="231"/>
      <c r="H42" s="231"/>
      <c r="I42" s="231"/>
    </row>
    <row r="43" spans="1:9" x14ac:dyDescent="0.25">
      <c r="A43" s="238"/>
      <c r="B43" s="238" t="str">
        <f>'DICTIONARY-2'!$A$19</f>
        <v>[m]</v>
      </c>
      <c r="C43" s="239" t="str">
        <f>'DICTIONARY-2'!$A$28</f>
        <v>stary nr zamówienia</v>
      </c>
      <c r="D43" s="239" t="str">
        <f>'DICTIONARY-2'!$A$29</f>
        <v>nowy nr zamówienia</v>
      </c>
      <c r="E43" s="240" t="str">
        <f>CURRENCY.CODE_1</f>
        <v>EUR</v>
      </c>
      <c r="F43" s="240" t="str">
        <f>CURRENCY.CODE_2</f>
        <v>---</v>
      </c>
      <c r="G43" s="231"/>
      <c r="H43" s="231"/>
      <c r="I43" s="231"/>
    </row>
    <row r="44" spans="1:9" x14ac:dyDescent="0.25">
      <c r="A44" s="220"/>
      <c r="B44" s="242">
        <v>1</v>
      </c>
      <c r="C44" s="241" t="s">
        <v>2241</v>
      </c>
      <c r="D44" s="311" t="s">
        <v>4846</v>
      </c>
      <c r="E44" s="339" t="str">
        <f>IFERROR(IF(OR(D44='DICTIONARY-5'!$A$2,D44='DICTIONARY-5'!$A$4,ISBLANK(D44)),VLOOKUP(C44,LIST!$A$6:$L$3250,CURR_1.SEARCH.OLD,0),VLOOKUP(D44,LIST!$B$6:$L$3250,CURR_1.SEARCH.NEW,0)),'DICTIONARY-5'!$A$2)</f>
        <v>24,-</v>
      </c>
      <c r="F44" s="339" t="str">
        <f>IFERROR(IF(OR(D44='DICTIONARY-5'!$A$2,D44='DICTIONARY-5'!$A$4,ISBLANK(D44)),VLOOKUP(C44,LIST!$A$6:$M$3250,CURR_2.SEARCH.OLD,0),VLOOKUP(D44,LIST!$B$6:$M$3250,CURR_2.SEARCH.NEW,0)),'DICTIONARY-5'!$A$2)</f>
        <v/>
      </c>
      <c r="G44" s="231"/>
      <c r="H44" s="231"/>
      <c r="I44" s="231"/>
    </row>
    <row r="45" spans="1:9" x14ac:dyDescent="0.25">
      <c r="A45" s="220"/>
      <c r="B45" s="242">
        <v>1.25</v>
      </c>
      <c r="C45" s="241" t="s">
        <v>2242</v>
      </c>
      <c r="D45" s="311" t="s">
        <v>4847</v>
      </c>
      <c r="E45" s="339" t="str">
        <f>IFERROR(IF(OR(D45='DICTIONARY-5'!$A$2,D45='DICTIONARY-5'!$A$4,ISBLANK(D45)),VLOOKUP(C45,LIST!$A$6:$L$3250,CURR_1.SEARCH.OLD,0),VLOOKUP(D45,LIST!$B$6:$L$3250,CURR_1.SEARCH.NEW,0)),'DICTIONARY-5'!$A$2)</f>
        <v>26,-</v>
      </c>
      <c r="F45" s="339" t="str">
        <f>IFERROR(IF(OR(D45='DICTIONARY-5'!$A$2,D45='DICTIONARY-5'!$A$4,ISBLANK(D45)),VLOOKUP(C45,LIST!$A$6:$M$3250,CURR_2.SEARCH.OLD,0),VLOOKUP(D45,LIST!$B$6:$M$3250,CURR_2.SEARCH.NEW,0)),'DICTIONARY-5'!$A$2)</f>
        <v/>
      </c>
      <c r="G45" s="231"/>
      <c r="H45" s="231"/>
      <c r="I45" s="231"/>
    </row>
    <row r="46" spans="1:9" x14ac:dyDescent="0.25">
      <c r="A46" s="220"/>
      <c r="B46" s="242">
        <v>1.5</v>
      </c>
      <c r="C46" s="241" t="s">
        <v>2243</v>
      </c>
      <c r="D46" s="311" t="s">
        <v>4848</v>
      </c>
      <c r="E46" s="339" t="str">
        <f>IFERROR(IF(OR(D46='DICTIONARY-5'!$A$2,D46='DICTIONARY-5'!$A$4,ISBLANK(D46)),VLOOKUP(C46,LIST!$A$6:$L$3250,CURR_1.SEARCH.OLD,0),VLOOKUP(D46,LIST!$B$6:$L$3250,CURR_1.SEARCH.NEW,0)),'DICTIONARY-5'!$A$2)</f>
        <v>32,-</v>
      </c>
      <c r="F46" s="339" t="str">
        <f>IFERROR(IF(OR(D46='DICTIONARY-5'!$A$2,D46='DICTIONARY-5'!$A$4,ISBLANK(D46)),VLOOKUP(C46,LIST!$A$6:$M$3250,CURR_2.SEARCH.OLD,0),VLOOKUP(D46,LIST!$B$6:$M$3250,CURR_2.SEARCH.NEW,0)),'DICTIONARY-5'!$A$2)</f>
        <v/>
      </c>
      <c r="G46" s="231"/>
      <c r="H46" s="231"/>
      <c r="I46" s="231"/>
    </row>
    <row r="47" spans="1:9" x14ac:dyDescent="0.25">
      <c r="A47" s="220"/>
      <c r="B47" s="242">
        <v>2</v>
      </c>
      <c r="C47" s="241" t="s">
        <v>2244</v>
      </c>
      <c r="D47" s="311" t="s">
        <v>4849</v>
      </c>
      <c r="E47" s="339" t="str">
        <f>IFERROR(IF(OR(D47='DICTIONARY-5'!$A$2,D47='DICTIONARY-5'!$A$4,ISBLANK(D47)),VLOOKUP(C47,LIST!$A$6:$L$3250,CURR_1.SEARCH.OLD,0),VLOOKUP(D47,LIST!$B$6:$L$3250,CURR_1.SEARCH.NEW,0)),'DICTIONARY-5'!$A$2)</f>
        <v>41,-</v>
      </c>
      <c r="F47" s="339" t="str">
        <f>IFERROR(IF(OR(D47='DICTIONARY-5'!$A$2,D47='DICTIONARY-5'!$A$4,ISBLANK(D47)),VLOOKUP(C47,LIST!$A$6:$M$3250,CURR_2.SEARCH.OLD,0),VLOOKUP(D47,LIST!$B$6:$M$3250,CURR_2.SEARCH.NEW,0)),'DICTIONARY-5'!$A$2)</f>
        <v/>
      </c>
      <c r="G47" s="231"/>
      <c r="H47" s="231"/>
      <c r="I47" s="231"/>
    </row>
    <row r="48" spans="1:9" x14ac:dyDescent="0.25">
      <c r="B48" s="247"/>
      <c r="G48" s="231"/>
      <c r="H48" s="231"/>
      <c r="I48" s="231"/>
    </row>
    <row r="49" spans="1:9" x14ac:dyDescent="0.25">
      <c r="A49" s="246" t="str">
        <f>"1) "&amp;'DICTIONARY-5'!$A$85&amp;" - "&amp;'DICTIONARY-5'!$A$88</f>
        <v>1) Głębokość zabudowy - mierzona od górnej krawędzi rury do wierzchu terenu</v>
      </c>
      <c r="C49" s="231"/>
      <c r="D49" s="231"/>
      <c r="E49" s="231"/>
      <c r="F49" s="231"/>
      <c r="G49" s="231"/>
      <c r="H49" s="231"/>
      <c r="I49" s="231"/>
    </row>
    <row r="53" spans="1:9" ht="16.5" thickBot="1" x14ac:dyDescent="0.3">
      <c r="A53" s="712" t="str">
        <f>CONCATENATE('DICTIONARY-3'!$A$133," ",'DICTIONARY-3'!$A$219," / ",'DICTIONARY-3'!$A$337)</f>
        <v>LADA-C Obudowa ziemna / Dla mostków nawiertowych z zaworem kulowym</v>
      </c>
      <c r="B53" s="712"/>
      <c r="C53" s="712"/>
      <c r="D53" s="712"/>
      <c r="E53" s="712"/>
      <c r="F53" s="712"/>
      <c r="G53" s="231"/>
      <c r="H53" s="231"/>
      <c r="I53" s="231"/>
    </row>
    <row r="54" spans="1:9" x14ac:dyDescent="0.25">
      <c r="A54" s="235" t="str">
        <f>CONCATENATE('DICTIONARY-5'!$A$169," ",LOWER('DICTIONARY-3'!$A$219))</f>
        <v>Sztywna obudowa ziemna</v>
      </c>
      <c r="C54" s="235"/>
      <c r="D54" s="235"/>
      <c r="E54" s="235"/>
      <c r="F54" s="235"/>
      <c r="G54" s="231"/>
      <c r="H54" s="231"/>
      <c r="I54" s="231"/>
    </row>
    <row r="55" spans="1:9" x14ac:dyDescent="0.25">
      <c r="A55" s="235" t="str">
        <f>CONCATENATE('DICTIONARY-1'!$A$10,": ",SETTINGS!$C$70)</f>
        <v>Grupa rabatowa: LADA</v>
      </c>
      <c r="C55" s="235"/>
      <c r="D55" s="235"/>
      <c r="E55" s="235"/>
      <c r="F55" s="235"/>
      <c r="G55" s="231"/>
      <c r="H55" s="231"/>
      <c r="I55" s="231"/>
    </row>
    <row r="56" spans="1:9" x14ac:dyDescent="0.25">
      <c r="B56" s="231"/>
      <c r="C56" s="231"/>
      <c r="D56" s="231"/>
      <c r="E56" s="231"/>
      <c r="F56" s="231"/>
      <c r="G56" s="231"/>
      <c r="H56" s="231"/>
      <c r="I56" s="231"/>
    </row>
    <row r="57" spans="1:9" x14ac:dyDescent="0.25">
      <c r="A57" s="237"/>
      <c r="B57" s="237" t="str">
        <f>'DICTIONARY-2'!$A$7&amp;" 1)"</f>
        <v>Rd 1)</v>
      </c>
      <c r="C57" s="1036" t="str">
        <f>'DICTIONARY-3'!$A$133</f>
        <v>LADA-C</v>
      </c>
      <c r="D57" s="1036"/>
      <c r="E57" s="1036"/>
      <c r="F57" s="1036"/>
      <c r="G57" s="231"/>
      <c r="H57" s="231"/>
      <c r="I57" s="231"/>
    </row>
    <row r="58" spans="1:9" x14ac:dyDescent="0.25">
      <c r="A58" s="244"/>
      <c r="B58" s="244"/>
      <c r="C58" s="1035" t="str">
        <f>'DICTIONARY-5'!$A$173&amp;": 12 mm"</f>
        <v>górna końcówka: 12 mm</v>
      </c>
      <c r="D58" s="1035"/>
      <c r="E58" s="1035"/>
      <c r="F58" s="1035"/>
      <c r="G58" s="231"/>
      <c r="H58" s="231"/>
      <c r="I58" s="231"/>
    </row>
    <row r="59" spans="1:9" x14ac:dyDescent="0.25">
      <c r="A59" s="238"/>
      <c r="B59" s="238" t="str">
        <f>'DICTIONARY-2'!$A$19</f>
        <v>[m]</v>
      </c>
      <c r="C59" s="239" t="str">
        <f>'DICTIONARY-2'!$A$28</f>
        <v>stary nr zamówienia</v>
      </c>
      <c r="D59" s="239" t="str">
        <f>'DICTIONARY-2'!$A$29</f>
        <v>nowy nr zamówienia</v>
      </c>
      <c r="E59" s="240" t="str">
        <f>CURRENCY.CODE_1</f>
        <v>EUR</v>
      </c>
      <c r="F59" s="240" t="str">
        <f>CURRENCY.CODE_2</f>
        <v>---</v>
      </c>
      <c r="G59" s="231"/>
      <c r="H59" s="231"/>
      <c r="I59" s="231"/>
    </row>
    <row r="60" spans="1:9" x14ac:dyDescent="0.25">
      <c r="A60" s="220"/>
      <c r="B60" s="242">
        <v>1</v>
      </c>
      <c r="C60" s="241" t="s">
        <v>2245</v>
      </c>
      <c r="D60" s="311" t="s">
        <v>4838</v>
      </c>
      <c r="E60" s="339" t="str">
        <f>IFERROR(IF(OR(D60='DICTIONARY-5'!$A$2,D60='DICTIONARY-5'!$A$4,ISBLANK(D60)),VLOOKUP(C60,LIST!$A$6:$L$3250,CURR_1.SEARCH.OLD,0),VLOOKUP(D60,LIST!$B$6:$L$3250,CURR_1.SEARCH.NEW,0)),'DICTIONARY-5'!$A$2)</f>
        <v>20,-</v>
      </c>
      <c r="F60" s="339" t="str">
        <f>IFERROR(IF(OR(D60='DICTIONARY-5'!$A$2,D60='DICTIONARY-5'!$A$4,ISBLANK(D60)),VLOOKUP(C60,LIST!$A$6:$M$3250,CURR_2.SEARCH.OLD,0),VLOOKUP(D60,LIST!$B$6:$M$3250,CURR_2.SEARCH.NEW,0)),'DICTIONARY-5'!$A$2)</f>
        <v/>
      </c>
      <c r="G60" s="231"/>
      <c r="H60" s="231"/>
      <c r="I60" s="231"/>
    </row>
    <row r="61" spans="1:9" x14ac:dyDescent="0.25">
      <c r="A61" s="220"/>
      <c r="B61" s="242">
        <v>1.25</v>
      </c>
      <c r="C61" s="241" t="s">
        <v>2246</v>
      </c>
      <c r="D61" s="311" t="s">
        <v>4839</v>
      </c>
      <c r="E61" s="339" t="str">
        <f>IFERROR(IF(OR(D61='DICTIONARY-5'!$A$2,D61='DICTIONARY-5'!$A$4,ISBLANK(D61)),VLOOKUP(C61,LIST!$A$6:$L$3250,CURR_1.SEARCH.OLD,0),VLOOKUP(D61,LIST!$B$6:$L$3250,CURR_1.SEARCH.NEW,0)),'DICTIONARY-5'!$A$2)</f>
        <v>23,-</v>
      </c>
      <c r="F61" s="339" t="str">
        <f>IFERROR(IF(OR(D61='DICTIONARY-5'!$A$2,D61='DICTIONARY-5'!$A$4,ISBLANK(D61)),VLOOKUP(C61,LIST!$A$6:$M$3250,CURR_2.SEARCH.OLD,0),VLOOKUP(D61,LIST!$B$6:$M$3250,CURR_2.SEARCH.NEW,0)),'DICTIONARY-5'!$A$2)</f>
        <v/>
      </c>
      <c r="G61" s="231"/>
      <c r="H61" s="231"/>
      <c r="I61" s="231"/>
    </row>
    <row r="62" spans="1:9" x14ac:dyDescent="0.25">
      <c r="A62" s="220"/>
      <c r="B62" s="242">
        <v>1.5</v>
      </c>
      <c r="C62" s="241" t="s">
        <v>2247</v>
      </c>
      <c r="D62" s="311" t="s">
        <v>4840</v>
      </c>
      <c r="E62" s="339" t="str">
        <f>IFERROR(IF(OR(D62='DICTIONARY-5'!$A$2,D62='DICTIONARY-5'!$A$4,ISBLANK(D62)),VLOOKUP(C62,LIST!$A$6:$L$3250,CURR_1.SEARCH.OLD,0),VLOOKUP(D62,LIST!$B$6:$L$3250,CURR_1.SEARCH.NEW,0)),'DICTIONARY-5'!$A$2)</f>
        <v>23,-</v>
      </c>
      <c r="F62" s="339" t="str">
        <f>IFERROR(IF(OR(D62='DICTIONARY-5'!$A$2,D62='DICTIONARY-5'!$A$4,ISBLANK(D62)),VLOOKUP(C62,LIST!$A$6:$M$3250,CURR_2.SEARCH.OLD,0),VLOOKUP(D62,LIST!$B$6:$M$3250,CURR_2.SEARCH.NEW,0)),'DICTIONARY-5'!$A$2)</f>
        <v/>
      </c>
      <c r="G62" s="231"/>
      <c r="H62" s="231"/>
      <c r="I62" s="231"/>
    </row>
    <row r="63" spans="1:9" x14ac:dyDescent="0.25">
      <c r="A63" s="220"/>
      <c r="B63" s="242">
        <v>2</v>
      </c>
      <c r="C63" s="241" t="s">
        <v>2248</v>
      </c>
      <c r="D63" s="311" t="s">
        <v>4841</v>
      </c>
      <c r="E63" s="339" t="str">
        <f>IFERROR(IF(OR(D63='DICTIONARY-5'!$A$2,D63='DICTIONARY-5'!$A$4,ISBLANK(D63)),VLOOKUP(C63,LIST!$A$6:$L$3250,CURR_1.SEARCH.OLD,0),VLOOKUP(D63,LIST!$B$6:$L$3250,CURR_1.SEARCH.NEW,0)),'DICTIONARY-5'!$A$2)</f>
        <v>35,-</v>
      </c>
      <c r="F63" s="339" t="str">
        <f>IFERROR(IF(OR(D63='DICTIONARY-5'!$A$2,D63='DICTIONARY-5'!$A$4,ISBLANK(D63)),VLOOKUP(C63,LIST!$A$6:$M$3250,CURR_2.SEARCH.OLD,0),VLOOKUP(D63,LIST!$B$6:$M$3250,CURR_2.SEARCH.NEW,0)),'DICTIONARY-5'!$A$2)</f>
        <v/>
      </c>
      <c r="G63" s="231"/>
      <c r="H63" s="231"/>
      <c r="I63" s="231"/>
    </row>
    <row r="64" spans="1:9" x14ac:dyDescent="0.25">
      <c r="B64" s="231"/>
      <c r="C64" s="231"/>
      <c r="D64" s="231"/>
      <c r="E64" s="231"/>
      <c r="F64" s="231"/>
      <c r="G64" s="231"/>
      <c r="H64" s="231"/>
      <c r="I64" s="231"/>
    </row>
    <row r="65" spans="1:9" x14ac:dyDescent="0.25">
      <c r="A65" s="246" t="str">
        <f>"1) "&amp;'DICTIONARY-5'!$A$85&amp;" - "&amp;'DICTIONARY-5'!$A$88</f>
        <v>1) Głębokość zabudowy - mierzona od górnej krawędzi rury do wierzchu terenu</v>
      </c>
      <c r="C65" s="231"/>
      <c r="D65" s="231"/>
      <c r="E65" s="231"/>
      <c r="F65" s="231"/>
      <c r="G65" s="231"/>
      <c r="H65" s="231"/>
      <c r="I65" s="231"/>
    </row>
  </sheetData>
  <sheetProtection algorithmName="SHA-512" hashValue="qnK9g7wOGvyOOsQK/w2KP5gaaM/qX2/87bQ3g2Zu9EQIOuwvSbm4BXLYrWoVhBxgKcb8FG7amWs8qivNsKkEng==" saltValue="091q1eWUrsevaOA3AngMzw==" spinCount="100000" sheet="1" objects="1" scenarios="1" autoFilter="0"/>
  <mergeCells count="13">
    <mergeCell ref="B4:E4"/>
    <mergeCell ref="C10:F10"/>
    <mergeCell ref="H10:K10"/>
    <mergeCell ref="C21:F21"/>
    <mergeCell ref="H21:K21"/>
    <mergeCell ref="C58:F58"/>
    <mergeCell ref="C42:F42"/>
    <mergeCell ref="C22:F22"/>
    <mergeCell ref="H22:K22"/>
    <mergeCell ref="H11:K11"/>
    <mergeCell ref="C11:F11"/>
    <mergeCell ref="C41:F41"/>
    <mergeCell ref="C57:F5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5">
    <tabColor rgb="FFFF0000"/>
  </sheetPr>
  <dimension ref="B1:BH19"/>
  <sheetViews>
    <sheetView tabSelected="1" workbookViewId="0"/>
  </sheetViews>
  <sheetFormatPr defaultColWidth="9.140625" defaultRowHeight="60" customHeight="1" x14ac:dyDescent="0.25"/>
  <cols>
    <col min="1" max="1" width="3" style="573" customWidth="1"/>
    <col min="2" max="2" width="11.42578125" style="573" customWidth="1"/>
    <col min="3" max="3" width="2.85546875" style="573" customWidth="1"/>
    <col min="4" max="4" width="38.28515625" style="573" customWidth="1"/>
    <col min="5" max="5" width="2.85546875" style="573" customWidth="1"/>
    <col min="6" max="6" width="2.7109375" style="573" customWidth="1"/>
    <col min="7" max="7" width="11.42578125" style="573" customWidth="1"/>
    <col min="8" max="8" width="2.85546875" style="573" customWidth="1"/>
    <col min="9" max="9" width="38.28515625" style="573" customWidth="1"/>
    <col min="10" max="10" width="2.85546875" style="573" customWidth="1"/>
    <col min="11" max="11" width="2.7109375" style="573" customWidth="1"/>
    <col min="12" max="12" width="11.42578125" style="573" customWidth="1"/>
    <col min="13" max="13" width="2.85546875" style="573" customWidth="1"/>
    <col min="14" max="14" width="38.28515625" style="573" customWidth="1"/>
    <col min="15" max="15" width="2.85546875" style="573" customWidth="1"/>
    <col min="16" max="16" width="2.7109375" style="573" customWidth="1"/>
    <col min="17" max="17" width="11.42578125" style="573" customWidth="1"/>
    <col min="18" max="18" width="2.85546875" style="573" customWidth="1"/>
    <col min="19" max="19" width="38.28515625" style="573" customWidth="1"/>
    <col min="20" max="20" width="2.85546875" style="573" customWidth="1"/>
    <col min="21" max="21" width="2.7109375" style="573" customWidth="1"/>
    <col min="22" max="22" width="11.42578125" style="573" customWidth="1"/>
    <col min="23" max="23" width="2.85546875" style="573" customWidth="1"/>
    <col min="24" max="24" width="38.28515625" style="573" customWidth="1"/>
    <col min="25" max="25" width="2.85546875" style="573" customWidth="1"/>
    <col min="26" max="26" width="2.7109375" style="573" customWidth="1"/>
    <col min="27" max="27" width="11.42578125" style="573" customWidth="1"/>
    <col min="28" max="28" width="2.85546875" style="573" customWidth="1"/>
    <col min="29" max="29" width="38.28515625" style="573" customWidth="1"/>
    <col min="30" max="30" width="2.85546875" style="573" customWidth="1"/>
    <col min="31" max="31" width="2.7109375" style="573" customWidth="1"/>
    <col min="32" max="32" width="11.42578125" style="573" customWidth="1"/>
    <col min="33" max="33" width="2.85546875" style="573" customWidth="1"/>
    <col min="34" max="34" width="38.28515625" style="573" customWidth="1"/>
    <col min="35" max="35" width="2.85546875" style="573" customWidth="1"/>
    <col min="36" max="36" width="2.7109375" style="573" customWidth="1"/>
    <col min="37" max="37" width="11.42578125" style="573" customWidth="1"/>
    <col min="38" max="38" width="2.85546875" style="573" customWidth="1"/>
    <col min="39" max="39" width="38.28515625" style="573" customWidth="1"/>
    <col min="40" max="40" width="2.85546875" style="573" customWidth="1"/>
    <col min="41" max="41" width="2.7109375" style="573" customWidth="1"/>
    <col min="42" max="42" width="11.42578125" style="573" customWidth="1"/>
    <col min="43" max="43" width="2.85546875" style="573" customWidth="1"/>
    <col min="44" max="44" width="38.28515625" style="573" customWidth="1"/>
    <col min="45" max="45" width="2.85546875" style="573" customWidth="1"/>
    <col min="46" max="46" width="2.7109375" style="573" customWidth="1"/>
    <col min="47" max="47" width="11.42578125" style="573" customWidth="1"/>
    <col min="48" max="48" width="2.85546875" style="573" customWidth="1"/>
    <col min="49" max="49" width="38.28515625" style="573" customWidth="1"/>
    <col min="50" max="50" width="2.85546875" style="573" customWidth="1"/>
    <col min="51" max="51" width="2.7109375" style="573" customWidth="1"/>
    <col min="52" max="52" width="11.42578125" style="573" customWidth="1"/>
    <col min="53" max="53" width="2.85546875" style="573" customWidth="1"/>
    <col min="54" max="54" width="38.28515625" style="573" customWidth="1"/>
    <col min="55" max="55" width="2.85546875" style="573" customWidth="1"/>
    <col min="56" max="56" width="2.7109375" style="573" customWidth="1"/>
    <col min="57" max="57" width="11.42578125" style="573" customWidth="1"/>
    <col min="58" max="58" width="2.85546875" style="573" customWidth="1"/>
    <col min="59" max="59" width="38.28515625" style="573" customWidth="1"/>
    <col min="60" max="60" width="2.85546875" style="573" customWidth="1"/>
    <col min="61" max="16384" width="9.140625" style="573"/>
  </cols>
  <sheetData>
    <row r="1" spans="2:60" s="610" customFormat="1" ht="45" customHeight="1" thickBot="1" x14ac:dyDescent="0.3"/>
    <row r="2" spans="2:60" s="611" customFormat="1" ht="4.5" customHeight="1" x14ac:dyDescent="0.25"/>
    <row r="3" spans="2:60" ht="15" customHeight="1" thickBot="1" x14ac:dyDescent="0.3"/>
    <row r="4" spans="2:60" s="612" customFormat="1" ht="30" customHeight="1" thickBot="1" x14ac:dyDescent="0.3">
      <c r="B4" s="903" t="str">
        <f>'DICTIONARY-1'!$A$23</f>
        <v>Zasuwy klinowe</v>
      </c>
      <c r="C4" s="904"/>
      <c r="D4" s="904"/>
      <c r="E4" s="905"/>
      <c r="G4" s="903" t="str">
        <f>'DICTIONARY-1'!$A$24</f>
        <v>Zasuwy nożowe i wrzecionowe</v>
      </c>
      <c r="H4" s="904"/>
      <c r="I4" s="904"/>
      <c r="J4" s="905"/>
      <c r="L4" s="903" t="str">
        <f>'DICTIONARY-1'!$A$25</f>
        <v>Hydranty</v>
      </c>
      <c r="M4" s="904"/>
      <c r="N4" s="904"/>
      <c r="O4" s="905"/>
      <c r="Q4" s="903" t="str">
        <f>'DICTIONARY-1'!$A$26</f>
        <v>Przyłącza domowe</v>
      </c>
      <c r="R4" s="904"/>
      <c r="S4" s="904"/>
      <c r="T4" s="905"/>
      <c r="V4" s="903" t="str">
        <f>'DICTIONARY-1'!$A$27</f>
        <v>Klapy zwrotne i przeciwcofkowe</v>
      </c>
      <c r="W4" s="904"/>
      <c r="X4" s="904"/>
      <c r="Y4" s="905"/>
      <c r="AA4" s="903" t="str">
        <f>IF(SET.LANGUAGE=1,'DICTIONARY-1'!$A$30,'DICTIONARY-1'!$A$28)</f>
        <v>Przepustnice</v>
      </c>
      <c r="AB4" s="904"/>
      <c r="AC4" s="904"/>
      <c r="AD4" s="905"/>
      <c r="AF4" s="903" t="str">
        <f>'DICTIONARY-1'!$A$31</f>
        <v>Zawory powietrzne</v>
      </c>
      <c r="AG4" s="904"/>
      <c r="AH4" s="904"/>
      <c r="AI4" s="905"/>
      <c r="AK4" s="903" t="str">
        <f>'DICTIONARY-1'!$A$32</f>
        <v>Zawory regulacyjne</v>
      </c>
      <c r="AL4" s="904"/>
      <c r="AM4" s="904"/>
      <c r="AN4" s="905"/>
      <c r="AP4" s="903" t="str">
        <f>'DICTIONARY-1'!$A$33</f>
        <v>Inna armatura</v>
      </c>
      <c r="AQ4" s="904"/>
      <c r="AR4" s="904"/>
      <c r="AS4" s="905"/>
      <c r="AU4" s="903" t="str">
        <f>'DICTIONARY-1'!$A$34</f>
        <v>Akcesoria</v>
      </c>
      <c r="AV4" s="904"/>
      <c r="AW4" s="904"/>
      <c r="AX4" s="905"/>
      <c r="AZ4" s="903" t="str">
        <f>'DICTIONARY-1'!$A$35</f>
        <v>BAIOplus System</v>
      </c>
      <c r="BA4" s="904"/>
      <c r="BB4" s="904"/>
      <c r="BC4" s="905"/>
      <c r="BE4" s="903" t="str">
        <f>'DICTIONARY-1'!$A$36</f>
        <v>Armatura gazowa</v>
      </c>
      <c r="BF4" s="904"/>
      <c r="BG4" s="904"/>
      <c r="BH4" s="905"/>
    </row>
    <row r="5" spans="2:60" ht="60" customHeight="1" x14ac:dyDescent="0.25">
      <c r="B5" s="885"/>
      <c r="C5" s="614"/>
      <c r="D5" s="615" t="str">
        <f>"» "&amp;'DICTIONARY-3'!$A$6</f>
        <v>» BETA 200</v>
      </c>
      <c r="E5" s="616"/>
      <c r="G5" s="617"/>
      <c r="H5" s="618"/>
      <c r="I5" s="619" t="str">
        <f>"» "&amp;'DICTIONARY-3'!$A$10&amp;" | "&amp;'DICTIONARY-3'!$A$261</f>
        <v>» MONO | Do zabudowy w ziemi</v>
      </c>
      <c r="J5" s="620"/>
      <c r="L5" s="613"/>
      <c r="M5" s="614"/>
      <c r="N5" s="621" t="str">
        <f>"» "&amp;'DICTIONARY-3'!$A$46</f>
        <v>» HYDRUS G</v>
      </c>
      <c r="O5" s="622"/>
      <c r="Q5" s="613"/>
      <c r="R5" s="614"/>
      <c r="S5" s="621" t="str">
        <f>"» "&amp;'DICTIONARY-3'!$A$54</f>
        <v>» Zestawy nawiertowe</v>
      </c>
      <c r="T5" s="622"/>
      <c r="V5" s="613"/>
      <c r="W5" s="614"/>
      <c r="X5" s="621" t="str">
        <f>"» "&amp;'DICTIONARY-3'!$A$97</f>
        <v>» SKR</v>
      </c>
      <c r="Y5" s="622"/>
      <c r="AA5" s="613"/>
      <c r="AB5" s="614"/>
      <c r="AC5" s="621" t="str">
        <f>"» "&amp;'DICTIONARY-3'!$A$145</f>
        <v>» EKN H</v>
      </c>
      <c r="AD5" s="616"/>
      <c r="AF5" s="613"/>
      <c r="AG5" s="614"/>
      <c r="AH5" s="621" t="str">
        <f>"» "&amp;'DICTIONARY-3'!$A$107</f>
        <v>» DUOJET</v>
      </c>
      <c r="AI5" s="622"/>
      <c r="AK5" s="613"/>
      <c r="AL5" s="614"/>
      <c r="AM5" s="621" t="str">
        <f>"» "&amp;'DICTIONARY-3'!$A$116</f>
        <v>» PICO H</v>
      </c>
      <c r="AN5" s="622"/>
      <c r="AP5" s="613"/>
      <c r="AQ5" s="614"/>
      <c r="AR5" s="621" t="str">
        <f>"» "&amp;'DICTIONARY-3'!$A$121</f>
        <v>» FORTE</v>
      </c>
      <c r="AS5" s="627"/>
      <c r="AU5" s="613"/>
      <c r="AV5" s="614"/>
      <c r="AW5" s="621" t="str">
        <f>"» "&amp;'DICTIONARY-3'!$A$130&amp;" | "&amp;'DICTIONARY-5'!$A$169</f>
        <v>» LADA | Sztywna</v>
      </c>
      <c r="AX5" s="653"/>
      <c r="AZ5" s="613"/>
      <c r="BA5" s="614"/>
      <c r="BB5" s="621" t="str">
        <f>"» "&amp;'DICTIONARY-3'!$A$184</f>
        <v>» BAIO BETA 200</v>
      </c>
      <c r="BC5" s="622"/>
      <c r="BE5" s="613"/>
      <c r="BF5" s="614"/>
      <c r="BG5" s="621" t="str">
        <f>"» "&amp;'DICTIONARY-3'!$A$2&amp;" | "&amp;UPPER('DICTIONARY-5'!$A$18)</f>
        <v>» EKOplus | GAZ</v>
      </c>
      <c r="BH5" s="623"/>
    </row>
    <row r="6" spans="2:60" ht="60" customHeight="1" x14ac:dyDescent="0.25">
      <c r="B6" s="624"/>
      <c r="C6" s="625"/>
      <c r="D6" s="626" t="str">
        <f>"» "&amp;'DICTIONARY-3'!$A$7</f>
        <v>» BETA 200 TS</v>
      </c>
      <c r="E6" s="627"/>
      <c r="G6" s="624"/>
      <c r="H6" s="625"/>
      <c r="I6" s="572" t="str">
        <f>"» "&amp;'DICTIONARY-3'!$A$10&amp;" | "&amp;'DICTIONARY-3'!$A$263</f>
        <v>» MONO | Z dźwignią szybkozamykającą</v>
      </c>
      <c r="J6" s="628"/>
      <c r="L6" s="624"/>
      <c r="M6" s="625"/>
      <c r="N6" s="572" t="str">
        <f>"» "&amp;'DICTIONARY-3'!$A$39</f>
        <v>» NOVA</v>
      </c>
      <c r="O6" s="627"/>
      <c r="Q6" s="617"/>
      <c r="R6" s="618"/>
      <c r="S6" s="619" t="str">
        <f>"» "&amp;'DICTIONARY-3'!$A$88</f>
        <v>» Obejma</v>
      </c>
      <c r="T6" s="629"/>
      <c r="V6" s="617"/>
      <c r="W6" s="618"/>
      <c r="X6" s="619" t="str">
        <f>"» "&amp;'DICTIONARY-3'!$A$98</f>
        <v>» RETO-STOP</v>
      </c>
      <c r="Y6" s="629"/>
      <c r="AA6" s="624"/>
      <c r="AB6" s="625"/>
      <c r="AC6" s="572" t="str">
        <f>"» "&amp;'DICTIONARY-3'!$A$146&amp;" | "&amp;'DICTIONARY-3'!$A$261</f>
        <v>» EKN M | Do zabudowy w ziemi</v>
      </c>
      <c r="AD6" s="627"/>
      <c r="AF6" s="624"/>
      <c r="AG6" s="625"/>
      <c r="AH6" s="572" t="str">
        <f>"» "&amp;'DICTIONARY-3'!$A$115</f>
        <v>» FLOWJET</v>
      </c>
      <c r="AI6" s="834"/>
      <c r="AK6" s="617"/>
      <c r="AL6" s="618"/>
      <c r="AM6" s="619" t="str">
        <f>"» "&amp;'DICTIONARY-3'!$A$117</f>
        <v>» PICO M</v>
      </c>
      <c r="AN6" s="629"/>
      <c r="AP6" s="617"/>
      <c r="AQ6" s="618"/>
      <c r="AR6" s="619" t="str">
        <f>"» "&amp;'DICTIONARY-3'!$A$121&amp;" | "&amp;UPPER(LEFT('DICTIONARY-5'!$A$24))&amp;LOWER(MID('DICTIONARY-5'!$A$24,2,LEN('DICTIONARY-5'!$A$24)))</f>
        <v>» FORTE | Powłoka syntetyczna</v>
      </c>
      <c r="AS6" s="639"/>
      <c r="AU6" s="624"/>
      <c r="AV6" s="625"/>
      <c r="AW6" s="572" t="str">
        <f>"» "&amp;'DICTIONARY-3'!$A$134&amp;" | "&amp;'DICTIONARY-5'!$A$170</f>
        <v>» PATENTplus | Teleskopowa</v>
      </c>
      <c r="AX6" s="638"/>
      <c r="AZ6" s="617"/>
      <c r="BA6" s="618"/>
      <c r="BB6" s="619" t="str">
        <f>"» "&amp;'DICTIONARY-3'!$A$182</f>
        <v>» BAIO HYDRUS G</v>
      </c>
      <c r="BC6" s="629"/>
      <c r="BE6" s="624"/>
      <c r="BF6" s="625"/>
      <c r="BG6" s="572" t="str">
        <f>"» "&amp;'DICTIONARY-3'!$A$4&amp;" | "&amp;UPPER('DICTIONARY-5'!$A$18)</f>
        <v>» EKOplus PE | GAZ</v>
      </c>
      <c r="BH6" s="631"/>
    </row>
    <row r="7" spans="2:60" ht="60" customHeight="1" thickBot="1" x14ac:dyDescent="0.3">
      <c r="B7" s="624"/>
      <c r="C7" s="625"/>
      <c r="D7" s="626" t="str">
        <f>"» "&amp;'DICTIONARY-3'!$A$2</f>
        <v>» EKOplus</v>
      </c>
      <c r="E7" s="627"/>
      <c r="G7" s="624"/>
      <c r="H7" s="625"/>
      <c r="I7" s="572" t="str">
        <f>"» "&amp;'DICTIONARY-3'!$A$11</f>
        <v>» ZETA</v>
      </c>
      <c r="J7" s="628"/>
      <c r="L7" s="624"/>
      <c r="M7" s="625"/>
      <c r="N7" s="572" t="str">
        <f>"» "&amp;'DICTIONARY-3'!$A$45</f>
        <v>» RIGUS</v>
      </c>
      <c r="O7" s="632"/>
      <c r="Q7" s="624"/>
      <c r="R7" s="625"/>
      <c r="S7" s="572" t="str">
        <f>"» "&amp;'DICTIONARY-3'!$A$56&amp;" | "&amp;PROPER('DICTIONARY-5'!$A$40)&amp;", "&amp;'DICTIONARY-5'!$A$48&amp;", "&amp;'DICTIONARY-5'!$A$47</f>
        <v>» HOD-M | Stal, żeliwo, beton</v>
      </c>
      <c r="T7" s="632"/>
      <c r="V7" s="624"/>
      <c r="W7" s="625"/>
      <c r="X7" s="572" t="str">
        <f>"» "&amp;'DICTIONARY-3'!$A$99</f>
        <v>» RETA</v>
      </c>
      <c r="Y7" s="633"/>
      <c r="Z7" s="886"/>
      <c r="AA7" s="803"/>
      <c r="AB7" s="625"/>
      <c r="AC7" s="572" t="str">
        <f>"» "&amp;'DICTIONARY-3'!$A$149&amp;" | "&amp;'DICTIONARY-4'!$A$18</f>
        <v>» CEREX 300-W | Wolny wałek</v>
      </c>
      <c r="AD7" s="633"/>
      <c r="AF7" s="624"/>
      <c r="AG7" s="625"/>
      <c r="AH7" s="572" t="str">
        <f>"» "&amp;'DICTIONARY-3'!$A$110</f>
        <v>» BEV</v>
      </c>
      <c r="AI7" s="632"/>
      <c r="AK7" s="634"/>
      <c r="AL7" s="635"/>
      <c r="AM7" s="636" t="str">
        <f>"» "&amp;'DICTIONARY-3'!$A$118</f>
        <v>» DURA</v>
      </c>
      <c r="AN7" s="637"/>
      <c r="AP7" s="624"/>
      <c r="AQ7" s="625"/>
      <c r="AR7" s="572" t="str">
        <f>"» "&amp;'DICTIONARY-3'!$A$122</f>
        <v>» SAK</v>
      </c>
      <c r="AS7" s="627"/>
      <c r="AU7" s="624"/>
      <c r="AV7" s="625"/>
      <c r="AW7" s="572" t="str">
        <f>"» "&amp;'DICTIONARY-3'!$A$137&amp;" | "&amp;'DICTIONARY-5'!$A$170</f>
        <v>» TELEMAX EG | Teleskopowa</v>
      </c>
      <c r="AX7" s="630"/>
      <c r="AZ7" s="624"/>
      <c r="BA7" s="625"/>
      <c r="BB7" s="572" t="str">
        <f>"» "&amp;'DICTIONARY-3'!$A$181</f>
        <v>» BAIO BEV</v>
      </c>
      <c r="BC7" s="632"/>
      <c r="BE7" s="624"/>
      <c r="BF7" s="625"/>
      <c r="BG7" s="572" t="str">
        <f>"» "&amp;'DICTIONARY-3'!$A$2&amp;" | "&amp;'DICTIONARY-3'!$A$256&amp;" | "&amp;UPPER('DICTIONARY-5'!$A$18)</f>
        <v>» EKOplus | Z wrzecionem wznoszącym się | GAZ</v>
      </c>
      <c r="BH7" s="631"/>
    </row>
    <row r="8" spans="2:60" ht="60" customHeight="1" x14ac:dyDescent="0.25">
      <c r="B8" s="624"/>
      <c r="C8" s="625"/>
      <c r="D8" s="626" t="str">
        <f>"» "&amp;'DICTIONARY-3'!$A$2&amp;" | "&amp;'DICTIONARY-3'!$A$350</f>
        <v>» EKOplus | Z napędem, przygotowana pod napęd</v>
      </c>
      <c r="E8" s="632"/>
      <c r="G8" s="624"/>
      <c r="H8" s="625"/>
      <c r="I8" s="572" t="str">
        <f>"» "&amp;'DICTIONARY-3'!$A$11&amp;" | "&amp;'DICTIONARY-3'!$A$350</f>
        <v>» ZETA | Z napędem, przygotowana pod napęd</v>
      </c>
      <c r="J8" s="628"/>
      <c r="L8" s="803"/>
      <c r="M8" s="625"/>
      <c r="N8" s="572" t="str">
        <f>"» "&amp;'DICTIONARY-3'!$A$49</f>
        <v>» Akcesoria dla hydrantów</v>
      </c>
      <c r="O8" s="632"/>
      <c r="Q8" s="624"/>
      <c r="R8" s="625"/>
      <c r="S8" s="572" t="str">
        <f>"» "&amp;'DICTIONARY-3'!$A$57&amp;" | "&amp;PROPER('DICTIONARY-5'!$A$50)</f>
        <v xml:space="preserve">» HOD-G | Żeliwo Sferoidalne </v>
      </c>
      <c r="T8" s="632"/>
      <c r="V8" s="624"/>
      <c r="W8" s="625"/>
      <c r="X8" s="572" t="str">
        <f>"» "&amp;'DICTIONARY-3'!$A$99&amp;" | "&amp;UPPER(LEFT('DICTIONARY-5'!$A$24))&amp;LOWER(MID('DICTIONARY-5'!$A$24,2,LEN('DICTIONARY-5'!$A$24)))</f>
        <v>» RETA | Powłoka syntetyczna</v>
      </c>
      <c r="Y8" s="639"/>
      <c r="Z8" s="886"/>
      <c r="AA8" s="803"/>
      <c r="AB8" s="625"/>
      <c r="AC8" s="572" t="str">
        <f>"» "&amp;'DICTIONARY-3'!$A$149&amp;" | "&amp;'DICTIONARY-4'!$A$19</f>
        <v>» CEREX 300-W | Dźwignia ręczna</v>
      </c>
      <c r="AD8" s="633"/>
      <c r="AF8" s="624"/>
      <c r="AG8" s="625"/>
      <c r="AH8" s="572" t="str">
        <f>"» "&amp;'DICTIONARY-3'!$A$112</f>
        <v>» HILL</v>
      </c>
      <c r="AI8" s="632"/>
      <c r="AP8" s="624"/>
      <c r="AQ8" s="625"/>
      <c r="AR8" s="572" t="str">
        <f>"» "&amp;'DICTIONARY-3'!$A$124</f>
        <v>» VARIplus-DJ</v>
      </c>
      <c r="AS8" s="633"/>
      <c r="AU8" s="624"/>
      <c r="AV8" s="625"/>
      <c r="AW8" s="572" t="str">
        <f>"» "&amp;'DICTIONARY-3'!$A$138&amp;" | "&amp;'DICTIONARY-5'!$A$170&amp;" "&amp;'DICTIONARY-5'!$A$7&amp;" "&amp;'DICTIONARY-3'!$A$144</f>
        <v>» VA-TELESKOP | Teleskopowa dla EKN</v>
      </c>
      <c r="AX8" s="630"/>
      <c r="AZ8" s="624"/>
      <c r="BA8" s="625"/>
      <c r="BB8" s="572" t="str">
        <f>"» "&amp;'DICTIONARY-3'!$A$153&amp;" | "&amp;'DICTIONARY-3'!$A$154</f>
        <v>» BAIO | BAIO Kształtki</v>
      </c>
      <c r="BC8" s="632"/>
      <c r="BE8" s="624"/>
      <c r="BF8" s="625"/>
      <c r="BG8" s="572" t="str">
        <f>"» "&amp;'DICTIONARY-3'!$A$146&amp;" | "&amp;UPPER('DICTIONARY-5'!$A$18)</f>
        <v>» EKN M | GAZ</v>
      </c>
      <c r="BH8" s="641"/>
    </row>
    <row r="9" spans="2:60" ht="60" customHeight="1" thickBot="1" x14ac:dyDescent="0.3">
      <c r="B9" s="624"/>
      <c r="C9" s="625"/>
      <c r="D9" s="626" t="str">
        <f>"» "&amp;'DICTIONARY-3'!$A$4</f>
        <v>» EKOplus PE</v>
      </c>
      <c r="E9" s="632"/>
      <c r="G9" s="624"/>
      <c r="H9" s="625"/>
      <c r="I9" s="572" t="str">
        <f>"» "&amp;'DICTIONARY-3'!$A$12</f>
        <v>» ZETAcontrol</v>
      </c>
      <c r="J9" s="628"/>
      <c r="L9" s="634"/>
      <c r="M9" s="635"/>
      <c r="N9" s="636" t="str">
        <f>"» "&amp;'DICTIONARY-3'!$A$140</f>
        <v>» Klucze</v>
      </c>
      <c r="O9" s="640"/>
      <c r="Q9" s="624"/>
      <c r="R9" s="625"/>
      <c r="S9" s="572" t="str">
        <f>"» "&amp;'DICTIONARY-3'!$A$58&amp;" | "&amp;'DICTIONARY-5'!$A$56&amp;", "&amp;'DICTIONARY-5'!$A$57</f>
        <v>» HOD-K | PVC, PE</v>
      </c>
      <c r="T9" s="632"/>
      <c r="V9" s="624"/>
      <c r="W9" s="625"/>
      <c r="X9" s="572" t="str">
        <f>"» "&amp;'DICTIONARY-3'!$A$100</f>
        <v>» LIMU-STOP</v>
      </c>
      <c r="Y9" s="628"/>
      <c r="Z9" s="886"/>
      <c r="AA9" s="803"/>
      <c r="AB9" s="625"/>
      <c r="AC9" s="572" t="str">
        <f>"» "&amp;'DICTIONARY-3'!$A$149&amp;" | "&amp;'DICTIONARY-4'!$A$23</f>
        <v>» CEREX 300-W | Kółko ręczne</v>
      </c>
      <c r="AD9" s="633"/>
      <c r="AE9" s="886"/>
      <c r="AF9" s="803"/>
      <c r="AG9" s="625"/>
      <c r="AH9" s="572" t="str">
        <f>"» "&amp;'DICTIONARY-3'!$A$109</f>
        <v>» TWINJET</v>
      </c>
      <c r="AI9" s="632"/>
      <c r="AP9" s="624"/>
      <c r="AQ9" s="625"/>
      <c r="AR9" s="572" t="str">
        <f>"» "&amp;'DICTIONARY-3'!$A$127</f>
        <v>» MONTY</v>
      </c>
      <c r="AS9" s="627"/>
      <c r="AU9" s="624"/>
      <c r="AV9" s="625"/>
      <c r="AW9" s="572" t="str">
        <f>"» "&amp;'DICTIONARY-3'!$A$129</f>
        <v>» RAMBO</v>
      </c>
      <c r="AX9" s="632"/>
      <c r="AZ9" s="624"/>
      <c r="BA9" s="625"/>
      <c r="BB9" s="572" t="str">
        <f>"» "&amp;'DICTIONARY-3'!$A$153&amp;" | "&amp;'DICTIONARY-3'!$A$227</f>
        <v>» BAIO | Uszczelki</v>
      </c>
      <c r="BC9" s="632"/>
      <c r="BE9" s="624"/>
      <c r="BF9" s="625"/>
      <c r="BG9" s="572" t="str">
        <f>"» "&amp;'DICTIONARY-3'!$A$148&amp;" | "&amp;'DICTIONARY-4'!$A$19&amp;" | "&amp;UPPER('DICTIONARY-5'!$A$18)</f>
        <v>» CEREX 300-L | Dźwignia ręczna | GAZ</v>
      </c>
      <c r="BH9" s="631"/>
    </row>
    <row r="10" spans="2:60" ht="60" customHeight="1" thickBot="1" x14ac:dyDescent="0.3">
      <c r="B10" s="624"/>
      <c r="C10" s="625"/>
      <c r="D10" s="626" t="str">
        <f>"» "&amp;'DICTIONARY-3'!$A$2&amp;" | "&amp;'DICTIONARY-3'!$A$253</f>
        <v>» EKOplus | Z końcówkami mufowymi BAIO</v>
      </c>
      <c r="E10" s="632"/>
      <c r="G10" s="624"/>
      <c r="H10" s="625"/>
      <c r="I10" s="572" t="str">
        <f>"» "&amp;'DICTIONARY-3'!$A$15</f>
        <v>» ERIplus</v>
      </c>
      <c r="J10" s="642"/>
      <c r="Q10" s="624"/>
      <c r="R10" s="625"/>
      <c r="S10" s="572" t="str">
        <f>"» "&amp;'DICTIONARY-3'!$A$60&amp;" | "&amp;PROPER('DICTIONARY-5'!$A$40)&amp;", "&amp;'DICTIONARY-5'!$A$48&amp;", "&amp;'DICTIONARY-5'!$A$47</f>
        <v>» TERRA-M | Stal, żeliwo, beton</v>
      </c>
      <c r="T10" s="632"/>
      <c r="V10" s="624"/>
      <c r="W10" s="625"/>
      <c r="X10" s="572" t="str">
        <f>"» "&amp;'DICTIONARY-3'!$A$101</f>
        <v>» KRV</v>
      </c>
      <c r="Y10" s="632"/>
      <c r="Z10" s="886"/>
      <c r="AA10" s="803"/>
      <c r="AB10" s="625"/>
      <c r="AC10" s="572" t="str">
        <f>"» "&amp;'DICTIONARY-3'!$A$149&amp;" | "&amp;'DICTIONARY-3'!$A$150</f>
        <v>» CEREX 300-W | Pływak</v>
      </c>
      <c r="AD10" s="632"/>
      <c r="AE10" s="886"/>
      <c r="AF10" s="887"/>
      <c r="AG10" s="635"/>
      <c r="AH10" s="636" t="str">
        <f>"» "&amp;'DICTIONARY-3'!$A$111</f>
        <v>» BEV-E</v>
      </c>
      <c r="AI10" s="637"/>
      <c r="AP10" s="624"/>
      <c r="AQ10" s="625"/>
      <c r="AR10" s="572" t="str">
        <f>"» "&amp;'DICTIONARY-3'!$A$127&amp;" | "&amp;UPPER(LEFT('DICTIONARY-5'!$A$24))&amp;LOWER(MID('DICTIONARY-5'!$A$24,2,LEN('DICTIONARY-5'!$A$24)))</f>
        <v>» MONTY | Powłoka syntetyczna</v>
      </c>
      <c r="AS10" s="639"/>
      <c r="AU10" s="624"/>
      <c r="AV10" s="625"/>
      <c r="AW10" s="572" t="str">
        <f>"» "&amp;'DICTIONARY-3'!$A$140</f>
        <v>» Klucze</v>
      </c>
      <c r="AX10" s="630"/>
      <c r="AZ10" s="624"/>
      <c r="BA10" s="625"/>
      <c r="BB10" s="572" t="str">
        <f>"» "&amp;'DICTIONARY-3'!$A$180</f>
        <v>» BAIOstop</v>
      </c>
      <c r="BC10" s="632"/>
      <c r="BE10" s="624"/>
      <c r="BF10" s="625"/>
      <c r="BG10" s="572" t="str">
        <f>"» "&amp;'DICTIONARY-3'!$A$148&amp;" | "&amp;'DICTIONARY-4'!$A$23&amp;" | "&amp;UPPER('DICTIONARY-5'!$A$18)</f>
        <v>» CEREX 300-L | Kółko ręczne | GAZ</v>
      </c>
      <c r="BH10" s="631"/>
    </row>
    <row r="11" spans="2:60" ht="60" customHeight="1" x14ac:dyDescent="0.25">
      <c r="B11" s="624"/>
      <c r="C11" s="625"/>
      <c r="D11" s="626" t="str">
        <f>"» "&amp;'DICTIONARY-3'!$A$2&amp;" | "&amp;'DICTIONARY-3'!$A$254</f>
        <v>» EKOplus | Z końcówkami bosymi</v>
      </c>
      <c r="E11" s="632"/>
      <c r="G11" s="624"/>
      <c r="H11" s="625"/>
      <c r="I11" s="572" t="str">
        <f>"» "&amp;'DICTIONARY-3'!$A$13</f>
        <v>» EROXplus</v>
      </c>
      <c r="J11" s="633"/>
      <c r="Q11" s="624"/>
      <c r="R11" s="625"/>
      <c r="S11" s="572" t="str">
        <f>"» "&amp;'DICTIONARY-3'!$A$61&amp;" | "&amp;'DICTIONARY-5'!$A$56&amp;", "&amp;'DICTIONARY-5'!$A$57</f>
        <v>» TERRA-K | PVC, PE</v>
      </c>
      <c r="T11" s="632"/>
      <c r="V11" s="624"/>
      <c r="W11" s="625"/>
      <c r="X11" s="572" t="str">
        <f>"» "&amp;'DICTIONARY-3'!$A$102</f>
        <v>» TOP-STOP</v>
      </c>
      <c r="Y11" s="632"/>
      <c r="Z11" s="886"/>
      <c r="AA11" s="803"/>
      <c r="AB11" s="625"/>
      <c r="AC11" s="572" t="str">
        <f>"» "&amp;'DICTIONARY-3'!$A$148&amp;" | "&amp;'DICTIONARY-4'!$A$18</f>
        <v>» CEREX 300-L | Wolny wałek</v>
      </c>
      <c r="AD11" s="633"/>
      <c r="AP11" s="624"/>
      <c r="AQ11" s="625"/>
      <c r="AR11" s="572" t="str">
        <f>"» "&amp;'DICTIONARY-3'!$A$128</f>
        <v>» VAF</v>
      </c>
      <c r="AS11" s="633"/>
      <c r="AU11" s="624"/>
      <c r="AV11" s="625"/>
      <c r="AW11" s="572" t="str">
        <f>"» "&amp;'DICTIONARY-4'!$A$23</f>
        <v>» Kółko ręczne</v>
      </c>
      <c r="AX11" s="630"/>
      <c r="AZ11" s="624"/>
      <c r="BA11" s="625"/>
      <c r="BB11" s="572" t="str">
        <f>"» "&amp;'DICTIONARY-3'!$A$153&amp;" "&amp;'DICTIONARY-3'!$A$226</f>
        <v>» BAIO Tuleja wsporcza</v>
      </c>
      <c r="BC11" s="632"/>
      <c r="BE11" s="624"/>
      <c r="BF11" s="625"/>
      <c r="BG11" s="572" t="str">
        <f>"» "&amp;'DICTIONARY-3'!$A$149&amp;" | "&amp;'DICTIONARY-4'!$A$19&amp;" | "&amp;UPPER('DICTIONARY-5'!$A$18)</f>
        <v>» CEREX 300-W | Dźwignia ręczna | GAZ</v>
      </c>
      <c r="BH11" s="631"/>
    </row>
    <row r="12" spans="2:60" ht="60" customHeight="1" thickBot="1" x14ac:dyDescent="0.3">
      <c r="B12" s="624"/>
      <c r="C12" s="625"/>
      <c r="D12" s="626" t="str">
        <f>"» "&amp;'DICTIONARY-3'!$A$2&amp;" | "&amp;'DICTIONARY-3'!$A$256</f>
        <v>» EKOplus | Z wrzecionem wznoszącym się</v>
      </c>
      <c r="E12" s="632"/>
      <c r="G12" s="624"/>
      <c r="H12" s="625"/>
      <c r="I12" s="572" t="str">
        <f>"» "&amp;'DICTIONARY-3'!$A$14</f>
        <v>» EROXplus-O</v>
      </c>
      <c r="J12" s="633"/>
      <c r="N12" s="644"/>
      <c r="Q12" s="624"/>
      <c r="R12" s="625"/>
      <c r="S12" s="572" t="str">
        <f>"» "&amp;'DICTIONARY-3'!$A$289</f>
        <v>» Armatura</v>
      </c>
      <c r="T12" s="632"/>
      <c r="V12" s="624"/>
      <c r="W12" s="625"/>
      <c r="X12" s="572" t="str">
        <f>"» "&amp;'DICTIONARY-3'!$A$103</f>
        <v>» ZETKA</v>
      </c>
      <c r="Y12" s="632"/>
      <c r="AA12" s="624"/>
      <c r="AB12" s="625"/>
      <c r="AC12" s="572" t="str">
        <f>"» "&amp;'DICTIONARY-3'!$A$148&amp;" | "&amp;'DICTIONARY-4'!$A$19</f>
        <v>» CEREX 300-L | Dźwignia ręczna</v>
      </c>
      <c r="AD12" s="633"/>
      <c r="AP12" s="624"/>
      <c r="AQ12" s="625"/>
      <c r="AR12" s="572" t="str">
        <f>"» "&amp;'DICTIONARY-3'!$A$125</f>
        <v>» VARIplus-RFA</v>
      </c>
      <c r="AS12" s="633"/>
      <c r="AU12" s="634"/>
      <c r="AV12" s="635"/>
      <c r="AW12" s="636" t="str">
        <f>"» "&amp;'DICTIONARY-3'!$A$152</f>
        <v>» ROTOP MOBITORQ</v>
      </c>
      <c r="AX12" s="640"/>
      <c r="AZ12" s="634"/>
      <c r="BA12" s="635"/>
      <c r="BB12" s="636" t="str">
        <f>"» "&amp;'DICTIONARY-3'!$A$177</f>
        <v>» BAIOanti-twist</v>
      </c>
      <c r="BC12" s="637"/>
      <c r="BE12" s="624"/>
      <c r="BF12" s="625"/>
      <c r="BG12" s="572" t="str">
        <f>"» "&amp;'DICTIONARY-3'!$A$149&amp;" | "&amp;'DICTIONARY-4'!$A$23&amp;" | "&amp;UPPER('DICTIONARY-5'!$A$18)</f>
        <v>» CEREX 300-W | Kółko ręczne | GAZ</v>
      </c>
      <c r="BH12" s="631"/>
    </row>
    <row r="13" spans="2:60" ht="60" customHeight="1" thickBot="1" x14ac:dyDescent="0.3">
      <c r="B13" s="624"/>
      <c r="C13" s="625"/>
      <c r="D13" s="626" t="str">
        <f>"» "&amp;'DICTIONARY-3'!$A$2&amp;" | "&amp;UPPER('DICTIONARY-5'!$A$14)</f>
        <v>» EKOplus | ŚCIEKI</v>
      </c>
      <c r="E13" s="628"/>
      <c r="G13" s="624"/>
      <c r="H13" s="625"/>
      <c r="I13" s="572" t="str">
        <f>"» "&amp;'DICTIONARY-3'!$A$16&amp;" "&amp;'DICTIONARY-3'!$A$17</f>
        <v>» REMO Zestawy</v>
      </c>
      <c r="J13" s="628"/>
      <c r="Q13" s="624"/>
      <c r="R13" s="625"/>
      <c r="S13" s="572" t="str">
        <f>"» "&amp;'DICTIONARY-1'!$A$37&amp;" | "&amp;PROPER('DICTIONARY-5'!$A$40)&amp;", "&amp;'DICTIONARY-5'!$A$48&amp;", "&amp;'DICTIONARY-5'!$A$47</f>
        <v>» LOCK System | Stal, żeliwo, beton</v>
      </c>
      <c r="T13" s="632"/>
      <c r="V13" s="624"/>
      <c r="W13" s="625"/>
      <c r="X13" s="572" t="str">
        <f>"» "&amp;'DICTIONARY-3'!$A$31&amp;" | "&amp;'DICTIONARY-3'!$A$351</f>
        <v>» HADE | Montaż na rurze</v>
      </c>
      <c r="Y13" s="632"/>
      <c r="AA13" s="624"/>
      <c r="AB13" s="625"/>
      <c r="AC13" s="572" t="str">
        <f>"» "&amp;'DICTIONARY-3'!$A$148&amp;" | "&amp;'DICTIONARY-4'!$A$23</f>
        <v>» CEREX 300-L | Kółko ręczne</v>
      </c>
      <c r="AD13" s="633"/>
      <c r="AP13" s="634"/>
      <c r="AQ13" s="635"/>
      <c r="AR13" s="636" t="str">
        <f>"» "&amp;'DICTIONARY-3'!$A$126</f>
        <v>» VARIplus-RC</v>
      </c>
      <c r="AS13" s="643"/>
      <c r="BE13" s="634"/>
      <c r="BF13" s="635"/>
      <c r="BG13" s="636" t="str">
        <f>"» "&amp;'DICTIONARY-3'!$A$129&amp;" | "&amp;UPPER('DICTIONARY-5'!$A$18)</f>
        <v>» RAMBO | GAZ</v>
      </c>
      <c r="BH13" s="648"/>
    </row>
    <row r="14" spans="2:60" ht="60" customHeight="1" thickBot="1" x14ac:dyDescent="0.3">
      <c r="B14" s="624"/>
      <c r="C14" s="625"/>
      <c r="D14" s="626" t="str">
        <f>"» "&amp;'DICTIONARY-3'!$A$2&amp;" | "&amp;UPPER('DICTIONARY-5'!$A$15)</f>
        <v>» EKOplus | WODA MORSKA</v>
      </c>
      <c r="E14" s="646"/>
      <c r="G14" s="634"/>
      <c r="H14" s="635"/>
      <c r="I14" s="636" t="str">
        <f>"» "&amp;'DICTIONARY-3'!$A$38</f>
        <v>» HADE PRA-G</v>
      </c>
      <c r="J14" s="647"/>
      <c r="Q14" s="624"/>
      <c r="R14" s="625"/>
      <c r="S14" s="572" t="str">
        <f>"» "&amp;'DICTIONARY-1'!$A$37&amp;" | "&amp;'DICTIONARY-5'!$A$56&amp;", "&amp;'DICTIONARY-5'!$A$57</f>
        <v>» LOCK System | PVC, PE</v>
      </c>
      <c r="T14" s="627"/>
      <c r="V14" s="624"/>
      <c r="W14" s="625"/>
      <c r="X14" s="572" t="str">
        <f>"» "&amp;'DICTIONARY-3'!$A$31&amp;" | "&amp;'DICTIONARY-3'!$A$266</f>
        <v>» HADE | Montaż na ścianie</v>
      </c>
      <c r="Y14" s="627"/>
      <c r="AA14" s="888"/>
      <c r="AB14" s="889"/>
      <c r="AC14" s="890" t="str">
        <f>"» "&amp;'DICTIONARY-3'!$A$105</f>
        <v>» Przeciwkołnierz</v>
      </c>
      <c r="AD14" s="891"/>
    </row>
    <row r="15" spans="2:60" ht="60" customHeight="1" thickBot="1" x14ac:dyDescent="0.3">
      <c r="B15" s="624"/>
      <c r="C15" s="625"/>
      <c r="D15" s="649" t="str">
        <f>"» "&amp;'DICTIONARY-3'!$A$2&amp;" | "&amp;UPPER('DICTIONARY-5'!$A$16)</f>
        <v>» EKOplus | WODA GAŚNICZA</v>
      </c>
      <c r="E15" s="650"/>
      <c r="Q15" s="624"/>
      <c r="R15" s="625"/>
      <c r="S15" s="572" t="str">
        <f>"» "&amp;'DICTIONARY-1'!$A$37&amp;" | "&amp;'DICTIONARY-3'!$A$218</f>
        <v>» LOCK System | Kształtki</v>
      </c>
      <c r="T15" s="632"/>
      <c r="V15" s="634"/>
      <c r="W15" s="635"/>
      <c r="X15" s="636" t="str">
        <f>"» "&amp;'DICTIONARY-3'!$A$31&amp;" | "&amp;'DICTIONARY-3'!$A$320</f>
        <v>» HADE | Montaż na kołnierz</v>
      </c>
      <c r="Y15" s="637"/>
      <c r="AA15" s="892"/>
      <c r="AB15" s="892"/>
      <c r="AC15" s="892"/>
      <c r="AD15" s="892"/>
    </row>
    <row r="16" spans="2:60" ht="60" customHeight="1" thickBot="1" x14ac:dyDescent="0.3">
      <c r="B16" s="624"/>
      <c r="C16" s="625"/>
      <c r="D16" s="649" t="str">
        <f>"» "&amp;'DICTIONARY-3'!$A$8</f>
        <v>» IKOplus</v>
      </c>
      <c r="E16" s="639"/>
      <c r="Q16" s="634"/>
      <c r="R16" s="635"/>
      <c r="S16" s="636" t="str">
        <f>"» "&amp;'DICTIONARY-1'!$A$37&amp;" | "&amp;'DICTIONARY-3'!$A$289</f>
        <v>» LOCK System | Armatura</v>
      </c>
      <c r="T16" s="637"/>
    </row>
    <row r="17" spans="2:5" ht="60" customHeight="1" x14ac:dyDescent="0.25">
      <c r="B17" s="624"/>
      <c r="C17" s="625"/>
      <c r="D17" s="649" t="str">
        <f>"» "&amp;'DICTIONARY-3'!$A$8&amp;" | "&amp;UPPER(LEFT('DICTIONARY-5'!$A$23))&amp;LOWER(MID('DICTIONARY-5'!$A$23,2,LEN('DICTIONARY-5'!$A$23)))</f>
        <v>» IKOplus | Powłoka epoksydowa</v>
      </c>
      <c r="E17" s="639"/>
    </row>
    <row r="18" spans="2:5" ht="60" customHeight="1" x14ac:dyDescent="0.25">
      <c r="B18" s="624"/>
      <c r="C18" s="625"/>
      <c r="D18" s="649" t="str">
        <f>"» "&amp;'DICTIONARY-3'!$A$8&amp;" | "&amp;'DICTIONARY-3'!$A$256</f>
        <v>» IKOplus | Z wrzecionem wznoszącym się</v>
      </c>
      <c r="E18" s="639"/>
    </row>
    <row r="19" spans="2:5" ht="60" customHeight="1" thickBot="1" x14ac:dyDescent="0.3">
      <c r="B19" s="634"/>
      <c r="C19" s="635"/>
      <c r="D19" s="651" t="str">
        <f>"» "&amp;'DICTIONARY-3'!$A$9&amp;" | "&amp;UPPER('DICTIONARY-5'!$A$21)</f>
        <v>» IKOplus TRAFO | OLEJ</v>
      </c>
      <c r="E19" s="645"/>
    </row>
  </sheetData>
  <sheetProtection algorithmName="SHA-512" hashValue="5M1dvuEn/deUv+X6Oucd6kd0adjNZMNjDqiaPQhNQ9JxJToHiBTVrv1lkd96MbfKCjmBbM2GXY0khiPe8xIlRw==" saltValue="ItCDy3+aSUn1zpA3sFQpaw==" spinCount="100000" sheet="1" objects="1" scenarios="1" autoFilter="0"/>
  <mergeCells count="12">
    <mergeCell ref="AU4:AX4"/>
    <mergeCell ref="AZ4:BC4"/>
    <mergeCell ref="B4:E4"/>
    <mergeCell ref="BE4:BH4"/>
    <mergeCell ref="AA4:AD4"/>
    <mergeCell ref="AF4:AI4"/>
    <mergeCell ref="AK4:AN4"/>
    <mergeCell ref="AP4:AS4"/>
    <mergeCell ref="G4:J4"/>
    <mergeCell ref="L4:O4"/>
    <mergeCell ref="Q4:T4"/>
    <mergeCell ref="V4:Y4"/>
  </mergeCells>
  <hyperlinks>
    <hyperlink ref="BG5" location="_12_EKOplus" display="_12_EKOplus" xr:uid="{00000000-0004-0000-0800-000000000000}"/>
    <hyperlink ref="BG6" location="_12_EKOplus_PE" display="_12_EKOplus_PE" xr:uid="{00000000-0004-0000-0800-000001000000}"/>
    <hyperlink ref="BG7" location="_12_EKOplus___With_rising_stem" display="_12_EKOplus___With_rising_stem" xr:uid="{00000000-0004-0000-0800-000003000000}"/>
    <hyperlink ref="N5" location="_03_HYDRUS_G" display="_03_HYDRUS_G" xr:uid="{00000000-0004-0000-0800-000004000000}"/>
    <hyperlink ref="N6" location="_03_NOVA" display="_03_NOVA" xr:uid="{00000000-0004-0000-0800-000005000000}"/>
    <hyperlink ref="N7" location="_03_RIGUS" display="_03_RIGUS" xr:uid="{00000000-0004-0000-0800-000006000000}"/>
    <hyperlink ref="N8" location="_03_Hydrant_accessories" display="_03_Hydrant_accessories" xr:uid="{00000000-0004-0000-0800-000007000000}"/>
    <hyperlink ref="N9" location="_10_Operating_keys" display="_10_Operating_keys" xr:uid="{00000000-0004-0000-0800-000008000000}"/>
    <hyperlink ref="S5" location="_04_Drilling_sets" display="_04_Drilling_sets" xr:uid="{00000000-0004-0000-0800-000009000000}"/>
    <hyperlink ref="S6" location="_04_Clamp" display="_04_Clamp" xr:uid="{00000000-0004-0000-0800-00000A000000}"/>
    <hyperlink ref="S7" location="_04_HOD_M___Steel__cast_iron__concrete" display="_04_HOD_M___Steel__cast_iron__concrete" xr:uid="{00000000-0004-0000-0800-00000B000000}"/>
    <hyperlink ref="S8" location="_04_HOD_G___Ductile_Iron" display="_04_HOD_G___Ductile_Iron" xr:uid="{00000000-0004-0000-0800-00000C000000}"/>
    <hyperlink ref="S9" location="_04_HOD_K___PVC__PE" display="_04_HOD_K___PVC__PE" xr:uid="{00000000-0004-0000-0800-00000D000000}"/>
    <hyperlink ref="S10" location="_04_TERRA_M___Steel__cast_iron__concrete" display="_04_TERRA_M___Steel__cast_iron__concrete" xr:uid="{00000000-0004-0000-0800-00000E000000}"/>
    <hyperlink ref="S11" location="_04_TERRA_K___PVC__PE" display="_04_TERRA_K___PVC__PE" xr:uid="{00000000-0004-0000-0800-00000F000000}"/>
    <hyperlink ref="S12" location="_04_Shut_off_valves" display="_04_Shut_off_valves" xr:uid="{00000000-0004-0000-0800-000010000000}"/>
    <hyperlink ref="S13" location="_04_LOCK_System___Steel__cast_iron__concrete" display="_04_LOCK_System___Steel__cast_iron__concrete" xr:uid="{00000000-0004-0000-0800-000011000000}"/>
    <hyperlink ref="S14" location="_04_LOCK_System___PVC__PE" display="_04_LOCK_System___PVC__PE" xr:uid="{00000000-0004-0000-0800-000012000000}"/>
    <hyperlink ref="S15" location="_04_LOCK_System___Plug_fittings" display="_04_LOCK_System___Plug_fittings" xr:uid="{00000000-0004-0000-0800-000013000000}"/>
    <hyperlink ref="S16" location="_04_LOCK_System___Shut_off_valves" display="_04_LOCK_System___Shut_off_valves" xr:uid="{00000000-0004-0000-0800-000014000000}"/>
    <hyperlink ref="X5" location="_05_SKR" display="_05_SKR" xr:uid="{00000000-0004-0000-0800-000015000000}"/>
    <hyperlink ref="X6" location="_05_RETO_STOP" display="_05_RETO_STOP" xr:uid="{00000000-0004-0000-0800-000016000000}"/>
    <hyperlink ref="X7" location="_05_RETA" display="_05_RETA" xr:uid="{00000000-0004-0000-0800-000017000000}"/>
    <hyperlink ref="X9" location="_05_LIMU_STOP" display="_05_LIMU_STOP" xr:uid="{00000000-0004-0000-0800-000018000000}"/>
    <hyperlink ref="X10" location="_05_KRV" display="_05_KRV" xr:uid="{00000000-0004-0000-0800-000019000000}"/>
    <hyperlink ref="X11" location="_05_TOP_STOP" display="_05_TOP_STOP" xr:uid="{00000000-0004-0000-0800-00001A000000}"/>
    <hyperlink ref="X12" location="_05_ZETKA" display="_05_ZETKA" xr:uid="{00000000-0004-0000-0800-00001B000000}"/>
    <hyperlink ref="X13" location="_05_HADE___Plug_in_type" display="_05_HADE___Plug_in_type" xr:uid="{00000000-0004-0000-0800-00001C000000}"/>
    <hyperlink ref="X14" location="_05_HADE___Wall_mounted" display="_05_HADE___Wall_mounted" xr:uid="{00000000-0004-0000-0800-00001D000000}"/>
    <hyperlink ref="X15" location="_05_HADE___Installation_on_flange" display="_05_HADE___Installation_on_flange" xr:uid="{00000000-0004-0000-0800-00001E000000}"/>
    <hyperlink ref="AC5" location="_06_EKN_H" display="_06_EKN_H" xr:uid="{00000000-0004-0000-0800-00001F000000}"/>
    <hyperlink ref="AC6" location="_06_EKN_M___For_underground_installation" display="_06_EKN_M___For_underground_installation" xr:uid="{00000000-0004-0000-0800-000020000000}"/>
    <hyperlink ref="AC12" location="_06_CEREX_300_L___Hand_lever" display="_06_CEREX_300_L___Hand_lever" xr:uid="{00000000-0004-0000-0800-000021000000}"/>
    <hyperlink ref="AC13" location="_06_CEREX_300_L___Hand_wheel" display="_06_CEREX_300_L___Hand_wheel" xr:uid="{00000000-0004-0000-0800-000022000000}"/>
    <hyperlink ref="AC8" location="_06_CEREX_300_W___Hand_lever" display="_06_CEREX_300_W___Hand_lever" xr:uid="{00000000-0004-0000-0800-000023000000}"/>
    <hyperlink ref="AC9" location="_06_CEREX_300_W___Hand_wheel" display="_06_CEREX_300_W___Hand_wheel" xr:uid="{00000000-0004-0000-0800-000024000000}"/>
    <hyperlink ref="AC10" location="_06_CEREX_300_W___Float" display="_06_CEREX_300_W___Float" xr:uid="{00000000-0004-0000-0800-000025000000}"/>
    <hyperlink ref="AH5" location="_07_DUOJET" display="_07_DUOJET" xr:uid="{00000000-0004-0000-0800-000026000000}"/>
    <hyperlink ref="AH6" location="_07_FLOWJET_PE" display="_07_FLOWJET_PE" xr:uid="{00000000-0004-0000-0800-000027000000}"/>
    <hyperlink ref="AH7" location="_07_BEV" display="_07_BEV" xr:uid="{00000000-0004-0000-0800-000028000000}"/>
    <hyperlink ref="AH8" location="_07_HILL" display="_07_HILL" xr:uid="{00000000-0004-0000-0800-000029000000}"/>
    <hyperlink ref="AM5" location="_08_PICO_H" display="_08_PICO_H" xr:uid="{00000000-0004-0000-0800-00002A000000}"/>
    <hyperlink ref="AM6" location="_08_PICO_M" display="_08_PICO_M" xr:uid="{00000000-0004-0000-0800-00002B000000}"/>
    <hyperlink ref="AM7" location="_08_DURA" display="_08_DURA" xr:uid="{00000000-0004-0000-0800-00002C000000}"/>
    <hyperlink ref="AR5" location="_09_FORTE" display="_09_FORTE" xr:uid="{00000000-0004-0000-0800-00002D000000}"/>
    <hyperlink ref="AR7" location="_09_SAK" display="_09_SAK" xr:uid="{00000000-0004-0000-0800-00002E000000}"/>
    <hyperlink ref="AR8" location="_09_VARIplus_DJ" display="_09_VARIplus_DJ" xr:uid="{00000000-0004-0000-0800-00002F000000}"/>
    <hyperlink ref="AR9" location="_09_MONTY" display="_09_MONTY" xr:uid="{00000000-0004-0000-0800-000030000000}"/>
    <hyperlink ref="AR11" location="_09_VAF" display="_09_VAF" xr:uid="{00000000-0004-0000-0800-000031000000}"/>
    <hyperlink ref="AR12" location="_09_VARIplus_RFA" display="_09_VARIplus_RFA" xr:uid="{00000000-0004-0000-0800-000032000000}"/>
    <hyperlink ref="AR13" location="_09_VARIplus_RC" display="_09_VARIplus_RC" xr:uid="{00000000-0004-0000-0800-000033000000}"/>
    <hyperlink ref="BG8" location="_12_EKN_M" display="_12_EKN_M" xr:uid="{00000000-0004-0000-0800-000034000000}"/>
    <hyperlink ref="AC14" location="_06_Counter_flange" display="_06_Counter_flange" xr:uid="{00000000-0004-0000-0800-000035000000}"/>
    <hyperlink ref="BG9" location="_12_CEREX_300_L___Hand_lever" display="_12_CEREX_300_L___Hand_lever" xr:uid="{00000000-0004-0000-0800-000036000000}"/>
    <hyperlink ref="BG10" location="_12_CEREX_300_L___Hand_wheel" display="_12_CEREX_300_L___Hand_wheel" xr:uid="{00000000-0004-0000-0800-000037000000}"/>
    <hyperlink ref="BG11" location="_12_CEREX_300_W___Hand_lever" display="_12_CEREX_300_W___Hand_lever" xr:uid="{00000000-0004-0000-0800-000038000000}"/>
    <hyperlink ref="BG12" location="_12_CEREX_300_W___Hand_wheel" display="_12_CEREX_300_W___Hand_wheel" xr:uid="{00000000-0004-0000-0800-000039000000}"/>
    <hyperlink ref="AW5" location="_10_LADA___Rigid" display="_10_LADA___Rigid" xr:uid="{00000000-0004-0000-0800-00003A000000}"/>
    <hyperlink ref="AW6" location="_10_PATENTplus___Telescopic" display="_10_PATENTplus___Telescopic" xr:uid="{00000000-0004-0000-0800-00003B000000}"/>
    <hyperlink ref="AW7" location="_10_TELEMAX_EG___Telescopic" display="_10_TELEMAX_EG___Telescopic" xr:uid="{00000000-0004-0000-0800-00003C000000}"/>
    <hyperlink ref="AW8" location="_10_VA_TELESKOP___Telescopic_for_EKN" display="_10_VA_TELESKOP___Telescopic_for_EKN" xr:uid="{00000000-0004-0000-0800-00003D000000}"/>
    <hyperlink ref="AW9" location="_10_RAMBO" display="_10_RAMBO" xr:uid="{00000000-0004-0000-0800-00003E000000}"/>
    <hyperlink ref="BG13" location="_12_RAMBO" display="_12_RAMBO" xr:uid="{00000000-0004-0000-0800-00003F000000}"/>
    <hyperlink ref="AW12" location="_10_ROTOP_MOBITORQ" display="_10_ROTOP_MOBITORQ" xr:uid="{00000000-0004-0000-0800-000040000000}"/>
    <hyperlink ref="AW11" location="_10_Hand_wheel" display="_10_Hand_wheel" xr:uid="{00000000-0004-0000-0800-000041000000}"/>
    <hyperlink ref="AW10" location="_10_Operating_keys" display="_10_Operating_keys" xr:uid="{00000000-0004-0000-0800-000042000000}"/>
    <hyperlink ref="BB5" location="_11_BAIO_BETA_200" display="_11_BAIO_BETA_200" xr:uid="{00000000-0004-0000-0800-000043000000}"/>
    <hyperlink ref="BB6" location="_11_BAIO_HYDRUS_G" display="_11_BAIO_HYDRUS_G" xr:uid="{00000000-0004-0000-0800-000044000000}"/>
    <hyperlink ref="BB7" location="_11_BAIO_BEV" display="_11_BAIO_BEV" xr:uid="{00000000-0004-0000-0800-000045000000}"/>
    <hyperlink ref="BB8" location="_11_BAIO___BAIO_Fittings" display="_11_BAIO___BAIO_Fittings" xr:uid="{00000000-0004-0000-0800-000046000000}"/>
    <hyperlink ref="BB9" location="_11_BAIO___Sealing_rings" display="_11_BAIO___Sealing_rings" xr:uid="{00000000-0004-0000-0800-000047000000}"/>
    <hyperlink ref="BB10" location="_11_BAIOstop" display="_11_BAIOstop" xr:uid="{00000000-0004-0000-0800-000048000000}"/>
    <hyperlink ref="BB11" location="_11_BAIO_Split_ring_stiffener" display="_11_BAIO_Split_ring_stiffener" xr:uid="{00000000-0004-0000-0800-000049000000}"/>
    <hyperlink ref="BB12" location="_11_BAIOanti_twist" display="_11_BAIOanti_twist" xr:uid="{00000000-0004-0000-0800-00004A000000}"/>
    <hyperlink ref="D5" location="_01_BETA_200" display="_01_BETA_200" xr:uid="{00000000-0004-0000-0800-00004B000000}"/>
    <hyperlink ref="D6" location="_01_BETA_200_TS" display="_01_BETA_200_TS" xr:uid="{00000000-0004-0000-0800-00004C000000}"/>
    <hyperlink ref="D7" location="_01_EKOplus" display="_01_EKOplus" xr:uid="{00000000-0004-0000-0800-00004D000000}"/>
    <hyperlink ref="D8" location="_01_EKOplus___With_actuator__for_actuator" display="_01_EKOplus___With_actuator__for_actuator" xr:uid="{00000000-0004-0000-0800-00004E000000}"/>
    <hyperlink ref="D9" location="_01_EKOplus_PE" display="_01_EKOplus_PE" xr:uid="{00000000-0004-0000-0800-00004F000000}"/>
    <hyperlink ref="D10" location="_01_EKOplus___With_BAIO_sockets" display="_01_EKOplus___With_BAIO_sockets" xr:uid="{00000000-0004-0000-0800-000050000000}"/>
    <hyperlink ref="D11" location="_01_EKOplus___With_spigots" display="_01_EKOplus___With_spigots" xr:uid="{00000000-0004-0000-0800-000051000000}"/>
    <hyperlink ref="D12" location="_01_EKOplus___With_rising_stem" display="_01_EKOplus___With_rising_stem" xr:uid="{00000000-0004-0000-0800-000052000000}"/>
    <hyperlink ref="D13" location="_01_EKOplus___WASTE_WATER" display="_01_EKOplus___WASTE_WATER" xr:uid="{00000000-0004-0000-0800-000053000000}"/>
    <hyperlink ref="D14" location="_01_EKOplus___SEA_WATER" display="_01_EKOplus___SEA_WATER" xr:uid="{00000000-0004-0000-0800-000054000000}"/>
    <hyperlink ref="D15" location="_01_EKOplus___FIREWATER" display="_01_EKOplus___FIREWATER" xr:uid="{00000000-0004-0000-0800-000055000000}"/>
    <hyperlink ref="D16" location="_01_IKOplus" display="_01_IKOplus" xr:uid="{00000000-0004-0000-0800-000056000000}"/>
    <hyperlink ref="D18" location="_01_IKOplus___With_rising_stem" display="_01_IKOplus___With_rising_stem" xr:uid="{00000000-0004-0000-0800-000057000000}"/>
    <hyperlink ref="D19" location="_01_IKOplus_TRAFO___OIL" display="_01_IKOplus_TRAFO___OIL" xr:uid="{00000000-0004-0000-0800-000058000000}"/>
    <hyperlink ref="I14" location="_02_HADE_PRA_G" display="_02_HADE_PRA_G" xr:uid="{00000000-0004-0000-0800-000059000000}"/>
    <hyperlink ref="I13" location="_02_REMO_Sets" display="_02_REMO_Sets" xr:uid="{00000000-0004-0000-0800-00005A000000}"/>
    <hyperlink ref="I11" location="_02_EROXplus" display="_02_EROXplus" xr:uid="{00000000-0004-0000-0800-00005B000000}"/>
    <hyperlink ref="I10" location="_02_ERIplus" display="_02_ERIplus" xr:uid="{00000000-0004-0000-0800-00005C000000}"/>
    <hyperlink ref="I9" location="_02_ZETAcontrol" display="_02_ZETAcontrol" xr:uid="{00000000-0004-0000-0800-00005D000000}"/>
    <hyperlink ref="I8" location="_02_ZETA_With_actuator_for_actuator" display="_02_ZETA_With_actuator_for_actuator" xr:uid="{00000000-0004-0000-0800-00005E000000}"/>
    <hyperlink ref="I7" location="_02_ZETA" display="_02_ZETA" xr:uid="{00000000-0004-0000-0800-00005F000000}"/>
    <hyperlink ref="I6" location="_02_MONO___With_quick_operation_lever" display="_02_MONO___With_quick_operation_lever" xr:uid="{00000000-0004-0000-0800-000060000000}"/>
    <hyperlink ref="I5" location="_02_MONO___For_underground_installation" display="_02_MONO___For_underground_installation" xr:uid="{00000000-0004-0000-0800-000061000000}"/>
    <hyperlink ref="I12" location="_02_EROXplus_O" display="_02_EROXplus_O" xr:uid="{00000000-0004-0000-0800-000062000000}"/>
    <hyperlink ref="AH9" location="_07_TWINJET" display="_07_TWINJET" xr:uid="{00000000-0004-0000-0800-000063000000}"/>
    <hyperlink ref="AH10" location="_08_BEV_E" display="_08_BEV_E" xr:uid="{00000000-0004-0000-0800-000064000000}"/>
    <hyperlink ref="D17" location="_01_IKOplus_EPP" display="_01_IKOplus_EPP" xr:uid="{00000000-0004-0000-0800-000065000000}"/>
    <hyperlink ref="X8" location="_05_RETA" display="_05_RETA" xr:uid="{00000000-0004-0000-0800-000066000000}"/>
    <hyperlink ref="AR6" location="_09_FORTE" display="_09_FORTE" xr:uid="{00000000-0004-0000-0800-000067000000}"/>
    <hyperlink ref="AC7" location="_06_CEREX_300_W___Bare_shaft" display="_06_CEREX_300_W___Bare_shaft" xr:uid="{00000000-0004-0000-0800-000068000000}"/>
    <hyperlink ref="AC11" location="_06_CEREX_300_L___Bare_shaft" display="_06_CEREX_300_L___Bare_shaft" xr:uid="{00000000-0004-0000-0800-000069000000}"/>
    <hyperlink ref="AR10" location="_09_MONTY" display="_09_MONTY" xr:uid="{00000000-0004-0000-0800-00006A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77">
    <tabColor rgb="FF0F6E23"/>
  </sheetPr>
  <dimension ref="A1:K50"/>
  <sheetViews>
    <sheetView workbookViewId="0"/>
  </sheetViews>
  <sheetFormatPr defaultColWidth="9.140625" defaultRowHeight="15" x14ac:dyDescent="0.25"/>
  <cols>
    <col min="1" max="1" width="10" style="230" customWidth="1"/>
    <col min="2" max="2" width="12.7109375" style="230" customWidth="1"/>
    <col min="3" max="4" width="22.140625" style="230" customWidth="1"/>
    <col min="5" max="7" width="12.85546875" style="228" customWidth="1"/>
    <col min="8" max="9" width="22.140625" style="230" customWidth="1"/>
    <col min="10" max="11" width="12.85546875" style="228" customWidth="1"/>
    <col min="12" max="16384" width="9.140625" style="231"/>
  </cols>
  <sheetData>
    <row r="1" spans="1:11" s="398" customFormat="1" ht="45" customHeight="1" thickBot="1" x14ac:dyDescent="0.3">
      <c r="A1" s="427"/>
      <c r="B1" s="427"/>
      <c r="C1" s="427"/>
      <c r="D1" s="427"/>
      <c r="E1" s="397"/>
      <c r="F1" s="397"/>
      <c r="G1" s="397"/>
      <c r="H1" s="399"/>
      <c r="I1" s="399"/>
      <c r="J1" s="397"/>
      <c r="K1" s="397"/>
    </row>
    <row r="2" spans="1:11" s="454" customFormat="1" ht="4.5" customHeight="1" x14ac:dyDescent="0.25">
      <c r="A2" s="451"/>
      <c r="B2" s="452"/>
      <c r="C2" s="452"/>
      <c r="D2" s="452"/>
      <c r="E2" s="453"/>
      <c r="F2" s="453"/>
      <c r="G2" s="453"/>
      <c r="H2" s="452"/>
      <c r="I2" s="452"/>
      <c r="J2" s="453"/>
      <c r="K2" s="453"/>
    </row>
    <row r="3" spans="1:11" ht="15.75" thickBot="1" x14ac:dyDescent="0.3">
      <c r="A3" s="232"/>
      <c r="B3" s="233"/>
      <c r="C3" s="233"/>
      <c r="D3" s="233"/>
    </row>
    <row r="4" spans="1:11" ht="15.75" thickBot="1" x14ac:dyDescent="0.3">
      <c r="A4" s="820">
        <f>ADD.DISCOUNT</f>
        <v>0</v>
      </c>
      <c r="B4" s="933" t="str">
        <f>HYPERLINK("#'LIST'!ADD.DISCOUNT","» "&amp;'DICTIONARY-1'!$A$5)</f>
        <v>» Ustaw globalny dodatkowy rabat</v>
      </c>
      <c r="C4" s="1037"/>
      <c r="D4" s="1037"/>
      <c r="E4" s="1038"/>
    </row>
    <row r="5" spans="1:11" x14ac:dyDescent="0.25">
      <c r="A5" s="232"/>
      <c r="B5" s="233"/>
      <c r="C5" s="233"/>
      <c r="D5" s="233"/>
    </row>
    <row r="6" spans="1:11" ht="16.5" thickBot="1" x14ac:dyDescent="0.3">
      <c r="A6" s="712" t="str">
        <f>CONCATENATE('DICTIONARY-3'!$A$135," ",'DICTIONARY-3'!$A$219," / ",'DICTIONARY-3'!$A$332)</f>
        <v>PATENTplus-AT Obudowa ziemna / Dla zasuw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11" x14ac:dyDescent="0.25">
      <c r="A7" s="235" t="str">
        <f>CONCATENATE('DICTIONARY-5'!$A$170," ",LOWER('DICTIONARY-3'!$A$219))</f>
        <v>Teleskopowa obudowa ziemna</v>
      </c>
      <c r="B7" s="235"/>
    </row>
    <row r="8" spans="1:11" x14ac:dyDescent="0.25">
      <c r="A8" s="235" t="str">
        <f>CONCATENATE('DICTIONARY-1'!$A$10,": ",SETTINGS!$C$73)</f>
        <v>Grupa rabatowa: Telemax Niro/PATENTplus/VA-TELESKOP</v>
      </c>
      <c r="B8" s="235"/>
    </row>
    <row r="9" spans="1:11" x14ac:dyDescent="0.25">
      <c r="A9" s="236"/>
      <c r="B9" s="236"/>
    </row>
    <row r="10" spans="1:11" x14ac:dyDescent="0.25">
      <c r="A10" s="237" t="str">
        <f>'DICTIONARY-2'!$A$2</f>
        <v>DN</v>
      </c>
      <c r="B10" s="237" t="str">
        <f>'DICTIONARY-2'!$A$7&amp;" 1)"</f>
        <v>Rd 1)</v>
      </c>
      <c r="C10" s="1036" t="str">
        <f>'DICTIONARY-3'!$A$135</f>
        <v>PATENTplus-AT</v>
      </c>
      <c r="D10" s="1036"/>
      <c r="E10" s="1036"/>
      <c r="F10" s="1036"/>
      <c r="G10" s="237" t="str">
        <f>'DICTIONARY-2'!$A$7&amp;" 1)"</f>
        <v>Rd 1)</v>
      </c>
      <c r="H10" s="1036" t="str">
        <f>'DICTIONARY-3'!$A$135</f>
        <v>PATENTplus-AT</v>
      </c>
      <c r="I10" s="1036"/>
      <c r="J10" s="1036"/>
      <c r="K10" s="1036"/>
    </row>
    <row r="11" spans="1:11" x14ac:dyDescent="0.25">
      <c r="A11" s="244"/>
      <c r="B11" s="244"/>
      <c r="C11" s="1035" t="str">
        <f>'DICTIONARY-5'!$A$171&amp;": 27 mm"</f>
        <v>górny kwadrat pod klucz: 27 mm</v>
      </c>
      <c r="D11" s="1035"/>
      <c r="E11" s="1035"/>
      <c r="F11" s="1035"/>
      <c r="G11" s="244"/>
      <c r="H11" s="1035" t="str">
        <f>'DICTIONARY-5'!$A$171&amp;": 27 mm"</f>
        <v>górny kwadrat pod klucz: 27 mm</v>
      </c>
      <c r="I11" s="1035"/>
      <c r="J11" s="1035"/>
      <c r="K11" s="1035"/>
    </row>
    <row r="12" spans="1:11" x14ac:dyDescent="0.25">
      <c r="A12" s="238"/>
      <c r="B12" s="238" t="str">
        <f>'DICTIONARY-2'!$A$19</f>
        <v>[m]</v>
      </c>
      <c r="C12" s="239" t="str">
        <f>'DICTIONARY-2'!$A$28</f>
        <v>stary nr zamówienia</v>
      </c>
      <c r="D12" s="239" t="str">
        <f>'DICTIONARY-2'!$A$29</f>
        <v>nowy nr zamówienia</v>
      </c>
      <c r="E12" s="240" t="str">
        <f>CURRENCY.CODE_1</f>
        <v>EUR</v>
      </c>
      <c r="F12" s="240" t="str">
        <f>CURRENCY.CODE_2</f>
        <v>---</v>
      </c>
      <c r="G12" s="238" t="str">
        <f>'DICTIONARY-2'!$A$19</f>
        <v>[m]</v>
      </c>
      <c r="H12" s="239" t="str">
        <f>'DICTIONARY-2'!$A$28</f>
        <v>stary nr zamówienia</v>
      </c>
      <c r="I12" s="239" t="str">
        <f>'DICTIONARY-2'!$A$29</f>
        <v>nowy nr zamówienia</v>
      </c>
      <c r="J12" s="240" t="str">
        <f>CURRENCY.CODE_1</f>
        <v>EUR</v>
      </c>
      <c r="K12" s="240" t="str">
        <f>CURRENCY.CODE_2</f>
        <v>---</v>
      </c>
    </row>
    <row r="13" spans="1:11" x14ac:dyDescent="0.25">
      <c r="A13" s="241" t="s">
        <v>2210</v>
      </c>
      <c r="B13" s="242" t="s">
        <v>2249</v>
      </c>
      <c r="C13" s="241" t="s">
        <v>2250</v>
      </c>
      <c r="D13" s="311" t="s">
        <v>4758</v>
      </c>
      <c r="E13" s="339" t="str">
        <f>IFERROR(IF(OR(D13='DICTIONARY-5'!$A$2,D13='DICTIONARY-5'!$A$4,ISBLANK(D13)),VLOOKUP(C13,LIST!$A$6:$L$3250,CURR_1.SEARCH.OLD,0),VLOOKUP(D13,LIST!$B$6:$L$3250,CURR_1.SEARCH.NEW,0)),'DICTIONARY-5'!$A$2)</f>
        <v>62,-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  <c r="G13" s="242" t="s">
        <v>2251</v>
      </c>
      <c r="H13" s="241" t="s">
        <v>2252</v>
      </c>
      <c r="I13" s="311" t="s">
        <v>4763</v>
      </c>
      <c r="J13" s="339" t="str">
        <f>IFERROR(IF(OR(I13='DICTIONARY-5'!$A$2,I13='DICTIONARY-5'!$A$4,ISBLANK(I13)),VLOOKUP(H13,LIST!$A$6:$L$3250,CURR_1.SEARCH.OLD,0),VLOOKUP(I13,LIST!$B$6:$L$3250,CURR_1.SEARCH.NEW,0)),'DICTIONARY-5'!$A$2)</f>
        <v>65,-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1" x14ac:dyDescent="0.25">
      <c r="A14" s="241" t="s">
        <v>2213</v>
      </c>
      <c r="B14" s="242" t="s">
        <v>2249</v>
      </c>
      <c r="C14" s="241" t="s">
        <v>2253</v>
      </c>
      <c r="D14" s="311" t="s">
        <v>4759</v>
      </c>
      <c r="E14" s="339" t="str">
        <f>IFERROR(IF(OR(D14='DICTIONARY-5'!$A$2,D14='DICTIONARY-5'!$A$4,ISBLANK(D14)),VLOOKUP(C14,LIST!$A$6:$L$3250,CURR_1.SEARCH.OLD,0),VLOOKUP(D14,LIST!$B$6:$L$3250,CURR_1.SEARCH.NEW,0)),'DICTIONARY-5'!$A$2)</f>
        <v>69,-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  <c r="G14" s="242" t="s">
        <v>2251</v>
      </c>
      <c r="H14" s="241" t="s">
        <v>2254</v>
      </c>
      <c r="I14" s="311" t="s">
        <v>4764</v>
      </c>
      <c r="J14" s="339" t="str">
        <f>IFERROR(IF(OR(I14='DICTIONARY-5'!$A$2,I14='DICTIONARY-5'!$A$4,ISBLANK(I14)),VLOOKUP(H14,LIST!$A$6:$L$3250,CURR_1.SEARCH.OLD,0),VLOOKUP(I14,LIST!$B$6:$L$3250,CURR_1.SEARCH.NEW,0)),'DICTIONARY-5'!$A$2)</f>
        <v>69,-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1" x14ac:dyDescent="0.25">
      <c r="A15" s="241" t="s">
        <v>2255</v>
      </c>
      <c r="B15" s="242" t="s">
        <v>2249</v>
      </c>
      <c r="C15" s="241" t="s">
        <v>2256</v>
      </c>
      <c r="D15" s="311" t="s">
        <v>4760</v>
      </c>
      <c r="E15" s="339" t="str">
        <f>IFERROR(IF(OR(D15='DICTIONARY-5'!$A$2,D15='DICTIONARY-5'!$A$4,ISBLANK(D15)),VLOOKUP(C15,LIST!$A$6:$L$3250,CURR_1.SEARCH.OLD,0),VLOOKUP(D15,LIST!$B$6:$L$3250,CURR_1.SEARCH.NEW,0)),'DICTIONARY-5'!$A$2)</f>
        <v>71,-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  <c r="G15" s="242" t="s">
        <v>2251</v>
      </c>
      <c r="H15" s="241" t="s">
        <v>2257</v>
      </c>
      <c r="I15" s="311" t="s">
        <v>4765</v>
      </c>
      <c r="J15" s="339" t="str">
        <f>IFERROR(IF(OR(I15='DICTIONARY-5'!$A$2,I15='DICTIONARY-5'!$A$4,ISBLANK(I15)),VLOOKUP(H15,LIST!$A$6:$L$3250,CURR_1.SEARCH.OLD,0),VLOOKUP(I15,LIST!$B$6:$L$3250,CURR_1.SEARCH.NEW,0)),'DICTIONARY-5'!$A$2)</f>
        <v>72,-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1" x14ac:dyDescent="0.25">
      <c r="A16" s="241">
        <v>200</v>
      </c>
      <c r="B16" s="242" t="s">
        <v>2249</v>
      </c>
      <c r="C16" s="241" t="s">
        <v>2258</v>
      </c>
      <c r="D16" s="311" t="s">
        <v>4761</v>
      </c>
      <c r="E16" s="339" t="str">
        <f>IFERROR(IF(OR(D16='DICTIONARY-5'!$A$2,D16='DICTIONARY-5'!$A$4,ISBLANK(D16)),VLOOKUP(C16,LIST!$A$6:$L$3250,CURR_1.SEARCH.OLD,0),VLOOKUP(D16,LIST!$B$6:$L$3250,CURR_1.SEARCH.NEW,0)),'DICTIONARY-5'!$A$2)</f>
        <v>79,-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  <c r="G16" s="242" t="s">
        <v>2251</v>
      </c>
      <c r="H16" s="241" t="s">
        <v>2259</v>
      </c>
      <c r="I16" s="311" t="s">
        <v>4766</v>
      </c>
      <c r="J16" s="339" t="str">
        <f>IFERROR(IF(OR(I16='DICTIONARY-5'!$A$2,I16='DICTIONARY-5'!$A$4,ISBLANK(I16)),VLOOKUP(H16,LIST!$A$6:$L$3250,CURR_1.SEARCH.OLD,0),VLOOKUP(I16,LIST!$B$6:$L$3250,CURR_1.SEARCH.NEW,0)),'DICTIONARY-5'!$A$2)</f>
        <v>82,-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241" t="s">
        <v>2260</v>
      </c>
      <c r="B17" s="242" t="s">
        <v>2249</v>
      </c>
      <c r="C17" s="241" t="s">
        <v>2261</v>
      </c>
      <c r="D17" s="311" t="s">
        <v>4762</v>
      </c>
      <c r="E17" s="339" t="str">
        <f>IFERROR(IF(OR(D17='DICTIONARY-5'!$A$2,D17='DICTIONARY-5'!$A$4,ISBLANK(D17)),VLOOKUP(C17,LIST!$A$6:$L$3250,CURR_1.SEARCH.OLD,0),VLOOKUP(D17,LIST!$B$6:$L$3250,CURR_1.SEARCH.NEW,0)),'DICTIONARY-5'!$A$2)</f>
        <v>80,-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  <c r="G17" s="242" t="s">
        <v>2251</v>
      </c>
      <c r="H17" s="241" t="s">
        <v>2262</v>
      </c>
      <c r="I17" s="311" t="s">
        <v>4767</v>
      </c>
      <c r="J17" s="339" t="str">
        <f>IFERROR(IF(OR(I17='DICTIONARY-5'!$A$2,I17='DICTIONARY-5'!$A$4,ISBLANK(I17)),VLOOKUP(H17,LIST!$A$6:$L$3250,CURR_1.SEARCH.OLD,0),VLOOKUP(I17,LIST!$B$6:$L$3250,CURR_1.SEARCH.NEW,0)),'DICTIONARY-5'!$A$2)</f>
        <v>86,-</v>
      </c>
      <c r="K17" s="339" t="str">
        <f>IFERROR(IF(OR(I17='DICTIONARY-5'!$A$2,I17='DICTIONARY-5'!$A$4,ISBLANK(I17)),VLOOKUP(H17,LIST!$A$6:$M$3250,CURR_2.SEARCH.OLD,0),VLOOKUP(I17,LIST!$B$6:$M$3250,CURR_2.SEARCH.NEW,0)),'DICTIONARY-5'!$A$2)</f>
        <v/>
      </c>
    </row>
    <row r="20" spans="1:11" x14ac:dyDescent="0.25">
      <c r="A20" s="237" t="str">
        <f>'DICTIONARY-2'!$A$2</f>
        <v>DN</v>
      </c>
      <c r="B20" s="237" t="str">
        <f>'DICTIONARY-2'!$A$7&amp;" 1)"</f>
        <v>Rd 1)</v>
      </c>
      <c r="C20" s="1036" t="str">
        <f>'DICTIONARY-3'!$A$135</f>
        <v>PATENTplus-AT</v>
      </c>
      <c r="D20" s="1036"/>
      <c r="E20" s="1036"/>
      <c r="F20" s="1036"/>
      <c r="G20" s="237" t="str">
        <f>'DICTIONARY-2'!$A$7&amp;" 1)"</f>
        <v>Rd 1)</v>
      </c>
      <c r="H20" s="1036" t="str">
        <f>'DICTIONARY-3'!$A$135</f>
        <v>PATENTplus-AT</v>
      </c>
      <c r="I20" s="1036"/>
      <c r="J20" s="1036"/>
      <c r="K20" s="1036"/>
    </row>
    <row r="21" spans="1:11" x14ac:dyDescent="0.25">
      <c r="A21" s="244"/>
      <c r="B21" s="244"/>
      <c r="C21" s="1035" t="str">
        <f>'DICTIONARY-5'!$A$171&amp;": 27 mm"</f>
        <v>górny kwadrat pod klucz: 27 mm</v>
      </c>
      <c r="D21" s="1035"/>
      <c r="E21" s="1035"/>
      <c r="F21" s="1035"/>
      <c r="G21" s="244"/>
      <c r="H21" s="1035" t="str">
        <f>'DICTIONARY-5'!$A$171&amp;": 27 mm"</f>
        <v>górny kwadrat pod klucz: 27 mm</v>
      </c>
      <c r="I21" s="1035"/>
      <c r="J21" s="1035"/>
      <c r="K21" s="1035"/>
    </row>
    <row r="22" spans="1:11" x14ac:dyDescent="0.25">
      <c r="A22" s="244"/>
      <c r="B22" s="238" t="str">
        <f>'DICTIONARY-2'!$A$19</f>
        <v>[m]</v>
      </c>
      <c r="C22" s="245" t="str">
        <f>'DICTIONARY-2'!$A$28</f>
        <v>stary nr zamówienia</v>
      </c>
      <c r="D22" s="239" t="str">
        <f>'DICTIONARY-2'!$A$29</f>
        <v>nowy nr zamówienia</v>
      </c>
      <c r="E22" s="240" t="str">
        <f>CURRENCY.CODE_1</f>
        <v>EUR</v>
      </c>
      <c r="F22" s="240" t="str">
        <f>CURRENCY.CODE_2</f>
        <v>---</v>
      </c>
      <c r="G22" s="238" t="str">
        <f>'DICTIONARY-2'!$A$19</f>
        <v>[m]</v>
      </c>
      <c r="H22" s="245" t="str">
        <f>'DICTIONARY-2'!$A$28</f>
        <v>stary nr zamówienia</v>
      </c>
      <c r="I22" s="239" t="str">
        <f>'DICTIONARY-2'!$A$29</f>
        <v>nowy nr zamówienia</v>
      </c>
      <c r="J22" s="240" t="str">
        <f>CURRENCY.CODE_1</f>
        <v>EUR</v>
      </c>
      <c r="K22" s="240" t="str">
        <f>CURRENCY.CODE_2</f>
        <v>---</v>
      </c>
    </row>
    <row r="23" spans="1:11" x14ac:dyDescent="0.25">
      <c r="A23" s="241" t="s">
        <v>2210</v>
      </c>
      <c r="B23" s="242" t="s">
        <v>2263</v>
      </c>
      <c r="C23" s="241" t="s">
        <v>2264</v>
      </c>
      <c r="D23" s="311" t="s">
        <v>4768</v>
      </c>
      <c r="E23" s="339" t="str">
        <f>IFERROR(IF(OR(D23='DICTIONARY-5'!$A$2,D23='DICTIONARY-5'!$A$4,ISBLANK(D23)),VLOOKUP(C23,LIST!$A$6:$L$3250,CURR_1.SEARCH.OLD,0),VLOOKUP(D23,LIST!$B$6:$L$3250,CURR_1.SEARCH.NEW,0)),'DICTIONARY-5'!$A$2)</f>
        <v>72,-</v>
      </c>
      <c r="F23" s="339" t="str">
        <f>IFERROR(IF(OR(D23='DICTIONARY-5'!$A$2,D23='DICTIONARY-5'!$A$4,ISBLANK(D23)),VLOOKUP(C23,LIST!$A$6:$M$3250,CURR_2.SEARCH.OLD,0),VLOOKUP(D23,LIST!$B$6:$M$3250,CURR_2.SEARCH.NEW,0)),'DICTIONARY-5'!$A$2)</f>
        <v/>
      </c>
      <c r="G23" s="242" t="s">
        <v>2265</v>
      </c>
      <c r="H23" s="241" t="s">
        <v>2266</v>
      </c>
      <c r="I23" s="311" t="s">
        <v>4773</v>
      </c>
      <c r="J23" s="339" t="str">
        <f>IFERROR(IF(OR(I23='DICTIONARY-5'!$A$2,I23='DICTIONARY-5'!$A$4,ISBLANK(I23)),VLOOKUP(H23,LIST!$A$6:$L$3250,CURR_1.SEARCH.OLD,0),VLOOKUP(I23,LIST!$B$6:$L$3250,CURR_1.SEARCH.NEW,0)),'DICTIONARY-5'!$A$2)</f>
        <v>101,-</v>
      </c>
      <c r="K23" s="339" t="str">
        <f>IFERROR(IF(OR(I23='DICTIONARY-5'!$A$2,I23='DICTIONARY-5'!$A$4,ISBLANK(I23)),VLOOKUP(H23,LIST!$A$6:$M$3250,CURR_2.SEARCH.OLD,0),VLOOKUP(I23,LIST!$B$6:$M$3250,CURR_2.SEARCH.NEW,0)),'DICTIONARY-5'!$A$2)</f>
        <v/>
      </c>
    </row>
    <row r="24" spans="1:11" x14ac:dyDescent="0.25">
      <c r="A24" s="241" t="s">
        <v>2213</v>
      </c>
      <c r="B24" s="242" t="s">
        <v>2263</v>
      </c>
      <c r="C24" s="241" t="s">
        <v>2267</v>
      </c>
      <c r="D24" s="311" t="s">
        <v>4769</v>
      </c>
      <c r="E24" s="339" t="str">
        <f>IFERROR(IF(OR(D24='DICTIONARY-5'!$A$2,D24='DICTIONARY-5'!$A$4,ISBLANK(D24)),VLOOKUP(C24,LIST!$A$6:$L$3250,CURR_1.SEARCH.OLD,0),VLOOKUP(D24,LIST!$B$6:$L$3250,CURR_1.SEARCH.NEW,0)),'DICTIONARY-5'!$A$2)</f>
        <v>72,-</v>
      </c>
      <c r="F24" s="339" t="str">
        <f>IFERROR(IF(OR(D24='DICTIONARY-5'!$A$2,D24='DICTIONARY-5'!$A$4,ISBLANK(D24)),VLOOKUP(C24,LIST!$A$6:$M$3250,CURR_2.SEARCH.OLD,0),VLOOKUP(D24,LIST!$B$6:$M$3250,CURR_2.SEARCH.NEW,0)),'DICTIONARY-5'!$A$2)</f>
        <v/>
      </c>
      <c r="G24" s="242" t="s">
        <v>2265</v>
      </c>
      <c r="H24" s="241" t="s">
        <v>2268</v>
      </c>
      <c r="I24" s="311" t="s">
        <v>4774</v>
      </c>
      <c r="J24" s="339" t="str">
        <f>IFERROR(IF(OR(I24='DICTIONARY-5'!$A$2,I24='DICTIONARY-5'!$A$4,ISBLANK(I24)),VLOOKUP(H24,LIST!$A$6:$L$3250,CURR_1.SEARCH.OLD,0),VLOOKUP(I24,LIST!$B$6:$L$3250,CURR_1.SEARCH.NEW,0)),'DICTIONARY-5'!$A$2)</f>
        <v>99,-</v>
      </c>
      <c r="K24" s="339" t="str">
        <f>IFERROR(IF(OR(I24='DICTIONARY-5'!$A$2,I24='DICTIONARY-5'!$A$4,ISBLANK(I24)),VLOOKUP(H24,LIST!$A$6:$M$3250,CURR_2.SEARCH.OLD,0),VLOOKUP(I24,LIST!$B$6:$M$3250,CURR_2.SEARCH.NEW,0)),'DICTIONARY-5'!$A$2)</f>
        <v/>
      </c>
    </row>
    <row r="25" spans="1:11" x14ac:dyDescent="0.25">
      <c r="A25" s="241" t="s">
        <v>2255</v>
      </c>
      <c r="B25" s="242" t="s">
        <v>2263</v>
      </c>
      <c r="C25" s="241" t="s">
        <v>2269</v>
      </c>
      <c r="D25" s="311" t="s">
        <v>4770</v>
      </c>
      <c r="E25" s="339" t="str">
        <f>IFERROR(IF(OR(D25='DICTIONARY-5'!$A$2,D25='DICTIONARY-5'!$A$4,ISBLANK(D25)),VLOOKUP(C25,LIST!$A$6:$L$3250,CURR_1.SEARCH.OLD,0),VLOOKUP(D25,LIST!$B$6:$L$3250,CURR_1.SEARCH.NEW,0)),'DICTIONARY-5'!$A$2)</f>
        <v>76,-</v>
      </c>
      <c r="F25" s="339" t="str">
        <f>IFERROR(IF(OR(D25='DICTIONARY-5'!$A$2,D25='DICTIONARY-5'!$A$4,ISBLANK(D25)),VLOOKUP(C25,LIST!$A$6:$M$3250,CURR_2.SEARCH.OLD,0),VLOOKUP(D25,LIST!$B$6:$M$3250,CURR_2.SEARCH.NEW,0)),'DICTIONARY-5'!$A$2)</f>
        <v/>
      </c>
      <c r="G25" s="242" t="s">
        <v>2265</v>
      </c>
      <c r="H25" s="241" t="s">
        <v>2270</v>
      </c>
      <c r="I25" s="311" t="s">
        <v>4775</v>
      </c>
      <c r="J25" s="339" t="str">
        <f>IFERROR(IF(OR(I25='DICTIONARY-5'!$A$2,I25='DICTIONARY-5'!$A$4,ISBLANK(I25)),VLOOKUP(H25,LIST!$A$6:$L$3250,CURR_1.SEARCH.OLD,0),VLOOKUP(I25,LIST!$B$6:$L$3250,CURR_1.SEARCH.NEW,0)),'DICTIONARY-5'!$A$2)</f>
        <v>106,-</v>
      </c>
      <c r="K25" s="339" t="str">
        <f>IFERROR(IF(OR(I25='DICTIONARY-5'!$A$2,I25='DICTIONARY-5'!$A$4,ISBLANK(I25)),VLOOKUP(H25,LIST!$A$6:$M$3250,CURR_2.SEARCH.OLD,0),VLOOKUP(I25,LIST!$B$6:$M$3250,CURR_2.SEARCH.NEW,0)),'DICTIONARY-5'!$A$2)</f>
        <v/>
      </c>
    </row>
    <row r="26" spans="1:11" x14ac:dyDescent="0.25">
      <c r="A26" s="241">
        <v>200</v>
      </c>
      <c r="B26" s="242" t="s">
        <v>2263</v>
      </c>
      <c r="C26" s="241" t="s">
        <v>2271</v>
      </c>
      <c r="D26" s="311" t="s">
        <v>4771</v>
      </c>
      <c r="E26" s="339" t="str">
        <f>IFERROR(IF(OR(D26='DICTIONARY-5'!$A$2,D26='DICTIONARY-5'!$A$4,ISBLANK(D26)),VLOOKUP(C26,LIST!$A$6:$L$3250,CURR_1.SEARCH.OLD,0),VLOOKUP(D26,LIST!$B$6:$L$3250,CURR_1.SEARCH.NEW,0)),'DICTIONARY-5'!$A$2)</f>
        <v>89,-</v>
      </c>
      <c r="F26" s="339" t="str">
        <f>IFERROR(IF(OR(D26='DICTIONARY-5'!$A$2,D26='DICTIONARY-5'!$A$4,ISBLANK(D26)),VLOOKUP(C26,LIST!$A$6:$M$3250,CURR_2.SEARCH.OLD,0),VLOOKUP(D26,LIST!$B$6:$M$3250,CURR_2.SEARCH.NEW,0)),'DICTIONARY-5'!$A$2)</f>
        <v/>
      </c>
      <c r="G26" s="242" t="s">
        <v>2265</v>
      </c>
      <c r="H26" s="241" t="s">
        <v>2272</v>
      </c>
      <c r="I26" s="311" t="s">
        <v>4776</v>
      </c>
      <c r="J26" s="339" t="str">
        <f>IFERROR(IF(OR(I26='DICTIONARY-5'!$A$2,I26='DICTIONARY-5'!$A$4,ISBLANK(I26)),VLOOKUP(H26,LIST!$A$6:$L$3250,CURR_1.SEARCH.OLD,0),VLOOKUP(I26,LIST!$B$6:$L$3250,CURR_1.SEARCH.NEW,0)),'DICTIONARY-5'!$A$2)</f>
        <v>121,-</v>
      </c>
      <c r="K26" s="339" t="str">
        <f>IFERROR(IF(OR(I26='DICTIONARY-5'!$A$2,I26='DICTIONARY-5'!$A$4,ISBLANK(I26)),VLOOKUP(H26,LIST!$A$6:$M$3250,CURR_2.SEARCH.OLD,0),VLOOKUP(I26,LIST!$B$6:$M$3250,CURR_2.SEARCH.NEW,0)),'DICTIONARY-5'!$A$2)</f>
        <v/>
      </c>
    </row>
    <row r="27" spans="1:11" x14ac:dyDescent="0.25">
      <c r="A27" s="241" t="s">
        <v>2260</v>
      </c>
      <c r="B27" s="242" t="s">
        <v>2263</v>
      </c>
      <c r="C27" s="241" t="s">
        <v>2273</v>
      </c>
      <c r="D27" s="311" t="s">
        <v>4772</v>
      </c>
      <c r="E27" s="339" t="str">
        <f>IFERROR(IF(OR(D27='DICTIONARY-5'!$A$2,D27='DICTIONARY-5'!$A$4,ISBLANK(D27)),VLOOKUP(C27,LIST!$A$6:$L$3250,CURR_1.SEARCH.OLD,0),VLOOKUP(D27,LIST!$B$6:$L$3250,CURR_1.SEARCH.NEW,0)),'DICTIONARY-5'!$A$2)</f>
        <v>92,-</v>
      </c>
      <c r="F27" s="339" t="str">
        <f>IFERROR(IF(OR(D27='DICTIONARY-5'!$A$2,D27='DICTIONARY-5'!$A$4,ISBLANK(D27)),VLOOKUP(C27,LIST!$A$6:$M$3250,CURR_2.SEARCH.OLD,0),VLOOKUP(D27,LIST!$B$6:$M$3250,CURR_2.SEARCH.NEW,0)),'DICTIONARY-5'!$A$2)</f>
        <v/>
      </c>
      <c r="G27" s="242" t="s">
        <v>2265</v>
      </c>
      <c r="H27" s="241" t="s">
        <v>2274</v>
      </c>
      <c r="I27" s="311" t="s">
        <v>4777</v>
      </c>
      <c r="J27" s="339" t="str">
        <f>IFERROR(IF(OR(I27='DICTIONARY-5'!$A$2,I27='DICTIONARY-5'!$A$4,ISBLANK(I27)),VLOOKUP(H27,LIST!$A$6:$L$3250,CURR_1.SEARCH.OLD,0),VLOOKUP(I27,LIST!$B$6:$L$3250,CURR_1.SEARCH.NEW,0)),'DICTIONARY-5'!$A$2)</f>
        <v>121,-</v>
      </c>
      <c r="K27" s="339" t="str">
        <f>IFERROR(IF(OR(I27='DICTIONARY-5'!$A$2,I27='DICTIONARY-5'!$A$4,ISBLANK(I27)),VLOOKUP(H27,LIST!$A$6:$M$3250,CURR_2.SEARCH.OLD,0),VLOOKUP(I27,LIST!$B$6:$M$3250,CURR_2.SEARCH.NEW,0)),'DICTIONARY-5'!$A$2)</f>
        <v/>
      </c>
    </row>
    <row r="29" spans="1:11" x14ac:dyDescent="0.25">
      <c r="A29" s="237" t="str">
        <f>'DICTIONARY-2'!$A$2</f>
        <v>DN</v>
      </c>
      <c r="B29" s="237" t="str">
        <f>'DICTIONARY-2'!$A$7&amp;" 1)"</f>
        <v>Rd 1)</v>
      </c>
      <c r="C29" s="1036" t="str">
        <f>'DICTIONARY-3'!$A$135</f>
        <v>PATENTplus-AT</v>
      </c>
      <c r="D29" s="1036"/>
      <c r="E29" s="1036"/>
      <c r="F29" s="1036"/>
      <c r="G29" s="237" t="str">
        <f>'DICTIONARY-2'!$A$7&amp;" 1)"</f>
        <v>Rd 1)</v>
      </c>
      <c r="H29" s="1036" t="str">
        <f>'DICTIONARY-3'!$A$135</f>
        <v>PATENTplus-AT</v>
      </c>
      <c r="I29" s="1036"/>
      <c r="J29" s="1036"/>
      <c r="K29" s="1036"/>
    </row>
    <row r="30" spans="1:11" x14ac:dyDescent="0.25">
      <c r="A30" s="244"/>
      <c r="B30" s="244"/>
      <c r="C30" s="1035" t="str">
        <f>'DICTIONARY-5'!$A$171&amp;": 27 mm"</f>
        <v>górny kwadrat pod klucz: 27 mm</v>
      </c>
      <c r="D30" s="1035"/>
      <c r="E30" s="1035"/>
      <c r="F30" s="1035"/>
      <c r="G30" s="244"/>
      <c r="H30" s="1035" t="str">
        <f>'DICTIONARY-5'!$A$171&amp;": 27 mm"</f>
        <v>górny kwadrat pod klucz: 27 mm</v>
      </c>
      <c r="I30" s="1035"/>
      <c r="J30" s="1035"/>
      <c r="K30" s="1035"/>
    </row>
    <row r="31" spans="1:11" x14ac:dyDescent="0.25">
      <c r="A31" s="238"/>
      <c r="B31" s="238" t="str">
        <f>'DICTIONARY-2'!$A$19</f>
        <v>[m]</v>
      </c>
      <c r="C31" s="239" t="str">
        <f>'DICTIONARY-2'!$A$28</f>
        <v>stary nr zamówienia</v>
      </c>
      <c r="D31" s="239" t="str">
        <f>'DICTIONARY-2'!$A$29</f>
        <v>nowy nr zamówienia</v>
      </c>
      <c r="E31" s="240" t="str">
        <f>CURRENCY.CODE_1</f>
        <v>EUR</v>
      </c>
      <c r="F31" s="240" t="str">
        <f>CURRENCY.CODE_2</f>
        <v>---</v>
      </c>
      <c r="G31" s="238" t="str">
        <f>'DICTIONARY-2'!$A$19</f>
        <v>[m]</v>
      </c>
      <c r="H31" s="239" t="str">
        <f>'DICTIONARY-2'!$A$28</f>
        <v>stary nr zamówienia</v>
      </c>
      <c r="I31" s="239" t="str">
        <f>'DICTIONARY-2'!$A$29</f>
        <v>nowy nr zamówienia</v>
      </c>
      <c r="J31" s="240" t="str">
        <f>CURRENCY.CODE_1</f>
        <v>EUR</v>
      </c>
      <c r="K31" s="240" t="str">
        <f>CURRENCY.CODE_2</f>
        <v>---</v>
      </c>
    </row>
    <row r="32" spans="1:11" x14ac:dyDescent="0.25">
      <c r="A32" s="241">
        <v>400</v>
      </c>
      <c r="B32" s="242" t="s">
        <v>2275</v>
      </c>
      <c r="C32" s="241" t="s">
        <v>2276</v>
      </c>
      <c r="D32" s="311" t="s">
        <v>4715</v>
      </c>
      <c r="E32" s="339" t="str">
        <f>IFERROR(IF(OR(D32='DICTIONARY-5'!$A$2,D32='DICTIONARY-5'!$A$4,ISBLANK(D32)),VLOOKUP(C32,LIST!$A$6:$L$3250,CURR_1.SEARCH.OLD,0),VLOOKUP(D32,LIST!$B$6:$L$3250,CURR_1.SEARCH.NEW,0)),'DICTIONARY-5'!$A$2)</f>
        <v>183,-</v>
      </c>
      <c r="F32" s="339" t="str">
        <f>IFERROR(IF(OR(D32='DICTIONARY-5'!$A$2,D32='DICTIONARY-5'!$A$4,ISBLANK(D32)),VLOOKUP(C32,LIST!$A$6:$M$3250,CURR_2.SEARCH.OLD,0),VLOOKUP(D32,LIST!$B$6:$M$3250,CURR_2.SEARCH.NEW,0)),'DICTIONARY-5'!$A$2)</f>
        <v/>
      </c>
      <c r="G32" s="242" t="s">
        <v>2277</v>
      </c>
      <c r="H32" s="241" t="s">
        <v>2278</v>
      </c>
      <c r="I32" s="311" t="s">
        <v>4778</v>
      </c>
      <c r="J32" s="339" t="str">
        <f>IFERROR(IF(OR(I32='DICTIONARY-5'!$A$2,I32='DICTIONARY-5'!$A$4,ISBLANK(I32)),VLOOKUP(H32,LIST!$A$6:$L$3250,CURR_1.SEARCH.OLD,0),VLOOKUP(I32,LIST!$B$6:$L$3250,CURR_1.SEARCH.NEW,0)),'DICTIONARY-5'!$A$2)</f>
        <v>212,-</v>
      </c>
      <c r="K32" s="339" t="str">
        <f>IFERROR(IF(OR(I32='DICTIONARY-5'!$A$2,I32='DICTIONARY-5'!$A$4,ISBLANK(I32)),VLOOKUP(H32,LIST!$A$6:$M$3250,CURR_2.SEARCH.OLD,0),VLOOKUP(I32,LIST!$B$6:$M$3250,CURR_2.SEARCH.NEW,0)),'DICTIONARY-5'!$A$2)</f>
        <v/>
      </c>
    </row>
    <row r="34" spans="1:9" x14ac:dyDescent="0.25">
      <c r="A34" s="246" t="str">
        <f>"1) "&amp;'DICTIONARY-5'!$A$85&amp;" - "&amp;'DICTIONARY-5'!$A$88</f>
        <v>1) Głębokość zabudowy - mierzona od górnej krawędzi rury do wierzchu terenu</v>
      </c>
    </row>
    <row r="38" spans="1:9" ht="16.5" thickBot="1" x14ac:dyDescent="0.3">
      <c r="A38" s="712" t="str">
        <f>CONCATENATE('DICTIONARY-3'!$A$136," ",'DICTIONARY-3'!$A$219," / ",'DICTIONARY-3'!$A$335)</f>
        <v>PATENTplus-BT Obudowa ziemna / Dla mostków nawiertowych</v>
      </c>
      <c r="B38" s="712"/>
      <c r="C38" s="712"/>
      <c r="D38" s="712"/>
      <c r="E38" s="712"/>
      <c r="F38" s="712"/>
      <c r="G38" s="231"/>
      <c r="H38" s="231"/>
      <c r="I38" s="231"/>
    </row>
    <row r="39" spans="1:9" x14ac:dyDescent="0.25">
      <c r="A39" s="235" t="str">
        <f>CONCATENATE('DICTIONARY-5'!$A$170," ",LOWER('DICTIONARY-3'!$A$219))</f>
        <v>Teleskopowa obudowa ziemna</v>
      </c>
      <c r="C39" s="228"/>
      <c r="D39" s="228"/>
      <c r="F39" s="230"/>
      <c r="G39" s="231"/>
      <c r="H39" s="231"/>
      <c r="I39" s="231"/>
    </row>
    <row r="40" spans="1:9" x14ac:dyDescent="0.25">
      <c r="A40" s="235" t="str">
        <f>CONCATENATE('DICTIONARY-1'!$A$10,": ",SETTINGS!$C$73)</f>
        <v>Grupa rabatowa: Telemax Niro/PATENTplus/VA-TELESKOP</v>
      </c>
      <c r="C40" s="228"/>
      <c r="D40" s="228"/>
      <c r="F40" s="230"/>
      <c r="G40" s="231"/>
      <c r="H40" s="231"/>
      <c r="I40" s="231"/>
    </row>
    <row r="41" spans="1:9" x14ac:dyDescent="0.25">
      <c r="C41" s="228"/>
      <c r="D41" s="228"/>
      <c r="F41" s="230"/>
      <c r="G41" s="231"/>
      <c r="H41" s="231"/>
      <c r="I41" s="231"/>
    </row>
    <row r="42" spans="1:9" x14ac:dyDescent="0.25">
      <c r="A42" s="237"/>
      <c r="B42" s="237" t="str">
        <f>'DICTIONARY-2'!$A$7&amp;" 1)"</f>
        <v>Rd 1)</v>
      </c>
      <c r="C42" s="1036" t="str">
        <f>'DICTIONARY-3'!$A$136</f>
        <v>PATENTplus-BT</v>
      </c>
      <c r="D42" s="1036"/>
      <c r="E42" s="1036"/>
      <c r="F42" s="1036"/>
      <c r="G42" s="231"/>
      <c r="H42" s="231"/>
      <c r="I42" s="231"/>
    </row>
    <row r="43" spans="1:9" x14ac:dyDescent="0.25">
      <c r="A43" s="244"/>
      <c r="B43" s="244"/>
      <c r="C43" s="1035" t="str">
        <f>'DICTIONARY-5'!$A$173&amp;": 12 mm"</f>
        <v>górna końcówka: 12 mm</v>
      </c>
      <c r="D43" s="1035"/>
      <c r="E43" s="1035"/>
      <c r="F43" s="1035"/>
      <c r="G43" s="231"/>
      <c r="H43" s="231"/>
      <c r="I43" s="231"/>
    </row>
    <row r="44" spans="1:9" x14ac:dyDescent="0.25">
      <c r="A44" s="238"/>
      <c r="B44" s="238" t="str">
        <f>'DICTIONARY-2'!$A$19</f>
        <v>[m]</v>
      </c>
      <c r="C44" s="239" t="str">
        <f>'DICTIONARY-2'!$A$28</f>
        <v>stary nr zamówienia</v>
      </c>
      <c r="D44" s="239" t="str">
        <f>'DICTIONARY-2'!$A$29</f>
        <v>nowy nr zamówienia</v>
      </c>
      <c r="E44" s="240" t="str">
        <f>CURRENCY.CODE_1</f>
        <v>EUR</v>
      </c>
      <c r="F44" s="240" t="str">
        <f>CURRENCY.CODE_2</f>
        <v>---</v>
      </c>
      <c r="G44" s="231"/>
      <c r="H44" s="231"/>
      <c r="I44" s="231"/>
    </row>
    <row r="45" spans="1:9" x14ac:dyDescent="0.25">
      <c r="A45" s="220"/>
      <c r="B45" s="242" t="s">
        <v>2249</v>
      </c>
      <c r="C45" s="241" t="s">
        <v>2279</v>
      </c>
      <c r="D45" s="311" t="s">
        <v>4754</v>
      </c>
      <c r="E45" s="339" t="str">
        <f>IFERROR(IF(OR(D45='DICTIONARY-5'!$A$2,D45='DICTIONARY-5'!$A$4,ISBLANK(D45)),VLOOKUP(C45,LIST!$A$6:$L$3250,CURR_1.SEARCH.OLD,0),VLOOKUP(D45,LIST!$B$6:$L$3250,CURR_1.SEARCH.NEW,0)),'DICTIONARY-5'!$A$2)</f>
        <v>42,-</v>
      </c>
      <c r="F45" s="339" t="str">
        <f>IFERROR(IF(OR(D45='DICTIONARY-5'!$A$2,D45='DICTIONARY-5'!$A$4,ISBLANK(D45)),VLOOKUP(C45,LIST!$A$6:$M$3250,CURR_2.SEARCH.OLD,0),VLOOKUP(D45,LIST!$B$6:$M$3250,CURR_2.SEARCH.NEW,0)),'DICTIONARY-5'!$A$2)</f>
        <v/>
      </c>
      <c r="G45" s="231"/>
      <c r="H45" s="231"/>
      <c r="I45" s="231"/>
    </row>
    <row r="46" spans="1:9" x14ac:dyDescent="0.25">
      <c r="A46" s="220"/>
      <c r="B46" s="242" t="s">
        <v>2251</v>
      </c>
      <c r="C46" s="241" t="s">
        <v>2280</v>
      </c>
      <c r="D46" s="311" t="s">
        <v>4755</v>
      </c>
      <c r="E46" s="339" t="str">
        <f>IFERROR(IF(OR(D46='DICTIONARY-5'!$A$2,D46='DICTIONARY-5'!$A$4,ISBLANK(D46)),VLOOKUP(C46,LIST!$A$6:$L$3250,CURR_1.SEARCH.OLD,0),VLOOKUP(D46,LIST!$B$6:$L$3250,CURR_1.SEARCH.NEW,0)),'DICTIONARY-5'!$A$2)</f>
        <v>51,-</v>
      </c>
      <c r="F46" s="339" t="str">
        <f>IFERROR(IF(OR(D46='DICTIONARY-5'!$A$2,D46='DICTIONARY-5'!$A$4,ISBLANK(D46)),VLOOKUP(C46,LIST!$A$6:$M$3250,CURR_2.SEARCH.OLD,0),VLOOKUP(D46,LIST!$B$6:$M$3250,CURR_2.SEARCH.NEW,0)),'DICTIONARY-5'!$A$2)</f>
        <v/>
      </c>
      <c r="G46" s="231"/>
      <c r="H46" s="231"/>
      <c r="I46" s="231"/>
    </row>
    <row r="47" spans="1:9" x14ac:dyDescent="0.25">
      <c r="A47" s="220"/>
      <c r="B47" s="242" t="s">
        <v>2263</v>
      </c>
      <c r="C47" s="241" t="s">
        <v>2281</v>
      </c>
      <c r="D47" s="311" t="s">
        <v>4756</v>
      </c>
      <c r="E47" s="339" t="str">
        <f>IFERROR(IF(OR(D47='DICTIONARY-5'!$A$2,D47='DICTIONARY-5'!$A$4,ISBLANK(D47)),VLOOKUP(C47,LIST!$A$6:$L$3250,CURR_1.SEARCH.OLD,0),VLOOKUP(D47,LIST!$B$6:$L$3250,CURR_1.SEARCH.NEW,0)),'DICTIONARY-5'!$A$2)</f>
        <v>50,-</v>
      </c>
      <c r="F47" s="339" t="str">
        <f>IFERROR(IF(OR(D47='DICTIONARY-5'!$A$2,D47='DICTIONARY-5'!$A$4,ISBLANK(D47)),VLOOKUP(C47,LIST!$A$6:$M$3250,CURR_2.SEARCH.OLD,0),VLOOKUP(D47,LIST!$B$6:$M$3250,CURR_2.SEARCH.NEW,0)),'DICTIONARY-5'!$A$2)</f>
        <v/>
      </c>
      <c r="G47" s="231"/>
      <c r="H47" s="231"/>
      <c r="I47" s="231"/>
    </row>
    <row r="48" spans="1:9" x14ac:dyDescent="0.25">
      <c r="A48" s="220"/>
      <c r="B48" s="242" t="s">
        <v>2265</v>
      </c>
      <c r="C48" s="241" t="s">
        <v>2282</v>
      </c>
      <c r="D48" s="311" t="s">
        <v>4757</v>
      </c>
      <c r="E48" s="339" t="str">
        <f>IFERROR(IF(OR(D48='DICTIONARY-5'!$A$2,D48='DICTIONARY-5'!$A$4,ISBLANK(D48)),VLOOKUP(C48,LIST!$A$6:$L$3250,CURR_1.SEARCH.OLD,0),VLOOKUP(D48,LIST!$B$6:$L$3250,CURR_1.SEARCH.NEW,0)),'DICTIONARY-5'!$A$2)</f>
        <v>78,-</v>
      </c>
      <c r="F48" s="339" t="str">
        <f>IFERROR(IF(OR(D48='DICTIONARY-5'!$A$2,D48='DICTIONARY-5'!$A$4,ISBLANK(D48)),VLOOKUP(C48,LIST!$A$6:$M$3250,CURR_2.SEARCH.OLD,0),VLOOKUP(D48,LIST!$B$6:$M$3250,CURR_2.SEARCH.NEW,0)),'DICTIONARY-5'!$A$2)</f>
        <v/>
      </c>
      <c r="G48" s="231"/>
      <c r="H48" s="231"/>
      <c r="I48" s="231"/>
    </row>
    <row r="49" spans="1:9" x14ac:dyDescent="0.25">
      <c r="B49" s="231"/>
      <c r="C49" s="231"/>
      <c r="D49" s="231"/>
      <c r="E49" s="231"/>
      <c r="F49" s="231"/>
      <c r="G49" s="231"/>
      <c r="H49" s="231"/>
      <c r="I49" s="231"/>
    </row>
    <row r="50" spans="1:9" x14ac:dyDescent="0.25">
      <c r="A50" s="246" t="str">
        <f>"1) "&amp;'DICTIONARY-5'!$A$85&amp;" - "&amp;'DICTIONARY-5'!$A$88</f>
        <v>1) Głębokość zabudowy - mierzona od górnej krawędzi rury do wierzchu terenu</v>
      </c>
      <c r="C50" s="231"/>
      <c r="D50" s="231"/>
      <c r="E50" s="231"/>
      <c r="F50" s="231"/>
      <c r="G50" s="231"/>
      <c r="H50" s="231"/>
      <c r="I50" s="231"/>
    </row>
  </sheetData>
  <sheetProtection algorithmName="SHA-512" hashValue="VQDgRVLDtGx9vFn/ll8cWASQKua9BwYz4gIVF0zyJNg9J787hlRpHKGwGujdRJDS2bhjlfbspTnDsZzApyZLSg==" saltValue="Aq4fORFB4UeaXIK46HNxeQ==" spinCount="100000" sheet="1" objects="1" scenarios="1" autoFilter="0"/>
  <mergeCells count="15">
    <mergeCell ref="B4:E4"/>
    <mergeCell ref="C43:F43"/>
    <mergeCell ref="C42:F42"/>
    <mergeCell ref="C10:F10"/>
    <mergeCell ref="H10:K10"/>
    <mergeCell ref="C20:F20"/>
    <mergeCell ref="H20:K20"/>
    <mergeCell ref="C29:F29"/>
    <mergeCell ref="H29:K29"/>
    <mergeCell ref="C11:F11"/>
    <mergeCell ref="H11:K11"/>
    <mergeCell ref="C21:F21"/>
    <mergeCell ref="H21:K21"/>
    <mergeCell ref="H30:K30"/>
    <mergeCell ref="C30:F3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78">
    <tabColor rgb="FF0F6E23"/>
  </sheetPr>
  <dimension ref="A1:F23"/>
  <sheetViews>
    <sheetView workbookViewId="0"/>
  </sheetViews>
  <sheetFormatPr defaultColWidth="9.140625" defaultRowHeight="15" x14ac:dyDescent="0.25"/>
  <cols>
    <col min="1" max="1" width="10" style="231" customWidth="1"/>
    <col min="2" max="2" width="12.7109375" style="231" customWidth="1"/>
    <col min="3" max="4" width="22.140625" style="231" customWidth="1"/>
    <col min="5" max="6" width="12.85546875" style="231" customWidth="1"/>
    <col min="7" max="16384" width="9.140625" style="231"/>
  </cols>
  <sheetData>
    <row r="1" spans="1:6" s="398" customFormat="1" ht="45" customHeight="1" thickBot="1" x14ac:dyDescent="0.3">
      <c r="A1" s="427"/>
      <c r="B1" s="427"/>
      <c r="C1" s="427"/>
      <c r="D1" s="427"/>
    </row>
    <row r="2" spans="1:6" s="454" customFormat="1" ht="4.5" customHeight="1" x14ac:dyDescent="0.25">
      <c r="A2" s="451"/>
    </row>
    <row r="3" spans="1:6" ht="15.75" thickBot="1" x14ac:dyDescent="0.3"/>
    <row r="4" spans="1:6" ht="15.75" thickBot="1" x14ac:dyDescent="0.3">
      <c r="A4" s="820">
        <f>ADD.DISCOUNT</f>
        <v>0</v>
      </c>
      <c r="B4" s="992" t="str">
        <f>HYPERLINK("#'LIST'!ADD.DISCOUNT","» "&amp;'DICTIONARY-1'!$A$5)</f>
        <v>» Ustaw globalny dodatkowy rabat</v>
      </c>
      <c r="C4" s="1039"/>
      <c r="D4" s="1039"/>
      <c r="E4" s="1040"/>
    </row>
    <row r="6" spans="1:6" ht="16.5" thickBot="1" x14ac:dyDescent="0.3">
      <c r="A6" s="712" t="str">
        <f>CONCATENATE('DICTIONARY-3'!$A$137," ",'DICTIONARY-3'!$A$219," / ",'DICTIONARY-3'!$A$332)</f>
        <v>TELEMAX EG Obudowa ziemna / Dla zasuw</v>
      </c>
      <c r="B6" s="712"/>
      <c r="C6" s="712"/>
      <c r="D6" s="712"/>
      <c r="E6" s="712"/>
      <c r="F6" s="712"/>
    </row>
    <row r="7" spans="1:6" x14ac:dyDescent="0.25">
      <c r="A7" s="235" t="str">
        <f>CONCATENATE('DICTIONARY-5'!$A$170," ",LOWER('DICTIONARY-3'!$A$219))</f>
        <v>Teleskopowa obudowa ziemna</v>
      </c>
      <c r="B7" s="235"/>
      <c r="C7" s="230"/>
      <c r="D7" s="230"/>
      <c r="E7" s="228"/>
      <c r="F7" s="228"/>
    </row>
    <row r="8" spans="1:6" x14ac:dyDescent="0.25">
      <c r="A8" s="235" t="str">
        <f>CONCATENATE('DICTIONARY-1'!$A$10,": ",SETTINGS!$C$73)</f>
        <v>Grupa rabatowa: Telemax Niro/PATENTplus/VA-TELESKOP</v>
      </c>
      <c r="B8" s="235"/>
      <c r="C8" s="230"/>
      <c r="D8" s="230"/>
      <c r="E8" s="228"/>
      <c r="F8" s="228"/>
    </row>
    <row r="9" spans="1:6" x14ac:dyDescent="0.25">
      <c r="A9" s="236"/>
      <c r="B9" s="236"/>
      <c r="C9" s="230"/>
      <c r="D9" s="230"/>
      <c r="E9" s="228"/>
      <c r="F9" s="228"/>
    </row>
    <row r="10" spans="1:6" x14ac:dyDescent="0.25">
      <c r="A10" s="237" t="str">
        <f>'DICTIONARY-2'!$A$2</f>
        <v>DN</v>
      </c>
      <c r="B10" s="237" t="str">
        <f>'DICTIONARY-2'!$A$7&amp;" 1)"</f>
        <v>Rd 1)</v>
      </c>
      <c r="C10" s="1036" t="str">
        <f>'DICTIONARY-3'!$A$137</f>
        <v>TELEMAX EG</v>
      </c>
      <c r="D10" s="1036"/>
      <c r="E10" s="1036"/>
      <c r="F10" s="1036"/>
    </row>
    <row r="11" spans="1:6" x14ac:dyDescent="0.25">
      <c r="A11" s="244"/>
      <c r="B11" s="244"/>
      <c r="C11" s="1035" t="str">
        <f>'DICTIONARY-5'!$A$171&amp;": 27 mm"</f>
        <v>górny kwadrat pod klucz: 27 mm</v>
      </c>
      <c r="D11" s="1035"/>
      <c r="E11" s="1035"/>
      <c r="F11" s="1035"/>
    </row>
    <row r="12" spans="1:6" x14ac:dyDescent="0.25">
      <c r="A12" s="238"/>
      <c r="B12" s="238" t="str">
        <f>'DICTIONARY-2'!$A$19</f>
        <v>[m]</v>
      </c>
      <c r="C12" s="239" t="str">
        <f>'DICTIONARY-2'!$A$28</f>
        <v>stary nr zamówienia</v>
      </c>
      <c r="D12" s="239" t="str">
        <f>'DICTIONARY-2'!$A$29</f>
        <v>nowy nr zamówienia</v>
      </c>
      <c r="E12" s="240" t="str">
        <f>CURRENCY.CODE_1</f>
        <v>EUR</v>
      </c>
      <c r="F12" s="240" t="str">
        <f>CURRENCY.CODE_2</f>
        <v>---</v>
      </c>
    </row>
    <row r="13" spans="1:6" x14ac:dyDescent="0.25">
      <c r="A13" s="241">
        <v>400</v>
      </c>
      <c r="B13" s="242" t="s">
        <v>2275</v>
      </c>
      <c r="C13" s="715" t="s">
        <v>4912</v>
      </c>
      <c r="D13" s="716" t="s">
        <v>2335</v>
      </c>
      <c r="E13" s="339" t="str">
        <f>IFERROR(IF(OR(D13='DICTIONARY-5'!$A$2,D13='DICTIONARY-5'!$A$4,ISBLANK(D13)),VLOOKUP(C13,LIST!$A$6:$L$3250,CURR_1.SEARCH.OLD,0),VLOOKUP(D13,LIST!$B$6:$L$3250,CURR_1.SEARCH.NEW,0)),'DICTIONARY-5'!$A$2)</f>
        <v>510,-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</row>
    <row r="14" spans="1:6" x14ac:dyDescent="0.25">
      <c r="A14" s="241">
        <v>400</v>
      </c>
      <c r="B14" s="242" t="s">
        <v>2336</v>
      </c>
      <c r="C14" s="715" t="s">
        <v>4913</v>
      </c>
      <c r="D14" s="716" t="s">
        <v>2337</v>
      </c>
      <c r="E14" s="339" t="str">
        <f>IFERROR(IF(OR(D14='DICTIONARY-5'!$A$2,D14='DICTIONARY-5'!$A$4,ISBLANK(D14)),VLOOKUP(C14,LIST!$A$6:$L$3250,CURR_1.SEARCH.OLD,0),VLOOKUP(D14,LIST!$B$6:$L$3250,CURR_1.SEARCH.NEW,0)),'DICTIONARY-5'!$A$2)</f>
        <v>670,-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6" x14ac:dyDescent="0.25">
      <c r="A15" s="241">
        <v>400</v>
      </c>
      <c r="B15" s="242" t="s">
        <v>2338</v>
      </c>
      <c r="C15" s="715" t="s">
        <v>4914</v>
      </c>
      <c r="D15" s="716" t="s">
        <v>2339</v>
      </c>
      <c r="E15" s="339" t="str">
        <f>IFERROR(IF(OR(D15='DICTIONARY-5'!$A$2,D15='DICTIONARY-5'!$A$4,ISBLANK(D15)),VLOOKUP(C15,LIST!$A$6:$L$3250,CURR_1.SEARCH.OLD,0),VLOOKUP(D15,LIST!$B$6:$L$3250,CURR_1.SEARCH.NEW,0)),'DICTIONARY-5'!$A$2)</f>
        <v>748,-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</row>
    <row r="16" spans="1:6" x14ac:dyDescent="0.25">
      <c r="A16" s="241">
        <v>400</v>
      </c>
      <c r="B16" s="242" t="s">
        <v>2340</v>
      </c>
      <c r="C16" s="715" t="s">
        <v>4915</v>
      </c>
      <c r="D16" s="716" t="s">
        <v>2341</v>
      </c>
      <c r="E16" s="339" t="str">
        <f>IFERROR(IF(OR(D16='DICTIONARY-5'!$A$2,D16='DICTIONARY-5'!$A$4,ISBLANK(D16)),VLOOKUP(C16,LIST!$A$6:$L$3250,CURR_1.SEARCH.OLD,0),VLOOKUP(D16,LIST!$B$6:$L$3250,CURR_1.SEARCH.NEW,0)),'DICTIONARY-5'!$A$2)</f>
        <v>846,-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</row>
    <row r="17" spans="1:6" x14ac:dyDescent="0.25">
      <c r="A17" s="241">
        <v>400</v>
      </c>
      <c r="B17" s="242" t="s">
        <v>2342</v>
      </c>
      <c r="C17" s="715" t="s">
        <v>4916</v>
      </c>
      <c r="D17" s="716" t="s">
        <v>2343</v>
      </c>
      <c r="E17" s="339" t="str">
        <f>IFERROR(IF(OR(D17='DICTIONARY-5'!$A$2,D17='DICTIONARY-5'!$A$4,ISBLANK(D17)),VLOOKUP(C17,LIST!$A$6:$L$3250,CURR_1.SEARCH.OLD,0),VLOOKUP(D17,LIST!$B$6:$L$3250,CURR_1.SEARCH.NEW,0)),'DICTIONARY-5'!$A$2)</f>
        <v>980,-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</row>
    <row r="18" spans="1:6" x14ac:dyDescent="0.25">
      <c r="A18" s="241">
        <v>500</v>
      </c>
      <c r="B18" s="242" t="s">
        <v>2344</v>
      </c>
      <c r="C18" s="715" t="s">
        <v>4919</v>
      </c>
      <c r="D18" s="716" t="s">
        <v>2345</v>
      </c>
      <c r="E18" s="339" t="str">
        <f>IFERROR(IF(OR(D18='DICTIONARY-5'!$A$2,D18='DICTIONARY-5'!$A$4,ISBLANK(D18)),VLOOKUP(C18,LIST!$A$6:$L$3250,CURR_1.SEARCH.OLD,0),VLOOKUP(D18,LIST!$B$6:$L$3250,CURR_1.SEARCH.NEW,0)),'DICTIONARY-5'!$A$2)</f>
        <v>677,-</v>
      </c>
      <c r="F18" s="339" t="str">
        <f>IFERROR(IF(OR(D18='DICTIONARY-5'!$A$2,D18='DICTIONARY-5'!$A$4,ISBLANK(D18)),VLOOKUP(C18,LIST!$A$6:$M$3250,CURR_2.SEARCH.OLD,0),VLOOKUP(D18,LIST!$B$6:$M$3250,CURR_2.SEARCH.NEW,0)),'DICTIONARY-5'!$A$2)</f>
        <v/>
      </c>
    </row>
    <row r="19" spans="1:6" x14ac:dyDescent="0.25">
      <c r="A19" s="241">
        <v>500</v>
      </c>
      <c r="B19" s="242" t="s">
        <v>2346</v>
      </c>
      <c r="C19" s="715" t="s">
        <v>4920</v>
      </c>
      <c r="D19" s="716" t="s">
        <v>2347</v>
      </c>
      <c r="E19" s="339" t="str">
        <f>IFERROR(IF(OR(D19='DICTIONARY-5'!$A$2,D19='DICTIONARY-5'!$A$4,ISBLANK(D19)),VLOOKUP(C19,LIST!$A$6:$L$3250,CURR_1.SEARCH.OLD,0),VLOOKUP(D19,LIST!$B$6:$L$3250,CURR_1.SEARCH.NEW,0)),'DICTIONARY-5'!$A$2)</f>
        <v>611,-</v>
      </c>
      <c r="F19" s="339" t="str">
        <f>IFERROR(IF(OR(D19='DICTIONARY-5'!$A$2,D19='DICTIONARY-5'!$A$4,ISBLANK(D19)),VLOOKUP(C19,LIST!$A$6:$M$3250,CURR_2.SEARCH.OLD,0),VLOOKUP(D19,LIST!$B$6:$M$3250,CURR_2.SEARCH.NEW,0)),'DICTIONARY-5'!$A$2)</f>
        <v/>
      </c>
    </row>
    <row r="20" spans="1:6" x14ac:dyDescent="0.25">
      <c r="A20" s="241">
        <v>600</v>
      </c>
      <c r="B20" s="242" t="s">
        <v>2275</v>
      </c>
      <c r="C20" s="715" t="s">
        <v>4917</v>
      </c>
      <c r="D20" s="716" t="s">
        <v>2348</v>
      </c>
      <c r="E20" s="339" t="str">
        <f>IFERROR(IF(OR(D20='DICTIONARY-5'!$A$2,D20='DICTIONARY-5'!$A$4,ISBLANK(D20)),VLOOKUP(C20,LIST!$A$6:$L$3250,CURR_1.SEARCH.OLD,0),VLOOKUP(D20,LIST!$B$6:$L$3250,CURR_1.SEARCH.NEW,0)),'DICTIONARY-5'!$A$2)</f>
        <v>na zapytanie</v>
      </c>
      <c r="F20" s="339" t="str">
        <f>IFERROR(IF(OR(D20='DICTIONARY-5'!$A$2,D20='DICTIONARY-5'!$A$4,ISBLANK(D20)),VLOOKUP(C20,LIST!$A$6:$M$3250,CURR_2.SEARCH.OLD,0),VLOOKUP(D20,LIST!$B$6:$M$3250,CURR_2.SEARCH.NEW,0)),'DICTIONARY-5'!$A$2)</f>
        <v/>
      </c>
    </row>
    <row r="21" spans="1:6" x14ac:dyDescent="0.25">
      <c r="A21" s="241">
        <v>600</v>
      </c>
      <c r="B21" s="242" t="s">
        <v>2277</v>
      </c>
      <c r="C21" s="715" t="s">
        <v>4918</v>
      </c>
      <c r="D21" s="716" t="s">
        <v>2349</v>
      </c>
      <c r="E21" s="339" t="str">
        <f>IFERROR(IF(OR(D21='DICTIONARY-5'!$A$2,D21='DICTIONARY-5'!$A$4,ISBLANK(D21)),VLOOKUP(C21,LIST!$A$6:$L$3250,CURR_1.SEARCH.OLD,0),VLOOKUP(D21,LIST!$B$6:$L$3250,CURR_1.SEARCH.NEW,0)),'DICTIONARY-5'!$A$2)</f>
        <v>na zapytanie</v>
      </c>
      <c r="F21" s="339" t="str">
        <f>IFERROR(IF(OR(D21='DICTIONARY-5'!$A$2,D21='DICTIONARY-5'!$A$4,ISBLANK(D21)),VLOOKUP(C21,LIST!$A$6:$M$3250,CURR_2.SEARCH.OLD,0),VLOOKUP(D21,LIST!$B$6:$M$3250,CURR_2.SEARCH.NEW,0)),'DICTIONARY-5'!$A$2)</f>
        <v/>
      </c>
    </row>
    <row r="23" spans="1:6" x14ac:dyDescent="0.25">
      <c r="A23" s="246" t="str">
        <f>"1) "&amp;'DICTIONARY-5'!$A$85&amp;" - "&amp;'DICTIONARY-5'!$A$88</f>
        <v>1) Głębokość zabudowy - mierzona od górnej krawędzi rury do wierzchu terenu</v>
      </c>
    </row>
  </sheetData>
  <sheetProtection algorithmName="SHA-512" hashValue="eRduFVMtSCxZZdqmjBRslJDkFaJgBGwulYhcG7ykcBJYMv6mWctSeOmtmEQdYzhe7o0VeKQz5W73SClQQ1aUXg==" saltValue="df04JnOPMGl2I9I/TbnI7w==" spinCount="100000" sheet="1" objects="1" scenarios="1" autoFilter="0"/>
  <mergeCells count="3">
    <mergeCell ref="C10:F10"/>
    <mergeCell ref="C11:F11"/>
    <mergeCell ref="B4:E4"/>
  </mergeCells>
  <pageMargins left="0.7" right="0.7" top="0.78740157499999996" bottom="0.78740157499999996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79">
    <tabColor rgb="FF0F6E23"/>
  </sheetPr>
  <dimension ref="A1:H26"/>
  <sheetViews>
    <sheetView workbookViewId="0"/>
  </sheetViews>
  <sheetFormatPr defaultColWidth="9.140625" defaultRowHeight="15" x14ac:dyDescent="0.25"/>
  <cols>
    <col min="1" max="2" width="11.42578125" style="230" customWidth="1"/>
    <col min="3" max="3" width="28.5703125" style="230" bestFit="1" customWidth="1"/>
    <col min="4" max="4" width="17.140625" style="230" customWidth="1"/>
    <col min="5" max="6" width="22.140625" style="230" customWidth="1"/>
    <col min="7" max="8" width="12.85546875" style="228" customWidth="1"/>
    <col min="9" max="16384" width="9.140625" style="231"/>
  </cols>
  <sheetData>
    <row r="1" spans="1:8" s="398" customFormat="1" ht="45" customHeight="1" thickBot="1" x14ac:dyDescent="0.3">
      <c r="A1" s="427"/>
      <c r="B1" s="427"/>
      <c r="C1" s="427"/>
      <c r="D1" s="830"/>
      <c r="E1" s="427"/>
      <c r="F1" s="399"/>
      <c r="G1" s="397"/>
      <c r="H1" s="397"/>
    </row>
    <row r="2" spans="1:8" s="454" customFormat="1" ht="4.5" customHeight="1" x14ac:dyDescent="0.25">
      <c r="A2" s="451"/>
      <c r="B2" s="452"/>
      <c r="C2" s="452"/>
      <c r="D2" s="452"/>
      <c r="E2" s="452"/>
      <c r="F2" s="452"/>
      <c r="G2" s="453"/>
      <c r="H2" s="453"/>
    </row>
    <row r="3" spans="1:8" ht="15.75" thickBot="1" x14ac:dyDescent="0.3">
      <c r="A3" s="232"/>
      <c r="B3" s="233"/>
      <c r="C3" s="233"/>
      <c r="D3" s="233"/>
    </row>
    <row r="4" spans="1:8" ht="15.75" thickBot="1" x14ac:dyDescent="0.3">
      <c r="A4" s="820">
        <f>ADD.DISCOUNT</f>
        <v>0</v>
      </c>
      <c r="B4" s="933" t="str">
        <f>HYPERLINK("#'LIST'!ADD.DISCOUNT","» "&amp;'DICTIONARY-1'!$A$5)</f>
        <v>» Ustaw globalny dodatkowy rabat</v>
      </c>
      <c r="C4" s="1037"/>
      <c r="D4" s="1037"/>
      <c r="E4" s="1037"/>
      <c r="F4" s="1038"/>
    </row>
    <row r="5" spans="1:8" x14ac:dyDescent="0.25">
      <c r="A5" s="232"/>
      <c r="B5" s="233"/>
      <c r="C5" s="233"/>
      <c r="D5" s="233"/>
    </row>
    <row r="6" spans="1:8" ht="16.5" thickBot="1" x14ac:dyDescent="0.3">
      <c r="A6" s="712" t="str">
        <f>CONCATENATE('DICTIONARY-3'!$A$138," ",'DICTIONARY-3'!$A$219," / ",PROPER('DICTIONARY-5'!$A$7)," ",'DICTIONARY-3'!$A$144," ",'DICTIONARY-1'!$A$28)</f>
        <v>VA-TELESKOP Obudowa ziemna / Dla EKN Przepustnice</v>
      </c>
      <c r="B6" s="712"/>
      <c r="C6" s="712"/>
      <c r="D6" s="831"/>
      <c r="E6" s="712"/>
      <c r="F6" s="712"/>
      <c r="G6" s="712"/>
      <c r="H6" s="712"/>
    </row>
    <row r="7" spans="1:8" x14ac:dyDescent="0.25">
      <c r="A7" s="235" t="str">
        <f>CONCATENATE('DICTIONARY-5'!$A$170," ",LOWER('DICTIONARY-3'!$A$219))</f>
        <v>Teleskopowa obudowa ziemna</v>
      </c>
    </row>
    <row r="8" spans="1:8" x14ac:dyDescent="0.25">
      <c r="A8" s="235" t="str">
        <f>CONCATENATE('DICTIONARY-1'!$A$10,": ",SETTINGS!$C$73)</f>
        <v>Grupa rabatowa: Telemax Niro/PATENTplus/VA-TELESKOP</v>
      </c>
    </row>
    <row r="9" spans="1:8" x14ac:dyDescent="0.25">
      <c r="A9" s="236"/>
    </row>
    <row r="10" spans="1:8" x14ac:dyDescent="0.25">
      <c r="A10" s="237" t="str">
        <f>'DICTIONARY-2'!$A$2</f>
        <v>DN</v>
      </c>
      <c r="B10" s="237" t="str">
        <f>'DICTIONARY-2'!$A$7&amp;" 1)"</f>
        <v>Rd 1)</v>
      </c>
      <c r="C10" s="237" t="str">
        <f>'DICTIONARY-3'!$A$352</f>
        <v>Przekładnia</v>
      </c>
      <c r="D10" s="1036" t="str">
        <f>'DICTIONARY-5'!$A$213</f>
        <v>Wał wyjściowy przekładni</v>
      </c>
      <c r="E10" s="1036" t="str">
        <f>'DICTIONARY-3'!$A$138</f>
        <v>VA-TELESKOP</v>
      </c>
      <c r="F10" s="1036"/>
      <c r="G10" s="1036"/>
      <c r="H10" s="1036"/>
    </row>
    <row r="11" spans="1:8" x14ac:dyDescent="0.25">
      <c r="A11" s="244"/>
      <c r="B11" s="244"/>
      <c r="C11" s="244"/>
      <c r="D11" s="1041"/>
      <c r="E11" s="1035" t="str">
        <f>'DICTIONARY-5'!$A$171&amp;": 27 mm"</f>
        <v>górny kwadrat pod klucz: 27 mm</v>
      </c>
      <c r="F11" s="1035"/>
      <c r="G11" s="1035"/>
      <c r="H11" s="1035"/>
    </row>
    <row r="12" spans="1:8" x14ac:dyDescent="0.25">
      <c r="A12" s="238"/>
      <c r="B12" s="238" t="str">
        <f>'DICTIONARY-2'!$A$19</f>
        <v>[m]</v>
      </c>
      <c r="C12" s="238"/>
      <c r="D12" s="238" t="str">
        <f>'DICTIONARY-2'!$A$18</f>
        <v>[mm]</v>
      </c>
      <c r="E12" s="239" t="str">
        <f>'DICTIONARY-2'!$A$28</f>
        <v>stary nr zamówienia</v>
      </c>
      <c r="F12" s="239" t="str">
        <f>'DICTIONARY-2'!$A$29</f>
        <v>nowy nr zamówienia</v>
      </c>
      <c r="G12" s="240" t="str">
        <f>CURRENCY.CODE_1</f>
        <v>EUR</v>
      </c>
      <c r="H12" s="240" t="str">
        <f>CURRENCY.CODE_2</f>
        <v>---</v>
      </c>
    </row>
    <row r="13" spans="1:8" x14ac:dyDescent="0.25">
      <c r="A13" s="248" t="s">
        <v>8084</v>
      </c>
      <c r="B13" s="754" t="s">
        <v>8088</v>
      </c>
      <c r="C13" s="794" t="s">
        <v>8091</v>
      </c>
      <c r="D13" s="754" t="s">
        <v>8255</v>
      </c>
      <c r="E13" s="715" t="s">
        <v>2283</v>
      </c>
      <c r="F13" s="716" t="s">
        <v>4651</v>
      </c>
      <c r="G13" s="339" t="str">
        <f>IFERROR(IF(OR(F13='DICTIONARY-5'!$A$2,F13='DICTIONARY-5'!$A$4,ISBLANK(F13)),VLOOKUP(E13,LIST!$A$6:$L$3250,CURR_1.SEARCH.OLD,0),VLOOKUP(F13,LIST!$B$6:$L$3250,CURR_1.SEARCH.NEW,0)),'DICTIONARY-5'!$A$2)</f>
        <v>141,-</v>
      </c>
      <c r="H13" s="339" t="str">
        <f>IFERROR(IF(OR(F13='DICTIONARY-5'!$A$2,F13='DICTIONARY-5'!$A$4,ISBLANK(F13)),VLOOKUP(E13,LIST!$A$6:$M$3250,CURR_2.SEARCH.OLD,0),VLOOKUP(F13,LIST!$B$6:$M$3250,CURR_2.SEARCH.NEW,0)),'DICTIONARY-5'!$A$2)</f>
        <v/>
      </c>
    </row>
    <row r="14" spans="1:8" x14ac:dyDescent="0.25">
      <c r="A14" s="248" t="s">
        <v>8085</v>
      </c>
      <c r="B14" s="754" t="s">
        <v>8088</v>
      </c>
      <c r="C14" s="794" t="s">
        <v>8252</v>
      </c>
      <c r="D14" s="754" t="s">
        <v>8256</v>
      </c>
      <c r="E14" s="715" t="s">
        <v>2289</v>
      </c>
      <c r="F14" s="716" t="s">
        <v>4652</v>
      </c>
      <c r="G14" s="339" t="str">
        <f>IFERROR(IF(OR(F14='DICTIONARY-5'!$A$2,F14='DICTIONARY-5'!$A$4,ISBLANK(F14)),VLOOKUP(E14,LIST!$A$6:$L$3250,CURR_1.SEARCH.OLD,0),VLOOKUP(F14,LIST!$B$6:$L$3250,CURR_1.SEARCH.NEW,0)),'DICTIONARY-5'!$A$2)</f>
        <v>180,-</v>
      </c>
      <c r="H14" s="339" t="str">
        <f>IFERROR(IF(OR(F14='DICTIONARY-5'!$A$2,F14='DICTIONARY-5'!$A$4,ISBLANK(F14)),VLOOKUP(E14,LIST!$A$6:$M$3250,CURR_2.SEARCH.OLD,0),VLOOKUP(F14,LIST!$B$6:$M$3250,CURR_2.SEARCH.NEW,0)),'DICTIONARY-5'!$A$2)</f>
        <v/>
      </c>
    </row>
    <row r="15" spans="1:8" x14ac:dyDescent="0.25">
      <c r="A15" s="248" t="s">
        <v>8086</v>
      </c>
      <c r="B15" s="754" t="s">
        <v>8088</v>
      </c>
      <c r="C15" s="794" t="s">
        <v>8253</v>
      </c>
      <c r="D15" s="754" t="s">
        <v>8257</v>
      </c>
      <c r="E15" s="715" t="s">
        <v>2292</v>
      </c>
      <c r="F15" s="716" t="s">
        <v>4653</v>
      </c>
      <c r="G15" s="339" t="str">
        <f>IFERROR(IF(OR(F15='DICTIONARY-5'!$A$2,F15='DICTIONARY-5'!$A$4,ISBLANK(F15)),VLOOKUP(E15,LIST!$A$6:$L$3250,CURR_1.SEARCH.OLD,0),VLOOKUP(F15,LIST!$B$6:$L$3250,CURR_1.SEARCH.NEW,0)),'DICTIONARY-5'!$A$2)</f>
        <v>159,-</v>
      </c>
      <c r="H15" s="339" t="str">
        <f>IFERROR(IF(OR(F15='DICTIONARY-5'!$A$2,F15='DICTIONARY-5'!$A$4,ISBLANK(F15)),VLOOKUP(E15,LIST!$A$6:$M$3250,CURR_2.SEARCH.OLD,0),VLOOKUP(F15,LIST!$B$6:$M$3250,CURR_2.SEARCH.NEW,0)),'DICTIONARY-5'!$A$2)</f>
        <v/>
      </c>
    </row>
    <row r="16" spans="1:8" x14ac:dyDescent="0.25">
      <c r="A16" s="248" t="s">
        <v>8087</v>
      </c>
      <c r="B16" s="754" t="s">
        <v>8088</v>
      </c>
      <c r="C16" s="794" t="s">
        <v>8254</v>
      </c>
      <c r="D16" s="754" t="s">
        <v>8257</v>
      </c>
      <c r="E16" s="715" t="s">
        <v>2286</v>
      </c>
      <c r="F16" s="716" t="s">
        <v>4654</v>
      </c>
      <c r="G16" s="339" t="str">
        <f>IFERROR(IF(OR(F16='DICTIONARY-5'!$A$2,F16='DICTIONARY-5'!$A$4,ISBLANK(F16)),VLOOKUP(E16,LIST!$A$6:$L$3250,CURR_1.SEARCH.OLD,0),VLOOKUP(F16,LIST!$B$6:$L$3250,CURR_1.SEARCH.NEW,0)),'DICTIONARY-5'!$A$2)</f>
        <v>160,-</v>
      </c>
      <c r="H16" s="339" t="str">
        <f>IFERROR(IF(OR(F16='DICTIONARY-5'!$A$2,F16='DICTIONARY-5'!$A$4,ISBLANK(F16)),VLOOKUP(E16,LIST!$A$6:$M$3250,CURR_2.SEARCH.OLD,0),VLOOKUP(F16,LIST!$B$6:$M$3250,CURR_2.SEARCH.NEW,0)),'DICTIONARY-5'!$A$2)</f>
        <v/>
      </c>
    </row>
    <row r="17" spans="1:8" x14ac:dyDescent="0.25">
      <c r="A17" s="248" t="s">
        <v>8084</v>
      </c>
      <c r="B17" s="754" t="s">
        <v>8089</v>
      </c>
      <c r="C17" s="794" t="s">
        <v>8252</v>
      </c>
      <c r="D17" s="754" t="s">
        <v>8256</v>
      </c>
      <c r="E17" s="715" t="s">
        <v>2290</v>
      </c>
      <c r="F17" s="716" t="s">
        <v>4655</v>
      </c>
      <c r="G17" s="339" t="str">
        <f>IFERROR(IF(OR(F17='DICTIONARY-5'!$A$2,F17='DICTIONARY-5'!$A$4,ISBLANK(F17)),VLOOKUP(E17,LIST!$A$6:$L$3250,CURR_1.SEARCH.OLD,0),VLOOKUP(F17,LIST!$B$6:$L$3250,CURR_1.SEARCH.NEW,0)),'DICTIONARY-5'!$A$2)</f>
        <v>218,-</v>
      </c>
      <c r="H17" s="339" t="str">
        <f>IFERROR(IF(OR(F17='DICTIONARY-5'!$A$2,F17='DICTIONARY-5'!$A$4,ISBLANK(F17)),VLOOKUP(E17,LIST!$A$6:$M$3250,CURR_2.SEARCH.OLD,0),VLOOKUP(F17,LIST!$B$6:$M$3250,CURR_2.SEARCH.NEW,0)),'DICTIONARY-5'!$A$2)</f>
        <v/>
      </c>
    </row>
    <row r="18" spans="1:8" x14ac:dyDescent="0.25">
      <c r="A18" s="248" t="s">
        <v>8085</v>
      </c>
      <c r="B18" s="754" t="s">
        <v>8089</v>
      </c>
      <c r="C18" s="794" t="s">
        <v>8091</v>
      </c>
      <c r="D18" s="754" t="s">
        <v>8255</v>
      </c>
      <c r="E18" s="715" t="s">
        <v>2284</v>
      </c>
      <c r="F18" s="716" t="s">
        <v>4656</v>
      </c>
      <c r="G18" s="339" t="str">
        <f>IFERROR(IF(OR(F18='DICTIONARY-5'!$A$2,F18='DICTIONARY-5'!$A$4,ISBLANK(F18)),VLOOKUP(E18,LIST!$A$6:$L$3250,CURR_1.SEARCH.OLD,0),VLOOKUP(F18,LIST!$B$6:$L$3250,CURR_1.SEARCH.NEW,0)),'DICTIONARY-5'!$A$2)</f>
        <v>150,-</v>
      </c>
      <c r="H18" s="339" t="str">
        <f>IFERROR(IF(OR(F18='DICTIONARY-5'!$A$2,F18='DICTIONARY-5'!$A$4,ISBLANK(F18)),VLOOKUP(E18,LIST!$A$6:$M$3250,CURR_2.SEARCH.OLD,0),VLOOKUP(F18,LIST!$B$6:$M$3250,CURR_2.SEARCH.NEW,0)),'DICTIONARY-5'!$A$2)</f>
        <v/>
      </c>
    </row>
    <row r="19" spans="1:8" x14ac:dyDescent="0.25">
      <c r="A19" s="248" t="s">
        <v>8086</v>
      </c>
      <c r="B19" s="754" t="s">
        <v>8089</v>
      </c>
      <c r="C19" s="794" t="s">
        <v>8253</v>
      </c>
      <c r="D19" s="754" t="s">
        <v>8257</v>
      </c>
      <c r="E19" s="715" t="s">
        <v>2293</v>
      </c>
      <c r="F19" s="716" t="s">
        <v>4657</v>
      </c>
      <c r="G19" s="339" t="str">
        <f>IFERROR(IF(OR(F19='DICTIONARY-5'!$A$2,F19='DICTIONARY-5'!$A$4,ISBLANK(F19)),VLOOKUP(E19,LIST!$A$6:$L$3250,CURR_1.SEARCH.OLD,0),VLOOKUP(F19,LIST!$B$6:$L$3250,CURR_1.SEARCH.NEW,0)),'DICTIONARY-5'!$A$2)</f>
        <v>185,-</v>
      </c>
      <c r="H19" s="339" t="str">
        <f>IFERROR(IF(OR(F19='DICTIONARY-5'!$A$2,F19='DICTIONARY-5'!$A$4,ISBLANK(F19)),VLOOKUP(E19,LIST!$A$6:$M$3250,CURR_2.SEARCH.OLD,0),VLOOKUP(F19,LIST!$B$6:$M$3250,CURR_2.SEARCH.NEW,0)),'DICTIONARY-5'!$A$2)</f>
        <v/>
      </c>
    </row>
    <row r="20" spans="1:8" x14ac:dyDescent="0.25">
      <c r="A20" s="248" t="s">
        <v>8087</v>
      </c>
      <c r="B20" s="754" t="s">
        <v>8089</v>
      </c>
      <c r="C20" s="794" t="s">
        <v>8254</v>
      </c>
      <c r="D20" s="754" t="s">
        <v>8257</v>
      </c>
      <c r="E20" s="715" t="s">
        <v>2287</v>
      </c>
      <c r="F20" s="716" t="s">
        <v>4658</v>
      </c>
      <c r="G20" s="339" t="str">
        <f>IFERROR(IF(OR(F20='DICTIONARY-5'!$A$2,F20='DICTIONARY-5'!$A$4,ISBLANK(F20)),VLOOKUP(E20,LIST!$A$6:$L$3250,CURR_1.SEARCH.OLD,0),VLOOKUP(F20,LIST!$B$6:$L$3250,CURR_1.SEARCH.NEW,0)),'DICTIONARY-5'!$A$2)</f>
        <v>172,-</v>
      </c>
      <c r="H20" s="339" t="str">
        <f>IFERROR(IF(OR(F20='DICTIONARY-5'!$A$2,F20='DICTIONARY-5'!$A$4,ISBLANK(F20)),VLOOKUP(E20,LIST!$A$6:$M$3250,CURR_2.SEARCH.OLD,0),VLOOKUP(F20,LIST!$B$6:$M$3250,CURR_2.SEARCH.NEW,0)),'DICTIONARY-5'!$A$2)</f>
        <v/>
      </c>
    </row>
    <row r="21" spans="1:8" x14ac:dyDescent="0.25">
      <c r="A21" s="248" t="s">
        <v>8084</v>
      </c>
      <c r="B21" s="754" t="s">
        <v>8090</v>
      </c>
      <c r="C21" s="794" t="s">
        <v>8254</v>
      </c>
      <c r="D21" s="754" t="s">
        <v>8257</v>
      </c>
      <c r="E21" s="715" t="s">
        <v>2288</v>
      </c>
      <c r="F21" s="716" t="s">
        <v>4659</v>
      </c>
      <c r="G21" s="339" t="str">
        <f>IFERROR(IF(OR(F21='DICTIONARY-5'!$A$2,F21='DICTIONARY-5'!$A$4,ISBLANK(F21)),VLOOKUP(E21,LIST!$A$6:$L$3250,CURR_1.SEARCH.OLD,0),VLOOKUP(F21,LIST!$B$6:$L$3250,CURR_1.SEARCH.NEW,0)),'DICTIONARY-5'!$A$2)</f>
        <v>243,-</v>
      </c>
      <c r="H21" s="339" t="str">
        <f>IFERROR(IF(OR(F21='DICTIONARY-5'!$A$2,F21='DICTIONARY-5'!$A$4,ISBLANK(F21)),VLOOKUP(E21,LIST!$A$6:$M$3250,CURR_2.SEARCH.OLD,0),VLOOKUP(F21,LIST!$B$6:$M$3250,CURR_2.SEARCH.NEW,0)),'DICTIONARY-5'!$A$2)</f>
        <v/>
      </c>
    </row>
    <row r="22" spans="1:8" x14ac:dyDescent="0.25">
      <c r="A22" s="248" t="s">
        <v>8085</v>
      </c>
      <c r="B22" s="754" t="s">
        <v>8090</v>
      </c>
      <c r="C22" s="794" t="s">
        <v>8091</v>
      </c>
      <c r="D22" s="754" t="s">
        <v>8255</v>
      </c>
      <c r="E22" s="715" t="s">
        <v>2285</v>
      </c>
      <c r="F22" s="716" t="s">
        <v>4660</v>
      </c>
      <c r="G22" s="339" t="str">
        <f>IFERROR(IF(OR(F22='DICTIONARY-5'!$A$2,F22='DICTIONARY-5'!$A$4,ISBLANK(F22)),VLOOKUP(E22,LIST!$A$6:$L$3250,CURR_1.SEARCH.OLD,0),VLOOKUP(F22,LIST!$B$6:$L$3250,CURR_1.SEARCH.NEW,0)),'DICTIONARY-5'!$A$2)</f>
        <v>224,-</v>
      </c>
      <c r="H22" s="339" t="str">
        <f>IFERROR(IF(OR(F22='DICTIONARY-5'!$A$2,F22='DICTIONARY-5'!$A$4,ISBLANK(F22)),VLOOKUP(E22,LIST!$A$6:$M$3250,CURR_2.SEARCH.OLD,0),VLOOKUP(F22,LIST!$B$6:$M$3250,CURR_2.SEARCH.NEW,0)),'DICTIONARY-5'!$A$2)</f>
        <v/>
      </c>
    </row>
    <row r="23" spans="1:8" x14ac:dyDescent="0.25">
      <c r="A23" s="248" t="s">
        <v>8086</v>
      </c>
      <c r="B23" s="754" t="s">
        <v>8090</v>
      </c>
      <c r="C23" s="794" t="s">
        <v>8253</v>
      </c>
      <c r="D23" s="754" t="s">
        <v>8257</v>
      </c>
      <c r="E23" s="715" t="s">
        <v>2294</v>
      </c>
      <c r="F23" s="716" t="s">
        <v>4661</v>
      </c>
      <c r="G23" s="339" t="str">
        <f>IFERROR(IF(OR(F23='DICTIONARY-5'!$A$2,F23='DICTIONARY-5'!$A$4,ISBLANK(F23)),VLOOKUP(E23,LIST!$A$6:$L$3250,CURR_1.SEARCH.OLD,0),VLOOKUP(F23,LIST!$B$6:$L$3250,CURR_1.SEARCH.NEW,0)),'DICTIONARY-5'!$A$2)</f>
        <v>251,-</v>
      </c>
      <c r="H23" s="339" t="str">
        <f>IFERROR(IF(OR(F23='DICTIONARY-5'!$A$2,F23='DICTIONARY-5'!$A$4,ISBLANK(F23)),VLOOKUP(E23,LIST!$A$6:$M$3250,CURR_2.SEARCH.OLD,0),VLOOKUP(F23,LIST!$B$6:$M$3250,CURR_2.SEARCH.NEW,0)),'DICTIONARY-5'!$A$2)</f>
        <v/>
      </c>
    </row>
    <row r="24" spans="1:8" x14ac:dyDescent="0.25">
      <c r="A24" s="248" t="s">
        <v>8087</v>
      </c>
      <c r="B24" s="754" t="s">
        <v>8090</v>
      </c>
      <c r="C24" s="794" t="s">
        <v>8252</v>
      </c>
      <c r="D24" s="754" t="s">
        <v>8256</v>
      </c>
      <c r="E24" s="715" t="s">
        <v>2291</v>
      </c>
      <c r="F24" s="716" t="s">
        <v>4662</v>
      </c>
      <c r="G24" s="339" t="str">
        <f>IFERROR(IF(OR(F24='DICTIONARY-5'!$A$2,F24='DICTIONARY-5'!$A$4,ISBLANK(F24)),VLOOKUP(E24,LIST!$A$6:$L$3250,CURR_1.SEARCH.OLD,0),VLOOKUP(F24,LIST!$B$6:$L$3250,CURR_1.SEARCH.NEW,0)),'DICTIONARY-5'!$A$2)</f>
        <v>282,-</v>
      </c>
      <c r="H24" s="339" t="str">
        <f>IFERROR(IF(OR(F24='DICTIONARY-5'!$A$2,F24='DICTIONARY-5'!$A$4,ISBLANK(F24)),VLOOKUP(E24,LIST!$A$6:$M$3250,CURR_2.SEARCH.OLD,0),VLOOKUP(F24,LIST!$B$6:$M$3250,CURR_2.SEARCH.NEW,0)),'DICTIONARY-5'!$A$2)</f>
        <v/>
      </c>
    </row>
    <row r="26" spans="1:8" x14ac:dyDescent="0.25">
      <c r="A26" s="246" t="str">
        <f>"1) "&amp;'DICTIONARY-5'!$A$85&amp;" - "&amp;'DICTIONARY-5'!$A$88</f>
        <v>1) Głębokość zabudowy - mierzona od górnej krawędzi rury do wierzchu terenu</v>
      </c>
    </row>
  </sheetData>
  <sheetProtection algorithmName="SHA-512" hashValue="d9znHCfFy7Mo64YgLvYFuZy2GiP1nwi/A+McvPg2pXZU7bVQ4UXWipzwCXGXnnHrVvi/hOH6ESl4BxM9mJ3QfQ==" saltValue="Lgy0COXCznOjxbUCyDJHYw==" spinCount="100000" sheet="1" objects="1" scenarios="1" autoFilter="0"/>
  <mergeCells count="4">
    <mergeCell ref="B4:F4"/>
    <mergeCell ref="E11:H11"/>
    <mergeCell ref="E10:H10"/>
    <mergeCell ref="D10:D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0">
    <tabColor rgb="FF0F6E23"/>
  </sheetPr>
  <dimension ref="A1:I15"/>
  <sheetViews>
    <sheetView workbookViewId="0"/>
  </sheetViews>
  <sheetFormatPr defaultColWidth="9.140625" defaultRowHeight="15" x14ac:dyDescent="0.25"/>
  <cols>
    <col min="1" max="1" width="20.5703125" style="230" customWidth="1"/>
    <col min="2" max="3" width="22.140625" style="230" customWidth="1"/>
    <col min="4" max="5" width="12.85546875" style="228" customWidth="1"/>
    <col min="6" max="7" width="22.140625" style="231" customWidth="1"/>
    <col min="8" max="9" width="12.85546875" style="231" customWidth="1"/>
    <col min="10" max="16384" width="9.140625" style="231"/>
  </cols>
  <sheetData>
    <row r="1" spans="1:9" s="398" customFormat="1" ht="45" customHeight="1" thickBot="1" x14ac:dyDescent="0.3">
      <c r="A1" s="427"/>
      <c r="B1" s="427"/>
      <c r="C1" s="427"/>
      <c r="D1" s="397"/>
      <c r="E1" s="397"/>
    </row>
    <row r="2" spans="1:9" s="454" customFormat="1" ht="4.5" customHeight="1" x14ac:dyDescent="0.25">
      <c r="A2" s="451"/>
      <c r="B2" s="452"/>
      <c r="C2" s="452"/>
      <c r="D2" s="453"/>
      <c r="E2" s="453"/>
    </row>
    <row r="3" spans="1:9" ht="15.75" thickBot="1" x14ac:dyDescent="0.3">
      <c r="A3" s="232"/>
      <c r="B3" s="233"/>
      <c r="C3" s="233"/>
    </row>
    <row r="4" spans="1:9" ht="15.75" thickBot="1" x14ac:dyDescent="0.3">
      <c r="A4" s="820">
        <f>ADD.DISCOUNT</f>
        <v>0</v>
      </c>
      <c r="B4" s="933" t="str">
        <f>HYPERLINK("#'LIST'!ADD.DISCOUNT","» "&amp;'DICTIONARY-1'!$A$5)</f>
        <v>» Ustaw globalny dodatkowy rabat</v>
      </c>
      <c r="C4" s="1037"/>
      <c r="D4" s="1037"/>
      <c r="E4" s="1038"/>
    </row>
    <row r="5" spans="1:9" x14ac:dyDescent="0.25">
      <c r="A5" s="232"/>
      <c r="B5" s="233"/>
      <c r="C5" s="233"/>
    </row>
    <row r="6" spans="1:9" ht="16.5" thickBot="1" x14ac:dyDescent="0.3">
      <c r="A6" s="712" t="str">
        <f>CONCATENATE('DICTIONARY-3'!$A$129," ",'DICTIONARY-3'!$A$220)</f>
        <v>RAMBO Skrzynka</v>
      </c>
      <c r="B6" s="712"/>
      <c r="C6" s="712"/>
      <c r="D6" s="712"/>
      <c r="E6" s="712"/>
      <c r="F6" s="712"/>
      <c r="G6" s="712"/>
      <c r="H6" s="712"/>
      <c r="I6" s="712"/>
    </row>
    <row r="7" spans="1:9" x14ac:dyDescent="0.25">
      <c r="A7" s="249" t="str">
        <f>CONCATENATE('DICTIONARY-1'!$A$10,": ",SETTINGS!$C$89)</f>
        <v>Grupa rabatowa: STREET CAPS</v>
      </c>
    </row>
    <row r="8" spans="1:9" x14ac:dyDescent="0.25">
      <c r="A8" s="234"/>
    </row>
    <row r="9" spans="1:9" x14ac:dyDescent="0.25">
      <c r="A9" s="237" t="str">
        <f>'DICTIONARY-2'!$A$36</f>
        <v>Typ</v>
      </c>
      <c r="B9" s="1042" t="str">
        <f>'DICTIONARY-3'!$A$129</f>
        <v>RAMBO</v>
      </c>
      <c r="C9" s="1043"/>
      <c r="D9" s="1043"/>
      <c r="E9" s="1044"/>
      <c r="F9" s="1042" t="str">
        <f>LOWER('DICTIONARY-3'!$A$221)</f>
        <v>płyta podkładowa</v>
      </c>
      <c r="G9" s="1043"/>
      <c r="H9" s="1043"/>
      <c r="I9" s="1044"/>
    </row>
    <row r="10" spans="1:9" x14ac:dyDescent="0.25">
      <c r="A10" s="244"/>
      <c r="B10" s="1045"/>
      <c r="C10" s="1046"/>
      <c r="D10" s="1046"/>
      <c r="E10" s="1047"/>
      <c r="F10" s="1045"/>
      <c r="G10" s="1046"/>
      <c r="H10" s="1046"/>
      <c r="I10" s="1047"/>
    </row>
    <row r="11" spans="1:9" x14ac:dyDescent="0.25">
      <c r="A11" s="238"/>
      <c r="B11" s="239" t="str">
        <f>'DICTIONARY-2'!$A$28</f>
        <v>stary nr zamówienia</v>
      </c>
      <c r="C11" s="239" t="str">
        <f>'DICTIONARY-2'!$A$29</f>
        <v>nowy nr zamówienia</v>
      </c>
      <c r="D11" s="240" t="str">
        <f>CURRENCY.CODE_1</f>
        <v>EUR</v>
      </c>
      <c r="E11" s="240" t="str">
        <f>CURRENCY.CODE_2</f>
        <v>---</v>
      </c>
      <c r="F11" s="239" t="str">
        <f>'DICTIONARY-2'!$A$28</f>
        <v>stary nr zamówienia</v>
      </c>
      <c r="G11" s="239" t="str">
        <f>'DICTIONARY-2'!$A$29</f>
        <v>nowy nr zamówienia</v>
      </c>
      <c r="H11" s="240" t="str">
        <f>CURRENCY.CODE_1</f>
        <v>EUR</v>
      </c>
      <c r="I11" s="240" t="str">
        <f>CURRENCY.CODE_2</f>
        <v>---</v>
      </c>
    </row>
    <row r="12" spans="1:9" x14ac:dyDescent="0.25">
      <c r="A12" s="250" t="str">
        <f>'DICTIONARY-5'!$A$165</f>
        <v>Zasuwowa</v>
      </c>
      <c r="B12" s="241" t="s">
        <v>2297</v>
      </c>
      <c r="C12" s="348" t="s">
        <v>4871</v>
      </c>
      <c r="D12" s="339" t="str">
        <f>IFERROR(IF(OR(C12='DICTIONARY-5'!$A$2,C12='DICTIONARY-5'!$A$4,ISBLANK(C12)),VLOOKUP(B12,LIST!$A$6:$L$3250,CURR_1.SEARCH.OLD,0),VLOOKUP(C12,LIST!$B$6:$L$3250,CURR_1.SEARCH.NEW,0)),'DICTIONARY-5'!$A$2)</f>
        <v>61,-</v>
      </c>
      <c r="E12" s="339" t="str">
        <f>IFERROR(IF(OR(C12='DICTIONARY-5'!$A$2,C12='DICTIONARY-5'!$A$4,ISBLANK(C12)),VLOOKUP(B12,LIST!$A$6:$M$3250,CURR_2.SEARCH.OLD,0),VLOOKUP(C12,LIST!$B$6:$M$3250,CURR_2.SEARCH.NEW,0)),'DICTIONARY-5'!$A$2)</f>
        <v/>
      </c>
      <c r="F12" s="791" t="s">
        <v>7982</v>
      </c>
      <c r="G12" s="790" t="s">
        <v>7981</v>
      </c>
      <c r="H12" s="339" t="str">
        <f>IFERROR(IF(OR(G12='DICTIONARY-5'!$A$2,G12='DICTIONARY-5'!$A$4,ISBLANK(G12)),VLOOKUP(F12,LIST!$A$6:$L$3250,CURR_1.SEARCH.OLD,0),VLOOKUP(G12,LIST!$B$6:$L$3250,CURR_1.SEARCH.NEW,0)),'DICTIONARY-5'!$A$2)</f>
        <v>15,-</v>
      </c>
      <c r="I12" s="339" t="str">
        <f>IFERROR(IF(OR(G12='DICTIONARY-5'!$A$2,G12='DICTIONARY-5'!$A$4,ISBLANK(G12)),VLOOKUP(F12,LIST!$A$6:$M$3250,CURR_2.SEARCH.OLD,0),VLOOKUP(G12,LIST!$B$6:$M$3250,CURR_2.SEARCH.NEW,0)),'DICTIONARY-5'!$A$2)</f>
        <v/>
      </c>
    </row>
    <row r="13" spans="1:9" x14ac:dyDescent="0.25">
      <c r="A13" s="250" t="str">
        <f>'DICTIONARY-5'!$A$166</f>
        <v>Zaworowa</v>
      </c>
      <c r="B13" s="241" t="s">
        <v>2299</v>
      </c>
      <c r="C13" s="311" t="s">
        <v>4872</v>
      </c>
      <c r="D13" s="339" t="str">
        <f>IFERROR(IF(OR(C13='DICTIONARY-5'!$A$2,C13='DICTIONARY-5'!$A$4,ISBLANK(C13)),VLOOKUP(B13,LIST!$A$6:$L$3250,CURR_1.SEARCH.OLD,0),VLOOKUP(C13,LIST!$B$6:$L$3250,CURR_1.SEARCH.NEW,0)),'DICTIONARY-5'!$A$2)</f>
        <v>33,-</v>
      </c>
      <c r="E13" s="339" t="str">
        <f>IFERROR(IF(OR(C13='DICTIONARY-5'!$A$2,C13='DICTIONARY-5'!$A$4,ISBLANK(C13)),VLOOKUP(B13,LIST!$A$6:$M$3250,CURR_2.SEARCH.OLD,0),VLOOKUP(C13,LIST!$B$6:$M$3250,CURR_2.SEARCH.NEW,0)),'DICTIONARY-5'!$A$2)</f>
        <v/>
      </c>
      <c r="F13" s="106" t="s">
        <v>7984</v>
      </c>
      <c r="G13" s="305" t="s">
        <v>7983</v>
      </c>
      <c r="H13" s="339" t="str">
        <f>IFERROR(IF(OR(G13='DICTIONARY-5'!$A$2,G13='DICTIONARY-5'!$A$4,ISBLANK(G13)),VLOOKUP(F13,LIST!$A$6:$L$3250,CURR_1.SEARCH.OLD,0),VLOOKUP(G13,LIST!$B$6:$L$3250,CURR_1.SEARCH.NEW,0)),'DICTIONARY-5'!$A$2)</f>
        <v>5,-</v>
      </c>
      <c r="I13" s="339" t="str">
        <f>IFERROR(IF(OR(G13='DICTIONARY-5'!$A$2,G13='DICTIONARY-5'!$A$4,ISBLANK(G13)),VLOOKUP(F13,LIST!$A$6:$M$3250,CURR_2.SEARCH.OLD,0),VLOOKUP(G13,LIST!$B$6:$M$3250,CURR_2.SEARCH.NEW,0)),'DICTIONARY-5'!$A$2)</f>
        <v/>
      </c>
    </row>
    <row r="14" spans="1:9" x14ac:dyDescent="0.25">
      <c r="A14" s="250" t="str">
        <f>'DICTIONARY-5'!$A$167&amp;" DN 80"</f>
        <v>Hydrantowa DN 80</v>
      </c>
      <c r="B14" s="241" t="s">
        <v>2300</v>
      </c>
      <c r="C14" s="311" t="s">
        <v>4873</v>
      </c>
      <c r="D14" s="339" t="str">
        <f>IFERROR(IF(OR(C14='DICTIONARY-5'!$A$2,C14='DICTIONARY-5'!$A$4,ISBLANK(C14)),VLOOKUP(B14,LIST!$A$6:$L$3250,CURR_1.SEARCH.OLD,0),VLOOKUP(C14,LIST!$B$6:$L$3250,CURR_1.SEARCH.NEW,0)),'DICTIONARY-5'!$A$2)</f>
        <v>97,-</v>
      </c>
      <c r="E14" s="339" t="str">
        <f>IFERROR(IF(OR(C14='DICTIONARY-5'!$A$2,C14='DICTIONARY-5'!$A$4,ISBLANK(C14)),VLOOKUP(B14,LIST!$A$6:$M$3250,CURR_2.SEARCH.OLD,0),VLOOKUP(C14,LIST!$B$6:$M$3250,CURR_2.SEARCH.NEW,0)),'DICTIONARY-5'!$A$2)</f>
        <v/>
      </c>
      <c r="F14" s="241" t="s">
        <v>2301</v>
      </c>
      <c r="G14" s="311" t="s">
        <v>4784</v>
      </c>
      <c r="H14" s="339" t="str">
        <f>IFERROR(IF(OR(G14='DICTIONARY-5'!$A$2,G14='DICTIONARY-5'!$A$4,ISBLANK(G14)),VLOOKUP(F14,LIST!$A$6:$L$3250,CURR_1.SEARCH.OLD,0),VLOOKUP(G14,LIST!$B$6:$L$3250,CURR_1.SEARCH.NEW,0)),'DICTIONARY-5'!$A$2)</f>
        <v>24,-</v>
      </c>
      <c r="I14" s="339" t="str">
        <f>IFERROR(IF(OR(G14='DICTIONARY-5'!$A$2,G14='DICTIONARY-5'!$A$4,ISBLANK(G14)),VLOOKUP(F14,LIST!$A$6:$M$3250,CURR_2.SEARCH.OLD,0),VLOOKUP(G14,LIST!$B$6:$M$3250,CURR_2.SEARCH.NEW,0)),'DICTIONARY-5'!$A$2)</f>
        <v/>
      </c>
    </row>
    <row r="15" spans="1:9" x14ac:dyDescent="0.25">
      <c r="A15" s="250" t="str">
        <f>'DICTIONARY-5'!$A$167&amp;" DN 100"</f>
        <v>Hydrantowa DN 100</v>
      </c>
      <c r="B15" s="241" t="s">
        <v>2302</v>
      </c>
      <c r="C15" s="311" t="s">
        <v>4783</v>
      </c>
      <c r="D15" s="339" t="str">
        <f>IFERROR(IF(OR(C15='DICTIONARY-5'!$A$2,C15='DICTIONARY-5'!$A$4,ISBLANK(C15)),VLOOKUP(B15,LIST!$A$6:$L$3250,CURR_1.SEARCH.OLD,0),VLOOKUP(C15,LIST!$B$6:$L$3250,CURR_1.SEARCH.NEW,0)),'DICTIONARY-5'!$A$2)</f>
        <v>531,-</v>
      </c>
      <c r="E15" s="339" t="str">
        <f>IFERROR(IF(OR(C15='DICTIONARY-5'!$A$2,C15='DICTIONARY-5'!$A$4,ISBLANK(C15)),VLOOKUP(B15,LIST!$A$6:$M$3250,CURR_2.SEARCH.OLD,0),VLOOKUP(C15,LIST!$B$6:$M$3250,CURR_2.SEARCH.NEW,0)),'DICTIONARY-5'!$A$2)</f>
        <v/>
      </c>
      <c r="F15" s="241"/>
      <c r="G15" s="241"/>
      <c r="H15" s="243"/>
      <c r="I15" s="243"/>
    </row>
  </sheetData>
  <sheetProtection algorithmName="SHA-512" hashValue="vTmmtHLTgZKObK9LBzHbFfPTsv1rSCsf4e8KxJ0BxWrb1IzuPisvmzRSK16cKX70BeQBs6xBjcXV9uwWxU6dFA==" saltValue="cm/3WV1LzxmIkKQdwqHiKw==" spinCount="100000" sheet="1" objects="1" scenarios="1" autoFilter="0"/>
  <mergeCells count="5">
    <mergeCell ref="B4:E4"/>
    <mergeCell ref="B9:E9"/>
    <mergeCell ref="F9:I9"/>
    <mergeCell ref="B10:E10"/>
    <mergeCell ref="F10:I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0F6E23"/>
  </sheetPr>
  <dimension ref="A1:D44"/>
  <sheetViews>
    <sheetView workbookViewId="0"/>
  </sheetViews>
  <sheetFormatPr defaultColWidth="9.140625" defaultRowHeight="15" x14ac:dyDescent="0.25"/>
  <cols>
    <col min="1" max="2" width="22.140625" style="230" customWidth="1"/>
    <col min="3" max="4" width="12.85546875" style="228" customWidth="1"/>
    <col min="5" max="16384" width="9.140625" style="231"/>
  </cols>
  <sheetData>
    <row r="1" spans="1:4" s="398" customFormat="1" ht="45" customHeight="1" thickBot="1" x14ac:dyDescent="0.3">
      <c r="A1" s="427"/>
      <c r="B1" s="427"/>
      <c r="C1" s="427"/>
      <c r="D1" s="397"/>
    </row>
    <row r="2" spans="1:4" s="454" customFormat="1" ht="4.5" customHeight="1" x14ac:dyDescent="0.25">
      <c r="A2" s="451"/>
      <c r="B2" s="452"/>
      <c r="C2" s="453"/>
      <c r="D2" s="453"/>
    </row>
    <row r="3" spans="1:4" ht="15.75" thickBot="1" x14ac:dyDescent="0.3"/>
    <row r="4" spans="1:4" ht="15.75" thickBot="1" x14ac:dyDescent="0.3">
      <c r="A4" s="820">
        <f>ADD.DISCOUNT</f>
        <v>0</v>
      </c>
      <c r="B4" s="992" t="str">
        <f>HYPERLINK("#'LIST'!ADD.DISCOUNT","» "&amp;'DICTIONARY-1'!$A$5)</f>
        <v>» Ustaw globalny dodatkowy rabat</v>
      </c>
      <c r="C4" s="992"/>
      <c r="D4" s="1048"/>
    </row>
    <row r="6" spans="1:4" ht="16.5" thickBot="1" x14ac:dyDescent="0.3">
      <c r="A6" s="712" t="str">
        <f>CONCATENATE('DICTIONARY-3'!$A$141," / ",'DICTIONARY-3'!$A$334)</f>
        <v>Klucz hydrantowy / Dla hydrantów nadziemnych</v>
      </c>
      <c r="B6" s="712"/>
      <c r="C6" s="712"/>
      <c r="D6" s="712"/>
    </row>
    <row r="7" spans="1:4" x14ac:dyDescent="0.25">
      <c r="A7" s="235" t="str">
        <f>CONCATENATE('DICTIONARY-1'!$A$10,": ",SETTINGS!$C$77)</f>
        <v>Grupa rabatowa: T-KLIC</v>
      </c>
      <c r="B7" s="235"/>
    </row>
    <row r="9" spans="1:4" x14ac:dyDescent="0.25">
      <c r="A9" s="1052" t="str">
        <f>'DICTIONARY-2'!$A$36&amp;" A"</f>
        <v>Typ A</v>
      </c>
      <c r="B9" s="1053"/>
      <c r="C9" s="1053"/>
      <c r="D9" s="1054"/>
    </row>
    <row r="10" spans="1:4" x14ac:dyDescent="0.25">
      <c r="A10" s="1049" t="str">
        <f>'DICTIONARY-5'!$A$196</f>
        <v>z hakiem</v>
      </c>
      <c r="B10" s="1050"/>
      <c r="C10" s="1050"/>
      <c r="D10" s="1051"/>
    </row>
    <row r="11" spans="1:4" x14ac:dyDescent="0.25">
      <c r="A11" s="239" t="str">
        <f>'DICTIONARY-2'!$A$28</f>
        <v>stary nr zamówienia</v>
      </c>
      <c r="B11" s="239" t="str">
        <f>'DICTIONARY-2'!$A$29</f>
        <v>nowy nr zamówienia</v>
      </c>
      <c r="C11" s="240" t="str">
        <f>CURRENCY.CODE_1</f>
        <v>EUR</v>
      </c>
      <c r="D11" s="240" t="str">
        <f>CURRENCY.CODE_2</f>
        <v>---</v>
      </c>
    </row>
    <row r="12" spans="1:4" x14ac:dyDescent="0.25">
      <c r="A12" s="241" t="s">
        <v>2332</v>
      </c>
      <c r="B12" s="342" t="s">
        <v>4498</v>
      </c>
      <c r="C12" s="339" t="str">
        <f>IFERROR(IF(OR(B12='DICTIONARY-5'!$A$2,B12='DICTIONARY-5'!$A$4,ISBLANK(B12)),VLOOKUP(A12,LIST!$A$6:$L$3250,CURR_1.SEARCH.OLD,0),VLOOKUP(B12,LIST!$B$6:$L$3250,CURR_1.SEARCH.NEW,0)),'DICTIONARY-5'!$A$2)</f>
        <v>23,-</v>
      </c>
      <c r="D12" s="339" t="str">
        <f>IFERROR(IF(OR(B12='DICTIONARY-5'!$A$2,B12='DICTIONARY-5'!$A$4,ISBLANK(B12)),VLOOKUP(A12,LIST!$A$6:$M$3250,CURR_2.SEARCH.OLD,0),VLOOKUP(B12,LIST!$B$6:$M$3250,CURR_2.SEARCH.NEW,0)),'DICTIONARY-5'!$A$2)</f>
        <v/>
      </c>
    </row>
    <row r="13" spans="1:4" x14ac:dyDescent="0.25">
      <c r="A13" s="231"/>
      <c r="B13" s="231"/>
      <c r="C13" s="231"/>
      <c r="D13" s="231"/>
    </row>
    <row r="14" spans="1:4" x14ac:dyDescent="0.25">
      <c r="A14" s="231"/>
      <c r="B14" s="231"/>
      <c r="C14" s="231"/>
      <c r="D14" s="231"/>
    </row>
    <row r="15" spans="1:4" x14ac:dyDescent="0.25">
      <c r="A15" s="1052" t="str">
        <f>'DICTIONARY-2'!$A$36&amp;" B"</f>
        <v>Typ B</v>
      </c>
      <c r="B15" s="1053"/>
      <c r="C15" s="1053"/>
      <c r="D15" s="1054"/>
    </row>
    <row r="16" spans="1:4" x14ac:dyDescent="0.25">
      <c r="A16" s="1049" t="str">
        <f>'DICTIONARY-5'!$A$197</f>
        <v>z sześciokątnym otworem</v>
      </c>
      <c r="B16" s="1050"/>
      <c r="C16" s="1050"/>
      <c r="D16" s="1051"/>
    </row>
    <row r="17" spans="1:4" x14ac:dyDescent="0.25">
      <c r="A17" s="239" t="str">
        <f>'DICTIONARY-2'!$A$28</f>
        <v>stary nr zamówienia</v>
      </c>
      <c r="B17" s="239" t="str">
        <f>'DICTIONARY-2'!$A$29</f>
        <v>nowy nr zamówienia</v>
      </c>
      <c r="C17" s="240" t="str">
        <f>CURRENCY.CODE_1</f>
        <v>EUR</v>
      </c>
      <c r="D17" s="240" t="str">
        <f>CURRENCY.CODE_2</f>
        <v>---</v>
      </c>
    </row>
    <row r="18" spans="1:4" x14ac:dyDescent="0.25">
      <c r="A18" s="241" t="s">
        <v>2333</v>
      </c>
      <c r="B18" s="311" t="s">
        <v>4499</v>
      </c>
      <c r="C18" s="339" t="str">
        <f>IFERROR(IF(OR(B18='DICTIONARY-5'!$A$2,B18='DICTIONARY-5'!$A$4,ISBLANK(B18)),VLOOKUP(A18,LIST!$A$6:$L$3250,CURR_1.SEARCH.OLD,0),VLOOKUP(B18,LIST!$B$6:$L$3250,CURR_1.SEARCH.NEW,0)),'DICTIONARY-5'!$A$2)</f>
        <v>27,-</v>
      </c>
      <c r="D18" s="339" t="str">
        <f>IFERROR(IF(OR(B18='DICTIONARY-5'!$A$2,B18='DICTIONARY-5'!$A$4,ISBLANK(B18)),VLOOKUP(A18,LIST!$A$6:$M$3250,CURR_2.SEARCH.OLD,0),VLOOKUP(B18,LIST!$B$6:$M$3250,CURR_2.SEARCH.NEW,0)),'DICTIONARY-5'!$A$2)</f>
        <v/>
      </c>
    </row>
    <row r="19" spans="1:4" x14ac:dyDescent="0.25">
      <c r="A19" s="232"/>
      <c r="B19" s="232"/>
      <c r="C19" s="233"/>
    </row>
    <row r="20" spans="1:4" x14ac:dyDescent="0.25">
      <c r="A20" s="232"/>
      <c r="B20" s="232"/>
      <c r="C20" s="233"/>
    </row>
    <row r="21" spans="1:4" x14ac:dyDescent="0.25">
      <c r="A21" s="232"/>
      <c r="B21" s="232"/>
      <c r="C21" s="233"/>
    </row>
    <row r="22" spans="1:4" ht="16.5" thickBot="1" x14ac:dyDescent="0.3">
      <c r="A22" s="712" t="str">
        <f>CONCATENATE('DICTIONARY-3'!$A$142," / ",'DICTIONARY-3'!$A$332," ",'DICTIONARY-3'!$A$333)</f>
        <v xml:space="preserve">Klucz-T / Dla zasuw i hydrantów podziemnych </v>
      </c>
      <c r="B22" s="712"/>
      <c r="C22" s="712"/>
      <c r="D22" s="712"/>
    </row>
    <row r="23" spans="1:4" x14ac:dyDescent="0.25">
      <c r="A23" s="235" t="str">
        <f>'DICTIONARY-5'!$A$172&amp;": 27 mm"</f>
        <v>Końcówka wrzeciona: 27 mm</v>
      </c>
      <c r="B23" s="235"/>
    </row>
    <row r="24" spans="1:4" x14ac:dyDescent="0.25">
      <c r="A24" s="235" t="str">
        <f>CONCATENATE('DICTIONARY-1'!$A$10,": ",SETTINGS!$C$77)</f>
        <v>Grupa rabatowa: T-KLIC</v>
      </c>
      <c r="B24" s="235"/>
    </row>
    <row r="26" spans="1:4" x14ac:dyDescent="0.25">
      <c r="A26" s="1052" t="str">
        <f>'DICTIONARY-2'!$A$36&amp;" C"</f>
        <v>Typ C</v>
      </c>
      <c r="B26" s="1053"/>
      <c r="C26" s="1053"/>
      <c r="D26" s="1054"/>
    </row>
    <row r="27" spans="1:4" x14ac:dyDescent="0.25">
      <c r="A27" s="1049" t="str">
        <f>LOWER('DICTIONARY-5'!$A$165)&amp;" / "&amp;LOWER('DICTIONARY-5'!$A$167)</f>
        <v>zasuwowa / hydrantowa</v>
      </c>
      <c r="B27" s="1050"/>
      <c r="C27" s="1050"/>
      <c r="D27" s="1051"/>
    </row>
    <row r="28" spans="1:4" x14ac:dyDescent="0.25">
      <c r="A28" s="239" t="str">
        <f>'DICTIONARY-2'!$A$28</f>
        <v>stary nr zamówienia</v>
      </c>
      <c r="B28" s="239" t="str">
        <f>'DICTIONARY-2'!$A$29</f>
        <v>nowy nr zamówienia</v>
      </c>
      <c r="C28" s="240" t="str">
        <f>CURRENCY.CODE_1</f>
        <v>EUR</v>
      </c>
      <c r="D28" s="240" t="str">
        <f>CURRENCY.CODE_2</f>
        <v>---</v>
      </c>
    </row>
    <row r="29" spans="1:4" x14ac:dyDescent="0.25">
      <c r="A29" s="241" t="s">
        <v>2330</v>
      </c>
      <c r="B29" s="350" t="s">
        <v>4514</v>
      </c>
      <c r="C29" s="339" t="str">
        <f>IFERROR(IF(OR(B29='DICTIONARY-5'!$A$2,B29='DICTIONARY-5'!$A$4,ISBLANK(B29)),VLOOKUP(A29,LIST!$A$6:$L$3250,CURR_1.SEARCH.OLD,0),VLOOKUP(B29,LIST!$B$6:$L$3250,CURR_1.SEARCH.NEW,0)),'DICTIONARY-5'!$A$2)</f>
        <v>56,-</v>
      </c>
      <c r="D29" s="339" t="str">
        <f>IFERROR(IF(OR(B29='DICTIONARY-5'!$A$2,B29='DICTIONARY-5'!$A$4,ISBLANK(B29)),VLOOKUP(A29,LIST!$A$6:$M$3250,CURR_2.SEARCH.OLD,0),VLOOKUP(B29,LIST!$B$6:$M$3250,CURR_2.SEARCH.NEW,0)),'DICTIONARY-5'!$A$2)</f>
        <v/>
      </c>
    </row>
    <row r="33" spans="1:4" ht="16.5" thickBot="1" x14ac:dyDescent="0.3">
      <c r="A33" s="712" t="str">
        <f>CONCATENATE('DICTIONARY-3'!$A$142," / ",'DICTIONARY-3'!$A$335)</f>
        <v>Klucz-T / Dla mostków nawiertowych</v>
      </c>
      <c r="B33" s="712"/>
      <c r="C33" s="712"/>
      <c r="D33" s="712"/>
    </row>
    <row r="34" spans="1:4" x14ac:dyDescent="0.25">
      <c r="A34" s="235" t="str">
        <f>'DICTIONARY-5'!$A$172&amp;": 12 mm"</f>
        <v>Końcówka wrzeciona: 12 mm</v>
      </c>
      <c r="B34" s="235"/>
    </row>
    <row r="35" spans="1:4" x14ac:dyDescent="0.25">
      <c r="A35" s="235" t="str">
        <f>CONCATENATE('DICTIONARY-1'!$A$10,": ",SETTINGS!$C$77)</f>
        <v>Grupa rabatowa: T-KLIC</v>
      </c>
      <c r="B35" s="235"/>
    </row>
    <row r="37" spans="1:4" x14ac:dyDescent="0.25">
      <c r="A37" s="1052" t="str">
        <f>'DICTIONARY-2'!$A$36&amp;" E"</f>
        <v>Typ E</v>
      </c>
      <c r="B37" s="1053"/>
      <c r="C37" s="1053"/>
      <c r="D37" s="1054"/>
    </row>
    <row r="38" spans="1:4" x14ac:dyDescent="0.25">
      <c r="A38" s="1049" t="str">
        <f>LOWER('DICTIONARY-5'!$A$166)</f>
        <v>zaworowa</v>
      </c>
      <c r="B38" s="1050"/>
      <c r="C38" s="1050"/>
      <c r="D38" s="1051"/>
    </row>
    <row r="39" spans="1:4" x14ac:dyDescent="0.25">
      <c r="A39" s="239" t="str">
        <f>'DICTIONARY-2'!$A$28</f>
        <v>stary nr zamówienia</v>
      </c>
      <c r="B39" s="239" t="str">
        <f>'DICTIONARY-2'!$A$29</f>
        <v>nowy nr zamówienia</v>
      </c>
      <c r="C39" s="240" t="str">
        <f>CURRENCY.CODE_1</f>
        <v>EUR</v>
      </c>
      <c r="D39" s="240" t="str">
        <f>CURRENCY.CODE_2</f>
        <v>---</v>
      </c>
    </row>
    <row r="40" spans="1:4" x14ac:dyDescent="0.25">
      <c r="A40" s="241" t="s">
        <v>2331</v>
      </c>
      <c r="B40" s="342" t="s">
        <v>4716</v>
      </c>
      <c r="C40" s="339" t="str">
        <f>IFERROR(IF(OR(B40='DICTIONARY-5'!$A$2,B40='DICTIONARY-5'!$A$4,ISBLANK(B40)),VLOOKUP(A40,LIST!$A$6:$L$3250,CURR_1.SEARCH.OLD,0),VLOOKUP(B40,LIST!$B$6:$L$3250,CURR_1.SEARCH.NEW,0)),'DICTIONARY-5'!$A$2)</f>
        <v>55,-</v>
      </c>
      <c r="D40" s="339" t="str">
        <f>IFERROR(IF(OR(B40='DICTIONARY-5'!$A$2,B40='DICTIONARY-5'!$A$4,ISBLANK(B40)),VLOOKUP(A40,LIST!$A$6:$M$3250,CURR_2.SEARCH.OLD,0),VLOOKUP(B40,LIST!$B$6:$M$3250,CURR_2.SEARCH.NEW,0)),'DICTIONARY-5'!$A$2)</f>
        <v/>
      </c>
    </row>
    <row r="43" spans="1:4" x14ac:dyDescent="0.25">
      <c r="A43" s="231"/>
      <c r="B43" s="231"/>
      <c r="C43" s="231"/>
      <c r="D43" s="231"/>
    </row>
    <row r="44" spans="1:4" x14ac:dyDescent="0.25">
      <c r="A44" s="231"/>
      <c r="B44" s="231"/>
      <c r="C44" s="231"/>
      <c r="D44" s="231"/>
    </row>
  </sheetData>
  <sheetProtection algorithmName="SHA-512" hashValue="7V2oYdQ2B3AeC3R72fG7aNENKLUcTTr8wk7/5VDBcNYSL3odU06ALJClr+hjQc1tUc0gk9+tbpqDOJ4+Ht9Z9Q==" saltValue="+6MqLkG386sB4nohE1kvow==" spinCount="100000" sheet="1" objects="1" scenarios="1" autoFilter="0"/>
  <mergeCells count="9">
    <mergeCell ref="B4:D4"/>
    <mergeCell ref="A38:D38"/>
    <mergeCell ref="A26:D26"/>
    <mergeCell ref="A37:D37"/>
    <mergeCell ref="A9:D9"/>
    <mergeCell ref="A15:D15"/>
    <mergeCell ref="A10:D10"/>
    <mergeCell ref="A16:D16"/>
    <mergeCell ref="A27:D2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2">
    <tabColor rgb="FF0F6E23"/>
  </sheetPr>
  <dimension ref="A1:M62"/>
  <sheetViews>
    <sheetView workbookViewId="0"/>
  </sheetViews>
  <sheetFormatPr defaultColWidth="9.140625" defaultRowHeight="15" x14ac:dyDescent="0.25"/>
  <cols>
    <col min="1" max="1" width="9.7109375" style="230" customWidth="1"/>
    <col min="2" max="3" width="9.140625" style="230"/>
    <col min="4" max="5" width="22.140625" style="230" customWidth="1"/>
    <col min="6" max="7" width="12.85546875" style="228" customWidth="1"/>
    <col min="8" max="9" width="22.140625" style="230" customWidth="1"/>
    <col min="10" max="11" width="12.85546875" style="228" customWidth="1"/>
    <col min="12" max="16384" width="9.140625" style="231"/>
  </cols>
  <sheetData>
    <row r="1" spans="1:13" s="398" customFormat="1" ht="45" customHeight="1" thickBot="1" x14ac:dyDescent="0.3">
      <c r="A1" s="427"/>
      <c r="B1" s="427"/>
      <c r="C1" s="427"/>
      <c r="D1" s="427"/>
      <c r="E1" s="399"/>
      <c r="F1" s="397"/>
      <c r="G1" s="397"/>
      <c r="H1" s="399"/>
      <c r="I1" s="399"/>
      <c r="J1" s="397"/>
      <c r="K1" s="397"/>
    </row>
    <row r="2" spans="1:13" s="454" customFormat="1" ht="4.5" customHeight="1" x14ac:dyDescent="0.25">
      <c r="A2" s="451"/>
      <c r="B2" s="452"/>
      <c r="C2" s="452"/>
      <c r="D2" s="452"/>
      <c r="E2" s="452"/>
      <c r="F2" s="453"/>
      <c r="G2" s="453"/>
      <c r="H2" s="452"/>
      <c r="I2" s="452"/>
      <c r="J2" s="453"/>
      <c r="K2" s="453"/>
    </row>
    <row r="3" spans="1:13" ht="15.75" thickBot="1" x14ac:dyDescent="0.3">
      <c r="A3" s="232"/>
      <c r="B3" s="233"/>
      <c r="C3" s="233"/>
    </row>
    <row r="4" spans="1:13" ht="15.75" thickBot="1" x14ac:dyDescent="0.3">
      <c r="A4" s="820">
        <f>ADD.DISCOUNT</f>
        <v>0</v>
      </c>
      <c r="B4" s="933" t="str">
        <f>HYPERLINK("#'LIST'!ADD.DISCOUNT","» "&amp;'DICTIONARY-1'!$A$5)</f>
        <v>» Ustaw globalny dodatkowy rabat</v>
      </c>
      <c r="C4" s="1037"/>
      <c r="D4" s="1037"/>
      <c r="E4" s="1038"/>
    </row>
    <row r="5" spans="1:13" x14ac:dyDescent="0.25">
      <c r="A5" s="232"/>
      <c r="B5" s="233"/>
      <c r="C5" s="233"/>
    </row>
    <row r="6" spans="1:13" ht="16.5" thickBot="1" x14ac:dyDescent="0.3">
      <c r="A6" s="712" t="str">
        <f>CONCATENATE('DICTIONARY-4'!$A$23," / ",PROPER('DICTIONARY-5'!$A$7)," ",'DICTIONARY-3'!$A$2," ",'DICTIONARY-3'!$A$187," ",LOWER('DICTIONARY-3'!$A$255))</f>
        <v>Kółko ręczne / Dla EKOplus Zasuwa klinowa z wrzecionem niewznoszącym się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M6" s="567"/>
    </row>
    <row r="7" spans="1:13" x14ac:dyDescent="0.25">
      <c r="A7" s="234" t="str">
        <f>CONCATENATE('DICTIONARY-1'!$A$10,": ",SETTINGS!$C$78)</f>
        <v>Grupa rabatowa: Handwheel</v>
      </c>
    </row>
    <row r="8" spans="1:13" x14ac:dyDescent="0.25">
      <c r="A8" s="236"/>
    </row>
    <row r="9" spans="1:13" x14ac:dyDescent="0.25">
      <c r="A9" s="237" t="str">
        <f>'DICTIONARY-2'!$A$2</f>
        <v>DN</v>
      </c>
      <c r="B9" s="710" t="str">
        <f>'DICTIONARY-2'!$A$39&amp;" 1)"</f>
        <v>Dk 1)</v>
      </c>
      <c r="C9" s="237" t="str">
        <f>'DICTIONARY-5'!$A$172</f>
        <v>Końcówka wrzeciona</v>
      </c>
      <c r="D9" s="1036" t="str">
        <f>'DICTIONARY-4'!$A$23</f>
        <v>Kółko ręczne</v>
      </c>
      <c r="E9" s="1036"/>
      <c r="F9" s="1036"/>
      <c r="G9" s="1036"/>
      <c r="H9" s="1036" t="str">
        <f>'DICTIONARY-4'!$A$23</f>
        <v>Kółko ręczne</v>
      </c>
      <c r="I9" s="1036"/>
      <c r="J9" s="1036"/>
      <c r="K9" s="1036"/>
    </row>
    <row r="10" spans="1:13" x14ac:dyDescent="0.25">
      <c r="A10" s="244"/>
      <c r="B10" s="530"/>
      <c r="C10" s="244"/>
      <c r="D10" s="1035" t="str">
        <f>'DICTIONARY-5'!$A$40&amp;" + "&amp;'DICTIONARY-5'!$A$23&amp;" ("&amp;'DICTIONARY-5'!$A$195&amp;")"</f>
        <v>stal + powłoka epoksydowa (kolor czarny)</v>
      </c>
      <c r="E10" s="1035"/>
      <c r="F10" s="1035"/>
      <c r="G10" s="1035"/>
      <c r="H10" s="1035" t="str">
        <f>'DICTIONARY-5'!$A$48&amp;" + "&amp;'DICTIONARY-5'!$A$23&amp;" ("&amp;'DICTIONARY-5'!$A$193&amp;")"</f>
        <v>żeliwo + powłoka epoksydowa (kolor niebieski)</v>
      </c>
      <c r="I10" s="1035"/>
      <c r="J10" s="1035"/>
      <c r="K10" s="1035"/>
    </row>
    <row r="11" spans="1:13" x14ac:dyDescent="0.25">
      <c r="A11" s="238"/>
      <c r="B11" s="238" t="str">
        <f>'DICTIONARY-2'!$A$18</f>
        <v>[mm]</v>
      </c>
      <c r="C11" s="238" t="str">
        <f>'DICTIONARY-2'!$A$18</f>
        <v>[mm]</v>
      </c>
      <c r="D11" s="239" t="str">
        <f>'DICTIONARY-2'!$A$28</f>
        <v>stary nr zamówienia</v>
      </c>
      <c r="E11" s="239" t="str">
        <f>'DICTIONARY-2'!$A$29</f>
        <v>nowy nr zamówienia</v>
      </c>
      <c r="F11" s="240" t="str">
        <f>CURRENCY.CODE_1</f>
        <v>EUR</v>
      </c>
      <c r="G11" s="240" t="str">
        <f>CURRENCY.CODE_2</f>
        <v>---</v>
      </c>
      <c r="H11" s="239" t="str">
        <f>'DICTIONARY-2'!$A$28</f>
        <v>stary nr zamówienia</v>
      </c>
      <c r="I11" s="239" t="str">
        <f>'DICTIONARY-2'!$A$29</f>
        <v>nowy nr zamówienia</v>
      </c>
      <c r="J11" s="240" t="str">
        <f>CURRENCY.CODE_1</f>
        <v>EUR</v>
      </c>
      <c r="K11" s="240" t="str">
        <f>CURRENCY.CODE_2</f>
        <v>---</v>
      </c>
    </row>
    <row r="12" spans="1:13" x14ac:dyDescent="0.25">
      <c r="A12" s="241" t="s">
        <v>2210</v>
      </c>
      <c r="B12" s="241">
        <v>200</v>
      </c>
      <c r="C12" s="241">
        <v>14</v>
      </c>
      <c r="D12" s="241" t="s">
        <v>109</v>
      </c>
      <c r="E12" s="311" t="s">
        <v>2892</v>
      </c>
      <c r="F12" s="339" t="str">
        <f>IFERROR(IF(OR(E12='DICTIONARY-5'!$A$2,E12='DICTIONARY-5'!$A$4,ISBLANK(E12)),VLOOKUP(D12,LIST!$A$6:$L$3250,CURR_1.SEARCH.OLD,0),VLOOKUP(E12,LIST!$B$6:$L$3250,CURR_1.SEARCH.NEW,0)),'DICTIONARY-5'!$A$2)</f>
        <v>8,-</v>
      </c>
      <c r="G12" s="339" t="str">
        <f>IFERROR(IF(OR(E12='DICTIONARY-5'!$A$2,E12='DICTIONARY-5'!$A$4,ISBLANK(E12)),VLOOKUP(D12,LIST!$A$6:$M$3250,CURR_2.SEARCH.OLD,0),VLOOKUP(E12,LIST!$B$6:$M$3250,CURR_2.SEARCH.NEW,0)),'DICTIONARY-5'!$A$2)</f>
        <v/>
      </c>
      <c r="H12" s="241" t="s">
        <v>2311</v>
      </c>
      <c r="I12" s="311" t="s">
        <v>2734</v>
      </c>
      <c r="J12" s="339" t="str">
        <f>IFERROR(IF(OR(I12='DICTIONARY-5'!$A$2,I12='DICTIONARY-5'!$A$4,ISBLANK(I12)),VLOOKUP(H12,LIST!$A$6:$L$3250,CURR_1.SEARCH.OLD,0),VLOOKUP(I12,LIST!$B$6:$L$3250,CURR_1.SEARCH.NEW,0)),'DICTIONARY-5'!$A$2)</f>
        <v>49,-</v>
      </c>
      <c r="K12" s="339" t="str">
        <f>IFERROR(IF(OR(I12='DICTIONARY-5'!$A$2,I12='DICTIONARY-5'!$A$4,ISBLANK(I12)),VLOOKUP(H12,LIST!$A$6:$M$3250,CURR_2.SEARCH.OLD,0),VLOOKUP(I12,LIST!$B$6:$M$3250,CURR_2.SEARCH.NEW,0)),'DICTIONARY-5'!$A$2)</f>
        <v/>
      </c>
    </row>
    <row r="13" spans="1:13" x14ac:dyDescent="0.25">
      <c r="A13" s="241" t="s">
        <v>2213</v>
      </c>
      <c r="B13" s="241">
        <v>250</v>
      </c>
      <c r="C13" s="241">
        <v>17</v>
      </c>
      <c r="D13" s="241" t="s">
        <v>88</v>
      </c>
      <c r="E13" s="311" t="s">
        <v>2893</v>
      </c>
      <c r="F13" s="339" t="str">
        <f>IFERROR(IF(OR(E13='DICTIONARY-5'!$A$2,E13='DICTIONARY-5'!$A$4,ISBLANK(E13)),VLOOKUP(D13,LIST!$A$6:$L$3250,CURR_1.SEARCH.OLD,0),VLOOKUP(E13,LIST!$B$6:$L$3250,CURR_1.SEARCH.NEW,0)),'DICTIONARY-5'!$A$2)</f>
        <v>15,-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H13" s="241" t="s">
        <v>2312</v>
      </c>
      <c r="I13" s="311" t="s">
        <v>2735</v>
      </c>
      <c r="J13" s="339" t="str">
        <f>IFERROR(IF(OR(I13='DICTIONARY-5'!$A$2,I13='DICTIONARY-5'!$A$4,ISBLANK(I13)),VLOOKUP(H13,LIST!$A$6:$L$3250,CURR_1.SEARCH.OLD,0),VLOOKUP(I13,LIST!$B$6:$L$3250,CURR_1.SEARCH.NEW,0)),'DICTIONARY-5'!$A$2)</f>
        <v>51,-</v>
      </c>
      <c r="K13" s="339" t="str">
        <f>IFERROR(IF(OR(I13='DICTIONARY-5'!$A$2,I13='DICTIONARY-5'!$A$4,ISBLANK(I13)),VLOOKUP(H13,LIST!$A$6:$M$3250,CURR_2.SEARCH.OLD,0),VLOOKUP(I13,LIST!$B$6:$M$3250,CURR_2.SEARCH.NEW,0)),'DICTIONARY-5'!$A$2)</f>
        <v/>
      </c>
    </row>
    <row r="14" spans="1:13" x14ac:dyDescent="0.25">
      <c r="A14" s="241" t="s">
        <v>2255</v>
      </c>
      <c r="B14" s="241">
        <v>300</v>
      </c>
      <c r="C14" s="241">
        <v>19</v>
      </c>
      <c r="D14" s="241" t="s">
        <v>91</v>
      </c>
      <c r="E14" s="311" t="s">
        <v>2894</v>
      </c>
      <c r="F14" s="339" t="str">
        <f>IFERROR(IF(OR(E14='DICTIONARY-5'!$A$2,E14='DICTIONARY-5'!$A$4,ISBLANK(E14)),VLOOKUP(D14,LIST!$A$6:$L$3250,CURR_1.SEARCH.OLD,0),VLOOKUP(E14,LIST!$B$6:$L$3250,CURR_1.SEARCH.NEW,0)),'DICTIONARY-5'!$A$2)</f>
        <v>20,-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H14" s="241" t="s">
        <v>2313</v>
      </c>
      <c r="I14" s="311" t="s">
        <v>2736</v>
      </c>
      <c r="J14" s="339" t="str">
        <f>IFERROR(IF(OR(I14='DICTIONARY-5'!$A$2,I14='DICTIONARY-5'!$A$4,ISBLANK(I14)),VLOOKUP(H14,LIST!$A$6:$L$3250,CURR_1.SEARCH.OLD,0),VLOOKUP(I14,LIST!$B$6:$L$3250,CURR_1.SEARCH.NEW,0)),'DICTIONARY-5'!$A$2)</f>
        <v>57,-</v>
      </c>
      <c r="K14" s="339" t="str">
        <f>IFERROR(IF(OR(I14='DICTIONARY-5'!$A$2,I14='DICTIONARY-5'!$A$4,ISBLANK(I14)),VLOOKUP(H14,LIST!$A$6:$M$3250,CURR_2.SEARCH.OLD,0),VLOOKUP(I14,LIST!$B$6:$M$3250,CURR_2.SEARCH.NEW,0)),'DICTIONARY-5'!$A$2)</f>
        <v/>
      </c>
    </row>
    <row r="15" spans="1:13" x14ac:dyDescent="0.25">
      <c r="A15" s="241">
        <v>200</v>
      </c>
      <c r="B15" s="241">
        <v>400</v>
      </c>
      <c r="C15" s="241">
        <v>24</v>
      </c>
      <c r="D15" s="241" t="s">
        <v>98</v>
      </c>
      <c r="E15" s="311" t="s">
        <v>2895</v>
      </c>
      <c r="F15" s="339" t="str">
        <f>IFERROR(IF(OR(E15='DICTIONARY-5'!$A$2,E15='DICTIONARY-5'!$A$4,ISBLANK(E15)),VLOOKUP(D15,LIST!$A$6:$L$3250,CURR_1.SEARCH.OLD,0),VLOOKUP(E15,LIST!$B$6:$L$3250,CURR_1.SEARCH.NEW,0)),'DICTIONARY-5'!$A$2)</f>
        <v>35,-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H15" s="241" t="s">
        <v>2314</v>
      </c>
      <c r="I15" s="311" t="s">
        <v>2737</v>
      </c>
      <c r="J15" s="339" t="str">
        <f>IFERROR(IF(OR(I15='DICTIONARY-5'!$A$2,I15='DICTIONARY-5'!$A$4,ISBLANK(I15)),VLOOKUP(H15,LIST!$A$6:$L$3250,CURR_1.SEARCH.OLD,0),VLOOKUP(I15,LIST!$B$6:$L$3250,CURR_1.SEARCH.NEW,0)),'DICTIONARY-5'!$A$2)</f>
        <v>187,-</v>
      </c>
      <c r="K15" s="339" t="str">
        <f>IFERROR(IF(OR(I15='DICTIONARY-5'!$A$2,I15='DICTIONARY-5'!$A$4,ISBLANK(I15)),VLOOKUP(H15,LIST!$A$6:$M$3250,CURR_2.SEARCH.OLD,0),VLOOKUP(I15,LIST!$B$6:$M$3250,CURR_2.SEARCH.NEW,0)),'DICTIONARY-5'!$A$2)</f>
        <v/>
      </c>
    </row>
    <row r="16" spans="1:13" x14ac:dyDescent="0.25">
      <c r="A16" s="241" t="s">
        <v>2260</v>
      </c>
      <c r="B16" s="241">
        <v>500</v>
      </c>
      <c r="C16" s="241">
        <v>27</v>
      </c>
      <c r="D16" s="241" t="s">
        <v>102</v>
      </c>
      <c r="E16" s="311" t="s">
        <v>2896</v>
      </c>
      <c r="F16" s="339" t="str">
        <f>IFERROR(IF(OR(E16='DICTIONARY-5'!$A$2,E16='DICTIONARY-5'!$A$4,ISBLANK(E16)),VLOOKUP(D16,LIST!$A$6:$L$3250,CURR_1.SEARCH.OLD,0),VLOOKUP(E16,LIST!$B$6:$L$3250,CURR_1.SEARCH.NEW,0)),'DICTIONARY-5'!$A$2)</f>
        <v>54,-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H16" s="241" t="s">
        <v>2315</v>
      </c>
      <c r="I16" s="311" t="s">
        <v>2738</v>
      </c>
      <c r="J16" s="339" t="str">
        <f>IFERROR(IF(OR(I16='DICTIONARY-5'!$A$2,I16='DICTIONARY-5'!$A$4,ISBLANK(I16)),VLOOKUP(H16,LIST!$A$6:$L$3250,CURR_1.SEARCH.OLD,0),VLOOKUP(I16,LIST!$B$6:$L$3250,CURR_1.SEARCH.NEW,0)),'DICTIONARY-5'!$A$2)</f>
        <v>165,-</v>
      </c>
      <c r="K16" s="339" t="str">
        <f>IFERROR(IF(OR(I16='DICTIONARY-5'!$A$2,I16='DICTIONARY-5'!$A$4,ISBLANK(I16)),VLOOKUP(H16,LIST!$A$6:$M$3250,CURR_2.SEARCH.OLD,0),VLOOKUP(I16,LIST!$B$6:$M$3250,CURR_2.SEARCH.NEW,0)),'DICTIONARY-5'!$A$2)</f>
        <v/>
      </c>
    </row>
    <row r="17" spans="1:11" x14ac:dyDescent="0.25">
      <c r="A17" s="241" t="s">
        <v>2316</v>
      </c>
      <c r="B17" s="241">
        <v>630</v>
      </c>
      <c r="C17" s="241">
        <v>32</v>
      </c>
      <c r="D17" s="241" t="s">
        <v>142</v>
      </c>
      <c r="E17" s="311" t="s">
        <v>2897</v>
      </c>
      <c r="F17" s="339" t="str">
        <f>IFERROR(IF(OR(E17='DICTIONARY-5'!$A$2,E17='DICTIONARY-5'!$A$4,ISBLANK(E17)),VLOOKUP(D17,LIST!$A$6:$L$3250,CURR_1.SEARCH.OLD,0),VLOOKUP(E17,LIST!$B$6:$L$3250,CURR_1.SEARCH.NEW,0)),'DICTIONARY-5'!$A$2)</f>
        <v>99,-</v>
      </c>
      <c r="G17" s="339" t="str">
        <f>IFERROR(IF(OR(E17='DICTIONARY-5'!$A$2,E17='DICTIONARY-5'!$A$4,ISBLANK(E17)),VLOOKUP(D17,LIST!$A$6:$M$3250,CURR_2.SEARCH.OLD,0),VLOOKUP(E17,LIST!$B$6:$M$3250,CURR_2.SEARCH.NEW,0)),'DICTIONARY-5'!$A$2)</f>
        <v/>
      </c>
      <c r="H17" s="241"/>
      <c r="I17" s="241"/>
      <c r="J17" s="243"/>
      <c r="K17" s="243"/>
    </row>
    <row r="18" spans="1:11" x14ac:dyDescent="0.25">
      <c r="A18" s="241">
        <v>600</v>
      </c>
      <c r="B18" s="241">
        <v>720</v>
      </c>
      <c r="C18" s="241">
        <v>36</v>
      </c>
      <c r="D18" s="241" t="s">
        <v>153</v>
      </c>
      <c r="E18" s="311" t="s">
        <v>2898</v>
      </c>
      <c r="F18" s="339" t="str">
        <f>IFERROR(IF(OR(E18='DICTIONARY-5'!$A$2,E18='DICTIONARY-5'!$A$4,ISBLANK(E18)),VLOOKUP(D18,LIST!$A$6:$L$3250,CURR_1.SEARCH.OLD,0),VLOOKUP(E18,LIST!$B$6:$L$3250,CURR_1.SEARCH.NEW,0)),'DICTIONARY-5'!$A$2)</f>
        <v>144,-</v>
      </c>
      <c r="G18" s="339" t="str">
        <f>IFERROR(IF(OR(E18='DICTIONARY-5'!$A$2,E18='DICTIONARY-5'!$A$4,ISBLANK(E18)),VLOOKUP(D18,LIST!$A$6:$M$3250,CURR_2.SEARCH.OLD,0),VLOOKUP(E18,LIST!$B$6:$M$3250,CURR_2.SEARCH.NEW,0)),'DICTIONARY-5'!$A$2)</f>
        <v/>
      </c>
      <c r="H18" s="241"/>
      <c r="I18" s="241"/>
      <c r="J18" s="243"/>
      <c r="K18" s="243"/>
    </row>
    <row r="19" spans="1:11" x14ac:dyDescent="0.25">
      <c r="F19" s="251"/>
    </row>
    <row r="20" spans="1:11" x14ac:dyDescent="0.25">
      <c r="F20" s="251"/>
    </row>
    <row r="21" spans="1:11" x14ac:dyDescent="0.25">
      <c r="F21" s="251"/>
    </row>
    <row r="22" spans="1:11" ht="16.5" thickBot="1" x14ac:dyDescent="0.3">
      <c r="A22" s="712" t="str">
        <f>CONCATENATE('DICTIONARY-4'!$A$23," / ",PROPER('DICTIONARY-5'!$A$7)," ",'DICTIONARY-3'!$A$2," ",'DICTIONARY-3'!$A$187," ",LOWER('DICTIONARY-3'!$A$256))</f>
        <v>Kółko ręczne / Dla EKOplus Zasuwa klinowa z wrzecionem wznoszącym się</v>
      </c>
      <c r="B22" s="712"/>
      <c r="C22" s="712"/>
      <c r="D22" s="712"/>
      <c r="E22" s="712"/>
      <c r="F22" s="712"/>
      <c r="G22" s="712"/>
    </row>
    <row r="23" spans="1:11" x14ac:dyDescent="0.25">
      <c r="A23" s="234" t="str">
        <f>CONCATENATE('DICTIONARY-1'!$A$10,": ",SETTINGS!$C$78)</f>
        <v>Grupa rabatowa: Handwheel</v>
      </c>
    </row>
    <row r="25" spans="1:11" x14ac:dyDescent="0.25">
      <c r="A25" s="237" t="str">
        <f>'DICTIONARY-2'!$A$2</f>
        <v>DN</v>
      </c>
      <c r="B25" s="710" t="str">
        <f>'DICTIONARY-2'!$A$39&amp;" 1)"</f>
        <v>Dk 1)</v>
      </c>
      <c r="C25" s="710" t="str">
        <f>'DICTIONARY-2'!$A$27&amp;" 2)"</f>
        <v>d 2)</v>
      </c>
      <c r="D25" s="1036" t="str">
        <f>'DICTIONARY-4'!$A$23</f>
        <v>Kółko ręczne</v>
      </c>
      <c r="E25" s="1036"/>
      <c r="F25" s="1036"/>
      <c r="G25" s="1036"/>
      <c r="H25" s="231"/>
      <c r="I25" s="231"/>
    </row>
    <row r="26" spans="1:11" x14ac:dyDescent="0.25">
      <c r="A26" s="244"/>
      <c r="B26" s="530"/>
      <c r="C26" s="530"/>
      <c r="D26" s="1035" t="str">
        <f>'DICTIONARY-5'!$A$48&amp;" + "&amp;'DICTIONARY-5'!$A$23&amp;" ("&amp;'DICTIONARY-5'!$A$193&amp;")"</f>
        <v>żeliwo + powłoka epoksydowa (kolor niebieski)</v>
      </c>
      <c r="E26" s="1035"/>
      <c r="F26" s="1035"/>
      <c r="G26" s="1035"/>
      <c r="H26" s="231"/>
      <c r="I26" s="231"/>
    </row>
    <row r="27" spans="1:11" x14ac:dyDescent="0.25">
      <c r="A27" s="238"/>
      <c r="B27" s="238" t="str">
        <f>'DICTIONARY-2'!$A$18</f>
        <v>[mm]</v>
      </c>
      <c r="C27" s="238" t="str">
        <f>'DICTIONARY-2'!$A$18</f>
        <v>[mm]</v>
      </c>
      <c r="D27" s="239" t="str">
        <f>'DICTIONARY-2'!$A$28</f>
        <v>stary nr zamówienia</v>
      </c>
      <c r="E27" s="239" t="str">
        <f>'DICTIONARY-2'!$A$29</f>
        <v>nowy nr zamówienia</v>
      </c>
      <c r="F27" s="240" t="str">
        <f>CURRENCY.CODE_1</f>
        <v>EUR</v>
      </c>
      <c r="G27" s="240" t="str">
        <f>CURRENCY.CODE_2</f>
        <v>---</v>
      </c>
      <c r="H27" s="228"/>
      <c r="I27" s="228"/>
    </row>
    <row r="28" spans="1:11" x14ac:dyDescent="0.25">
      <c r="A28" s="241" t="s">
        <v>2210</v>
      </c>
      <c r="B28" s="241">
        <v>200</v>
      </c>
      <c r="C28" s="241">
        <v>36</v>
      </c>
      <c r="D28" s="241" t="s">
        <v>2317</v>
      </c>
      <c r="E28" s="311" t="s">
        <v>2732</v>
      </c>
      <c r="F28" s="339" t="str">
        <f>IFERROR(IF(OR(E28='DICTIONARY-5'!$A$2,E28='DICTIONARY-5'!$A$4,ISBLANK(E28)),VLOOKUP(D28,LIST!$A$6:$L$3250,CURR_1.SEARCH.OLD,0),VLOOKUP(E28,LIST!$B$6:$L$3250,CURR_1.SEARCH.NEW,0)),'DICTIONARY-5'!$A$2)</f>
        <v>50,-</v>
      </c>
      <c r="G28" s="339" t="str">
        <f>IFERROR(IF(OR(E28='DICTIONARY-5'!$A$2,E28='DICTIONARY-5'!$A$4,ISBLANK(E28)),VLOOKUP(D28,LIST!$A$6:$M$3250,CURR_2.SEARCH.OLD,0),VLOOKUP(E28,LIST!$B$6:$M$3250,CURR_2.SEARCH.NEW,0)),'DICTIONARY-5'!$A$2)</f>
        <v/>
      </c>
      <c r="H28" s="231"/>
      <c r="I28" s="231"/>
      <c r="J28" s="231"/>
      <c r="K28" s="231"/>
    </row>
    <row r="29" spans="1:11" x14ac:dyDescent="0.25">
      <c r="A29" s="241" t="s">
        <v>2213</v>
      </c>
      <c r="B29" s="241">
        <v>250</v>
      </c>
      <c r="C29" s="241">
        <v>40</v>
      </c>
      <c r="D29" s="241" t="s">
        <v>2318</v>
      </c>
      <c r="E29" s="311" t="s">
        <v>2731</v>
      </c>
      <c r="F29" s="339" t="str">
        <f>IFERROR(IF(OR(E29='DICTIONARY-5'!$A$2,E29='DICTIONARY-5'!$A$4,ISBLANK(E29)),VLOOKUP(D29,LIST!$A$6:$L$3250,CURR_1.SEARCH.OLD,0),VLOOKUP(E29,LIST!$B$6:$L$3250,CURR_1.SEARCH.NEW,0)),'DICTIONARY-5'!$A$2)</f>
        <v>54,-</v>
      </c>
      <c r="G29" s="339" t="str">
        <f>IFERROR(IF(OR(E29='DICTIONARY-5'!$A$2,E29='DICTIONARY-5'!$A$4,ISBLANK(E29)),VLOOKUP(D29,LIST!$A$6:$M$3250,CURR_2.SEARCH.OLD,0),VLOOKUP(E29,LIST!$B$6:$M$3250,CURR_2.SEARCH.NEW,0)),'DICTIONARY-5'!$A$2)</f>
        <v/>
      </c>
      <c r="H29" s="231"/>
      <c r="I29" s="231"/>
      <c r="J29" s="231"/>
      <c r="K29" s="231"/>
    </row>
    <row r="30" spans="1:11" x14ac:dyDescent="0.25">
      <c r="A30" s="241" t="s">
        <v>2255</v>
      </c>
      <c r="B30" s="241">
        <v>315</v>
      </c>
      <c r="C30" s="241">
        <v>45</v>
      </c>
      <c r="D30" s="241" t="s">
        <v>2319</v>
      </c>
      <c r="E30" s="311" t="s">
        <v>2730</v>
      </c>
      <c r="F30" s="339" t="str">
        <f>IFERROR(IF(OR(E30='DICTIONARY-5'!$A$2,E30='DICTIONARY-5'!$A$4,ISBLANK(E30)),VLOOKUP(D30,LIST!$A$6:$L$3250,CURR_1.SEARCH.OLD,0),VLOOKUP(E30,LIST!$B$6:$L$3250,CURR_1.SEARCH.NEW,0)),'DICTIONARY-5'!$A$2)</f>
        <v>60,-</v>
      </c>
      <c r="G30" s="339" t="str">
        <f>IFERROR(IF(OR(E30='DICTIONARY-5'!$A$2,E30='DICTIONARY-5'!$A$4,ISBLANK(E30)),VLOOKUP(D30,LIST!$A$6:$M$3250,CURR_2.SEARCH.OLD,0),VLOOKUP(E30,LIST!$B$6:$M$3250,CURR_2.SEARCH.NEW,0)),'DICTIONARY-5'!$A$2)</f>
        <v/>
      </c>
      <c r="H30" s="231"/>
      <c r="I30" s="231"/>
      <c r="J30" s="231"/>
      <c r="K30" s="231"/>
    </row>
    <row r="31" spans="1:11" x14ac:dyDescent="0.25">
      <c r="A31" s="241">
        <v>200</v>
      </c>
      <c r="B31" s="241">
        <v>400</v>
      </c>
      <c r="C31" s="241">
        <v>52</v>
      </c>
      <c r="D31" s="241" t="s">
        <v>2320</v>
      </c>
      <c r="E31" s="311" t="s">
        <v>2733</v>
      </c>
      <c r="F31" s="339" t="str">
        <f>IFERROR(IF(OR(E31='DICTIONARY-5'!$A$2,E31='DICTIONARY-5'!$A$4,ISBLANK(E31)),VLOOKUP(D31,LIST!$A$6:$L$3250,CURR_1.SEARCH.OLD,0),VLOOKUP(E31,LIST!$B$6:$L$3250,CURR_1.SEARCH.NEW,0)),'DICTIONARY-5'!$A$2)</f>
        <v>176,-</v>
      </c>
      <c r="G31" s="339" t="str">
        <f>IFERROR(IF(OR(E31='DICTIONARY-5'!$A$2,E31='DICTIONARY-5'!$A$4,ISBLANK(E31)),VLOOKUP(D31,LIST!$A$6:$M$3250,CURR_2.SEARCH.OLD,0),VLOOKUP(E31,LIST!$B$6:$M$3250,CURR_2.SEARCH.NEW,0)),'DICTIONARY-5'!$A$2)</f>
        <v/>
      </c>
      <c r="H31" s="231"/>
      <c r="I31" s="231"/>
      <c r="J31" s="231"/>
      <c r="K31" s="231"/>
    </row>
    <row r="32" spans="1:11" x14ac:dyDescent="0.25">
      <c r="A32" s="241" t="s">
        <v>2221</v>
      </c>
      <c r="B32" s="241">
        <v>500</v>
      </c>
      <c r="C32" s="241">
        <v>60</v>
      </c>
      <c r="D32" s="241" t="s">
        <v>2321</v>
      </c>
      <c r="E32" s="311" t="s">
        <v>2729</v>
      </c>
      <c r="F32" s="339" t="str">
        <f>IFERROR(IF(OR(E32='DICTIONARY-5'!$A$2,E32='DICTIONARY-5'!$A$4,ISBLANK(E32)),VLOOKUP(D32,LIST!$A$6:$L$3250,CURR_1.SEARCH.OLD,0),VLOOKUP(E32,LIST!$B$6:$L$3250,CURR_1.SEARCH.NEW,0)),'DICTIONARY-5'!$A$2)</f>
        <v>161,-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H32" s="231"/>
      <c r="I32" s="231"/>
      <c r="J32" s="231"/>
      <c r="K32" s="231"/>
    </row>
    <row r="33" spans="1:11" x14ac:dyDescent="0.25">
      <c r="A33" s="246"/>
      <c r="H33" s="228"/>
      <c r="I33" s="228"/>
    </row>
    <row r="34" spans="1:11" x14ac:dyDescent="0.25">
      <c r="A34" s="246"/>
      <c r="H34" s="228"/>
      <c r="I34" s="228"/>
    </row>
    <row r="35" spans="1:11" x14ac:dyDescent="0.25">
      <c r="A35" s="246"/>
      <c r="H35" s="228"/>
      <c r="I35" s="228"/>
    </row>
    <row r="36" spans="1:11" ht="16.5" thickBot="1" x14ac:dyDescent="0.3">
      <c r="A36" s="712" t="str">
        <f>CONCATENATE('DICTIONARY-4'!$A$23," / ",PROPER('DICTIONARY-5'!$A$7)," ",'DICTIONARY-3'!$A$8," ",'DICTIONARY-3'!$A$188," ",LOWER('DICTIONARY-3'!$A$255))</f>
        <v>Kółko ręczne / Dla IKOplus Zasuwa klinowa z wrzecionem niewznoszącym się</v>
      </c>
      <c r="B36" s="712"/>
      <c r="C36" s="712"/>
      <c r="D36" s="712"/>
      <c r="E36" s="712"/>
      <c r="F36" s="712"/>
      <c r="G36" s="712"/>
      <c r="H36" s="228"/>
      <c r="I36" s="228"/>
    </row>
    <row r="37" spans="1:11" x14ac:dyDescent="0.25">
      <c r="A37" s="234" t="str">
        <f>CONCATENATE('DICTIONARY-1'!$A$10,": ",SETTINGS!$C$78)</f>
        <v>Grupa rabatowa: Handwheel</v>
      </c>
      <c r="H37" s="228"/>
      <c r="I37" s="228"/>
    </row>
    <row r="38" spans="1:11" x14ac:dyDescent="0.25">
      <c r="A38" s="236"/>
      <c r="H38" s="228"/>
      <c r="I38" s="228"/>
    </row>
    <row r="39" spans="1:11" x14ac:dyDescent="0.25">
      <c r="A39" s="237" t="str">
        <f>'DICTIONARY-2'!$A$2</f>
        <v>DN</v>
      </c>
      <c r="B39" s="710" t="str">
        <f>'DICTIONARY-2'!$A$39&amp;" 1)"</f>
        <v>Dk 1)</v>
      </c>
      <c r="C39" s="237" t="str">
        <f>'DICTIONARY-5'!$A$172</f>
        <v>Końcówka wrzeciona</v>
      </c>
      <c r="D39" s="1036" t="str">
        <f>'DICTIONARY-4'!$A$23</f>
        <v>Kółko ręczne</v>
      </c>
      <c r="E39" s="1036"/>
      <c r="F39" s="1036"/>
      <c r="G39" s="1036"/>
      <c r="H39" s="252"/>
      <c r="I39" s="252"/>
      <c r="J39" s="252"/>
      <c r="K39" s="252"/>
    </row>
    <row r="40" spans="1:11" x14ac:dyDescent="0.25">
      <c r="A40" s="244"/>
      <c r="B40" s="530"/>
      <c r="C40" s="244"/>
      <c r="D40" s="1035" t="str">
        <f>'DICTIONARY-5'!$A$40&amp;" + "&amp;'DICTIONARY-5'!$A$23&amp;" ("&amp;'DICTIONARY-5'!$A$195&amp;")"</f>
        <v>stal + powłoka epoksydowa (kolor czarny)</v>
      </c>
      <c r="E40" s="1035"/>
      <c r="F40" s="1035"/>
      <c r="G40" s="1035"/>
      <c r="H40" s="252"/>
      <c r="I40" s="252"/>
      <c r="J40" s="252"/>
      <c r="K40" s="252"/>
    </row>
    <row r="41" spans="1:11" x14ac:dyDescent="0.25">
      <c r="A41" s="238"/>
      <c r="B41" s="238" t="str">
        <f>'DICTIONARY-2'!$A$18</f>
        <v>[mm]</v>
      </c>
      <c r="C41" s="238" t="str">
        <f>'DICTIONARY-2'!$A$18</f>
        <v>[mm]</v>
      </c>
      <c r="D41" s="239" t="str">
        <f>'DICTIONARY-2'!$A$28</f>
        <v>stary nr zamówienia</v>
      </c>
      <c r="E41" s="239" t="str">
        <f>'DICTIONARY-2'!$A$29</f>
        <v>nowy nr zamówienia</v>
      </c>
      <c r="F41" s="240" t="str">
        <f>CURRENCY.CODE_1</f>
        <v>EUR</v>
      </c>
      <c r="G41" s="240" t="str">
        <f>CURRENCY.CODE_2</f>
        <v>---</v>
      </c>
      <c r="H41" s="253"/>
      <c r="I41" s="253"/>
      <c r="J41" s="253"/>
      <c r="K41" s="253"/>
    </row>
    <row r="42" spans="1:11" x14ac:dyDescent="0.25">
      <c r="A42" s="241" t="s">
        <v>2322</v>
      </c>
      <c r="B42" s="241">
        <v>150</v>
      </c>
      <c r="C42" s="241">
        <v>12</v>
      </c>
      <c r="D42" s="241" t="s">
        <v>2323</v>
      </c>
      <c r="E42" s="311" t="s">
        <v>2891</v>
      </c>
      <c r="F42" s="339" t="str">
        <f>IFERROR(IF(OR(E42='DICTIONARY-5'!$A$2,E42='DICTIONARY-5'!$A$4,ISBLANK(E42)),VLOOKUP(D42,LIST!$A$6:$L$3250,CURR_1.SEARCH.OLD,0),VLOOKUP(E42,LIST!$B$6:$L$3250,CURR_1.SEARCH.NEW,0)),'DICTIONARY-5'!$A$2)</f>
        <v>6,-</v>
      </c>
      <c r="G42" s="339" t="str">
        <f>IFERROR(IF(OR(E42='DICTIONARY-5'!$A$2,E42='DICTIONARY-5'!$A$4,ISBLANK(E42)),VLOOKUP(D42,LIST!$A$6:$M$3250,CURR_2.SEARCH.OLD,0),VLOOKUP(E42,LIST!$B$6:$M$3250,CURR_2.SEARCH.NEW,0)),'DICTIONARY-5'!$A$2)</f>
        <v/>
      </c>
      <c r="H42" s="228"/>
      <c r="I42" s="228"/>
    </row>
    <row r="43" spans="1:11" x14ac:dyDescent="0.25">
      <c r="A43" s="241" t="s">
        <v>2324</v>
      </c>
      <c r="B43" s="241">
        <v>200</v>
      </c>
      <c r="C43" s="241">
        <v>14</v>
      </c>
      <c r="D43" s="241" t="s">
        <v>109</v>
      </c>
      <c r="E43" s="311" t="s">
        <v>2892</v>
      </c>
      <c r="F43" s="339" t="str">
        <f>IFERROR(IF(OR(E43='DICTIONARY-5'!$A$2,E43='DICTIONARY-5'!$A$4,ISBLANK(E43)),VLOOKUP(D43,LIST!$A$6:$L$3250,CURR_1.SEARCH.OLD,0),VLOOKUP(E43,LIST!$B$6:$L$3250,CURR_1.SEARCH.NEW,0)),'DICTIONARY-5'!$A$2)</f>
        <v>8,-</v>
      </c>
      <c r="G43" s="339" t="str">
        <f>IFERROR(IF(OR(E43='DICTIONARY-5'!$A$2,E43='DICTIONARY-5'!$A$4,ISBLANK(E43)),VLOOKUP(D43,LIST!$A$6:$M$3250,CURR_2.SEARCH.OLD,0),VLOOKUP(E43,LIST!$B$6:$M$3250,CURR_2.SEARCH.NEW,0)),'DICTIONARY-5'!$A$2)</f>
        <v/>
      </c>
      <c r="H43" s="228"/>
      <c r="I43" s="228"/>
    </row>
    <row r="44" spans="1:11" x14ac:dyDescent="0.25">
      <c r="A44" s="241" t="s">
        <v>2221</v>
      </c>
      <c r="B44" s="241">
        <v>300</v>
      </c>
      <c r="C44" s="241">
        <v>19</v>
      </c>
      <c r="D44" s="241" t="s">
        <v>91</v>
      </c>
      <c r="E44" s="311" t="s">
        <v>2894</v>
      </c>
      <c r="F44" s="339" t="str">
        <f>IFERROR(IF(OR(E44='DICTIONARY-5'!$A$2,E44='DICTIONARY-5'!$A$4,ISBLANK(E44)),VLOOKUP(D44,LIST!$A$6:$L$3250,CURR_1.SEARCH.OLD,0),VLOOKUP(E44,LIST!$B$6:$L$3250,CURR_1.SEARCH.NEW,0)),'DICTIONARY-5'!$A$2)</f>
        <v>20,-</v>
      </c>
      <c r="G44" s="339" t="str">
        <f>IFERROR(IF(OR(E44='DICTIONARY-5'!$A$2,E44='DICTIONARY-5'!$A$4,ISBLANK(E44)),VLOOKUP(D44,LIST!$A$6:$M$3250,CURR_2.SEARCH.OLD,0),VLOOKUP(E44,LIST!$B$6:$M$3250,CURR_2.SEARCH.NEW,0)),'DICTIONARY-5'!$A$2)</f>
        <v/>
      </c>
      <c r="H44" s="228"/>
      <c r="I44" s="228"/>
    </row>
    <row r="45" spans="1:11" x14ac:dyDescent="0.25">
      <c r="F45" s="251"/>
      <c r="G45" s="229"/>
      <c r="H45" s="228"/>
      <c r="I45" s="228"/>
    </row>
    <row r="46" spans="1:11" x14ac:dyDescent="0.25">
      <c r="F46" s="251"/>
      <c r="G46" s="229"/>
      <c r="H46" s="228"/>
      <c r="I46" s="228"/>
    </row>
    <row r="47" spans="1:11" x14ac:dyDescent="0.25">
      <c r="H47" s="228"/>
      <c r="I47" s="228"/>
    </row>
    <row r="48" spans="1:11" ht="16.5" thickBot="1" x14ac:dyDescent="0.3">
      <c r="A48" s="712" t="str">
        <f>CONCATENATE('DICTIONARY-4'!$A$23," / ",PROPER('DICTIONARY-5'!$A$7)," ",'DICTIONARY-3'!$A$8," ",'DICTIONARY-3'!$A$188," ",LOWER('DICTIONARY-3'!$A$256))</f>
        <v>Kółko ręczne / Dla IKOplus Zasuwa klinowa z wrzecionem wznoszącym się</v>
      </c>
      <c r="B48" s="712"/>
      <c r="C48" s="712"/>
      <c r="D48" s="712"/>
      <c r="E48" s="712"/>
      <c r="F48" s="712"/>
      <c r="G48" s="712"/>
      <c r="H48" s="228"/>
      <c r="I48" s="228"/>
    </row>
    <row r="49" spans="1:9" x14ac:dyDescent="0.25">
      <c r="A49" s="234" t="str">
        <f>CONCATENATE('DICTIONARY-1'!$A$10,": ",SETTINGS!$C$78)</f>
        <v>Grupa rabatowa: Handwheel</v>
      </c>
      <c r="H49" s="228"/>
      <c r="I49" s="228"/>
    </row>
    <row r="50" spans="1:9" x14ac:dyDescent="0.25">
      <c r="A50" s="236"/>
      <c r="H50" s="228"/>
      <c r="I50" s="228"/>
    </row>
    <row r="51" spans="1:9" x14ac:dyDescent="0.25">
      <c r="A51" s="237" t="str">
        <f>'DICTIONARY-2'!$A$2</f>
        <v>DN</v>
      </c>
      <c r="B51" s="710" t="str">
        <f>'DICTIONARY-2'!$A$39&amp;" 1)"</f>
        <v>Dk 1)</v>
      </c>
      <c r="C51" s="710" t="str">
        <f>'DICTIONARY-2'!$A$27&amp;" 2)"</f>
        <v>d 2)</v>
      </c>
      <c r="D51" s="1036" t="str">
        <f>'DICTIONARY-4'!$A$23</f>
        <v>Kółko ręczne</v>
      </c>
      <c r="E51" s="1036"/>
      <c r="F51" s="1036"/>
      <c r="G51" s="1036"/>
      <c r="H51" s="228"/>
      <c r="I51" s="228"/>
    </row>
    <row r="52" spans="1:9" ht="15" customHeight="1" x14ac:dyDescent="0.25">
      <c r="A52" s="244"/>
      <c r="B52" s="530"/>
      <c r="C52" s="530"/>
      <c r="D52" s="1035" t="str">
        <f>'DICTIONARY-5'!$A$48&amp;" + "&amp;'DICTIONARY-5'!$A$24&amp;" ("&amp;'DICTIONARY-5'!$A$194&amp;")"</f>
        <v>żeliwo + powłoka syntetyczna (kolor szary)</v>
      </c>
      <c r="E52" s="1035"/>
      <c r="F52" s="1035"/>
      <c r="G52" s="1035"/>
      <c r="H52" s="228"/>
      <c r="I52" s="228"/>
    </row>
    <row r="53" spans="1:9" x14ac:dyDescent="0.25">
      <c r="A53" s="238"/>
      <c r="B53" s="238" t="str">
        <f>'DICTIONARY-2'!$A$18</f>
        <v>[mm]</v>
      </c>
      <c r="C53" s="238" t="str">
        <f>'DICTIONARY-2'!$A$18</f>
        <v>[mm]</v>
      </c>
      <c r="D53" s="239" t="str">
        <f>'DICTIONARY-2'!$A$28</f>
        <v>stary nr zamówienia</v>
      </c>
      <c r="E53" s="239" t="str">
        <f>'DICTIONARY-2'!$A$29</f>
        <v>nowy nr zamówienia</v>
      </c>
      <c r="F53" s="240" t="str">
        <f>CURRENCY.CODE_1</f>
        <v>EUR</v>
      </c>
      <c r="G53" s="240" t="str">
        <f>CURRENCY.CODE_2</f>
        <v>---</v>
      </c>
      <c r="H53" s="228"/>
      <c r="I53" s="228"/>
    </row>
    <row r="54" spans="1:9" x14ac:dyDescent="0.25">
      <c r="A54" s="241" t="s">
        <v>2322</v>
      </c>
      <c r="B54" s="241">
        <v>160</v>
      </c>
      <c r="C54" s="241">
        <v>30</v>
      </c>
      <c r="D54" s="241" t="s">
        <v>2325</v>
      </c>
      <c r="E54" s="311" t="s">
        <v>2868</v>
      </c>
      <c r="F54" s="339" t="str">
        <f>IFERROR(IF(OR(E54='DICTIONARY-5'!$A$2,E54='DICTIONARY-5'!$A$4,ISBLANK(E54)),VLOOKUP(D54,LIST!$A$6:$L$3250,CURR_1.SEARCH.OLD,0),VLOOKUP(E54,LIST!$B$6:$L$3250,CURR_1.SEARCH.NEW,0)),'DICTIONARY-5'!$A$2)</f>
        <v>22,-</v>
      </c>
      <c r="G54" s="339" t="str">
        <f>IFERROR(IF(OR(E54='DICTIONARY-5'!$A$2,E54='DICTIONARY-5'!$A$4,ISBLANK(E54)),VLOOKUP(D54,LIST!$A$6:$M$3250,CURR_2.SEARCH.OLD,0),VLOOKUP(E54,LIST!$B$6:$M$3250,CURR_2.SEARCH.NEW,0)),'DICTIONARY-5'!$A$2)</f>
        <v/>
      </c>
      <c r="H54" s="228"/>
      <c r="I54" s="228"/>
    </row>
    <row r="55" spans="1:9" x14ac:dyDescent="0.25">
      <c r="A55" s="241" t="s">
        <v>2255</v>
      </c>
      <c r="B55" s="241">
        <v>200</v>
      </c>
      <c r="C55" s="241">
        <v>36</v>
      </c>
      <c r="D55" s="241" t="s">
        <v>2326</v>
      </c>
      <c r="E55" s="311" t="s">
        <v>2869</v>
      </c>
      <c r="F55" s="339" t="str">
        <f>IFERROR(IF(OR(E55='DICTIONARY-5'!$A$2,E55='DICTIONARY-5'!$A$4,ISBLANK(E55)),VLOOKUP(D55,LIST!$A$6:$L$3250,CURR_1.SEARCH.OLD,0),VLOOKUP(E55,LIST!$B$6:$L$3250,CURR_1.SEARCH.NEW,0)),'DICTIONARY-5'!$A$2)</f>
        <v>33,-</v>
      </c>
      <c r="G55" s="339" t="str">
        <f>IFERROR(IF(OR(E55='DICTIONARY-5'!$A$2,E55='DICTIONARY-5'!$A$4,ISBLANK(E55)),VLOOKUP(D55,LIST!$A$6:$M$3250,CURR_2.SEARCH.OLD,0),VLOOKUP(E55,LIST!$B$6:$M$3250,CURR_2.SEARCH.NEW,0)),'DICTIONARY-5'!$A$2)</f>
        <v/>
      </c>
      <c r="H55" s="228"/>
      <c r="I55" s="228"/>
    </row>
    <row r="56" spans="1:9" s="228" customFormat="1" x14ac:dyDescent="0.25">
      <c r="A56" s="241">
        <v>200</v>
      </c>
      <c r="B56" s="241">
        <v>250</v>
      </c>
      <c r="C56" s="241">
        <v>40</v>
      </c>
      <c r="D56" s="241" t="s">
        <v>2327</v>
      </c>
      <c r="E56" s="311" t="s">
        <v>2870</v>
      </c>
      <c r="F56" s="339" t="str">
        <f>IFERROR(IF(OR(E56='DICTIONARY-5'!$A$2,E56='DICTIONARY-5'!$A$4,ISBLANK(E56)),VLOOKUP(D56,LIST!$A$6:$L$3250,CURR_1.SEARCH.OLD,0),VLOOKUP(E56,LIST!$B$6:$L$3250,CURR_1.SEARCH.NEW,0)),'DICTIONARY-5'!$A$2)</f>
        <v>36,-</v>
      </c>
      <c r="G56" s="339" t="str">
        <f>IFERROR(IF(OR(E56='DICTIONARY-5'!$A$2,E56='DICTIONARY-5'!$A$4,ISBLANK(E56)),VLOOKUP(D56,LIST!$A$6:$M$3250,CURR_2.SEARCH.OLD,0),VLOOKUP(E56,LIST!$B$6:$M$3250,CURR_2.SEARCH.NEW,0)),'DICTIONARY-5'!$A$2)</f>
        <v/>
      </c>
    </row>
    <row r="57" spans="1:9" s="228" customFormat="1" x14ac:dyDescent="0.25">
      <c r="A57" s="241">
        <v>250</v>
      </c>
      <c r="B57" s="241">
        <v>315</v>
      </c>
      <c r="C57" s="241">
        <v>45</v>
      </c>
      <c r="D57" s="241" t="s">
        <v>2328</v>
      </c>
      <c r="E57" s="311" t="s">
        <v>2871</v>
      </c>
      <c r="F57" s="339" t="str">
        <f>IFERROR(IF(OR(E57='DICTIONARY-5'!$A$2,E57='DICTIONARY-5'!$A$4,ISBLANK(E57)),VLOOKUP(D57,LIST!$A$6:$L$3250,CURR_1.SEARCH.OLD,0),VLOOKUP(E57,LIST!$B$6:$L$3250,CURR_1.SEARCH.NEW,0)),'DICTIONARY-5'!$A$2)</f>
        <v>49,-</v>
      </c>
      <c r="G57" s="339" t="str">
        <f>IFERROR(IF(OR(E57='DICTIONARY-5'!$A$2,E57='DICTIONARY-5'!$A$4,ISBLANK(E57)),VLOOKUP(D57,LIST!$A$6:$M$3250,CURR_2.SEARCH.OLD,0),VLOOKUP(E57,LIST!$B$6:$M$3250,CURR_2.SEARCH.NEW,0)),'DICTIONARY-5'!$A$2)</f>
        <v/>
      </c>
    </row>
    <row r="58" spans="1:9" s="228" customFormat="1" x14ac:dyDescent="0.25">
      <c r="A58" s="241">
        <v>300</v>
      </c>
      <c r="B58" s="241">
        <v>400</v>
      </c>
      <c r="C58" s="241">
        <v>52</v>
      </c>
      <c r="D58" s="241" t="s">
        <v>2329</v>
      </c>
      <c r="E58" s="311" t="s">
        <v>2872</v>
      </c>
      <c r="F58" s="339" t="str">
        <f>IFERROR(IF(OR(E58='DICTIONARY-5'!$A$2,E58='DICTIONARY-5'!$A$4,ISBLANK(E58)),VLOOKUP(D58,LIST!$A$6:$L$3250,CURR_1.SEARCH.OLD,0),VLOOKUP(E58,LIST!$B$6:$L$3250,CURR_1.SEARCH.NEW,0)),'DICTIONARY-5'!$A$2)</f>
        <v>138,-</v>
      </c>
      <c r="G58" s="339" t="str">
        <f>IFERROR(IF(OR(E58='DICTIONARY-5'!$A$2,E58='DICTIONARY-5'!$A$4,ISBLANK(E58)),VLOOKUP(D58,LIST!$A$6:$M$3250,CURR_2.SEARCH.OLD,0),VLOOKUP(E58,LIST!$B$6:$M$3250,CURR_2.SEARCH.NEW,0)),'DICTIONARY-5'!$A$2)</f>
        <v/>
      </c>
    </row>
    <row r="59" spans="1:9" s="228" customFormat="1" x14ac:dyDescent="0.25">
      <c r="A59" s="230"/>
      <c r="B59" s="230"/>
      <c r="C59" s="230"/>
      <c r="D59" s="230"/>
      <c r="E59" s="230"/>
    </row>
    <row r="60" spans="1:9" s="228" customFormat="1" x14ac:dyDescent="0.25">
      <c r="A60" s="246" t="str">
        <f>"1) "&amp;'DICTIONARY-5'!$A$187</f>
        <v>1) Średnica kółka ręcznego</v>
      </c>
      <c r="B60" s="230"/>
      <c r="C60" s="230"/>
      <c r="D60" s="230"/>
      <c r="E60" s="230"/>
      <c r="H60" s="230"/>
      <c r="I60" s="230"/>
    </row>
    <row r="61" spans="1:9" s="228" customFormat="1" x14ac:dyDescent="0.25">
      <c r="A61" s="246" t="str">
        <f>"2) "&amp;'DICTIONARY-5'!$A$189</f>
        <v>2) Wymiar otworu</v>
      </c>
      <c r="B61" s="230"/>
      <c r="C61" s="230"/>
      <c r="D61" s="230"/>
      <c r="E61" s="230"/>
      <c r="H61" s="230"/>
      <c r="I61" s="230"/>
    </row>
    <row r="62" spans="1:9" s="228" customFormat="1" x14ac:dyDescent="0.25">
      <c r="A62" s="231"/>
      <c r="B62" s="231"/>
      <c r="C62" s="231"/>
      <c r="D62" s="231"/>
      <c r="E62" s="231"/>
      <c r="F62" s="231"/>
      <c r="G62" s="231"/>
      <c r="H62" s="230"/>
      <c r="I62" s="230"/>
    </row>
  </sheetData>
  <sheetProtection algorithmName="SHA-512" hashValue="agKdM+G3kM9UWmMYqwMcZoo2gX3JpPFPf6nvyPLQCEcoiyJcHOUyWshmBUZPKOArDC8W2vm/lFfvY8yY+HXafw==" saltValue="jJB3LRaEThV4oo9OP8kZIw==" spinCount="100000" sheet="1" objects="1" scenarios="1" autoFilter="0"/>
  <mergeCells count="11">
    <mergeCell ref="B4:E4"/>
    <mergeCell ref="D52:G52"/>
    <mergeCell ref="D51:G51"/>
    <mergeCell ref="D9:G9"/>
    <mergeCell ref="H9:K9"/>
    <mergeCell ref="D25:G25"/>
    <mergeCell ref="D39:G39"/>
    <mergeCell ref="D10:G10"/>
    <mergeCell ref="H10:K10"/>
    <mergeCell ref="D26:G26"/>
    <mergeCell ref="D40:G4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1">
    <tabColor rgb="FF0F6E23"/>
  </sheetPr>
  <dimension ref="A1:F31"/>
  <sheetViews>
    <sheetView workbookViewId="0"/>
  </sheetViews>
  <sheetFormatPr defaultColWidth="9.140625" defaultRowHeight="15" x14ac:dyDescent="0.25"/>
  <cols>
    <col min="1" max="1" width="9.140625" style="246"/>
    <col min="2" max="2" width="26.7109375" style="246" customWidth="1"/>
    <col min="3" max="4" width="22.140625" style="230" customWidth="1"/>
    <col min="5" max="6" width="12.85546875" style="228" customWidth="1"/>
    <col min="7" max="16384" width="9.140625" style="231"/>
  </cols>
  <sheetData>
    <row r="1" spans="1:6" s="398" customFormat="1" ht="45" customHeight="1" thickBot="1" x14ac:dyDescent="0.3">
      <c r="A1" s="427"/>
      <c r="B1" s="427"/>
      <c r="C1" s="427"/>
      <c r="D1" s="427"/>
      <c r="E1" s="397"/>
      <c r="F1" s="397"/>
    </row>
    <row r="2" spans="1:6" s="454" customFormat="1" ht="4.5" customHeight="1" x14ac:dyDescent="0.25">
      <c r="A2" s="451"/>
      <c r="B2" s="455"/>
      <c r="C2" s="452"/>
      <c r="D2" s="452"/>
      <c r="E2" s="453"/>
      <c r="F2" s="453"/>
    </row>
    <row r="3" spans="1:6" ht="15.75" thickBot="1" x14ac:dyDescent="0.3"/>
    <row r="4" spans="1:6" ht="15.75" thickBot="1" x14ac:dyDescent="0.3">
      <c r="A4" s="820">
        <f>ADD.DISCOUNT</f>
        <v>0</v>
      </c>
      <c r="B4" s="1055" t="str">
        <f>HYPERLINK("#'LIST'!ADD.DISCOUNT","» "&amp;'DICTIONARY-1'!$A$5)</f>
        <v>» Ustaw globalny dodatkowy rabat</v>
      </c>
      <c r="C4" s="992"/>
      <c r="D4" s="1048"/>
    </row>
    <row r="6" spans="1:6" ht="16.5" thickBot="1" x14ac:dyDescent="0.3">
      <c r="A6" s="712" t="str">
        <f>CONCATENATE('DICTIONARY-3'!$A$152," ",'DICTIONARY-3'!$A$233)</f>
        <v>ROTOP MOBITORQ Przenośny napęd elektryczny</v>
      </c>
      <c r="B6" s="712"/>
      <c r="C6" s="712"/>
      <c r="D6" s="712"/>
      <c r="E6" s="712"/>
      <c r="F6" s="712"/>
    </row>
    <row r="7" spans="1:6" x14ac:dyDescent="0.25">
      <c r="A7" s="234" t="str">
        <f>CONCATENATE('DICTIONARY-1'!$A$10,": ",SETTINGS!$C$76)</f>
        <v>Grupa rabatowa: Accessory components</v>
      </c>
      <c r="B7" s="234"/>
    </row>
    <row r="9" spans="1:6" x14ac:dyDescent="0.25">
      <c r="A9" s="1058" t="str">
        <f>'DICTIONARY-2'!$A$37</f>
        <v>Opis produktu</v>
      </c>
      <c r="B9" s="1059"/>
      <c r="C9" s="1042" t="str">
        <f>'DICTIONARY-3'!$A$152</f>
        <v>ROTOP MOBITORQ</v>
      </c>
      <c r="D9" s="1043"/>
      <c r="E9" s="1043"/>
      <c r="F9" s="1044"/>
    </row>
    <row r="10" spans="1:6" x14ac:dyDescent="0.25">
      <c r="A10" s="1060"/>
      <c r="B10" s="1061"/>
      <c r="C10" s="1045"/>
      <c r="D10" s="1046"/>
      <c r="E10" s="1046"/>
      <c r="F10" s="1047"/>
    </row>
    <row r="11" spans="1:6" x14ac:dyDescent="0.25">
      <c r="A11" s="1062"/>
      <c r="B11" s="1063"/>
      <c r="C11" s="239" t="str">
        <f>'DICTIONARY-2'!$A$28</f>
        <v>stary nr zamówienia</v>
      </c>
      <c r="D11" s="239" t="str">
        <f>'DICTIONARY-2'!$A$29</f>
        <v>nowy nr zamówienia</v>
      </c>
      <c r="E11" s="240" t="str">
        <f>CURRENCY.CODE_1</f>
        <v>EUR</v>
      </c>
      <c r="F11" s="240" t="str">
        <f>CURRENCY.CODE_2</f>
        <v>---</v>
      </c>
    </row>
    <row r="12" spans="1:6" x14ac:dyDescent="0.25">
      <c r="A12" s="1064" t="str">
        <f>'DICTIONARY-5'!$A$174</f>
        <v>Zestaw podstawowy</v>
      </c>
      <c r="B12" s="1065"/>
      <c r="C12" s="241" t="s">
        <v>2304</v>
      </c>
      <c r="D12" s="311" t="s">
        <v>4648</v>
      </c>
      <c r="E12" s="339" t="str">
        <f>IFERROR(IF(OR(D12='DICTIONARY-5'!$A$2,D12='DICTIONARY-5'!$A$4,ISBLANK(D12)),VLOOKUP(C12,LIST!$A$6:$L$3250,CURR_1.SEARCH.OLD,0),VLOOKUP(D12,LIST!$B$6:$L$3250,CURR_1.SEARCH.NEW,0)),'DICTIONARY-5'!$A$2)</f>
        <v>10 366,-</v>
      </c>
      <c r="F12" s="339" t="str">
        <f>IFERROR(IF(OR(D12='DICTIONARY-5'!$A$2,D12='DICTIONARY-5'!$A$4,ISBLANK(D12)),VLOOKUP(C12,LIST!$A$6:$M$3250,CURR_2.SEARCH.OLD,0),VLOOKUP(D12,LIST!$B$6:$M$3250,CURR_2.SEARCH.NEW,0)),'DICTIONARY-5'!$A$2)</f>
        <v/>
      </c>
    </row>
    <row r="13" spans="1:6" x14ac:dyDescent="0.25">
      <c r="A13" s="1064" t="str">
        <f>'DICTIONARY-5'!$A$175</f>
        <v>Pełen zestaw</v>
      </c>
      <c r="B13" s="1065"/>
      <c r="C13" s="500" t="str">
        <f>'DICTIONARY-5'!$A$2</f>
        <v>na zapytanie</v>
      </c>
      <c r="D13" s="311" t="str">
        <f>'DICTIONARY-5'!$A$2</f>
        <v>na zapytanie</v>
      </c>
      <c r="E13" s="339" t="str">
        <f>IFERROR(IF(OR(D13='DICTIONARY-5'!$A$2,D13='DICTIONARY-5'!$A$4,ISBLANK(D13)),VLOOKUP(C13,LIST!$A$6:$L$3250,CURR_1.SEARCH.OLD,0),VLOOKUP(D13,LIST!$B$6:$L$3250,CURR_1.SEARCH.NEW,0)),'DICTIONARY-5'!$A$2)</f>
        <v>na zapytanie</v>
      </c>
      <c r="F13" s="339" t="str">
        <f>IFERROR(IF(OR(D13='DICTIONARY-5'!$A$2,D13='DICTIONARY-5'!$A$4,ISBLANK(D13)),VLOOKUP(C13,LIST!$A$6:$M$3250,CURR_2.SEARCH.OLD,0),VLOOKUP(D13,LIST!$B$6:$M$3250,CURR_2.SEARCH.NEW,0)),'DICTIONARY-5'!$A$2)</f>
        <v>na zapytanie</v>
      </c>
    </row>
    <row r="14" spans="1:6" x14ac:dyDescent="0.25">
      <c r="A14" s="1064" t="str">
        <f>'DICTIONARY-1'!$A$34</f>
        <v>Akcesoria</v>
      </c>
      <c r="B14" s="1065"/>
      <c r="C14" s="500" t="str">
        <f>'DICTIONARY-5'!$A$2</f>
        <v>na zapytanie</v>
      </c>
      <c r="D14" s="311" t="str">
        <f>'DICTIONARY-5'!$A$2</f>
        <v>na zapytanie</v>
      </c>
      <c r="E14" s="339" t="str">
        <f>IFERROR(IF(OR(D14='DICTIONARY-5'!$A$2,D14='DICTIONARY-5'!$A$4,ISBLANK(D14)),VLOOKUP(C14,LIST!$A$6:$L$3250,CURR_1.SEARCH.OLD,0),VLOOKUP(D14,LIST!$B$6:$L$3250,CURR_1.SEARCH.NEW,0)),'DICTIONARY-5'!$A$2)</f>
        <v>na zapytanie</v>
      </c>
      <c r="F14" s="339" t="str">
        <f>IFERROR(IF(OR(D14='DICTIONARY-5'!$A$2,D14='DICTIONARY-5'!$A$4,ISBLANK(D14)),VLOOKUP(C14,LIST!$A$6:$M$3250,CURR_2.SEARCH.OLD,0),VLOOKUP(D14,LIST!$B$6:$M$3250,CURR_2.SEARCH.NEW,0)),'DICTIONARY-5'!$A$2)</f>
        <v>na zapytanie</v>
      </c>
    </row>
    <row r="16" spans="1:6" x14ac:dyDescent="0.25">
      <c r="A16" s="249" t="str">
        <f>'DICTIONARY-5'!$A$176</f>
        <v>Zawartość zestawu podstawowego</v>
      </c>
    </row>
    <row r="17" spans="1:6" x14ac:dyDescent="0.25">
      <c r="A17" s="351" t="str">
        <f>"- "&amp;'DICTIONARY-3'!$A$152&amp;" "&amp;'DICTIONARY-5'!$A$177</f>
        <v>- ROTOP MOBITORQ z wyłącznikiem bezpieczeństwa PRCD</v>
      </c>
    </row>
    <row r="18" spans="1:6" x14ac:dyDescent="0.25">
      <c r="A18" s="351" t="str">
        <f>"- "&amp;'DICTIONARY-5'!$A$178</f>
        <v>- Stojak napędu dla bezpiecznej pracy</v>
      </c>
    </row>
    <row r="19" spans="1:6" x14ac:dyDescent="0.25">
      <c r="A19" s="351" t="str">
        <f>"- "&amp;'DICTIONARY-5'!$A$179</f>
        <v>- Trzpień siłownika z tłumikiem położenia końcowego</v>
      </c>
    </row>
    <row r="20" spans="1:6" x14ac:dyDescent="0.25">
      <c r="A20" s="351" t="str">
        <f>"- "&amp;'DICTIONARY-5'!$A$180</f>
        <v>- Mufy sprzęgające (kwadrat: 12 mm, 27 mm)</v>
      </c>
    </row>
    <row r="21" spans="1:6" x14ac:dyDescent="0.25">
      <c r="A21" s="351" t="str">
        <f>"- "&amp;'DICTIONARY-5'!$A$181</f>
        <v>- Popychacz</v>
      </c>
    </row>
    <row r="22" spans="1:6" x14ac:dyDescent="0.25">
      <c r="A22" s="351" t="str">
        <f>"- "&amp;'DICTIONARY-5'!$A$182</f>
        <v>- Klucz sześciokątny</v>
      </c>
    </row>
    <row r="23" spans="1:6" x14ac:dyDescent="0.25">
      <c r="A23" s="351" t="str">
        <f>"- "&amp;'DICTIONARY-5'!$A$183</f>
        <v>- Walizka transportowa z kółkami</v>
      </c>
    </row>
    <row r="26" spans="1:6" x14ac:dyDescent="0.25">
      <c r="A26" s="1058" t="str">
        <f>'DICTIONARY-2'!$A$37</f>
        <v>Opis produktu</v>
      </c>
      <c r="B26" s="1059"/>
      <c r="C26" s="1052" t="str">
        <f>'DICTIONARY-1'!$A$34</f>
        <v>Akcesoria</v>
      </c>
      <c r="D26" s="1043"/>
      <c r="E26" s="1043"/>
      <c r="F26" s="1044"/>
    </row>
    <row r="27" spans="1:6" x14ac:dyDescent="0.25">
      <c r="A27" s="1060"/>
      <c r="B27" s="1061"/>
      <c r="C27" s="1049"/>
      <c r="D27" s="1046"/>
      <c r="E27" s="1046"/>
      <c r="F27" s="1047"/>
    </row>
    <row r="28" spans="1:6" x14ac:dyDescent="0.25">
      <c r="A28" s="1062"/>
      <c r="B28" s="1063"/>
      <c r="C28" s="239" t="str">
        <f>'DICTIONARY-2'!$A$28</f>
        <v>stary nr zamówienia</v>
      </c>
      <c r="D28" s="239" t="str">
        <f>'DICTIONARY-2'!$A$29</f>
        <v>nowy nr zamówienia</v>
      </c>
      <c r="E28" s="240" t="str">
        <f>CURRENCY.CODE_1</f>
        <v>EUR</v>
      </c>
      <c r="F28" s="240" t="str">
        <f>CURRENCY.CODE_2</f>
        <v>---</v>
      </c>
    </row>
    <row r="29" spans="1:6" x14ac:dyDescent="0.25">
      <c r="A29" s="1064" t="str">
        <f>'DICTIONARY-5'!$A$184</f>
        <v>Zestaw łaczników (bez opakowania)</v>
      </c>
      <c r="B29" s="1065"/>
      <c r="C29" s="241" t="s">
        <v>2305</v>
      </c>
      <c r="D29" s="311" t="s">
        <v>4649</v>
      </c>
      <c r="E29" s="339" t="str">
        <f>IFERROR(IF(OR(D29='DICTIONARY-5'!$A$2,D29='DICTIONARY-5'!$A$4,ISBLANK(D29)),VLOOKUP(C29,LIST!$A$6:$L$3250,CURR_1.SEARCH.OLD,0),VLOOKUP(D29,LIST!$B$6:$L$3250,CURR_1.SEARCH.NEW,0)),'DICTIONARY-5'!$A$2)</f>
        <v>1 225,-</v>
      </c>
      <c r="F29" s="339" t="str">
        <f>IFERROR(IF(OR(D29='DICTIONARY-5'!$A$2,D29='DICTIONARY-5'!$A$4,ISBLANK(D29)),VLOOKUP(C29,LIST!$A$6:$M$3250,CURR_2.SEARCH.OLD,0),VLOOKUP(D29,LIST!$B$6:$M$3250,CURR_2.SEARCH.NEW,0)),'DICTIONARY-5'!$A$2)</f>
        <v/>
      </c>
    </row>
    <row r="30" spans="1:6" x14ac:dyDescent="0.25">
      <c r="A30" s="1056" t="str">
        <f>'DICTIONARY-5'!$A$185</f>
        <v>Duża skrzynka transportowa z kółkami</v>
      </c>
      <c r="B30" s="1057"/>
      <c r="C30" s="241" t="s">
        <v>2306</v>
      </c>
      <c r="D30" s="311" t="s">
        <v>4647</v>
      </c>
      <c r="E30" s="339" t="str">
        <f>IFERROR(IF(OR(D30='DICTIONARY-5'!$A$2,D30='DICTIONARY-5'!$A$4,ISBLANK(D30)),VLOOKUP(C30,LIST!$A$6:$L$3250,CURR_1.SEARCH.OLD,0),VLOOKUP(D30,LIST!$B$6:$L$3250,CURR_1.SEARCH.NEW,0)),'DICTIONARY-5'!$A$2)</f>
        <v>696,-</v>
      </c>
      <c r="F30" s="339" t="str">
        <f>IFERROR(IF(OR(D30='DICTIONARY-5'!$A$2,D30='DICTIONARY-5'!$A$4,ISBLANK(D30)),VLOOKUP(C30,LIST!$A$6:$M$3250,CURR_2.SEARCH.OLD,0),VLOOKUP(D30,LIST!$B$6:$M$3250,CURR_2.SEARCH.NEW,0)),'DICTIONARY-5'!$A$2)</f>
        <v/>
      </c>
    </row>
    <row r="31" spans="1:6" x14ac:dyDescent="0.25">
      <c r="A31" s="1056" t="str">
        <f>'DICTIONARY-5'!$A$186</f>
        <v>Awaryjny generator prądu z wózkiem (3 kVA)</v>
      </c>
      <c r="B31" s="1057"/>
      <c r="C31" s="241" t="s">
        <v>2307</v>
      </c>
      <c r="D31" s="312" t="s">
        <v>4650</v>
      </c>
      <c r="E31" s="339" t="str">
        <f>IFERROR(IF(OR(D31='DICTIONARY-5'!$A$2,D31='DICTIONARY-5'!$A$4,ISBLANK(D31)),VLOOKUP(C31,LIST!$A$6:$L$3250,CURR_1.SEARCH.OLD,0),VLOOKUP(D31,LIST!$B$6:$L$3250,CURR_1.SEARCH.NEW,0)),'DICTIONARY-5'!$A$2)</f>
        <v>8 662,-</v>
      </c>
      <c r="F31" s="339" t="str">
        <f>IFERROR(IF(OR(D31='DICTIONARY-5'!$A$2,D31='DICTIONARY-5'!$A$4,ISBLANK(D31)),VLOOKUP(C31,LIST!$A$6:$M$3250,CURR_2.SEARCH.OLD,0),VLOOKUP(D31,LIST!$B$6:$M$3250,CURR_2.SEARCH.NEW,0)),'DICTIONARY-5'!$A$2)</f>
        <v/>
      </c>
    </row>
  </sheetData>
  <sheetProtection algorithmName="SHA-512" hashValue="/WYF9AAian2orTQ8PPGVDQxZVuBWxGweemUhbDQJ1ytVCPhevs1seZjGKYk2Ey3EkpwE2X/Gld2K4RC1a66c5g==" saltValue="sgTONOjr1yT0CtN2vhUD6Q==" spinCount="100000" sheet="1" objects="1" scenarios="1" autoFilter="0"/>
  <mergeCells count="13">
    <mergeCell ref="B4:D4"/>
    <mergeCell ref="A31:B31"/>
    <mergeCell ref="A9:B11"/>
    <mergeCell ref="C9:F9"/>
    <mergeCell ref="A26:B28"/>
    <mergeCell ref="C26:F26"/>
    <mergeCell ref="A29:B29"/>
    <mergeCell ref="A30:B30"/>
    <mergeCell ref="C10:F10"/>
    <mergeCell ref="C27:F27"/>
    <mergeCell ref="A12:B12"/>
    <mergeCell ref="A13:B13"/>
    <mergeCell ref="A14:B1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4">
    <tabColor rgb="FFFFC000"/>
  </sheetPr>
  <dimension ref="A1:M45"/>
  <sheetViews>
    <sheetView workbookViewId="0"/>
  </sheetViews>
  <sheetFormatPr defaultColWidth="9.140625" defaultRowHeight="15" x14ac:dyDescent="0.25"/>
  <cols>
    <col min="1" max="3" width="9.140625" style="254"/>
    <col min="4" max="5" width="22.140625" style="254" customWidth="1"/>
    <col min="6" max="7" width="12.85546875" style="255" customWidth="1"/>
    <col min="8" max="16384" width="9.140625" style="256"/>
  </cols>
  <sheetData>
    <row r="1" spans="1:10" s="394" customFormat="1" ht="45" customHeight="1" thickBot="1" x14ac:dyDescent="0.3">
      <c r="A1" s="426"/>
      <c r="B1" s="426"/>
      <c r="C1" s="426"/>
      <c r="D1" s="426"/>
      <c r="E1" s="395"/>
      <c r="F1" s="396"/>
      <c r="G1" s="396"/>
    </row>
    <row r="2" spans="1:10" s="448" customFormat="1" ht="4.5" customHeight="1" x14ac:dyDescent="0.25">
      <c r="A2" s="447"/>
      <c r="B2" s="449"/>
      <c r="C2" s="449"/>
      <c r="D2" s="449"/>
      <c r="E2" s="449"/>
      <c r="F2" s="450"/>
      <c r="G2" s="450"/>
    </row>
    <row r="3" spans="1:10" ht="15.75" thickBot="1" x14ac:dyDescent="0.3"/>
    <row r="4" spans="1:10" ht="15.75" thickBot="1" x14ac:dyDescent="0.3">
      <c r="A4" s="819">
        <f>ADD.DISCOUNT</f>
        <v>0</v>
      </c>
      <c r="B4" s="992" t="str">
        <f>HYPERLINK("#'LIST'!ADD.DISCOUNT","» "&amp;'DICTIONARY-1'!$A$5)</f>
        <v>» Ustaw globalny dodatkowy rabat</v>
      </c>
      <c r="C4" s="1066"/>
      <c r="D4" s="1066"/>
      <c r="E4" s="1067"/>
    </row>
    <row r="6" spans="1:10" ht="16.5" thickBot="1" x14ac:dyDescent="0.3">
      <c r="A6" s="712" t="str">
        <f>CONCATENATE('DICTIONARY-3'!$A$184," ",'DICTIONARY-3'!$A$187)</f>
        <v>BAIO BETA 200 Zasuwa klinowa</v>
      </c>
      <c r="B6" s="712"/>
      <c r="C6" s="712"/>
      <c r="D6" s="712"/>
      <c r="E6" s="712"/>
      <c r="F6" s="712"/>
      <c r="G6" s="712"/>
    </row>
    <row r="7" spans="1:10" x14ac:dyDescent="0.25">
      <c r="A7" s="258" t="str">
        <f>CONCATENATE('DICTIONARY-1'!$A$10,": ",SETTINGS!$C$9)</f>
        <v>Grupa rabatowa: BETA 200 BAIO</v>
      </c>
      <c r="B7" s="258"/>
      <c r="C7" s="258"/>
    </row>
    <row r="8" spans="1:10" x14ac:dyDescent="0.25">
      <c r="A8" s="259"/>
      <c r="B8" s="259"/>
      <c r="C8" s="259"/>
    </row>
    <row r="9" spans="1:10" x14ac:dyDescent="0.25">
      <c r="A9" s="260" t="str">
        <f>'DICTIONARY-2'!$A$2</f>
        <v>DN</v>
      </c>
      <c r="B9" s="260" t="str">
        <f>'DICTIONARY-2'!$A$3</f>
        <v>PN</v>
      </c>
      <c r="C9" s="260" t="str">
        <f>'DICTIONARY-2'!$A$24</f>
        <v>L</v>
      </c>
      <c r="D9" s="1069" t="str">
        <f>'DICTIONARY-3'!$A$184</f>
        <v>BAIO BETA 200</v>
      </c>
      <c r="E9" s="1069"/>
      <c r="F9" s="1069"/>
      <c r="G9" s="1069"/>
    </row>
    <row r="10" spans="1:10" x14ac:dyDescent="0.25">
      <c r="A10" s="531"/>
      <c r="B10" s="531"/>
      <c r="C10" s="531"/>
      <c r="D10" s="1068" t="str">
        <f>LOWER('DICTIONARY-5'!$A$204)&amp;": "&amp;"2x "&amp;'DICTIONARY-5'!$A$198</f>
        <v>połączenie: 2x mufa</v>
      </c>
      <c r="E10" s="1068"/>
      <c r="F10" s="1068"/>
      <c r="G10" s="1068"/>
    </row>
    <row r="11" spans="1:10" x14ac:dyDescent="0.25">
      <c r="A11" s="261"/>
      <c r="B11" s="261"/>
      <c r="C11" s="261" t="str">
        <f>'DICTIONARY-2'!$A$18</f>
        <v>[mm]</v>
      </c>
      <c r="D11" s="262" t="str">
        <f>'DICTIONARY-2'!$A$28</f>
        <v>stary nr zamówienia</v>
      </c>
      <c r="E11" s="262" t="str">
        <f>'DICTIONARY-2'!$A$29</f>
        <v>nowy nr zamówienia</v>
      </c>
      <c r="F11" s="263" t="str">
        <f>CURRENCY.CODE_1</f>
        <v>EUR</v>
      </c>
      <c r="G11" s="263" t="str">
        <f>CURRENCY.CODE_2</f>
        <v>---</v>
      </c>
      <c r="J11" s="254"/>
    </row>
    <row r="12" spans="1:10" x14ac:dyDescent="0.25">
      <c r="A12" s="264">
        <v>80</v>
      </c>
      <c r="B12" s="264">
        <v>16</v>
      </c>
      <c r="C12" s="264">
        <v>333</v>
      </c>
      <c r="D12" s="264" t="s">
        <v>2351</v>
      </c>
      <c r="E12" s="309" t="s">
        <v>3493</v>
      </c>
      <c r="F12" s="339" t="str">
        <f>IFERROR(IF(OR(E12='DICTIONARY-5'!$A$2,E12='DICTIONARY-5'!$A$4,ISBLANK(E12)),VLOOKUP(D12,LIST!$A$6:$L$3250,CURR_1.SEARCH.OLD,0),VLOOKUP(E12,LIST!$B$6:$L$3250,CURR_1.SEARCH.NEW,0)),'DICTIONARY-5'!$A$2)</f>
        <v>292,-</v>
      </c>
      <c r="G12" s="339" t="str">
        <f>IFERROR(IF(OR(E12='DICTIONARY-5'!$A$2,E12='DICTIONARY-5'!$A$4,ISBLANK(E12)),VLOOKUP(D12,LIST!$A$6:$M$3250,CURR_2.SEARCH.OLD,0),VLOOKUP(E12,LIST!$B$6:$M$3250,CURR_2.SEARCH.NEW,0)),'DICTIONARY-5'!$A$2)</f>
        <v/>
      </c>
      <c r="I12" s="265"/>
      <c r="J12" s="714"/>
    </row>
    <row r="13" spans="1:10" x14ac:dyDescent="0.25">
      <c r="A13" s="264">
        <v>100</v>
      </c>
      <c r="B13" s="264">
        <v>16</v>
      </c>
      <c r="C13" s="264">
        <v>355</v>
      </c>
      <c r="D13" s="264" t="s">
        <v>2352</v>
      </c>
      <c r="E13" s="309" t="s">
        <v>3494</v>
      </c>
      <c r="F13" s="339" t="str">
        <f>IFERROR(IF(OR(E13='DICTIONARY-5'!$A$2,E13='DICTIONARY-5'!$A$4,ISBLANK(E13)),VLOOKUP(D13,LIST!$A$6:$L$3250,CURR_1.SEARCH.OLD,0),VLOOKUP(E13,LIST!$B$6:$L$3250,CURR_1.SEARCH.NEW,0)),'DICTIONARY-5'!$A$2)</f>
        <v>330,-</v>
      </c>
      <c r="G13" s="339" t="str">
        <f>IFERROR(IF(OR(E13='DICTIONARY-5'!$A$2,E13='DICTIONARY-5'!$A$4,ISBLANK(E13)),VLOOKUP(D13,LIST!$A$6:$M$3250,CURR_2.SEARCH.OLD,0),VLOOKUP(E13,LIST!$B$6:$M$3250,CURR_2.SEARCH.NEW,0)),'DICTIONARY-5'!$A$2)</f>
        <v/>
      </c>
      <c r="I13" s="265"/>
      <c r="J13" s="714"/>
    </row>
    <row r="14" spans="1:10" x14ac:dyDescent="0.25">
      <c r="A14" s="264">
        <v>125</v>
      </c>
      <c r="B14" s="264">
        <v>16</v>
      </c>
      <c r="C14" s="264">
        <v>374</v>
      </c>
      <c r="D14" s="264" t="s">
        <v>2353</v>
      </c>
      <c r="E14" s="309" t="s">
        <v>3495</v>
      </c>
      <c r="F14" s="339" t="str">
        <f>IFERROR(IF(OR(E14='DICTIONARY-5'!$A$2,E14='DICTIONARY-5'!$A$4,ISBLANK(E14)),VLOOKUP(D14,LIST!$A$6:$L$3250,CURR_1.SEARCH.OLD,0),VLOOKUP(E14,LIST!$B$6:$L$3250,CURR_1.SEARCH.NEW,0)),'DICTIONARY-5'!$A$2)</f>
        <v>471,-</v>
      </c>
      <c r="G14" s="339" t="str">
        <f>IFERROR(IF(OR(E14='DICTIONARY-5'!$A$2,E14='DICTIONARY-5'!$A$4,ISBLANK(E14)),VLOOKUP(D14,LIST!$A$6:$M$3250,CURR_2.SEARCH.OLD,0),VLOOKUP(E14,LIST!$B$6:$M$3250,CURR_2.SEARCH.NEW,0)),'DICTIONARY-5'!$A$2)</f>
        <v/>
      </c>
      <c r="I14" s="265"/>
      <c r="J14" s="714"/>
    </row>
    <row r="15" spans="1:10" x14ac:dyDescent="0.25">
      <c r="A15" s="264">
        <v>150</v>
      </c>
      <c r="B15" s="264">
        <v>16</v>
      </c>
      <c r="C15" s="264">
        <v>387</v>
      </c>
      <c r="D15" s="264" t="s">
        <v>2354</v>
      </c>
      <c r="E15" s="309" t="s">
        <v>3496</v>
      </c>
      <c r="F15" s="339" t="str">
        <f>IFERROR(IF(OR(E15='DICTIONARY-5'!$A$2,E15='DICTIONARY-5'!$A$4,ISBLANK(E15)),VLOOKUP(D15,LIST!$A$6:$L$3250,CURR_1.SEARCH.OLD,0),VLOOKUP(E15,LIST!$B$6:$L$3250,CURR_1.SEARCH.NEW,0)),'DICTIONARY-5'!$A$2)</f>
        <v>588,-</v>
      </c>
      <c r="G15" s="339" t="str">
        <f>IFERROR(IF(OR(E15='DICTIONARY-5'!$A$2,E15='DICTIONARY-5'!$A$4,ISBLANK(E15)),VLOOKUP(D15,LIST!$A$6:$M$3250,CURR_2.SEARCH.OLD,0),VLOOKUP(E15,LIST!$B$6:$M$3250,CURR_2.SEARCH.NEW,0)),'DICTIONARY-5'!$A$2)</f>
        <v/>
      </c>
      <c r="I15" s="265"/>
      <c r="J15" s="714"/>
    </row>
    <row r="16" spans="1:10" x14ac:dyDescent="0.25">
      <c r="A16" s="264">
        <v>200</v>
      </c>
      <c r="B16" s="264">
        <v>16</v>
      </c>
      <c r="C16" s="264">
        <v>420</v>
      </c>
      <c r="D16" s="264" t="s">
        <v>2355</v>
      </c>
      <c r="E16" s="309" t="s">
        <v>3497</v>
      </c>
      <c r="F16" s="339" t="str">
        <f>IFERROR(IF(OR(E16='DICTIONARY-5'!$A$2,E16='DICTIONARY-5'!$A$4,ISBLANK(E16)),VLOOKUP(D16,LIST!$A$6:$L$3250,CURR_1.SEARCH.OLD,0),VLOOKUP(E16,LIST!$B$6:$L$3250,CURR_1.SEARCH.NEW,0)),'DICTIONARY-5'!$A$2)</f>
        <v>1 095,-</v>
      </c>
      <c r="G16" s="339" t="str">
        <f>IFERROR(IF(OR(E16='DICTIONARY-5'!$A$2,E16='DICTIONARY-5'!$A$4,ISBLANK(E16)),VLOOKUP(D16,LIST!$A$6:$M$3250,CURR_2.SEARCH.OLD,0),VLOOKUP(E16,LIST!$B$6:$M$3250,CURR_2.SEARCH.NEW,0)),'DICTIONARY-5'!$A$2)</f>
        <v/>
      </c>
      <c r="I16" s="265"/>
      <c r="J16" s="714"/>
    </row>
    <row r="17" spans="1:10" x14ac:dyDescent="0.25">
      <c r="I17" s="265"/>
      <c r="J17" s="266"/>
    </row>
    <row r="18" spans="1:10" x14ac:dyDescent="0.25">
      <c r="I18" s="265"/>
    </row>
    <row r="19" spans="1:10" x14ac:dyDescent="0.25">
      <c r="A19" s="260" t="str">
        <f>'DICTIONARY-2'!$A$2</f>
        <v>DN</v>
      </c>
      <c r="B19" s="260" t="str">
        <f>'DICTIONARY-2'!$A$3</f>
        <v>PN</v>
      </c>
      <c r="C19" s="260" t="str">
        <f>'DICTIONARY-2'!$A$24</f>
        <v>L</v>
      </c>
      <c r="D19" s="1069" t="str">
        <f>'DICTIONARY-3'!$A$184</f>
        <v>BAIO BETA 200</v>
      </c>
      <c r="E19" s="1069"/>
      <c r="F19" s="1069"/>
      <c r="G19" s="1069"/>
      <c r="I19" s="265"/>
    </row>
    <row r="20" spans="1:10" x14ac:dyDescent="0.25">
      <c r="A20" s="531"/>
      <c r="B20" s="531"/>
      <c r="C20" s="531"/>
      <c r="D20" s="1068" t="str">
        <f>LOWER('DICTIONARY-5'!$A$204)&amp;": "&amp;"1x "&amp;'DICTIONARY-5'!$A$198&amp;", "&amp;"1x "&amp;'DICTIONARY-5'!$A$199</f>
        <v>połączenie: 1x mufa, 1x końcówka bosa</v>
      </c>
      <c r="E20" s="1068"/>
      <c r="F20" s="1068"/>
      <c r="G20" s="1068"/>
      <c r="I20" s="265"/>
    </row>
    <row r="21" spans="1:10" x14ac:dyDescent="0.25">
      <c r="A21" s="261"/>
      <c r="B21" s="261"/>
      <c r="C21" s="261" t="str">
        <f>'DICTIONARY-2'!$A$18</f>
        <v>[mm]</v>
      </c>
      <c r="D21" s="262" t="str">
        <f>'DICTIONARY-2'!$A$28</f>
        <v>stary nr zamówienia</v>
      </c>
      <c r="E21" s="262" t="str">
        <f>'DICTIONARY-2'!$A$29</f>
        <v>nowy nr zamówienia</v>
      </c>
      <c r="F21" s="263" t="str">
        <f>CURRENCY.CODE_1</f>
        <v>EUR</v>
      </c>
      <c r="G21" s="263" t="str">
        <f>CURRENCY.CODE_2</f>
        <v>---</v>
      </c>
      <c r="I21" s="265"/>
    </row>
    <row r="22" spans="1:10" x14ac:dyDescent="0.25">
      <c r="A22" s="264">
        <v>80</v>
      </c>
      <c r="B22" s="264">
        <v>16</v>
      </c>
      <c r="C22" s="264">
        <v>330</v>
      </c>
      <c r="D22" s="264" t="s">
        <v>2356</v>
      </c>
      <c r="E22" s="309" t="s">
        <v>3498</v>
      </c>
      <c r="F22" s="339" t="str">
        <f>IFERROR(IF(OR(E22='DICTIONARY-5'!$A$2,E22='DICTIONARY-5'!$A$4,ISBLANK(E22)),VLOOKUP(D22,LIST!$A$6:$L$3250,CURR_1.SEARCH.OLD,0),VLOOKUP(E22,LIST!$B$6:$L$3250,CURR_1.SEARCH.NEW,0)),'DICTIONARY-5'!$A$2)</f>
        <v>295,-</v>
      </c>
      <c r="G22" s="339" t="str">
        <f>IFERROR(IF(OR(E22='DICTIONARY-5'!$A$2,E22='DICTIONARY-5'!$A$4,ISBLANK(E22)),VLOOKUP(D22,LIST!$A$6:$M$3250,CURR_2.SEARCH.OLD,0),VLOOKUP(E22,LIST!$B$6:$M$3250,CURR_2.SEARCH.NEW,0)),'DICTIONARY-5'!$A$2)</f>
        <v/>
      </c>
      <c r="I22" s="265"/>
      <c r="J22" s="266"/>
    </row>
    <row r="23" spans="1:10" x14ac:dyDescent="0.25">
      <c r="A23" s="264">
        <v>100</v>
      </c>
      <c r="B23" s="264">
        <v>16</v>
      </c>
      <c r="C23" s="264">
        <v>350</v>
      </c>
      <c r="D23" s="264" t="s">
        <v>2357</v>
      </c>
      <c r="E23" s="309" t="s">
        <v>3499</v>
      </c>
      <c r="F23" s="339" t="str">
        <f>IFERROR(IF(OR(E23='DICTIONARY-5'!$A$2,E23='DICTIONARY-5'!$A$4,ISBLANK(E23)),VLOOKUP(D23,LIST!$A$6:$L$3250,CURR_1.SEARCH.OLD,0),VLOOKUP(E23,LIST!$B$6:$L$3250,CURR_1.SEARCH.NEW,0)),'DICTIONARY-5'!$A$2)</f>
        <v>330,-</v>
      </c>
      <c r="G23" s="339" t="str">
        <f>IFERROR(IF(OR(E23='DICTIONARY-5'!$A$2,E23='DICTIONARY-5'!$A$4,ISBLANK(E23)),VLOOKUP(D23,LIST!$A$6:$M$3250,CURR_2.SEARCH.OLD,0),VLOOKUP(E23,LIST!$B$6:$M$3250,CURR_2.SEARCH.NEW,0)),'DICTIONARY-5'!$A$2)</f>
        <v/>
      </c>
      <c r="I23" s="265"/>
      <c r="J23" s="266"/>
    </row>
    <row r="24" spans="1:10" x14ac:dyDescent="0.25">
      <c r="A24" s="264">
        <v>125</v>
      </c>
      <c r="B24" s="264">
        <v>16</v>
      </c>
      <c r="C24" s="264">
        <v>370</v>
      </c>
      <c r="D24" s="264" t="s">
        <v>2358</v>
      </c>
      <c r="E24" s="309" t="s">
        <v>3500</v>
      </c>
      <c r="F24" s="339" t="str">
        <f>IFERROR(IF(OR(E24='DICTIONARY-5'!$A$2,E24='DICTIONARY-5'!$A$4,ISBLANK(E24)),VLOOKUP(D24,LIST!$A$6:$L$3250,CURR_1.SEARCH.OLD,0),VLOOKUP(E24,LIST!$B$6:$L$3250,CURR_1.SEARCH.NEW,0)),'DICTIONARY-5'!$A$2)</f>
        <v>525,-</v>
      </c>
      <c r="G24" s="339" t="str">
        <f>IFERROR(IF(OR(E24='DICTIONARY-5'!$A$2,E24='DICTIONARY-5'!$A$4,ISBLANK(E24)),VLOOKUP(D24,LIST!$A$6:$M$3250,CURR_2.SEARCH.OLD,0),VLOOKUP(E24,LIST!$B$6:$M$3250,CURR_2.SEARCH.NEW,0)),'DICTIONARY-5'!$A$2)</f>
        <v/>
      </c>
      <c r="I24" s="265"/>
      <c r="J24" s="266"/>
    </row>
    <row r="25" spans="1:10" x14ac:dyDescent="0.25">
      <c r="A25" s="264">
        <v>150</v>
      </c>
      <c r="B25" s="264">
        <v>16</v>
      </c>
      <c r="C25" s="264">
        <v>388</v>
      </c>
      <c r="D25" s="264" t="s">
        <v>2359</v>
      </c>
      <c r="E25" s="309" t="s">
        <v>3501</v>
      </c>
      <c r="F25" s="339" t="str">
        <f>IFERROR(IF(OR(E25='DICTIONARY-5'!$A$2,E25='DICTIONARY-5'!$A$4,ISBLANK(E25)),VLOOKUP(D25,LIST!$A$6:$L$3250,CURR_1.SEARCH.OLD,0),VLOOKUP(E25,LIST!$B$6:$L$3250,CURR_1.SEARCH.NEW,0)),'DICTIONARY-5'!$A$2)</f>
        <v>552,-</v>
      </c>
      <c r="G25" s="339" t="str">
        <f>IFERROR(IF(OR(E25='DICTIONARY-5'!$A$2,E25='DICTIONARY-5'!$A$4,ISBLANK(E25)),VLOOKUP(D25,LIST!$A$6:$M$3250,CURR_2.SEARCH.OLD,0),VLOOKUP(E25,LIST!$B$6:$M$3250,CURR_2.SEARCH.NEW,0)),'DICTIONARY-5'!$A$2)</f>
        <v/>
      </c>
      <c r="I25" s="265"/>
      <c r="J25" s="266"/>
    </row>
    <row r="26" spans="1:10" x14ac:dyDescent="0.25">
      <c r="A26" s="264">
        <v>200</v>
      </c>
      <c r="B26" s="264">
        <v>16</v>
      </c>
      <c r="C26" s="264">
        <v>430</v>
      </c>
      <c r="D26" s="264" t="s">
        <v>2360</v>
      </c>
      <c r="E26" s="309" t="s">
        <v>3502</v>
      </c>
      <c r="F26" s="339" t="str">
        <f>IFERROR(IF(OR(E26='DICTIONARY-5'!$A$2,E26='DICTIONARY-5'!$A$4,ISBLANK(E26)),VLOOKUP(D26,LIST!$A$6:$L$3250,CURR_1.SEARCH.OLD,0),VLOOKUP(E26,LIST!$B$6:$L$3250,CURR_1.SEARCH.NEW,0)),'DICTIONARY-5'!$A$2)</f>
        <v>894,-</v>
      </c>
      <c r="G26" s="339" t="str">
        <f>IFERROR(IF(OR(E26='DICTIONARY-5'!$A$2,E26='DICTIONARY-5'!$A$4,ISBLANK(E26)),VLOOKUP(D26,LIST!$A$6:$M$3250,CURR_2.SEARCH.OLD,0),VLOOKUP(E26,LIST!$B$6:$M$3250,CURR_2.SEARCH.NEW,0)),'DICTIONARY-5'!$A$2)</f>
        <v/>
      </c>
      <c r="I26" s="265"/>
      <c r="J26" s="266"/>
    </row>
    <row r="27" spans="1:10" x14ac:dyDescent="0.25">
      <c r="I27" s="265"/>
      <c r="J27" s="266"/>
    </row>
    <row r="28" spans="1:10" x14ac:dyDescent="0.25">
      <c r="I28" s="265"/>
      <c r="J28" s="266"/>
    </row>
    <row r="29" spans="1:10" x14ac:dyDescent="0.25">
      <c r="A29" s="260" t="str">
        <f>'DICTIONARY-2'!$A$2</f>
        <v>DN</v>
      </c>
      <c r="B29" s="260" t="str">
        <f>'DICTIONARY-2'!$A$3</f>
        <v>PN</v>
      </c>
      <c r="C29" s="260" t="str">
        <f>'DICTIONARY-2'!$A$24</f>
        <v>L</v>
      </c>
      <c r="D29" s="1069" t="str">
        <f>'DICTIONARY-3'!$A$184</f>
        <v>BAIO BETA 200</v>
      </c>
      <c r="E29" s="1069"/>
      <c r="F29" s="1069"/>
      <c r="G29" s="1069"/>
      <c r="I29" s="265"/>
      <c r="J29" s="266"/>
    </row>
    <row r="30" spans="1:10" ht="15" customHeight="1" x14ac:dyDescent="0.25">
      <c r="A30" s="531"/>
      <c r="B30" s="531"/>
      <c r="C30" s="531"/>
      <c r="D30" s="1068" t="str">
        <f>LOWER('DICTIONARY-5'!$A$204)&amp;": "&amp;"1x "&amp;LOWER('DICTIONARY-3'!$A$241)&amp;", "&amp;"1x "&amp;'DICTIONARY-5'!$A$199</f>
        <v>połączenie: 1x kołnierz, 1x końcówka bosa</v>
      </c>
      <c r="E30" s="1068"/>
      <c r="F30" s="1068"/>
      <c r="G30" s="1068"/>
      <c r="I30" s="265"/>
      <c r="J30" s="266"/>
    </row>
    <row r="31" spans="1:10" x14ac:dyDescent="0.25">
      <c r="A31" s="261"/>
      <c r="B31" s="261"/>
      <c r="C31" s="261" t="str">
        <f>'DICTIONARY-2'!$A$18</f>
        <v>[mm]</v>
      </c>
      <c r="D31" s="262" t="str">
        <f>'DICTIONARY-2'!$A$28</f>
        <v>stary nr zamówienia</v>
      </c>
      <c r="E31" s="262" t="str">
        <f>'DICTIONARY-2'!$A$29</f>
        <v>nowy nr zamówienia</v>
      </c>
      <c r="F31" s="263" t="str">
        <f>CURRENCY.CODE_1</f>
        <v>EUR</v>
      </c>
      <c r="G31" s="263" t="str">
        <f>CURRENCY.CODE_2</f>
        <v>---</v>
      </c>
      <c r="I31" s="265"/>
      <c r="J31" s="266"/>
    </row>
    <row r="32" spans="1:10" x14ac:dyDescent="0.25">
      <c r="A32" s="264">
        <v>80</v>
      </c>
      <c r="B32" s="264" t="s">
        <v>85</v>
      </c>
      <c r="C32" s="264">
        <v>261</v>
      </c>
      <c r="D32" s="264" t="s">
        <v>2361</v>
      </c>
      <c r="E32" s="309" t="s">
        <v>3503</v>
      </c>
      <c r="F32" s="339" t="str">
        <f>IFERROR(IF(OR(E32='DICTIONARY-5'!$A$2,E32='DICTIONARY-5'!$A$4,ISBLANK(E32)),VLOOKUP(D32,LIST!$A$6:$L$3250,CURR_1.SEARCH.OLD,0),VLOOKUP(E32,LIST!$B$6:$L$3250,CURR_1.SEARCH.NEW,0)),'DICTIONARY-5'!$A$2)</f>
        <v>337,-</v>
      </c>
      <c r="G32" s="339" t="str">
        <f>IFERROR(IF(OR(E32='DICTIONARY-5'!$A$2,E32='DICTIONARY-5'!$A$4,ISBLANK(E32)),VLOOKUP(D32,LIST!$A$6:$M$3250,CURR_2.SEARCH.OLD,0),VLOOKUP(E32,LIST!$B$6:$M$3250,CURR_2.SEARCH.NEW,0)),'DICTIONARY-5'!$A$2)</f>
        <v/>
      </c>
      <c r="I32" s="265"/>
      <c r="J32" s="266"/>
    </row>
    <row r="33" spans="1:13" x14ac:dyDescent="0.25">
      <c r="A33" s="264">
        <v>100</v>
      </c>
      <c r="B33" s="264" t="s">
        <v>85</v>
      </c>
      <c r="C33" s="264">
        <v>270</v>
      </c>
      <c r="D33" s="264" t="s">
        <v>2362</v>
      </c>
      <c r="E33" s="309" t="s">
        <v>3504</v>
      </c>
      <c r="F33" s="339" t="str">
        <f>IFERROR(IF(OR(E33='DICTIONARY-5'!$A$2,E33='DICTIONARY-5'!$A$4,ISBLANK(E33)),VLOOKUP(D33,LIST!$A$6:$L$3250,CURR_1.SEARCH.OLD,0),VLOOKUP(E33,LIST!$B$6:$L$3250,CURR_1.SEARCH.NEW,0)),'DICTIONARY-5'!$A$2)</f>
        <v>349,-</v>
      </c>
      <c r="G33" s="339" t="str">
        <f>IFERROR(IF(OR(E33='DICTIONARY-5'!$A$2,E33='DICTIONARY-5'!$A$4,ISBLANK(E33)),VLOOKUP(D33,LIST!$A$6:$M$3250,CURR_2.SEARCH.OLD,0),VLOOKUP(E33,LIST!$B$6:$M$3250,CURR_2.SEARCH.NEW,0)),'DICTIONARY-5'!$A$2)</f>
        <v/>
      </c>
      <c r="I33" s="265"/>
      <c r="J33" s="266"/>
    </row>
    <row r="34" spans="1:13" x14ac:dyDescent="0.25">
      <c r="A34" s="264">
        <v>125</v>
      </c>
      <c r="B34" s="264" t="s">
        <v>85</v>
      </c>
      <c r="C34" s="264">
        <v>292</v>
      </c>
      <c r="D34" s="264" t="s">
        <v>2363</v>
      </c>
      <c r="E34" s="309" t="s">
        <v>3505</v>
      </c>
      <c r="F34" s="339" t="str">
        <f>IFERROR(IF(OR(E34='DICTIONARY-5'!$A$2,E34='DICTIONARY-5'!$A$4,ISBLANK(E34)),VLOOKUP(D34,LIST!$A$6:$L$3250,CURR_1.SEARCH.OLD,0),VLOOKUP(E34,LIST!$B$6:$L$3250,CURR_1.SEARCH.NEW,0)),'DICTIONARY-5'!$A$2)</f>
        <v>549,-</v>
      </c>
      <c r="G34" s="339" t="str">
        <f>IFERROR(IF(OR(E34='DICTIONARY-5'!$A$2,E34='DICTIONARY-5'!$A$4,ISBLANK(E34)),VLOOKUP(D34,LIST!$A$6:$M$3250,CURR_2.SEARCH.OLD,0),VLOOKUP(E34,LIST!$B$6:$M$3250,CURR_2.SEARCH.NEW,0)),'DICTIONARY-5'!$A$2)</f>
        <v/>
      </c>
      <c r="I34" s="265"/>
      <c r="J34" s="266"/>
    </row>
    <row r="35" spans="1:13" x14ac:dyDescent="0.25">
      <c r="A35" s="264">
        <v>150</v>
      </c>
      <c r="B35" s="264" t="s">
        <v>85</v>
      </c>
      <c r="C35" s="264">
        <v>307</v>
      </c>
      <c r="D35" s="264" t="s">
        <v>2364</v>
      </c>
      <c r="E35" s="309" t="s">
        <v>3506</v>
      </c>
      <c r="F35" s="339" t="str">
        <f>IFERROR(IF(OR(E35='DICTIONARY-5'!$A$2,E35='DICTIONARY-5'!$A$4,ISBLANK(E35)),VLOOKUP(D35,LIST!$A$6:$L$3250,CURR_1.SEARCH.OLD,0),VLOOKUP(E35,LIST!$B$6:$L$3250,CURR_1.SEARCH.NEW,0)),'DICTIONARY-5'!$A$2)</f>
        <v>510,-</v>
      </c>
      <c r="G35" s="339" t="str">
        <f>IFERROR(IF(OR(E35='DICTIONARY-5'!$A$2,E35='DICTIONARY-5'!$A$4,ISBLANK(E35)),VLOOKUP(D35,LIST!$A$6:$M$3250,CURR_2.SEARCH.OLD,0),VLOOKUP(E35,LIST!$B$6:$M$3250,CURR_2.SEARCH.NEW,0)),'DICTIONARY-5'!$A$2)</f>
        <v/>
      </c>
      <c r="I35" s="265"/>
      <c r="J35" s="266"/>
    </row>
    <row r="36" spans="1:13" x14ac:dyDescent="0.25">
      <c r="A36" s="264">
        <v>200</v>
      </c>
      <c r="B36" s="264">
        <v>16</v>
      </c>
      <c r="C36" s="264">
        <v>339</v>
      </c>
      <c r="D36" s="264" t="s">
        <v>2365</v>
      </c>
      <c r="E36" s="309" t="s">
        <v>3507</v>
      </c>
      <c r="F36" s="339" t="str">
        <f>IFERROR(IF(OR(E36='DICTIONARY-5'!$A$2,E36='DICTIONARY-5'!$A$4,ISBLANK(E36)),VLOOKUP(D36,LIST!$A$6:$L$3250,CURR_1.SEARCH.OLD,0),VLOOKUP(E36,LIST!$B$6:$L$3250,CURR_1.SEARCH.NEW,0)),'DICTIONARY-5'!$A$2)</f>
        <v>790,-</v>
      </c>
      <c r="G36" s="339" t="str">
        <f>IFERROR(IF(OR(E36='DICTIONARY-5'!$A$2,E36='DICTIONARY-5'!$A$4,ISBLANK(E36)),VLOOKUP(D36,LIST!$A$6:$M$3250,CURR_2.SEARCH.OLD,0),VLOOKUP(E36,LIST!$B$6:$M$3250,CURR_2.SEARCH.NEW,0)),'DICTIONARY-5'!$A$2)</f>
        <v/>
      </c>
      <c r="I36" s="265"/>
      <c r="J36" s="266"/>
    </row>
    <row r="37" spans="1:13" x14ac:dyDescent="0.25">
      <c r="A37" s="264">
        <v>200</v>
      </c>
      <c r="B37" s="264">
        <v>10</v>
      </c>
      <c r="C37" s="264">
        <v>339</v>
      </c>
      <c r="D37" s="264" t="s">
        <v>2366</v>
      </c>
      <c r="E37" s="309" t="s">
        <v>3508</v>
      </c>
      <c r="F37" s="339" t="str">
        <f>IFERROR(IF(OR(E37='DICTIONARY-5'!$A$2,E37='DICTIONARY-5'!$A$4,ISBLANK(E37)),VLOOKUP(D37,LIST!$A$6:$L$3250,CURR_1.SEARCH.OLD,0),VLOOKUP(E37,LIST!$B$6:$L$3250,CURR_1.SEARCH.NEW,0)),'DICTIONARY-5'!$A$2)</f>
        <v>806,-</v>
      </c>
      <c r="G37" s="339" t="str">
        <f>IFERROR(IF(OR(E37='DICTIONARY-5'!$A$2,E37='DICTIONARY-5'!$A$4,ISBLANK(E37)),VLOOKUP(D37,LIST!$A$6:$M$3250,CURR_2.SEARCH.OLD,0),VLOOKUP(E37,LIST!$B$6:$M$3250,CURR_2.SEARCH.NEW,0)),'DICTIONARY-5'!$A$2)</f>
        <v/>
      </c>
      <c r="I37" s="265"/>
      <c r="J37" s="266"/>
    </row>
    <row r="40" spans="1:13" x14ac:dyDescent="0.25">
      <c r="A40" s="271"/>
    </row>
    <row r="41" spans="1:13" x14ac:dyDescent="0.25">
      <c r="A41" s="271"/>
    </row>
    <row r="42" spans="1:13" x14ac:dyDescent="0.25">
      <c r="A42" s="271"/>
    </row>
    <row r="45" spans="1:13" x14ac:dyDescent="0.25">
      <c r="M45" s="267"/>
    </row>
  </sheetData>
  <sheetProtection algorithmName="SHA-512" hashValue="rcVrYDee0uDR0u0orpHmPaKzjbCJarbdByneHR+zA/xh/mbMBkFIqvMwmHzP5Es1bFUeAI4/nlKvwMQ8f1NcDg==" saltValue="i80nTtj6ORdWbL0G4m0XSg==" spinCount="100000" sheet="1" objects="1" scenarios="1" autoFilter="0"/>
  <mergeCells count="7">
    <mergeCell ref="B4:E4"/>
    <mergeCell ref="D30:G30"/>
    <mergeCell ref="D9:G9"/>
    <mergeCell ref="D19:G19"/>
    <mergeCell ref="D29:G29"/>
    <mergeCell ref="D10:G10"/>
    <mergeCell ref="D20:G2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5">
    <tabColor rgb="FFFFC000"/>
  </sheetPr>
  <dimension ref="A1:M20"/>
  <sheetViews>
    <sheetView workbookViewId="0"/>
  </sheetViews>
  <sheetFormatPr defaultColWidth="9.140625" defaultRowHeight="15" x14ac:dyDescent="0.25"/>
  <cols>
    <col min="1" max="2" width="9.140625" style="256"/>
    <col min="3" max="4" width="22.140625" style="256" customWidth="1"/>
    <col min="5" max="6" width="12.85546875" style="256" customWidth="1"/>
    <col min="7" max="8" width="22.140625" style="256" customWidth="1"/>
    <col min="9" max="10" width="12.85546875" style="256" customWidth="1"/>
    <col min="11" max="16384" width="9.140625" style="256"/>
  </cols>
  <sheetData>
    <row r="1" spans="1:13" s="394" customFormat="1" ht="45" customHeight="1" thickBot="1" x14ac:dyDescent="0.3">
      <c r="A1" s="426"/>
      <c r="B1" s="426"/>
      <c r="C1" s="426"/>
      <c r="D1" s="426"/>
    </row>
    <row r="2" spans="1:13" s="448" customFormat="1" ht="4.5" customHeight="1" x14ac:dyDescent="0.25">
      <c r="A2" s="447"/>
    </row>
    <row r="3" spans="1:13" ht="15.75" thickBot="1" x14ac:dyDescent="0.3"/>
    <row r="4" spans="1:13" ht="15.75" thickBot="1" x14ac:dyDescent="0.3">
      <c r="A4" s="819">
        <f>ADD.DISCOUNT</f>
        <v>0</v>
      </c>
      <c r="B4" s="992" t="str">
        <f>HYPERLINK("#'LIST'!ADD.DISCOUNT","» "&amp;'DICTIONARY-1'!$A$5)</f>
        <v>» Ustaw globalny dodatkowy rabat</v>
      </c>
      <c r="C4" s="1066"/>
      <c r="D4" s="1066"/>
      <c r="E4" s="1067"/>
    </row>
    <row r="6" spans="1:13" ht="16.5" thickBot="1" x14ac:dyDescent="0.3">
      <c r="A6" s="95" t="str">
        <f>CONCATENATE('DICTIONARY-3'!$A$182," ",'DICTIONARY-3'!$A$193,)</f>
        <v>BAIO HYDRUS G Hydrant podziemny</v>
      </c>
      <c r="B6" s="712"/>
      <c r="C6" s="712"/>
      <c r="D6" s="712"/>
      <c r="E6" s="712"/>
      <c r="F6" s="712"/>
      <c r="G6" s="712"/>
      <c r="H6" s="712"/>
      <c r="I6" s="712"/>
      <c r="J6" s="712"/>
    </row>
    <row r="7" spans="1:13" x14ac:dyDescent="0.25">
      <c r="A7" s="268" t="str">
        <f>CONCATENATE('DICTIONARY-5'!$A$204,": ","1x ",'DICTIONARY-5'!$A$199)</f>
        <v>Połączenie: 1x końcówka bosa</v>
      </c>
    </row>
    <row r="8" spans="1:13" x14ac:dyDescent="0.25">
      <c r="A8" s="268" t="str">
        <f>CONCATENATE('DICTIONARY-1'!$A$10,": ",SETTINGS!$C$69)</f>
        <v>Grupa rabatowa: HYDRUS G</v>
      </c>
    </row>
    <row r="9" spans="1:13" x14ac:dyDescent="0.25">
      <c r="A9" s="257"/>
      <c r="B9" s="254"/>
      <c r="C9" s="255"/>
      <c r="D9" s="255"/>
      <c r="E9" s="255"/>
      <c r="F9" s="255"/>
    </row>
    <row r="10" spans="1:13" ht="15" customHeight="1" x14ac:dyDescent="0.25">
      <c r="A10" s="260" t="str">
        <f>'DICTIONARY-2'!$A$2</f>
        <v>DN</v>
      </c>
      <c r="B10" s="711" t="str">
        <f>'DICTIONARY-2'!$A$7&amp;" 1)"</f>
        <v>Rd 1)</v>
      </c>
      <c r="C10" s="984" t="str">
        <f>'DICTIONARY-3'!$A$183&amp;" "&amp;'DICTIONARY-5'!$A$108</f>
        <v>BAIO HYDRUS G2 AD</v>
      </c>
      <c r="D10" s="984"/>
      <c r="E10" s="984"/>
      <c r="F10" s="984"/>
      <c r="G10" s="984" t="str">
        <f>'DICTIONARY-3'!$A$183&amp;" "&amp;'DICTIONARY-5'!$A$108</f>
        <v>BAIO HYDRUS G2 AD</v>
      </c>
      <c r="H10" s="984"/>
      <c r="I10" s="984"/>
      <c r="J10" s="984"/>
      <c r="L10" s="267"/>
    </row>
    <row r="11" spans="1:13" ht="15" customHeight="1" x14ac:dyDescent="0.25">
      <c r="A11" s="531"/>
      <c r="B11" s="532"/>
      <c r="C11" s="983" t="str">
        <f>'DICTIONARY-5'!$A$114&amp;", "&amp;LOWER('DICTIONARY-3'!$A$282)</f>
        <v>podwójne zamknięcie, z plastikową pokrywą wylotu</v>
      </c>
      <c r="D11" s="983"/>
      <c r="E11" s="983"/>
      <c r="F11" s="983"/>
      <c r="G11" s="983" t="str">
        <f>'DICTIONARY-5'!$A$114&amp;", "&amp;LOWER('DICTIONARY-3'!$A$283)</f>
        <v>podwójne zamknięcie, z samozamykającą się pokrywą wylotu</v>
      </c>
      <c r="H11" s="983"/>
      <c r="I11" s="983"/>
      <c r="J11" s="983"/>
      <c r="L11" s="267"/>
    </row>
    <row r="12" spans="1:13" x14ac:dyDescent="0.25">
      <c r="A12" s="261"/>
      <c r="B12" s="269" t="str">
        <f>'DICTIONARY-2'!$A$19</f>
        <v>[m]</v>
      </c>
      <c r="C12" s="262" t="str">
        <f>'DICTIONARY-2'!$A$28</f>
        <v>stary nr zamówienia</v>
      </c>
      <c r="D12" s="262" t="str">
        <f>'DICTIONARY-2'!$A$29</f>
        <v>nowy nr zamówienia</v>
      </c>
      <c r="E12" s="263" t="str">
        <f>CURRENCY.CODE_1</f>
        <v>EUR</v>
      </c>
      <c r="F12" s="263" t="str">
        <f>CURRENCY.CODE_2</f>
        <v>---</v>
      </c>
      <c r="G12" s="262" t="str">
        <f>'DICTIONARY-2'!$A$28</f>
        <v>stary nr zamówienia</v>
      </c>
      <c r="H12" s="262" t="str">
        <f>'DICTIONARY-2'!$A$29</f>
        <v>nowy nr zamówienia</v>
      </c>
      <c r="I12" s="263" t="str">
        <f>CURRENCY.CODE_1</f>
        <v>EUR</v>
      </c>
      <c r="J12" s="263" t="str">
        <f>CURRENCY.CODE_2</f>
        <v>---</v>
      </c>
    </row>
    <row r="13" spans="1:13" x14ac:dyDescent="0.25">
      <c r="A13" s="264">
        <v>80</v>
      </c>
      <c r="B13" s="270">
        <v>0.75</v>
      </c>
      <c r="C13" s="264" t="s">
        <v>2367</v>
      </c>
      <c r="D13" s="309" t="s">
        <v>4295</v>
      </c>
      <c r="E13" s="339" t="str">
        <f>IFERROR(IF(OR(D13='DICTIONARY-5'!$A$2,D13='DICTIONARY-5'!$A$4,ISBLANK(D13)),VLOOKUP(C13,LIST!$A$6:$L$3250,CURR_1.SEARCH.OLD,0),VLOOKUP(D13,LIST!$B$6:$L$3250,CURR_1.SEARCH.NEW,0)),'DICTIONARY-5'!$A$2)</f>
        <v>745,-</v>
      </c>
      <c r="F13" s="339" t="str">
        <f>IFERROR(IF(OR(D13='DICTIONARY-5'!$A$2,D13='DICTIONARY-5'!$A$4,ISBLANK(D13)),VLOOKUP(C13,LIST!$A$6:$M$3250,CURR_2.SEARCH.OLD,0),VLOOKUP(D13,LIST!$B$6:$M$3250,CURR_2.SEARCH.NEW,0)),'DICTIONARY-5'!$A$2)</f>
        <v/>
      </c>
      <c r="G13" s="264" t="s">
        <v>2368</v>
      </c>
      <c r="H13" s="309" t="s">
        <v>4299</v>
      </c>
      <c r="I13" s="339" t="str">
        <f>IFERROR(IF(OR(H13='DICTIONARY-5'!$A$2,H13='DICTIONARY-5'!$A$4,ISBLANK(H13)),VLOOKUP(G13,LIST!$A$6:$L$3250,CURR_1.SEARCH.OLD,0),VLOOKUP(H13,LIST!$B$6:$L$3250,CURR_1.SEARCH.NEW,0)),'DICTIONARY-5'!$A$2)</f>
        <v>800,-</v>
      </c>
      <c r="J13" s="339" t="str">
        <f>IFERROR(IF(OR(H13='DICTIONARY-5'!$A$2,H13='DICTIONARY-5'!$A$4,ISBLANK(H13)),VLOOKUP(G13,LIST!$A$6:$M$3250,CURR_2.SEARCH.OLD,0),VLOOKUP(H13,LIST!$B$6:$M$3250,CURR_2.SEARCH.NEW,0)),'DICTIONARY-5'!$A$2)</f>
        <v/>
      </c>
      <c r="L13" s="713"/>
      <c r="M13" s="265"/>
    </row>
    <row r="14" spans="1:13" x14ac:dyDescent="0.25">
      <c r="A14" s="264">
        <v>80</v>
      </c>
      <c r="B14" s="270">
        <v>1</v>
      </c>
      <c r="C14" s="264" t="s">
        <v>2369</v>
      </c>
      <c r="D14" s="309" t="s">
        <v>4296</v>
      </c>
      <c r="E14" s="339" t="str">
        <f>IFERROR(IF(OR(D14='DICTIONARY-5'!$A$2,D14='DICTIONARY-5'!$A$4,ISBLANK(D14)),VLOOKUP(C14,LIST!$A$6:$L$3250,CURR_1.SEARCH.OLD,0),VLOOKUP(D14,LIST!$B$6:$L$3250,CURR_1.SEARCH.NEW,0)),'DICTIONARY-5'!$A$2)</f>
        <v>792,-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  <c r="G14" s="264" t="s">
        <v>2370</v>
      </c>
      <c r="H14" s="309" t="s">
        <v>4300</v>
      </c>
      <c r="I14" s="339" t="str">
        <f>IFERROR(IF(OR(H14='DICTIONARY-5'!$A$2,H14='DICTIONARY-5'!$A$4,ISBLANK(H14)),VLOOKUP(G14,LIST!$A$6:$L$3250,CURR_1.SEARCH.OLD,0),VLOOKUP(H14,LIST!$B$6:$L$3250,CURR_1.SEARCH.NEW,0)),'DICTIONARY-5'!$A$2)</f>
        <v>847,-</v>
      </c>
      <c r="J14" s="339" t="str">
        <f>IFERROR(IF(OR(H14='DICTIONARY-5'!$A$2,H14='DICTIONARY-5'!$A$4,ISBLANK(H14)),VLOOKUP(G14,LIST!$A$6:$M$3250,CURR_2.SEARCH.OLD,0),VLOOKUP(H14,LIST!$B$6:$M$3250,CURR_2.SEARCH.NEW,0)),'DICTIONARY-5'!$A$2)</f>
        <v/>
      </c>
      <c r="L14" s="713"/>
      <c r="M14" s="265"/>
    </row>
    <row r="15" spans="1:13" x14ac:dyDescent="0.25">
      <c r="A15" s="264">
        <v>80</v>
      </c>
      <c r="B15" s="270">
        <v>1.25</v>
      </c>
      <c r="C15" s="264" t="s">
        <v>2371</v>
      </c>
      <c r="D15" s="309" t="s">
        <v>4297</v>
      </c>
      <c r="E15" s="339" t="str">
        <f>IFERROR(IF(OR(D15='DICTIONARY-5'!$A$2,D15='DICTIONARY-5'!$A$4,ISBLANK(D15)),VLOOKUP(C15,LIST!$A$6:$L$3250,CURR_1.SEARCH.OLD,0),VLOOKUP(D15,LIST!$B$6:$L$3250,CURR_1.SEARCH.NEW,0)),'DICTIONARY-5'!$A$2)</f>
        <v>803,-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  <c r="G15" s="264" t="s">
        <v>2372</v>
      </c>
      <c r="H15" s="309" t="s">
        <v>4301</v>
      </c>
      <c r="I15" s="339" t="str">
        <f>IFERROR(IF(OR(H15='DICTIONARY-5'!$A$2,H15='DICTIONARY-5'!$A$4,ISBLANK(H15)),VLOOKUP(G15,LIST!$A$6:$L$3250,CURR_1.SEARCH.OLD,0),VLOOKUP(H15,LIST!$B$6:$L$3250,CURR_1.SEARCH.NEW,0)),'DICTIONARY-5'!$A$2)</f>
        <v>857,-</v>
      </c>
      <c r="J15" s="339" t="str">
        <f>IFERROR(IF(OR(H15='DICTIONARY-5'!$A$2,H15='DICTIONARY-5'!$A$4,ISBLANK(H15)),VLOOKUP(G15,LIST!$A$6:$M$3250,CURR_2.SEARCH.OLD,0),VLOOKUP(H15,LIST!$B$6:$M$3250,CURR_2.SEARCH.NEW,0)),'DICTIONARY-5'!$A$2)</f>
        <v/>
      </c>
      <c r="L15" s="713"/>
      <c r="M15" s="265"/>
    </row>
    <row r="16" spans="1:13" x14ac:dyDescent="0.25">
      <c r="A16" s="264">
        <v>80</v>
      </c>
      <c r="B16" s="270">
        <v>1.5</v>
      </c>
      <c r="C16" s="264" t="s">
        <v>2373</v>
      </c>
      <c r="D16" s="309" t="s">
        <v>4298</v>
      </c>
      <c r="E16" s="339" t="str">
        <f>IFERROR(IF(OR(D16='DICTIONARY-5'!$A$2,D16='DICTIONARY-5'!$A$4,ISBLANK(D16)),VLOOKUP(C16,LIST!$A$6:$L$3250,CURR_1.SEARCH.OLD,0),VLOOKUP(D16,LIST!$B$6:$L$3250,CURR_1.SEARCH.NEW,0)),'DICTIONARY-5'!$A$2)</f>
        <v>871,-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  <c r="G16" s="264" t="s">
        <v>2374</v>
      </c>
      <c r="H16" s="309" t="s">
        <v>4302</v>
      </c>
      <c r="I16" s="339" t="str">
        <f>IFERROR(IF(OR(H16='DICTIONARY-5'!$A$2,H16='DICTIONARY-5'!$A$4,ISBLANK(H16)),VLOOKUP(G16,LIST!$A$6:$L$3250,CURR_1.SEARCH.OLD,0),VLOOKUP(H16,LIST!$B$6:$L$3250,CURR_1.SEARCH.NEW,0)),'DICTIONARY-5'!$A$2)</f>
        <v>926,-</v>
      </c>
      <c r="J16" s="339" t="str">
        <f>IFERROR(IF(OR(H16='DICTIONARY-5'!$A$2,H16='DICTIONARY-5'!$A$4,ISBLANK(H16)),VLOOKUP(G16,LIST!$A$6:$M$3250,CURR_2.SEARCH.OLD,0),VLOOKUP(H16,LIST!$B$6:$M$3250,CURR_2.SEARCH.NEW,0)),'DICTIONARY-5'!$A$2)</f>
        <v/>
      </c>
      <c r="L16" s="713"/>
      <c r="M16" s="265"/>
    </row>
    <row r="17" spans="1:1" x14ac:dyDescent="0.25">
      <c r="A17" s="271"/>
    </row>
    <row r="18" spans="1:1" x14ac:dyDescent="0.25">
      <c r="A18" s="256" t="str">
        <f>"1) "&amp;'DICTIONARY-5'!$A$85&amp;" - "&amp;'DICTIONARY-5'!$A$87</f>
        <v>1) Głębokość zabudowy - mierzona od górnej krawędzi rury do wierzchu terenu</v>
      </c>
    </row>
    <row r="20" spans="1:1" x14ac:dyDescent="0.25">
      <c r="A20" s="65" t="str">
        <f>'DICTIONARY-5'!$A$108&amp;" - "&amp;'DICTIONARY-5'!$A$114&amp;" "&amp;'DICTIONARY-5'!$A$116</f>
        <v>AD - podwójne zamknięcie (grzybek + kula)</v>
      </c>
    </row>
  </sheetData>
  <sheetProtection algorithmName="SHA-512" hashValue="kUXR7M+9jiprPPCy0UxSLsOl6SOjeSd65FefMTVU0ZvVaB9ass9yGepD+jHooeSRn3Tim7q0izMSMYnLmYMX7Q==" saltValue="pU/N7EmChPPZdDgdvtdyWg==" spinCount="100000" sheet="1" objects="1" scenarios="1" autoFilter="0"/>
  <mergeCells count="5">
    <mergeCell ref="B4:E4"/>
    <mergeCell ref="C10:F10"/>
    <mergeCell ref="G10:J10"/>
    <mergeCell ref="C11:F11"/>
    <mergeCell ref="G11:J11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6">
    <tabColor rgb="FFFFC000"/>
  </sheetPr>
  <dimension ref="A1:H19"/>
  <sheetViews>
    <sheetView workbookViewId="0"/>
  </sheetViews>
  <sheetFormatPr defaultColWidth="9.140625" defaultRowHeight="15" x14ac:dyDescent="0.25"/>
  <cols>
    <col min="1" max="2" width="9.140625" style="256"/>
    <col min="3" max="4" width="22.140625" style="256" customWidth="1"/>
    <col min="5" max="6" width="12.85546875" style="256" customWidth="1"/>
    <col min="7" max="16384" width="9.140625" style="256"/>
  </cols>
  <sheetData>
    <row r="1" spans="1:8" s="394" customFormat="1" ht="45" customHeight="1" thickBot="1" x14ac:dyDescent="0.3">
      <c r="A1" s="426"/>
      <c r="B1" s="426"/>
      <c r="C1" s="426"/>
      <c r="D1" s="426"/>
    </row>
    <row r="2" spans="1:8" s="448" customFormat="1" ht="4.5" customHeight="1" x14ac:dyDescent="0.25">
      <c r="A2" s="447"/>
    </row>
    <row r="3" spans="1:8" ht="15.75" thickBot="1" x14ac:dyDescent="0.3"/>
    <row r="4" spans="1:8" ht="15.75" thickBot="1" x14ac:dyDescent="0.3">
      <c r="A4" s="819">
        <f>ADD.DISCOUNT</f>
        <v>0</v>
      </c>
      <c r="B4" s="992" t="str">
        <f>HYPERLINK("#'LIST'!ADD.DISCOUNT","» "&amp;'DICTIONARY-1'!$A$5)</f>
        <v>» Ustaw globalny dodatkowy rabat</v>
      </c>
      <c r="C4" s="1066"/>
      <c r="D4" s="1066"/>
      <c r="E4" s="1067"/>
    </row>
    <row r="6" spans="1:8" ht="16.5" thickBot="1" x14ac:dyDescent="0.3">
      <c r="A6" s="712" t="str">
        <f>CONCATENATE('DICTIONARY-3'!$A$181," ",'DICTIONARY-3'!$A$207," / ",'DICTIONARY-3'!$A$261)</f>
        <v>BAIO BEV Zawór na- i odpowietrzający / Do zabudowy w ziemi</v>
      </c>
      <c r="B6" s="712"/>
      <c r="C6" s="712"/>
      <c r="D6" s="712"/>
      <c r="E6" s="712"/>
      <c r="F6" s="712"/>
    </row>
    <row r="7" spans="1:8" x14ac:dyDescent="0.25">
      <c r="A7" s="199" t="str">
        <f>CONCATENATE('DICTIONARY-5'!$A$153,": ",'DICTIONARY-3'!$A$107," ",'DICTIONARY-3'!$A$206,)</f>
        <v>Wbudowany zawór: DUOJET Zawór na- i odpowietrzający</v>
      </c>
      <c r="B7" s="199"/>
      <c r="C7" s="199"/>
      <c r="D7" s="199"/>
      <c r="E7" s="199"/>
      <c r="F7" s="199"/>
    </row>
    <row r="8" spans="1:8" x14ac:dyDescent="0.25">
      <c r="A8" s="268" t="str">
        <f>CONCATENATE('DICTIONARY-5'!$A$204,": ","1x ",'DICTIONARY-5'!$A$199)</f>
        <v>Połączenie: 1x końcówka bosa</v>
      </c>
      <c r="B8" s="199"/>
      <c r="C8" s="199"/>
      <c r="D8" s="199"/>
      <c r="E8" s="199"/>
      <c r="F8" s="199"/>
    </row>
    <row r="9" spans="1:8" x14ac:dyDescent="0.25">
      <c r="A9" s="258" t="str">
        <f>CONCATENATE('DICTIONARY-1'!$A$10,": ",SETTINGS!$C$46)</f>
        <v>Grupa rabatowa: BEV-Garnitur</v>
      </c>
      <c r="B9" s="254"/>
      <c r="C9" s="254"/>
      <c r="D9" s="254"/>
      <c r="E9" s="255"/>
      <c r="F9" s="255"/>
    </row>
    <row r="10" spans="1:8" x14ac:dyDescent="0.25">
      <c r="A10" s="259"/>
      <c r="B10" s="259"/>
      <c r="C10" s="254"/>
      <c r="D10" s="254"/>
      <c r="E10" s="255"/>
      <c r="F10" s="255"/>
    </row>
    <row r="11" spans="1:8" x14ac:dyDescent="0.25">
      <c r="A11" s="260" t="str">
        <f>'DICTIONARY-2'!$A$2</f>
        <v>DN</v>
      </c>
      <c r="B11" s="260" t="str">
        <f>'DICTIONARY-2'!$A$7&amp;" 1)"</f>
        <v>Rd 1)</v>
      </c>
      <c r="C11" s="1069" t="str">
        <f>'DICTIONARY-3'!$A$181</f>
        <v>BAIO BEV</v>
      </c>
      <c r="D11" s="1069"/>
      <c r="E11" s="1069"/>
      <c r="F11" s="1069"/>
    </row>
    <row r="12" spans="1:8" x14ac:dyDescent="0.25">
      <c r="A12" s="531"/>
      <c r="B12" s="531"/>
      <c r="C12" s="1025" t="str">
        <f>'DICTIONARY-3'!$A$107&amp;" DN 50"</f>
        <v>DUOJET DN 50</v>
      </c>
      <c r="D12" s="1025"/>
      <c r="E12" s="1025"/>
      <c r="F12" s="1025"/>
    </row>
    <row r="13" spans="1:8" x14ac:dyDescent="0.25">
      <c r="A13" s="261"/>
      <c r="B13" s="261" t="str">
        <f>'DICTIONARY-2'!$A$19</f>
        <v>[m]</v>
      </c>
      <c r="C13" s="262" t="str">
        <f>'DICTIONARY-2'!$A$28</f>
        <v>stary nr zamówienia</v>
      </c>
      <c r="D13" s="262" t="str">
        <f>'DICTIONARY-2'!$A$29</f>
        <v>nowy nr zamówienia</v>
      </c>
      <c r="E13" s="263" t="str">
        <f>CURRENCY.CODE_1</f>
        <v>EUR</v>
      </c>
      <c r="F13" s="263" t="str">
        <f>CURRENCY.CODE_2</f>
        <v>---</v>
      </c>
      <c r="H13" s="267"/>
    </row>
    <row r="14" spans="1:8" x14ac:dyDescent="0.25">
      <c r="A14" s="264">
        <v>80</v>
      </c>
      <c r="B14" s="270">
        <v>1</v>
      </c>
      <c r="C14" s="264" t="s">
        <v>2375</v>
      </c>
      <c r="D14" s="309" t="s">
        <v>4198</v>
      </c>
      <c r="E14" s="339" t="str">
        <f>IFERROR(IF(OR(D14='DICTIONARY-5'!$A$2,D14='DICTIONARY-5'!$A$4,ISBLANK(D14)),VLOOKUP(C14,LIST!$A$6:$L$3250,CURR_1.SEARCH.OLD,0),VLOOKUP(D14,LIST!$B$6:$L$3250,CURR_1.SEARCH.NEW,0)),'DICTIONARY-5'!$A$2)</f>
        <v>1 240,-</v>
      </c>
      <c r="F14" s="339" t="str">
        <f>IFERROR(IF(OR(D14='DICTIONARY-5'!$A$2,D14='DICTIONARY-5'!$A$4,ISBLANK(D14)),VLOOKUP(C14,LIST!$A$6:$M$3250,CURR_2.SEARCH.OLD,0),VLOOKUP(D14,LIST!$B$6:$M$3250,CURR_2.SEARCH.NEW,0)),'DICTIONARY-5'!$A$2)</f>
        <v/>
      </c>
    </row>
    <row r="15" spans="1:8" x14ac:dyDescent="0.25">
      <c r="A15" s="264">
        <v>80</v>
      </c>
      <c r="B15" s="270">
        <v>1.25</v>
      </c>
      <c r="C15" s="264" t="s">
        <v>2376</v>
      </c>
      <c r="D15" s="309" t="s">
        <v>4199</v>
      </c>
      <c r="E15" s="339" t="str">
        <f>IFERROR(IF(OR(D15='DICTIONARY-5'!$A$2,D15='DICTIONARY-5'!$A$4,ISBLANK(D15)),VLOOKUP(C15,LIST!$A$6:$L$3250,CURR_1.SEARCH.OLD,0),VLOOKUP(D15,LIST!$B$6:$L$3250,CURR_1.SEARCH.NEW,0)),'DICTIONARY-5'!$A$2)</f>
        <v>1 315,-</v>
      </c>
      <c r="F15" s="339" t="str">
        <f>IFERROR(IF(OR(D15='DICTIONARY-5'!$A$2,D15='DICTIONARY-5'!$A$4,ISBLANK(D15)),VLOOKUP(C15,LIST!$A$6:$M$3250,CURR_2.SEARCH.OLD,0),VLOOKUP(D15,LIST!$B$6:$M$3250,CURR_2.SEARCH.NEW,0)),'DICTIONARY-5'!$A$2)</f>
        <v/>
      </c>
    </row>
    <row r="16" spans="1:8" x14ac:dyDescent="0.25">
      <c r="A16" s="264">
        <v>80</v>
      </c>
      <c r="B16" s="270">
        <v>1.5</v>
      </c>
      <c r="C16" s="264" t="s">
        <v>2377</v>
      </c>
      <c r="D16" s="309" t="s">
        <v>4200</v>
      </c>
      <c r="E16" s="339" t="str">
        <f>IFERROR(IF(OR(D16='DICTIONARY-5'!$A$2,D16='DICTIONARY-5'!$A$4,ISBLANK(D16)),VLOOKUP(C16,LIST!$A$6:$L$3250,CURR_1.SEARCH.OLD,0),VLOOKUP(D16,LIST!$B$6:$L$3250,CURR_1.SEARCH.NEW,0)),'DICTIONARY-5'!$A$2)</f>
        <v>1 366,-</v>
      </c>
      <c r="F16" s="339" t="str">
        <f>IFERROR(IF(OR(D16='DICTIONARY-5'!$A$2,D16='DICTIONARY-5'!$A$4,ISBLANK(D16)),VLOOKUP(C16,LIST!$A$6:$M$3250,CURR_2.SEARCH.OLD,0),VLOOKUP(D16,LIST!$B$6:$M$3250,CURR_2.SEARCH.NEW,0)),'DICTIONARY-5'!$A$2)</f>
        <v/>
      </c>
    </row>
    <row r="17" spans="1:6" x14ac:dyDescent="0.25">
      <c r="A17" s="264">
        <v>80</v>
      </c>
      <c r="B17" s="270">
        <v>1.75</v>
      </c>
      <c r="C17" s="264" t="s">
        <v>2378</v>
      </c>
      <c r="D17" s="309" t="s">
        <v>4201</v>
      </c>
      <c r="E17" s="339" t="str">
        <f>IFERROR(IF(OR(D17='DICTIONARY-5'!$A$2,D17='DICTIONARY-5'!$A$4,ISBLANK(D17)),VLOOKUP(C17,LIST!$A$6:$L$3250,CURR_1.SEARCH.OLD,0),VLOOKUP(D17,LIST!$B$6:$L$3250,CURR_1.SEARCH.NEW,0)),'DICTIONARY-5'!$A$2)</f>
        <v>1 444,-</v>
      </c>
      <c r="F17" s="339" t="str">
        <f>IFERROR(IF(OR(D17='DICTIONARY-5'!$A$2,D17='DICTIONARY-5'!$A$4,ISBLANK(D17)),VLOOKUP(C17,LIST!$A$6:$M$3250,CURR_2.SEARCH.OLD,0),VLOOKUP(D17,LIST!$B$6:$M$3250,CURR_2.SEARCH.NEW,0)),'DICTIONARY-5'!$A$2)</f>
        <v/>
      </c>
    </row>
    <row r="19" spans="1:6" x14ac:dyDescent="0.25">
      <c r="A19" s="271" t="str">
        <f>"1) "&amp;'DICTIONARY-5'!$A$85&amp;" - "&amp;'DICTIONARY-5'!$A$87</f>
        <v>1) Głębokość zabudowy - mierzona od górnej krawędzi rury do wierzchu terenu</v>
      </c>
    </row>
  </sheetData>
  <sheetProtection algorithmName="SHA-512" hashValue="ukdyOTyqWVfFPk6NCYxeEwCGJXYRDDyFsO+d9lWrnwiaphQ8L3yh56K5hBrpXMICx0Zx5xoWc4/3JiBLejsOIA==" saltValue="eQTe+ZKq7b+phZxE5R4U0w==" spinCount="100000" sheet="1" objects="1" scenarios="1" autoFilter="0"/>
  <mergeCells count="3">
    <mergeCell ref="C11:F11"/>
    <mergeCell ref="C12:F12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113</vt:i4>
      </vt:variant>
      <vt:variant>
        <vt:lpstr>Named Ranges</vt:lpstr>
      </vt:variant>
      <vt:variant>
        <vt:i4>133</vt:i4>
      </vt:variant>
    </vt:vector>
  </HeadingPairs>
  <TitlesOfParts>
    <vt:vector size="246" baseType="lpstr">
      <vt:lpstr>DICTIONARY-1</vt:lpstr>
      <vt:lpstr>DICTIONARY-2</vt:lpstr>
      <vt:lpstr>DICTIONARY-3</vt:lpstr>
      <vt:lpstr>DICTIONARY-4</vt:lpstr>
      <vt:lpstr>DICTIONARY-5</vt:lpstr>
      <vt:lpstr>DICTIONARY-6</vt:lpstr>
      <vt:lpstr>DICTIONARY-7</vt:lpstr>
      <vt:lpstr>CORE-SET</vt:lpstr>
      <vt:lpstr>VAG 2023</vt:lpstr>
      <vt:lpstr>SETTINGS</vt:lpstr>
      <vt:lpstr>LIST</vt:lpstr>
      <vt:lpstr>01 | BETA 200</vt:lpstr>
      <vt:lpstr>01 | BETA 200 TS</vt:lpstr>
      <vt:lpstr>01 | EKOplus</vt:lpstr>
      <vt:lpstr>01 | EKOplus EA-PA</vt:lpstr>
      <vt:lpstr>01 | EKOplus PE</vt:lpstr>
      <vt:lpstr>01 | EKOplus BAIO</vt:lpstr>
      <vt:lpstr>01 | EKOplus SPIG</vt:lpstr>
      <vt:lpstr>01 | EKOplus RS</vt:lpstr>
      <vt:lpstr>01 | EKOplus WW</vt:lpstr>
      <vt:lpstr>01 | EKOplus SW</vt:lpstr>
      <vt:lpstr>01 | EKOplus FIRE</vt:lpstr>
      <vt:lpstr>01 | IKOplus EPP</vt:lpstr>
      <vt:lpstr>01 | IKOplus</vt:lpstr>
      <vt:lpstr>01 | IKOplus RS</vt:lpstr>
      <vt:lpstr>01 | IKOplus TRAFO</vt:lpstr>
      <vt:lpstr>02 | MONO SE</vt:lpstr>
      <vt:lpstr>02 | MONO HL</vt:lpstr>
      <vt:lpstr>02 | ZETA</vt:lpstr>
      <vt:lpstr>02 | ZETA EA-PA</vt:lpstr>
      <vt:lpstr>02 | ZETAcontrol</vt:lpstr>
      <vt:lpstr>02 | ERIplus</vt:lpstr>
      <vt:lpstr>02 | EROXplus</vt:lpstr>
      <vt:lpstr>02 | EROXplus-O</vt:lpstr>
      <vt:lpstr>02 | REMO SETS</vt:lpstr>
      <vt:lpstr>02 | HADE PRA-G</vt:lpstr>
      <vt:lpstr>03 | HYDRUS G</vt:lpstr>
      <vt:lpstr>03 | NOVA</vt:lpstr>
      <vt:lpstr>03 | RIGUS</vt:lpstr>
      <vt:lpstr>03 | HYDR ACCESSORIES</vt:lpstr>
      <vt:lpstr>04 | DRILLING SETS</vt:lpstr>
      <vt:lpstr>04 | CLAMP</vt:lpstr>
      <vt:lpstr>04 | HOD-M</vt:lpstr>
      <vt:lpstr>04 | HOD-G</vt:lpstr>
      <vt:lpstr>04 | HOD-K</vt:lpstr>
      <vt:lpstr>04 | TERRA-M</vt:lpstr>
      <vt:lpstr>04 | TERRA-K</vt:lpstr>
      <vt:lpstr>04 | VALVES</vt:lpstr>
      <vt:lpstr>04 | HODlock-TERRAlock-M</vt:lpstr>
      <vt:lpstr>04 | HODlock-TERRAlock-K</vt:lpstr>
      <vt:lpstr>04 | HODlock-TERRAlock FITTING</vt:lpstr>
      <vt:lpstr>04 | HODlock-TERRAlock VALVES</vt:lpstr>
      <vt:lpstr>05 | SKR</vt:lpstr>
      <vt:lpstr>05 | RETO-STOP</vt:lpstr>
      <vt:lpstr>05 | RETA</vt:lpstr>
      <vt:lpstr>05 | LIMU-STOP</vt:lpstr>
      <vt:lpstr>05 | KRV</vt:lpstr>
      <vt:lpstr>05 | TOP-STOP</vt:lpstr>
      <vt:lpstr>05 | ZETKA</vt:lpstr>
      <vt:lpstr>05 | HADE PIPE</vt:lpstr>
      <vt:lpstr>05 | HADE WALL</vt:lpstr>
      <vt:lpstr>05 | HADE FLANGE</vt:lpstr>
      <vt:lpstr>06 | EKN H</vt:lpstr>
      <vt:lpstr>06 | EKN M PRP-SE</vt:lpstr>
      <vt:lpstr>06 | CEREX 300-W HL</vt:lpstr>
      <vt:lpstr>06 | CEREX 300-W GHW</vt:lpstr>
      <vt:lpstr>06 | CEREX 300-W FLOAT</vt:lpstr>
      <vt:lpstr>06 | CEREX 300-L HL</vt:lpstr>
      <vt:lpstr>06 | CEREX 300-L GHW</vt:lpstr>
      <vt:lpstr>06 | COUNTERFLANGE</vt:lpstr>
      <vt:lpstr>06 | CEREX 300-L BS</vt:lpstr>
      <vt:lpstr>06 | CEREX 300-W BS</vt:lpstr>
      <vt:lpstr>07 | DUOJET</vt:lpstr>
      <vt:lpstr>07 | FLOWJET</vt:lpstr>
      <vt:lpstr>07 | BEV</vt:lpstr>
      <vt:lpstr>07 | HILL</vt:lpstr>
      <vt:lpstr>07 | TWINJET</vt:lpstr>
      <vt:lpstr>07 | BEV-E</vt:lpstr>
      <vt:lpstr>09 | PICO H</vt:lpstr>
      <vt:lpstr>09 | PICO M</vt:lpstr>
      <vt:lpstr>09 | DURA</vt:lpstr>
      <vt:lpstr>10 | FORTE</vt:lpstr>
      <vt:lpstr>10 | SAK</vt:lpstr>
      <vt:lpstr>10 | VARIplus-DJ</vt:lpstr>
      <vt:lpstr>10 | MONTY</vt:lpstr>
      <vt:lpstr>10 | VAF</vt:lpstr>
      <vt:lpstr>10 | VARIplus-RFA</vt:lpstr>
      <vt:lpstr>10 | VARIplus-RC</vt:lpstr>
      <vt:lpstr>11 | LADA</vt:lpstr>
      <vt:lpstr>11 | PATENTplus</vt:lpstr>
      <vt:lpstr>11 | TELEMAX EG</vt:lpstr>
      <vt:lpstr>11 | VA-TELESKOP</vt:lpstr>
      <vt:lpstr>11 | RAMBO</vt:lpstr>
      <vt:lpstr>11 | KEYS</vt:lpstr>
      <vt:lpstr>11 | HANDWHEEL</vt:lpstr>
      <vt:lpstr>11 | ROTOP MOBITORQ</vt:lpstr>
      <vt:lpstr>12 | BAIO BETA 200</vt:lpstr>
      <vt:lpstr>12 | BAIO HYDRUS</vt:lpstr>
      <vt:lpstr>12 | BAIO BEV</vt:lpstr>
      <vt:lpstr>12 | BAIO FITTINGS</vt:lpstr>
      <vt:lpstr>12 | BAIO GKS-TYTON</vt:lpstr>
      <vt:lpstr>12 | BAIOstop</vt:lpstr>
      <vt:lpstr>12 | BAIO STIFFENER</vt:lpstr>
      <vt:lpstr>12 | BAIOanti-twist</vt:lpstr>
      <vt:lpstr>13 | GAS EKOplus</vt:lpstr>
      <vt:lpstr>13 | GAS EKOplus PE</vt:lpstr>
      <vt:lpstr>13 | GAS EKOplus RS</vt:lpstr>
      <vt:lpstr>13 | GAS EKN M</vt:lpstr>
      <vt:lpstr>13 | GAS CEREX 300-L HL</vt:lpstr>
      <vt:lpstr>13 | GAS CEREX 300-L GHW</vt:lpstr>
      <vt:lpstr>13 | GAS CEREX 300-W HL</vt:lpstr>
      <vt:lpstr>13 | GAS CEREX 300-W GHW</vt:lpstr>
      <vt:lpstr>13 | GAS RAMBO</vt:lpstr>
      <vt:lpstr>_00_HOME</vt:lpstr>
      <vt:lpstr>_00_LIST</vt:lpstr>
      <vt:lpstr>_00_SETTINGS</vt:lpstr>
      <vt:lpstr>_01_BETA_200</vt:lpstr>
      <vt:lpstr>_01_BETA_200_TS</vt:lpstr>
      <vt:lpstr>_01_EKOplus</vt:lpstr>
      <vt:lpstr>_01_EKOplus___FIREWATER</vt:lpstr>
      <vt:lpstr>_01_EKOplus___SEA_WATER</vt:lpstr>
      <vt:lpstr>_01_EKOplus___WASTE_WATER</vt:lpstr>
      <vt:lpstr>_01_EKOplus___With_actuator__for_actuator</vt:lpstr>
      <vt:lpstr>_01_EKOplus___With_BAIO_sockets</vt:lpstr>
      <vt:lpstr>_01_EKOplus___With_rising_stem</vt:lpstr>
      <vt:lpstr>_01_EKOplus___With_spigots</vt:lpstr>
      <vt:lpstr>_01_EKOplus_PE</vt:lpstr>
      <vt:lpstr>_01_IKOplus</vt:lpstr>
      <vt:lpstr>_01_IKOplus___With_rising_stem</vt:lpstr>
      <vt:lpstr>_01_IKOplus_EPP</vt:lpstr>
      <vt:lpstr>_01_IKOplus_TRAFO___OIL</vt:lpstr>
      <vt:lpstr>_02_ERIplus</vt:lpstr>
      <vt:lpstr>_02_EROXplus</vt:lpstr>
      <vt:lpstr>_02_EROXplus_O</vt:lpstr>
      <vt:lpstr>_02_HADE_PRA_G</vt:lpstr>
      <vt:lpstr>_02_MONO___For_underground_installation</vt:lpstr>
      <vt:lpstr>_02_MONO___With_quick_operation_lever</vt:lpstr>
      <vt:lpstr>_02_REMO_Sets</vt:lpstr>
      <vt:lpstr>_02_ZETA</vt:lpstr>
      <vt:lpstr>_02_ZETA_With_actuator_for_actuator</vt:lpstr>
      <vt:lpstr>_02_ZETAcontrol</vt:lpstr>
      <vt:lpstr>_03_Hydrant_accessories</vt:lpstr>
      <vt:lpstr>_03_HYDRUS_G</vt:lpstr>
      <vt:lpstr>_03_NOVA</vt:lpstr>
      <vt:lpstr>_03_RIGUS</vt:lpstr>
      <vt:lpstr>_04_Clamp</vt:lpstr>
      <vt:lpstr>_04_Drilling_sets</vt:lpstr>
      <vt:lpstr>_04_HOD_G___Ductile_Iron</vt:lpstr>
      <vt:lpstr>_04_HOD_K___PVC__PE</vt:lpstr>
      <vt:lpstr>_04_HOD_M___Steel__cast_iron__concrete</vt:lpstr>
      <vt:lpstr>_04_LOCK_System___Plug_fittings</vt:lpstr>
      <vt:lpstr>_04_LOCK_System___PVC__PE</vt:lpstr>
      <vt:lpstr>_04_LOCK_System___Shut_off_valves</vt:lpstr>
      <vt:lpstr>_04_LOCK_System___Steel__cast_iron__concrete</vt:lpstr>
      <vt:lpstr>_04_Shut_off_valves</vt:lpstr>
      <vt:lpstr>_04_TERRA_K___PVC__PE</vt:lpstr>
      <vt:lpstr>_04_TERRA_M___Steel__cast_iron__concrete</vt:lpstr>
      <vt:lpstr>_05_HADE___Installation_on_flange</vt:lpstr>
      <vt:lpstr>_05_HADE___Plug_in_type</vt:lpstr>
      <vt:lpstr>_05_HADE___Wall_mounted</vt:lpstr>
      <vt:lpstr>_05_KRV</vt:lpstr>
      <vt:lpstr>_05_LIMU_STOP</vt:lpstr>
      <vt:lpstr>_05_RETA</vt:lpstr>
      <vt:lpstr>_05_RETO_STOP</vt:lpstr>
      <vt:lpstr>_05_SKR</vt:lpstr>
      <vt:lpstr>_05_TOP_STOP</vt:lpstr>
      <vt:lpstr>_05_ZETKA</vt:lpstr>
      <vt:lpstr>_06_CEREX_300_L___Bare_shaft</vt:lpstr>
      <vt:lpstr>_06_CEREX_300_L___Hand_lever</vt:lpstr>
      <vt:lpstr>_06_CEREX_300_L___Hand_wheel</vt:lpstr>
      <vt:lpstr>_06_CEREX_300_W___Bare_shaft</vt:lpstr>
      <vt:lpstr>_06_CEREX_300_W___Float</vt:lpstr>
      <vt:lpstr>_06_CEREX_300_W___Hand_lever</vt:lpstr>
      <vt:lpstr>_06_CEREX_300_W___Hand_wheel</vt:lpstr>
      <vt:lpstr>_06_Counter_flange</vt:lpstr>
      <vt:lpstr>_06_EKN_H</vt:lpstr>
      <vt:lpstr>_06_EKN_M___For_underground_installation</vt:lpstr>
      <vt:lpstr>_07_BEV</vt:lpstr>
      <vt:lpstr>_07_BEV_E</vt:lpstr>
      <vt:lpstr>_07_DUOJET</vt:lpstr>
      <vt:lpstr>_07_FLOWJET_PE</vt:lpstr>
      <vt:lpstr>_07_HILL</vt:lpstr>
      <vt:lpstr>_07_TWINJET</vt:lpstr>
      <vt:lpstr>_08_BEV_E</vt:lpstr>
      <vt:lpstr>_08_DURA</vt:lpstr>
      <vt:lpstr>_08_PICO_H</vt:lpstr>
      <vt:lpstr>_08_PICO_M</vt:lpstr>
      <vt:lpstr>_09_FORTE</vt:lpstr>
      <vt:lpstr>_09_MONTY</vt:lpstr>
      <vt:lpstr>_09_SAK</vt:lpstr>
      <vt:lpstr>_09_VAF</vt:lpstr>
      <vt:lpstr>_09_VARIplus_DJ</vt:lpstr>
      <vt:lpstr>_09_VARIplus_RC</vt:lpstr>
      <vt:lpstr>_09_VARIplus_RFA</vt:lpstr>
      <vt:lpstr>_10_Hand_wheel</vt:lpstr>
      <vt:lpstr>_10_LADA___Rigid</vt:lpstr>
      <vt:lpstr>_10_Operating_keys</vt:lpstr>
      <vt:lpstr>_10_PATENTplus___Telescopic</vt:lpstr>
      <vt:lpstr>_10_RAMBO</vt:lpstr>
      <vt:lpstr>_10_ROTOP_MOBITORQ</vt:lpstr>
      <vt:lpstr>_10_TELEMAX_EG___Telescopic</vt:lpstr>
      <vt:lpstr>_10_VA_TELESKOP___Telescopic_for_EKN</vt:lpstr>
      <vt:lpstr>_11_BAIO___BAIO_Fittings</vt:lpstr>
      <vt:lpstr>_11_BAIO___Sealing_rings</vt:lpstr>
      <vt:lpstr>_11_BAIO_BETA_200</vt:lpstr>
      <vt:lpstr>_11_BAIO_BEV</vt:lpstr>
      <vt:lpstr>_11_BAIO_HYDRUS_G</vt:lpstr>
      <vt:lpstr>_11_BAIO_Split_ring_stiffener</vt:lpstr>
      <vt:lpstr>_11_BAIOanti_twist</vt:lpstr>
      <vt:lpstr>_11_BAIOstop</vt:lpstr>
      <vt:lpstr>_12_CEREX_300_L___Hand_lever</vt:lpstr>
      <vt:lpstr>_12_CEREX_300_L___Hand_wheel</vt:lpstr>
      <vt:lpstr>_12_CEREX_300_W___Hand_lever</vt:lpstr>
      <vt:lpstr>_12_CEREX_300_W___Hand_wheel</vt:lpstr>
      <vt:lpstr>_12_EKN_M</vt:lpstr>
      <vt:lpstr>_12_EKOplus</vt:lpstr>
      <vt:lpstr>_12_EKOplus___With_rising_stem</vt:lpstr>
      <vt:lpstr>_12_EKOplus_PE</vt:lpstr>
      <vt:lpstr>_12_RAMBO</vt:lpstr>
      <vt:lpstr>Accessories</vt:lpstr>
      <vt:lpstr>ADD.DISCOUNT</vt:lpstr>
      <vt:lpstr>AirValves</vt:lpstr>
      <vt:lpstr>BAIOsystem</vt:lpstr>
      <vt:lpstr>ButterflyValves_BallValves</vt:lpstr>
      <vt:lpstr>ControlValves</vt:lpstr>
      <vt:lpstr>CURR_1.SEARCH.NEW</vt:lpstr>
      <vt:lpstr>CURR_1.SEARCH.OLD</vt:lpstr>
      <vt:lpstr>CURR_2.SEARCH.NEW</vt:lpstr>
      <vt:lpstr>CURR_2.SEARCH.OLD</vt:lpstr>
      <vt:lpstr>CURRENCY.CODE_1</vt:lpstr>
      <vt:lpstr>CURRENCY.CODE_2</vt:lpstr>
      <vt:lpstr>CURRENCY.FORMAT_1</vt:lpstr>
      <vt:lpstr>CURRENCY.FORMAT_2</vt:lpstr>
      <vt:lpstr>EXC.RATE.SWITCH</vt:lpstr>
      <vt:lpstr>EXC.RATE_1</vt:lpstr>
      <vt:lpstr>EXC.RATE_2</vt:lpstr>
      <vt:lpstr>GasValves</vt:lpstr>
      <vt:lpstr>GateValves</vt:lpstr>
      <vt:lpstr>HouseConnectionValves</vt:lpstr>
      <vt:lpstr>Hydrants</vt:lpstr>
      <vt:lpstr>KnifeGateValves_Penstocks</vt:lpstr>
      <vt:lpstr>MAT.SURCHARGE</vt:lpstr>
      <vt:lpstr>NonReturnValves_FlapValves</vt:lpstr>
      <vt:lpstr>OtherValves</vt:lpstr>
      <vt:lpstr>LIST!Print_Titles</vt:lpstr>
      <vt:lpstr>SET.LANGUAGE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2023-01-23T14:21:48Z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VAG Ceník 2022_v19.xlsx</vt:lpwstr>
  </property>
</Properties>
</file>